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3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se Chua\OneDrive\Python\School Snek Work\quaaf\"/>
    </mc:Choice>
  </mc:AlternateContent>
  <xr:revisionPtr revIDLastSave="0" documentId="8_{20FD85C4-C5A3-4FCD-8285-E9D6E657A088}" xr6:coauthVersionLast="47" xr6:coauthVersionMax="47" xr10:uidLastSave="{00000000-0000-0000-0000-000000000000}"/>
  <bookViews>
    <workbookView xWindow="-120" yWindow="-120" windowWidth="38640" windowHeight="21390" tabRatio="730" activeTab="4" xr2:uid="{2E9955A9-9868-4B31-AB9A-9C52AAD8FD77}"/>
  </bookViews>
  <sheets>
    <sheet name="Control Panel" sheetId="2" r:id="rId1"/>
    <sheet name="Graphing Values" sheetId="4" r:id="rId2"/>
    <sheet name="Stock Chart" sheetId="10" r:id="rId3"/>
    <sheet name="Calculated Results" sheetId="3" r:id="rId4"/>
    <sheet name="Target" sheetId="1" r:id="rId5"/>
    <sheet name="Benchmark #1" sheetId="5" r:id="rId6"/>
    <sheet name="Benchmark #2" sheetId="6" r:id="rId7"/>
    <sheet name="Comparable #1" sheetId="7" r:id="rId8"/>
    <sheet name="Comparable #2" sheetId="8" r:id="rId9"/>
    <sheet name="Comparable #3" sheetId="9" r:id="rId10"/>
  </sheets>
  <functionGroups builtInGroupCount="19"/>
  <definedNames>
    <definedName name="CIQWBGuid" hidden="1">"7ffec669-5367-4c60-81a6-649bd245f705"</definedName>
    <definedName name="CIQWBInfo" hidden="1">"{ ""CIQVersion"":""9.49.2423.4439"" }"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44907.8461458333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" i="2" l="1"/>
  <c r="C2" i="9"/>
  <c r="D2" i="9" s="1"/>
  <c r="E2" i="9"/>
  <c r="F2" i="9"/>
  <c r="G2" i="9"/>
  <c r="H2" i="9"/>
  <c r="L2" i="9"/>
  <c r="C3" i="9"/>
  <c r="D3" i="9" s="1"/>
  <c r="E3" i="9"/>
  <c r="F3" i="9" s="1"/>
  <c r="H3" i="9"/>
  <c r="L3" i="9"/>
  <c r="C4" i="9"/>
  <c r="D4" i="9" s="1"/>
  <c r="E4" i="9"/>
  <c r="F4" i="9" s="1"/>
  <c r="H4" i="9"/>
  <c r="L4" i="9"/>
  <c r="C5" i="9"/>
  <c r="D5" i="9" s="1"/>
  <c r="E5" i="9"/>
  <c r="F5" i="9"/>
  <c r="G5" i="9"/>
  <c r="H5" i="9"/>
  <c r="L5" i="9"/>
  <c r="C6" i="9"/>
  <c r="D6" i="9" s="1"/>
  <c r="E6" i="9"/>
  <c r="F6" i="9" s="1"/>
  <c r="H6" i="9"/>
  <c r="L6" i="9"/>
  <c r="C7" i="9"/>
  <c r="D7" i="9" s="1"/>
  <c r="E7" i="9"/>
  <c r="F7" i="9" s="1"/>
  <c r="F8" i="9" s="1"/>
  <c r="H7" i="9"/>
  <c r="L7" i="9"/>
  <c r="C8" i="9"/>
  <c r="D8" i="9" s="1"/>
  <c r="E8" i="9"/>
  <c r="G8" i="9"/>
  <c r="H8" i="9"/>
  <c r="L8" i="9"/>
  <c r="C9" i="9"/>
  <c r="D9" i="9" s="1"/>
  <c r="E9" i="9"/>
  <c r="F9" i="9" s="1"/>
  <c r="H9" i="9"/>
  <c r="L9" i="9"/>
  <c r="C10" i="9"/>
  <c r="D10" i="9" s="1"/>
  <c r="E10" i="9"/>
  <c r="F10" i="9" s="1"/>
  <c r="F11" i="9" s="1"/>
  <c r="H10" i="9"/>
  <c r="L10" i="9"/>
  <c r="C11" i="9"/>
  <c r="D11" i="9" s="1"/>
  <c r="E11" i="9"/>
  <c r="G11" i="9"/>
  <c r="H11" i="9"/>
  <c r="L11" i="9"/>
  <c r="C12" i="9"/>
  <c r="D12" i="9" s="1"/>
  <c r="E12" i="9"/>
  <c r="F12" i="9" s="1"/>
  <c r="H12" i="9"/>
  <c r="L12" i="9"/>
  <c r="C13" i="9"/>
  <c r="D13" i="9" s="1"/>
  <c r="E13" i="9"/>
  <c r="F13" i="9" s="1"/>
  <c r="H13" i="9"/>
  <c r="L13" i="9"/>
  <c r="C14" i="9"/>
  <c r="D14" i="9" s="1"/>
  <c r="E14" i="9"/>
  <c r="F14" i="9"/>
  <c r="G14" i="9"/>
  <c r="H14" i="9"/>
  <c r="L14" i="9"/>
  <c r="C15" i="9"/>
  <c r="D15" i="9" s="1"/>
  <c r="E15" i="9"/>
  <c r="F15" i="9" s="1"/>
  <c r="H15" i="9"/>
  <c r="L15" i="9"/>
  <c r="C16" i="9"/>
  <c r="D16" i="9" s="1"/>
  <c r="E16" i="9"/>
  <c r="F16" i="9" s="1"/>
  <c r="H16" i="9"/>
  <c r="L16" i="9"/>
  <c r="C17" i="9"/>
  <c r="D17" i="9" s="1"/>
  <c r="E17" i="9"/>
  <c r="F17" i="9"/>
  <c r="G17" i="9"/>
  <c r="H17" i="9"/>
  <c r="L17" i="9"/>
  <c r="C18" i="9"/>
  <c r="D18" i="9" s="1"/>
  <c r="E18" i="9"/>
  <c r="F18" i="9" s="1"/>
  <c r="H18" i="9"/>
  <c r="L18" i="9"/>
  <c r="C19" i="9"/>
  <c r="D19" i="9" s="1"/>
  <c r="E19" i="9"/>
  <c r="F19" i="9" s="1"/>
  <c r="F20" i="9" s="1"/>
  <c r="H19" i="9"/>
  <c r="L19" i="9"/>
  <c r="C20" i="9"/>
  <c r="D20" i="9" s="1"/>
  <c r="E20" i="9"/>
  <c r="G20" i="9"/>
  <c r="H20" i="9"/>
  <c r="L20" i="9"/>
  <c r="C21" i="9"/>
  <c r="D21" i="9" s="1"/>
  <c r="E21" i="9"/>
  <c r="F21" i="9" s="1"/>
  <c r="H21" i="9"/>
  <c r="L21" i="9"/>
  <c r="C22" i="9"/>
  <c r="D22" i="9" s="1"/>
  <c r="E22" i="9"/>
  <c r="F22" i="9" s="1"/>
  <c r="F23" i="9" s="1"/>
  <c r="H22" i="9"/>
  <c r="L22" i="9"/>
  <c r="C23" i="9"/>
  <c r="D23" i="9" s="1"/>
  <c r="E23" i="9"/>
  <c r="G23" i="9"/>
  <c r="H23" i="9"/>
  <c r="L23" i="9"/>
  <c r="C24" i="9"/>
  <c r="D24" i="9" s="1"/>
  <c r="E24" i="9"/>
  <c r="H24" i="9"/>
  <c r="L24" i="9"/>
  <c r="C25" i="9"/>
  <c r="D25" i="9" s="1"/>
  <c r="E25" i="9"/>
  <c r="H25" i="9"/>
  <c r="L25" i="9"/>
  <c r="C26" i="9"/>
  <c r="D26" i="9" s="1"/>
  <c r="E26" i="9"/>
  <c r="G26" i="9"/>
  <c r="H26" i="9"/>
  <c r="L26" i="9"/>
  <c r="C27" i="9"/>
  <c r="D27" i="9" s="1"/>
  <c r="E27" i="9"/>
  <c r="H27" i="9"/>
  <c r="L27" i="9"/>
  <c r="C28" i="9"/>
  <c r="D28" i="9" s="1"/>
  <c r="E28" i="9"/>
  <c r="H28" i="9"/>
  <c r="L28" i="9"/>
  <c r="C29" i="9"/>
  <c r="D29" i="9" s="1"/>
  <c r="E29" i="9"/>
  <c r="G29" i="9"/>
  <c r="H29" i="9"/>
  <c r="L29" i="9"/>
  <c r="C30" i="9"/>
  <c r="D30" i="9" s="1"/>
  <c r="E30" i="9"/>
  <c r="H30" i="9"/>
  <c r="L30" i="9"/>
  <c r="C31" i="9"/>
  <c r="D31" i="9" s="1"/>
  <c r="E31" i="9"/>
  <c r="H31" i="9"/>
  <c r="L31" i="9"/>
  <c r="C32" i="9"/>
  <c r="D32" i="9" s="1"/>
  <c r="E32" i="9"/>
  <c r="G32" i="9"/>
  <c r="H32" i="9"/>
  <c r="L32" i="9"/>
  <c r="C33" i="9"/>
  <c r="D33" i="9" s="1"/>
  <c r="E33" i="9"/>
  <c r="H33" i="9"/>
  <c r="L33" i="9"/>
  <c r="C34" i="9"/>
  <c r="D34" i="9" s="1"/>
  <c r="E34" i="9"/>
  <c r="F34" i="9" s="1"/>
  <c r="H34" i="9"/>
  <c r="L34" i="9"/>
  <c r="C35" i="9"/>
  <c r="D35" i="9" s="1"/>
  <c r="E35" i="9"/>
  <c r="F35" i="9"/>
  <c r="G35" i="9"/>
  <c r="H35" i="9"/>
  <c r="L35" i="9"/>
  <c r="C36" i="9"/>
  <c r="D36" i="9" s="1"/>
  <c r="E36" i="9"/>
  <c r="F36" i="9" s="1"/>
  <c r="H36" i="9"/>
  <c r="L36" i="9"/>
  <c r="C37" i="9"/>
  <c r="D37" i="9" s="1"/>
  <c r="E37" i="9"/>
  <c r="H37" i="9"/>
  <c r="L37" i="9"/>
  <c r="C38" i="9"/>
  <c r="D38" i="9" s="1"/>
  <c r="E38" i="9"/>
  <c r="G38" i="9"/>
  <c r="H38" i="9"/>
  <c r="L38" i="9"/>
  <c r="C39" i="9"/>
  <c r="D39" i="9" s="1"/>
  <c r="E39" i="9"/>
  <c r="H39" i="9"/>
  <c r="L39" i="9"/>
  <c r="C40" i="9"/>
  <c r="D40" i="9" s="1"/>
  <c r="E40" i="9"/>
  <c r="F40" i="9" s="1"/>
  <c r="F41" i="9" s="1"/>
  <c r="H40" i="9"/>
  <c r="L40" i="9"/>
  <c r="C41" i="9"/>
  <c r="D41" i="9" s="1"/>
  <c r="E41" i="9"/>
  <c r="G41" i="9"/>
  <c r="H41" i="9"/>
  <c r="L41" i="9"/>
  <c r="C42" i="9"/>
  <c r="D42" i="9" s="1"/>
  <c r="E42" i="9"/>
  <c r="F42" i="9" s="1"/>
  <c r="H42" i="9"/>
  <c r="L42" i="9"/>
  <c r="C43" i="9"/>
  <c r="D43" i="9" s="1"/>
  <c r="E43" i="9"/>
  <c r="F43" i="9" s="1"/>
  <c r="F44" i="9" s="1"/>
  <c r="H43" i="9"/>
  <c r="L43" i="9"/>
  <c r="C44" i="9"/>
  <c r="D44" i="9" s="1"/>
  <c r="E44" i="9"/>
  <c r="G44" i="9"/>
  <c r="H44" i="9"/>
  <c r="L44" i="9"/>
  <c r="C45" i="9"/>
  <c r="D45" i="9" s="1"/>
  <c r="E45" i="9"/>
  <c r="H45" i="9"/>
  <c r="L45" i="9"/>
  <c r="C46" i="9"/>
  <c r="D46" i="9" s="1"/>
  <c r="E46" i="9"/>
  <c r="H46" i="9"/>
  <c r="L46" i="9"/>
  <c r="C47" i="9"/>
  <c r="D47" i="9" s="1"/>
  <c r="E47" i="9"/>
  <c r="G47" i="9"/>
  <c r="H47" i="9"/>
  <c r="L47" i="9"/>
  <c r="C48" i="9"/>
  <c r="D48" i="9" s="1"/>
  <c r="E48" i="9"/>
  <c r="H48" i="9"/>
  <c r="L48" i="9"/>
  <c r="C49" i="9"/>
  <c r="D49" i="9" s="1"/>
  <c r="E49" i="9"/>
  <c r="H49" i="9"/>
  <c r="L49" i="9"/>
  <c r="C50" i="9"/>
  <c r="D50" i="9" s="1"/>
  <c r="E50" i="9"/>
  <c r="G50" i="9"/>
  <c r="H50" i="9"/>
  <c r="L50" i="9"/>
  <c r="C51" i="9"/>
  <c r="D51" i="9" s="1"/>
  <c r="E51" i="9"/>
  <c r="H51" i="9"/>
  <c r="L51" i="9"/>
  <c r="C52" i="9"/>
  <c r="D52" i="9" s="1"/>
  <c r="E52" i="9"/>
  <c r="H52" i="9"/>
  <c r="L52" i="9"/>
  <c r="C53" i="9"/>
  <c r="D53" i="9" s="1"/>
  <c r="E53" i="9"/>
  <c r="G53" i="9"/>
  <c r="H53" i="9"/>
  <c r="L53" i="9"/>
  <c r="C54" i="9"/>
  <c r="D54" i="9" s="1"/>
  <c r="E54" i="9"/>
  <c r="H54" i="9"/>
  <c r="L54" i="9"/>
  <c r="C55" i="9"/>
  <c r="D55" i="9" s="1"/>
  <c r="E55" i="9"/>
  <c r="H55" i="9"/>
  <c r="L55" i="9"/>
  <c r="C56" i="9"/>
  <c r="D56" i="9" s="1"/>
  <c r="E56" i="9"/>
  <c r="G56" i="9"/>
  <c r="H56" i="9"/>
  <c r="L56" i="9"/>
  <c r="C57" i="9"/>
  <c r="D57" i="9" s="1"/>
  <c r="E57" i="9"/>
  <c r="H57" i="9"/>
  <c r="L57" i="9"/>
  <c r="C58" i="9"/>
  <c r="D58" i="9" s="1"/>
  <c r="E58" i="9"/>
  <c r="H58" i="9"/>
  <c r="L58" i="9"/>
  <c r="C59" i="9"/>
  <c r="D59" i="9" s="1"/>
  <c r="E59" i="9"/>
  <c r="G59" i="9"/>
  <c r="H59" i="9"/>
  <c r="L59" i="9"/>
  <c r="C60" i="9"/>
  <c r="D60" i="9" s="1"/>
  <c r="E60" i="9"/>
  <c r="H60" i="9"/>
  <c r="L60" i="9"/>
  <c r="C61" i="9"/>
  <c r="D61" i="9" s="1"/>
  <c r="E61" i="9"/>
  <c r="H61" i="9"/>
  <c r="L61" i="9"/>
  <c r="C62" i="9"/>
  <c r="D62" i="9" s="1"/>
  <c r="E62" i="9"/>
  <c r="G62" i="9"/>
  <c r="H62" i="9"/>
  <c r="L62" i="9"/>
  <c r="C63" i="9"/>
  <c r="D63" i="9" s="1"/>
  <c r="E63" i="9"/>
  <c r="H63" i="9"/>
  <c r="L63" i="9"/>
  <c r="C64" i="9"/>
  <c r="D64" i="9" s="1"/>
  <c r="E64" i="9"/>
  <c r="H64" i="9"/>
  <c r="L64" i="9"/>
  <c r="C65" i="9"/>
  <c r="D65" i="9" s="1"/>
  <c r="E65" i="9"/>
  <c r="G65" i="9"/>
  <c r="H65" i="9"/>
  <c r="L65" i="9"/>
  <c r="C66" i="9"/>
  <c r="D66" i="9" s="1"/>
  <c r="E66" i="9"/>
  <c r="H66" i="9"/>
  <c r="L66" i="9"/>
  <c r="C67" i="9"/>
  <c r="D67" i="9" s="1"/>
  <c r="E67" i="9"/>
  <c r="H67" i="9"/>
  <c r="L67" i="9"/>
  <c r="C68" i="9"/>
  <c r="D68" i="9" s="1"/>
  <c r="E68" i="9"/>
  <c r="G68" i="9"/>
  <c r="H68" i="9"/>
  <c r="L68" i="9"/>
  <c r="C69" i="9"/>
  <c r="D69" i="9" s="1"/>
  <c r="E69" i="9"/>
  <c r="H69" i="9"/>
  <c r="L69" i="9"/>
  <c r="C70" i="9"/>
  <c r="D70" i="9" s="1"/>
  <c r="E70" i="9"/>
  <c r="H70" i="9"/>
  <c r="L70" i="9"/>
  <c r="C71" i="9"/>
  <c r="D71" i="9" s="1"/>
  <c r="E71" i="9"/>
  <c r="G71" i="9"/>
  <c r="H71" i="9"/>
  <c r="L71" i="9"/>
  <c r="C72" i="9"/>
  <c r="D72" i="9" s="1"/>
  <c r="E72" i="9"/>
  <c r="H72" i="9"/>
  <c r="L72" i="9"/>
  <c r="C73" i="9"/>
  <c r="D73" i="9" s="1"/>
  <c r="E73" i="9"/>
  <c r="H73" i="9"/>
  <c r="L73" i="9"/>
  <c r="C74" i="9"/>
  <c r="D74" i="9" s="1"/>
  <c r="E74" i="9"/>
  <c r="G74" i="9"/>
  <c r="H74" i="9"/>
  <c r="L74" i="9"/>
  <c r="C75" i="9"/>
  <c r="D75" i="9" s="1"/>
  <c r="E75" i="9"/>
  <c r="H75" i="9"/>
  <c r="L75" i="9"/>
  <c r="C76" i="9"/>
  <c r="D76" i="9" s="1"/>
  <c r="E76" i="9"/>
  <c r="H76" i="9"/>
  <c r="L76" i="9"/>
  <c r="C77" i="9"/>
  <c r="D77" i="9" s="1"/>
  <c r="E77" i="9"/>
  <c r="G77" i="9"/>
  <c r="H77" i="9"/>
  <c r="L77" i="9"/>
  <c r="C78" i="9"/>
  <c r="D78" i="9" s="1"/>
  <c r="E78" i="9"/>
  <c r="H78" i="9"/>
  <c r="L78" i="9"/>
  <c r="C79" i="9"/>
  <c r="D79" i="9" s="1"/>
  <c r="E79" i="9"/>
  <c r="H79" i="9"/>
  <c r="L79" i="9"/>
  <c r="C80" i="9"/>
  <c r="D80" i="9" s="1"/>
  <c r="E80" i="9"/>
  <c r="G80" i="9"/>
  <c r="H80" i="9"/>
  <c r="L80" i="9"/>
  <c r="C81" i="9"/>
  <c r="D81" i="9" s="1"/>
  <c r="E81" i="9"/>
  <c r="H81" i="9"/>
  <c r="L81" i="9"/>
  <c r="C82" i="9"/>
  <c r="D82" i="9" s="1"/>
  <c r="E82" i="9"/>
  <c r="H82" i="9"/>
  <c r="L82" i="9"/>
  <c r="C83" i="9"/>
  <c r="D83" i="9" s="1"/>
  <c r="E83" i="9"/>
  <c r="G83" i="9"/>
  <c r="H83" i="9"/>
  <c r="L83" i="9"/>
  <c r="C84" i="9"/>
  <c r="D84" i="9" s="1"/>
  <c r="E84" i="9"/>
  <c r="H84" i="9"/>
  <c r="L84" i="9"/>
  <c r="C85" i="9"/>
  <c r="D85" i="9" s="1"/>
  <c r="E85" i="9"/>
  <c r="H85" i="9"/>
  <c r="L85" i="9"/>
  <c r="C86" i="9"/>
  <c r="D86" i="9" s="1"/>
  <c r="E86" i="9"/>
  <c r="G86" i="9"/>
  <c r="H86" i="9"/>
  <c r="L86" i="9"/>
  <c r="C87" i="9"/>
  <c r="D87" i="9" s="1"/>
  <c r="E87" i="9"/>
  <c r="H87" i="9"/>
  <c r="L87" i="9"/>
  <c r="C88" i="9"/>
  <c r="D88" i="9" s="1"/>
  <c r="E88" i="9"/>
  <c r="H88" i="9"/>
  <c r="L88" i="9"/>
  <c r="C89" i="9"/>
  <c r="D89" i="9" s="1"/>
  <c r="E89" i="9"/>
  <c r="G89" i="9"/>
  <c r="H89" i="9"/>
  <c r="L89" i="9"/>
  <c r="C90" i="9"/>
  <c r="D90" i="9" s="1"/>
  <c r="E90" i="9"/>
  <c r="H90" i="9"/>
  <c r="L90" i="9"/>
  <c r="C91" i="9"/>
  <c r="D91" i="9" s="1"/>
  <c r="E91" i="9"/>
  <c r="F91" i="9" s="1"/>
  <c r="F92" i="9" s="1"/>
  <c r="H91" i="9"/>
  <c r="L91" i="9"/>
  <c r="C92" i="9"/>
  <c r="D92" i="9" s="1"/>
  <c r="E92" i="9"/>
  <c r="G92" i="9"/>
  <c r="H92" i="9"/>
  <c r="L92" i="9"/>
  <c r="C93" i="9"/>
  <c r="D93" i="9" s="1"/>
  <c r="E93" i="9"/>
  <c r="H93" i="9"/>
  <c r="L93" i="9"/>
  <c r="C94" i="9"/>
  <c r="D94" i="9" s="1"/>
  <c r="E94" i="9"/>
  <c r="H94" i="9"/>
  <c r="L94" i="9"/>
  <c r="C95" i="9"/>
  <c r="D95" i="9" s="1"/>
  <c r="E95" i="9"/>
  <c r="G95" i="9"/>
  <c r="H95" i="9"/>
  <c r="L95" i="9"/>
  <c r="C96" i="9"/>
  <c r="D96" i="9" s="1"/>
  <c r="E96" i="9"/>
  <c r="H96" i="9"/>
  <c r="L96" i="9"/>
  <c r="C97" i="9"/>
  <c r="D97" i="9" s="1"/>
  <c r="E97" i="9"/>
  <c r="H97" i="9"/>
  <c r="L97" i="9"/>
  <c r="C98" i="9"/>
  <c r="D98" i="9" s="1"/>
  <c r="E98" i="9"/>
  <c r="G98" i="9"/>
  <c r="H98" i="9"/>
  <c r="L98" i="9"/>
  <c r="C99" i="9"/>
  <c r="D99" i="9" s="1"/>
  <c r="E99" i="9"/>
  <c r="H99" i="9"/>
  <c r="L99" i="9"/>
  <c r="C100" i="9"/>
  <c r="D100" i="9" s="1"/>
  <c r="E100" i="9"/>
  <c r="H100" i="9"/>
  <c r="L100" i="9"/>
  <c r="C101" i="9"/>
  <c r="D101" i="9" s="1"/>
  <c r="E101" i="9"/>
  <c r="G101" i="9"/>
  <c r="H101" i="9"/>
  <c r="L101" i="9"/>
  <c r="C102" i="9"/>
  <c r="D102" i="9" s="1"/>
  <c r="E102" i="9"/>
  <c r="H102" i="9"/>
  <c r="L102" i="9"/>
  <c r="C103" i="9"/>
  <c r="D103" i="9" s="1"/>
  <c r="E103" i="9"/>
  <c r="H103" i="9"/>
  <c r="L103" i="9"/>
  <c r="C104" i="9"/>
  <c r="D104" i="9" s="1"/>
  <c r="E104" i="9"/>
  <c r="G104" i="9"/>
  <c r="H104" i="9"/>
  <c r="L104" i="9"/>
  <c r="C105" i="9"/>
  <c r="D105" i="9" s="1"/>
  <c r="E105" i="9"/>
  <c r="H105" i="9"/>
  <c r="L105" i="9"/>
  <c r="C106" i="9"/>
  <c r="D106" i="9" s="1"/>
  <c r="E106" i="9"/>
  <c r="H106" i="9"/>
  <c r="L106" i="9"/>
  <c r="C107" i="9"/>
  <c r="D107" i="9" s="1"/>
  <c r="E107" i="9"/>
  <c r="G107" i="9"/>
  <c r="H107" i="9"/>
  <c r="L107" i="9"/>
  <c r="C108" i="9"/>
  <c r="D108" i="9" s="1"/>
  <c r="E108" i="9"/>
  <c r="H108" i="9"/>
  <c r="L108" i="9"/>
  <c r="C109" i="9"/>
  <c r="D109" i="9" s="1"/>
  <c r="E109" i="9"/>
  <c r="H109" i="9"/>
  <c r="L109" i="9"/>
  <c r="C110" i="9"/>
  <c r="D110" i="9" s="1"/>
  <c r="E110" i="9"/>
  <c r="G110" i="9"/>
  <c r="H110" i="9"/>
  <c r="L110" i="9"/>
  <c r="C111" i="9"/>
  <c r="D111" i="9" s="1"/>
  <c r="E111" i="9"/>
  <c r="H111" i="9"/>
  <c r="L111" i="9"/>
  <c r="C112" i="9"/>
  <c r="D112" i="9" s="1"/>
  <c r="E112" i="9"/>
  <c r="H112" i="9"/>
  <c r="L112" i="9"/>
  <c r="C113" i="9"/>
  <c r="D113" i="9" s="1"/>
  <c r="E113" i="9"/>
  <c r="G113" i="9"/>
  <c r="H113" i="9"/>
  <c r="L113" i="9"/>
  <c r="C114" i="9"/>
  <c r="D114" i="9" s="1"/>
  <c r="E114" i="9"/>
  <c r="H114" i="9"/>
  <c r="L114" i="9"/>
  <c r="C115" i="9"/>
  <c r="D115" i="9" s="1"/>
  <c r="E115" i="9"/>
  <c r="H115" i="9"/>
  <c r="L115" i="9"/>
  <c r="C116" i="9"/>
  <c r="D116" i="9" s="1"/>
  <c r="E116" i="9"/>
  <c r="G116" i="9"/>
  <c r="H116" i="9"/>
  <c r="L116" i="9"/>
  <c r="C117" i="9"/>
  <c r="D117" i="9" s="1"/>
  <c r="E117" i="9"/>
  <c r="H117" i="9"/>
  <c r="L117" i="9"/>
  <c r="C118" i="9"/>
  <c r="D118" i="9" s="1"/>
  <c r="E118" i="9"/>
  <c r="H118" i="9"/>
  <c r="L118" i="9"/>
  <c r="C119" i="9"/>
  <c r="D119" i="9" s="1"/>
  <c r="E119" i="9"/>
  <c r="G119" i="9"/>
  <c r="H119" i="9"/>
  <c r="L119" i="9"/>
  <c r="C120" i="9"/>
  <c r="D120" i="9" s="1"/>
  <c r="E120" i="9"/>
  <c r="H120" i="9"/>
  <c r="L120" i="9"/>
  <c r="C121" i="9"/>
  <c r="D121" i="9" s="1"/>
  <c r="E121" i="9"/>
  <c r="H121" i="9"/>
  <c r="L121" i="9"/>
  <c r="C122" i="9"/>
  <c r="D122" i="9" s="1"/>
  <c r="E122" i="9"/>
  <c r="G122" i="9"/>
  <c r="H122" i="9"/>
  <c r="L122" i="9"/>
  <c r="C123" i="9"/>
  <c r="D123" i="9" s="1"/>
  <c r="E123" i="9"/>
  <c r="H123" i="9"/>
  <c r="L123" i="9"/>
  <c r="C124" i="9"/>
  <c r="D124" i="9" s="1"/>
  <c r="E124" i="9"/>
  <c r="H124" i="9"/>
  <c r="L124" i="9"/>
  <c r="C125" i="9"/>
  <c r="D125" i="9" s="1"/>
  <c r="E125" i="9"/>
  <c r="G125" i="9"/>
  <c r="H125" i="9"/>
  <c r="L125" i="9"/>
  <c r="C126" i="9"/>
  <c r="D126" i="9" s="1"/>
  <c r="E126" i="9"/>
  <c r="H126" i="9"/>
  <c r="L126" i="9"/>
  <c r="C127" i="9"/>
  <c r="D127" i="9" s="1"/>
  <c r="E127" i="9"/>
  <c r="H127" i="9"/>
  <c r="L127" i="9"/>
  <c r="C128" i="9"/>
  <c r="D128" i="9" s="1"/>
  <c r="E128" i="9"/>
  <c r="G128" i="9"/>
  <c r="H128" i="9"/>
  <c r="L128" i="9"/>
  <c r="C129" i="9"/>
  <c r="D129" i="9" s="1"/>
  <c r="E129" i="9"/>
  <c r="H129" i="9"/>
  <c r="L129" i="9"/>
  <c r="C130" i="9"/>
  <c r="D130" i="9" s="1"/>
  <c r="E130" i="9"/>
  <c r="H130" i="9"/>
  <c r="L130" i="9"/>
  <c r="C131" i="9"/>
  <c r="D131" i="9" s="1"/>
  <c r="E131" i="9"/>
  <c r="G131" i="9"/>
  <c r="H131" i="9"/>
  <c r="L131" i="9"/>
  <c r="C132" i="9"/>
  <c r="D132" i="9" s="1"/>
  <c r="E132" i="9"/>
  <c r="H132" i="9"/>
  <c r="L132" i="9"/>
  <c r="C133" i="9"/>
  <c r="D133" i="9" s="1"/>
  <c r="E133" i="9"/>
  <c r="H133" i="9"/>
  <c r="L133" i="9"/>
  <c r="C134" i="9"/>
  <c r="D134" i="9" s="1"/>
  <c r="E134" i="9"/>
  <c r="G134" i="9"/>
  <c r="H134" i="9"/>
  <c r="L134" i="9"/>
  <c r="C135" i="9"/>
  <c r="D135" i="9" s="1"/>
  <c r="E135" i="9"/>
  <c r="H135" i="9"/>
  <c r="L135" i="9"/>
  <c r="C136" i="9"/>
  <c r="D136" i="9" s="1"/>
  <c r="E136" i="9"/>
  <c r="H136" i="9"/>
  <c r="L136" i="9"/>
  <c r="C137" i="9"/>
  <c r="D137" i="9" s="1"/>
  <c r="E137" i="9"/>
  <c r="G137" i="9"/>
  <c r="H137" i="9"/>
  <c r="L137" i="9"/>
  <c r="C138" i="9"/>
  <c r="D138" i="9" s="1"/>
  <c r="E138" i="9"/>
  <c r="H138" i="9"/>
  <c r="L138" i="9"/>
  <c r="C139" i="9"/>
  <c r="D139" i="9" s="1"/>
  <c r="E139" i="9"/>
  <c r="H139" i="9"/>
  <c r="L139" i="9"/>
  <c r="C140" i="9"/>
  <c r="D140" i="9" s="1"/>
  <c r="E140" i="9"/>
  <c r="G140" i="9"/>
  <c r="H140" i="9"/>
  <c r="L140" i="9"/>
  <c r="C141" i="9"/>
  <c r="D141" i="9" s="1"/>
  <c r="E141" i="9"/>
  <c r="H141" i="9"/>
  <c r="L141" i="9"/>
  <c r="C142" i="9"/>
  <c r="D142" i="9" s="1"/>
  <c r="E142" i="9"/>
  <c r="H142" i="9"/>
  <c r="L142" i="9"/>
  <c r="C143" i="9"/>
  <c r="D143" i="9" s="1"/>
  <c r="E143" i="9"/>
  <c r="G143" i="9"/>
  <c r="H143" i="9"/>
  <c r="L143" i="9"/>
  <c r="C144" i="9"/>
  <c r="D144" i="9" s="1"/>
  <c r="E144" i="9"/>
  <c r="H144" i="9"/>
  <c r="L144" i="9"/>
  <c r="C145" i="9"/>
  <c r="D145" i="9" s="1"/>
  <c r="E145" i="9"/>
  <c r="H145" i="9"/>
  <c r="L145" i="9"/>
  <c r="C146" i="9"/>
  <c r="D146" i="9" s="1"/>
  <c r="E146" i="9"/>
  <c r="G146" i="9"/>
  <c r="H146" i="9"/>
  <c r="L146" i="9"/>
  <c r="C147" i="9"/>
  <c r="D147" i="9" s="1"/>
  <c r="E147" i="9"/>
  <c r="H147" i="9"/>
  <c r="L147" i="9"/>
  <c r="C148" i="9"/>
  <c r="D148" i="9" s="1"/>
  <c r="E148" i="9"/>
  <c r="H148" i="9"/>
  <c r="L148" i="9"/>
  <c r="C149" i="9"/>
  <c r="D149" i="9" s="1"/>
  <c r="E149" i="9"/>
  <c r="G149" i="9"/>
  <c r="H149" i="9"/>
  <c r="L149" i="9"/>
  <c r="C150" i="9"/>
  <c r="D150" i="9" s="1"/>
  <c r="E150" i="9"/>
  <c r="H150" i="9"/>
  <c r="L150" i="9"/>
  <c r="C151" i="9"/>
  <c r="D151" i="9" s="1"/>
  <c r="E151" i="9"/>
  <c r="H151" i="9"/>
  <c r="L151" i="9"/>
  <c r="C152" i="9"/>
  <c r="D152" i="9" s="1"/>
  <c r="E152" i="9"/>
  <c r="G152" i="9"/>
  <c r="H152" i="9"/>
  <c r="L152" i="9"/>
  <c r="C153" i="9"/>
  <c r="D153" i="9" s="1"/>
  <c r="E153" i="9"/>
  <c r="H153" i="9"/>
  <c r="L153" i="9"/>
  <c r="C154" i="9"/>
  <c r="D154" i="9" s="1"/>
  <c r="E154" i="9"/>
  <c r="H154" i="9"/>
  <c r="L154" i="9"/>
  <c r="C155" i="9"/>
  <c r="D155" i="9" s="1"/>
  <c r="E155" i="9"/>
  <c r="G155" i="9"/>
  <c r="H155" i="9"/>
  <c r="L155" i="9"/>
  <c r="C156" i="9"/>
  <c r="D156" i="9" s="1"/>
  <c r="E156" i="9"/>
  <c r="H156" i="9"/>
  <c r="L156" i="9"/>
  <c r="C157" i="9"/>
  <c r="D157" i="9" s="1"/>
  <c r="E157" i="9"/>
  <c r="H157" i="9"/>
  <c r="L157" i="9"/>
  <c r="C158" i="9"/>
  <c r="D158" i="9" s="1"/>
  <c r="E158" i="9"/>
  <c r="G158" i="9"/>
  <c r="H158" i="9"/>
  <c r="L158" i="9"/>
  <c r="C159" i="9"/>
  <c r="D159" i="9" s="1"/>
  <c r="E159" i="9"/>
  <c r="H159" i="9"/>
  <c r="L159" i="9"/>
  <c r="C160" i="9"/>
  <c r="D160" i="9" s="1"/>
  <c r="E160" i="9"/>
  <c r="H160" i="9"/>
  <c r="L160" i="9"/>
  <c r="C161" i="9"/>
  <c r="D161" i="9" s="1"/>
  <c r="E161" i="9"/>
  <c r="G161" i="9"/>
  <c r="H161" i="9"/>
  <c r="L161" i="9"/>
  <c r="C162" i="9"/>
  <c r="D162" i="9" s="1"/>
  <c r="E162" i="9"/>
  <c r="H162" i="9"/>
  <c r="L162" i="9"/>
  <c r="C163" i="9"/>
  <c r="D163" i="9" s="1"/>
  <c r="E163" i="9"/>
  <c r="G163" i="9"/>
  <c r="H163" i="9"/>
  <c r="L163" i="9"/>
  <c r="C164" i="9"/>
  <c r="D164" i="9" s="1"/>
  <c r="E164" i="9"/>
  <c r="G164" i="9"/>
  <c r="H164" i="9"/>
  <c r="L164" i="9"/>
  <c r="C165" i="9"/>
  <c r="D165" i="9" s="1"/>
  <c r="E165" i="9"/>
  <c r="H165" i="9"/>
  <c r="L165" i="9"/>
  <c r="C166" i="9"/>
  <c r="D166" i="9" s="1"/>
  <c r="E166" i="9"/>
  <c r="H166" i="9"/>
  <c r="L166" i="9"/>
  <c r="C167" i="9"/>
  <c r="D167" i="9" s="1"/>
  <c r="E167" i="9"/>
  <c r="G167" i="9"/>
  <c r="H167" i="9"/>
  <c r="L167" i="9"/>
  <c r="C168" i="9"/>
  <c r="D168" i="9" s="1"/>
  <c r="E168" i="9"/>
  <c r="H168" i="9"/>
  <c r="L168" i="9"/>
  <c r="C169" i="9"/>
  <c r="D169" i="9" s="1"/>
  <c r="E169" i="9"/>
  <c r="G169" i="9"/>
  <c r="H169" i="9"/>
  <c r="L169" i="9"/>
  <c r="C170" i="9"/>
  <c r="D170" i="9" s="1"/>
  <c r="E170" i="9"/>
  <c r="G170" i="9"/>
  <c r="H170" i="9"/>
  <c r="L170" i="9"/>
  <c r="C171" i="9"/>
  <c r="D171" i="9" s="1"/>
  <c r="E171" i="9"/>
  <c r="H171" i="9"/>
  <c r="L171" i="9"/>
  <c r="C172" i="9"/>
  <c r="D172" i="9" s="1"/>
  <c r="E172" i="9"/>
  <c r="G172" i="9"/>
  <c r="H172" i="9"/>
  <c r="L172" i="9"/>
  <c r="C173" i="9"/>
  <c r="D173" i="9" s="1"/>
  <c r="E173" i="9"/>
  <c r="H173" i="9"/>
  <c r="L173" i="9"/>
  <c r="C174" i="9"/>
  <c r="D174" i="9" s="1"/>
  <c r="E174" i="9"/>
  <c r="H174" i="9"/>
  <c r="L174" i="9"/>
  <c r="C175" i="9"/>
  <c r="D175" i="9" s="1"/>
  <c r="E175" i="9"/>
  <c r="G175" i="9" s="1"/>
  <c r="H175" i="9"/>
  <c r="L175" i="9"/>
  <c r="C176" i="9"/>
  <c r="D176" i="9" s="1"/>
  <c r="E176" i="9"/>
  <c r="G176" i="9"/>
  <c r="H176" i="9"/>
  <c r="L176" i="9"/>
  <c r="C177" i="9"/>
  <c r="D177" i="9" s="1"/>
  <c r="E177" i="9"/>
  <c r="H177" i="9"/>
  <c r="L177" i="9"/>
  <c r="C178" i="9"/>
  <c r="D178" i="9" s="1"/>
  <c r="E178" i="9"/>
  <c r="G178" i="9" s="1"/>
  <c r="H178" i="9"/>
  <c r="L178" i="9"/>
  <c r="C179" i="9"/>
  <c r="D179" i="9" s="1"/>
  <c r="E179" i="9"/>
  <c r="G179" i="9" s="1"/>
  <c r="H179" i="9"/>
  <c r="L179" i="9"/>
  <c r="C180" i="9"/>
  <c r="D180" i="9" s="1"/>
  <c r="E180" i="9"/>
  <c r="H180" i="9"/>
  <c r="L180" i="9"/>
  <c r="C181" i="9"/>
  <c r="D181" i="9" s="1"/>
  <c r="E181" i="9"/>
  <c r="G181" i="9" s="1"/>
  <c r="H181" i="9"/>
  <c r="L181" i="9"/>
  <c r="C182" i="9"/>
  <c r="D182" i="9" s="1"/>
  <c r="E182" i="9"/>
  <c r="H182" i="9"/>
  <c r="L182" i="9"/>
  <c r="C183" i="9"/>
  <c r="D183" i="9" s="1"/>
  <c r="E183" i="9"/>
  <c r="H183" i="9"/>
  <c r="L183" i="9"/>
  <c r="C184" i="9"/>
  <c r="D184" i="9" s="1"/>
  <c r="E184" i="9"/>
  <c r="H184" i="9"/>
  <c r="L184" i="9"/>
  <c r="C185" i="9"/>
  <c r="D185" i="9" s="1"/>
  <c r="E185" i="9"/>
  <c r="G185" i="9" s="1"/>
  <c r="H185" i="9"/>
  <c r="L185" i="9"/>
  <c r="C186" i="9"/>
  <c r="D186" i="9" s="1"/>
  <c r="E186" i="9"/>
  <c r="H186" i="9"/>
  <c r="L186" i="9"/>
  <c r="C187" i="9"/>
  <c r="D187" i="9" s="1"/>
  <c r="E187" i="9"/>
  <c r="G187" i="9" s="1"/>
  <c r="H187" i="9"/>
  <c r="L187" i="9"/>
  <c r="C188" i="9"/>
  <c r="D188" i="9" s="1"/>
  <c r="E188" i="9"/>
  <c r="G188" i="9" s="1"/>
  <c r="H188" i="9"/>
  <c r="L188" i="9"/>
  <c r="C189" i="9"/>
  <c r="D189" i="9" s="1"/>
  <c r="E189" i="9"/>
  <c r="H189" i="9"/>
  <c r="L189" i="9"/>
  <c r="C190" i="9"/>
  <c r="D190" i="9" s="1"/>
  <c r="E190" i="9"/>
  <c r="H190" i="9"/>
  <c r="L190" i="9"/>
  <c r="C191" i="9"/>
  <c r="D191" i="9" s="1"/>
  <c r="E191" i="9"/>
  <c r="G191" i="9"/>
  <c r="H191" i="9"/>
  <c r="L191" i="9"/>
  <c r="C192" i="9"/>
  <c r="D192" i="9"/>
  <c r="E192" i="9"/>
  <c r="H192" i="9"/>
  <c r="L192" i="9"/>
  <c r="C193" i="9"/>
  <c r="D193" i="9" s="1"/>
  <c r="E193" i="9"/>
  <c r="G193" i="9"/>
  <c r="H193" i="9"/>
  <c r="L193" i="9"/>
  <c r="C194" i="9"/>
  <c r="D194" i="9" s="1"/>
  <c r="E194" i="9"/>
  <c r="H194" i="9"/>
  <c r="L194" i="9"/>
  <c r="C195" i="9"/>
  <c r="D195" i="9"/>
  <c r="E195" i="9"/>
  <c r="H195" i="9"/>
  <c r="L195" i="9"/>
  <c r="C196" i="9"/>
  <c r="D196" i="9" s="1"/>
  <c r="E196" i="9"/>
  <c r="G196" i="9"/>
  <c r="H196" i="9"/>
  <c r="L196" i="9"/>
  <c r="C197" i="9"/>
  <c r="D197" i="9" s="1"/>
  <c r="E197" i="9"/>
  <c r="G197" i="9"/>
  <c r="H197" i="9"/>
  <c r="L197" i="9"/>
  <c r="C198" i="9"/>
  <c r="E198" i="9"/>
  <c r="H198" i="9"/>
  <c r="L198" i="9"/>
  <c r="C199" i="9"/>
  <c r="D199" i="9" s="1"/>
  <c r="E199" i="9"/>
  <c r="G199" i="9" s="1"/>
  <c r="H199" i="9"/>
  <c r="L199" i="9"/>
  <c r="C200" i="9"/>
  <c r="D200" i="9" s="1"/>
  <c r="E200" i="9"/>
  <c r="G200" i="9" s="1"/>
  <c r="H200" i="9"/>
  <c r="L200" i="9"/>
  <c r="C201" i="9"/>
  <c r="D201" i="9"/>
  <c r="E201" i="9"/>
  <c r="H201" i="9"/>
  <c r="L201" i="9"/>
  <c r="C202" i="9"/>
  <c r="D202" i="9" s="1"/>
  <c r="E202" i="9"/>
  <c r="G202" i="9" s="1"/>
  <c r="H202" i="9"/>
  <c r="L202" i="9"/>
  <c r="C203" i="9"/>
  <c r="D203" i="9" s="1"/>
  <c r="E203" i="9"/>
  <c r="G203" i="9" s="1"/>
  <c r="H203" i="9"/>
  <c r="L203" i="9"/>
  <c r="C204" i="9"/>
  <c r="D204" i="9" s="1"/>
  <c r="E204" i="9"/>
  <c r="H204" i="9"/>
  <c r="L204" i="9"/>
  <c r="C205" i="9"/>
  <c r="D205" i="9" s="1"/>
  <c r="E205" i="9"/>
  <c r="G205" i="9"/>
  <c r="H205" i="9"/>
  <c r="L205" i="9"/>
  <c r="C206" i="9"/>
  <c r="D206" i="9" s="1"/>
  <c r="E206" i="9"/>
  <c r="G206" i="9"/>
  <c r="H206" i="9"/>
  <c r="L206" i="9"/>
  <c r="C207" i="9"/>
  <c r="D207" i="9"/>
  <c r="E207" i="9"/>
  <c r="H207" i="9"/>
  <c r="L207" i="9"/>
  <c r="C208" i="9"/>
  <c r="D208" i="9"/>
  <c r="E208" i="9"/>
  <c r="F208" i="9" s="1"/>
  <c r="H208" i="9"/>
  <c r="L208" i="9"/>
  <c r="C209" i="9"/>
  <c r="D209" i="9" s="1"/>
  <c r="E209" i="9"/>
  <c r="G209" i="9" s="1"/>
  <c r="H209" i="9"/>
  <c r="L209" i="9"/>
  <c r="C210" i="9"/>
  <c r="D210" i="9" s="1"/>
  <c r="E210" i="9"/>
  <c r="H210" i="9"/>
  <c r="L210" i="9"/>
  <c r="C211" i="9"/>
  <c r="D211" i="9" s="1"/>
  <c r="E211" i="9"/>
  <c r="F211" i="9" s="1"/>
  <c r="H211" i="9"/>
  <c r="L211" i="9"/>
  <c r="C212" i="9"/>
  <c r="D212" i="9" s="1"/>
  <c r="E212" i="9"/>
  <c r="G212" i="9" s="1"/>
  <c r="H212" i="9"/>
  <c r="L212" i="9"/>
  <c r="C213" i="9"/>
  <c r="D213" i="9"/>
  <c r="E213" i="9"/>
  <c r="H213" i="9"/>
  <c r="L213" i="9"/>
  <c r="C214" i="9"/>
  <c r="D214" i="9"/>
  <c r="E214" i="9"/>
  <c r="F214" i="9" s="1"/>
  <c r="H214" i="9"/>
  <c r="L214" i="9"/>
  <c r="C215" i="9"/>
  <c r="D215" i="9" s="1"/>
  <c r="E215" i="9"/>
  <c r="F215" i="9"/>
  <c r="G215" i="9"/>
  <c r="H215" i="9"/>
  <c r="L215" i="9"/>
  <c r="C216" i="9"/>
  <c r="D216" i="9"/>
  <c r="E216" i="9"/>
  <c r="H216" i="9"/>
  <c r="L216" i="9"/>
  <c r="C217" i="9"/>
  <c r="D217" i="9"/>
  <c r="E217" i="9"/>
  <c r="G217" i="9" s="1"/>
  <c r="H217" i="9"/>
  <c r="L217" i="9"/>
  <c r="C218" i="9"/>
  <c r="D218" i="9" s="1"/>
  <c r="E218" i="9"/>
  <c r="F218" i="9"/>
  <c r="G218" i="9"/>
  <c r="H218" i="9"/>
  <c r="L218" i="9"/>
  <c r="C219" i="9"/>
  <c r="D219" i="9" s="1"/>
  <c r="E219" i="9"/>
  <c r="H219" i="9"/>
  <c r="L219" i="9"/>
  <c r="C220" i="9"/>
  <c r="D220" i="9"/>
  <c r="E220" i="9"/>
  <c r="H220" i="9"/>
  <c r="L220" i="9"/>
  <c r="C221" i="9"/>
  <c r="D221" i="9" s="1"/>
  <c r="E221" i="9"/>
  <c r="H221" i="9"/>
  <c r="L221" i="9"/>
  <c r="C222" i="9"/>
  <c r="D222" i="9" s="1"/>
  <c r="E222" i="9"/>
  <c r="H222" i="9"/>
  <c r="L222" i="9"/>
  <c r="C223" i="9"/>
  <c r="D223" i="9"/>
  <c r="E223" i="9"/>
  <c r="F223" i="9"/>
  <c r="G223" i="9"/>
  <c r="H223" i="9"/>
  <c r="L223" i="9"/>
  <c r="C224" i="9"/>
  <c r="D224" i="9" s="1"/>
  <c r="E224" i="9"/>
  <c r="F224" i="9" s="1"/>
  <c r="H224" i="9"/>
  <c r="L224" i="9"/>
  <c r="C225" i="9"/>
  <c r="D225" i="9" s="1"/>
  <c r="E225" i="9"/>
  <c r="H225" i="9"/>
  <c r="L225" i="9"/>
  <c r="C226" i="9"/>
  <c r="D226" i="9" s="1"/>
  <c r="E226" i="9"/>
  <c r="G226" i="9"/>
  <c r="H226" i="9"/>
  <c r="L226" i="9"/>
  <c r="C227" i="9"/>
  <c r="D227" i="9" s="1"/>
  <c r="E227" i="9"/>
  <c r="G227" i="9"/>
  <c r="H227" i="9"/>
  <c r="L227" i="9"/>
  <c r="C228" i="9"/>
  <c r="D228" i="9" s="1"/>
  <c r="E228" i="9"/>
  <c r="H228" i="9"/>
  <c r="L228" i="9"/>
  <c r="C229" i="9"/>
  <c r="D229" i="9" s="1"/>
  <c r="E229" i="9"/>
  <c r="G229" i="9" s="1"/>
  <c r="H229" i="9"/>
  <c r="L229" i="9"/>
  <c r="C230" i="9"/>
  <c r="D230" i="9" s="1"/>
  <c r="E230" i="9"/>
  <c r="G230" i="9"/>
  <c r="H230" i="9"/>
  <c r="L230" i="9"/>
  <c r="C231" i="9"/>
  <c r="D231" i="9" s="1"/>
  <c r="E231" i="9"/>
  <c r="H231" i="9"/>
  <c r="L231" i="9"/>
  <c r="C232" i="9"/>
  <c r="D232" i="9" s="1"/>
  <c r="E232" i="9"/>
  <c r="F232" i="9" s="1"/>
  <c r="F233" i="9" s="1"/>
  <c r="H232" i="9"/>
  <c r="L232" i="9"/>
  <c r="C233" i="9"/>
  <c r="D233" i="9" s="1"/>
  <c r="E233" i="9"/>
  <c r="G233" i="9"/>
  <c r="H233" i="9"/>
  <c r="L233" i="9"/>
  <c r="C234" i="9"/>
  <c r="D234" i="9"/>
  <c r="E234" i="9"/>
  <c r="H234" i="9"/>
  <c r="L234" i="9"/>
  <c r="C235" i="9"/>
  <c r="D235" i="9" s="1"/>
  <c r="E235" i="9"/>
  <c r="G235" i="9" s="1"/>
  <c r="H235" i="9"/>
  <c r="L235" i="9"/>
  <c r="C236" i="9"/>
  <c r="D236" i="9" s="1"/>
  <c r="E236" i="9"/>
  <c r="G236" i="9" s="1"/>
  <c r="H236" i="9"/>
  <c r="L236" i="9"/>
  <c r="C237" i="9"/>
  <c r="D237" i="9"/>
  <c r="E237" i="9"/>
  <c r="H237" i="9"/>
  <c r="L237" i="9"/>
  <c r="C238" i="9"/>
  <c r="D238" i="9"/>
  <c r="E238" i="9"/>
  <c r="G238" i="9"/>
  <c r="H238" i="9"/>
  <c r="L238" i="9"/>
  <c r="C239" i="9"/>
  <c r="D239" i="9" s="1"/>
  <c r="E239" i="9"/>
  <c r="H239" i="9"/>
  <c r="L239" i="9"/>
  <c r="C240" i="9"/>
  <c r="D240" i="9" s="1"/>
  <c r="E240" i="9"/>
  <c r="H240" i="9"/>
  <c r="L240" i="9"/>
  <c r="C241" i="9"/>
  <c r="E241" i="9"/>
  <c r="H241" i="9"/>
  <c r="L241" i="9"/>
  <c r="C242" i="9"/>
  <c r="D242" i="9" s="1"/>
  <c r="E242" i="9"/>
  <c r="G242" i="9" s="1"/>
  <c r="H242" i="9"/>
  <c r="L242" i="9"/>
  <c r="C243" i="9"/>
  <c r="D243" i="9"/>
  <c r="E243" i="9"/>
  <c r="H243" i="9"/>
  <c r="L243" i="9"/>
  <c r="C244" i="9"/>
  <c r="E244" i="9"/>
  <c r="G244" i="9" s="1"/>
  <c r="H244" i="9"/>
  <c r="L244" i="9"/>
  <c r="C245" i="9"/>
  <c r="D245" i="9" s="1"/>
  <c r="E245" i="9"/>
  <c r="G245" i="9" s="1"/>
  <c r="H245" i="9"/>
  <c r="L245" i="9"/>
  <c r="C246" i="9"/>
  <c r="D246" i="9" s="1"/>
  <c r="E246" i="9"/>
  <c r="G246" i="9" s="1"/>
  <c r="H246" i="9"/>
  <c r="L246" i="9"/>
  <c r="C247" i="9"/>
  <c r="D247" i="9" s="1"/>
  <c r="E247" i="9"/>
  <c r="H247" i="9"/>
  <c r="L247" i="9"/>
  <c r="C248" i="9"/>
  <c r="D248" i="9" s="1"/>
  <c r="E248" i="9"/>
  <c r="G248" i="9" s="1"/>
  <c r="H248" i="9"/>
  <c r="L248" i="9"/>
  <c r="C249" i="9"/>
  <c r="D249" i="9"/>
  <c r="E249" i="9"/>
  <c r="G249" i="9" s="1"/>
  <c r="H249" i="9"/>
  <c r="L249" i="9"/>
  <c r="C250" i="9"/>
  <c r="D250" i="9"/>
  <c r="E250" i="9"/>
  <c r="H250" i="9"/>
  <c r="L250" i="9"/>
  <c r="C251" i="9"/>
  <c r="D251" i="9" s="1"/>
  <c r="E251" i="9"/>
  <c r="G251" i="9"/>
  <c r="H251" i="9"/>
  <c r="L251" i="9"/>
  <c r="C252" i="9"/>
  <c r="D252" i="9" s="1"/>
  <c r="E252" i="9"/>
  <c r="G252" i="9" s="1"/>
  <c r="H252" i="9"/>
  <c r="L252" i="9"/>
  <c r="C253" i="9"/>
  <c r="D253" i="9"/>
  <c r="E253" i="9"/>
  <c r="G253" i="9"/>
  <c r="H253" i="9"/>
  <c r="L253" i="9"/>
  <c r="C254" i="9"/>
  <c r="D254" i="9" s="1"/>
  <c r="E254" i="9"/>
  <c r="G254" i="9" s="1"/>
  <c r="H254" i="9"/>
  <c r="L254" i="9"/>
  <c r="C255" i="9"/>
  <c r="D255" i="9"/>
  <c r="E255" i="9"/>
  <c r="G255" i="9" s="1"/>
  <c r="H255" i="9"/>
  <c r="L255" i="9"/>
  <c r="C256" i="9"/>
  <c r="D256" i="9" s="1"/>
  <c r="E256" i="9"/>
  <c r="G256" i="9" s="1"/>
  <c r="H256" i="9"/>
  <c r="L256" i="9"/>
  <c r="C257" i="9"/>
  <c r="D257" i="9"/>
  <c r="E257" i="9"/>
  <c r="G257" i="9"/>
  <c r="H257" i="9"/>
  <c r="L257" i="9"/>
  <c r="C258" i="9"/>
  <c r="D258" i="9"/>
  <c r="E258" i="9"/>
  <c r="G258" i="9"/>
  <c r="H258" i="9"/>
  <c r="L258" i="9"/>
  <c r="C259" i="9"/>
  <c r="D259" i="9"/>
  <c r="E259" i="9"/>
  <c r="G259" i="9" s="1"/>
  <c r="H259" i="9"/>
  <c r="L259" i="9"/>
  <c r="C260" i="9"/>
  <c r="D260" i="9" s="1"/>
  <c r="E260" i="9"/>
  <c r="G260" i="9" s="1"/>
  <c r="H260" i="9"/>
  <c r="L260" i="9"/>
  <c r="C261" i="9"/>
  <c r="D261" i="9" s="1"/>
  <c r="E261" i="9"/>
  <c r="H261" i="9"/>
  <c r="L261" i="9"/>
  <c r="C262" i="9"/>
  <c r="D262" i="9" s="1"/>
  <c r="E262" i="9"/>
  <c r="G262" i="9" s="1"/>
  <c r="H262" i="9"/>
  <c r="L262" i="9"/>
  <c r="C263" i="9"/>
  <c r="D263" i="9"/>
  <c r="E263" i="9"/>
  <c r="G263" i="9"/>
  <c r="H263" i="9"/>
  <c r="L263" i="9"/>
  <c r="C264" i="9"/>
  <c r="D264" i="9"/>
  <c r="E264" i="9"/>
  <c r="G264" i="9" s="1"/>
  <c r="H264" i="9"/>
  <c r="L264" i="9"/>
  <c r="C265" i="9"/>
  <c r="D265" i="9"/>
  <c r="E265" i="9"/>
  <c r="G265" i="9" s="1"/>
  <c r="H265" i="9"/>
  <c r="L265" i="9"/>
  <c r="C266" i="9"/>
  <c r="D266" i="9" s="1"/>
  <c r="E266" i="9"/>
  <c r="H266" i="9"/>
  <c r="L266" i="9"/>
  <c r="C267" i="9"/>
  <c r="E267" i="9"/>
  <c r="H267" i="9"/>
  <c r="L267" i="9"/>
  <c r="C268" i="9"/>
  <c r="D268" i="9"/>
  <c r="E268" i="9"/>
  <c r="G268" i="9" s="1"/>
  <c r="H268" i="9"/>
  <c r="L268" i="9"/>
  <c r="C269" i="9"/>
  <c r="D269" i="9"/>
  <c r="E269" i="9"/>
  <c r="G269" i="9"/>
  <c r="H269" i="9"/>
  <c r="L269" i="9"/>
  <c r="C270" i="9"/>
  <c r="E270" i="9"/>
  <c r="G270" i="9"/>
  <c r="H270" i="9"/>
  <c r="L270" i="9"/>
  <c r="C271" i="9"/>
  <c r="D271" i="9" s="1"/>
  <c r="E271" i="9"/>
  <c r="G271" i="9" s="1"/>
  <c r="H271" i="9"/>
  <c r="L271" i="9"/>
  <c r="C272" i="9"/>
  <c r="D272" i="9"/>
  <c r="E272" i="9"/>
  <c r="H272" i="9"/>
  <c r="L272" i="9"/>
  <c r="C273" i="9"/>
  <c r="D273" i="9"/>
  <c r="E273" i="9"/>
  <c r="H273" i="9"/>
  <c r="L273" i="9"/>
  <c r="C274" i="9"/>
  <c r="D274" i="9"/>
  <c r="E274" i="9"/>
  <c r="G274" i="9" s="1"/>
  <c r="H274" i="9"/>
  <c r="L274" i="9"/>
  <c r="C275" i="9"/>
  <c r="D275" i="9" s="1"/>
  <c r="E275" i="9"/>
  <c r="G275" i="9" s="1"/>
  <c r="H275" i="9"/>
  <c r="L275" i="9"/>
  <c r="C276" i="9"/>
  <c r="E276" i="9"/>
  <c r="H276" i="9"/>
  <c r="L276" i="9"/>
  <c r="C277" i="9"/>
  <c r="D277" i="9"/>
  <c r="E277" i="9"/>
  <c r="G277" i="9" s="1"/>
  <c r="H277" i="9"/>
  <c r="L277" i="9"/>
  <c r="C278" i="9"/>
  <c r="D278" i="9" s="1"/>
  <c r="E278" i="9"/>
  <c r="G278" i="9"/>
  <c r="H278" i="9"/>
  <c r="L278" i="9"/>
  <c r="C279" i="9"/>
  <c r="D279" i="9"/>
  <c r="E279" i="9"/>
  <c r="G279" i="9"/>
  <c r="H279" i="9"/>
  <c r="L279" i="9"/>
  <c r="C280" i="9"/>
  <c r="D280" i="9" s="1"/>
  <c r="E280" i="9"/>
  <c r="G280" i="9" s="1"/>
  <c r="H280" i="9"/>
  <c r="L280" i="9"/>
  <c r="C281" i="9"/>
  <c r="D281" i="9"/>
  <c r="E281" i="9"/>
  <c r="G281" i="9"/>
  <c r="H281" i="9"/>
  <c r="L281" i="9"/>
  <c r="C282" i="9"/>
  <c r="D282" i="9"/>
  <c r="E282" i="9"/>
  <c r="G282" i="9"/>
  <c r="H282" i="9"/>
  <c r="L282" i="9"/>
  <c r="C283" i="9"/>
  <c r="D283" i="9"/>
  <c r="E283" i="9"/>
  <c r="G283" i="9" s="1"/>
  <c r="H283" i="9"/>
  <c r="L283" i="9"/>
  <c r="C284" i="9"/>
  <c r="D284" i="9" s="1"/>
  <c r="E284" i="9"/>
  <c r="H284" i="9"/>
  <c r="L284" i="9"/>
  <c r="C285" i="9"/>
  <c r="D285" i="9" s="1"/>
  <c r="E285" i="9"/>
  <c r="G285" i="9" s="1"/>
  <c r="H285" i="9"/>
  <c r="L285" i="9"/>
  <c r="C286" i="9"/>
  <c r="D286" i="9" s="1"/>
  <c r="E286" i="9"/>
  <c r="G286" i="9" s="1"/>
  <c r="H286" i="9"/>
  <c r="L286" i="9"/>
  <c r="C287" i="9"/>
  <c r="D287" i="9"/>
  <c r="E287" i="9"/>
  <c r="G287" i="9" s="1"/>
  <c r="H287" i="9"/>
  <c r="L287" i="9"/>
  <c r="C288" i="9"/>
  <c r="D288" i="9"/>
  <c r="E288" i="9"/>
  <c r="G288" i="9"/>
  <c r="H288" i="9"/>
  <c r="L288" i="9"/>
  <c r="C289" i="9"/>
  <c r="D289" i="9"/>
  <c r="E289" i="9"/>
  <c r="G289" i="9" s="1"/>
  <c r="H289" i="9"/>
  <c r="L289" i="9"/>
  <c r="C290" i="9"/>
  <c r="D290" i="9"/>
  <c r="E290" i="9"/>
  <c r="H290" i="9"/>
  <c r="L290" i="9"/>
  <c r="C291" i="9"/>
  <c r="D291" i="9" s="1"/>
  <c r="E291" i="9"/>
  <c r="H291" i="9"/>
  <c r="L291" i="9"/>
  <c r="C292" i="9"/>
  <c r="E292" i="9"/>
  <c r="G292" i="9" s="1"/>
  <c r="H292" i="9"/>
  <c r="L292" i="9"/>
  <c r="C293" i="9"/>
  <c r="D293" i="9" s="1"/>
  <c r="E293" i="9"/>
  <c r="G293" i="9" s="1"/>
  <c r="H293" i="9"/>
  <c r="L293" i="9"/>
  <c r="C294" i="9"/>
  <c r="D294" i="9"/>
  <c r="E294" i="9"/>
  <c r="G294" i="9"/>
  <c r="H294" i="9"/>
  <c r="L294" i="9"/>
  <c r="C295" i="9"/>
  <c r="E295" i="9"/>
  <c r="G295" i="9" s="1"/>
  <c r="H295" i="9"/>
  <c r="L295" i="9"/>
  <c r="C296" i="9"/>
  <c r="D296" i="9"/>
  <c r="E296" i="9"/>
  <c r="G296" i="9"/>
  <c r="H296" i="9"/>
  <c r="L296" i="9"/>
  <c r="C297" i="9"/>
  <c r="D297" i="9"/>
  <c r="E297" i="9"/>
  <c r="H297" i="9"/>
  <c r="L297" i="9"/>
  <c r="C298" i="9"/>
  <c r="D298" i="9"/>
  <c r="E298" i="9"/>
  <c r="G298" i="9" s="1"/>
  <c r="H298" i="9"/>
  <c r="L298" i="9"/>
  <c r="C299" i="9"/>
  <c r="D299" i="9"/>
  <c r="E299" i="9"/>
  <c r="H299" i="9"/>
  <c r="L299" i="9"/>
  <c r="C300" i="9"/>
  <c r="D300" i="9" s="1"/>
  <c r="E300" i="9"/>
  <c r="G300" i="9" s="1"/>
  <c r="H300" i="9"/>
  <c r="L300" i="9"/>
  <c r="C301" i="9"/>
  <c r="D301" i="9" s="1"/>
  <c r="E301" i="9"/>
  <c r="G301" i="9" s="1"/>
  <c r="H301" i="9"/>
  <c r="L301" i="9"/>
  <c r="C302" i="9"/>
  <c r="D302" i="9" s="1"/>
  <c r="E302" i="9"/>
  <c r="G302" i="9" s="1"/>
  <c r="H302" i="9"/>
  <c r="L302" i="9"/>
  <c r="C303" i="9"/>
  <c r="D303" i="9" s="1"/>
  <c r="E303" i="9"/>
  <c r="G303" i="9"/>
  <c r="H303" i="9"/>
  <c r="L303" i="9"/>
  <c r="C304" i="9"/>
  <c r="D304" i="9"/>
  <c r="E304" i="9"/>
  <c r="G304" i="9" s="1"/>
  <c r="H304" i="9"/>
  <c r="L304" i="9"/>
  <c r="C305" i="9"/>
  <c r="D305" i="9"/>
  <c r="E305" i="9"/>
  <c r="G305" i="9"/>
  <c r="H305" i="9"/>
  <c r="L305" i="9"/>
  <c r="C306" i="9"/>
  <c r="D306" i="9"/>
  <c r="E306" i="9"/>
  <c r="G306" i="9"/>
  <c r="H306" i="9"/>
  <c r="L306" i="9"/>
  <c r="C307" i="9"/>
  <c r="D307" i="9"/>
  <c r="E307" i="9"/>
  <c r="G307" i="9" s="1"/>
  <c r="H307" i="9"/>
  <c r="L307" i="9"/>
  <c r="C308" i="9"/>
  <c r="D308" i="9" s="1"/>
  <c r="E308" i="9"/>
  <c r="H308" i="9"/>
  <c r="L308" i="9"/>
  <c r="C309" i="9"/>
  <c r="D309" i="9" s="1"/>
  <c r="E309" i="9"/>
  <c r="H309" i="9"/>
  <c r="L309" i="9"/>
  <c r="C310" i="9"/>
  <c r="D310" i="9" s="1"/>
  <c r="E310" i="9"/>
  <c r="G310" i="9" s="1"/>
  <c r="H310" i="9"/>
  <c r="L310" i="9"/>
  <c r="C311" i="9"/>
  <c r="D311" i="9"/>
  <c r="E311" i="9"/>
  <c r="G311" i="9" s="1"/>
  <c r="H311" i="9"/>
  <c r="L311" i="9"/>
  <c r="C312" i="9"/>
  <c r="D312" i="9"/>
  <c r="E312" i="9"/>
  <c r="G312" i="9" s="1"/>
  <c r="H312" i="9"/>
  <c r="L312" i="9"/>
  <c r="C313" i="9"/>
  <c r="D313" i="9"/>
  <c r="E313" i="9"/>
  <c r="G313" i="9" s="1"/>
  <c r="H313" i="9"/>
  <c r="L313" i="9"/>
  <c r="C314" i="9"/>
  <c r="E314" i="9"/>
  <c r="H314" i="9"/>
  <c r="L314" i="9"/>
  <c r="C315" i="9"/>
  <c r="D315" i="9"/>
  <c r="E315" i="9"/>
  <c r="H315" i="9"/>
  <c r="L315" i="9"/>
  <c r="C316" i="9"/>
  <c r="D316" i="9" s="1"/>
  <c r="E316" i="9"/>
  <c r="G316" i="9" s="1"/>
  <c r="H316" i="9"/>
  <c r="L316" i="9"/>
  <c r="C317" i="9"/>
  <c r="E317" i="9"/>
  <c r="G317" i="9"/>
  <c r="H317" i="9"/>
  <c r="L317" i="9"/>
  <c r="C318" i="9"/>
  <c r="D318" i="9" s="1"/>
  <c r="E318" i="9"/>
  <c r="G318" i="9" s="1"/>
  <c r="H318" i="9"/>
  <c r="L318" i="9"/>
  <c r="C319" i="9"/>
  <c r="D319" i="9"/>
  <c r="E319" i="9"/>
  <c r="G319" i="9" s="1"/>
  <c r="H319" i="9"/>
  <c r="L319" i="9"/>
  <c r="C320" i="9"/>
  <c r="D320" i="9"/>
  <c r="E320" i="9"/>
  <c r="H320" i="9"/>
  <c r="L320" i="9"/>
  <c r="C321" i="9"/>
  <c r="D321" i="9"/>
  <c r="E321" i="9"/>
  <c r="G321" i="9"/>
  <c r="H321" i="9"/>
  <c r="L321" i="9"/>
  <c r="C322" i="9"/>
  <c r="D322" i="9"/>
  <c r="E322" i="9"/>
  <c r="G322" i="9" s="1"/>
  <c r="H322" i="9"/>
  <c r="L322" i="9"/>
  <c r="C323" i="9"/>
  <c r="E323" i="9"/>
  <c r="H323" i="9"/>
  <c r="L323" i="9"/>
  <c r="C324" i="9"/>
  <c r="D324" i="9"/>
  <c r="E324" i="9"/>
  <c r="H324" i="9"/>
  <c r="L324" i="9"/>
  <c r="C325" i="9"/>
  <c r="D325" i="9" s="1"/>
  <c r="E325" i="9"/>
  <c r="G325" i="9" s="1"/>
  <c r="H325" i="9"/>
  <c r="L325" i="9"/>
  <c r="C326" i="9"/>
  <c r="D326" i="9"/>
  <c r="E326" i="9"/>
  <c r="G326" i="9"/>
  <c r="H326" i="9"/>
  <c r="L326" i="9"/>
  <c r="C327" i="9"/>
  <c r="D327" i="9" s="1"/>
  <c r="E327" i="9"/>
  <c r="G327" i="9" s="1"/>
  <c r="H327" i="9"/>
  <c r="L327" i="9"/>
  <c r="C328" i="9"/>
  <c r="D328" i="9" s="1"/>
  <c r="E328" i="9"/>
  <c r="G328" i="9" s="1"/>
  <c r="H328" i="9"/>
  <c r="L328" i="9"/>
  <c r="C329" i="9"/>
  <c r="D329" i="9" s="1"/>
  <c r="E329" i="9"/>
  <c r="G329" i="9"/>
  <c r="H329" i="9"/>
  <c r="L329" i="9"/>
  <c r="C330" i="9"/>
  <c r="D330" i="9"/>
  <c r="E330" i="9"/>
  <c r="G330" i="9"/>
  <c r="H330" i="9"/>
  <c r="L330" i="9"/>
  <c r="C331" i="9"/>
  <c r="D331" i="9"/>
  <c r="E331" i="9"/>
  <c r="G331" i="9" s="1"/>
  <c r="H331" i="9"/>
  <c r="L331" i="9"/>
  <c r="C332" i="9"/>
  <c r="D332" i="9" s="1"/>
  <c r="E332" i="9"/>
  <c r="G332" i="9" s="1"/>
  <c r="H332" i="9"/>
  <c r="L332" i="9"/>
  <c r="C333" i="9"/>
  <c r="D333" i="9" s="1"/>
  <c r="E333" i="9"/>
  <c r="H333" i="9"/>
  <c r="L333" i="9"/>
  <c r="C334" i="9"/>
  <c r="E334" i="9"/>
  <c r="G334" i="9" s="1"/>
  <c r="H334" i="9"/>
  <c r="L334" i="9"/>
  <c r="C335" i="9"/>
  <c r="D335" i="9"/>
  <c r="E335" i="9"/>
  <c r="H335" i="9"/>
  <c r="L335" i="9"/>
  <c r="C336" i="9"/>
  <c r="D336" i="9"/>
  <c r="E336" i="9"/>
  <c r="G336" i="9" s="1"/>
  <c r="H336" i="9"/>
  <c r="L336" i="9"/>
  <c r="C337" i="9"/>
  <c r="D337" i="9"/>
  <c r="E337" i="9"/>
  <c r="G337" i="9" s="1"/>
  <c r="H337" i="9"/>
  <c r="L337" i="9"/>
  <c r="C338" i="9"/>
  <c r="E338" i="9"/>
  <c r="H338" i="9"/>
  <c r="L338" i="9"/>
  <c r="C339" i="9"/>
  <c r="E339" i="9"/>
  <c r="H339" i="9"/>
  <c r="L339" i="9"/>
  <c r="C340" i="9"/>
  <c r="D340" i="9"/>
  <c r="E340" i="9"/>
  <c r="H340" i="9"/>
  <c r="L340" i="9"/>
  <c r="C341" i="9"/>
  <c r="D341" i="9"/>
  <c r="E341" i="9"/>
  <c r="G341" i="9"/>
  <c r="H341" i="9"/>
  <c r="L341" i="9"/>
  <c r="C342" i="9"/>
  <c r="D342" i="9"/>
  <c r="E342" i="9"/>
  <c r="G342" i="9" s="1"/>
  <c r="H342" i="9"/>
  <c r="L342" i="9"/>
  <c r="C343" i="9"/>
  <c r="E343" i="9"/>
  <c r="G343" i="9" s="1"/>
  <c r="H343" i="9"/>
  <c r="L343" i="9"/>
  <c r="C344" i="9"/>
  <c r="D344" i="9"/>
  <c r="E344" i="9"/>
  <c r="H344" i="9"/>
  <c r="L344" i="9"/>
  <c r="C345" i="9"/>
  <c r="D345" i="9"/>
  <c r="E345" i="9"/>
  <c r="H345" i="9"/>
  <c r="L345" i="9"/>
  <c r="C346" i="9"/>
  <c r="D346" i="9"/>
  <c r="E346" i="9"/>
  <c r="G346" i="9" s="1"/>
  <c r="H346" i="9"/>
  <c r="L346" i="9"/>
  <c r="C347" i="9"/>
  <c r="D347" i="9" s="1"/>
  <c r="E347" i="9"/>
  <c r="G347" i="9" s="1"/>
  <c r="H347" i="9"/>
  <c r="L347" i="9"/>
  <c r="C348" i="9"/>
  <c r="E348" i="9"/>
  <c r="G348" i="9" s="1"/>
  <c r="H348" i="9"/>
  <c r="L348" i="9"/>
  <c r="C349" i="9"/>
  <c r="D349" i="9"/>
  <c r="E349" i="9"/>
  <c r="H349" i="9"/>
  <c r="L349" i="9"/>
  <c r="C350" i="9"/>
  <c r="D350" i="9" s="1"/>
  <c r="E350" i="9"/>
  <c r="G350" i="9"/>
  <c r="H350" i="9"/>
  <c r="L350" i="9"/>
  <c r="C351" i="9"/>
  <c r="D351" i="9" s="1"/>
  <c r="E351" i="9"/>
  <c r="G351" i="9"/>
  <c r="H351" i="9"/>
  <c r="L351" i="9"/>
  <c r="C352" i="9"/>
  <c r="D352" i="9" s="1"/>
  <c r="E352" i="9"/>
  <c r="G352" i="9" s="1"/>
  <c r="H352" i="9"/>
  <c r="L352" i="9"/>
  <c r="C353" i="9"/>
  <c r="D353" i="9"/>
  <c r="E353" i="9"/>
  <c r="G353" i="9"/>
  <c r="H353" i="9"/>
  <c r="L353" i="9"/>
  <c r="C354" i="9"/>
  <c r="D354" i="9" s="1"/>
  <c r="E354" i="9"/>
  <c r="G354" i="9"/>
  <c r="H354" i="9"/>
  <c r="L354" i="9"/>
  <c r="C355" i="9"/>
  <c r="D355" i="9"/>
  <c r="E355" i="9"/>
  <c r="G355" i="9" s="1"/>
  <c r="H355" i="9"/>
  <c r="L355" i="9"/>
  <c r="C356" i="9"/>
  <c r="D356" i="9" s="1"/>
  <c r="E356" i="9"/>
  <c r="H356" i="9"/>
  <c r="L356" i="9"/>
  <c r="C357" i="9"/>
  <c r="D357" i="9" s="1"/>
  <c r="E357" i="9"/>
  <c r="H357" i="9"/>
  <c r="L357" i="9"/>
  <c r="C358" i="9"/>
  <c r="D358" i="9" s="1"/>
  <c r="E358" i="9"/>
  <c r="G358" i="9" s="1"/>
  <c r="H358" i="9"/>
  <c r="L358" i="9"/>
  <c r="C359" i="9"/>
  <c r="D359" i="9"/>
  <c r="E359" i="9"/>
  <c r="G359" i="9" s="1"/>
  <c r="H359" i="9"/>
  <c r="L359" i="9"/>
  <c r="C360" i="9"/>
  <c r="D360" i="9"/>
  <c r="E360" i="9"/>
  <c r="H360" i="9"/>
  <c r="L360" i="9"/>
  <c r="C361" i="9"/>
  <c r="D361" i="9"/>
  <c r="E361" i="9"/>
  <c r="G361" i="9" s="1"/>
  <c r="H361" i="9"/>
  <c r="L361" i="9"/>
  <c r="C362" i="9"/>
  <c r="D362" i="9"/>
  <c r="E362" i="9"/>
  <c r="H362" i="9"/>
  <c r="L362" i="9"/>
  <c r="C363" i="9"/>
  <c r="E363" i="9"/>
  <c r="H363" i="9"/>
  <c r="L363" i="9"/>
  <c r="C364" i="9"/>
  <c r="E364" i="9"/>
  <c r="G364" i="9" s="1"/>
  <c r="H364" i="9"/>
  <c r="L364" i="9"/>
  <c r="C365" i="9"/>
  <c r="E365" i="9"/>
  <c r="G365" i="9" s="1"/>
  <c r="H365" i="9"/>
  <c r="L365" i="9"/>
  <c r="C366" i="9"/>
  <c r="D366" i="9" s="1"/>
  <c r="E366" i="9"/>
  <c r="G366" i="9"/>
  <c r="H366" i="9"/>
  <c r="L366" i="9"/>
  <c r="C367" i="9"/>
  <c r="D367" i="9" s="1"/>
  <c r="E367" i="9"/>
  <c r="G367" i="9" s="1"/>
  <c r="H367" i="9"/>
  <c r="L367" i="9"/>
  <c r="C368" i="9"/>
  <c r="D368" i="9"/>
  <c r="E368" i="9"/>
  <c r="G368" i="9"/>
  <c r="H368" i="9"/>
  <c r="L368" i="9"/>
  <c r="C369" i="9"/>
  <c r="D369" i="9"/>
  <c r="E369" i="9"/>
  <c r="H369" i="9"/>
  <c r="L369" i="9"/>
  <c r="C370" i="9"/>
  <c r="D370" i="9"/>
  <c r="E370" i="9"/>
  <c r="H370" i="9"/>
  <c r="L370" i="9"/>
  <c r="C371" i="9"/>
  <c r="D371" i="9"/>
  <c r="E371" i="9"/>
  <c r="G371" i="9"/>
  <c r="H371" i="9"/>
  <c r="L371" i="9"/>
  <c r="C372" i="9"/>
  <c r="D372" i="9" s="1"/>
  <c r="E372" i="9"/>
  <c r="G372" i="9" s="1"/>
  <c r="H372" i="9"/>
  <c r="L372" i="9"/>
  <c r="C373" i="9"/>
  <c r="D373" i="9" s="1"/>
  <c r="E373" i="9"/>
  <c r="G373" i="9" s="1"/>
  <c r="H373" i="9"/>
  <c r="L373" i="9"/>
  <c r="C374" i="9"/>
  <c r="D374" i="9" s="1"/>
  <c r="E374" i="9"/>
  <c r="G374" i="9" s="1"/>
  <c r="H374" i="9"/>
  <c r="L374" i="9"/>
  <c r="C375" i="9"/>
  <c r="E375" i="9"/>
  <c r="G375" i="9"/>
  <c r="H375" i="9"/>
  <c r="L375" i="9"/>
  <c r="C376" i="9"/>
  <c r="D376" i="9" s="1"/>
  <c r="E376" i="9"/>
  <c r="G376" i="9" s="1"/>
  <c r="H376" i="9"/>
  <c r="L376" i="9"/>
  <c r="C377" i="9"/>
  <c r="D377" i="9"/>
  <c r="E377" i="9"/>
  <c r="G377" i="9"/>
  <c r="H377" i="9"/>
  <c r="L377" i="9"/>
  <c r="C378" i="9"/>
  <c r="D378" i="9"/>
  <c r="E378" i="9"/>
  <c r="G378" i="9"/>
  <c r="H378" i="9"/>
  <c r="L378" i="9"/>
  <c r="C379" i="9"/>
  <c r="D379" i="9" s="1"/>
  <c r="E379" i="9"/>
  <c r="G379" i="9" s="1"/>
  <c r="H379" i="9"/>
  <c r="L379" i="9"/>
  <c r="C380" i="9"/>
  <c r="E380" i="9"/>
  <c r="H380" i="9"/>
  <c r="L380" i="9"/>
  <c r="C381" i="9"/>
  <c r="D381" i="9" s="1"/>
  <c r="E381" i="9"/>
  <c r="H381" i="9"/>
  <c r="L381" i="9"/>
  <c r="C382" i="9"/>
  <c r="D382" i="9"/>
  <c r="E382" i="9"/>
  <c r="G382" i="9" s="1"/>
  <c r="H382" i="9"/>
  <c r="L382" i="9"/>
  <c r="C383" i="9"/>
  <c r="D383" i="9"/>
  <c r="E383" i="9"/>
  <c r="G383" i="9" s="1"/>
  <c r="H383" i="9"/>
  <c r="L383" i="9"/>
  <c r="C384" i="9"/>
  <c r="D384" i="9" s="1"/>
  <c r="E384" i="9"/>
  <c r="G384" i="9" s="1"/>
  <c r="H384" i="9"/>
  <c r="L384" i="9"/>
  <c r="C385" i="9"/>
  <c r="D385" i="9"/>
  <c r="E385" i="9"/>
  <c r="G385" i="9" s="1"/>
  <c r="H385" i="9"/>
  <c r="L385" i="9"/>
  <c r="C386" i="9"/>
  <c r="E386" i="9"/>
  <c r="H386" i="9"/>
  <c r="L386" i="9"/>
  <c r="C387" i="9"/>
  <c r="D387" i="9"/>
  <c r="E387" i="9"/>
  <c r="G387" i="9" s="1"/>
  <c r="H387" i="9"/>
  <c r="L387" i="9"/>
  <c r="C388" i="9"/>
  <c r="D388" i="9" s="1"/>
  <c r="E388" i="9"/>
  <c r="G388" i="9" s="1"/>
  <c r="H388" i="9"/>
  <c r="L388" i="9"/>
  <c r="C389" i="9"/>
  <c r="D389" i="9"/>
  <c r="E389" i="9"/>
  <c r="G389" i="9" s="1"/>
  <c r="H389" i="9"/>
  <c r="L389" i="9"/>
  <c r="C390" i="9"/>
  <c r="E390" i="9"/>
  <c r="G390" i="9" s="1"/>
  <c r="H390" i="9"/>
  <c r="L390" i="9"/>
  <c r="C391" i="9"/>
  <c r="D391" i="9"/>
  <c r="E391" i="9"/>
  <c r="G391" i="9" s="1"/>
  <c r="H391" i="9"/>
  <c r="L391" i="9"/>
  <c r="C392" i="9"/>
  <c r="D392" i="9"/>
  <c r="E392" i="9"/>
  <c r="G392" i="9"/>
  <c r="H392" i="9"/>
  <c r="L392" i="9"/>
  <c r="C393" i="9"/>
  <c r="D393" i="9"/>
  <c r="E393" i="9"/>
  <c r="G393" i="9"/>
  <c r="H393" i="9"/>
  <c r="L393" i="9"/>
  <c r="C394" i="9"/>
  <c r="D394" i="9"/>
  <c r="E394" i="9"/>
  <c r="H394" i="9"/>
  <c r="L394" i="9"/>
  <c r="C395" i="9"/>
  <c r="E395" i="9"/>
  <c r="G395" i="9" s="1"/>
  <c r="H395" i="9"/>
  <c r="L395" i="9"/>
  <c r="C396" i="9"/>
  <c r="D396" i="9"/>
  <c r="E396" i="9"/>
  <c r="G396" i="9"/>
  <c r="H396" i="9"/>
  <c r="L396" i="9"/>
  <c r="C397" i="9"/>
  <c r="D397" i="9" s="1"/>
  <c r="E397" i="9"/>
  <c r="G397" i="9" s="1"/>
  <c r="H397" i="9"/>
  <c r="L397" i="9"/>
  <c r="C398" i="9"/>
  <c r="E398" i="9"/>
  <c r="G398" i="9"/>
  <c r="H398" i="9"/>
  <c r="L398" i="9"/>
  <c r="C399" i="9"/>
  <c r="D399" i="9" s="1"/>
  <c r="E399" i="9"/>
  <c r="G399" i="9" s="1"/>
  <c r="H399" i="9"/>
  <c r="L399" i="9"/>
  <c r="C400" i="9"/>
  <c r="E400" i="9"/>
  <c r="G400" i="9" s="1"/>
  <c r="H400" i="9"/>
  <c r="L400" i="9"/>
  <c r="C401" i="9"/>
  <c r="D401" i="9"/>
  <c r="E401" i="9"/>
  <c r="G401" i="9"/>
  <c r="H401" i="9"/>
  <c r="L401" i="9"/>
  <c r="C402" i="9"/>
  <c r="D402" i="9"/>
  <c r="E402" i="9"/>
  <c r="G402" i="9"/>
  <c r="H402" i="9"/>
  <c r="L402" i="9"/>
  <c r="C403" i="9"/>
  <c r="D403" i="9" s="1"/>
  <c r="E403" i="9"/>
  <c r="G403" i="9" s="1"/>
  <c r="H403" i="9"/>
  <c r="L403" i="9"/>
  <c r="C404" i="9"/>
  <c r="D404" i="9"/>
  <c r="E404" i="9"/>
  <c r="G404" i="9" s="1"/>
  <c r="H404" i="9"/>
  <c r="L404" i="9"/>
  <c r="C405" i="9"/>
  <c r="E405" i="9"/>
  <c r="G405" i="9"/>
  <c r="H405" i="9"/>
  <c r="L405" i="9"/>
  <c r="C406" i="9"/>
  <c r="D406" i="9" s="1"/>
  <c r="E406" i="9"/>
  <c r="H406" i="9"/>
  <c r="L406" i="9"/>
  <c r="C407" i="9"/>
  <c r="D407" i="9"/>
  <c r="E407" i="9"/>
  <c r="G407" i="9"/>
  <c r="H407" i="9"/>
  <c r="L407" i="9"/>
  <c r="C408" i="9"/>
  <c r="D408" i="9"/>
  <c r="E408" i="9"/>
  <c r="G408" i="9" s="1"/>
  <c r="H408" i="9"/>
  <c r="L408" i="9"/>
  <c r="C409" i="9"/>
  <c r="D409" i="9" s="1"/>
  <c r="E409" i="9"/>
  <c r="G409" i="9" s="1"/>
  <c r="H409" i="9"/>
  <c r="L409" i="9"/>
  <c r="C410" i="9"/>
  <c r="D410" i="9" s="1"/>
  <c r="E410" i="9"/>
  <c r="H410" i="9"/>
  <c r="L410" i="9"/>
  <c r="C411" i="9"/>
  <c r="D411" i="9" s="1"/>
  <c r="E411" i="9"/>
  <c r="G411" i="9"/>
  <c r="H411" i="9"/>
  <c r="L411" i="9"/>
  <c r="C412" i="9"/>
  <c r="D412" i="9"/>
  <c r="E412" i="9"/>
  <c r="G412" i="9" s="1"/>
  <c r="H412" i="9"/>
  <c r="L412" i="9"/>
  <c r="C413" i="9"/>
  <c r="D413" i="9" s="1"/>
  <c r="E413" i="9"/>
  <c r="G413" i="9"/>
  <c r="H413" i="9"/>
  <c r="L413" i="9"/>
  <c r="C414" i="9"/>
  <c r="D414" i="9" s="1"/>
  <c r="E414" i="9"/>
  <c r="G414" i="9" s="1"/>
  <c r="H414" i="9"/>
  <c r="L414" i="9"/>
  <c r="C415" i="9"/>
  <c r="D415" i="9" s="1"/>
  <c r="E415" i="9"/>
  <c r="G415" i="9" s="1"/>
  <c r="H415" i="9"/>
  <c r="L415" i="9"/>
  <c r="C416" i="9"/>
  <c r="D416" i="9"/>
  <c r="E416" i="9"/>
  <c r="G416" i="9" s="1"/>
  <c r="H416" i="9"/>
  <c r="L416" i="9"/>
  <c r="C417" i="9"/>
  <c r="D417" i="9" s="1"/>
  <c r="E417" i="9"/>
  <c r="G417" i="9" s="1"/>
  <c r="H417" i="9"/>
  <c r="L417" i="9"/>
  <c r="C418" i="9"/>
  <c r="D418" i="9" s="1"/>
  <c r="E418" i="9"/>
  <c r="G418" i="9" s="1"/>
  <c r="H418" i="9"/>
  <c r="L418" i="9"/>
  <c r="C419" i="9"/>
  <c r="D419" i="9" s="1"/>
  <c r="E419" i="9"/>
  <c r="G419" i="9" s="1"/>
  <c r="H419" i="9"/>
  <c r="L419" i="9"/>
  <c r="C420" i="9"/>
  <c r="D420" i="9"/>
  <c r="E420" i="9"/>
  <c r="G420" i="9" s="1"/>
  <c r="H420" i="9"/>
  <c r="L420" i="9"/>
  <c r="C421" i="9"/>
  <c r="D421" i="9"/>
  <c r="E421" i="9"/>
  <c r="H421" i="9"/>
  <c r="L421" i="9"/>
  <c r="C422" i="9"/>
  <c r="D422" i="9" s="1"/>
  <c r="E422" i="9"/>
  <c r="G422" i="9"/>
  <c r="H422" i="9"/>
  <c r="L422" i="9"/>
  <c r="C423" i="9"/>
  <c r="D423" i="9"/>
  <c r="E423" i="9"/>
  <c r="H423" i="9"/>
  <c r="L423" i="9"/>
  <c r="C424" i="9"/>
  <c r="D424" i="9" s="1"/>
  <c r="E424" i="9"/>
  <c r="G424" i="9" s="1"/>
  <c r="H424" i="9"/>
  <c r="L424" i="9"/>
  <c r="C425" i="9"/>
  <c r="D425" i="9"/>
  <c r="E425" i="9"/>
  <c r="G425" i="9" s="1"/>
  <c r="H425" i="9"/>
  <c r="L425" i="9"/>
  <c r="C426" i="9"/>
  <c r="D426" i="9" s="1"/>
  <c r="E426" i="9"/>
  <c r="H426" i="9"/>
  <c r="L426" i="9"/>
  <c r="C427" i="9"/>
  <c r="D427" i="9"/>
  <c r="E427" i="9"/>
  <c r="G427" i="9" s="1"/>
  <c r="H427" i="9"/>
  <c r="L427" i="9"/>
  <c r="C428" i="9"/>
  <c r="D428" i="9" s="1"/>
  <c r="E428" i="9"/>
  <c r="G428" i="9" s="1"/>
  <c r="H428" i="9"/>
  <c r="L428" i="9"/>
  <c r="C429" i="9"/>
  <c r="D429" i="9"/>
  <c r="E429" i="9"/>
  <c r="G429" i="9" s="1"/>
  <c r="H429" i="9"/>
  <c r="L429" i="9"/>
  <c r="C430" i="9"/>
  <c r="D430" i="9" s="1"/>
  <c r="E430" i="9"/>
  <c r="H430" i="9"/>
  <c r="L430" i="9"/>
  <c r="C431" i="9"/>
  <c r="D431" i="9" s="1"/>
  <c r="E431" i="9"/>
  <c r="G431" i="9"/>
  <c r="H431" i="9"/>
  <c r="L431" i="9"/>
  <c r="C432" i="9"/>
  <c r="D432" i="9"/>
  <c r="E432" i="9"/>
  <c r="G432" i="9"/>
  <c r="H432" i="9"/>
  <c r="L432" i="9"/>
  <c r="C433" i="9"/>
  <c r="D433" i="9" s="1"/>
  <c r="E433" i="9"/>
  <c r="G433" i="9" s="1"/>
  <c r="H433" i="9"/>
  <c r="L433" i="9"/>
  <c r="C434" i="9"/>
  <c r="D434" i="9"/>
  <c r="E434" i="9"/>
  <c r="G434" i="9"/>
  <c r="H434" i="9"/>
  <c r="L434" i="9"/>
  <c r="C435" i="9"/>
  <c r="D435" i="9" s="1"/>
  <c r="E435" i="9"/>
  <c r="H435" i="9"/>
  <c r="L435" i="9"/>
  <c r="C436" i="9"/>
  <c r="D436" i="9" s="1"/>
  <c r="E436" i="9"/>
  <c r="H436" i="9"/>
  <c r="L436" i="9"/>
  <c r="C437" i="9"/>
  <c r="D437" i="9" s="1"/>
  <c r="E437" i="9"/>
  <c r="G437" i="9" s="1"/>
  <c r="H437" i="9"/>
  <c r="L437" i="9"/>
  <c r="C438" i="9"/>
  <c r="D438" i="9" s="1"/>
  <c r="E438" i="9"/>
  <c r="G438" i="9"/>
  <c r="H438" i="9"/>
  <c r="L438" i="9"/>
  <c r="C439" i="9"/>
  <c r="D439" i="9"/>
  <c r="E439" i="9"/>
  <c r="G439" i="9" s="1"/>
  <c r="H439" i="9"/>
  <c r="L439" i="9"/>
  <c r="C440" i="9"/>
  <c r="D440" i="9" s="1"/>
  <c r="E440" i="9"/>
  <c r="G440" i="9"/>
  <c r="H440" i="9"/>
  <c r="L440" i="9"/>
  <c r="C441" i="9"/>
  <c r="D441" i="9"/>
  <c r="E441" i="9"/>
  <c r="G441" i="9"/>
  <c r="H441" i="9"/>
  <c r="L441" i="9"/>
  <c r="C442" i="9"/>
  <c r="D442" i="9" s="1"/>
  <c r="E442" i="9"/>
  <c r="G442" i="9"/>
  <c r="H442" i="9"/>
  <c r="L442" i="9"/>
  <c r="C443" i="9"/>
  <c r="D443" i="9" s="1"/>
  <c r="E443" i="9"/>
  <c r="G443" i="9"/>
  <c r="H443" i="9"/>
  <c r="L443" i="9"/>
  <c r="C444" i="9"/>
  <c r="D444" i="9" s="1"/>
  <c r="E444" i="9"/>
  <c r="G444" i="9" s="1"/>
  <c r="H444" i="9"/>
  <c r="L444" i="9"/>
  <c r="C445" i="9"/>
  <c r="D445" i="9" s="1"/>
  <c r="E445" i="9"/>
  <c r="G445" i="9"/>
  <c r="H445" i="9"/>
  <c r="L445" i="9"/>
  <c r="C446" i="9"/>
  <c r="D446" i="9"/>
  <c r="E446" i="9"/>
  <c r="G446" i="9"/>
  <c r="H446" i="9"/>
  <c r="L446" i="9"/>
  <c r="C447" i="9"/>
  <c r="D447" i="9" s="1"/>
  <c r="E447" i="9"/>
  <c r="G447" i="9"/>
  <c r="H447" i="9"/>
  <c r="L447" i="9"/>
  <c r="C448" i="9"/>
  <c r="D448" i="9"/>
  <c r="E448" i="9"/>
  <c r="H448" i="9"/>
  <c r="L448" i="9"/>
  <c r="C449" i="9"/>
  <c r="D449" i="9" s="1"/>
  <c r="E449" i="9"/>
  <c r="G449" i="9"/>
  <c r="H449" i="9"/>
  <c r="L449" i="9"/>
  <c r="C450" i="9"/>
  <c r="D450" i="9"/>
  <c r="E450" i="9"/>
  <c r="G450" i="9" s="1"/>
  <c r="H450" i="9"/>
  <c r="L450" i="9"/>
  <c r="C451" i="9"/>
  <c r="D451" i="9" s="1"/>
  <c r="E451" i="9"/>
  <c r="H451" i="9"/>
  <c r="L451" i="9"/>
  <c r="C452" i="9"/>
  <c r="D452" i="9" s="1"/>
  <c r="E452" i="9"/>
  <c r="G452" i="9"/>
  <c r="H452" i="9"/>
  <c r="L452" i="9"/>
  <c r="C453" i="9"/>
  <c r="E453" i="9"/>
  <c r="G453" i="9" s="1"/>
  <c r="H453" i="9"/>
  <c r="L453" i="9"/>
  <c r="C454" i="9"/>
  <c r="D454" i="9" s="1"/>
  <c r="E454" i="9"/>
  <c r="G454" i="9" s="1"/>
  <c r="H454" i="9"/>
  <c r="L454" i="9"/>
  <c r="C455" i="9"/>
  <c r="D455" i="9"/>
  <c r="E455" i="9"/>
  <c r="G455" i="9"/>
  <c r="H455" i="9"/>
  <c r="L455" i="9"/>
  <c r="C456" i="9"/>
  <c r="D456" i="9"/>
  <c r="E456" i="9"/>
  <c r="G456" i="9"/>
  <c r="H456" i="9"/>
  <c r="L456" i="9"/>
  <c r="C457" i="9"/>
  <c r="D457" i="9"/>
  <c r="E457" i="9"/>
  <c r="G457" i="9"/>
  <c r="H457" i="9"/>
  <c r="L457" i="9"/>
  <c r="C458" i="9"/>
  <c r="D458" i="9"/>
  <c r="E458" i="9"/>
  <c r="H458" i="9"/>
  <c r="L458" i="9"/>
  <c r="C459" i="9"/>
  <c r="E459" i="9"/>
  <c r="G459" i="9" s="1"/>
  <c r="H459" i="9"/>
  <c r="L459" i="9"/>
  <c r="C460" i="9"/>
  <c r="D460" i="9" s="1"/>
  <c r="E460" i="9"/>
  <c r="H460" i="9"/>
  <c r="L460" i="9"/>
  <c r="C461" i="9"/>
  <c r="D461" i="9"/>
  <c r="E461" i="9"/>
  <c r="G461" i="9"/>
  <c r="H461" i="9"/>
  <c r="L461" i="9"/>
  <c r="C462" i="9"/>
  <c r="D462" i="9"/>
  <c r="E462" i="9"/>
  <c r="G462" i="9"/>
  <c r="H462" i="9"/>
  <c r="L462" i="9"/>
  <c r="C463" i="9"/>
  <c r="D463" i="9"/>
  <c r="E463" i="9"/>
  <c r="G463" i="9"/>
  <c r="H463" i="9"/>
  <c r="L463" i="9"/>
  <c r="C464" i="9"/>
  <c r="D464" i="9" s="1"/>
  <c r="E464" i="9"/>
  <c r="G464" i="9"/>
  <c r="H464" i="9"/>
  <c r="L464" i="9"/>
  <c r="C465" i="9"/>
  <c r="D465" i="9" s="1"/>
  <c r="E465" i="9"/>
  <c r="G465" i="9" s="1"/>
  <c r="H465" i="9"/>
  <c r="L465" i="9"/>
  <c r="C466" i="9"/>
  <c r="D466" i="9" s="1"/>
  <c r="E466" i="9"/>
  <c r="G466" i="9"/>
  <c r="H466" i="9"/>
  <c r="L466" i="9"/>
  <c r="C467" i="9"/>
  <c r="D467" i="9" s="1"/>
  <c r="E467" i="9"/>
  <c r="G467" i="9"/>
  <c r="H467" i="9"/>
  <c r="L467" i="9"/>
  <c r="C468" i="9"/>
  <c r="D468" i="9" s="1"/>
  <c r="E468" i="9"/>
  <c r="G468" i="9"/>
  <c r="H468" i="9"/>
  <c r="L468" i="9"/>
  <c r="C469" i="9"/>
  <c r="D469" i="9" s="1"/>
  <c r="E469" i="9"/>
  <c r="G469" i="9"/>
  <c r="H469" i="9"/>
  <c r="L469" i="9"/>
  <c r="C470" i="9"/>
  <c r="D470" i="9" s="1"/>
  <c r="E470" i="9"/>
  <c r="G470" i="9"/>
  <c r="H470" i="9"/>
  <c r="L470" i="9"/>
  <c r="C471" i="9"/>
  <c r="D471" i="9"/>
  <c r="E471" i="9"/>
  <c r="G471" i="9" s="1"/>
  <c r="H471" i="9"/>
  <c r="L471" i="9"/>
  <c r="C472" i="9"/>
  <c r="D472" i="9"/>
  <c r="E472" i="9"/>
  <c r="G472" i="9"/>
  <c r="H472" i="9"/>
  <c r="L472" i="9"/>
  <c r="C473" i="9"/>
  <c r="D473" i="9"/>
  <c r="E473" i="9"/>
  <c r="H473" i="9"/>
  <c r="L473" i="9"/>
  <c r="C474" i="9"/>
  <c r="D474" i="9" s="1"/>
  <c r="E474" i="9"/>
  <c r="G474" i="9" s="1"/>
  <c r="H474" i="9"/>
  <c r="L474" i="9"/>
  <c r="C475" i="9"/>
  <c r="E475" i="9"/>
  <c r="H475" i="9"/>
  <c r="L475" i="9"/>
  <c r="C476" i="9"/>
  <c r="D476" i="9"/>
  <c r="E476" i="9"/>
  <c r="H476" i="9"/>
  <c r="L476" i="9"/>
  <c r="C477" i="9"/>
  <c r="D477" i="9" s="1"/>
  <c r="E477" i="9"/>
  <c r="G477" i="9"/>
  <c r="H477" i="9"/>
  <c r="L477" i="9"/>
  <c r="C478" i="9"/>
  <c r="D478" i="9"/>
  <c r="E478" i="9"/>
  <c r="G478" i="9" s="1"/>
  <c r="H478" i="9"/>
  <c r="L478" i="9"/>
  <c r="C479" i="9"/>
  <c r="D479" i="9" s="1"/>
  <c r="E479" i="9"/>
  <c r="G479" i="9" s="1"/>
  <c r="H479" i="9"/>
  <c r="L479" i="9"/>
  <c r="C480" i="9"/>
  <c r="D480" i="9"/>
  <c r="E480" i="9"/>
  <c r="G480" i="9" s="1"/>
  <c r="H480" i="9"/>
  <c r="L480" i="9"/>
  <c r="C481" i="9"/>
  <c r="E481" i="9"/>
  <c r="G481" i="9" s="1"/>
  <c r="H481" i="9"/>
  <c r="L481" i="9"/>
  <c r="C482" i="9"/>
  <c r="D482" i="9"/>
  <c r="E482" i="9"/>
  <c r="G482" i="9"/>
  <c r="H482" i="9"/>
  <c r="L482" i="9"/>
  <c r="C483" i="9"/>
  <c r="D483" i="9"/>
  <c r="E483" i="9"/>
  <c r="G483" i="9" s="1"/>
  <c r="H483" i="9"/>
  <c r="L483" i="9"/>
  <c r="C484" i="9"/>
  <c r="D484" i="9"/>
  <c r="E484" i="9"/>
  <c r="G484" i="9" s="1"/>
  <c r="H484" i="9"/>
  <c r="L484" i="9"/>
  <c r="C485" i="9"/>
  <c r="D485" i="9" s="1"/>
  <c r="E485" i="9"/>
  <c r="H485" i="9"/>
  <c r="L485" i="9"/>
  <c r="C486" i="9"/>
  <c r="D486" i="9"/>
  <c r="E486" i="9"/>
  <c r="G486" i="9"/>
  <c r="H486" i="9"/>
  <c r="L486" i="9"/>
  <c r="C487" i="9"/>
  <c r="D487" i="9" s="1"/>
  <c r="E487" i="9"/>
  <c r="H487" i="9"/>
  <c r="L487" i="9"/>
  <c r="C488" i="9"/>
  <c r="D488" i="9"/>
  <c r="E488" i="9"/>
  <c r="G488" i="9"/>
  <c r="H488" i="9"/>
  <c r="L488" i="9"/>
  <c r="C489" i="9"/>
  <c r="D489" i="9" s="1"/>
  <c r="E489" i="9"/>
  <c r="G489" i="9"/>
  <c r="H489" i="9"/>
  <c r="L489" i="9"/>
  <c r="C490" i="9"/>
  <c r="D490" i="9" s="1"/>
  <c r="E490" i="9"/>
  <c r="G490" i="9"/>
  <c r="H490" i="9"/>
  <c r="L490" i="9"/>
  <c r="C491" i="9"/>
  <c r="D491" i="9" s="1"/>
  <c r="E491" i="9"/>
  <c r="G491" i="9"/>
  <c r="H491" i="9"/>
  <c r="L491" i="9"/>
  <c r="C492" i="9"/>
  <c r="D492" i="9" s="1"/>
  <c r="E492" i="9"/>
  <c r="G492" i="9"/>
  <c r="H492" i="9"/>
  <c r="L492" i="9"/>
  <c r="C493" i="9"/>
  <c r="D493" i="9"/>
  <c r="E493" i="9"/>
  <c r="G493" i="9"/>
  <c r="H493" i="9"/>
  <c r="L493" i="9"/>
  <c r="C494" i="9"/>
  <c r="D494" i="9" s="1"/>
  <c r="E494" i="9"/>
  <c r="G494" i="9"/>
  <c r="H494" i="9"/>
  <c r="L494" i="9"/>
  <c r="C495" i="9"/>
  <c r="E495" i="9"/>
  <c r="G495" i="9" s="1"/>
  <c r="H495" i="9"/>
  <c r="L495" i="9"/>
  <c r="C496" i="9"/>
  <c r="D496" i="9" s="1"/>
  <c r="E496" i="9"/>
  <c r="H496" i="9"/>
  <c r="L496" i="9"/>
  <c r="C497" i="9"/>
  <c r="D497" i="9"/>
  <c r="E497" i="9"/>
  <c r="G497" i="9"/>
  <c r="H497" i="9"/>
  <c r="L497" i="9"/>
  <c r="C498" i="9"/>
  <c r="D498" i="9"/>
  <c r="E498" i="9"/>
  <c r="G498" i="9" s="1"/>
  <c r="H498" i="9"/>
  <c r="L498" i="9"/>
  <c r="C499" i="9"/>
  <c r="D499" i="9" s="1"/>
  <c r="E499" i="9"/>
  <c r="G499" i="9"/>
  <c r="H499" i="9"/>
  <c r="L499" i="9"/>
  <c r="C500" i="9"/>
  <c r="E500" i="9"/>
  <c r="H500" i="9"/>
  <c r="L500" i="9"/>
  <c r="C501" i="9"/>
  <c r="D501" i="9"/>
  <c r="E501" i="9"/>
  <c r="H501" i="9"/>
  <c r="L501" i="9"/>
  <c r="C502" i="9"/>
  <c r="D502" i="9"/>
  <c r="E502" i="9"/>
  <c r="G502" i="9"/>
  <c r="H502" i="9"/>
  <c r="L502" i="9"/>
  <c r="C503" i="9"/>
  <c r="D503" i="9"/>
  <c r="E503" i="9"/>
  <c r="G503" i="9" s="1"/>
  <c r="H503" i="9"/>
  <c r="L503" i="9"/>
  <c r="C504" i="9"/>
  <c r="E504" i="9"/>
  <c r="G504" i="9"/>
  <c r="H504" i="9"/>
  <c r="L504" i="9"/>
  <c r="C505" i="9"/>
  <c r="D505" i="9" s="1"/>
  <c r="E505" i="9"/>
  <c r="H505" i="9"/>
  <c r="L505" i="9"/>
  <c r="C506" i="9"/>
  <c r="D506" i="9" s="1"/>
  <c r="E506" i="9"/>
  <c r="H506" i="9"/>
  <c r="L506" i="9"/>
  <c r="C507" i="9"/>
  <c r="D507" i="9"/>
  <c r="E507" i="9"/>
  <c r="G507" i="9"/>
  <c r="H507" i="9"/>
  <c r="L507" i="9"/>
  <c r="C508" i="9"/>
  <c r="D508" i="9"/>
  <c r="E508" i="9"/>
  <c r="G508" i="9"/>
  <c r="H508" i="9"/>
  <c r="L508" i="9"/>
  <c r="C509" i="9"/>
  <c r="D509" i="9"/>
  <c r="E509" i="9"/>
  <c r="G509" i="9" s="1"/>
  <c r="H509" i="9"/>
  <c r="L509" i="9"/>
  <c r="C510" i="9"/>
  <c r="D510" i="9" s="1"/>
  <c r="E510" i="9"/>
  <c r="H510" i="9"/>
  <c r="L510" i="9"/>
  <c r="C511" i="9"/>
  <c r="D511" i="9" s="1"/>
  <c r="E511" i="9"/>
  <c r="G511" i="9"/>
  <c r="H511" i="9"/>
  <c r="L511" i="9"/>
  <c r="C512" i="9"/>
  <c r="D512" i="9" s="1"/>
  <c r="E512" i="9"/>
  <c r="H512" i="9"/>
  <c r="L512" i="9"/>
  <c r="C513" i="9"/>
  <c r="D513" i="9"/>
  <c r="E513" i="9"/>
  <c r="G513" i="9"/>
  <c r="H513" i="9"/>
  <c r="L513" i="9"/>
  <c r="C514" i="9"/>
  <c r="D514" i="9" s="1"/>
  <c r="E514" i="9"/>
  <c r="G514" i="9"/>
  <c r="H514" i="9"/>
  <c r="L514" i="9"/>
  <c r="C515" i="9"/>
  <c r="E515" i="9"/>
  <c r="G515" i="9"/>
  <c r="H515" i="9"/>
  <c r="L515" i="9"/>
  <c r="C516" i="9"/>
  <c r="D516" i="9" s="1"/>
  <c r="E516" i="9"/>
  <c r="G516" i="9" s="1"/>
  <c r="H516" i="9"/>
  <c r="L516" i="9"/>
  <c r="C517" i="9"/>
  <c r="D517" i="9" s="1"/>
  <c r="E517" i="9"/>
  <c r="G517" i="9"/>
  <c r="H517" i="9"/>
  <c r="L517" i="9"/>
  <c r="C518" i="9"/>
  <c r="D518" i="9"/>
  <c r="E518" i="9"/>
  <c r="G518" i="9"/>
  <c r="H518" i="9"/>
  <c r="L518" i="9"/>
  <c r="C519" i="9"/>
  <c r="D519" i="9" s="1"/>
  <c r="E519" i="9"/>
  <c r="G519" i="9"/>
  <c r="H519" i="9"/>
  <c r="L519" i="9"/>
  <c r="C520" i="9"/>
  <c r="D520" i="9"/>
  <c r="E520" i="9"/>
  <c r="H520" i="9"/>
  <c r="L520" i="9"/>
  <c r="C521" i="9"/>
  <c r="D521" i="9" s="1"/>
  <c r="E521" i="9"/>
  <c r="H521" i="9"/>
  <c r="L521" i="9"/>
  <c r="C522" i="9"/>
  <c r="D522" i="9"/>
  <c r="E522" i="9"/>
  <c r="G522" i="9" s="1"/>
  <c r="H522" i="9"/>
  <c r="L522" i="9"/>
  <c r="C523" i="9"/>
  <c r="D523" i="9" s="1"/>
  <c r="E523" i="9"/>
  <c r="H523" i="9"/>
  <c r="L523" i="9"/>
  <c r="C524" i="9"/>
  <c r="D524" i="9"/>
  <c r="E524" i="9"/>
  <c r="G524" i="9"/>
  <c r="H524" i="9"/>
  <c r="L524" i="9"/>
  <c r="C525" i="9"/>
  <c r="D525" i="9" s="1"/>
  <c r="E525" i="9"/>
  <c r="H525" i="9"/>
  <c r="L525" i="9"/>
  <c r="C526" i="9"/>
  <c r="D526" i="9"/>
  <c r="E526" i="9"/>
  <c r="G526" i="9" s="1"/>
  <c r="H526" i="9"/>
  <c r="L526" i="9"/>
  <c r="C527" i="9"/>
  <c r="D527" i="9" s="1"/>
  <c r="E527" i="9"/>
  <c r="G527" i="9"/>
  <c r="H527" i="9"/>
  <c r="L527" i="9"/>
  <c r="C528" i="9"/>
  <c r="D528" i="9" s="1"/>
  <c r="E528" i="9"/>
  <c r="G528" i="9"/>
  <c r="H528" i="9"/>
  <c r="L528" i="9"/>
  <c r="C529" i="9"/>
  <c r="D529" i="9"/>
  <c r="E529" i="9"/>
  <c r="G529" i="9"/>
  <c r="H529" i="9"/>
  <c r="L529" i="9"/>
  <c r="C530" i="9"/>
  <c r="E530" i="9"/>
  <c r="G530" i="9" s="1"/>
  <c r="H530" i="9"/>
  <c r="L530" i="9"/>
  <c r="C531" i="9"/>
  <c r="D531" i="9"/>
  <c r="E531" i="9"/>
  <c r="H531" i="9"/>
  <c r="L531" i="9"/>
  <c r="C532" i="9"/>
  <c r="D532" i="9" s="1"/>
  <c r="E532" i="9"/>
  <c r="G532" i="9"/>
  <c r="H532" i="9"/>
  <c r="L532" i="9"/>
  <c r="C533" i="9"/>
  <c r="D533" i="9"/>
  <c r="E533" i="9"/>
  <c r="H533" i="9"/>
  <c r="L533" i="9"/>
  <c r="C534" i="9"/>
  <c r="D534" i="9"/>
  <c r="E534" i="9"/>
  <c r="G534" i="9" s="1"/>
  <c r="H534" i="9"/>
  <c r="L534" i="9"/>
  <c r="C535" i="9"/>
  <c r="D535" i="9"/>
  <c r="E535" i="9"/>
  <c r="G535" i="9"/>
  <c r="H535" i="9"/>
  <c r="L535" i="9"/>
  <c r="C536" i="9"/>
  <c r="D536" i="9" s="1"/>
  <c r="E536" i="9"/>
  <c r="G536" i="9"/>
  <c r="H536" i="9"/>
  <c r="L536" i="9"/>
  <c r="C537" i="9"/>
  <c r="D537" i="9" s="1"/>
  <c r="E537" i="9"/>
  <c r="G537" i="9" s="1"/>
  <c r="H537" i="9"/>
  <c r="L537" i="9"/>
  <c r="C538" i="9"/>
  <c r="D538" i="9" s="1"/>
  <c r="E538" i="9"/>
  <c r="G538" i="9"/>
  <c r="H538" i="9"/>
  <c r="L538" i="9"/>
  <c r="C539" i="9"/>
  <c r="D539" i="9" s="1"/>
  <c r="E539" i="9"/>
  <c r="G539" i="9"/>
  <c r="H539" i="9"/>
  <c r="L539" i="9"/>
  <c r="C540" i="9"/>
  <c r="D540" i="9" s="1"/>
  <c r="E540" i="9"/>
  <c r="G540" i="9"/>
  <c r="H540" i="9"/>
  <c r="L540" i="9"/>
  <c r="C541" i="9"/>
  <c r="D541" i="9" s="1"/>
  <c r="E541" i="9"/>
  <c r="G541" i="9"/>
  <c r="H541" i="9"/>
  <c r="L541" i="9"/>
  <c r="C542" i="9"/>
  <c r="D542" i="9"/>
  <c r="E542" i="9"/>
  <c r="G542" i="9"/>
  <c r="H542" i="9"/>
  <c r="L542" i="9"/>
  <c r="C543" i="9"/>
  <c r="D543" i="9"/>
  <c r="E543" i="9"/>
  <c r="H543" i="9"/>
  <c r="L543" i="9"/>
  <c r="C544" i="9"/>
  <c r="D544" i="9"/>
  <c r="E544" i="9"/>
  <c r="G544" i="9"/>
  <c r="H544" i="9"/>
  <c r="L544" i="9"/>
  <c r="C545" i="9"/>
  <c r="D545" i="9" s="1"/>
  <c r="E545" i="9"/>
  <c r="G545" i="9" s="1"/>
  <c r="H545" i="9"/>
  <c r="L545" i="9"/>
  <c r="C546" i="9"/>
  <c r="D546" i="9" s="1"/>
  <c r="E546" i="9"/>
  <c r="G546" i="9" s="1"/>
  <c r="H546" i="9"/>
  <c r="L546" i="9"/>
  <c r="C547" i="9"/>
  <c r="D547" i="9"/>
  <c r="E547" i="9"/>
  <c r="H547" i="9"/>
  <c r="L547" i="9"/>
  <c r="C548" i="9"/>
  <c r="D548" i="9"/>
  <c r="E548" i="9"/>
  <c r="G548" i="9"/>
  <c r="H548" i="9"/>
  <c r="L548" i="9"/>
  <c r="C549" i="9"/>
  <c r="D549" i="9"/>
  <c r="E549" i="9"/>
  <c r="G549" i="9"/>
  <c r="H549" i="9"/>
  <c r="L549" i="9"/>
  <c r="C550" i="9"/>
  <c r="D550" i="9"/>
  <c r="E550" i="9"/>
  <c r="G550" i="9" s="1"/>
  <c r="H550" i="9"/>
  <c r="L550" i="9"/>
  <c r="C551" i="9"/>
  <c r="D551" i="9" s="1"/>
  <c r="E551" i="9"/>
  <c r="G551" i="9" s="1"/>
  <c r="H551" i="9"/>
  <c r="L551" i="9"/>
  <c r="C552" i="9"/>
  <c r="D552" i="9"/>
  <c r="E552" i="9"/>
  <c r="H552" i="9"/>
  <c r="L552" i="9"/>
  <c r="C553" i="9"/>
  <c r="D553" i="9"/>
  <c r="E553" i="9"/>
  <c r="G553" i="9"/>
  <c r="H553" i="9"/>
  <c r="L553" i="9"/>
  <c r="C554" i="9"/>
  <c r="D554" i="9"/>
  <c r="E554" i="9"/>
  <c r="H554" i="9"/>
  <c r="L554" i="9"/>
  <c r="C555" i="9"/>
  <c r="E555" i="9"/>
  <c r="G555" i="9" s="1"/>
  <c r="H555" i="9"/>
  <c r="L555" i="9"/>
  <c r="C556" i="9"/>
  <c r="D556" i="9"/>
  <c r="E556" i="9"/>
  <c r="H556" i="9"/>
  <c r="L556" i="9"/>
  <c r="C557" i="9"/>
  <c r="D557" i="9"/>
  <c r="E557" i="9"/>
  <c r="G557" i="9"/>
  <c r="H557" i="9"/>
  <c r="L557" i="9"/>
  <c r="C558" i="9"/>
  <c r="D558" i="9"/>
  <c r="E558" i="9"/>
  <c r="H558" i="9"/>
  <c r="L558" i="9"/>
  <c r="C559" i="9"/>
  <c r="D559" i="9" s="1"/>
  <c r="E559" i="9"/>
  <c r="G559" i="9" s="1"/>
  <c r="H559" i="9"/>
  <c r="L559" i="9"/>
  <c r="C560" i="9"/>
  <c r="D560" i="9"/>
  <c r="E560" i="9"/>
  <c r="G560" i="9"/>
  <c r="H560" i="9"/>
  <c r="L560" i="9"/>
  <c r="C561" i="9"/>
  <c r="E561" i="9"/>
  <c r="G561" i="9" s="1"/>
  <c r="H561" i="9"/>
  <c r="L561" i="9"/>
  <c r="C562" i="9"/>
  <c r="D562" i="9"/>
  <c r="E562" i="9"/>
  <c r="G562" i="9"/>
  <c r="H562" i="9"/>
  <c r="L562" i="9"/>
  <c r="C563" i="9"/>
  <c r="D563" i="9" s="1"/>
  <c r="E563" i="9"/>
  <c r="G563" i="9"/>
  <c r="H563" i="9"/>
  <c r="L563" i="9"/>
  <c r="C564" i="9"/>
  <c r="D564" i="9"/>
  <c r="E564" i="9"/>
  <c r="G564" i="9" s="1"/>
  <c r="H564" i="9"/>
  <c r="L564" i="9"/>
  <c r="C565" i="9"/>
  <c r="D565" i="9" s="1"/>
  <c r="E565" i="9"/>
  <c r="G565" i="9"/>
  <c r="H565" i="9"/>
  <c r="L565" i="9"/>
  <c r="C566" i="9"/>
  <c r="D566" i="9" s="1"/>
  <c r="E566" i="9"/>
  <c r="G566" i="9"/>
  <c r="H566" i="9"/>
  <c r="L566" i="9"/>
  <c r="C567" i="9"/>
  <c r="D567" i="9" s="1"/>
  <c r="E567" i="9"/>
  <c r="G567" i="9"/>
  <c r="H567" i="9"/>
  <c r="L567" i="9"/>
  <c r="C568" i="9"/>
  <c r="D568" i="9" s="1"/>
  <c r="E568" i="9"/>
  <c r="G568" i="9"/>
  <c r="H568" i="9"/>
  <c r="L568" i="9"/>
  <c r="C569" i="9"/>
  <c r="D569" i="9"/>
  <c r="E569" i="9"/>
  <c r="G569" i="9"/>
  <c r="H569" i="9"/>
  <c r="L569" i="9"/>
  <c r="C570" i="9"/>
  <c r="D570" i="9"/>
  <c r="E570" i="9"/>
  <c r="G570" i="9" s="1"/>
  <c r="H570" i="9"/>
  <c r="L570" i="9"/>
  <c r="C571" i="9"/>
  <c r="E571" i="9"/>
  <c r="H571" i="9"/>
  <c r="L571" i="9"/>
  <c r="C572" i="9"/>
  <c r="D572" i="9"/>
  <c r="E572" i="9"/>
  <c r="G572" i="9" s="1"/>
  <c r="H572" i="9"/>
  <c r="L572" i="9"/>
  <c r="C573" i="9"/>
  <c r="D573" i="9"/>
  <c r="E573" i="9"/>
  <c r="G573" i="9"/>
  <c r="H573" i="9"/>
  <c r="L573" i="9"/>
  <c r="C574" i="9"/>
  <c r="D574" i="9"/>
  <c r="E574" i="9"/>
  <c r="H574" i="9"/>
  <c r="L574" i="9"/>
  <c r="C575" i="9"/>
  <c r="D575" i="9"/>
  <c r="E575" i="9"/>
  <c r="G575" i="9" s="1"/>
  <c r="H575" i="9"/>
  <c r="L575" i="9"/>
  <c r="C576" i="9"/>
  <c r="D576" i="9" s="1"/>
  <c r="E576" i="9"/>
  <c r="G576" i="9"/>
  <c r="H576" i="9"/>
  <c r="L576" i="9"/>
  <c r="C577" i="9"/>
  <c r="E577" i="9"/>
  <c r="G577" i="9" s="1"/>
  <c r="H577" i="9"/>
  <c r="L577" i="9"/>
  <c r="C578" i="9"/>
  <c r="D578" i="9" s="1"/>
  <c r="E578" i="9"/>
  <c r="G578" i="9" s="1"/>
  <c r="H578" i="9"/>
  <c r="L578" i="9"/>
  <c r="C579" i="9"/>
  <c r="D579" i="9" s="1"/>
  <c r="E579" i="9"/>
  <c r="G579" i="9"/>
  <c r="H579" i="9"/>
  <c r="L579" i="9"/>
  <c r="C580" i="9"/>
  <c r="D580" i="9"/>
  <c r="E580" i="9"/>
  <c r="G580" i="9"/>
  <c r="H580" i="9"/>
  <c r="L580" i="9"/>
  <c r="C581" i="9"/>
  <c r="D581" i="9"/>
  <c r="E581" i="9"/>
  <c r="G581" i="9" s="1"/>
  <c r="H581" i="9"/>
  <c r="L581" i="9"/>
  <c r="C582" i="9"/>
  <c r="D582" i="9"/>
  <c r="E582" i="9"/>
  <c r="G582" i="9"/>
  <c r="H582" i="9"/>
  <c r="L582" i="9"/>
  <c r="C583" i="9"/>
  <c r="D583" i="9"/>
  <c r="E583" i="9"/>
  <c r="G583" i="9"/>
  <c r="H583" i="9"/>
  <c r="L583" i="9"/>
  <c r="C584" i="9"/>
  <c r="D584" i="9"/>
  <c r="E584" i="9"/>
  <c r="G584" i="9" s="1"/>
  <c r="H584" i="9"/>
  <c r="L584" i="9"/>
  <c r="C585" i="9"/>
  <c r="D585" i="9" s="1"/>
  <c r="E585" i="9"/>
  <c r="H585" i="9"/>
  <c r="L585" i="9"/>
  <c r="C586" i="9"/>
  <c r="D586" i="9" s="1"/>
  <c r="E586" i="9"/>
  <c r="G586" i="9" s="1"/>
  <c r="H586" i="9"/>
  <c r="L586" i="9"/>
  <c r="C587" i="9"/>
  <c r="D587" i="9" s="1"/>
  <c r="E587" i="9"/>
  <c r="G587" i="9" s="1"/>
  <c r="H587" i="9"/>
  <c r="L587" i="9"/>
  <c r="C588" i="9"/>
  <c r="D588" i="9"/>
  <c r="E588" i="9"/>
  <c r="G588" i="9" s="1"/>
  <c r="H588" i="9"/>
  <c r="L588" i="9"/>
  <c r="C589" i="9"/>
  <c r="D589" i="9" s="1"/>
  <c r="E589" i="9"/>
  <c r="G589" i="9"/>
  <c r="H589" i="9"/>
  <c r="L589" i="9"/>
  <c r="C590" i="9"/>
  <c r="D590" i="9" s="1"/>
  <c r="E590" i="9"/>
  <c r="G590" i="9" s="1"/>
  <c r="H590" i="9"/>
  <c r="L590" i="9"/>
  <c r="C591" i="9"/>
  <c r="D591" i="9" s="1"/>
  <c r="E591" i="9"/>
  <c r="G591" i="9"/>
  <c r="H591" i="9"/>
  <c r="L591" i="9"/>
  <c r="C592" i="9"/>
  <c r="D592" i="9"/>
  <c r="E592" i="9"/>
  <c r="H592" i="9"/>
  <c r="L592" i="9"/>
  <c r="C593" i="9"/>
  <c r="D593" i="9" s="1"/>
  <c r="E593" i="9"/>
  <c r="G593" i="9" s="1"/>
  <c r="H593" i="9"/>
  <c r="L593" i="9"/>
  <c r="C594" i="9"/>
  <c r="D594" i="9"/>
  <c r="E594" i="9"/>
  <c r="G594" i="9" s="1"/>
  <c r="H594" i="9"/>
  <c r="L594" i="9"/>
  <c r="C595" i="9"/>
  <c r="D595" i="9"/>
  <c r="E595" i="9"/>
  <c r="H595" i="9"/>
  <c r="L595" i="9"/>
  <c r="C596" i="9"/>
  <c r="E596" i="9"/>
  <c r="G596" i="9" s="1"/>
  <c r="H596" i="9"/>
  <c r="L596" i="9"/>
  <c r="C597" i="9"/>
  <c r="E597" i="9"/>
  <c r="H597" i="9"/>
  <c r="L597" i="9"/>
  <c r="C598" i="9"/>
  <c r="D598" i="9"/>
  <c r="E598" i="9"/>
  <c r="G598" i="9"/>
  <c r="H598" i="9"/>
  <c r="L598" i="9"/>
  <c r="C599" i="9"/>
  <c r="D599" i="9"/>
  <c r="E599" i="9"/>
  <c r="G599" i="9" s="1"/>
  <c r="H599" i="9"/>
  <c r="L599" i="9"/>
  <c r="C600" i="9"/>
  <c r="D600" i="9"/>
  <c r="E600" i="9"/>
  <c r="G600" i="9" s="1"/>
  <c r="H600" i="9"/>
  <c r="L600" i="9"/>
  <c r="C601" i="9"/>
  <c r="D601" i="9" s="1"/>
  <c r="E601" i="9"/>
  <c r="G601" i="9"/>
  <c r="H601" i="9"/>
  <c r="L601" i="9"/>
  <c r="C602" i="9"/>
  <c r="E602" i="9"/>
  <c r="G602" i="9" s="1"/>
  <c r="H602" i="9"/>
  <c r="L602" i="9"/>
  <c r="C603" i="9"/>
  <c r="D603" i="9"/>
  <c r="E603" i="9"/>
  <c r="H603" i="9"/>
  <c r="L603" i="9"/>
  <c r="C604" i="9"/>
  <c r="D604" i="9" s="1"/>
  <c r="E604" i="9"/>
  <c r="G604" i="9"/>
  <c r="H604" i="9"/>
  <c r="L604" i="9"/>
  <c r="C605" i="9"/>
  <c r="D605" i="9"/>
  <c r="E605" i="9"/>
  <c r="G605" i="9" s="1"/>
  <c r="H605" i="9"/>
  <c r="L605" i="9"/>
  <c r="C606" i="9"/>
  <c r="D606" i="9"/>
  <c r="E606" i="9"/>
  <c r="G606" i="9"/>
  <c r="H606" i="9"/>
  <c r="L606" i="9"/>
  <c r="C607" i="9"/>
  <c r="D607" i="9"/>
  <c r="E607" i="9"/>
  <c r="G607" i="9"/>
  <c r="H607" i="9"/>
  <c r="L607" i="9"/>
  <c r="C608" i="9"/>
  <c r="D608" i="9"/>
  <c r="E608" i="9"/>
  <c r="G608" i="9" s="1"/>
  <c r="H608" i="9"/>
  <c r="L608" i="9"/>
  <c r="C609" i="9"/>
  <c r="D609" i="9" s="1"/>
  <c r="E609" i="9"/>
  <c r="G609" i="9"/>
  <c r="H609" i="9"/>
  <c r="L609" i="9"/>
  <c r="C610" i="9"/>
  <c r="D610" i="9" s="1"/>
  <c r="E610" i="9"/>
  <c r="H610" i="9"/>
  <c r="L610" i="9"/>
  <c r="C611" i="9"/>
  <c r="D611" i="9" s="1"/>
  <c r="E611" i="9"/>
  <c r="G611" i="9" s="1"/>
  <c r="H611" i="9"/>
  <c r="L611" i="9"/>
  <c r="C612" i="9"/>
  <c r="D612" i="9" s="1"/>
  <c r="E612" i="9"/>
  <c r="G612" i="9"/>
  <c r="H612" i="9"/>
  <c r="L612" i="9"/>
  <c r="C613" i="9"/>
  <c r="D613" i="9"/>
  <c r="E613" i="9"/>
  <c r="G613" i="9" s="1"/>
  <c r="H613" i="9"/>
  <c r="L613" i="9"/>
  <c r="C614" i="9"/>
  <c r="D614" i="9" s="1"/>
  <c r="E614" i="9"/>
  <c r="G614" i="9" s="1"/>
  <c r="H614" i="9"/>
  <c r="L614" i="9"/>
  <c r="C615" i="9"/>
  <c r="D615" i="9" s="1"/>
  <c r="E615" i="9"/>
  <c r="G615" i="9"/>
  <c r="H615" i="9"/>
  <c r="L615" i="9"/>
  <c r="C616" i="9"/>
  <c r="E616" i="9"/>
  <c r="G616" i="9"/>
  <c r="H616" i="9"/>
  <c r="L616" i="9"/>
  <c r="C617" i="9"/>
  <c r="D617" i="9" s="1"/>
  <c r="E617" i="9"/>
  <c r="G617" i="9" s="1"/>
  <c r="H617" i="9"/>
  <c r="L617" i="9"/>
  <c r="C618" i="9"/>
  <c r="D618" i="9"/>
  <c r="E618" i="9"/>
  <c r="H618" i="9"/>
  <c r="L618" i="9"/>
  <c r="C619" i="9"/>
  <c r="D619" i="9"/>
  <c r="E619" i="9"/>
  <c r="G619" i="9" s="1"/>
  <c r="H619" i="9"/>
  <c r="L619" i="9"/>
  <c r="C620" i="9"/>
  <c r="D620" i="9"/>
  <c r="E620" i="9"/>
  <c r="G620" i="9" s="1"/>
  <c r="H620" i="9"/>
  <c r="L620" i="9"/>
  <c r="C621" i="9"/>
  <c r="D621" i="9"/>
  <c r="E621" i="9"/>
  <c r="H621" i="9"/>
  <c r="L621" i="9"/>
  <c r="C622" i="9"/>
  <c r="E622" i="9"/>
  <c r="H622" i="9"/>
  <c r="L622" i="9"/>
  <c r="C623" i="9"/>
  <c r="D623" i="9"/>
  <c r="E623" i="9"/>
  <c r="G623" i="9" s="1"/>
  <c r="H623" i="9"/>
  <c r="L623" i="9"/>
  <c r="C624" i="9"/>
  <c r="E624" i="9"/>
  <c r="G624" i="9" s="1"/>
  <c r="H624" i="9"/>
  <c r="L624" i="9"/>
  <c r="C625" i="9"/>
  <c r="D625" i="9"/>
  <c r="E625" i="9"/>
  <c r="G625" i="9" s="1"/>
  <c r="H625" i="9"/>
  <c r="L625" i="9"/>
  <c r="C626" i="9"/>
  <c r="D626" i="9" s="1"/>
  <c r="E626" i="9"/>
  <c r="G626" i="9" s="1"/>
  <c r="H626" i="9"/>
  <c r="L626" i="9"/>
  <c r="C627" i="9"/>
  <c r="D627" i="9"/>
  <c r="E627" i="9"/>
  <c r="G627" i="9"/>
  <c r="H627" i="9"/>
  <c r="L627" i="9"/>
  <c r="C628" i="9"/>
  <c r="D628" i="9"/>
  <c r="E628" i="9"/>
  <c r="G628" i="9"/>
  <c r="H628" i="9"/>
  <c r="L628" i="9"/>
  <c r="C629" i="9"/>
  <c r="D629" i="9" s="1"/>
  <c r="E629" i="9"/>
  <c r="G629" i="9" s="1"/>
  <c r="H629" i="9"/>
  <c r="L629" i="9"/>
  <c r="C630" i="9"/>
  <c r="D630" i="9"/>
  <c r="E630" i="9"/>
  <c r="G630" i="9"/>
  <c r="H630" i="9"/>
  <c r="L630" i="9"/>
  <c r="C631" i="9"/>
  <c r="D631" i="9"/>
  <c r="E631" i="9"/>
  <c r="G631" i="9"/>
  <c r="H631" i="9"/>
  <c r="L631" i="9"/>
  <c r="C632" i="9"/>
  <c r="D632" i="9"/>
  <c r="E632" i="9"/>
  <c r="G632" i="9" s="1"/>
  <c r="H632" i="9"/>
  <c r="L632" i="9"/>
  <c r="C633" i="9"/>
  <c r="D633" i="9" s="1"/>
  <c r="E633" i="9"/>
  <c r="G633" i="9" s="1"/>
  <c r="H633" i="9"/>
  <c r="L633" i="9"/>
  <c r="C634" i="9"/>
  <c r="D634" i="9" s="1"/>
  <c r="E634" i="9"/>
  <c r="G634" i="9"/>
  <c r="H634" i="9"/>
  <c r="L634" i="9"/>
  <c r="C635" i="9"/>
  <c r="D635" i="9" s="1"/>
  <c r="E635" i="9"/>
  <c r="G635" i="9" s="1"/>
  <c r="H635" i="9"/>
  <c r="L635" i="9"/>
  <c r="C636" i="9"/>
  <c r="D636" i="9" s="1"/>
  <c r="E636" i="9"/>
  <c r="G636" i="9"/>
  <c r="H636" i="9"/>
  <c r="L636" i="9"/>
  <c r="C637" i="9"/>
  <c r="D637" i="9" s="1"/>
  <c r="E637" i="9"/>
  <c r="G637" i="9"/>
  <c r="H637" i="9"/>
  <c r="L637" i="9"/>
  <c r="C638" i="9"/>
  <c r="E638" i="9"/>
  <c r="G638" i="9" s="1"/>
  <c r="H638" i="9"/>
  <c r="L638" i="9"/>
  <c r="C639" i="9"/>
  <c r="D639" i="9"/>
  <c r="E639" i="9"/>
  <c r="H639" i="9"/>
  <c r="L639" i="9"/>
  <c r="C640" i="9"/>
  <c r="D640" i="9" s="1"/>
  <c r="E640" i="9"/>
  <c r="G640" i="9"/>
  <c r="H640" i="9"/>
  <c r="L640" i="9"/>
  <c r="C641" i="9"/>
  <c r="E641" i="9"/>
  <c r="G641" i="9" s="1"/>
  <c r="H641" i="9"/>
  <c r="L641" i="9"/>
  <c r="C642" i="9"/>
  <c r="D642" i="9"/>
  <c r="E642" i="9"/>
  <c r="G642" i="9" s="1"/>
  <c r="H642" i="9"/>
  <c r="L642" i="9"/>
  <c r="C643" i="9"/>
  <c r="D643" i="9"/>
  <c r="E643" i="9"/>
  <c r="H643" i="9"/>
  <c r="L643" i="9"/>
  <c r="C644" i="9"/>
  <c r="D644" i="9"/>
  <c r="E644" i="9"/>
  <c r="H644" i="9"/>
  <c r="L644" i="9"/>
  <c r="C645" i="9"/>
  <c r="D645" i="9"/>
  <c r="E645" i="9"/>
  <c r="H645" i="9"/>
  <c r="L645" i="9"/>
  <c r="C646" i="9"/>
  <c r="D646" i="9"/>
  <c r="E646" i="9"/>
  <c r="H646" i="9"/>
  <c r="L646" i="9"/>
  <c r="C647" i="9"/>
  <c r="E647" i="9"/>
  <c r="G647" i="9" s="1"/>
  <c r="H647" i="9"/>
  <c r="L647" i="9"/>
  <c r="C648" i="9"/>
  <c r="D648" i="9" s="1"/>
  <c r="E648" i="9"/>
  <c r="G648" i="9"/>
  <c r="H648" i="9"/>
  <c r="L648" i="9"/>
  <c r="C649" i="9"/>
  <c r="E649" i="9"/>
  <c r="H649" i="9"/>
  <c r="L649" i="9"/>
  <c r="C650" i="9"/>
  <c r="D650" i="9"/>
  <c r="E650" i="9"/>
  <c r="G650" i="9" s="1"/>
  <c r="H650" i="9"/>
  <c r="L650" i="9"/>
  <c r="C651" i="9"/>
  <c r="D651" i="9" s="1"/>
  <c r="E651" i="9"/>
  <c r="G651" i="9"/>
  <c r="H651" i="9"/>
  <c r="L651" i="9"/>
  <c r="C652" i="9"/>
  <c r="E652" i="9"/>
  <c r="G652" i="9"/>
  <c r="H652" i="9"/>
  <c r="L652" i="9"/>
  <c r="C653" i="9"/>
  <c r="D653" i="9"/>
  <c r="E653" i="9"/>
  <c r="H653" i="9"/>
  <c r="L653" i="9"/>
  <c r="C654" i="9"/>
  <c r="D654" i="9"/>
  <c r="E654" i="9"/>
  <c r="G654" i="9"/>
  <c r="H654" i="9"/>
  <c r="L654" i="9"/>
  <c r="C655" i="9"/>
  <c r="D655" i="9"/>
  <c r="E655" i="9"/>
  <c r="G655" i="9"/>
  <c r="H655" i="9"/>
  <c r="L655" i="9"/>
  <c r="C656" i="9"/>
  <c r="D656" i="9"/>
  <c r="E656" i="9"/>
  <c r="G656" i="9" s="1"/>
  <c r="H656" i="9"/>
  <c r="L656" i="9"/>
  <c r="C657" i="9"/>
  <c r="D657" i="9" s="1"/>
  <c r="E657" i="9"/>
  <c r="H657" i="9"/>
  <c r="L657" i="9"/>
  <c r="C658" i="9"/>
  <c r="D658" i="9" s="1"/>
  <c r="E658" i="9"/>
  <c r="H658" i="9"/>
  <c r="L658" i="9"/>
  <c r="C659" i="9"/>
  <c r="D659" i="9" s="1"/>
  <c r="E659" i="9"/>
  <c r="G659" i="9" s="1"/>
  <c r="H659" i="9"/>
  <c r="L659" i="9"/>
  <c r="C660" i="9"/>
  <c r="D660" i="9" s="1"/>
  <c r="E660" i="9"/>
  <c r="G660" i="9" s="1"/>
  <c r="H660" i="9"/>
  <c r="L660" i="9"/>
  <c r="C661" i="9"/>
  <c r="D661" i="9"/>
  <c r="E661" i="9"/>
  <c r="H661" i="9"/>
  <c r="L661" i="9"/>
  <c r="C662" i="9"/>
  <c r="D662" i="9" s="1"/>
  <c r="E662" i="9"/>
  <c r="G662" i="9" s="1"/>
  <c r="H662" i="9"/>
  <c r="L662" i="9"/>
  <c r="C663" i="9"/>
  <c r="D663" i="9"/>
  <c r="E663" i="9"/>
  <c r="G663" i="9"/>
  <c r="H663" i="9"/>
  <c r="L663" i="9"/>
  <c r="C664" i="9"/>
  <c r="D664" i="9" s="1"/>
  <c r="E664" i="9"/>
  <c r="G664" i="9"/>
  <c r="H664" i="9"/>
  <c r="L664" i="9"/>
  <c r="C665" i="9"/>
  <c r="E665" i="9"/>
  <c r="G665" i="9" s="1"/>
  <c r="H665" i="9"/>
  <c r="L665" i="9"/>
  <c r="C666" i="9"/>
  <c r="D666" i="9"/>
  <c r="E666" i="9"/>
  <c r="G666" i="9" s="1"/>
  <c r="H666" i="9"/>
  <c r="L666" i="9"/>
  <c r="C667" i="9"/>
  <c r="D667" i="9"/>
  <c r="E667" i="9"/>
  <c r="H667" i="9"/>
  <c r="L667" i="9"/>
  <c r="C668" i="9"/>
  <c r="D668" i="9" s="1"/>
  <c r="E668" i="9"/>
  <c r="G668" i="9" s="1"/>
  <c r="H668" i="9"/>
  <c r="L668" i="9"/>
  <c r="C669" i="9"/>
  <c r="D669" i="9" s="1"/>
  <c r="E669" i="9"/>
  <c r="G669" i="9"/>
  <c r="H669" i="9"/>
  <c r="L669" i="9"/>
  <c r="C670" i="9"/>
  <c r="D670" i="9"/>
  <c r="E670" i="9"/>
  <c r="G670" i="9"/>
  <c r="H670" i="9"/>
  <c r="L670" i="9"/>
  <c r="C671" i="9"/>
  <c r="D671" i="9"/>
  <c r="E671" i="9"/>
  <c r="H671" i="9"/>
  <c r="L671" i="9"/>
  <c r="C672" i="9"/>
  <c r="D672" i="9"/>
  <c r="E672" i="9"/>
  <c r="G672" i="9"/>
  <c r="H672" i="9"/>
  <c r="L672" i="9"/>
  <c r="C673" i="9"/>
  <c r="D673" i="9" s="1"/>
  <c r="E673" i="9"/>
  <c r="G673" i="9"/>
  <c r="H673" i="9"/>
  <c r="L673" i="9"/>
  <c r="C674" i="9"/>
  <c r="E674" i="9"/>
  <c r="G674" i="9" s="1"/>
  <c r="H674" i="9"/>
  <c r="L674" i="9"/>
  <c r="C675" i="9"/>
  <c r="D675" i="9"/>
  <c r="E675" i="9"/>
  <c r="G675" i="9"/>
  <c r="H675" i="9"/>
  <c r="L675" i="9"/>
  <c r="C676" i="9"/>
  <c r="D676" i="9" s="1"/>
  <c r="E676" i="9"/>
  <c r="G676" i="9"/>
  <c r="H676" i="9"/>
  <c r="L676" i="9"/>
  <c r="C677" i="9"/>
  <c r="E677" i="9"/>
  <c r="G677" i="9" s="1"/>
  <c r="H677" i="9"/>
  <c r="L677" i="9"/>
  <c r="C678" i="9"/>
  <c r="D678" i="9"/>
  <c r="E678" i="9"/>
  <c r="G678" i="9"/>
  <c r="H678" i="9"/>
  <c r="L678" i="9"/>
  <c r="C679" i="9"/>
  <c r="D679" i="9"/>
  <c r="E679" i="9"/>
  <c r="G679" i="9"/>
  <c r="H679" i="9"/>
  <c r="L679" i="9"/>
  <c r="C680" i="9"/>
  <c r="D680" i="9"/>
  <c r="E680" i="9"/>
  <c r="H680" i="9"/>
  <c r="L680" i="9"/>
  <c r="C681" i="9"/>
  <c r="D681" i="9" s="1"/>
  <c r="E681" i="9"/>
  <c r="G681" i="9"/>
  <c r="H681" i="9"/>
  <c r="L681" i="9"/>
  <c r="C682" i="9"/>
  <c r="D682" i="9" s="1"/>
  <c r="E682" i="9"/>
  <c r="H682" i="9"/>
  <c r="L682" i="9"/>
  <c r="C683" i="9"/>
  <c r="D683" i="9"/>
  <c r="E683" i="9"/>
  <c r="G683" i="9" s="1"/>
  <c r="H683" i="9"/>
  <c r="L683" i="9"/>
  <c r="C684" i="9"/>
  <c r="D684" i="9" s="1"/>
  <c r="E684" i="9"/>
  <c r="G684" i="9"/>
  <c r="H684" i="9"/>
  <c r="L684" i="9"/>
  <c r="C685" i="9"/>
  <c r="D685" i="9"/>
  <c r="E685" i="9"/>
  <c r="G685" i="9" s="1"/>
  <c r="H685" i="9"/>
  <c r="L685" i="9"/>
  <c r="C686" i="9"/>
  <c r="D686" i="9" s="1"/>
  <c r="E686" i="9"/>
  <c r="G686" i="9" s="1"/>
  <c r="H686" i="9"/>
  <c r="L686" i="9"/>
  <c r="C687" i="9"/>
  <c r="D687" i="9" s="1"/>
  <c r="E687" i="9"/>
  <c r="G687" i="9"/>
  <c r="H687" i="9"/>
  <c r="L687" i="9"/>
  <c r="C688" i="9"/>
  <c r="D688" i="9"/>
  <c r="E688" i="9"/>
  <c r="G688" i="9"/>
  <c r="H688" i="9"/>
  <c r="L688" i="9"/>
  <c r="C689" i="9"/>
  <c r="D689" i="9"/>
  <c r="E689" i="9"/>
  <c r="G689" i="9" s="1"/>
  <c r="H689" i="9"/>
  <c r="L689" i="9"/>
  <c r="C690" i="9"/>
  <c r="D690" i="9"/>
  <c r="E690" i="9"/>
  <c r="H690" i="9"/>
  <c r="L690" i="9"/>
  <c r="C691" i="9"/>
  <c r="D691" i="9" s="1"/>
  <c r="E691" i="9"/>
  <c r="G691" i="9" s="1"/>
  <c r="H691" i="9"/>
  <c r="L691" i="9"/>
  <c r="C692" i="9"/>
  <c r="D692" i="9"/>
  <c r="E692" i="9"/>
  <c r="G692" i="9" s="1"/>
  <c r="H692" i="9"/>
  <c r="L692" i="9"/>
  <c r="C693" i="9"/>
  <c r="D693" i="9"/>
  <c r="E693" i="9"/>
  <c r="H693" i="9"/>
  <c r="L693" i="9"/>
  <c r="C694" i="9"/>
  <c r="D694" i="9" s="1"/>
  <c r="E694" i="9"/>
  <c r="G694" i="9"/>
  <c r="H694" i="9"/>
  <c r="L694" i="9"/>
  <c r="C695" i="9"/>
  <c r="D695" i="9"/>
  <c r="E695" i="9"/>
  <c r="G695" i="9" s="1"/>
  <c r="H695" i="9"/>
  <c r="L695" i="9"/>
  <c r="C696" i="9"/>
  <c r="E696" i="9"/>
  <c r="G696" i="9" s="1"/>
  <c r="H696" i="9"/>
  <c r="L696" i="9"/>
  <c r="C697" i="9"/>
  <c r="D697" i="9"/>
  <c r="E697" i="9"/>
  <c r="H697" i="9"/>
  <c r="L697" i="9"/>
  <c r="C698" i="9"/>
  <c r="D698" i="9" s="1"/>
  <c r="E698" i="9"/>
  <c r="G698" i="9" s="1"/>
  <c r="H698" i="9"/>
  <c r="L698" i="9"/>
  <c r="C699" i="9"/>
  <c r="D699" i="9"/>
  <c r="E699" i="9"/>
  <c r="G699" i="9"/>
  <c r="H699" i="9"/>
  <c r="L699" i="9"/>
  <c r="C700" i="9"/>
  <c r="D700" i="9"/>
  <c r="E700" i="9"/>
  <c r="G700" i="9"/>
  <c r="H700" i="9"/>
  <c r="L700" i="9"/>
  <c r="C701" i="9"/>
  <c r="D701" i="9" s="1"/>
  <c r="E701" i="9"/>
  <c r="G701" i="9" s="1"/>
  <c r="H701" i="9"/>
  <c r="L701" i="9"/>
  <c r="C702" i="9"/>
  <c r="D702" i="9"/>
  <c r="E702" i="9"/>
  <c r="G702" i="9" s="1"/>
  <c r="H702" i="9"/>
  <c r="L702" i="9"/>
  <c r="C703" i="9"/>
  <c r="D703" i="9"/>
  <c r="E703" i="9"/>
  <c r="G703" i="9"/>
  <c r="H703" i="9"/>
  <c r="L703" i="9"/>
  <c r="C704" i="9"/>
  <c r="D704" i="9" s="1"/>
  <c r="E704" i="9"/>
  <c r="G704" i="9" s="1"/>
  <c r="H704" i="9"/>
  <c r="L704" i="9"/>
  <c r="C705" i="9"/>
  <c r="D705" i="9"/>
  <c r="E705" i="9"/>
  <c r="G705" i="9" s="1"/>
  <c r="H705" i="9"/>
  <c r="L705" i="9"/>
  <c r="C706" i="9"/>
  <c r="D706" i="9" s="1"/>
  <c r="E706" i="9"/>
  <c r="G706" i="9"/>
  <c r="H706" i="9"/>
  <c r="L706" i="9"/>
  <c r="C707" i="9"/>
  <c r="D707" i="9"/>
  <c r="E707" i="9"/>
  <c r="H707" i="9"/>
  <c r="L707" i="9"/>
  <c r="C708" i="9"/>
  <c r="D708" i="9" s="1"/>
  <c r="E708" i="9"/>
  <c r="G708" i="9" s="1"/>
  <c r="H708" i="9"/>
  <c r="L708" i="9"/>
  <c r="C709" i="9"/>
  <c r="D709" i="9" s="1"/>
  <c r="E709" i="9"/>
  <c r="G709" i="9"/>
  <c r="H709" i="9"/>
  <c r="L709" i="9"/>
  <c r="C710" i="9"/>
  <c r="D710" i="9" s="1"/>
  <c r="E710" i="9"/>
  <c r="G710" i="9" s="1"/>
  <c r="H710" i="9"/>
  <c r="L710" i="9"/>
  <c r="C711" i="9"/>
  <c r="E711" i="9"/>
  <c r="H711" i="9"/>
  <c r="L711" i="9"/>
  <c r="C712" i="9"/>
  <c r="D712" i="9" s="1"/>
  <c r="E712" i="9"/>
  <c r="G712" i="9"/>
  <c r="H712" i="9"/>
  <c r="L712" i="9"/>
  <c r="C713" i="9"/>
  <c r="D713" i="9"/>
  <c r="E713" i="9"/>
  <c r="G713" i="9" s="1"/>
  <c r="H713" i="9"/>
  <c r="L713" i="9"/>
  <c r="C714" i="9"/>
  <c r="D714" i="9"/>
  <c r="E714" i="9"/>
  <c r="G714" i="9"/>
  <c r="H714" i="9"/>
  <c r="L714" i="9"/>
  <c r="C715" i="9"/>
  <c r="D715" i="9"/>
  <c r="E715" i="9"/>
  <c r="H715" i="9"/>
  <c r="L715" i="9"/>
  <c r="C716" i="9"/>
  <c r="D716" i="9"/>
  <c r="E716" i="9"/>
  <c r="G716" i="9" s="1"/>
  <c r="H716" i="9"/>
  <c r="L716" i="9"/>
  <c r="C717" i="9"/>
  <c r="D717" i="9"/>
  <c r="E717" i="9"/>
  <c r="H717" i="9"/>
  <c r="L717" i="9"/>
  <c r="C718" i="9"/>
  <c r="D718" i="9"/>
  <c r="E718" i="9"/>
  <c r="H718" i="9"/>
  <c r="L718" i="9"/>
  <c r="C719" i="9"/>
  <c r="D719" i="9" s="1"/>
  <c r="E719" i="9"/>
  <c r="G719" i="9" s="1"/>
  <c r="H719" i="9"/>
  <c r="L719" i="9"/>
  <c r="C720" i="9"/>
  <c r="D720" i="9" s="1"/>
  <c r="E720" i="9"/>
  <c r="G720" i="9"/>
  <c r="H720" i="9"/>
  <c r="L720" i="9"/>
  <c r="C721" i="9"/>
  <c r="E721" i="9"/>
  <c r="G721" i="9" s="1"/>
  <c r="H721" i="9"/>
  <c r="L721" i="9"/>
  <c r="C722" i="9"/>
  <c r="E722" i="9"/>
  <c r="G722" i="9" s="1"/>
  <c r="H722" i="9"/>
  <c r="L722" i="9"/>
  <c r="C723" i="9"/>
  <c r="D723" i="9" s="1"/>
  <c r="E723" i="9"/>
  <c r="G723" i="9"/>
  <c r="H723" i="9"/>
  <c r="L723" i="9"/>
  <c r="C724" i="9"/>
  <c r="D724" i="9" s="1"/>
  <c r="E724" i="9"/>
  <c r="G724" i="9"/>
  <c r="H724" i="9"/>
  <c r="L724" i="9"/>
  <c r="C725" i="9"/>
  <c r="D725" i="9"/>
  <c r="E725" i="9"/>
  <c r="H725" i="9"/>
  <c r="L725" i="9"/>
  <c r="C726" i="9"/>
  <c r="D726" i="9"/>
  <c r="E726" i="9"/>
  <c r="G726" i="9"/>
  <c r="H726" i="9"/>
  <c r="L726" i="9"/>
  <c r="C727" i="9"/>
  <c r="D727" i="9"/>
  <c r="E727" i="9"/>
  <c r="G727" i="9"/>
  <c r="H727" i="9"/>
  <c r="L727" i="9"/>
  <c r="C728" i="9"/>
  <c r="D728" i="9"/>
  <c r="E728" i="9"/>
  <c r="G728" i="9" s="1"/>
  <c r="H728" i="9"/>
  <c r="L728" i="9"/>
  <c r="C729" i="9"/>
  <c r="D729" i="9"/>
  <c r="E729" i="9"/>
  <c r="H729" i="9"/>
  <c r="L729" i="9"/>
  <c r="C730" i="9"/>
  <c r="D730" i="9" s="1"/>
  <c r="E730" i="9"/>
  <c r="G730" i="9" s="1"/>
  <c r="H730" i="9"/>
  <c r="L730" i="9"/>
  <c r="C731" i="9"/>
  <c r="D731" i="9" s="1"/>
  <c r="E731" i="9"/>
  <c r="G731" i="9" s="1"/>
  <c r="H731" i="9"/>
  <c r="L731" i="9"/>
  <c r="C732" i="9"/>
  <c r="D732" i="9" s="1"/>
  <c r="E732" i="9"/>
  <c r="G732" i="9" s="1"/>
  <c r="H732" i="9"/>
  <c r="L732" i="9"/>
  <c r="C733" i="9"/>
  <c r="D733" i="9"/>
  <c r="E733" i="9"/>
  <c r="G733" i="9"/>
  <c r="H733" i="9"/>
  <c r="L733" i="9"/>
  <c r="C734" i="9"/>
  <c r="D734" i="9" s="1"/>
  <c r="E734" i="9"/>
  <c r="G734" i="9"/>
  <c r="H734" i="9"/>
  <c r="L734" i="9"/>
  <c r="C735" i="9"/>
  <c r="D735" i="9" s="1"/>
  <c r="E735" i="9"/>
  <c r="G735" i="9" s="1"/>
  <c r="H735" i="9"/>
  <c r="L735" i="9"/>
  <c r="C736" i="9"/>
  <c r="E736" i="9"/>
  <c r="H736" i="9"/>
  <c r="L736" i="9"/>
  <c r="C737" i="9"/>
  <c r="D737" i="9" s="1"/>
  <c r="E737" i="9"/>
  <c r="G737" i="9"/>
  <c r="H737" i="9"/>
  <c r="L737" i="9"/>
  <c r="C738" i="9"/>
  <c r="D738" i="9"/>
  <c r="E738" i="9"/>
  <c r="G738" i="9" s="1"/>
  <c r="H738" i="9"/>
  <c r="L738" i="9"/>
  <c r="C739" i="9"/>
  <c r="D739" i="9"/>
  <c r="E739" i="9"/>
  <c r="G739" i="9"/>
  <c r="H739" i="9"/>
  <c r="L739" i="9"/>
  <c r="C740" i="9"/>
  <c r="D740" i="9" s="1"/>
  <c r="E740" i="9"/>
  <c r="G740" i="9"/>
  <c r="H740" i="9"/>
  <c r="L740" i="9"/>
  <c r="C741" i="9"/>
  <c r="D741" i="9"/>
  <c r="E741" i="9"/>
  <c r="G741" i="9" s="1"/>
  <c r="H741" i="9"/>
  <c r="L741" i="9"/>
  <c r="C742" i="9"/>
  <c r="D742" i="9" s="1"/>
  <c r="E742" i="9"/>
  <c r="H742" i="9"/>
  <c r="L742" i="9"/>
  <c r="C743" i="9"/>
  <c r="D743" i="9" s="1"/>
  <c r="E743" i="9"/>
  <c r="G743" i="9"/>
  <c r="H743" i="9"/>
  <c r="L743" i="9"/>
  <c r="C744" i="9"/>
  <c r="D744" i="9"/>
  <c r="E744" i="9"/>
  <c r="G744" i="9" s="1"/>
  <c r="H744" i="9"/>
  <c r="L744" i="9"/>
  <c r="C745" i="9"/>
  <c r="D745" i="9"/>
  <c r="E745" i="9"/>
  <c r="H745" i="9"/>
  <c r="L745" i="9"/>
  <c r="C746" i="9"/>
  <c r="D746" i="9" s="1"/>
  <c r="E746" i="9"/>
  <c r="G746" i="9"/>
  <c r="H746" i="9"/>
  <c r="L746" i="9"/>
  <c r="C747" i="9"/>
  <c r="D747" i="9"/>
  <c r="E747" i="9"/>
  <c r="G747" i="9" s="1"/>
  <c r="H747" i="9"/>
  <c r="L747" i="9"/>
  <c r="C748" i="9"/>
  <c r="D748" i="9"/>
  <c r="E748" i="9"/>
  <c r="G748" i="9"/>
  <c r="H748" i="9"/>
  <c r="L748" i="9"/>
  <c r="C749" i="9"/>
  <c r="D749" i="9" s="1"/>
  <c r="E749" i="9"/>
  <c r="G749" i="9"/>
  <c r="H749" i="9"/>
  <c r="L749" i="9"/>
  <c r="C750" i="9"/>
  <c r="E750" i="9"/>
  <c r="G750" i="9" s="1"/>
  <c r="H750" i="9"/>
  <c r="L750" i="9"/>
  <c r="C751" i="9"/>
  <c r="D751" i="9" s="1"/>
  <c r="E751" i="9"/>
  <c r="G751" i="9"/>
  <c r="H751" i="9"/>
  <c r="L751" i="9"/>
  <c r="C752" i="9"/>
  <c r="D752" i="9" s="1"/>
  <c r="E752" i="9"/>
  <c r="G752" i="9"/>
  <c r="H752" i="9"/>
  <c r="L752" i="9"/>
  <c r="C753" i="9"/>
  <c r="D753" i="9"/>
  <c r="E753" i="9"/>
  <c r="G753" i="9" s="1"/>
  <c r="H753" i="9"/>
  <c r="L753" i="9"/>
  <c r="C754" i="9"/>
  <c r="D754" i="9" s="1"/>
  <c r="E754" i="9"/>
  <c r="G754" i="9" s="1"/>
  <c r="H754" i="9"/>
  <c r="L754" i="9"/>
  <c r="C755" i="9"/>
  <c r="D755" i="9" s="1"/>
  <c r="E755" i="9"/>
  <c r="G755" i="9"/>
  <c r="H755" i="9"/>
  <c r="L755" i="9"/>
  <c r="C756" i="9"/>
  <c r="D756" i="9" s="1"/>
  <c r="E756" i="9"/>
  <c r="G756" i="9" s="1"/>
  <c r="H756" i="9"/>
  <c r="L756" i="9"/>
  <c r="C757" i="9"/>
  <c r="D757" i="9" s="1"/>
  <c r="E757" i="9"/>
  <c r="G757" i="9"/>
  <c r="H757" i="9"/>
  <c r="L757" i="9"/>
  <c r="C758" i="9"/>
  <c r="D758" i="9" s="1"/>
  <c r="E758" i="9"/>
  <c r="G758" i="9"/>
  <c r="H758" i="9"/>
  <c r="L758" i="9"/>
  <c r="C759" i="9"/>
  <c r="D759" i="9" s="1"/>
  <c r="E759" i="9"/>
  <c r="G759" i="9" s="1"/>
  <c r="H759" i="9"/>
  <c r="L759" i="9"/>
  <c r="C760" i="9"/>
  <c r="D760" i="9"/>
  <c r="E760" i="9"/>
  <c r="H760" i="9"/>
  <c r="L760" i="9"/>
  <c r="C761" i="9"/>
  <c r="D761" i="9" s="1"/>
  <c r="E761" i="9"/>
  <c r="G761" i="9"/>
  <c r="H761" i="9"/>
  <c r="L761" i="9"/>
  <c r="C762" i="9"/>
  <c r="D762" i="9"/>
  <c r="E762" i="9"/>
  <c r="G762" i="9" s="1"/>
  <c r="H762" i="9"/>
  <c r="L762" i="9"/>
  <c r="C763" i="9"/>
  <c r="D763" i="9"/>
  <c r="E763" i="9"/>
  <c r="G763" i="9" s="1"/>
  <c r="H763" i="9"/>
  <c r="L763" i="9"/>
  <c r="C764" i="9"/>
  <c r="D764" i="9" s="1"/>
  <c r="E764" i="9"/>
  <c r="G764" i="9"/>
  <c r="H764" i="9"/>
  <c r="L764" i="9"/>
  <c r="C765" i="9"/>
  <c r="D765" i="9"/>
  <c r="E765" i="9"/>
  <c r="G765" i="9" s="1"/>
  <c r="H765" i="9"/>
  <c r="L765" i="9"/>
  <c r="C766" i="9"/>
  <c r="D766" i="9" s="1"/>
  <c r="E766" i="9"/>
  <c r="G766" i="9"/>
  <c r="H766" i="9"/>
  <c r="L766" i="9"/>
  <c r="C767" i="9"/>
  <c r="D767" i="9" s="1"/>
  <c r="E767" i="9"/>
  <c r="G767" i="9"/>
  <c r="H767" i="9"/>
  <c r="L767" i="9"/>
  <c r="C768" i="9"/>
  <c r="D768" i="9"/>
  <c r="E768" i="9"/>
  <c r="G768" i="9" s="1"/>
  <c r="H768" i="9"/>
  <c r="L768" i="9"/>
  <c r="C769" i="9"/>
  <c r="D769" i="9"/>
  <c r="E769" i="9"/>
  <c r="G769" i="9"/>
  <c r="H769" i="9"/>
  <c r="L769" i="9"/>
  <c r="C770" i="9"/>
  <c r="D770" i="9" s="1"/>
  <c r="E770" i="9"/>
  <c r="G770" i="9"/>
  <c r="H770" i="9"/>
  <c r="L770" i="9"/>
  <c r="C771" i="9"/>
  <c r="D771" i="9"/>
  <c r="E771" i="9"/>
  <c r="G771" i="9" s="1"/>
  <c r="H771" i="9"/>
  <c r="L771" i="9"/>
  <c r="C772" i="9"/>
  <c r="D772" i="9" s="1"/>
  <c r="E772" i="9"/>
  <c r="G772" i="9"/>
  <c r="H772" i="9"/>
  <c r="L772" i="9"/>
  <c r="C773" i="9"/>
  <c r="D773" i="9" s="1"/>
  <c r="E773" i="9"/>
  <c r="H773" i="9"/>
  <c r="L773" i="9"/>
  <c r="C774" i="9"/>
  <c r="D774" i="9"/>
  <c r="E774" i="9"/>
  <c r="G774" i="9" s="1"/>
  <c r="H774" i="9"/>
  <c r="L774" i="9"/>
  <c r="C775" i="9"/>
  <c r="D775" i="9"/>
  <c r="E775" i="9"/>
  <c r="H775" i="9"/>
  <c r="L775" i="9"/>
  <c r="C776" i="9"/>
  <c r="D776" i="9" s="1"/>
  <c r="E776" i="9"/>
  <c r="G776" i="9" s="1"/>
  <c r="H776" i="9"/>
  <c r="L776" i="9"/>
  <c r="C777" i="9"/>
  <c r="D777" i="9" s="1"/>
  <c r="E777" i="9"/>
  <c r="G777" i="9" s="1"/>
  <c r="H777" i="9"/>
  <c r="L777" i="9"/>
  <c r="C778" i="9"/>
  <c r="D778" i="9"/>
  <c r="E778" i="9"/>
  <c r="G778" i="9"/>
  <c r="H778" i="9"/>
  <c r="L778" i="9"/>
  <c r="C779" i="9"/>
  <c r="D779" i="9" s="1"/>
  <c r="E779" i="9"/>
  <c r="G779" i="9"/>
  <c r="H779" i="9"/>
  <c r="L779" i="9"/>
  <c r="C780" i="9"/>
  <c r="D780" i="9" s="1"/>
  <c r="E780" i="9"/>
  <c r="G780" i="9" s="1"/>
  <c r="H780" i="9"/>
  <c r="L780" i="9"/>
  <c r="C781" i="9"/>
  <c r="D781" i="9"/>
  <c r="E781" i="9"/>
  <c r="G781" i="9"/>
  <c r="H781" i="9"/>
  <c r="L781" i="9"/>
  <c r="C782" i="9"/>
  <c r="D782" i="9" s="1"/>
  <c r="E782" i="9"/>
  <c r="H782" i="9"/>
  <c r="L782" i="9"/>
  <c r="C783" i="9"/>
  <c r="E783" i="9"/>
  <c r="G783" i="9" s="1"/>
  <c r="H783" i="9"/>
  <c r="L783" i="9"/>
  <c r="C784" i="9"/>
  <c r="D784" i="9" s="1"/>
  <c r="E784" i="9"/>
  <c r="H784" i="9"/>
  <c r="L784" i="9"/>
  <c r="C785" i="9"/>
  <c r="D785" i="9" s="1"/>
  <c r="E785" i="9"/>
  <c r="G785" i="9"/>
  <c r="H785" i="9"/>
  <c r="L785" i="9"/>
  <c r="C786" i="9"/>
  <c r="E786" i="9"/>
  <c r="H786" i="9"/>
  <c r="L786" i="9"/>
  <c r="C787" i="9"/>
  <c r="D787" i="9"/>
  <c r="E787" i="9"/>
  <c r="H787" i="9"/>
  <c r="L787" i="9"/>
  <c r="C788" i="9"/>
  <c r="D788" i="9" s="1"/>
  <c r="E788" i="9"/>
  <c r="G788" i="9" s="1"/>
  <c r="H788" i="9"/>
  <c r="L788" i="9"/>
  <c r="C789" i="9"/>
  <c r="D789" i="9"/>
  <c r="E789" i="9"/>
  <c r="H789" i="9"/>
  <c r="L789" i="9"/>
  <c r="C790" i="9"/>
  <c r="D790" i="9"/>
  <c r="E790" i="9"/>
  <c r="G790" i="9"/>
  <c r="H790" i="9"/>
  <c r="L790" i="9"/>
  <c r="C791" i="9"/>
  <c r="D791" i="9" s="1"/>
  <c r="E791" i="9"/>
  <c r="G791" i="9"/>
  <c r="H791" i="9"/>
  <c r="L791" i="9"/>
  <c r="C792" i="9"/>
  <c r="D792" i="9" s="1"/>
  <c r="E792" i="9"/>
  <c r="G792" i="9" s="1"/>
  <c r="H792" i="9"/>
  <c r="L792" i="9"/>
  <c r="C793" i="9"/>
  <c r="D793" i="9"/>
  <c r="E793" i="9"/>
  <c r="G793" i="9"/>
  <c r="H793" i="9"/>
  <c r="L793" i="9"/>
  <c r="C794" i="9"/>
  <c r="D794" i="9" s="1"/>
  <c r="E794" i="9"/>
  <c r="G794" i="9"/>
  <c r="H794" i="9"/>
  <c r="L794" i="9"/>
  <c r="C795" i="9"/>
  <c r="D795" i="9" s="1"/>
  <c r="E795" i="9"/>
  <c r="G795" i="9" s="1"/>
  <c r="H795" i="9"/>
  <c r="L795" i="9"/>
  <c r="C796" i="9"/>
  <c r="D796" i="9"/>
  <c r="E796" i="9"/>
  <c r="G796" i="9" s="1"/>
  <c r="H796" i="9"/>
  <c r="L796" i="9"/>
  <c r="C797" i="9"/>
  <c r="D797" i="9" s="1"/>
  <c r="E797" i="9"/>
  <c r="G797" i="9"/>
  <c r="H797" i="9"/>
  <c r="L797" i="9"/>
  <c r="C798" i="9"/>
  <c r="D798" i="9"/>
  <c r="E798" i="9"/>
  <c r="G798" i="9" s="1"/>
  <c r="H798" i="9"/>
  <c r="L798" i="9"/>
  <c r="C799" i="9"/>
  <c r="D799" i="9"/>
  <c r="E799" i="9"/>
  <c r="G799" i="9" s="1"/>
  <c r="H799" i="9"/>
  <c r="L799" i="9"/>
  <c r="C800" i="9"/>
  <c r="D800" i="9" s="1"/>
  <c r="E800" i="9"/>
  <c r="H800" i="9"/>
  <c r="L800" i="9"/>
  <c r="C801" i="9"/>
  <c r="D801" i="9"/>
  <c r="E801" i="9"/>
  <c r="G801" i="9" s="1"/>
  <c r="H801" i="9"/>
  <c r="L801" i="9"/>
  <c r="C802" i="9"/>
  <c r="D802" i="9"/>
  <c r="E802" i="9"/>
  <c r="G802" i="9"/>
  <c r="H802" i="9"/>
  <c r="L802" i="9"/>
  <c r="C803" i="9"/>
  <c r="D803" i="9" s="1"/>
  <c r="E803" i="9"/>
  <c r="H803" i="9"/>
  <c r="L803" i="9"/>
  <c r="C804" i="9"/>
  <c r="D804" i="9" s="1"/>
  <c r="E804" i="9"/>
  <c r="G804" i="9" s="1"/>
  <c r="H804" i="9"/>
  <c r="L804" i="9"/>
  <c r="C805" i="9"/>
  <c r="D805" i="9"/>
  <c r="E805" i="9"/>
  <c r="G805" i="9"/>
  <c r="H805" i="9"/>
  <c r="L805" i="9"/>
  <c r="C806" i="9"/>
  <c r="D806" i="9" s="1"/>
  <c r="E806" i="9"/>
  <c r="H806" i="9"/>
  <c r="L806" i="9"/>
  <c r="C807" i="9"/>
  <c r="D807" i="9"/>
  <c r="E807" i="9"/>
  <c r="G807" i="9" s="1"/>
  <c r="H807" i="9"/>
  <c r="L807" i="9"/>
  <c r="C808" i="9"/>
  <c r="D808" i="9" s="1"/>
  <c r="E808" i="9"/>
  <c r="G808" i="9"/>
  <c r="H808" i="9"/>
  <c r="L808" i="9"/>
  <c r="C809" i="9"/>
  <c r="D809" i="9" s="1"/>
  <c r="E809" i="9"/>
  <c r="H809" i="9"/>
  <c r="L809" i="9"/>
  <c r="C810" i="9"/>
  <c r="D810" i="9"/>
  <c r="E810" i="9"/>
  <c r="G810" i="9" s="1"/>
  <c r="H810" i="9"/>
  <c r="L810" i="9"/>
  <c r="C811" i="9"/>
  <c r="D811" i="9"/>
  <c r="E811" i="9"/>
  <c r="H811" i="9"/>
  <c r="L811" i="9"/>
  <c r="C812" i="9"/>
  <c r="D812" i="9" s="1"/>
  <c r="E812" i="9"/>
  <c r="G812" i="9" s="1"/>
  <c r="H812" i="9"/>
  <c r="L812" i="9"/>
  <c r="C813" i="9"/>
  <c r="D813" i="9" s="1"/>
  <c r="E813" i="9"/>
  <c r="G813" i="9" s="1"/>
  <c r="H813" i="9"/>
  <c r="L813" i="9"/>
  <c r="C814" i="9"/>
  <c r="D814" i="9"/>
  <c r="E814" i="9"/>
  <c r="G814" i="9"/>
  <c r="H814" i="9"/>
  <c r="L814" i="9"/>
  <c r="C815" i="9"/>
  <c r="D815" i="9" s="1"/>
  <c r="E815" i="9"/>
  <c r="G815" i="9"/>
  <c r="H815" i="9"/>
  <c r="L815" i="9"/>
  <c r="C816" i="9"/>
  <c r="D816" i="9" s="1"/>
  <c r="E816" i="9"/>
  <c r="G816" i="9" s="1"/>
  <c r="H816" i="9"/>
  <c r="L816" i="9"/>
  <c r="C817" i="9"/>
  <c r="D817" i="9"/>
  <c r="E817" i="9"/>
  <c r="G817" i="9"/>
  <c r="H817" i="9"/>
  <c r="L817" i="9"/>
  <c r="C818" i="9"/>
  <c r="D818" i="9" s="1"/>
  <c r="E818" i="9"/>
  <c r="H818" i="9"/>
  <c r="L818" i="9"/>
  <c r="C819" i="9"/>
  <c r="E819" i="9"/>
  <c r="G819" i="9" s="1"/>
  <c r="H819" i="9"/>
  <c r="L819" i="9"/>
  <c r="C820" i="9"/>
  <c r="D820" i="9" s="1"/>
  <c r="E820" i="9"/>
  <c r="G820" i="9" s="1"/>
  <c r="H820" i="9"/>
  <c r="L820" i="9"/>
  <c r="C821" i="9"/>
  <c r="D821" i="9" s="1"/>
  <c r="E821" i="9"/>
  <c r="G821" i="9"/>
  <c r="H821" i="9"/>
  <c r="L821" i="9"/>
  <c r="C822" i="9"/>
  <c r="E822" i="9"/>
  <c r="H822" i="9"/>
  <c r="L822" i="9"/>
  <c r="C823" i="9"/>
  <c r="D823" i="9"/>
  <c r="E823" i="9"/>
  <c r="H823" i="9"/>
  <c r="L823" i="9"/>
  <c r="C824" i="9"/>
  <c r="D824" i="9" s="1"/>
  <c r="E824" i="9"/>
  <c r="H824" i="9"/>
  <c r="L824" i="9"/>
  <c r="C825" i="9"/>
  <c r="D825" i="9"/>
  <c r="E825" i="9"/>
  <c r="H825" i="9"/>
  <c r="L825" i="9"/>
  <c r="C826" i="9"/>
  <c r="D826" i="9"/>
  <c r="E826" i="9"/>
  <c r="G826" i="9"/>
  <c r="H826" i="9"/>
  <c r="L826" i="9"/>
  <c r="C827" i="9"/>
  <c r="D827" i="9" s="1"/>
  <c r="E827" i="9"/>
  <c r="G827" i="9"/>
  <c r="H827" i="9"/>
  <c r="L827" i="9"/>
  <c r="C828" i="9"/>
  <c r="D828" i="9" s="1"/>
  <c r="E828" i="9"/>
  <c r="G828" i="9" s="1"/>
  <c r="H828" i="9"/>
  <c r="L828" i="9"/>
  <c r="C829" i="9"/>
  <c r="D829" i="9"/>
  <c r="E829" i="9"/>
  <c r="G829" i="9"/>
  <c r="H829" i="9"/>
  <c r="L829" i="9"/>
  <c r="C830" i="9"/>
  <c r="D830" i="9" s="1"/>
  <c r="E830" i="9"/>
  <c r="G830" i="9"/>
  <c r="H830" i="9"/>
  <c r="L830" i="9"/>
  <c r="C831" i="9"/>
  <c r="D831" i="9" s="1"/>
  <c r="E831" i="9"/>
  <c r="G831" i="9" s="1"/>
  <c r="H831" i="9"/>
  <c r="L831" i="9"/>
  <c r="C832" i="9"/>
  <c r="D832" i="9"/>
  <c r="E832" i="9"/>
  <c r="G832" i="9" s="1"/>
  <c r="H832" i="9"/>
  <c r="L832" i="9"/>
  <c r="C833" i="9"/>
  <c r="D833" i="9" s="1"/>
  <c r="E833" i="9"/>
  <c r="G833" i="9"/>
  <c r="H833" i="9"/>
  <c r="L833" i="9"/>
  <c r="C834" i="9"/>
  <c r="E834" i="9"/>
  <c r="G834" i="9" s="1"/>
  <c r="H834" i="9"/>
  <c r="L834" i="9"/>
  <c r="C835" i="9"/>
  <c r="D835" i="9"/>
  <c r="E835" i="9"/>
  <c r="G835" i="9" s="1"/>
  <c r="H835" i="9"/>
  <c r="L835" i="9"/>
  <c r="C836" i="9"/>
  <c r="D836" i="9" s="1"/>
  <c r="E836" i="9"/>
  <c r="H836" i="9"/>
  <c r="L836" i="9"/>
  <c r="C837" i="9"/>
  <c r="D837" i="9"/>
  <c r="E837" i="9"/>
  <c r="H837" i="9"/>
  <c r="L837" i="9"/>
  <c r="C838" i="9"/>
  <c r="D838" i="9"/>
  <c r="E838" i="9"/>
  <c r="G838" i="9"/>
  <c r="H838" i="9"/>
  <c r="L838" i="9"/>
  <c r="C839" i="9"/>
  <c r="D839" i="9" s="1"/>
  <c r="E839" i="9"/>
  <c r="H839" i="9"/>
  <c r="L839" i="9"/>
  <c r="C840" i="9"/>
  <c r="D840" i="9" s="1"/>
  <c r="E840" i="9"/>
  <c r="G840" i="9" s="1"/>
  <c r="H840" i="9"/>
  <c r="L840" i="9"/>
  <c r="C841" i="9"/>
  <c r="D841" i="9"/>
  <c r="E841" i="9"/>
  <c r="G841" i="9"/>
  <c r="H841" i="9"/>
  <c r="L841" i="9"/>
  <c r="C842" i="9"/>
  <c r="D842" i="9" s="1"/>
  <c r="E842" i="9"/>
  <c r="H842" i="9"/>
  <c r="L842" i="9"/>
  <c r="C843" i="9"/>
  <c r="D843" i="9"/>
  <c r="E843" i="9"/>
  <c r="G843" i="9" s="1"/>
  <c r="H843" i="9"/>
  <c r="L843" i="9"/>
  <c r="C844" i="9"/>
  <c r="D844" i="9" s="1"/>
  <c r="E844" i="9"/>
  <c r="G844" i="9"/>
  <c r="H844" i="9"/>
  <c r="L844" i="9"/>
  <c r="C845" i="9"/>
  <c r="D845" i="9" s="1"/>
  <c r="E845" i="9"/>
  <c r="H845" i="9"/>
  <c r="L845" i="9"/>
  <c r="C846" i="9"/>
  <c r="D846" i="9" s="1"/>
  <c r="E846" i="9"/>
  <c r="G846" i="9" s="1"/>
  <c r="H846" i="9"/>
  <c r="L846" i="9"/>
  <c r="C847" i="9"/>
  <c r="D847" i="9"/>
  <c r="E847" i="9"/>
  <c r="H847" i="9"/>
  <c r="L847" i="9"/>
  <c r="C848" i="9"/>
  <c r="D848" i="9" s="1"/>
  <c r="E848" i="9"/>
  <c r="H848" i="9"/>
  <c r="L848" i="9"/>
  <c r="C849" i="9"/>
  <c r="D849" i="9" s="1"/>
  <c r="E849" i="9"/>
  <c r="G849" i="9" s="1"/>
  <c r="H849" i="9"/>
  <c r="L849" i="9"/>
  <c r="C850" i="9"/>
  <c r="D850" i="9"/>
  <c r="E850" i="9"/>
  <c r="G850" i="9"/>
  <c r="H850" i="9"/>
  <c r="L850" i="9"/>
  <c r="C851" i="9"/>
  <c r="D851" i="9" s="1"/>
  <c r="E851" i="9"/>
  <c r="G851" i="9"/>
  <c r="H851" i="9"/>
  <c r="L851" i="9"/>
  <c r="C852" i="9"/>
  <c r="D852" i="9" s="1"/>
  <c r="E852" i="9"/>
  <c r="G852" i="9" s="1"/>
  <c r="H852" i="9"/>
  <c r="L852" i="9"/>
  <c r="C853" i="9"/>
  <c r="D853" i="9"/>
  <c r="E853" i="9"/>
  <c r="G853" i="9"/>
  <c r="H853" i="9"/>
  <c r="L853" i="9"/>
  <c r="C854" i="9"/>
  <c r="D854" i="9" s="1"/>
  <c r="E854" i="9"/>
  <c r="H854" i="9"/>
  <c r="L854" i="9"/>
  <c r="C855" i="9"/>
  <c r="E855" i="9"/>
  <c r="G855" i="9" s="1"/>
  <c r="H855" i="9"/>
  <c r="L855" i="9"/>
  <c r="C856" i="9"/>
  <c r="D856" i="9" s="1"/>
  <c r="E856" i="9"/>
  <c r="G856" i="9" s="1"/>
  <c r="H856" i="9"/>
  <c r="L856" i="9"/>
  <c r="C857" i="9"/>
  <c r="D857" i="9" s="1"/>
  <c r="E857" i="9"/>
  <c r="G857" i="9"/>
  <c r="H857" i="9"/>
  <c r="L857" i="9"/>
  <c r="C858" i="9"/>
  <c r="D858" i="9" s="1"/>
  <c r="E858" i="9"/>
  <c r="H858" i="9"/>
  <c r="L858" i="9"/>
  <c r="C859" i="9"/>
  <c r="D859" i="9"/>
  <c r="E859" i="9"/>
  <c r="H859" i="9"/>
  <c r="L859" i="9"/>
  <c r="C860" i="9"/>
  <c r="D860" i="9" s="1"/>
  <c r="E860" i="9"/>
  <c r="H860" i="9"/>
  <c r="L860" i="9"/>
  <c r="C861" i="9"/>
  <c r="D861" i="9"/>
  <c r="E861" i="9"/>
  <c r="G861" i="9" s="1"/>
  <c r="H861" i="9"/>
  <c r="L861" i="9"/>
  <c r="C862" i="9"/>
  <c r="D862" i="9"/>
  <c r="E862" i="9"/>
  <c r="G862" i="9"/>
  <c r="H862" i="9"/>
  <c r="L862" i="9"/>
  <c r="C863" i="9"/>
  <c r="D863" i="9" s="1"/>
  <c r="E863" i="9"/>
  <c r="G863" i="9"/>
  <c r="H863" i="9"/>
  <c r="L863" i="9"/>
  <c r="C864" i="9"/>
  <c r="D864" i="9" s="1"/>
  <c r="E864" i="9"/>
  <c r="G864" i="9" s="1"/>
  <c r="H864" i="9"/>
  <c r="L864" i="9"/>
  <c r="C865" i="9"/>
  <c r="D865" i="9"/>
  <c r="E865" i="9"/>
  <c r="G865" i="9" s="1"/>
  <c r="H865" i="9"/>
  <c r="L865" i="9"/>
  <c r="C866" i="9"/>
  <c r="D866" i="9" s="1"/>
  <c r="E866" i="9"/>
  <c r="G866" i="9"/>
  <c r="H866" i="9"/>
  <c r="L866" i="9"/>
  <c r="C867" i="9"/>
  <c r="D867" i="9" s="1"/>
  <c r="E867" i="9"/>
  <c r="G867" i="9" s="1"/>
  <c r="H867" i="9"/>
  <c r="L867" i="9"/>
  <c r="C868" i="9"/>
  <c r="D868" i="9" s="1"/>
  <c r="E868" i="9"/>
  <c r="G868" i="9" s="1"/>
  <c r="H868" i="9"/>
  <c r="L868" i="9"/>
  <c r="C869" i="9"/>
  <c r="D869" i="9" s="1"/>
  <c r="E869" i="9"/>
  <c r="G869" i="9"/>
  <c r="H869" i="9"/>
  <c r="L869" i="9"/>
  <c r="C870" i="9"/>
  <c r="E870" i="9"/>
  <c r="G870" i="9" s="1"/>
  <c r="H870" i="9"/>
  <c r="L870" i="9"/>
  <c r="C871" i="9"/>
  <c r="D871" i="9"/>
  <c r="E871" i="9"/>
  <c r="G871" i="9" s="1"/>
  <c r="H871" i="9"/>
  <c r="L871" i="9"/>
  <c r="C872" i="9"/>
  <c r="D872" i="9" s="1"/>
  <c r="E872" i="9"/>
  <c r="H872" i="9"/>
  <c r="L872" i="9"/>
  <c r="C873" i="9"/>
  <c r="D873" i="9" s="1"/>
  <c r="E873" i="9"/>
  <c r="H873" i="9"/>
  <c r="L873" i="9"/>
  <c r="C874" i="9"/>
  <c r="D874" i="9"/>
  <c r="E874" i="9"/>
  <c r="G874" i="9"/>
  <c r="H874" i="9"/>
  <c r="L874" i="9"/>
  <c r="C875" i="9"/>
  <c r="D875" i="9" s="1"/>
  <c r="E875" i="9"/>
  <c r="H875" i="9"/>
  <c r="L875" i="9"/>
  <c r="C876" i="9"/>
  <c r="D876" i="9" s="1"/>
  <c r="E876" i="9"/>
  <c r="G876" i="9" s="1"/>
  <c r="H876" i="9"/>
  <c r="L876" i="9"/>
  <c r="C877" i="9"/>
  <c r="D877" i="9"/>
  <c r="E877" i="9"/>
  <c r="G877" i="9"/>
  <c r="H877" i="9"/>
  <c r="L877" i="9"/>
  <c r="C878" i="9"/>
  <c r="D878" i="9" s="1"/>
  <c r="E878" i="9"/>
  <c r="G878" i="9"/>
  <c r="H878" i="9"/>
  <c r="L878" i="9"/>
  <c r="C879" i="9"/>
  <c r="D879" i="9" s="1"/>
  <c r="E879" i="9"/>
  <c r="G879" i="9" s="1"/>
  <c r="H879" i="9"/>
  <c r="L879" i="9"/>
  <c r="C880" i="9"/>
  <c r="D880" i="9" s="1"/>
  <c r="E880" i="9"/>
  <c r="G880" i="9"/>
  <c r="H880" i="9"/>
  <c r="L880" i="9"/>
  <c r="C881" i="9"/>
  <c r="D881" i="9" s="1"/>
  <c r="E881" i="9"/>
  <c r="H881" i="9"/>
  <c r="L881" i="9"/>
  <c r="C882" i="9"/>
  <c r="D882" i="9" s="1"/>
  <c r="E882" i="9"/>
  <c r="G882" i="9" s="1"/>
  <c r="H882" i="9"/>
  <c r="L882" i="9"/>
  <c r="C883" i="9"/>
  <c r="D883" i="9"/>
  <c r="E883" i="9"/>
  <c r="H883" i="9"/>
  <c r="L883" i="9"/>
  <c r="C884" i="9"/>
  <c r="D884" i="9" s="1"/>
  <c r="E884" i="9"/>
  <c r="H884" i="9"/>
  <c r="L884" i="9"/>
  <c r="C885" i="9"/>
  <c r="D885" i="9" s="1"/>
  <c r="E885" i="9"/>
  <c r="G885" i="9" s="1"/>
  <c r="H885" i="9"/>
  <c r="L885" i="9"/>
  <c r="C886" i="9"/>
  <c r="D886" i="9"/>
  <c r="E886" i="9"/>
  <c r="G886" i="9"/>
  <c r="H886" i="9"/>
  <c r="L886" i="9"/>
  <c r="C887" i="9"/>
  <c r="D887" i="9" s="1"/>
  <c r="E887" i="9"/>
  <c r="G887" i="9"/>
  <c r="H887" i="9"/>
  <c r="L887" i="9"/>
  <c r="C888" i="9"/>
  <c r="D888" i="9" s="1"/>
  <c r="E888" i="9"/>
  <c r="G888" i="9" s="1"/>
  <c r="H888" i="9"/>
  <c r="L888" i="9"/>
  <c r="C889" i="9"/>
  <c r="D889" i="9"/>
  <c r="E889" i="9"/>
  <c r="G889" i="9"/>
  <c r="H889" i="9"/>
  <c r="L889" i="9"/>
  <c r="C890" i="9"/>
  <c r="D890" i="9" s="1"/>
  <c r="E890" i="9"/>
  <c r="H890" i="9"/>
  <c r="L890" i="9"/>
  <c r="C891" i="9"/>
  <c r="E891" i="9"/>
  <c r="G891" i="9" s="1"/>
  <c r="H891" i="9"/>
  <c r="L891" i="9"/>
  <c r="C892" i="9"/>
  <c r="D892" i="9"/>
  <c r="E892" i="9"/>
  <c r="G892" i="9" s="1"/>
  <c r="H892" i="9"/>
  <c r="L892" i="9"/>
  <c r="C893" i="9"/>
  <c r="D893" i="9" s="1"/>
  <c r="E893" i="9"/>
  <c r="G893" i="9"/>
  <c r="H893" i="9"/>
  <c r="L893" i="9"/>
  <c r="C894" i="9"/>
  <c r="D894" i="9"/>
  <c r="E894" i="9"/>
  <c r="H894" i="9"/>
  <c r="L894" i="9"/>
  <c r="C895" i="9"/>
  <c r="D895" i="9"/>
  <c r="E895" i="9"/>
  <c r="G895" i="9" s="1"/>
  <c r="H895" i="9"/>
  <c r="L895" i="9"/>
  <c r="C896" i="9"/>
  <c r="D896" i="9" s="1"/>
  <c r="E896" i="9"/>
  <c r="H896" i="9"/>
  <c r="L896" i="9"/>
  <c r="C897" i="9"/>
  <c r="E897" i="9"/>
  <c r="G897" i="9" s="1"/>
  <c r="H897" i="9"/>
  <c r="L897" i="9"/>
  <c r="C898" i="9"/>
  <c r="D898" i="9"/>
  <c r="E898" i="9"/>
  <c r="G898" i="9"/>
  <c r="H898" i="9"/>
  <c r="L898" i="9"/>
  <c r="C899" i="9"/>
  <c r="D899" i="9" s="1"/>
  <c r="E899" i="9"/>
  <c r="G899" i="9"/>
  <c r="H899" i="9"/>
  <c r="L899" i="9"/>
  <c r="C900" i="9"/>
  <c r="D900" i="9" s="1"/>
  <c r="E900" i="9"/>
  <c r="G900" i="9" s="1"/>
  <c r="H900" i="9"/>
  <c r="L900" i="9"/>
  <c r="C901" i="9"/>
  <c r="D901" i="9"/>
  <c r="E901" i="9"/>
  <c r="G901" i="9" s="1"/>
  <c r="H901" i="9"/>
  <c r="L901" i="9"/>
  <c r="C902" i="9"/>
  <c r="D902" i="9" s="1"/>
  <c r="E902" i="9"/>
  <c r="G902" i="9"/>
  <c r="H902" i="9"/>
  <c r="L902" i="9"/>
  <c r="C903" i="9"/>
  <c r="D903" i="9" s="1"/>
  <c r="E903" i="9"/>
  <c r="G903" i="9" s="1"/>
  <c r="H903" i="9"/>
  <c r="L903" i="9"/>
  <c r="C904" i="9"/>
  <c r="D904" i="9"/>
  <c r="E904" i="9"/>
  <c r="G904" i="9" s="1"/>
  <c r="H904" i="9"/>
  <c r="L904" i="9"/>
  <c r="C905" i="9"/>
  <c r="D905" i="9" s="1"/>
  <c r="E905" i="9"/>
  <c r="G905" i="9"/>
  <c r="H905" i="9"/>
  <c r="L905" i="9"/>
  <c r="C906" i="9"/>
  <c r="E906" i="9"/>
  <c r="G906" i="9" s="1"/>
  <c r="H906" i="9"/>
  <c r="L906" i="9"/>
  <c r="C907" i="9"/>
  <c r="D907" i="9"/>
  <c r="E907" i="9"/>
  <c r="G907" i="9" s="1"/>
  <c r="H907" i="9"/>
  <c r="L907" i="9"/>
  <c r="C908" i="9"/>
  <c r="D908" i="9" s="1"/>
  <c r="E908" i="9"/>
  <c r="H908" i="9"/>
  <c r="L908" i="9"/>
  <c r="C909" i="9"/>
  <c r="D909" i="9" s="1"/>
  <c r="E909" i="9"/>
  <c r="H909" i="9"/>
  <c r="L909" i="9"/>
  <c r="C910" i="9"/>
  <c r="D910" i="9"/>
  <c r="E910" i="9"/>
  <c r="G910" i="9"/>
  <c r="H910" i="9"/>
  <c r="L910" i="9"/>
  <c r="C911" i="9"/>
  <c r="D911" i="9" s="1"/>
  <c r="E911" i="9"/>
  <c r="H911" i="9"/>
  <c r="L911" i="9"/>
  <c r="C912" i="9"/>
  <c r="D912" i="9" s="1"/>
  <c r="E912" i="9"/>
  <c r="G912" i="9" s="1"/>
  <c r="H912" i="9"/>
  <c r="L912" i="9"/>
  <c r="C913" i="9"/>
  <c r="D913" i="9"/>
  <c r="E913" i="9"/>
  <c r="G913" i="9"/>
  <c r="H913" i="9"/>
  <c r="L913" i="9"/>
  <c r="C914" i="9"/>
  <c r="D914" i="9" s="1"/>
  <c r="E914" i="9"/>
  <c r="H914" i="9"/>
  <c r="L914" i="9"/>
  <c r="C915" i="9"/>
  <c r="D915" i="9" s="1"/>
  <c r="E915" i="9"/>
  <c r="G915" i="9" s="1"/>
  <c r="H915" i="9"/>
  <c r="L915" i="9"/>
  <c r="C916" i="9"/>
  <c r="D916" i="9" s="1"/>
  <c r="E916" i="9"/>
  <c r="G916" i="9"/>
  <c r="H916" i="9"/>
  <c r="L916" i="9"/>
  <c r="C917" i="9"/>
  <c r="D917" i="9" s="1"/>
  <c r="E917" i="9"/>
  <c r="G917" i="9"/>
  <c r="H917" i="9"/>
  <c r="L917" i="9"/>
  <c r="C918" i="9"/>
  <c r="D918" i="9" s="1"/>
  <c r="E918" i="9"/>
  <c r="G918" i="9" s="1"/>
  <c r="H918" i="9"/>
  <c r="L918" i="9"/>
  <c r="C919" i="9"/>
  <c r="D919" i="9"/>
  <c r="E919" i="9"/>
  <c r="H919" i="9"/>
  <c r="L919" i="9"/>
  <c r="C920" i="9"/>
  <c r="D920" i="9" s="1"/>
  <c r="E920" i="9"/>
  <c r="G920" i="9" s="1"/>
  <c r="H920" i="9"/>
  <c r="L920" i="9"/>
  <c r="C921" i="9"/>
  <c r="D921" i="9" s="1"/>
  <c r="E921" i="9"/>
  <c r="G921" i="9" s="1"/>
  <c r="H921" i="9"/>
  <c r="L921" i="9"/>
  <c r="C922" i="9"/>
  <c r="D922" i="9"/>
  <c r="E922" i="9"/>
  <c r="G922" i="9"/>
  <c r="H922" i="9"/>
  <c r="L922" i="9"/>
  <c r="C923" i="9"/>
  <c r="D923" i="9" s="1"/>
  <c r="E923" i="9"/>
  <c r="G923" i="9"/>
  <c r="H923" i="9"/>
  <c r="L923" i="9"/>
  <c r="C924" i="9"/>
  <c r="E924" i="9"/>
  <c r="G924" i="9" s="1"/>
  <c r="H924" i="9"/>
  <c r="L924" i="9"/>
  <c r="C925" i="9"/>
  <c r="D925" i="9"/>
  <c r="E925" i="9"/>
  <c r="G925" i="9"/>
  <c r="H925" i="9"/>
  <c r="L925" i="9"/>
  <c r="C926" i="9"/>
  <c r="D926" i="9" s="1"/>
  <c r="E926" i="9"/>
  <c r="H926" i="9"/>
  <c r="L926" i="9"/>
  <c r="C927" i="9"/>
  <c r="E927" i="9"/>
  <c r="H927" i="9"/>
  <c r="L927" i="9"/>
  <c r="C928" i="9"/>
  <c r="D928" i="9"/>
  <c r="E928" i="9"/>
  <c r="G928" i="9" s="1"/>
  <c r="H928" i="9"/>
  <c r="L928" i="9"/>
  <c r="C929" i="9"/>
  <c r="D929" i="9" s="1"/>
  <c r="E929" i="9"/>
  <c r="G929" i="9"/>
  <c r="H929" i="9"/>
  <c r="L929" i="9"/>
  <c r="C930" i="9"/>
  <c r="D930" i="9" s="1"/>
  <c r="E930" i="9"/>
  <c r="H930" i="9"/>
  <c r="L930" i="9"/>
  <c r="C931" i="9"/>
  <c r="D931" i="9"/>
  <c r="E931" i="9"/>
  <c r="G931" i="9"/>
  <c r="H931" i="9"/>
  <c r="L931" i="9"/>
  <c r="C932" i="9"/>
  <c r="D932" i="9" s="1"/>
  <c r="E932" i="9"/>
  <c r="H932" i="9"/>
  <c r="L932" i="9"/>
  <c r="C933" i="9"/>
  <c r="E933" i="9"/>
  <c r="G933" i="9" s="1"/>
  <c r="H933" i="9"/>
  <c r="L933" i="9"/>
  <c r="C934" i="9"/>
  <c r="D934" i="9"/>
  <c r="E934" i="9"/>
  <c r="G934" i="9"/>
  <c r="H934" i="9"/>
  <c r="L934" i="9"/>
  <c r="C935" i="9"/>
  <c r="D935" i="9" s="1"/>
  <c r="E935" i="9"/>
  <c r="G935" i="9" s="1"/>
  <c r="H935" i="9"/>
  <c r="L935" i="9"/>
  <c r="C936" i="9"/>
  <c r="D936" i="9" s="1"/>
  <c r="E936" i="9"/>
  <c r="G936" i="9" s="1"/>
  <c r="H936" i="9"/>
  <c r="L936" i="9"/>
  <c r="C937" i="9"/>
  <c r="D937" i="9"/>
  <c r="E937" i="9"/>
  <c r="G937" i="9" s="1"/>
  <c r="H937" i="9"/>
  <c r="L937" i="9"/>
  <c r="C938" i="9"/>
  <c r="D938" i="9" s="1"/>
  <c r="E938" i="9"/>
  <c r="G938" i="9"/>
  <c r="H938" i="9"/>
  <c r="L938" i="9"/>
  <c r="C939" i="9"/>
  <c r="D939" i="9" s="1"/>
  <c r="E939" i="9"/>
  <c r="H939" i="9"/>
  <c r="L939" i="9"/>
  <c r="C940" i="9"/>
  <c r="D940" i="9" s="1"/>
  <c r="E940" i="9"/>
  <c r="G940" i="9" s="1"/>
  <c r="H940" i="9"/>
  <c r="L940" i="9"/>
  <c r="C941" i="9"/>
  <c r="D941" i="9" s="1"/>
  <c r="E941" i="9"/>
  <c r="G941" i="9"/>
  <c r="H941" i="9"/>
  <c r="L941" i="9"/>
  <c r="C942" i="9"/>
  <c r="D942" i="9" s="1"/>
  <c r="E942" i="9"/>
  <c r="G942" i="9" s="1"/>
  <c r="H942" i="9"/>
  <c r="L942" i="9"/>
  <c r="C943" i="9"/>
  <c r="D943" i="9"/>
  <c r="E943" i="9"/>
  <c r="G943" i="9" s="1"/>
  <c r="H943" i="9"/>
  <c r="L943" i="9"/>
  <c r="C944" i="9"/>
  <c r="D944" i="9" s="1"/>
  <c r="E944" i="9"/>
  <c r="H944" i="9"/>
  <c r="L944" i="9"/>
  <c r="C945" i="9"/>
  <c r="E945" i="9"/>
  <c r="G945" i="9" s="1"/>
  <c r="H945" i="9"/>
  <c r="L945" i="9"/>
  <c r="C946" i="9"/>
  <c r="D946" i="9"/>
  <c r="E946" i="9"/>
  <c r="G946" i="9"/>
  <c r="H946" i="9"/>
  <c r="L946" i="9"/>
  <c r="C947" i="9"/>
  <c r="D947" i="9" s="1"/>
  <c r="E947" i="9"/>
  <c r="H947" i="9"/>
  <c r="L947" i="9"/>
  <c r="C948" i="9"/>
  <c r="D948" i="9" s="1"/>
  <c r="E948" i="9"/>
  <c r="H948" i="9"/>
  <c r="L948" i="9"/>
  <c r="C949" i="9"/>
  <c r="D949" i="9"/>
  <c r="E949" i="9"/>
  <c r="G949" i="9"/>
  <c r="H949" i="9"/>
  <c r="L949" i="9"/>
  <c r="C950" i="9"/>
  <c r="D950" i="9" s="1"/>
  <c r="E950" i="9"/>
  <c r="G950" i="9" s="1"/>
  <c r="H950" i="9"/>
  <c r="L950" i="9"/>
  <c r="C951" i="9"/>
  <c r="D951" i="9"/>
  <c r="E951" i="9"/>
  <c r="G951" i="9" s="1"/>
  <c r="H951" i="9"/>
  <c r="L951" i="9"/>
  <c r="C952" i="9"/>
  <c r="E952" i="9"/>
  <c r="G952" i="9"/>
  <c r="H952" i="9"/>
  <c r="L952" i="9"/>
  <c r="C953" i="9"/>
  <c r="D953" i="9" s="1"/>
  <c r="E953" i="9"/>
  <c r="G953" i="9" s="1"/>
  <c r="H953" i="9"/>
  <c r="L953" i="9"/>
  <c r="C954" i="9"/>
  <c r="D954" i="9" s="1"/>
  <c r="E954" i="9"/>
  <c r="G954" i="9" s="1"/>
  <c r="H954" i="9"/>
  <c r="L954" i="9"/>
  <c r="C955" i="9"/>
  <c r="D955" i="9"/>
  <c r="E955" i="9"/>
  <c r="H955" i="9"/>
  <c r="L955" i="9"/>
  <c r="C956" i="9"/>
  <c r="D956" i="9" s="1"/>
  <c r="E956" i="9"/>
  <c r="G956" i="9" s="1"/>
  <c r="H956" i="9"/>
  <c r="L956" i="9"/>
  <c r="C957" i="9"/>
  <c r="E957" i="9"/>
  <c r="G957" i="9" s="1"/>
  <c r="H957" i="9"/>
  <c r="L957" i="9"/>
  <c r="C958" i="9"/>
  <c r="D958" i="9"/>
  <c r="E958" i="9"/>
  <c r="G958" i="9"/>
  <c r="H958" i="9"/>
  <c r="L958" i="9"/>
  <c r="C959" i="9"/>
  <c r="D959" i="9" s="1"/>
  <c r="E959" i="9"/>
  <c r="G959" i="9"/>
  <c r="H959" i="9"/>
  <c r="L959" i="9"/>
  <c r="C960" i="9"/>
  <c r="E960" i="9"/>
  <c r="H960" i="9"/>
  <c r="L960" i="9"/>
  <c r="C961" i="9"/>
  <c r="D961" i="9"/>
  <c r="E961" i="9"/>
  <c r="G961" i="9"/>
  <c r="H961" i="9"/>
  <c r="L961" i="9"/>
  <c r="C962" i="9"/>
  <c r="D962" i="9" s="1"/>
  <c r="E962" i="9"/>
  <c r="H962" i="9"/>
  <c r="L962" i="9"/>
  <c r="C963" i="9"/>
  <c r="E963" i="9"/>
  <c r="H963" i="9"/>
  <c r="L963" i="9"/>
  <c r="C964" i="9"/>
  <c r="D964" i="9"/>
  <c r="E964" i="9"/>
  <c r="G964" i="9" s="1"/>
  <c r="H964" i="9"/>
  <c r="L964" i="9"/>
  <c r="C965" i="9"/>
  <c r="D965" i="9" s="1"/>
  <c r="E965" i="9"/>
  <c r="G965" i="9"/>
  <c r="H965" i="9"/>
  <c r="L965" i="9"/>
  <c r="C966" i="9"/>
  <c r="D966" i="9" s="1"/>
  <c r="E966" i="9"/>
  <c r="H966" i="9"/>
  <c r="L966" i="9"/>
  <c r="C967" i="9"/>
  <c r="D967" i="9"/>
  <c r="E967" i="9"/>
  <c r="G967" i="9"/>
  <c r="H967" i="9"/>
  <c r="L967" i="9"/>
  <c r="C968" i="9"/>
  <c r="D968" i="9" s="1"/>
  <c r="E968" i="9"/>
  <c r="G968" i="9" s="1"/>
  <c r="H968" i="9"/>
  <c r="L968" i="9"/>
  <c r="C969" i="9"/>
  <c r="E969" i="9"/>
  <c r="G969" i="9" s="1"/>
  <c r="H969" i="9"/>
  <c r="L969" i="9"/>
  <c r="C970" i="9"/>
  <c r="D970" i="9"/>
  <c r="E970" i="9"/>
  <c r="G970" i="9"/>
  <c r="H970" i="9"/>
  <c r="L970" i="9"/>
  <c r="C971" i="9"/>
  <c r="D971" i="9" s="1"/>
  <c r="E971" i="9"/>
  <c r="G971" i="9"/>
  <c r="H971" i="9"/>
  <c r="L971" i="9"/>
  <c r="C972" i="9"/>
  <c r="D972" i="9" s="1"/>
  <c r="E972" i="9"/>
  <c r="G972" i="9" s="1"/>
  <c r="H972" i="9"/>
  <c r="L972" i="9"/>
  <c r="C973" i="9"/>
  <c r="D973" i="9"/>
  <c r="E973" i="9"/>
  <c r="G973" i="9" s="1"/>
  <c r="H973" i="9"/>
  <c r="L973" i="9"/>
  <c r="C974" i="9"/>
  <c r="D974" i="9" s="1"/>
  <c r="E974" i="9"/>
  <c r="G974" i="9" s="1"/>
  <c r="H974" i="9"/>
  <c r="L974" i="9"/>
  <c r="C975" i="9"/>
  <c r="E975" i="9"/>
  <c r="H975" i="9"/>
  <c r="L975" i="9"/>
  <c r="C976" i="9"/>
  <c r="D976" i="9" s="1"/>
  <c r="E976" i="9"/>
  <c r="G976" i="9" s="1"/>
  <c r="H976" i="9"/>
  <c r="L976" i="9"/>
  <c r="C977" i="9"/>
  <c r="D977" i="9" s="1"/>
  <c r="E977" i="9"/>
  <c r="G977" i="9"/>
  <c r="H977" i="9"/>
  <c r="L977" i="9"/>
  <c r="C978" i="9"/>
  <c r="D978" i="9" s="1"/>
  <c r="E978" i="9"/>
  <c r="H978" i="9"/>
  <c r="L978" i="9"/>
  <c r="C979" i="9"/>
  <c r="D979" i="9"/>
  <c r="E979" i="9"/>
  <c r="G979" i="9" s="1"/>
  <c r="H979" i="9"/>
  <c r="L979" i="9"/>
  <c r="C980" i="9"/>
  <c r="D980" i="9" s="1"/>
  <c r="E980" i="9"/>
  <c r="H980" i="9"/>
  <c r="L980" i="9"/>
  <c r="C981" i="9"/>
  <c r="E981" i="9"/>
  <c r="G981" i="9" s="1"/>
  <c r="H981" i="9"/>
  <c r="L981" i="9"/>
  <c r="C982" i="9"/>
  <c r="D982" i="9"/>
  <c r="E982" i="9"/>
  <c r="G982" i="9"/>
  <c r="H982" i="9"/>
  <c r="L982" i="9"/>
  <c r="C983" i="9"/>
  <c r="D983" i="9" s="1"/>
  <c r="E983" i="9"/>
  <c r="H983" i="9"/>
  <c r="L983" i="9"/>
  <c r="C984" i="9"/>
  <c r="D984" i="9" s="1"/>
  <c r="E984" i="9"/>
  <c r="H984" i="9"/>
  <c r="L984" i="9"/>
  <c r="C985" i="9"/>
  <c r="D985" i="9"/>
  <c r="E985" i="9"/>
  <c r="G985" i="9"/>
  <c r="H985" i="9"/>
  <c r="L985" i="9"/>
  <c r="C986" i="9"/>
  <c r="D986" i="9" s="1"/>
  <c r="E986" i="9"/>
  <c r="G986" i="9"/>
  <c r="H986" i="9"/>
  <c r="L986" i="9"/>
  <c r="C987" i="9"/>
  <c r="D987" i="9"/>
  <c r="E987" i="9"/>
  <c r="H987" i="9"/>
  <c r="L987" i="9"/>
  <c r="C988" i="9"/>
  <c r="D988" i="9" s="1"/>
  <c r="E988" i="9"/>
  <c r="G988" i="9"/>
  <c r="H988" i="9"/>
  <c r="L988" i="9"/>
  <c r="C989" i="9"/>
  <c r="D989" i="9" s="1"/>
  <c r="E989" i="9"/>
  <c r="G989" i="9" s="1"/>
  <c r="H989" i="9"/>
  <c r="L989" i="9"/>
  <c r="C990" i="9"/>
  <c r="E990" i="9"/>
  <c r="G990" i="9" s="1"/>
  <c r="H990" i="9"/>
  <c r="L990" i="9"/>
  <c r="C991" i="9"/>
  <c r="D991" i="9" s="1"/>
  <c r="E991" i="9"/>
  <c r="H991" i="9"/>
  <c r="L991" i="9"/>
  <c r="C992" i="9"/>
  <c r="D992" i="9" s="1"/>
  <c r="E992" i="9"/>
  <c r="G992" i="9"/>
  <c r="H992" i="9"/>
  <c r="L992" i="9"/>
  <c r="C993" i="9"/>
  <c r="D993" i="9" s="1"/>
  <c r="E993" i="9"/>
  <c r="H993" i="9"/>
  <c r="L993" i="9"/>
  <c r="C994" i="9"/>
  <c r="D994" i="9"/>
  <c r="E994" i="9"/>
  <c r="G994" i="9" s="1"/>
  <c r="H994" i="9"/>
  <c r="L994" i="9"/>
  <c r="C995" i="9"/>
  <c r="D995" i="9" s="1"/>
  <c r="E995" i="9"/>
  <c r="H995" i="9"/>
  <c r="L995" i="9"/>
  <c r="C996" i="9"/>
  <c r="E996" i="9"/>
  <c r="H996" i="9"/>
  <c r="L996" i="9"/>
  <c r="C997" i="9"/>
  <c r="D997" i="9" s="1"/>
  <c r="E997" i="9"/>
  <c r="G997" i="9"/>
  <c r="H997" i="9"/>
  <c r="L997" i="9"/>
  <c r="C998" i="9"/>
  <c r="D998" i="9" s="1"/>
  <c r="E998" i="9"/>
  <c r="G998" i="9"/>
  <c r="H998" i="9"/>
  <c r="L998" i="9"/>
  <c r="C999" i="9"/>
  <c r="E999" i="9"/>
  <c r="H999" i="9"/>
  <c r="L999" i="9"/>
  <c r="C1000" i="9"/>
  <c r="D1000" i="9"/>
  <c r="E1000" i="9"/>
  <c r="G1000" i="9" s="1"/>
  <c r="H1000" i="9"/>
  <c r="L1000" i="9"/>
  <c r="C1001" i="9"/>
  <c r="D1001" i="9" s="1"/>
  <c r="E1001" i="9"/>
  <c r="G1001" i="9" s="1"/>
  <c r="H1001" i="9"/>
  <c r="L1001" i="9"/>
  <c r="C1002" i="9"/>
  <c r="D1002" i="9" s="1"/>
  <c r="E1002" i="9"/>
  <c r="H1002" i="9"/>
  <c r="L1002" i="9"/>
  <c r="C1003" i="9"/>
  <c r="D1003" i="9"/>
  <c r="E1003" i="9"/>
  <c r="G1003" i="9"/>
  <c r="H1003" i="9"/>
  <c r="L1003" i="9"/>
  <c r="C1004" i="9"/>
  <c r="D1004" i="9" s="1"/>
  <c r="E1004" i="9"/>
  <c r="G1004" i="9"/>
  <c r="H1004" i="9"/>
  <c r="L1004" i="9"/>
  <c r="C1005" i="9"/>
  <c r="E1005" i="9"/>
  <c r="G1005" i="9" s="1"/>
  <c r="H1005" i="9"/>
  <c r="L1005" i="9"/>
  <c r="C1006" i="9"/>
  <c r="D1006" i="9"/>
  <c r="E1006" i="9"/>
  <c r="G1006" i="9"/>
  <c r="H1006" i="9"/>
  <c r="L1006" i="9"/>
  <c r="C1007" i="9"/>
  <c r="D1007" i="9" s="1"/>
  <c r="E1007" i="9"/>
  <c r="H1007" i="9"/>
  <c r="L1007" i="9"/>
  <c r="C1008" i="9"/>
  <c r="D1008" i="9" s="1"/>
  <c r="E1008" i="9"/>
  <c r="H1008" i="9"/>
  <c r="L1008" i="9"/>
  <c r="C1009" i="9"/>
  <c r="D1009" i="9"/>
  <c r="E1009" i="9"/>
  <c r="G1009" i="9" s="1"/>
  <c r="H1009" i="9"/>
  <c r="L1009" i="9"/>
  <c r="C1010" i="9"/>
  <c r="D1010" i="9" s="1"/>
  <c r="E1010" i="9"/>
  <c r="G1010" i="9" s="1"/>
  <c r="H1010" i="9"/>
  <c r="L1010" i="9"/>
  <c r="C1011" i="9"/>
  <c r="E1011" i="9"/>
  <c r="H1011" i="9"/>
  <c r="L1011" i="9"/>
  <c r="C1012" i="9"/>
  <c r="D1012" i="9" s="1"/>
  <c r="E1012" i="9"/>
  <c r="G1012" i="9" s="1"/>
  <c r="H1012" i="9"/>
  <c r="L1012" i="9"/>
  <c r="C1013" i="9"/>
  <c r="D1013" i="9" s="1"/>
  <c r="E1013" i="9"/>
  <c r="H1013" i="9"/>
  <c r="L1013" i="9"/>
  <c r="C1014" i="9"/>
  <c r="D1014" i="9"/>
  <c r="E1014" i="9"/>
  <c r="H1014" i="9"/>
  <c r="L1014" i="9"/>
  <c r="C1015" i="9"/>
  <c r="D1015" i="9"/>
  <c r="E1015" i="9"/>
  <c r="H1015" i="9"/>
  <c r="L1015" i="9"/>
  <c r="C1016" i="9"/>
  <c r="D1016" i="9" s="1"/>
  <c r="E1016" i="9"/>
  <c r="G1016" i="9"/>
  <c r="H1016" i="9"/>
  <c r="L1016" i="9"/>
  <c r="C1017" i="9"/>
  <c r="D1017" i="9"/>
  <c r="E1017" i="9"/>
  <c r="G1017" i="9" s="1"/>
  <c r="H1017" i="9"/>
  <c r="L1017" i="9"/>
  <c r="C1018" i="9"/>
  <c r="D1018" i="9"/>
  <c r="E1018" i="9"/>
  <c r="G1018" i="9"/>
  <c r="H1018" i="9"/>
  <c r="L1018" i="9"/>
  <c r="C1019" i="9"/>
  <c r="D1019" i="9" s="1"/>
  <c r="E1019" i="9"/>
  <c r="H1019" i="9"/>
  <c r="L1019" i="9"/>
  <c r="C1020" i="9"/>
  <c r="D1020" i="9" s="1"/>
  <c r="E1020" i="9"/>
  <c r="G1020" i="9" s="1"/>
  <c r="H1020" i="9"/>
  <c r="L1020" i="9"/>
  <c r="C1021" i="9"/>
  <c r="D1021" i="9"/>
  <c r="E1021" i="9"/>
  <c r="G1021" i="9"/>
  <c r="H1021" i="9"/>
  <c r="L1021" i="9"/>
  <c r="C1022" i="9"/>
  <c r="D1022" i="9" s="1"/>
  <c r="E1022" i="9"/>
  <c r="G1022" i="9"/>
  <c r="H1022" i="9"/>
  <c r="L1022" i="9"/>
  <c r="C1023" i="9"/>
  <c r="D1023" i="9"/>
  <c r="E1023" i="9"/>
  <c r="H1023" i="9"/>
  <c r="L1023" i="9"/>
  <c r="C1024" i="9"/>
  <c r="D1024" i="9" s="1"/>
  <c r="E1024" i="9"/>
  <c r="G1024" i="9"/>
  <c r="H1024" i="9"/>
  <c r="L1024" i="9"/>
  <c r="C1025" i="9"/>
  <c r="D1025" i="9" s="1"/>
  <c r="E1025" i="9"/>
  <c r="H1025" i="9"/>
  <c r="L1025" i="9"/>
  <c r="C1026" i="9"/>
  <c r="E1026" i="9"/>
  <c r="G1026" i="9" s="1"/>
  <c r="H1026" i="9"/>
  <c r="L1026" i="9"/>
  <c r="C1027" i="9"/>
  <c r="D1027" i="9" s="1"/>
  <c r="E1027" i="9"/>
  <c r="G1027" i="9" s="1"/>
  <c r="H1027" i="9"/>
  <c r="L1027" i="9"/>
  <c r="C1028" i="9"/>
  <c r="D1028" i="9" s="1"/>
  <c r="E1028" i="9"/>
  <c r="H1028" i="9"/>
  <c r="L1028" i="9"/>
  <c r="C1029" i="9"/>
  <c r="D1029" i="9" s="1"/>
  <c r="E1029" i="9"/>
  <c r="H1029" i="9"/>
  <c r="L1029" i="9"/>
  <c r="C1030" i="9"/>
  <c r="D1030" i="9"/>
  <c r="E1030" i="9"/>
  <c r="G1030" i="9"/>
  <c r="H1030" i="9"/>
  <c r="L1030" i="9"/>
  <c r="C1031" i="9"/>
  <c r="D1031" i="9" s="1"/>
  <c r="E1031" i="9"/>
  <c r="G1031" i="9" s="1"/>
  <c r="H1031" i="9"/>
  <c r="L1031" i="9"/>
  <c r="C1032" i="9"/>
  <c r="E1032" i="9"/>
  <c r="H1032" i="9"/>
  <c r="L1032" i="9"/>
  <c r="C1033" i="9"/>
  <c r="D1033" i="9"/>
  <c r="E1033" i="9"/>
  <c r="G1033" i="9"/>
  <c r="H1033" i="9"/>
  <c r="L1033" i="9"/>
  <c r="C1034" i="9"/>
  <c r="D1034" i="9" s="1"/>
  <c r="E1034" i="9"/>
  <c r="G1034" i="9" s="1"/>
  <c r="H1034" i="9"/>
  <c r="L1034" i="9"/>
  <c r="C1035" i="9"/>
  <c r="D1035" i="9"/>
  <c r="E1035" i="9"/>
  <c r="H1035" i="9"/>
  <c r="L1035" i="9"/>
  <c r="C1036" i="9"/>
  <c r="D1036" i="9"/>
  <c r="E1036" i="9"/>
  <c r="G1036" i="9" s="1"/>
  <c r="H1036" i="9"/>
  <c r="L1036" i="9"/>
  <c r="C1037" i="9"/>
  <c r="D1037" i="9" s="1"/>
  <c r="E1037" i="9"/>
  <c r="G1037" i="9"/>
  <c r="H1037" i="9"/>
  <c r="L1037" i="9"/>
  <c r="C1038" i="9"/>
  <c r="E1038" i="9"/>
  <c r="G1038" i="9" s="1"/>
  <c r="H1038" i="9"/>
  <c r="L1038" i="9"/>
  <c r="C1039" i="9"/>
  <c r="D1039" i="9"/>
  <c r="E1039" i="9"/>
  <c r="G1039" i="9"/>
  <c r="H1039" i="9"/>
  <c r="L1039" i="9"/>
  <c r="C1040" i="9"/>
  <c r="D1040" i="9" s="1"/>
  <c r="E1040" i="9"/>
  <c r="G1040" i="9" s="1"/>
  <c r="H1040" i="9"/>
  <c r="L1040" i="9"/>
  <c r="C1041" i="9"/>
  <c r="D1041" i="9" s="1"/>
  <c r="E1041" i="9"/>
  <c r="G1041" i="9" s="1"/>
  <c r="H1041" i="9"/>
  <c r="L1041" i="9"/>
  <c r="C1042" i="9"/>
  <c r="D1042" i="9"/>
  <c r="E1042" i="9"/>
  <c r="G1042" i="9"/>
  <c r="H1042" i="9"/>
  <c r="L1042" i="9"/>
  <c r="C1043" i="9"/>
  <c r="D1043" i="9" s="1"/>
  <c r="E1043" i="9"/>
  <c r="G1043" i="9" s="1"/>
  <c r="H1043" i="9"/>
  <c r="L1043" i="9"/>
  <c r="C1044" i="9"/>
  <c r="D1044" i="9" s="1"/>
  <c r="E1044" i="9"/>
  <c r="H1044" i="9"/>
  <c r="L1044" i="9"/>
  <c r="C1045" i="9"/>
  <c r="D1045" i="9" s="1"/>
  <c r="E1045" i="9"/>
  <c r="G1045" i="9" s="1"/>
  <c r="H1045" i="9"/>
  <c r="L1045" i="9"/>
  <c r="C1046" i="9"/>
  <c r="D1046" i="9" s="1"/>
  <c r="E1046" i="9"/>
  <c r="G1046" i="9" s="1"/>
  <c r="H1046" i="9"/>
  <c r="L1046" i="9"/>
  <c r="C1047" i="9"/>
  <c r="E1047" i="9"/>
  <c r="H1047" i="9"/>
  <c r="L1047" i="9"/>
  <c r="C1048" i="9"/>
  <c r="D1048" i="9"/>
  <c r="E1048" i="9"/>
  <c r="G1048" i="9" s="1"/>
  <c r="H1048" i="9"/>
  <c r="L1048" i="9"/>
  <c r="C1049" i="9"/>
  <c r="D1049" i="9" s="1"/>
  <c r="E1049" i="9"/>
  <c r="G1049" i="9" s="1"/>
  <c r="H1049" i="9"/>
  <c r="L1049" i="9"/>
  <c r="C1050" i="9"/>
  <c r="E1050" i="9"/>
  <c r="H1050" i="9"/>
  <c r="L1050" i="9"/>
  <c r="C1051" i="9"/>
  <c r="D1051" i="9"/>
  <c r="E1051" i="9"/>
  <c r="H1051" i="9"/>
  <c r="L1051" i="9"/>
  <c r="C1052" i="9"/>
  <c r="D1052" i="9" s="1"/>
  <c r="E1052" i="9"/>
  <c r="G1052" i="9"/>
  <c r="H1052" i="9"/>
  <c r="L1052" i="9"/>
  <c r="C1053" i="9"/>
  <c r="D1053" i="9"/>
  <c r="E1053" i="9"/>
  <c r="G1053" i="9" s="1"/>
  <c r="H1053" i="9"/>
  <c r="L1053" i="9"/>
  <c r="C1054" i="9"/>
  <c r="D1054" i="9"/>
  <c r="E1054" i="9"/>
  <c r="G1054" i="9"/>
  <c r="H1054" i="9"/>
  <c r="L1054" i="9"/>
  <c r="C1055" i="9"/>
  <c r="D1055" i="9" s="1"/>
  <c r="E1055" i="9"/>
  <c r="G1055" i="9" s="1"/>
  <c r="H1055" i="9"/>
  <c r="L1055" i="9"/>
  <c r="C1056" i="9"/>
  <c r="D1056" i="9" s="1"/>
  <c r="E1056" i="9"/>
  <c r="H1056" i="9"/>
  <c r="L1056" i="9"/>
  <c r="C1057" i="9"/>
  <c r="D1057" i="9"/>
  <c r="E1057" i="9"/>
  <c r="G1057" i="9"/>
  <c r="H1057" i="9"/>
  <c r="L1057" i="9"/>
  <c r="C1058" i="9"/>
  <c r="D1058" i="9" s="1"/>
  <c r="E1058" i="9"/>
  <c r="G1058" i="9"/>
  <c r="H1058" i="9"/>
  <c r="L1058" i="9"/>
  <c r="C1059" i="9"/>
  <c r="D1059" i="9"/>
  <c r="E1059" i="9"/>
  <c r="H1059" i="9"/>
  <c r="L1059" i="9"/>
  <c r="C1060" i="9"/>
  <c r="D1060" i="9"/>
  <c r="E1060" i="9"/>
  <c r="G1060" i="9" s="1"/>
  <c r="H1060" i="9"/>
  <c r="L1060" i="9"/>
  <c r="C1061" i="9"/>
  <c r="D1061" i="9" s="1"/>
  <c r="E1061" i="9"/>
  <c r="G1061" i="9"/>
  <c r="H1061" i="9"/>
  <c r="L1061" i="9"/>
  <c r="C1062" i="9"/>
  <c r="E1062" i="9"/>
  <c r="G1062" i="9" s="1"/>
  <c r="H1062" i="9"/>
  <c r="L1062" i="9"/>
  <c r="C1063" i="9"/>
  <c r="D1063" i="9"/>
  <c r="E1063" i="9"/>
  <c r="G1063" i="9" s="1"/>
  <c r="H1063" i="9"/>
  <c r="L1063" i="9"/>
  <c r="C1064" i="9"/>
  <c r="D1064" i="9" s="1"/>
  <c r="E1064" i="9"/>
  <c r="G1064" i="9"/>
  <c r="H1064" i="9"/>
  <c r="L1064" i="9"/>
  <c r="C1065" i="9"/>
  <c r="D1065" i="9" s="1"/>
  <c r="E1065" i="9"/>
  <c r="H1065" i="9"/>
  <c r="L1065" i="9"/>
  <c r="C1066" i="9"/>
  <c r="D1066" i="9"/>
  <c r="E1066" i="9"/>
  <c r="H1066" i="9"/>
  <c r="L1066" i="9"/>
  <c r="C1067" i="9"/>
  <c r="D1067" i="9" s="1"/>
  <c r="E1067" i="9"/>
  <c r="H1067" i="9"/>
  <c r="L1067" i="9"/>
  <c r="C1068" i="9"/>
  <c r="E1068" i="9"/>
  <c r="H1068" i="9"/>
  <c r="L1068" i="9"/>
  <c r="C1069" i="9"/>
  <c r="E1069" i="9"/>
  <c r="G1069" i="9"/>
  <c r="H1069" i="9"/>
  <c r="L1069" i="9"/>
  <c r="C1070" i="9"/>
  <c r="D1070" i="9"/>
  <c r="E1070" i="9"/>
  <c r="G1070" i="9"/>
  <c r="H1070" i="9"/>
  <c r="L1070" i="9"/>
  <c r="C1071" i="9"/>
  <c r="D1071" i="9"/>
  <c r="E1071" i="9"/>
  <c r="G1071" i="9" s="1"/>
  <c r="H1071" i="9"/>
  <c r="L1071" i="9"/>
  <c r="C1072" i="9"/>
  <c r="D1072" i="9"/>
  <c r="E1072" i="9"/>
  <c r="G1072" i="9" s="1"/>
  <c r="H1072" i="9"/>
  <c r="L1072" i="9"/>
  <c r="C1073" i="9"/>
  <c r="D1073" i="9" s="1"/>
  <c r="E1073" i="9"/>
  <c r="G1073" i="9" s="1"/>
  <c r="H1073" i="9"/>
  <c r="L1073" i="9"/>
  <c r="C1074" i="9"/>
  <c r="D1074" i="9"/>
  <c r="E1074" i="9"/>
  <c r="G1074" i="9" s="1"/>
  <c r="H1074" i="9"/>
  <c r="L1074" i="9"/>
  <c r="C1075" i="9"/>
  <c r="E1075" i="9"/>
  <c r="G1075" i="9"/>
  <c r="H1075" i="9"/>
  <c r="L1075" i="9"/>
  <c r="C1076" i="9"/>
  <c r="D1076" i="9"/>
  <c r="E1076" i="9"/>
  <c r="G1076" i="9" s="1"/>
  <c r="H1076" i="9"/>
  <c r="L1076" i="9"/>
  <c r="C1077" i="9"/>
  <c r="D1077" i="9"/>
  <c r="E1077" i="9"/>
  <c r="G1077" i="9" s="1"/>
  <c r="H1077" i="9"/>
  <c r="L1077" i="9"/>
  <c r="C1078" i="9"/>
  <c r="D1078" i="9"/>
  <c r="E1078" i="9"/>
  <c r="G1078" i="9"/>
  <c r="H1078" i="9"/>
  <c r="L1078" i="9"/>
  <c r="C1079" i="9"/>
  <c r="D1079" i="9"/>
  <c r="E1079" i="9"/>
  <c r="G1079" i="9" s="1"/>
  <c r="H1079" i="9"/>
  <c r="L1079" i="9"/>
  <c r="C1080" i="9"/>
  <c r="D1080" i="9"/>
  <c r="E1080" i="9"/>
  <c r="G1080" i="9" s="1"/>
  <c r="H1080" i="9"/>
  <c r="L1080" i="9"/>
  <c r="C1081" i="9"/>
  <c r="E1081" i="9"/>
  <c r="G1081" i="9"/>
  <c r="H1081" i="9"/>
  <c r="L1081" i="9"/>
  <c r="C1082" i="9"/>
  <c r="D1082" i="9"/>
  <c r="E1082" i="9"/>
  <c r="H1082" i="9"/>
  <c r="L1082" i="9"/>
  <c r="C1083" i="9"/>
  <c r="D1083" i="9" s="1"/>
  <c r="E1083" i="9"/>
  <c r="G1083" i="9" s="1"/>
  <c r="H1083" i="9"/>
  <c r="L1083" i="9"/>
  <c r="C1084" i="9"/>
  <c r="D1084" i="9"/>
  <c r="E1084" i="9"/>
  <c r="G1084" i="9"/>
  <c r="H1084" i="9"/>
  <c r="L1084" i="9"/>
  <c r="C1085" i="9"/>
  <c r="D1085" i="9"/>
  <c r="E1085" i="9"/>
  <c r="G1085" i="9" s="1"/>
  <c r="H1085" i="9"/>
  <c r="L1085" i="9"/>
  <c r="C1086" i="9"/>
  <c r="D1086" i="9"/>
  <c r="E1086" i="9"/>
  <c r="H1086" i="9"/>
  <c r="L1086" i="9"/>
  <c r="C1087" i="9"/>
  <c r="D1087" i="9" s="1"/>
  <c r="E1087" i="9"/>
  <c r="G1087" i="9"/>
  <c r="H1087" i="9"/>
  <c r="L1087" i="9"/>
  <c r="C1088" i="9"/>
  <c r="D1088" i="9"/>
  <c r="E1088" i="9"/>
  <c r="G1088" i="9"/>
  <c r="H1088" i="9"/>
  <c r="L1088" i="9"/>
  <c r="C1089" i="9"/>
  <c r="D1089" i="9" s="1"/>
  <c r="E1089" i="9"/>
  <c r="G1089" i="9" s="1"/>
  <c r="H1089" i="9"/>
  <c r="L1089" i="9"/>
  <c r="C1090" i="9"/>
  <c r="D1090" i="9" s="1"/>
  <c r="E1090" i="9"/>
  <c r="G1090" i="9" s="1"/>
  <c r="H1090" i="9"/>
  <c r="L1090" i="9"/>
  <c r="C1091" i="9"/>
  <c r="D1091" i="9" s="1"/>
  <c r="E1091" i="9"/>
  <c r="G1091" i="9"/>
  <c r="H1091" i="9"/>
  <c r="L1091" i="9"/>
  <c r="C1092" i="9"/>
  <c r="D1092" i="9" s="1"/>
  <c r="E1092" i="9"/>
  <c r="H1092" i="9"/>
  <c r="L1092" i="9"/>
  <c r="C1093" i="9"/>
  <c r="E1093" i="9"/>
  <c r="G1093" i="9" s="1"/>
  <c r="H1093" i="9"/>
  <c r="L1093" i="9"/>
  <c r="C1094" i="9"/>
  <c r="D1094" i="9" s="1"/>
  <c r="E1094" i="9"/>
  <c r="G1094" i="9"/>
  <c r="H1094" i="9"/>
  <c r="L1094" i="9"/>
  <c r="C1095" i="9"/>
  <c r="D1095" i="9" s="1"/>
  <c r="E1095" i="9"/>
  <c r="H1095" i="9"/>
  <c r="L1095" i="9"/>
  <c r="C1096" i="9"/>
  <c r="E1096" i="9"/>
  <c r="G1096" i="9" s="1"/>
  <c r="H1096" i="9"/>
  <c r="L1096" i="9"/>
  <c r="C1097" i="9"/>
  <c r="D1097" i="9" s="1"/>
  <c r="E1097" i="9"/>
  <c r="G1097" i="9" s="1"/>
  <c r="H1097" i="9"/>
  <c r="L1097" i="9"/>
  <c r="C1098" i="9"/>
  <c r="D1098" i="9" s="1"/>
  <c r="E1098" i="9"/>
  <c r="G1098" i="9" s="1"/>
  <c r="H1098" i="9"/>
  <c r="L1098" i="9"/>
  <c r="C1099" i="9"/>
  <c r="D1099" i="9"/>
  <c r="E1099" i="9"/>
  <c r="G1099" i="9" s="1"/>
  <c r="H1099" i="9"/>
  <c r="L1099" i="9"/>
  <c r="C1100" i="9"/>
  <c r="D1100" i="9" s="1"/>
  <c r="E1100" i="9"/>
  <c r="G1100" i="9"/>
  <c r="H1100" i="9"/>
  <c r="L1100" i="9"/>
  <c r="C1101" i="9"/>
  <c r="D1101" i="9"/>
  <c r="E1101" i="9"/>
  <c r="G1101" i="9" s="1"/>
  <c r="H1101" i="9"/>
  <c r="L1101" i="9"/>
  <c r="C1102" i="9"/>
  <c r="D1102" i="9"/>
  <c r="E1102" i="9"/>
  <c r="G1102" i="9"/>
  <c r="H1102" i="9"/>
  <c r="L1102" i="9"/>
  <c r="C1103" i="9"/>
  <c r="D1103" i="9"/>
  <c r="E1103" i="9"/>
  <c r="G1103" i="9" s="1"/>
  <c r="H1103" i="9"/>
  <c r="L1103" i="9"/>
  <c r="C1104" i="9"/>
  <c r="D1104" i="9" s="1"/>
  <c r="E1104" i="9"/>
  <c r="G1104" i="9" s="1"/>
  <c r="H1104" i="9"/>
  <c r="L1104" i="9"/>
  <c r="C1105" i="9"/>
  <c r="D1105" i="9" s="1"/>
  <c r="E1105" i="9"/>
  <c r="G1105" i="9"/>
  <c r="H1105" i="9"/>
  <c r="L1105" i="9"/>
  <c r="C1106" i="9"/>
  <c r="D1106" i="9"/>
  <c r="E1106" i="9"/>
  <c r="G1106" i="9" s="1"/>
  <c r="H1106" i="9"/>
  <c r="L1106" i="9"/>
  <c r="C1107" i="9"/>
  <c r="D1107" i="9"/>
  <c r="E1107" i="9"/>
  <c r="G1107" i="9" s="1"/>
  <c r="H1107" i="9"/>
  <c r="L1107" i="9"/>
  <c r="C1108" i="9"/>
  <c r="D1108" i="9"/>
  <c r="E1108" i="9"/>
  <c r="G1108" i="9" s="1"/>
  <c r="H1108" i="9"/>
  <c r="L1108" i="9"/>
  <c r="C1109" i="9"/>
  <c r="D1109" i="9"/>
  <c r="E1109" i="9"/>
  <c r="G1109" i="9" s="1"/>
  <c r="H1109" i="9"/>
  <c r="L1109" i="9"/>
  <c r="C1110" i="9"/>
  <c r="D1110" i="9" s="1"/>
  <c r="E1110" i="9"/>
  <c r="H1110" i="9"/>
  <c r="L1110" i="9"/>
  <c r="C1111" i="9"/>
  <c r="D1111" i="9" s="1"/>
  <c r="E1111" i="9"/>
  <c r="G1111" i="9"/>
  <c r="H1111" i="9"/>
  <c r="L1111" i="9"/>
  <c r="C1112" i="9"/>
  <c r="D1112" i="9"/>
  <c r="E1112" i="9"/>
  <c r="G1112" i="9"/>
  <c r="H1112" i="9"/>
  <c r="L1112" i="9"/>
  <c r="C1113" i="9"/>
  <c r="D1113" i="9"/>
  <c r="E1113" i="9"/>
  <c r="H1113" i="9"/>
  <c r="L1113" i="9"/>
  <c r="C1114" i="9"/>
  <c r="E1114" i="9"/>
  <c r="G1114" i="9" s="1"/>
  <c r="H1114" i="9"/>
  <c r="L1114" i="9"/>
  <c r="C1115" i="9"/>
  <c r="D1115" i="9"/>
  <c r="E1115" i="9"/>
  <c r="G1115" i="9" s="1"/>
  <c r="H1115" i="9"/>
  <c r="L1115" i="9"/>
  <c r="C1116" i="9"/>
  <c r="D1116" i="9"/>
  <c r="E1116" i="9"/>
  <c r="G1116" i="9" s="1"/>
  <c r="H1116" i="9"/>
  <c r="L1116" i="9"/>
  <c r="C1117" i="9"/>
  <c r="D1117" i="9"/>
  <c r="E1117" i="9"/>
  <c r="G1117" i="9"/>
  <c r="H1117" i="9"/>
  <c r="L1117" i="9"/>
  <c r="C1118" i="9"/>
  <c r="D1118" i="9"/>
  <c r="E1118" i="9"/>
  <c r="G1118" i="9"/>
  <c r="H1118" i="9"/>
  <c r="L1118" i="9"/>
  <c r="C1119" i="9"/>
  <c r="E1119" i="9"/>
  <c r="G1119" i="9" s="1"/>
  <c r="H1119" i="9"/>
  <c r="L1119" i="9"/>
  <c r="C1120" i="9"/>
  <c r="D1120" i="9"/>
  <c r="E1120" i="9"/>
  <c r="G1120" i="9"/>
  <c r="H1120" i="9"/>
  <c r="L1120" i="9"/>
  <c r="C1121" i="9"/>
  <c r="D1121" i="9"/>
  <c r="E1121" i="9"/>
  <c r="G1121" i="9"/>
  <c r="H1121" i="9"/>
  <c r="L1121" i="9"/>
  <c r="C1122" i="9"/>
  <c r="D1122" i="9"/>
  <c r="E1122" i="9"/>
  <c r="G1122" i="9" s="1"/>
  <c r="H1122" i="9"/>
  <c r="L1122" i="9"/>
  <c r="C1123" i="9"/>
  <c r="D1123" i="9"/>
  <c r="E1123" i="9"/>
  <c r="G1123" i="9"/>
  <c r="H1123" i="9"/>
  <c r="L1123" i="9"/>
  <c r="C1124" i="9"/>
  <c r="D1124" i="9"/>
  <c r="E1124" i="9"/>
  <c r="G1124" i="9"/>
  <c r="H1124" i="9"/>
  <c r="L1124" i="9"/>
  <c r="C1125" i="9"/>
  <c r="D1125" i="9" s="1"/>
  <c r="E1125" i="9"/>
  <c r="H1125" i="9"/>
  <c r="L1125" i="9"/>
  <c r="C1126" i="9"/>
  <c r="E1126" i="9"/>
  <c r="G1126" i="9"/>
  <c r="H1126" i="9"/>
  <c r="L1126" i="9"/>
  <c r="C1127" i="9"/>
  <c r="D1127" i="9"/>
  <c r="E1127" i="9"/>
  <c r="G1127" i="9"/>
  <c r="H1127" i="9"/>
  <c r="L1127" i="9"/>
  <c r="C1128" i="9"/>
  <c r="E1128" i="9"/>
  <c r="G1128" i="9" s="1"/>
  <c r="H1128" i="9"/>
  <c r="L1128" i="9"/>
  <c r="C1129" i="9"/>
  <c r="D1129" i="9" s="1"/>
  <c r="E1129" i="9"/>
  <c r="H1129" i="9"/>
  <c r="L1129" i="9"/>
  <c r="C1130" i="9"/>
  <c r="D1130" i="9"/>
  <c r="E1130" i="9"/>
  <c r="G1130" i="9" s="1"/>
  <c r="H1130" i="9"/>
  <c r="L1130" i="9"/>
  <c r="C1131" i="9"/>
  <c r="D1131" i="9"/>
  <c r="E1131" i="9"/>
  <c r="H1131" i="9"/>
  <c r="L1131" i="9"/>
  <c r="C1132" i="9"/>
  <c r="D1132" i="9" s="1"/>
  <c r="E1132" i="9"/>
  <c r="H1132" i="9"/>
  <c r="L1132" i="9"/>
  <c r="C1133" i="9"/>
  <c r="D1133" i="9"/>
  <c r="E1133" i="9"/>
  <c r="G1133" i="9"/>
  <c r="H1133" i="9"/>
  <c r="L1133" i="9"/>
  <c r="C1134" i="9"/>
  <c r="D1134" i="9" s="1"/>
  <c r="E1134" i="9"/>
  <c r="G1134" i="9" s="1"/>
  <c r="H1134" i="9"/>
  <c r="L1134" i="9"/>
  <c r="C1135" i="9"/>
  <c r="D1135" i="9" s="1"/>
  <c r="E1135" i="9"/>
  <c r="G1135" i="9"/>
  <c r="H1135" i="9"/>
  <c r="L1135" i="9"/>
  <c r="C1136" i="9"/>
  <c r="D1136" i="9"/>
  <c r="E1136" i="9"/>
  <c r="G1136" i="9" s="1"/>
  <c r="H1136" i="9"/>
  <c r="L1136" i="9"/>
  <c r="C1137" i="9"/>
  <c r="D1137" i="9"/>
  <c r="E1137" i="9"/>
  <c r="H1137" i="9"/>
  <c r="L1137" i="9"/>
  <c r="C1138" i="9"/>
  <c r="D1138" i="9"/>
  <c r="E1138" i="9"/>
  <c r="H1138" i="9"/>
  <c r="L1138" i="9"/>
  <c r="C1139" i="9"/>
  <c r="D1139" i="9"/>
  <c r="E1139" i="9"/>
  <c r="G1139" i="9"/>
  <c r="H1139" i="9"/>
  <c r="L1139" i="9"/>
  <c r="C1140" i="9"/>
  <c r="D1140" i="9" s="1"/>
  <c r="E1140" i="9"/>
  <c r="G1140" i="9" s="1"/>
  <c r="H1140" i="9"/>
  <c r="L1140" i="9"/>
  <c r="C1141" i="9"/>
  <c r="E1141" i="9"/>
  <c r="G1141" i="9" s="1"/>
  <c r="H1141" i="9"/>
  <c r="L1141" i="9"/>
  <c r="C1142" i="9"/>
  <c r="D1142" i="9"/>
  <c r="E1142" i="9"/>
  <c r="H1142" i="9"/>
  <c r="L1142" i="9"/>
  <c r="C1143" i="9"/>
  <c r="E1143" i="9"/>
  <c r="G1143" i="9" s="1"/>
  <c r="H1143" i="9"/>
  <c r="L1143" i="9"/>
  <c r="C1144" i="9"/>
  <c r="D1144" i="9"/>
  <c r="E1144" i="9"/>
  <c r="G1144" i="9"/>
  <c r="H1144" i="9"/>
  <c r="L1144" i="9"/>
  <c r="C1145" i="9"/>
  <c r="D1145" i="9" s="1"/>
  <c r="E1145" i="9"/>
  <c r="G1145" i="9" s="1"/>
  <c r="H1145" i="9"/>
  <c r="L1145" i="9"/>
  <c r="C1146" i="9"/>
  <c r="D1146" i="9"/>
  <c r="E1146" i="9"/>
  <c r="G1146" i="9" s="1"/>
  <c r="H1146" i="9"/>
  <c r="L1146" i="9"/>
  <c r="C1147" i="9"/>
  <c r="D1147" i="9" s="1"/>
  <c r="E1147" i="9"/>
  <c r="G1147" i="9"/>
  <c r="H1147" i="9"/>
  <c r="L1147" i="9"/>
  <c r="C1148" i="9"/>
  <c r="D1148" i="9"/>
  <c r="E1148" i="9"/>
  <c r="G1148" i="9"/>
  <c r="H1148" i="9"/>
  <c r="L1148" i="9"/>
  <c r="C1149" i="9"/>
  <c r="D1149" i="9"/>
  <c r="E1149" i="9"/>
  <c r="H1149" i="9"/>
  <c r="L1149" i="9"/>
  <c r="C1150" i="9"/>
  <c r="E1150" i="9"/>
  <c r="G1150" i="9" s="1"/>
  <c r="H1150" i="9"/>
  <c r="L1150" i="9"/>
  <c r="C1151" i="9"/>
  <c r="D1151" i="9"/>
  <c r="E1151" i="9"/>
  <c r="G1151" i="9" s="1"/>
  <c r="H1151" i="9"/>
  <c r="L1151" i="9"/>
  <c r="C1152" i="9"/>
  <c r="E1152" i="9"/>
  <c r="G1152" i="9" s="1"/>
  <c r="H1152" i="9"/>
  <c r="L1152" i="9"/>
  <c r="C1153" i="9"/>
  <c r="D1153" i="9" s="1"/>
  <c r="E1153" i="9"/>
  <c r="G1153" i="9"/>
  <c r="H1153" i="9"/>
  <c r="L1153" i="9"/>
  <c r="C1154" i="9"/>
  <c r="D1154" i="9"/>
  <c r="E1154" i="9"/>
  <c r="G1154" i="9" s="1"/>
  <c r="H1154" i="9"/>
  <c r="L1154" i="9"/>
  <c r="C1155" i="9"/>
  <c r="D1155" i="9"/>
  <c r="E1155" i="9"/>
  <c r="G1155" i="9" s="1"/>
  <c r="H1155" i="9"/>
  <c r="L1155" i="9"/>
  <c r="C1156" i="9"/>
  <c r="D1156" i="9"/>
  <c r="E1156" i="9"/>
  <c r="G1156" i="9"/>
  <c r="H1156" i="9"/>
  <c r="L1156" i="9"/>
  <c r="C1157" i="9"/>
  <c r="E1157" i="9"/>
  <c r="G1157" i="9"/>
  <c r="H1157" i="9"/>
  <c r="L1157" i="9"/>
  <c r="C1158" i="9"/>
  <c r="D1158" i="9"/>
  <c r="E1158" i="9"/>
  <c r="G1158" i="9" s="1"/>
  <c r="H1158" i="9"/>
  <c r="L1158" i="9"/>
  <c r="C1159" i="9"/>
  <c r="D1159" i="9" s="1"/>
  <c r="E1159" i="9"/>
  <c r="G1159" i="9"/>
  <c r="H1159" i="9"/>
  <c r="L1159" i="9"/>
  <c r="C1160" i="9"/>
  <c r="D1160" i="9"/>
  <c r="E1160" i="9"/>
  <c r="G1160" i="9" s="1"/>
  <c r="H1160" i="9"/>
  <c r="L1160" i="9"/>
  <c r="C1161" i="9"/>
  <c r="D1161" i="9"/>
  <c r="E1161" i="9"/>
  <c r="G1161" i="9"/>
  <c r="H1161" i="9"/>
  <c r="L1161" i="9"/>
  <c r="C1162" i="9"/>
  <c r="D1162" i="9" s="1"/>
  <c r="E1162" i="9"/>
  <c r="G1162" i="9" s="1"/>
  <c r="H1162" i="9"/>
  <c r="L1162" i="9"/>
  <c r="C1163" i="9"/>
  <c r="D1163" i="9" s="1"/>
  <c r="E1163" i="9"/>
  <c r="G1163" i="9"/>
  <c r="H1163" i="9"/>
  <c r="L1163" i="9"/>
  <c r="C1164" i="9"/>
  <c r="D1164" i="9"/>
  <c r="E1164" i="9"/>
  <c r="G1164" i="9" s="1"/>
  <c r="H1164" i="9"/>
  <c r="L1164" i="9"/>
  <c r="C1165" i="9"/>
  <c r="D1165" i="9" s="1"/>
  <c r="E1165" i="9"/>
  <c r="H1165" i="9"/>
  <c r="L1165" i="9"/>
  <c r="C1166" i="9"/>
  <c r="D1166" i="9" s="1"/>
  <c r="E1166" i="9"/>
  <c r="G1166" i="9"/>
  <c r="H1166" i="9"/>
  <c r="L1166" i="9"/>
  <c r="C1167" i="9"/>
  <c r="D1167" i="9"/>
  <c r="E1167" i="9"/>
  <c r="G1167" i="9"/>
  <c r="H1167" i="9"/>
  <c r="L1167" i="9"/>
  <c r="C1168" i="9"/>
  <c r="D1168" i="9" s="1"/>
  <c r="E1168" i="9"/>
  <c r="G1168" i="9" s="1"/>
  <c r="H1168" i="9"/>
  <c r="L1168" i="9"/>
  <c r="C1169" i="9"/>
  <c r="D1169" i="9"/>
  <c r="E1169" i="9"/>
  <c r="G1169" i="9"/>
  <c r="H1169" i="9"/>
  <c r="L1169" i="9"/>
  <c r="C1170" i="9"/>
  <c r="D1170" i="9"/>
  <c r="E1170" i="9"/>
  <c r="G1170" i="9"/>
  <c r="H1170" i="9"/>
  <c r="L1170" i="9"/>
  <c r="C1171" i="9"/>
  <c r="D1171" i="9" s="1"/>
  <c r="E1171" i="9"/>
  <c r="G1171" i="9"/>
  <c r="H1171" i="9"/>
  <c r="L1171" i="9"/>
  <c r="C1172" i="9"/>
  <c r="D1172" i="9" s="1"/>
  <c r="E1172" i="9"/>
  <c r="H1172" i="9"/>
  <c r="L1172" i="9"/>
  <c r="C1173" i="9"/>
  <c r="D1173" i="9"/>
  <c r="E1173" i="9"/>
  <c r="G1173" i="9"/>
  <c r="H1173" i="9"/>
  <c r="L1173" i="9"/>
  <c r="C1174" i="9"/>
  <c r="D1174" i="9" s="1"/>
  <c r="E1174" i="9"/>
  <c r="H1174" i="9"/>
  <c r="L1174" i="9"/>
  <c r="C1175" i="9"/>
  <c r="D1175" i="9"/>
  <c r="E1175" i="9"/>
  <c r="G1175" i="9"/>
  <c r="H1175" i="9"/>
  <c r="L1175" i="9"/>
  <c r="C1176" i="9"/>
  <c r="D1176" i="9"/>
  <c r="E1176" i="9"/>
  <c r="H1176" i="9"/>
  <c r="L1176" i="9"/>
  <c r="C1177" i="9"/>
  <c r="D1177" i="9" s="1"/>
  <c r="E1177" i="9"/>
  <c r="G1177" i="9" s="1"/>
  <c r="H1177" i="9"/>
  <c r="L1177" i="9"/>
  <c r="C1178" i="9"/>
  <c r="D1178" i="9" s="1"/>
  <c r="E1178" i="9"/>
  <c r="H1178" i="9"/>
  <c r="L1178" i="9"/>
  <c r="C1179" i="9"/>
  <c r="D1179" i="9"/>
  <c r="E1179" i="9"/>
  <c r="H1179" i="9"/>
  <c r="L1179" i="9"/>
  <c r="C1180" i="9"/>
  <c r="E1180" i="9"/>
  <c r="G1180" i="9"/>
  <c r="H1180" i="9"/>
  <c r="L1180" i="9"/>
  <c r="C1181" i="9"/>
  <c r="D1181" i="9"/>
  <c r="E1181" i="9"/>
  <c r="G1181" i="9" s="1"/>
  <c r="H1181" i="9"/>
  <c r="L1181" i="9"/>
  <c r="C1182" i="9"/>
  <c r="D1182" i="9"/>
  <c r="E1182" i="9"/>
  <c r="G1182" i="9" s="1"/>
  <c r="H1182" i="9"/>
  <c r="L1182" i="9"/>
  <c r="C1183" i="9"/>
  <c r="D1183" i="9" s="1"/>
  <c r="E1183" i="9"/>
  <c r="H1183" i="9"/>
  <c r="L1183" i="9"/>
  <c r="C1184" i="9"/>
  <c r="D1184" i="9" s="1"/>
  <c r="E1184" i="9"/>
  <c r="G1184" i="9"/>
  <c r="H1184" i="9"/>
  <c r="L1184" i="9"/>
  <c r="C1185" i="9"/>
  <c r="D1185" i="9"/>
  <c r="E1185" i="9"/>
  <c r="G1185" i="9"/>
  <c r="H1185" i="9"/>
  <c r="L1185" i="9"/>
  <c r="C1186" i="9"/>
  <c r="D1186" i="9" s="1"/>
  <c r="E1186" i="9"/>
  <c r="G1186" i="9" s="1"/>
  <c r="H1186" i="9"/>
  <c r="L1186" i="9"/>
  <c r="C1187" i="9"/>
  <c r="D1187" i="9"/>
  <c r="E1187" i="9"/>
  <c r="G1187" i="9" s="1"/>
  <c r="H1187" i="9"/>
  <c r="L1187" i="9"/>
  <c r="C1188" i="9"/>
  <c r="D1188" i="9"/>
  <c r="E1188" i="9"/>
  <c r="G1188" i="9"/>
  <c r="H1188" i="9"/>
  <c r="L1188" i="9"/>
  <c r="C1189" i="9"/>
  <c r="D1189" i="9" s="1"/>
  <c r="E1189" i="9"/>
  <c r="G1189" i="9"/>
  <c r="H1189" i="9"/>
  <c r="L1189" i="9"/>
  <c r="C1190" i="9"/>
  <c r="D1190" i="9" s="1"/>
  <c r="E1190" i="9"/>
  <c r="H1190" i="9"/>
  <c r="L1190" i="9"/>
  <c r="C1191" i="9"/>
  <c r="D1191" i="9"/>
  <c r="E1191" i="9"/>
  <c r="G1191" i="9"/>
  <c r="H1191" i="9"/>
  <c r="L1191" i="9"/>
  <c r="C1192" i="9"/>
  <c r="D1192" i="9" s="1"/>
  <c r="E1192" i="9"/>
  <c r="G1192" i="9"/>
  <c r="H1192" i="9"/>
  <c r="L1192" i="9"/>
  <c r="C1193" i="9"/>
  <c r="D1193" i="9" s="1"/>
  <c r="E1193" i="9"/>
  <c r="G1193" i="9" s="1"/>
  <c r="H1193" i="9"/>
  <c r="L1193" i="9"/>
  <c r="C1194" i="9"/>
  <c r="D1194" i="9"/>
  <c r="E1194" i="9"/>
  <c r="G1194" i="9"/>
  <c r="H1194" i="9"/>
  <c r="L1194" i="9"/>
  <c r="C1195" i="9"/>
  <c r="D1195" i="9" s="1"/>
  <c r="E1195" i="9"/>
  <c r="G1195" i="9"/>
  <c r="H1195" i="9"/>
  <c r="L1195" i="9"/>
  <c r="C1196" i="9"/>
  <c r="D1196" i="9"/>
  <c r="E1196" i="9"/>
  <c r="G1196" i="9"/>
  <c r="H1196" i="9"/>
  <c r="L1196" i="9"/>
  <c r="C1197" i="9"/>
  <c r="D1197" i="9"/>
  <c r="E1197" i="9"/>
  <c r="H1197" i="9"/>
  <c r="L1197" i="9"/>
  <c r="C1198" i="9"/>
  <c r="E1198" i="9"/>
  <c r="H1198" i="9"/>
  <c r="L1198" i="9"/>
  <c r="C1199" i="9"/>
  <c r="D1199" i="9"/>
  <c r="E1199" i="9"/>
  <c r="H1199" i="9"/>
  <c r="L1199" i="9"/>
  <c r="C1200" i="9"/>
  <c r="D1200" i="9"/>
  <c r="E1200" i="9"/>
  <c r="G1200" i="9"/>
  <c r="H1200" i="9"/>
  <c r="L1200" i="9"/>
  <c r="C1201" i="9"/>
  <c r="D1201" i="9" s="1"/>
  <c r="E1201" i="9"/>
  <c r="G1201" i="9" s="1"/>
  <c r="H1201" i="9"/>
  <c r="L1201" i="9"/>
  <c r="C1202" i="9"/>
  <c r="E1202" i="9"/>
  <c r="G1202" i="9" s="1"/>
  <c r="H1202" i="9"/>
  <c r="L1202" i="9"/>
  <c r="C1203" i="9"/>
  <c r="D1203" i="9"/>
  <c r="E1203" i="9"/>
  <c r="H1203" i="9"/>
  <c r="L1203" i="9"/>
  <c r="C1204" i="9"/>
  <c r="E1204" i="9"/>
  <c r="G1204" i="9"/>
  <c r="H1204" i="9"/>
  <c r="L1204" i="9"/>
  <c r="C1205" i="9"/>
  <c r="D1205" i="9"/>
  <c r="E1205" i="9"/>
  <c r="G1205" i="9"/>
  <c r="H1205" i="9"/>
  <c r="L1205" i="9"/>
  <c r="C1206" i="9"/>
  <c r="D1206" i="9"/>
  <c r="E1206" i="9"/>
  <c r="G1206" i="9"/>
  <c r="H1206" i="9"/>
  <c r="L1206" i="9"/>
  <c r="C1207" i="9"/>
  <c r="D1207" i="9" s="1"/>
  <c r="E1207" i="9"/>
  <c r="G1207" i="9"/>
  <c r="H1207" i="9"/>
  <c r="L1207" i="9"/>
  <c r="C1208" i="9"/>
  <c r="D1208" i="9"/>
  <c r="E1208" i="9"/>
  <c r="H1208" i="9"/>
  <c r="L1208" i="9"/>
  <c r="C1209" i="9"/>
  <c r="D1209" i="9"/>
  <c r="E1209" i="9"/>
  <c r="G1209" i="9"/>
  <c r="H1209" i="9"/>
  <c r="L1209" i="9"/>
  <c r="C1210" i="9"/>
  <c r="D1210" i="9" s="1"/>
  <c r="E1210" i="9"/>
  <c r="G1210" i="9"/>
  <c r="H1210" i="9"/>
  <c r="L1210" i="9"/>
  <c r="C1211" i="9"/>
  <c r="D1211" i="9"/>
  <c r="E1211" i="9"/>
  <c r="G1211" i="9" s="1"/>
  <c r="H1211" i="9"/>
  <c r="L1211" i="9"/>
  <c r="C1212" i="9"/>
  <c r="D1212" i="9"/>
  <c r="E1212" i="9"/>
  <c r="G1212" i="9" s="1"/>
  <c r="H1212" i="9"/>
  <c r="L1212" i="9"/>
  <c r="C1213" i="9"/>
  <c r="D1213" i="9" s="1"/>
  <c r="E1213" i="9"/>
  <c r="G1213" i="9"/>
  <c r="H1213" i="9"/>
  <c r="L1213" i="9"/>
  <c r="C1214" i="9"/>
  <c r="D1214" i="9"/>
  <c r="E1214" i="9"/>
  <c r="G1214" i="9"/>
  <c r="H1214" i="9"/>
  <c r="L1214" i="9"/>
  <c r="C1215" i="9"/>
  <c r="D1215" i="9"/>
  <c r="E1215" i="9"/>
  <c r="H1215" i="9"/>
  <c r="L1215" i="9"/>
  <c r="C1216" i="9"/>
  <c r="D1216" i="9" s="1"/>
  <c r="E1216" i="9"/>
  <c r="G1216" i="9"/>
  <c r="H1216" i="9"/>
  <c r="L1216" i="9"/>
  <c r="C1217" i="9"/>
  <c r="E1217" i="9"/>
  <c r="G1217" i="9"/>
  <c r="H1217" i="9"/>
  <c r="L1217" i="9"/>
  <c r="C1218" i="9"/>
  <c r="D1218" i="9"/>
  <c r="E1218" i="9"/>
  <c r="G1218" i="9" s="1"/>
  <c r="H1218" i="9"/>
  <c r="L1218" i="9"/>
  <c r="C1219" i="9"/>
  <c r="D1219" i="9" s="1"/>
  <c r="E1219" i="9"/>
  <c r="H1219" i="9"/>
  <c r="L1219" i="9"/>
  <c r="C1220" i="9"/>
  <c r="D1220" i="9"/>
  <c r="E1220" i="9"/>
  <c r="G1220" i="9"/>
  <c r="H1220" i="9"/>
  <c r="L1220" i="9"/>
  <c r="C1221" i="9"/>
  <c r="D1221" i="9"/>
  <c r="E1221" i="9"/>
  <c r="G1221" i="9"/>
  <c r="H1221" i="9"/>
  <c r="L1221" i="9"/>
  <c r="C1222" i="9"/>
  <c r="D1222" i="9" s="1"/>
  <c r="E1222" i="9"/>
  <c r="G1222" i="9"/>
  <c r="H1222" i="9"/>
  <c r="L1222" i="9"/>
  <c r="C1223" i="9"/>
  <c r="D1223" i="9"/>
  <c r="E1223" i="9"/>
  <c r="H1223" i="9"/>
  <c r="L1223" i="9"/>
  <c r="C1224" i="9"/>
  <c r="D1224" i="9"/>
  <c r="E1224" i="9"/>
  <c r="H1224" i="9"/>
  <c r="L1224" i="9"/>
  <c r="C1225" i="9"/>
  <c r="D1225" i="9" s="1"/>
  <c r="E1225" i="9"/>
  <c r="G1225" i="9"/>
  <c r="H1225" i="9"/>
  <c r="L1225" i="9"/>
  <c r="C1226" i="9"/>
  <c r="D1226" i="9"/>
  <c r="E1226" i="9"/>
  <c r="H1226" i="9"/>
  <c r="L1226" i="9"/>
  <c r="C1227" i="9"/>
  <c r="D1227" i="9"/>
  <c r="E1227" i="9"/>
  <c r="H1227" i="9"/>
  <c r="L1227" i="9"/>
  <c r="C1228" i="9"/>
  <c r="D1228" i="9" s="1"/>
  <c r="E1228" i="9"/>
  <c r="G1228" i="9" s="1"/>
  <c r="H1228" i="9"/>
  <c r="L1228" i="9"/>
  <c r="C1229" i="9"/>
  <c r="D1229" i="9"/>
  <c r="E1229" i="9"/>
  <c r="H1229" i="9"/>
  <c r="L1229" i="9"/>
  <c r="C1230" i="9"/>
  <c r="D1230" i="9"/>
  <c r="E1230" i="9"/>
  <c r="G1230" i="9"/>
  <c r="H1230" i="9"/>
  <c r="L1230" i="9"/>
  <c r="C1231" i="9"/>
  <c r="D1231" i="9" s="1"/>
  <c r="E1231" i="9"/>
  <c r="G1231" i="9"/>
  <c r="H1231" i="9"/>
  <c r="L1231" i="9"/>
  <c r="C1232" i="9"/>
  <c r="D1232" i="9"/>
  <c r="E1232" i="9"/>
  <c r="G1232" i="9" s="1"/>
  <c r="H1232" i="9"/>
  <c r="L1232" i="9"/>
  <c r="C1233" i="9"/>
  <c r="D1233" i="9"/>
  <c r="E1233" i="9"/>
  <c r="H1233" i="9"/>
  <c r="L1233" i="9"/>
  <c r="C1234" i="9"/>
  <c r="E1234" i="9"/>
  <c r="G1234" i="9" s="1"/>
  <c r="H1234" i="9"/>
  <c r="L1234" i="9"/>
  <c r="C1235" i="9"/>
  <c r="D1235" i="9" s="1"/>
  <c r="E1235" i="9"/>
  <c r="G1235" i="9"/>
  <c r="H1235" i="9"/>
  <c r="L1235" i="9"/>
  <c r="C1236" i="9"/>
  <c r="D1236" i="9"/>
  <c r="E1236" i="9"/>
  <c r="G1236" i="9" s="1"/>
  <c r="H1236" i="9"/>
  <c r="L1236" i="9"/>
  <c r="C1237" i="9"/>
  <c r="D1237" i="9" s="1"/>
  <c r="E1237" i="9"/>
  <c r="H1237" i="9"/>
  <c r="L1237" i="9"/>
  <c r="C1238" i="9"/>
  <c r="D1238" i="9" s="1"/>
  <c r="E1238" i="9"/>
  <c r="G1238" i="9"/>
  <c r="H1238" i="9"/>
  <c r="L1238" i="9"/>
  <c r="C1239" i="9"/>
  <c r="D1239" i="9"/>
  <c r="E1239" i="9"/>
  <c r="G1239" i="9"/>
  <c r="H1239" i="9"/>
  <c r="L1239" i="9"/>
  <c r="C1240" i="9"/>
  <c r="D1240" i="9" s="1"/>
  <c r="E1240" i="9"/>
  <c r="G1240" i="9" s="1"/>
  <c r="H1240" i="9"/>
  <c r="L1240" i="9"/>
  <c r="C1241" i="9"/>
  <c r="D1241" i="9"/>
  <c r="E1241" i="9"/>
  <c r="G1241" i="9"/>
  <c r="H1241" i="9"/>
  <c r="L1241" i="9"/>
  <c r="C1242" i="9"/>
  <c r="D1242" i="9"/>
  <c r="E1242" i="9"/>
  <c r="G1242" i="9"/>
  <c r="H1242" i="9"/>
  <c r="L1242" i="9"/>
  <c r="C1243" i="9"/>
  <c r="D1243" i="9" s="1"/>
  <c r="E1243" i="9"/>
  <c r="G1243" i="9"/>
  <c r="H1243" i="9"/>
  <c r="L1243" i="9"/>
  <c r="C1244" i="9"/>
  <c r="D1244" i="9" s="1"/>
  <c r="E1244" i="9"/>
  <c r="H1244" i="9"/>
  <c r="L1244" i="9"/>
  <c r="C1245" i="9"/>
  <c r="D1245" i="9"/>
  <c r="E1245" i="9"/>
  <c r="G1245" i="9"/>
  <c r="H1245" i="9"/>
  <c r="L1245" i="9"/>
  <c r="C1246" i="9"/>
  <c r="D1246" i="9" s="1"/>
  <c r="E1246" i="9"/>
  <c r="G1246" i="9" s="1"/>
  <c r="H1246" i="9"/>
  <c r="L1246" i="9"/>
  <c r="C1247" i="9"/>
  <c r="D1247" i="9"/>
  <c r="E1247" i="9"/>
  <c r="G1247" i="9"/>
  <c r="H1247" i="9"/>
  <c r="L1247" i="9"/>
  <c r="C1248" i="9"/>
  <c r="D1248" i="9"/>
  <c r="E1248" i="9"/>
  <c r="H1248" i="9"/>
  <c r="L1248" i="9"/>
  <c r="C1249" i="9"/>
  <c r="D1249" i="9" s="1"/>
  <c r="E1249" i="9"/>
  <c r="G1249" i="9"/>
  <c r="H1249" i="9"/>
  <c r="L1249" i="9"/>
  <c r="C1250" i="9"/>
  <c r="D1250" i="9" s="1"/>
  <c r="E1250" i="9"/>
  <c r="G1250" i="9"/>
  <c r="H1250" i="9"/>
  <c r="L1250" i="9"/>
  <c r="C1251" i="9"/>
  <c r="D1251" i="9"/>
  <c r="E1251" i="9"/>
  <c r="G1251" i="9" s="1"/>
  <c r="H1251" i="9"/>
  <c r="L1251" i="9"/>
  <c r="C1252" i="9"/>
  <c r="E1252" i="9"/>
  <c r="G1252" i="9" s="1"/>
  <c r="H1252" i="9"/>
  <c r="L1252" i="9"/>
  <c r="C1253" i="9"/>
  <c r="D1253" i="9"/>
  <c r="E1253" i="9"/>
  <c r="G1253" i="9" s="1"/>
  <c r="H1253" i="9"/>
  <c r="L1253" i="9"/>
  <c r="C1254" i="9"/>
  <c r="D1254" i="9"/>
  <c r="E1254" i="9"/>
  <c r="G1254" i="9"/>
  <c r="H1254" i="9"/>
  <c r="L1254" i="9"/>
  <c r="C1255" i="9"/>
  <c r="E1255" i="9"/>
  <c r="H1255" i="9"/>
  <c r="L1255" i="9"/>
  <c r="C1256" i="9"/>
  <c r="D1256" i="9" s="1"/>
  <c r="E1256" i="9"/>
  <c r="G1256" i="9"/>
  <c r="H1256" i="9"/>
  <c r="L1256" i="9"/>
  <c r="C1257" i="9"/>
  <c r="D1257" i="9"/>
  <c r="E1257" i="9"/>
  <c r="G1257" i="9" s="1"/>
  <c r="H1257" i="9"/>
  <c r="C1258" i="9"/>
  <c r="D1258" i="9"/>
  <c r="E1258" i="9"/>
  <c r="G1258" i="9"/>
  <c r="H1258" i="9"/>
  <c r="C2" i="8"/>
  <c r="D2" i="8" s="1"/>
  <c r="E2" i="8"/>
  <c r="G2" i="8" s="1"/>
  <c r="F2" i="8"/>
  <c r="H2" i="8"/>
  <c r="L2" i="8"/>
  <c r="C3" i="8"/>
  <c r="D3" i="8"/>
  <c r="E3" i="8"/>
  <c r="H3" i="8"/>
  <c r="L3" i="8"/>
  <c r="C4" i="8"/>
  <c r="D4" i="8"/>
  <c r="E4" i="8"/>
  <c r="G4" i="8" s="1"/>
  <c r="F4" i="8"/>
  <c r="H4" i="8"/>
  <c r="L4" i="8"/>
  <c r="C5" i="8"/>
  <c r="D5" i="8" s="1"/>
  <c r="E5" i="8"/>
  <c r="F5" i="8" s="1"/>
  <c r="G5" i="8"/>
  <c r="H5" i="8"/>
  <c r="L5" i="8"/>
  <c r="C6" i="8"/>
  <c r="D6" i="8" s="1"/>
  <c r="E6" i="8"/>
  <c r="H6" i="8"/>
  <c r="L6" i="8"/>
  <c r="C7" i="8"/>
  <c r="E7" i="8"/>
  <c r="F7" i="8"/>
  <c r="G7" i="8"/>
  <c r="H7" i="8"/>
  <c r="L7" i="8"/>
  <c r="C8" i="8"/>
  <c r="D8" i="8" s="1"/>
  <c r="E8" i="8"/>
  <c r="H8" i="8"/>
  <c r="L8" i="8"/>
  <c r="C9" i="8"/>
  <c r="D9" i="8" s="1"/>
  <c r="E9" i="8"/>
  <c r="G9" i="8"/>
  <c r="H9" i="8"/>
  <c r="L9" i="8"/>
  <c r="C10" i="8"/>
  <c r="D10" i="8"/>
  <c r="E10" i="8"/>
  <c r="F10" i="8"/>
  <c r="G10" i="8"/>
  <c r="H10" i="8"/>
  <c r="L10" i="8"/>
  <c r="C11" i="8"/>
  <c r="D11" i="8" s="1"/>
  <c r="E11" i="8"/>
  <c r="F11" i="8"/>
  <c r="G11" i="8"/>
  <c r="H11" i="8"/>
  <c r="L11" i="8"/>
  <c r="C12" i="8"/>
  <c r="D12" i="8" s="1"/>
  <c r="E12" i="8"/>
  <c r="H12" i="8"/>
  <c r="L12" i="8"/>
  <c r="C13" i="8"/>
  <c r="D13" i="8" s="1"/>
  <c r="E13" i="8"/>
  <c r="G13" i="8"/>
  <c r="H13" i="8"/>
  <c r="L13" i="8"/>
  <c r="C14" i="8"/>
  <c r="D14" i="8" s="1"/>
  <c r="E14" i="8"/>
  <c r="F14" i="8"/>
  <c r="G14" i="8"/>
  <c r="H14" i="8"/>
  <c r="L14" i="8"/>
  <c r="C15" i="8"/>
  <c r="D15" i="8"/>
  <c r="E15" i="8"/>
  <c r="G15" i="8" s="1"/>
  <c r="F15" i="8"/>
  <c r="H15" i="8"/>
  <c r="L15" i="8"/>
  <c r="C16" i="8"/>
  <c r="D16" i="8"/>
  <c r="E16" i="8"/>
  <c r="F16" i="8" s="1"/>
  <c r="H16" i="8"/>
  <c r="L16" i="8"/>
  <c r="C17" i="8"/>
  <c r="D17" i="8" s="1"/>
  <c r="E17" i="8"/>
  <c r="F17" i="8"/>
  <c r="G17" i="8"/>
  <c r="H17" i="8"/>
  <c r="L17" i="8"/>
  <c r="C18" i="8"/>
  <c r="D18" i="8"/>
  <c r="E18" i="8"/>
  <c r="F18" i="8" s="1"/>
  <c r="F19" i="8" s="1"/>
  <c r="F20" i="8" s="1"/>
  <c r="H18" i="8"/>
  <c r="L18" i="8"/>
  <c r="C19" i="8"/>
  <c r="D19" i="8" s="1"/>
  <c r="E19" i="8"/>
  <c r="G19" i="8" s="1"/>
  <c r="H19" i="8"/>
  <c r="L19" i="8"/>
  <c r="C20" i="8"/>
  <c r="D20" i="8" s="1"/>
  <c r="E20" i="8"/>
  <c r="G20" i="8"/>
  <c r="H20" i="8"/>
  <c r="L20" i="8"/>
  <c r="C21" i="8"/>
  <c r="D21" i="8" s="1"/>
  <c r="E21" i="8"/>
  <c r="G21" i="8" s="1"/>
  <c r="F21" i="8"/>
  <c r="F22" i="8" s="1"/>
  <c r="H21" i="8"/>
  <c r="L21" i="8"/>
  <c r="C22" i="8"/>
  <c r="D22" i="8"/>
  <c r="E22" i="8"/>
  <c r="G22" i="8"/>
  <c r="H22" i="8"/>
  <c r="L22" i="8"/>
  <c r="C23" i="8"/>
  <c r="E23" i="8"/>
  <c r="G23" i="8" s="1"/>
  <c r="H23" i="8"/>
  <c r="L23" i="8"/>
  <c r="C24" i="8"/>
  <c r="D24" i="8"/>
  <c r="E24" i="8"/>
  <c r="G24" i="8"/>
  <c r="H24" i="8"/>
  <c r="L24" i="8"/>
  <c r="C25" i="8"/>
  <c r="D25" i="8"/>
  <c r="E25" i="8"/>
  <c r="G25" i="8" s="1"/>
  <c r="H25" i="8"/>
  <c r="L25" i="8"/>
  <c r="C26" i="8"/>
  <c r="D26" i="8" s="1"/>
  <c r="E26" i="8"/>
  <c r="G26" i="8" s="1"/>
  <c r="H26" i="8"/>
  <c r="L26" i="8"/>
  <c r="C27" i="8"/>
  <c r="D27" i="8"/>
  <c r="E27" i="8"/>
  <c r="G27" i="8" s="1"/>
  <c r="H27" i="8"/>
  <c r="L27" i="8"/>
  <c r="C28" i="8"/>
  <c r="D28" i="8"/>
  <c r="E28" i="8"/>
  <c r="G28" i="8" s="1"/>
  <c r="H28" i="8"/>
  <c r="L28" i="8"/>
  <c r="C29" i="8"/>
  <c r="D29" i="8" s="1"/>
  <c r="E29" i="8"/>
  <c r="G29" i="8" s="1"/>
  <c r="H29" i="8"/>
  <c r="L29" i="8"/>
  <c r="C30" i="8"/>
  <c r="D30" i="8"/>
  <c r="E30" i="8"/>
  <c r="F30" i="8"/>
  <c r="G30" i="8"/>
  <c r="H30" i="8"/>
  <c r="L30" i="8"/>
  <c r="C31" i="8"/>
  <c r="D31" i="8" s="1"/>
  <c r="E31" i="8"/>
  <c r="F31" i="8" s="1"/>
  <c r="F32" i="8" s="1"/>
  <c r="F33" i="8" s="1"/>
  <c r="F34" i="8" s="1"/>
  <c r="H31" i="8"/>
  <c r="L31" i="8"/>
  <c r="C32" i="8"/>
  <c r="D32" i="8"/>
  <c r="E32" i="8"/>
  <c r="G32" i="8" s="1"/>
  <c r="H32" i="8"/>
  <c r="L32" i="8"/>
  <c r="C33" i="8"/>
  <c r="D33" i="8" s="1"/>
  <c r="E33" i="8"/>
  <c r="G33" i="8"/>
  <c r="H33" i="8"/>
  <c r="L33" i="8"/>
  <c r="C34" i="8"/>
  <c r="D34" i="8"/>
  <c r="E34" i="8"/>
  <c r="G34" i="8" s="1"/>
  <c r="H34" i="8"/>
  <c r="L34" i="8"/>
  <c r="C35" i="8"/>
  <c r="D35" i="8"/>
  <c r="E35" i="8"/>
  <c r="H35" i="8"/>
  <c r="L35" i="8"/>
  <c r="C36" i="8"/>
  <c r="D36" i="8" s="1"/>
  <c r="E36" i="8"/>
  <c r="G36" i="8"/>
  <c r="H36" i="8"/>
  <c r="L36" i="8"/>
  <c r="C37" i="8"/>
  <c r="D37" i="8" s="1"/>
  <c r="E37" i="8"/>
  <c r="H37" i="8"/>
  <c r="L37" i="8"/>
  <c r="C38" i="8"/>
  <c r="D38" i="8" s="1"/>
  <c r="E38" i="8"/>
  <c r="G38" i="8" s="1"/>
  <c r="H38" i="8"/>
  <c r="L38" i="8"/>
  <c r="C39" i="8"/>
  <c r="D39" i="8" s="1"/>
  <c r="E39" i="8"/>
  <c r="H39" i="8"/>
  <c r="L39" i="8"/>
  <c r="C40" i="8"/>
  <c r="E40" i="8"/>
  <c r="G40" i="8" s="1"/>
  <c r="H40" i="8"/>
  <c r="L40" i="8"/>
  <c r="C41" i="8"/>
  <c r="D41" i="8"/>
  <c r="E41" i="8"/>
  <c r="G41" i="8" s="1"/>
  <c r="H41" i="8"/>
  <c r="L41" i="8"/>
  <c r="C42" i="8"/>
  <c r="D42" i="8" s="1"/>
  <c r="E42" i="8"/>
  <c r="G42" i="8" s="1"/>
  <c r="H42" i="8"/>
  <c r="L42" i="8"/>
  <c r="C43" i="8"/>
  <c r="D43" i="8" s="1"/>
  <c r="E43" i="8"/>
  <c r="G43" i="8"/>
  <c r="H43" i="8"/>
  <c r="L43" i="8"/>
  <c r="C44" i="8"/>
  <c r="D44" i="8" s="1"/>
  <c r="E44" i="8"/>
  <c r="H44" i="8"/>
  <c r="L44" i="8"/>
  <c r="C45" i="8"/>
  <c r="D45" i="8"/>
  <c r="E45" i="8"/>
  <c r="H45" i="8"/>
  <c r="L45" i="8"/>
  <c r="C46" i="8"/>
  <c r="D46" i="8" s="1"/>
  <c r="E46" i="8"/>
  <c r="H46" i="8"/>
  <c r="L46" i="8"/>
  <c r="C47" i="8"/>
  <c r="D47" i="8"/>
  <c r="E47" i="8"/>
  <c r="G47" i="8" s="1"/>
  <c r="H47" i="8"/>
  <c r="L47" i="8"/>
  <c r="C48" i="8"/>
  <c r="D48" i="8"/>
  <c r="E48" i="8"/>
  <c r="H48" i="8"/>
  <c r="L48" i="8"/>
  <c r="C49" i="8"/>
  <c r="D49" i="8" s="1"/>
  <c r="E49" i="8"/>
  <c r="G49" i="8" s="1"/>
  <c r="H49" i="8"/>
  <c r="L49" i="8"/>
  <c r="C50" i="8"/>
  <c r="E50" i="8"/>
  <c r="H50" i="8"/>
  <c r="L50" i="8"/>
  <c r="C51" i="8"/>
  <c r="D51" i="8" s="1"/>
  <c r="E51" i="8"/>
  <c r="H51" i="8"/>
  <c r="L51" i="8"/>
  <c r="C52" i="8"/>
  <c r="D52" i="8"/>
  <c r="E52" i="8"/>
  <c r="G52" i="8"/>
  <c r="H52" i="8"/>
  <c r="L52" i="8"/>
  <c r="C53" i="8"/>
  <c r="D53" i="8"/>
  <c r="E53" i="8"/>
  <c r="G53" i="8" s="1"/>
  <c r="H53" i="8"/>
  <c r="L53" i="8"/>
  <c r="C54" i="8"/>
  <c r="D54" i="8"/>
  <c r="E54" i="8"/>
  <c r="G54" i="8"/>
  <c r="H54" i="8"/>
  <c r="L54" i="8"/>
  <c r="C55" i="8"/>
  <c r="D55" i="8"/>
  <c r="E55" i="8"/>
  <c r="H55" i="8"/>
  <c r="L55" i="8"/>
  <c r="C56" i="8"/>
  <c r="D56" i="8" s="1"/>
  <c r="E56" i="8"/>
  <c r="H56" i="8"/>
  <c r="L56" i="8"/>
  <c r="C57" i="8"/>
  <c r="D57" i="8"/>
  <c r="E57" i="8"/>
  <c r="G57" i="8" s="1"/>
  <c r="H57" i="8"/>
  <c r="L57" i="8"/>
  <c r="C58" i="8"/>
  <c r="D58" i="8" s="1"/>
  <c r="E58" i="8"/>
  <c r="G58" i="8"/>
  <c r="H58" i="8"/>
  <c r="L58" i="8"/>
  <c r="C59" i="8"/>
  <c r="D59" i="8"/>
  <c r="E59" i="8"/>
  <c r="G59" i="8" s="1"/>
  <c r="H59" i="8"/>
  <c r="L59" i="8"/>
  <c r="C60" i="8"/>
  <c r="D60" i="8" s="1"/>
  <c r="E60" i="8"/>
  <c r="H60" i="8"/>
  <c r="L60" i="8"/>
  <c r="C61" i="8"/>
  <c r="D61" i="8" s="1"/>
  <c r="E61" i="8"/>
  <c r="G61" i="8"/>
  <c r="H61" i="8"/>
  <c r="L61" i="8"/>
  <c r="C62" i="8"/>
  <c r="D62" i="8" s="1"/>
  <c r="E62" i="8"/>
  <c r="H62" i="8"/>
  <c r="L62" i="8"/>
  <c r="C63" i="8"/>
  <c r="E63" i="8"/>
  <c r="G63" i="8"/>
  <c r="H63" i="8"/>
  <c r="L63" i="8"/>
  <c r="C64" i="8"/>
  <c r="D64" i="8" s="1"/>
  <c r="E64" i="8"/>
  <c r="H64" i="8"/>
  <c r="L64" i="8"/>
  <c r="C65" i="8"/>
  <c r="D65" i="8"/>
  <c r="E65" i="8"/>
  <c r="G65" i="8" s="1"/>
  <c r="H65" i="8"/>
  <c r="L65" i="8"/>
  <c r="C66" i="8"/>
  <c r="D66" i="8"/>
  <c r="E66" i="8"/>
  <c r="G66" i="8"/>
  <c r="H66" i="8"/>
  <c r="L66" i="8"/>
  <c r="C67" i="8"/>
  <c r="D67" i="8" s="1"/>
  <c r="E67" i="8"/>
  <c r="G67" i="8" s="1"/>
  <c r="H67" i="8"/>
  <c r="L67" i="8"/>
  <c r="C68" i="8"/>
  <c r="D68" i="8" s="1"/>
  <c r="E68" i="8"/>
  <c r="G68" i="8" s="1"/>
  <c r="H68" i="8"/>
  <c r="L68" i="8"/>
  <c r="C69" i="8"/>
  <c r="D69" i="8" s="1"/>
  <c r="E69" i="8"/>
  <c r="G69" i="8" s="1"/>
  <c r="H69" i="8"/>
  <c r="L69" i="8"/>
  <c r="C70" i="8"/>
  <c r="D70" i="8" s="1"/>
  <c r="E70" i="8"/>
  <c r="G70" i="8"/>
  <c r="H70" i="8"/>
  <c r="L70" i="8"/>
  <c r="C71" i="8"/>
  <c r="D71" i="8" s="1"/>
  <c r="E71" i="8"/>
  <c r="G71" i="8" s="1"/>
  <c r="H71" i="8"/>
  <c r="L71" i="8"/>
  <c r="C72" i="8"/>
  <c r="D72" i="8" s="1"/>
  <c r="E72" i="8"/>
  <c r="G72" i="8"/>
  <c r="H72" i="8"/>
  <c r="L72" i="8"/>
  <c r="C73" i="8"/>
  <c r="E73" i="8"/>
  <c r="G73" i="8"/>
  <c r="H73" i="8"/>
  <c r="L73" i="8"/>
  <c r="C74" i="8"/>
  <c r="D74" i="8"/>
  <c r="E74" i="8"/>
  <c r="G74" i="8" s="1"/>
  <c r="H74" i="8"/>
  <c r="L74" i="8"/>
  <c r="C75" i="8"/>
  <c r="D75" i="8"/>
  <c r="E75" i="8"/>
  <c r="H75" i="8"/>
  <c r="L75" i="8"/>
  <c r="C76" i="8"/>
  <c r="D76" i="8"/>
  <c r="E76" i="8"/>
  <c r="G76" i="8"/>
  <c r="H76" i="8"/>
  <c r="L76" i="8"/>
  <c r="C77" i="8"/>
  <c r="D77" i="8" s="1"/>
  <c r="E77" i="8"/>
  <c r="G77" i="8"/>
  <c r="H77" i="8"/>
  <c r="L77" i="8"/>
  <c r="C78" i="8"/>
  <c r="D78" i="8" s="1"/>
  <c r="E78" i="8"/>
  <c r="H78" i="8"/>
  <c r="L78" i="8"/>
  <c r="C79" i="8"/>
  <c r="E79" i="8"/>
  <c r="G79" i="8"/>
  <c r="H79" i="8"/>
  <c r="L79" i="8"/>
  <c r="C80" i="8"/>
  <c r="D80" i="8" s="1"/>
  <c r="E80" i="8"/>
  <c r="G80" i="8"/>
  <c r="H80" i="8"/>
  <c r="L80" i="8"/>
  <c r="C81" i="8"/>
  <c r="D81" i="8"/>
  <c r="E81" i="8"/>
  <c r="G81" i="8"/>
  <c r="H81" i="8"/>
  <c r="L81" i="8"/>
  <c r="C82" i="8"/>
  <c r="D82" i="8"/>
  <c r="E82" i="8"/>
  <c r="G82" i="8"/>
  <c r="H82" i="8"/>
  <c r="L82" i="8"/>
  <c r="C83" i="8"/>
  <c r="D83" i="8"/>
  <c r="E83" i="8"/>
  <c r="H83" i="8"/>
  <c r="L83" i="8"/>
  <c r="C84" i="8"/>
  <c r="D84" i="8" s="1"/>
  <c r="E84" i="8"/>
  <c r="H84" i="8"/>
  <c r="L84" i="8"/>
  <c r="C85" i="8"/>
  <c r="D85" i="8" s="1"/>
  <c r="E85" i="8"/>
  <c r="H85" i="8"/>
  <c r="L85" i="8"/>
  <c r="C86" i="8"/>
  <c r="D86" i="8" s="1"/>
  <c r="E86" i="8"/>
  <c r="H86" i="8"/>
  <c r="L86" i="8"/>
  <c r="C87" i="8"/>
  <c r="D87" i="8"/>
  <c r="E87" i="8"/>
  <c r="G87" i="8"/>
  <c r="H87" i="8"/>
  <c r="L87" i="8"/>
  <c r="C88" i="8"/>
  <c r="D88" i="8"/>
  <c r="E88" i="8"/>
  <c r="G88" i="8"/>
  <c r="H88" i="8"/>
  <c r="L88" i="8"/>
  <c r="C89" i="8"/>
  <c r="D89" i="8" s="1"/>
  <c r="E89" i="8"/>
  <c r="G89" i="8"/>
  <c r="H89" i="8"/>
  <c r="L89" i="8"/>
  <c r="C90" i="8"/>
  <c r="D90" i="8" s="1"/>
  <c r="E90" i="8"/>
  <c r="F90" i="8" s="1"/>
  <c r="H90" i="8"/>
  <c r="L90" i="8"/>
  <c r="C91" i="8"/>
  <c r="D91" i="8" s="1"/>
  <c r="E91" i="8"/>
  <c r="F91" i="8" s="1"/>
  <c r="G91" i="8"/>
  <c r="H91" i="8"/>
  <c r="L91" i="8"/>
  <c r="C92" i="8"/>
  <c r="E92" i="8"/>
  <c r="F92" i="8" s="1"/>
  <c r="G92" i="8"/>
  <c r="H92" i="8"/>
  <c r="L92" i="8"/>
  <c r="C93" i="8"/>
  <c r="D93" i="8" s="1"/>
  <c r="E93" i="8"/>
  <c r="G93" i="8" s="1"/>
  <c r="F93" i="8"/>
  <c r="F94" i="8" s="1"/>
  <c r="H93" i="8"/>
  <c r="L93" i="8"/>
  <c r="C94" i="8"/>
  <c r="D94" i="8" s="1"/>
  <c r="E94" i="8"/>
  <c r="G94" i="8" s="1"/>
  <c r="H94" i="8"/>
  <c r="L94" i="8"/>
  <c r="C95" i="8"/>
  <c r="D95" i="8"/>
  <c r="E95" i="8"/>
  <c r="H95" i="8"/>
  <c r="L95" i="8"/>
  <c r="C96" i="8"/>
  <c r="D96" i="8"/>
  <c r="E96" i="8"/>
  <c r="G96" i="8"/>
  <c r="H96" i="8"/>
  <c r="L96" i="8"/>
  <c r="C97" i="8"/>
  <c r="D97" i="8"/>
  <c r="E97" i="8"/>
  <c r="H97" i="8"/>
  <c r="L97" i="8"/>
  <c r="C98" i="8"/>
  <c r="D98" i="8"/>
  <c r="E98" i="8"/>
  <c r="H98" i="8"/>
  <c r="L98" i="8"/>
  <c r="C99" i="8"/>
  <c r="D99" i="8" s="1"/>
  <c r="E99" i="8"/>
  <c r="H99" i="8"/>
  <c r="L99" i="8"/>
  <c r="C100" i="8"/>
  <c r="D100" i="8" s="1"/>
  <c r="E100" i="8"/>
  <c r="H100" i="8"/>
  <c r="L100" i="8"/>
  <c r="C101" i="8"/>
  <c r="D101" i="8"/>
  <c r="E101" i="8"/>
  <c r="G101" i="8"/>
  <c r="H101" i="8"/>
  <c r="L101" i="8"/>
  <c r="C102" i="8"/>
  <c r="D102" i="8" s="1"/>
  <c r="E102" i="8"/>
  <c r="G102" i="8"/>
  <c r="H102" i="8"/>
  <c r="L102" i="8"/>
  <c r="C103" i="8"/>
  <c r="D103" i="8"/>
  <c r="E103" i="8"/>
  <c r="G103" i="8"/>
  <c r="H103" i="8"/>
  <c r="L103" i="8"/>
  <c r="C104" i="8"/>
  <c r="E104" i="8"/>
  <c r="G104" i="8"/>
  <c r="H104" i="8"/>
  <c r="L104" i="8"/>
  <c r="C105" i="8"/>
  <c r="D105" i="8" s="1"/>
  <c r="E105" i="8"/>
  <c r="G105" i="8"/>
  <c r="H105" i="8"/>
  <c r="L105" i="8"/>
  <c r="C106" i="8"/>
  <c r="D106" i="8" s="1"/>
  <c r="E106" i="8"/>
  <c r="H106" i="8"/>
  <c r="L106" i="8"/>
  <c r="C107" i="8"/>
  <c r="D107" i="8"/>
  <c r="E107" i="8"/>
  <c r="G107" i="8"/>
  <c r="H107" i="8"/>
  <c r="L107" i="8"/>
  <c r="C108" i="8"/>
  <c r="D108" i="8"/>
  <c r="E108" i="8"/>
  <c r="H108" i="8"/>
  <c r="L108" i="8"/>
  <c r="C109" i="8"/>
  <c r="D109" i="8"/>
  <c r="E109" i="8"/>
  <c r="G109" i="8"/>
  <c r="H109" i="8"/>
  <c r="L109" i="8"/>
  <c r="C110" i="8"/>
  <c r="D110" i="8" s="1"/>
  <c r="E110" i="8"/>
  <c r="H110" i="8"/>
  <c r="L110" i="8"/>
  <c r="C111" i="8"/>
  <c r="D111" i="8" s="1"/>
  <c r="E111" i="8"/>
  <c r="H111" i="8"/>
  <c r="L111" i="8"/>
  <c r="C112" i="8"/>
  <c r="D112" i="8" s="1"/>
  <c r="E112" i="8"/>
  <c r="H112" i="8"/>
  <c r="L112" i="8"/>
  <c r="C113" i="8"/>
  <c r="D113" i="8"/>
  <c r="E113" i="8"/>
  <c r="G113" i="8"/>
  <c r="H113" i="8"/>
  <c r="L113" i="8"/>
  <c r="C114" i="8"/>
  <c r="E114" i="8"/>
  <c r="G114" i="8"/>
  <c r="H114" i="8"/>
  <c r="L114" i="8"/>
  <c r="C115" i="8"/>
  <c r="D115" i="8" s="1"/>
  <c r="E115" i="8"/>
  <c r="G115" i="8" s="1"/>
  <c r="H115" i="8"/>
  <c r="L115" i="8"/>
  <c r="C116" i="8"/>
  <c r="D116" i="8" s="1"/>
  <c r="E116" i="8"/>
  <c r="G116" i="8"/>
  <c r="H116" i="8"/>
  <c r="L116" i="8"/>
  <c r="C117" i="8"/>
  <c r="E117" i="8"/>
  <c r="G117" i="8"/>
  <c r="H117" i="8"/>
  <c r="L117" i="8"/>
  <c r="C118" i="8"/>
  <c r="D118" i="8"/>
  <c r="E118" i="8"/>
  <c r="G118" i="8"/>
  <c r="H118" i="8"/>
  <c r="L118" i="8"/>
  <c r="C119" i="8"/>
  <c r="D119" i="8" s="1"/>
  <c r="E119" i="8"/>
  <c r="G119" i="8" s="1"/>
  <c r="H119" i="8"/>
  <c r="L119" i="8"/>
  <c r="C120" i="8"/>
  <c r="D120" i="8"/>
  <c r="E120" i="8"/>
  <c r="H120" i="8"/>
  <c r="L120" i="8"/>
  <c r="C121" i="8"/>
  <c r="D121" i="8" s="1"/>
  <c r="E121" i="8"/>
  <c r="H121" i="8"/>
  <c r="L121" i="8"/>
  <c r="C122" i="8"/>
  <c r="D122" i="8"/>
  <c r="E122" i="8"/>
  <c r="H122" i="8"/>
  <c r="L122" i="8"/>
  <c r="C123" i="8"/>
  <c r="D123" i="8"/>
  <c r="E123" i="8"/>
  <c r="H123" i="8"/>
  <c r="L123" i="8"/>
  <c r="C124" i="8"/>
  <c r="D124" i="8" s="1"/>
  <c r="E124" i="8"/>
  <c r="G124" i="8"/>
  <c r="H124" i="8"/>
  <c r="L124" i="8"/>
  <c r="C125" i="8"/>
  <c r="D125" i="8" s="1"/>
  <c r="E125" i="8"/>
  <c r="H125" i="8"/>
  <c r="L125" i="8"/>
  <c r="C126" i="8"/>
  <c r="D126" i="8"/>
  <c r="E126" i="8"/>
  <c r="G126" i="8"/>
  <c r="H126" i="8"/>
  <c r="L126" i="8"/>
  <c r="C127" i="8"/>
  <c r="D127" i="8" s="1"/>
  <c r="E127" i="8"/>
  <c r="G127" i="8"/>
  <c r="H127" i="8"/>
  <c r="L127" i="8"/>
  <c r="C128" i="8"/>
  <c r="D128" i="8"/>
  <c r="E128" i="8"/>
  <c r="G128" i="8"/>
  <c r="H128" i="8"/>
  <c r="L128" i="8"/>
  <c r="C129" i="8"/>
  <c r="D129" i="8" s="1"/>
  <c r="E129" i="8"/>
  <c r="G129" i="8"/>
  <c r="H129" i="8"/>
  <c r="L129" i="8"/>
  <c r="C130" i="8"/>
  <c r="D130" i="8"/>
  <c r="E130" i="8"/>
  <c r="H130" i="8"/>
  <c r="L130" i="8"/>
  <c r="C131" i="8"/>
  <c r="D131" i="8" s="1"/>
  <c r="E131" i="8"/>
  <c r="H131" i="8"/>
  <c r="L131" i="8"/>
  <c r="C132" i="8"/>
  <c r="D132" i="8"/>
  <c r="E132" i="8"/>
  <c r="G132" i="8"/>
  <c r="H132" i="8"/>
  <c r="L132" i="8"/>
  <c r="C133" i="8"/>
  <c r="D133" i="8" s="1"/>
  <c r="E133" i="8"/>
  <c r="H133" i="8"/>
  <c r="L133" i="8"/>
  <c r="C134" i="8"/>
  <c r="D134" i="8"/>
  <c r="E134" i="8"/>
  <c r="G134" i="8"/>
  <c r="H134" i="8"/>
  <c r="L134" i="8"/>
  <c r="C135" i="8"/>
  <c r="D135" i="8" s="1"/>
  <c r="E135" i="8"/>
  <c r="H135" i="8"/>
  <c r="L135" i="8"/>
  <c r="C136" i="8"/>
  <c r="E136" i="8"/>
  <c r="G136" i="8"/>
  <c r="H136" i="8"/>
  <c r="L136" i="8"/>
  <c r="C137" i="8"/>
  <c r="D137" i="8" s="1"/>
  <c r="E137" i="8"/>
  <c r="H137" i="8"/>
  <c r="L137" i="8"/>
  <c r="C138" i="8"/>
  <c r="D138" i="8"/>
  <c r="E138" i="8"/>
  <c r="G138" i="8"/>
  <c r="H138" i="8"/>
  <c r="L138" i="8"/>
  <c r="C139" i="8"/>
  <c r="D139" i="8"/>
  <c r="E139" i="8"/>
  <c r="G139" i="8"/>
  <c r="H139" i="8"/>
  <c r="L139" i="8"/>
  <c r="C140" i="8"/>
  <c r="D140" i="8" s="1"/>
  <c r="E140" i="8"/>
  <c r="G140" i="8" s="1"/>
  <c r="H140" i="8"/>
  <c r="L140" i="8"/>
  <c r="C141" i="8"/>
  <c r="D141" i="8" s="1"/>
  <c r="E141" i="8"/>
  <c r="G141" i="8"/>
  <c r="H141" i="8"/>
  <c r="L141" i="8"/>
  <c r="C142" i="8"/>
  <c r="D142" i="8" s="1"/>
  <c r="E142" i="8"/>
  <c r="H142" i="8"/>
  <c r="L142" i="8"/>
  <c r="C143" i="8"/>
  <c r="D143" i="8"/>
  <c r="E143" i="8"/>
  <c r="G143" i="8"/>
  <c r="H143" i="8"/>
  <c r="L143" i="8"/>
  <c r="C144" i="8"/>
  <c r="D144" i="8" s="1"/>
  <c r="E144" i="8"/>
  <c r="G144" i="8" s="1"/>
  <c r="H144" i="8"/>
  <c r="L144" i="8"/>
  <c r="C145" i="8"/>
  <c r="D145" i="8"/>
  <c r="E145" i="8"/>
  <c r="G145" i="8" s="1"/>
  <c r="H145" i="8"/>
  <c r="L145" i="8"/>
  <c r="C146" i="8"/>
  <c r="D146" i="8" s="1"/>
  <c r="E146" i="8"/>
  <c r="H146" i="8"/>
  <c r="L146" i="8"/>
  <c r="C147" i="8"/>
  <c r="D147" i="8"/>
  <c r="E147" i="8"/>
  <c r="H147" i="8"/>
  <c r="L147" i="8"/>
  <c r="C148" i="8"/>
  <c r="D148" i="8"/>
  <c r="E148" i="8"/>
  <c r="G148" i="8"/>
  <c r="H148" i="8"/>
  <c r="L148" i="8"/>
  <c r="C149" i="8"/>
  <c r="D149" i="8" s="1"/>
  <c r="E149" i="8"/>
  <c r="G149" i="8"/>
  <c r="H149" i="8"/>
  <c r="L149" i="8"/>
  <c r="C150" i="8"/>
  <c r="D150" i="8" s="1"/>
  <c r="E150" i="8"/>
  <c r="H150" i="8"/>
  <c r="L150" i="8"/>
  <c r="C151" i="8"/>
  <c r="E151" i="8"/>
  <c r="G151" i="8"/>
  <c r="H151" i="8"/>
  <c r="L151" i="8"/>
  <c r="C152" i="8"/>
  <c r="D152" i="8" s="1"/>
  <c r="E152" i="8"/>
  <c r="G152" i="8"/>
  <c r="H152" i="8"/>
  <c r="L152" i="8"/>
  <c r="C153" i="8"/>
  <c r="D153" i="8"/>
  <c r="E153" i="8"/>
  <c r="G153" i="8"/>
  <c r="H153" i="8"/>
  <c r="L153" i="8"/>
  <c r="C154" i="8"/>
  <c r="D154" i="8"/>
  <c r="E154" i="8"/>
  <c r="G154" i="8"/>
  <c r="H154" i="8"/>
  <c r="L154" i="8"/>
  <c r="C155" i="8"/>
  <c r="D155" i="8"/>
  <c r="E155" i="8"/>
  <c r="H155" i="8"/>
  <c r="L155" i="8"/>
  <c r="C156" i="8"/>
  <c r="D156" i="8" s="1"/>
  <c r="E156" i="8"/>
  <c r="H156" i="8"/>
  <c r="L156" i="8"/>
  <c r="C157" i="8"/>
  <c r="D157" i="8" s="1"/>
  <c r="E157" i="8"/>
  <c r="H157" i="8"/>
  <c r="L157" i="8"/>
  <c r="C158" i="8"/>
  <c r="D158" i="8" s="1"/>
  <c r="E158" i="8"/>
  <c r="H158" i="8"/>
  <c r="L158" i="8"/>
  <c r="C159" i="8"/>
  <c r="D159" i="8"/>
  <c r="E159" i="8"/>
  <c r="G159" i="8"/>
  <c r="H159" i="8"/>
  <c r="L159" i="8"/>
  <c r="C160" i="8"/>
  <c r="D160" i="8"/>
  <c r="E160" i="8"/>
  <c r="G160" i="8"/>
  <c r="H160" i="8"/>
  <c r="L160" i="8"/>
  <c r="C161" i="8"/>
  <c r="E161" i="8"/>
  <c r="G161" i="8"/>
  <c r="H161" i="8"/>
  <c r="L161" i="8"/>
  <c r="C162" i="8"/>
  <c r="D162" i="8" s="1"/>
  <c r="E162" i="8"/>
  <c r="H162" i="8"/>
  <c r="L162" i="8"/>
  <c r="C163" i="8"/>
  <c r="D163" i="8" s="1"/>
  <c r="E163" i="8"/>
  <c r="G163" i="8"/>
  <c r="H163" i="8"/>
  <c r="L163" i="8"/>
  <c r="C164" i="8"/>
  <c r="D164" i="8"/>
  <c r="E164" i="8"/>
  <c r="G164" i="8"/>
  <c r="H164" i="8"/>
  <c r="L164" i="8"/>
  <c r="C165" i="8"/>
  <c r="E165" i="8"/>
  <c r="G165" i="8" s="1"/>
  <c r="H165" i="8"/>
  <c r="L165" i="8"/>
  <c r="C166" i="8"/>
  <c r="D166" i="8" s="1"/>
  <c r="E166" i="8"/>
  <c r="G166" i="8" s="1"/>
  <c r="H166" i="8"/>
  <c r="L166" i="8"/>
  <c r="C167" i="8"/>
  <c r="D167" i="8"/>
  <c r="E167" i="8"/>
  <c r="H167" i="8"/>
  <c r="L167" i="8"/>
  <c r="C168" i="8"/>
  <c r="D168" i="8"/>
  <c r="E168" i="8"/>
  <c r="G168" i="8"/>
  <c r="H168" i="8"/>
  <c r="L168" i="8"/>
  <c r="C169" i="8"/>
  <c r="D169" i="8"/>
  <c r="E169" i="8"/>
  <c r="H169" i="8"/>
  <c r="L169" i="8"/>
  <c r="C170" i="8"/>
  <c r="D170" i="8"/>
  <c r="E170" i="8"/>
  <c r="G170" i="8" s="1"/>
  <c r="H170" i="8"/>
  <c r="L170" i="8"/>
  <c r="C171" i="8"/>
  <c r="D171" i="8" s="1"/>
  <c r="E171" i="8"/>
  <c r="H171" i="8"/>
  <c r="L171" i="8"/>
  <c r="C172" i="8"/>
  <c r="D172" i="8" s="1"/>
  <c r="E172" i="8"/>
  <c r="H172" i="8"/>
  <c r="L172" i="8"/>
  <c r="C173" i="8"/>
  <c r="D173" i="8"/>
  <c r="E173" i="8"/>
  <c r="H173" i="8"/>
  <c r="L173" i="8"/>
  <c r="C174" i="8"/>
  <c r="E174" i="8"/>
  <c r="G174" i="8"/>
  <c r="H174" i="8"/>
  <c r="L174" i="8"/>
  <c r="C175" i="8"/>
  <c r="D175" i="8"/>
  <c r="E175" i="8"/>
  <c r="G175" i="8"/>
  <c r="H175" i="8"/>
  <c r="L175" i="8"/>
  <c r="C176" i="8"/>
  <c r="E176" i="8"/>
  <c r="G176" i="8"/>
  <c r="H176" i="8"/>
  <c r="L176" i="8"/>
  <c r="C177" i="8"/>
  <c r="D177" i="8"/>
  <c r="E177" i="8"/>
  <c r="G177" i="8"/>
  <c r="H177" i="8"/>
  <c r="L177" i="8"/>
  <c r="C178" i="8"/>
  <c r="E178" i="8"/>
  <c r="H178" i="8"/>
  <c r="L178" i="8"/>
  <c r="C179" i="8"/>
  <c r="D179" i="8"/>
  <c r="E179" i="8"/>
  <c r="G179" i="8"/>
  <c r="H179" i="8"/>
  <c r="L179" i="8"/>
  <c r="C180" i="8"/>
  <c r="D180" i="8"/>
  <c r="E180" i="8"/>
  <c r="H180" i="8"/>
  <c r="L180" i="8"/>
  <c r="C181" i="8"/>
  <c r="D181" i="8"/>
  <c r="E181" i="8"/>
  <c r="G181" i="8"/>
  <c r="H181" i="8"/>
  <c r="L181" i="8"/>
  <c r="C182" i="8"/>
  <c r="D182" i="8" s="1"/>
  <c r="E182" i="8"/>
  <c r="H182" i="8"/>
  <c r="L182" i="8"/>
  <c r="C183" i="8"/>
  <c r="D183" i="8" s="1"/>
  <c r="E183" i="8"/>
  <c r="G183" i="8" s="1"/>
  <c r="H183" i="8"/>
  <c r="L183" i="8"/>
  <c r="C184" i="8"/>
  <c r="D184" i="8" s="1"/>
  <c r="E184" i="8"/>
  <c r="H184" i="8"/>
  <c r="L184" i="8"/>
  <c r="C185" i="8"/>
  <c r="D185" i="8"/>
  <c r="E185" i="8"/>
  <c r="G185" i="8"/>
  <c r="H185" i="8"/>
  <c r="L185" i="8"/>
  <c r="C186" i="8"/>
  <c r="E186" i="8"/>
  <c r="G186" i="8"/>
  <c r="H186" i="8"/>
  <c r="L186" i="8"/>
  <c r="C187" i="8"/>
  <c r="E187" i="8"/>
  <c r="G187" i="8" s="1"/>
  <c r="H187" i="8"/>
  <c r="L187" i="8"/>
  <c r="C188" i="8"/>
  <c r="D188" i="8" s="1"/>
  <c r="E188" i="8"/>
  <c r="G188" i="8"/>
  <c r="H188" i="8"/>
  <c r="L188" i="8"/>
  <c r="C189" i="8"/>
  <c r="D189" i="8"/>
  <c r="E189" i="8"/>
  <c r="G189" i="8"/>
  <c r="H189" i="8"/>
  <c r="L189" i="8"/>
  <c r="C190" i="8"/>
  <c r="D190" i="8"/>
  <c r="E190" i="8"/>
  <c r="G190" i="8"/>
  <c r="H190" i="8"/>
  <c r="L190" i="8"/>
  <c r="C191" i="8"/>
  <c r="D191" i="8" s="1"/>
  <c r="E191" i="8"/>
  <c r="G191" i="8" s="1"/>
  <c r="H191" i="8"/>
  <c r="L191" i="8"/>
  <c r="C192" i="8"/>
  <c r="D192" i="8"/>
  <c r="E192" i="8"/>
  <c r="H192" i="8"/>
  <c r="L192" i="8"/>
  <c r="C193" i="8"/>
  <c r="D193" i="8" s="1"/>
  <c r="E193" i="8"/>
  <c r="H193" i="8"/>
  <c r="L193" i="8"/>
  <c r="C194" i="8"/>
  <c r="D194" i="8"/>
  <c r="E194" i="8"/>
  <c r="H194" i="8"/>
  <c r="L194" i="8"/>
  <c r="C195" i="8"/>
  <c r="D195" i="8" s="1"/>
  <c r="E195" i="8"/>
  <c r="G195" i="8" s="1"/>
  <c r="H195" i="8"/>
  <c r="L195" i="8"/>
  <c r="C196" i="8"/>
  <c r="E196" i="8"/>
  <c r="G196" i="8"/>
  <c r="H196" i="8"/>
  <c r="L196" i="8"/>
  <c r="C197" i="8"/>
  <c r="E197" i="8"/>
  <c r="H197" i="8"/>
  <c r="L197" i="8"/>
  <c r="C198" i="8"/>
  <c r="D198" i="8"/>
  <c r="E198" i="8"/>
  <c r="G198" i="8"/>
  <c r="H198" i="8"/>
  <c r="L198" i="8"/>
  <c r="C199" i="8"/>
  <c r="D199" i="8" s="1"/>
  <c r="E199" i="8"/>
  <c r="G199" i="8"/>
  <c r="H199" i="8"/>
  <c r="L199" i="8"/>
  <c r="C200" i="8"/>
  <c r="D200" i="8"/>
  <c r="E200" i="8"/>
  <c r="G200" i="8"/>
  <c r="H200" i="8"/>
  <c r="L200" i="8"/>
  <c r="C201" i="8"/>
  <c r="D201" i="8" s="1"/>
  <c r="E201" i="8"/>
  <c r="G201" i="8"/>
  <c r="H201" i="8"/>
  <c r="L201" i="8"/>
  <c r="C202" i="8"/>
  <c r="D202" i="8"/>
  <c r="E202" i="8"/>
  <c r="H202" i="8"/>
  <c r="L202" i="8"/>
  <c r="C203" i="8"/>
  <c r="E203" i="8"/>
  <c r="H203" i="8"/>
  <c r="L203" i="8"/>
  <c r="C204" i="8"/>
  <c r="D204" i="8"/>
  <c r="E204" i="8"/>
  <c r="H204" i="8"/>
  <c r="L204" i="8"/>
  <c r="C205" i="8"/>
  <c r="D205" i="8" s="1"/>
  <c r="E205" i="8"/>
  <c r="G205" i="8" s="1"/>
  <c r="H205" i="8"/>
  <c r="L205" i="8"/>
  <c r="C206" i="8"/>
  <c r="D206" i="8"/>
  <c r="E206" i="8"/>
  <c r="G206" i="8"/>
  <c r="H206" i="8"/>
  <c r="L206" i="8"/>
  <c r="C207" i="8"/>
  <c r="E207" i="8"/>
  <c r="G207" i="8" s="1"/>
  <c r="H207" i="8"/>
  <c r="L207" i="8"/>
  <c r="C208" i="8"/>
  <c r="E208" i="8"/>
  <c r="G208" i="8"/>
  <c r="H208" i="8"/>
  <c r="L208" i="8"/>
  <c r="C209" i="8"/>
  <c r="D209" i="8" s="1"/>
  <c r="E209" i="8"/>
  <c r="G209" i="8"/>
  <c r="H209" i="8"/>
  <c r="L209" i="8"/>
  <c r="C210" i="8"/>
  <c r="D210" i="8"/>
  <c r="E210" i="8"/>
  <c r="G210" i="8"/>
  <c r="H210" i="8"/>
  <c r="L210" i="8"/>
  <c r="C211" i="8"/>
  <c r="D211" i="8"/>
  <c r="E211" i="8"/>
  <c r="G211" i="8"/>
  <c r="H211" i="8"/>
  <c r="L211" i="8"/>
  <c r="C212" i="8"/>
  <c r="D212" i="8"/>
  <c r="E212" i="8"/>
  <c r="G212" i="8" s="1"/>
  <c r="H212" i="8"/>
  <c r="L212" i="8"/>
  <c r="C213" i="8"/>
  <c r="E213" i="8"/>
  <c r="G213" i="8"/>
  <c r="H213" i="8"/>
  <c r="L213" i="8"/>
  <c r="C214" i="8"/>
  <c r="D214" i="8" s="1"/>
  <c r="E214" i="8"/>
  <c r="H214" i="8"/>
  <c r="L214" i="8"/>
  <c r="C215" i="8"/>
  <c r="D215" i="8"/>
  <c r="E215" i="8"/>
  <c r="G215" i="8" s="1"/>
  <c r="H215" i="8"/>
  <c r="L215" i="8"/>
  <c r="C216" i="8"/>
  <c r="D216" i="8"/>
  <c r="E216" i="8"/>
  <c r="G216" i="8" s="1"/>
  <c r="H216" i="8"/>
  <c r="L216" i="8"/>
  <c r="C217" i="8"/>
  <c r="D217" i="8"/>
  <c r="E217" i="8"/>
  <c r="G217" i="8" s="1"/>
  <c r="H217" i="8"/>
  <c r="L217" i="8"/>
  <c r="C218" i="8"/>
  <c r="D218" i="8" s="1"/>
  <c r="E218" i="8"/>
  <c r="G218" i="8" s="1"/>
  <c r="H218" i="8"/>
  <c r="L218" i="8"/>
  <c r="C219" i="8"/>
  <c r="D219" i="8"/>
  <c r="E219" i="8"/>
  <c r="G219" i="8"/>
  <c r="H219" i="8"/>
  <c r="L219" i="8"/>
  <c r="C220" i="8"/>
  <c r="D220" i="8"/>
  <c r="E220" i="8"/>
  <c r="G220" i="8"/>
  <c r="H220" i="8"/>
  <c r="L220" i="8"/>
  <c r="C221" i="8"/>
  <c r="D221" i="8" s="1"/>
  <c r="E221" i="8"/>
  <c r="G221" i="8"/>
  <c r="H221" i="8"/>
  <c r="L221" i="8"/>
  <c r="C222" i="8"/>
  <c r="E222" i="8"/>
  <c r="G222" i="8" s="1"/>
  <c r="H222" i="8"/>
  <c r="L222" i="8"/>
  <c r="C223" i="8"/>
  <c r="D223" i="8" s="1"/>
  <c r="E223" i="8"/>
  <c r="H223" i="8"/>
  <c r="L223" i="8"/>
  <c r="C224" i="8"/>
  <c r="D224" i="8" s="1"/>
  <c r="E224" i="8"/>
  <c r="G224" i="8"/>
  <c r="H224" i="8"/>
  <c r="L224" i="8"/>
  <c r="C225" i="8"/>
  <c r="D225" i="8"/>
  <c r="E225" i="8"/>
  <c r="G225" i="8"/>
  <c r="H225" i="8"/>
  <c r="L225" i="8"/>
  <c r="C226" i="8"/>
  <c r="D226" i="8"/>
  <c r="E226" i="8"/>
  <c r="H226" i="8"/>
  <c r="L226" i="8"/>
  <c r="C227" i="8"/>
  <c r="D227" i="8"/>
  <c r="E227" i="8"/>
  <c r="H227" i="8"/>
  <c r="L227" i="8"/>
  <c r="C228" i="8"/>
  <c r="E228" i="8"/>
  <c r="G228" i="8"/>
  <c r="H228" i="8"/>
  <c r="L228" i="8"/>
  <c r="C229" i="8"/>
  <c r="D229" i="8" s="1"/>
  <c r="E229" i="8"/>
  <c r="G229" i="8"/>
  <c r="H229" i="8"/>
  <c r="L229" i="8"/>
  <c r="C230" i="8"/>
  <c r="D230" i="8" s="1"/>
  <c r="E230" i="8"/>
  <c r="G230" i="8" s="1"/>
  <c r="H230" i="8"/>
  <c r="L230" i="8"/>
  <c r="C231" i="8"/>
  <c r="D231" i="8"/>
  <c r="E231" i="8"/>
  <c r="G231" i="8"/>
  <c r="H231" i="8"/>
  <c r="L231" i="8"/>
  <c r="C232" i="8"/>
  <c r="D232" i="8" s="1"/>
  <c r="E232" i="8"/>
  <c r="H232" i="8"/>
  <c r="L232" i="8"/>
  <c r="C233" i="8"/>
  <c r="D233" i="8" s="1"/>
  <c r="E233" i="8"/>
  <c r="G233" i="8" s="1"/>
  <c r="H233" i="8"/>
  <c r="L233" i="8"/>
  <c r="C234" i="8"/>
  <c r="D234" i="8"/>
  <c r="E234" i="8"/>
  <c r="G234" i="8"/>
  <c r="H234" i="8"/>
  <c r="L234" i="8"/>
  <c r="C235" i="8"/>
  <c r="D235" i="8" s="1"/>
  <c r="E235" i="8"/>
  <c r="G235" i="8"/>
  <c r="H235" i="8"/>
  <c r="L235" i="8"/>
  <c r="C236" i="8"/>
  <c r="D236" i="8" s="1"/>
  <c r="E236" i="8"/>
  <c r="G236" i="8" s="1"/>
  <c r="H236" i="8"/>
  <c r="L236" i="8"/>
  <c r="C237" i="8"/>
  <c r="D237" i="8"/>
  <c r="E237" i="8"/>
  <c r="G237" i="8"/>
  <c r="H237" i="8"/>
  <c r="L237" i="8"/>
  <c r="C238" i="8"/>
  <c r="D238" i="8" s="1"/>
  <c r="E238" i="8"/>
  <c r="G238" i="8"/>
  <c r="H238" i="8"/>
  <c r="L238" i="8"/>
  <c r="C239" i="8"/>
  <c r="D239" i="8" s="1"/>
  <c r="E239" i="8"/>
  <c r="G239" i="8" s="1"/>
  <c r="H239" i="8"/>
  <c r="L239" i="8"/>
  <c r="C240" i="8"/>
  <c r="D240" i="8"/>
  <c r="E240" i="8"/>
  <c r="G240" i="8"/>
  <c r="H240" i="8"/>
  <c r="L240" i="8"/>
  <c r="C241" i="8"/>
  <c r="D241" i="8" s="1"/>
  <c r="E241" i="8"/>
  <c r="G241" i="8"/>
  <c r="H241" i="8"/>
  <c r="L241" i="8"/>
  <c r="C242" i="8"/>
  <c r="D242" i="8" s="1"/>
  <c r="E242" i="8"/>
  <c r="G242" i="8"/>
  <c r="H242" i="8"/>
  <c r="L242" i="8"/>
  <c r="C243" i="8"/>
  <c r="D243" i="8"/>
  <c r="E243" i="8"/>
  <c r="G243" i="8"/>
  <c r="H243" i="8"/>
  <c r="L243" i="8"/>
  <c r="C244" i="8"/>
  <c r="D244" i="8" s="1"/>
  <c r="E244" i="8"/>
  <c r="H244" i="8"/>
  <c r="L244" i="8"/>
  <c r="C245" i="8"/>
  <c r="D245" i="8" s="1"/>
  <c r="E245" i="8"/>
  <c r="H245" i="8"/>
  <c r="L245" i="8"/>
  <c r="C246" i="8"/>
  <c r="D246" i="8"/>
  <c r="E246" i="8"/>
  <c r="G246" i="8"/>
  <c r="H246" i="8"/>
  <c r="L246" i="8"/>
  <c r="C247" i="8"/>
  <c r="D247" i="8" s="1"/>
  <c r="E247" i="8"/>
  <c r="G247" i="8"/>
  <c r="H247" i="8"/>
  <c r="L247" i="8"/>
  <c r="C248" i="8"/>
  <c r="D248" i="8" s="1"/>
  <c r="E248" i="8"/>
  <c r="H248" i="8"/>
  <c r="L248" i="8"/>
  <c r="C249" i="8"/>
  <c r="D249" i="8"/>
  <c r="E249" i="8"/>
  <c r="G249" i="8"/>
  <c r="H249" i="8"/>
  <c r="L249" i="8"/>
  <c r="C250" i="8"/>
  <c r="D250" i="8" s="1"/>
  <c r="E250" i="8"/>
  <c r="H250" i="8"/>
  <c r="L250" i="8"/>
  <c r="C251" i="8"/>
  <c r="D251" i="8" s="1"/>
  <c r="E251" i="8"/>
  <c r="G251" i="8"/>
  <c r="H251" i="8"/>
  <c r="L251" i="8"/>
  <c r="C252" i="8"/>
  <c r="D252" i="8"/>
  <c r="E252" i="8"/>
  <c r="G252" i="8"/>
  <c r="H252" i="8"/>
  <c r="L252" i="8"/>
  <c r="C253" i="8"/>
  <c r="D253" i="8" s="1"/>
  <c r="E253" i="8"/>
  <c r="G253" i="8"/>
  <c r="H253" i="8"/>
  <c r="L253" i="8"/>
  <c r="C254" i="8"/>
  <c r="D254" i="8" s="1"/>
  <c r="E254" i="8"/>
  <c r="H254" i="8"/>
  <c r="L254" i="8"/>
  <c r="C255" i="8"/>
  <c r="D255" i="8"/>
  <c r="E255" i="8"/>
  <c r="G255" i="8"/>
  <c r="H255" i="8"/>
  <c r="L255" i="8"/>
  <c r="C256" i="8"/>
  <c r="D256" i="8" s="1"/>
  <c r="E256" i="8"/>
  <c r="G256" i="8" s="1"/>
  <c r="H256" i="8"/>
  <c r="L256" i="8"/>
  <c r="C257" i="8"/>
  <c r="D257" i="8" s="1"/>
  <c r="E257" i="8"/>
  <c r="G257" i="8"/>
  <c r="H257" i="8"/>
  <c r="L257" i="8"/>
  <c r="C258" i="8"/>
  <c r="D258" i="8"/>
  <c r="E258" i="8"/>
  <c r="G258" i="8"/>
  <c r="H258" i="8"/>
  <c r="L258" i="8"/>
  <c r="C259" i="8"/>
  <c r="D259" i="8" s="1"/>
  <c r="E259" i="8"/>
  <c r="H259" i="8"/>
  <c r="L259" i="8"/>
  <c r="C260" i="8"/>
  <c r="D260" i="8" s="1"/>
  <c r="E260" i="8"/>
  <c r="G260" i="8" s="1"/>
  <c r="H260" i="8"/>
  <c r="L260" i="8"/>
  <c r="C261" i="8"/>
  <c r="D261" i="8"/>
  <c r="E261" i="8"/>
  <c r="G261" i="8"/>
  <c r="H261" i="8"/>
  <c r="L261" i="8"/>
  <c r="C262" i="8"/>
  <c r="D262" i="8" s="1"/>
  <c r="E262" i="8"/>
  <c r="H262" i="8"/>
  <c r="L262" i="8"/>
  <c r="C263" i="8"/>
  <c r="D263" i="8" s="1"/>
  <c r="E263" i="8"/>
  <c r="G263" i="8" s="1"/>
  <c r="H263" i="8"/>
  <c r="L263" i="8"/>
  <c r="C264" i="8"/>
  <c r="D264" i="8"/>
  <c r="E264" i="8"/>
  <c r="G264" i="8"/>
  <c r="H264" i="8"/>
  <c r="L264" i="8"/>
  <c r="C265" i="8"/>
  <c r="D265" i="8" s="1"/>
  <c r="E265" i="8"/>
  <c r="G265" i="8"/>
  <c r="H265" i="8"/>
  <c r="L265" i="8"/>
  <c r="C266" i="8"/>
  <c r="D266" i="8" s="1"/>
  <c r="E266" i="8"/>
  <c r="H266" i="8"/>
  <c r="L266" i="8"/>
  <c r="C267" i="8"/>
  <c r="D267" i="8"/>
  <c r="E267" i="8"/>
  <c r="G267" i="8"/>
  <c r="H267" i="8"/>
  <c r="L267" i="8"/>
  <c r="C268" i="8"/>
  <c r="D268" i="8" s="1"/>
  <c r="E268" i="8"/>
  <c r="G268" i="8"/>
  <c r="H268" i="8"/>
  <c r="L268" i="8"/>
  <c r="C269" i="8"/>
  <c r="D269" i="8" s="1"/>
  <c r="E269" i="8"/>
  <c r="G269" i="8"/>
  <c r="H269" i="8"/>
  <c r="L269" i="8"/>
  <c r="C270" i="8"/>
  <c r="D270" i="8"/>
  <c r="E270" i="8"/>
  <c r="G270" i="8"/>
  <c r="H270" i="8"/>
  <c r="L270" i="8"/>
  <c r="C271" i="8"/>
  <c r="D271" i="8" s="1"/>
  <c r="E271" i="8"/>
  <c r="H271" i="8"/>
  <c r="L271" i="8"/>
  <c r="C272" i="8"/>
  <c r="D272" i="8" s="1"/>
  <c r="E272" i="8"/>
  <c r="H272" i="8"/>
  <c r="L272" i="8"/>
  <c r="C273" i="8"/>
  <c r="D273" i="8"/>
  <c r="E273" i="8"/>
  <c r="G273" i="8"/>
  <c r="H273" i="8"/>
  <c r="L273" i="8"/>
  <c r="C274" i="8"/>
  <c r="D274" i="8"/>
  <c r="E274" i="8"/>
  <c r="G274" i="8" s="1"/>
  <c r="H274" i="8"/>
  <c r="L274" i="8"/>
  <c r="C275" i="8"/>
  <c r="D275" i="8" s="1"/>
  <c r="E275" i="8"/>
  <c r="G275" i="8"/>
  <c r="H275" i="8"/>
  <c r="L275" i="8"/>
  <c r="C276" i="8"/>
  <c r="D276" i="8"/>
  <c r="E276" i="8"/>
  <c r="G276" i="8"/>
  <c r="H276" i="8"/>
  <c r="L276" i="8"/>
  <c r="C277" i="8"/>
  <c r="D277" i="8"/>
  <c r="E277" i="8"/>
  <c r="H277" i="8"/>
  <c r="L277" i="8"/>
  <c r="C278" i="8"/>
  <c r="D278" i="8" s="1"/>
  <c r="E278" i="8"/>
  <c r="H278" i="8"/>
  <c r="L278" i="8"/>
  <c r="C279" i="8"/>
  <c r="D279" i="8"/>
  <c r="E279" i="8"/>
  <c r="G279" i="8"/>
  <c r="H279" i="8"/>
  <c r="L279" i="8"/>
  <c r="C280" i="8"/>
  <c r="D280" i="8"/>
  <c r="E280" i="8"/>
  <c r="G280" i="8"/>
  <c r="H280" i="8"/>
  <c r="L280" i="8"/>
  <c r="C281" i="8"/>
  <c r="D281" i="8" s="1"/>
  <c r="E281" i="8"/>
  <c r="H281" i="8"/>
  <c r="L281" i="8"/>
  <c r="C282" i="8"/>
  <c r="D282" i="8"/>
  <c r="E282" i="8"/>
  <c r="G282" i="8"/>
  <c r="H282" i="8"/>
  <c r="L282" i="8"/>
  <c r="C283" i="8"/>
  <c r="D283" i="8" s="1"/>
  <c r="E283" i="8"/>
  <c r="G283" i="8"/>
  <c r="H283" i="8"/>
  <c r="L283" i="8"/>
  <c r="C284" i="8"/>
  <c r="D284" i="8" s="1"/>
  <c r="E284" i="8"/>
  <c r="G284" i="8" s="1"/>
  <c r="H284" i="8"/>
  <c r="L284" i="8"/>
  <c r="C285" i="8"/>
  <c r="D285" i="8"/>
  <c r="E285" i="8"/>
  <c r="G285" i="8"/>
  <c r="H285" i="8"/>
  <c r="L285" i="8"/>
  <c r="C286" i="8"/>
  <c r="E286" i="8"/>
  <c r="G286" i="8"/>
  <c r="H286" i="8"/>
  <c r="L286" i="8"/>
  <c r="C287" i="8"/>
  <c r="D287" i="8" s="1"/>
  <c r="E287" i="8"/>
  <c r="G287" i="8"/>
  <c r="H287" i="8"/>
  <c r="L287" i="8"/>
  <c r="C288" i="8"/>
  <c r="D288" i="8"/>
  <c r="E288" i="8"/>
  <c r="G288" i="8"/>
  <c r="H288" i="8"/>
  <c r="L288" i="8"/>
  <c r="C289" i="8"/>
  <c r="D289" i="8"/>
  <c r="E289" i="8"/>
  <c r="H289" i="8"/>
  <c r="L289" i="8"/>
  <c r="C290" i="8"/>
  <c r="D290" i="8" s="1"/>
  <c r="E290" i="8"/>
  <c r="G290" i="8"/>
  <c r="H290" i="8"/>
  <c r="L290" i="8"/>
  <c r="C291" i="8"/>
  <c r="D291" i="8" s="1"/>
  <c r="E291" i="8"/>
  <c r="G291" i="8"/>
  <c r="H291" i="8"/>
  <c r="L291" i="8"/>
  <c r="C292" i="8"/>
  <c r="E292" i="8"/>
  <c r="H292" i="8"/>
  <c r="L292" i="8"/>
  <c r="C293" i="8"/>
  <c r="D293" i="8" s="1"/>
  <c r="E293" i="8"/>
  <c r="H293" i="8"/>
  <c r="L293" i="8"/>
  <c r="C294" i="8"/>
  <c r="D294" i="8"/>
  <c r="E294" i="8"/>
  <c r="G294" i="8"/>
  <c r="H294" i="8"/>
  <c r="L294" i="8"/>
  <c r="C295" i="8"/>
  <c r="D295" i="8"/>
  <c r="E295" i="8"/>
  <c r="G295" i="8"/>
  <c r="H295" i="8"/>
  <c r="L295" i="8"/>
  <c r="C296" i="8"/>
  <c r="D296" i="8" s="1"/>
  <c r="E296" i="8"/>
  <c r="G296" i="8"/>
  <c r="H296" i="8"/>
  <c r="L296" i="8"/>
  <c r="C297" i="8"/>
  <c r="D297" i="8" s="1"/>
  <c r="E297" i="8"/>
  <c r="G297" i="8"/>
  <c r="H297" i="8"/>
  <c r="L297" i="8"/>
  <c r="C298" i="8"/>
  <c r="E298" i="8"/>
  <c r="G298" i="8"/>
  <c r="H298" i="8"/>
  <c r="L298" i="8"/>
  <c r="C299" i="8"/>
  <c r="D299" i="8" s="1"/>
  <c r="E299" i="8"/>
  <c r="H299" i="8"/>
  <c r="L299" i="8"/>
  <c r="C300" i="8"/>
  <c r="D300" i="8" s="1"/>
  <c r="E300" i="8"/>
  <c r="G300" i="8"/>
  <c r="H300" i="8"/>
  <c r="L300" i="8"/>
  <c r="C301" i="8"/>
  <c r="D301" i="8"/>
  <c r="E301" i="8"/>
  <c r="G301" i="8" s="1"/>
  <c r="H301" i="8"/>
  <c r="L301" i="8"/>
  <c r="C302" i="8"/>
  <c r="D302" i="8" s="1"/>
  <c r="E302" i="8"/>
  <c r="G302" i="8" s="1"/>
  <c r="H302" i="8"/>
  <c r="L302" i="8"/>
  <c r="C303" i="8"/>
  <c r="D303" i="8"/>
  <c r="E303" i="8"/>
  <c r="G303" i="8"/>
  <c r="H303" i="8"/>
  <c r="L303" i="8"/>
  <c r="C304" i="8"/>
  <c r="D304" i="8"/>
  <c r="E304" i="8"/>
  <c r="H304" i="8"/>
  <c r="L304" i="8"/>
  <c r="C305" i="8"/>
  <c r="D305" i="8" s="1"/>
  <c r="E305" i="8"/>
  <c r="G305" i="8"/>
  <c r="H305" i="8"/>
  <c r="L305" i="8"/>
  <c r="C306" i="8"/>
  <c r="D306" i="8"/>
  <c r="E306" i="8"/>
  <c r="G306" i="8"/>
  <c r="H306" i="8"/>
  <c r="L306" i="8"/>
  <c r="C307" i="8"/>
  <c r="D307" i="8" s="1"/>
  <c r="E307" i="8"/>
  <c r="G307" i="8" s="1"/>
  <c r="H307" i="8"/>
  <c r="L307" i="8"/>
  <c r="C308" i="8"/>
  <c r="D308" i="8" s="1"/>
  <c r="E308" i="8"/>
  <c r="G308" i="8"/>
  <c r="H308" i="8"/>
  <c r="L308" i="8"/>
  <c r="C309" i="8"/>
  <c r="D309" i="8" s="1"/>
  <c r="E309" i="8"/>
  <c r="G309" i="8"/>
  <c r="H309" i="8"/>
  <c r="L309" i="8"/>
  <c r="C310" i="8"/>
  <c r="D310" i="8"/>
  <c r="E310" i="8"/>
  <c r="G310" i="8"/>
  <c r="H310" i="8"/>
  <c r="L310" i="8"/>
  <c r="C311" i="8"/>
  <c r="E311" i="8"/>
  <c r="H311" i="8"/>
  <c r="L311" i="8"/>
  <c r="C312" i="8"/>
  <c r="D312" i="8" s="1"/>
  <c r="E312" i="8"/>
  <c r="G312" i="8"/>
  <c r="H312" i="8"/>
  <c r="L312" i="8"/>
  <c r="C313" i="8"/>
  <c r="D313" i="8"/>
  <c r="E313" i="8"/>
  <c r="H313" i="8"/>
  <c r="L313" i="8"/>
  <c r="C314" i="8"/>
  <c r="D314" i="8" s="1"/>
  <c r="E314" i="8"/>
  <c r="H314" i="8"/>
  <c r="L314" i="8"/>
  <c r="C315" i="8"/>
  <c r="D315" i="8"/>
  <c r="E315" i="8"/>
  <c r="G315" i="8"/>
  <c r="H315" i="8"/>
  <c r="L315" i="8"/>
  <c r="C316" i="8"/>
  <c r="D316" i="8" s="1"/>
  <c r="E316" i="8"/>
  <c r="G316" i="8" s="1"/>
  <c r="H316" i="8"/>
  <c r="L316" i="8"/>
  <c r="C317" i="8"/>
  <c r="D317" i="8" s="1"/>
  <c r="E317" i="8"/>
  <c r="G317" i="8"/>
  <c r="H317" i="8"/>
  <c r="L317" i="8"/>
  <c r="C318" i="8"/>
  <c r="D318" i="8" s="1"/>
  <c r="E318" i="8"/>
  <c r="G318" i="8"/>
  <c r="H318" i="8"/>
  <c r="L318" i="8"/>
  <c r="C319" i="8"/>
  <c r="D319" i="8"/>
  <c r="E319" i="8"/>
  <c r="G319" i="8"/>
  <c r="H319" i="8"/>
  <c r="L319" i="8"/>
  <c r="C320" i="8"/>
  <c r="D320" i="8" s="1"/>
  <c r="E320" i="8"/>
  <c r="G320" i="8"/>
  <c r="H320" i="8"/>
  <c r="L320" i="8"/>
  <c r="C321" i="8"/>
  <c r="D321" i="8"/>
  <c r="E321" i="8"/>
  <c r="G321" i="8"/>
  <c r="H321" i="8"/>
  <c r="L321" i="8"/>
  <c r="C322" i="8"/>
  <c r="D322" i="8" s="1"/>
  <c r="E322" i="8"/>
  <c r="H322" i="8"/>
  <c r="L322" i="8"/>
  <c r="C323" i="8"/>
  <c r="D323" i="8" s="1"/>
  <c r="E323" i="8"/>
  <c r="G323" i="8" s="1"/>
  <c r="H323" i="8"/>
  <c r="L323" i="8"/>
  <c r="C324" i="8"/>
  <c r="D324" i="8"/>
  <c r="E324" i="8"/>
  <c r="G324" i="8"/>
  <c r="H324" i="8"/>
  <c r="L324" i="8"/>
  <c r="C325" i="8"/>
  <c r="D325" i="8" s="1"/>
  <c r="E325" i="8"/>
  <c r="G325" i="8"/>
  <c r="H325" i="8"/>
  <c r="L325" i="8"/>
  <c r="C326" i="8"/>
  <c r="D326" i="8" s="1"/>
  <c r="E326" i="8"/>
  <c r="H326" i="8"/>
  <c r="L326" i="8"/>
  <c r="C327" i="8"/>
  <c r="D327" i="8"/>
  <c r="E327" i="8"/>
  <c r="G327" i="8" s="1"/>
  <c r="H327" i="8"/>
  <c r="L327" i="8"/>
  <c r="C328" i="8"/>
  <c r="D328" i="8" s="1"/>
  <c r="E328" i="8"/>
  <c r="H328" i="8"/>
  <c r="L328" i="8"/>
  <c r="C329" i="8"/>
  <c r="D329" i="8" s="1"/>
  <c r="E329" i="8"/>
  <c r="G329" i="8" s="1"/>
  <c r="H329" i="8"/>
  <c r="L329" i="8"/>
  <c r="C330" i="8"/>
  <c r="D330" i="8" s="1"/>
  <c r="E330" i="8"/>
  <c r="G330" i="8"/>
  <c r="H330" i="8"/>
  <c r="L330" i="8"/>
  <c r="C331" i="8"/>
  <c r="D331" i="8"/>
  <c r="E331" i="8"/>
  <c r="H331" i="8"/>
  <c r="L331" i="8"/>
  <c r="C332" i="8"/>
  <c r="D332" i="8" s="1"/>
  <c r="E332" i="8"/>
  <c r="G332" i="8"/>
  <c r="H332" i="8"/>
  <c r="L332" i="8"/>
  <c r="C333" i="8"/>
  <c r="E333" i="8"/>
  <c r="G333" i="8"/>
  <c r="H333" i="8"/>
  <c r="L333" i="8"/>
  <c r="C334" i="8"/>
  <c r="D334" i="8" s="1"/>
  <c r="E334" i="8"/>
  <c r="H334" i="8"/>
  <c r="L334" i="8"/>
  <c r="C335" i="8"/>
  <c r="D335" i="8" s="1"/>
  <c r="E335" i="8"/>
  <c r="H335" i="8"/>
  <c r="L335" i="8"/>
  <c r="C336" i="8"/>
  <c r="D336" i="8"/>
  <c r="E336" i="8"/>
  <c r="H336" i="8"/>
  <c r="L336" i="8"/>
  <c r="C337" i="8"/>
  <c r="D337" i="8"/>
  <c r="E337" i="8"/>
  <c r="G337" i="8"/>
  <c r="H337" i="8"/>
  <c r="L337" i="8"/>
  <c r="C338" i="8"/>
  <c r="D338" i="8" s="1"/>
  <c r="E338" i="8"/>
  <c r="G338" i="8" s="1"/>
  <c r="H338" i="8"/>
  <c r="L338" i="8"/>
  <c r="C339" i="8"/>
  <c r="E339" i="8"/>
  <c r="H339" i="8"/>
  <c r="L339" i="8"/>
  <c r="C340" i="8"/>
  <c r="D340" i="8"/>
  <c r="E340" i="8"/>
  <c r="G340" i="8"/>
  <c r="H340" i="8"/>
  <c r="L340" i="8"/>
  <c r="C341" i="8"/>
  <c r="D341" i="8" s="1"/>
  <c r="E341" i="8"/>
  <c r="G341" i="8"/>
  <c r="H341" i="8"/>
  <c r="L341" i="8"/>
  <c r="C342" i="8"/>
  <c r="D342" i="8"/>
  <c r="E342" i="8"/>
  <c r="G342" i="8"/>
  <c r="H342" i="8"/>
  <c r="L342" i="8"/>
  <c r="C343" i="8"/>
  <c r="D343" i="8" s="1"/>
  <c r="E343" i="8"/>
  <c r="G343" i="8" s="1"/>
  <c r="H343" i="8"/>
  <c r="L343" i="8"/>
  <c r="C344" i="8"/>
  <c r="D344" i="8" s="1"/>
  <c r="E344" i="8"/>
  <c r="H344" i="8"/>
  <c r="L344" i="8"/>
  <c r="C345" i="8"/>
  <c r="E345" i="8"/>
  <c r="G345" i="8"/>
  <c r="H345" i="8"/>
  <c r="L345" i="8"/>
  <c r="C346" i="8"/>
  <c r="D346" i="8"/>
  <c r="E346" i="8"/>
  <c r="G346" i="8"/>
  <c r="H346" i="8"/>
  <c r="L346" i="8"/>
  <c r="C347" i="8"/>
  <c r="D347" i="8" s="1"/>
  <c r="E347" i="8"/>
  <c r="G347" i="8"/>
  <c r="H347" i="8"/>
  <c r="L347" i="8"/>
  <c r="C348" i="8"/>
  <c r="D348" i="8"/>
  <c r="E348" i="8"/>
  <c r="G348" i="8" s="1"/>
  <c r="H348" i="8"/>
  <c r="L348" i="8"/>
  <c r="C349" i="8"/>
  <c r="D349" i="8"/>
  <c r="E349" i="8"/>
  <c r="H349" i="8"/>
  <c r="L349" i="8"/>
  <c r="C350" i="8"/>
  <c r="D350" i="8" s="1"/>
  <c r="E350" i="8"/>
  <c r="H350" i="8"/>
  <c r="L350" i="8"/>
  <c r="C351" i="8"/>
  <c r="D351" i="8"/>
  <c r="E351" i="8"/>
  <c r="H351" i="8"/>
  <c r="L351" i="8"/>
  <c r="C352" i="8"/>
  <c r="D352" i="8"/>
  <c r="E352" i="8"/>
  <c r="G352" i="8" s="1"/>
  <c r="H352" i="8"/>
  <c r="L352" i="8"/>
  <c r="C353" i="8"/>
  <c r="D353" i="8" s="1"/>
  <c r="E353" i="8"/>
  <c r="H353" i="8"/>
  <c r="L353" i="8"/>
  <c r="C354" i="8"/>
  <c r="D354" i="8" s="1"/>
  <c r="E354" i="8"/>
  <c r="G354" i="8" s="1"/>
  <c r="H354" i="8"/>
  <c r="L354" i="8"/>
  <c r="C355" i="8"/>
  <c r="D355" i="8" s="1"/>
  <c r="E355" i="8"/>
  <c r="G355" i="8"/>
  <c r="H355" i="8"/>
  <c r="L355" i="8"/>
  <c r="C356" i="8"/>
  <c r="D356" i="8" s="1"/>
  <c r="E356" i="8"/>
  <c r="H356" i="8"/>
  <c r="L356" i="8"/>
  <c r="C357" i="8"/>
  <c r="D357" i="8"/>
  <c r="E357" i="8"/>
  <c r="G357" i="8"/>
  <c r="H357" i="8"/>
  <c r="L357" i="8"/>
  <c r="C358" i="8"/>
  <c r="E358" i="8"/>
  <c r="G358" i="8"/>
  <c r="H358" i="8"/>
  <c r="L358" i="8"/>
  <c r="C359" i="8"/>
  <c r="D359" i="8" s="1"/>
  <c r="E359" i="8"/>
  <c r="G359" i="8"/>
  <c r="H359" i="8"/>
  <c r="L359" i="8"/>
  <c r="C360" i="8"/>
  <c r="D360" i="8"/>
  <c r="E360" i="8"/>
  <c r="H360" i="8"/>
  <c r="L360" i="8"/>
  <c r="C361" i="8"/>
  <c r="D361" i="8"/>
  <c r="E361" i="8"/>
  <c r="H361" i="8"/>
  <c r="L361" i="8"/>
  <c r="C362" i="8"/>
  <c r="D362" i="8" s="1"/>
  <c r="E362" i="8"/>
  <c r="G362" i="8"/>
  <c r="H362" i="8"/>
  <c r="L362" i="8"/>
  <c r="C363" i="8"/>
  <c r="D363" i="8" s="1"/>
  <c r="E363" i="8"/>
  <c r="G363" i="8" s="1"/>
  <c r="H363" i="8"/>
  <c r="L363" i="8"/>
  <c r="C364" i="8"/>
  <c r="E364" i="8"/>
  <c r="H364" i="8"/>
  <c r="L364" i="8"/>
  <c r="C365" i="8"/>
  <c r="D365" i="8" s="1"/>
  <c r="E365" i="8"/>
  <c r="G365" i="8" s="1"/>
  <c r="H365" i="8"/>
  <c r="L365" i="8"/>
  <c r="C366" i="8"/>
  <c r="D366" i="8"/>
  <c r="E366" i="8"/>
  <c r="G366" i="8"/>
  <c r="H366" i="8"/>
  <c r="L366" i="8"/>
  <c r="C367" i="8"/>
  <c r="D367" i="8"/>
  <c r="E367" i="8"/>
  <c r="G367" i="8"/>
  <c r="H367" i="8"/>
  <c r="L367" i="8"/>
  <c r="C368" i="8"/>
  <c r="D368" i="8" s="1"/>
  <c r="E368" i="8"/>
  <c r="G368" i="8"/>
  <c r="H368" i="8"/>
  <c r="L368" i="8"/>
  <c r="C369" i="8"/>
  <c r="D369" i="8" s="1"/>
  <c r="E369" i="8"/>
  <c r="H369" i="8"/>
  <c r="L369" i="8"/>
  <c r="C370" i="8"/>
  <c r="E370" i="8"/>
  <c r="G370" i="8"/>
  <c r="H370" i="8"/>
  <c r="L370" i="8"/>
  <c r="C371" i="8"/>
  <c r="D371" i="8" s="1"/>
  <c r="E371" i="8"/>
  <c r="H371" i="8"/>
  <c r="L371" i="8"/>
  <c r="C372" i="8"/>
  <c r="D372" i="8" s="1"/>
  <c r="E372" i="8"/>
  <c r="G372" i="8"/>
  <c r="H372" i="8"/>
  <c r="L372" i="8"/>
  <c r="C373" i="8"/>
  <c r="D373" i="8"/>
  <c r="E373" i="8"/>
  <c r="G373" i="8" s="1"/>
  <c r="H373" i="8"/>
  <c r="L373" i="8"/>
  <c r="C374" i="8"/>
  <c r="D374" i="8" s="1"/>
  <c r="E374" i="8"/>
  <c r="G374" i="8" s="1"/>
  <c r="H374" i="8"/>
  <c r="L374" i="8"/>
  <c r="C375" i="8"/>
  <c r="D375" i="8" s="1"/>
  <c r="E375" i="8"/>
  <c r="G375" i="8"/>
  <c r="H375" i="8"/>
  <c r="L375" i="8"/>
  <c r="C376" i="8"/>
  <c r="D376" i="8"/>
  <c r="E376" i="8"/>
  <c r="H376" i="8"/>
  <c r="L376" i="8"/>
  <c r="C377" i="8"/>
  <c r="D377" i="8" s="1"/>
  <c r="E377" i="8"/>
  <c r="G377" i="8"/>
  <c r="H377" i="8"/>
  <c r="L377" i="8"/>
  <c r="C378" i="8"/>
  <c r="D378" i="8"/>
  <c r="E378" i="8"/>
  <c r="H378" i="8"/>
  <c r="L378" i="8"/>
  <c r="C379" i="8"/>
  <c r="D379" i="8" s="1"/>
  <c r="E379" i="8"/>
  <c r="G379" i="8" s="1"/>
  <c r="H379" i="8"/>
  <c r="L379" i="8"/>
  <c r="C380" i="8"/>
  <c r="D380" i="8" s="1"/>
  <c r="E380" i="8"/>
  <c r="G380" i="8"/>
  <c r="H380" i="8"/>
  <c r="L380" i="8"/>
  <c r="C381" i="8"/>
  <c r="D381" i="8" s="1"/>
  <c r="E381" i="8"/>
  <c r="H381" i="8"/>
  <c r="L381" i="8"/>
  <c r="C382" i="8"/>
  <c r="D382" i="8"/>
  <c r="E382" i="8"/>
  <c r="G382" i="8"/>
  <c r="H382" i="8"/>
  <c r="L382" i="8"/>
  <c r="C383" i="8"/>
  <c r="E383" i="8"/>
  <c r="H383" i="8"/>
  <c r="L383" i="8"/>
  <c r="C384" i="8"/>
  <c r="D384" i="8"/>
  <c r="E384" i="8"/>
  <c r="G384" i="8"/>
  <c r="H384" i="8"/>
  <c r="L384" i="8"/>
  <c r="C385" i="8"/>
  <c r="D385" i="8" s="1"/>
  <c r="E385" i="8"/>
  <c r="H385" i="8"/>
  <c r="L385" i="8"/>
  <c r="C386" i="8"/>
  <c r="D386" i="8" s="1"/>
  <c r="E386" i="8"/>
  <c r="H386" i="8"/>
  <c r="L386" i="8"/>
  <c r="C387" i="8"/>
  <c r="D387" i="8"/>
  <c r="E387" i="8"/>
  <c r="G387" i="8"/>
  <c r="H387" i="8"/>
  <c r="L387" i="8"/>
  <c r="C388" i="8"/>
  <c r="D388" i="8" s="1"/>
  <c r="E388" i="8"/>
  <c r="G388" i="8" s="1"/>
  <c r="H388" i="8"/>
  <c r="L388" i="8"/>
  <c r="C389" i="8"/>
  <c r="D389" i="8" s="1"/>
  <c r="E389" i="8"/>
  <c r="G389" i="8"/>
  <c r="H389" i="8"/>
  <c r="L389" i="8"/>
  <c r="C390" i="8"/>
  <c r="D390" i="8" s="1"/>
  <c r="E390" i="8"/>
  <c r="G390" i="8" s="1"/>
  <c r="H390" i="8"/>
  <c r="L390" i="8"/>
  <c r="C391" i="8"/>
  <c r="D391" i="8"/>
  <c r="E391" i="8"/>
  <c r="G391" i="8"/>
  <c r="H391" i="8"/>
  <c r="L391" i="8"/>
  <c r="C392" i="8"/>
  <c r="D392" i="8" s="1"/>
  <c r="E392" i="8"/>
  <c r="G392" i="8"/>
  <c r="H392" i="8"/>
  <c r="L392" i="8"/>
  <c r="C393" i="8"/>
  <c r="D393" i="8"/>
  <c r="E393" i="8"/>
  <c r="G393" i="8"/>
  <c r="H393" i="8"/>
  <c r="L393" i="8"/>
  <c r="C394" i="8"/>
  <c r="D394" i="8" s="1"/>
  <c r="E394" i="8"/>
  <c r="H394" i="8"/>
  <c r="L394" i="8"/>
  <c r="C395" i="8"/>
  <c r="D395" i="8" s="1"/>
  <c r="E395" i="8"/>
  <c r="G395" i="8" s="1"/>
  <c r="H395" i="8"/>
  <c r="L395" i="8"/>
  <c r="C396" i="8"/>
  <c r="D396" i="8"/>
  <c r="E396" i="8"/>
  <c r="H396" i="8"/>
  <c r="L396" i="8"/>
  <c r="C397" i="8"/>
  <c r="D397" i="8" s="1"/>
  <c r="E397" i="8"/>
  <c r="G397" i="8"/>
  <c r="H397" i="8"/>
  <c r="L397" i="8"/>
  <c r="C398" i="8"/>
  <c r="D398" i="8" s="1"/>
  <c r="E398" i="8"/>
  <c r="H398" i="8"/>
  <c r="L398" i="8"/>
  <c r="C399" i="8"/>
  <c r="D399" i="8" s="1"/>
  <c r="E399" i="8"/>
  <c r="G399" i="8" s="1"/>
  <c r="H399" i="8"/>
  <c r="L399" i="8"/>
  <c r="C400" i="8"/>
  <c r="D400" i="8" s="1"/>
  <c r="E400" i="8"/>
  <c r="G400" i="8"/>
  <c r="H400" i="8"/>
  <c r="L400" i="8"/>
  <c r="C401" i="8"/>
  <c r="D401" i="8" s="1"/>
  <c r="E401" i="8"/>
  <c r="G401" i="8" s="1"/>
  <c r="H401" i="8"/>
  <c r="L401" i="8"/>
  <c r="C402" i="8"/>
  <c r="D402" i="8" s="1"/>
  <c r="E402" i="8"/>
  <c r="G402" i="8"/>
  <c r="H402" i="8"/>
  <c r="L402" i="8"/>
  <c r="C403" i="8"/>
  <c r="D403" i="8"/>
  <c r="E403" i="8"/>
  <c r="H403" i="8"/>
  <c r="L403" i="8"/>
  <c r="C404" i="8"/>
  <c r="D404" i="8" s="1"/>
  <c r="E404" i="8"/>
  <c r="G404" i="8"/>
  <c r="H404" i="8"/>
  <c r="L404" i="8"/>
  <c r="C405" i="8"/>
  <c r="E405" i="8"/>
  <c r="G405" i="8"/>
  <c r="H405" i="8"/>
  <c r="L405" i="8"/>
  <c r="C406" i="8"/>
  <c r="D406" i="8" s="1"/>
  <c r="E406" i="8"/>
  <c r="H406" i="8"/>
  <c r="L406" i="8"/>
  <c r="C407" i="8"/>
  <c r="D407" i="8" s="1"/>
  <c r="E407" i="8"/>
  <c r="H407" i="8"/>
  <c r="L407" i="8"/>
  <c r="C408" i="8"/>
  <c r="D408" i="8"/>
  <c r="E408" i="8"/>
  <c r="H408" i="8"/>
  <c r="L408" i="8"/>
  <c r="C409" i="8"/>
  <c r="D409" i="8"/>
  <c r="E409" i="8"/>
  <c r="G409" i="8"/>
  <c r="H409" i="8"/>
  <c r="L409" i="8"/>
  <c r="C410" i="8"/>
  <c r="D410" i="8" s="1"/>
  <c r="E410" i="8"/>
  <c r="G410" i="8" s="1"/>
  <c r="H410" i="8"/>
  <c r="L410" i="8"/>
  <c r="C411" i="8"/>
  <c r="E411" i="8"/>
  <c r="H411" i="8"/>
  <c r="L411" i="8"/>
  <c r="C412" i="8"/>
  <c r="D412" i="8"/>
  <c r="E412" i="8"/>
  <c r="G412" i="8"/>
  <c r="H412" i="8"/>
  <c r="L412" i="8"/>
  <c r="C413" i="8"/>
  <c r="D413" i="8" s="1"/>
  <c r="E413" i="8"/>
  <c r="G413" i="8"/>
  <c r="H413" i="8"/>
  <c r="L413" i="8"/>
  <c r="C414" i="8"/>
  <c r="D414" i="8"/>
  <c r="E414" i="8"/>
  <c r="G414" i="8"/>
  <c r="H414" i="8"/>
  <c r="L414" i="8"/>
  <c r="C415" i="8"/>
  <c r="D415" i="8" s="1"/>
  <c r="E415" i="8"/>
  <c r="G415" i="8" s="1"/>
  <c r="H415" i="8"/>
  <c r="L415" i="8"/>
  <c r="C416" i="8"/>
  <c r="D416" i="8" s="1"/>
  <c r="E416" i="8"/>
  <c r="H416" i="8"/>
  <c r="L416" i="8"/>
  <c r="C417" i="8"/>
  <c r="E417" i="8"/>
  <c r="G417" i="8"/>
  <c r="H417" i="8"/>
  <c r="L417" i="8"/>
  <c r="C418" i="8"/>
  <c r="D418" i="8"/>
  <c r="E418" i="8"/>
  <c r="G418" i="8"/>
  <c r="H418" i="8"/>
  <c r="L418" i="8"/>
  <c r="C419" i="8"/>
  <c r="D419" i="8" s="1"/>
  <c r="E419" i="8"/>
  <c r="G419" i="8"/>
  <c r="H419" i="8"/>
  <c r="L419" i="8"/>
  <c r="C420" i="8"/>
  <c r="D420" i="8"/>
  <c r="E420" i="8"/>
  <c r="G420" i="8" s="1"/>
  <c r="H420" i="8"/>
  <c r="L420" i="8"/>
  <c r="C421" i="8"/>
  <c r="D421" i="8"/>
  <c r="E421" i="8"/>
  <c r="H421" i="8"/>
  <c r="L421" i="8"/>
  <c r="C422" i="8"/>
  <c r="D422" i="8" s="1"/>
  <c r="E422" i="8"/>
  <c r="G422" i="8"/>
  <c r="H422" i="8"/>
  <c r="L422" i="8"/>
  <c r="C423" i="8"/>
  <c r="D423" i="8"/>
  <c r="E423" i="8"/>
  <c r="H423" i="8"/>
  <c r="L423" i="8"/>
  <c r="C424" i="8"/>
  <c r="D424" i="8" s="1"/>
  <c r="E424" i="8"/>
  <c r="G424" i="8" s="1"/>
  <c r="H424" i="8"/>
  <c r="L424" i="8"/>
  <c r="C425" i="8"/>
  <c r="D425" i="8" s="1"/>
  <c r="E425" i="8"/>
  <c r="H425" i="8"/>
  <c r="L425" i="8"/>
  <c r="C426" i="8"/>
  <c r="D426" i="8" s="1"/>
  <c r="E426" i="8"/>
  <c r="G426" i="8" s="1"/>
  <c r="H426" i="8"/>
  <c r="L426" i="8"/>
  <c r="C427" i="8"/>
  <c r="D427" i="8" s="1"/>
  <c r="E427" i="8"/>
  <c r="G427" i="8"/>
  <c r="H427" i="8"/>
  <c r="L427" i="8"/>
  <c r="C428" i="8"/>
  <c r="D428" i="8" s="1"/>
  <c r="E428" i="8"/>
  <c r="H428" i="8"/>
  <c r="L428" i="8"/>
  <c r="C429" i="8"/>
  <c r="D429" i="8"/>
  <c r="E429" i="8"/>
  <c r="G429" i="8"/>
  <c r="H429" i="8"/>
  <c r="L429" i="8"/>
  <c r="C430" i="8"/>
  <c r="E430" i="8"/>
  <c r="G430" i="8"/>
  <c r="H430" i="8"/>
  <c r="L430" i="8"/>
  <c r="C431" i="8"/>
  <c r="D431" i="8" s="1"/>
  <c r="E431" i="8"/>
  <c r="G431" i="8"/>
  <c r="H431" i="8"/>
  <c r="L431" i="8"/>
  <c r="C432" i="8"/>
  <c r="D432" i="8" s="1"/>
  <c r="E432" i="8"/>
  <c r="H432" i="8"/>
  <c r="L432" i="8"/>
  <c r="C433" i="8"/>
  <c r="D433" i="8"/>
  <c r="E433" i="8"/>
  <c r="H433" i="8"/>
  <c r="L433" i="8"/>
  <c r="C434" i="8"/>
  <c r="D434" i="8" s="1"/>
  <c r="E434" i="8"/>
  <c r="G434" i="8"/>
  <c r="H434" i="8"/>
  <c r="L434" i="8"/>
  <c r="C435" i="8"/>
  <c r="D435" i="8" s="1"/>
  <c r="E435" i="8"/>
  <c r="G435" i="8" s="1"/>
  <c r="H435" i="8"/>
  <c r="L435" i="8"/>
  <c r="C436" i="8"/>
  <c r="E436" i="8"/>
  <c r="H436" i="8"/>
  <c r="L436" i="8"/>
  <c r="C437" i="8"/>
  <c r="D437" i="8" s="1"/>
  <c r="E437" i="8"/>
  <c r="G437" i="8" s="1"/>
  <c r="H437" i="8"/>
  <c r="L437" i="8"/>
  <c r="C438" i="8"/>
  <c r="D438" i="8"/>
  <c r="E438" i="8"/>
  <c r="G438" i="8"/>
  <c r="H438" i="8"/>
  <c r="L438" i="8"/>
  <c r="C439" i="8"/>
  <c r="D439" i="8"/>
  <c r="E439" i="8"/>
  <c r="G439" i="8"/>
  <c r="H439" i="8"/>
  <c r="L439" i="8"/>
  <c r="C440" i="8"/>
  <c r="D440" i="8" s="1"/>
  <c r="E440" i="8"/>
  <c r="G440" i="8"/>
  <c r="H440" i="8"/>
  <c r="L440" i="8"/>
  <c r="C441" i="8"/>
  <c r="D441" i="8" s="1"/>
  <c r="E441" i="8"/>
  <c r="H441" i="8"/>
  <c r="L441" i="8"/>
  <c r="C442" i="8"/>
  <c r="E442" i="8"/>
  <c r="G442" i="8"/>
  <c r="H442" i="8"/>
  <c r="L442" i="8"/>
  <c r="C443" i="8"/>
  <c r="D443" i="8" s="1"/>
  <c r="E443" i="8"/>
  <c r="H443" i="8"/>
  <c r="L443" i="8"/>
  <c r="C444" i="8"/>
  <c r="D444" i="8" s="1"/>
  <c r="E444" i="8"/>
  <c r="G444" i="8"/>
  <c r="H444" i="8"/>
  <c r="L444" i="8"/>
  <c r="C445" i="8"/>
  <c r="D445" i="8"/>
  <c r="E445" i="8"/>
  <c r="G445" i="8"/>
  <c r="H445" i="8"/>
  <c r="L445" i="8"/>
  <c r="C446" i="8"/>
  <c r="D446" i="8" s="1"/>
  <c r="E446" i="8"/>
  <c r="G446" i="8" s="1"/>
  <c r="H446" i="8"/>
  <c r="L446" i="8"/>
  <c r="C447" i="8"/>
  <c r="D447" i="8" s="1"/>
  <c r="E447" i="8"/>
  <c r="G447" i="8"/>
  <c r="H447" i="8"/>
  <c r="L447" i="8"/>
  <c r="C448" i="8"/>
  <c r="D448" i="8"/>
  <c r="E448" i="8"/>
  <c r="H448" i="8"/>
  <c r="L448" i="8"/>
  <c r="C449" i="8"/>
  <c r="D449" i="8" s="1"/>
  <c r="E449" i="8"/>
  <c r="G449" i="8"/>
  <c r="H449" i="8"/>
  <c r="L449" i="8"/>
  <c r="C450" i="8"/>
  <c r="D450" i="8"/>
  <c r="E450" i="8"/>
  <c r="H450" i="8"/>
  <c r="L450" i="8"/>
  <c r="C451" i="8"/>
  <c r="D451" i="8" s="1"/>
  <c r="E451" i="8"/>
  <c r="G451" i="8" s="1"/>
  <c r="H451" i="8"/>
  <c r="L451" i="8"/>
  <c r="C452" i="8"/>
  <c r="D452" i="8" s="1"/>
  <c r="E452" i="8"/>
  <c r="G452" i="8"/>
  <c r="H452" i="8"/>
  <c r="L452" i="8"/>
  <c r="C453" i="8"/>
  <c r="D453" i="8" s="1"/>
  <c r="E453" i="8"/>
  <c r="H453" i="8"/>
  <c r="L453" i="8"/>
  <c r="C454" i="8"/>
  <c r="D454" i="8"/>
  <c r="E454" i="8"/>
  <c r="G454" i="8"/>
  <c r="H454" i="8"/>
  <c r="L454" i="8"/>
  <c r="C455" i="8"/>
  <c r="E455" i="8"/>
  <c r="H455" i="8"/>
  <c r="L455" i="8"/>
  <c r="C456" i="8"/>
  <c r="D456" i="8"/>
  <c r="E456" i="8"/>
  <c r="G456" i="8"/>
  <c r="H456" i="8"/>
  <c r="L456" i="8"/>
  <c r="C457" i="8"/>
  <c r="D457" i="8" s="1"/>
  <c r="E457" i="8"/>
  <c r="H457" i="8"/>
  <c r="L457" i="8"/>
  <c r="C458" i="8"/>
  <c r="D458" i="8" s="1"/>
  <c r="E458" i="8"/>
  <c r="H458" i="8"/>
  <c r="L458" i="8"/>
  <c r="C459" i="8"/>
  <c r="D459" i="8"/>
  <c r="E459" i="8"/>
  <c r="G459" i="8"/>
  <c r="H459" i="8"/>
  <c r="L459" i="8"/>
  <c r="C460" i="8"/>
  <c r="D460" i="8" s="1"/>
  <c r="E460" i="8"/>
  <c r="G460" i="8" s="1"/>
  <c r="H460" i="8"/>
  <c r="L460" i="8"/>
  <c r="C461" i="8"/>
  <c r="D461" i="8" s="1"/>
  <c r="E461" i="8"/>
  <c r="G461" i="8"/>
  <c r="H461" i="8"/>
  <c r="L461" i="8"/>
  <c r="C462" i="8"/>
  <c r="D462" i="8" s="1"/>
  <c r="E462" i="8"/>
  <c r="G462" i="8" s="1"/>
  <c r="H462" i="8"/>
  <c r="L462" i="8"/>
  <c r="C463" i="8"/>
  <c r="D463" i="8"/>
  <c r="E463" i="8"/>
  <c r="G463" i="8"/>
  <c r="H463" i="8"/>
  <c r="L463" i="8"/>
  <c r="C464" i="8"/>
  <c r="D464" i="8" s="1"/>
  <c r="E464" i="8"/>
  <c r="G464" i="8"/>
  <c r="H464" i="8"/>
  <c r="L464" i="8"/>
  <c r="C465" i="8"/>
  <c r="D465" i="8"/>
  <c r="E465" i="8"/>
  <c r="G465" i="8"/>
  <c r="H465" i="8"/>
  <c r="L465" i="8"/>
  <c r="C466" i="8"/>
  <c r="D466" i="8" s="1"/>
  <c r="E466" i="8"/>
  <c r="H466" i="8"/>
  <c r="L466" i="8"/>
  <c r="C467" i="8"/>
  <c r="D467" i="8" s="1"/>
  <c r="E467" i="8"/>
  <c r="G467" i="8"/>
  <c r="H467" i="8"/>
  <c r="L467" i="8"/>
  <c r="C468" i="8"/>
  <c r="D468" i="8"/>
  <c r="E468" i="8"/>
  <c r="H468" i="8"/>
  <c r="L468" i="8"/>
  <c r="C469" i="8"/>
  <c r="D469" i="8" s="1"/>
  <c r="E469" i="8"/>
  <c r="G469" i="8"/>
  <c r="H469" i="8"/>
  <c r="L469" i="8"/>
  <c r="C470" i="8"/>
  <c r="D470" i="8" s="1"/>
  <c r="E470" i="8"/>
  <c r="H470" i="8"/>
  <c r="L470" i="8"/>
  <c r="C471" i="8"/>
  <c r="D471" i="8" s="1"/>
  <c r="E471" i="8"/>
  <c r="G471" i="8" s="1"/>
  <c r="H471" i="8"/>
  <c r="L471" i="8"/>
  <c r="C472" i="8"/>
  <c r="D472" i="8" s="1"/>
  <c r="E472" i="8"/>
  <c r="G472" i="8"/>
  <c r="H472" i="8"/>
  <c r="L472" i="8"/>
  <c r="C473" i="8"/>
  <c r="D473" i="8" s="1"/>
  <c r="E473" i="8"/>
  <c r="G473" i="8" s="1"/>
  <c r="H473" i="8"/>
  <c r="L473" i="8"/>
  <c r="C474" i="8"/>
  <c r="D474" i="8" s="1"/>
  <c r="E474" i="8"/>
  <c r="G474" i="8"/>
  <c r="H474" i="8"/>
  <c r="L474" i="8"/>
  <c r="C475" i="8"/>
  <c r="D475" i="8"/>
  <c r="E475" i="8"/>
  <c r="H475" i="8"/>
  <c r="L475" i="8"/>
  <c r="C476" i="8"/>
  <c r="D476" i="8" s="1"/>
  <c r="E476" i="8"/>
  <c r="G476" i="8"/>
  <c r="H476" i="8"/>
  <c r="L476" i="8"/>
  <c r="C477" i="8"/>
  <c r="E477" i="8"/>
  <c r="G477" i="8"/>
  <c r="H477" i="8"/>
  <c r="L477" i="8"/>
  <c r="C478" i="8"/>
  <c r="D478" i="8" s="1"/>
  <c r="E478" i="8"/>
  <c r="H478" i="8"/>
  <c r="L478" i="8"/>
  <c r="C479" i="8"/>
  <c r="D479" i="8" s="1"/>
  <c r="E479" i="8"/>
  <c r="H479" i="8"/>
  <c r="L479" i="8"/>
  <c r="C480" i="8"/>
  <c r="D480" i="8"/>
  <c r="E480" i="8"/>
  <c r="H480" i="8"/>
  <c r="L480" i="8"/>
  <c r="C481" i="8"/>
  <c r="D481" i="8"/>
  <c r="E481" i="8"/>
  <c r="G481" i="8"/>
  <c r="H481" i="8"/>
  <c r="L481" i="8"/>
  <c r="C482" i="8"/>
  <c r="D482" i="8" s="1"/>
  <c r="E482" i="8"/>
  <c r="G482" i="8" s="1"/>
  <c r="H482" i="8"/>
  <c r="L482" i="8"/>
  <c r="C483" i="8"/>
  <c r="E483" i="8"/>
  <c r="H483" i="8"/>
  <c r="L483" i="8"/>
  <c r="C484" i="8"/>
  <c r="D484" i="8"/>
  <c r="E484" i="8"/>
  <c r="G484" i="8"/>
  <c r="H484" i="8"/>
  <c r="L484" i="8"/>
  <c r="C485" i="8"/>
  <c r="D485" i="8" s="1"/>
  <c r="E485" i="8"/>
  <c r="G485" i="8"/>
  <c r="H485" i="8"/>
  <c r="L485" i="8"/>
  <c r="C486" i="8"/>
  <c r="D486" i="8"/>
  <c r="E486" i="8"/>
  <c r="G486" i="8"/>
  <c r="H486" i="8"/>
  <c r="L486" i="8"/>
  <c r="C487" i="8"/>
  <c r="D487" i="8" s="1"/>
  <c r="E487" i="8"/>
  <c r="G487" i="8" s="1"/>
  <c r="H487" i="8"/>
  <c r="L487" i="8"/>
  <c r="C488" i="8"/>
  <c r="D488" i="8" s="1"/>
  <c r="E488" i="8"/>
  <c r="H488" i="8"/>
  <c r="L488" i="8"/>
  <c r="C489" i="8"/>
  <c r="E489" i="8"/>
  <c r="G489" i="8"/>
  <c r="H489" i="8"/>
  <c r="L489" i="8"/>
  <c r="C490" i="8"/>
  <c r="D490" i="8"/>
  <c r="E490" i="8"/>
  <c r="G490" i="8"/>
  <c r="H490" i="8"/>
  <c r="L490" i="8"/>
  <c r="C491" i="8"/>
  <c r="D491" i="8" s="1"/>
  <c r="E491" i="8"/>
  <c r="G491" i="8"/>
  <c r="H491" i="8"/>
  <c r="L491" i="8"/>
  <c r="C492" i="8"/>
  <c r="D492" i="8"/>
  <c r="E492" i="8"/>
  <c r="G492" i="8"/>
  <c r="H492" i="8"/>
  <c r="L492" i="8"/>
  <c r="C493" i="8"/>
  <c r="D493" i="8"/>
  <c r="E493" i="8"/>
  <c r="H493" i="8"/>
  <c r="L493" i="8"/>
  <c r="C494" i="8"/>
  <c r="D494" i="8" s="1"/>
  <c r="E494" i="8"/>
  <c r="G494" i="8"/>
  <c r="H494" i="8"/>
  <c r="L494" i="8"/>
  <c r="C495" i="8"/>
  <c r="D495" i="8"/>
  <c r="E495" i="8"/>
  <c r="H495" i="8"/>
  <c r="L495" i="8"/>
  <c r="C496" i="8"/>
  <c r="D496" i="8" s="1"/>
  <c r="E496" i="8"/>
  <c r="G496" i="8" s="1"/>
  <c r="H496" i="8"/>
  <c r="L496" i="8"/>
  <c r="C497" i="8"/>
  <c r="D497" i="8" s="1"/>
  <c r="E497" i="8"/>
  <c r="H497" i="8"/>
  <c r="L497" i="8"/>
  <c r="C498" i="8"/>
  <c r="D498" i="8" s="1"/>
  <c r="E498" i="8"/>
  <c r="G498" i="8" s="1"/>
  <c r="H498" i="8"/>
  <c r="L498" i="8"/>
  <c r="C499" i="8"/>
  <c r="D499" i="8" s="1"/>
  <c r="E499" i="8"/>
  <c r="G499" i="8"/>
  <c r="H499" i="8"/>
  <c r="L499" i="8"/>
  <c r="C500" i="8"/>
  <c r="D500" i="8" s="1"/>
  <c r="E500" i="8"/>
  <c r="H500" i="8"/>
  <c r="L500" i="8"/>
  <c r="C501" i="8"/>
  <c r="D501" i="8"/>
  <c r="E501" i="8"/>
  <c r="G501" i="8"/>
  <c r="H501" i="8"/>
  <c r="L501" i="8"/>
  <c r="C502" i="8"/>
  <c r="E502" i="8"/>
  <c r="G502" i="8"/>
  <c r="H502" i="8"/>
  <c r="L502" i="8"/>
  <c r="C503" i="8"/>
  <c r="D503" i="8" s="1"/>
  <c r="E503" i="8"/>
  <c r="G503" i="8"/>
  <c r="H503" i="8"/>
  <c r="L503" i="8"/>
  <c r="C504" i="8"/>
  <c r="D504" i="8" s="1"/>
  <c r="E504" i="8"/>
  <c r="H504" i="8"/>
  <c r="L504" i="8"/>
  <c r="C505" i="8"/>
  <c r="D505" i="8"/>
  <c r="E505" i="8"/>
  <c r="H505" i="8"/>
  <c r="L505" i="8"/>
  <c r="C506" i="8"/>
  <c r="D506" i="8" s="1"/>
  <c r="E506" i="8"/>
  <c r="G506" i="8"/>
  <c r="H506" i="8"/>
  <c r="L506" i="8"/>
  <c r="C507" i="8"/>
  <c r="D507" i="8" s="1"/>
  <c r="E507" i="8"/>
  <c r="G507" i="8" s="1"/>
  <c r="H507" i="8"/>
  <c r="L507" i="8"/>
  <c r="C508" i="8"/>
  <c r="E508" i="8"/>
  <c r="H508" i="8"/>
  <c r="L508" i="8"/>
  <c r="C509" i="8"/>
  <c r="D509" i="8" s="1"/>
  <c r="E509" i="8"/>
  <c r="G509" i="8" s="1"/>
  <c r="H509" i="8"/>
  <c r="L509" i="8"/>
  <c r="C510" i="8"/>
  <c r="D510" i="8"/>
  <c r="E510" i="8"/>
  <c r="G510" i="8"/>
  <c r="H510" i="8"/>
  <c r="L510" i="8"/>
  <c r="C511" i="8"/>
  <c r="D511" i="8"/>
  <c r="E511" i="8"/>
  <c r="G511" i="8"/>
  <c r="H511" i="8"/>
  <c r="L511" i="8"/>
  <c r="C512" i="8"/>
  <c r="D512" i="8" s="1"/>
  <c r="E512" i="8"/>
  <c r="G512" i="8"/>
  <c r="H512" i="8"/>
  <c r="L512" i="8"/>
  <c r="C513" i="8"/>
  <c r="D513" i="8" s="1"/>
  <c r="E513" i="8"/>
  <c r="H513" i="8"/>
  <c r="L513" i="8"/>
  <c r="C514" i="8"/>
  <c r="E514" i="8"/>
  <c r="G514" i="8"/>
  <c r="H514" i="8"/>
  <c r="L514" i="8"/>
  <c r="C515" i="8"/>
  <c r="D515" i="8" s="1"/>
  <c r="E515" i="8"/>
  <c r="H515" i="8"/>
  <c r="L515" i="8"/>
  <c r="C516" i="8"/>
  <c r="D516" i="8" s="1"/>
  <c r="E516" i="8"/>
  <c r="G516" i="8"/>
  <c r="H516" i="8"/>
  <c r="L516" i="8"/>
  <c r="C517" i="8"/>
  <c r="D517" i="8"/>
  <c r="E517" i="8"/>
  <c r="G517" i="8"/>
  <c r="H517" i="8"/>
  <c r="L517" i="8"/>
  <c r="C518" i="8"/>
  <c r="D518" i="8" s="1"/>
  <c r="E518" i="8"/>
  <c r="G518" i="8" s="1"/>
  <c r="H518" i="8"/>
  <c r="L518" i="8"/>
  <c r="C519" i="8"/>
  <c r="D519" i="8" s="1"/>
  <c r="E519" i="8"/>
  <c r="G519" i="8"/>
  <c r="H519" i="8"/>
  <c r="L519" i="8"/>
  <c r="C520" i="8"/>
  <c r="D520" i="8"/>
  <c r="E520" i="8"/>
  <c r="H520" i="8"/>
  <c r="L520" i="8"/>
  <c r="C521" i="8"/>
  <c r="D521" i="8" s="1"/>
  <c r="E521" i="8"/>
  <c r="G521" i="8"/>
  <c r="H521" i="8"/>
  <c r="L521" i="8"/>
  <c r="C522" i="8"/>
  <c r="D522" i="8"/>
  <c r="E522" i="8"/>
  <c r="H522" i="8"/>
  <c r="L522" i="8"/>
  <c r="C523" i="8"/>
  <c r="D523" i="8" s="1"/>
  <c r="E523" i="8"/>
  <c r="G523" i="8" s="1"/>
  <c r="H523" i="8"/>
  <c r="L523" i="8"/>
  <c r="C524" i="8"/>
  <c r="D524" i="8" s="1"/>
  <c r="E524" i="8"/>
  <c r="G524" i="8"/>
  <c r="H524" i="8"/>
  <c r="L524" i="8"/>
  <c r="C525" i="8"/>
  <c r="D525" i="8" s="1"/>
  <c r="E525" i="8"/>
  <c r="H525" i="8"/>
  <c r="L525" i="8"/>
  <c r="C526" i="8"/>
  <c r="D526" i="8"/>
  <c r="E526" i="8"/>
  <c r="G526" i="8"/>
  <c r="H526" i="8"/>
  <c r="L526" i="8"/>
  <c r="C527" i="8"/>
  <c r="E527" i="8"/>
  <c r="H527" i="8"/>
  <c r="L527" i="8"/>
  <c r="C528" i="8"/>
  <c r="D528" i="8"/>
  <c r="E528" i="8"/>
  <c r="G528" i="8"/>
  <c r="H528" i="8"/>
  <c r="L528" i="8"/>
  <c r="C529" i="8"/>
  <c r="D529" i="8" s="1"/>
  <c r="E529" i="8"/>
  <c r="H529" i="8"/>
  <c r="L529" i="8"/>
  <c r="C530" i="8"/>
  <c r="D530" i="8" s="1"/>
  <c r="E530" i="8"/>
  <c r="H530" i="8"/>
  <c r="L530" i="8"/>
  <c r="C531" i="8"/>
  <c r="D531" i="8"/>
  <c r="E531" i="8"/>
  <c r="G531" i="8"/>
  <c r="H531" i="8"/>
  <c r="L531" i="8"/>
  <c r="C532" i="8"/>
  <c r="D532" i="8" s="1"/>
  <c r="E532" i="8"/>
  <c r="G532" i="8" s="1"/>
  <c r="H532" i="8"/>
  <c r="L532" i="8"/>
  <c r="C533" i="8"/>
  <c r="D533" i="8" s="1"/>
  <c r="E533" i="8"/>
  <c r="G533" i="8"/>
  <c r="H533" i="8"/>
  <c r="L533" i="8"/>
  <c r="C534" i="8"/>
  <c r="D534" i="8" s="1"/>
  <c r="E534" i="8"/>
  <c r="G534" i="8" s="1"/>
  <c r="H534" i="8"/>
  <c r="L534" i="8"/>
  <c r="C535" i="8"/>
  <c r="D535" i="8"/>
  <c r="E535" i="8"/>
  <c r="G535" i="8"/>
  <c r="H535" i="8"/>
  <c r="L535" i="8"/>
  <c r="C536" i="8"/>
  <c r="D536" i="8" s="1"/>
  <c r="E536" i="8"/>
  <c r="G536" i="8"/>
  <c r="H536" i="8"/>
  <c r="L536" i="8"/>
  <c r="C537" i="8"/>
  <c r="D537" i="8"/>
  <c r="E537" i="8"/>
  <c r="G537" i="8"/>
  <c r="H537" i="8"/>
  <c r="L537" i="8"/>
  <c r="C538" i="8"/>
  <c r="D538" i="8" s="1"/>
  <c r="E538" i="8"/>
  <c r="H538" i="8"/>
  <c r="L538" i="8"/>
  <c r="C539" i="8"/>
  <c r="D539" i="8" s="1"/>
  <c r="E539" i="8"/>
  <c r="G539" i="8"/>
  <c r="H539" i="8"/>
  <c r="L539" i="8"/>
  <c r="C540" i="8"/>
  <c r="D540" i="8"/>
  <c r="E540" i="8"/>
  <c r="H540" i="8"/>
  <c r="L540" i="8"/>
  <c r="C541" i="8"/>
  <c r="D541" i="8" s="1"/>
  <c r="E541" i="8"/>
  <c r="G541" i="8"/>
  <c r="H541" i="8"/>
  <c r="L541" i="8"/>
  <c r="C542" i="8"/>
  <c r="D542" i="8" s="1"/>
  <c r="E542" i="8"/>
  <c r="H542" i="8"/>
  <c r="L542" i="8"/>
  <c r="C543" i="8"/>
  <c r="D543" i="8" s="1"/>
  <c r="E543" i="8"/>
  <c r="G543" i="8" s="1"/>
  <c r="H543" i="8"/>
  <c r="L543" i="8"/>
  <c r="C544" i="8"/>
  <c r="E544" i="8"/>
  <c r="G544" i="8"/>
  <c r="H544" i="8"/>
  <c r="L544" i="8"/>
  <c r="C545" i="8"/>
  <c r="D545" i="8" s="1"/>
  <c r="E545" i="8"/>
  <c r="G545" i="8" s="1"/>
  <c r="H545" i="8"/>
  <c r="L545" i="8"/>
  <c r="C546" i="8"/>
  <c r="E546" i="8"/>
  <c r="G546" i="8"/>
  <c r="H546" i="8"/>
  <c r="L546" i="8"/>
  <c r="C547" i="8"/>
  <c r="D547" i="8"/>
  <c r="E547" i="8"/>
  <c r="H547" i="8"/>
  <c r="L547" i="8"/>
  <c r="C548" i="8"/>
  <c r="D548" i="8" s="1"/>
  <c r="E548" i="8"/>
  <c r="G548" i="8"/>
  <c r="H548" i="8"/>
  <c r="L548" i="8"/>
  <c r="C549" i="8"/>
  <c r="D549" i="8"/>
  <c r="E549" i="8"/>
  <c r="G549" i="8"/>
  <c r="H549" i="8"/>
  <c r="L549" i="8"/>
  <c r="C550" i="8"/>
  <c r="D550" i="8" s="1"/>
  <c r="E550" i="8"/>
  <c r="H550" i="8"/>
  <c r="L550" i="8"/>
  <c r="C551" i="8"/>
  <c r="D551" i="8" s="1"/>
  <c r="E551" i="8"/>
  <c r="H551" i="8"/>
  <c r="L551" i="8"/>
  <c r="C552" i="8"/>
  <c r="D552" i="8"/>
  <c r="E552" i="8"/>
  <c r="H552" i="8"/>
  <c r="L552" i="8"/>
  <c r="C553" i="8"/>
  <c r="D553" i="8"/>
  <c r="E553" i="8"/>
  <c r="G553" i="8"/>
  <c r="H553" i="8"/>
  <c r="L553" i="8"/>
  <c r="C554" i="8"/>
  <c r="D554" i="8" s="1"/>
  <c r="E554" i="8"/>
  <c r="G554" i="8" s="1"/>
  <c r="H554" i="8"/>
  <c r="L554" i="8"/>
  <c r="C555" i="8"/>
  <c r="E555" i="8"/>
  <c r="G555" i="8" s="1"/>
  <c r="H555" i="8"/>
  <c r="L555" i="8"/>
  <c r="C556" i="8"/>
  <c r="D556" i="8"/>
  <c r="E556" i="8"/>
  <c r="G556" i="8"/>
  <c r="H556" i="8"/>
  <c r="L556" i="8"/>
  <c r="C557" i="8"/>
  <c r="D557" i="8" s="1"/>
  <c r="E557" i="8"/>
  <c r="G557" i="8"/>
  <c r="H557" i="8"/>
  <c r="L557" i="8"/>
  <c r="C558" i="8"/>
  <c r="D558" i="8"/>
  <c r="E558" i="8"/>
  <c r="G558" i="8"/>
  <c r="H558" i="8"/>
  <c r="L558" i="8"/>
  <c r="C559" i="8"/>
  <c r="D559" i="8" s="1"/>
  <c r="E559" i="8"/>
  <c r="G559" i="8" s="1"/>
  <c r="H559" i="8"/>
  <c r="L559" i="8"/>
  <c r="C560" i="8"/>
  <c r="D560" i="8" s="1"/>
  <c r="E560" i="8"/>
  <c r="H560" i="8"/>
  <c r="L560" i="8"/>
  <c r="C561" i="8"/>
  <c r="E561" i="8"/>
  <c r="G561" i="8"/>
  <c r="H561" i="8"/>
  <c r="L561" i="8"/>
  <c r="C562" i="8"/>
  <c r="D562" i="8"/>
  <c r="E562" i="8"/>
  <c r="G562" i="8"/>
  <c r="H562" i="8"/>
  <c r="L562" i="8"/>
  <c r="C563" i="8"/>
  <c r="D563" i="8" s="1"/>
  <c r="E563" i="8"/>
  <c r="G563" i="8"/>
  <c r="H563" i="8"/>
  <c r="L563" i="8"/>
  <c r="C564" i="8"/>
  <c r="D564" i="8"/>
  <c r="E564" i="8"/>
  <c r="G564" i="8"/>
  <c r="H564" i="8"/>
  <c r="L564" i="8"/>
  <c r="C565" i="8"/>
  <c r="D565" i="8"/>
  <c r="E565" i="8"/>
  <c r="H565" i="8"/>
  <c r="L565" i="8"/>
  <c r="C566" i="8"/>
  <c r="E566" i="8"/>
  <c r="G566" i="8"/>
  <c r="H566" i="8"/>
  <c r="L566" i="8"/>
  <c r="C567" i="8"/>
  <c r="D567" i="8"/>
  <c r="E567" i="8"/>
  <c r="H567" i="8"/>
  <c r="L567" i="8"/>
  <c r="C568" i="8"/>
  <c r="D568" i="8" s="1"/>
  <c r="E568" i="8"/>
  <c r="G568" i="8" s="1"/>
  <c r="H568" i="8"/>
  <c r="L568" i="8"/>
  <c r="C569" i="8"/>
  <c r="E569" i="8"/>
  <c r="H569" i="8"/>
  <c r="L569" i="8"/>
  <c r="C570" i="8"/>
  <c r="E570" i="8"/>
  <c r="G570" i="8" s="1"/>
  <c r="H570" i="8"/>
  <c r="L570" i="8"/>
  <c r="C571" i="8"/>
  <c r="E571" i="8"/>
  <c r="G571" i="8"/>
  <c r="H571" i="8"/>
  <c r="L571" i="8"/>
  <c r="C572" i="8"/>
  <c r="D572" i="8" s="1"/>
  <c r="E572" i="8"/>
  <c r="G572" i="8" s="1"/>
  <c r="H572" i="8"/>
  <c r="L572" i="8"/>
  <c r="C573" i="8"/>
  <c r="D573" i="8"/>
  <c r="E573" i="8"/>
  <c r="G573" i="8"/>
  <c r="H573" i="8"/>
  <c r="L573" i="8"/>
  <c r="C574" i="8"/>
  <c r="D574" i="8"/>
  <c r="E574" i="8"/>
  <c r="G574" i="8"/>
  <c r="H574" i="8"/>
  <c r="L574" i="8"/>
  <c r="C575" i="8"/>
  <c r="E575" i="8"/>
  <c r="G575" i="8"/>
  <c r="H575" i="8"/>
  <c r="L575" i="8"/>
  <c r="C576" i="8"/>
  <c r="D576" i="8" s="1"/>
  <c r="E576" i="8"/>
  <c r="H576" i="8"/>
  <c r="L576" i="8"/>
  <c r="C577" i="8"/>
  <c r="D577" i="8"/>
  <c r="E577" i="8"/>
  <c r="H577" i="8"/>
  <c r="L577" i="8"/>
  <c r="C578" i="8"/>
  <c r="D578" i="8" s="1"/>
  <c r="E578" i="8"/>
  <c r="H578" i="8"/>
  <c r="L578" i="8"/>
  <c r="C579" i="8"/>
  <c r="D579" i="8" s="1"/>
  <c r="E579" i="8"/>
  <c r="G579" i="8" s="1"/>
  <c r="H579" i="8"/>
  <c r="L579" i="8"/>
  <c r="C580" i="8"/>
  <c r="E580" i="8"/>
  <c r="G580" i="8" s="1"/>
  <c r="H580" i="8"/>
  <c r="L580" i="8"/>
  <c r="C581" i="8"/>
  <c r="D581" i="8" s="1"/>
  <c r="E581" i="8"/>
  <c r="G581" i="8" s="1"/>
  <c r="H581" i="8"/>
  <c r="L581" i="8"/>
  <c r="C582" i="8"/>
  <c r="D582" i="8"/>
  <c r="E582" i="8"/>
  <c r="G582" i="8"/>
  <c r="H582" i="8"/>
  <c r="L582" i="8"/>
  <c r="C583" i="8"/>
  <c r="D583" i="8"/>
  <c r="E583" i="8"/>
  <c r="G583" i="8"/>
  <c r="H583" i="8"/>
  <c r="L583" i="8"/>
  <c r="C584" i="8"/>
  <c r="D584" i="8" s="1"/>
  <c r="E584" i="8"/>
  <c r="G584" i="8"/>
  <c r="H584" i="8"/>
  <c r="L584" i="8"/>
  <c r="C585" i="8"/>
  <c r="D585" i="8" s="1"/>
  <c r="E585" i="8"/>
  <c r="H585" i="8"/>
  <c r="L585" i="8"/>
  <c r="C586" i="8"/>
  <c r="E586" i="8"/>
  <c r="G586" i="8"/>
  <c r="H586" i="8"/>
  <c r="L586" i="8"/>
  <c r="C587" i="8"/>
  <c r="D587" i="8" s="1"/>
  <c r="E587" i="8"/>
  <c r="H587" i="8"/>
  <c r="L587" i="8"/>
  <c r="C588" i="8"/>
  <c r="D588" i="8" s="1"/>
  <c r="E588" i="8"/>
  <c r="G588" i="8"/>
  <c r="H588" i="8"/>
  <c r="L588" i="8"/>
  <c r="C589" i="8"/>
  <c r="D589" i="8"/>
  <c r="E589" i="8"/>
  <c r="G589" i="8"/>
  <c r="H589" i="8"/>
  <c r="L589" i="8"/>
  <c r="C590" i="8"/>
  <c r="D590" i="8" s="1"/>
  <c r="E590" i="8"/>
  <c r="G590" i="8" s="1"/>
  <c r="H590" i="8"/>
  <c r="L590" i="8"/>
  <c r="C591" i="8"/>
  <c r="D591" i="8" s="1"/>
  <c r="E591" i="8"/>
  <c r="G591" i="8"/>
  <c r="H591" i="8"/>
  <c r="L591" i="8"/>
  <c r="C592" i="8"/>
  <c r="D592" i="8"/>
  <c r="E592" i="8"/>
  <c r="G592" i="8"/>
  <c r="H592" i="8"/>
  <c r="L592" i="8"/>
  <c r="C593" i="8"/>
  <c r="D593" i="8" s="1"/>
  <c r="E593" i="8"/>
  <c r="G593" i="8"/>
  <c r="H593" i="8"/>
  <c r="L593" i="8"/>
  <c r="C594" i="8"/>
  <c r="D594" i="8"/>
  <c r="E594" i="8"/>
  <c r="H594" i="8"/>
  <c r="L594" i="8"/>
  <c r="C595" i="8"/>
  <c r="D595" i="8" s="1"/>
  <c r="E595" i="8"/>
  <c r="G595" i="8" s="1"/>
  <c r="H595" i="8"/>
  <c r="L595" i="8"/>
  <c r="C596" i="8"/>
  <c r="E596" i="8"/>
  <c r="G596" i="8"/>
  <c r="H596" i="8"/>
  <c r="L596" i="8"/>
  <c r="C597" i="8"/>
  <c r="D597" i="8" s="1"/>
  <c r="E597" i="8"/>
  <c r="G597" i="8" s="1"/>
  <c r="H597" i="8"/>
  <c r="L597" i="8"/>
  <c r="C598" i="8"/>
  <c r="D598" i="8"/>
  <c r="E598" i="8"/>
  <c r="G598" i="8"/>
  <c r="H598" i="8"/>
  <c r="L598" i="8"/>
  <c r="C599" i="8"/>
  <c r="D599" i="8" s="1"/>
  <c r="E599" i="8"/>
  <c r="H599" i="8"/>
  <c r="L599" i="8"/>
  <c r="C600" i="8"/>
  <c r="D600" i="8"/>
  <c r="E600" i="8"/>
  <c r="G600" i="8"/>
  <c r="H600" i="8"/>
  <c r="L600" i="8"/>
  <c r="C601" i="8"/>
  <c r="E601" i="8"/>
  <c r="H601" i="8"/>
  <c r="L601" i="8"/>
  <c r="C602" i="8"/>
  <c r="D602" i="8" s="1"/>
  <c r="E602" i="8"/>
  <c r="G602" i="8" s="1"/>
  <c r="H602" i="8"/>
  <c r="L602" i="8"/>
  <c r="C603" i="8"/>
  <c r="D603" i="8"/>
  <c r="E603" i="8"/>
  <c r="G603" i="8" s="1"/>
  <c r="H603" i="8"/>
  <c r="L603" i="8"/>
  <c r="C604" i="8"/>
  <c r="D604" i="8"/>
  <c r="E604" i="8"/>
  <c r="G604" i="8"/>
  <c r="H604" i="8"/>
  <c r="L604" i="8"/>
  <c r="C605" i="8"/>
  <c r="E605" i="8"/>
  <c r="G605" i="8"/>
  <c r="H605" i="8"/>
  <c r="L605" i="8"/>
  <c r="C606" i="8"/>
  <c r="D606" i="8" s="1"/>
  <c r="E606" i="8"/>
  <c r="G606" i="8" s="1"/>
  <c r="H606" i="8"/>
  <c r="L606" i="8"/>
  <c r="C607" i="8"/>
  <c r="D607" i="8"/>
  <c r="E607" i="8"/>
  <c r="G607" i="8" s="1"/>
  <c r="H607" i="8"/>
  <c r="L607" i="8"/>
  <c r="C608" i="8"/>
  <c r="D608" i="8" s="1"/>
  <c r="E608" i="8"/>
  <c r="G608" i="8"/>
  <c r="H608" i="8"/>
  <c r="L608" i="8"/>
  <c r="C609" i="8"/>
  <c r="D609" i="8"/>
  <c r="E609" i="8"/>
  <c r="G609" i="8"/>
  <c r="H609" i="8"/>
  <c r="L609" i="8"/>
  <c r="C610" i="8"/>
  <c r="D610" i="8" s="1"/>
  <c r="E610" i="8"/>
  <c r="G610" i="8" s="1"/>
  <c r="H610" i="8"/>
  <c r="L610" i="8"/>
  <c r="C611" i="8"/>
  <c r="D611" i="8" s="1"/>
  <c r="E611" i="8"/>
  <c r="G611" i="8"/>
  <c r="H611" i="8"/>
  <c r="L611" i="8"/>
  <c r="C612" i="8"/>
  <c r="D612" i="8"/>
  <c r="E612" i="8"/>
  <c r="H612" i="8"/>
  <c r="L612" i="8"/>
  <c r="C613" i="8"/>
  <c r="D613" i="8" s="1"/>
  <c r="E613" i="8"/>
  <c r="G613" i="8"/>
  <c r="H613" i="8"/>
  <c r="L613" i="8"/>
  <c r="C614" i="8"/>
  <c r="D614" i="8" s="1"/>
  <c r="E614" i="8"/>
  <c r="G614" i="8"/>
  <c r="H614" i="8"/>
  <c r="L614" i="8"/>
  <c r="C615" i="8"/>
  <c r="D615" i="8" s="1"/>
  <c r="E615" i="8"/>
  <c r="G615" i="8" s="1"/>
  <c r="H615" i="8"/>
  <c r="L615" i="8"/>
  <c r="C616" i="8"/>
  <c r="D616" i="8"/>
  <c r="E616" i="8"/>
  <c r="G616" i="8"/>
  <c r="H616" i="8"/>
  <c r="L616" i="8"/>
  <c r="C617" i="8"/>
  <c r="D617" i="8" s="1"/>
  <c r="E617" i="8"/>
  <c r="G617" i="8" s="1"/>
  <c r="H617" i="8"/>
  <c r="L617" i="8"/>
  <c r="C618" i="8"/>
  <c r="D618" i="8" s="1"/>
  <c r="E618" i="8"/>
  <c r="G618" i="8"/>
  <c r="H618" i="8"/>
  <c r="L618" i="8"/>
  <c r="C619" i="8"/>
  <c r="D619" i="8"/>
  <c r="E619" i="8"/>
  <c r="G619" i="8" s="1"/>
  <c r="H619" i="8"/>
  <c r="L619" i="8"/>
  <c r="C620" i="8"/>
  <c r="D620" i="8" s="1"/>
  <c r="E620" i="8"/>
  <c r="G620" i="8"/>
  <c r="H620" i="8"/>
  <c r="L620" i="8"/>
  <c r="C621" i="8"/>
  <c r="D621" i="8"/>
  <c r="E621" i="8"/>
  <c r="G621" i="8"/>
  <c r="H621" i="8"/>
  <c r="L621" i="8"/>
  <c r="C622" i="8"/>
  <c r="D622" i="8" s="1"/>
  <c r="E622" i="8"/>
  <c r="G622" i="8"/>
  <c r="H622" i="8"/>
  <c r="L622" i="8"/>
  <c r="C623" i="8"/>
  <c r="D623" i="8" s="1"/>
  <c r="E623" i="8"/>
  <c r="H623" i="8"/>
  <c r="L623" i="8"/>
  <c r="C624" i="8"/>
  <c r="D624" i="8"/>
  <c r="E624" i="8"/>
  <c r="H624" i="8"/>
  <c r="L624" i="8"/>
  <c r="C625" i="8"/>
  <c r="D625" i="8"/>
  <c r="E625" i="8"/>
  <c r="G625" i="8"/>
  <c r="H625" i="8"/>
  <c r="L625" i="8"/>
  <c r="C626" i="8"/>
  <c r="D626" i="8" s="1"/>
  <c r="E626" i="8"/>
  <c r="G626" i="8"/>
  <c r="H626" i="8"/>
  <c r="L626" i="8"/>
  <c r="C627" i="8"/>
  <c r="D627" i="8" s="1"/>
  <c r="E627" i="8"/>
  <c r="G627" i="8" s="1"/>
  <c r="H627" i="8"/>
  <c r="L627" i="8"/>
  <c r="C628" i="8"/>
  <c r="D628" i="8"/>
  <c r="E628" i="8"/>
  <c r="G628" i="8" s="1"/>
  <c r="H628" i="8"/>
  <c r="L628" i="8"/>
  <c r="C629" i="8"/>
  <c r="D629" i="8" s="1"/>
  <c r="E629" i="8"/>
  <c r="G629" i="8"/>
  <c r="H629" i="8"/>
  <c r="L629" i="8"/>
  <c r="C630" i="8"/>
  <c r="D630" i="8"/>
  <c r="E630" i="8"/>
  <c r="H630" i="8"/>
  <c r="L630" i="8"/>
  <c r="C631" i="8"/>
  <c r="D631" i="8" s="1"/>
  <c r="E631" i="8"/>
  <c r="G631" i="8" s="1"/>
  <c r="H631" i="8"/>
  <c r="L631" i="8"/>
  <c r="C632" i="8"/>
  <c r="D632" i="8"/>
  <c r="E632" i="8"/>
  <c r="G632" i="8" s="1"/>
  <c r="H632" i="8"/>
  <c r="L632" i="8"/>
  <c r="C633" i="8"/>
  <c r="D633" i="8"/>
  <c r="E633" i="8"/>
  <c r="G633" i="8"/>
  <c r="H633" i="8"/>
  <c r="L633" i="8"/>
  <c r="C634" i="8"/>
  <c r="D634" i="8" s="1"/>
  <c r="E634" i="8"/>
  <c r="G634" i="8" s="1"/>
  <c r="H634" i="8"/>
  <c r="L634" i="8"/>
  <c r="C635" i="8"/>
  <c r="D635" i="8"/>
  <c r="E635" i="8"/>
  <c r="G635" i="8" s="1"/>
  <c r="H635" i="8"/>
  <c r="L635" i="8"/>
  <c r="C636" i="8"/>
  <c r="D636" i="8"/>
  <c r="E636" i="8"/>
  <c r="G636" i="8"/>
  <c r="H636" i="8"/>
  <c r="L636" i="8"/>
  <c r="C637" i="8"/>
  <c r="D637" i="8" s="1"/>
  <c r="E637" i="8"/>
  <c r="G637" i="8" s="1"/>
  <c r="H637" i="8"/>
  <c r="L637" i="8"/>
  <c r="C638" i="8"/>
  <c r="D638" i="8"/>
  <c r="E638" i="8"/>
  <c r="G638" i="8"/>
  <c r="H638" i="8"/>
  <c r="L638" i="8"/>
  <c r="C639" i="8"/>
  <c r="D639" i="8"/>
  <c r="E639" i="8"/>
  <c r="G639" i="8"/>
  <c r="H639" i="8"/>
  <c r="L639" i="8"/>
  <c r="C640" i="8"/>
  <c r="D640" i="8" s="1"/>
  <c r="E640" i="8"/>
  <c r="G640" i="8" s="1"/>
  <c r="H640" i="8"/>
  <c r="L640" i="8"/>
  <c r="C641" i="8"/>
  <c r="D641" i="8"/>
  <c r="E641" i="8"/>
  <c r="G641" i="8" s="1"/>
  <c r="H641" i="8"/>
  <c r="L641" i="8"/>
  <c r="C642" i="8"/>
  <c r="D642" i="8"/>
  <c r="E642" i="8"/>
  <c r="H642" i="8"/>
  <c r="L642" i="8"/>
  <c r="C643" i="8"/>
  <c r="D643" i="8" s="1"/>
  <c r="E643" i="8"/>
  <c r="G643" i="8" s="1"/>
  <c r="H643" i="8"/>
  <c r="L643" i="8"/>
  <c r="C644" i="8"/>
  <c r="D644" i="8"/>
  <c r="E644" i="8"/>
  <c r="G644" i="8"/>
  <c r="H644" i="8"/>
  <c r="L644" i="8"/>
  <c r="C645" i="8"/>
  <c r="D645" i="8"/>
  <c r="E645" i="8"/>
  <c r="H645" i="8"/>
  <c r="L645" i="8"/>
  <c r="C646" i="8"/>
  <c r="D646" i="8" s="1"/>
  <c r="E646" i="8"/>
  <c r="G646" i="8" s="1"/>
  <c r="H646" i="8"/>
  <c r="L646" i="8"/>
  <c r="C647" i="8"/>
  <c r="D647" i="8"/>
  <c r="E647" i="8"/>
  <c r="G647" i="8"/>
  <c r="H647" i="8"/>
  <c r="L647" i="8"/>
  <c r="C648" i="8"/>
  <c r="D648" i="8" s="1"/>
  <c r="E648" i="8"/>
  <c r="H648" i="8"/>
  <c r="L648" i="8"/>
  <c r="C649" i="8"/>
  <c r="D649" i="8" s="1"/>
  <c r="E649" i="8"/>
  <c r="G649" i="8" s="1"/>
  <c r="H649" i="8"/>
  <c r="L649" i="8"/>
  <c r="C650" i="8"/>
  <c r="D650" i="8"/>
  <c r="E650" i="8"/>
  <c r="G650" i="8" s="1"/>
  <c r="H650" i="8"/>
  <c r="L650" i="8"/>
  <c r="C651" i="8"/>
  <c r="D651" i="8"/>
  <c r="E651" i="8"/>
  <c r="H651" i="8"/>
  <c r="L651" i="8"/>
  <c r="C652" i="8"/>
  <c r="D652" i="8" s="1"/>
  <c r="E652" i="8"/>
  <c r="G652" i="8" s="1"/>
  <c r="H652" i="8"/>
  <c r="L652" i="8"/>
  <c r="C653" i="8"/>
  <c r="D653" i="8"/>
  <c r="E653" i="8"/>
  <c r="G653" i="8"/>
  <c r="H653" i="8"/>
  <c r="L653" i="8"/>
  <c r="C654" i="8"/>
  <c r="D654" i="8"/>
  <c r="E654" i="8"/>
  <c r="G654" i="8"/>
  <c r="H654" i="8"/>
  <c r="L654" i="8"/>
  <c r="C655" i="8"/>
  <c r="D655" i="8" s="1"/>
  <c r="E655" i="8"/>
  <c r="G655" i="8" s="1"/>
  <c r="H655" i="8"/>
  <c r="L655" i="8"/>
  <c r="C656" i="8"/>
  <c r="D656" i="8"/>
  <c r="E656" i="8"/>
  <c r="G656" i="8" s="1"/>
  <c r="H656" i="8"/>
  <c r="L656" i="8"/>
  <c r="C657" i="8"/>
  <c r="D657" i="8"/>
  <c r="E657" i="8"/>
  <c r="H657" i="8"/>
  <c r="L657" i="8"/>
  <c r="C658" i="8"/>
  <c r="E658" i="8"/>
  <c r="G658" i="8" s="1"/>
  <c r="H658" i="8"/>
  <c r="L658" i="8"/>
  <c r="C659" i="8"/>
  <c r="D659" i="8"/>
  <c r="E659" i="8"/>
  <c r="G659" i="8" s="1"/>
  <c r="H659" i="8"/>
  <c r="L659" i="8"/>
  <c r="C660" i="8"/>
  <c r="D660" i="8" s="1"/>
  <c r="E660" i="8"/>
  <c r="G660" i="8"/>
  <c r="H660" i="8"/>
  <c r="L660" i="8"/>
  <c r="C661" i="8"/>
  <c r="D661" i="8"/>
  <c r="E661" i="8"/>
  <c r="G661" i="8" s="1"/>
  <c r="H661" i="8"/>
  <c r="L661" i="8"/>
  <c r="C662" i="8"/>
  <c r="D662" i="8"/>
  <c r="E662" i="8"/>
  <c r="G662" i="8"/>
  <c r="H662" i="8"/>
  <c r="L662" i="8"/>
  <c r="C663" i="8"/>
  <c r="D663" i="8"/>
  <c r="E663" i="8"/>
  <c r="H663" i="8"/>
  <c r="L663" i="8"/>
  <c r="C664" i="8"/>
  <c r="D664" i="8"/>
  <c r="E664" i="8"/>
  <c r="G664" i="8" s="1"/>
  <c r="H664" i="8"/>
  <c r="L664" i="8"/>
  <c r="C665" i="8"/>
  <c r="D665" i="8"/>
  <c r="E665" i="8"/>
  <c r="G665" i="8" s="1"/>
  <c r="H665" i="8"/>
  <c r="L665" i="8"/>
  <c r="C666" i="8"/>
  <c r="D666" i="8"/>
  <c r="E666" i="8"/>
  <c r="G666" i="8"/>
  <c r="H666" i="8"/>
  <c r="L666" i="8"/>
  <c r="C667" i="8"/>
  <c r="D667" i="8"/>
  <c r="E667" i="8"/>
  <c r="G667" i="8" s="1"/>
  <c r="H667" i="8"/>
  <c r="L667" i="8"/>
  <c r="C668" i="8"/>
  <c r="D668" i="8"/>
  <c r="E668" i="8"/>
  <c r="G668" i="8"/>
  <c r="H668" i="8"/>
  <c r="L668" i="8"/>
  <c r="C669" i="8"/>
  <c r="D669" i="8" s="1"/>
  <c r="E669" i="8"/>
  <c r="G669" i="8"/>
  <c r="H669" i="8"/>
  <c r="L669" i="8"/>
  <c r="C670" i="8"/>
  <c r="D670" i="8"/>
  <c r="E670" i="8"/>
  <c r="G670" i="8" s="1"/>
  <c r="H670" i="8"/>
  <c r="L670" i="8"/>
  <c r="C671" i="8"/>
  <c r="D671" i="8"/>
  <c r="E671" i="8"/>
  <c r="G671" i="8"/>
  <c r="H671" i="8"/>
  <c r="L671" i="8"/>
  <c r="C672" i="8"/>
  <c r="D672" i="8"/>
  <c r="E672" i="8"/>
  <c r="G672" i="8" s="1"/>
  <c r="H672" i="8"/>
  <c r="L672" i="8"/>
  <c r="C673" i="8"/>
  <c r="D673" i="8" s="1"/>
  <c r="E673" i="8"/>
  <c r="G673" i="8" s="1"/>
  <c r="H673" i="8"/>
  <c r="L673" i="8"/>
  <c r="C674" i="8"/>
  <c r="D674" i="8"/>
  <c r="E674" i="8"/>
  <c r="G674" i="8"/>
  <c r="H674" i="8"/>
  <c r="L674" i="8"/>
  <c r="C675" i="8"/>
  <c r="D675" i="8" s="1"/>
  <c r="E675" i="8"/>
  <c r="H675" i="8"/>
  <c r="L675" i="8"/>
  <c r="C676" i="8"/>
  <c r="D676" i="8"/>
  <c r="E676" i="8"/>
  <c r="G676" i="8" s="1"/>
  <c r="H676" i="8"/>
  <c r="L676" i="8"/>
  <c r="C677" i="8"/>
  <c r="D677" i="8"/>
  <c r="E677" i="8"/>
  <c r="G677" i="8"/>
  <c r="H677" i="8"/>
  <c r="L677" i="8"/>
  <c r="C678" i="8"/>
  <c r="D678" i="8"/>
  <c r="E678" i="8"/>
  <c r="G678" i="8" s="1"/>
  <c r="H678" i="8"/>
  <c r="L678" i="8"/>
  <c r="C679" i="8"/>
  <c r="D679" i="8"/>
  <c r="E679" i="8"/>
  <c r="G679" i="8" s="1"/>
  <c r="H679" i="8"/>
  <c r="L679" i="8"/>
  <c r="C680" i="8"/>
  <c r="D680" i="8"/>
  <c r="E680" i="8"/>
  <c r="G680" i="8"/>
  <c r="H680" i="8"/>
  <c r="L680" i="8"/>
  <c r="C681" i="8"/>
  <c r="D681" i="8"/>
  <c r="E681" i="8"/>
  <c r="H681" i="8"/>
  <c r="L681" i="8"/>
  <c r="C682" i="8"/>
  <c r="D682" i="8"/>
  <c r="E682" i="8"/>
  <c r="G682" i="8" s="1"/>
  <c r="H682" i="8"/>
  <c r="L682" i="8"/>
  <c r="C683" i="8"/>
  <c r="D683" i="8"/>
  <c r="E683" i="8"/>
  <c r="G683" i="8" s="1"/>
  <c r="H683" i="8"/>
  <c r="L683" i="8"/>
  <c r="C684" i="8"/>
  <c r="D684" i="8" s="1"/>
  <c r="E684" i="8"/>
  <c r="H684" i="8"/>
  <c r="L684" i="8"/>
  <c r="C685" i="8"/>
  <c r="D685" i="8"/>
  <c r="E685" i="8"/>
  <c r="G685" i="8"/>
  <c r="H685" i="8"/>
  <c r="L685" i="8"/>
  <c r="C686" i="8"/>
  <c r="D686" i="8"/>
  <c r="E686" i="8"/>
  <c r="G686" i="8" s="1"/>
  <c r="H686" i="8"/>
  <c r="L686" i="8"/>
  <c r="C687" i="8"/>
  <c r="D687" i="8"/>
  <c r="E687" i="8"/>
  <c r="G687" i="8"/>
  <c r="H687" i="8"/>
  <c r="L687" i="8"/>
  <c r="C688" i="8"/>
  <c r="D688" i="8" s="1"/>
  <c r="E688" i="8"/>
  <c r="G688" i="8"/>
  <c r="H688" i="8"/>
  <c r="L688" i="8"/>
  <c r="C689" i="8"/>
  <c r="D689" i="8"/>
  <c r="E689" i="8"/>
  <c r="H689" i="8"/>
  <c r="L689" i="8"/>
  <c r="C690" i="8"/>
  <c r="D690" i="8"/>
  <c r="E690" i="8"/>
  <c r="H690" i="8"/>
  <c r="L690" i="8"/>
  <c r="C691" i="8"/>
  <c r="D691" i="8"/>
  <c r="E691" i="8"/>
  <c r="G691" i="8"/>
  <c r="H691" i="8"/>
  <c r="L691" i="8"/>
  <c r="C692" i="8"/>
  <c r="D692" i="8"/>
  <c r="E692" i="8"/>
  <c r="G692" i="8" s="1"/>
  <c r="H692" i="8"/>
  <c r="L692" i="8"/>
  <c r="C693" i="8"/>
  <c r="D693" i="8"/>
  <c r="E693" i="8"/>
  <c r="G693" i="8" s="1"/>
  <c r="H693" i="8"/>
  <c r="L693" i="8"/>
  <c r="C694" i="8"/>
  <c r="D694" i="8" s="1"/>
  <c r="E694" i="8"/>
  <c r="H694" i="8"/>
  <c r="L694" i="8"/>
  <c r="C695" i="8"/>
  <c r="D695" i="8"/>
  <c r="E695" i="8"/>
  <c r="G695" i="8"/>
  <c r="H695" i="8"/>
  <c r="L695" i="8"/>
  <c r="C696" i="8"/>
  <c r="D696" i="8" s="1"/>
  <c r="E696" i="8"/>
  <c r="G696" i="8"/>
  <c r="H696" i="8"/>
  <c r="L696" i="8"/>
  <c r="C697" i="8"/>
  <c r="D697" i="8" s="1"/>
  <c r="E697" i="8"/>
  <c r="G697" i="8" s="1"/>
  <c r="H697" i="8"/>
  <c r="L697" i="8"/>
  <c r="C698" i="8"/>
  <c r="D698" i="8"/>
  <c r="E698" i="8"/>
  <c r="G698" i="8"/>
  <c r="H698" i="8"/>
  <c r="L698" i="8"/>
  <c r="C699" i="8"/>
  <c r="D699" i="8"/>
  <c r="E699" i="8"/>
  <c r="G699" i="8"/>
  <c r="H699" i="8"/>
  <c r="L699" i="8"/>
  <c r="C700" i="8"/>
  <c r="D700" i="8"/>
  <c r="E700" i="8"/>
  <c r="G700" i="8"/>
  <c r="H700" i="8"/>
  <c r="L700" i="8"/>
  <c r="C701" i="8"/>
  <c r="D701" i="8"/>
  <c r="E701" i="8"/>
  <c r="H701" i="8"/>
  <c r="L701" i="8"/>
  <c r="C702" i="8"/>
  <c r="D702" i="8" s="1"/>
  <c r="E702" i="8"/>
  <c r="H702" i="8"/>
  <c r="L702" i="8"/>
  <c r="C703" i="8"/>
  <c r="D703" i="8" s="1"/>
  <c r="E703" i="8"/>
  <c r="H703" i="8"/>
  <c r="L703" i="8"/>
  <c r="C704" i="8"/>
  <c r="D704" i="8"/>
  <c r="E704" i="8"/>
  <c r="G704" i="8" s="1"/>
  <c r="H704" i="8"/>
  <c r="L704" i="8"/>
  <c r="C705" i="8"/>
  <c r="D705" i="8"/>
  <c r="E705" i="8"/>
  <c r="G705" i="8" s="1"/>
  <c r="H705" i="8"/>
  <c r="L705" i="8"/>
  <c r="C706" i="8"/>
  <c r="D706" i="8" s="1"/>
  <c r="E706" i="8"/>
  <c r="G706" i="8"/>
  <c r="H706" i="8"/>
  <c r="L706" i="8"/>
  <c r="C707" i="8"/>
  <c r="D707" i="8"/>
  <c r="E707" i="8"/>
  <c r="H707" i="8"/>
  <c r="L707" i="8"/>
  <c r="C708" i="8"/>
  <c r="D708" i="8" s="1"/>
  <c r="E708" i="8"/>
  <c r="H708" i="8"/>
  <c r="L708" i="8"/>
  <c r="C709" i="8"/>
  <c r="D709" i="8"/>
  <c r="E709" i="8"/>
  <c r="G709" i="8"/>
  <c r="H709" i="8"/>
  <c r="L709" i="8"/>
  <c r="C710" i="8"/>
  <c r="D710" i="8"/>
  <c r="E710" i="8"/>
  <c r="G710" i="8" s="1"/>
  <c r="H710" i="8"/>
  <c r="L710" i="8"/>
  <c r="C711" i="8"/>
  <c r="D711" i="8"/>
  <c r="E711" i="8"/>
  <c r="G711" i="8"/>
  <c r="H711" i="8"/>
  <c r="L711" i="8"/>
  <c r="C712" i="8"/>
  <c r="D712" i="8"/>
  <c r="E712" i="8"/>
  <c r="H712" i="8"/>
  <c r="L712" i="8"/>
  <c r="C713" i="8"/>
  <c r="D713" i="8"/>
  <c r="E713" i="8"/>
  <c r="G713" i="8"/>
  <c r="H713" i="8"/>
  <c r="L713" i="8"/>
  <c r="C714" i="8"/>
  <c r="D714" i="8"/>
  <c r="E714" i="8"/>
  <c r="H714" i="8"/>
  <c r="L714" i="8"/>
  <c r="C715" i="8"/>
  <c r="D715" i="8"/>
  <c r="E715" i="8"/>
  <c r="G715" i="8" s="1"/>
  <c r="H715" i="8"/>
  <c r="L715" i="8"/>
  <c r="C716" i="8"/>
  <c r="D716" i="8"/>
  <c r="E716" i="8"/>
  <c r="G716" i="8"/>
  <c r="H716" i="8"/>
  <c r="L716" i="8"/>
  <c r="C717" i="8"/>
  <c r="D717" i="8"/>
  <c r="E717" i="8"/>
  <c r="G717" i="8" s="1"/>
  <c r="H717" i="8"/>
  <c r="L717" i="8"/>
  <c r="C718" i="8"/>
  <c r="D718" i="8" s="1"/>
  <c r="E718" i="8"/>
  <c r="G718" i="8"/>
  <c r="H718" i="8"/>
  <c r="L718" i="8"/>
  <c r="C719" i="8"/>
  <c r="D719" i="8"/>
  <c r="E719" i="8"/>
  <c r="H719" i="8"/>
  <c r="L719" i="8"/>
  <c r="C720" i="8"/>
  <c r="E720" i="8"/>
  <c r="G720" i="8"/>
  <c r="H720" i="8"/>
  <c r="L720" i="8"/>
  <c r="C721" i="8"/>
  <c r="D721" i="8"/>
  <c r="E721" i="8"/>
  <c r="G721" i="8"/>
  <c r="H721" i="8"/>
  <c r="L721" i="8"/>
  <c r="C722" i="8"/>
  <c r="D722" i="8"/>
  <c r="E722" i="8"/>
  <c r="G722" i="8" s="1"/>
  <c r="H722" i="8"/>
  <c r="L722" i="8"/>
  <c r="C723" i="8"/>
  <c r="D723" i="8"/>
  <c r="E723" i="8"/>
  <c r="G723" i="8"/>
  <c r="H723" i="8"/>
  <c r="L723" i="8"/>
  <c r="C724" i="8"/>
  <c r="D724" i="8" s="1"/>
  <c r="E724" i="8"/>
  <c r="H724" i="8"/>
  <c r="L724" i="8"/>
  <c r="C725" i="8"/>
  <c r="D725" i="8"/>
  <c r="E725" i="8"/>
  <c r="G725" i="8"/>
  <c r="H725" i="8"/>
  <c r="L725" i="8"/>
  <c r="C726" i="8"/>
  <c r="D726" i="8" s="1"/>
  <c r="E726" i="8"/>
  <c r="H726" i="8"/>
  <c r="L726" i="8"/>
  <c r="C727" i="8"/>
  <c r="D727" i="8"/>
  <c r="E727" i="8"/>
  <c r="G727" i="8" s="1"/>
  <c r="H727" i="8"/>
  <c r="L727" i="8"/>
  <c r="C728" i="8"/>
  <c r="D728" i="8"/>
  <c r="E728" i="8"/>
  <c r="H728" i="8"/>
  <c r="L728" i="8"/>
  <c r="C729" i="8"/>
  <c r="D729" i="8"/>
  <c r="E729" i="8"/>
  <c r="G729" i="8" s="1"/>
  <c r="H729" i="8"/>
  <c r="L729" i="8"/>
  <c r="C730" i="8"/>
  <c r="D730" i="8" s="1"/>
  <c r="E730" i="8"/>
  <c r="H730" i="8"/>
  <c r="L730" i="8"/>
  <c r="C731" i="8"/>
  <c r="D731" i="8"/>
  <c r="E731" i="8"/>
  <c r="G731" i="8"/>
  <c r="H731" i="8"/>
  <c r="L731" i="8"/>
  <c r="C732" i="8"/>
  <c r="D732" i="8"/>
  <c r="E732" i="8"/>
  <c r="H732" i="8"/>
  <c r="L732" i="8"/>
  <c r="C733" i="8"/>
  <c r="D733" i="8"/>
  <c r="E733" i="8"/>
  <c r="G733" i="8"/>
  <c r="H733" i="8"/>
  <c r="L733" i="8"/>
  <c r="C734" i="8"/>
  <c r="D734" i="8"/>
  <c r="E734" i="8"/>
  <c r="G734" i="8"/>
  <c r="H734" i="8"/>
  <c r="L734" i="8"/>
  <c r="C735" i="8"/>
  <c r="D735" i="8"/>
  <c r="E735" i="8"/>
  <c r="G735" i="8" s="1"/>
  <c r="H735" i="8"/>
  <c r="L735" i="8"/>
  <c r="C736" i="8"/>
  <c r="D736" i="8"/>
  <c r="E736" i="8"/>
  <c r="H736" i="8"/>
  <c r="L736" i="8"/>
  <c r="C737" i="8"/>
  <c r="D737" i="8"/>
  <c r="E737" i="8"/>
  <c r="H737" i="8"/>
  <c r="L737" i="8"/>
  <c r="C738" i="8"/>
  <c r="D738" i="8" s="1"/>
  <c r="E738" i="8"/>
  <c r="G738" i="8"/>
  <c r="H738" i="8"/>
  <c r="L738" i="8"/>
  <c r="C739" i="8"/>
  <c r="D739" i="8"/>
  <c r="E739" i="8"/>
  <c r="G739" i="8" s="1"/>
  <c r="H739" i="8"/>
  <c r="L739" i="8"/>
  <c r="C740" i="8"/>
  <c r="D740" i="8"/>
  <c r="E740" i="8"/>
  <c r="G740" i="8" s="1"/>
  <c r="H740" i="8"/>
  <c r="L740" i="8"/>
  <c r="C741" i="8"/>
  <c r="D741" i="8"/>
  <c r="E741" i="8"/>
  <c r="G741" i="8"/>
  <c r="H741" i="8"/>
  <c r="L741" i="8"/>
  <c r="C742" i="8"/>
  <c r="D742" i="8" s="1"/>
  <c r="E742" i="8"/>
  <c r="G742" i="8"/>
  <c r="H742" i="8"/>
  <c r="L742" i="8"/>
  <c r="C743" i="8"/>
  <c r="D743" i="8"/>
  <c r="E743" i="8"/>
  <c r="G743" i="8"/>
  <c r="H743" i="8"/>
  <c r="L743" i="8"/>
  <c r="C744" i="8"/>
  <c r="D744" i="8" s="1"/>
  <c r="E744" i="8"/>
  <c r="H744" i="8"/>
  <c r="L744" i="8"/>
  <c r="C745" i="8"/>
  <c r="D745" i="8"/>
  <c r="E745" i="8"/>
  <c r="G745" i="8"/>
  <c r="H745" i="8"/>
  <c r="L745" i="8"/>
  <c r="C746" i="8"/>
  <c r="D746" i="8"/>
  <c r="E746" i="8"/>
  <c r="G746" i="8"/>
  <c r="H746" i="8"/>
  <c r="L746" i="8"/>
  <c r="C747" i="8"/>
  <c r="D747" i="8" s="1"/>
  <c r="E747" i="8"/>
  <c r="G747" i="8" s="1"/>
  <c r="H747" i="8"/>
  <c r="L747" i="8"/>
  <c r="C748" i="8"/>
  <c r="E748" i="8"/>
  <c r="H748" i="8"/>
  <c r="L748" i="8"/>
  <c r="C749" i="8"/>
  <c r="D749" i="8"/>
  <c r="E749" i="8"/>
  <c r="H749" i="8"/>
  <c r="L749" i="8"/>
  <c r="C750" i="8"/>
  <c r="D750" i="8"/>
  <c r="E750" i="8"/>
  <c r="G750" i="8"/>
  <c r="H750" i="8"/>
  <c r="L750" i="8"/>
  <c r="C751" i="8"/>
  <c r="D751" i="8"/>
  <c r="E751" i="8"/>
  <c r="G751" i="8" s="1"/>
  <c r="H751" i="8"/>
  <c r="L751" i="8"/>
  <c r="C752" i="8"/>
  <c r="D752" i="8"/>
  <c r="E752" i="8"/>
  <c r="G752" i="8" s="1"/>
  <c r="H752" i="8"/>
  <c r="L752" i="8"/>
  <c r="C753" i="8"/>
  <c r="D753" i="8" s="1"/>
  <c r="E753" i="8"/>
  <c r="H753" i="8"/>
  <c r="L753" i="8"/>
  <c r="C754" i="8"/>
  <c r="D754" i="8"/>
  <c r="E754" i="8"/>
  <c r="H754" i="8"/>
  <c r="L754" i="8"/>
  <c r="C755" i="8"/>
  <c r="D755" i="8"/>
  <c r="E755" i="8"/>
  <c r="H755" i="8"/>
  <c r="L755" i="8"/>
  <c r="C756" i="8"/>
  <c r="D756" i="8" s="1"/>
  <c r="E756" i="8"/>
  <c r="G756" i="8"/>
  <c r="H756" i="8"/>
  <c r="L756" i="8"/>
  <c r="C757" i="8"/>
  <c r="D757" i="8"/>
  <c r="E757" i="8"/>
  <c r="G757" i="8" s="1"/>
  <c r="H757" i="8"/>
  <c r="L757" i="8"/>
  <c r="C758" i="8"/>
  <c r="D758" i="8"/>
  <c r="E758" i="8"/>
  <c r="G758" i="8"/>
  <c r="H758" i="8"/>
  <c r="L758" i="8"/>
  <c r="C759" i="8"/>
  <c r="D759" i="8"/>
  <c r="E759" i="8"/>
  <c r="G759" i="8"/>
  <c r="H759" i="8"/>
  <c r="L759" i="8"/>
  <c r="C760" i="8"/>
  <c r="D760" i="8" s="1"/>
  <c r="E760" i="8"/>
  <c r="G760" i="8"/>
  <c r="H760" i="8"/>
  <c r="L760" i="8"/>
  <c r="C761" i="8"/>
  <c r="D761" i="8"/>
  <c r="E761" i="8"/>
  <c r="H761" i="8"/>
  <c r="L761" i="8"/>
  <c r="C762" i="8"/>
  <c r="D762" i="8"/>
  <c r="E762" i="8"/>
  <c r="H762" i="8"/>
  <c r="L762" i="8"/>
  <c r="C763" i="8"/>
  <c r="D763" i="8"/>
  <c r="E763" i="8"/>
  <c r="G763" i="8"/>
  <c r="H763" i="8"/>
  <c r="L763" i="8"/>
  <c r="C764" i="8"/>
  <c r="D764" i="8"/>
  <c r="E764" i="8"/>
  <c r="G764" i="8" s="1"/>
  <c r="H764" i="8"/>
  <c r="L764" i="8"/>
  <c r="C765" i="8"/>
  <c r="D765" i="8"/>
  <c r="E765" i="8"/>
  <c r="G765" i="8" s="1"/>
  <c r="H765" i="8"/>
  <c r="L765" i="8"/>
  <c r="C766" i="8"/>
  <c r="D766" i="8" s="1"/>
  <c r="E766" i="8"/>
  <c r="H766" i="8"/>
  <c r="L766" i="8"/>
  <c r="C767" i="8"/>
  <c r="D767" i="8"/>
  <c r="E767" i="8"/>
  <c r="G767" i="8"/>
  <c r="H767" i="8"/>
  <c r="L767" i="8"/>
  <c r="C768" i="8"/>
  <c r="D768" i="8" s="1"/>
  <c r="E768" i="8"/>
  <c r="G768" i="8"/>
  <c r="H768" i="8"/>
  <c r="L768" i="8"/>
  <c r="C769" i="8"/>
  <c r="D769" i="8" s="1"/>
  <c r="E769" i="8"/>
  <c r="G769" i="8" s="1"/>
  <c r="H769" i="8"/>
  <c r="L769" i="8"/>
  <c r="C770" i="8"/>
  <c r="D770" i="8"/>
  <c r="E770" i="8"/>
  <c r="G770" i="8"/>
  <c r="H770" i="8"/>
  <c r="L770" i="8"/>
  <c r="C771" i="8"/>
  <c r="D771" i="8"/>
  <c r="E771" i="8"/>
  <c r="G771" i="8"/>
  <c r="H771" i="8"/>
  <c r="L771" i="8"/>
  <c r="C772" i="8"/>
  <c r="D772" i="8"/>
  <c r="E772" i="8"/>
  <c r="G772" i="8"/>
  <c r="H772" i="8"/>
  <c r="L772" i="8"/>
  <c r="C773" i="8"/>
  <c r="D773" i="8"/>
  <c r="E773" i="8"/>
  <c r="H773" i="8"/>
  <c r="L773" i="8"/>
  <c r="C774" i="8"/>
  <c r="D774" i="8" s="1"/>
  <c r="E774" i="8"/>
  <c r="H774" i="8"/>
  <c r="L774" i="8"/>
  <c r="C775" i="8"/>
  <c r="D775" i="8" s="1"/>
  <c r="E775" i="8"/>
  <c r="H775" i="8"/>
  <c r="L775" i="8"/>
  <c r="C776" i="8"/>
  <c r="D776" i="8"/>
  <c r="E776" i="8"/>
  <c r="G776" i="8" s="1"/>
  <c r="H776" i="8"/>
  <c r="L776" i="8"/>
  <c r="C777" i="8"/>
  <c r="D777" i="8"/>
  <c r="E777" i="8"/>
  <c r="G777" i="8" s="1"/>
  <c r="H777" i="8"/>
  <c r="L777" i="8"/>
  <c r="C778" i="8"/>
  <c r="D778" i="8" s="1"/>
  <c r="E778" i="8"/>
  <c r="G778" i="8"/>
  <c r="H778" i="8"/>
  <c r="L778" i="8"/>
  <c r="C779" i="8"/>
  <c r="D779" i="8"/>
  <c r="E779" i="8"/>
  <c r="H779" i="8"/>
  <c r="L779" i="8"/>
  <c r="C780" i="8"/>
  <c r="D780" i="8" s="1"/>
  <c r="E780" i="8"/>
  <c r="H780" i="8"/>
  <c r="L780" i="8"/>
  <c r="C781" i="8"/>
  <c r="D781" i="8"/>
  <c r="E781" i="8"/>
  <c r="G781" i="8"/>
  <c r="H781" i="8"/>
  <c r="L781" i="8"/>
  <c r="C782" i="8"/>
  <c r="D782" i="8"/>
  <c r="E782" i="8"/>
  <c r="G782" i="8" s="1"/>
  <c r="H782" i="8"/>
  <c r="L782" i="8"/>
  <c r="C783" i="8"/>
  <c r="D783" i="8"/>
  <c r="E783" i="8"/>
  <c r="G783" i="8"/>
  <c r="H783" i="8"/>
  <c r="L783" i="8"/>
  <c r="C784" i="8"/>
  <c r="D784" i="8"/>
  <c r="E784" i="8"/>
  <c r="H784" i="8"/>
  <c r="L784" i="8"/>
  <c r="C785" i="8"/>
  <c r="D785" i="8"/>
  <c r="E785" i="8"/>
  <c r="G785" i="8"/>
  <c r="H785" i="8"/>
  <c r="L785" i="8"/>
  <c r="C786" i="8"/>
  <c r="D786" i="8"/>
  <c r="E786" i="8"/>
  <c r="H786" i="8"/>
  <c r="L786" i="8"/>
  <c r="C787" i="8"/>
  <c r="D787" i="8"/>
  <c r="E787" i="8"/>
  <c r="G787" i="8" s="1"/>
  <c r="H787" i="8"/>
  <c r="L787" i="8"/>
  <c r="C788" i="8"/>
  <c r="D788" i="8"/>
  <c r="E788" i="8"/>
  <c r="G788" i="8"/>
  <c r="H788" i="8"/>
  <c r="L788" i="8"/>
  <c r="C789" i="8"/>
  <c r="D789" i="8"/>
  <c r="E789" i="8"/>
  <c r="G789" i="8" s="1"/>
  <c r="H789" i="8"/>
  <c r="L789" i="8"/>
  <c r="C790" i="8"/>
  <c r="D790" i="8" s="1"/>
  <c r="E790" i="8"/>
  <c r="G790" i="8"/>
  <c r="H790" i="8"/>
  <c r="L790" i="8"/>
  <c r="C791" i="8"/>
  <c r="D791" i="8"/>
  <c r="E791" i="8"/>
  <c r="H791" i="8"/>
  <c r="L791" i="8"/>
  <c r="C792" i="8"/>
  <c r="E792" i="8"/>
  <c r="G792" i="8"/>
  <c r="H792" i="8"/>
  <c r="L792" i="8"/>
  <c r="C793" i="8"/>
  <c r="D793" i="8"/>
  <c r="E793" i="8"/>
  <c r="G793" i="8"/>
  <c r="H793" i="8"/>
  <c r="L793" i="8"/>
  <c r="C794" i="8"/>
  <c r="D794" i="8"/>
  <c r="E794" i="8"/>
  <c r="G794" i="8" s="1"/>
  <c r="H794" i="8"/>
  <c r="L794" i="8"/>
  <c r="C795" i="8"/>
  <c r="D795" i="8"/>
  <c r="E795" i="8"/>
  <c r="G795" i="8"/>
  <c r="H795" i="8"/>
  <c r="L795" i="8"/>
  <c r="C796" i="8"/>
  <c r="D796" i="8" s="1"/>
  <c r="E796" i="8"/>
  <c r="H796" i="8"/>
  <c r="L796" i="8"/>
  <c r="C797" i="8"/>
  <c r="D797" i="8"/>
  <c r="E797" i="8"/>
  <c r="G797" i="8"/>
  <c r="H797" i="8"/>
  <c r="L797" i="8"/>
  <c r="C798" i="8"/>
  <c r="D798" i="8" s="1"/>
  <c r="E798" i="8"/>
  <c r="H798" i="8"/>
  <c r="L798" i="8"/>
  <c r="C799" i="8"/>
  <c r="D799" i="8"/>
  <c r="E799" i="8"/>
  <c r="G799" i="8" s="1"/>
  <c r="H799" i="8"/>
  <c r="L799" i="8"/>
  <c r="C800" i="8"/>
  <c r="D800" i="8"/>
  <c r="E800" i="8"/>
  <c r="H800" i="8"/>
  <c r="L800" i="8"/>
  <c r="C801" i="8"/>
  <c r="D801" i="8"/>
  <c r="E801" i="8"/>
  <c r="G801" i="8" s="1"/>
  <c r="H801" i="8"/>
  <c r="L801" i="8"/>
  <c r="C802" i="8"/>
  <c r="D802" i="8" s="1"/>
  <c r="E802" i="8"/>
  <c r="G802" i="8"/>
  <c r="H802" i="8"/>
  <c r="L802" i="8"/>
  <c r="C803" i="8"/>
  <c r="D803" i="8"/>
  <c r="E803" i="8"/>
  <c r="G803" i="8"/>
  <c r="H803" i="8"/>
  <c r="L803" i="8"/>
  <c r="C804" i="8"/>
  <c r="D804" i="8"/>
  <c r="E804" i="8"/>
  <c r="H804" i="8"/>
  <c r="L804" i="8"/>
  <c r="C805" i="8"/>
  <c r="D805" i="8"/>
  <c r="E805" i="8"/>
  <c r="G805" i="8"/>
  <c r="H805" i="8"/>
  <c r="L805" i="8"/>
  <c r="C806" i="8"/>
  <c r="D806" i="8"/>
  <c r="E806" i="8"/>
  <c r="G806" i="8"/>
  <c r="H806" i="8"/>
  <c r="L806" i="8"/>
  <c r="C807" i="8"/>
  <c r="D807" i="8"/>
  <c r="E807" i="8"/>
  <c r="G807" i="8" s="1"/>
  <c r="H807" i="8"/>
  <c r="L807" i="8"/>
  <c r="C808" i="8"/>
  <c r="D808" i="8"/>
  <c r="E808" i="8"/>
  <c r="H808" i="8"/>
  <c r="L808" i="8"/>
  <c r="C809" i="8"/>
  <c r="D809" i="8"/>
  <c r="E809" i="8"/>
  <c r="H809" i="8"/>
  <c r="L809" i="8"/>
  <c r="C810" i="8"/>
  <c r="D810" i="8" s="1"/>
  <c r="E810" i="8"/>
  <c r="G810" i="8"/>
  <c r="H810" i="8"/>
  <c r="L810" i="8"/>
  <c r="C811" i="8"/>
  <c r="D811" i="8"/>
  <c r="E811" i="8"/>
  <c r="G811" i="8" s="1"/>
  <c r="H811" i="8"/>
  <c r="L811" i="8"/>
  <c r="C812" i="8"/>
  <c r="D812" i="8"/>
  <c r="E812" i="8"/>
  <c r="G812" i="8" s="1"/>
  <c r="H812" i="8"/>
  <c r="L812" i="8"/>
  <c r="C813" i="8"/>
  <c r="D813" i="8"/>
  <c r="E813" i="8"/>
  <c r="G813" i="8"/>
  <c r="H813" i="8"/>
  <c r="L813" i="8"/>
  <c r="C814" i="8"/>
  <c r="D814" i="8" s="1"/>
  <c r="E814" i="8"/>
  <c r="G814" i="8"/>
  <c r="H814" i="8"/>
  <c r="L814" i="8"/>
  <c r="C815" i="8"/>
  <c r="D815" i="8"/>
  <c r="E815" i="8"/>
  <c r="G815" i="8"/>
  <c r="H815" i="8"/>
  <c r="L815" i="8"/>
  <c r="C816" i="8"/>
  <c r="D816" i="8" s="1"/>
  <c r="E816" i="8"/>
  <c r="H816" i="8"/>
  <c r="L816" i="8"/>
  <c r="C817" i="8"/>
  <c r="D817" i="8"/>
  <c r="E817" i="8"/>
  <c r="G817" i="8"/>
  <c r="H817" i="8"/>
  <c r="L817" i="8"/>
  <c r="C818" i="8"/>
  <c r="D818" i="8"/>
  <c r="E818" i="8"/>
  <c r="G818" i="8"/>
  <c r="H818" i="8"/>
  <c r="L818" i="8"/>
  <c r="C819" i="8"/>
  <c r="D819" i="8" s="1"/>
  <c r="E819" i="8"/>
  <c r="G819" i="8" s="1"/>
  <c r="H819" i="8"/>
  <c r="L819" i="8"/>
  <c r="C820" i="8"/>
  <c r="E820" i="8"/>
  <c r="H820" i="8"/>
  <c r="L820" i="8"/>
  <c r="C821" i="8"/>
  <c r="D821" i="8"/>
  <c r="E821" i="8"/>
  <c r="H821" i="8"/>
  <c r="L821" i="8"/>
  <c r="C822" i="8"/>
  <c r="D822" i="8"/>
  <c r="E822" i="8"/>
  <c r="G822" i="8"/>
  <c r="H822" i="8"/>
  <c r="L822" i="8"/>
  <c r="C823" i="8"/>
  <c r="D823" i="8"/>
  <c r="E823" i="8"/>
  <c r="G823" i="8" s="1"/>
  <c r="H823" i="8"/>
  <c r="L823" i="8"/>
  <c r="C824" i="8"/>
  <c r="D824" i="8"/>
  <c r="E824" i="8"/>
  <c r="G824" i="8" s="1"/>
  <c r="H824" i="8"/>
  <c r="L824" i="8"/>
  <c r="C825" i="8"/>
  <c r="D825" i="8" s="1"/>
  <c r="E825" i="8"/>
  <c r="H825" i="8"/>
  <c r="L825" i="8"/>
  <c r="C826" i="8"/>
  <c r="D826" i="8"/>
  <c r="E826" i="8"/>
  <c r="H826" i="8"/>
  <c r="L826" i="8"/>
  <c r="C827" i="8"/>
  <c r="D827" i="8"/>
  <c r="E827" i="8"/>
  <c r="G827" i="8"/>
  <c r="H827" i="8"/>
  <c r="L827" i="8"/>
  <c r="C828" i="8"/>
  <c r="D828" i="8" s="1"/>
  <c r="E828" i="8"/>
  <c r="G828" i="8"/>
  <c r="H828" i="8"/>
  <c r="L828" i="8"/>
  <c r="C829" i="8"/>
  <c r="D829" i="8"/>
  <c r="E829" i="8"/>
  <c r="G829" i="8" s="1"/>
  <c r="H829" i="8"/>
  <c r="L829" i="8"/>
  <c r="C830" i="8"/>
  <c r="D830" i="8"/>
  <c r="E830" i="8"/>
  <c r="G830" i="8"/>
  <c r="H830" i="8"/>
  <c r="L830" i="8"/>
  <c r="C831" i="8"/>
  <c r="D831" i="8"/>
  <c r="E831" i="8"/>
  <c r="G831" i="8"/>
  <c r="H831" i="8"/>
  <c r="L831" i="8"/>
  <c r="C832" i="8"/>
  <c r="D832" i="8" s="1"/>
  <c r="E832" i="8"/>
  <c r="G832" i="8"/>
  <c r="H832" i="8"/>
  <c r="L832" i="8"/>
  <c r="C833" i="8"/>
  <c r="D833" i="8"/>
  <c r="E833" i="8"/>
  <c r="H833" i="8"/>
  <c r="L833" i="8"/>
  <c r="C834" i="8"/>
  <c r="D834" i="8"/>
  <c r="E834" i="8"/>
  <c r="H834" i="8"/>
  <c r="L834" i="8"/>
  <c r="C835" i="8"/>
  <c r="D835" i="8"/>
  <c r="E835" i="8"/>
  <c r="G835" i="8"/>
  <c r="H835" i="8"/>
  <c r="L835" i="8"/>
  <c r="C836" i="8"/>
  <c r="D836" i="8"/>
  <c r="E836" i="8"/>
  <c r="G836" i="8" s="1"/>
  <c r="H836" i="8"/>
  <c r="L836" i="8"/>
  <c r="C837" i="8"/>
  <c r="D837" i="8"/>
  <c r="E837" i="8"/>
  <c r="G837" i="8" s="1"/>
  <c r="H837" i="8"/>
  <c r="L837" i="8"/>
  <c r="C838" i="8"/>
  <c r="D838" i="8" s="1"/>
  <c r="E838" i="8"/>
  <c r="H838" i="8"/>
  <c r="L838" i="8"/>
  <c r="C839" i="8"/>
  <c r="D839" i="8"/>
  <c r="E839" i="8"/>
  <c r="G839" i="8"/>
  <c r="H839" i="8"/>
  <c r="L839" i="8"/>
  <c r="C840" i="8"/>
  <c r="D840" i="8" s="1"/>
  <c r="E840" i="8"/>
  <c r="G840" i="8"/>
  <c r="H840" i="8"/>
  <c r="L840" i="8"/>
  <c r="C841" i="8"/>
  <c r="D841" i="8" s="1"/>
  <c r="E841" i="8"/>
  <c r="G841" i="8" s="1"/>
  <c r="H841" i="8"/>
  <c r="L841" i="8"/>
  <c r="C842" i="8"/>
  <c r="D842" i="8"/>
  <c r="E842" i="8"/>
  <c r="G842" i="8"/>
  <c r="H842" i="8"/>
  <c r="L842" i="8"/>
  <c r="C843" i="8"/>
  <c r="D843" i="8"/>
  <c r="E843" i="8"/>
  <c r="G843" i="8"/>
  <c r="H843" i="8"/>
  <c r="L843" i="8"/>
  <c r="C844" i="8"/>
  <c r="D844" i="8"/>
  <c r="E844" i="8"/>
  <c r="G844" i="8"/>
  <c r="H844" i="8"/>
  <c r="L844" i="8"/>
  <c r="C845" i="8"/>
  <c r="D845" i="8"/>
  <c r="E845" i="8"/>
  <c r="H845" i="8"/>
  <c r="L845" i="8"/>
  <c r="C846" i="8"/>
  <c r="D846" i="8"/>
  <c r="E846" i="8"/>
  <c r="H846" i="8"/>
  <c r="L846" i="8"/>
  <c r="C847" i="8"/>
  <c r="D847" i="8" s="1"/>
  <c r="E847" i="8"/>
  <c r="H847" i="8"/>
  <c r="L847" i="8"/>
  <c r="C848" i="8"/>
  <c r="D848" i="8"/>
  <c r="E848" i="8"/>
  <c r="G848" i="8" s="1"/>
  <c r="H848" i="8"/>
  <c r="L848" i="8"/>
  <c r="C849" i="8"/>
  <c r="D849" i="8"/>
  <c r="E849" i="8"/>
  <c r="G849" i="8" s="1"/>
  <c r="H849" i="8"/>
  <c r="L849" i="8"/>
  <c r="C850" i="8"/>
  <c r="D850" i="8" s="1"/>
  <c r="E850" i="8"/>
  <c r="G850" i="8"/>
  <c r="H850" i="8"/>
  <c r="L850" i="8"/>
  <c r="C851" i="8"/>
  <c r="D851" i="8"/>
  <c r="E851" i="8"/>
  <c r="H851" i="8"/>
  <c r="L851" i="8"/>
  <c r="C852" i="8"/>
  <c r="D852" i="8" s="1"/>
  <c r="E852" i="8"/>
  <c r="G852" i="8"/>
  <c r="H852" i="8"/>
  <c r="L852" i="8"/>
  <c r="C853" i="8"/>
  <c r="D853" i="8"/>
  <c r="E853" i="8"/>
  <c r="G853" i="8"/>
  <c r="H853" i="8"/>
  <c r="L853" i="8"/>
  <c r="C854" i="8"/>
  <c r="D854" i="8"/>
  <c r="E854" i="8"/>
  <c r="G854" i="8" s="1"/>
  <c r="H854" i="8"/>
  <c r="L854" i="8"/>
  <c r="C855" i="8"/>
  <c r="D855" i="8"/>
  <c r="E855" i="8"/>
  <c r="G855" i="8"/>
  <c r="H855" i="8"/>
  <c r="L855" i="8"/>
  <c r="C856" i="8"/>
  <c r="D856" i="8"/>
  <c r="E856" i="8"/>
  <c r="H856" i="8"/>
  <c r="L856" i="8"/>
  <c r="C857" i="8"/>
  <c r="D857" i="8"/>
  <c r="E857" i="8"/>
  <c r="G857" i="8"/>
  <c r="H857" i="8"/>
  <c r="L857" i="8"/>
  <c r="C858" i="8"/>
  <c r="D858" i="8"/>
  <c r="E858" i="8"/>
  <c r="H858" i="8"/>
  <c r="L858" i="8"/>
  <c r="C859" i="8"/>
  <c r="D859" i="8"/>
  <c r="E859" i="8"/>
  <c r="G859" i="8" s="1"/>
  <c r="H859" i="8"/>
  <c r="L859" i="8"/>
  <c r="C860" i="8"/>
  <c r="D860" i="8"/>
  <c r="E860" i="8"/>
  <c r="G860" i="8"/>
  <c r="H860" i="8"/>
  <c r="L860" i="8"/>
  <c r="C861" i="8"/>
  <c r="D861" i="8"/>
  <c r="E861" i="8"/>
  <c r="G861" i="8" s="1"/>
  <c r="H861" i="8"/>
  <c r="L861" i="8"/>
  <c r="C862" i="8"/>
  <c r="D862" i="8" s="1"/>
  <c r="E862" i="8"/>
  <c r="G862" i="8"/>
  <c r="H862" i="8"/>
  <c r="L862" i="8"/>
  <c r="C863" i="8"/>
  <c r="D863" i="8"/>
  <c r="E863" i="8"/>
  <c r="H863" i="8"/>
  <c r="L863" i="8"/>
  <c r="C864" i="8"/>
  <c r="E864" i="8"/>
  <c r="G864" i="8"/>
  <c r="H864" i="8"/>
  <c r="L864" i="8"/>
  <c r="C865" i="8"/>
  <c r="D865" i="8"/>
  <c r="E865" i="8"/>
  <c r="G865" i="8"/>
  <c r="H865" i="8"/>
  <c r="L865" i="8"/>
  <c r="C866" i="8"/>
  <c r="D866" i="8"/>
  <c r="E866" i="8"/>
  <c r="G866" i="8" s="1"/>
  <c r="H866" i="8"/>
  <c r="L866" i="8"/>
  <c r="C867" i="8"/>
  <c r="D867" i="8" s="1"/>
  <c r="E867" i="8"/>
  <c r="G867" i="8"/>
  <c r="H867" i="8"/>
  <c r="L867" i="8"/>
  <c r="C868" i="8"/>
  <c r="D868" i="8"/>
  <c r="E868" i="8"/>
  <c r="H868" i="8"/>
  <c r="L868" i="8"/>
  <c r="C869" i="8"/>
  <c r="D869" i="8"/>
  <c r="E869" i="8"/>
  <c r="G869" i="8"/>
  <c r="H869" i="8"/>
  <c r="L869" i="8"/>
  <c r="C870" i="8"/>
  <c r="E870" i="8"/>
  <c r="H870" i="8"/>
  <c r="L870" i="8"/>
  <c r="C871" i="8"/>
  <c r="D871" i="8"/>
  <c r="E871" i="8"/>
  <c r="G871" i="8" s="1"/>
  <c r="H871" i="8"/>
  <c r="L871" i="8"/>
  <c r="C872" i="8"/>
  <c r="D872" i="8"/>
  <c r="E872" i="8"/>
  <c r="G872" i="8" s="1"/>
  <c r="H872" i="8"/>
  <c r="L872" i="8"/>
  <c r="C873" i="8"/>
  <c r="E873" i="8"/>
  <c r="G873" i="8" s="1"/>
  <c r="H873" i="8"/>
  <c r="L873" i="8"/>
  <c r="C874" i="8"/>
  <c r="E874" i="8"/>
  <c r="G874" i="8"/>
  <c r="H874" i="8"/>
  <c r="L874" i="8"/>
  <c r="C875" i="8"/>
  <c r="D875" i="8"/>
  <c r="E875" i="8"/>
  <c r="G875" i="8"/>
  <c r="H875" i="8"/>
  <c r="L875" i="8"/>
  <c r="C876" i="8"/>
  <c r="D876" i="8"/>
  <c r="E876" i="8"/>
  <c r="H876" i="8"/>
  <c r="L876" i="8"/>
  <c r="C877" i="8"/>
  <c r="D877" i="8"/>
  <c r="E877" i="8"/>
  <c r="G877" i="8"/>
  <c r="H877" i="8"/>
  <c r="L877" i="8"/>
  <c r="C878" i="8"/>
  <c r="D878" i="8"/>
  <c r="E878" i="8"/>
  <c r="G878" i="8"/>
  <c r="H878" i="8"/>
  <c r="L878" i="8"/>
  <c r="C879" i="8"/>
  <c r="D879" i="8"/>
  <c r="E879" i="8"/>
  <c r="G879" i="8" s="1"/>
  <c r="H879" i="8"/>
  <c r="L879" i="8"/>
  <c r="C880" i="8"/>
  <c r="D880" i="8"/>
  <c r="E880" i="8"/>
  <c r="H880" i="8"/>
  <c r="L880" i="8"/>
  <c r="C881" i="8"/>
  <c r="D881" i="8"/>
  <c r="E881" i="8"/>
  <c r="H881" i="8"/>
  <c r="L881" i="8"/>
  <c r="C882" i="8"/>
  <c r="E882" i="8"/>
  <c r="G882" i="8"/>
  <c r="H882" i="8"/>
  <c r="L882" i="8"/>
  <c r="C883" i="8"/>
  <c r="D883" i="8"/>
  <c r="E883" i="8"/>
  <c r="G883" i="8" s="1"/>
  <c r="H883" i="8"/>
  <c r="L883" i="8"/>
  <c r="C884" i="8"/>
  <c r="D884" i="8"/>
  <c r="E884" i="8"/>
  <c r="G884" i="8" s="1"/>
  <c r="H884" i="8"/>
  <c r="L884" i="8"/>
  <c r="C885" i="8"/>
  <c r="D885" i="8"/>
  <c r="E885" i="8"/>
  <c r="G885" i="8"/>
  <c r="H885" i="8"/>
  <c r="L885" i="8"/>
  <c r="C886" i="8"/>
  <c r="E886" i="8"/>
  <c r="G886" i="8"/>
  <c r="H886" i="8"/>
  <c r="L886" i="8"/>
  <c r="C887" i="8"/>
  <c r="D887" i="8"/>
  <c r="E887" i="8"/>
  <c r="G887" i="8"/>
  <c r="H887" i="8"/>
  <c r="L887" i="8"/>
  <c r="C888" i="8"/>
  <c r="E888" i="8"/>
  <c r="H888" i="8"/>
  <c r="L888" i="8"/>
  <c r="C889" i="8"/>
  <c r="D889" i="8"/>
  <c r="E889" i="8"/>
  <c r="G889" i="8"/>
  <c r="H889" i="8"/>
  <c r="L889" i="8"/>
  <c r="C890" i="8"/>
  <c r="D890" i="8"/>
  <c r="E890" i="8"/>
  <c r="G890" i="8"/>
  <c r="H890" i="8"/>
  <c r="L890" i="8"/>
  <c r="C891" i="8"/>
  <c r="D891" i="8"/>
  <c r="E891" i="8"/>
  <c r="G891" i="8" s="1"/>
  <c r="H891" i="8"/>
  <c r="L891" i="8"/>
  <c r="C892" i="8"/>
  <c r="D892" i="8"/>
  <c r="E892" i="8"/>
  <c r="H892" i="8"/>
  <c r="L892" i="8"/>
  <c r="C893" i="8"/>
  <c r="D893" i="8"/>
  <c r="E893" i="8"/>
  <c r="H893" i="8"/>
  <c r="L893" i="8"/>
  <c r="C894" i="8"/>
  <c r="D894" i="8"/>
  <c r="E894" i="8"/>
  <c r="G894" i="8"/>
  <c r="H894" i="8"/>
  <c r="L894" i="8"/>
  <c r="C895" i="8"/>
  <c r="D895" i="8"/>
  <c r="E895" i="8"/>
  <c r="G895" i="8" s="1"/>
  <c r="H895" i="8"/>
  <c r="L895" i="8"/>
  <c r="C896" i="8"/>
  <c r="D896" i="8"/>
  <c r="E896" i="8"/>
  <c r="G896" i="8" s="1"/>
  <c r="H896" i="8"/>
  <c r="L896" i="8"/>
  <c r="C897" i="8"/>
  <c r="D897" i="8" s="1"/>
  <c r="E897" i="8"/>
  <c r="G897" i="8" s="1"/>
  <c r="H897" i="8"/>
  <c r="L897" i="8"/>
  <c r="C898" i="8"/>
  <c r="D898" i="8"/>
  <c r="E898" i="8"/>
  <c r="H898" i="8"/>
  <c r="L898" i="8"/>
  <c r="C899" i="8"/>
  <c r="D899" i="8"/>
  <c r="E899" i="8"/>
  <c r="G899" i="8"/>
  <c r="H899" i="8"/>
  <c r="L899" i="8"/>
  <c r="C900" i="8"/>
  <c r="E900" i="8"/>
  <c r="G900" i="8"/>
  <c r="H900" i="8"/>
  <c r="L900" i="8"/>
  <c r="C901" i="8"/>
  <c r="D901" i="8"/>
  <c r="E901" i="8"/>
  <c r="G901" i="8" s="1"/>
  <c r="H901" i="8"/>
  <c r="L901" i="8"/>
  <c r="C902" i="8"/>
  <c r="D902" i="8"/>
  <c r="E902" i="8"/>
  <c r="G902" i="8"/>
  <c r="H902" i="8"/>
  <c r="L902" i="8"/>
  <c r="C903" i="8"/>
  <c r="D903" i="8" s="1"/>
  <c r="E903" i="8"/>
  <c r="G903" i="8"/>
  <c r="H903" i="8"/>
  <c r="L903" i="8"/>
  <c r="C904" i="8"/>
  <c r="D904" i="8" s="1"/>
  <c r="E904" i="8"/>
  <c r="G904" i="8"/>
  <c r="H904" i="8"/>
  <c r="L904" i="8"/>
  <c r="C905" i="8"/>
  <c r="D905" i="8"/>
  <c r="E905" i="8"/>
  <c r="H905" i="8"/>
  <c r="L905" i="8"/>
  <c r="C906" i="8"/>
  <c r="D906" i="8"/>
  <c r="E906" i="8"/>
  <c r="H906" i="8"/>
  <c r="L906" i="8"/>
  <c r="C907" i="8"/>
  <c r="D907" i="8" s="1"/>
  <c r="E907" i="8"/>
  <c r="G907" i="8"/>
  <c r="H907" i="8"/>
  <c r="L907" i="8"/>
  <c r="C908" i="8"/>
  <c r="D908" i="8"/>
  <c r="E908" i="8"/>
  <c r="G908" i="8" s="1"/>
  <c r="H908" i="8"/>
  <c r="L908" i="8"/>
  <c r="C909" i="8"/>
  <c r="D909" i="8"/>
  <c r="E909" i="8"/>
  <c r="G909" i="8" s="1"/>
  <c r="H909" i="8"/>
  <c r="L909" i="8"/>
  <c r="C910" i="8"/>
  <c r="D910" i="8" s="1"/>
  <c r="E910" i="8"/>
  <c r="H910" i="8"/>
  <c r="L910" i="8"/>
  <c r="C911" i="8"/>
  <c r="D911" i="8"/>
  <c r="E911" i="8"/>
  <c r="G911" i="8"/>
  <c r="H911" i="8"/>
  <c r="L911" i="8"/>
  <c r="C912" i="8"/>
  <c r="E912" i="8"/>
  <c r="G912" i="8"/>
  <c r="H912" i="8"/>
  <c r="L912" i="8"/>
  <c r="C913" i="8"/>
  <c r="D913" i="8"/>
  <c r="E913" i="8"/>
  <c r="G913" i="8" s="1"/>
  <c r="H913" i="8"/>
  <c r="L913" i="8"/>
  <c r="C914" i="8"/>
  <c r="D914" i="8"/>
  <c r="E914" i="8"/>
  <c r="G914" i="8"/>
  <c r="H914" i="8"/>
  <c r="L914" i="8"/>
  <c r="C915" i="8"/>
  <c r="D915" i="8" s="1"/>
  <c r="E915" i="8"/>
  <c r="G915" i="8"/>
  <c r="H915" i="8"/>
  <c r="L915" i="8"/>
  <c r="C916" i="8"/>
  <c r="D916" i="8"/>
  <c r="E916" i="8"/>
  <c r="H916" i="8"/>
  <c r="L916" i="8"/>
  <c r="C917" i="8"/>
  <c r="D917" i="8"/>
  <c r="E917" i="8"/>
  <c r="H917" i="8"/>
  <c r="L917" i="8"/>
  <c r="C918" i="8"/>
  <c r="D918" i="8"/>
  <c r="E918" i="8"/>
  <c r="G918" i="8" s="1"/>
  <c r="H918" i="8"/>
  <c r="L918" i="8"/>
  <c r="C919" i="8"/>
  <c r="D919" i="8" s="1"/>
  <c r="E919" i="8"/>
  <c r="G919" i="8"/>
  <c r="H919" i="8"/>
  <c r="L919" i="8"/>
  <c r="C920" i="8"/>
  <c r="D920" i="8"/>
  <c r="E920" i="8"/>
  <c r="G920" i="8" s="1"/>
  <c r="H920" i="8"/>
  <c r="L920" i="8"/>
  <c r="C921" i="8"/>
  <c r="D921" i="8"/>
  <c r="E921" i="8"/>
  <c r="G921" i="8" s="1"/>
  <c r="H921" i="8"/>
  <c r="L921" i="8"/>
  <c r="C922" i="8"/>
  <c r="D922" i="8" s="1"/>
  <c r="E922" i="8"/>
  <c r="G922" i="8"/>
  <c r="H922" i="8"/>
  <c r="L922" i="8"/>
  <c r="C923" i="8"/>
  <c r="D923" i="8"/>
  <c r="E923" i="8"/>
  <c r="G923" i="8" s="1"/>
  <c r="H923" i="8"/>
  <c r="L923" i="8"/>
  <c r="C924" i="8"/>
  <c r="E924" i="8"/>
  <c r="G924" i="8"/>
  <c r="H924" i="8"/>
  <c r="L924" i="8"/>
  <c r="C925" i="8"/>
  <c r="D925" i="8"/>
  <c r="E925" i="8"/>
  <c r="G925" i="8"/>
  <c r="H925" i="8"/>
  <c r="L925" i="8"/>
  <c r="C926" i="8"/>
  <c r="D926" i="8"/>
  <c r="E926" i="8"/>
  <c r="G926" i="8"/>
  <c r="H926" i="8"/>
  <c r="L926" i="8"/>
  <c r="C927" i="8"/>
  <c r="E927" i="8"/>
  <c r="G927" i="8"/>
  <c r="H927" i="8"/>
  <c r="L927" i="8"/>
  <c r="C928" i="8"/>
  <c r="D928" i="8" s="1"/>
  <c r="E928" i="8"/>
  <c r="G928" i="8" s="1"/>
  <c r="H928" i="8"/>
  <c r="L928" i="8"/>
  <c r="C929" i="8"/>
  <c r="D929" i="8"/>
  <c r="E929" i="8"/>
  <c r="G929" i="8"/>
  <c r="H929" i="8"/>
  <c r="L929" i="8"/>
  <c r="C930" i="8"/>
  <c r="E930" i="8"/>
  <c r="H930" i="8"/>
  <c r="L930" i="8"/>
  <c r="C931" i="8"/>
  <c r="D931" i="8" s="1"/>
  <c r="E931" i="8"/>
  <c r="H931" i="8"/>
  <c r="L931" i="8"/>
  <c r="C932" i="8"/>
  <c r="D932" i="8"/>
  <c r="E932" i="8"/>
  <c r="G932" i="8"/>
  <c r="H932" i="8"/>
  <c r="L932" i="8"/>
  <c r="C933" i="8"/>
  <c r="D933" i="8"/>
  <c r="E933" i="8"/>
  <c r="H933" i="8"/>
  <c r="L933" i="8"/>
  <c r="C934" i="8"/>
  <c r="D934" i="8" s="1"/>
  <c r="E934" i="8"/>
  <c r="G934" i="8"/>
  <c r="H934" i="8"/>
  <c r="L934" i="8"/>
  <c r="C935" i="8"/>
  <c r="D935" i="8"/>
  <c r="E935" i="8"/>
  <c r="H935" i="8"/>
  <c r="L935" i="8"/>
  <c r="C936" i="8"/>
  <c r="E936" i="8"/>
  <c r="G936" i="8"/>
  <c r="H936" i="8"/>
  <c r="L936" i="8"/>
  <c r="C937" i="8"/>
  <c r="E937" i="8"/>
  <c r="H937" i="8"/>
  <c r="L937" i="8"/>
  <c r="C938" i="8"/>
  <c r="D938" i="8"/>
  <c r="E938" i="8"/>
  <c r="G938" i="8" s="1"/>
  <c r="H938" i="8"/>
  <c r="L938" i="8"/>
  <c r="C939" i="8"/>
  <c r="D939" i="8"/>
  <c r="E939" i="8"/>
  <c r="G939" i="8"/>
  <c r="H939" i="8"/>
  <c r="L939" i="8"/>
  <c r="C940" i="8"/>
  <c r="D940" i="8"/>
  <c r="E940" i="8"/>
  <c r="G940" i="8" s="1"/>
  <c r="H940" i="8"/>
  <c r="L940" i="8"/>
  <c r="C941" i="8"/>
  <c r="D941" i="8"/>
  <c r="E941" i="8"/>
  <c r="G941" i="8" s="1"/>
  <c r="H941" i="8"/>
  <c r="L941" i="8"/>
  <c r="C942" i="8"/>
  <c r="E942" i="8"/>
  <c r="G942" i="8"/>
  <c r="H942" i="8"/>
  <c r="L942" i="8"/>
  <c r="C943" i="8"/>
  <c r="D943" i="8"/>
  <c r="E943" i="8"/>
  <c r="G943" i="8"/>
  <c r="H943" i="8"/>
  <c r="L943" i="8"/>
  <c r="C944" i="8"/>
  <c r="D944" i="8" s="1"/>
  <c r="E944" i="8"/>
  <c r="G944" i="8" s="1"/>
  <c r="H944" i="8"/>
  <c r="L944" i="8"/>
  <c r="C945" i="8"/>
  <c r="D945" i="8"/>
  <c r="E945" i="8"/>
  <c r="G945" i="8"/>
  <c r="H945" i="8"/>
  <c r="L945" i="8"/>
  <c r="C946" i="8"/>
  <c r="D946" i="8" s="1"/>
  <c r="E946" i="8"/>
  <c r="H946" i="8"/>
  <c r="L946" i="8"/>
  <c r="C947" i="8"/>
  <c r="E947" i="8"/>
  <c r="G947" i="8" s="1"/>
  <c r="H947" i="8"/>
  <c r="L947" i="8"/>
  <c r="C948" i="8"/>
  <c r="D948" i="8" s="1"/>
  <c r="E948" i="8"/>
  <c r="G948" i="8"/>
  <c r="H948" i="8"/>
  <c r="L948" i="8"/>
  <c r="C949" i="8"/>
  <c r="D949" i="8" s="1"/>
  <c r="E949" i="8"/>
  <c r="H949" i="8"/>
  <c r="L949" i="8"/>
  <c r="C950" i="8"/>
  <c r="E950" i="8"/>
  <c r="H950" i="8"/>
  <c r="L950" i="8"/>
  <c r="C951" i="8"/>
  <c r="D951" i="8"/>
  <c r="E951" i="8"/>
  <c r="G951" i="8"/>
  <c r="H951" i="8"/>
  <c r="L951" i="8"/>
  <c r="C952" i="8"/>
  <c r="D952" i="8" s="1"/>
  <c r="E952" i="8"/>
  <c r="G952" i="8"/>
  <c r="H952" i="8"/>
  <c r="L952" i="8"/>
  <c r="C953" i="8"/>
  <c r="D953" i="8"/>
  <c r="E953" i="8"/>
  <c r="H953" i="8"/>
  <c r="L953" i="8"/>
  <c r="C954" i="8"/>
  <c r="D954" i="8"/>
  <c r="E954" i="8"/>
  <c r="G954" i="8"/>
  <c r="H954" i="8"/>
  <c r="L954" i="8"/>
  <c r="C955" i="8"/>
  <c r="D955" i="8" s="1"/>
  <c r="E955" i="8"/>
  <c r="G955" i="8"/>
  <c r="H955" i="8"/>
  <c r="L955" i="8"/>
  <c r="C956" i="8"/>
  <c r="D956" i="8"/>
  <c r="E956" i="8"/>
  <c r="G956" i="8" s="1"/>
  <c r="H956" i="8"/>
  <c r="L956" i="8"/>
  <c r="C957" i="8"/>
  <c r="D957" i="8"/>
  <c r="E957" i="8"/>
  <c r="G957" i="8"/>
  <c r="H957" i="8"/>
  <c r="L957" i="8"/>
  <c r="C958" i="8"/>
  <c r="D958" i="8"/>
  <c r="E958" i="8"/>
  <c r="G958" i="8" s="1"/>
  <c r="H958" i="8"/>
  <c r="L958" i="8"/>
  <c r="C959" i="8"/>
  <c r="E959" i="8"/>
  <c r="G959" i="8" s="1"/>
  <c r="H959" i="8"/>
  <c r="L959" i="8"/>
  <c r="C960" i="8"/>
  <c r="D960" i="8"/>
  <c r="E960" i="8"/>
  <c r="G960" i="8" s="1"/>
  <c r="H960" i="8"/>
  <c r="L960" i="8"/>
  <c r="C961" i="8"/>
  <c r="D961" i="8"/>
  <c r="E961" i="8"/>
  <c r="G961" i="8"/>
  <c r="H961" i="8"/>
  <c r="L961" i="8"/>
  <c r="C962" i="8"/>
  <c r="D962" i="8" s="1"/>
  <c r="E962" i="8"/>
  <c r="H962" i="8"/>
  <c r="L962" i="8"/>
  <c r="C963" i="8"/>
  <c r="D963" i="8"/>
  <c r="E963" i="8"/>
  <c r="G963" i="8"/>
  <c r="H963" i="8"/>
  <c r="L963" i="8"/>
  <c r="C964" i="8"/>
  <c r="D964" i="8" s="1"/>
  <c r="E964" i="8"/>
  <c r="G964" i="8" s="1"/>
  <c r="H964" i="8"/>
  <c r="L964" i="8"/>
  <c r="C965" i="8"/>
  <c r="D965" i="8"/>
  <c r="E965" i="8"/>
  <c r="G965" i="8" s="1"/>
  <c r="H965" i="8"/>
  <c r="L965" i="8"/>
  <c r="C966" i="8"/>
  <c r="D966" i="8" s="1"/>
  <c r="E966" i="8"/>
  <c r="G966" i="8" s="1"/>
  <c r="H966" i="8"/>
  <c r="L966" i="8"/>
  <c r="C967" i="8"/>
  <c r="E967" i="8"/>
  <c r="G967" i="8" s="1"/>
  <c r="H967" i="8"/>
  <c r="L967" i="8"/>
  <c r="C968" i="8"/>
  <c r="D968" i="8" s="1"/>
  <c r="E968" i="8"/>
  <c r="G968" i="8" s="1"/>
  <c r="H968" i="8"/>
  <c r="L968" i="8"/>
  <c r="C969" i="8"/>
  <c r="D969" i="8"/>
  <c r="E969" i="8"/>
  <c r="H969" i="8"/>
  <c r="L969" i="8"/>
  <c r="C970" i="8"/>
  <c r="D970" i="8" s="1"/>
  <c r="E970" i="8"/>
  <c r="G970" i="8" s="1"/>
  <c r="H970" i="8"/>
  <c r="L970" i="8"/>
  <c r="C971" i="8"/>
  <c r="D971" i="8"/>
  <c r="E971" i="8"/>
  <c r="G971" i="8" s="1"/>
  <c r="H971" i="8"/>
  <c r="L971" i="8"/>
  <c r="C972" i="8"/>
  <c r="D972" i="8"/>
  <c r="E972" i="8"/>
  <c r="G972" i="8"/>
  <c r="H972" i="8"/>
  <c r="L972" i="8"/>
  <c r="C973" i="8"/>
  <c r="D973" i="8" s="1"/>
  <c r="E973" i="8"/>
  <c r="G973" i="8" s="1"/>
  <c r="H973" i="8"/>
  <c r="L973" i="8"/>
  <c r="C974" i="8"/>
  <c r="E974" i="8"/>
  <c r="G974" i="8" s="1"/>
  <c r="H974" i="8"/>
  <c r="L974" i="8"/>
  <c r="C975" i="8"/>
  <c r="D975" i="8"/>
  <c r="E975" i="8"/>
  <c r="G975" i="8"/>
  <c r="H975" i="8"/>
  <c r="L975" i="8"/>
  <c r="C976" i="8"/>
  <c r="D976" i="8"/>
  <c r="E976" i="8"/>
  <c r="G976" i="8" s="1"/>
  <c r="H976" i="8"/>
  <c r="L976" i="8"/>
  <c r="C977" i="8"/>
  <c r="E977" i="8"/>
  <c r="G977" i="8" s="1"/>
  <c r="H977" i="8"/>
  <c r="L977" i="8"/>
  <c r="C978" i="8"/>
  <c r="E978" i="8"/>
  <c r="G978" i="8" s="1"/>
  <c r="H978" i="8"/>
  <c r="L978" i="8"/>
  <c r="C979" i="8"/>
  <c r="D979" i="8"/>
  <c r="E979" i="8"/>
  <c r="G979" i="8"/>
  <c r="H979" i="8"/>
  <c r="L979" i="8"/>
  <c r="C980" i="8"/>
  <c r="D980" i="8" s="1"/>
  <c r="E980" i="8"/>
  <c r="H980" i="8"/>
  <c r="L980" i="8"/>
  <c r="C981" i="8"/>
  <c r="D981" i="8"/>
  <c r="E981" i="8"/>
  <c r="H981" i="8"/>
  <c r="L981" i="8"/>
  <c r="C982" i="8"/>
  <c r="E982" i="8"/>
  <c r="H982" i="8"/>
  <c r="L982" i="8"/>
  <c r="C983" i="8"/>
  <c r="D983" i="8"/>
  <c r="E983" i="8"/>
  <c r="H983" i="8"/>
  <c r="L983" i="8"/>
  <c r="C984" i="8"/>
  <c r="D984" i="8"/>
  <c r="E984" i="8"/>
  <c r="H984" i="8"/>
  <c r="L984" i="8"/>
  <c r="C985" i="8"/>
  <c r="D985" i="8" s="1"/>
  <c r="E985" i="8"/>
  <c r="G985" i="8" s="1"/>
  <c r="H985" i="8"/>
  <c r="L985" i="8"/>
  <c r="C986" i="8"/>
  <c r="E986" i="8"/>
  <c r="G986" i="8" s="1"/>
  <c r="H986" i="8"/>
  <c r="L986" i="8"/>
  <c r="C987" i="8"/>
  <c r="D987" i="8"/>
  <c r="E987" i="8"/>
  <c r="G987" i="8" s="1"/>
  <c r="H987" i="8"/>
  <c r="L987" i="8"/>
  <c r="C988" i="8"/>
  <c r="D988" i="8" s="1"/>
  <c r="E988" i="8"/>
  <c r="G988" i="8" s="1"/>
  <c r="H988" i="8"/>
  <c r="L988" i="8"/>
  <c r="C989" i="8"/>
  <c r="D989" i="8"/>
  <c r="E989" i="8"/>
  <c r="H989" i="8"/>
  <c r="L989" i="8"/>
  <c r="C990" i="8"/>
  <c r="D990" i="8"/>
  <c r="E990" i="8"/>
  <c r="G990" i="8"/>
  <c r="H990" i="8"/>
  <c r="L990" i="8"/>
  <c r="C991" i="8"/>
  <c r="D991" i="8"/>
  <c r="E991" i="8"/>
  <c r="G991" i="8"/>
  <c r="H991" i="8"/>
  <c r="L991" i="8"/>
  <c r="C992" i="8"/>
  <c r="D992" i="8"/>
  <c r="E992" i="8"/>
  <c r="G992" i="8" s="1"/>
  <c r="H992" i="8"/>
  <c r="L992" i="8"/>
  <c r="C993" i="8"/>
  <c r="D993" i="8"/>
  <c r="E993" i="8"/>
  <c r="G993" i="8"/>
  <c r="H993" i="8"/>
  <c r="L993" i="8"/>
  <c r="C994" i="8"/>
  <c r="D994" i="8"/>
  <c r="E994" i="8"/>
  <c r="G994" i="8"/>
  <c r="H994" i="8"/>
  <c r="L994" i="8"/>
  <c r="C995" i="8"/>
  <c r="D995" i="8"/>
  <c r="E995" i="8"/>
  <c r="G995" i="8" s="1"/>
  <c r="H995" i="8"/>
  <c r="L995" i="8"/>
  <c r="C996" i="8"/>
  <c r="D996" i="8"/>
  <c r="E996" i="8"/>
  <c r="G996" i="8" s="1"/>
  <c r="H996" i="8"/>
  <c r="L996" i="8"/>
  <c r="C997" i="8"/>
  <c r="D997" i="8"/>
  <c r="E997" i="8"/>
  <c r="H997" i="8"/>
  <c r="L997" i="8"/>
  <c r="C998" i="8"/>
  <c r="D998" i="8" s="1"/>
  <c r="E998" i="8"/>
  <c r="G998" i="8" s="1"/>
  <c r="H998" i="8"/>
  <c r="L998" i="8"/>
  <c r="C999" i="8"/>
  <c r="D999" i="8"/>
  <c r="E999" i="8"/>
  <c r="G999" i="8"/>
  <c r="H999" i="8"/>
  <c r="L999" i="8"/>
  <c r="C1000" i="8"/>
  <c r="D1000" i="8" s="1"/>
  <c r="E1000" i="8"/>
  <c r="G1000" i="8" s="1"/>
  <c r="H1000" i="8"/>
  <c r="L1000" i="8"/>
  <c r="C1001" i="8"/>
  <c r="D1001" i="8" s="1"/>
  <c r="E1001" i="8"/>
  <c r="H1001" i="8"/>
  <c r="L1001" i="8"/>
  <c r="C1002" i="8"/>
  <c r="D1002" i="8"/>
  <c r="E1002" i="8"/>
  <c r="G1002" i="8" s="1"/>
  <c r="H1002" i="8"/>
  <c r="L1002" i="8"/>
  <c r="C1003" i="8"/>
  <c r="D1003" i="8" s="1"/>
  <c r="E1003" i="8"/>
  <c r="G1003" i="8" s="1"/>
  <c r="H1003" i="8"/>
  <c r="L1003" i="8"/>
  <c r="C1004" i="8"/>
  <c r="E1004" i="8"/>
  <c r="H1004" i="8"/>
  <c r="L1004" i="8"/>
  <c r="C1005" i="8"/>
  <c r="D1005" i="8"/>
  <c r="E1005" i="8"/>
  <c r="H1005" i="8"/>
  <c r="L1005" i="8"/>
  <c r="C1006" i="8"/>
  <c r="D1006" i="8" s="1"/>
  <c r="E1006" i="8"/>
  <c r="G1006" i="8" s="1"/>
  <c r="H1006" i="8"/>
  <c r="L1006" i="8"/>
  <c r="C1007" i="8"/>
  <c r="D1007" i="8"/>
  <c r="E1007" i="8"/>
  <c r="G1007" i="8"/>
  <c r="H1007" i="8"/>
  <c r="L1007" i="8"/>
  <c r="C1008" i="8"/>
  <c r="D1008" i="8" s="1"/>
  <c r="E1008" i="8"/>
  <c r="G1008" i="8"/>
  <c r="H1008" i="8"/>
  <c r="L1008" i="8"/>
  <c r="C1009" i="8"/>
  <c r="D1009" i="8" s="1"/>
  <c r="E1009" i="8"/>
  <c r="G1009" i="8"/>
  <c r="H1009" i="8"/>
  <c r="L1009" i="8"/>
  <c r="C1010" i="8"/>
  <c r="D1010" i="8" s="1"/>
  <c r="E1010" i="8"/>
  <c r="G1010" i="8"/>
  <c r="H1010" i="8"/>
  <c r="L1010" i="8"/>
  <c r="C1011" i="8"/>
  <c r="D1011" i="8"/>
  <c r="E1011" i="8"/>
  <c r="G1011" i="8"/>
  <c r="H1011" i="8"/>
  <c r="L1011" i="8"/>
  <c r="C1012" i="8"/>
  <c r="D1012" i="8" s="1"/>
  <c r="E1012" i="8"/>
  <c r="G1012" i="8"/>
  <c r="H1012" i="8"/>
  <c r="L1012" i="8"/>
  <c r="C1013" i="8"/>
  <c r="D1013" i="8" s="1"/>
  <c r="E1013" i="8"/>
  <c r="G1013" i="8"/>
  <c r="H1013" i="8"/>
  <c r="L1013" i="8"/>
  <c r="C1014" i="8"/>
  <c r="E1014" i="8"/>
  <c r="G1014" i="8"/>
  <c r="H1014" i="8"/>
  <c r="L1014" i="8"/>
  <c r="C1015" i="8"/>
  <c r="D1015" i="8" s="1"/>
  <c r="E1015" i="8"/>
  <c r="G1015" i="8"/>
  <c r="H1015" i="8"/>
  <c r="L1015" i="8"/>
  <c r="C1016" i="8"/>
  <c r="D1016" i="8"/>
  <c r="E1016" i="8"/>
  <c r="G1016" i="8"/>
  <c r="H1016" i="8"/>
  <c r="L1016" i="8"/>
  <c r="C1017" i="8"/>
  <c r="D1017" i="8" s="1"/>
  <c r="E1017" i="8"/>
  <c r="G1017" i="8" s="1"/>
  <c r="H1017" i="8"/>
  <c r="L1017" i="8"/>
  <c r="C1018" i="8"/>
  <c r="D1018" i="8" s="1"/>
  <c r="E1018" i="8"/>
  <c r="G1018" i="8" s="1"/>
  <c r="H1018" i="8"/>
  <c r="L1018" i="8"/>
  <c r="C1019" i="8"/>
  <c r="D1019" i="8" s="1"/>
  <c r="E1019" i="8"/>
  <c r="G1019" i="8" s="1"/>
  <c r="H1019" i="8"/>
  <c r="L1019" i="8"/>
  <c r="C1020" i="8"/>
  <c r="D1020" i="8" s="1"/>
  <c r="E1020" i="8"/>
  <c r="H1020" i="8"/>
  <c r="L1020" i="8"/>
  <c r="C1021" i="8"/>
  <c r="D1021" i="8" s="1"/>
  <c r="E1021" i="8"/>
  <c r="G1021" i="8"/>
  <c r="H1021" i="8"/>
  <c r="L1021" i="8"/>
  <c r="C1022" i="8"/>
  <c r="D1022" i="8" s="1"/>
  <c r="E1022" i="8"/>
  <c r="G1022" i="8"/>
  <c r="H1022" i="8"/>
  <c r="L1022" i="8"/>
  <c r="C1023" i="8"/>
  <c r="D1023" i="8"/>
  <c r="E1023" i="8"/>
  <c r="H1023" i="8"/>
  <c r="L1023" i="8"/>
  <c r="C1024" i="8"/>
  <c r="D1024" i="8" s="1"/>
  <c r="E1024" i="8"/>
  <c r="G1024" i="8" s="1"/>
  <c r="H1024" i="8"/>
  <c r="L1024" i="8"/>
  <c r="C1025" i="8"/>
  <c r="D1025" i="8"/>
  <c r="E1025" i="8"/>
  <c r="G1025" i="8" s="1"/>
  <c r="H1025" i="8"/>
  <c r="L1025" i="8"/>
  <c r="C1026" i="8"/>
  <c r="D1026" i="8"/>
  <c r="E1026" i="8"/>
  <c r="G1026" i="8"/>
  <c r="H1026" i="8"/>
  <c r="L1026" i="8"/>
  <c r="C1027" i="8"/>
  <c r="D1027" i="8" s="1"/>
  <c r="E1027" i="8"/>
  <c r="G1027" i="8" s="1"/>
  <c r="H1027" i="8"/>
  <c r="L1027" i="8"/>
  <c r="C1028" i="8"/>
  <c r="E1028" i="8"/>
  <c r="H1028" i="8"/>
  <c r="L1028" i="8"/>
  <c r="C1029" i="8"/>
  <c r="D1029" i="8" s="1"/>
  <c r="E1029" i="8"/>
  <c r="H1029" i="8"/>
  <c r="L1029" i="8"/>
  <c r="C1030" i="8"/>
  <c r="D1030" i="8" s="1"/>
  <c r="E1030" i="8"/>
  <c r="G1030" i="8" s="1"/>
  <c r="H1030" i="8"/>
  <c r="L1030" i="8"/>
  <c r="C1031" i="8"/>
  <c r="D1031" i="8" s="1"/>
  <c r="E1031" i="8"/>
  <c r="G1031" i="8"/>
  <c r="H1031" i="8"/>
  <c r="L1031" i="8"/>
  <c r="C1032" i="8"/>
  <c r="D1032" i="8" s="1"/>
  <c r="E1032" i="8"/>
  <c r="G1032" i="8"/>
  <c r="H1032" i="8"/>
  <c r="L1032" i="8"/>
  <c r="C1033" i="8"/>
  <c r="D1033" i="8" s="1"/>
  <c r="E1033" i="8"/>
  <c r="G1033" i="8"/>
  <c r="H1033" i="8"/>
  <c r="L1033" i="8"/>
  <c r="C1034" i="8"/>
  <c r="D1034" i="8" s="1"/>
  <c r="E1034" i="8"/>
  <c r="G1034" i="8"/>
  <c r="H1034" i="8"/>
  <c r="L1034" i="8"/>
  <c r="C1035" i="8"/>
  <c r="D1035" i="8"/>
  <c r="E1035" i="8"/>
  <c r="G1035" i="8" s="1"/>
  <c r="H1035" i="8"/>
  <c r="L1035" i="8"/>
  <c r="C1036" i="8"/>
  <c r="D1036" i="8" s="1"/>
  <c r="E1036" i="8"/>
  <c r="G1036" i="8" s="1"/>
  <c r="H1036" i="8"/>
  <c r="L1036" i="8"/>
  <c r="C1037" i="8"/>
  <c r="D1037" i="8" s="1"/>
  <c r="E1037" i="8"/>
  <c r="G1037" i="8"/>
  <c r="H1037" i="8"/>
  <c r="L1037" i="8"/>
  <c r="C1038" i="8"/>
  <c r="E1038" i="8"/>
  <c r="G1038" i="8"/>
  <c r="H1038" i="8"/>
  <c r="L1038" i="8"/>
  <c r="C1039" i="8"/>
  <c r="D1039" i="8" s="1"/>
  <c r="E1039" i="8"/>
  <c r="G1039" i="8" s="1"/>
  <c r="H1039" i="8"/>
  <c r="L1039" i="8"/>
  <c r="C1040" i="8"/>
  <c r="D1040" i="8" s="1"/>
  <c r="E1040" i="8"/>
  <c r="G1040" i="8"/>
  <c r="H1040" i="8"/>
  <c r="L1040" i="8"/>
  <c r="C1041" i="8"/>
  <c r="D1041" i="8" s="1"/>
  <c r="E1041" i="8"/>
  <c r="H1041" i="8"/>
  <c r="L1041" i="8"/>
  <c r="C1042" i="8"/>
  <c r="D1042" i="8" s="1"/>
  <c r="E1042" i="8"/>
  <c r="G1042" i="8" s="1"/>
  <c r="H1042" i="8"/>
  <c r="L1042" i="8"/>
  <c r="C1043" i="8"/>
  <c r="D1043" i="8" s="1"/>
  <c r="E1043" i="8"/>
  <c r="G1043" i="8" s="1"/>
  <c r="H1043" i="8"/>
  <c r="L1043" i="8"/>
  <c r="C1044" i="8"/>
  <c r="D1044" i="8" s="1"/>
  <c r="E1044" i="8"/>
  <c r="H1044" i="8"/>
  <c r="L1044" i="8"/>
  <c r="C1045" i="8"/>
  <c r="D1045" i="8" s="1"/>
  <c r="E1045" i="8"/>
  <c r="G1045" i="8"/>
  <c r="H1045" i="8"/>
  <c r="L1045" i="8"/>
  <c r="C1046" i="8"/>
  <c r="D1046" i="8" s="1"/>
  <c r="E1046" i="8"/>
  <c r="G1046" i="8"/>
  <c r="H1046" i="8"/>
  <c r="L1046" i="8"/>
  <c r="C1047" i="8"/>
  <c r="D1047" i="8"/>
  <c r="E1047" i="8"/>
  <c r="H1047" i="8"/>
  <c r="L1047" i="8"/>
  <c r="C1048" i="8"/>
  <c r="D1048" i="8" s="1"/>
  <c r="E1048" i="8"/>
  <c r="G1048" i="8" s="1"/>
  <c r="H1048" i="8"/>
  <c r="L1048" i="8"/>
  <c r="C1049" i="8"/>
  <c r="D1049" i="8"/>
  <c r="E1049" i="8"/>
  <c r="G1049" i="8"/>
  <c r="H1049" i="8"/>
  <c r="L1049" i="8"/>
  <c r="C1050" i="8"/>
  <c r="D1050" i="8" s="1"/>
  <c r="E1050" i="8"/>
  <c r="G1050" i="8"/>
  <c r="H1050" i="8"/>
  <c r="L1050" i="8"/>
  <c r="C1051" i="8"/>
  <c r="E1051" i="8"/>
  <c r="G1051" i="8" s="1"/>
  <c r="H1051" i="8"/>
  <c r="L1051" i="8"/>
  <c r="C1052" i="8"/>
  <c r="E1052" i="8"/>
  <c r="H1052" i="8"/>
  <c r="L1052" i="8"/>
  <c r="C1053" i="8"/>
  <c r="D1053" i="8" s="1"/>
  <c r="E1053" i="8"/>
  <c r="H1053" i="8"/>
  <c r="L1053" i="8"/>
  <c r="C1054" i="8"/>
  <c r="E1054" i="8"/>
  <c r="G1054" i="8" s="1"/>
  <c r="H1054" i="8"/>
  <c r="L1054" i="8"/>
  <c r="C1055" i="8"/>
  <c r="D1055" i="8" s="1"/>
  <c r="E1055" i="8"/>
  <c r="G1055" i="8"/>
  <c r="H1055" i="8"/>
  <c r="L1055" i="8"/>
  <c r="C1056" i="8"/>
  <c r="D1056" i="8" s="1"/>
  <c r="E1056" i="8"/>
  <c r="H1056" i="8"/>
  <c r="L1056" i="8"/>
  <c r="C1057" i="8"/>
  <c r="D1057" i="8" s="1"/>
  <c r="E1057" i="8"/>
  <c r="G1057" i="8"/>
  <c r="H1057" i="8"/>
  <c r="L1057" i="8"/>
  <c r="C1058" i="8"/>
  <c r="E1058" i="8"/>
  <c r="G1058" i="8"/>
  <c r="H1058" i="8"/>
  <c r="L1058" i="8"/>
  <c r="C1059" i="8"/>
  <c r="D1059" i="8"/>
  <c r="E1059" i="8"/>
  <c r="G1059" i="8" s="1"/>
  <c r="H1059" i="8"/>
  <c r="L1059" i="8"/>
  <c r="C1060" i="8"/>
  <c r="D1060" i="8" s="1"/>
  <c r="E1060" i="8"/>
  <c r="G1060" i="8" s="1"/>
  <c r="H1060" i="8"/>
  <c r="L1060" i="8"/>
  <c r="C1061" i="8"/>
  <c r="E1061" i="8"/>
  <c r="G1061" i="8"/>
  <c r="H1061" i="8"/>
  <c r="L1061" i="8"/>
  <c r="C1062" i="8"/>
  <c r="E1062" i="8"/>
  <c r="G1062" i="8"/>
  <c r="H1062" i="8"/>
  <c r="L1062" i="8"/>
  <c r="C1063" i="8"/>
  <c r="D1063" i="8" s="1"/>
  <c r="E1063" i="8"/>
  <c r="G1063" i="8"/>
  <c r="H1063" i="8"/>
  <c r="L1063" i="8"/>
  <c r="C1064" i="8"/>
  <c r="D1064" i="8"/>
  <c r="E1064" i="8"/>
  <c r="H1064" i="8"/>
  <c r="L1064" i="8"/>
  <c r="C1065" i="8"/>
  <c r="D1065" i="8"/>
  <c r="E1065" i="8"/>
  <c r="G1065" i="8"/>
  <c r="H1065" i="8"/>
  <c r="L1065" i="8"/>
  <c r="C1066" i="8"/>
  <c r="D1066" i="8" s="1"/>
  <c r="E1066" i="8"/>
  <c r="G1066" i="8"/>
  <c r="H1066" i="8"/>
  <c r="L1066" i="8"/>
  <c r="C1067" i="8"/>
  <c r="D1067" i="8"/>
  <c r="E1067" i="8"/>
  <c r="G1067" i="8"/>
  <c r="H1067" i="8"/>
  <c r="L1067" i="8"/>
  <c r="C1068" i="8"/>
  <c r="D1068" i="8" s="1"/>
  <c r="E1068" i="8"/>
  <c r="G1068" i="8"/>
  <c r="H1068" i="8"/>
  <c r="L1068" i="8"/>
  <c r="C1069" i="8"/>
  <c r="E1069" i="8"/>
  <c r="H1069" i="8"/>
  <c r="L1069" i="8"/>
  <c r="C1070" i="8"/>
  <c r="E1070" i="8"/>
  <c r="G1070" i="8"/>
  <c r="H1070" i="8"/>
  <c r="L1070" i="8"/>
  <c r="C1071" i="8"/>
  <c r="D1071" i="8" s="1"/>
  <c r="E1071" i="8"/>
  <c r="H1071" i="8"/>
  <c r="L1071" i="8"/>
  <c r="C1072" i="8"/>
  <c r="E1072" i="8"/>
  <c r="G1072" i="8" s="1"/>
  <c r="H1072" i="8"/>
  <c r="L1072" i="8"/>
  <c r="C1073" i="8"/>
  <c r="D1073" i="8" s="1"/>
  <c r="E1073" i="8"/>
  <c r="H1073" i="8"/>
  <c r="L1073" i="8"/>
  <c r="C1074" i="8"/>
  <c r="D1074" i="8"/>
  <c r="E1074" i="8"/>
  <c r="G1074" i="8"/>
  <c r="H1074" i="8"/>
  <c r="L1074" i="8"/>
  <c r="C1075" i="8"/>
  <c r="E1075" i="8"/>
  <c r="G1075" i="8"/>
  <c r="H1075" i="8"/>
  <c r="L1075" i="8"/>
  <c r="C1076" i="8"/>
  <c r="D1076" i="8"/>
  <c r="E1076" i="8"/>
  <c r="G1076" i="8" s="1"/>
  <c r="H1076" i="8"/>
  <c r="L1076" i="8"/>
  <c r="C1077" i="8"/>
  <c r="D1077" i="8" s="1"/>
  <c r="E1077" i="8"/>
  <c r="G1077" i="8"/>
  <c r="H1077" i="8"/>
  <c r="L1077" i="8"/>
  <c r="C1078" i="8"/>
  <c r="D1078" i="8" s="1"/>
  <c r="E1078" i="8"/>
  <c r="G1078" i="8" s="1"/>
  <c r="H1078" i="8"/>
  <c r="L1078" i="8"/>
  <c r="C1079" i="8"/>
  <c r="D1079" i="8"/>
  <c r="E1079" i="8"/>
  <c r="G1079" i="8"/>
  <c r="H1079" i="8"/>
  <c r="L1079" i="8"/>
  <c r="C1080" i="8"/>
  <c r="D1080" i="8" s="1"/>
  <c r="E1080" i="8"/>
  <c r="H1080" i="8"/>
  <c r="L1080" i="8"/>
  <c r="C1081" i="8"/>
  <c r="E1081" i="8"/>
  <c r="G1081" i="8"/>
  <c r="H1081" i="8"/>
  <c r="L1081" i="8"/>
  <c r="C1082" i="8"/>
  <c r="D1082" i="8"/>
  <c r="E1082" i="8"/>
  <c r="G1082" i="8"/>
  <c r="H1082" i="8"/>
  <c r="L1082" i="8"/>
  <c r="C1083" i="8"/>
  <c r="D1083" i="8"/>
  <c r="E1083" i="8"/>
  <c r="H1083" i="8"/>
  <c r="L1083" i="8"/>
  <c r="C1084" i="8"/>
  <c r="D1084" i="8" s="1"/>
  <c r="E1084" i="8"/>
  <c r="G1084" i="8"/>
  <c r="H1084" i="8"/>
  <c r="L1084" i="8"/>
  <c r="C1085" i="8"/>
  <c r="D1085" i="8"/>
  <c r="E1085" i="8"/>
  <c r="G1085" i="8"/>
  <c r="H1085" i="8"/>
  <c r="L1085" i="8"/>
  <c r="C1086" i="8"/>
  <c r="D1086" i="8" s="1"/>
  <c r="E1086" i="8"/>
  <c r="G1086" i="8"/>
  <c r="H1086" i="8"/>
  <c r="L1086" i="8"/>
  <c r="C1087" i="8"/>
  <c r="D1087" i="8" s="1"/>
  <c r="E1087" i="8"/>
  <c r="H1087" i="8"/>
  <c r="L1087" i="8"/>
  <c r="C1088" i="8"/>
  <c r="D1088" i="8"/>
  <c r="E1088" i="8"/>
  <c r="G1088" i="8"/>
  <c r="H1088" i="8"/>
  <c r="L1088" i="8"/>
  <c r="C1089" i="8"/>
  <c r="D1089" i="8" s="1"/>
  <c r="E1089" i="8"/>
  <c r="H1089" i="8"/>
  <c r="L1089" i="8"/>
  <c r="C1090" i="8"/>
  <c r="D1090" i="8" s="1"/>
  <c r="E1090" i="8"/>
  <c r="G1090" i="8"/>
  <c r="H1090" i="8"/>
  <c r="L1090" i="8"/>
  <c r="C1091" i="8"/>
  <c r="D1091" i="8" s="1"/>
  <c r="E1091" i="8"/>
  <c r="G1091" i="8" s="1"/>
  <c r="H1091" i="8"/>
  <c r="L1091" i="8"/>
  <c r="C1092" i="8"/>
  <c r="E1092" i="8"/>
  <c r="H1092" i="8"/>
  <c r="L1092" i="8"/>
  <c r="C1093" i="8"/>
  <c r="D1093" i="8" s="1"/>
  <c r="E1093" i="8"/>
  <c r="H1093" i="8"/>
  <c r="L1093" i="8"/>
  <c r="C1094" i="8"/>
  <c r="D1094" i="8"/>
  <c r="E1094" i="8"/>
  <c r="G1094" i="8" s="1"/>
  <c r="H1094" i="8"/>
  <c r="L1094" i="8"/>
  <c r="C1095" i="8"/>
  <c r="D1095" i="8" s="1"/>
  <c r="E1095" i="8"/>
  <c r="H1095" i="8"/>
  <c r="L1095" i="8"/>
  <c r="C1096" i="8"/>
  <c r="D1096" i="8" s="1"/>
  <c r="E1096" i="8"/>
  <c r="H1096" i="8"/>
  <c r="L1096" i="8"/>
  <c r="C1097" i="8"/>
  <c r="E1097" i="8"/>
  <c r="G1097" i="8"/>
  <c r="H1097" i="8"/>
  <c r="L1097" i="8"/>
  <c r="C1098" i="8"/>
  <c r="E1098" i="8"/>
  <c r="H1098" i="8"/>
  <c r="L1098" i="8"/>
  <c r="C1099" i="8"/>
  <c r="D1099" i="8" s="1"/>
  <c r="E1099" i="8"/>
  <c r="G1099" i="8"/>
  <c r="H1099" i="8"/>
  <c r="L1099" i="8"/>
  <c r="C1100" i="8"/>
  <c r="D1100" i="8"/>
  <c r="E1100" i="8"/>
  <c r="H1100" i="8"/>
  <c r="L1100" i="8"/>
  <c r="C1101" i="8"/>
  <c r="D1101" i="8"/>
  <c r="E1101" i="8"/>
  <c r="G1101" i="8" s="1"/>
  <c r="H1101" i="8"/>
  <c r="L1101" i="8"/>
  <c r="C1102" i="8"/>
  <c r="D1102" i="8" s="1"/>
  <c r="E1102" i="8"/>
  <c r="G1102" i="8"/>
  <c r="H1102" i="8"/>
  <c r="L1102" i="8"/>
  <c r="C1103" i="8"/>
  <c r="D1103" i="8"/>
  <c r="E1103" i="8"/>
  <c r="G1103" i="8"/>
  <c r="H1103" i="8"/>
  <c r="L1103" i="8"/>
  <c r="C1104" i="8"/>
  <c r="D1104" i="8" s="1"/>
  <c r="E1104" i="8"/>
  <c r="G1104" i="8"/>
  <c r="H1104" i="8"/>
  <c r="L1104" i="8"/>
  <c r="C1105" i="8"/>
  <c r="E1105" i="8"/>
  <c r="H1105" i="8"/>
  <c r="L1105" i="8"/>
  <c r="C1106" i="8"/>
  <c r="E1106" i="8"/>
  <c r="G1106" i="8"/>
  <c r="H1106" i="8"/>
  <c r="L1106" i="8"/>
  <c r="C1107" i="8"/>
  <c r="D1107" i="8" s="1"/>
  <c r="E1107" i="8"/>
  <c r="H1107" i="8"/>
  <c r="L1107" i="8"/>
  <c r="C1108" i="8"/>
  <c r="E1108" i="8"/>
  <c r="H1108" i="8"/>
  <c r="L1108" i="8"/>
  <c r="C1109" i="8"/>
  <c r="D1109" i="8" s="1"/>
  <c r="E1109" i="8"/>
  <c r="H1109" i="8"/>
  <c r="L1109" i="8"/>
  <c r="C1110" i="8"/>
  <c r="D1110" i="8"/>
  <c r="E1110" i="8"/>
  <c r="G1110" i="8"/>
  <c r="H1110" i="8"/>
  <c r="L1110" i="8"/>
  <c r="C1111" i="8"/>
  <c r="D1111" i="8" s="1"/>
  <c r="E1111" i="8"/>
  <c r="G1111" i="8"/>
  <c r="H1111" i="8"/>
  <c r="L1111" i="8"/>
  <c r="C1112" i="8"/>
  <c r="D1112" i="8"/>
  <c r="E1112" i="8"/>
  <c r="H1112" i="8"/>
  <c r="L1112" i="8"/>
  <c r="C1113" i="8"/>
  <c r="D1113" i="8"/>
  <c r="E1113" i="8"/>
  <c r="G1113" i="8"/>
  <c r="H1113" i="8"/>
  <c r="L1113" i="8"/>
  <c r="C1114" i="8"/>
  <c r="D1114" i="8" s="1"/>
  <c r="E1114" i="8"/>
  <c r="G1114" i="8" s="1"/>
  <c r="H1114" i="8"/>
  <c r="L1114" i="8"/>
  <c r="C1115" i="8"/>
  <c r="D1115" i="8" s="1"/>
  <c r="E1115" i="8"/>
  <c r="G1115" i="8"/>
  <c r="H1115" i="8"/>
  <c r="L1115" i="8"/>
  <c r="C1116" i="8"/>
  <c r="D1116" i="8" s="1"/>
  <c r="E1116" i="8"/>
  <c r="G1116" i="8"/>
  <c r="H1116" i="8"/>
  <c r="L1116" i="8"/>
  <c r="C1117" i="8"/>
  <c r="D1117" i="8" s="1"/>
  <c r="E1117" i="8"/>
  <c r="G1117" i="8"/>
  <c r="H1117" i="8"/>
  <c r="L1117" i="8"/>
  <c r="C1118" i="8"/>
  <c r="D1118" i="8" s="1"/>
  <c r="E1118" i="8"/>
  <c r="H1118" i="8"/>
  <c r="L1118" i="8"/>
  <c r="C1119" i="8"/>
  <c r="D1119" i="8"/>
  <c r="E1119" i="8"/>
  <c r="G1119" i="8"/>
  <c r="H1119" i="8"/>
  <c r="L1119" i="8"/>
  <c r="C1120" i="8"/>
  <c r="E1120" i="8"/>
  <c r="G1120" i="8"/>
  <c r="H1120" i="8"/>
  <c r="L1120" i="8"/>
  <c r="C1121" i="8"/>
  <c r="D1121" i="8"/>
  <c r="E1121" i="8"/>
  <c r="G1121" i="8" s="1"/>
  <c r="H1121" i="8"/>
  <c r="L1121" i="8"/>
  <c r="C1122" i="8"/>
  <c r="D1122" i="8" s="1"/>
  <c r="E1122" i="8"/>
  <c r="H1122" i="8"/>
  <c r="L1122" i="8"/>
  <c r="C1123" i="8"/>
  <c r="D1123" i="8" s="1"/>
  <c r="E1123" i="8"/>
  <c r="G1123" i="8" s="1"/>
  <c r="H1123" i="8"/>
  <c r="L1123" i="8"/>
  <c r="C1124" i="8"/>
  <c r="D1124" i="8"/>
  <c r="E1124" i="8"/>
  <c r="G1124" i="8"/>
  <c r="H1124" i="8"/>
  <c r="L1124" i="8"/>
  <c r="C1125" i="8"/>
  <c r="D1125" i="8"/>
  <c r="E1125" i="8"/>
  <c r="G1125" i="8" s="1"/>
  <c r="H1125" i="8"/>
  <c r="L1125" i="8"/>
  <c r="C1126" i="8"/>
  <c r="D1126" i="8" s="1"/>
  <c r="E1126" i="8"/>
  <c r="G1126" i="8"/>
  <c r="H1126" i="8"/>
  <c r="L1126" i="8"/>
  <c r="C1127" i="8"/>
  <c r="D1127" i="8"/>
  <c r="E1127" i="8"/>
  <c r="G1127" i="8"/>
  <c r="H1127" i="8"/>
  <c r="L1127" i="8"/>
  <c r="C1128" i="8"/>
  <c r="D1128" i="8" s="1"/>
  <c r="E1128" i="8"/>
  <c r="H1128" i="8"/>
  <c r="L1128" i="8"/>
  <c r="C1129" i="8"/>
  <c r="E1129" i="8"/>
  <c r="G1129" i="8" s="1"/>
  <c r="H1129" i="8"/>
  <c r="L1129" i="8"/>
  <c r="C1130" i="8"/>
  <c r="D1130" i="8" s="1"/>
  <c r="E1130" i="8"/>
  <c r="G1130" i="8" s="1"/>
  <c r="H1130" i="8"/>
  <c r="L1130" i="8"/>
  <c r="C1131" i="8"/>
  <c r="D1131" i="8" s="1"/>
  <c r="E1131" i="8"/>
  <c r="G1131" i="8"/>
  <c r="H1131" i="8"/>
  <c r="L1131" i="8"/>
  <c r="C1132" i="8"/>
  <c r="D1132" i="8" s="1"/>
  <c r="E1132" i="8"/>
  <c r="G1132" i="8" s="1"/>
  <c r="H1132" i="8"/>
  <c r="L1132" i="8"/>
  <c r="C1133" i="8"/>
  <c r="D1133" i="8"/>
  <c r="E1133" i="8"/>
  <c r="G1133" i="8"/>
  <c r="H1133" i="8"/>
  <c r="L1133" i="8"/>
  <c r="C1134" i="8"/>
  <c r="D1134" i="8"/>
  <c r="E1134" i="8"/>
  <c r="G1134" i="8" s="1"/>
  <c r="H1134" i="8"/>
  <c r="L1134" i="8"/>
  <c r="C1135" i="8"/>
  <c r="D1135" i="8" s="1"/>
  <c r="E1135" i="8"/>
  <c r="H1135" i="8"/>
  <c r="L1135" i="8"/>
  <c r="C1136" i="8"/>
  <c r="D1136" i="8"/>
  <c r="E1136" i="8"/>
  <c r="G1136" i="8"/>
  <c r="H1136" i="8"/>
  <c r="L1136" i="8"/>
  <c r="C1137" i="8"/>
  <c r="D1137" i="8" s="1"/>
  <c r="E1137" i="8"/>
  <c r="G1137" i="8" s="1"/>
  <c r="H1137" i="8"/>
  <c r="L1137" i="8"/>
  <c r="C1138" i="8"/>
  <c r="E1138" i="8"/>
  <c r="G1138" i="8"/>
  <c r="H1138" i="8"/>
  <c r="L1138" i="8"/>
  <c r="C1139" i="8"/>
  <c r="D1139" i="8" s="1"/>
  <c r="E1139" i="8"/>
  <c r="G1139" i="8" s="1"/>
  <c r="H1139" i="8"/>
  <c r="L1139" i="8"/>
  <c r="C1140" i="8"/>
  <c r="D1140" i="8" s="1"/>
  <c r="E1140" i="8"/>
  <c r="G1140" i="8"/>
  <c r="H1140" i="8"/>
  <c r="L1140" i="8"/>
  <c r="C1141" i="8"/>
  <c r="D1141" i="8" s="1"/>
  <c r="E1141" i="8"/>
  <c r="G1141" i="8"/>
  <c r="H1141" i="8"/>
  <c r="L1141" i="8"/>
  <c r="C1142" i="8"/>
  <c r="D1142" i="8" s="1"/>
  <c r="E1142" i="8"/>
  <c r="G1142" i="8"/>
  <c r="H1142" i="8"/>
  <c r="L1142" i="8"/>
  <c r="C1143" i="8"/>
  <c r="E1143" i="8"/>
  <c r="G1143" i="8"/>
  <c r="H1143" i="8"/>
  <c r="L1143" i="8"/>
  <c r="C1144" i="8"/>
  <c r="D1144" i="8" s="1"/>
  <c r="E1144" i="8"/>
  <c r="H1144" i="8"/>
  <c r="L1144" i="8"/>
  <c r="C1145" i="8"/>
  <c r="D1145" i="8"/>
  <c r="E1145" i="8"/>
  <c r="G1145" i="8"/>
  <c r="H1145" i="8"/>
  <c r="L1145" i="8"/>
  <c r="C1146" i="8"/>
  <c r="E1146" i="8"/>
  <c r="G1146" i="8" s="1"/>
  <c r="H1146" i="8"/>
  <c r="L1146" i="8"/>
  <c r="C1147" i="8"/>
  <c r="D1147" i="8" s="1"/>
  <c r="E1147" i="8"/>
  <c r="H1147" i="8"/>
  <c r="L1147" i="8"/>
  <c r="C1148" i="8"/>
  <c r="D1148" i="8" s="1"/>
  <c r="E1148" i="8"/>
  <c r="G1148" i="8" s="1"/>
  <c r="H1148" i="8"/>
  <c r="L1148" i="8"/>
  <c r="C1149" i="8"/>
  <c r="D1149" i="8" s="1"/>
  <c r="E1149" i="8"/>
  <c r="G1149" i="8"/>
  <c r="H1149" i="8"/>
  <c r="L1149" i="8"/>
  <c r="C1150" i="8"/>
  <c r="D1150" i="8" s="1"/>
  <c r="E1150" i="8"/>
  <c r="G1150" i="8"/>
  <c r="H1150" i="8"/>
  <c r="L1150" i="8"/>
  <c r="C1151" i="8"/>
  <c r="D1151" i="8" s="1"/>
  <c r="E1151" i="8"/>
  <c r="G1151" i="8"/>
  <c r="H1151" i="8"/>
  <c r="L1151" i="8"/>
  <c r="C1152" i="8"/>
  <c r="D1152" i="8"/>
  <c r="E1152" i="8"/>
  <c r="H1152" i="8"/>
  <c r="L1152" i="8"/>
  <c r="C1153" i="8"/>
  <c r="D1153" i="8" s="1"/>
  <c r="E1153" i="8"/>
  <c r="G1153" i="8"/>
  <c r="H1153" i="8"/>
  <c r="L1153" i="8"/>
  <c r="C1154" i="8"/>
  <c r="D1154" i="8"/>
  <c r="E1154" i="8"/>
  <c r="H1154" i="8"/>
  <c r="L1154" i="8"/>
  <c r="C1155" i="8"/>
  <c r="D1155" i="8"/>
  <c r="E1155" i="8"/>
  <c r="G1155" i="8"/>
  <c r="H1155" i="8"/>
  <c r="L1155" i="8"/>
  <c r="C1156" i="8"/>
  <c r="D1156" i="8" s="1"/>
  <c r="E1156" i="8"/>
  <c r="G1156" i="8"/>
  <c r="H1156" i="8"/>
  <c r="L1156" i="8"/>
  <c r="C1157" i="8"/>
  <c r="D1157" i="8"/>
  <c r="E1157" i="8"/>
  <c r="H1157" i="8"/>
  <c r="L1157" i="8"/>
  <c r="C1158" i="8"/>
  <c r="D1158" i="8" s="1"/>
  <c r="E1158" i="8"/>
  <c r="H1158" i="8"/>
  <c r="L1158" i="8"/>
  <c r="C1159" i="8"/>
  <c r="D1159" i="8" s="1"/>
  <c r="E1159" i="8"/>
  <c r="G1159" i="8" s="1"/>
  <c r="H1159" i="8"/>
  <c r="L1159" i="8"/>
  <c r="C1160" i="8"/>
  <c r="E1160" i="8"/>
  <c r="G1160" i="8"/>
  <c r="H1160" i="8"/>
  <c r="L1160" i="8"/>
  <c r="C1161" i="8"/>
  <c r="D1161" i="8"/>
  <c r="E1161" i="8"/>
  <c r="G1161" i="8"/>
  <c r="H1161" i="8"/>
  <c r="L1161" i="8"/>
  <c r="C1162" i="8"/>
  <c r="D1162" i="8" s="1"/>
  <c r="E1162" i="8"/>
  <c r="G1162" i="8"/>
  <c r="H1162" i="8"/>
  <c r="L1162" i="8"/>
  <c r="C1163" i="8"/>
  <c r="D1163" i="8"/>
  <c r="E1163" i="8"/>
  <c r="H1163" i="8"/>
  <c r="L1163" i="8"/>
  <c r="C1164" i="8"/>
  <c r="D1164" i="8" s="1"/>
  <c r="E1164" i="8"/>
  <c r="G1164" i="8"/>
  <c r="H1164" i="8"/>
  <c r="L1164" i="8"/>
  <c r="C1165" i="8"/>
  <c r="D1165" i="8" s="1"/>
  <c r="E1165" i="8"/>
  <c r="G1165" i="8"/>
  <c r="H1165" i="8"/>
  <c r="L1165" i="8"/>
  <c r="C1166" i="8"/>
  <c r="D1166" i="8"/>
  <c r="E1166" i="8"/>
  <c r="G1166" i="8" s="1"/>
  <c r="H1166" i="8"/>
  <c r="L1166" i="8"/>
  <c r="C1167" i="8"/>
  <c r="D1167" i="8"/>
  <c r="E1167" i="8"/>
  <c r="G1167" i="8"/>
  <c r="H1167" i="8"/>
  <c r="L1167" i="8"/>
  <c r="C1168" i="8"/>
  <c r="D1168" i="8" s="1"/>
  <c r="E1168" i="8"/>
  <c r="G1168" i="8"/>
  <c r="H1168" i="8"/>
  <c r="L1168" i="8"/>
  <c r="C1169" i="8"/>
  <c r="E1169" i="8"/>
  <c r="G1169" i="8"/>
  <c r="H1169" i="8"/>
  <c r="L1169" i="8"/>
  <c r="C1170" i="8"/>
  <c r="D1170" i="8" s="1"/>
  <c r="E1170" i="8"/>
  <c r="G1170" i="8"/>
  <c r="H1170" i="8"/>
  <c r="L1170" i="8"/>
  <c r="C1171" i="8"/>
  <c r="D1171" i="8" s="1"/>
  <c r="E1171" i="8"/>
  <c r="H1171" i="8"/>
  <c r="L1171" i="8"/>
  <c r="C1172" i="8"/>
  <c r="D1172" i="8"/>
  <c r="E1172" i="8"/>
  <c r="H1172" i="8"/>
  <c r="L1172" i="8"/>
  <c r="C1173" i="8"/>
  <c r="D1173" i="8" s="1"/>
  <c r="E1173" i="8"/>
  <c r="G1173" i="8" s="1"/>
  <c r="H1173" i="8"/>
  <c r="L1173" i="8"/>
  <c r="C1174" i="8"/>
  <c r="D1174" i="8" s="1"/>
  <c r="E1174" i="8"/>
  <c r="G1174" i="8"/>
  <c r="H1174" i="8"/>
  <c r="L1174" i="8"/>
  <c r="C1175" i="8"/>
  <c r="D1175" i="8"/>
  <c r="E1175" i="8"/>
  <c r="G1175" i="8"/>
  <c r="H1175" i="8"/>
  <c r="L1175" i="8"/>
  <c r="C1176" i="8"/>
  <c r="E1176" i="8"/>
  <c r="G1176" i="8"/>
  <c r="H1176" i="8"/>
  <c r="L1176" i="8"/>
  <c r="C1177" i="8"/>
  <c r="D1177" i="8" s="1"/>
  <c r="E1177" i="8"/>
  <c r="G1177" i="8"/>
  <c r="H1177" i="8"/>
  <c r="L1177" i="8"/>
  <c r="C1178" i="8"/>
  <c r="D1178" i="8"/>
  <c r="E1178" i="8"/>
  <c r="H1178" i="8"/>
  <c r="L1178" i="8"/>
  <c r="C1179" i="8"/>
  <c r="D1179" i="8"/>
  <c r="E1179" i="8"/>
  <c r="H1179" i="8"/>
  <c r="L1179" i="8"/>
  <c r="C1180" i="8"/>
  <c r="D1180" i="8" s="1"/>
  <c r="E1180" i="8"/>
  <c r="H1180" i="8"/>
  <c r="L1180" i="8"/>
  <c r="C1181" i="8"/>
  <c r="D1181" i="8" s="1"/>
  <c r="E1181" i="8"/>
  <c r="G1181" i="8"/>
  <c r="H1181" i="8"/>
  <c r="L1181" i="8"/>
  <c r="C1182" i="8"/>
  <c r="D1182" i="8"/>
  <c r="E1182" i="8"/>
  <c r="G1182" i="8" s="1"/>
  <c r="H1182" i="8"/>
  <c r="L1182" i="8"/>
  <c r="C1183" i="8"/>
  <c r="D1183" i="8" s="1"/>
  <c r="E1183" i="8"/>
  <c r="G1183" i="8" s="1"/>
  <c r="H1183" i="8"/>
  <c r="L1183" i="8"/>
  <c r="C1184" i="8"/>
  <c r="D1184" i="8" s="1"/>
  <c r="E1184" i="8"/>
  <c r="G1184" i="8"/>
  <c r="H1184" i="8"/>
  <c r="L1184" i="8"/>
  <c r="C1185" i="8"/>
  <c r="E1185" i="8"/>
  <c r="G1185" i="8"/>
  <c r="H1185" i="8"/>
  <c r="L1185" i="8"/>
  <c r="C1186" i="8"/>
  <c r="D1186" i="8" s="1"/>
  <c r="E1186" i="8"/>
  <c r="G1186" i="8"/>
  <c r="H1186" i="8"/>
  <c r="L1186" i="8"/>
  <c r="C1187" i="8"/>
  <c r="D1187" i="8"/>
  <c r="E1187" i="8"/>
  <c r="H1187" i="8"/>
  <c r="L1187" i="8"/>
  <c r="C1188" i="8"/>
  <c r="D1188" i="8"/>
  <c r="E1188" i="8"/>
  <c r="G1188" i="8"/>
  <c r="H1188" i="8"/>
  <c r="L1188" i="8"/>
  <c r="C1189" i="8"/>
  <c r="D1189" i="8" s="1"/>
  <c r="E1189" i="8"/>
  <c r="H1189" i="8"/>
  <c r="L1189" i="8"/>
  <c r="C1190" i="8"/>
  <c r="D1190" i="8" s="1"/>
  <c r="E1190" i="8"/>
  <c r="H1190" i="8"/>
  <c r="L1190" i="8"/>
  <c r="C1191" i="8"/>
  <c r="D1191" i="8" s="1"/>
  <c r="E1191" i="8"/>
  <c r="H1191" i="8"/>
  <c r="L1191" i="8"/>
  <c r="C1192" i="8"/>
  <c r="D1192" i="8" s="1"/>
  <c r="E1192" i="8"/>
  <c r="G1192" i="8" s="1"/>
  <c r="H1192" i="8"/>
  <c r="L1192" i="8"/>
  <c r="C1193" i="8"/>
  <c r="D1193" i="8"/>
  <c r="E1193" i="8"/>
  <c r="G1193" i="8"/>
  <c r="H1193" i="8"/>
  <c r="L1193" i="8"/>
  <c r="C1194" i="8"/>
  <c r="D1194" i="8" s="1"/>
  <c r="E1194" i="8"/>
  <c r="G1194" i="8" s="1"/>
  <c r="H1194" i="8"/>
  <c r="L1194" i="8"/>
  <c r="C1195" i="8"/>
  <c r="D1195" i="8" s="1"/>
  <c r="E1195" i="8"/>
  <c r="G1195" i="8"/>
  <c r="H1195" i="8"/>
  <c r="L1195" i="8"/>
  <c r="C1196" i="8"/>
  <c r="D1196" i="8"/>
  <c r="E1196" i="8"/>
  <c r="G1196" i="8"/>
  <c r="H1196" i="8"/>
  <c r="L1196" i="8"/>
  <c r="C1197" i="8"/>
  <c r="D1197" i="8"/>
  <c r="E1197" i="8"/>
  <c r="G1197" i="8"/>
  <c r="H1197" i="8"/>
  <c r="L1197" i="8"/>
  <c r="C1198" i="8"/>
  <c r="E1198" i="8"/>
  <c r="H1198" i="8"/>
  <c r="L1198" i="8"/>
  <c r="C1199" i="8"/>
  <c r="D1199" i="8" s="1"/>
  <c r="E1199" i="8"/>
  <c r="G1199" i="8"/>
  <c r="H1199" i="8"/>
  <c r="L1199" i="8"/>
  <c r="C1200" i="8"/>
  <c r="D1200" i="8"/>
  <c r="E1200" i="8"/>
  <c r="H1200" i="8"/>
  <c r="L1200" i="8"/>
  <c r="C1201" i="8"/>
  <c r="D1201" i="8" s="1"/>
  <c r="E1201" i="8"/>
  <c r="H1201" i="8"/>
  <c r="L1201" i="8"/>
  <c r="C1202" i="8"/>
  <c r="D1202" i="8"/>
  <c r="E1202" i="8"/>
  <c r="G1202" i="8"/>
  <c r="H1202" i="8"/>
  <c r="L1202" i="8"/>
  <c r="C1203" i="8"/>
  <c r="D1203" i="8"/>
  <c r="E1203" i="8"/>
  <c r="G1203" i="8" s="1"/>
  <c r="H1203" i="8"/>
  <c r="L1203" i="8"/>
  <c r="C1204" i="8"/>
  <c r="D1204" i="8" s="1"/>
  <c r="E1204" i="8"/>
  <c r="G1204" i="8" s="1"/>
  <c r="H1204" i="8"/>
  <c r="L1204" i="8"/>
  <c r="C1205" i="8"/>
  <c r="D1205" i="8"/>
  <c r="E1205" i="8"/>
  <c r="H1205" i="8"/>
  <c r="L1205" i="8"/>
  <c r="C1206" i="8"/>
  <c r="D1206" i="8" s="1"/>
  <c r="E1206" i="8"/>
  <c r="G1206" i="8"/>
  <c r="H1206" i="8"/>
  <c r="L1206" i="8"/>
  <c r="C1207" i="8"/>
  <c r="D1207" i="8" s="1"/>
  <c r="E1207" i="8"/>
  <c r="G1207" i="8"/>
  <c r="H1207" i="8"/>
  <c r="L1207" i="8"/>
  <c r="C1208" i="8"/>
  <c r="D1208" i="8" s="1"/>
  <c r="E1208" i="8"/>
  <c r="G1208" i="8" s="1"/>
  <c r="H1208" i="8"/>
  <c r="L1208" i="8"/>
  <c r="C1209" i="8"/>
  <c r="D1209" i="8"/>
  <c r="E1209" i="8"/>
  <c r="G1209" i="8"/>
  <c r="H1209" i="8"/>
  <c r="L1209" i="8"/>
  <c r="C1210" i="8"/>
  <c r="D1210" i="8" s="1"/>
  <c r="E1210" i="8"/>
  <c r="G1210" i="8"/>
  <c r="H1210" i="8"/>
  <c r="L1210" i="8"/>
  <c r="C1211" i="8"/>
  <c r="D1211" i="8"/>
  <c r="E1211" i="8"/>
  <c r="G1211" i="8"/>
  <c r="H1211" i="8"/>
  <c r="L1211" i="8"/>
  <c r="C1212" i="8"/>
  <c r="D1212" i="8"/>
  <c r="E1212" i="8"/>
  <c r="H1212" i="8"/>
  <c r="L1212" i="8"/>
  <c r="C1213" i="8"/>
  <c r="D1213" i="8" s="1"/>
  <c r="E1213" i="8"/>
  <c r="H1213" i="8"/>
  <c r="L1213" i="8"/>
  <c r="C1214" i="8"/>
  <c r="D1214" i="8" s="1"/>
  <c r="E1214" i="8"/>
  <c r="H1214" i="8"/>
  <c r="L1214" i="8"/>
  <c r="C1215" i="8"/>
  <c r="D1215" i="8" s="1"/>
  <c r="E1215" i="8"/>
  <c r="G1215" i="8" s="1"/>
  <c r="H1215" i="8"/>
  <c r="L1215" i="8"/>
  <c r="C1216" i="8"/>
  <c r="D1216" i="8" s="1"/>
  <c r="E1216" i="8"/>
  <c r="G1216" i="8" s="1"/>
  <c r="H1216" i="8"/>
  <c r="L1216" i="8"/>
  <c r="C1217" i="8"/>
  <c r="D1217" i="8" s="1"/>
  <c r="E1217" i="8"/>
  <c r="G1217" i="8" s="1"/>
  <c r="H1217" i="8"/>
  <c r="L1217" i="8"/>
  <c r="C1218" i="8"/>
  <c r="D1218" i="8"/>
  <c r="E1218" i="8"/>
  <c r="G1218" i="8"/>
  <c r="H1218" i="8"/>
  <c r="L1218" i="8"/>
  <c r="C1219" i="8"/>
  <c r="D1219" i="8" s="1"/>
  <c r="E1219" i="8"/>
  <c r="G1219" i="8"/>
  <c r="H1219" i="8"/>
  <c r="L1219" i="8"/>
  <c r="C1220" i="8"/>
  <c r="E1220" i="8"/>
  <c r="G1220" i="8"/>
  <c r="H1220" i="8"/>
  <c r="L1220" i="8"/>
  <c r="C1221" i="8"/>
  <c r="D1221" i="8"/>
  <c r="E1221" i="8"/>
  <c r="G1221" i="8"/>
  <c r="H1221" i="8"/>
  <c r="L1221" i="8"/>
  <c r="C1222" i="8"/>
  <c r="D1222" i="8" s="1"/>
  <c r="E1222" i="8"/>
  <c r="H1222" i="8"/>
  <c r="L1222" i="8"/>
  <c r="C1223" i="8"/>
  <c r="D1223" i="8"/>
  <c r="E1223" i="8"/>
  <c r="H1223" i="8"/>
  <c r="L1223" i="8"/>
  <c r="C1224" i="8"/>
  <c r="D1224" i="8" s="1"/>
  <c r="E1224" i="8"/>
  <c r="G1224" i="8"/>
  <c r="H1224" i="8"/>
  <c r="L1224" i="8"/>
  <c r="C1225" i="8"/>
  <c r="D1225" i="8" s="1"/>
  <c r="E1225" i="8"/>
  <c r="G1225" i="8" s="1"/>
  <c r="H1225" i="8"/>
  <c r="L1225" i="8"/>
  <c r="C1226" i="8"/>
  <c r="D1226" i="8"/>
  <c r="E1226" i="8"/>
  <c r="H1226" i="8"/>
  <c r="L1226" i="8"/>
  <c r="C1227" i="8"/>
  <c r="D1227" i="8"/>
  <c r="E1227" i="8"/>
  <c r="G1227" i="8"/>
  <c r="H1227" i="8"/>
  <c r="L1227" i="8"/>
  <c r="C1228" i="8"/>
  <c r="D1228" i="8" s="1"/>
  <c r="E1228" i="8"/>
  <c r="G1228" i="8"/>
  <c r="H1228" i="8"/>
  <c r="L1228" i="8"/>
  <c r="C1229" i="8"/>
  <c r="D1229" i="8"/>
  <c r="E1229" i="8"/>
  <c r="G1229" i="8" s="1"/>
  <c r="H1229" i="8"/>
  <c r="L1229" i="8"/>
  <c r="C1230" i="8"/>
  <c r="D1230" i="8"/>
  <c r="E1230" i="8"/>
  <c r="H1230" i="8"/>
  <c r="L1230" i="8"/>
  <c r="C1231" i="8"/>
  <c r="D1231" i="8" s="1"/>
  <c r="E1231" i="8"/>
  <c r="G1231" i="8"/>
  <c r="H1231" i="8"/>
  <c r="L1231" i="8"/>
  <c r="C1232" i="8"/>
  <c r="E1232" i="8"/>
  <c r="G1232" i="8"/>
  <c r="H1232" i="8"/>
  <c r="L1232" i="8"/>
  <c r="C1233" i="8"/>
  <c r="D1233" i="8" s="1"/>
  <c r="E1233" i="8"/>
  <c r="G1233" i="8" s="1"/>
  <c r="H1233" i="8"/>
  <c r="L1233" i="8"/>
  <c r="C1234" i="8"/>
  <c r="D1234" i="8" s="1"/>
  <c r="E1234" i="8"/>
  <c r="H1234" i="8"/>
  <c r="L1234" i="8"/>
  <c r="C1235" i="8"/>
  <c r="D1235" i="8"/>
  <c r="E1235" i="8"/>
  <c r="G1235" i="8"/>
  <c r="H1235" i="8"/>
  <c r="L1235" i="8"/>
  <c r="C1236" i="8"/>
  <c r="D1236" i="8"/>
  <c r="E1236" i="8"/>
  <c r="G1236" i="8"/>
  <c r="H1236" i="8"/>
  <c r="L1236" i="8"/>
  <c r="C1237" i="8"/>
  <c r="D1237" i="8" s="1"/>
  <c r="E1237" i="8"/>
  <c r="G1237" i="8" s="1"/>
  <c r="H1237" i="8"/>
  <c r="L1237" i="8"/>
  <c r="C1238" i="8"/>
  <c r="D1238" i="8" s="1"/>
  <c r="E1238" i="8"/>
  <c r="H1238" i="8"/>
  <c r="L1238" i="8"/>
  <c r="C1239" i="8"/>
  <c r="D1239" i="8" s="1"/>
  <c r="E1239" i="8"/>
  <c r="H1239" i="8"/>
  <c r="L1239" i="8"/>
  <c r="C1240" i="8"/>
  <c r="D1240" i="8" s="1"/>
  <c r="E1240" i="8"/>
  <c r="G1240" i="8"/>
  <c r="H1240" i="8"/>
  <c r="L1240" i="8"/>
  <c r="C1241" i="8"/>
  <c r="D1241" i="8" s="1"/>
  <c r="E1241" i="8"/>
  <c r="G1241" i="8" s="1"/>
  <c r="H1241" i="8"/>
  <c r="L1241" i="8"/>
  <c r="C1242" i="8"/>
  <c r="D1242" i="8" s="1"/>
  <c r="E1242" i="8"/>
  <c r="G1242" i="8" s="1"/>
  <c r="H1242" i="8"/>
  <c r="L1242" i="8"/>
  <c r="C1243" i="8"/>
  <c r="D1243" i="8" s="1"/>
  <c r="E1243" i="8"/>
  <c r="G1243" i="8"/>
  <c r="H1243" i="8"/>
  <c r="L1243" i="8"/>
  <c r="C1244" i="8"/>
  <c r="D1244" i="8" s="1"/>
  <c r="E1244" i="8"/>
  <c r="G1244" i="8"/>
  <c r="H1244" i="8"/>
  <c r="L1244" i="8"/>
  <c r="C1245" i="8"/>
  <c r="E1245" i="8"/>
  <c r="G1245" i="8"/>
  <c r="H1245" i="8"/>
  <c r="L1245" i="8"/>
  <c r="C1246" i="8"/>
  <c r="D1246" i="8" s="1"/>
  <c r="E1246" i="8"/>
  <c r="G1246" i="8"/>
  <c r="H1246" i="8"/>
  <c r="L1246" i="8"/>
  <c r="C1247" i="8"/>
  <c r="D1247" i="8"/>
  <c r="E1247" i="8"/>
  <c r="H1247" i="8"/>
  <c r="L1247" i="8"/>
  <c r="C1248" i="8"/>
  <c r="D1248" i="8"/>
  <c r="E1248" i="8"/>
  <c r="H1248" i="8"/>
  <c r="L1248" i="8"/>
  <c r="C1249" i="8"/>
  <c r="D1249" i="8" s="1"/>
  <c r="E1249" i="8"/>
  <c r="G1249" i="8"/>
  <c r="H1249" i="8"/>
  <c r="L1249" i="8"/>
  <c r="C1250" i="8"/>
  <c r="D1250" i="8"/>
  <c r="E1250" i="8"/>
  <c r="H1250" i="8"/>
  <c r="L1250" i="8"/>
  <c r="C1251" i="8"/>
  <c r="D1251" i="8"/>
  <c r="E1251" i="8"/>
  <c r="H1251" i="8"/>
  <c r="L1251" i="8"/>
  <c r="C1252" i="8"/>
  <c r="D1252" i="8" s="1"/>
  <c r="E1252" i="8"/>
  <c r="H1252" i="8"/>
  <c r="L1252" i="8"/>
  <c r="C1253" i="8"/>
  <c r="E1253" i="8"/>
  <c r="G1253" i="8"/>
  <c r="H1253" i="8"/>
  <c r="L1253" i="8"/>
  <c r="C1254" i="8"/>
  <c r="D1254" i="8"/>
  <c r="E1254" i="8"/>
  <c r="G1254" i="8" s="1"/>
  <c r="H1254" i="8"/>
  <c r="L1254" i="8"/>
  <c r="C1255" i="8"/>
  <c r="D1255" i="8" s="1"/>
  <c r="E1255" i="8"/>
  <c r="G1255" i="8" s="1"/>
  <c r="H1255" i="8"/>
  <c r="L1255" i="8"/>
  <c r="C1256" i="8"/>
  <c r="D1256" i="8" s="1"/>
  <c r="E1256" i="8"/>
  <c r="G1256" i="8"/>
  <c r="H1256" i="8"/>
  <c r="L1256" i="8"/>
  <c r="C1257" i="8"/>
  <c r="E1257" i="8"/>
  <c r="G1257" i="8"/>
  <c r="H1257" i="8"/>
  <c r="C1258" i="8"/>
  <c r="D1258" i="8"/>
  <c r="E1258" i="8"/>
  <c r="G1258" i="8"/>
  <c r="H1258" i="8"/>
  <c r="C2" i="7"/>
  <c r="D2" i="7" s="1"/>
  <c r="E2" i="7"/>
  <c r="G2" i="7" s="1" a="1"/>
  <c r="G2" i="7" s="1"/>
  <c r="F2" i="7"/>
  <c r="H2" i="7"/>
  <c r="L2" i="7"/>
  <c r="C3" i="7"/>
  <c r="D3" i="7"/>
  <c r="E3" i="7"/>
  <c r="F3" i="7"/>
  <c r="G3" i="7" a="1"/>
  <c r="G3" i="7" s="1"/>
  <c r="H3" i="7"/>
  <c r="L3" i="7"/>
  <c r="C4" i="7"/>
  <c r="E4" i="7"/>
  <c r="F4" i="7"/>
  <c r="G4" i="7" a="1"/>
  <c r="G4" i="7" s="1"/>
  <c r="H4" i="7"/>
  <c r="L4" i="7"/>
  <c r="C5" i="7"/>
  <c r="D5" i="7"/>
  <c r="E5" i="7"/>
  <c r="F5" i="7"/>
  <c r="G5" i="7" a="1"/>
  <c r="G5" i="7"/>
  <c r="H5" i="7"/>
  <c r="L5" i="7"/>
  <c r="C6" i="7"/>
  <c r="D6" i="7"/>
  <c r="E6" i="7"/>
  <c r="G6" i="7" s="1" a="1"/>
  <c r="G6" i="7" s="1"/>
  <c r="F6" i="7"/>
  <c r="H6" i="7"/>
  <c r="L6" i="7"/>
  <c r="C7" i="7"/>
  <c r="D7" i="7"/>
  <c r="E7" i="7"/>
  <c r="H7" i="7"/>
  <c r="L7" i="7"/>
  <c r="C8" i="7"/>
  <c r="D8" i="7"/>
  <c r="E8" i="7"/>
  <c r="G8" i="7" s="1" a="1"/>
  <c r="G8" i="7" s="1"/>
  <c r="H8" i="7"/>
  <c r="L8" i="7"/>
  <c r="C9" i="7"/>
  <c r="D9" i="7"/>
  <c r="E9" i="7"/>
  <c r="G9" i="7" s="1" a="1"/>
  <c r="G9" i="7" s="1"/>
  <c r="H9" i="7"/>
  <c r="L9" i="7"/>
  <c r="C10" i="7"/>
  <c r="E10" i="7"/>
  <c r="G10" i="7" a="1"/>
  <c r="G10" i="7"/>
  <c r="H10" i="7"/>
  <c r="L10" i="7"/>
  <c r="C11" i="7"/>
  <c r="E11" i="7"/>
  <c r="G11" i="7" a="1"/>
  <c r="G11" i="7" s="1"/>
  <c r="H11" i="7"/>
  <c r="L11" i="7"/>
  <c r="C12" i="7"/>
  <c r="D12" i="7" s="1"/>
  <c r="E12" i="7"/>
  <c r="G12" i="7" a="1"/>
  <c r="G12" i="7" s="1"/>
  <c r="H12" i="7"/>
  <c r="L12" i="7"/>
  <c r="C13" i="7"/>
  <c r="D13" i="7"/>
  <c r="E13" i="7"/>
  <c r="G13" i="7" a="1"/>
  <c r="G13" i="7" s="1"/>
  <c r="H13" i="7"/>
  <c r="L13" i="7"/>
  <c r="C14" i="7"/>
  <c r="D14" i="7" s="1"/>
  <c r="E14" i="7"/>
  <c r="H14" i="7"/>
  <c r="L14" i="7"/>
  <c r="C15" i="7"/>
  <c r="D15" i="7" s="1"/>
  <c r="E15" i="7"/>
  <c r="H15" i="7"/>
  <c r="L15" i="7"/>
  <c r="C16" i="7"/>
  <c r="D16" i="7"/>
  <c r="E16" i="7"/>
  <c r="H16" i="7"/>
  <c r="L16" i="7"/>
  <c r="C17" i="7"/>
  <c r="E17" i="7"/>
  <c r="G17" i="7" s="1" a="1"/>
  <c r="F17" i="7"/>
  <c r="F18" i="7" s="1"/>
  <c r="F19" i="7" s="1"/>
  <c r="G17" i="7"/>
  <c r="H17" i="7"/>
  <c r="L17" i="7"/>
  <c r="C18" i="7"/>
  <c r="E18" i="7"/>
  <c r="G18" i="7" s="1" a="1"/>
  <c r="G18" i="7" s="1"/>
  <c r="H18" i="7"/>
  <c r="L18" i="7"/>
  <c r="C19" i="7"/>
  <c r="E19" i="7"/>
  <c r="G19" i="7" a="1"/>
  <c r="G19" i="7" s="1"/>
  <c r="H19" i="7"/>
  <c r="L19" i="7"/>
  <c r="C20" i="7"/>
  <c r="D20" i="7" s="1"/>
  <c r="E20" i="7"/>
  <c r="G20" i="7" s="1" a="1"/>
  <c r="G20" i="7" s="1"/>
  <c r="H20" i="7"/>
  <c r="L20" i="7"/>
  <c r="C21" i="7"/>
  <c r="D21" i="7"/>
  <c r="E21" i="7"/>
  <c r="G21" i="7" a="1"/>
  <c r="G21" i="7" s="1"/>
  <c r="H21" i="7"/>
  <c r="L21" i="7"/>
  <c r="C22" i="7"/>
  <c r="D22" i="7"/>
  <c r="E22" i="7"/>
  <c r="H22" i="7"/>
  <c r="L22" i="7"/>
  <c r="C23" i="7"/>
  <c r="D23" i="7"/>
  <c r="E23" i="7"/>
  <c r="H23" i="7"/>
  <c r="L23" i="7"/>
  <c r="C24" i="7"/>
  <c r="D24" i="7"/>
  <c r="E24" i="7"/>
  <c r="G24" i="7" a="1"/>
  <c r="G24" i="7" s="1"/>
  <c r="H24" i="7"/>
  <c r="L24" i="7"/>
  <c r="C25" i="7"/>
  <c r="D25" i="7" s="1"/>
  <c r="E25" i="7"/>
  <c r="G25" i="7" s="1" a="1"/>
  <c r="G25" i="7" s="1"/>
  <c r="H25" i="7"/>
  <c r="L25" i="7"/>
  <c r="C26" i="7"/>
  <c r="D26" i="7" s="1"/>
  <c r="E26" i="7"/>
  <c r="G26" i="7" s="1" a="1"/>
  <c r="G26" i="7" s="1"/>
  <c r="H26" i="7"/>
  <c r="L26" i="7"/>
  <c r="C27" i="7"/>
  <c r="D27" i="7" s="1"/>
  <c r="E27" i="7"/>
  <c r="G27" i="7" s="1" a="1"/>
  <c r="G27" i="7" s="1"/>
  <c r="F27" i="7"/>
  <c r="H27" i="7"/>
  <c r="L27" i="7"/>
  <c r="C28" i="7"/>
  <c r="D28" i="7" s="1"/>
  <c r="E28" i="7"/>
  <c r="H28" i="7"/>
  <c r="L28" i="7"/>
  <c r="C29" i="7"/>
  <c r="D29" i="7"/>
  <c r="E29" i="7"/>
  <c r="G29" i="7" a="1"/>
  <c r="G29" i="7" s="1"/>
  <c r="H29" i="7"/>
  <c r="L29" i="7"/>
  <c r="C30" i="7"/>
  <c r="D30" i="7"/>
  <c r="E30" i="7"/>
  <c r="G30" i="7" a="1"/>
  <c r="G30" i="7"/>
  <c r="H30" i="7"/>
  <c r="L30" i="7"/>
  <c r="C31" i="7"/>
  <c r="E31" i="7"/>
  <c r="G31" i="7" a="1"/>
  <c r="G31" i="7" s="1"/>
  <c r="H31" i="7"/>
  <c r="L31" i="7"/>
  <c r="C32" i="7"/>
  <c r="D32" i="7"/>
  <c r="E32" i="7"/>
  <c r="H32" i="7"/>
  <c r="L32" i="7"/>
  <c r="C33" i="7"/>
  <c r="D33" i="7"/>
  <c r="E33" i="7"/>
  <c r="G33" i="7" s="1" a="1"/>
  <c r="G33" i="7" s="1"/>
  <c r="H33" i="7"/>
  <c r="L33" i="7"/>
  <c r="C34" i="7"/>
  <c r="D34" i="7"/>
  <c r="E34" i="7"/>
  <c r="H34" i="7"/>
  <c r="L34" i="7"/>
  <c r="C35" i="7"/>
  <c r="E35" i="7"/>
  <c r="G35" i="7" a="1"/>
  <c r="G35" i="7"/>
  <c r="H35" i="7"/>
  <c r="L35" i="7"/>
  <c r="C36" i="7"/>
  <c r="E36" i="7"/>
  <c r="H36" i="7"/>
  <c r="L36" i="7"/>
  <c r="C37" i="7"/>
  <c r="D37" i="7" s="1"/>
  <c r="E37" i="7"/>
  <c r="G37" i="7" a="1"/>
  <c r="G37" i="7" s="1"/>
  <c r="H37" i="7"/>
  <c r="L37" i="7"/>
  <c r="C38" i="7"/>
  <c r="D38" i="7"/>
  <c r="E38" i="7"/>
  <c r="G38" i="7" a="1"/>
  <c r="G38" i="7" s="1"/>
  <c r="H38" i="7"/>
  <c r="L38" i="7"/>
  <c r="C39" i="7"/>
  <c r="D39" i="7" s="1"/>
  <c r="E39" i="7"/>
  <c r="G39" i="7" s="1" a="1"/>
  <c r="G39" i="7" s="1"/>
  <c r="H39" i="7"/>
  <c r="L39" i="7"/>
  <c r="C40" i="7"/>
  <c r="D40" i="7" s="1"/>
  <c r="E40" i="7"/>
  <c r="H40" i="7"/>
  <c r="L40" i="7"/>
  <c r="C41" i="7"/>
  <c r="D41" i="7"/>
  <c r="E41" i="7"/>
  <c r="H41" i="7"/>
  <c r="L41" i="7"/>
  <c r="C42" i="7"/>
  <c r="D42" i="7"/>
  <c r="E42" i="7"/>
  <c r="G42" i="7" a="1"/>
  <c r="G42" i="7"/>
  <c r="H42" i="7"/>
  <c r="L42" i="7"/>
  <c r="C43" i="7"/>
  <c r="E43" i="7"/>
  <c r="G43" i="7" s="1" a="1"/>
  <c r="G43" i="7" s="1"/>
  <c r="H43" i="7"/>
  <c r="L43" i="7"/>
  <c r="C44" i="7"/>
  <c r="E44" i="7"/>
  <c r="G44" i="7" a="1"/>
  <c r="G44" i="7" s="1"/>
  <c r="H44" i="7"/>
  <c r="L44" i="7"/>
  <c r="C45" i="7"/>
  <c r="D45" i="7"/>
  <c r="E45" i="7"/>
  <c r="G45" i="7" s="1" a="1"/>
  <c r="G45" i="7" s="1"/>
  <c r="H45" i="7"/>
  <c r="L45" i="7"/>
  <c r="C46" i="7"/>
  <c r="D46" i="7"/>
  <c r="E46" i="7"/>
  <c r="G46" i="7" a="1"/>
  <c r="G46" i="7" s="1"/>
  <c r="H46" i="7"/>
  <c r="L46" i="7"/>
  <c r="C47" i="7"/>
  <c r="D47" i="7"/>
  <c r="E47" i="7"/>
  <c r="G47" i="7" s="1" a="1"/>
  <c r="G47" i="7" s="1"/>
  <c r="H47" i="7"/>
  <c r="L47" i="7"/>
  <c r="C48" i="7"/>
  <c r="D48" i="7" s="1"/>
  <c r="E48" i="7"/>
  <c r="H48" i="7"/>
  <c r="L48" i="7"/>
  <c r="C49" i="7"/>
  <c r="D49" i="7"/>
  <c r="E49" i="7"/>
  <c r="H49" i="7"/>
  <c r="L49" i="7"/>
  <c r="C50" i="7"/>
  <c r="D50" i="7"/>
  <c r="E50" i="7"/>
  <c r="G50" i="7" a="1"/>
  <c r="G50" i="7" s="1"/>
  <c r="H50" i="7"/>
  <c r="L50" i="7"/>
  <c r="C51" i="7"/>
  <c r="E51" i="7"/>
  <c r="G51" i="7" s="1" a="1"/>
  <c r="G51" i="7" s="1"/>
  <c r="H51" i="7"/>
  <c r="L51" i="7"/>
  <c r="C52" i="7"/>
  <c r="D52" i="7" s="1"/>
  <c r="E52" i="7"/>
  <c r="G52" i="7" a="1"/>
  <c r="G52" i="7" s="1"/>
  <c r="H52" i="7"/>
  <c r="L52" i="7"/>
  <c r="C53" i="7"/>
  <c r="D53" i="7" s="1"/>
  <c r="E53" i="7"/>
  <c r="G53" i="7" s="1" a="1"/>
  <c r="G53" i="7" s="1"/>
  <c r="H53" i="7"/>
  <c r="L53" i="7"/>
  <c r="C54" i="7"/>
  <c r="D54" i="7"/>
  <c r="E54" i="7"/>
  <c r="G54" i="7" a="1"/>
  <c r="G54" i="7" s="1"/>
  <c r="H54" i="7"/>
  <c r="L54" i="7"/>
  <c r="C55" i="7"/>
  <c r="D55" i="7"/>
  <c r="E55" i="7"/>
  <c r="H55" i="7"/>
  <c r="L55" i="7"/>
  <c r="C56" i="7"/>
  <c r="E56" i="7"/>
  <c r="G56" i="7" a="1"/>
  <c r="G56" i="7"/>
  <c r="H56" i="7"/>
  <c r="L56" i="7"/>
  <c r="C57" i="7"/>
  <c r="D57" i="7"/>
  <c r="E57" i="7"/>
  <c r="H57" i="7"/>
  <c r="L57" i="7"/>
  <c r="C58" i="7"/>
  <c r="D58" i="7" s="1"/>
  <c r="E58" i="7"/>
  <c r="G58" i="7" a="1"/>
  <c r="G58" i="7" s="1"/>
  <c r="H58" i="7"/>
  <c r="L58" i="7"/>
  <c r="C59" i="7"/>
  <c r="D59" i="7"/>
  <c r="E59" i="7"/>
  <c r="G59" i="7" s="1" a="1"/>
  <c r="G59" i="7" s="1"/>
  <c r="H59" i="7"/>
  <c r="L59" i="7"/>
  <c r="C60" i="7"/>
  <c r="D60" i="7" s="1"/>
  <c r="E60" i="7"/>
  <c r="G60" i="7" a="1"/>
  <c r="G60" i="7" s="1"/>
  <c r="H60" i="7"/>
  <c r="L60" i="7"/>
  <c r="C61" i="7"/>
  <c r="D61" i="7"/>
  <c r="E61" i="7"/>
  <c r="H61" i="7"/>
  <c r="L61" i="7"/>
  <c r="C62" i="7"/>
  <c r="E62" i="7"/>
  <c r="G62" i="7" a="1"/>
  <c r="G62" i="7" s="1"/>
  <c r="H62" i="7"/>
  <c r="L62" i="7"/>
  <c r="C63" i="7"/>
  <c r="D63" i="7"/>
  <c r="E63" i="7"/>
  <c r="H63" i="7"/>
  <c r="L63" i="7"/>
  <c r="C64" i="7"/>
  <c r="D64" i="7" s="1"/>
  <c r="E64" i="7"/>
  <c r="G64" i="7" s="1" a="1"/>
  <c r="G64" i="7" s="1"/>
  <c r="H64" i="7"/>
  <c r="L64" i="7"/>
  <c r="C65" i="7"/>
  <c r="D65" i="7" s="1"/>
  <c r="E65" i="7"/>
  <c r="H65" i="7"/>
  <c r="L65" i="7"/>
  <c r="C66" i="7"/>
  <c r="D66" i="7" s="1"/>
  <c r="E66" i="7"/>
  <c r="G66" i="7" s="1" a="1"/>
  <c r="G66" i="7" s="1"/>
  <c r="H66" i="7"/>
  <c r="L66" i="7"/>
  <c r="C67" i="7"/>
  <c r="D67" i="7"/>
  <c r="E67" i="7"/>
  <c r="G67" i="7" a="1"/>
  <c r="G67" i="7" s="1"/>
  <c r="H67" i="7"/>
  <c r="L67" i="7"/>
  <c r="C68" i="7"/>
  <c r="D68" i="7" s="1"/>
  <c r="E68" i="7"/>
  <c r="G68" i="7" a="1"/>
  <c r="G68" i="7" s="1"/>
  <c r="H68" i="7"/>
  <c r="L68" i="7"/>
  <c r="C69" i="7"/>
  <c r="D69" i="7"/>
  <c r="E69" i="7"/>
  <c r="G69" i="7" a="1"/>
  <c r="G69" i="7"/>
  <c r="H69" i="7"/>
  <c r="L69" i="7"/>
  <c r="C70" i="7"/>
  <c r="D70" i="7"/>
  <c r="E70" i="7"/>
  <c r="G70" i="7" s="1" a="1"/>
  <c r="G70" i="7" s="1"/>
  <c r="H70" i="7"/>
  <c r="L70" i="7"/>
  <c r="C71" i="7"/>
  <c r="D71" i="7"/>
  <c r="E71" i="7"/>
  <c r="H71" i="7"/>
  <c r="L71" i="7"/>
  <c r="C72" i="7"/>
  <c r="D72" i="7"/>
  <c r="E72" i="7"/>
  <c r="G72" i="7" a="1"/>
  <c r="G72" i="7" s="1"/>
  <c r="H72" i="7"/>
  <c r="L72" i="7"/>
  <c r="C73" i="7"/>
  <c r="E73" i="7"/>
  <c r="H73" i="7"/>
  <c r="L73" i="7"/>
  <c r="C74" i="7"/>
  <c r="D74" i="7"/>
  <c r="E74" i="7"/>
  <c r="H74" i="7"/>
  <c r="L74" i="7"/>
  <c r="C75" i="7"/>
  <c r="D75" i="7" s="1"/>
  <c r="E75" i="7"/>
  <c r="G75" i="7" s="1" a="1"/>
  <c r="G75" i="7"/>
  <c r="H75" i="7"/>
  <c r="L75" i="7"/>
  <c r="C76" i="7"/>
  <c r="D76" i="7"/>
  <c r="E76" i="7"/>
  <c r="H76" i="7"/>
  <c r="L76" i="7"/>
  <c r="C77" i="7"/>
  <c r="D77" i="7"/>
  <c r="E77" i="7"/>
  <c r="H77" i="7"/>
  <c r="L77" i="7"/>
  <c r="C78" i="7"/>
  <c r="E78" i="7"/>
  <c r="G78" i="7" a="1"/>
  <c r="G78" i="7" s="1"/>
  <c r="H78" i="7"/>
  <c r="L78" i="7"/>
  <c r="C79" i="7"/>
  <c r="D79" i="7"/>
  <c r="E79" i="7"/>
  <c r="H79" i="7"/>
  <c r="L79" i="7"/>
  <c r="C80" i="7"/>
  <c r="D80" i="7"/>
  <c r="E80" i="7"/>
  <c r="G80" i="7" a="1"/>
  <c r="G80" i="7" s="1"/>
  <c r="H80" i="7"/>
  <c r="L80" i="7"/>
  <c r="C81" i="7"/>
  <c r="E81" i="7"/>
  <c r="H81" i="7"/>
  <c r="L81" i="7"/>
  <c r="C82" i="7"/>
  <c r="D82" i="7"/>
  <c r="E82" i="7"/>
  <c r="G82" i="7" a="1"/>
  <c r="G82" i="7"/>
  <c r="H82" i="7"/>
  <c r="L82" i="7"/>
  <c r="C83" i="7"/>
  <c r="E83" i="7"/>
  <c r="G83" i="7" s="1" a="1"/>
  <c r="G83" i="7" s="1"/>
  <c r="H83" i="7"/>
  <c r="L83" i="7"/>
  <c r="C84" i="7"/>
  <c r="D84" i="7" s="1"/>
  <c r="E84" i="7"/>
  <c r="H84" i="7"/>
  <c r="L84" i="7"/>
  <c r="C85" i="7"/>
  <c r="D85" i="7"/>
  <c r="E85" i="7"/>
  <c r="H85" i="7"/>
  <c r="L85" i="7"/>
  <c r="C86" i="7"/>
  <c r="E86" i="7"/>
  <c r="G86" i="7" a="1"/>
  <c r="G86" i="7" s="1"/>
  <c r="H86" i="7"/>
  <c r="L86" i="7"/>
  <c r="C87" i="7"/>
  <c r="D87" i="7"/>
  <c r="E87" i="7"/>
  <c r="H87" i="7"/>
  <c r="L87" i="7"/>
  <c r="C88" i="7"/>
  <c r="D88" i="7"/>
  <c r="E88" i="7"/>
  <c r="G88" i="7" a="1"/>
  <c r="G88" i="7" s="1"/>
  <c r="H88" i="7"/>
  <c r="L88" i="7"/>
  <c r="C89" i="7"/>
  <c r="D89" i="7" s="1"/>
  <c r="E89" i="7"/>
  <c r="G89" i="7" s="1" a="1"/>
  <c r="G89" i="7"/>
  <c r="H89" i="7"/>
  <c r="L89" i="7"/>
  <c r="C90" i="7"/>
  <c r="D90" i="7"/>
  <c r="E90" i="7"/>
  <c r="H90" i="7"/>
  <c r="L90" i="7"/>
  <c r="C91" i="7"/>
  <c r="D91" i="7" s="1"/>
  <c r="E91" i="7"/>
  <c r="G91" i="7" s="1" a="1"/>
  <c r="G91" i="7" s="1"/>
  <c r="H91" i="7"/>
  <c r="L91" i="7"/>
  <c r="C92" i="7"/>
  <c r="E92" i="7"/>
  <c r="H92" i="7"/>
  <c r="L92" i="7"/>
  <c r="C93" i="7"/>
  <c r="E93" i="7"/>
  <c r="H93" i="7"/>
  <c r="L93" i="7"/>
  <c r="C94" i="7"/>
  <c r="E94" i="7"/>
  <c r="G94" i="7" a="1"/>
  <c r="G94" i="7" s="1"/>
  <c r="H94" i="7"/>
  <c r="L94" i="7"/>
  <c r="C95" i="7"/>
  <c r="D95" i="7" s="1"/>
  <c r="E95" i="7"/>
  <c r="G95" i="7" a="1"/>
  <c r="G95" i="7" s="1"/>
  <c r="H95" i="7"/>
  <c r="L95" i="7"/>
  <c r="C96" i="7"/>
  <c r="E96" i="7"/>
  <c r="G96" i="7" s="1" a="1"/>
  <c r="G96" i="7" s="1"/>
  <c r="H96" i="7"/>
  <c r="L96" i="7"/>
  <c r="C97" i="7"/>
  <c r="D97" i="7"/>
  <c r="E97" i="7"/>
  <c r="G97" i="7" s="1" a="1"/>
  <c r="G97" i="7"/>
  <c r="H97" i="7"/>
  <c r="L97" i="7"/>
  <c r="C98" i="7"/>
  <c r="D98" i="7"/>
  <c r="E98" i="7"/>
  <c r="H98" i="7"/>
  <c r="L98" i="7"/>
  <c r="C99" i="7"/>
  <c r="D99" i="7" s="1"/>
  <c r="E99" i="7"/>
  <c r="G99" i="7" s="1" a="1"/>
  <c r="G99" i="7"/>
  <c r="H99" i="7"/>
  <c r="L99" i="7"/>
  <c r="C100" i="7"/>
  <c r="D100" i="7" s="1"/>
  <c r="E100" i="7"/>
  <c r="G100" i="7" s="1" a="1"/>
  <c r="G100" i="7" s="1"/>
  <c r="H100" i="7"/>
  <c r="L100" i="7"/>
  <c r="C101" i="7"/>
  <c r="D101" i="7"/>
  <c r="E101" i="7"/>
  <c r="G101" i="7" s="1" a="1"/>
  <c r="G101" i="7"/>
  <c r="H101" i="7"/>
  <c r="L101" i="7"/>
  <c r="C102" i="7"/>
  <c r="E102" i="7"/>
  <c r="H102" i="7"/>
  <c r="L102" i="7"/>
  <c r="C103" i="7"/>
  <c r="D103" i="7" s="1"/>
  <c r="E103" i="7"/>
  <c r="H103" i="7"/>
  <c r="L103" i="7"/>
  <c r="C104" i="7"/>
  <c r="E104" i="7"/>
  <c r="G104" i="7" s="1" a="1"/>
  <c r="G104" i="7" s="1"/>
  <c r="H104" i="7"/>
  <c r="L104" i="7"/>
  <c r="C105" i="7"/>
  <c r="D105" i="7" s="1"/>
  <c r="E105" i="7"/>
  <c r="G105" i="7" s="1" a="1"/>
  <c r="G105" i="7" s="1"/>
  <c r="H105" i="7"/>
  <c r="L105" i="7"/>
  <c r="C106" i="7"/>
  <c r="D106" i="7"/>
  <c r="E106" i="7"/>
  <c r="G106" i="7" a="1"/>
  <c r="G106" i="7" s="1"/>
  <c r="H106" i="7"/>
  <c r="L106" i="7"/>
  <c r="C107" i="7"/>
  <c r="D107" i="7" s="1"/>
  <c r="E107" i="7"/>
  <c r="G107" i="7" s="1" a="1"/>
  <c r="G107" i="7"/>
  <c r="H107" i="7"/>
  <c r="L107" i="7"/>
  <c r="C108" i="7"/>
  <c r="D108" i="7" s="1"/>
  <c r="E108" i="7"/>
  <c r="G108" i="7" s="1" a="1"/>
  <c r="G108" i="7"/>
  <c r="H108" i="7"/>
  <c r="L108" i="7"/>
  <c r="C109" i="7"/>
  <c r="D109" i="7"/>
  <c r="E109" i="7"/>
  <c r="G109" i="7" s="1" a="1"/>
  <c r="G109" i="7" s="1"/>
  <c r="H109" i="7"/>
  <c r="L109" i="7"/>
  <c r="C110" i="7"/>
  <c r="E110" i="7"/>
  <c r="H110" i="7"/>
  <c r="L110" i="7"/>
  <c r="C111" i="7"/>
  <c r="D111" i="7" s="1"/>
  <c r="E111" i="7"/>
  <c r="H111" i="7"/>
  <c r="L111" i="7"/>
  <c r="C112" i="7"/>
  <c r="E112" i="7"/>
  <c r="G112" i="7" a="1"/>
  <c r="G112" i="7" s="1"/>
  <c r="H112" i="7"/>
  <c r="L112" i="7"/>
  <c r="C113" i="7"/>
  <c r="E113" i="7"/>
  <c r="G113" i="7" s="1" a="1"/>
  <c r="G113" i="7" s="1"/>
  <c r="H113" i="7"/>
  <c r="L113" i="7"/>
  <c r="C114" i="7"/>
  <c r="D114" i="7"/>
  <c r="E114" i="7"/>
  <c r="G114" i="7" a="1"/>
  <c r="G114" i="7" s="1"/>
  <c r="H114" i="7"/>
  <c r="L114" i="7"/>
  <c r="C115" i="7"/>
  <c r="D115" i="7"/>
  <c r="E115" i="7"/>
  <c r="G115" i="7" s="1" a="1"/>
  <c r="G115" i="7" s="1"/>
  <c r="H115" i="7"/>
  <c r="L115" i="7"/>
  <c r="C116" i="7"/>
  <c r="E116" i="7"/>
  <c r="G116" i="7" s="1" a="1"/>
  <c r="G116" i="7"/>
  <c r="H116" i="7"/>
  <c r="L116" i="7"/>
  <c r="C117" i="7"/>
  <c r="D117" i="7"/>
  <c r="E117" i="7"/>
  <c r="G117" i="7" a="1"/>
  <c r="G117" i="7" s="1"/>
  <c r="H117" i="7"/>
  <c r="L117" i="7"/>
  <c r="C118" i="7"/>
  <c r="E118" i="7"/>
  <c r="H118" i="7"/>
  <c r="L118" i="7"/>
  <c r="C119" i="7"/>
  <c r="D119" i="7" s="1"/>
  <c r="E119" i="7"/>
  <c r="H119" i="7"/>
  <c r="L119" i="7"/>
  <c r="C120" i="7"/>
  <c r="D120" i="7"/>
  <c r="E120" i="7"/>
  <c r="G120" i="7" a="1"/>
  <c r="G120" i="7" s="1"/>
  <c r="H120" i="7"/>
  <c r="L120" i="7"/>
  <c r="C121" i="7"/>
  <c r="D121" i="7"/>
  <c r="E121" i="7"/>
  <c r="G121" i="7" s="1" a="1"/>
  <c r="G121" i="7"/>
  <c r="H121" i="7"/>
  <c r="L121" i="7"/>
  <c r="C122" i="7"/>
  <c r="E122" i="7"/>
  <c r="G122" i="7" a="1"/>
  <c r="G122" i="7" s="1"/>
  <c r="H122" i="7"/>
  <c r="L122" i="7"/>
  <c r="C123" i="7"/>
  <c r="D123" i="7" s="1"/>
  <c r="E123" i="7"/>
  <c r="G123" i="7" s="1" a="1"/>
  <c r="G123" i="7" s="1"/>
  <c r="H123" i="7"/>
  <c r="L123" i="7"/>
  <c r="C124" i="7"/>
  <c r="D124" i="7" s="1"/>
  <c r="E124" i="7"/>
  <c r="H124" i="7"/>
  <c r="L124" i="7"/>
  <c r="C125" i="7"/>
  <c r="E125" i="7"/>
  <c r="H125" i="7"/>
  <c r="L125" i="7"/>
  <c r="C126" i="7"/>
  <c r="E126" i="7"/>
  <c r="G126" i="7" s="1" a="1"/>
  <c r="G126" i="7"/>
  <c r="H126" i="7"/>
  <c r="L126" i="7"/>
  <c r="C127" i="7"/>
  <c r="D127" i="7"/>
  <c r="E127" i="7"/>
  <c r="G127" i="7" a="1"/>
  <c r="G127" i="7"/>
  <c r="H127" i="7"/>
  <c r="L127" i="7"/>
  <c r="C128" i="7"/>
  <c r="D128" i="7"/>
  <c r="E128" i="7"/>
  <c r="G128" i="7" a="1"/>
  <c r="G128" i="7" s="1"/>
  <c r="H128" i="7"/>
  <c r="L128" i="7"/>
  <c r="C129" i="7"/>
  <c r="D129" i="7" s="1"/>
  <c r="E129" i="7"/>
  <c r="G129" i="7" s="1" a="1"/>
  <c r="G129" i="7" s="1"/>
  <c r="H129" i="7"/>
  <c r="L129" i="7"/>
  <c r="C130" i="7"/>
  <c r="D130" i="7"/>
  <c r="E130" i="7"/>
  <c r="G130" i="7" a="1"/>
  <c r="G130" i="7"/>
  <c r="H130" i="7"/>
  <c r="L130" i="7"/>
  <c r="C131" i="7"/>
  <c r="D131" i="7"/>
  <c r="E131" i="7"/>
  <c r="G131" i="7" s="1" a="1"/>
  <c r="G131" i="7"/>
  <c r="H131" i="7"/>
  <c r="L131" i="7"/>
  <c r="C132" i="7"/>
  <c r="D132" i="7" s="1"/>
  <c r="E132" i="7"/>
  <c r="G132" i="7" s="1" a="1"/>
  <c r="G132" i="7"/>
  <c r="H132" i="7"/>
  <c r="L132" i="7"/>
  <c r="C133" i="7"/>
  <c r="D133" i="7" s="1"/>
  <c r="E133" i="7"/>
  <c r="G133" i="7" a="1"/>
  <c r="G133" i="7"/>
  <c r="H133" i="7"/>
  <c r="L133" i="7"/>
  <c r="C134" i="7"/>
  <c r="E134" i="7"/>
  <c r="G134" i="7" a="1"/>
  <c r="G134" i="7"/>
  <c r="H134" i="7"/>
  <c r="L134" i="7"/>
  <c r="C135" i="7"/>
  <c r="D135" i="7"/>
  <c r="E135" i="7"/>
  <c r="G135" i="7" a="1"/>
  <c r="G135" i="7" s="1"/>
  <c r="H135" i="7"/>
  <c r="L135" i="7"/>
  <c r="C136" i="7"/>
  <c r="D136" i="7"/>
  <c r="E136" i="7"/>
  <c r="G136" i="7" a="1"/>
  <c r="G136" i="7" s="1"/>
  <c r="H136" i="7"/>
  <c r="L136" i="7"/>
  <c r="C137" i="7"/>
  <c r="D137" i="7"/>
  <c r="E137" i="7"/>
  <c r="G137" i="7" s="1" a="1"/>
  <c r="G137" i="7"/>
  <c r="H137" i="7"/>
  <c r="L137" i="7"/>
  <c r="C138" i="7"/>
  <c r="D138" i="7"/>
  <c r="E138" i="7"/>
  <c r="G138" i="7" a="1"/>
  <c r="G138" i="7" s="1"/>
  <c r="H138" i="7"/>
  <c r="L138" i="7"/>
  <c r="C139" i="7"/>
  <c r="D139" i="7"/>
  <c r="E139" i="7"/>
  <c r="G139" i="7" s="1" a="1"/>
  <c r="G139" i="7"/>
  <c r="H139" i="7"/>
  <c r="L139" i="7"/>
  <c r="C140" i="7"/>
  <c r="E140" i="7"/>
  <c r="G140" i="7" a="1"/>
  <c r="G140" i="7"/>
  <c r="H140" i="7"/>
  <c r="L140" i="7"/>
  <c r="C141" i="7"/>
  <c r="E141" i="7"/>
  <c r="G141" i="7" a="1"/>
  <c r="G141" i="7"/>
  <c r="H141" i="7"/>
  <c r="L141" i="7"/>
  <c r="C142" i="7"/>
  <c r="E142" i="7"/>
  <c r="G142" i="7" a="1"/>
  <c r="G142" i="7"/>
  <c r="H142" i="7"/>
  <c r="L142" i="7"/>
  <c r="C143" i="7"/>
  <c r="E143" i="7"/>
  <c r="G143" i="7" a="1"/>
  <c r="G143" i="7"/>
  <c r="H143" i="7"/>
  <c r="L143" i="7"/>
  <c r="C144" i="7"/>
  <c r="E144" i="7"/>
  <c r="H144" i="7"/>
  <c r="L144" i="7"/>
  <c r="C145" i="7"/>
  <c r="D145" i="7"/>
  <c r="E145" i="7"/>
  <c r="G145" i="7" s="1" a="1"/>
  <c r="G145" i="7" s="1"/>
  <c r="H145" i="7"/>
  <c r="L145" i="7"/>
  <c r="C146" i="7"/>
  <c r="E146" i="7"/>
  <c r="G146" i="7" a="1"/>
  <c r="G146" i="7" s="1"/>
  <c r="H146" i="7"/>
  <c r="L146" i="7"/>
  <c r="C147" i="7"/>
  <c r="D147" i="7" s="1"/>
  <c r="E147" i="7"/>
  <c r="G147" i="7" s="1" a="1"/>
  <c r="G147" i="7"/>
  <c r="H147" i="7"/>
  <c r="L147" i="7"/>
  <c r="C148" i="7"/>
  <c r="D148" i="7" s="1"/>
  <c r="E148" i="7"/>
  <c r="H148" i="7"/>
  <c r="L148" i="7"/>
  <c r="C149" i="7"/>
  <c r="D149" i="7" s="1"/>
  <c r="E149" i="7"/>
  <c r="G149" i="7" a="1"/>
  <c r="G149" i="7"/>
  <c r="H149" i="7"/>
  <c r="L149" i="7"/>
  <c r="C150" i="7"/>
  <c r="E150" i="7"/>
  <c r="G150" i="7" s="1" a="1"/>
  <c r="G150" i="7" s="1"/>
  <c r="H150" i="7"/>
  <c r="L150" i="7"/>
  <c r="C151" i="7"/>
  <c r="D151" i="7"/>
  <c r="E151" i="7"/>
  <c r="G151" i="7" a="1"/>
  <c r="G151" i="7" s="1"/>
  <c r="H151" i="7"/>
  <c r="L151" i="7"/>
  <c r="C152" i="7"/>
  <c r="D152" i="7"/>
  <c r="E152" i="7"/>
  <c r="G152" i="7" a="1"/>
  <c r="G152" i="7" s="1"/>
  <c r="H152" i="7"/>
  <c r="L152" i="7"/>
  <c r="C153" i="7"/>
  <c r="D153" i="7"/>
  <c r="E153" i="7"/>
  <c r="G153" i="7" s="1" a="1"/>
  <c r="G153" i="7"/>
  <c r="H153" i="7"/>
  <c r="L153" i="7"/>
  <c r="C154" i="7"/>
  <c r="E154" i="7"/>
  <c r="G154" i="7" a="1"/>
  <c r="G154" i="7" s="1"/>
  <c r="H154" i="7"/>
  <c r="L154" i="7"/>
  <c r="C155" i="7"/>
  <c r="D155" i="7" s="1"/>
  <c r="E155" i="7"/>
  <c r="G155" i="7" s="1" a="1"/>
  <c r="G155" i="7" s="1"/>
  <c r="H155" i="7"/>
  <c r="L155" i="7"/>
  <c r="C156" i="7"/>
  <c r="E156" i="7"/>
  <c r="G156" i="7" s="1" a="1"/>
  <c r="G156" i="7" s="1"/>
  <c r="H156" i="7"/>
  <c r="L156" i="7"/>
  <c r="C157" i="7"/>
  <c r="D157" i="7"/>
  <c r="E157" i="7"/>
  <c r="G157" i="7" s="1" a="1"/>
  <c r="G157" i="7" s="1"/>
  <c r="H157" i="7"/>
  <c r="L157" i="7"/>
  <c r="C158" i="7"/>
  <c r="E158" i="7"/>
  <c r="G158" i="7" s="1" a="1"/>
  <c r="G158" i="7" s="1"/>
  <c r="H158" i="7"/>
  <c r="L158" i="7"/>
  <c r="C159" i="7"/>
  <c r="E159" i="7"/>
  <c r="H159" i="7"/>
  <c r="L159" i="7"/>
  <c r="C160" i="7"/>
  <c r="D160" i="7"/>
  <c r="E160" i="7"/>
  <c r="G160" i="7" a="1"/>
  <c r="G160" i="7" s="1"/>
  <c r="H160" i="7"/>
  <c r="L160" i="7"/>
  <c r="C161" i="7"/>
  <c r="D161" i="7"/>
  <c r="E161" i="7"/>
  <c r="H161" i="7"/>
  <c r="L161" i="7"/>
  <c r="C162" i="7"/>
  <c r="D162" i="7"/>
  <c r="E162" i="7"/>
  <c r="H162" i="7"/>
  <c r="L162" i="7"/>
  <c r="C163" i="7"/>
  <c r="D163" i="7" s="1"/>
  <c r="E163" i="7"/>
  <c r="G163" i="7" s="1" a="1"/>
  <c r="G163" i="7"/>
  <c r="H163" i="7"/>
  <c r="L163" i="7"/>
  <c r="C164" i="7"/>
  <c r="D164" i="7" s="1"/>
  <c r="E164" i="7"/>
  <c r="G164" i="7" s="1" a="1"/>
  <c r="G164" i="7" s="1"/>
  <c r="H164" i="7"/>
  <c r="L164" i="7"/>
  <c r="C165" i="7"/>
  <c r="D165" i="7"/>
  <c r="E165" i="7"/>
  <c r="G165" i="7" a="1"/>
  <c r="G165" i="7" s="1"/>
  <c r="H165" i="7"/>
  <c r="L165" i="7"/>
  <c r="C166" i="7"/>
  <c r="E166" i="7"/>
  <c r="G166" i="7" a="1"/>
  <c r="G166" i="7"/>
  <c r="H166" i="7"/>
  <c r="L166" i="7"/>
  <c r="C167" i="7"/>
  <c r="D167" i="7" s="1"/>
  <c r="E167" i="7"/>
  <c r="G167" i="7" a="1"/>
  <c r="G167" i="7" s="1"/>
  <c r="H167" i="7"/>
  <c r="L167" i="7"/>
  <c r="C168" i="7"/>
  <c r="D168" i="7"/>
  <c r="E168" i="7"/>
  <c r="G168" i="7" a="1"/>
  <c r="G168" i="7" s="1"/>
  <c r="H168" i="7"/>
  <c r="L168" i="7"/>
  <c r="C169" i="7"/>
  <c r="D169" i="7" s="1"/>
  <c r="E169" i="7"/>
  <c r="G169" i="7" s="1" a="1"/>
  <c r="G169" i="7" s="1"/>
  <c r="H169" i="7"/>
  <c r="L169" i="7"/>
  <c r="C170" i="7"/>
  <c r="D170" i="7" s="1"/>
  <c r="E170" i="7"/>
  <c r="G170" i="7" s="1" a="1"/>
  <c r="G170" i="7" s="1"/>
  <c r="H170" i="7"/>
  <c r="L170" i="7"/>
  <c r="C171" i="7"/>
  <c r="D171" i="7"/>
  <c r="E171" i="7"/>
  <c r="G171" i="7" s="1" a="1"/>
  <c r="G171" i="7"/>
  <c r="H171" i="7"/>
  <c r="L171" i="7"/>
  <c r="C172" i="7"/>
  <c r="D172" i="7" s="1"/>
  <c r="E172" i="7"/>
  <c r="H172" i="7"/>
  <c r="L172" i="7"/>
  <c r="C173" i="7"/>
  <c r="D173" i="7"/>
  <c r="E173" i="7"/>
  <c r="G173" i="7" s="1" a="1"/>
  <c r="G173" i="7" s="1"/>
  <c r="H173" i="7"/>
  <c r="L173" i="7"/>
  <c r="C174" i="7"/>
  <c r="E174" i="7"/>
  <c r="H174" i="7"/>
  <c r="L174" i="7"/>
  <c r="C175" i="7"/>
  <c r="D175" i="7"/>
  <c r="E175" i="7"/>
  <c r="H175" i="7"/>
  <c r="L175" i="7"/>
  <c r="C176" i="7"/>
  <c r="D176" i="7" s="1"/>
  <c r="E176" i="7"/>
  <c r="G176" i="7" a="1"/>
  <c r="G176" i="7"/>
  <c r="H176" i="7"/>
  <c r="L176" i="7"/>
  <c r="C177" i="7"/>
  <c r="D177" i="7"/>
  <c r="E177" i="7"/>
  <c r="G177" i="7" s="1" a="1"/>
  <c r="G177" i="7" s="1"/>
  <c r="H177" i="7"/>
  <c r="L177" i="7"/>
  <c r="C178" i="7"/>
  <c r="D178" i="7"/>
  <c r="E178" i="7"/>
  <c r="G178" i="7" s="1" a="1"/>
  <c r="G178" i="7" s="1"/>
  <c r="H178" i="7"/>
  <c r="L178" i="7"/>
  <c r="C179" i="7"/>
  <c r="D179" i="7" s="1"/>
  <c r="E179" i="7"/>
  <c r="G179" i="7" s="1" a="1"/>
  <c r="G179" i="7" s="1"/>
  <c r="H179" i="7"/>
  <c r="L179" i="7"/>
  <c r="C180" i="7"/>
  <c r="E180" i="7"/>
  <c r="G180" i="7" s="1" a="1"/>
  <c r="G180" i="7" s="1"/>
  <c r="H180" i="7"/>
  <c r="L180" i="7"/>
  <c r="C181" i="7"/>
  <c r="E181" i="7"/>
  <c r="G181" i="7" s="1" a="1"/>
  <c r="G181" i="7" s="1"/>
  <c r="H181" i="7"/>
  <c r="L181" i="7"/>
  <c r="C182" i="7"/>
  <c r="E182" i="7"/>
  <c r="H182" i="7"/>
  <c r="L182" i="7"/>
  <c r="C183" i="7"/>
  <c r="D183" i="7"/>
  <c r="E183" i="7"/>
  <c r="G183" i="7" s="1" a="1"/>
  <c r="G183" i="7" s="1"/>
  <c r="H183" i="7"/>
  <c r="L183" i="7"/>
  <c r="C184" i="7"/>
  <c r="E184" i="7"/>
  <c r="H184" i="7"/>
  <c r="L184" i="7"/>
  <c r="C185" i="7"/>
  <c r="D185" i="7"/>
  <c r="E185" i="7"/>
  <c r="G185" i="7" s="1" a="1"/>
  <c r="G185" i="7" s="1"/>
  <c r="H185" i="7"/>
  <c r="L185" i="7"/>
  <c r="C186" i="7"/>
  <c r="D186" i="7"/>
  <c r="E186" i="7"/>
  <c r="H186" i="7"/>
  <c r="L186" i="7"/>
  <c r="C187" i="7"/>
  <c r="E187" i="7"/>
  <c r="G187" i="7" s="1" a="1"/>
  <c r="G187" i="7" s="1"/>
  <c r="H187" i="7"/>
  <c r="L187" i="7"/>
  <c r="C188" i="7"/>
  <c r="D188" i="7" s="1"/>
  <c r="E188" i="7"/>
  <c r="G188" i="7" a="1"/>
  <c r="G188" i="7" s="1"/>
  <c r="H188" i="7"/>
  <c r="L188" i="7"/>
  <c r="C189" i="7"/>
  <c r="D189" i="7" s="1"/>
  <c r="E189" i="7"/>
  <c r="G189" i="7" s="1" a="1"/>
  <c r="G189" i="7"/>
  <c r="H189" i="7"/>
  <c r="L189" i="7"/>
  <c r="C190" i="7"/>
  <c r="E190" i="7"/>
  <c r="G190" i="7" s="1" a="1"/>
  <c r="G190" i="7" s="1"/>
  <c r="H190" i="7"/>
  <c r="L190" i="7"/>
  <c r="C191" i="7"/>
  <c r="D191" i="7" s="1"/>
  <c r="E191" i="7"/>
  <c r="G191" i="7" a="1"/>
  <c r="G191" i="7"/>
  <c r="H191" i="7"/>
  <c r="L191" i="7"/>
  <c r="C192" i="7"/>
  <c r="D192" i="7" s="1"/>
  <c r="E192" i="7"/>
  <c r="G192" i="7" a="1"/>
  <c r="G192" i="7"/>
  <c r="H192" i="7"/>
  <c r="L192" i="7"/>
  <c r="C193" i="7"/>
  <c r="D193" i="7"/>
  <c r="E193" i="7"/>
  <c r="H193" i="7"/>
  <c r="L193" i="7"/>
  <c r="C194" i="7"/>
  <c r="D194" i="7" s="1"/>
  <c r="E194" i="7"/>
  <c r="G194" i="7" a="1"/>
  <c r="G194" i="7"/>
  <c r="H194" i="7"/>
  <c r="L194" i="7"/>
  <c r="C195" i="7"/>
  <c r="D195" i="7" s="1"/>
  <c r="E195" i="7"/>
  <c r="G195" i="7" a="1"/>
  <c r="G195" i="7"/>
  <c r="H195" i="7"/>
  <c r="L195" i="7"/>
  <c r="C196" i="7"/>
  <c r="D196" i="7" s="1"/>
  <c r="E196" i="7"/>
  <c r="G196" i="7" s="1" a="1"/>
  <c r="G196" i="7"/>
  <c r="H196" i="7"/>
  <c r="L196" i="7"/>
  <c r="C197" i="7"/>
  <c r="D197" i="7"/>
  <c r="E197" i="7"/>
  <c r="G197" i="7" a="1"/>
  <c r="G197" i="7"/>
  <c r="H197" i="7"/>
  <c r="L197" i="7"/>
  <c r="C198" i="7"/>
  <c r="D198" i="7"/>
  <c r="E198" i="7"/>
  <c r="G198" i="7" a="1"/>
  <c r="G198" i="7"/>
  <c r="H198" i="7"/>
  <c r="L198" i="7"/>
  <c r="C199" i="7"/>
  <c r="D199" i="7" s="1"/>
  <c r="E199" i="7"/>
  <c r="G199" i="7" s="1" a="1"/>
  <c r="G199" i="7" s="1"/>
  <c r="H199" i="7"/>
  <c r="L199" i="7"/>
  <c r="C200" i="7"/>
  <c r="D200" i="7" s="1"/>
  <c r="E200" i="7"/>
  <c r="G200" i="7" a="1"/>
  <c r="G200" i="7" s="1"/>
  <c r="H200" i="7"/>
  <c r="L200" i="7"/>
  <c r="C201" i="7"/>
  <c r="D201" i="7"/>
  <c r="E201" i="7"/>
  <c r="G201" i="7" s="1" a="1"/>
  <c r="G201" i="7" s="1"/>
  <c r="H201" i="7"/>
  <c r="L201" i="7"/>
  <c r="C202" i="7"/>
  <c r="D202" i="7" s="1"/>
  <c r="E202" i="7"/>
  <c r="G202" i="7" s="1" a="1"/>
  <c r="G202" i="7" s="1"/>
  <c r="H202" i="7"/>
  <c r="L202" i="7"/>
  <c r="C203" i="7"/>
  <c r="D203" i="7" s="1"/>
  <c r="E203" i="7"/>
  <c r="G203" i="7" a="1"/>
  <c r="G203" i="7"/>
  <c r="H203" i="7"/>
  <c r="L203" i="7"/>
  <c r="C204" i="7"/>
  <c r="D204" i="7" s="1"/>
  <c r="E204" i="7"/>
  <c r="G204" i="7" s="1" a="1"/>
  <c r="G204" i="7" s="1"/>
  <c r="H204" i="7"/>
  <c r="L204" i="7"/>
  <c r="C205" i="7"/>
  <c r="D205" i="7"/>
  <c r="E205" i="7"/>
  <c r="H205" i="7"/>
  <c r="L205" i="7"/>
  <c r="C206" i="7"/>
  <c r="D206" i="7"/>
  <c r="E206" i="7"/>
  <c r="G206" i="7" a="1"/>
  <c r="G206" i="7" s="1"/>
  <c r="H206" i="7"/>
  <c r="L206" i="7"/>
  <c r="C207" i="7"/>
  <c r="D207" i="7" s="1"/>
  <c r="E207" i="7"/>
  <c r="H207" i="7"/>
  <c r="L207" i="7"/>
  <c r="C208" i="7"/>
  <c r="D208" i="7"/>
  <c r="E208" i="7"/>
  <c r="G208" i="7" a="1"/>
  <c r="G208" i="7"/>
  <c r="H208" i="7"/>
  <c r="L208" i="7"/>
  <c r="C209" i="7"/>
  <c r="D209" i="7"/>
  <c r="E209" i="7"/>
  <c r="G209" i="7" s="1" a="1"/>
  <c r="G209" i="7"/>
  <c r="H209" i="7"/>
  <c r="L209" i="7"/>
  <c r="C210" i="7"/>
  <c r="D210" i="7"/>
  <c r="E210" i="7"/>
  <c r="G210" i="7" a="1"/>
  <c r="G210" i="7" s="1"/>
  <c r="H210" i="7"/>
  <c r="L210" i="7"/>
  <c r="C211" i="7"/>
  <c r="E211" i="7"/>
  <c r="G211" i="7" a="1"/>
  <c r="G211" i="7" s="1"/>
  <c r="H211" i="7"/>
  <c r="L211" i="7"/>
  <c r="C212" i="7"/>
  <c r="D212" i="7" s="1"/>
  <c r="E212" i="7"/>
  <c r="G212" i="7" s="1" a="1"/>
  <c r="G212" i="7"/>
  <c r="H212" i="7"/>
  <c r="L212" i="7"/>
  <c r="C213" i="7"/>
  <c r="D213" i="7" s="1"/>
  <c r="E213" i="7"/>
  <c r="G213" i="7" a="1"/>
  <c r="G213" i="7" s="1"/>
  <c r="H213" i="7"/>
  <c r="L213" i="7"/>
  <c r="C214" i="7"/>
  <c r="D214" i="7"/>
  <c r="E214" i="7"/>
  <c r="G214" i="7" s="1" a="1"/>
  <c r="G214" i="7" s="1"/>
  <c r="F214" i="7"/>
  <c r="H214" i="7"/>
  <c r="L214" i="7"/>
  <c r="C215" i="7"/>
  <c r="D215" i="7" s="1"/>
  <c r="E215" i="7"/>
  <c r="F215" i="7"/>
  <c r="G215" i="7" a="1"/>
  <c r="G215" i="7" s="1"/>
  <c r="H215" i="7"/>
  <c r="L215" i="7"/>
  <c r="C216" i="7"/>
  <c r="D216" i="7"/>
  <c r="E216" i="7"/>
  <c r="F216" i="7" s="1"/>
  <c r="H216" i="7"/>
  <c r="L216" i="7"/>
  <c r="C217" i="7"/>
  <c r="E217" i="7"/>
  <c r="G217" i="7" s="1" a="1"/>
  <c r="G217" i="7" s="1"/>
  <c r="H217" i="7"/>
  <c r="L217" i="7"/>
  <c r="C218" i="7"/>
  <c r="D218" i="7"/>
  <c r="E218" i="7"/>
  <c r="F218" i="7" s="1"/>
  <c r="H218" i="7"/>
  <c r="L218" i="7"/>
  <c r="C219" i="7"/>
  <c r="D219" i="7"/>
  <c r="E219" i="7"/>
  <c r="F219" i="7" s="1"/>
  <c r="H219" i="7"/>
  <c r="L219" i="7"/>
  <c r="C220" i="7"/>
  <c r="D220" i="7" s="1"/>
  <c r="E220" i="7"/>
  <c r="G220" i="7" s="1" a="1"/>
  <c r="G220" i="7" s="1"/>
  <c r="H220" i="7"/>
  <c r="L220" i="7"/>
  <c r="C221" i="7"/>
  <c r="D221" i="7"/>
  <c r="E221" i="7"/>
  <c r="H221" i="7"/>
  <c r="L221" i="7"/>
  <c r="C222" i="7"/>
  <c r="D222" i="7" s="1"/>
  <c r="E222" i="7"/>
  <c r="G222" i="7" a="1"/>
  <c r="G222" i="7"/>
  <c r="H222" i="7"/>
  <c r="L222" i="7"/>
  <c r="C223" i="7"/>
  <c r="D223" i="7" s="1"/>
  <c r="E223" i="7"/>
  <c r="H223" i="7"/>
  <c r="L223" i="7"/>
  <c r="C224" i="7"/>
  <c r="D224" i="7" s="1"/>
  <c r="E224" i="7"/>
  <c r="H224" i="7"/>
  <c r="L224" i="7"/>
  <c r="C225" i="7"/>
  <c r="D225" i="7" s="1"/>
  <c r="E225" i="7"/>
  <c r="G225" i="7" s="1" a="1"/>
  <c r="G225" i="7"/>
  <c r="H225" i="7"/>
  <c r="L225" i="7"/>
  <c r="C226" i="7"/>
  <c r="D226" i="7"/>
  <c r="E226" i="7"/>
  <c r="G226" i="7" a="1"/>
  <c r="G226" i="7" s="1"/>
  <c r="H226" i="7"/>
  <c r="L226" i="7"/>
  <c r="C227" i="7"/>
  <c r="D227" i="7" s="1"/>
  <c r="E227" i="7"/>
  <c r="G227" i="7" a="1"/>
  <c r="G227" i="7" s="1"/>
  <c r="H227" i="7"/>
  <c r="L227" i="7"/>
  <c r="C228" i="7"/>
  <c r="D228" i="7" s="1"/>
  <c r="E228" i="7"/>
  <c r="G228" i="7" s="1" a="1"/>
  <c r="G228" i="7"/>
  <c r="H228" i="7"/>
  <c r="L228" i="7"/>
  <c r="C229" i="7"/>
  <c r="D229" i="7" s="1"/>
  <c r="E229" i="7"/>
  <c r="G229" i="7" a="1"/>
  <c r="G229" i="7"/>
  <c r="H229" i="7"/>
  <c r="L229" i="7"/>
  <c r="C230" i="7"/>
  <c r="D230" i="7" s="1"/>
  <c r="E230" i="7"/>
  <c r="G230" i="7" s="1" a="1"/>
  <c r="G230" i="7" s="1"/>
  <c r="H230" i="7"/>
  <c r="L230" i="7"/>
  <c r="C231" i="7"/>
  <c r="D231" i="7" s="1"/>
  <c r="E231" i="7"/>
  <c r="F231" i="7"/>
  <c r="G231" i="7" a="1"/>
  <c r="G231" i="7" s="1"/>
  <c r="H231" i="7"/>
  <c r="L231" i="7"/>
  <c r="C232" i="7"/>
  <c r="D232" i="7"/>
  <c r="E232" i="7"/>
  <c r="F232" i="7" s="1"/>
  <c r="G232" i="7" a="1"/>
  <c r="G232" i="7"/>
  <c r="H232" i="7"/>
  <c r="L232" i="7"/>
  <c r="C233" i="7"/>
  <c r="D233" i="7"/>
  <c r="E233" i="7"/>
  <c r="G233" i="7" s="1" a="1"/>
  <c r="G233" i="7" s="1"/>
  <c r="H233" i="7"/>
  <c r="L233" i="7"/>
  <c r="C234" i="7"/>
  <c r="D234" i="7"/>
  <c r="E234" i="7"/>
  <c r="G234" i="7" a="1"/>
  <c r="G234" i="7" s="1"/>
  <c r="H234" i="7"/>
  <c r="L234" i="7"/>
  <c r="C235" i="7"/>
  <c r="D235" i="7"/>
  <c r="E235" i="7"/>
  <c r="G235" i="7" a="1"/>
  <c r="G235" i="7"/>
  <c r="H235" i="7"/>
  <c r="L235" i="7"/>
  <c r="C236" i="7"/>
  <c r="D236" i="7"/>
  <c r="E236" i="7"/>
  <c r="G236" i="7" s="1" a="1"/>
  <c r="G236" i="7"/>
  <c r="H236" i="7"/>
  <c r="L236" i="7"/>
  <c r="C237" i="7"/>
  <c r="D237" i="7"/>
  <c r="E237" i="7"/>
  <c r="G237" i="7" s="1" a="1"/>
  <c r="G237" i="7" s="1"/>
  <c r="H237" i="7"/>
  <c r="L237" i="7"/>
  <c r="C238" i="7"/>
  <c r="D238" i="7"/>
  <c r="E238" i="7"/>
  <c r="G238" i="7" a="1"/>
  <c r="G238" i="7" s="1"/>
  <c r="H238" i="7"/>
  <c r="L238" i="7"/>
  <c r="C239" i="7"/>
  <c r="D239" i="7" s="1"/>
  <c r="E239" i="7"/>
  <c r="G239" i="7" a="1"/>
  <c r="G239" i="7" s="1"/>
  <c r="H239" i="7"/>
  <c r="L239" i="7"/>
  <c r="C240" i="7"/>
  <c r="E240" i="7"/>
  <c r="G240" i="7" s="1" a="1"/>
  <c r="G240" i="7" s="1"/>
  <c r="H240" i="7"/>
  <c r="L240" i="7"/>
  <c r="C241" i="7"/>
  <c r="D241" i="7"/>
  <c r="E241" i="7"/>
  <c r="H241" i="7"/>
  <c r="L241" i="7"/>
  <c r="C242" i="7"/>
  <c r="D242" i="7"/>
  <c r="E242" i="7"/>
  <c r="H242" i="7"/>
  <c r="L242" i="7"/>
  <c r="C243" i="7"/>
  <c r="D243" i="7"/>
  <c r="E243" i="7"/>
  <c r="G243" i="7" a="1"/>
  <c r="G243" i="7" s="1"/>
  <c r="H243" i="7"/>
  <c r="L243" i="7"/>
  <c r="C244" i="7"/>
  <c r="D244" i="7" s="1"/>
  <c r="E244" i="7"/>
  <c r="G244" i="7" s="1" a="1"/>
  <c r="G244" i="7"/>
  <c r="H244" i="7"/>
  <c r="L244" i="7"/>
  <c r="C245" i="7"/>
  <c r="E245" i="7"/>
  <c r="G245" i="7" a="1"/>
  <c r="G245" i="7" s="1"/>
  <c r="H245" i="7"/>
  <c r="L245" i="7"/>
  <c r="C246" i="7"/>
  <c r="D246" i="7" s="1"/>
  <c r="E246" i="7"/>
  <c r="G246" i="7" a="1"/>
  <c r="G246" i="7"/>
  <c r="H246" i="7"/>
  <c r="L246" i="7"/>
  <c r="C247" i="7"/>
  <c r="D247" i="7" s="1"/>
  <c r="E247" i="7"/>
  <c r="G247" i="7" a="1"/>
  <c r="G247" i="7" s="1"/>
  <c r="H247" i="7"/>
  <c r="L247" i="7"/>
  <c r="C248" i="7"/>
  <c r="E248" i="7"/>
  <c r="H248" i="7"/>
  <c r="L248" i="7"/>
  <c r="C249" i="7"/>
  <c r="D249" i="7" s="1"/>
  <c r="E249" i="7"/>
  <c r="G249" i="7" a="1"/>
  <c r="G249" i="7" s="1"/>
  <c r="H249" i="7"/>
  <c r="L249" i="7"/>
  <c r="C250" i="7"/>
  <c r="D250" i="7"/>
  <c r="E250" i="7"/>
  <c r="G250" i="7" a="1"/>
  <c r="G250" i="7" s="1"/>
  <c r="H250" i="7"/>
  <c r="L250" i="7"/>
  <c r="C251" i="7"/>
  <c r="E251" i="7"/>
  <c r="H251" i="7"/>
  <c r="L251" i="7"/>
  <c r="C252" i="7"/>
  <c r="D252" i="7"/>
  <c r="E252" i="7"/>
  <c r="G252" i="7" s="1" a="1"/>
  <c r="G252" i="7" s="1"/>
  <c r="H252" i="7"/>
  <c r="L252" i="7"/>
  <c r="C253" i="7"/>
  <c r="D253" i="7" s="1"/>
  <c r="E253" i="7"/>
  <c r="H253" i="7"/>
  <c r="L253" i="7"/>
  <c r="C254" i="7"/>
  <c r="D254" i="7" s="1"/>
  <c r="E254" i="7"/>
  <c r="H254" i="7"/>
  <c r="L254" i="7"/>
  <c r="C255" i="7"/>
  <c r="D255" i="7" s="1"/>
  <c r="E255" i="7"/>
  <c r="H255" i="7"/>
  <c r="L255" i="7"/>
  <c r="C256" i="7"/>
  <c r="D256" i="7" s="1"/>
  <c r="E256" i="7"/>
  <c r="G256" i="7" a="1"/>
  <c r="G256" i="7"/>
  <c r="H256" i="7"/>
  <c r="L256" i="7"/>
  <c r="C257" i="7"/>
  <c r="D257" i="7" s="1"/>
  <c r="E257" i="7"/>
  <c r="G257" i="7" a="1"/>
  <c r="G257" i="7"/>
  <c r="H257" i="7"/>
  <c r="L257" i="7"/>
  <c r="C258" i="7"/>
  <c r="D258" i="7" s="1"/>
  <c r="E258" i="7"/>
  <c r="G258" i="7" a="1"/>
  <c r="G258" i="7" s="1"/>
  <c r="H258" i="7"/>
  <c r="L258" i="7"/>
  <c r="C259" i="7"/>
  <c r="D259" i="7"/>
  <c r="E259" i="7"/>
  <c r="G259" i="7" a="1"/>
  <c r="G259" i="7" s="1"/>
  <c r="H259" i="7"/>
  <c r="L259" i="7"/>
  <c r="C260" i="7"/>
  <c r="D260" i="7"/>
  <c r="E260" i="7"/>
  <c r="G260" i="7" s="1" a="1"/>
  <c r="G260" i="7"/>
  <c r="H260" i="7"/>
  <c r="L260" i="7"/>
  <c r="C261" i="7"/>
  <c r="D261" i="7" s="1"/>
  <c r="E261" i="7"/>
  <c r="H261" i="7"/>
  <c r="L261" i="7"/>
  <c r="C262" i="7"/>
  <c r="D262" i="7"/>
  <c r="E262" i="7"/>
  <c r="G262" i="7" s="1" a="1"/>
  <c r="G262" i="7" s="1"/>
  <c r="H262" i="7"/>
  <c r="L262" i="7"/>
  <c r="C263" i="7"/>
  <c r="D263" i="7" s="1"/>
  <c r="E263" i="7"/>
  <c r="G263" i="7" a="1"/>
  <c r="G263" i="7" s="1"/>
  <c r="H263" i="7"/>
  <c r="L263" i="7"/>
  <c r="C264" i="7"/>
  <c r="D264" i="7" s="1"/>
  <c r="E264" i="7"/>
  <c r="G264" i="7" a="1"/>
  <c r="G264" i="7" s="1"/>
  <c r="H264" i="7"/>
  <c r="L264" i="7"/>
  <c r="C265" i="7"/>
  <c r="D265" i="7" s="1"/>
  <c r="E265" i="7"/>
  <c r="G265" i="7" s="1" a="1"/>
  <c r="G265" i="7" s="1"/>
  <c r="H265" i="7"/>
  <c r="L265" i="7"/>
  <c r="C266" i="7"/>
  <c r="D266" i="7"/>
  <c r="E266" i="7"/>
  <c r="H266" i="7"/>
  <c r="L266" i="7"/>
  <c r="C267" i="7"/>
  <c r="D267" i="7"/>
  <c r="E267" i="7"/>
  <c r="H267" i="7"/>
  <c r="L267" i="7"/>
  <c r="C268" i="7"/>
  <c r="D268" i="7"/>
  <c r="E268" i="7"/>
  <c r="G268" i="7" s="1" a="1"/>
  <c r="G268" i="7"/>
  <c r="H268" i="7"/>
  <c r="L268" i="7"/>
  <c r="C269" i="7"/>
  <c r="E269" i="7"/>
  <c r="H269" i="7"/>
  <c r="L269" i="7"/>
  <c r="C270" i="7"/>
  <c r="E270" i="7"/>
  <c r="G270" i="7" a="1"/>
  <c r="G270" i="7" s="1"/>
  <c r="H270" i="7"/>
  <c r="L270" i="7"/>
  <c r="C271" i="7"/>
  <c r="D271" i="7" s="1"/>
  <c r="E271" i="7"/>
  <c r="G271" i="7" a="1"/>
  <c r="G271" i="7"/>
  <c r="H271" i="7"/>
  <c r="L271" i="7"/>
  <c r="C272" i="7"/>
  <c r="D272" i="7" s="1"/>
  <c r="E272" i="7"/>
  <c r="G272" i="7" a="1"/>
  <c r="G272" i="7" s="1"/>
  <c r="H272" i="7"/>
  <c r="L272" i="7"/>
  <c r="C273" i="7"/>
  <c r="D273" i="7" s="1"/>
  <c r="E273" i="7"/>
  <c r="H273" i="7"/>
  <c r="L273" i="7"/>
  <c r="C274" i="7"/>
  <c r="D274" i="7"/>
  <c r="E274" i="7"/>
  <c r="G274" i="7" a="1"/>
  <c r="G274" i="7"/>
  <c r="H274" i="7"/>
  <c r="L274" i="7"/>
  <c r="C275" i="7"/>
  <c r="D275" i="7"/>
  <c r="E275" i="7"/>
  <c r="G275" i="7" a="1"/>
  <c r="G275" i="7" s="1"/>
  <c r="H275" i="7"/>
  <c r="L275" i="7"/>
  <c r="C276" i="7"/>
  <c r="E276" i="7"/>
  <c r="G276" i="7" s="1" a="1"/>
  <c r="G276" i="7" s="1"/>
  <c r="H276" i="7"/>
  <c r="L276" i="7"/>
  <c r="C277" i="7"/>
  <c r="D277" i="7"/>
  <c r="E277" i="7"/>
  <c r="G277" i="7" a="1"/>
  <c r="G277" i="7" s="1"/>
  <c r="H277" i="7"/>
  <c r="L277" i="7"/>
  <c r="C278" i="7"/>
  <c r="D278" i="7" s="1"/>
  <c r="E278" i="7"/>
  <c r="H278" i="7"/>
  <c r="L278" i="7"/>
  <c r="C279" i="7"/>
  <c r="D279" i="7" s="1"/>
  <c r="E279" i="7"/>
  <c r="G279" i="7" s="1" a="1"/>
  <c r="G279" i="7" s="1"/>
  <c r="H279" i="7"/>
  <c r="L279" i="7"/>
  <c r="C280" i="7"/>
  <c r="D280" i="7"/>
  <c r="E280" i="7"/>
  <c r="H280" i="7"/>
  <c r="L280" i="7"/>
  <c r="C281" i="7"/>
  <c r="E281" i="7"/>
  <c r="G281" i="7" a="1"/>
  <c r="G281" i="7"/>
  <c r="H281" i="7"/>
  <c r="L281" i="7"/>
  <c r="C282" i="7"/>
  <c r="D282" i="7"/>
  <c r="E282" i="7"/>
  <c r="G282" i="7" a="1"/>
  <c r="G282" i="7" s="1"/>
  <c r="H282" i="7"/>
  <c r="L282" i="7"/>
  <c r="C283" i="7"/>
  <c r="D283" i="7" s="1"/>
  <c r="E283" i="7"/>
  <c r="G283" i="7" a="1"/>
  <c r="G283" i="7" s="1"/>
  <c r="H283" i="7"/>
  <c r="L283" i="7"/>
  <c r="C284" i="7"/>
  <c r="D284" i="7"/>
  <c r="E284" i="7"/>
  <c r="G284" i="7" s="1" a="1"/>
  <c r="G284" i="7"/>
  <c r="H284" i="7"/>
  <c r="L284" i="7"/>
  <c r="C285" i="7"/>
  <c r="D285" i="7" s="1"/>
  <c r="E285" i="7"/>
  <c r="H285" i="7"/>
  <c r="L285" i="7"/>
  <c r="C286" i="7"/>
  <c r="D286" i="7" s="1"/>
  <c r="E286" i="7"/>
  <c r="F286" i="7" s="1"/>
  <c r="H286" i="7"/>
  <c r="L286" i="7"/>
  <c r="C287" i="7"/>
  <c r="D287" i="7" s="1"/>
  <c r="E287" i="7"/>
  <c r="F287" i="7" s="1"/>
  <c r="F288" i="7" s="1"/>
  <c r="F289" i="7" s="1"/>
  <c r="H287" i="7"/>
  <c r="L287" i="7"/>
  <c r="C288" i="7"/>
  <c r="D288" i="7" s="1"/>
  <c r="E288" i="7"/>
  <c r="G288" i="7" a="1"/>
  <c r="G288" i="7" s="1"/>
  <c r="H288" i="7"/>
  <c r="L288" i="7"/>
  <c r="C289" i="7"/>
  <c r="D289" i="7" s="1"/>
  <c r="E289" i="7"/>
  <c r="G289" i="7" a="1"/>
  <c r="G289" i="7" s="1"/>
  <c r="H289" i="7"/>
  <c r="L289" i="7"/>
  <c r="C290" i="7"/>
  <c r="E290" i="7"/>
  <c r="H290" i="7"/>
  <c r="L290" i="7"/>
  <c r="C291" i="7"/>
  <c r="D291" i="7"/>
  <c r="E291" i="7"/>
  <c r="H291" i="7"/>
  <c r="L291" i="7"/>
  <c r="C292" i="7"/>
  <c r="D292" i="7"/>
  <c r="E292" i="7"/>
  <c r="G292" i="7" s="1" a="1"/>
  <c r="G292" i="7" s="1"/>
  <c r="H292" i="7"/>
  <c r="L292" i="7"/>
  <c r="C293" i="7"/>
  <c r="D293" i="7" s="1"/>
  <c r="E293" i="7"/>
  <c r="H293" i="7"/>
  <c r="L293" i="7"/>
  <c r="C294" i="7"/>
  <c r="E294" i="7"/>
  <c r="H294" i="7"/>
  <c r="L294" i="7"/>
  <c r="C295" i="7"/>
  <c r="D295" i="7" s="1"/>
  <c r="E295" i="7"/>
  <c r="G295" i="7" a="1"/>
  <c r="G295" i="7"/>
  <c r="H295" i="7"/>
  <c r="L295" i="7"/>
  <c r="C296" i="7"/>
  <c r="D296" i="7" s="1"/>
  <c r="E296" i="7"/>
  <c r="G296" i="7" a="1"/>
  <c r="G296" i="7"/>
  <c r="H296" i="7"/>
  <c r="L296" i="7"/>
  <c r="C297" i="7"/>
  <c r="D297" i="7" s="1"/>
  <c r="E297" i="7"/>
  <c r="G297" i="7" a="1"/>
  <c r="G297" i="7" s="1"/>
  <c r="H297" i="7"/>
  <c r="L297" i="7"/>
  <c r="C298" i="7"/>
  <c r="D298" i="7"/>
  <c r="E298" i="7"/>
  <c r="G298" i="7" a="1"/>
  <c r="G298" i="7" s="1"/>
  <c r="H298" i="7"/>
  <c r="L298" i="7"/>
  <c r="C299" i="7"/>
  <c r="D299" i="7"/>
  <c r="E299" i="7"/>
  <c r="G299" i="7" a="1"/>
  <c r="G299" i="7"/>
  <c r="H299" i="7"/>
  <c r="L299" i="7"/>
  <c r="C300" i="7"/>
  <c r="D300" i="7"/>
  <c r="E300" i="7"/>
  <c r="G300" i="7" s="1" a="1"/>
  <c r="G300" i="7"/>
  <c r="H300" i="7"/>
  <c r="L300" i="7"/>
  <c r="C301" i="7"/>
  <c r="D301" i="7"/>
  <c r="E301" i="7"/>
  <c r="G301" i="7" s="1" a="1"/>
  <c r="G301" i="7" s="1"/>
  <c r="H301" i="7"/>
  <c r="L301" i="7"/>
  <c r="C302" i="7"/>
  <c r="D302" i="7" s="1"/>
  <c r="E302" i="7"/>
  <c r="G302" i="7" a="1"/>
  <c r="G302" i="7" s="1"/>
  <c r="H302" i="7"/>
  <c r="L302" i="7"/>
  <c r="C303" i="7"/>
  <c r="D303" i="7" s="1"/>
  <c r="E303" i="7"/>
  <c r="G303" i="7" a="1"/>
  <c r="G303" i="7" s="1"/>
  <c r="H303" i="7"/>
  <c r="L303" i="7"/>
  <c r="C304" i="7"/>
  <c r="E304" i="7"/>
  <c r="G304" i="7" s="1" a="1"/>
  <c r="G304" i="7" s="1"/>
  <c r="H304" i="7"/>
  <c r="L304" i="7"/>
  <c r="C305" i="7"/>
  <c r="D305" i="7"/>
  <c r="E305" i="7"/>
  <c r="H305" i="7"/>
  <c r="L305" i="7"/>
  <c r="C306" i="7"/>
  <c r="D306" i="7"/>
  <c r="E306" i="7"/>
  <c r="H306" i="7"/>
  <c r="L306" i="7"/>
  <c r="C307" i="7"/>
  <c r="D307" i="7"/>
  <c r="E307" i="7"/>
  <c r="G307" i="7" a="1"/>
  <c r="G307" i="7" s="1"/>
  <c r="H307" i="7"/>
  <c r="L307" i="7"/>
  <c r="C308" i="7"/>
  <c r="D308" i="7" s="1"/>
  <c r="E308" i="7"/>
  <c r="G308" i="7" s="1" a="1"/>
  <c r="G308" i="7"/>
  <c r="H308" i="7"/>
  <c r="L308" i="7"/>
  <c r="C309" i="7"/>
  <c r="E309" i="7"/>
  <c r="G309" i="7" a="1"/>
  <c r="G309" i="7" s="1"/>
  <c r="H309" i="7"/>
  <c r="L309" i="7"/>
  <c r="C310" i="7"/>
  <c r="D310" i="7" s="1"/>
  <c r="E310" i="7"/>
  <c r="H310" i="7"/>
  <c r="L310" i="7"/>
  <c r="C311" i="7"/>
  <c r="D311" i="7" s="1"/>
  <c r="E311" i="7"/>
  <c r="G311" i="7" a="1"/>
  <c r="G311" i="7" s="1"/>
  <c r="H311" i="7"/>
  <c r="L311" i="7"/>
  <c r="C312" i="7"/>
  <c r="E312" i="7"/>
  <c r="H312" i="7"/>
  <c r="L312" i="7"/>
  <c r="C313" i="7"/>
  <c r="D313" i="7" s="1"/>
  <c r="E313" i="7"/>
  <c r="G313" i="7" a="1"/>
  <c r="G313" i="7" s="1"/>
  <c r="H313" i="7"/>
  <c r="L313" i="7"/>
  <c r="C314" i="7"/>
  <c r="D314" i="7"/>
  <c r="E314" i="7"/>
  <c r="G314" i="7" a="1"/>
  <c r="G314" i="7" s="1"/>
  <c r="H314" i="7"/>
  <c r="L314" i="7"/>
  <c r="C315" i="7"/>
  <c r="E315" i="7"/>
  <c r="H315" i="7"/>
  <c r="L315" i="7"/>
  <c r="C316" i="7"/>
  <c r="D316" i="7"/>
  <c r="E316" i="7"/>
  <c r="H316" i="7"/>
  <c r="L316" i="7"/>
  <c r="C317" i="7"/>
  <c r="D317" i="7" s="1"/>
  <c r="E317" i="7"/>
  <c r="G317" i="7" s="1" a="1"/>
  <c r="G317" i="7" s="1"/>
  <c r="H317" i="7"/>
  <c r="L317" i="7"/>
  <c r="C318" i="7"/>
  <c r="D318" i="7" s="1"/>
  <c r="E318" i="7"/>
  <c r="H318" i="7"/>
  <c r="L318" i="7"/>
  <c r="C319" i="7"/>
  <c r="E319" i="7"/>
  <c r="H319" i="7"/>
  <c r="L319" i="7"/>
  <c r="C320" i="7"/>
  <c r="D320" i="7"/>
  <c r="E320" i="7"/>
  <c r="G320" i="7" a="1"/>
  <c r="G320" i="7"/>
  <c r="H320" i="7"/>
  <c r="L320" i="7"/>
  <c r="C321" i="7"/>
  <c r="D321" i="7" s="1"/>
  <c r="E321" i="7"/>
  <c r="G321" i="7" a="1"/>
  <c r="G321" i="7" s="1"/>
  <c r="H321" i="7"/>
  <c r="L321" i="7"/>
  <c r="C322" i="7"/>
  <c r="D322" i="7" s="1"/>
  <c r="E322" i="7"/>
  <c r="G322" i="7" a="1"/>
  <c r="G322" i="7" s="1"/>
  <c r="H322" i="7"/>
  <c r="L322" i="7"/>
  <c r="C323" i="7"/>
  <c r="D323" i="7"/>
  <c r="E323" i="7"/>
  <c r="G323" i="7" a="1"/>
  <c r="G323" i="7" s="1"/>
  <c r="H323" i="7"/>
  <c r="L323" i="7"/>
  <c r="C324" i="7"/>
  <c r="D324" i="7"/>
  <c r="E324" i="7"/>
  <c r="G324" i="7" s="1" a="1"/>
  <c r="G324" i="7"/>
  <c r="H324" i="7"/>
  <c r="L324" i="7"/>
  <c r="C325" i="7"/>
  <c r="D325" i="7" s="1"/>
  <c r="E325" i="7"/>
  <c r="H325" i="7"/>
  <c r="L325" i="7"/>
  <c r="C326" i="7"/>
  <c r="D326" i="7"/>
  <c r="E326" i="7"/>
  <c r="H326" i="7"/>
  <c r="L326" i="7"/>
  <c r="C327" i="7"/>
  <c r="D327" i="7" s="1"/>
  <c r="E327" i="7"/>
  <c r="G327" i="7" a="1"/>
  <c r="G327" i="7" s="1"/>
  <c r="H327" i="7"/>
  <c r="L327" i="7"/>
  <c r="C328" i="7"/>
  <c r="D328" i="7" s="1"/>
  <c r="E328" i="7"/>
  <c r="G328" i="7" a="1"/>
  <c r="G328" i="7" s="1"/>
  <c r="H328" i="7"/>
  <c r="L328" i="7"/>
  <c r="C329" i="7"/>
  <c r="E329" i="7"/>
  <c r="G329" i="7" s="1" a="1"/>
  <c r="G329" i="7" s="1"/>
  <c r="H329" i="7"/>
  <c r="L329" i="7"/>
  <c r="C330" i="7"/>
  <c r="D330" i="7"/>
  <c r="E330" i="7"/>
  <c r="H330" i="7"/>
  <c r="L330" i="7"/>
  <c r="C331" i="7"/>
  <c r="D331" i="7"/>
  <c r="E331" i="7"/>
  <c r="H331" i="7"/>
  <c r="L331" i="7"/>
  <c r="C332" i="7"/>
  <c r="D332" i="7"/>
  <c r="E332" i="7"/>
  <c r="G332" i="7" s="1" a="1"/>
  <c r="G332" i="7"/>
  <c r="H332" i="7"/>
  <c r="L332" i="7"/>
  <c r="C333" i="7"/>
  <c r="E333" i="7"/>
  <c r="H333" i="7"/>
  <c r="L333" i="7"/>
  <c r="C334" i="7"/>
  <c r="E334" i="7"/>
  <c r="G334" i="7" a="1"/>
  <c r="G334" i="7" s="1"/>
  <c r="H334" i="7"/>
  <c r="L334" i="7"/>
  <c r="C335" i="7"/>
  <c r="D335" i="7" s="1"/>
  <c r="E335" i="7"/>
  <c r="G335" i="7" a="1"/>
  <c r="G335" i="7" s="1"/>
  <c r="H335" i="7"/>
  <c r="L335" i="7"/>
  <c r="C336" i="7"/>
  <c r="D336" i="7" s="1"/>
  <c r="E336" i="7"/>
  <c r="G336" i="7" a="1"/>
  <c r="G336" i="7" s="1"/>
  <c r="H336" i="7"/>
  <c r="L336" i="7"/>
  <c r="C337" i="7"/>
  <c r="D337" i="7"/>
  <c r="E337" i="7"/>
  <c r="G337" i="7" s="1" a="1"/>
  <c r="G337" i="7" s="1"/>
  <c r="H337" i="7"/>
  <c r="L337" i="7"/>
  <c r="C338" i="7"/>
  <c r="D338" i="7"/>
  <c r="E338" i="7"/>
  <c r="G338" i="7" a="1"/>
  <c r="G338" i="7" s="1"/>
  <c r="H338" i="7"/>
  <c r="L338" i="7"/>
  <c r="C339" i="7"/>
  <c r="D339" i="7" s="1"/>
  <c r="E339" i="7"/>
  <c r="G339" i="7" a="1"/>
  <c r="G339" i="7" s="1"/>
  <c r="H339" i="7"/>
  <c r="L339" i="7"/>
  <c r="C340" i="7"/>
  <c r="E340" i="7"/>
  <c r="G340" i="7" a="1"/>
  <c r="G340" i="7" s="1"/>
  <c r="H340" i="7"/>
  <c r="L340" i="7"/>
  <c r="C341" i="7"/>
  <c r="D341" i="7" s="1"/>
  <c r="E341" i="7"/>
  <c r="G341" i="7" s="1" a="1"/>
  <c r="G341" i="7" s="1"/>
  <c r="H341" i="7"/>
  <c r="L341" i="7"/>
  <c r="C342" i="7"/>
  <c r="D342" i="7"/>
  <c r="E342" i="7"/>
  <c r="G342" i="7" a="1"/>
  <c r="G342" i="7"/>
  <c r="H342" i="7"/>
  <c r="L342" i="7"/>
  <c r="C343" i="7"/>
  <c r="D343" i="7" s="1"/>
  <c r="E343" i="7"/>
  <c r="G343" i="7" a="1"/>
  <c r="G343" i="7" s="1"/>
  <c r="H343" i="7"/>
  <c r="L343" i="7"/>
  <c r="C344" i="7"/>
  <c r="D344" i="7" s="1"/>
  <c r="E344" i="7"/>
  <c r="G344" i="7" a="1"/>
  <c r="G344" i="7" s="1"/>
  <c r="H344" i="7"/>
  <c r="L344" i="7"/>
  <c r="C345" i="7"/>
  <c r="E345" i="7"/>
  <c r="G345" i="7" s="1" a="1"/>
  <c r="G345" i="7" s="1"/>
  <c r="H345" i="7"/>
  <c r="L345" i="7"/>
  <c r="C346" i="7"/>
  <c r="E346" i="7"/>
  <c r="G346" i="7" a="1"/>
  <c r="G346" i="7" s="1"/>
  <c r="H346" i="7"/>
  <c r="L346" i="7"/>
  <c r="C347" i="7"/>
  <c r="E347" i="7"/>
  <c r="G347" i="7" a="1"/>
  <c r="G347" i="7" s="1"/>
  <c r="H347" i="7"/>
  <c r="L347" i="7"/>
  <c r="C348" i="7"/>
  <c r="E348" i="7"/>
  <c r="G348" i="7" a="1"/>
  <c r="G348" i="7" s="1"/>
  <c r="H348" i="7"/>
  <c r="L348" i="7"/>
  <c r="C349" i="7"/>
  <c r="D349" i="7"/>
  <c r="E349" i="7"/>
  <c r="G349" i="7" s="1" a="1"/>
  <c r="G349" i="7" s="1"/>
  <c r="H349" i="7"/>
  <c r="L349" i="7"/>
  <c r="C350" i="7"/>
  <c r="D350" i="7" s="1"/>
  <c r="E350" i="7"/>
  <c r="G350" i="7" a="1"/>
  <c r="G350" i="7"/>
  <c r="H350" i="7"/>
  <c r="L350" i="7"/>
  <c r="C351" i="7"/>
  <c r="D351" i="7" s="1"/>
  <c r="E351" i="7"/>
  <c r="G351" i="7" a="1"/>
  <c r="G351" i="7" s="1"/>
  <c r="H351" i="7"/>
  <c r="L351" i="7"/>
  <c r="C352" i="7"/>
  <c r="D352" i="7" s="1"/>
  <c r="E352" i="7"/>
  <c r="G352" i="7" a="1"/>
  <c r="G352" i="7" s="1"/>
  <c r="H352" i="7"/>
  <c r="L352" i="7"/>
  <c r="C353" i="7"/>
  <c r="E353" i="7"/>
  <c r="G353" i="7" s="1" a="1"/>
  <c r="G353" i="7" s="1"/>
  <c r="H353" i="7"/>
  <c r="L353" i="7"/>
  <c r="C354" i="7"/>
  <c r="E354" i="7"/>
  <c r="G354" i="7" a="1"/>
  <c r="G354" i="7" s="1"/>
  <c r="H354" i="7"/>
  <c r="L354" i="7"/>
  <c r="C355" i="7"/>
  <c r="D355" i="7"/>
  <c r="E355" i="7"/>
  <c r="G355" i="7" a="1"/>
  <c r="G355" i="7" s="1"/>
  <c r="H355" i="7"/>
  <c r="L355" i="7"/>
  <c r="C356" i="7"/>
  <c r="E356" i="7"/>
  <c r="G356" i="7" a="1"/>
  <c r="G356" i="7" s="1"/>
  <c r="H356" i="7"/>
  <c r="L356" i="7"/>
  <c r="C357" i="7"/>
  <c r="D357" i="7"/>
  <c r="E357" i="7"/>
  <c r="G357" i="7" s="1" a="1"/>
  <c r="G357" i="7" s="1"/>
  <c r="H357" i="7"/>
  <c r="L357" i="7"/>
  <c r="C358" i="7"/>
  <c r="E358" i="7"/>
  <c r="G358" i="7" a="1"/>
  <c r="G358" i="7"/>
  <c r="H358" i="7"/>
  <c r="L358" i="7"/>
  <c r="C359" i="7"/>
  <c r="D359" i="7" s="1"/>
  <c r="E359" i="7"/>
  <c r="G359" i="7" a="1"/>
  <c r="G359" i="7" s="1"/>
  <c r="H359" i="7"/>
  <c r="L359" i="7"/>
  <c r="C360" i="7"/>
  <c r="D360" i="7" s="1"/>
  <c r="E360" i="7"/>
  <c r="G360" i="7" a="1"/>
  <c r="G360" i="7" s="1"/>
  <c r="H360" i="7"/>
  <c r="L360" i="7"/>
  <c r="C361" i="7"/>
  <c r="E361" i="7"/>
  <c r="G361" i="7" s="1" a="1"/>
  <c r="G361" i="7" s="1"/>
  <c r="H361" i="7"/>
  <c r="L361" i="7"/>
  <c r="C362" i="7"/>
  <c r="D362" i="7"/>
  <c r="E362" i="7"/>
  <c r="G362" i="7" a="1"/>
  <c r="G362" i="7"/>
  <c r="H362" i="7"/>
  <c r="L362" i="7"/>
  <c r="C363" i="7"/>
  <c r="D363" i="7"/>
  <c r="E363" i="7"/>
  <c r="G363" i="7" a="1"/>
  <c r="G363" i="7" s="1"/>
  <c r="H363" i="7"/>
  <c r="L363" i="7"/>
  <c r="C364" i="7"/>
  <c r="D364" i="7"/>
  <c r="E364" i="7"/>
  <c r="G364" i="7" a="1"/>
  <c r="G364" i="7" s="1"/>
  <c r="H364" i="7"/>
  <c r="L364" i="7"/>
  <c r="C365" i="7"/>
  <c r="E365" i="7"/>
  <c r="G365" i="7" s="1" a="1"/>
  <c r="G365" i="7" s="1"/>
  <c r="H365" i="7"/>
  <c r="L365" i="7"/>
  <c r="C366" i="7"/>
  <c r="D366" i="7" s="1"/>
  <c r="E366" i="7"/>
  <c r="G366" i="7" a="1"/>
  <c r="G366" i="7"/>
  <c r="H366" i="7"/>
  <c r="L366" i="7"/>
  <c r="C367" i="7"/>
  <c r="D367" i="7" s="1"/>
  <c r="E367" i="7"/>
  <c r="G367" i="7" a="1"/>
  <c r="G367" i="7" s="1"/>
  <c r="H367" i="7"/>
  <c r="L367" i="7"/>
  <c r="C368" i="7"/>
  <c r="D368" i="7" s="1"/>
  <c r="E368" i="7"/>
  <c r="G368" i="7" a="1"/>
  <c r="G368" i="7" s="1"/>
  <c r="H368" i="7"/>
  <c r="L368" i="7"/>
  <c r="C369" i="7"/>
  <c r="E369" i="7"/>
  <c r="H369" i="7"/>
  <c r="L369" i="7"/>
  <c r="C370" i="7"/>
  <c r="D370" i="7"/>
  <c r="E370" i="7"/>
  <c r="G370" i="7" a="1"/>
  <c r="G370" i="7"/>
  <c r="H370" i="7"/>
  <c r="L370" i="7"/>
  <c r="C371" i="7"/>
  <c r="D371" i="7"/>
  <c r="E371" i="7"/>
  <c r="G371" i="7" a="1"/>
  <c r="G371" i="7" s="1"/>
  <c r="H371" i="7"/>
  <c r="L371" i="7"/>
  <c r="C372" i="7"/>
  <c r="D372" i="7"/>
  <c r="E372" i="7"/>
  <c r="G372" i="7" a="1"/>
  <c r="G372" i="7" s="1"/>
  <c r="H372" i="7"/>
  <c r="L372" i="7"/>
  <c r="C373" i="7"/>
  <c r="D373" i="7" s="1"/>
  <c r="E373" i="7"/>
  <c r="G373" i="7" s="1" a="1"/>
  <c r="G373" i="7" s="1"/>
  <c r="H373" i="7"/>
  <c r="L373" i="7"/>
  <c r="C374" i="7"/>
  <c r="E374" i="7"/>
  <c r="G374" i="7" a="1"/>
  <c r="G374" i="7"/>
  <c r="H374" i="7"/>
  <c r="L374" i="7"/>
  <c r="C375" i="7"/>
  <c r="D375" i="7" s="1"/>
  <c r="E375" i="7"/>
  <c r="G375" i="7" a="1"/>
  <c r="G375" i="7" s="1"/>
  <c r="H375" i="7"/>
  <c r="L375" i="7"/>
  <c r="C376" i="7"/>
  <c r="D376" i="7" s="1"/>
  <c r="E376" i="7"/>
  <c r="G376" i="7" a="1"/>
  <c r="G376" i="7" s="1"/>
  <c r="H376" i="7"/>
  <c r="L376" i="7"/>
  <c r="C377" i="7"/>
  <c r="E377" i="7"/>
  <c r="G377" i="7" a="1"/>
  <c r="G377" i="7" s="1"/>
  <c r="H377" i="7"/>
  <c r="L377" i="7"/>
  <c r="C378" i="7"/>
  <c r="D378" i="7"/>
  <c r="E378" i="7"/>
  <c r="G378" i="7" a="1"/>
  <c r="G378" i="7"/>
  <c r="H378" i="7"/>
  <c r="L378" i="7"/>
  <c r="C379" i="7"/>
  <c r="D379" i="7" s="1"/>
  <c r="E379" i="7"/>
  <c r="G379" i="7" a="1"/>
  <c r="G379" i="7" s="1"/>
  <c r="H379" i="7"/>
  <c r="L379" i="7"/>
  <c r="C380" i="7"/>
  <c r="D380" i="7" s="1"/>
  <c r="E380" i="7"/>
  <c r="G380" i="7" a="1"/>
  <c r="G380" i="7" s="1"/>
  <c r="H380" i="7"/>
  <c r="L380" i="7"/>
  <c r="C381" i="7"/>
  <c r="D381" i="7"/>
  <c r="E381" i="7"/>
  <c r="H381" i="7"/>
  <c r="L381" i="7"/>
  <c r="C382" i="7"/>
  <c r="D382" i="7" s="1"/>
  <c r="E382" i="7"/>
  <c r="G382" i="7" a="1"/>
  <c r="G382" i="7"/>
  <c r="H382" i="7"/>
  <c r="L382" i="7"/>
  <c r="C383" i="7"/>
  <c r="D383" i="7" s="1"/>
  <c r="E383" i="7"/>
  <c r="G383" i="7" a="1"/>
  <c r="G383" i="7" s="1"/>
  <c r="H383" i="7"/>
  <c r="L383" i="7"/>
  <c r="C384" i="7"/>
  <c r="D384" i="7" s="1"/>
  <c r="E384" i="7"/>
  <c r="G384" i="7" a="1"/>
  <c r="G384" i="7" s="1"/>
  <c r="H384" i="7"/>
  <c r="L384" i="7"/>
  <c r="C385" i="7"/>
  <c r="D385" i="7" s="1"/>
  <c r="E385" i="7"/>
  <c r="G385" i="7" a="1"/>
  <c r="G385" i="7" s="1"/>
  <c r="H385" i="7"/>
  <c r="L385" i="7"/>
  <c r="C386" i="7"/>
  <c r="D386" i="7" s="1"/>
  <c r="E386" i="7"/>
  <c r="G386" i="7" a="1"/>
  <c r="G386" i="7"/>
  <c r="H386" i="7"/>
  <c r="L386" i="7"/>
  <c r="C387" i="7"/>
  <c r="D387" i="7"/>
  <c r="E387" i="7"/>
  <c r="G387" i="7" a="1"/>
  <c r="G387" i="7" s="1"/>
  <c r="H387" i="7"/>
  <c r="L387" i="7"/>
  <c r="C388" i="7"/>
  <c r="D388" i="7"/>
  <c r="E388" i="7"/>
  <c r="G388" i="7" a="1"/>
  <c r="G388" i="7" s="1"/>
  <c r="H388" i="7"/>
  <c r="L388" i="7"/>
  <c r="C389" i="7"/>
  <c r="D389" i="7" s="1"/>
  <c r="E389" i="7"/>
  <c r="G389" i="7" s="1" a="1"/>
  <c r="G389" i="7" s="1"/>
  <c r="H389" i="7"/>
  <c r="L389" i="7"/>
  <c r="C390" i="7"/>
  <c r="E390" i="7"/>
  <c r="G390" i="7" a="1"/>
  <c r="G390" i="7"/>
  <c r="H390" i="7"/>
  <c r="L390" i="7"/>
  <c r="C391" i="7"/>
  <c r="D391" i="7" s="1"/>
  <c r="E391" i="7"/>
  <c r="G391" i="7" a="1"/>
  <c r="G391" i="7" s="1"/>
  <c r="H391" i="7"/>
  <c r="L391" i="7"/>
  <c r="C392" i="7"/>
  <c r="D392" i="7" s="1"/>
  <c r="E392" i="7"/>
  <c r="G392" i="7" a="1"/>
  <c r="G392" i="7" s="1"/>
  <c r="H392" i="7"/>
  <c r="L392" i="7"/>
  <c r="C393" i="7"/>
  <c r="D393" i="7"/>
  <c r="E393" i="7"/>
  <c r="G393" i="7" a="1"/>
  <c r="G393" i="7" s="1"/>
  <c r="H393" i="7"/>
  <c r="L393" i="7"/>
  <c r="C394" i="7"/>
  <c r="E394" i="7"/>
  <c r="G394" i="7" a="1"/>
  <c r="G394" i="7" s="1"/>
  <c r="H394" i="7"/>
  <c r="L394" i="7"/>
  <c r="C395" i="7"/>
  <c r="D395" i="7" s="1"/>
  <c r="E395" i="7"/>
  <c r="F395" i="7"/>
  <c r="G395" i="7" a="1"/>
  <c r="G395" i="7" s="1"/>
  <c r="H395" i="7"/>
  <c r="L395" i="7"/>
  <c r="C396" i="7"/>
  <c r="D396" i="7"/>
  <c r="E396" i="7"/>
  <c r="F396" i="7"/>
  <c r="G396" i="7" a="1"/>
  <c r="G396" i="7" s="1"/>
  <c r="H396" i="7"/>
  <c r="L396" i="7"/>
  <c r="C397" i="7"/>
  <c r="E397" i="7"/>
  <c r="G397" i="7" s="1" a="1"/>
  <c r="G397" i="7" s="1"/>
  <c r="F397" i="7"/>
  <c r="H397" i="7"/>
  <c r="L397" i="7"/>
  <c r="C398" i="7"/>
  <c r="D398" i="7" s="1"/>
  <c r="E398" i="7"/>
  <c r="F398" i="7"/>
  <c r="G398" i="7" a="1"/>
  <c r="G398" i="7" s="1"/>
  <c r="H398" i="7"/>
  <c r="L398" i="7"/>
  <c r="C399" i="7"/>
  <c r="D399" i="7" s="1"/>
  <c r="E399" i="7"/>
  <c r="F399" i="7"/>
  <c r="F400" i="7" s="1"/>
  <c r="G399" i="7" a="1"/>
  <c r="G399" i="7" s="1"/>
  <c r="H399" i="7"/>
  <c r="L399" i="7"/>
  <c r="C400" i="7"/>
  <c r="D400" i="7" s="1"/>
  <c r="E400" i="7"/>
  <c r="G400" i="7" a="1"/>
  <c r="G400" i="7" s="1"/>
  <c r="H400" i="7"/>
  <c r="L400" i="7"/>
  <c r="C401" i="7"/>
  <c r="D401" i="7"/>
  <c r="E401" i="7"/>
  <c r="F401" i="7" s="1"/>
  <c r="F402" i="7" s="1"/>
  <c r="F403" i="7" s="1"/>
  <c r="F404" i="7" s="1"/>
  <c r="H401" i="7"/>
  <c r="L401" i="7"/>
  <c r="C402" i="7"/>
  <c r="D402" i="7" s="1"/>
  <c r="E402" i="7"/>
  <c r="G402" i="7" a="1"/>
  <c r="G402" i="7"/>
  <c r="H402" i="7"/>
  <c r="L402" i="7"/>
  <c r="C403" i="7"/>
  <c r="E403" i="7"/>
  <c r="G403" i="7" a="1"/>
  <c r="G403" i="7" s="1"/>
  <c r="H403" i="7"/>
  <c r="L403" i="7"/>
  <c r="C404" i="7"/>
  <c r="D404" i="7"/>
  <c r="E404" i="7"/>
  <c r="G404" i="7" a="1"/>
  <c r="G404" i="7" s="1"/>
  <c r="H404" i="7"/>
  <c r="L404" i="7"/>
  <c r="C405" i="7"/>
  <c r="D405" i="7" s="1"/>
  <c r="E405" i="7"/>
  <c r="G405" i="7" s="1" a="1"/>
  <c r="G405" i="7" s="1"/>
  <c r="H405" i="7"/>
  <c r="L405" i="7"/>
  <c r="C406" i="7"/>
  <c r="D406" i="7"/>
  <c r="E406" i="7"/>
  <c r="G406" i="7" a="1"/>
  <c r="G406" i="7" s="1"/>
  <c r="H406" i="7"/>
  <c r="L406" i="7"/>
  <c r="C407" i="7"/>
  <c r="D407" i="7" s="1"/>
  <c r="E407" i="7"/>
  <c r="G407" i="7" a="1"/>
  <c r="G407" i="7" s="1"/>
  <c r="H407" i="7"/>
  <c r="L407" i="7"/>
  <c r="C408" i="7"/>
  <c r="D408" i="7" s="1"/>
  <c r="E408" i="7"/>
  <c r="G408" i="7" a="1"/>
  <c r="G408" i="7" s="1"/>
  <c r="H408" i="7"/>
  <c r="L408" i="7"/>
  <c r="C409" i="7"/>
  <c r="D409" i="7"/>
  <c r="E409" i="7"/>
  <c r="G409" i="7" s="1" a="1"/>
  <c r="G409" i="7" s="1"/>
  <c r="H409" i="7"/>
  <c r="L409" i="7"/>
  <c r="C410" i="7"/>
  <c r="D410" i="7" s="1"/>
  <c r="E410" i="7"/>
  <c r="G410" i="7" a="1"/>
  <c r="G410" i="7"/>
  <c r="H410" i="7"/>
  <c r="L410" i="7"/>
  <c r="C411" i="7"/>
  <c r="D411" i="7"/>
  <c r="E411" i="7"/>
  <c r="G411" i="7" a="1"/>
  <c r="G411" i="7" s="1"/>
  <c r="H411" i="7"/>
  <c r="L411" i="7"/>
  <c r="C412" i="7"/>
  <c r="D412" i="7" s="1"/>
  <c r="E412" i="7"/>
  <c r="G412" i="7" a="1"/>
  <c r="G412" i="7" s="1"/>
  <c r="H412" i="7"/>
  <c r="L412" i="7"/>
  <c r="C413" i="7"/>
  <c r="D413" i="7" s="1"/>
  <c r="E413" i="7"/>
  <c r="G413" i="7" s="1" a="1"/>
  <c r="G413" i="7" s="1"/>
  <c r="H413" i="7"/>
  <c r="L413" i="7"/>
  <c r="C414" i="7"/>
  <c r="D414" i="7"/>
  <c r="E414" i="7"/>
  <c r="G414" i="7" a="1"/>
  <c r="G414" i="7" s="1"/>
  <c r="H414" i="7"/>
  <c r="L414" i="7"/>
  <c r="C415" i="7"/>
  <c r="D415" i="7" s="1"/>
  <c r="E415" i="7"/>
  <c r="G415" i="7" a="1"/>
  <c r="G415" i="7" s="1"/>
  <c r="H415" i="7"/>
  <c r="L415" i="7"/>
  <c r="C416" i="7"/>
  <c r="D416" i="7" s="1"/>
  <c r="E416" i="7"/>
  <c r="G416" i="7" a="1"/>
  <c r="G416" i="7" s="1"/>
  <c r="H416" i="7"/>
  <c r="L416" i="7"/>
  <c r="C417" i="7"/>
  <c r="D417" i="7"/>
  <c r="E417" i="7"/>
  <c r="G417" i="7" a="1"/>
  <c r="G417" i="7" s="1"/>
  <c r="H417" i="7"/>
  <c r="L417" i="7"/>
  <c r="C418" i="7"/>
  <c r="D418" i="7" s="1"/>
  <c r="E418" i="7"/>
  <c r="G418" i="7" a="1"/>
  <c r="G418" i="7" s="1"/>
  <c r="H418" i="7"/>
  <c r="L418" i="7"/>
  <c r="C419" i="7"/>
  <c r="D419" i="7"/>
  <c r="E419" i="7"/>
  <c r="G419" i="7" a="1"/>
  <c r="G419" i="7" s="1"/>
  <c r="H419" i="7"/>
  <c r="L419" i="7"/>
  <c r="C420" i="7"/>
  <c r="D420" i="7"/>
  <c r="E420" i="7"/>
  <c r="G420" i="7" a="1"/>
  <c r="G420" i="7" s="1"/>
  <c r="H420" i="7"/>
  <c r="L420" i="7"/>
  <c r="C421" i="7"/>
  <c r="D421" i="7" s="1"/>
  <c r="E421" i="7"/>
  <c r="G421" i="7" s="1" a="1"/>
  <c r="G421" i="7" s="1"/>
  <c r="H421" i="7"/>
  <c r="L421" i="7"/>
  <c r="C422" i="7"/>
  <c r="E422" i="7"/>
  <c r="G422" i="7" a="1"/>
  <c r="G422" i="7" s="1"/>
  <c r="H422" i="7"/>
  <c r="L422" i="7"/>
  <c r="C423" i="7"/>
  <c r="D423" i="7"/>
  <c r="E423" i="7"/>
  <c r="G423" i="7" a="1"/>
  <c r="G423" i="7"/>
  <c r="H423" i="7"/>
  <c r="L423" i="7"/>
  <c r="C424" i="7"/>
  <c r="D424" i="7" s="1"/>
  <c r="E424" i="7"/>
  <c r="G424" i="7" a="1"/>
  <c r="G424" i="7" s="1"/>
  <c r="H424" i="7"/>
  <c r="L424" i="7"/>
  <c r="C425" i="7"/>
  <c r="D425" i="7" s="1"/>
  <c r="E425" i="7"/>
  <c r="G425" i="7" a="1"/>
  <c r="G425" i="7" s="1"/>
  <c r="H425" i="7"/>
  <c r="L425" i="7"/>
  <c r="C426" i="7"/>
  <c r="D426" i="7"/>
  <c r="E426" i="7"/>
  <c r="G426" i="7" a="1"/>
  <c r="G426" i="7" s="1"/>
  <c r="H426" i="7"/>
  <c r="L426" i="7"/>
  <c r="C427" i="7"/>
  <c r="D427" i="7" s="1"/>
  <c r="E427" i="7"/>
  <c r="G427" i="7" s="1" a="1"/>
  <c r="G427" i="7" s="1"/>
  <c r="H427" i="7"/>
  <c r="L427" i="7"/>
  <c r="C428" i="7"/>
  <c r="D428" i="7" s="1"/>
  <c r="E428" i="7"/>
  <c r="G428" i="7" a="1"/>
  <c r="G428" i="7" s="1"/>
  <c r="H428" i="7"/>
  <c r="L428" i="7"/>
  <c r="C429" i="7"/>
  <c r="D429" i="7"/>
  <c r="E429" i="7"/>
  <c r="G429" i="7" s="1" a="1"/>
  <c r="G429" i="7" s="1"/>
  <c r="H429" i="7"/>
  <c r="L429" i="7"/>
  <c r="C430" i="7"/>
  <c r="D430" i="7" s="1"/>
  <c r="E430" i="7"/>
  <c r="G430" i="7" a="1"/>
  <c r="G430" i="7" s="1"/>
  <c r="H430" i="7"/>
  <c r="L430" i="7"/>
  <c r="C431" i="7"/>
  <c r="D431" i="7" s="1"/>
  <c r="E431" i="7"/>
  <c r="G431" i="7" a="1"/>
  <c r="G431" i="7" s="1"/>
  <c r="H431" i="7"/>
  <c r="L431" i="7"/>
  <c r="C432" i="7"/>
  <c r="D432" i="7" s="1"/>
  <c r="E432" i="7"/>
  <c r="G432" i="7" a="1"/>
  <c r="G432" i="7" s="1"/>
  <c r="H432" i="7"/>
  <c r="L432" i="7"/>
  <c r="C433" i="7"/>
  <c r="D433" i="7"/>
  <c r="E433" i="7"/>
  <c r="G433" i="7" s="1" a="1"/>
  <c r="G433" i="7" s="1"/>
  <c r="H433" i="7"/>
  <c r="L433" i="7"/>
  <c r="C434" i="7"/>
  <c r="D434" i="7"/>
  <c r="E434" i="7"/>
  <c r="G434" i="7" a="1"/>
  <c r="G434" i="7" s="1"/>
  <c r="H434" i="7"/>
  <c r="L434" i="7"/>
  <c r="C435" i="7"/>
  <c r="D435" i="7" s="1"/>
  <c r="E435" i="7"/>
  <c r="G435" i="7" a="1"/>
  <c r="G435" i="7" s="1"/>
  <c r="H435" i="7"/>
  <c r="L435" i="7"/>
  <c r="C436" i="7"/>
  <c r="D436" i="7"/>
  <c r="E436" i="7"/>
  <c r="G436" i="7" a="1"/>
  <c r="G436" i="7" s="1"/>
  <c r="H436" i="7"/>
  <c r="L436" i="7"/>
  <c r="C437" i="7"/>
  <c r="D437" i="7"/>
  <c r="E437" i="7"/>
  <c r="G437" i="7" s="1" a="1"/>
  <c r="G437" i="7"/>
  <c r="H437" i="7"/>
  <c r="L437" i="7"/>
  <c r="C438" i="7"/>
  <c r="D438" i="7" s="1"/>
  <c r="E438" i="7"/>
  <c r="G438" i="7" a="1"/>
  <c r="G438" i="7" s="1"/>
  <c r="H438" i="7"/>
  <c r="L438" i="7"/>
  <c r="C439" i="7"/>
  <c r="D439" i="7"/>
  <c r="E439" i="7"/>
  <c r="G439" i="7" a="1"/>
  <c r="G439" i="7" s="1"/>
  <c r="H439" i="7"/>
  <c r="L439" i="7"/>
  <c r="C440" i="7"/>
  <c r="D440" i="7" s="1"/>
  <c r="E440" i="7"/>
  <c r="H440" i="7"/>
  <c r="L440" i="7"/>
  <c r="C441" i="7"/>
  <c r="D441" i="7"/>
  <c r="E441" i="7"/>
  <c r="H441" i="7"/>
  <c r="L441" i="7"/>
  <c r="C442" i="7"/>
  <c r="D442" i="7"/>
  <c r="E442" i="7"/>
  <c r="H442" i="7"/>
  <c r="L442" i="7"/>
  <c r="C443" i="7"/>
  <c r="E443" i="7"/>
  <c r="H443" i="7"/>
  <c r="L443" i="7"/>
  <c r="C444" i="7"/>
  <c r="E444" i="7"/>
  <c r="G444" i="7" s="1" a="1"/>
  <c r="G444" i="7" s="1"/>
  <c r="H444" i="7"/>
  <c r="L444" i="7"/>
  <c r="C445" i="7"/>
  <c r="D445" i="7"/>
  <c r="E445" i="7"/>
  <c r="H445" i="7"/>
  <c r="L445" i="7"/>
  <c r="C446" i="7"/>
  <c r="E446" i="7"/>
  <c r="G446" i="7" a="1"/>
  <c r="G446" i="7"/>
  <c r="H446" i="7"/>
  <c r="L446" i="7"/>
  <c r="C447" i="7"/>
  <c r="D447" i="7" s="1"/>
  <c r="E447" i="7"/>
  <c r="G447" i="7" a="1"/>
  <c r="G447" i="7" s="1"/>
  <c r="H447" i="7"/>
  <c r="L447" i="7"/>
  <c r="C448" i="7"/>
  <c r="D448" i="7" s="1"/>
  <c r="E448" i="7"/>
  <c r="G448" i="7" a="1"/>
  <c r="G448" i="7"/>
  <c r="H448" i="7"/>
  <c r="L448" i="7"/>
  <c r="C449" i="7"/>
  <c r="D449" i="7" s="1"/>
  <c r="E449" i="7"/>
  <c r="G449" i="7" s="1" a="1"/>
  <c r="G449" i="7" s="1"/>
  <c r="H449" i="7"/>
  <c r="L449" i="7"/>
  <c r="C450" i="7"/>
  <c r="D450" i="7" s="1"/>
  <c r="E450" i="7"/>
  <c r="G450" i="7" a="1"/>
  <c r="G450" i="7" s="1"/>
  <c r="H450" i="7"/>
  <c r="L450" i="7"/>
  <c r="C451" i="7"/>
  <c r="D451" i="7"/>
  <c r="E451" i="7"/>
  <c r="G451" i="7" s="1" a="1"/>
  <c r="G451" i="7" s="1"/>
  <c r="H451" i="7"/>
  <c r="L451" i="7"/>
  <c r="C452" i="7"/>
  <c r="D452" i="7"/>
  <c r="E452" i="7"/>
  <c r="G452" i="7" a="1"/>
  <c r="G452" i="7" s="1"/>
  <c r="H452" i="7"/>
  <c r="L452" i="7"/>
  <c r="C453" i="7"/>
  <c r="D453" i="7" s="1"/>
  <c r="E453" i="7"/>
  <c r="G453" i="7" s="1" a="1"/>
  <c r="G453" i="7"/>
  <c r="H453" i="7"/>
  <c r="L453" i="7"/>
  <c r="C454" i="7"/>
  <c r="D454" i="7"/>
  <c r="E454" i="7"/>
  <c r="G454" i="7" a="1"/>
  <c r="G454" i="7"/>
  <c r="H454" i="7"/>
  <c r="L454" i="7"/>
  <c r="C455" i="7"/>
  <c r="D455" i="7"/>
  <c r="E455" i="7"/>
  <c r="G455" i="7" a="1"/>
  <c r="G455" i="7" s="1"/>
  <c r="H455" i="7"/>
  <c r="L455" i="7"/>
  <c r="C456" i="7"/>
  <c r="D456" i="7" s="1"/>
  <c r="E456" i="7"/>
  <c r="G456" i="7" s="1" a="1"/>
  <c r="G456" i="7" s="1"/>
  <c r="H456" i="7"/>
  <c r="L456" i="7"/>
  <c r="C457" i="7"/>
  <c r="D457" i="7"/>
  <c r="E457" i="7"/>
  <c r="G457" i="7" a="1"/>
  <c r="G457" i="7" s="1"/>
  <c r="H457" i="7"/>
  <c r="L457" i="7"/>
  <c r="C458" i="7"/>
  <c r="D458" i="7"/>
  <c r="E458" i="7"/>
  <c r="H458" i="7"/>
  <c r="L458" i="7"/>
  <c r="C459" i="7"/>
  <c r="D459" i="7"/>
  <c r="E459" i="7"/>
  <c r="G459" i="7" a="1"/>
  <c r="G459" i="7" s="1"/>
  <c r="H459" i="7"/>
  <c r="L459" i="7"/>
  <c r="C460" i="7"/>
  <c r="D460" i="7"/>
  <c r="E460" i="7"/>
  <c r="H460" i="7"/>
  <c r="L460" i="7"/>
  <c r="C461" i="7"/>
  <c r="D461" i="7"/>
  <c r="E461" i="7"/>
  <c r="G461" i="7" s="1" a="1"/>
  <c r="G461" i="7" s="1"/>
  <c r="H461" i="7"/>
  <c r="L461" i="7"/>
  <c r="C462" i="7"/>
  <c r="E462" i="7"/>
  <c r="G462" i="7" s="1" a="1"/>
  <c r="G462" i="7" s="1"/>
  <c r="H462" i="7"/>
  <c r="L462" i="7"/>
  <c r="C463" i="7"/>
  <c r="D463" i="7" s="1"/>
  <c r="E463" i="7"/>
  <c r="G463" i="7" a="1"/>
  <c r="G463" i="7"/>
  <c r="H463" i="7"/>
  <c r="L463" i="7"/>
  <c r="C464" i="7"/>
  <c r="D464" i="7" s="1"/>
  <c r="E464" i="7"/>
  <c r="H464" i="7"/>
  <c r="L464" i="7"/>
  <c r="C465" i="7"/>
  <c r="D465" i="7"/>
  <c r="E465" i="7"/>
  <c r="G465" i="7" a="1"/>
  <c r="G465" i="7"/>
  <c r="H465" i="7"/>
  <c r="L465" i="7"/>
  <c r="C466" i="7"/>
  <c r="D466" i="7" s="1"/>
  <c r="E466" i="7"/>
  <c r="G466" i="7" s="1" a="1"/>
  <c r="G466" i="7" s="1"/>
  <c r="H466" i="7"/>
  <c r="L466" i="7"/>
  <c r="C467" i="7"/>
  <c r="D467" i="7" s="1"/>
  <c r="E467" i="7"/>
  <c r="G467" i="7" a="1"/>
  <c r="G467" i="7" s="1"/>
  <c r="H467" i="7"/>
  <c r="L467" i="7"/>
  <c r="C468" i="7"/>
  <c r="D468" i="7" s="1"/>
  <c r="E468" i="7"/>
  <c r="G468" i="7" a="1"/>
  <c r="G468" i="7" s="1"/>
  <c r="H468" i="7"/>
  <c r="L468" i="7"/>
  <c r="C469" i="7"/>
  <c r="D469" i="7"/>
  <c r="E469" i="7"/>
  <c r="G469" i="7" a="1"/>
  <c r="G469" i="7" s="1"/>
  <c r="H469" i="7"/>
  <c r="L469" i="7"/>
  <c r="C470" i="7"/>
  <c r="E470" i="7"/>
  <c r="G470" i="7" a="1"/>
  <c r="G470" i="7" s="1"/>
  <c r="H470" i="7"/>
  <c r="L470" i="7"/>
  <c r="C471" i="7"/>
  <c r="D471" i="7" s="1"/>
  <c r="E471" i="7"/>
  <c r="G471" i="7" s="1" a="1"/>
  <c r="G471" i="7" s="1"/>
  <c r="H471" i="7"/>
  <c r="L471" i="7"/>
  <c r="C472" i="7"/>
  <c r="D472" i="7"/>
  <c r="E472" i="7"/>
  <c r="H472" i="7"/>
  <c r="L472" i="7"/>
  <c r="C473" i="7"/>
  <c r="D473" i="7"/>
  <c r="E473" i="7"/>
  <c r="H473" i="7"/>
  <c r="L473" i="7"/>
  <c r="C474" i="7"/>
  <c r="D474" i="7" s="1"/>
  <c r="E474" i="7"/>
  <c r="G474" i="7" a="1"/>
  <c r="G474" i="7" s="1"/>
  <c r="H474" i="7"/>
  <c r="L474" i="7"/>
  <c r="C475" i="7"/>
  <c r="D475" i="7" s="1"/>
  <c r="E475" i="7"/>
  <c r="G475" i="7" s="1" a="1"/>
  <c r="G475" i="7" s="1"/>
  <c r="H475" i="7"/>
  <c r="L475" i="7"/>
  <c r="C476" i="7"/>
  <c r="D476" i="7"/>
  <c r="E476" i="7"/>
  <c r="G476" i="7" s="1" a="1"/>
  <c r="G476" i="7" s="1"/>
  <c r="H476" i="7"/>
  <c r="L476" i="7"/>
  <c r="C477" i="7"/>
  <c r="D477" i="7" s="1"/>
  <c r="E477" i="7"/>
  <c r="G477" i="7" a="1"/>
  <c r="G477" i="7"/>
  <c r="H477" i="7"/>
  <c r="L477" i="7"/>
  <c r="C478" i="7"/>
  <c r="E478" i="7"/>
  <c r="G478" i="7" s="1" a="1"/>
  <c r="G478" i="7" s="1"/>
  <c r="H478" i="7"/>
  <c r="L478" i="7"/>
  <c r="C479" i="7"/>
  <c r="D479" i="7" s="1"/>
  <c r="E479" i="7"/>
  <c r="G479" i="7" s="1" a="1"/>
  <c r="G479" i="7" s="1"/>
  <c r="H479" i="7"/>
  <c r="L479" i="7"/>
  <c r="C480" i="7"/>
  <c r="D480" i="7"/>
  <c r="E480" i="7"/>
  <c r="G480" i="7" s="1" a="1"/>
  <c r="G480" i="7" s="1"/>
  <c r="H480" i="7"/>
  <c r="L480" i="7"/>
  <c r="C481" i="7"/>
  <c r="D481" i="7"/>
  <c r="E481" i="7"/>
  <c r="H481" i="7"/>
  <c r="L481" i="7"/>
  <c r="C482" i="7"/>
  <c r="D482" i="7" s="1"/>
  <c r="E482" i="7"/>
  <c r="G482" i="7" a="1"/>
  <c r="G482" i="7" s="1"/>
  <c r="H482" i="7"/>
  <c r="L482" i="7"/>
  <c r="C483" i="7"/>
  <c r="D483" i="7" s="1"/>
  <c r="E483" i="7"/>
  <c r="G483" i="7" s="1" a="1"/>
  <c r="G483" i="7"/>
  <c r="H483" i="7"/>
  <c r="L483" i="7"/>
  <c r="C484" i="7"/>
  <c r="D484" i="7"/>
  <c r="E484" i="7"/>
  <c r="G484" i="7" s="1" a="1"/>
  <c r="G484" i="7"/>
  <c r="H484" i="7"/>
  <c r="L484" i="7"/>
  <c r="C485" i="7"/>
  <c r="E485" i="7"/>
  <c r="G485" i="7" a="1"/>
  <c r="G485" i="7"/>
  <c r="H485" i="7"/>
  <c r="L485" i="7"/>
  <c r="C486" i="7"/>
  <c r="E486" i="7"/>
  <c r="G486" i="7" s="1" a="1"/>
  <c r="G486" i="7" s="1"/>
  <c r="H486" i="7"/>
  <c r="L486" i="7"/>
  <c r="C487" i="7"/>
  <c r="D487" i="7" s="1"/>
  <c r="E487" i="7"/>
  <c r="G487" i="7" s="1" a="1"/>
  <c r="G487" i="7" s="1"/>
  <c r="H487" i="7"/>
  <c r="L487" i="7"/>
  <c r="C488" i="7"/>
  <c r="E488" i="7"/>
  <c r="G488" i="7" s="1" a="1"/>
  <c r="G488" i="7" s="1"/>
  <c r="H488" i="7"/>
  <c r="L488" i="7"/>
  <c r="C489" i="7"/>
  <c r="D489" i="7" s="1"/>
  <c r="E489" i="7"/>
  <c r="H489" i="7"/>
  <c r="L489" i="7"/>
  <c r="C490" i="7"/>
  <c r="D490" i="7" s="1"/>
  <c r="E490" i="7"/>
  <c r="G490" i="7" a="1"/>
  <c r="G490" i="7" s="1"/>
  <c r="H490" i="7"/>
  <c r="L490" i="7"/>
  <c r="C491" i="7"/>
  <c r="D491" i="7" s="1"/>
  <c r="E491" i="7"/>
  <c r="G491" i="7" s="1" a="1"/>
  <c r="G491" i="7" s="1"/>
  <c r="H491" i="7"/>
  <c r="L491" i="7"/>
  <c r="C492" i="7"/>
  <c r="D492" i="7"/>
  <c r="E492" i="7"/>
  <c r="G492" i="7" s="1" a="1"/>
  <c r="G492" i="7" s="1"/>
  <c r="H492" i="7"/>
  <c r="L492" i="7"/>
  <c r="C493" i="7"/>
  <c r="E493" i="7"/>
  <c r="G493" i="7" a="1"/>
  <c r="G493" i="7" s="1"/>
  <c r="H493" i="7"/>
  <c r="L493" i="7"/>
  <c r="C494" i="7"/>
  <c r="E494" i="7"/>
  <c r="G494" i="7" a="1"/>
  <c r="G494" i="7" s="1"/>
  <c r="H494" i="7"/>
  <c r="L494" i="7"/>
  <c r="C495" i="7"/>
  <c r="E495" i="7"/>
  <c r="G495" i="7" s="1" a="1"/>
  <c r="G495" i="7" s="1"/>
  <c r="H495" i="7"/>
  <c r="L495" i="7"/>
  <c r="C496" i="7"/>
  <c r="D496" i="7"/>
  <c r="E496" i="7"/>
  <c r="G496" i="7" s="1" a="1"/>
  <c r="G496" i="7" s="1"/>
  <c r="H496" i="7"/>
  <c r="L496" i="7"/>
  <c r="C497" i="7"/>
  <c r="D497" i="7"/>
  <c r="E497" i="7"/>
  <c r="H497" i="7"/>
  <c r="L497" i="7"/>
  <c r="C498" i="7"/>
  <c r="D498" i="7" s="1"/>
  <c r="E498" i="7"/>
  <c r="G498" i="7" a="1"/>
  <c r="G498" i="7" s="1"/>
  <c r="H498" i="7"/>
  <c r="L498" i="7"/>
  <c r="C499" i="7"/>
  <c r="D499" i="7" s="1"/>
  <c r="E499" i="7"/>
  <c r="G499" i="7" s="1" a="1"/>
  <c r="G499" i="7"/>
  <c r="H499" i="7"/>
  <c r="L499" i="7"/>
  <c r="C500" i="7"/>
  <c r="D500" i="7" s="1"/>
  <c r="E500" i="7"/>
  <c r="G500" i="7" s="1" a="1"/>
  <c r="G500" i="7" s="1"/>
  <c r="H500" i="7"/>
  <c r="L500" i="7"/>
  <c r="C501" i="7"/>
  <c r="E501" i="7"/>
  <c r="G501" i="7" a="1"/>
  <c r="G501" i="7" s="1"/>
  <c r="H501" i="7"/>
  <c r="L501" i="7"/>
  <c r="C502" i="7"/>
  <c r="E502" i="7"/>
  <c r="H502" i="7"/>
  <c r="L502" i="7"/>
  <c r="C503" i="7"/>
  <c r="E503" i="7"/>
  <c r="G503" i="7" s="1" a="1"/>
  <c r="G503" i="7" s="1"/>
  <c r="H503" i="7"/>
  <c r="L503" i="7"/>
  <c r="C504" i="7"/>
  <c r="D504" i="7" s="1"/>
  <c r="E504" i="7"/>
  <c r="G504" i="7" s="1" a="1"/>
  <c r="G504" i="7" s="1"/>
  <c r="H504" i="7"/>
  <c r="L504" i="7"/>
  <c r="C505" i="7"/>
  <c r="D505" i="7" s="1"/>
  <c r="E505" i="7"/>
  <c r="H505" i="7"/>
  <c r="L505" i="7"/>
  <c r="C506" i="7"/>
  <c r="D506" i="7" s="1"/>
  <c r="E506" i="7"/>
  <c r="G506" i="7" a="1"/>
  <c r="G506" i="7" s="1"/>
  <c r="H506" i="7"/>
  <c r="L506" i="7"/>
  <c r="C507" i="7"/>
  <c r="D507" i="7" s="1"/>
  <c r="E507" i="7"/>
  <c r="G507" i="7" s="1" a="1"/>
  <c r="G507" i="7" s="1"/>
  <c r="H507" i="7"/>
  <c r="L507" i="7"/>
  <c r="C508" i="7"/>
  <c r="D508" i="7" s="1"/>
  <c r="E508" i="7"/>
  <c r="G508" i="7" s="1" a="1"/>
  <c r="G508" i="7" s="1"/>
  <c r="H508" i="7"/>
  <c r="L508" i="7"/>
  <c r="C509" i="7"/>
  <c r="E509" i="7"/>
  <c r="G509" i="7" a="1"/>
  <c r="G509" i="7" s="1"/>
  <c r="H509" i="7"/>
  <c r="L509" i="7"/>
  <c r="C510" i="7"/>
  <c r="E510" i="7"/>
  <c r="H510" i="7"/>
  <c r="L510" i="7"/>
  <c r="C511" i="7"/>
  <c r="E511" i="7"/>
  <c r="H511" i="7"/>
  <c r="L511" i="7"/>
  <c r="C512" i="7"/>
  <c r="D512" i="7" s="1"/>
  <c r="E512" i="7"/>
  <c r="G512" i="7" s="1" a="1"/>
  <c r="G512" i="7" s="1"/>
  <c r="H512" i="7"/>
  <c r="L512" i="7"/>
  <c r="C513" i="7"/>
  <c r="D513" i="7" s="1"/>
  <c r="E513" i="7"/>
  <c r="H513" i="7"/>
  <c r="L513" i="7"/>
  <c r="C514" i="7"/>
  <c r="D514" i="7" s="1"/>
  <c r="E514" i="7"/>
  <c r="G514" i="7" a="1"/>
  <c r="G514" i="7" s="1"/>
  <c r="H514" i="7"/>
  <c r="L514" i="7"/>
  <c r="C515" i="7"/>
  <c r="D515" i="7" s="1"/>
  <c r="E515" i="7"/>
  <c r="G515" i="7" s="1" a="1"/>
  <c r="G515" i="7" s="1"/>
  <c r="H515" i="7"/>
  <c r="L515" i="7"/>
  <c r="C516" i="7"/>
  <c r="D516" i="7" s="1"/>
  <c r="E516" i="7"/>
  <c r="G516" i="7" s="1" a="1"/>
  <c r="G516" i="7" s="1"/>
  <c r="H516" i="7"/>
  <c r="L516" i="7"/>
  <c r="C517" i="7"/>
  <c r="E517" i="7"/>
  <c r="G517" i="7" a="1"/>
  <c r="G517" i="7"/>
  <c r="H517" i="7"/>
  <c r="L517" i="7"/>
  <c r="C518" i="7"/>
  <c r="E518" i="7"/>
  <c r="H518" i="7"/>
  <c r="L518" i="7"/>
  <c r="C519" i="7"/>
  <c r="E519" i="7"/>
  <c r="H519" i="7"/>
  <c r="L519" i="7"/>
  <c r="C520" i="7"/>
  <c r="D520" i="7"/>
  <c r="E520" i="7"/>
  <c r="G520" i="7" s="1" a="1"/>
  <c r="G520" i="7" s="1"/>
  <c r="H520" i="7"/>
  <c r="L520" i="7"/>
  <c r="C521" i="7"/>
  <c r="D521" i="7" s="1"/>
  <c r="E521" i="7"/>
  <c r="G521" i="7" s="1" a="1"/>
  <c r="G521" i="7" s="1"/>
  <c r="H521" i="7"/>
  <c r="L521" i="7"/>
  <c r="C522" i="7"/>
  <c r="E522" i="7"/>
  <c r="G522" i="7" a="1"/>
  <c r="G522" i="7" s="1"/>
  <c r="H522" i="7"/>
  <c r="L522" i="7"/>
  <c r="C523" i="7"/>
  <c r="D523" i="7" s="1"/>
  <c r="E523" i="7"/>
  <c r="G523" i="7" s="1" a="1"/>
  <c r="G523" i="7"/>
  <c r="H523" i="7"/>
  <c r="L523" i="7"/>
  <c r="C524" i="7"/>
  <c r="D524" i="7" s="1"/>
  <c r="E524" i="7"/>
  <c r="G524" i="7" s="1" a="1"/>
  <c r="G524" i="7"/>
  <c r="H524" i="7"/>
  <c r="L524" i="7"/>
  <c r="C525" i="7"/>
  <c r="E525" i="7"/>
  <c r="G525" i="7" a="1"/>
  <c r="G525" i="7"/>
  <c r="H525" i="7"/>
  <c r="L525" i="7"/>
  <c r="C526" i="7"/>
  <c r="E526" i="7"/>
  <c r="H526" i="7"/>
  <c r="L526" i="7"/>
  <c r="C527" i="7"/>
  <c r="E527" i="7"/>
  <c r="H527" i="7"/>
  <c r="L527" i="7"/>
  <c r="C528" i="7"/>
  <c r="D528" i="7" s="1"/>
  <c r="E528" i="7"/>
  <c r="G528" i="7" s="1" a="1"/>
  <c r="G528" i="7" s="1"/>
  <c r="H528" i="7"/>
  <c r="L528" i="7"/>
  <c r="C529" i="7"/>
  <c r="E529" i="7"/>
  <c r="G529" i="7" s="1" a="1"/>
  <c r="G529" i="7" s="1"/>
  <c r="H529" i="7"/>
  <c r="L529" i="7"/>
  <c r="C530" i="7"/>
  <c r="D530" i="7" s="1"/>
  <c r="E530" i="7"/>
  <c r="G530" i="7" a="1"/>
  <c r="G530" i="7" s="1"/>
  <c r="H530" i="7"/>
  <c r="L530" i="7"/>
  <c r="C531" i="7"/>
  <c r="D531" i="7" s="1"/>
  <c r="E531" i="7"/>
  <c r="G531" i="7" s="1" a="1"/>
  <c r="G531" i="7"/>
  <c r="H531" i="7"/>
  <c r="L531" i="7"/>
  <c r="C532" i="7"/>
  <c r="D532" i="7" s="1"/>
  <c r="E532" i="7"/>
  <c r="G532" i="7" s="1" a="1"/>
  <c r="G532" i="7"/>
  <c r="H532" i="7"/>
  <c r="L532" i="7"/>
  <c r="C533" i="7"/>
  <c r="E533" i="7"/>
  <c r="G533" i="7" a="1"/>
  <c r="G533" i="7"/>
  <c r="H533" i="7"/>
  <c r="L533" i="7"/>
  <c r="C534" i="7"/>
  <c r="E534" i="7"/>
  <c r="H534" i="7"/>
  <c r="L534" i="7"/>
  <c r="C535" i="7"/>
  <c r="D535" i="7" s="1"/>
  <c r="E535" i="7"/>
  <c r="H535" i="7"/>
  <c r="L535" i="7"/>
  <c r="C536" i="7"/>
  <c r="D536" i="7"/>
  <c r="E536" i="7"/>
  <c r="H536" i="7"/>
  <c r="L536" i="7"/>
  <c r="C537" i="7"/>
  <c r="D537" i="7"/>
  <c r="E537" i="7"/>
  <c r="G537" i="7" s="1" a="1"/>
  <c r="G537" i="7" s="1"/>
  <c r="H537" i="7"/>
  <c r="L537" i="7"/>
  <c r="C538" i="7"/>
  <c r="D538" i="7"/>
  <c r="E538" i="7"/>
  <c r="G538" i="7" a="1"/>
  <c r="G538" i="7" s="1"/>
  <c r="H538" i="7"/>
  <c r="L538" i="7"/>
  <c r="C539" i="7"/>
  <c r="D539" i="7" s="1"/>
  <c r="E539" i="7"/>
  <c r="G539" i="7" s="1" a="1"/>
  <c r="G539" i="7"/>
  <c r="H539" i="7"/>
  <c r="L539" i="7"/>
  <c r="C540" i="7"/>
  <c r="D540" i="7" s="1"/>
  <c r="E540" i="7"/>
  <c r="G540" i="7" s="1" a="1"/>
  <c r="G540" i="7" s="1"/>
  <c r="H540" i="7"/>
  <c r="L540" i="7"/>
  <c r="C541" i="7"/>
  <c r="D541" i="7" s="1"/>
  <c r="E541" i="7"/>
  <c r="G541" i="7" a="1"/>
  <c r="G541" i="7" s="1"/>
  <c r="H541" i="7"/>
  <c r="L541" i="7"/>
  <c r="C542" i="7"/>
  <c r="E542" i="7"/>
  <c r="G542" i="7" a="1"/>
  <c r="G542" i="7"/>
  <c r="H542" i="7"/>
  <c r="L542" i="7"/>
  <c r="C543" i="7"/>
  <c r="E543" i="7"/>
  <c r="H543" i="7"/>
  <c r="L543" i="7"/>
  <c r="C544" i="7"/>
  <c r="D544" i="7" s="1"/>
  <c r="E544" i="7"/>
  <c r="G544" i="7" s="1" a="1"/>
  <c r="G544" i="7" s="1"/>
  <c r="H544" i="7"/>
  <c r="L544" i="7"/>
  <c r="C545" i="7"/>
  <c r="D545" i="7" s="1"/>
  <c r="E545" i="7"/>
  <c r="G545" i="7" s="1" a="1"/>
  <c r="G545" i="7" s="1"/>
  <c r="H545" i="7"/>
  <c r="L545" i="7"/>
  <c r="C546" i="7"/>
  <c r="D546" i="7" s="1"/>
  <c r="E546" i="7"/>
  <c r="G546" i="7" a="1"/>
  <c r="G546" i="7" s="1"/>
  <c r="H546" i="7"/>
  <c r="L546" i="7"/>
  <c r="C547" i="7"/>
  <c r="D547" i="7" s="1"/>
  <c r="E547" i="7"/>
  <c r="G547" i="7" s="1" a="1"/>
  <c r="G547" i="7" s="1"/>
  <c r="H547" i="7"/>
  <c r="L547" i="7"/>
  <c r="C548" i="7"/>
  <c r="D548" i="7" s="1"/>
  <c r="E548" i="7"/>
  <c r="G548" i="7" s="1" a="1"/>
  <c r="G548" i="7"/>
  <c r="H548" i="7"/>
  <c r="L548" i="7"/>
  <c r="C549" i="7"/>
  <c r="D549" i="7" s="1"/>
  <c r="E549" i="7"/>
  <c r="G549" i="7" a="1"/>
  <c r="G549" i="7" s="1"/>
  <c r="H549" i="7"/>
  <c r="L549" i="7"/>
  <c r="C550" i="7"/>
  <c r="E550" i="7"/>
  <c r="H550" i="7"/>
  <c r="L550" i="7"/>
  <c r="C551" i="7"/>
  <c r="D551" i="7" s="1"/>
  <c r="E551" i="7"/>
  <c r="H551" i="7"/>
  <c r="L551" i="7"/>
  <c r="C552" i="7"/>
  <c r="D552" i="7" s="1"/>
  <c r="E552" i="7"/>
  <c r="G552" i="7" s="1" a="1"/>
  <c r="G552" i="7" s="1"/>
  <c r="H552" i="7"/>
  <c r="L552" i="7"/>
  <c r="C553" i="7"/>
  <c r="E553" i="7"/>
  <c r="G553" i="7" s="1" a="1"/>
  <c r="G553" i="7" s="1"/>
  <c r="H553" i="7"/>
  <c r="L553" i="7"/>
  <c r="C554" i="7"/>
  <c r="D554" i="7" s="1"/>
  <c r="E554" i="7"/>
  <c r="G554" i="7" a="1"/>
  <c r="G554" i="7" s="1"/>
  <c r="H554" i="7"/>
  <c r="L554" i="7"/>
  <c r="C555" i="7"/>
  <c r="D555" i="7" s="1"/>
  <c r="E555" i="7"/>
  <c r="G555" i="7" s="1" a="1"/>
  <c r="G555" i="7"/>
  <c r="H555" i="7"/>
  <c r="L555" i="7"/>
  <c r="C556" i="7"/>
  <c r="D556" i="7" s="1"/>
  <c r="E556" i="7"/>
  <c r="G556" i="7" s="1" a="1"/>
  <c r="G556" i="7"/>
  <c r="H556" i="7"/>
  <c r="L556" i="7"/>
  <c r="C557" i="7"/>
  <c r="E557" i="7"/>
  <c r="G557" i="7" a="1"/>
  <c r="G557" i="7"/>
  <c r="H557" i="7"/>
  <c r="L557" i="7"/>
  <c r="C558" i="7"/>
  <c r="E558" i="7"/>
  <c r="H558" i="7"/>
  <c r="L558" i="7"/>
  <c r="C559" i="7"/>
  <c r="D559" i="7" s="1"/>
  <c r="E559" i="7"/>
  <c r="H559" i="7"/>
  <c r="L559" i="7"/>
  <c r="C560" i="7"/>
  <c r="D560" i="7"/>
  <c r="E560" i="7"/>
  <c r="H560" i="7"/>
  <c r="L560" i="7"/>
  <c r="C561" i="7"/>
  <c r="D561" i="7"/>
  <c r="E561" i="7"/>
  <c r="G561" i="7" s="1" a="1"/>
  <c r="G561" i="7" s="1"/>
  <c r="H561" i="7"/>
  <c r="L561" i="7"/>
  <c r="C562" i="7"/>
  <c r="D562" i="7"/>
  <c r="E562" i="7"/>
  <c r="G562" i="7" a="1"/>
  <c r="G562" i="7" s="1"/>
  <c r="H562" i="7"/>
  <c r="L562" i="7"/>
  <c r="C563" i="7"/>
  <c r="D563" i="7" s="1"/>
  <c r="E563" i="7"/>
  <c r="H563" i="7"/>
  <c r="L563" i="7"/>
  <c r="C564" i="7"/>
  <c r="D564" i="7" s="1"/>
  <c r="E564" i="7"/>
  <c r="G564" i="7" s="1" a="1"/>
  <c r="G564" i="7" s="1"/>
  <c r="H564" i="7"/>
  <c r="L564" i="7"/>
  <c r="C565" i="7"/>
  <c r="D565" i="7" s="1"/>
  <c r="E565" i="7"/>
  <c r="G565" i="7" a="1"/>
  <c r="G565" i="7"/>
  <c r="H565" i="7"/>
  <c r="L565" i="7"/>
  <c r="C566" i="7"/>
  <c r="E566" i="7"/>
  <c r="G566" i="7" a="1"/>
  <c r="G566" i="7" s="1"/>
  <c r="H566" i="7"/>
  <c r="L566" i="7"/>
  <c r="C567" i="7"/>
  <c r="E567" i="7"/>
  <c r="H567" i="7"/>
  <c r="L567" i="7"/>
  <c r="C568" i="7"/>
  <c r="D568" i="7" s="1"/>
  <c r="E568" i="7"/>
  <c r="G568" i="7" s="1" a="1"/>
  <c r="G568" i="7" s="1"/>
  <c r="H568" i="7"/>
  <c r="L568" i="7"/>
  <c r="C569" i="7"/>
  <c r="D569" i="7" s="1"/>
  <c r="E569" i="7"/>
  <c r="G569" i="7" s="1" a="1"/>
  <c r="G569" i="7" s="1"/>
  <c r="H569" i="7"/>
  <c r="L569" i="7"/>
  <c r="C570" i="7"/>
  <c r="D570" i="7"/>
  <c r="E570" i="7"/>
  <c r="G570" i="7" a="1"/>
  <c r="G570" i="7" s="1"/>
  <c r="H570" i="7"/>
  <c r="L570" i="7"/>
  <c r="C571" i="7"/>
  <c r="D571" i="7" s="1"/>
  <c r="E571" i="7"/>
  <c r="G571" i="7" s="1" a="1"/>
  <c r="G571" i="7" s="1"/>
  <c r="H571" i="7"/>
  <c r="L571" i="7"/>
  <c r="C572" i="7"/>
  <c r="D572" i="7" s="1"/>
  <c r="E572" i="7"/>
  <c r="G572" i="7" s="1" a="1"/>
  <c r="G572" i="7" s="1"/>
  <c r="H572" i="7"/>
  <c r="L572" i="7"/>
  <c r="C573" i="7"/>
  <c r="D573" i="7"/>
  <c r="E573" i="7"/>
  <c r="G573" i="7" a="1"/>
  <c r="G573" i="7"/>
  <c r="H573" i="7"/>
  <c r="L573" i="7"/>
  <c r="C574" i="7"/>
  <c r="E574" i="7"/>
  <c r="G574" i="7" a="1"/>
  <c r="G574" i="7" s="1"/>
  <c r="H574" i="7"/>
  <c r="L574" i="7"/>
  <c r="C575" i="7"/>
  <c r="D575" i="7" s="1"/>
  <c r="E575" i="7"/>
  <c r="G575" i="7" a="1"/>
  <c r="G575" i="7" s="1"/>
  <c r="H575" i="7"/>
  <c r="L575" i="7"/>
  <c r="C576" i="7"/>
  <c r="D576" i="7"/>
  <c r="E576" i="7"/>
  <c r="G576" i="7" s="1" a="1"/>
  <c r="G576" i="7"/>
  <c r="H576" i="7"/>
  <c r="L576" i="7"/>
  <c r="C577" i="7"/>
  <c r="E577" i="7"/>
  <c r="G577" i="7" s="1" a="1"/>
  <c r="G577" i="7" s="1"/>
  <c r="H577" i="7"/>
  <c r="L577" i="7"/>
  <c r="C578" i="7"/>
  <c r="D578" i="7" s="1"/>
  <c r="E578" i="7"/>
  <c r="G578" i="7" a="1"/>
  <c r="G578" i="7" s="1"/>
  <c r="H578" i="7"/>
  <c r="L578" i="7"/>
  <c r="C579" i="7"/>
  <c r="D579" i="7" s="1"/>
  <c r="E579" i="7"/>
  <c r="G579" i="7" s="1" a="1"/>
  <c r="G579" i="7" s="1"/>
  <c r="H579" i="7"/>
  <c r="L579" i="7"/>
  <c r="C580" i="7"/>
  <c r="E580" i="7"/>
  <c r="G580" i="7" s="1" a="1"/>
  <c r="G580" i="7" s="1"/>
  <c r="H580" i="7"/>
  <c r="L580" i="7"/>
  <c r="C581" i="7"/>
  <c r="D581" i="7"/>
  <c r="E581" i="7"/>
  <c r="G581" i="7" a="1"/>
  <c r="G581" i="7" s="1"/>
  <c r="H581" i="7"/>
  <c r="L581" i="7"/>
  <c r="C582" i="7"/>
  <c r="E582" i="7"/>
  <c r="G582" i="7" a="1"/>
  <c r="G582" i="7" s="1"/>
  <c r="H582" i="7"/>
  <c r="L582" i="7"/>
  <c r="C583" i="7"/>
  <c r="E583" i="7"/>
  <c r="G583" i="7" a="1"/>
  <c r="G583" i="7" s="1"/>
  <c r="H583" i="7"/>
  <c r="L583" i="7"/>
  <c r="C584" i="7"/>
  <c r="D584" i="7"/>
  <c r="E584" i="7"/>
  <c r="G584" i="7" s="1" a="1"/>
  <c r="G584" i="7" s="1"/>
  <c r="H584" i="7"/>
  <c r="L584" i="7"/>
  <c r="C585" i="7"/>
  <c r="D585" i="7"/>
  <c r="E585" i="7"/>
  <c r="G585" i="7" s="1" a="1"/>
  <c r="G585" i="7" s="1"/>
  <c r="H585" i="7"/>
  <c r="L585" i="7"/>
  <c r="C586" i="7"/>
  <c r="D586" i="7" s="1"/>
  <c r="E586" i="7"/>
  <c r="G586" i="7" a="1"/>
  <c r="G586" i="7" s="1"/>
  <c r="H586" i="7"/>
  <c r="L586" i="7"/>
  <c r="C587" i="7"/>
  <c r="D587" i="7" s="1"/>
  <c r="E587" i="7"/>
  <c r="G587" i="7" s="1" a="1"/>
  <c r="G587" i="7"/>
  <c r="H587" i="7"/>
  <c r="L587" i="7"/>
  <c r="C588" i="7"/>
  <c r="D588" i="7" s="1"/>
  <c r="E588" i="7"/>
  <c r="G588" i="7" s="1" a="1"/>
  <c r="G588" i="7"/>
  <c r="H588" i="7"/>
  <c r="L588" i="7"/>
  <c r="C589" i="7"/>
  <c r="D589" i="7" s="1"/>
  <c r="E589" i="7"/>
  <c r="G589" i="7" a="1"/>
  <c r="G589" i="7" s="1"/>
  <c r="H589" i="7"/>
  <c r="L589" i="7"/>
  <c r="C590" i="7"/>
  <c r="E590" i="7"/>
  <c r="H590" i="7"/>
  <c r="L590" i="7"/>
  <c r="C591" i="7"/>
  <c r="D591" i="7" s="1"/>
  <c r="E591" i="7"/>
  <c r="G591" i="7" s="1" a="1"/>
  <c r="G591" i="7" s="1"/>
  <c r="H591" i="7"/>
  <c r="L591" i="7"/>
  <c r="C592" i="7"/>
  <c r="D592" i="7"/>
  <c r="E592" i="7"/>
  <c r="G592" i="7" s="1" a="1"/>
  <c r="G592" i="7"/>
  <c r="H592" i="7"/>
  <c r="L592" i="7"/>
  <c r="C593" i="7"/>
  <c r="D593" i="7"/>
  <c r="E593" i="7"/>
  <c r="H593" i="7"/>
  <c r="L593" i="7"/>
  <c r="C594" i="7"/>
  <c r="D594" i="7"/>
  <c r="E594" i="7"/>
  <c r="G594" i="7" a="1"/>
  <c r="G594" i="7" s="1"/>
  <c r="H594" i="7"/>
  <c r="L594" i="7"/>
  <c r="C595" i="7"/>
  <c r="D595" i="7" s="1"/>
  <c r="E595" i="7"/>
  <c r="G595" i="7" s="1" a="1"/>
  <c r="G595" i="7" s="1"/>
  <c r="H595" i="7"/>
  <c r="L595" i="7"/>
  <c r="C596" i="7"/>
  <c r="D596" i="7" s="1"/>
  <c r="E596" i="7"/>
  <c r="G596" i="7" s="1" a="1"/>
  <c r="G596" i="7" s="1"/>
  <c r="H596" i="7"/>
  <c r="L596" i="7"/>
  <c r="C597" i="7"/>
  <c r="D597" i="7"/>
  <c r="E597" i="7"/>
  <c r="H597" i="7"/>
  <c r="L597" i="7"/>
  <c r="C598" i="7"/>
  <c r="E598" i="7"/>
  <c r="G598" i="7" s="1" a="1"/>
  <c r="G598" i="7" s="1"/>
  <c r="H598" i="7"/>
  <c r="L598" i="7"/>
  <c r="C599" i="7"/>
  <c r="D599" i="7" s="1"/>
  <c r="E599" i="7"/>
  <c r="G599" i="7" a="1"/>
  <c r="G599" i="7" s="1"/>
  <c r="H599" i="7"/>
  <c r="L599" i="7"/>
  <c r="C600" i="7"/>
  <c r="D600" i="7" s="1"/>
  <c r="E600" i="7"/>
  <c r="G600" i="7" s="1" a="1"/>
  <c r="G600" i="7" s="1"/>
  <c r="H600" i="7"/>
  <c r="L600" i="7"/>
  <c r="C601" i="7"/>
  <c r="D601" i="7"/>
  <c r="E601" i="7"/>
  <c r="G601" i="7" s="1" a="1"/>
  <c r="G601" i="7"/>
  <c r="H601" i="7"/>
  <c r="L601" i="7"/>
  <c r="C602" i="7"/>
  <c r="D602" i="7"/>
  <c r="E602" i="7"/>
  <c r="G602" i="7" a="1"/>
  <c r="G602" i="7"/>
  <c r="H602" i="7"/>
  <c r="L602" i="7"/>
  <c r="C603" i="7"/>
  <c r="D603" i="7" s="1"/>
  <c r="E603" i="7"/>
  <c r="G603" i="7" s="1" a="1"/>
  <c r="G603" i="7"/>
  <c r="H603" i="7"/>
  <c r="L603" i="7"/>
  <c r="C604" i="7"/>
  <c r="D604" i="7" s="1"/>
  <c r="E604" i="7"/>
  <c r="G604" i="7" s="1" a="1"/>
  <c r="G604" i="7"/>
  <c r="H604" i="7"/>
  <c r="L604" i="7"/>
  <c r="C605" i="7"/>
  <c r="D605" i="7" s="1"/>
  <c r="E605" i="7"/>
  <c r="G605" i="7" a="1"/>
  <c r="G605" i="7" s="1"/>
  <c r="H605" i="7"/>
  <c r="L605" i="7"/>
  <c r="C606" i="7"/>
  <c r="E606" i="7"/>
  <c r="H606" i="7"/>
  <c r="L606" i="7"/>
  <c r="C607" i="7"/>
  <c r="D607" i="7" s="1"/>
  <c r="E607" i="7"/>
  <c r="G607" i="7" s="1" a="1"/>
  <c r="G607" i="7" s="1"/>
  <c r="H607" i="7"/>
  <c r="L607" i="7"/>
  <c r="C608" i="7"/>
  <c r="D608" i="7"/>
  <c r="E608" i="7"/>
  <c r="G608" i="7" s="1" a="1"/>
  <c r="G608" i="7"/>
  <c r="H608" i="7"/>
  <c r="L608" i="7"/>
  <c r="C609" i="7"/>
  <c r="D609" i="7" s="1"/>
  <c r="E609" i="7"/>
  <c r="H609" i="7"/>
  <c r="L609" i="7"/>
  <c r="C610" i="7"/>
  <c r="D610" i="7"/>
  <c r="E610" i="7"/>
  <c r="G610" i="7" a="1"/>
  <c r="G610" i="7" s="1"/>
  <c r="H610" i="7"/>
  <c r="L610" i="7"/>
  <c r="C611" i="7"/>
  <c r="D611" i="7" s="1"/>
  <c r="E611" i="7"/>
  <c r="G611" i="7" s="1" a="1"/>
  <c r="G611" i="7" s="1"/>
  <c r="H611" i="7"/>
  <c r="L611" i="7"/>
  <c r="C612" i="7"/>
  <c r="D612" i="7" s="1"/>
  <c r="E612" i="7"/>
  <c r="G612" i="7" s="1" a="1"/>
  <c r="G612" i="7" s="1"/>
  <c r="H612" i="7"/>
  <c r="L612" i="7"/>
  <c r="C613" i="7"/>
  <c r="D613" i="7"/>
  <c r="E613" i="7"/>
  <c r="H613" i="7"/>
  <c r="L613" i="7"/>
  <c r="C614" i="7"/>
  <c r="E614" i="7"/>
  <c r="H614" i="7"/>
  <c r="L614" i="7"/>
  <c r="C615" i="7"/>
  <c r="D615" i="7" s="1"/>
  <c r="E615" i="7"/>
  <c r="G615" i="7" s="1" a="1"/>
  <c r="G615" i="7"/>
  <c r="H615" i="7"/>
  <c r="L615" i="7"/>
  <c r="C616" i="7"/>
  <c r="D616" i="7" s="1"/>
  <c r="E616" i="7"/>
  <c r="G616" i="7" s="1" a="1"/>
  <c r="G616" i="7" s="1"/>
  <c r="H616" i="7"/>
  <c r="L616" i="7"/>
  <c r="C617" i="7"/>
  <c r="D617" i="7"/>
  <c r="E617" i="7"/>
  <c r="G617" i="7" s="1" a="1"/>
  <c r="G617" i="7"/>
  <c r="H617" i="7"/>
  <c r="L617" i="7"/>
  <c r="C618" i="7"/>
  <c r="D618" i="7"/>
  <c r="E618" i="7"/>
  <c r="G618" i="7" a="1"/>
  <c r="G618" i="7"/>
  <c r="H618" i="7"/>
  <c r="L618" i="7"/>
  <c r="C619" i="7"/>
  <c r="D619" i="7" s="1"/>
  <c r="E619" i="7"/>
  <c r="G619" i="7" s="1" a="1"/>
  <c r="G619" i="7" s="1"/>
  <c r="H619" i="7"/>
  <c r="L619" i="7"/>
  <c r="C620" i="7"/>
  <c r="D620" i="7" s="1"/>
  <c r="E620" i="7"/>
  <c r="G620" i="7" s="1" a="1"/>
  <c r="G620" i="7"/>
  <c r="H620" i="7"/>
  <c r="L620" i="7"/>
  <c r="C621" i="7"/>
  <c r="D621" i="7" s="1"/>
  <c r="E621" i="7"/>
  <c r="G621" i="7" a="1"/>
  <c r="G621" i="7" s="1"/>
  <c r="H621" i="7"/>
  <c r="L621" i="7"/>
  <c r="C622" i="7"/>
  <c r="E622" i="7"/>
  <c r="H622" i="7"/>
  <c r="L622" i="7"/>
  <c r="C623" i="7"/>
  <c r="D623" i="7" s="1"/>
  <c r="E623" i="7"/>
  <c r="G623" i="7" s="1" a="1"/>
  <c r="G623" i="7" s="1"/>
  <c r="H623" i="7"/>
  <c r="L623" i="7"/>
  <c r="C624" i="7"/>
  <c r="D624" i="7"/>
  <c r="E624" i="7"/>
  <c r="G624" i="7" s="1" a="1"/>
  <c r="G624" i="7"/>
  <c r="H624" i="7"/>
  <c r="L624" i="7"/>
  <c r="C625" i="7"/>
  <c r="D625" i="7" s="1"/>
  <c r="E625" i="7"/>
  <c r="H625" i="7"/>
  <c r="L625" i="7"/>
  <c r="C626" i="7"/>
  <c r="D626" i="7"/>
  <c r="E626" i="7"/>
  <c r="G626" i="7" a="1"/>
  <c r="G626" i="7" s="1"/>
  <c r="H626" i="7"/>
  <c r="L626" i="7"/>
  <c r="C627" i="7"/>
  <c r="D627" i="7" s="1"/>
  <c r="E627" i="7"/>
  <c r="G627" i="7" s="1" a="1"/>
  <c r="G627" i="7" s="1"/>
  <c r="H627" i="7"/>
  <c r="L627" i="7"/>
  <c r="C628" i="7"/>
  <c r="D628" i="7" s="1"/>
  <c r="E628" i="7"/>
  <c r="G628" i="7" s="1" a="1"/>
  <c r="G628" i="7" s="1"/>
  <c r="H628" i="7"/>
  <c r="L628" i="7"/>
  <c r="C629" i="7"/>
  <c r="D629" i="7"/>
  <c r="E629" i="7"/>
  <c r="H629" i="7"/>
  <c r="L629" i="7"/>
  <c r="C630" i="7"/>
  <c r="E630" i="7"/>
  <c r="H630" i="7"/>
  <c r="L630" i="7"/>
  <c r="C631" i="7"/>
  <c r="D631" i="7" s="1"/>
  <c r="E631" i="7"/>
  <c r="G631" i="7" s="1" a="1"/>
  <c r="G631" i="7" s="1"/>
  <c r="H631" i="7"/>
  <c r="L631" i="7"/>
  <c r="C632" i="7"/>
  <c r="D632" i="7" s="1"/>
  <c r="E632" i="7"/>
  <c r="G632" i="7" s="1" a="1"/>
  <c r="G632" i="7" s="1"/>
  <c r="H632" i="7"/>
  <c r="L632" i="7"/>
  <c r="C633" i="7"/>
  <c r="D633" i="7" s="1"/>
  <c r="E633" i="7"/>
  <c r="G633" i="7" s="1" a="1"/>
  <c r="G633" i="7" s="1"/>
  <c r="H633" i="7"/>
  <c r="L633" i="7"/>
  <c r="C634" i="7"/>
  <c r="D634" i="7"/>
  <c r="E634" i="7"/>
  <c r="G634" i="7" a="1"/>
  <c r="G634" i="7"/>
  <c r="H634" i="7"/>
  <c r="L634" i="7"/>
  <c r="C635" i="7"/>
  <c r="D635" i="7" s="1"/>
  <c r="E635" i="7"/>
  <c r="H635" i="7"/>
  <c r="L635" i="7"/>
  <c r="C636" i="7"/>
  <c r="D636" i="7" s="1"/>
  <c r="E636" i="7"/>
  <c r="G636" i="7" s="1" a="1"/>
  <c r="G636" i="7"/>
  <c r="H636" i="7"/>
  <c r="L636" i="7"/>
  <c r="C637" i="7"/>
  <c r="D637" i="7"/>
  <c r="E637" i="7"/>
  <c r="G637" i="7" a="1"/>
  <c r="G637" i="7"/>
  <c r="H637" i="7"/>
  <c r="L637" i="7"/>
  <c r="C638" i="7"/>
  <c r="D638" i="7" s="1"/>
  <c r="E638" i="7"/>
  <c r="H638" i="7"/>
  <c r="L638" i="7"/>
  <c r="C639" i="7"/>
  <c r="D639" i="7" s="1"/>
  <c r="E639" i="7"/>
  <c r="G639" i="7" a="1"/>
  <c r="G639" i="7" s="1"/>
  <c r="H639" i="7"/>
  <c r="L639" i="7"/>
  <c r="C640" i="7"/>
  <c r="D640" i="7"/>
  <c r="E640" i="7"/>
  <c r="G640" i="7" s="1" a="1"/>
  <c r="G640" i="7"/>
  <c r="H640" i="7"/>
  <c r="L640" i="7"/>
  <c r="C641" i="7"/>
  <c r="D641" i="7" s="1"/>
  <c r="E641" i="7"/>
  <c r="H641" i="7"/>
  <c r="L641" i="7"/>
  <c r="C642" i="7"/>
  <c r="D642" i="7" s="1"/>
  <c r="E642" i="7"/>
  <c r="G642" i="7" a="1"/>
  <c r="G642" i="7"/>
  <c r="H642" i="7"/>
  <c r="L642" i="7"/>
  <c r="C643" i="7"/>
  <c r="D643" i="7" s="1"/>
  <c r="E643" i="7"/>
  <c r="G643" i="7" a="1"/>
  <c r="G643" i="7"/>
  <c r="H643" i="7"/>
  <c r="L643" i="7"/>
  <c r="C644" i="7"/>
  <c r="D644" i="7"/>
  <c r="E644" i="7"/>
  <c r="G644" i="7" s="1" a="1"/>
  <c r="G644" i="7"/>
  <c r="H644" i="7"/>
  <c r="L644" i="7"/>
  <c r="C645" i="7"/>
  <c r="D645" i="7" s="1"/>
  <c r="E645" i="7"/>
  <c r="H645" i="7"/>
  <c r="L645" i="7"/>
  <c r="C646" i="7"/>
  <c r="D646" i="7" s="1"/>
  <c r="E646" i="7"/>
  <c r="G646" i="7" s="1" a="1"/>
  <c r="G646" i="7"/>
  <c r="H646" i="7"/>
  <c r="L646" i="7"/>
  <c r="C647" i="7"/>
  <c r="D647" i="7" s="1"/>
  <c r="E647" i="7"/>
  <c r="G647" i="7" a="1"/>
  <c r="G647" i="7" s="1"/>
  <c r="H647" i="7"/>
  <c r="L647" i="7"/>
  <c r="C648" i="7"/>
  <c r="D648" i="7"/>
  <c r="E648" i="7"/>
  <c r="G648" i="7" s="1" a="1"/>
  <c r="G648" i="7" s="1"/>
  <c r="H648" i="7"/>
  <c r="L648" i="7"/>
  <c r="C649" i="7"/>
  <c r="D649" i="7"/>
  <c r="E649" i="7"/>
  <c r="G649" i="7" a="1"/>
  <c r="G649" i="7"/>
  <c r="H649" i="7"/>
  <c r="L649" i="7"/>
  <c r="C650" i="7"/>
  <c r="D650" i="7" s="1"/>
  <c r="E650" i="7"/>
  <c r="G650" i="7" a="1"/>
  <c r="G650" i="7" s="1"/>
  <c r="H650" i="7"/>
  <c r="L650" i="7"/>
  <c r="C651" i="7"/>
  <c r="D651" i="7" s="1"/>
  <c r="E651" i="7"/>
  <c r="H651" i="7"/>
  <c r="L651" i="7"/>
  <c r="C652" i="7"/>
  <c r="E652" i="7"/>
  <c r="G652" i="7" s="1" a="1"/>
  <c r="G652" i="7"/>
  <c r="H652" i="7"/>
  <c r="L652" i="7"/>
  <c r="C653" i="7"/>
  <c r="D653" i="7"/>
  <c r="E653" i="7"/>
  <c r="H653" i="7"/>
  <c r="L653" i="7"/>
  <c r="C654" i="7"/>
  <c r="D654" i="7"/>
  <c r="E654" i="7"/>
  <c r="G654" i="7" a="1"/>
  <c r="G654" i="7" s="1"/>
  <c r="H654" i="7"/>
  <c r="L654" i="7"/>
  <c r="C655" i="7"/>
  <c r="D655" i="7" s="1"/>
  <c r="E655" i="7"/>
  <c r="G655" i="7" s="1" a="1"/>
  <c r="G655" i="7" s="1"/>
  <c r="H655" i="7"/>
  <c r="L655" i="7"/>
  <c r="C656" i="7"/>
  <c r="D656" i="7"/>
  <c r="E656" i="7"/>
  <c r="G656" i="7" s="1" a="1"/>
  <c r="G656" i="7" s="1"/>
  <c r="H656" i="7"/>
  <c r="L656" i="7"/>
  <c r="C657" i="7"/>
  <c r="D657" i="7" s="1"/>
  <c r="E657" i="7"/>
  <c r="G657" i="7" s="1" a="1"/>
  <c r="G657" i="7" s="1"/>
  <c r="H657" i="7"/>
  <c r="L657" i="7"/>
  <c r="C658" i="7"/>
  <c r="D658" i="7"/>
  <c r="E658" i="7"/>
  <c r="G658" i="7" s="1" a="1"/>
  <c r="G658" i="7" s="1"/>
  <c r="H658" i="7"/>
  <c r="L658" i="7"/>
  <c r="C659" i="7"/>
  <c r="D659" i="7" s="1"/>
  <c r="E659" i="7"/>
  <c r="H659" i="7"/>
  <c r="L659" i="7"/>
  <c r="C660" i="7"/>
  <c r="D660" i="7" s="1"/>
  <c r="E660" i="7"/>
  <c r="G660" i="7" s="1" a="1"/>
  <c r="G660" i="7" s="1"/>
  <c r="H660" i="7"/>
  <c r="L660" i="7"/>
  <c r="C661" i="7"/>
  <c r="D661" i="7"/>
  <c r="E661" i="7"/>
  <c r="H661" i="7"/>
  <c r="L661" i="7"/>
  <c r="C662" i="7"/>
  <c r="D662" i="7" s="1"/>
  <c r="E662" i="7"/>
  <c r="H662" i="7"/>
  <c r="L662" i="7"/>
  <c r="C663" i="7"/>
  <c r="D663" i="7" s="1"/>
  <c r="E663" i="7"/>
  <c r="H663" i="7"/>
  <c r="L663" i="7"/>
  <c r="C664" i="7"/>
  <c r="D664" i="7"/>
  <c r="E664" i="7"/>
  <c r="G664" i="7" s="1" a="1"/>
  <c r="G664" i="7" s="1"/>
  <c r="H664" i="7"/>
  <c r="L664" i="7"/>
  <c r="C665" i="7"/>
  <c r="D665" i="7" s="1"/>
  <c r="E665" i="7"/>
  <c r="G665" i="7" s="1" a="1"/>
  <c r="G665" i="7" s="1"/>
  <c r="H665" i="7"/>
  <c r="L665" i="7"/>
  <c r="C666" i="7"/>
  <c r="D666" i="7"/>
  <c r="E666" i="7"/>
  <c r="G666" i="7" a="1"/>
  <c r="G666" i="7"/>
  <c r="H666" i="7"/>
  <c r="L666" i="7"/>
  <c r="C667" i="7"/>
  <c r="E667" i="7"/>
  <c r="H667" i="7"/>
  <c r="L667" i="7"/>
  <c r="C668" i="7"/>
  <c r="D668" i="7" s="1"/>
  <c r="E668" i="7"/>
  <c r="G668" i="7" s="1" a="1"/>
  <c r="G668" i="7"/>
  <c r="H668" i="7"/>
  <c r="L668" i="7"/>
  <c r="C669" i="7"/>
  <c r="D669" i="7" s="1"/>
  <c r="E669" i="7"/>
  <c r="G669" i="7" a="1"/>
  <c r="G669" i="7" s="1"/>
  <c r="H669" i="7"/>
  <c r="L669" i="7"/>
  <c r="C670" i="7"/>
  <c r="E670" i="7"/>
  <c r="G670" i="7" s="1" a="1"/>
  <c r="G670" i="7" s="1"/>
  <c r="H670" i="7"/>
  <c r="L670" i="7"/>
  <c r="C671" i="7"/>
  <c r="D671" i="7" s="1"/>
  <c r="E671" i="7"/>
  <c r="G671" i="7" a="1"/>
  <c r="G671" i="7"/>
  <c r="H671" i="7"/>
  <c r="L671" i="7"/>
  <c r="C672" i="7"/>
  <c r="D672" i="7"/>
  <c r="E672" i="7"/>
  <c r="G672" i="7" s="1" a="1"/>
  <c r="G672" i="7" s="1"/>
  <c r="H672" i="7"/>
  <c r="L672" i="7"/>
  <c r="C673" i="7"/>
  <c r="D673" i="7" s="1"/>
  <c r="E673" i="7"/>
  <c r="H673" i="7"/>
  <c r="L673" i="7"/>
  <c r="C674" i="7"/>
  <c r="D674" i="7"/>
  <c r="E674" i="7"/>
  <c r="G674" i="7" a="1"/>
  <c r="G674" i="7" s="1"/>
  <c r="H674" i="7"/>
  <c r="L674" i="7"/>
  <c r="C675" i="7"/>
  <c r="D675" i="7" s="1"/>
  <c r="E675" i="7"/>
  <c r="G675" i="7" s="1" a="1"/>
  <c r="G675" i="7"/>
  <c r="H675" i="7"/>
  <c r="L675" i="7"/>
  <c r="C676" i="7"/>
  <c r="D676" i="7"/>
  <c r="E676" i="7"/>
  <c r="G676" i="7" s="1" a="1"/>
  <c r="G676" i="7"/>
  <c r="H676" i="7"/>
  <c r="L676" i="7"/>
  <c r="C677" i="7"/>
  <c r="D677" i="7" s="1"/>
  <c r="E677" i="7"/>
  <c r="G677" i="7" s="1" a="1"/>
  <c r="G677" i="7" s="1"/>
  <c r="H677" i="7"/>
  <c r="L677" i="7"/>
  <c r="C678" i="7"/>
  <c r="D678" i="7"/>
  <c r="E678" i="7"/>
  <c r="G678" i="7" a="1"/>
  <c r="G678" i="7" s="1"/>
  <c r="H678" i="7"/>
  <c r="L678" i="7"/>
  <c r="C679" i="7"/>
  <c r="D679" i="7" s="1"/>
  <c r="E679" i="7"/>
  <c r="G679" i="7" a="1"/>
  <c r="G679" i="7"/>
  <c r="H679" i="7"/>
  <c r="L679" i="7"/>
  <c r="C680" i="7"/>
  <c r="D680" i="7"/>
  <c r="E680" i="7"/>
  <c r="G680" i="7" s="1" a="1"/>
  <c r="G680" i="7" s="1"/>
  <c r="H680" i="7"/>
  <c r="L680" i="7"/>
  <c r="C681" i="7"/>
  <c r="D681" i="7"/>
  <c r="E681" i="7"/>
  <c r="G681" i="7" a="1"/>
  <c r="G681" i="7" s="1"/>
  <c r="H681" i="7"/>
  <c r="L681" i="7"/>
  <c r="C682" i="7"/>
  <c r="D682" i="7" s="1"/>
  <c r="E682" i="7"/>
  <c r="G682" i="7" a="1"/>
  <c r="G682" i="7" s="1"/>
  <c r="H682" i="7"/>
  <c r="L682" i="7"/>
  <c r="C683" i="7"/>
  <c r="D683" i="7" s="1"/>
  <c r="E683" i="7"/>
  <c r="H683" i="7"/>
  <c r="L683" i="7"/>
  <c r="C684" i="7"/>
  <c r="E684" i="7"/>
  <c r="G684" i="7" s="1" a="1"/>
  <c r="G684" i="7" s="1"/>
  <c r="H684" i="7"/>
  <c r="L684" i="7"/>
  <c r="C685" i="7"/>
  <c r="D685" i="7"/>
  <c r="E685" i="7"/>
  <c r="G685" i="7" s="1" a="1"/>
  <c r="G685" i="7" s="1"/>
  <c r="H685" i="7"/>
  <c r="L685" i="7"/>
  <c r="C686" i="7"/>
  <c r="D686" i="7"/>
  <c r="E686" i="7"/>
  <c r="G686" i="7" a="1"/>
  <c r="G686" i="7" s="1"/>
  <c r="H686" i="7"/>
  <c r="L686" i="7"/>
  <c r="C687" i="7"/>
  <c r="D687" i="7" s="1"/>
  <c r="E687" i="7"/>
  <c r="G687" i="7" a="1"/>
  <c r="G687" i="7" s="1"/>
  <c r="H687" i="7"/>
  <c r="L687" i="7"/>
  <c r="C688" i="7"/>
  <c r="D688" i="7"/>
  <c r="E688" i="7"/>
  <c r="G688" i="7" s="1" a="1"/>
  <c r="G688" i="7" s="1"/>
  <c r="H688" i="7"/>
  <c r="L688" i="7"/>
  <c r="C689" i="7"/>
  <c r="D689" i="7" s="1"/>
  <c r="E689" i="7"/>
  <c r="G689" i="7" s="1" a="1"/>
  <c r="G689" i="7" s="1"/>
  <c r="H689" i="7"/>
  <c r="L689" i="7"/>
  <c r="C690" i="7"/>
  <c r="D690" i="7"/>
  <c r="E690" i="7"/>
  <c r="G690" i="7" s="1" a="1"/>
  <c r="G690" i="7" s="1"/>
  <c r="H690" i="7"/>
  <c r="L690" i="7"/>
  <c r="C691" i="7"/>
  <c r="D691" i="7" s="1"/>
  <c r="E691" i="7"/>
  <c r="H691" i="7"/>
  <c r="L691" i="7"/>
  <c r="C692" i="7"/>
  <c r="D692" i="7" s="1"/>
  <c r="E692" i="7"/>
  <c r="H692" i="7"/>
  <c r="L692" i="7"/>
  <c r="C693" i="7"/>
  <c r="D693" i="7" s="1"/>
  <c r="E693" i="7"/>
  <c r="H693" i="7"/>
  <c r="L693" i="7"/>
  <c r="C694" i="7"/>
  <c r="D694" i="7"/>
  <c r="E694" i="7"/>
  <c r="G694" i="7" a="1"/>
  <c r="G694" i="7" s="1"/>
  <c r="H694" i="7"/>
  <c r="L694" i="7"/>
  <c r="C695" i="7"/>
  <c r="D695" i="7" s="1"/>
  <c r="E695" i="7"/>
  <c r="H695" i="7"/>
  <c r="L695" i="7"/>
  <c r="C696" i="7"/>
  <c r="D696" i="7"/>
  <c r="E696" i="7"/>
  <c r="G696" i="7" s="1" a="1"/>
  <c r="G696" i="7" s="1"/>
  <c r="H696" i="7"/>
  <c r="L696" i="7"/>
  <c r="C697" i="7"/>
  <c r="D697" i="7" s="1"/>
  <c r="E697" i="7"/>
  <c r="G697" i="7" s="1" a="1"/>
  <c r="G697" i="7" s="1"/>
  <c r="H697" i="7"/>
  <c r="L697" i="7"/>
  <c r="C698" i="7"/>
  <c r="D698" i="7"/>
  <c r="E698" i="7"/>
  <c r="G698" i="7" a="1"/>
  <c r="G698" i="7"/>
  <c r="H698" i="7"/>
  <c r="L698" i="7"/>
  <c r="C699" i="7"/>
  <c r="E699" i="7"/>
  <c r="H699" i="7"/>
  <c r="L699" i="7"/>
  <c r="C700" i="7"/>
  <c r="D700" i="7" s="1"/>
  <c r="E700" i="7"/>
  <c r="G700" i="7" s="1" a="1"/>
  <c r="G700" i="7"/>
  <c r="H700" i="7"/>
  <c r="L700" i="7"/>
  <c r="C701" i="7"/>
  <c r="E701" i="7"/>
  <c r="G701" i="7" a="1"/>
  <c r="G701" i="7" s="1"/>
  <c r="H701" i="7"/>
  <c r="L701" i="7"/>
  <c r="C702" i="7"/>
  <c r="E702" i="7"/>
  <c r="G702" i="7" a="1"/>
  <c r="G702" i="7"/>
  <c r="H702" i="7"/>
  <c r="L702" i="7"/>
  <c r="C703" i="7"/>
  <c r="D703" i="7" s="1"/>
  <c r="E703" i="7"/>
  <c r="H703" i="7"/>
  <c r="L703" i="7"/>
  <c r="C704" i="7"/>
  <c r="D704" i="7"/>
  <c r="E704" i="7"/>
  <c r="G704" i="7" s="1" a="1"/>
  <c r="G704" i="7" s="1"/>
  <c r="H704" i="7"/>
  <c r="L704" i="7"/>
  <c r="C705" i="7"/>
  <c r="D705" i="7" s="1"/>
  <c r="E705" i="7"/>
  <c r="H705" i="7"/>
  <c r="L705" i="7"/>
  <c r="C706" i="7"/>
  <c r="D706" i="7"/>
  <c r="E706" i="7"/>
  <c r="G706" i="7" a="1"/>
  <c r="G706" i="7" s="1"/>
  <c r="H706" i="7"/>
  <c r="L706" i="7"/>
  <c r="C707" i="7"/>
  <c r="D707" i="7" s="1"/>
  <c r="E707" i="7"/>
  <c r="G707" i="7" s="1" a="1"/>
  <c r="G707" i="7"/>
  <c r="H707" i="7"/>
  <c r="L707" i="7"/>
  <c r="C708" i="7"/>
  <c r="D708" i="7"/>
  <c r="E708" i="7"/>
  <c r="G708" i="7" s="1" a="1"/>
  <c r="G708" i="7"/>
  <c r="H708" i="7"/>
  <c r="L708" i="7"/>
  <c r="C709" i="7"/>
  <c r="D709" i="7" s="1"/>
  <c r="E709" i="7"/>
  <c r="G709" i="7" s="1" a="1"/>
  <c r="G709" i="7" s="1"/>
  <c r="H709" i="7"/>
  <c r="L709" i="7"/>
  <c r="C710" i="7"/>
  <c r="D710" i="7"/>
  <c r="E710" i="7"/>
  <c r="G710" i="7" a="1"/>
  <c r="G710" i="7"/>
  <c r="H710" i="7"/>
  <c r="L710" i="7"/>
  <c r="C711" i="7"/>
  <c r="D711" i="7" s="1"/>
  <c r="E711" i="7"/>
  <c r="G711" i="7" a="1"/>
  <c r="G711" i="7"/>
  <c r="H711" i="7"/>
  <c r="L711" i="7"/>
  <c r="C712" i="7"/>
  <c r="D712" i="7"/>
  <c r="E712" i="7"/>
  <c r="G712" i="7" s="1" a="1"/>
  <c r="G712" i="7" s="1"/>
  <c r="H712" i="7"/>
  <c r="L712" i="7"/>
  <c r="C713" i="7"/>
  <c r="D713" i="7"/>
  <c r="E713" i="7"/>
  <c r="G713" i="7" a="1"/>
  <c r="G713" i="7" s="1"/>
  <c r="H713" i="7"/>
  <c r="L713" i="7"/>
  <c r="C714" i="7"/>
  <c r="D714" i="7" s="1"/>
  <c r="E714" i="7"/>
  <c r="G714" i="7" a="1"/>
  <c r="G714" i="7" s="1"/>
  <c r="H714" i="7"/>
  <c r="L714" i="7"/>
  <c r="C715" i="7"/>
  <c r="D715" i="7" s="1"/>
  <c r="E715" i="7"/>
  <c r="H715" i="7"/>
  <c r="L715" i="7"/>
  <c r="C716" i="7"/>
  <c r="E716" i="7"/>
  <c r="G716" i="7" s="1" a="1"/>
  <c r="G716" i="7"/>
  <c r="H716" i="7"/>
  <c r="L716" i="7"/>
  <c r="C717" i="7"/>
  <c r="D717" i="7"/>
  <c r="E717" i="7"/>
  <c r="G717" i="7" s="1" a="1"/>
  <c r="G717" i="7" s="1"/>
  <c r="H717" i="7"/>
  <c r="L717" i="7"/>
  <c r="C718" i="7"/>
  <c r="D718" i="7" s="1"/>
  <c r="E718" i="7"/>
  <c r="G718" i="7" s="1" a="1"/>
  <c r="G718" i="7" s="1"/>
  <c r="H718" i="7"/>
  <c r="L718" i="7"/>
  <c r="C719" i="7"/>
  <c r="E719" i="7"/>
  <c r="G719" i="7" s="1" a="1"/>
  <c r="G719" i="7" s="1"/>
  <c r="H719" i="7"/>
  <c r="L719" i="7"/>
  <c r="C720" i="7"/>
  <c r="D720" i="7"/>
  <c r="E720" i="7"/>
  <c r="G720" i="7" a="1"/>
  <c r="G720" i="7" s="1"/>
  <c r="H720" i="7"/>
  <c r="L720" i="7"/>
  <c r="C721" i="7"/>
  <c r="D721" i="7"/>
  <c r="E721" i="7"/>
  <c r="G721" i="7" a="1"/>
  <c r="G721" i="7"/>
  <c r="H721" i="7"/>
  <c r="L721" i="7"/>
  <c r="C722" i="7"/>
  <c r="D722" i="7"/>
  <c r="E722" i="7"/>
  <c r="H722" i="7"/>
  <c r="L722" i="7"/>
  <c r="C723" i="7"/>
  <c r="D723" i="7" s="1"/>
  <c r="E723" i="7"/>
  <c r="H723" i="7"/>
  <c r="L723" i="7"/>
  <c r="C724" i="7"/>
  <c r="D724" i="7"/>
  <c r="E724" i="7"/>
  <c r="G724" i="7" s="1" a="1"/>
  <c r="G724" i="7" s="1"/>
  <c r="H724" i="7"/>
  <c r="L724" i="7"/>
  <c r="C725" i="7"/>
  <c r="E725" i="7"/>
  <c r="H725" i="7"/>
  <c r="L725" i="7"/>
  <c r="C726" i="7"/>
  <c r="D726" i="7" s="1"/>
  <c r="E726" i="7"/>
  <c r="G726" i="7" s="1" a="1"/>
  <c r="G726" i="7" s="1"/>
  <c r="H726" i="7"/>
  <c r="L726" i="7"/>
  <c r="C727" i="7"/>
  <c r="D727" i="7" s="1"/>
  <c r="E727" i="7"/>
  <c r="G727" i="7" a="1"/>
  <c r="G727" i="7"/>
  <c r="H727" i="7"/>
  <c r="L727" i="7"/>
  <c r="C728" i="7"/>
  <c r="D728" i="7" s="1"/>
  <c r="E728" i="7"/>
  <c r="G728" i="7" a="1"/>
  <c r="G728" i="7" s="1"/>
  <c r="H728" i="7"/>
  <c r="L728" i="7"/>
  <c r="C729" i="7"/>
  <c r="D729" i="7"/>
  <c r="E729" i="7"/>
  <c r="G729" i="7" a="1"/>
  <c r="G729" i="7" s="1"/>
  <c r="H729" i="7"/>
  <c r="L729" i="7"/>
  <c r="C730" i="7"/>
  <c r="E730" i="7"/>
  <c r="H730" i="7"/>
  <c r="L730" i="7"/>
  <c r="C731" i="7"/>
  <c r="D731" i="7"/>
  <c r="E731" i="7"/>
  <c r="H731" i="7"/>
  <c r="L731" i="7"/>
  <c r="C732" i="7"/>
  <c r="D732" i="7" s="1"/>
  <c r="E732" i="7"/>
  <c r="H732" i="7"/>
  <c r="L732" i="7"/>
  <c r="C733" i="7"/>
  <c r="D733" i="7"/>
  <c r="E733" i="7"/>
  <c r="G733" i="7" s="1" a="1"/>
  <c r="G733" i="7" s="1"/>
  <c r="H733" i="7"/>
  <c r="L733" i="7"/>
  <c r="C734" i="7"/>
  <c r="E734" i="7"/>
  <c r="G734" i="7" s="1" a="1"/>
  <c r="G734" i="7" s="1"/>
  <c r="H734" i="7"/>
  <c r="L734" i="7"/>
  <c r="C735" i="7"/>
  <c r="D735" i="7" s="1"/>
  <c r="E735" i="7"/>
  <c r="G735" i="7" a="1"/>
  <c r="G735" i="7"/>
  <c r="H735" i="7"/>
  <c r="L735" i="7"/>
  <c r="C736" i="7"/>
  <c r="D736" i="7" s="1"/>
  <c r="E736" i="7"/>
  <c r="G736" i="7" a="1"/>
  <c r="G736" i="7"/>
  <c r="H736" i="7"/>
  <c r="L736" i="7"/>
  <c r="C737" i="7"/>
  <c r="D737" i="7"/>
  <c r="E737" i="7"/>
  <c r="G737" i="7" a="1"/>
  <c r="G737" i="7" s="1"/>
  <c r="H737" i="7"/>
  <c r="L737" i="7"/>
  <c r="C738" i="7"/>
  <c r="D738" i="7"/>
  <c r="E738" i="7"/>
  <c r="G738" i="7" s="1" a="1"/>
  <c r="G738" i="7" s="1"/>
  <c r="H738" i="7"/>
  <c r="L738" i="7"/>
  <c r="C739" i="7"/>
  <c r="D739" i="7"/>
  <c r="E739" i="7"/>
  <c r="G739" i="7" a="1"/>
  <c r="G739" i="7"/>
  <c r="H739" i="7"/>
  <c r="L739" i="7"/>
  <c r="C740" i="7"/>
  <c r="D740" i="7"/>
  <c r="E740" i="7"/>
  <c r="H740" i="7"/>
  <c r="L740" i="7"/>
  <c r="C741" i="7"/>
  <c r="D741" i="7"/>
  <c r="E741" i="7"/>
  <c r="G741" i="7" a="1"/>
  <c r="G741" i="7" s="1"/>
  <c r="H741" i="7"/>
  <c r="L741" i="7"/>
  <c r="C742" i="7"/>
  <c r="D742" i="7"/>
  <c r="E742" i="7"/>
  <c r="G742" i="7" s="1" a="1"/>
  <c r="G742" i="7" s="1"/>
  <c r="H742" i="7"/>
  <c r="L742" i="7"/>
  <c r="C743" i="7"/>
  <c r="E743" i="7"/>
  <c r="G743" i="7" a="1"/>
  <c r="G743" i="7" s="1"/>
  <c r="H743" i="7"/>
  <c r="L743" i="7"/>
  <c r="C744" i="7"/>
  <c r="D744" i="7"/>
  <c r="E744" i="7"/>
  <c r="G744" i="7" a="1"/>
  <c r="G744" i="7" s="1"/>
  <c r="H744" i="7"/>
  <c r="L744" i="7"/>
  <c r="C745" i="7"/>
  <c r="D745" i="7"/>
  <c r="E745" i="7"/>
  <c r="G745" i="7" a="1"/>
  <c r="G745" i="7" s="1"/>
  <c r="H745" i="7"/>
  <c r="L745" i="7"/>
  <c r="C746" i="7"/>
  <c r="D746" i="7" s="1"/>
  <c r="E746" i="7"/>
  <c r="H746" i="7"/>
  <c r="L746" i="7"/>
  <c r="C747" i="7"/>
  <c r="D747" i="7"/>
  <c r="E747" i="7"/>
  <c r="H747" i="7"/>
  <c r="L747" i="7"/>
  <c r="C748" i="7"/>
  <c r="D748" i="7" s="1"/>
  <c r="E748" i="7"/>
  <c r="G748" i="7" s="1" a="1"/>
  <c r="G748" i="7" s="1"/>
  <c r="H748" i="7"/>
  <c r="L748" i="7"/>
  <c r="C749" i="7"/>
  <c r="D749" i="7" s="1"/>
  <c r="E749" i="7"/>
  <c r="G749" i="7" a="1"/>
  <c r="G749" i="7" s="1"/>
  <c r="H749" i="7"/>
  <c r="L749" i="7"/>
  <c r="C750" i="7"/>
  <c r="E750" i="7"/>
  <c r="H750" i="7"/>
  <c r="L750" i="7"/>
  <c r="C751" i="7"/>
  <c r="D751" i="7" s="1"/>
  <c r="E751" i="7"/>
  <c r="G751" i="7" a="1"/>
  <c r="G751" i="7" s="1"/>
  <c r="H751" i="7"/>
  <c r="L751" i="7"/>
  <c r="C752" i="7"/>
  <c r="D752" i="7"/>
  <c r="E752" i="7"/>
  <c r="G752" i="7" s="1" a="1"/>
  <c r="G752" i="7" s="1"/>
  <c r="H752" i="7"/>
  <c r="L752" i="7"/>
  <c r="C753" i="7"/>
  <c r="D753" i="7" s="1"/>
  <c r="E753" i="7"/>
  <c r="G753" i="7" a="1"/>
  <c r="G753" i="7" s="1"/>
  <c r="H753" i="7"/>
  <c r="L753" i="7"/>
  <c r="C754" i="7"/>
  <c r="D754" i="7"/>
  <c r="E754" i="7"/>
  <c r="H754" i="7"/>
  <c r="L754" i="7"/>
  <c r="C755" i="7"/>
  <c r="E755" i="7"/>
  <c r="H755" i="7"/>
  <c r="L755" i="7"/>
  <c r="C756" i="7"/>
  <c r="D756" i="7"/>
  <c r="E756" i="7"/>
  <c r="H756" i="7"/>
  <c r="L756" i="7"/>
  <c r="C757" i="7"/>
  <c r="D757" i="7" s="1"/>
  <c r="E757" i="7"/>
  <c r="G757" i="7" s="1" a="1"/>
  <c r="G757" i="7" s="1"/>
  <c r="H757" i="7"/>
  <c r="L757" i="7"/>
  <c r="C758" i="7"/>
  <c r="D758" i="7" s="1"/>
  <c r="E758" i="7"/>
  <c r="G758" i="7" s="1" a="1"/>
  <c r="G758" i="7" s="1"/>
  <c r="H758" i="7"/>
  <c r="L758" i="7"/>
  <c r="C759" i="7"/>
  <c r="D759" i="7" s="1"/>
  <c r="E759" i="7"/>
  <c r="G759" i="7" a="1"/>
  <c r="G759" i="7" s="1"/>
  <c r="H759" i="7"/>
  <c r="L759" i="7"/>
  <c r="C760" i="7"/>
  <c r="D760" i="7"/>
  <c r="E760" i="7"/>
  <c r="G760" i="7" a="1"/>
  <c r="G760" i="7" s="1"/>
  <c r="H760" i="7"/>
  <c r="L760" i="7"/>
  <c r="C761" i="7"/>
  <c r="D761" i="7"/>
  <c r="E761" i="7"/>
  <c r="G761" i="7" a="1"/>
  <c r="G761" i="7"/>
  <c r="H761" i="7"/>
  <c r="L761" i="7"/>
  <c r="C762" i="7"/>
  <c r="D762" i="7"/>
  <c r="E762" i="7"/>
  <c r="H762" i="7"/>
  <c r="L762" i="7"/>
  <c r="C763" i="7"/>
  <c r="D763" i="7"/>
  <c r="E763" i="7"/>
  <c r="G763" i="7" s="1" a="1"/>
  <c r="G763" i="7" s="1"/>
  <c r="H763" i="7"/>
  <c r="L763" i="7"/>
  <c r="C764" i="7"/>
  <c r="D764" i="7"/>
  <c r="E764" i="7"/>
  <c r="G764" i="7" s="1" a="1"/>
  <c r="G764" i="7"/>
  <c r="H764" i="7"/>
  <c r="L764" i="7"/>
  <c r="C765" i="7"/>
  <c r="E765" i="7"/>
  <c r="G765" i="7" s="1" a="1"/>
  <c r="G765" i="7" s="1"/>
  <c r="H765" i="7"/>
  <c r="L765" i="7"/>
  <c r="C766" i="7"/>
  <c r="D766" i="7" s="1"/>
  <c r="E766" i="7"/>
  <c r="G766" i="7" a="1"/>
  <c r="G766" i="7" s="1"/>
  <c r="H766" i="7"/>
  <c r="L766" i="7"/>
  <c r="C767" i="7"/>
  <c r="D767" i="7" s="1"/>
  <c r="E767" i="7"/>
  <c r="G767" i="7" a="1"/>
  <c r="G767" i="7" s="1"/>
  <c r="H767" i="7"/>
  <c r="L767" i="7"/>
  <c r="C768" i="7"/>
  <c r="D768" i="7"/>
  <c r="E768" i="7"/>
  <c r="G768" i="7" a="1"/>
  <c r="G768" i="7" s="1"/>
  <c r="H768" i="7"/>
  <c r="L768" i="7"/>
  <c r="C769" i="7"/>
  <c r="D769" i="7"/>
  <c r="E769" i="7"/>
  <c r="H769" i="7"/>
  <c r="L769" i="7"/>
  <c r="C770" i="7"/>
  <c r="D770" i="7"/>
  <c r="E770" i="7"/>
  <c r="H770" i="7"/>
  <c r="L770" i="7"/>
  <c r="C771" i="7"/>
  <c r="D771" i="7" s="1"/>
  <c r="E771" i="7"/>
  <c r="H771" i="7"/>
  <c r="L771" i="7"/>
  <c r="C772" i="7"/>
  <c r="D772" i="7"/>
  <c r="E772" i="7"/>
  <c r="H772" i="7"/>
  <c r="L772" i="7"/>
  <c r="C773" i="7"/>
  <c r="E773" i="7"/>
  <c r="G773" i="7" s="1" a="1"/>
  <c r="G773" i="7" s="1"/>
  <c r="H773" i="7"/>
  <c r="L773" i="7"/>
  <c r="C774" i="7"/>
  <c r="D774" i="7" s="1"/>
  <c r="E774" i="7"/>
  <c r="G774" i="7" a="1"/>
  <c r="G774" i="7" s="1"/>
  <c r="H774" i="7"/>
  <c r="L774" i="7"/>
  <c r="C775" i="7"/>
  <c r="D775" i="7" s="1"/>
  <c r="E775" i="7"/>
  <c r="G775" i="7" a="1"/>
  <c r="G775" i="7" s="1"/>
  <c r="H775" i="7"/>
  <c r="L775" i="7"/>
  <c r="C776" i="7"/>
  <c r="D776" i="7"/>
  <c r="E776" i="7"/>
  <c r="G776" i="7" a="1"/>
  <c r="G776" i="7" s="1"/>
  <c r="H776" i="7"/>
  <c r="L776" i="7"/>
  <c r="C777" i="7"/>
  <c r="D777" i="7"/>
  <c r="E777" i="7"/>
  <c r="G777" i="7" s="1" a="1"/>
  <c r="G777" i="7" s="1"/>
  <c r="H777" i="7"/>
  <c r="L777" i="7"/>
  <c r="C778" i="7"/>
  <c r="D778" i="7"/>
  <c r="E778" i="7"/>
  <c r="G778" i="7" a="1"/>
  <c r="G778" i="7" s="1"/>
  <c r="H778" i="7"/>
  <c r="L778" i="7"/>
  <c r="C779" i="7"/>
  <c r="D779" i="7"/>
  <c r="E779" i="7"/>
  <c r="H779" i="7"/>
  <c r="L779" i="7"/>
  <c r="C780" i="7"/>
  <c r="E780" i="7"/>
  <c r="G780" i="7" s="1" a="1"/>
  <c r="G780" i="7" s="1"/>
  <c r="H780" i="7"/>
  <c r="L780" i="7"/>
  <c r="C781" i="7"/>
  <c r="D781" i="7" s="1"/>
  <c r="E781" i="7"/>
  <c r="G781" i="7" s="1" a="1"/>
  <c r="G781" i="7" s="1"/>
  <c r="H781" i="7"/>
  <c r="L781" i="7"/>
  <c r="C782" i="7"/>
  <c r="D782" i="7" s="1"/>
  <c r="E782" i="7"/>
  <c r="G782" i="7" s="1" a="1"/>
  <c r="G782" i="7" s="1"/>
  <c r="H782" i="7"/>
  <c r="L782" i="7"/>
  <c r="C783" i="7"/>
  <c r="E783" i="7"/>
  <c r="G783" i="7" a="1"/>
  <c r="G783" i="7" s="1"/>
  <c r="H783" i="7"/>
  <c r="L783" i="7"/>
  <c r="C784" i="7"/>
  <c r="D784" i="7" s="1"/>
  <c r="E784" i="7"/>
  <c r="G784" i="7" a="1"/>
  <c r="G784" i="7" s="1"/>
  <c r="H784" i="7"/>
  <c r="L784" i="7"/>
  <c r="C785" i="7"/>
  <c r="D785" i="7"/>
  <c r="E785" i="7"/>
  <c r="G785" i="7" a="1"/>
  <c r="G785" i="7" s="1"/>
  <c r="H785" i="7"/>
  <c r="L785" i="7"/>
  <c r="C786" i="7"/>
  <c r="D786" i="7" s="1"/>
  <c r="E786" i="7"/>
  <c r="G786" i="7" s="1" a="1"/>
  <c r="G786" i="7" s="1"/>
  <c r="H786" i="7"/>
  <c r="L786" i="7"/>
  <c r="C787" i="7"/>
  <c r="D787" i="7"/>
  <c r="E787" i="7"/>
  <c r="G787" i="7" a="1"/>
  <c r="G787" i="7" s="1"/>
  <c r="H787" i="7"/>
  <c r="L787" i="7"/>
  <c r="C788" i="7"/>
  <c r="D788" i="7"/>
  <c r="E788" i="7"/>
  <c r="H788" i="7"/>
  <c r="L788" i="7"/>
  <c r="C789" i="7"/>
  <c r="D789" i="7"/>
  <c r="E789" i="7"/>
  <c r="G789" i="7" a="1"/>
  <c r="G789" i="7" s="1"/>
  <c r="H789" i="7"/>
  <c r="L789" i="7"/>
  <c r="C790" i="7"/>
  <c r="D790" i="7"/>
  <c r="E790" i="7"/>
  <c r="G790" i="7" s="1" a="1"/>
  <c r="G790" i="7" s="1"/>
  <c r="H790" i="7"/>
  <c r="L790" i="7"/>
  <c r="C791" i="7"/>
  <c r="D791" i="7" s="1"/>
  <c r="E791" i="7"/>
  <c r="G791" i="7" a="1"/>
  <c r="G791" i="7" s="1"/>
  <c r="H791" i="7"/>
  <c r="L791" i="7"/>
  <c r="C792" i="7"/>
  <c r="D792" i="7"/>
  <c r="E792" i="7"/>
  <c r="H792" i="7"/>
  <c r="L792" i="7"/>
  <c r="C793" i="7"/>
  <c r="E793" i="7"/>
  <c r="H793" i="7"/>
  <c r="L793" i="7"/>
  <c r="C794" i="7"/>
  <c r="D794" i="7"/>
  <c r="E794" i="7"/>
  <c r="G794" i="7" s="1" a="1"/>
  <c r="G794" i="7" s="1"/>
  <c r="H794" i="7"/>
  <c r="L794" i="7"/>
  <c r="C795" i="7"/>
  <c r="D795" i="7" s="1"/>
  <c r="E795" i="7"/>
  <c r="H795" i="7"/>
  <c r="L795" i="7"/>
  <c r="C796" i="7"/>
  <c r="D796" i="7"/>
  <c r="E796" i="7"/>
  <c r="G796" i="7" s="1" a="1"/>
  <c r="G796" i="7" s="1"/>
  <c r="H796" i="7"/>
  <c r="L796" i="7"/>
  <c r="C797" i="7"/>
  <c r="D797" i="7"/>
  <c r="E797" i="7"/>
  <c r="G797" i="7" a="1"/>
  <c r="G797" i="7"/>
  <c r="H797" i="7"/>
  <c r="L797" i="7"/>
  <c r="C798" i="7"/>
  <c r="D798" i="7"/>
  <c r="E798" i="7"/>
  <c r="G798" i="7" s="1" a="1"/>
  <c r="G798" i="7"/>
  <c r="H798" i="7"/>
  <c r="L798" i="7"/>
  <c r="C799" i="7"/>
  <c r="D799" i="7" s="1"/>
  <c r="E799" i="7"/>
  <c r="H799" i="7"/>
  <c r="L799" i="7"/>
  <c r="C800" i="7"/>
  <c r="D800" i="7"/>
  <c r="E800" i="7"/>
  <c r="H800" i="7"/>
  <c r="L800" i="7"/>
  <c r="C801" i="7"/>
  <c r="E801" i="7"/>
  <c r="H801" i="7"/>
  <c r="L801" i="7"/>
  <c r="C802" i="7"/>
  <c r="D802" i="7"/>
  <c r="E802" i="7"/>
  <c r="G802" i="7" s="1" a="1"/>
  <c r="G802" i="7" s="1"/>
  <c r="H802" i="7"/>
  <c r="L802" i="7"/>
  <c r="C803" i="7"/>
  <c r="D803" i="7" s="1"/>
  <c r="E803" i="7"/>
  <c r="G803" i="7" s="1" a="1"/>
  <c r="G803" i="7" s="1"/>
  <c r="H803" i="7"/>
  <c r="L803" i="7"/>
  <c r="C804" i="7"/>
  <c r="D804" i="7"/>
  <c r="E804" i="7"/>
  <c r="G804" i="7" s="1" a="1"/>
  <c r="G804" i="7" s="1"/>
  <c r="H804" i="7"/>
  <c r="L804" i="7"/>
  <c r="C805" i="7"/>
  <c r="D805" i="7"/>
  <c r="E805" i="7"/>
  <c r="G805" i="7" a="1"/>
  <c r="G805" i="7"/>
  <c r="H805" i="7"/>
  <c r="L805" i="7"/>
  <c r="C806" i="7"/>
  <c r="D806" i="7"/>
  <c r="E806" i="7"/>
  <c r="G806" i="7" s="1" a="1"/>
  <c r="G806" i="7"/>
  <c r="H806" i="7"/>
  <c r="L806" i="7"/>
  <c r="C807" i="7"/>
  <c r="D807" i="7" s="1"/>
  <c r="E807" i="7"/>
  <c r="G807" i="7" a="1"/>
  <c r="G807" i="7"/>
  <c r="H807" i="7"/>
  <c r="L807" i="7"/>
  <c r="C808" i="7"/>
  <c r="D808" i="7"/>
  <c r="E808" i="7"/>
  <c r="G808" i="7" s="1" a="1"/>
  <c r="G808" i="7" s="1"/>
  <c r="H808" i="7"/>
  <c r="L808" i="7"/>
  <c r="C809" i="7"/>
  <c r="E809" i="7"/>
  <c r="H809" i="7"/>
  <c r="L809" i="7"/>
  <c r="C810" i="7"/>
  <c r="D810" i="7" s="1"/>
  <c r="E810" i="7"/>
  <c r="G810" i="7" s="1" a="1"/>
  <c r="G810" i="7" s="1"/>
  <c r="H810" i="7"/>
  <c r="L810" i="7"/>
  <c r="C811" i="7"/>
  <c r="E811" i="7"/>
  <c r="G811" i="7" s="1" a="1"/>
  <c r="G811" i="7" s="1"/>
  <c r="H811" i="7"/>
  <c r="L811" i="7"/>
  <c r="C812" i="7"/>
  <c r="D812" i="7"/>
  <c r="E812" i="7"/>
  <c r="G812" i="7" s="1" a="1"/>
  <c r="G812" i="7"/>
  <c r="H812" i="7"/>
  <c r="L812" i="7"/>
  <c r="C813" i="7"/>
  <c r="D813" i="7"/>
  <c r="E813" i="7"/>
  <c r="G813" i="7" a="1"/>
  <c r="G813" i="7" s="1"/>
  <c r="H813" i="7"/>
  <c r="L813" i="7"/>
  <c r="C814" i="7"/>
  <c r="D814" i="7"/>
  <c r="E814" i="7"/>
  <c r="G814" i="7" s="1" a="1"/>
  <c r="G814" i="7" s="1"/>
  <c r="H814" i="7"/>
  <c r="L814" i="7"/>
  <c r="C815" i="7"/>
  <c r="D815" i="7" s="1"/>
  <c r="E815" i="7"/>
  <c r="G815" i="7" s="1" a="1"/>
  <c r="G815" i="7" s="1"/>
  <c r="H815" i="7"/>
  <c r="L815" i="7"/>
  <c r="C816" i="7"/>
  <c r="D816" i="7"/>
  <c r="E816" i="7"/>
  <c r="G816" i="7" s="1" a="1"/>
  <c r="G816" i="7"/>
  <c r="H816" i="7"/>
  <c r="L816" i="7"/>
  <c r="C817" i="7"/>
  <c r="E817" i="7"/>
  <c r="H817" i="7"/>
  <c r="L817" i="7"/>
  <c r="C818" i="7"/>
  <c r="D818" i="7"/>
  <c r="E818" i="7"/>
  <c r="H818" i="7"/>
  <c r="L818" i="7"/>
  <c r="C819" i="7"/>
  <c r="E819" i="7"/>
  <c r="G819" i="7" s="1" a="1"/>
  <c r="G819" i="7" s="1"/>
  <c r="H819" i="7"/>
  <c r="L819" i="7"/>
  <c r="C820" i="7"/>
  <c r="D820" i="7"/>
  <c r="E820" i="7"/>
  <c r="G820" i="7" s="1" a="1"/>
  <c r="G820" i="7" s="1"/>
  <c r="H820" i="7"/>
  <c r="L820" i="7"/>
  <c r="C821" i="7"/>
  <c r="D821" i="7" s="1"/>
  <c r="E821" i="7"/>
  <c r="G821" i="7" a="1"/>
  <c r="G821" i="7" s="1"/>
  <c r="H821" i="7"/>
  <c r="L821" i="7"/>
  <c r="C822" i="7"/>
  <c r="D822" i="7"/>
  <c r="E822" i="7"/>
  <c r="H822" i="7"/>
  <c r="L822" i="7"/>
  <c r="C823" i="7"/>
  <c r="D823" i="7" s="1"/>
  <c r="E823" i="7"/>
  <c r="G823" i="7" a="1"/>
  <c r="G823" i="7" s="1"/>
  <c r="H823" i="7"/>
  <c r="L823" i="7"/>
  <c r="C824" i="7"/>
  <c r="D824" i="7"/>
  <c r="E824" i="7"/>
  <c r="G824" i="7" s="1" a="1"/>
  <c r="G824" i="7" s="1"/>
  <c r="H824" i="7"/>
  <c r="L824" i="7"/>
  <c r="C825" i="7"/>
  <c r="E825" i="7"/>
  <c r="H825" i="7"/>
  <c r="L825" i="7"/>
  <c r="C826" i="7"/>
  <c r="D826" i="7"/>
  <c r="E826" i="7"/>
  <c r="H826" i="7"/>
  <c r="L826" i="7"/>
  <c r="C827" i="7"/>
  <c r="E827" i="7"/>
  <c r="G827" i="7" a="1"/>
  <c r="G827" i="7"/>
  <c r="H827" i="7"/>
  <c r="L827" i="7"/>
  <c r="C828" i="7"/>
  <c r="D828" i="7"/>
  <c r="E828" i="7"/>
  <c r="G828" i="7" s="1" a="1"/>
  <c r="G828" i="7"/>
  <c r="H828" i="7"/>
  <c r="L828" i="7"/>
  <c r="C829" i="7"/>
  <c r="D829" i="7" s="1"/>
  <c r="E829" i="7"/>
  <c r="G829" i="7" a="1"/>
  <c r="G829" i="7" s="1"/>
  <c r="H829" i="7"/>
  <c r="L829" i="7"/>
  <c r="C830" i="7"/>
  <c r="D830" i="7"/>
  <c r="E830" i="7"/>
  <c r="G830" i="7" s="1" a="1"/>
  <c r="G830" i="7"/>
  <c r="H830" i="7"/>
  <c r="L830" i="7"/>
  <c r="C831" i="7"/>
  <c r="D831" i="7" s="1"/>
  <c r="E831" i="7"/>
  <c r="G831" i="7" a="1"/>
  <c r="G831" i="7" s="1"/>
  <c r="H831" i="7"/>
  <c r="L831" i="7"/>
  <c r="C832" i="7"/>
  <c r="E832" i="7"/>
  <c r="G832" i="7" s="1" a="1"/>
  <c r="G832" i="7"/>
  <c r="H832" i="7"/>
  <c r="L832" i="7"/>
  <c r="C833" i="7"/>
  <c r="E833" i="7"/>
  <c r="H833" i="7"/>
  <c r="L833" i="7"/>
  <c r="C834" i="7"/>
  <c r="D834" i="7"/>
  <c r="E834" i="7"/>
  <c r="H834" i="7"/>
  <c r="L834" i="7"/>
  <c r="C835" i="7"/>
  <c r="E835" i="7"/>
  <c r="G835" i="7" s="1" a="1"/>
  <c r="G835" i="7" s="1"/>
  <c r="H835" i="7"/>
  <c r="L835" i="7"/>
  <c r="C836" i="7"/>
  <c r="D836" i="7"/>
  <c r="E836" i="7"/>
  <c r="G836" i="7" s="1" a="1"/>
  <c r="G836" i="7" s="1"/>
  <c r="H836" i="7"/>
  <c r="L836" i="7"/>
  <c r="C837" i="7"/>
  <c r="D837" i="7"/>
  <c r="E837" i="7"/>
  <c r="H837" i="7"/>
  <c r="L837" i="7"/>
  <c r="C838" i="7"/>
  <c r="D838" i="7" s="1"/>
  <c r="E838" i="7"/>
  <c r="G838" i="7" s="1" a="1"/>
  <c r="G838" i="7" s="1"/>
  <c r="H838" i="7"/>
  <c r="L838" i="7"/>
  <c r="C839" i="7"/>
  <c r="D839" i="7" s="1"/>
  <c r="E839" i="7"/>
  <c r="G839" i="7" a="1"/>
  <c r="G839" i="7" s="1"/>
  <c r="H839" i="7"/>
  <c r="L839" i="7"/>
  <c r="C840" i="7"/>
  <c r="D840" i="7"/>
  <c r="E840" i="7"/>
  <c r="G840" i="7" s="1" a="1"/>
  <c r="G840" i="7" s="1"/>
  <c r="H840" i="7"/>
  <c r="L840" i="7"/>
  <c r="C841" i="7"/>
  <c r="E841" i="7"/>
  <c r="H841" i="7"/>
  <c r="L841" i="7"/>
  <c r="C842" i="7"/>
  <c r="D842" i="7" s="1"/>
  <c r="E842" i="7"/>
  <c r="G842" i="7" a="1"/>
  <c r="G842" i="7" s="1"/>
  <c r="H842" i="7"/>
  <c r="L842" i="7"/>
  <c r="C843" i="7"/>
  <c r="E843" i="7"/>
  <c r="H843" i="7"/>
  <c r="L843" i="7"/>
  <c r="C844" i="7"/>
  <c r="D844" i="7" s="1"/>
  <c r="E844" i="7"/>
  <c r="G844" i="7" s="1" a="1"/>
  <c r="G844" i="7" s="1"/>
  <c r="H844" i="7"/>
  <c r="L844" i="7"/>
  <c r="C845" i="7"/>
  <c r="E845" i="7"/>
  <c r="G845" i="7" a="1"/>
  <c r="G845" i="7" s="1"/>
  <c r="H845" i="7"/>
  <c r="L845" i="7"/>
  <c r="C846" i="7"/>
  <c r="D846" i="7" s="1"/>
  <c r="E846" i="7"/>
  <c r="G846" i="7" s="1" a="1"/>
  <c r="G846" i="7" s="1"/>
  <c r="H846" i="7"/>
  <c r="L846" i="7"/>
  <c r="C847" i="7"/>
  <c r="D847" i="7" s="1"/>
  <c r="E847" i="7"/>
  <c r="G847" i="7" a="1"/>
  <c r="G847" i="7" s="1"/>
  <c r="H847" i="7"/>
  <c r="L847" i="7"/>
  <c r="C848" i="7"/>
  <c r="D848" i="7" s="1"/>
  <c r="E848" i="7"/>
  <c r="G848" i="7" s="1" a="1"/>
  <c r="G848" i="7" s="1"/>
  <c r="H848" i="7"/>
  <c r="L848" i="7"/>
  <c r="C849" i="7"/>
  <c r="E849" i="7"/>
  <c r="G849" i="7" s="1" a="1"/>
  <c r="G849" i="7" s="1"/>
  <c r="H849" i="7"/>
  <c r="L849" i="7"/>
  <c r="C850" i="7"/>
  <c r="D850" i="7"/>
  <c r="E850" i="7"/>
  <c r="H850" i="7"/>
  <c r="L850" i="7"/>
  <c r="C851" i="7"/>
  <c r="E851" i="7"/>
  <c r="G851" i="7" s="1" a="1"/>
  <c r="G851" i="7" s="1"/>
  <c r="H851" i="7"/>
  <c r="L851" i="7"/>
  <c r="C852" i="7"/>
  <c r="D852" i="7" s="1"/>
  <c r="E852" i="7"/>
  <c r="G852" i="7" s="1" a="1"/>
  <c r="G852" i="7"/>
  <c r="H852" i="7"/>
  <c r="L852" i="7"/>
  <c r="C853" i="7"/>
  <c r="D853" i="7"/>
  <c r="E853" i="7"/>
  <c r="H853" i="7"/>
  <c r="L853" i="7"/>
  <c r="C854" i="7"/>
  <c r="D854" i="7"/>
  <c r="E854" i="7"/>
  <c r="G854" i="7" s="1" a="1"/>
  <c r="G854" i="7"/>
  <c r="H854" i="7"/>
  <c r="L854" i="7"/>
  <c r="C855" i="7"/>
  <c r="D855" i="7" s="1"/>
  <c r="E855" i="7"/>
  <c r="H855" i="7"/>
  <c r="L855" i="7"/>
  <c r="C856" i="7"/>
  <c r="D856" i="7" s="1"/>
  <c r="E856" i="7"/>
  <c r="G856" i="7" s="1" a="1"/>
  <c r="G856" i="7"/>
  <c r="H856" i="7"/>
  <c r="L856" i="7"/>
  <c r="C857" i="7"/>
  <c r="E857" i="7"/>
  <c r="G857" i="7" s="1" a="1"/>
  <c r="G857" i="7" s="1"/>
  <c r="H857" i="7"/>
  <c r="L857" i="7"/>
  <c r="C858" i="7"/>
  <c r="D858" i="7" s="1"/>
  <c r="E858" i="7"/>
  <c r="G858" i="7" a="1"/>
  <c r="G858" i="7" s="1"/>
  <c r="H858" i="7"/>
  <c r="L858" i="7"/>
  <c r="C859" i="7"/>
  <c r="E859" i="7"/>
  <c r="H859" i="7"/>
  <c r="L859" i="7"/>
  <c r="C860" i="7"/>
  <c r="D860" i="7" s="1"/>
  <c r="E860" i="7"/>
  <c r="G860" i="7" s="1" a="1"/>
  <c r="G860" i="7" s="1"/>
  <c r="H860" i="7"/>
  <c r="L860" i="7"/>
  <c r="C861" i="7"/>
  <c r="E861" i="7"/>
  <c r="G861" i="7" a="1"/>
  <c r="G861" i="7" s="1"/>
  <c r="H861" i="7"/>
  <c r="L861" i="7"/>
  <c r="C862" i="7"/>
  <c r="D862" i="7" s="1"/>
  <c r="E862" i="7"/>
  <c r="G862" i="7" s="1" a="1"/>
  <c r="G862" i="7" s="1"/>
  <c r="H862" i="7"/>
  <c r="L862" i="7"/>
  <c r="C863" i="7"/>
  <c r="D863" i="7" s="1"/>
  <c r="E863" i="7"/>
  <c r="G863" i="7" a="1"/>
  <c r="G863" i="7" s="1"/>
  <c r="H863" i="7"/>
  <c r="L863" i="7"/>
  <c r="C864" i="7"/>
  <c r="D864" i="7" s="1"/>
  <c r="E864" i="7"/>
  <c r="G864" i="7" s="1" a="1"/>
  <c r="G864" i="7" s="1"/>
  <c r="H864" i="7"/>
  <c r="L864" i="7"/>
  <c r="C865" i="7"/>
  <c r="E865" i="7"/>
  <c r="G865" i="7" s="1" a="1"/>
  <c r="G865" i="7" s="1"/>
  <c r="H865" i="7"/>
  <c r="L865" i="7"/>
  <c r="C866" i="7"/>
  <c r="D866" i="7"/>
  <c r="E866" i="7"/>
  <c r="H866" i="7"/>
  <c r="L866" i="7"/>
  <c r="C867" i="7"/>
  <c r="E867" i="7"/>
  <c r="G867" i="7" s="1" a="1"/>
  <c r="G867" i="7" s="1"/>
  <c r="H867" i="7"/>
  <c r="L867" i="7"/>
  <c r="C868" i="7"/>
  <c r="D868" i="7" s="1"/>
  <c r="E868" i="7"/>
  <c r="G868" i="7" s="1" a="1"/>
  <c r="G868" i="7"/>
  <c r="H868" i="7"/>
  <c r="L868" i="7"/>
  <c r="C869" i="7"/>
  <c r="D869" i="7"/>
  <c r="E869" i="7"/>
  <c r="H869" i="7"/>
  <c r="L869" i="7"/>
  <c r="C870" i="7"/>
  <c r="D870" i="7"/>
  <c r="E870" i="7"/>
  <c r="G870" i="7" s="1" a="1"/>
  <c r="G870" i="7"/>
  <c r="H870" i="7"/>
  <c r="L870" i="7"/>
  <c r="C871" i="7"/>
  <c r="D871" i="7" s="1"/>
  <c r="E871" i="7"/>
  <c r="H871" i="7"/>
  <c r="L871" i="7"/>
  <c r="C872" i="7"/>
  <c r="D872" i="7" s="1"/>
  <c r="E872" i="7"/>
  <c r="G872" i="7" s="1" a="1"/>
  <c r="G872" i="7"/>
  <c r="H872" i="7"/>
  <c r="L872" i="7"/>
  <c r="C873" i="7"/>
  <c r="E873" i="7"/>
  <c r="G873" i="7" s="1" a="1"/>
  <c r="G873" i="7" s="1"/>
  <c r="H873" i="7"/>
  <c r="L873" i="7"/>
  <c r="C874" i="7"/>
  <c r="E874" i="7"/>
  <c r="G874" i="7" a="1"/>
  <c r="G874" i="7" s="1"/>
  <c r="H874" i="7"/>
  <c r="L874" i="7"/>
  <c r="C875" i="7"/>
  <c r="E875" i="7"/>
  <c r="H875" i="7"/>
  <c r="L875" i="7"/>
  <c r="C876" i="7"/>
  <c r="D876" i="7" s="1"/>
  <c r="E876" i="7"/>
  <c r="H876" i="7"/>
  <c r="L876" i="7"/>
  <c r="C877" i="7"/>
  <c r="D877" i="7"/>
  <c r="E877" i="7"/>
  <c r="G877" i="7" a="1"/>
  <c r="G877" i="7" s="1"/>
  <c r="H877" i="7"/>
  <c r="L877" i="7"/>
  <c r="C878" i="7"/>
  <c r="D878" i="7" s="1"/>
  <c r="E878" i="7"/>
  <c r="G878" i="7" s="1" a="1"/>
  <c r="G878" i="7" s="1"/>
  <c r="H878" i="7"/>
  <c r="L878" i="7"/>
  <c r="C879" i="7"/>
  <c r="D879" i="7" s="1"/>
  <c r="E879" i="7"/>
  <c r="G879" i="7" a="1"/>
  <c r="G879" i="7" s="1"/>
  <c r="H879" i="7"/>
  <c r="L879" i="7"/>
  <c r="C880" i="7"/>
  <c r="D880" i="7" s="1"/>
  <c r="E880" i="7"/>
  <c r="H880" i="7"/>
  <c r="L880" i="7"/>
  <c r="C881" i="7"/>
  <c r="E881" i="7"/>
  <c r="G881" i="7" s="1" a="1"/>
  <c r="G881" i="7" s="1"/>
  <c r="H881" i="7"/>
  <c r="L881" i="7"/>
  <c r="C882" i="7"/>
  <c r="D882" i="7"/>
  <c r="E882" i="7"/>
  <c r="H882" i="7"/>
  <c r="L882" i="7"/>
  <c r="C883" i="7"/>
  <c r="E883" i="7"/>
  <c r="H883" i="7"/>
  <c r="L883" i="7"/>
  <c r="C884" i="7"/>
  <c r="D884" i="7" s="1"/>
  <c r="E884" i="7"/>
  <c r="G884" i="7" s="1" a="1"/>
  <c r="G884" i="7"/>
  <c r="H884" i="7"/>
  <c r="L884" i="7"/>
  <c r="C885" i="7"/>
  <c r="D885" i="7"/>
  <c r="E885" i="7"/>
  <c r="G885" i="7" s="1" a="1"/>
  <c r="G885" i="7" s="1"/>
  <c r="H885" i="7"/>
  <c r="L885" i="7"/>
  <c r="C886" i="7"/>
  <c r="D886" i="7"/>
  <c r="E886" i="7"/>
  <c r="G886" i="7" s="1" a="1"/>
  <c r="G886" i="7"/>
  <c r="H886" i="7"/>
  <c r="L886" i="7"/>
  <c r="C887" i="7"/>
  <c r="D887" i="7" s="1"/>
  <c r="E887" i="7"/>
  <c r="H887" i="7"/>
  <c r="L887" i="7"/>
  <c r="C888" i="7"/>
  <c r="D888" i="7" s="1"/>
  <c r="E888" i="7"/>
  <c r="G888" i="7" s="1" a="1"/>
  <c r="G888" i="7"/>
  <c r="H888" i="7"/>
  <c r="L888" i="7"/>
  <c r="C889" i="7"/>
  <c r="E889" i="7"/>
  <c r="G889" i="7" s="1" a="1"/>
  <c r="G889" i="7" s="1"/>
  <c r="H889" i="7"/>
  <c r="L889" i="7"/>
  <c r="C890" i="7"/>
  <c r="D890" i="7" s="1"/>
  <c r="E890" i="7"/>
  <c r="G890" i="7" s="1" a="1"/>
  <c r="G890" i="7" s="1"/>
  <c r="H890" i="7"/>
  <c r="L890" i="7"/>
  <c r="C891" i="7"/>
  <c r="E891" i="7"/>
  <c r="H891" i="7"/>
  <c r="L891" i="7"/>
  <c r="C892" i="7"/>
  <c r="D892" i="7" s="1"/>
  <c r="E892" i="7"/>
  <c r="G892" i="7" s="1" a="1"/>
  <c r="G892" i="7"/>
  <c r="H892" i="7"/>
  <c r="L892" i="7"/>
  <c r="C893" i="7"/>
  <c r="D893" i="7"/>
  <c r="E893" i="7"/>
  <c r="G893" i="7" a="1"/>
  <c r="G893" i="7" s="1"/>
  <c r="H893" i="7"/>
  <c r="L893" i="7"/>
  <c r="C894" i="7"/>
  <c r="E894" i="7"/>
  <c r="G894" i="7" s="1" a="1"/>
  <c r="G894" i="7" s="1"/>
  <c r="H894" i="7"/>
  <c r="L894" i="7"/>
  <c r="C895" i="7"/>
  <c r="D895" i="7" s="1"/>
  <c r="E895" i="7"/>
  <c r="G895" i="7" a="1"/>
  <c r="G895" i="7" s="1"/>
  <c r="H895" i="7"/>
  <c r="L895" i="7"/>
  <c r="C896" i="7"/>
  <c r="D896" i="7" s="1"/>
  <c r="E896" i="7"/>
  <c r="H896" i="7"/>
  <c r="L896" i="7"/>
  <c r="C897" i="7"/>
  <c r="D897" i="7" s="1"/>
  <c r="E897" i="7"/>
  <c r="G897" i="7" s="1" a="1"/>
  <c r="G897" i="7" s="1"/>
  <c r="H897" i="7"/>
  <c r="L897" i="7"/>
  <c r="C898" i="7"/>
  <c r="D898" i="7"/>
  <c r="E898" i="7"/>
  <c r="H898" i="7"/>
  <c r="L898" i="7"/>
  <c r="C899" i="7"/>
  <c r="D899" i="7" s="1"/>
  <c r="E899" i="7"/>
  <c r="G899" i="7" a="1"/>
  <c r="G899" i="7" s="1"/>
  <c r="H899" i="7"/>
  <c r="L899" i="7"/>
  <c r="C900" i="7"/>
  <c r="D900" i="7" s="1"/>
  <c r="E900" i="7"/>
  <c r="G900" i="7" a="1"/>
  <c r="G900" i="7"/>
  <c r="H900" i="7"/>
  <c r="L900" i="7"/>
  <c r="C901" i="7"/>
  <c r="D901" i="7"/>
  <c r="E901" i="7"/>
  <c r="G901" i="7" s="1" a="1"/>
  <c r="G901" i="7"/>
  <c r="H901" i="7"/>
  <c r="L901" i="7"/>
  <c r="C902" i="7"/>
  <c r="D902" i="7"/>
  <c r="E902" i="7"/>
  <c r="G902" i="7" a="1"/>
  <c r="G902" i="7" s="1"/>
  <c r="H902" i="7"/>
  <c r="L902" i="7"/>
  <c r="C903" i="7"/>
  <c r="D903" i="7" s="1"/>
  <c r="E903" i="7"/>
  <c r="H903" i="7"/>
  <c r="L903" i="7"/>
  <c r="C904" i="7"/>
  <c r="D904" i="7"/>
  <c r="E904" i="7"/>
  <c r="G904" i="7" a="1"/>
  <c r="G904" i="7"/>
  <c r="H904" i="7"/>
  <c r="L904" i="7"/>
  <c r="C905" i="7"/>
  <c r="D905" i="7" s="1"/>
  <c r="E905" i="7"/>
  <c r="G905" i="7" s="1" a="1"/>
  <c r="G905" i="7" s="1"/>
  <c r="H905" i="7"/>
  <c r="L905" i="7"/>
  <c r="C906" i="7"/>
  <c r="D906" i="7" s="1"/>
  <c r="E906" i="7"/>
  <c r="G906" i="7" a="1"/>
  <c r="G906" i="7"/>
  <c r="H906" i="7"/>
  <c r="L906" i="7"/>
  <c r="C907" i="7"/>
  <c r="D907" i="7" s="1"/>
  <c r="E907" i="7"/>
  <c r="H907" i="7"/>
  <c r="L907" i="7"/>
  <c r="C908" i="7"/>
  <c r="D908" i="7" s="1"/>
  <c r="E908" i="7"/>
  <c r="H908" i="7"/>
  <c r="L908" i="7"/>
  <c r="C909" i="7"/>
  <c r="D909" i="7"/>
  <c r="E909" i="7"/>
  <c r="G909" i="7" a="1"/>
  <c r="G909" i="7" s="1"/>
  <c r="H909" i="7"/>
  <c r="L909" i="7"/>
  <c r="C910" i="7"/>
  <c r="D910" i="7"/>
  <c r="E910" i="7"/>
  <c r="H910" i="7"/>
  <c r="L910" i="7"/>
  <c r="C911" i="7"/>
  <c r="D911" i="7" s="1"/>
  <c r="E911" i="7"/>
  <c r="G911" i="7" s="1" a="1"/>
  <c r="G911" i="7" s="1"/>
  <c r="H911" i="7"/>
  <c r="L911" i="7"/>
  <c r="C912" i="7"/>
  <c r="D912" i="7" s="1"/>
  <c r="E912" i="7"/>
  <c r="G912" i="7" a="1"/>
  <c r="G912" i="7" s="1"/>
  <c r="H912" i="7"/>
  <c r="L912" i="7"/>
  <c r="C913" i="7"/>
  <c r="D913" i="7" s="1"/>
  <c r="E913" i="7"/>
  <c r="G913" i="7" s="1" a="1"/>
  <c r="G913" i="7" s="1"/>
  <c r="H913" i="7"/>
  <c r="L913" i="7"/>
  <c r="C914" i="7"/>
  <c r="D914" i="7"/>
  <c r="E914" i="7"/>
  <c r="G914" i="7" a="1"/>
  <c r="G914" i="7"/>
  <c r="H914" i="7"/>
  <c r="L914" i="7"/>
  <c r="C915" i="7"/>
  <c r="D915" i="7"/>
  <c r="E915" i="7"/>
  <c r="H915" i="7"/>
  <c r="L915" i="7"/>
  <c r="C916" i="7"/>
  <c r="D916" i="7" s="1"/>
  <c r="E916" i="7"/>
  <c r="G916" i="7" s="1" a="1"/>
  <c r="G916" i="7" s="1"/>
  <c r="H916" i="7"/>
  <c r="L916" i="7"/>
  <c r="C917" i="7"/>
  <c r="D917" i="7"/>
  <c r="E917" i="7"/>
  <c r="H917" i="7"/>
  <c r="L917" i="7"/>
  <c r="C918" i="7"/>
  <c r="D918" i="7"/>
  <c r="E918" i="7"/>
  <c r="G918" i="7" s="1" a="1"/>
  <c r="G918" i="7"/>
  <c r="H918" i="7"/>
  <c r="L918" i="7"/>
  <c r="C919" i="7"/>
  <c r="D919" i="7" s="1"/>
  <c r="E919" i="7"/>
  <c r="G919" i="7" a="1"/>
  <c r="G919" i="7" s="1"/>
  <c r="H919" i="7"/>
  <c r="L919" i="7"/>
  <c r="C920" i="7"/>
  <c r="D920" i="7"/>
  <c r="E920" i="7"/>
  <c r="G920" i="7" a="1"/>
  <c r="G920" i="7" s="1"/>
  <c r="H920" i="7"/>
  <c r="L920" i="7"/>
  <c r="C921" i="7"/>
  <c r="E921" i="7"/>
  <c r="G921" i="7" a="1"/>
  <c r="G921" i="7" s="1"/>
  <c r="H921" i="7"/>
  <c r="L921" i="7"/>
  <c r="C922" i="7"/>
  <c r="D922" i="7"/>
  <c r="E922" i="7"/>
  <c r="G922" i="7" a="1"/>
  <c r="G922" i="7" s="1"/>
  <c r="H922" i="7"/>
  <c r="L922" i="7"/>
  <c r="C923" i="7"/>
  <c r="D923" i="7" s="1"/>
  <c r="E923" i="7"/>
  <c r="H923" i="7"/>
  <c r="L923" i="7"/>
  <c r="C924" i="7"/>
  <c r="D924" i="7"/>
  <c r="E924" i="7"/>
  <c r="G924" i="7" s="1" a="1"/>
  <c r="G924" i="7" s="1"/>
  <c r="H924" i="7"/>
  <c r="L924" i="7"/>
  <c r="C925" i="7"/>
  <c r="D925" i="7"/>
  <c r="E925" i="7"/>
  <c r="G925" i="7" s="1" a="1"/>
  <c r="G925" i="7" s="1"/>
  <c r="H925" i="7"/>
  <c r="L925" i="7"/>
  <c r="C926" i="7"/>
  <c r="D926" i="7"/>
  <c r="E926" i="7"/>
  <c r="G926" i="7" s="1" a="1"/>
  <c r="G926" i="7"/>
  <c r="H926" i="7"/>
  <c r="L926" i="7"/>
  <c r="C927" i="7"/>
  <c r="D927" i="7" s="1"/>
  <c r="E927" i="7"/>
  <c r="G927" i="7" s="1" a="1"/>
  <c r="G927" i="7" s="1"/>
  <c r="H927" i="7"/>
  <c r="L927" i="7"/>
  <c r="C928" i="7"/>
  <c r="D928" i="7"/>
  <c r="E928" i="7"/>
  <c r="G928" i="7" a="1"/>
  <c r="G928" i="7" s="1"/>
  <c r="H928" i="7"/>
  <c r="L928" i="7"/>
  <c r="C929" i="7"/>
  <c r="E929" i="7"/>
  <c r="G929" i="7" a="1"/>
  <c r="G929" i="7" s="1"/>
  <c r="H929" i="7"/>
  <c r="L929" i="7"/>
  <c r="C930" i="7"/>
  <c r="D930" i="7" s="1"/>
  <c r="E930" i="7"/>
  <c r="G930" i="7" a="1"/>
  <c r="G930" i="7" s="1"/>
  <c r="H930" i="7"/>
  <c r="L930" i="7"/>
  <c r="C931" i="7"/>
  <c r="D931" i="7"/>
  <c r="E931" i="7"/>
  <c r="H931" i="7"/>
  <c r="L931" i="7"/>
  <c r="C932" i="7"/>
  <c r="D932" i="7" s="1"/>
  <c r="E932" i="7"/>
  <c r="G932" i="7" s="1" a="1"/>
  <c r="G932" i="7" s="1"/>
  <c r="H932" i="7"/>
  <c r="L932" i="7"/>
  <c r="C933" i="7"/>
  <c r="D933" i="7"/>
  <c r="E933" i="7"/>
  <c r="H933" i="7"/>
  <c r="L933" i="7"/>
  <c r="C934" i="7"/>
  <c r="D934" i="7"/>
  <c r="E934" i="7"/>
  <c r="G934" i="7" s="1" a="1"/>
  <c r="G934" i="7"/>
  <c r="H934" i="7"/>
  <c r="L934" i="7"/>
  <c r="C935" i="7"/>
  <c r="D935" i="7" s="1"/>
  <c r="E935" i="7"/>
  <c r="G935" i="7" s="1" a="1"/>
  <c r="G935" i="7" s="1"/>
  <c r="H935" i="7"/>
  <c r="L935" i="7"/>
  <c r="C936" i="7"/>
  <c r="D936" i="7" s="1"/>
  <c r="E936" i="7"/>
  <c r="G936" i="7" a="1"/>
  <c r="G936" i="7"/>
  <c r="H936" i="7"/>
  <c r="L936" i="7"/>
  <c r="C937" i="7"/>
  <c r="E937" i="7"/>
  <c r="G937" i="7" s="1" a="1"/>
  <c r="G937" i="7" s="1"/>
  <c r="H937" i="7"/>
  <c r="L937" i="7"/>
  <c r="C938" i="7"/>
  <c r="D938" i="7" s="1"/>
  <c r="E938" i="7"/>
  <c r="G938" i="7" a="1"/>
  <c r="G938" i="7" s="1"/>
  <c r="H938" i="7"/>
  <c r="L938" i="7"/>
  <c r="C939" i="7"/>
  <c r="D939" i="7" s="1"/>
  <c r="E939" i="7"/>
  <c r="H939" i="7"/>
  <c r="L939" i="7"/>
  <c r="C940" i="7"/>
  <c r="E940" i="7"/>
  <c r="G940" i="7" s="1" a="1"/>
  <c r="G940" i="7"/>
  <c r="H940" i="7"/>
  <c r="L940" i="7"/>
  <c r="C941" i="7"/>
  <c r="D941" i="7"/>
  <c r="E941" i="7"/>
  <c r="G941" i="7" a="1"/>
  <c r="G941" i="7" s="1"/>
  <c r="H941" i="7"/>
  <c r="L941" i="7"/>
  <c r="C942" i="7"/>
  <c r="D942" i="7"/>
  <c r="E942" i="7"/>
  <c r="G942" i="7" s="1" a="1"/>
  <c r="G942" i="7" s="1"/>
  <c r="H942" i="7"/>
  <c r="L942" i="7"/>
  <c r="C943" i="7"/>
  <c r="D943" i="7" s="1"/>
  <c r="E943" i="7"/>
  <c r="G943" i="7" a="1"/>
  <c r="G943" i="7" s="1"/>
  <c r="H943" i="7"/>
  <c r="L943" i="7"/>
  <c r="C944" i="7"/>
  <c r="D944" i="7"/>
  <c r="E944" i="7"/>
  <c r="G944" i="7" a="1"/>
  <c r="G944" i="7" s="1"/>
  <c r="H944" i="7"/>
  <c r="L944" i="7"/>
  <c r="C945" i="7"/>
  <c r="E945" i="7"/>
  <c r="G945" i="7" a="1"/>
  <c r="G945" i="7" s="1"/>
  <c r="H945" i="7"/>
  <c r="L945" i="7"/>
  <c r="C946" i="7"/>
  <c r="D946" i="7"/>
  <c r="E946" i="7"/>
  <c r="G946" i="7" a="1"/>
  <c r="G946" i="7" s="1"/>
  <c r="H946" i="7"/>
  <c r="L946" i="7"/>
  <c r="C947" i="7"/>
  <c r="D947" i="7"/>
  <c r="E947" i="7"/>
  <c r="H947" i="7"/>
  <c r="L947" i="7"/>
  <c r="C948" i="7"/>
  <c r="D948" i="7" s="1"/>
  <c r="E948" i="7"/>
  <c r="G948" i="7" s="1" a="1"/>
  <c r="G948" i="7" s="1"/>
  <c r="H948" i="7"/>
  <c r="L948" i="7"/>
  <c r="C949" i="7"/>
  <c r="D949" i="7" s="1"/>
  <c r="E949" i="7"/>
  <c r="G949" i="7" s="1" a="1"/>
  <c r="G949" i="7" s="1"/>
  <c r="H949" i="7"/>
  <c r="L949" i="7"/>
  <c r="C950" i="7"/>
  <c r="D950" i="7"/>
  <c r="E950" i="7"/>
  <c r="G950" i="7" s="1" a="1"/>
  <c r="G950" i="7"/>
  <c r="H950" i="7"/>
  <c r="L950" i="7"/>
  <c r="C951" i="7"/>
  <c r="D951" i="7" s="1"/>
  <c r="E951" i="7"/>
  <c r="G951" i="7" a="1"/>
  <c r="G951" i="7" s="1"/>
  <c r="H951" i="7"/>
  <c r="L951" i="7"/>
  <c r="C952" i="7"/>
  <c r="D952" i="7" s="1"/>
  <c r="E952" i="7"/>
  <c r="G952" i="7" a="1"/>
  <c r="G952" i="7" s="1"/>
  <c r="H952" i="7"/>
  <c r="L952" i="7"/>
  <c r="C953" i="7"/>
  <c r="E953" i="7"/>
  <c r="G953" i="7" a="1"/>
  <c r="G953" i="7"/>
  <c r="H953" i="7"/>
  <c r="L953" i="7"/>
  <c r="C954" i="7"/>
  <c r="D954" i="7" s="1"/>
  <c r="E954" i="7"/>
  <c r="G954" i="7" a="1"/>
  <c r="G954" i="7"/>
  <c r="H954" i="7"/>
  <c r="L954" i="7"/>
  <c r="C955" i="7"/>
  <c r="D955" i="7" s="1"/>
  <c r="E955" i="7"/>
  <c r="H955" i="7"/>
  <c r="L955" i="7"/>
  <c r="C956" i="7"/>
  <c r="E956" i="7"/>
  <c r="G956" i="7" s="1" a="1"/>
  <c r="G956" i="7" s="1"/>
  <c r="H956" i="7"/>
  <c r="L956" i="7"/>
  <c r="C957" i="7"/>
  <c r="D957" i="7"/>
  <c r="E957" i="7"/>
  <c r="G957" i="7" s="1" a="1"/>
  <c r="G957" i="7" s="1"/>
  <c r="H957" i="7"/>
  <c r="L957" i="7"/>
  <c r="C958" i="7"/>
  <c r="D958" i="7" s="1"/>
  <c r="E958" i="7"/>
  <c r="G958" i="7" s="1" a="1"/>
  <c r="G958" i="7"/>
  <c r="H958" i="7"/>
  <c r="L958" i="7"/>
  <c r="C959" i="7"/>
  <c r="D959" i="7" s="1"/>
  <c r="E959" i="7"/>
  <c r="G959" i="7" a="1"/>
  <c r="G959" i="7" s="1"/>
  <c r="H959" i="7"/>
  <c r="L959" i="7"/>
  <c r="C960" i="7"/>
  <c r="D960" i="7"/>
  <c r="E960" i="7"/>
  <c r="G960" i="7" a="1"/>
  <c r="G960" i="7"/>
  <c r="H960" i="7"/>
  <c r="L960" i="7"/>
  <c r="C961" i="7"/>
  <c r="E961" i="7"/>
  <c r="G961" i="7" s="1" a="1"/>
  <c r="G961" i="7" s="1"/>
  <c r="H961" i="7"/>
  <c r="L961" i="7"/>
  <c r="C962" i="7"/>
  <c r="D962" i="7"/>
  <c r="E962" i="7"/>
  <c r="G962" i="7" a="1"/>
  <c r="G962" i="7"/>
  <c r="H962" i="7"/>
  <c r="L962" i="7"/>
  <c r="C963" i="7"/>
  <c r="D963" i="7"/>
  <c r="E963" i="7"/>
  <c r="H963" i="7"/>
  <c r="L963" i="7"/>
  <c r="C964" i="7"/>
  <c r="D964" i="7"/>
  <c r="E964" i="7"/>
  <c r="G964" i="7" s="1" a="1"/>
  <c r="G964" i="7"/>
  <c r="H964" i="7"/>
  <c r="L964" i="7"/>
  <c r="C965" i="7"/>
  <c r="D965" i="7" s="1"/>
  <c r="E965" i="7"/>
  <c r="H965" i="7"/>
  <c r="L965" i="7"/>
  <c r="C966" i="7"/>
  <c r="D966" i="7" s="1"/>
  <c r="E966" i="7"/>
  <c r="G966" i="7" s="1" a="1"/>
  <c r="G966" i="7"/>
  <c r="H966" i="7"/>
  <c r="L966" i="7"/>
  <c r="C967" i="7"/>
  <c r="D967" i="7" s="1"/>
  <c r="E967" i="7"/>
  <c r="G967" i="7" a="1"/>
  <c r="G967" i="7" s="1"/>
  <c r="H967" i="7"/>
  <c r="L967" i="7"/>
  <c r="C968" i="7"/>
  <c r="D968" i="7"/>
  <c r="E968" i="7"/>
  <c r="G968" i="7" a="1"/>
  <c r="G968" i="7" s="1"/>
  <c r="H968" i="7"/>
  <c r="L968" i="7"/>
  <c r="C969" i="7"/>
  <c r="E969" i="7"/>
  <c r="G969" i="7" a="1"/>
  <c r="G969" i="7" s="1"/>
  <c r="H969" i="7"/>
  <c r="L969" i="7"/>
  <c r="C970" i="7"/>
  <c r="D970" i="7" s="1"/>
  <c r="E970" i="7"/>
  <c r="G970" i="7" a="1"/>
  <c r="G970" i="7"/>
  <c r="H970" i="7"/>
  <c r="L970" i="7"/>
  <c r="C971" i="7"/>
  <c r="D971" i="7"/>
  <c r="E971" i="7"/>
  <c r="G971" i="7" s="1" a="1"/>
  <c r="G971" i="7"/>
  <c r="H971" i="7"/>
  <c r="L971" i="7"/>
  <c r="C972" i="7"/>
  <c r="D972" i="7"/>
  <c r="E972" i="7"/>
  <c r="G972" i="7" s="1" a="1"/>
  <c r="G972" i="7"/>
  <c r="H972" i="7"/>
  <c r="L972" i="7"/>
  <c r="C973" i="7"/>
  <c r="D973" i="7" s="1"/>
  <c r="E973" i="7"/>
  <c r="H973" i="7"/>
  <c r="L973" i="7"/>
  <c r="C974" i="7"/>
  <c r="D974" i="7" s="1"/>
  <c r="E974" i="7"/>
  <c r="G974" i="7" s="1" a="1"/>
  <c r="G974" i="7" s="1"/>
  <c r="H974" i="7"/>
  <c r="L974" i="7"/>
  <c r="C975" i="7"/>
  <c r="D975" i="7" s="1"/>
  <c r="E975" i="7"/>
  <c r="G975" i="7" a="1"/>
  <c r="G975" i="7" s="1"/>
  <c r="H975" i="7"/>
  <c r="L975" i="7"/>
  <c r="C976" i="7"/>
  <c r="D976" i="7" s="1"/>
  <c r="E976" i="7"/>
  <c r="G976" i="7" a="1"/>
  <c r="G976" i="7" s="1"/>
  <c r="H976" i="7"/>
  <c r="L976" i="7"/>
  <c r="C977" i="7"/>
  <c r="E977" i="7"/>
  <c r="H977" i="7"/>
  <c r="L977" i="7"/>
  <c r="C978" i="7"/>
  <c r="E978" i="7"/>
  <c r="G978" i="7" a="1"/>
  <c r="G978" i="7" s="1"/>
  <c r="H978" i="7"/>
  <c r="L978" i="7"/>
  <c r="C979" i="7"/>
  <c r="D979" i="7" s="1"/>
  <c r="E979" i="7"/>
  <c r="G979" i="7" s="1" a="1"/>
  <c r="G979" i="7"/>
  <c r="H979" i="7"/>
  <c r="L979" i="7"/>
  <c r="C980" i="7"/>
  <c r="D980" i="7" s="1"/>
  <c r="E980" i="7"/>
  <c r="G980" i="7" s="1" a="1"/>
  <c r="G980" i="7" s="1"/>
  <c r="H980" i="7"/>
  <c r="L980" i="7"/>
  <c r="C981" i="7"/>
  <c r="E981" i="7"/>
  <c r="G981" i="7" a="1"/>
  <c r="G981" i="7" s="1"/>
  <c r="H981" i="7"/>
  <c r="L981" i="7"/>
  <c r="C982" i="7"/>
  <c r="D982" i="7" s="1"/>
  <c r="E982" i="7"/>
  <c r="G982" i="7" s="1" a="1"/>
  <c r="G982" i="7"/>
  <c r="H982" i="7"/>
  <c r="L982" i="7"/>
  <c r="C983" i="7"/>
  <c r="D983" i="7" s="1"/>
  <c r="E983" i="7"/>
  <c r="G983" i="7" s="1" a="1"/>
  <c r="G983" i="7" s="1"/>
  <c r="H983" i="7"/>
  <c r="L983" i="7"/>
  <c r="C984" i="7"/>
  <c r="D984" i="7" s="1"/>
  <c r="E984" i="7"/>
  <c r="G984" i="7" a="1"/>
  <c r="G984" i="7" s="1"/>
  <c r="H984" i="7"/>
  <c r="L984" i="7"/>
  <c r="C985" i="7"/>
  <c r="E985" i="7"/>
  <c r="H985" i="7"/>
  <c r="L985" i="7"/>
  <c r="C986" i="7"/>
  <c r="D986" i="7"/>
  <c r="E986" i="7"/>
  <c r="G986" i="7" s="1" a="1"/>
  <c r="G986" i="7" s="1"/>
  <c r="H986" i="7"/>
  <c r="L986" i="7"/>
  <c r="C987" i="7"/>
  <c r="D987" i="7" s="1"/>
  <c r="E987" i="7"/>
  <c r="G987" i="7" s="1" a="1"/>
  <c r="G987" i="7"/>
  <c r="H987" i="7"/>
  <c r="L987" i="7"/>
  <c r="C988" i="7"/>
  <c r="D988" i="7"/>
  <c r="E988" i="7"/>
  <c r="G988" i="7" s="1" a="1"/>
  <c r="G988" i="7" s="1"/>
  <c r="H988" i="7"/>
  <c r="L988" i="7"/>
  <c r="C989" i="7"/>
  <c r="D989" i="7"/>
  <c r="E989" i="7"/>
  <c r="G989" i="7" s="1" a="1"/>
  <c r="G989" i="7" s="1"/>
  <c r="H989" i="7"/>
  <c r="L989" i="7"/>
  <c r="C990" i="7"/>
  <c r="D990" i="7" s="1"/>
  <c r="E990" i="7"/>
  <c r="G990" i="7" s="1" a="1"/>
  <c r="G990" i="7"/>
  <c r="H990" i="7"/>
  <c r="L990" i="7"/>
  <c r="C991" i="7"/>
  <c r="D991" i="7" s="1"/>
  <c r="E991" i="7"/>
  <c r="G991" i="7" s="1" a="1"/>
  <c r="G991" i="7" s="1"/>
  <c r="H991" i="7"/>
  <c r="L991" i="7"/>
  <c r="C992" i="7"/>
  <c r="D992" i="7"/>
  <c r="E992" i="7"/>
  <c r="G992" i="7" s="1" a="1"/>
  <c r="G992" i="7" s="1"/>
  <c r="H992" i="7"/>
  <c r="L992" i="7"/>
  <c r="C993" i="7"/>
  <c r="E993" i="7"/>
  <c r="H993" i="7"/>
  <c r="L993" i="7"/>
  <c r="C994" i="7"/>
  <c r="D994" i="7"/>
  <c r="E994" i="7"/>
  <c r="G994" i="7" s="1" a="1"/>
  <c r="G994" i="7" s="1"/>
  <c r="H994" i="7"/>
  <c r="L994" i="7"/>
  <c r="C995" i="7"/>
  <c r="D995" i="7"/>
  <c r="E995" i="7"/>
  <c r="G995" i="7" s="1" a="1"/>
  <c r="G995" i="7" s="1"/>
  <c r="H995" i="7"/>
  <c r="L995" i="7"/>
  <c r="C996" i="7"/>
  <c r="D996" i="7" s="1"/>
  <c r="E996" i="7"/>
  <c r="G996" i="7" s="1" a="1"/>
  <c r="G996" i="7" s="1"/>
  <c r="H996" i="7"/>
  <c r="L996" i="7"/>
  <c r="C997" i="7"/>
  <c r="D997" i="7"/>
  <c r="E997" i="7"/>
  <c r="G997" i="7" s="1" a="1"/>
  <c r="G997" i="7" s="1"/>
  <c r="H997" i="7"/>
  <c r="L997" i="7"/>
  <c r="C998" i="7"/>
  <c r="D998" i="7" s="1"/>
  <c r="E998" i="7"/>
  <c r="G998" i="7" s="1" a="1"/>
  <c r="G998" i="7"/>
  <c r="H998" i="7"/>
  <c r="L998" i="7"/>
  <c r="C999" i="7"/>
  <c r="D999" i="7" s="1"/>
  <c r="E999" i="7"/>
  <c r="G999" i="7" s="1" a="1"/>
  <c r="G999" i="7" s="1"/>
  <c r="H999" i="7"/>
  <c r="L999" i="7"/>
  <c r="C1000" i="7"/>
  <c r="D1000" i="7"/>
  <c r="E1000" i="7"/>
  <c r="G1000" i="7" s="1" a="1"/>
  <c r="G1000" i="7" s="1"/>
  <c r="H1000" i="7"/>
  <c r="L1000" i="7"/>
  <c r="C1001" i="7"/>
  <c r="E1001" i="7"/>
  <c r="G1001" i="7" a="1"/>
  <c r="G1001" i="7" s="1"/>
  <c r="H1001" i="7"/>
  <c r="L1001" i="7"/>
  <c r="C1002" i="7"/>
  <c r="D1002" i="7" s="1"/>
  <c r="E1002" i="7"/>
  <c r="G1002" i="7" s="1" a="1"/>
  <c r="G1002" i="7" s="1"/>
  <c r="H1002" i="7"/>
  <c r="L1002" i="7"/>
  <c r="C1003" i="7"/>
  <c r="D1003" i="7"/>
  <c r="E1003" i="7"/>
  <c r="G1003" i="7" s="1" a="1"/>
  <c r="G1003" i="7" s="1"/>
  <c r="H1003" i="7"/>
  <c r="L1003" i="7"/>
  <c r="C1004" i="7"/>
  <c r="D1004" i="7" s="1"/>
  <c r="E1004" i="7"/>
  <c r="G1004" i="7" s="1" a="1"/>
  <c r="G1004" i="7"/>
  <c r="H1004" i="7"/>
  <c r="L1004" i="7"/>
  <c r="C1005" i="7"/>
  <c r="D1005" i="7" s="1"/>
  <c r="E1005" i="7"/>
  <c r="G1005" i="7" s="1" a="1"/>
  <c r="G1005" i="7" s="1"/>
  <c r="H1005" i="7"/>
  <c r="L1005" i="7"/>
  <c r="C1006" i="7"/>
  <c r="D1006" i="7" s="1"/>
  <c r="E1006" i="7"/>
  <c r="G1006" i="7" s="1" a="1"/>
  <c r="G1006" i="7"/>
  <c r="H1006" i="7"/>
  <c r="L1006" i="7"/>
  <c r="C1007" i="7"/>
  <c r="D1007" i="7" s="1"/>
  <c r="E1007" i="7"/>
  <c r="G1007" i="7" a="1"/>
  <c r="G1007" i="7"/>
  <c r="H1007" i="7"/>
  <c r="L1007" i="7"/>
  <c r="C1008" i="7"/>
  <c r="D1008" i="7" s="1"/>
  <c r="E1008" i="7"/>
  <c r="G1008" i="7" s="1" a="1"/>
  <c r="G1008" i="7" s="1"/>
  <c r="H1008" i="7"/>
  <c r="L1008" i="7"/>
  <c r="C1009" i="7"/>
  <c r="E1009" i="7"/>
  <c r="G1009" i="7" a="1"/>
  <c r="G1009" i="7"/>
  <c r="H1009" i="7"/>
  <c r="L1009" i="7"/>
  <c r="C1010" i="7"/>
  <c r="D1010" i="7" s="1"/>
  <c r="E1010" i="7"/>
  <c r="G1010" i="7" a="1"/>
  <c r="G1010" i="7"/>
  <c r="H1010" i="7"/>
  <c r="L1010" i="7"/>
  <c r="C1011" i="7"/>
  <c r="D1011" i="7" s="1"/>
  <c r="E1011" i="7"/>
  <c r="G1011" i="7" s="1" a="1"/>
  <c r="G1011" i="7" s="1"/>
  <c r="H1011" i="7"/>
  <c r="L1011" i="7"/>
  <c r="C1012" i="7"/>
  <c r="D1012" i="7" s="1"/>
  <c r="E1012" i="7"/>
  <c r="G1012" i="7" s="1" a="1"/>
  <c r="G1012" i="7"/>
  <c r="H1012" i="7"/>
  <c r="L1012" i="7"/>
  <c r="C1013" i="7"/>
  <c r="D1013" i="7" s="1"/>
  <c r="E1013" i="7"/>
  <c r="G1013" i="7" a="1"/>
  <c r="G1013" i="7"/>
  <c r="H1013" i="7"/>
  <c r="L1013" i="7"/>
  <c r="C1014" i="7"/>
  <c r="D1014" i="7" s="1"/>
  <c r="E1014" i="7"/>
  <c r="G1014" i="7" s="1" a="1"/>
  <c r="G1014" i="7"/>
  <c r="H1014" i="7"/>
  <c r="L1014" i="7"/>
  <c r="C1015" i="7"/>
  <c r="D1015" i="7" s="1"/>
  <c r="E1015" i="7"/>
  <c r="H1015" i="7"/>
  <c r="L1015" i="7"/>
  <c r="C1016" i="7"/>
  <c r="D1016" i="7" s="1"/>
  <c r="E1016" i="7"/>
  <c r="G1016" i="7" a="1"/>
  <c r="G1016" i="7" s="1"/>
  <c r="H1016" i="7"/>
  <c r="L1016" i="7"/>
  <c r="C1017" i="7"/>
  <c r="E1017" i="7"/>
  <c r="H1017" i="7"/>
  <c r="L1017" i="7"/>
  <c r="C1018" i="7"/>
  <c r="D1018" i="7"/>
  <c r="E1018" i="7"/>
  <c r="H1018" i="7"/>
  <c r="L1018" i="7"/>
  <c r="C1019" i="7"/>
  <c r="D1019" i="7" s="1"/>
  <c r="E1019" i="7"/>
  <c r="G1019" i="7" s="1" a="1"/>
  <c r="G1019" i="7"/>
  <c r="H1019" i="7"/>
  <c r="L1019" i="7"/>
  <c r="C1020" i="7"/>
  <c r="D1020" i="7"/>
  <c r="E1020" i="7"/>
  <c r="G1020" i="7" s="1" a="1"/>
  <c r="G1020" i="7" s="1"/>
  <c r="H1020" i="7"/>
  <c r="L1020" i="7"/>
  <c r="C1021" i="7"/>
  <c r="D1021" i="7"/>
  <c r="E1021" i="7"/>
  <c r="H1021" i="7"/>
  <c r="L1021" i="7"/>
  <c r="C1022" i="7"/>
  <c r="D1022" i="7" s="1"/>
  <c r="E1022" i="7"/>
  <c r="G1022" i="7" s="1" a="1"/>
  <c r="G1022" i="7" s="1"/>
  <c r="H1022" i="7"/>
  <c r="L1022" i="7"/>
  <c r="C1023" i="7"/>
  <c r="D1023" i="7" s="1"/>
  <c r="E1023" i="7"/>
  <c r="G1023" i="7" s="1" a="1"/>
  <c r="G1023" i="7" s="1"/>
  <c r="H1023" i="7"/>
  <c r="L1023" i="7"/>
  <c r="C1024" i="7"/>
  <c r="D1024" i="7"/>
  <c r="E1024" i="7"/>
  <c r="H1024" i="7"/>
  <c r="L1024" i="7"/>
  <c r="C1025" i="7"/>
  <c r="E1025" i="7"/>
  <c r="G1025" i="7" s="1" a="1"/>
  <c r="G1025" i="7" s="1"/>
  <c r="H1025" i="7"/>
  <c r="L1025" i="7"/>
  <c r="C1026" i="7"/>
  <c r="D1026" i="7" s="1"/>
  <c r="E1026" i="7"/>
  <c r="G1026" i="7" s="1" a="1"/>
  <c r="G1026" i="7" s="1"/>
  <c r="H1026" i="7"/>
  <c r="L1026" i="7"/>
  <c r="C1027" i="7"/>
  <c r="D1027" i="7"/>
  <c r="E1027" i="7"/>
  <c r="G1027" i="7" s="1" a="1"/>
  <c r="G1027" i="7" s="1"/>
  <c r="H1027" i="7"/>
  <c r="L1027" i="7"/>
  <c r="C1028" i="7"/>
  <c r="D1028" i="7"/>
  <c r="E1028" i="7"/>
  <c r="G1028" i="7" s="1" a="1"/>
  <c r="G1028" i="7" s="1"/>
  <c r="H1028" i="7"/>
  <c r="L1028" i="7"/>
  <c r="C1029" i="7"/>
  <c r="D1029" i="7" s="1"/>
  <c r="E1029" i="7"/>
  <c r="G1029" i="7" s="1" a="1"/>
  <c r="G1029" i="7" s="1"/>
  <c r="H1029" i="7"/>
  <c r="L1029" i="7"/>
  <c r="C1030" i="7"/>
  <c r="D1030" i="7" s="1"/>
  <c r="E1030" i="7"/>
  <c r="G1030" i="7" s="1" a="1"/>
  <c r="G1030" i="7" s="1"/>
  <c r="H1030" i="7"/>
  <c r="L1030" i="7"/>
  <c r="C1031" i="7"/>
  <c r="D1031" i="7" s="1"/>
  <c r="E1031" i="7"/>
  <c r="G1031" i="7" a="1"/>
  <c r="G1031" i="7" s="1"/>
  <c r="H1031" i="7"/>
  <c r="L1031" i="7"/>
  <c r="C1032" i="7"/>
  <c r="D1032" i="7" s="1"/>
  <c r="E1032" i="7"/>
  <c r="G1032" i="7" s="1" a="1"/>
  <c r="G1032" i="7" s="1"/>
  <c r="H1032" i="7"/>
  <c r="L1032" i="7"/>
  <c r="C1033" i="7"/>
  <c r="E1033" i="7"/>
  <c r="G1033" i="7" s="1" a="1"/>
  <c r="G1033" i="7" s="1"/>
  <c r="H1033" i="7"/>
  <c r="L1033" i="7"/>
  <c r="C1034" i="7"/>
  <c r="D1034" i="7" s="1"/>
  <c r="E1034" i="7"/>
  <c r="G1034" i="7" a="1"/>
  <c r="G1034" i="7" s="1"/>
  <c r="H1034" i="7"/>
  <c r="L1034" i="7"/>
  <c r="C1035" i="7"/>
  <c r="D1035" i="7" s="1"/>
  <c r="E1035" i="7"/>
  <c r="G1035" i="7" s="1" a="1"/>
  <c r="G1035" i="7" s="1"/>
  <c r="H1035" i="7"/>
  <c r="L1035" i="7"/>
  <c r="C1036" i="7"/>
  <c r="D1036" i="7"/>
  <c r="E1036" i="7"/>
  <c r="G1036" i="7" s="1" a="1"/>
  <c r="G1036" i="7" s="1"/>
  <c r="H1036" i="7"/>
  <c r="L1036" i="7"/>
  <c r="C1037" i="7"/>
  <c r="D1037" i="7" s="1"/>
  <c r="E1037" i="7"/>
  <c r="G1037" i="7" a="1"/>
  <c r="G1037" i="7" s="1"/>
  <c r="H1037" i="7"/>
  <c r="L1037" i="7"/>
  <c r="C1038" i="7"/>
  <c r="D1038" i="7" s="1"/>
  <c r="E1038" i="7"/>
  <c r="G1038" i="7" s="1" a="1"/>
  <c r="G1038" i="7"/>
  <c r="H1038" i="7"/>
  <c r="L1038" i="7"/>
  <c r="C1039" i="7"/>
  <c r="D1039" i="7" s="1"/>
  <c r="E1039" i="7"/>
  <c r="G1039" i="7" a="1"/>
  <c r="G1039" i="7" s="1"/>
  <c r="H1039" i="7"/>
  <c r="L1039" i="7"/>
  <c r="C1040" i="7"/>
  <c r="D1040" i="7" s="1"/>
  <c r="E1040" i="7"/>
  <c r="G1040" i="7" a="1"/>
  <c r="G1040" i="7" s="1"/>
  <c r="H1040" i="7"/>
  <c r="L1040" i="7"/>
  <c r="C1041" i="7"/>
  <c r="E1041" i="7"/>
  <c r="G1041" i="7" a="1"/>
  <c r="G1041" i="7" s="1"/>
  <c r="H1041" i="7"/>
  <c r="L1041" i="7"/>
  <c r="C1042" i="7"/>
  <c r="E1042" i="7"/>
  <c r="G1042" i="7" a="1"/>
  <c r="G1042" i="7" s="1"/>
  <c r="H1042" i="7"/>
  <c r="L1042" i="7"/>
  <c r="C1043" i="7"/>
  <c r="D1043" i="7" s="1"/>
  <c r="E1043" i="7"/>
  <c r="G1043" i="7" s="1" a="1"/>
  <c r="G1043" i="7"/>
  <c r="H1043" i="7"/>
  <c r="L1043" i="7"/>
  <c r="C1044" i="7"/>
  <c r="D1044" i="7" s="1"/>
  <c r="E1044" i="7"/>
  <c r="G1044" i="7" s="1" a="1"/>
  <c r="G1044" i="7"/>
  <c r="H1044" i="7"/>
  <c r="L1044" i="7"/>
  <c r="C1045" i="7"/>
  <c r="E1045" i="7"/>
  <c r="G1045" i="7" a="1"/>
  <c r="G1045" i="7" s="1"/>
  <c r="H1045" i="7"/>
  <c r="L1045" i="7"/>
  <c r="C1046" i="7"/>
  <c r="D1046" i="7" s="1"/>
  <c r="E1046" i="7"/>
  <c r="G1046" i="7" s="1" a="1"/>
  <c r="G1046" i="7"/>
  <c r="H1046" i="7"/>
  <c r="L1046" i="7"/>
  <c r="C1047" i="7"/>
  <c r="D1047" i="7" s="1"/>
  <c r="E1047" i="7"/>
  <c r="G1047" i="7" s="1" a="1"/>
  <c r="G1047" i="7" s="1"/>
  <c r="H1047" i="7"/>
  <c r="L1047" i="7"/>
  <c r="C1048" i="7"/>
  <c r="D1048" i="7" s="1"/>
  <c r="E1048" i="7"/>
  <c r="G1048" i="7" a="1"/>
  <c r="G1048" i="7" s="1"/>
  <c r="H1048" i="7"/>
  <c r="L1048" i="7"/>
  <c r="C1049" i="7"/>
  <c r="E1049" i="7"/>
  <c r="H1049" i="7"/>
  <c r="L1049" i="7"/>
  <c r="C1050" i="7"/>
  <c r="D1050" i="7" s="1"/>
  <c r="E1050" i="7"/>
  <c r="G1050" i="7" s="1" a="1"/>
  <c r="G1050" i="7" s="1"/>
  <c r="H1050" i="7"/>
  <c r="L1050" i="7"/>
  <c r="C1051" i="7"/>
  <c r="D1051" i="7" s="1"/>
  <c r="E1051" i="7"/>
  <c r="G1051" i="7" s="1" a="1"/>
  <c r="G1051" i="7"/>
  <c r="H1051" i="7"/>
  <c r="L1051" i="7"/>
  <c r="C1052" i="7"/>
  <c r="D1052" i="7"/>
  <c r="E1052" i="7"/>
  <c r="G1052" i="7" s="1" a="1"/>
  <c r="G1052" i="7" s="1"/>
  <c r="H1052" i="7"/>
  <c r="L1052" i="7"/>
  <c r="C1053" i="7"/>
  <c r="D1053" i="7" s="1"/>
  <c r="E1053" i="7"/>
  <c r="G1053" i="7" s="1" a="1"/>
  <c r="G1053" i="7" s="1"/>
  <c r="H1053" i="7"/>
  <c r="L1053" i="7"/>
  <c r="C1054" i="7"/>
  <c r="D1054" i="7" s="1"/>
  <c r="E1054" i="7"/>
  <c r="G1054" i="7" s="1" a="1"/>
  <c r="G1054" i="7"/>
  <c r="H1054" i="7"/>
  <c r="L1054" i="7"/>
  <c r="C1055" i="7"/>
  <c r="D1055" i="7" s="1"/>
  <c r="E1055" i="7"/>
  <c r="G1055" i="7" s="1" a="1"/>
  <c r="G1055" i="7" s="1"/>
  <c r="H1055" i="7"/>
  <c r="L1055" i="7"/>
  <c r="C1056" i="7"/>
  <c r="D1056" i="7" s="1"/>
  <c r="E1056" i="7"/>
  <c r="G1056" i="7" s="1" a="1"/>
  <c r="G1056" i="7" s="1"/>
  <c r="H1056" i="7"/>
  <c r="L1056" i="7"/>
  <c r="C1057" i="7"/>
  <c r="E1057" i="7"/>
  <c r="H1057" i="7"/>
  <c r="L1057" i="7"/>
  <c r="C1058" i="7"/>
  <c r="D1058" i="7" s="1"/>
  <c r="E1058" i="7"/>
  <c r="G1058" i="7" s="1" a="1"/>
  <c r="G1058" i="7" s="1"/>
  <c r="H1058" i="7"/>
  <c r="L1058" i="7"/>
  <c r="C1059" i="7"/>
  <c r="D1059" i="7" s="1"/>
  <c r="E1059" i="7"/>
  <c r="G1059" i="7" s="1" a="1"/>
  <c r="G1059" i="7" s="1"/>
  <c r="H1059" i="7"/>
  <c r="L1059" i="7"/>
  <c r="C1060" i="7"/>
  <c r="D1060" i="7" s="1"/>
  <c r="E1060" i="7"/>
  <c r="G1060" i="7" s="1" a="1"/>
  <c r="G1060" i="7" s="1"/>
  <c r="H1060" i="7"/>
  <c r="L1060" i="7"/>
  <c r="C1061" i="7"/>
  <c r="D1061" i="7" s="1"/>
  <c r="E1061" i="7"/>
  <c r="G1061" i="7" s="1" a="1"/>
  <c r="G1061" i="7" s="1"/>
  <c r="H1061" i="7"/>
  <c r="L1061" i="7"/>
  <c r="C1062" i="7"/>
  <c r="D1062" i="7" s="1"/>
  <c r="E1062" i="7"/>
  <c r="G1062" i="7" a="1"/>
  <c r="G1062" i="7" s="1"/>
  <c r="H1062" i="7"/>
  <c r="L1062" i="7"/>
  <c r="C1063" i="7"/>
  <c r="D1063" i="7" s="1"/>
  <c r="E1063" i="7"/>
  <c r="H1063" i="7"/>
  <c r="L1063" i="7"/>
  <c r="C1064" i="7"/>
  <c r="D1064" i="7"/>
  <c r="E1064" i="7"/>
  <c r="H1064" i="7"/>
  <c r="L1064" i="7"/>
  <c r="C1065" i="7"/>
  <c r="D1065" i="7"/>
  <c r="E1065" i="7"/>
  <c r="G1065" i="7" s="1" a="1"/>
  <c r="G1065" i="7" s="1"/>
  <c r="H1065" i="7"/>
  <c r="L1065" i="7"/>
  <c r="C1066" i="7"/>
  <c r="D1066" i="7"/>
  <c r="E1066" i="7"/>
  <c r="G1066" i="7" a="1"/>
  <c r="G1066" i="7"/>
  <c r="H1066" i="7"/>
  <c r="L1066" i="7"/>
  <c r="C1067" i="7"/>
  <c r="D1067" i="7"/>
  <c r="E1067" i="7"/>
  <c r="G1067" i="7" s="1" a="1"/>
  <c r="G1067" i="7"/>
  <c r="H1067" i="7"/>
  <c r="L1067" i="7"/>
  <c r="C1068" i="7"/>
  <c r="D1068" i="7"/>
  <c r="E1068" i="7"/>
  <c r="G1068" i="7" s="1" a="1"/>
  <c r="G1068" i="7"/>
  <c r="H1068" i="7"/>
  <c r="L1068" i="7"/>
  <c r="C1069" i="7"/>
  <c r="E1069" i="7"/>
  <c r="G1069" i="7" a="1"/>
  <c r="G1069" i="7" s="1"/>
  <c r="H1069" i="7"/>
  <c r="L1069" i="7"/>
  <c r="C1070" i="7"/>
  <c r="D1070" i="7" s="1"/>
  <c r="E1070" i="7"/>
  <c r="G1070" i="7" a="1"/>
  <c r="G1070" i="7" s="1"/>
  <c r="H1070" i="7"/>
  <c r="L1070" i="7"/>
  <c r="C1071" i="7"/>
  <c r="D1071" i="7" s="1"/>
  <c r="E1071" i="7"/>
  <c r="G1071" i="7" a="1"/>
  <c r="G1071" i="7" s="1"/>
  <c r="H1071" i="7"/>
  <c r="L1071" i="7"/>
  <c r="C1072" i="7"/>
  <c r="D1072" i="7"/>
  <c r="E1072" i="7"/>
  <c r="G1072" i="7" s="1" a="1"/>
  <c r="G1072" i="7" s="1"/>
  <c r="H1072" i="7"/>
  <c r="L1072" i="7"/>
  <c r="C1073" i="7"/>
  <c r="D1073" i="7" s="1"/>
  <c r="E1073" i="7"/>
  <c r="G1073" i="7" a="1"/>
  <c r="G1073" i="7" s="1"/>
  <c r="H1073" i="7"/>
  <c r="L1073" i="7"/>
  <c r="C1074" i="7"/>
  <c r="D1074" i="7"/>
  <c r="E1074" i="7"/>
  <c r="G1074" i="7" a="1"/>
  <c r="G1074" i="7" s="1"/>
  <c r="H1074" i="7"/>
  <c r="L1074" i="7"/>
  <c r="C1075" i="7"/>
  <c r="E1075" i="7"/>
  <c r="G1075" i="7" s="1" a="1"/>
  <c r="G1075" i="7" s="1"/>
  <c r="H1075" i="7"/>
  <c r="L1075" i="7"/>
  <c r="C1076" i="7"/>
  <c r="D1076" i="7"/>
  <c r="E1076" i="7"/>
  <c r="G1076" i="7" s="1" a="1"/>
  <c r="G1076" i="7" s="1"/>
  <c r="H1076" i="7"/>
  <c r="L1076" i="7"/>
  <c r="C1077" i="7"/>
  <c r="D1077" i="7" s="1"/>
  <c r="E1077" i="7"/>
  <c r="H1077" i="7"/>
  <c r="L1077" i="7"/>
  <c r="C1078" i="7"/>
  <c r="D1078" i="7" s="1"/>
  <c r="E1078" i="7"/>
  <c r="H1078" i="7"/>
  <c r="L1078" i="7"/>
  <c r="C1079" i="7"/>
  <c r="D1079" i="7" s="1"/>
  <c r="E1079" i="7"/>
  <c r="H1079" i="7"/>
  <c r="L1079" i="7"/>
  <c r="C1080" i="7"/>
  <c r="D1080" i="7"/>
  <c r="E1080" i="7"/>
  <c r="H1080" i="7"/>
  <c r="L1080" i="7"/>
  <c r="C1081" i="7"/>
  <c r="D1081" i="7"/>
  <c r="E1081" i="7"/>
  <c r="G1081" i="7" s="1" a="1"/>
  <c r="G1081" i="7" s="1"/>
  <c r="H1081" i="7"/>
  <c r="L1081" i="7"/>
  <c r="C1082" i="7"/>
  <c r="D1082" i="7"/>
  <c r="E1082" i="7"/>
  <c r="H1082" i="7"/>
  <c r="L1082" i="7"/>
  <c r="C1083" i="7"/>
  <c r="D1083" i="7" s="1"/>
  <c r="E1083" i="7"/>
  <c r="G1083" i="7" s="1" a="1"/>
  <c r="G1083" i="7"/>
  <c r="H1083" i="7"/>
  <c r="L1083" i="7"/>
  <c r="C1084" i="7"/>
  <c r="E1084" i="7"/>
  <c r="G1084" i="7" s="1" a="1"/>
  <c r="G1084" i="7" s="1"/>
  <c r="H1084" i="7"/>
  <c r="L1084" i="7"/>
  <c r="C1085" i="7"/>
  <c r="D1085" i="7" s="1"/>
  <c r="E1085" i="7"/>
  <c r="G1085" i="7" a="1"/>
  <c r="G1085" i="7"/>
  <c r="H1085" i="7"/>
  <c r="L1085" i="7"/>
  <c r="C1086" i="7"/>
  <c r="D1086" i="7" s="1"/>
  <c r="E1086" i="7"/>
  <c r="G1086" i="7" a="1"/>
  <c r="G1086" i="7" s="1"/>
  <c r="H1086" i="7"/>
  <c r="L1086" i="7"/>
  <c r="C1087" i="7"/>
  <c r="D1087" i="7" s="1"/>
  <c r="E1087" i="7"/>
  <c r="H1087" i="7"/>
  <c r="L1087" i="7"/>
  <c r="C1088" i="7"/>
  <c r="D1088" i="7" s="1"/>
  <c r="E1088" i="7"/>
  <c r="G1088" i="7" a="1"/>
  <c r="G1088" i="7"/>
  <c r="H1088" i="7"/>
  <c r="L1088" i="7"/>
  <c r="C1089" i="7"/>
  <c r="D1089" i="7" s="1"/>
  <c r="E1089" i="7"/>
  <c r="G1089" i="7" s="1" a="1"/>
  <c r="G1089" i="7" s="1"/>
  <c r="H1089" i="7"/>
  <c r="L1089" i="7"/>
  <c r="C1090" i="7"/>
  <c r="D1090" i="7"/>
  <c r="E1090" i="7"/>
  <c r="G1090" i="7" a="1"/>
  <c r="G1090" i="7" s="1"/>
  <c r="H1090" i="7"/>
  <c r="L1090" i="7"/>
  <c r="C1091" i="7"/>
  <c r="D1091" i="7"/>
  <c r="E1091" i="7"/>
  <c r="G1091" i="7" s="1" a="1"/>
  <c r="G1091" i="7"/>
  <c r="H1091" i="7"/>
  <c r="L1091" i="7"/>
  <c r="C1092" i="7"/>
  <c r="D1092" i="7" s="1"/>
  <c r="E1092" i="7"/>
  <c r="G1092" i="7" s="1" a="1"/>
  <c r="G1092" i="7" s="1"/>
  <c r="H1092" i="7"/>
  <c r="L1092" i="7"/>
  <c r="C1093" i="7"/>
  <c r="D1093" i="7" s="1"/>
  <c r="E1093" i="7"/>
  <c r="G1093" i="7" s="1" a="1"/>
  <c r="G1093" i="7" s="1"/>
  <c r="H1093" i="7"/>
  <c r="L1093" i="7"/>
  <c r="C1094" i="7"/>
  <c r="D1094" i="7" s="1"/>
  <c r="E1094" i="7"/>
  <c r="G1094" i="7" a="1"/>
  <c r="G1094" i="7" s="1"/>
  <c r="H1094" i="7"/>
  <c r="L1094" i="7"/>
  <c r="C1095" i="7"/>
  <c r="D1095" i="7" s="1"/>
  <c r="E1095" i="7"/>
  <c r="H1095" i="7"/>
  <c r="L1095" i="7"/>
  <c r="C1096" i="7"/>
  <c r="D1096" i="7"/>
  <c r="E1096" i="7"/>
  <c r="H1096" i="7"/>
  <c r="L1096" i="7"/>
  <c r="C1097" i="7"/>
  <c r="D1097" i="7"/>
  <c r="E1097" i="7"/>
  <c r="G1097" i="7" s="1" a="1"/>
  <c r="G1097" i="7" s="1"/>
  <c r="H1097" i="7"/>
  <c r="L1097" i="7"/>
  <c r="C1098" i="7"/>
  <c r="D1098" i="7"/>
  <c r="E1098" i="7"/>
  <c r="G1098" i="7" a="1"/>
  <c r="G1098" i="7"/>
  <c r="H1098" i="7"/>
  <c r="L1098" i="7"/>
  <c r="C1099" i="7"/>
  <c r="D1099" i="7"/>
  <c r="E1099" i="7"/>
  <c r="G1099" i="7" s="1" a="1"/>
  <c r="G1099" i="7"/>
  <c r="H1099" i="7"/>
  <c r="L1099" i="7"/>
  <c r="C1100" i="7"/>
  <c r="D1100" i="7"/>
  <c r="E1100" i="7"/>
  <c r="G1100" i="7" s="1" a="1"/>
  <c r="G1100" i="7"/>
  <c r="H1100" i="7"/>
  <c r="L1100" i="7"/>
  <c r="C1101" i="7"/>
  <c r="E1101" i="7"/>
  <c r="G1101" i="7" a="1"/>
  <c r="G1101" i="7" s="1"/>
  <c r="H1101" i="7"/>
  <c r="L1101" i="7"/>
  <c r="C1102" i="7"/>
  <c r="D1102" i="7" s="1"/>
  <c r="E1102" i="7"/>
  <c r="G1102" i="7" a="1"/>
  <c r="G1102" i="7"/>
  <c r="H1102" i="7"/>
  <c r="L1102" i="7"/>
  <c r="C1103" i="7"/>
  <c r="D1103" i="7" s="1"/>
  <c r="E1103" i="7"/>
  <c r="G1103" i="7" a="1"/>
  <c r="G1103" i="7" s="1"/>
  <c r="H1103" i="7"/>
  <c r="L1103" i="7"/>
  <c r="C1104" i="7"/>
  <c r="D1104" i="7"/>
  <c r="E1104" i="7"/>
  <c r="G1104" i="7" s="1" a="1"/>
  <c r="G1104" i="7" s="1"/>
  <c r="H1104" i="7"/>
  <c r="L1104" i="7"/>
  <c r="C1105" i="7"/>
  <c r="D1105" i="7" s="1"/>
  <c r="E1105" i="7"/>
  <c r="G1105" i="7" a="1"/>
  <c r="G1105" i="7" s="1"/>
  <c r="H1105" i="7"/>
  <c r="L1105" i="7"/>
  <c r="C1106" i="7"/>
  <c r="D1106" i="7"/>
  <c r="E1106" i="7"/>
  <c r="G1106" i="7" a="1"/>
  <c r="G1106" i="7" s="1"/>
  <c r="H1106" i="7"/>
  <c r="L1106" i="7"/>
  <c r="C1107" i="7"/>
  <c r="E1107" i="7"/>
  <c r="H1107" i="7"/>
  <c r="L1107" i="7"/>
  <c r="C1108" i="7"/>
  <c r="D1108" i="7"/>
  <c r="E1108" i="7"/>
  <c r="G1108" i="7" s="1" a="1"/>
  <c r="G1108" i="7" s="1"/>
  <c r="H1108" i="7"/>
  <c r="L1108" i="7"/>
  <c r="C1109" i="7"/>
  <c r="D1109" i="7" s="1"/>
  <c r="E1109" i="7"/>
  <c r="H1109" i="7"/>
  <c r="L1109" i="7"/>
  <c r="C1110" i="7"/>
  <c r="D1110" i="7" s="1"/>
  <c r="E1110" i="7"/>
  <c r="H1110" i="7"/>
  <c r="L1110" i="7"/>
  <c r="C1111" i="7"/>
  <c r="D1111" i="7" s="1"/>
  <c r="E1111" i="7"/>
  <c r="H1111" i="7"/>
  <c r="L1111" i="7"/>
  <c r="C1112" i="7"/>
  <c r="D1112" i="7"/>
  <c r="E1112" i="7"/>
  <c r="H1112" i="7"/>
  <c r="L1112" i="7"/>
  <c r="C1113" i="7"/>
  <c r="D1113" i="7"/>
  <c r="E1113" i="7"/>
  <c r="G1113" i="7" a="1"/>
  <c r="G1113" i="7"/>
  <c r="H1113" i="7"/>
  <c r="L1113" i="7"/>
  <c r="C1114" i="7"/>
  <c r="D1114" i="7"/>
  <c r="E1114" i="7"/>
  <c r="H1114" i="7"/>
  <c r="L1114" i="7"/>
  <c r="C1115" i="7"/>
  <c r="D1115" i="7" s="1"/>
  <c r="E1115" i="7"/>
  <c r="G1115" i="7" s="1" a="1"/>
  <c r="G1115" i="7"/>
  <c r="H1115" i="7"/>
  <c r="L1115" i="7"/>
  <c r="C1116" i="7"/>
  <c r="E1116" i="7"/>
  <c r="G1116" i="7" s="1" a="1"/>
  <c r="G1116" i="7" s="1"/>
  <c r="H1116" i="7"/>
  <c r="L1116" i="7"/>
  <c r="C1117" i="7"/>
  <c r="D1117" i="7" s="1"/>
  <c r="E1117" i="7"/>
  <c r="G1117" i="7" a="1"/>
  <c r="G1117" i="7"/>
  <c r="H1117" i="7"/>
  <c r="L1117" i="7"/>
  <c r="C1118" i="7"/>
  <c r="D1118" i="7" s="1"/>
  <c r="E1118" i="7"/>
  <c r="G1118" i="7" a="1"/>
  <c r="G1118" i="7" s="1"/>
  <c r="H1118" i="7"/>
  <c r="L1118" i="7"/>
  <c r="C1119" i="7"/>
  <c r="D1119" i="7" s="1"/>
  <c r="E1119" i="7"/>
  <c r="H1119" i="7"/>
  <c r="L1119" i="7"/>
  <c r="C1120" i="7"/>
  <c r="D1120" i="7" s="1"/>
  <c r="E1120" i="7"/>
  <c r="G1120" i="7" a="1"/>
  <c r="G1120" i="7"/>
  <c r="H1120" i="7"/>
  <c r="L1120" i="7"/>
  <c r="C1121" i="7"/>
  <c r="D1121" i="7" s="1"/>
  <c r="E1121" i="7"/>
  <c r="G1121" i="7" s="1" a="1"/>
  <c r="G1121" i="7" s="1"/>
  <c r="H1121" i="7"/>
  <c r="L1121" i="7"/>
  <c r="C1122" i="7"/>
  <c r="D1122" i="7"/>
  <c r="E1122" i="7"/>
  <c r="G1122" i="7" a="1"/>
  <c r="G1122" i="7" s="1"/>
  <c r="H1122" i="7"/>
  <c r="L1122" i="7"/>
  <c r="C1123" i="7"/>
  <c r="D1123" i="7"/>
  <c r="E1123" i="7"/>
  <c r="G1123" i="7" s="1" a="1"/>
  <c r="G1123" i="7"/>
  <c r="H1123" i="7"/>
  <c r="L1123" i="7"/>
  <c r="C1124" i="7"/>
  <c r="D1124" i="7" s="1"/>
  <c r="E1124" i="7"/>
  <c r="G1124" i="7" s="1" a="1"/>
  <c r="G1124" i="7" s="1"/>
  <c r="H1124" i="7"/>
  <c r="L1124" i="7"/>
  <c r="C1125" i="7"/>
  <c r="D1125" i="7" s="1"/>
  <c r="E1125" i="7"/>
  <c r="G1125" i="7" s="1" a="1"/>
  <c r="G1125" i="7" s="1"/>
  <c r="H1125" i="7"/>
  <c r="L1125" i="7"/>
  <c r="C1126" i="7"/>
  <c r="D1126" i="7" s="1"/>
  <c r="E1126" i="7"/>
  <c r="G1126" i="7" a="1"/>
  <c r="G1126" i="7" s="1"/>
  <c r="H1126" i="7"/>
  <c r="L1126" i="7"/>
  <c r="C1127" i="7"/>
  <c r="D1127" i="7" s="1"/>
  <c r="E1127" i="7"/>
  <c r="H1127" i="7"/>
  <c r="L1127" i="7"/>
  <c r="C1128" i="7"/>
  <c r="D1128" i="7"/>
  <c r="E1128" i="7"/>
  <c r="H1128" i="7"/>
  <c r="L1128" i="7"/>
  <c r="C1129" i="7"/>
  <c r="D1129" i="7"/>
  <c r="E1129" i="7"/>
  <c r="G1129" i="7" s="1" a="1"/>
  <c r="G1129" i="7" s="1"/>
  <c r="H1129" i="7"/>
  <c r="L1129" i="7"/>
  <c r="C1130" i="7"/>
  <c r="D1130" i="7"/>
  <c r="E1130" i="7"/>
  <c r="G1130" i="7" a="1"/>
  <c r="G1130" i="7"/>
  <c r="H1130" i="7"/>
  <c r="L1130" i="7"/>
  <c r="C1131" i="7"/>
  <c r="D1131" i="7"/>
  <c r="E1131" i="7"/>
  <c r="G1131" i="7" s="1" a="1"/>
  <c r="G1131" i="7"/>
  <c r="H1131" i="7"/>
  <c r="L1131" i="7"/>
  <c r="C1132" i="7"/>
  <c r="D1132" i="7"/>
  <c r="E1132" i="7"/>
  <c r="G1132" i="7" s="1" a="1"/>
  <c r="G1132" i="7"/>
  <c r="H1132" i="7"/>
  <c r="L1132" i="7"/>
  <c r="C1133" i="7"/>
  <c r="E1133" i="7"/>
  <c r="G1133" i="7" a="1"/>
  <c r="G1133" i="7" s="1"/>
  <c r="H1133" i="7"/>
  <c r="L1133" i="7"/>
  <c r="C1134" i="7"/>
  <c r="D1134" i="7" s="1"/>
  <c r="E1134" i="7"/>
  <c r="G1134" i="7" a="1"/>
  <c r="G1134" i="7"/>
  <c r="H1134" i="7"/>
  <c r="L1134" i="7"/>
  <c r="C1135" i="7"/>
  <c r="D1135" i="7" s="1"/>
  <c r="E1135" i="7"/>
  <c r="G1135" i="7" a="1"/>
  <c r="G1135" i="7" s="1"/>
  <c r="H1135" i="7"/>
  <c r="L1135" i="7"/>
  <c r="C1136" i="7"/>
  <c r="D1136" i="7"/>
  <c r="E1136" i="7"/>
  <c r="G1136" i="7" s="1" a="1"/>
  <c r="G1136" i="7" s="1"/>
  <c r="H1136" i="7"/>
  <c r="L1136" i="7"/>
  <c r="C1137" i="7"/>
  <c r="D1137" i="7" s="1"/>
  <c r="E1137" i="7"/>
  <c r="G1137" i="7" a="1"/>
  <c r="G1137" i="7" s="1"/>
  <c r="H1137" i="7"/>
  <c r="L1137" i="7"/>
  <c r="C1138" i="7"/>
  <c r="D1138" i="7"/>
  <c r="E1138" i="7"/>
  <c r="G1138" i="7" a="1"/>
  <c r="G1138" i="7" s="1"/>
  <c r="H1138" i="7"/>
  <c r="L1138" i="7"/>
  <c r="C1139" i="7"/>
  <c r="E1139" i="7"/>
  <c r="H1139" i="7"/>
  <c r="L1139" i="7"/>
  <c r="C1140" i="7"/>
  <c r="D1140" i="7"/>
  <c r="E1140" i="7"/>
  <c r="G1140" i="7" s="1" a="1"/>
  <c r="G1140" i="7" s="1"/>
  <c r="H1140" i="7"/>
  <c r="L1140" i="7"/>
  <c r="C1141" i="7"/>
  <c r="D1141" i="7" s="1"/>
  <c r="E1141" i="7"/>
  <c r="H1141" i="7"/>
  <c r="L1141" i="7"/>
  <c r="C1142" i="7"/>
  <c r="D1142" i="7" s="1"/>
  <c r="E1142" i="7"/>
  <c r="H1142" i="7"/>
  <c r="L1142" i="7"/>
  <c r="C1143" i="7"/>
  <c r="D1143" i="7" s="1"/>
  <c r="E1143" i="7"/>
  <c r="H1143" i="7"/>
  <c r="L1143" i="7"/>
  <c r="C1144" i="7"/>
  <c r="D1144" i="7"/>
  <c r="E1144" i="7"/>
  <c r="H1144" i="7"/>
  <c r="L1144" i="7"/>
  <c r="C1145" i="7"/>
  <c r="D1145" i="7"/>
  <c r="E1145" i="7"/>
  <c r="G1145" i="7" a="1"/>
  <c r="G1145" i="7" s="1"/>
  <c r="H1145" i="7"/>
  <c r="L1145" i="7"/>
  <c r="C1146" i="7"/>
  <c r="D1146" i="7"/>
  <c r="E1146" i="7"/>
  <c r="H1146" i="7"/>
  <c r="L1146" i="7"/>
  <c r="C1147" i="7"/>
  <c r="D1147" i="7" s="1"/>
  <c r="E1147" i="7"/>
  <c r="G1147" i="7" s="1" a="1"/>
  <c r="G1147" i="7"/>
  <c r="H1147" i="7"/>
  <c r="L1147" i="7"/>
  <c r="C1148" i="7"/>
  <c r="E1148" i="7"/>
  <c r="G1148" i="7" s="1" a="1"/>
  <c r="G1148" i="7" s="1"/>
  <c r="H1148" i="7"/>
  <c r="L1148" i="7"/>
  <c r="C1149" i="7"/>
  <c r="D1149" i="7" s="1"/>
  <c r="E1149" i="7"/>
  <c r="G1149" i="7" a="1"/>
  <c r="G1149" i="7" s="1"/>
  <c r="H1149" i="7"/>
  <c r="L1149" i="7"/>
  <c r="C1150" i="7"/>
  <c r="D1150" i="7" s="1"/>
  <c r="E1150" i="7"/>
  <c r="G1150" i="7" a="1"/>
  <c r="G1150" i="7" s="1"/>
  <c r="H1150" i="7"/>
  <c r="L1150" i="7"/>
  <c r="C1151" i="7"/>
  <c r="D1151" i="7" s="1"/>
  <c r="E1151" i="7"/>
  <c r="H1151" i="7"/>
  <c r="L1151" i="7"/>
  <c r="C1152" i="7"/>
  <c r="D1152" i="7" s="1"/>
  <c r="E1152" i="7"/>
  <c r="G1152" i="7" s="1" a="1"/>
  <c r="G1152" i="7" s="1"/>
  <c r="H1152" i="7"/>
  <c r="L1152" i="7"/>
  <c r="C1153" i="7"/>
  <c r="D1153" i="7" s="1"/>
  <c r="E1153" i="7"/>
  <c r="G1153" i="7" a="1"/>
  <c r="G1153" i="7"/>
  <c r="H1153" i="7"/>
  <c r="L1153" i="7"/>
  <c r="C1154" i="7"/>
  <c r="D1154" i="7"/>
  <c r="E1154" i="7"/>
  <c r="G1154" i="7" a="1"/>
  <c r="G1154" i="7" s="1"/>
  <c r="H1154" i="7"/>
  <c r="L1154" i="7"/>
  <c r="C1155" i="7"/>
  <c r="D1155" i="7"/>
  <c r="E1155" i="7"/>
  <c r="G1155" i="7" s="1" a="1"/>
  <c r="G1155" i="7"/>
  <c r="H1155" i="7"/>
  <c r="L1155" i="7"/>
  <c r="C1156" i="7"/>
  <c r="D1156" i="7" s="1"/>
  <c r="E1156" i="7"/>
  <c r="G1156" i="7" s="1" a="1"/>
  <c r="G1156" i="7" s="1"/>
  <c r="H1156" i="7"/>
  <c r="L1156" i="7"/>
  <c r="C1157" i="7"/>
  <c r="D1157" i="7" s="1"/>
  <c r="E1157" i="7"/>
  <c r="G1157" i="7" s="1" a="1"/>
  <c r="G1157" i="7" s="1"/>
  <c r="H1157" i="7"/>
  <c r="L1157" i="7"/>
  <c r="C1158" i="7"/>
  <c r="D1158" i="7" s="1"/>
  <c r="E1158" i="7"/>
  <c r="G1158" i="7" a="1"/>
  <c r="G1158" i="7" s="1"/>
  <c r="H1158" i="7"/>
  <c r="L1158" i="7"/>
  <c r="C1159" i="7"/>
  <c r="D1159" i="7" s="1"/>
  <c r="E1159" i="7"/>
  <c r="H1159" i="7"/>
  <c r="L1159" i="7"/>
  <c r="C1160" i="7"/>
  <c r="D1160" i="7" s="1"/>
  <c r="E1160" i="7"/>
  <c r="H1160" i="7"/>
  <c r="L1160" i="7"/>
  <c r="C1161" i="7"/>
  <c r="D1161" i="7" s="1"/>
  <c r="E1161" i="7"/>
  <c r="G1161" i="7" a="1"/>
  <c r="G1161" i="7" s="1"/>
  <c r="H1161" i="7"/>
  <c r="L1161" i="7"/>
  <c r="C1162" i="7"/>
  <c r="E1162" i="7"/>
  <c r="G1162" i="7" a="1"/>
  <c r="G1162" i="7" s="1"/>
  <c r="H1162" i="7"/>
  <c r="L1162" i="7"/>
  <c r="C1163" i="7"/>
  <c r="D1163" i="7" s="1"/>
  <c r="E1163" i="7"/>
  <c r="G1163" i="7" a="1"/>
  <c r="G1163" i="7" s="1"/>
  <c r="H1163" i="7"/>
  <c r="L1163" i="7"/>
  <c r="C1164" i="7"/>
  <c r="D1164" i="7" s="1"/>
  <c r="E1164" i="7"/>
  <c r="G1164" i="7" s="1" a="1"/>
  <c r="G1164" i="7" s="1"/>
  <c r="H1164" i="7"/>
  <c r="L1164" i="7"/>
  <c r="C1165" i="7"/>
  <c r="D1165" i="7" s="1"/>
  <c r="E1165" i="7"/>
  <c r="H1165" i="7"/>
  <c r="L1165" i="7"/>
  <c r="C1166" i="7"/>
  <c r="D1166" i="7"/>
  <c r="E1166" i="7"/>
  <c r="H1166" i="7"/>
  <c r="L1166" i="7"/>
  <c r="C1167" i="7"/>
  <c r="D1167" i="7" s="1"/>
  <c r="E1167" i="7"/>
  <c r="H1167" i="7"/>
  <c r="L1167" i="7"/>
  <c r="C1168" i="7"/>
  <c r="E1168" i="7"/>
  <c r="H1168" i="7"/>
  <c r="L1168" i="7"/>
  <c r="C1169" i="7"/>
  <c r="D1169" i="7" s="1"/>
  <c r="E1169" i="7"/>
  <c r="G1169" i="7" s="1" a="1"/>
  <c r="G1169" i="7" s="1"/>
  <c r="H1169" i="7"/>
  <c r="L1169" i="7"/>
  <c r="C1170" i="7"/>
  <c r="D1170" i="7" s="1"/>
  <c r="E1170" i="7"/>
  <c r="G1170" i="7" a="1"/>
  <c r="G1170" i="7"/>
  <c r="H1170" i="7"/>
  <c r="L1170" i="7"/>
  <c r="C1171" i="7"/>
  <c r="D1171" i="7" s="1"/>
  <c r="E1171" i="7"/>
  <c r="G1171" i="7" s="1" a="1"/>
  <c r="G1171" i="7" s="1"/>
  <c r="H1171" i="7"/>
  <c r="L1171" i="7"/>
  <c r="C1172" i="7"/>
  <c r="D1172" i="7"/>
  <c r="E1172" i="7"/>
  <c r="G1172" i="7" s="1" a="1"/>
  <c r="G1172" i="7" s="1"/>
  <c r="H1172" i="7"/>
  <c r="L1172" i="7"/>
  <c r="C1173" i="7"/>
  <c r="D1173" i="7"/>
  <c r="E1173" i="7"/>
  <c r="G1173" i="7" a="1"/>
  <c r="G1173" i="7"/>
  <c r="H1173" i="7"/>
  <c r="L1173" i="7"/>
  <c r="C1174" i="7"/>
  <c r="D1174" i="7"/>
  <c r="E1174" i="7"/>
  <c r="G1174" i="7" a="1"/>
  <c r="G1174" i="7" s="1"/>
  <c r="H1174" i="7"/>
  <c r="L1174" i="7"/>
  <c r="C1175" i="7"/>
  <c r="D1175" i="7" s="1"/>
  <c r="E1175" i="7"/>
  <c r="G1175" i="7" a="1"/>
  <c r="G1175" i="7" s="1"/>
  <c r="H1175" i="7"/>
  <c r="L1175" i="7"/>
  <c r="C1176" i="7"/>
  <c r="D1176" i="7"/>
  <c r="E1176" i="7"/>
  <c r="G1176" i="7" s="1" a="1"/>
  <c r="G1176" i="7" s="1"/>
  <c r="H1176" i="7"/>
  <c r="L1176" i="7"/>
  <c r="C1177" i="7"/>
  <c r="D1177" i="7"/>
  <c r="E1177" i="7"/>
  <c r="H1177" i="7"/>
  <c r="L1177" i="7"/>
  <c r="C1178" i="7"/>
  <c r="D1178" i="7" s="1"/>
  <c r="E1178" i="7"/>
  <c r="H1178" i="7"/>
  <c r="L1178" i="7"/>
  <c r="C1179" i="7"/>
  <c r="D1179" i="7"/>
  <c r="E1179" i="7"/>
  <c r="G1179" i="7" a="1"/>
  <c r="G1179" i="7" s="1"/>
  <c r="H1179" i="7"/>
  <c r="L1179" i="7"/>
  <c r="C1180" i="7"/>
  <c r="D1180" i="7" s="1"/>
  <c r="E1180" i="7"/>
  <c r="G1180" i="7" s="1" a="1"/>
  <c r="G1180" i="7"/>
  <c r="H1180" i="7"/>
  <c r="L1180" i="7"/>
  <c r="C1181" i="7"/>
  <c r="D1181" i="7" s="1"/>
  <c r="E1181" i="7"/>
  <c r="G1181" i="7" a="1"/>
  <c r="G1181" i="7" s="1"/>
  <c r="H1181" i="7"/>
  <c r="L1181" i="7"/>
  <c r="C1182" i="7"/>
  <c r="D1182" i="7"/>
  <c r="E1182" i="7"/>
  <c r="G1182" i="7" a="1"/>
  <c r="G1182" i="7" s="1"/>
  <c r="H1182" i="7"/>
  <c r="L1182" i="7"/>
  <c r="C1183" i="7"/>
  <c r="D1183" i="7" s="1"/>
  <c r="E1183" i="7"/>
  <c r="G1183" i="7" a="1"/>
  <c r="G1183" i="7"/>
  <c r="H1183" i="7"/>
  <c r="L1183" i="7"/>
  <c r="C1184" i="7"/>
  <c r="E1184" i="7"/>
  <c r="H1184" i="7"/>
  <c r="L1184" i="7"/>
  <c r="C1185" i="7"/>
  <c r="D1185" i="7" s="1"/>
  <c r="E1185" i="7"/>
  <c r="H1185" i="7"/>
  <c r="L1185" i="7"/>
  <c r="C1186" i="7"/>
  <c r="D1186" i="7"/>
  <c r="E1186" i="7"/>
  <c r="G1186" i="7" s="1" a="1"/>
  <c r="G1186" i="7" s="1"/>
  <c r="H1186" i="7"/>
  <c r="L1186" i="7"/>
  <c r="C1187" i="7"/>
  <c r="E1187" i="7"/>
  <c r="G1187" i="7" a="1"/>
  <c r="G1187" i="7" s="1"/>
  <c r="H1187" i="7"/>
  <c r="L1187" i="7"/>
  <c r="C1188" i="7"/>
  <c r="D1188" i="7" s="1"/>
  <c r="E1188" i="7"/>
  <c r="G1188" i="7" s="1" a="1"/>
  <c r="G1188" i="7"/>
  <c r="H1188" i="7"/>
  <c r="L1188" i="7"/>
  <c r="C1189" i="7"/>
  <c r="D1189" i="7"/>
  <c r="E1189" i="7"/>
  <c r="G1189" i="7" a="1"/>
  <c r="G1189" i="7" s="1"/>
  <c r="H1189" i="7"/>
  <c r="L1189" i="7"/>
  <c r="C1190" i="7"/>
  <c r="D1190" i="7"/>
  <c r="E1190" i="7"/>
  <c r="H1190" i="7"/>
  <c r="L1190" i="7"/>
  <c r="C1191" i="7"/>
  <c r="D1191" i="7" s="1"/>
  <c r="E1191" i="7"/>
  <c r="H1191" i="7"/>
  <c r="L1191" i="7"/>
  <c r="C1192" i="7"/>
  <c r="D1192" i="7"/>
  <c r="E1192" i="7"/>
  <c r="H1192" i="7"/>
  <c r="L1192" i="7"/>
  <c r="C1193" i="7"/>
  <c r="E1193" i="7"/>
  <c r="H1193" i="7"/>
  <c r="L1193" i="7"/>
  <c r="C1194" i="7"/>
  <c r="D1194" i="7" s="1"/>
  <c r="E1194" i="7"/>
  <c r="G1194" i="7" a="1"/>
  <c r="G1194" i="7"/>
  <c r="H1194" i="7"/>
  <c r="L1194" i="7"/>
  <c r="C1195" i="7"/>
  <c r="D1195" i="7" s="1"/>
  <c r="E1195" i="7"/>
  <c r="G1195" i="7" a="1"/>
  <c r="G1195" i="7"/>
  <c r="H1195" i="7"/>
  <c r="L1195" i="7"/>
  <c r="C1196" i="7"/>
  <c r="D1196" i="7" s="1"/>
  <c r="E1196" i="7"/>
  <c r="G1196" i="7" s="1" a="1"/>
  <c r="G1196" i="7" s="1"/>
  <c r="H1196" i="7"/>
  <c r="L1196" i="7"/>
  <c r="C1197" i="7"/>
  <c r="D1197" i="7"/>
  <c r="E1197" i="7"/>
  <c r="G1197" i="7" a="1"/>
  <c r="G1197" i="7" s="1"/>
  <c r="H1197" i="7"/>
  <c r="L1197" i="7"/>
  <c r="C1198" i="7"/>
  <c r="D1198" i="7"/>
  <c r="E1198" i="7"/>
  <c r="G1198" i="7" a="1"/>
  <c r="G1198" i="7"/>
  <c r="H1198" i="7"/>
  <c r="L1198" i="7"/>
  <c r="C1199" i="7"/>
  <c r="D1199" i="7" s="1"/>
  <c r="E1199" i="7"/>
  <c r="H1199" i="7"/>
  <c r="L1199" i="7"/>
  <c r="C1200" i="7"/>
  <c r="D1200" i="7" s="1"/>
  <c r="E1200" i="7"/>
  <c r="G1200" i="7" a="1"/>
  <c r="G1200" i="7" s="1"/>
  <c r="H1200" i="7"/>
  <c r="L1200" i="7"/>
  <c r="C1201" i="7"/>
  <c r="D1201" i="7"/>
  <c r="E1201" i="7"/>
  <c r="G1201" i="7" s="1" a="1"/>
  <c r="G1201" i="7" s="1"/>
  <c r="H1201" i="7"/>
  <c r="L1201" i="7"/>
  <c r="C1202" i="7"/>
  <c r="D1202" i="7" s="1"/>
  <c r="E1202" i="7"/>
  <c r="G1202" i="7" a="1"/>
  <c r="G1202" i="7" s="1"/>
  <c r="H1202" i="7"/>
  <c r="L1202" i="7"/>
  <c r="C1203" i="7"/>
  <c r="D1203" i="7" s="1"/>
  <c r="E1203" i="7"/>
  <c r="H1203" i="7"/>
  <c r="L1203" i="7"/>
  <c r="C1204" i="7"/>
  <c r="D1204" i="7"/>
  <c r="E1204" i="7"/>
  <c r="G1204" i="7" s="1" a="1"/>
  <c r="G1204" i="7"/>
  <c r="H1204" i="7"/>
  <c r="L1204" i="7"/>
  <c r="C1205" i="7"/>
  <c r="D1205" i="7"/>
  <c r="E1205" i="7"/>
  <c r="H1205" i="7"/>
  <c r="L1205" i="7"/>
  <c r="C1206" i="7"/>
  <c r="D1206" i="7" s="1"/>
  <c r="E1206" i="7"/>
  <c r="G1206" i="7" a="1"/>
  <c r="G1206" i="7" s="1"/>
  <c r="H1206" i="7"/>
  <c r="L1206" i="7"/>
  <c r="C1207" i="7"/>
  <c r="D1207" i="7" s="1"/>
  <c r="E1207" i="7"/>
  <c r="H1207" i="7"/>
  <c r="L1207" i="7"/>
  <c r="C1208" i="7"/>
  <c r="D1208" i="7" s="1"/>
  <c r="E1208" i="7"/>
  <c r="G1208" i="7" a="1"/>
  <c r="G1208" i="7"/>
  <c r="H1208" i="7"/>
  <c r="L1208" i="7"/>
  <c r="C1209" i="7"/>
  <c r="D1209" i="7" s="1"/>
  <c r="E1209" i="7"/>
  <c r="H1209" i="7"/>
  <c r="L1209" i="7"/>
  <c r="C1210" i="7"/>
  <c r="D1210" i="7" s="1"/>
  <c r="E1210" i="7"/>
  <c r="G1210" i="7" s="1" a="1"/>
  <c r="G1210" i="7" s="1"/>
  <c r="H1210" i="7"/>
  <c r="L1210" i="7"/>
  <c r="C1211" i="7"/>
  <c r="D1211" i="7"/>
  <c r="E1211" i="7"/>
  <c r="G1211" i="7" s="1" a="1"/>
  <c r="G1211" i="7" s="1"/>
  <c r="H1211" i="7"/>
  <c r="L1211" i="7"/>
  <c r="C1212" i="7"/>
  <c r="E1212" i="7"/>
  <c r="G1212" i="7" s="1" a="1"/>
  <c r="G1212" i="7"/>
  <c r="H1212" i="7"/>
  <c r="L1212" i="7"/>
  <c r="C1213" i="7"/>
  <c r="D1213" i="7"/>
  <c r="E1213" i="7"/>
  <c r="G1213" i="7" a="1"/>
  <c r="G1213" i="7" s="1"/>
  <c r="H1213" i="7"/>
  <c r="L1213" i="7"/>
  <c r="C1214" i="7"/>
  <c r="D1214" i="7"/>
  <c r="E1214" i="7"/>
  <c r="G1214" i="7" a="1"/>
  <c r="G1214" i="7" s="1"/>
  <c r="H1214" i="7"/>
  <c r="L1214" i="7"/>
  <c r="C1215" i="7"/>
  <c r="D1215" i="7" s="1"/>
  <c r="E1215" i="7"/>
  <c r="G1215" i="7" s="1" a="1"/>
  <c r="G1215" i="7" s="1"/>
  <c r="H1215" i="7"/>
  <c r="L1215" i="7"/>
  <c r="C1216" i="7"/>
  <c r="D1216" i="7"/>
  <c r="E1216" i="7"/>
  <c r="H1216" i="7"/>
  <c r="L1216" i="7"/>
  <c r="C1217" i="7"/>
  <c r="D1217" i="7"/>
  <c r="E1217" i="7"/>
  <c r="H1217" i="7"/>
  <c r="L1217" i="7"/>
  <c r="C1218" i="7"/>
  <c r="D1218" i="7"/>
  <c r="E1218" i="7"/>
  <c r="G1218" i="7" a="1"/>
  <c r="G1218" i="7" s="1"/>
  <c r="H1218" i="7"/>
  <c r="L1218" i="7"/>
  <c r="C1219" i="7"/>
  <c r="D1219" i="7" s="1"/>
  <c r="E1219" i="7"/>
  <c r="G1219" i="7" a="1"/>
  <c r="G1219" i="7"/>
  <c r="H1219" i="7"/>
  <c r="L1219" i="7"/>
  <c r="C1220" i="7"/>
  <c r="D1220" i="7" s="1"/>
  <c r="E1220" i="7"/>
  <c r="G1220" i="7" s="1" a="1"/>
  <c r="G1220" i="7"/>
  <c r="H1220" i="7"/>
  <c r="L1220" i="7"/>
  <c r="C1221" i="7"/>
  <c r="D1221" i="7"/>
  <c r="E1221" i="7"/>
  <c r="G1221" i="7" a="1"/>
  <c r="G1221" i="7" s="1"/>
  <c r="H1221" i="7"/>
  <c r="L1221" i="7"/>
  <c r="C1222" i="7"/>
  <c r="D1222" i="7"/>
  <c r="E1222" i="7"/>
  <c r="G1222" i="7" a="1"/>
  <c r="G1222" i="7" s="1"/>
  <c r="H1222" i="7"/>
  <c r="L1222" i="7"/>
  <c r="C1223" i="7"/>
  <c r="D1223" i="7" s="1"/>
  <c r="E1223" i="7"/>
  <c r="H1223" i="7"/>
  <c r="L1223" i="7"/>
  <c r="C1224" i="7"/>
  <c r="D1224" i="7" s="1"/>
  <c r="E1224" i="7"/>
  <c r="H1224" i="7"/>
  <c r="L1224" i="7"/>
  <c r="C1225" i="7"/>
  <c r="D1225" i="7"/>
  <c r="E1225" i="7"/>
  <c r="G1225" i="7" a="1"/>
  <c r="G1225" i="7" s="1"/>
  <c r="H1225" i="7"/>
  <c r="L1225" i="7"/>
  <c r="C1226" i="7"/>
  <c r="E1226" i="7"/>
  <c r="G1226" i="7" a="1"/>
  <c r="G1226" i="7" s="1"/>
  <c r="H1226" i="7"/>
  <c r="L1226" i="7"/>
  <c r="C1227" i="7"/>
  <c r="D1227" i="7" s="1"/>
  <c r="E1227" i="7"/>
  <c r="G1227" i="7" a="1"/>
  <c r="G1227" i="7" s="1"/>
  <c r="H1227" i="7"/>
  <c r="L1227" i="7"/>
  <c r="C1228" i="7"/>
  <c r="D1228" i="7" s="1"/>
  <c r="E1228" i="7"/>
  <c r="G1228" i="7" s="1" a="1"/>
  <c r="G1228" i="7" s="1"/>
  <c r="H1228" i="7"/>
  <c r="L1228" i="7"/>
  <c r="C1229" i="7"/>
  <c r="D1229" i="7" s="1"/>
  <c r="E1229" i="7"/>
  <c r="H1229" i="7"/>
  <c r="L1229" i="7"/>
  <c r="C1230" i="7"/>
  <c r="D1230" i="7"/>
  <c r="E1230" i="7"/>
  <c r="H1230" i="7"/>
  <c r="L1230" i="7"/>
  <c r="C1231" i="7"/>
  <c r="D1231" i="7" s="1"/>
  <c r="E1231" i="7"/>
  <c r="H1231" i="7"/>
  <c r="L1231" i="7"/>
  <c r="C1232" i="7"/>
  <c r="E1232" i="7"/>
  <c r="H1232" i="7"/>
  <c r="L1232" i="7"/>
  <c r="C1233" i="7"/>
  <c r="D1233" i="7" s="1"/>
  <c r="E1233" i="7"/>
  <c r="G1233" i="7" a="1"/>
  <c r="G1233" i="7"/>
  <c r="H1233" i="7"/>
  <c r="L1233" i="7"/>
  <c r="C1234" i="7"/>
  <c r="D1234" i="7" s="1"/>
  <c r="E1234" i="7"/>
  <c r="G1234" i="7" a="1"/>
  <c r="G1234" i="7"/>
  <c r="H1234" i="7"/>
  <c r="L1234" i="7"/>
  <c r="C1235" i="7"/>
  <c r="D1235" i="7" s="1"/>
  <c r="E1235" i="7"/>
  <c r="G1235" i="7" s="1" a="1"/>
  <c r="G1235" i="7" s="1"/>
  <c r="H1235" i="7"/>
  <c r="L1235" i="7"/>
  <c r="C1236" i="7"/>
  <c r="D1236" i="7"/>
  <c r="E1236" i="7"/>
  <c r="G1236" i="7" s="1" a="1"/>
  <c r="G1236" i="7" s="1"/>
  <c r="H1236" i="7"/>
  <c r="L1236" i="7"/>
  <c r="C1237" i="7"/>
  <c r="D1237" i="7"/>
  <c r="E1237" i="7"/>
  <c r="G1237" i="7" a="1"/>
  <c r="G1237" i="7"/>
  <c r="H1237" i="7"/>
  <c r="L1237" i="7"/>
  <c r="C1238" i="7"/>
  <c r="D1238" i="7"/>
  <c r="E1238" i="7"/>
  <c r="G1238" i="7" a="1"/>
  <c r="G1238" i="7" s="1"/>
  <c r="H1238" i="7"/>
  <c r="L1238" i="7"/>
  <c r="C1239" i="7"/>
  <c r="D1239" i="7" s="1"/>
  <c r="E1239" i="7"/>
  <c r="G1239" i="7" a="1"/>
  <c r="G1239" i="7" s="1"/>
  <c r="H1239" i="7"/>
  <c r="L1239" i="7"/>
  <c r="C1240" i="7"/>
  <c r="D1240" i="7"/>
  <c r="E1240" i="7"/>
  <c r="G1240" i="7" s="1" a="1"/>
  <c r="G1240" i="7" s="1"/>
  <c r="H1240" i="7"/>
  <c r="L1240" i="7"/>
  <c r="C1241" i="7"/>
  <c r="D1241" i="7"/>
  <c r="E1241" i="7"/>
  <c r="H1241" i="7"/>
  <c r="L1241" i="7"/>
  <c r="C1242" i="7"/>
  <c r="D1242" i="7" s="1"/>
  <c r="E1242" i="7"/>
  <c r="H1242" i="7"/>
  <c r="L1242" i="7"/>
  <c r="C1243" i="7"/>
  <c r="D1243" i="7"/>
  <c r="E1243" i="7"/>
  <c r="G1243" i="7" a="1"/>
  <c r="G1243" i="7" s="1"/>
  <c r="H1243" i="7"/>
  <c r="L1243" i="7"/>
  <c r="C1244" i="7"/>
  <c r="D1244" i="7" s="1"/>
  <c r="E1244" i="7"/>
  <c r="G1244" i="7" s="1" a="1"/>
  <c r="G1244" i="7"/>
  <c r="H1244" i="7"/>
  <c r="L1244" i="7"/>
  <c r="C1245" i="7"/>
  <c r="D1245" i="7" s="1"/>
  <c r="E1245" i="7"/>
  <c r="G1245" i="7" a="1"/>
  <c r="G1245" i="7" s="1"/>
  <c r="H1245" i="7"/>
  <c r="L1245" i="7"/>
  <c r="C1246" i="7"/>
  <c r="D1246" i="7"/>
  <c r="E1246" i="7"/>
  <c r="G1246" i="7" a="1"/>
  <c r="G1246" i="7" s="1"/>
  <c r="H1246" i="7"/>
  <c r="L1246" i="7"/>
  <c r="C1247" i="7"/>
  <c r="D1247" i="7" s="1"/>
  <c r="E1247" i="7"/>
  <c r="G1247" i="7" a="1"/>
  <c r="G1247" i="7"/>
  <c r="H1247" i="7"/>
  <c r="L1247" i="7"/>
  <c r="C1248" i="7"/>
  <c r="E1248" i="7"/>
  <c r="H1248" i="7"/>
  <c r="L1248" i="7"/>
  <c r="C1249" i="7"/>
  <c r="D1249" i="7" s="1"/>
  <c r="E1249" i="7"/>
  <c r="H1249" i="7"/>
  <c r="L1249" i="7"/>
  <c r="C1250" i="7"/>
  <c r="D1250" i="7"/>
  <c r="E1250" i="7"/>
  <c r="H1250" i="7"/>
  <c r="L1250" i="7"/>
  <c r="C1251" i="7"/>
  <c r="E1251" i="7"/>
  <c r="G1251" i="7" a="1"/>
  <c r="G1251" i="7" s="1"/>
  <c r="H1251" i="7"/>
  <c r="L1251" i="7"/>
  <c r="C1252" i="7"/>
  <c r="D1252" i="7" s="1"/>
  <c r="E1252" i="7"/>
  <c r="G1252" i="7" s="1" a="1"/>
  <c r="G1252" i="7"/>
  <c r="H1252" i="7"/>
  <c r="L1252" i="7"/>
  <c r="C1253" i="7"/>
  <c r="D1253" i="7" s="1"/>
  <c r="E1253" i="7"/>
  <c r="G1253" i="7" a="1"/>
  <c r="G1253" i="7" s="1"/>
  <c r="H1253" i="7"/>
  <c r="L1253" i="7"/>
  <c r="C1254" i="7"/>
  <c r="D1254" i="7" s="1"/>
  <c r="E1254" i="7"/>
  <c r="H1254" i="7"/>
  <c r="L1254" i="7"/>
  <c r="C1255" i="7"/>
  <c r="D1255" i="7" s="1"/>
  <c r="E1255" i="7"/>
  <c r="H1255" i="7"/>
  <c r="L1255" i="7"/>
  <c r="C1256" i="7"/>
  <c r="D1256" i="7"/>
  <c r="E1256" i="7"/>
  <c r="H1256" i="7"/>
  <c r="L1256" i="7"/>
  <c r="C1257" i="7"/>
  <c r="E1257" i="7"/>
  <c r="H1257" i="7"/>
  <c r="C1258" i="7"/>
  <c r="D1258" i="7"/>
  <c r="E1258" i="7"/>
  <c r="H1258" i="7"/>
  <c r="C1259" i="7"/>
  <c r="D1259" i="7"/>
  <c r="E1259" i="7"/>
  <c r="H1259" i="7"/>
  <c r="C2" i="6"/>
  <c r="D2" i="6"/>
  <c r="E2" i="6" s="1"/>
  <c r="F2" i="6"/>
  <c r="G2" i="6" s="1"/>
  <c r="H2" i="6"/>
  <c r="I2" i="6"/>
  <c r="J2" i="6"/>
  <c r="K2" i="6"/>
  <c r="C3" i="6"/>
  <c r="D3" i="6"/>
  <c r="E3" i="6" s="1"/>
  <c r="F3" i="6"/>
  <c r="G3" i="6" s="1"/>
  <c r="H3" i="6"/>
  <c r="I3" i="6" s="1"/>
  <c r="J3" i="6"/>
  <c r="K3" i="6"/>
  <c r="C4" i="6"/>
  <c r="D4" i="6"/>
  <c r="E4" i="6" s="1"/>
  <c r="F4" i="6"/>
  <c r="G4" i="6" s="1"/>
  <c r="H4" i="6"/>
  <c r="I4" i="6" s="1"/>
  <c r="J4" i="6"/>
  <c r="K4" i="6" s="1"/>
  <c r="C5" i="6"/>
  <c r="D5" i="6"/>
  <c r="E5" i="6" s="1"/>
  <c r="F5" i="6"/>
  <c r="G5" i="6" s="1"/>
  <c r="H5" i="6"/>
  <c r="I5" i="6"/>
  <c r="J5" i="6"/>
  <c r="K5" i="6" s="1"/>
  <c r="C6" i="6"/>
  <c r="D6" i="6"/>
  <c r="E6" i="6"/>
  <c r="F6" i="6"/>
  <c r="G6" i="6" s="1"/>
  <c r="H6" i="6"/>
  <c r="I6" i="6" s="1"/>
  <c r="J6" i="6"/>
  <c r="K6" i="6" s="1"/>
  <c r="C7" i="6"/>
  <c r="D7" i="6"/>
  <c r="E7" i="6"/>
  <c r="F7" i="6"/>
  <c r="G7" i="6"/>
  <c r="H7" i="6"/>
  <c r="I7" i="6"/>
  <c r="J7" i="6"/>
  <c r="K7" i="6" s="1"/>
  <c r="C8" i="6"/>
  <c r="D8" i="6"/>
  <c r="E8" i="6"/>
  <c r="F8" i="6"/>
  <c r="G8" i="6"/>
  <c r="H8" i="6"/>
  <c r="I8" i="6"/>
  <c r="J8" i="6"/>
  <c r="K8" i="6"/>
  <c r="C9" i="6"/>
  <c r="D9" i="6"/>
  <c r="E9" i="6"/>
  <c r="F9" i="6"/>
  <c r="G9" i="6" s="1"/>
  <c r="H9" i="6"/>
  <c r="I9" i="6"/>
  <c r="J9" i="6"/>
  <c r="K9" i="6"/>
  <c r="C10" i="6"/>
  <c r="D10" i="6"/>
  <c r="E10" i="6" s="1"/>
  <c r="F10" i="6"/>
  <c r="G10" i="6" s="1"/>
  <c r="H10" i="6"/>
  <c r="I10" i="6" s="1"/>
  <c r="J10" i="6"/>
  <c r="K10" i="6"/>
  <c r="C11" i="6"/>
  <c r="D11" i="6"/>
  <c r="E11" i="6" s="1"/>
  <c r="F11" i="6"/>
  <c r="G11" i="6"/>
  <c r="H11" i="6"/>
  <c r="I11" i="6" s="1"/>
  <c r="J11" i="6"/>
  <c r="K11" i="6"/>
  <c r="C12" i="6"/>
  <c r="D12" i="6"/>
  <c r="E12" i="6" s="1"/>
  <c r="F12" i="6"/>
  <c r="G12" i="6" s="1"/>
  <c r="H12" i="6"/>
  <c r="I12" i="6" s="1"/>
  <c r="J12" i="6"/>
  <c r="K12" i="6" s="1"/>
  <c r="C13" i="6"/>
  <c r="D13" i="6"/>
  <c r="E13" i="6"/>
  <c r="F13" i="6"/>
  <c r="G13" i="6" s="1"/>
  <c r="H13" i="6"/>
  <c r="I13" i="6"/>
  <c r="J13" i="6"/>
  <c r="K13" i="6" s="1"/>
  <c r="C14" i="6"/>
  <c r="D14" i="6"/>
  <c r="E14" i="6"/>
  <c r="F14" i="6"/>
  <c r="G14" i="6" s="1"/>
  <c r="H14" i="6"/>
  <c r="I14" i="6" s="1"/>
  <c r="J14" i="6"/>
  <c r="K14" i="6" s="1"/>
  <c r="C15" i="6"/>
  <c r="D15" i="6"/>
  <c r="E15" i="6"/>
  <c r="F15" i="6"/>
  <c r="G15" i="6"/>
  <c r="H15" i="6"/>
  <c r="I15" i="6"/>
  <c r="J15" i="6"/>
  <c r="K15" i="6"/>
  <c r="C16" i="6"/>
  <c r="D16" i="6"/>
  <c r="E16" i="6"/>
  <c r="F16" i="6"/>
  <c r="G16" i="6"/>
  <c r="H16" i="6"/>
  <c r="I16" i="6"/>
  <c r="J16" i="6"/>
  <c r="K16" i="6" s="1"/>
  <c r="C17" i="6"/>
  <c r="D17" i="6"/>
  <c r="E17" i="6"/>
  <c r="F17" i="6"/>
  <c r="G17" i="6" s="1"/>
  <c r="H17" i="6"/>
  <c r="I17" i="6"/>
  <c r="J17" i="6"/>
  <c r="K17" i="6" s="1"/>
  <c r="C18" i="6"/>
  <c r="D18" i="6"/>
  <c r="E18" i="6" s="1"/>
  <c r="F18" i="6"/>
  <c r="G18" i="6"/>
  <c r="H18" i="6"/>
  <c r="I18" i="6" s="1"/>
  <c r="J18" i="6"/>
  <c r="K18" i="6"/>
  <c r="C19" i="6"/>
  <c r="D19" i="6"/>
  <c r="E19" i="6" s="1"/>
  <c r="F19" i="6"/>
  <c r="G19" i="6"/>
  <c r="H19" i="6"/>
  <c r="I19" i="6" s="1"/>
  <c r="J19" i="6"/>
  <c r="K19" i="6"/>
  <c r="C20" i="6"/>
  <c r="D20" i="6"/>
  <c r="E20" i="6" s="1"/>
  <c r="F20" i="6"/>
  <c r="G20" i="6" s="1"/>
  <c r="H20" i="6"/>
  <c r="I20" i="6" s="1"/>
  <c r="J20" i="6"/>
  <c r="K20" i="6" s="1"/>
  <c r="C21" i="6"/>
  <c r="D21" i="6"/>
  <c r="E21" i="6" s="1"/>
  <c r="F21" i="6"/>
  <c r="G21" i="6" s="1"/>
  <c r="H21" i="6"/>
  <c r="I21" i="6"/>
  <c r="J21" i="6"/>
  <c r="K21" i="6" s="1"/>
  <c r="C22" i="6"/>
  <c r="D22" i="6"/>
  <c r="E22" i="6" s="1"/>
  <c r="F22" i="6"/>
  <c r="G22" i="6" s="1"/>
  <c r="H22" i="6"/>
  <c r="I22" i="6" s="1"/>
  <c r="J22" i="6"/>
  <c r="K22" i="6" s="1"/>
  <c r="C23" i="6"/>
  <c r="D23" i="6"/>
  <c r="E23" i="6" s="1"/>
  <c r="F23" i="6"/>
  <c r="G23" i="6"/>
  <c r="H23" i="6"/>
  <c r="I23" i="6"/>
  <c r="J23" i="6"/>
  <c r="K23" i="6" s="1"/>
  <c r="C24" i="6"/>
  <c r="D24" i="6"/>
  <c r="E24" i="6"/>
  <c r="F24" i="6"/>
  <c r="G24" i="6"/>
  <c r="H24" i="6"/>
  <c r="I24" i="6"/>
  <c r="J24" i="6"/>
  <c r="K24" i="6" s="1"/>
  <c r="C25" i="6"/>
  <c r="D25" i="6"/>
  <c r="E25" i="6"/>
  <c r="F25" i="6"/>
  <c r="G25" i="6" s="1"/>
  <c r="H25" i="6"/>
  <c r="I25" i="6"/>
  <c r="J25" i="6"/>
  <c r="K25" i="6" s="1"/>
  <c r="C26" i="6"/>
  <c r="D26" i="6"/>
  <c r="E26" i="6" s="1"/>
  <c r="F26" i="6"/>
  <c r="G26" i="6"/>
  <c r="H26" i="6"/>
  <c r="I26" i="6" s="1"/>
  <c r="J26" i="6"/>
  <c r="K26" i="6" s="1"/>
  <c r="C27" i="6"/>
  <c r="D27" i="6"/>
  <c r="E27" i="6" s="1"/>
  <c r="F27" i="6"/>
  <c r="G27" i="6"/>
  <c r="H27" i="6"/>
  <c r="I27" i="6" s="1"/>
  <c r="J27" i="6"/>
  <c r="K27" i="6"/>
  <c r="C28" i="6"/>
  <c r="D28" i="6"/>
  <c r="E28" i="6" s="1"/>
  <c r="F28" i="6"/>
  <c r="G28" i="6" s="1"/>
  <c r="H28" i="6"/>
  <c r="I28" i="6"/>
  <c r="J28" i="6"/>
  <c r="K28" i="6" s="1"/>
  <c r="C29" i="6"/>
  <c r="D29" i="6"/>
  <c r="E29" i="6"/>
  <c r="F29" i="6"/>
  <c r="G29" i="6" s="1"/>
  <c r="H29" i="6"/>
  <c r="I29" i="6"/>
  <c r="J29" i="6"/>
  <c r="K29" i="6" s="1"/>
  <c r="C30" i="6"/>
  <c r="D30" i="6"/>
  <c r="E30" i="6" s="1"/>
  <c r="F30" i="6"/>
  <c r="G30" i="6" s="1"/>
  <c r="H30" i="6"/>
  <c r="I30" i="6" s="1"/>
  <c r="J30" i="6"/>
  <c r="K30" i="6" s="1"/>
  <c r="C31" i="6"/>
  <c r="D31" i="6"/>
  <c r="E31" i="6" s="1"/>
  <c r="F31" i="6"/>
  <c r="G31" i="6" s="1"/>
  <c r="H31" i="6"/>
  <c r="I31" i="6"/>
  <c r="J31" i="6"/>
  <c r="K31" i="6"/>
  <c r="C32" i="6"/>
  <c r="D32" i="6"/>
  <c r="E32" i="6" s="1"/>
  <c r="F32" i="6"/>
  <c r="G32" i="6"/>
  <c r="H32" i="6"/>
  <c r="I32" i="6"/>
  <c r="J32" i="6"/>
  <c r="K32" i="6" s="1"/>
  <c r="C33" i="6"/>
  <c r="D33" i="6"/>
  <c r="E33" i="6"/>
  <c r="F33" i="6"/>
  <c r="G33" i="6" s="1"/>
  <c r="H33" i="6"/>
  <c r="I33" i="6"/>
  <c r="J33" i="6"/>
  <c r="K33" i="6" s="1"/>
  <c r="C34" i="6"/>
  <c r="D34" i="6"/>
  <c r="E34" i="6" s="1"/>
  <c r="F34" i="6"/>
  <c r="G34" i="6"/>
  <c r="H34" i="6"/>
  <c r="I34" i="6" s="1"/>
  <c r="J34" i="6"/>
  <c r="K34" i="6" s="1"/>
  <c r="C35" i="6"/>
  <c r="D35" i="6"/>
  <c r="E35" i="6" s="1"/>
  <c r="F35" i="6"/>
  <c r="G35" i="6"/>
  <c r="H35" i="6"/>
  <c r="I35" i="6" s="1"/>
  <c r="J35" i="6"/>
  <c r="K35" i="6"/>
  <c r="C36" i="6"/>
  <c r="D36" i="6"/>
  <c r="E36" i="6" s="1"/>
  <c r="F36" i="6"/>
  <c r="G36" i="6" s="1"/>
  <c r="H36" i="6"/>
  <c r="I36" i="6"/>
  <c r="J36" i="6"/>
  <c r="K36" i="6" s="1"/>
  <c r="C37" i="6"/>
  <c r="D37" i="6"/>
  <c r="E37" i="6"/>
  <c r="F37" i="6"/>
  <c r="G37" i="6" s="1"/>
  <c r="H37" i="6"/>
  <c r="I37" i="6" s="1"/>
  <c r="J37" i="6"/>
  <c r="K37" i="6" s="1"/>
  <c r="C38" i="6"/>
  <c r="D38" i="6"/>
  <c r="E38" i="6" s="1"/>
  <c r="F38" i="6"/>
  <c r="G38" i="6"/>
  <c r="H38" i="6"/>
  <c r="I38" i="6" s="1"/>
  <c r="J38" i="6"/>
  <c r="K38" i="6" s="1"/>
  <c r="C39" i="6"/>
  <c r="D39" i="6"/>
  <c r="E39" i="6" s="1"/>
  <c r="F39" i="6"/>
  <c r="G39" i="6" s="1"/>
  <c r="H39" i="6"/>
  <c r="I39" i="6"/>
  <c r="J39" i="6"/>
  <c r="K39" i="6" s="1"/>
  <c r="C40" i="6"/>
  <c r="D40" i="6"/>
  <c r="E40" i="6" s="1"/>
  <c r="F40" i="6"/>
  <c r="G40" i="6"/>
  <c r="H40" i="6"/>
  <c r="I40" i="6"/>
  <c r="J40" i="6"/>
  <c r="K40" i="6" s="1"/>
  <c r="C41" i="6"/>
  <c r="D41" i="6"/>
  <c r="E41" i="6"/>
  <c r="F41" i="6"/>
  <c r="G41" i="6" s="1"/>
  <c r="H41" i="6"/>
  <c r="I41" i="6"/>
  <c r="J41" i="6"/>
  <c r="K41" i="6" s="1"/>
  <c r="C42" i="6"/>
  <c r="D42" i="6"/>
  <c r="E42" i="6" s="1"/>
  <c r="F42" i="6"/>
  <c r="G42" i="6"/>
  <c r="H42" i="6"/>
  <c r="I42" i="6" s="1"/>
  <c r="J42" i="6"/>
  <c r="K42" i="6" s="1"/>
  <c r="C43" i="6"/>
  <c r="D43" i="6"/>
  <c r="E43" i="6" s="1"/>
  <c r="F43" i="6"/>
  <c r="G43" i="6"/>
  <c r="H43" i="6"/>
  <c r="I43" i="6" s="1"/>
  <c r="J43" i="6"/>
  <c r="K43" i="6"/>
  <c r="C44" i="6"/>
  <c r="D44" i="6"/>
  <c r="E44" i="6" s="1"/>
  <c r="F44" i="6"/>
  <c r="G44" i="6"/>
  <c r="H44" i="6"/>
  <c r="I44" i="6"/>
  <c r="J44" i="6"/>
  <c r="K44" i="6" s="1"/>
  <c r="C45" i="6"/>
  <c r="D45" i="6"/>
  <c r="E45" i="6" s="1"/>
  <c r="F45" i="6"/>
  <c r="G45" i="6"/>
  <c r="H45" i="6"/>
  <c r="I45" i="6" s="1"/>
  <c r="J45" i="6"/>
  <c r="K45" i="6" s="1"/>
  <c r="C46" i="6"/>
  <c r="D46" i="6"/>
  <c r="E46" i="6" s="1"/>
  <c r="F46" i="6"/>
  <c r="G46" i="6"/>
  <c r="H46" i="6"/>
  <c r="I46" i="6"/>
  <c r="J46" i="6"/>
  <c r="K46" i="6" s="1"/>
  <c r="C47" i="6"/>
  <c r="D47" i="6"/>
  <c r="E47" i="6" s="1"/>
  <c r="F47" i="6"/>
  <c r="G47" i="6"/>
  <c r="H47" i="6"/>
  <c r="I47" i="6"/>
  <c r="J47" i="6"/>
  <c r="K47" i="6" s="1"/>
  <c r="C48" i="6"/>
  <c r="D48" i="6"/>
  <c r="E48" i="6" s="1"/>
  <c r="F48" i="6"/>
  <c r="G48" i="6"/>
  <c r="H48" i="6"/>
  <c r="I48" i="6"/>
  <c r="J48" i="6"/>
  <c r="K48" i="6" s="1"/>
  <c r="C49" i="6"/>
  <c r="D49" i="6"/>
  <c r="E49" i="6" s="1"/>
  <c r="F49" i="6"/>
  <c r="G49" i="6" s="1"/>
  <c r="H49" i="6"/>
  <c r="I49" i="6"/>
  <c r="J49" i="6"/>
  <c r="K49" i="6" s="1"/>
  <c r="C50" i="6"/>
  <c r="D50" i="6"/>
  <c r="E50" i="6" s="1"/>
  <c r="F50" i="6"/>
  <c r="G50" i="6"/>
  <c r="H50" i="6"/>
  <c r="I50" i="6" s="1"/>
  <c r="J50" i="6"/>
  <c r="K50" i="6" s="1"/>
  <c r="C51" i="6"/>
  <c r="D51" i="6"/>
  <c r="E51" i="6" s="1"/>
  <c r="F51" i="6"/>
  <c r="G51" i="6"/>
  <c r="H51" i="6"/>
  <c r="I51" i="6" s="1"/>
  <c r="J51" i="6"/>
  <c r="K51" i="6" s="1"/>
  <c r="C52" i="6"/>
  <c r="D52" i="6"/>
  <c r="E52" i="6" s="1"/>
  <c r="F52" i="6"/>
  <c r="G52" i="6"/>
  <c r="H52" i="6"/>
  <c r="I52" i="6"/>
  <c r="J52" i="6"/>
  <c r="K52" i="6" s="1"/>
  <c r="C53" i="6"/>
  <c r="D53" i="6"/>
  <c r="E53" i="6"/>
  <c r="F53" i="6"/>
  <c r="G53" i="6" s="1"/>
  <c r="H53" i="6"/>
  <c r="I53" i="6" s="1"/>
  <c r="J53" i="6"/>
  <c r="K53" i="6" s="1"/>
  <c r="C54" i="6"/>
  <c r="D54" i="6"/>
  <c r="E54" i="6"/>
  <c r="F54" i="6"/>
  <c r="G54" i="6"/>
  <c r="H54" i="6"/>
  <c r="I54" i="6" s="1"/>
  <c r="J54" i="6"/>
  <c r="K54" i="6" s="1"/>
  <c r="C55" i="6"/>
  <c r="D55" i="6"/>
  <c r="E55" i="6"/>
  <c r="F55" i="6"/>
  <c r="G55" i="6" s="1"/>
  <c r="H55" i="6"/>
  <c r="I55" i="6"/>
  <c r="J55" i="6"/>
  <c r="K55" i="6" s="1"/>
  <c r="C56" i="6"/>
  <c r="D56" i="6"/>
  <c r="E56" i="6" s="1"/>
  <c r="F56" i="6"/>
  <c r="G56" i="6"/>
  <c r="H56" i="6"/>
  <c r="I56" i="6"/>
  <c r="J56" i="6"/>
  <c r="K56" i="6"/>
  <c r="C57" i="6"/>
  <c r="D57" i="6"/>
  <c r="E57" i="6"/>
  <c r="F57" i="6"/>
  <c r="G57" i="6" s="1"/>
  <c r="H57" i="6"/>
  <c r="I57" i="6"/>
  <c r="J57" i="6"/>
  <c r="K57" i="6" s="1"/>
  <c r="C58" i="6"/>
  <c r="D58" i="6"/>
  <c r="E58" i="6" s="1"/>
  <c r="F58" i="6"/>
  <c r="G58" i="6"/>
  <c r="H58" i="6"/>
  <c r="I58" i="6"/>
  <c r="J58" i="6"/>
  <c r="K58" i="6" s="1"/>
  <c r="C59" i="6"/>
  <c r="D59" i="6"/>
  <c r="E59" i="6" s="1"/>
  <c r="F59" i="6"/>
  <c r="G59" i="6"/>
  <c r="H59" i="6"/>
  <c r="I59" i="6" s="1"/>
  <c r="J59" i="6"/>
  <c r="K59" i="6" s="1"/>
  <c r="C60" i="6"/>
  <c r="D60" i="6"/>
  <c r="E60" i="6" s="1"/>
  <c r="F60" i="6"/>
  <c r="G60" i="6"/>
  <c r="H60" i="6"/>
  <c r="I60" i="6" s="1"/>
  <c r="J60" i="6"/>
  <c r="K60" i="6" s="1"/>
  <c r="C61" i="6"/>
  <c r="D61" i="6"/>
  <c r="E61" i="6" s="1"/>
  <c r="F61" i="6"/>
  <c r="G61" i="6" s="1"/>
  <c r="H61" i="6"/>
  <c r="I61" i="6"/>
  <c r="J61" i="6"/>
  <c r="K61" i="6" s="1"/>
  <c r="C62" i="6"/>
  <c r="D62" i="6"/>
  <c r="E62" i="6" s="1"/>
  <c r="F62" i="6"/>
  <c r="G62" i="6"/>
  <c r="H62" i="6"/>
  <c r="I62" i="6" s="1"/>
  <c r="J62" i="6"/>
  <c r="K62" i="6" s="1"/>
  <c r="C63" i="6"/>
  <c r="D63" i="6"/>
  <c r="E63" i="6" s="1"/>
  <c r="F63" i="6"/>
  <c r="G63" i="6" s="1"/>
  <c r="H63" i="6"/>
  <c r="I63" i="6"/>
  <c r="J63" i="6"/>
  <c r="K63" i="6" s="1"/>
  <c r="C64" i="6"/>
  <c r="D64" i="6"/>
  <c r="E64" i="6"/>
  <c r="F64" i="6"/>
  <c r="G64" i="6" s="1"/>
  <c r="H64" i="6"/>
  <c r="I64" i="6"/>
  <c r="J64" i="6"/>
  <c r="K64" i="6" s="1"/>
  <c r="C65" i="6"/>
  <c r="D65" i="6"/>
  <c r="E65" i="6" s="1"/>
  <c r="F65" i="6"/>
  <c r="G65" i="6" s="1"/>
  <c r="H65" i="6"/>
  <c r="I65" i="6"/>
  <c r="J65" i="6"/>
  <c r="K65" i="6" s="1"/>
  <c r="C66" i="6"/>
  <c r="D66" i="6"/>
  <c r="E66" i="6" s="1"/>
  <c r="F66" i="6"/>
  <c r="G66" i="6" s="1"/>
  <c r="H66" i="6"/>
  <c r="I66" i="6" s="1"/>
  <c r="J66" i="6"/>
  <c r="K66" i="6" s="1"/>
  <c r="C67" i="6"/>
  <c r="D67" i="6"/>
  <c r="E67" i="6" s="1"/>
  <c r="F67" i="6"/>
  <c r="G67" i="6"/>
  <c r="H67" i="6"/>
  <c r="I67" i="6"/>
  <c r="J67" i="6"/>
  <c r="K67" i="6" s="1"/>
  <c r="C68" i="6"/>
  <c r="D68" i="6"/>
  <c r="E68" i="6" s="1"/>
  <c r="F68" i="6"/>
  <c r="G68" i="6" s="1"/>
  <c r="H68" i="6"/>
  <c r="I68" i="6" s="1"/>
  <c r="J68" i="6"/>
  <c r="K68" i="6" s="1"/>
  <c r="C69" i="6"/>
  <c r="D69" i="6"/>
  <c r="E69" i="6"/>
  <c r="F69" i="6"/>
  <c r="G69" i="6" s="1"/>
  <c r="H69" i="6"/>
  <c r="I69" i="6" s="1"/>
  <c r="J69" i="6"/>
  <c r="K69" i="6" s="1"/>
  <c r="C70" i="6"/>
  <c r="D70" i="6"/>
  <c r="E70" i="6" s="1"/>
  <c r="F70" i="6"/>
  <c r="G70" i="6"/>
  <c r="H70" i="6"/>
  <c r="I70" i="6"/>
  <c r="J70" i="6"/>
  <c r="K70" i="6" s="1"/>
  <c r="C71" i="6"/>
  <c r="D71" i="6"/>
  <c r="E71" i="6" s="1"/>
  <c r="F71" i="6"/>
  <c r="G71" i="6" s="1"/>
  <c r="H71" i="6"/>
  <c r="I71" i="6"/>
  <c r="J71" i="6"/>
  <c r="K71" i="6" s="1"/>
  <c r="C72" i="6"/>
  <c r="D72" i="6"/>
  <c r="E72" i="6"/>
  <c r="F72" i="6"/>
  <c r="G72" i="6"/>
  <c r="H72" i="6"/>
  <c r="I72" i="6"/>
  <c r="J72" i="6"/>
  <c r="K72" i="6"/>
  <c r="C73" i="6"/>
  <c r="D73" i="6"/>
  <c r="E73" i="6"/>
  <c r="F73" i="6"/>
  <c r="G73" i="6"/>
  <c r="H73" i="6"/>
  <c r="I73" i="6"/>
  <c r="J73" i="6"/>
  <c r="K73" i="6" s="1"/>
  <c r="C74" i="6"/>
  <c r="D74" i="6"/>
  <c r="E74" i="6" s="1"/>
  <c r="F74" i="6"/>
  <c r="G74" i="6" s="1"/>
  <c r="H74" i="6"/>
  <c r="I74" i="6" s="1"/>
  <c r="J74" i="6"/>
  <c r="K74" i="6"/>
  <c r="C75" i="6"/>
  <c r="D75" i="6"/>
  <c r="E75" i="6" s="1"/>
  <c r="F75" i="6"/>
  <c r="G75" i="6"/>
  <c r="H75" i="6"/>
  <c r="I75" i="6" s="1"/>
  <c r="J75" i="6"/>
  <c r="K75" i="6" s="1"/>
  <c r="C76" i="6"/>
  <c r="D76" i="6"/>
  <c r="E76" i="6" s="1"/>
  <c r="F76" i="6"/>
  <c r="G76" i="6"/>
  <c r="H76" i="6"/>
  <c r="I76" i="6" s="1"/>
  <c r="J76" i="6"/>
  <c r="K76" i="6" s="1"/>
  <c r="C77" i="6"/>
  <c r="D77" i="6"/>
  <c r="E77" i="6" s="1"/>
  <c r="F77" i="6"/>
  <c r="G77" i="6" s="1"/>
  <c r="H77" i="6"/>
  <c r="I77" i="6" s="1"/>
  <c r="J77" i="6"/>
  <c r="K77" i="6" s="1"/>
  <c r="C78" i="6"/>
  <c r="D78" i="6"/>
  <c r="E78" i="6" s="1"/>
  <c r="F78" i="6"/>
  <c r="G78" i="6" s="1"/>
  <c r="H78" i="6"/>
  <c r="I78" i="6" s="1"/>
  <c r="J78" i="6"/>
  <c r="K78" i="6" s="1"/>
  <c r="C79" i="6"/>
  <c r="D79" i="6"/>
  <c r="E79" i="6"/>
  <c r="F79" i="6"/>
  <c r="G79" i="6"/>
  <c r="H79" i="6"/>
  <c r="I79" i="6"/>
  <c r="J79" i="6"/>
  <c r="K79" i="6" s="1"/>
  <c r="C80" i="6"/>
  <c r="D80" i="6"/>
  <c r="E80" i="6"/>
  <c r="F80" i="6"/>
  <c r="G80" i="6"/>
  <c r="H80" i="6"/>
  <c r="I80" i="6"/>
  <c r="J80" i="6"/>
  <c r="K80" i="6"/>
  <c r="C81" i="6"/>
  <c r="D81" i="6"/>
  <c r="E81" i="6" s="1"/>
  <c r="F81" i="6"/>
  <c r="G81" i="6" s="1"/>
  <c r="H81" i="6"/>
  <c r="I81" i="6"/>
  <c r="J81" i="6"/>
  <c r="K81" i="6"/>
  <c r="C82" i="6"/>
  <c r="D82" i="6"/>
  <c r="E82" i="6" s="1"/>
  <c r="F82" i="6"/>
  <c r="G82" i="6" s="1"/>
  <c r="H82" i="6"/>
  <c r="I82" i="6" s="1"/>
  <c r="J82" i="6"/>
  <c r="K82" i="6" s="1"/>
  <c r="C83" i="6"/>
  <c r="D83" i="6"/>
  <c r="E83" i="6" s="1"/>
  <c r="F83" i="6"/>
  <c r="G83" i="6" s="1"/>
  <c r="H83" i="6"/>
  <c r="I83" i="6" s="1"/>
  <c r="J83" i="6"/>
  <c r="K83" i="6" s="1"/>
  <c r="C84" i="6"/>
  <c r="D84" i="6"/>
  <c r="E84" i="6" s="1"/>
  <c r="F84" i="6"/>
  <c r="G84" i="6" s="1"/>
  <c r="H84" i="6"/>
  <c r="I84" i="6" s="1"/>
  <c r="J84" i="6"/>
  <c r="K84" i="6"/>
  <c r="C85" i="6"/>
  <c r="D85" i="6"/>
  <c r="E85" i="6" s="1"/>
  <c r="F85" i="6"/>
  <c r="G85" i="6"/>
  <c r="H85" i="6"/>
  <c r="I85" i="6"/>
  <c r="J85" i="6"/>
  <c r="K85" i="6" s="1"/>
  <c r="C86" i="6"/>
  <c r="D86" i="6"/>
  <c r="E86" i="6"/>
  <c r="F86" i="6"/>
  <c r="G86" i="6"/>
  <c r="H86" i="6"/>
  <c r="I86" i="6"/>
  <c r="J86" i="6"/>
  <c r="K86" i="6" s="1"/>
  <c r="C87" i="6"/>
  <c r="D87" i="6"/>
  <c r="E87" i="6"/>
  <c r="F87" i="6"/>
  <c r="G87" i="6"/>
  <c r="H87" i="6"/>
  <c r="I87" i="6" s="1"/>
  <c r="J87" i="6"/>
  <c r="K87" i="6" s="1"/>
  <c r="C88" i="6"/>
  <c r="D88" i="6"/>
  <c r="E88" i="6" s="1"/>
  <c r="F88" i="6"/>
  <c r="G88" i="6" s="1"/>
  <c r="H88" i="6"/>
  <c r="I88" i="6"/>
  <c r="J88" i="6"/>
  <c r="K88" i="6"/>
  <c r="C89" i="6"/>
  <c r="D89" i="6"/>
  <c r="E89" i="6"/>
  <c r="F89" i="6"/>
  <c r="G89" i="6"/>
  <c r="H89" i="6"/>
  <c r="I89" i="6"/>
  <c r="J89" i="6"/>
  <c r="K89" i="6"/>
  <c r="C90" i="6"/>
  <c r="D90" i="6"/>
  <c r="E90" i="6" s="1"/>
  <c r="F90" i="6"/>
  <c r="G90" i="6"/>
  <c r="H90" i="6"/>
  <c r="I90" i="6"/>
  <c r="J90" i="6"/>
  <c r="K90" i="6" s="1"/>
  <c r="C91" i="6"/>
  <c r="D91" i="6"/>
  <c r="E91" i="6" s="1"/>
  <c r="F91" i="6"/>
  <c r="G91" i="6" s="1"/>
  <c r="H91" i="6"/>
  <c r="I91" i="6"/>
  <c r="J91" i="6"/>
  <c r="K91" i="6" s="1"/>
  <c r="C92" i="6"/>
  <c r="D92" i="6"/>
  <c r="E92" i="6"/>
  <c r="F92" i="6"/>
  <c r="G92" i="6"/>
  <c r="H92" i="6"/>
  <c r="I92" i="6"/>
  <c r="J92" i="6"/>
  <c r="K92" i="6"/>
  <c r="C93" i="6"/>
  <c r="D93" i="6"/>
  <c r="E93" i="6"/>
  <c r="F93" i="6"/>
  <c r="G93" i="6"/>
  <c r="H93" i="6"/>
  <c r="I93" i="6" s="1"/>
  <c r="J93" i="6"/>
  <c r="K93" i="6" s="1"/>
  <c r="C94" i="6"/>
  <c r="D94" i="6"/>
  <c r="E94" i="6" s="1"/>
  <c r="F94" i="6"/>
  <c r="G94" i="6" s="1"/>
  <c r="H94" i="6"/>
  <c r="I94" i="6" s="1"/>
  <c r="J94" i="6"/>
  <c r="K94" i="6"/>
  <c r="C95" i="6"/>
  <c r="D95" i="6"/>
  <c r="E95" i="6"/>
  <c r="F95" i="6"/>
  <c r="G95" i="6"/>
  <c r="H95" i="6"/>
  <c r="I95" i="6"/>
  <c r="J95" i="6"/>
  <c r="K95" i="6" s="1"/>
  <c r="C96" i="6"/>
  <c r="D96" i="6"/>
  <c r="E96" i="6"/>
  <c r="F96" i="6"/>
  <c r="G96" i="6" s="1"/>
  <c r="H96" i="6"/>
  <c r="I96" i="6"/>
  <c r="J96" i="6"/>
  <c r="K96" i="6" s="1"/>
  <c r="C97" i="6"/>
  <c r="D97" i="6"/>
  <c r="E97" i="6"/>
  <c r="F97" i="6"/>
  <c r="G97" i="6"/>
  <c r="H97" i="6"/>
  <c r="I97" i="6"/>
  <c r="J97" i="6"/>
  <c r="K97" i="6" s="1"/>
  <c r="C98" i="6"/>
  <c r="D98" i="6"/>
  <c r="E98" i="6" s="1"/>
  <c r="F98" i="6"/>
  <c r="G98" i="6" s="1"/>
  <c r="H98" i="6"/>
  <c r="I98" i="6"/>
  <c r="J98" i="6"/>
  <c r="K98" i="6"/>
  <c r="C99" i="6"/>
  <c r="D99" i="6"/>
  <c r="E99" i="6"/>
  <c r="F99" i="6"/>
  <c r="G99" i="6"/>
  <c r="H99" i="6"/>
  <c r="I99" i="6"/>
  <c r="J99" i="6"/>
  <c r="K99" i="6"/>
  <c r="C100" i="6"/>
  <c r="D100" i="6"/>
  <c r="E100" i="6"/>
  <c r="F100" i="6"/>
  <c r="G100" i="6" s="1"/>
  <c r="H100" i="6"/>
  <c r="I100" i="6" s="1"/>
  <c r="J100" i="6"/>
  <c r="K100" i="6" s="1"/>
  <c r="C101" i="6"/>
  <c r="D101" i="6"/>
  <c r="E101" i="6" s="1"/>
  <c r="F101" i="6"/>
  <c r="G101" i="6" s="1"/>
  <c r="H101" i="6"/>
  <c r="I101" i="6" s="1"/>
  <c r="J101" i="6"/>
  <c r="K101" i="6"/>
  <c r="C102" i="6"/>
  <c r="D102" i="6"/>
  <c r="E102" i="6" s="1"/>
  <c r="F102" i="6"/>
  <c r="G102" i="6"/>
  <c r="H102" i="6"/>
  <c r="I102" i="6" s="1"/>
  <c r="J102" i="6"/>
  <c r="K102" i="6"/>
  <c r="C103" i="6"/>
  <c r="D103" i="6"/>
  <c r="E103" i="6" s="1"/>
  <c r="F103" i="6"/>
  <c r="G103" i="6"/>
  <c r="H103" i="6"/>
  <c r="I103" i="6"/>
  <c r="J103" i="6"/>
  <c r="K103" i="6" s="1"/>
  <c r="C104" i="6"/>
  <c r="D104" i="6"/>
  <c r="E104" i="6"/>
  <c r="F104" i="6"/>
  <c r="G104" i="6" s="1"/>
  <c r="H104" i="6"/>
  <c r="I104" i="6" s="1"/>
  <c r="J104" i="6"/>
  <c r="K104" i="6" s="1"/>
  <c r="C105" i="6"/>
  <c r="D105" i="6"/>
  <c r="E105" i="6"/>
  <c r="F105" i="6"/>
  <c r="G105" i="6"/>
  <c r="H105" i="6"/>
  <c r="I105" i="6"/>
  <c r="J105" i="6"/>
  <c r="K105" i="6" s="1"/>
  <c r="C106" i="6"/>
  <c r="D106" i="6"/>
  <c r="E106" i="6" s="1"/>
  <c r="F106" i="6"/>
  <c r="G106" i="6" s="1"/>
  <c r="H106" i="6"/>
  <c r="I106" i="6"/>
  <c r="J106" i="6"/>
  <c r="K106" i="6"/>
  <c r="C107" i="6"/>
  <c r="D107" i="6"/>
  <c r="E107" i="6"/>
  <c r="F107" i="6"/>
  <c r="G107" i="6"/>
  <c r="H107" i="6"/>
  <c r="I107" i="6"/>
  <c r="J107" i="6"/>
  <c r="K107" i="6"/>
  <c r="C108" i="6"/>
  <c r="D108" i="6"/>
  <c r="E108" i="6"/>
  <c r="F108" i="6"/>
  <c r="G108" i="6" s="1"/>
  <c r="H108" i="6"/>
  <c r="I108" i="6" s="1"/>
  <c r="J108" i="6"/>
  <c r="K108" i="6" s="1"/>
  <c r="C109" i="6"/>
  <c r="D109" i="6"/>
  <c r="E109" i="6" s="1"/>
  <c r="F109" i="6"/>
  <c r="G109" i="6" s="1"/>
  <c r="H109" i="6"/>
  <c r="I109" i="6" s="1"/>
  <c r="J109" i="6"/>
  <c r="K109" i="6"/>
  <c r="C110" i="6"/>
  <c r="D110" i="6"/>
  <c r="E110" i="6" s="1"/>
  <c r="F110" i="6"/>
  <c r="G110" i="6"/>
  <c r="H110" i="6"/>
  <c r="I110" i="6" s="1"/>
  <c r="J110" i="6"/>
  <c r="K110" i="6" s="1"/>
  <c r="C111" i="6"/>
  <c r="D111" i="6"/>
  <c r="E111" i="6" s="1"/>
  <c r="F111" i="6"/>
  <c r="G111" i="6"/>
  <c r="H111" i="6"/>
  <c r="I111" i="6"/>
  <c r="J111" i="6"/>
  <c r="K111" i="6" s="1"/>
  <c r="C112" i="6"/>
  <c r="D112" i="6"/>
  <c r="E112" i="6"/>
  <c r="F112" i="6"/>
  <c r="G112" i="6" s="1"/>
  <c r="H112" i="6"/>
  <c r="I112" i="6" s="1"/>
  <c r="J112" i="6"/>
  <c r="K112" i="6" s="1"/>
  <c r="C113" i="6"/>
  <c r="D113" i="6"/>
  <c r="E113" i="6"/>
  <c r="F113" i="6"/>
  <c r="G113" i="6"/>
  <c r="H113" i="6"/>
  <c r="I113" i="6"/>
  <c r="J113" i="6"/>
  <c r="K113" i="6" s="1"/>
  <c r="C114" i="6"/>
  <c r="D114" i="6"/>
  <c r="E114" i="6" s="1"/>
  <c r="F114" i="6"/>
  <c r="G114" i="6" s="1"/>
  <c r="H114" i="6"/>
  <c r="I114" i="6"/>
  <c r="J114" i="6"/>
  <c r="K114" i="6"/>
  <c r="C115" i="6"/>
  <c r="D115" i="6"/>
  <c r="E115" i="6"/>
  <c r="F115" i="6"/>
  <c r="G115" i="6"/>
  <c r="H115" i="6"/>
  <c r="I115" i="6"/>
  <c r="J115" i="6"/>
  <c r="K115" i="6"/>
  <c r="C116" i="6"/>
  <c r="D116" i="6"/>
  <c r="E116" i="6" s="1"/>
  <c r="F116" i="6"/>
  <c r="G116" i="6" s="1"/>
  <c r="H116" i="6"/>
  <c r="I116" i="6" s="1"/>
  <c r="J116" i="6"/>
  <c r="K116" i="6" s="1"/>
  <c r="C117" i="6"/>
  <c r="D117" i="6"/>
  <c r="E117" i="6" s="1"/>
  <c r="F117" i="6"/>
  <c r="G117" i="6" s="1"/>
  <c r="H117" i="6"/>
  <c r="I117" i="6" s="1"/>
  <c r="J117" i="6"/>
  <c r="K117" i="6"/>
  <c r="C118" i="6"/>
  <c r="D118" i="6"/>
  <c r="E118" i="6" s="1"/>
  <c r="F118" i="6"/>
  <c r="G118" i="6"/>
  <c r="H118" i="6"/>
  <c r="I118" i="6" s="1"/>
  <c r="J118" i="6"/>
  <c r="K118" i="6" s="1"/>
  <c r="C119" i="6"/>
  <c r="D119" i="6"/>
  <c r="E119" i="6" s="1"/>
  <c r="F119" i="6"/>
  <c r="G119" i="6"/>
  <c r="H119" i="6"/>
  <c r="I119" i="6"/>
  <c r="J119" i="6"/>
  <c r="K119" i="6" s="1"/>
  <c r="C120" i="6"/>
  <c r="D120" i="6"/>
  <c r="E120" i="6"/>
  <c r="F120" i="6"/>
  <c r="G120" i="6" s="1"/>
  <c r="H120" i="6"/>
  <c r="I120" i="6" s="1"/>
  <c r="J120" i="6"/>
  <c r="K120" i="6" s="1"/>
  <c r="C121" i="6"/>
  <c r="D121" i="6"/>
  <c r="E121" i="6" s="1"/>
  <c r="F121" i="6"/>
  <c r="G121" i="6"/>
  <c r="H121" i="6"/>
  <c r="I121" i="6"/>
  <c r="J121" i="6"/>
  <c r="K121" i="6" s="1"/>
  <c r="C122" i="6"/>
  <c r="D122" i="6"/>
  <c r="E122" i="6" s="1"/>
  <c r="F122" i="6"/>
  <c r="G122" i="6" s="1"/>
  <c r="H122" i="6"/>
  <c r="I122" i="6"/>
  <c r="J122" i="6"/>
  <c r="K122" i="6"/>
  <c r="C123" i="6"/>
  <c r="D123" i="6"/>
  <c r="E123" i="6"/>
  <c r="F123" i="6"/>
  <c r="G123" i="6"/>
  <c r="H123" i="6"/>
  <c r="I123" i="6"/>
  <c r="J123" i="6"/>
  <c r="K123" i="6" s="1"/>
  <c r="C124" i="6"/>
  <c r="D124" i="6"/>
  <c r="E124" i="6" s="1"/>
  <c r="F124" i="6"/>
  <c r="G124" i="6" s="1"/>
  <c r="H124" i="6"/>
  <c r="I124" i="6" s="1"/>
  <c r="J124" i="6"/>
  <c r="K124" i="6" s="1"/>
  <c r="C125" i="6"/>
  <c r="D125" i="6"/>
  <c r="E125" i="6" s="1"/>
  <c r="F125" i="6"/>
  <c r="G125" i="6" s="1"/>
  <c r="H125" i="6"/>
  <c r="I125" i="6" s="1"/>
  <c r="J125" i="6"/>
  <c r="K125" i="6"/>
  <c r="C126" i="6"/>
  <c r="D126" i="6"/>
  <c r="E126" i="6" s="1"/>
  <c r="F126" i="6"/>
  <c r="G126" i="6"/>
  <c r="H126" i="6"/>
  <c r="I126" i="6" s="1"/>
  <c r="J126" i="6"/>
  <c r="K126" i="6" s="1"/>
  <c r="C127" i="6"/>
  <c r="D127" i="6"/>
  <c r="E127" i="6" s="1"/>
  <c r="F127" i="6"/>
  <c r="G127" i="6"/>
  <c r="H127" i="6"/>
  <c r="I127" i="6"/>
  <c r="J127" i="6"/>
  <c r="K127" i="6" s="1"/>
  <c r="C128" i="6"/>
  <c r="D128" i="6"/>
  <c r="E128" i="6"/>
  <c r="F128" i="6"/>
  <c r="G128" i="6" s="1"/>
  <c r="H128" i="6"/>
  <c r="I128" i="6" s="1"/>
  <c r="J128" i="6"/>
  <c r="K128" i="6" s="1"/>
  <c r="C129" i="6"/>
  <c r="D129" i="6"/>
  <c r="E129" i="6" s="1"/>
  <c r="F129" i="6"/>
  <c r="G129" i="6"/>
  <c r="H129" i="6"/>
  <c r="I129" i="6"/>
  <c r="J129" i="6"/>
  <c r="K129" i="6" s="1"/>
  <c r="C130" i="6"/>
  <c r="D130" i="6"/>
  <c r="E130" i="6" s="1"/>
  <c r="F130" i="6"/>
  <c r="G130" i="6" s="1"/>
  <c r="H130" i="6"/>
  <c r="I130" i="6"/>
  <c r="J130" i="6"/>
  <c r="K130" i="6"/>
  <c r="C131" i="6"/>
  <c r="D131" i="6"/>
  <c r="E131" i="6"/>
  <c r="F131" i="6"/>
  <c r="G131" i="6"/>
  <c r="H131" i="6"/>
  <c r="I131" i="6"/>
  <c r="J131" i="6"/>
  <c r="K131" i="6" s="1"/>
  <c r="C132" i="6"/>
  <c r="D132" i="6"/>
  <c r="E132" i="6" s="1"/>
  <c r="F132" i="6"/>
  <c r="G132" i="6" s="1"/>
  <c r="H132" i="6"/>
  <c r="I132" i="6" s="1"/>
  <c r="J132" i="6"/>
  <c r="K132" i="6" s="1"/>
  <c r="C133" i="6"/>
  <c r="D133" i="6"/>
  <c r="E133" i="6" s="1"/>
  <c r="F133" i="6"/>
  <c r="G133" i="6" s="1"/>
  <c r="H133" i="6"/>
  <c r="I133" i="6" s="1"/>
  <c r="J133" i="6"/>
  <c r="K133" i="6"/>
  <c r="C134" i="6"/>
  <c r="D134" i="6"/>
  <c r="E134" i="6" s="1"/>
  <c r="F134" i="6"/>
  <c r="G134" i="6"/>
  <c r="H134" i="6"/>
  <c r="I134" i="6" s="1"/>
  <c r="J134" i="6"/>
  <c r="K134" i="6" s="1"/>
  <c r="C135" i="6"/>
  <c r="D135" i="6"/>
  <c r="E135" i="6" s="1"/>
  <c r="F135" i="6"/>
  <c r="G135" i="6"/>
  <c r="H135" i="6"/>
  <c r="I135" i="6"/>
  <c r="J135" i="6"/>
  <c r="K135" i="6" s="1"/>
  <c r="C136" i="6"/>
  <c r="D136" i="6"/>
  <c r="E136" i="6"/>
  <c r="F136" i="6"/>
  <c r="G136" i="6" s="1"/>
  <c r="H136" i="6"/>
  <c r="I136" i="6" s="1"/>
  <c r="J136" i="6"/>
  <c r="K136" i="6" s="1"/>
  <c r="C137" i="6"/>
  <c r="D137" i="6"/>
  <c r="E137" i="6" s="1"/>
  <c r="F137" i="6"/>
  <c r="G137" i="6"/>
  <c r="H137" i="6"/>
  <c r="I137" i="6"/>
  <c r="J137" i="6"/>
  <c r="K137" i="6" s="1"/>
  <c r="C138" i="6"/>
  <c r="D138" i="6"/>
  <c r="E138" i="6" s="1"/>
  <c r="F138" i="6"/>
  <c r="G138" i="6" s="1"/>
  <c r="H138" i="6"/>
  <c r="I138" i="6"/>
  <c r="J138" i="6"/>
  <c r="K138" i="6"/>
  <c r="C139" i="6"/>
  <c r="D139" i="6"/>
  <c r="E139" i="6"/>
  <c r="F139" i="6"/>
  <c r="G139" i="6"/>
  <c r="H139" i="6"/>
  <c r="I139" i="6"/>
  <c r="J139" i="6"/>
  <c r="K139" i="6" s="1"/>
  <c r="C140" i="6"/>
  <c r="D140" i="6"/>
  <c r="E140" i="6" s="1"/>
  <c r="F140" i="6"/>
  <c r="G140" i="6" s="1"/>
  <c r="H140" i="6"/>
  <c r="I140" i="6" s="1"/>
  <c r="J140" i="6"/>
  <c r="K140" i="6" s="1"/>
  <c r="C141" i="6"/>
  <c r="D141" i="6"/>
  <c r="E141" i="6" s="1"/>
  <c r="F141" i="6"/>
  <c r="G141" i="6" s="1"/>
  <c r="H141" i="6"/>
  <c r="I141" i="6" s="1"/>
  <c r="J141" i="6"/>
  <c r="K141" i="6"/>
  <c r="C142" i="6"/>
  <c r="D142" i="6"/>
  <c r="E142" i="6" s="1"/>
  <c r="F142" i="6"/>
  <c r="G142" i="6"/>
  <c r="H142" i="6"/>
  <c r="I142" i="6" s="1"/>
  <c r="J142" i="6"/>
  <c r="K142" i="6" s="1"/>
  <c r="C143" i="6"/>
  <c r="D143" i="6"/>
  <c r="E143" i="6" s="1"/>
  <c r="F143" i="6"/>
  <c r="G143" i="6"/>
  <c r="H143" i="6"/>
  <c r="I143" i="6"/>
  <c r="J143" i="6"/>
  <c r="K143" i="6" s="1"/>
  <c r="C144" i="6"/>
  <c r="D144" i="6"/>
  <c r="E144" i="6"/>
  <c r="F144" i="6"/>
  <c r="G144" i="6" s="1"/>
  <c r="H144" i="6"/>
  <c r="I144" i="6" s="1"/>
  <c r="J144" i="6"/>
  <c r="K144" i="6" s="1"/>
  <c r="C145" i="6"/>
  <c r="D145" i="6"/>
  <c r="E145" i="6" s="1"/>
  <c r="F145" i="6"/>
  <c r="G145" i="6"/>
  <c r="H145" i="6"/>
  <c r="I145" i="6"/>
  <c r="J145" i="6"/>
  <c r="K145" i="6" s="1"/>
  <c r="C146" i="6"/>
  <c r="D146" i="6"/>
  <c r="E146" i="6" s="1"/>
  <c r="F146" i="6"/>
  <c r="G146" i="6" s="1"/>
  <c r="H146" i="6"/>
  <c r="I146" i="6"/>
  <c r="J146" i="6"/>
  <c r="K146" i="6"/>
  <c r="C147" i="6"/>
  <c r="D147" i="6"/>
  <c r="E147" i="6"/>
  <c r="F147" i="6"/>
  <c r="G147" i="6"/>
  <c r="H147" i="6"/>
  <c r="I147" i="6"/>
  <c r="J147" i="6"/>
  <c r="K147" i="6" s="1"/>
  <c r="C148" i="6"/>
  <c r="D148" i="6"/>
  <c r="E148" i="6" s="1"/>
  <c r="F148" i="6"/>
  <c r="G148" i="6" s="1"/>
  <c r="H148" i="6"/>
  <c r="I148" i="6" s="1"/>
  <c r="J148" i="6"/>
  <c r="K148" i="6" s="1"/>
  <c r="C149" i="6"/>
  <c r="D149" i="6"/>
  <c r="E149" i="6" s="1"/>
  <c r="F149" i="6"/>
  <c r="G149" i="6" s="1"/>
  <c r="H149" i="6"/>
  <c r="I149" i="6" s="1"/>
  <c r="J149" i="6"/>
  <c r="K149" i="6"/>
  <c r="C150" i="6"/>
  <c r="D150" i="6"/>
  <c r="E150" i="6" s="1"/>
  <c r="F150" i="6"/>
  <c r="G150" i="6"/>
  <c r="H150" i="6"/>
  <c r="I150" i="6" s="1"/>
  <c r="J150" i="6"/>
  <c r="K150" i="6" s="1"/>
  <c r="C151" i="6"/>
  <c r="D151" i="6"/>
  <c r="E151" i="6" s="1"/>
  <c r="F151" i="6"/>
  <c r="G151" i="6"/>
  <c r="H151" i="6"/>
  <c r="I151" i="6"/>
  <c r="J151" i="6"/>
  <c r="K151" i="6" s="1"/>
  <c r="C152" i="6"/>
  <c r="D152" i="6"/>
  <c r="E152" i="6" s="1"/>
  <c r="F152" i="6"/>
  <c r="G152" i="6"/>
  <c r="H152" i="6"/>
  <c r="I152" i="6" s="1"/>
  <c r="J152" i="6"/>
  <c r="K152" i="6" s="1"/>
  <c r="C153" i="6"/>
  <c r="D153" i="6"/>
  <c r="E153" i="6" s="1"/>
  <c r="F153" i="6"/>
  <c r="G153" i="6"/>
  <c r="H153" i="6"/>
  <c r="I153" i="6"/>
  <c r="J153" i="6"/>
  <c r="K153" i="6" s="1"/>
  <c r="C154" i="6"/>
  <c r="D154" i="6"/>
  <c r="E154" i="6" s="1"/>
  <c r="F154" i="6"/>
  <c r="G154" i="6" s="1"/>
  <c r="H154" i="6"/>
  <c r="I154" i="6"/>
  <c r="J154" i="6"/>
  <c r="K154" i="6" s="1"/>
  <c r="C155" i="6"/>
  <c r="D155" i="6"/>
  <c r="E155" i="6"/>
  <c r="F155" i="6"/>
  <c r="G155" i="6"/>
  <c r="H155" i="6"/>
  <c r="I155" i="6"/>
  <c r="J155" i="6"/>
  <c r="K155" i="6" s="1"/>
  <c r="C156" i="6"/>
  <c r="D156" i="6"/>
  <c r="E156" i="6" s="1"/>
  <c r="F156" i="6"/>
  <c r="G156" i="6"/>
  <c r="H156" i="6"/>
  <c r="I156" i="6" s="1"/>
  <c r="J156" i="6"/>
  <c r="K156" i="6" s="1"/>
  <c r="C157" i="6"/>
  <c r="D157" i="6"/>
  <c r="E157" i="6" s="1"/>
  <c r="F157" i="6"/>
  <c r="G157" i="6"/>
  <c r="H157" i="6"/>
  <c r="I157" i="6" s="1"/>
  <c r="J157" i="6"/>
  <c r="K157" i="6"/>
  <c r="C158" i="6"/>
  <c r="D158" i="6"/>
  <c r="E158" i="6" s="1"/>
  <c r="F158" i="6"/>
  <c r="G158" i="6"/>
  <c r="H158" i="6"/>
  <c r="I158" i="6" s="1"/>
  <c r="J158" i="6"/>
  <c r="K158" i="6" s="1"/>
  <c r="C159" i="6"/>
  <c r="D159" i="6"/>
  <c r="E159" i="6" s="1"/>
  <c r="F159" i="6"/>
  <c r="G159" i="6"/>
  <c r="H159" i="6"/>
  <c r="I159" i="6"/>
  <c r="J159" i="6"/>
  <c r="K159" i="6" s="1"/>
  <c r="C160" i="6"/>
  <c r="D160" i="6"/>
  <c r="E160" i="6" s="1"/>
  <c r="F160" i="6"/>
  <c r="G160" i="6"/>
  <c r="H160" i="6"/>
  <c r="I160" i="6" s="1"/>
  <c r="J160" i="6"/>
  <c r="K160" i="6" s="1"/>
  <c r="C161" i="6"/>
  <c r="D161" i="6"/>
  <c r="E161" i="6" s="1"/>
  <c r="F161" i="6"/>
  <c r="G161" i="6"/>
  <c r="H161" i="6"/>
  <c r="I161" i="6"/>
  <c r="J161" i="6"/>
  <c r="K161" i="6" s="1"/>
  <c r="C162" i="6"/>
  <c r="D162" i="6"/>
  <c r="E162" i="6" s="1"/>
  <c r="F162" i="6"/>
  <c r="G162" i="6" s="1"/>
  <c r="H162" i="6"/>
  <c r="I162" i="6"/>
  <c r="J162" i="6"/>
  <c r="K162" i="6" s="1"/>
  <c r="C163" i="6"/>
  <c r="D163" i="6"/>
  <c r="E163" i="6"/>
  <c r="F163" i="6"/>
  <c r="G163" i="6"/>
  <c r="H163" i="6"/>
  <c r="I163" i="6"/>
  <c r="J163" i="6"/>
  <c r="K163" i="6" s="1"/>
  <c r="C164" i="6"/>
  <c r="D164" i="6"/>
  <c r="E164" i="6" s="1"/>
  <c r="F164" i="6"/>
  <c r="G164" i="6"/>
  <c r="H164" i="6"/>
  <c r="I164" i="6" s="1"/>
  <c r="J164" i="6"/>
  <c r="K164" i="6" s="1"/>
  <c r="C165" i="6"/>
  <c r="D165" i="6"/>
  <c r="E165" i="6" s="1"/>
  <c r="F165" i="6"/>
  <c r="G165" i="6"/>
  <c r="H165" i="6"/>
  <c r="I165" i="6" s="1"/>
  <c r="J165" i="6"/>
  <c r="K165" i="6"/>
  <c r="C166" i="6"/>
  <c r="D166" i="6"/>
  <c r="E166" i="6" s="1"/>
  <c r="F166" i="6"/>
  <c r="G166" i="6"/>
  <c r="H166" i="6"/>
  <c r="I166" i="6" s="1"/>
  <c r="J166" i="6"/>
  <c r="K166" i="6" s="1"/>
  <c r="C167" i="6"/>
  <c r="D167" i="6"/>
  <c r="E167" i="6" s="1"/>
  <c r="F167" i="6"/>
  <c r="G167" i="6"/>
  <c r="H167" i="6"/>
  <c r="I167" i="6"/>
  <c r="J167" i="6"/>
  <c r="K167" i="6" s="1"/>
  <c r="C168" i="6"/>
  <c r="D168" i="6"/>
  <c r="E168" i="6" s="1"/>
  <c r="F168" i="6"/>
  <c r="G168" i="6"/>
  <c r="H168" i="6"/>
  <c r="I168" i="6" s="1"/>
  <c r="J168" i="6"/>
  <c r="K168" i="6" s="1"/>
  <c r="C169" i="6"/>
  <c r="D169" i="6"/>
  <c r="E169" i="6" s="1"/>
  <c r="F169" i="6"/>
  <c r="G169" i="6"/>
  <c r="H169" i="6"/>
  <c r="I169" i="6"/>
  <c r="J169" i="6"/>
  <c r="K169" i="6" s="1"/>
  <c r="C170" i="6"/>
  <c r="D170" i="6"/>
  <c r="E170" i="6" s="1"/>
  <c r="F170" i="6"/>
  <c r="G170" i="6" s="1"/>
  <c r="H170" i="6"/>
  <c r="I170" i="6"/>
  <c r="J170" i="6"/>
  <c r="K170" i="6" s="1"/>
  <c r="C171" i="6"/>
  <c r="D171" i="6"/>
  <c r="E171" i="6"/>
  <c r="F171" i="6"/>
  <c r="G171" i="6"/>
  <c r="H171" i="6"/>
  <c r="I171" i="6"/>
  <c r="J171" i="6"/>
  <c r="K171" i="6" s="1"/>
  <c r="C172" i="6"/>
  <c r="D172" i="6"/>
  <c r="E172" i="6" s="1"/>
  <c r="F172" i="6"/>
  <c r="G172" i="6"/>
  <c r="H172" i="6"/>
  <c r="I172" i="6" s="1"/>
  <c r="J172" i="6"/>
  <c r="K172" i="6" s="1"/>
  <c r="C173" i="6"/>
  <c r="D173" i="6"/>
  <c r="E173" i="6" s="1"/>
  <c r="F173" i="6"/>
  <c r="G173" i="6"/>
  <c r="H173" i="6"/>
  <c r="I173" i="6" s="1"/>
  <c r="J173" i="6"/>
  <c r="K173" i="6"/>
  <c r="C174" i="6"/>
  <c r="D174" i="6"/>
  <c r="E174" i="6" s="1"/>
  <c r="F174" i="6"/>
  <c r="G174" i="6"/>
  <c r="H174" i="6"/>
  <c r="I174" i="6" s="1"/>
  <c r="J174" i="6"/>
  <c r="K174" i="6" s="1"/>
  <c r="C175" i="6"/>
  <c r="D175" i="6"/>
  <c r="E175" i="6" s="1"/>
  <c r="F175" i="6"/>
  <c r="G175" i="6"/>
  <c r="H175" i="6"/>
  <c r="I175" i="6"/>
  <c r="J175" i="6"/>
  <c r="K175" i="6" s="1"/>
  <c r="C176" i="6"/>
  <c r="D176" i="6"/>
  <c r="E176" i="6" s="1"/>
  <c r="F176" i="6"/>
  <c r="G176" i="6"/>
  <c r="H176" i="6"/>
  <c r="I176" i="6" s="1"/>
  <c r="J176" i="6"/>
  <c r="K176" i="6" s="1"/>
  <c r="C177" i="6"/>
  <c r="D177" i="6"/>
  <c r="E177" i="6" s="1"/>
  <c r="F177" i="6"/>
  <c r="G177" i="6"/>
  <c r="H177" i="6"/>
  <c r="I177" i="6"/>
  <c r="J177" i="6"/>
  <c r="K177" i="6" s="1"/>
  <c r="C178" i="6"/>
  <c r="D178" i="6"/>
  <c r="E178" i="6" s="1"/>
  <c r="F178" i="6"/>
  <c r="G178" i="6" s="1"/>
  <c r="H178" i="6"/>
  <c r="I178" i="6"/>
  <c r="J178" i="6"/>
  <c r="K178" i="6" s="1"/>
  <c r="C179" i="6"/>
  <c r="D179" i="6"/>
  <c r="E179" i="6"/>
  <c r="F179" i="6"/>
  <c r="G179" i="6"/>
  <c r="H179" i="6"/>
  <c r="I179" i="6"/>
  <c r="J179" i="6"/>
  <c r="K179" i="6" s="1"/>
  <c r="C180" i="6"/>
  <c r="D180" i="6"/>
  <c r="E180" i="6" s="1"/>
  <c r="F180" i="6"/>
  <c r="G180" i="6"/>
  <c r="H180" i="6"/>
  <c r="I180" i="6" s="1"/>
  <c r="J180" i="6"/>
  <c r="K180" i="6" s="1"/>
  <c r="C181" i="6"/>
  <c r="D181" i="6"/>
  <c r="E181" i="6" s="1"/>
  <c r="F181" i="6"/>
  <c r="G181" i="6"/>
  <c r="H181" i="6"/>
  <c r="I181" i="6" s="1"/>
  <c r="J181" i="6"/>
  <c r="K181" i="6" s="1"/>
  <c r="C182" i="6"/>
  <c r="D182" i="6"/>
  <c r="E182" i="6" s="1"/>
  <c r="F182" i="6"/>
  <c r="G182" i="6"/>
  <c r="H182" i="6"/>
  <c r="I182" i="6" s="1"/>
  <c r="J182" i="6"/>
  <c r="K182" i="6" s="1"/>
  <c r="C183" i="6"/>
  <c r="D183" i="6"/>
  <c r="E183" i="6" s="1"/>
  <c r="F183" i="6"/>
  <c r="G183" i="6"/>
  <c r="H183" i="6"/>
  <c r="I183" i="6"/>
  <c r="J183" i="6"/>
  <c r="K183" i="6" s="1"/>
  <c r="C184" i="6"/>
  <c r="D184" i="6"/>
  <c r="E184" i="6" s="1"/>
  <c r="F184" i="6"/>
  <c r="G184" i="6"/>
  <c r="H184" i="6"/>
  <c r="I184" i="6" s="1"/>
  <c r="J184" i="6"/>
  <c r="K184" i="6" s="1"/>
  <c r="C185" i="6"/>
  <c r="D185" i="6"/>
  <c r="E185" i="6" s="1"/>
  <c r="F185" i="6"/>
  <c r="G185" i="6"/>
  <c r="H185" i="6"/>
  <c r="I185" i="6"/>
  <c r="J185" i="6"/>
  <c r="K185" i="6" s="1"/>
  <c r="C186" i="6"/>
  <c r="D186" i="6"/>
  <c r="E186" i="6" s="1"/>
  <c r="F186" i="6"/>
  <c r="G186" i="6" s="1"/>
  <c r="H186" i="6"/>
  <c r="I186" i="6"/>
  <c r="J186" i="6"/>
  <c r="K186" i="6" s="1"/>
  <c r="C187" i="6"/>
  <c r="D187" i="6"/>
  <c r="E187" i="6" s="1"/>
  <c r="F187" i="6"/>
  <c r="G187" i="6"/>
  <c r="H187" i="6"/>
  <c r="I187" i="6"/>
  <c r="J187" i="6"/>
  <c r="K187" i="6" s="1"/>
  <c r="C188" i="6"/>
  <c r="D188" i="6"/>
  <c r="E188" i="6" s="1"/>
  <c r="F188" i="6"/>
  <c r="G188" i="6"/>
  <c r="H188" i="6"/>
  <c r="I188" i="6" s="1"/>
  <c r="J188" i="6"/>
  <c r="K188" i="6" s="1"/>
  <c r="C189" i="6"/>
  <c r="D189" i="6"/>
  <c r="E189" i="6" s="1"/>
  <c r="F189" i="6"/>
  <c r="G189" i="6"/>
  <c r="H189" i="6"/>
  <c r="I189" i="6" s="1"/>
  <c r="J189" i="6"/>
  <c r="K189" i="6" s="1"/>
  <c r="C190" i="6"/>
  <c r="D190" i="6"/>
  <c r="E190" i="6" s="1"/>
  <c r="F190" i="6"/>
  <c r="G190" i="6"/>
  <c r="H190" i="6"/>
  <c r="I190" i="6" s="1"/>
  <c r="J190" i="6"/>
  <c r="K190" i="6" s="1"/>
  <c r="C191" i="6"/>
  <c r="D191" i="6"/>
  <c r="E191" i="6" s="1"/>
  <c r="F191" i="6"/>
  <c r="G191" i="6"/>
  <c r="H191" i="6"/>
  <c r="I191" i="6"/>
  <c r="J191" i="6"/>
  <c r="K191" i="6" s="1"/>
  <c r="C192" i="6"/>
  <c r="D192" i="6"/>
  <c r="E192" i="6" s="1"/>
  <c r="F192" i="6"/>
  <c r="G192" i="6"/>
  <c r="H192" i="6"/>
  <c r="I192" i="6" s="1"/>
  <c r="J192" i="6"/>
  <c r="K192" i="6" s="1"/>
  <c r="C193" i="6"/>
  <c r="D193" i="6"/>
  <c r="E193" i="6" s="1"/>
  <c r="F193" i="6"/>
  <c r="G193" i="6"/>
  <c r="H193" i="6"/>
  <c r="I193" i="6"/>
  <c r="J193" i="6"/>
  <c r="K193" i="6" s="1"/>
  <c r="C194" i="6"/>
  <c r="D194" i="6"/>
  <c r="E194" i="6" s="1"/>
  <c r="F194" i="6"/>
  <c r="G194" i="6" s="1"/>
  <c r="H194" i="6"/>
  <c r="I194" i="6"/>
  <c r="J194" i="6"/>
  <c r="K194" i="6" s="1"/>
  <c r="C195" i="6"/>
  <c r="D195" i="6"/>
  <c r="E195" i="6" s="1"/>
  <c r="F195" i="6"/>
  <c r="G195" i="6"/>
  <c r="H195" i="6"/>
  <c r="I195" i="6"/>
  <c r="J195" i="6"/>
  <c r="K195" i="6" s="1"/>
  <c r="C196" i="6"/>
  <c r="D196" i="6"/>
  <c r="E196" i="6" s="1"/>
  <c r="F196" i="6"/>
  <c r="G196" i="6"/>
  <c r="H196" i="6"/>
  <c r="I196" i="6" s="1"/>
  <c r="J196" i="6"/>
  <c r="K196" i="6" s="1"/>
  <c r="C197" i="6"/>
  <c r="D197" i="6"/>
  <c r="E197" i="6" s="1"/>
  <c r="F197" i="6"/>
  <c r="G197" i="6"/>
  <c r="H197" i="6"/>
  <c r="I197" i="6" s="1"/>
  <c r="J197" i="6"/>
  <c r="K197" i="6" s="1"/>
  <c r="C198" i="6"/>
  <c r="D198" i="6"/>
  <c r="E198" i="6" s="1"/>
  <c r="F198" i="6"/>
  <c r="G198" i="6"/>
  <c r="H198" i="6"/>
  <c r="I198" i="6" s="1"/>
  <c r="J198" i="6"/>
  <c r="K198" i="6" s="1"/>
  <c r="C199" i="6"/>
  <c r="D199" i="6"/>
  <c r="E199" i="6" s="1"/>
  <c r="F199" i="6"/>
  <c r="G199" i="6"/>
  <c r="H199" i="6"/>
  <c r="I199" i="6"/>
  <c r="J199" i="6"/>
  <c r="K199" i="6" s="1"/>
  <c r="C200" i="6"/>
  <c r="D200" i="6"/>
  <c r="E200" i="6" s="1"/>
  <c r="F200" i="6"/>
  <c r="G200" i="6"/>
  <c r="H200" i="6"/>
  <c r="I200" i="6" s="1"/>
  <c r="J200" i="6"/>
  <c r="K200" i="6" s="1"/>
  <c r="C201" i="6"/>
  <c r="D201" i="6"/>
  <c r="E201" i="6" s="1"/>
  <c r="F201" i="6"/>
  <c r="G201" i="6"/>
  <c r="H201" i="6"/>
  <c r="I201" i="6"/>
  <c r="J201" i="6"/>
  <c r="K201" i="6" s="1"/>
  <c r="C202" i="6"/>
  <c r="D202" i="6"/>
  <c r="E202" i="6" s="1"/>
  <c r="F202" i="6"/>
  <c r="G202" i="6" s="1"/>
  <c r="H202" i="6"/>
  <c r="I202" i="6"/>
  <c r="J202" i="6"/>
  <c r="K202" i="6" s="1"/>
  <c r="C203" i="6"/>
  <c r="D203" i="6"/>
  <c r="E203" i="6" s="1"/>
  <c r="F203" i="6"/>
  <c r="G203" i="6"/>
  <c r="H203" i="6"/>
  <c r="I203" i="6"/>
  <c r="J203" i="6"/>
  <c r="K203" i="6" s="1"/>
  <c r="C204" i="6"/>
  <c r="D204" i="6"/>
  <c r="E204" i="6" s="1"/>
  <c r="F204" i="6"/>
  <c r="G204" i="6"/>
  <c r="H204" i="6"/>
  <c r="I204" i="6" s="1"/>
  <c r="J204" i="6"/>
  <c r="K204" i="6" s="1"/>
  <c r="C205" i="6"/>
  <c r="D205" i="6"/>
  <c r="E205" i="6" s="1"/>
  <c r="F205" i="6"/>
  <c r="G205" i="6"/>
  <c r="H205" i="6"/>
  <c r="I205" i="6" s="1"/>
  <c r="J205" i="6"/>
  <c r="K205" i="6" s="1"/>
  <c r="C206" i="6"/>
  <c r="D206" i="6"/>
  <c r="E206" i="6" s="1"/>
  <c r="F206" i="6"/>
  <c r="G206" i="6"/>
  <c r="H206" i="6"/>
  <c r="I206" i="6" s="1"/>
  <c r="J206" i="6"/>
  <c r="K206" i="6" s="1"/>
  <c r="C207" i="6"/>
  <c r="D207" i="6"/>
  <c r="E207" i="6" s="1"/>
  <c r="F207" i="6"/>
  <c r="G207" i="6"/>
  <c r="H207" i="6"/>
  <c r="I207" i="6"/>
  <c r="J207" i="6"/>
  <c r="K207" i="6" s="1"/>
  <c r="C208" i="6"/>
  <c r="D208" i="6"/>
  <c r="E208" i="6" s="1"/>
  <c r="F208" i="6"/>
  <c r="G208" i="6"/>
  <c r="H208" i="6"/>
  <c r="I208" i="6" s="1"/>
  <c r="J208" i="6"/>
  <c r="K208" i="6" s="1"/>
  <c r="C209" i="6"/>
  <c r="D209" i="6"/>
  <c r="E209" i="6" s="1"/>
  <c r="F209" i="6"/>
  <c r="G209" i="6"/>
  <c r="H209" i="6"/>
  <c r="I209" i="6"/>
  <c r="J209" i="6"/>
  <c r="K209" i="6" s="1"/>
  <c r="C210" i="6"/>
  <c r="D210" i="6"/>
  <c r="E210" i="6" s="1"/>
  <c r="F210" i="6"/>
  <c r="G210" i="6" s="1"/>
  <c r="H210" i="6"/>
  <c r="I210" i="6"/>
  <c r="J210" i="6"/>
  <c r="K210" i="6" s="1"/>
  <c r="C211" i="6"/>
  <c r="D211" i="6"/>
  <c r="E211" i="6" s="1"/>
  <c r="F211" i="6"/>
  <c r="G211" i="6"/>
  <c r="H211" i="6"/>
  <c r="I211" i="6"/>
  <c r="J211" i="6"/>
  <c r="K211" i="6" s="1"/>
  <c r="C212" i="6"/>
  <c r="D212" i="6"/>
  <c r="E212" i="6" s="1"/>
  <c r="F212" i="6"/>
  <c r="G212" i="6"/>
  <c r="H212" i="6"/>
  <c r="I212" i="6" s="1"/>
  <c r="J212" i="6"/>
  <c r="K212" i="6" s="1"/>
  <c r="C213" i="6"/>
  <c r="D213" i="6"/>
  <c r="E213" i="6" s="1"/>
  <c r="F213" i="6"/>
  <c r="G213" i="6"/>
  <c r="H213" i="6"/>
  <c r="I213" i="6" s="1"/>
  <c r="J213" i="6"/>
  <c r="K213" i="6" s="1"/>
  <c r="C214" i="6"/>
  <c r="D214" i="6"/>
  <c r="E214" i="6" s="1"/>
  <c r="F214" i="6"/>
  <c r="G214" i="6"/>
  <c r="H214" i="6"/>
  <c r="I214" i="6" s="1"/>
  <c r="J214" i="6"/>
  <c r="K214" i="6" s="1"/>
  <c r="C215" i="6"/>
  <c r="D215" i="6"/>
  <c r="E215" i="6" s="1"/>
  <c r="F215" i="6"/>
  <c r="G215" i="6"/>
  <c r="H215" i="6"/>
  <c r="I215" i="6"/>
  <c r="J215" i="6"/>
  <c r="K215" i="6" s="1"/>
  <c r="C216" i="6"/>
  <c r="D216" i="6"/>
  <c r="E216" i="6" s="1"/>
  <c r="F216" i="6"/>
  <c r="G216" i="6"/>
  <c r="H216" i="6"/>
  <c r="I216" i="6" s="1"/>
  <c r="J216" i="6"/>
  <c r="K216" i="6" s="1"/>
  <c r="C217" i="6"/>
  <c r="D217" i="6"/>
  <c r="E217" i="6" s="1"/>
  <c r="F217" i="6"/>
  <c r="G217" i="6"/>
  <c r="H217" i="6"/>
  <c r="I217" i="6"/>
  <c r="J217" i="6"/>
  <c r="K217" i="6" s="1"/>
  <c r="C218" i="6"/>
  <c r="D218" i="6"/>
  <c r="E218" i="6" s="1"/>
  <c r="F218" i="6"/>
  <c r="G218" i="6" s="1"/>
  <c r="H218" i="6"/>
  <c r="I218" i="6"/>
  <c r="J218" i="6"/>
  <c r="K218" i="6" s="1"/>
  <c r="C219" i="6"/>
  <c r="D219" i="6"/>
  <c r="E219" i="6" s="1"/>
  <c r="F219" i="6"/>
  <c r="G219" i="6"/>
  <c r="H219" i="6"/>
  <c r="I219" i="6"/>
  <c r="J219" i="6"/>
  <c r="K219" i="6" s="1"/>
  <c r="C220" i="6"/>
  <c r="D220" i="6"/>
  <c r="E220" i="6" s="1"/>
  <c r="F220" i="6"/>
  <c r="G220" i="6"/>
  <c r="H220" i="6"/>
  <c r="I220" i="6" s="1"/>
  <c r="J220" i="6"/>
  <c r="K220" i="6" s="1"/>
  <c r="C221" i="6"/>
  <c r="D221" i="6"/>
  <c r="E221" i="6" s="1"/>
  <c r="F221" i="6"/>
  <c r="G221" i="6"/>
  <c r="H221" i="6"/>
  <c r="I221" i="6" s="1"/>
  <c r="J221" i="6"/>
  <c r="K221" i="6" s="1"/>
  <c r="C222" i="6"/>
  <c r="D222" i="6"/>
  <c r="E222" i="6" s="1"/>
  <c r="F222" i="6"/>
  <c r="G222" i="6"/>
  <c r="H222" i="6"/>
  <c r="I222" i="6" s="1"/>
  <c r="J222" i="6"/>
  <c r="K222" i="6" s="1"/>
  <c r="C223" i="6"/>
  <c r="D223" i="6"/>
  <c r="E223" i="6" s="1"/>
  <c r="F223" i="6"/>
  <c r="G223" i="6"/>
  <c r="H223" i="6"/>
  <c r="I223" i="6"/>
  <c r="J223" i="6"/>
  <c r="K223" i="6" s="1"/>
  <c r="C224" i="6"/>
  <c r="D224" i="6"/>
  <c r="E224" i="6" s="1"/>
  <c r="F224" i="6"/>
  <c r="G224" i="6"/>
  <c r="H224" i="6"/>
  <c r="I224" i="6" s="1"/>
  <c r="J224" i="6"/>
  <c r="K224" i="6" s="1"/>
  <c r="C225" i="6"/>
  <c r="D225" i="6"/>
  <c r="E225" i="6" s="1"/>
  <c r="F225" i="6"/>
  <c r="G225" i="6"/>
  <c r="H225" i="6"/>
  <c r="I225" i="6"/>
  <c r="J225" i="6"/>
  <c r="K225" i="6" s="1"/>
  <c r="C226" i="6"/>
  <c r="D226" i="6"/>
  <c r="E226" i="6" s="1"/>
  <c r="F226" i="6"/>
  <c r="G226" i="6" s="1"/>
  <c r="H226" i="6"/>
  <c r="I226" i="6"/>
  <c r="J226" i="6"/>
  <c r="K226" i="6" s="1"/>
  <c r="C227" i="6"/>
  <c r="D227" i="6"/>
  <c r="E227" i="6" s="1"/>
  <c r="F227" i="6"/>
  <c r="G227" i="6"/>
  <c r="H227" i="6"/>
  <c r="I227" i="6"/>
  <c r="J227" i="6"/>
  <c r="K227" i="6" s="1"/>
  <c r="C228" i="6"/>
  <c r="D228" i="6"/>
  <c r="E228" i="6" s="1"/>
  <c r="F228" i="6"/>
  <c r="G228" i="6"/>
  <c r="H228" i="6"/>
  <c r="I228" i="6" s="1"/>
  <c r="J228" i="6"/>
  <c r="K228" i="6" s="1"/>
  <c r="C229" i="6"/>
  <c r="D229" i="6"/>
  <c r="E229" i="6" s="1"/>
  <c r="F229" i="6"/>
  <c r="G229" i="6"/>
  <c r="H229" i="6"/>
  <c r="I229" i="6" s="1"/>
  <c r="J229" i="6"/>
  <c r="K229" i="6" s="1"/>
  <c r="C230" i="6"/>
  <c r="D230" i="6"/>
  <c r="E230" i="6" s="1"/>
  <c r="F230" i="6"/>
  <c r="G230" i="6"/>
  <c r="H230" i="6"/>
  <c r="I230" i="6" s="1"/>
  <c r="J230" i="6"/>
  <c r="K230" i="6" s="1"/>
  <c r="C231" i="6"/>
  <c r="D231" i="6"/>
  <c r="E231" i="6" s="1"/>
  <c r="F231" i="6"/>
  <c r="G231" i="6"/>
  <c r="H231" i="6"/>
  <c r="I231" i="6"/>
  <c r="J231" i="6"/>
  <c r="K231" i="6" s="1"/>
  <c r="C232" i="6"/>
  <c r="D232" i="6"/>
  <c r="E232" i="6" s="1"/>
  <c r="F232" i="6"/>
  <c r="G232" i="6"/>
  <c r="H232" i="6"/>
  <c r="I232" i="6" s="1"/>
  <c r="J232" i="6"/>
  <c r="K232" i="6" s="1"/>
  <c r="C233" i="6"/>
  <c r="D233" i="6"/>
  <c r="E233" i="6" s="1"/>
  <c r="F233" i="6"/>
  <c r="G233" i="6"/>
  <c r="H233" i="6"/>
  <c r="I233" i="6"/>
  <c r="J233" i="6"/>
  <c r="K233" i="6" s="1"/>
  <c r="C234" i="6"/>
  <c r="D234" i="6"/>
  <c r="E234" i="6" s="1"/>
  <c r="F234" i="6"/>
  <c r="G234" i="6" s="1"/>
  <c r="H234" i="6"/>
  <c r="I234" i="6"/>
  <c r="J234" i="6"/>
  <c r="K234" i="6" s="1"/>
  <c r="C235" i="6"/>
  <c r="D235" i="6"/>
  <c r="E235" i="6" s="1"/>
  <c r="F235" i="6"/>
  <c r="G235" i="6"/>
  <c r="H235" i="6"/>
  <c r="I235" i="6"/>
  <c r="J235" i="6"/>
  <c r="K235" i="6" s="1"/>
  <c r="C236" i="6"/>
  <c r="D236" i="6"/>
  <c r="E236" i="6" s="1"/>
  <c r="F236" i="6"/>
  <c r="G236" i="6"/>
  <c r="H236" i="6"/>
  <c r="I236" i="6" s="1"/>
  <c r="J236" i="6"/>
  <c r="K236" i="6" s="1"/>
  <c r="C237" i="6"/>
  <c r="D237" i="6"/>
  <c r="E237" i="6" s="1"/>
  <c r="F237" i="6"/>
  <c r="G237" i="6"/>
  <c r="H237" i="6"/>
  <c r="I237" i="6" s="1"/>
  <c r="J237" i="6"/>
  <c r="K237" i="6" s="1"/>
  <c r="C238" i="6"/>
  <c r="D238" i="6"/>
  <c r="E238" i="6" s="1"/>
  <c r="F238" i="6"/>
  <c r="G238" i="6"/>
  <c r="H238" i="6"/>
  <c r="I238" i="6" s="1"/>
  <c r="J238" i="6"/>
  <c r="K238" i="6" s="1"/>
  <c r="C239" i="6"/>
  <c r="D239" i="6"/>
  <c r="E239" i="6" s="1"/>
  <c r="F239" i="6"/>
  <c r="G239" i="6"/>
  <c r="H239" i="6"/>
  <c r="I239" i="6"/>
  <c r="J239" i="6"/>
  <c r="K239" i="6" s="1"/>
  <c r="C240" i="6"/>
  <c r="D240" i="6"/>
  <c r="E240" i="6" s="1"/>
  <c r="F240" i="6"/>
  <c r="G240" i="6"/>
  <c r="H240" i="6"/>
  <c r="I240" i="6" s="1"/>
  <c r="J240" i="6"/>
  <c r="K240" i="6" s="1"/>
  <c r="C241" i="6"/>
  <c r="D241" i="6"/>
  <c r="E241" i="6" s="1"/>
  <c r="F241" i="6"/>
  <c r="G241" i="6"/>
  <c r="H241" i="6"/>
  <c r="I241" i="6"/>
  <c r="J241" i="6"/>
  <c r="K241" i="6" s="1"/>
  <c r="C242" i="6"/>
  <c r="D242" i="6"/>
  <c r="E242" i="6" s="1"/>
  <c r="F242" i="6"/>
  <c r="G242" i="6" s="1"/>
  <c r="H242" i="6"/>
  <c r="I242" i="6"/>
  <c r="J242" i="6"/>
  <c r="K242" i="6" s="1"/>
  <c r="C243" i="6"/>
  <c r="D243" i="6"/>
  <c r="E243" i="6" s="1"/>
  <c r="F243" i="6"/>
  <c r="G243" i="6"/>
  <c r="H243" i="6"/>
  <c r="I243" i="6"/>
  <c r="J243" i="6"/>
  <c r="K243" i="6" s="1"/>
  <c r="C244" i="6"/>
  <c r="D244" i="6"/>
  <c r="E244" i="6" s="1"/>
  <c r="F244" i="6"/>
  <c r="G244" i="6"/>
  <c r="H244" i="6"/>
  <c r="I244" i="6" s="1"/>
  <c r="J244" i="6"/>
  <c r="K244" i="6" s="1"/>
  <c r="C245" i="6"/>
  <c r="D245" i="6"/>
  <c r="E245" i="6" s="1"/>
  <c r="F245" i="6"/>
  <c r="G245" i="6"/>
  <c r="H245" i="6"/>
  <c r="I245" i="6" s="1"/>
  <c r="J245" i="6"/>
  <c r="K245" i="6" s="1"/>
  <c r="C246" i="6"/>
  <c r="D246" i="6"/>
  <c r="E246" i="6" s="1"/>
  <c r="F246" i="6"/>
  <c r="G246" i="6"/>
  <c r="H246" i="6"/>
  <c r="I246" i="6" s="1"/>
  <c r="J246" i="6"/>
  <c r="K246" i="6" s="1"/>
  <c r="C247" i="6"/>
  <c r="D247" i="6"/>
  <c r="E247" i="6" s="1"/>
  <c r="F247" i="6"/>
  <c r="G247" i="6"/>
  <c r="H247" i="6"/>
  <c r="I247" i="6"/>
  <c r="J247" i="6"/>
  <c r="K247" i="6" s="1"/>
  <c r="C248" i="6"/>
  <c r="D248" i="6"/>
  <c r="E248" i="6" s="1"/>
  <c r="F248" i="6"/>
  <c r="G248" i="6"/>
  <c r="H248" i="6"/>
  <c r="I248" i="6" s="1"/>
  <c r="J248" i="6"/>
  <c r="K248" i="6" s="1"/>
  <c r="C249" i="6"/>
  <c r="D249" i="6"/>
  <c r="E249" i="6" s="1"/>
  <c r="F249" i="6"/>
  <c r="G249" i="6"/>
  <c r="H249" i="6"/>
  <c r="I249" i="6"/>
  <c r="J249" i="6"/>
  <c r="K249" i="6" s="1"/>
  <c r="C250" i="6"/>
  <c r="D250" i="6"/>
  <c r="E250" i="6" s="1"/>
  <c r="F250" i="6"/>
  <c r="G250" i="6" s="1"/>
  <c r="H250" i="6"/>
  <c r="I250" i="6"/>
  <c r="J250" i="6"/>
  <c r="K250" i="6" s="1"/>
  <c r="C251" i="6"/>
  <c r="D251" i="6"/>
  <c r="E251" i="6" s="1"/>
  <c r="F251" i="6"/>
  <c r="G251" i="6"/>
  <c r="H251" i="6"/>
  <c r="I251" i="6"/>
  <c r="J251" i="6"/>
  <c r="K251" i="6" s="1"/>
  <c r="C252" i="6"/>
  <c r="D252" i="6"/>
  <c r="E252" i="6" s="1"/>
  <c r="F252" i="6"/>
  <c r="G252" i="6"/>
  <c r="H252" i="6"/>
  <c r="I252" i="6" s="1"/>
  <c r="J252" i="6"/>
  <c r="K252" i="6" s="1"/>
  <c r="C253" i="6"/>
  <c r="D253" i="6"/>
  <c r="E253" i="6" s="1"/>
  <c r="F253" i="6"/>
  <c r="G253" i="6"/>
  <c r="H253" i="6"/>
  <c r="I253" i="6" s="1"/>
  <c r="J253" i="6"/>
  <c r="K253" i="6" s="1"/>
  <c r="C254" i="6"/>
  <c r="D254" i="6"/>
  <c r="E254" i="6" s="1"/>
  <c r="F254" i="6"/>
  <c r="G254" i="6"/>
  <c r="H254" i="6"/>
  <c r="I254" i="6" s="1"/>
  <c r="J254" i="6"/>
  <c r="K254" i="6" s="1"/>
  <c r="C255" i="6"/>
  <c r="D255" i="6"/>
  <c r="E255" i="6" s="1"/>
  <c r="F255" i="6"/>
  <c r="G255" i="6"/>
  <c r="H255" i="6"/>
  <c r="I255" i="6"/>
  <c r="J255" i="6"/>
  <c r="K255" i="6" s="1"/>
  <c r="C256" i="6"/>
  <c r="D256" i="6"/>
  <c r="E256" i="6" s="1"/>
  <c r="F256" i="6"/>
  <c r="G256" i="6"/>
  <c r="H256" i="6"/>
  <c r="I256" i="6" s="1"/>
  <c r="J256" i="6"/>
  <c r="K256" i="6" s="1"/>
  <c r="C257" i="6"/>
  <c r="D257" i="6"/>
  <c r="E257" i="6" s="1"/>
  <c r="F257" i="6"/>
  <c r="G257" i="6"/>
  <c r="H257" i="6"/>
  <c r="I257" i="6"/>
  <c r="J257" i="6"/>
  <c r="K257" i="6" s="1"/>
  <c r="C258" i="6"/>
  <c r="D258" i="6"/>
  <c r="E258" i="6" s="1"/>
  <c r="F258" i="6"/>
  <c r="G258" i="6" s="1"/>
  <c r="H258" i="6"/>
  <c r="I258" i="6"/>
  <c r="J258" i="6"/>
  <c r="K258" i="6" s="1"/>
  <c r="C259" i="6"/>
  <c r="D259" i="6"/>
  <c r="E259" i="6" s="1"/>
  <c r="F259" i="6"/>
  <c r="G259" i="6"/>
  <c r="H259" i="6"/>
  <c r="I259" i="6"/>
  <c r="J259" i="6"/>
  <c r="K259" i="6" s="1"/>
  <c r="C260" i="6"/>
  <c r="D260" i="6"/>
  <c r="E260" i="6" s="1"/>
  <c r="F260" i="6"/>
  <c r="G260" i="6"/>
  <c r="H260" i="6"/>
  <c r="I260" i="6" s="1"/>
  <c r="J260" i="6"/>
  <c r="K260" i="6" s="1"/>
  <c r="C261" i="6"/>
  <c r="D261" i="6"/>
  <c r="E261" i="6" s="1"/>
  <c r="F261" i="6"/>
  <c r="G261" i="6"/>
  <c r="H261" i="6"/>
  <c r="I261" i="6" s="1"/>
  <c r="J261" i="6"/>
  <c r="K261" i="6" s="1"/>
  <c r="C262" i="6"/>
  <c r="D262" i="6"/>
  <c r="E262" i="6" s="1"/>
  <c r="F262" i="6"/>
  <c r="G262" i="6"/>
  <c r="H262" i="6"/>
  <c r="I262" i="6" s="1"/>
  <c r="J262" i="6"/>
  <c r="K262" i="6" s="1"/>
  <c r="C263" i="6"/>
  <c r="D263" i="6"/>
  <c r="E263" i="6" s="1"/>
  <c r="F263" i="6"/>
  <c r="G263" i="6"/>
  <c r="H263" i="6"/>
  <c r="I263" i="6"/>
  <c r="J263" i="6"/>
  <c r="K263" i="6" s="1"/>
  <c r="C264" i="6"/>
  <c r="D264" i="6"/>
  <c r="E264" i="6" s="1"/>
  <c r="F264" i="6"/>
  <c r="G264" i="6"/>
  <c r="H264" i="6"/>
  <c r="I264" i="6" s="1"/>
  <c r="J264" i="6"/>
  <c r="K264" i="6" s="1"/>
  <c r="C265" i="6"/>
  <c r="D265" i="6"/>
  <c r="E265" i="6" s="1"/>
  <c r="F265" i="6"/>
  <c r="G265" i="6"/>
  <c r="H265" i="6"/>
  <c r="I265" i="6"/>
  <c r="J265" i="6"/>
  <c r="K265" i="6" s="1"/>
  <c r="C266" i="6"/>
  <c r="D266" i="6"/>
  <c r="E266" i="6" s="1"/>
  <c r="F266" i="6"/>
  <c r="G266" i="6" s="1"/>
  <c r="H266" i="6"/>
  <c r="I266" i="6"/>
  <c r="J266" i="6"/>
  <c r="K266" i="6" s="1"/>
  <c r="C267" i="6"/>
  <c r="D267" i="6"/>
  <c r="E267" i="6" s="1"/>
  <c r="F267" i="6"/>
  <c r="G267" i="6"/>
  <c r="H267" i="6"/>
  <c r="I267" i="6"/>
  <c r="J267" i="6"/>
  <c r="K267" i="6" s="1"/>
  <c r="C268" i="6"/>
  <c r="D268" i="6"/>
  <c r="E268" i="6" s="1"/>
  <c r="F268" i="6"/>
  <c r="G268" i="6"/>
  <c r="H268" i="6"/>
  <c r="I268" i="6" s="1"/>
  <c r="J268" i="6"/>
  <c r="K268" i="6" s="1"/>
  <c r="C269" i="6"/>
  <c r="D269" i="6"/>
  <c r="E269" i="6" s="1"/>
  <c r="F269" i="6"/>
  <c r="G269" i="6"/>
  <c r="H269" i="6"/>
  <c r="I269" i="6" s="1"/>
  <c r="J269" i="6"/>
  <c r="K269" i="6" s="1"/>
  <c r="C270" i="6"/>
  <c r="D270" i="6"/>
  <c r="E270" i="6" s="1"/>
  <c r="F270" i="6"/>
  <c r="G270" i="6"/>
  <c r="H270" i="6"/>
  <c r="I270" i="6" s="1"/>
  <c r="J270" i="6"/>
  <c r="K270" i="6" s="1"/>
  <c r="C271" i="6"/>
  <c r="D271" i="6"/>
  <c r="E271" i="6" s="1"/>
  <c r="F271" i="6"/>
  <c r="G271" i="6"/>
  <c r="H271" i="6"/>
  <c r="I271" i="6"/>
  <c r="J271" i="6"/>
  <c r="K271" i="6" s="1"/>
  <c r="C272" i="6"/>
  <c r="D272" i="6"/>
  <c r="E272" i="6" s="1"/>
  <c r="F272" i="6"/>
  <c r="G272" i="6"/>
  <c r="H272" i="6"/>
  <c r="I272" i="6" s="1"/>
  <c r="J272" i="6"/>
  <c r="K272" i="6" s="1"/>
  <c r="C273" i="6"/>
  <c r="D273" i="6"/>
  <c r="E273" i="6" s="1"/>
  <c r="F273" i="6"/>
  <c r="G273" i="6"/>
  <c r="H273" i="6"/>
  <c r="I273" i="6"/>
  <c r="J273" i="6"/>
  <c r="K273" i="6" s="1"/>
  <c r="C274" i="6"/>
  <c r="D274" i="6"/>
  <c r="E274" i="6" s="1"/>
  <c r="F274" i="6"/>
  <c r="G274" i="6" s="1"/>
  <c r="H274" i="6"/>
  <c r="I274" i="6"/>
  <c r="J274" i="6"/>
  <c r="K274" i="6" s="1"/>
  <c r="C275" i="6"/>
  <c r="D275" i="6"/>
  <c r="E275" i="6" s="1"/>
  <c r="F275" i="6"/>
  <c r="G275" i="6"/>
  <c r="H275" i="6"/>
  <c r="I275" i="6"/>
  <c r="J275" i="6"/>
  <c r="K275" i="6" s="1"/>
  <c r="C276" i="6"/>
  <c r="D276" i="6"/>
  <c r="E276" i="6" s="1"/>
  <c r="F276" i="6"/>
  <c r="G276" i="6"/>
  <c r="H276" i="6"/>
  <c r="I276" i="6" s="1"/>
  <c r="J276" i="6"/>
  <c r="K276" i="6" s="1"/>
  <c r="C277" i="6"/>
  <c r="D277" i="6"/>
  <c r="E277" i="6" s="1"/>
  <c r="F277" i="6"/>
  <c r="G277" i="6"/>
  <c r="H277" i="6"/>
  <c r="I277" i="6" s="1"/>
  <c r="J277" i="6"/>
  <c r="K277" i="6" s="1"/>
  <c r="C278" i="6"/>
  <c r="D278" i="6"/>
  <c r="E278" i="6" s="1"/>
  <c r="F278" i="6"/>
  <c r="G278" i="6"/>
  <c r="H278" i="6"/>
  <c r="I278" i="6" s="1"/>
  <c r="J278" i="6"/>
  <c r="K278" i="6" s="1"/>
  <c r="C279" i="6"/>
  <c r="D279" i="6"/>
  <c r="E279" i="6" s="1"/>
  <c r="F279" i="6"/>
  <c r="G279" i="6"/>
  <c r="H279" i="6"/>
  <c r="I279" i="6"/>
  <c r="J279" i="6"/>
  <c r="K279" i="6" s="1"/>
  <c r="C280" i="6"/>
  <c r="D280" i="6"/>
  <c r="E280" i="6" s="1"/>
  <c r="F280" i="6"/>
  <c r="G280" i="6"/>
  <c r="H280" i="6"/>
  <c r="I280" i="6" s="1"/>
  <c r="J280" i="6"/>
  <c r="K280" i="6" s="1"/>
  <c r="C281" i="6"/>
  <c r="D281" i="6"/>
  <c r="E281" i="6" s="1"/>
  <c r="F281" i="6"/>
  <c r="G281" i="6"/>
  <c r="H281" i="6"/>
  <c r="I281" i="6"/>
  <c r="J281" i="6"/>
  <c r="K281" i="6" s="1"/>
  <c r="C282" i="6"/>
  <c r="D282" i="6"/>
  <c r="E282" i="6" s="1"/>
  <c r="F282" i="6"/>
  <c r="G282" i="6" s="1"/>
  <c r="H282" i="6"/>
  <c r="I282" i="6"/>
  <c r="J282" i="6"/>
  <c r="K282" i="6" s="1"/>
  <c r="C283" i="6"/>
  <c r="D283" i="6"/>
  <c r="E283" i="6" s="1"/>
  <c r="F283" i="6"/>
  <c r="G283" i="6"/>
  <c r="H283" i="6"/>
  <c r="I283" i="6"/>
  <c r="J283" i="6"/>
  <c r="K283" i="6" s="1"/>
  <c r="C284" i="6"/>
  <c r="D284" i="6"/>
  <c r="E284" i="6" s="1"/>
  <c r="F284" i="6"/>
  <c r="G284" i="6"/>
  <c r="H284" i="6"/>
  <c r="I284" i="6" s="1"/>
  <c r="J284" i="6"/>
  <c r="K284" i="6" s="1"/>
  <c r="C285" i="6"/>
  <c r="D285" i="6"/>
  <c r="E285" i="6" s="1"/>
  <c r="F285" i="6"/>
  <c r="G285" i="6"/>
  <c r="H285" i="6"/>
  <c r="I285" i="6" s="1"/>
  <c r="J285" i="6"/>
  <c r="K285" i="6" s="1"/>
  <c r="C286" i="6"/>
  <c r="D286" i="6"/>
  <c r="E286" i="6" s="1"/>
  <c r="F286" i="6"/>
  <c r="G286" i="6"/>
  <c r="H286" i="6"/>
  <c r="I286" i="6" s="1"/>
  <c r="J286" i="6"/>
  <c r="K286" i="6" s="1"/>
  <c r="C287" i="6"/>
  <c r="D287" i="6"/>
  <c r="E287" i="6" s="1"/>
  <c r="F287" i="6"/>
  <c r="G287" i="6"/>
  <c r="H287" i="6"/>
  <c r="I287" i="6"/>
  <c r="J287" i="6"/>
  <c r="K287" i="6" s="1"/>
  <c r="C288" i="6"/>
  <c r="D288" i="6"/>
  <c r="E288" i="6" s="1"/>
  <c r="F288" i="6"/>
  <c r="G288" i="6"/>
  <c r="H288" i="6"/>
  <c r="I288" i="6" s="1"/>
  <c r="J288" i="6"/>
  <c r="K288" i="6" s="1"/>
  <c r="C289" i="6"/>
  <c r="D289" i="6"/>
  <c r="E289" i="6" s="1"/>
  <c r="F289" i="6"/>
  <c r="G289" i="6"/>
  <c r="H289" i="6"/>
  <c r="I289" i="6"/>
  <c r="J289" i="6"/>
  <c r="K289" i="6" s="1"/>
  <c r="C290" i="6"/>
  <c r="D290" i="6"/>
  <c r="E290" i="6" s="1"/>
  <c r="F290" i="6"/>
  <c r="G290" i="6" s="1"/>
  <c r="H290" i="6"/>
  <c r="I290" i="6"/>
  <c r="J290" i="6"/>
  <c r="K290" i="6" s="1"/>
  <c r="C291" i="6"/>
  <c r="D291" i="6"/>
  <c r="E291" i="6" s="1"/>
  <c r="F291" i="6"/>
  <c r="G291" i="6"/>
  <c r="H291" i="6"/>
  <c r="I291" i="6"/>
  <c r="J291" i="6"/>
  <c r="K291" i="6" s="1"/>
  <c r="C292" i="6"/>
  <c r="D292" i="6"/>
  <c r="E292" i="6" s="1"/>
  <c r="F292" i="6"/>
  <c r="G292" i="6"/>
  <c r="H292" i="6"/>
  <c r="I292" i="6" s="1"/>
  <c r="J292" i="6"/>
  <c r="K292" i="6" s="1"/>
  <c r="C293" i="6"/>
  <c r="D293" i="6"/>
  <c r="E293" i="6" s="1"/>
  <c r="F293" i="6"/>
  <c r="G293" i="6"/>
  <c r="H293" i="6"/>
  <c r="I293" i="6" s="1"/>
  <c r="J293" i="6"/>
  <c r="K293" i="6" s="1"/>
  <c r="C294" i="6"/>
  <c r="D294" i="6"/>
  <c r="E294" i="6" s="1"/>
  <c r="F294" i="6"/>
  <c r="G294" i="6"/>
  <c r="H294" i="6"/>
  <c r="I294" i="6" s="1"/>
  <c r="J294" i="6"/>
  <c r="K294" i="6" s="1"/>
  <c r="C295" i="6"/>
  <c r="D295" i="6"/>
  <c r="E295" i="6" s="1"/>
  <c r="F295" i="6"/>
  <c r="G295" i="6"/>
  <c r="H295" i="6"/>
  <c r="I295" i="6"/>
  <c r="J295" i="6"/>
  <c r="K295" i="6" s="1"/>
  <c r="C296" i="6"/>
  <c r="D296" i="6"/>
  <c r="E296" i="6" s="1"/>
  <c r="F296" i="6"/>
  <c r="G296" i="6"/>
  <c r="H296" i="6"/>
  <c r="I296" i="6" s="1"/>
  <c r="J296" i="6"/>
  <c r="K296" i="6" s="1"/>
  <c r="C297" i="6"/>
  <c r="D297" i="6"/>
  <c r="E297" i="6" s="1"/>
  <c r="F297" i="6"/>
  <c r="G297" i="6"/>
  <c r="H297" i="6"/>
  <c r="I297" i="6"/>
  <c r="J297" i="6"/>
  <c r="K297" i="6" s="1"/>
  <c r="C298" i="6"/>
  <c r="D298" i="6"/>
  <c r="E298" i="6" s="1"/>
  <c r="F298" i="6"/>
  <c r="G298" i="6" s="1"/>
  <c r="H298" i="6"/>
  <c r="I298" i="6"/>
  <c r="J298" i="6"/>
  <c r="K298" i="6" s="1"/>
  <c r="C299" i="6"/>
  <c r="D299" i="6"/>
  <c r="E299" i="6" s="1"/>
  <c r="F299" i="6"/>
  <c r="G299" i="6"/>
  <c r="H299" i="6"/>
  <c r="I299" i="6"/>
  <c r="J299" i="6"/>
  <c r="K299" i="6" s="1"/>
  <c r="C300" i="6"/>
  <c r="D300" i="6"/>
  <c r="E300" i="6" s="1"/>
  <c r="F300" i="6"/>
  <c r="G300" i="6"/>
  <c r="H300" i="6"/>
  <c r="I300" i="6" s="1"/>
  <c r="J300" i="6"/>
  <c r="K300" i="6" s="1"/>
  <c r="C301" i="6"/>
  <c r="D301" i="6"/>
  <c r="E301" i="6" s="1"/>
  <c r="F301" i="6"/>
  <c r="G301" i="6"/>
  <c r="H301" i="6"/>
  <c r="I301" i="6" s="1"/>
  <c r="J301" i="6"/>
  <c r="K301" i="6" s="1"/>
  <c r="C302" i="6"/>
  <c r="D302" i="6"/>
  <c r="E302" i="6" s="1"/>
  <c r="F302" i="6"/>
  <c r="G302" i="6"/>
  <c r="H302" i="6"/>
  <c r="I302" i="6" s="1"/>
  <c r="J302" i="6"/>
  <c r="K302" i="6" s="1"/>
  <c r="C303" i="6"/>
  <c r="D303" i="6"/>
  <c r="E303" i="6" s="1"/>
  <c r="F303" i="6"/>
  <c r="G303" i="6"/>
  <c r="H303" i="6"/>
  <c r="I303" i="6"/>
  <c r="J303" i="6"/>
  <c r="K303" i="6" s="1"/>
  <c r="C304" i="6"/>
  <c r="D304" i="6"/>
  <c r="E304" i="6" s="1"/>
  <c r="F304" i="6"/>
  <c r="G304" i="6"/>
  <c r="H304" i="6"/>
  <c r="I304" i="6" s="1"/>
  <c r="J304" i="6"/>
  <c r="K304" i="6" s="1"/>
  <c r="C305" i="6"/>
  <c r="D305" i="6"/>
  <c r="E305" i="6" s="1"/>
  <c r="F305" i="6"/>
  <c r="G305" i="6"/>
  <c r="H305" i="6"/>
  <c r="I305" i="6"/>
  <c r="J305" i="6"/>
  <c r="K305" i="6" s="1"/>
  <c r="C306" i="6"/>
  <c r="D306" i="6"/>
  <c r="E306" i="6" s="1"/>
  <c r="F306" i="6"/>
  <c r="G306" i="6" s="1"/>
  <c r="H306" i="6"/>
  <c r="I306" i="6"/>
  <c r="J306" i="6"/>
  <c r="K306" i="6" s="1"/>
  <c r="C307" i="6"/>
  <c r="D307" i="6"/>
  <c r="E307" i="6" s="1"/>
  <c r="F307" i="6"/>
  <c r="G307" i="6"/>
  <c r="H307" i="6"/>
  <c r="I307" i="6"/>
  <c r="J307" i="6"/>
  <c r="K307" i="6" s="1"/>
  <c r="C308" i="6"/>
  <c r="D308" i="6"/>
  <c r="E308" i="6" s="1"/>
  <c r="F308" i="6"/>
  <c r="G308" i="6"/>
  <c r="H308" i="6"/>
  <c r="I308" i="6" s="1"/>
  <c r="J308" i="6"/>
  <c r="K308" i="6" s="1"/>
  <c r="C309" i="6"/>
  <c r="D309" i="6"/>
  <c r="E309" i="6" s="1"/>
  <c r="F309" i="6"/>
  <c r="G309" i="6"/>
  <c r="H309" i="6"/>
  <c r="I309" i="6" s="1"/>
  <c r="J309" i="6"/>
  <c r="K309" i="6" s="1"/>
  <c r="C310" i="6"/>
  <c r="D310" i="6"/>
  <c r="E310" i="6" s="1"/>
  <c r="F310" i="6"/>
  <c r="G310" i="6"/>
  <c r="H310" i="6"/>
  <c r="I310" i="6" s="1"/>
  <c r="J310" i="6"/>
  <c r="K310" i="6" s="1"/>
  <c r="C311" i="6"/>
  <c r="D311" i="6"/>
  <c r="E311" i="6" s="1"/>
  <c r="F311" i="6"/>
  <c r="G311" i="6"/>
  <c r="H311" i="6"/>
  <c r="I311" i="6"/>
  <c r="J311" i="6"/>
  <c r="K311" i="6" s="1"/>
  <c r="C312" i="6"/>
  <c r="D312" i="6"/>
  <c r="E312" i="6" s="1"/>
  <c r="F312" i="6"/>
  <c r="G312" i="6"/>
  <c r="H312" i="6"/>
  <c r="I312" i="6" s="1"/>
  <c r="J312" i="6"/>
  <c r="K312" i="6" s="1"/>
  <c r="C313" i="6"/>
  <c r="D313" i="6"/>
  <c r="E313" i="6" s="1"/>
  <c r="F313" i="6"/>
  <c r="G313" i="6"/>
  <c r="H313" i="6"/>
  <c r="I313" i="6"/>
  <c r="J313" i="6"/>
  <c r="K313" i="6" s="1"/>
  <c r="C314" i="6"/>
  <c r="D314" i="6"/>
  <c r="E314" i="6" s="1"/>
  <c r="F314" i="6"/>
  <c r="G314" i="6" s="1"/>
  <c r="H314" i="6"/>
  <c r="I314" i="6"/>
  <c r="J314" i="6"/>
  <c r="K314" i="6" s="1"/>
  <c r="C315" i="6"/>
  <c r="D315" i="6"/>
  <c r="E315" i="6" s="1"/>
  <c r="F315" i="6"/>
  <c r="G315" i="6"/>
  <c r="H315" i="6"/>
  <c r="I315" i="6"/>
  <c r="J315" i="6"/>
  <c r="K315" i="6" s="1"/>
  <c r="C316" i="6"/>
  <c r="D316" i="6"/>
  <c r="E316" i="6" s="1"/>
  <c r="F316" i="6"/>
  <c r="G316" i="6"/>
  <c r="H316" i="6"/>
  <c r="I316" i="6"/>
  <c r="J316" i="6"/>
  <c r="K316" i="6" s="1"/>
  <c r="C317" i="6"/>
  <c r="D317" i="6"/>
  <c r="E317" i="6" s="1"/>
  <c r="F317" i="6"/>
  <c r="G317" i="6"/>
  <c r="H317" i="6"/>
  <c r="I317" i="6" s="1"/>
  <c r="J317" i="6"/>
  <c r="K317" i="6" s="1"/>
  <c r="C318" i="6"/>
  <c r="D318" i="6"/>
  <c r="E318" i="6" s="1"/>
  <c r="F318" i="6"/>
  <c r="G318" i="6"/>
  <c r="H318" i="6"/>
  <c r="I318" i="6" s="1"/>
  <c r="J318" i="6"/>
  <c r="K318" i="6" s="1"/>
  <c r="C319" i="6"/>
  <c r="D319" i="6"/>
  <c r="E319" i="6" s="1"/>
  <c r="F319" i="6"/>
  <c r="G319" i="6"/>
  <c r="H319" i="6"/>
  <c r="I319" i="6"/>
  <c r="J319" i="6"/>
  <c r="K319" i="6" s="1"/>
  <c r="C320" i="6"/>
  <c r="D320" i="6"/>
  <c r="E320" i="6" s="1"/>
  <c r="F320" i="6"/>
  <c r="G320" i="6"/>
  <c r="H320" i="6"/>
  <c r="I320" i="6" s="1"/>
  <c r="J320" i="6"/>
  <c r="K320" i="6" s="1"/>
  <c r="C321" i="6"/>
  <c r="D321" i="6"/>
  <c r="E321" i="6" s="1"/>
  <c r="F321" i="6"/>
  <c r="G321" i="6"/>
  <c r="H321" i="6"/>
  <c r="I321" i="6"/>
  <c r="J321" i="6"/>
  <c r="K321" i="6" s="1"/>
  <c r="C322" i="6"/>
  <c r="D322" i="6"/>
  <c r="E322" i="6" s="1"/>
  <c r="F322" i="6"/>
  <c r="G322" i="6" s="1"/>
  <c r="H322" i="6"/>
  <c r="I322" i="6"/>
  <c r="J322" i="6"/>
  <c r="K322" i="6" s="1"/>
  <c r="C323" i="6"/>
  <c r="D323" i="6"/>
  <c r="E323" i="6" s="1"/>
  <c r="F323" i="6"/>
  <c r="G323" i="6"/>
  <c r="H323" i="6"/>
  <c r="I323" i="6"/>
  <c r="J323" i="6"/>
  <c r="K323" i="6" s="1"/>
  <c r="C324" i="6"/>
  <c r="D324" i="6"/>
  <c r="E324" i="6" s="1"/>
  <c r="F324" i="6"/>
  <c r="G324" i="6"/>
  <c r="H324" i="6"/>
  <c r="I324" i="6"/>
  <c r="J324" i="6"/>
  <c r="K324" i="6" s="1"/>
  <c r="C325" i="6"/>
  <c r="D325" i="6"/>
  <c r="E325" i="6" s="1"/>
  <c r="F325" i="6"/>
  <c r="G325" i="6"/>
  <c r="H325" i="6"/>
  <c r="I325" i="6" s="1"/>
  <c r="J325" i="6"/>
  <c r="K325" i="6" s="1"/>
  <c r="C326" i="6"/>
  <c r="D326" i="6"/>
  <c r="E326" i="6" s="1"/>
  <c r="F326" i="6"/>
  <c r="G326" i="6"/>
  <c r="H326" i="6"/>
  <c r="I326" i="6" s="1"/>
  <c r="J326" i="6"/>
  <c r="K326" i="6" s="1"/>
  <c r="C327" i="6"/>
  <c r="D327" i="6"/>
  <c r="E327" i="6" s="1"/>
  <c r="F327" i="6"/>
  <c r="G327" i="6"/>
  <c r="H327" i="6"/>
  <c r="I327" i="6"/>
  <c r="J327" i="6"/>
  <c r="K327" i="6" s="1"/>
  <c r="C328" i="6"/>
  <c r="D328" i="6"/>
  <c r="E328" i="6" s="1"/>
  <c r="F328" i="6"/>
  <c r="G328" i="6"/>
  <c r="H328" i="6"/>
  <c r="I328" i="6" s="1"/>
  <c r="J328" i="6"/>
  <c r="K328" i="6" s="1"/>
  <c r="C329" i="6"/>
  <c r="D329" i="6"/>
  <c r="E329" i="6" s="1"/>
  <c r="F329" i="6"/>
  <c r="G329" i="6"/>
  <c r="H329" i="6"/>
  <c r="I329" i="6"/>
  <c r="J329" i="6"/>
  <c r="K329" i="6" s="1"/>
  <c r="C330" i="6"/>
  <c r="D330" i="6"/>
  <c r="E330" i="6" s="1"/>
  <c r="F330" i="6"/>
  <c r="G330" i="6" s="1"/>
  <c r="H330" i="6"/>
  <c r="I330" i="6"/>
  <c r="J330" i="6"/>
  <c r="K330" i="6" s="1"/>
  <c r="C331" i="6"/>
  <c r="D331" i="6"/>
  <c r="E331" i="6" s="1"/>
  <c r="F331" i="6"/>
  <c r="G331" i="6"/>
  <c r="H331" i="6"/>
  <c r="I331" i="6"/>
  <c r="J331" i="6"/>
  <c r="K331" i="6" s="1"/>
  <c r="C332" i="6"/>
  <c r="D332" i="6"/>
  <c r="E332" i="6" s="1"/>
  <c r="F332" i="6"/>
  <c r="G332" i="6"/>
  <c r="H332" i="6"/>
  <c r="I332" i="6"/>
  <c r="J332" i="6"/>
  <c r="K332" i="6" s="1"/>
  <c r="C333" i="6"/>
  <c r="D333" i="6"/>
  <c r="E333" i="6" s="1"/>
  <c r="F333" i="6"/>
  <c r="G333" i="6"/>
  <c r="H333" i="6"/>
  <c r="I333" i="6" s="1"/>
  <c r="J333" i="6"/>
  <c r="K333" i="6" s="1"/>
  <c r="C334" i="6"/>
  <c r="D334" i="6"/>
  <c r="E334" i="6" s="1"/>
  <c r="F334" i="6"/>
  <c r="G334" i="6"/>
  <c r="H334" i="6"/>
  <c r="I334" i="6" s="1"/>
  <c r="J334" i="6"/>
  <c r="K334" i="6" s="1"/>
  <c r="C335" i="6"/>
  <c r="D335" i="6"/>
  <c r="E335" i="6" s="1"/>
  <c r="F335" i="6"/>
  <c r="G335" i="6"/>
  <c r="H335" i="6"/>
  <c r="I335" i="6"/>
  <c r="J335" i="6"/>
  <c r="K335" i="6" s="1"/>
  <c r="C336" i="6"/>
  <c r="D336" i="6"/>
  <c r="E336" i="6" s="1"/>
  <c r="F336" i="6"/>
  <c r="G336" i="6"/>
  <c r="H336" i="6"/>
  <c r="I336" i="6" s="1"/>
  <c r="J336" i="6"/>
  <c r="K336" i="6" s="1"/>
  <c r="C337" i="6"/>
  <c r="D337" i="6"/>
  <c r="E337" i="6" s="1"/>
  <c r="F337" i="6"/>
  <c r="G337" i="6"/>
  <c r="H337" i="6"/>
  <c r="I337" i="6"/>
  <c r="J337" i="6"/>
  <c r="K337" i="6" s="1"/>
  <c r="C338" i="6"/>
  <c r="D338" i="6"/>
  <c r="E338" i="6" s="1"/>
  <c r="F338" i="6"/>
  <c r="G338" i="6" s="1"/>
  <c r="H338" i="6"/>
  <c r="I338" i="6"/>
  <c r="J338" i="6"/>
  <c r="K338" i="6" s="1"/>
  <c r="C339" i="6"/>
  <c r="D339" i="6"/>
  <c r="E339" i="6" s="1"/>
  <c r="F339" i="6"/>
  <c r="G339" i="6"/>
  <c r="H339" i="6"/>
  <c r="I339" i="6"/>
  <c r="J339" i="6"/>
  <c r="K339" i="6" s="1"/>
  <c r="C340" i="6"/>
  <c r="D340" i="6"/>
  <c r="E340" i="6" s="1"/>
  <c r="F340" i="6"/>
  <c r="G340" i="6"/>
  <c r="H340" i="6"/>
  <c r="I340" i="6"/>
  <c r="J340" i="6"/>
  <c r="K340" i="6" s="1"/>
  <c r="C341" i="6"/>
  <c r="D341" i="6"/>
  <c r="E341" i="6" s="1"/>
  <c r="F341" i="6"/>
  <c r="G341" i="6"/>
  <c r="H341" i="6"/>
  <c r="I341" i="6" s="1"/>
  <c r="J341" i="6"/>
  <c r="K341" i="6" s="1"/>
  <c r="C342" i="6"/>
  <c r="D342" i="6"/>
  <c r="E342" i="6" s="1"/>
  <c r="F342" i="6"/>
  <c r="G342" i="6"/>
  <c r="H342" i="6"/>
  <c r="I342" i="6" s="1"/>
  <c r="J342" i="6"/>
  <c r="K342" i="6" s="1"/>
  <c r="C343" i="6"/>
  <c r="D343" i="6"/>
  <c r="E343" i="6" s="1"/>
  <c r="F343" i="6"/>
  <c r="G343" i="6"/>
  <c r="H343" i="6"/>
  <c r="I343" i="6"/>
  <c r="J343" i="6"/>
  <c r="K343" i="6" s="1"/>
  <c r="C344" i="6"/>
  <c r="D344" i="6"/>
  <c r="E344" i="6" s="1"/>
  <c r="F344" i="6"/>
  <c r="G344" i="6"/>
  <c r="H344" i="6"/>
  <c r="I344" i="6" s="1"/>
  <c r="J344" i="6"/>
  <c r="K344" i="6" s="1"/>
  <c r="C345" i="6"/>
  <c r="D345" i="6"/>
  <c r="E345" i="6" s="1"/>
  <c r="F345" i="6"/>
  <c r="G345" i="6"/>
  <c r="H345" i="6"/>
  <c r="I345" i="6"/>
  <c r="J345" i="6"/>
  <c r="K345" i="6" s="1"/>
  <c r="C346" i="6"/>
  <c r="D346" i="6"/>
  <c r="E346" i="6" s="1"/>
  <c r="F346" i="6"/>
  <c r="G346" i="6" s="1"/>
  <c r="H346" i="6"/>
  <c r="I346" i="6"/>
  <c r="J346" i="6"/>
  <c r="K346" i="6" s="1"/>
  <c r="C347" i="6"/>
  <c r="D347" i="6"/>
  <c r="E347" i="6" s="1"/>
  <c r="F347" i="6"/>
  <c r="G347" i="6"/>
  <c r="H347" i="6"/>
  <c r="I347" i="6"/>
  <c r="J347" i="6"/>
  <c r="K347" i="6" s="1"/>
  <c r="C348" i="6"/>
  <c r="D348" i="6"/>
  <c r="E348" i="6" s="1"/>
  <c r="F348" i="6"/>
  <c r="G348" i="6"/>
  <c r="H348" i="6"/>
  <c r="I348" i="6"/>
  <c r="J348" i="6"/>
  <c r="K348" i="6" s="1"/>
  <c r="C349" i="6"/>
  <c r="D349" i="6"/>
  <c r="E349" i="6" s="1"/>
  <c r="F349" i="6"/>
  <c r="G349" i="6"/>
  <c r="H349" i="6"/>
  <c r="I349" i="6" s="1"/>
  <c r="J349" i="6"/>
  <c r="K349" i="6" s="1"/>
  <c r="C350" i="6"/>
  <c r="D350" i="6"/>
  <c r="E350" i="6" s="1"/>
  <c r="F350" i="6"/>
  <c r="G350" i="6"/>
  <c r="H350" i="6"/>
  <c r="I350" i="6" s="1"/>
  <c r="J350" i="6"/>
  <c r="K350" i="6" s="1"/>
  <c r="C351" i="6"/>
  <c r="D351" i="6"/>
  <c r="E351" i="6" s="1"/>
  <c r="F351" i="6"/>
  <c r="G351" i="6"/>
  <c r="H351" i="6"/>
  <c r="I351" i="6"/>
  <c r="J351" i="6"/>
  <c r="K351" i="6" s="1"/>
  <c r="C352" i="6"/>
  <c r="D352" i="6"/>
  <c r="E352" i="6" s="1"/>
  <c r="F352" i="6"/>
  <c r="G352" i="6"/>
  <c r="H352" i="6"/>
  <c r="I352" i="6" s="1"/>
  <c r="J352" i="6"/>
  <c r="K352" i="6" s="1"/>
  <c r="C353" i="6"/>
  <c r="D353" i="6"/>
  <c r="E353" i="6" s="1"/>
  <c r="F353" i="6"/>
  <c r="G353" i="6"/>
  <c r="H353" i="6"/>
  <c r="I353" i="6"/>
  <c r="J353" i="6"/>
  <c r="K353" i="6" s="1"/>
  <c r="C354" i="6"/>
  <c r="D354" i="6"/>
  <c r="E354" i="6" s="1"/>
  <c r="F354" i="6"/>
  <c r="G354" i="6" s="1"/>
  <c r="H354" i="6"/>
  <c r="I354" i="6"/>
  <c r="J354" i="6"/>
  <c r="K354" i="6" s="1"/>
  <c r="C355" i="6"/>
  <c r="D355" i="6"/>
  <c r="E355" i="6" s="1"/>
  <c r="F355" i="6"/>
  <c r="G355" i="6"/>
  <c r="H355" i="6"/>
  <c r="I355" i="6"/>
  <c r="J355" i="6"/>
  <c r="K355" i="6" s="1"/>
  <c r="C356" i="6"/>
  <c r="D356" i="6"/>
  <c r="E356" i="6" s="1"/>
  <c r="F356" i="6"/>
  <c r="G356" i="6"/>
  <c r="H356" i="6"/>
  <c r="I356" i="6"/>
  <c r="J356" i="6"/>
  <c r="K356" i="6" s="1"/>
  <c r="C357" i="6"/>
  <c r="D357" i="6"/>
  <c r="E357" i="6" s="1"/>
  <c r="F357" i="6"/>
  <c r="G357" i="6"/>
  <c r="H357" i="6"/>
  <c r="I357" i="6" s="1"/>
  <c r="J357" i="6"/>
  <c r="K357" i="6" s="1"/>
  <c r="C358" i="6"/>
  <c r="D358" i="6"/>
  <c r="E358" i="6" s="1"/>
  <c r="F358" i="6"/>
  <c r="G358" i="6"/>
  <c r="H358" i="6"/>
  <c r="I358" i="6" s="1"/>
  <c r="J358" i="6"/>
  <c r="K358" i="6" s="1"/>
  <c r="C359" i="6"/>
  <c r="D359" i="6"/>
  <c r="E359" i="6" s="1"/>
  <c r="F359" i="6"/>
  <c r="G359" i="6"/>
  <c r="H359" i="6"/>
  <c r="I359" i="6"/>
  <c r="J359" i="6"/>
  <c r="K359" i="6" s="1"/>
  <c r="C360" i="6"/>
  <c r="D360" i="6"/>
  <c r="E360" i="6" s="1"/>
  <c r="F360" i="6"/>
  <c r="G360" i="6"/>
  <c r="H360" i="6"/>
  <c r="I360" i="6" s="1"/>
  <c r="J360" i="6"/>
  <c r="K360" i="6" s="1"/>
  <c r="C361" i="6"/>
  <c r="D361" i="6"/>
  <c r="E361" i="6" s="1"/>
  <c r="F361" i="6"/>
  <c r="G361" i="6"/>
  <c r="H361" i="6"/>
  <c r="I361" i="6"/>
  <c r="J361" i="6"/>
  <c r="K361" i="6" s="1"/>
  <c r="C362" i="6"/>
  <c r="D362" i="6"/>
  <c r="E362" i="6" s="1"/>
  <c r="F362" i="6"/>
  <c r="G362" i="6"/>
  <c r="H362" i="6"/>
  <c r="I362" i="6"/>
  <c r="J362" i="6"/>
  <c r="K362" i="6" s="1"/>
  <c r="C363" i="6"/>
  <c r="D363" i="6"/>
  <c r="E363" i="6" s="1"/>
  <c r="F363" i="6"/>
  <c r="G363" i="6"/>
  <c r="H363" i="6"/>
  <c r="I363" i="6"/>
  <c r="J363" i="6"/>
  <c r="K363" i="6" s="1"/>
  <c r="C364" i="6"/>
  <c r="D364" i="6"/>
  <c r="E364" i="6" s="1"/>
  <c r="F364" i="6"/>
  <c r="G364" i="6"/>
  <c r="H364" i="6"/>
  <c r="I364" i="6"/>
  <c r="J364" i="6"/>
  <c r="K364" i="6" s="1"/>
  <c r="C365" i="6"/>
  <c r="D365" i="6"/>
  <c r="E365" i="6" s="1"/>
  <c r="F365" i="6"/>
  <c r="G365" i="6"/>
  <c r="H365" i="6"/>
  <c r="I365" i="6" s="1"/>
  <c r="J365" i="6"/>
  <c r="K365" i="6" s="1"/>
  <c r="C366" i="6"/>
  <c r="D366" i="6"/>
  <c r="E366" i="6" s="1"/>
  <c r="F366" i="6"/>
  <c r="G366" i="6"/>
  <c r="H366" i="6"/>
  <c r="I366" i="6" s="1"/>
  <c r="J366" i="6"/>
  <c r="K366" i="6" s="1"/>
  <c r="C367" i="6"/>
  <c r="D367" i="6"/>
  <c r="E367" i="6" s="1"/>
  <c r="F367" i="6"/>
  <c r="G367" i="6"/>
  <c r="H367" i="6"/>
  <c r="I367" i="6"/>
  <c r="J367" i="6"/>
  <c r="K367" i="6" s="1"/>
  <c r="C368" i="6"/>
  <c r="D368" i="6"/>
  <c r="E368" i="6" s="1"/>
  <c r="F368" i="6"/>
  <c r="G368" i="6"/>
  <c r="H368" i="6"/>
  <c r="I368" i="6" s="1"/>
  <c r="J368" i="6"/>
  <c r="K368" i="6" s="1"/>
  <c r="C369" i="6"/>
  <c r="D369" i="6"/>
  <c r="E369" i="6" s="1"/>
  <c r="F369" i="6"/>
  <c r="G369" i="6"/>
  <c r="H369" i="6"/>
  <c r="I369" i="6"/>
  <c r="J369" i="6"/>
  <c r="K369" i="6" s="1"/>
  <c r="C370" i="6"/>
  <c r="D370" i="6"/>
  <c r="E370" i="6" s="1"/>
  <c r="F370" i="6"/>
  <c r="G370" i="6"/>
  <c r="H370" i="6"/>
  <c r="I370" i="6"/>
  <c r="J370" i="6"/>
  <c r="K370" i="6" s="1"/>
  <c r="C371" i="6"/>
  <c r="D371" i="6"/>
  <c r="E371" i="6" s="1"/>
  <c r="F371" i="6"/>
  <c r="G371" i="6"/>
  <c r="H371" i="6"/>
  <c r="I371" i="6"/>
  <c r="J371" i="6"/>
  <c r="K371" i="6" s="1"/>
  <c r="C372" i="6"/>
  <c r="D372" i="6"/>
  <c r="E372" i="6" s="1"/>
  <c r="F372" i="6"/>
  <c r="G372" i="6"/>
  <c r="H372" i="6"/>
  <c r="I372" i="6"/>
  <c r="J372" i="6"/>
  <c r="K372" i="6" s="1"/>
  <c r="C373" i="6"/>
  <c r="D373" i="6"/>
  <c r="E373" i="6" s="1"/>
  <c r="F373" i="6"/>
  <c r="G373" i="6"/>
  <c r="H373" i="6"/>
  <c r="I373" i="6" s="1"/>
  <c r="J373" i="6"/>
  <c r="K373" i="6" s="1"/>
  <c r="C374" i="6"/>
  <c r="D374" i="6"/>
  <c r="E374" i="6" s="1"/>
  <c r="F374" i="6"/>
  <c r="G374" i="6"/>
  <c r="H374" i="6"/>
  <c r="I374" i="6" s="1"/>
  <c r="J374" i="6"/>
  <c r="K374" i="6" s="1"/>
  <c r="C375" i="6"/>
  <c r="D375" i="6"/>
  <c r="E375" i="6" s="1"/>
  <c r="F375" i="6"/>
  <c r="G375" i="6"/>
  <c r="H375" i="6"/>
  <c r="I375" i="6"/>
  <c r="J375" i="6"/>
  <c r="K375" i="6" s="1"/>
  <c r="C376" i="6"/>
  <c r="D376" i="6"/>
  <c r="E376" i="6" s="1"/>
  <c r="F376" i="6"/>
  <c r="G376" i="6"/>
  <c r="H376" i="6"/>
  <c r="I376" i="6" s="1"/>
  <c r="J376" i="6"/>
  <c r="K376" i="6" s="1"/>
  <c r="C377" i="6"/>
  <c r="D377" i="6"/>
  <c r="E377" i="6" s="1"/>
  <c r="F377" i="6"/>
  <c r="G377" i="6"/>
  <c r="H377" i="6"/>
  <c r="I377" i="6"/>
  <c r="J377" i="6"/>
  <c r="K377" i="6" s="1"/>
  <c r="C378" i="6"/>
  <c r="D378" i="6"/>
  <c r="E378" i="6" s="1"/>
  <c r="F378" i="6"/>
  <c r="G378" i="6" s="1"/>
  <c r="H378" i="6"/>
  <c r="I378" i="6"/>
  <c r="J378" i="6"/>
  <c r="K378" i="6" s="1"/>
  <c r="C379" i="6"/>
  <c r="D379" i="6"/>
  <c r="E379" i="6" s="1"/>
  <c r="F379" i="6"/>
  <c r="G379" i="6"/>
  <c r="H379" i="6"/>
  <c r="I379" i="6"/>
  <c r="J379" i="6"/>
  <c r="K379" i="6" s="1"/>
  <c r="C380" i="6"/>
  <c r="D380" i="6"/>
  <c r="E380" i="6" s="1"/>
  <c r="F380" i="6"/>
  <c r="G380" i="6"/>
  <c r="H380" i="6"/>
  <c r="I380" i="6"/>
  <c r="J380" i="6"/>
  <c r="K380" i="6" s="1"/>
  <c r="C381" i="6"/>
  <c r="D381" i="6"/>
  <c r="E381" i="6" s="1"/>
  <c r="F381" i="6"/>
  <c r="G381" i="6"/>
  <c r="H381" i="6"/>
  <c r="I381" i="6" s="1"/>
  <c r="J381" i="6"/>
  <c r="K381" i="6" s="1"/>
  <c r="C382" i="6"/>
  <c r="D382" i="6"/>
  <c r="E382" i="6" s="1"/>
  <c r="F382" i="6"/>
  <c r="G382" i="6"/>
  <c r="H382" i="6"/>
  <c r="I382" i="6" s="1"/>
  <c r="J382" i="6"/>
  <c r="K382" i="6" s="1"/>
  <c r="C383" i="6"/>
  <c r="D383" i="6"/>
  <c r="E383" i="6" s="1"/>
  <c r="F383" i="6"/>
  <c r="G383" i="6"/>
  <c r="H383" i="6"/>
  <c r="I383" i="6"/>
  <c r="J383" i="6"/>
  <c r="K383" i="6" s="1"/>
  <c r="C384" i="6"/>
  <c r="D384" i="6"/>
  <c r="E384" i="6" s="1"/>
  <c r="F384" i="6"/>
  <c r="G384" i="6"/>
  <c r="H384" i="6"/>
  <c r="I384" i="6" s="1"/>
  <c r="J384" i="6"/>
  <c r="K384" i="6" s="1"/>
  <c r="C385" i="6"/>
  <c r="D385" i="6"/>
  <c r="E385" i="6" s="1"/>
  <c r="F385" i="6"/>
  <c r="G385" i="6"/>
  <c r="H385" i="6"/>
  <c r="I385" i="6"/>
  <c r="J385" i="6"/>
  <c r="K385" i="6" s="1"/>
  <c r="C386" i="6"/>
  <c r="D386" i="6"/>
  <c r="E386" i="6" s="1"/>
  <c r="F386" i="6"/>
  <c r="G386" i="6" s="1"/>
  <c r="H386" i="6"/>
  <c r="I386" i="6"/>
  <c r="J386" i="6"/>
  <c r="K386" i="6" s="1"/>
  <c r="C387" i="6"/>
  <c r="D387" i="6"/>
  <c r="E387" i="6" s="1"/>
  <c r="F387" i="6"/>
  <c r="G387" i="6"/>
  <c r="H387" i="6"/>
  <c r="I387" i="6"/>
  <c r="J387" i="6"/>
  <c r="K387" i="6" s="1"/>
  <c r="C388" i="6"/>
  <c r="D388" i="6"/>
  <c r="E388" i="6" s="1"/>
  <c r="F388" i="6"/>
  <c r="G388" i="6"/>
  <c r="H388" i="6"/>
  <c r="I388" i="6"/>
  <c r="J388" i="6"/>
  <c r="K388" i="6" s="1"/>
  <c r="C389" i="6"/>
  <c r="D389" i="6"/>
  <c r="E389" i="6" s="1"/>
  <c r="F389" i="6"/>
  <c r="G389" i="6"/>
  <c r="H389" i="6"/>
  <c r="I389" i="6" s="1"/>
  <c r="J389" i="6"/>
  <c r="K389" i="6" s="1"/>
  <c r="C390" i="6"/>
  <c r="D390" i="6"/>
  <c r="E390" i="6" s="1"/>
  <c r="F390" i="6"/>
  <c r="G390" i="6"/>
  <c r="H390" i="6"/>
  <c r="I390" i="6" s="1"/>
  <c r="J390" i="6"/>
  <c r="K390" i="6" s="1"/>
  <c r="C391" i="6"/>
  <c r="D391" i="6"/>
  <c r="E391" i="6" s="1"/>
  <c r="F391" i="6"/>
  <c r="G391" i="6"/>
  <c r="H391" i="6"/>
  <c r="I391" i="6"/>
  <c r="J391" i="6"/>
  <c r="K391" i="6" s="1"/>
  <c r="C392" i="6"/>
  <c r="D392" i="6"/>
  <c r="E392" i="6" s="1"/>
  <c r="F392" i="6"/>
  <c r="G392" i="6"/>
  <c r="H392" i="6"/>
  <c r="I392" i="6" s="1"/>
  <c r="J392" i="6"/>
  <c r="K392" i="6" s="1"/>
  <c r="C393" i="6"/>
  <c r="D393" i="6"/>
  <c r="E393" i="6" s="1"/>
  <c r="F393" i="6"/>
  <c r="G393" i="6"/>
  <c r="H393" i="6"/>
  <c r="I393" i="6"/>
  <c r="J393" i="6"/>
  <c r="K393" i="6" s="1"/>
  <c r="C394" i="6"/>
  <c r="D394" i="6"/>
  <c r="E394" i="6" s="1"/>
  <c r="F394" i="6"/>
  <c r="G394" i="6"/>
  <c r="H394" i="6"/>
  <c r="I394" i="6"/>
  <c r="J394" i="6"/>
  <c r="K394" i="6" s="1"/>
  <c r="C395" i="6"/>
  <c r="D395" i="6"/>
  <c r="E395" i="6" s="1"/>
  <c r="F395" i="6"/>
  <c r="G395" i="6"/>
  <c r="H395" i="6"/>
  <c r="I395" i="6"/>
  <c r="J395" i="6"/>
  <c r="K395" i="6" s="1"/>
  <c r="C396" i="6"/>
  <c r="D396" i="6"/>
  <c r="E396" i="6" s="1"/>
  <c r="F396" i="6"/>
  <c r="G396" i="6" s="1"/>
  <c r="H396" i="6"/>
  <c r="I396" i="6"/>
  <c r="J396" i="6"/>
  <c r="K396" i="6" s="1"/>
  <c r="C397" i="6"/>
  <c r="D397" i="6"/>
  <c r="E397" i="6" s="1"/>
  <c r="F397" i="6"/>
  <c r="G397" i="6"/>
  <c r="H397" i="6"/>
  <c r="I397" i="6" s="1"/>
  <c r="J397" i="6"/>
  <c r="K397" i="6" s="1"/>
  <c r="C398" i="6"/>
  <c r="D398" i="6"/>
  <c r="E398" i="6" s="1"/>
  <c r="F398" i="6"/>
  <c r="G398" i="6"/>
  <c r="H398" i="6"/>
  <c r="I398" i="6" s="1"/>
  <c r="J398" i="6"/>
  <c r="K398" i="6" s="1"/>
  <c r="C399" i="6"/>
  <c r="D399" i="6"/>
  <c r="E399" i="6" s="1"/>
  <c r="F399" i="6"/>
  <c r="G399" i="6"/>
  <c r="H399" i="6"/>
  <c r="I399" i="6"/>
  <c r="J399" i="6"/>
  <c r="K399" i="6" s="1"/>
  <c r="C400" i="6"/>
  <c r="D400" i="6"/>
  <c r="E400" i="6" s="1"/>
  <c r="F400" i="6"/>
  <c r="G400" i="6"/>
  <c r="H400" i="6"/>
  <c r="I400" i="6" s="1"/>
  <c r="J400" i="6"/>
  <c r="K400" i="6" s="1"/>
  <c r="C401" i="6"/>
  <c r="D401" i="6"/>
  <c r="E401" i="6" s="1"/>
  <c r="F401" i="6"/>
  <c r="G401" i="6"/>
  <c r="H401" i="6"/>
  <c r="I401" i="6"/>
  <c r="J401" i="6"/>
  <c r="K401" i="6" s="1"/>
  <c r="C402" i="6"/>
  <c r="D402" i="6"/>
  <c r="E402" i="6" s="1"/>
  <c r="F402" i="6"/>
  <c r="G402" i="6" s="1"/>
  <c r="H402" i="6"/>
  <c r="I402" i="6"/>
  <c r="J402" i="6"/>
  <c r="K402" i="6" s="1"/>
  <c r="C403" i="6"/>
  <c r="D403" i="6"/>
  <c r="E403" i="6" s="1"/>
  <c r="F403" i="6"/>
  <c r="G403" i="6"/>
  <c r="H403" i="6"/>
  <c r="I403" i="6"/>
  <c r="J403" i="6"/>
  <c r="K403" i="6" s="1"/>
  <c r="C404" i="6"/>
  <c r="D404" i="6"/>
  <c r="E404" i="6" s="1"/>
  <c r="F404" i="6"/>
  <c r="G404" i="6" s="1"/>
  <c r="H404" i="6"/>
  <c r="I404" i="6"/>
  <c r="J404" i="6"/>
  <c r="K404" i="6" s="1"/>
  <c r="C405" i="6"/>
  <c r="D405" i="6"/>
  <c r="E405" i="6" s="1"/>
  <c r="F405" i="6"/>
  <c r="G405" i="6"/>
  <c r="H405" i="6"/>
  <c r="I405" i="6" s="1"/>
  <c r="J405" i="6"/>
  <c r="K405" i="6" s="1"/>
  <c r="C406" i="6"/>
  <c r="D406" i="6"/>
  <c r="E406" i="6" s="1"/>
  <c r="F406" i="6"/>
  <c r="G406" i="6"/>
  <c r="H406" i="6"/>
  <c r="I406" i="6" s="1"/>
  <c r="J406" i="6"/>
  <c r="K406" i="6" s="1"/>
  <c r="C407" i="6"/>
  <c r="D407" i="6"/>
  <c r="E407" i="6" s="1"/>
  <c r="F407" i="6"/>
  <c r="G407" i="6"/>
  <c r="H407" i="6"/>
  <c r="I407" i="6"/>
  <c r="J407" i="6"/>
  <c r="K407" i="6" s="1"/>
  <c r="C408" i="6"/>
  <c r="D408" i="6"/>
  <c r="E408" i="6" s="1"/>
  <c r="F408" i="6"/>
  <c r="G408" i="6"/>
  <c r="H408" i="6"/>
  <c r="I408" i="6" s="1"/>
  <c r="J408" i="6"/>
  <c r="K408" i="6" s="1"/>
  <c r="C409" i="6"/>
  <c r="D409" i="6"/>
  <c r="E409" i="6" s="1"/>
  <c r="F409" i="6"/>
  <c r="G409" i="6"/>
  <c r="H409" i="6"/>
  <c r="I409" i="6"/>
  <c r="J409" i="6"/>
  <c r="K409" i="6" s="1"/>
  <c r="C410" i="6"/>
  <c r="D410" i="6"/>
  <c r="E410" i="6" s="1"/>
  <c r="F410" i="6"/>
  <c r="G410" i="6" s="1"/>
  <c r="H410" i="6"/>
  <c r="I410" i="6"/>
  <c r="J410" i="6"/>
  <c r="K410" i="6" s="1"/>
  <c r="C411" i="6"/>
  <c r="D411" i="6"/>
  <c r="E411" i="6" s="1"/>
  <c r="F411" i="6"/>
  <c r="G411" i="6"/>
  <c r="H411" i="6"/>
  <c r="I411" i="6"/>
  <c r="J411" i="6"/>
  <c r="K411" i="6" s="1"/>
  <c r="C412" i="6"/>
  <c r="D412" i="6"/>
  <c r="E412" i="6" s="1"/>
  <c r="F412" i="6"/>
  <c r="G412" i="6"/>
  <c r="H412" i="6"/>
  <c r="I412" i="6"/>
  <c r="J412" i="6"/>
  <c r="K412" i="6" s="1"/>
  <c r="C413" i="6"/>
  <c r="D413" i="6"/>
  <c r="E413" i="6" s="1"/>
  <c r="F413" i="6"/>
  <c r="G413" i="6"/>
  <c r="H413" i="6"/>
  <c r="I413" i="6" s="1"/>
  <c r="J413" i="6"/>
  <c r="K413" i="6" s="1"/>
  <c r="C414" i="6"/>
  <c r="D414" i="6"/>
  <c r="E414" i="6" s="1"/>
  <c r="F414" i="6"/>
  <c r="G414" i="6"/>
  <c r="H414" i="6"/>
  <c r="I414" i="6" s="1"/>
  <c r="J414" i="6"/>
  <c r="K414" i="6" s="1"/>
  <c r="C415" i="6"/>
  <c r="D415" i="6"/>
  <c r="E415" i="6" s="1"/>
  <c r="F415" i="6"/>
  <c r="G415" i="6"/>
  <c r="H415" i="6"/>
  <c r="I415" i="6"/>
  <c r="J415" i="6"/>
  <c r="K415" i="6" s="1"/>
  <c r="C416" i="6"/>
  <c r="D416" i="6"/>
  <c r="E416" i="6" s="1"/>
  <c r="F416" i="6"/>
  <c r="G416" i="6"/>
  <c r="H416" i="6"/>
  <c r="I416" i="6" s="1"/>
  <c r="J416" i="6"/>
  <c r="K416" i="6" s="1"/>
  <c r="C417" i="6"/>
  <c r="D417" i="6"/>
  <c r="E417" i="6" s="1"/>
  <c r="F417" i="6"/>
  <c r="G417" i="6"/>
  <c r="H417" i="6"/>
  <c r="I417" i="6"/>
  <c r="J417" i="6"/>
  <c r="K417" i="6" s="1"/>
  <c r="C418" i="6"/>
  <c r="D418" i="6"/>
  <c r="E418" i="6" s="1"/>
  <c r="F418" i="6"/>
  <c r="G418" i="6"/>
  <c r="H418" i="6"/>
  <c r="I418" i="6"/>
  <c r="J418" i="6"/>
  <c r="K418" i="6" s="1"/>
  <c r="C419" i="6"/>
  <c r="D419" i="6"/>
  <c r="E419" i="6" s="1"/>
  <c r="F419" i="6"/>
  <c r="G419" i="6"/>
  <c r="H419" i="6"/>
  <c r="I419" i="6"/>
  <c r="J419" i="6"/>
  <c r="K419" i="6" s="1"/>
  <c r="C420" i="6"/>
  <c r="D420" i="6"/>
  <c r="E420" i="6" s="1"/>
  <c r="F420" i="6"/>
  <c r="G420" i="6" s="1"/>
  <c r="H420" i="6"/>
  <c r="I420" i="6"/>
  <c r="J420" i="6"/>
  <c r="K420" i="6" s="1"/>
  <c r="C421" i="6"/>
  <c r="D421" i="6"/>
  <c r="E421" i="6" s="1"/>
  <c r="F421" i="6"/>
  <c r="G421" i="6"/>
  <c r="H421" i="6"/>
  <c r="I421" i="6" s="1"/>
  <c r="J421" i="6"/>
  <c r="K421" i="6" s="1"/>
  <c r="C422" i="6"/>
  <c r="D422" i="6"/>
  <c r="E422" i="6" s="1"/>
  <c r="F422" i="6"/>
  <c r="G422" i="6"/>
  <c r="H422" i="6"/>
  <c r="I422" i="6" s="1"/>
  <c r="J422" i="6"/>
  <c r="K422" i="6" s="1"/>
  <c r="C423" i="6"/>
  <c r="D423" i="6"/>
  <c r="E423" i="6" s="1"/>
  <c r="F423" i="6"/>
  <c r="G423" i="6"/>
  <c r="H423" i="6"/>
  <c r="I423" i="6"/>
  <c r="J423" i="6"/>
  <c r="K423" i="6" s="1"/>
  <c r="C424" i="6"/>
  <c r="D424" i="6"/>
  <c r="E424" i="6" s="1"/>
  <c r="F424" i="6"/>
  <c r="G424" i="6"/>
  <c r="H424" i="6"/>
  <c r="I424" i="6" s="1"/>
  <c r="J424" i="6"/>
  <c r="K424" i="6" s="1"/>
  <c r="C425" i="6"/>
  <c r="D425" i="6"/>
  <c r="E425" i="6" s="1"/>
  <c r="F425" i="6"/>
  <c r="G425" i="6"/>
  <c r="H425" i="6"/>
  <c r="I425" i="6"/>
  <c r="J425" i="6"/>
  <c r="K425" i="6" s="1"/>
  <c r="C426" i="6"/>
  <c r="D426" i="6"/>
  <c r="E426" i="6" s="1"/>
  <c r="F426" i="6"/>
  <c r="G426" i="6"/>
  <c r="H426" i="6"/>
  <c r="I426" i="6"/>
  <c r="J426" i="6"/>
  <c r="K426" i="6" s="1"/>
  <c r="C427" i="6"/>
  <c r="D427" i="6"/>
  <c r="E427" i="6" s="1"/>
  <c r="F427" i="6"/>
  <c r="G427" i="6"/>
  <c r="H427" i="6"/>
  <c r="I427" i="6"/>
  <c r="J427" i="6"/>
  <c r="K427" i="6" s="1"/>
  <c r="C428" i="6"/>
  <c r="D428" i="6"/>
  <c r="E428" i="6" s="1"/>
  <c r="F428" i="6"/>
  <c r="G428" i="6" s="1"/>
  <c r="H428" i="6"/>
  <c r="I428" i="6"/>
  <c r="J428" i="6"/>
  <c r="K428" i="6" s="1"/>
  <c r="C429" i="6"/>
  <c r="D429" i="6"/>
  <c r="E429" i="6" s="1"/>
  <c r="F429" i="6"/>
  <c r="G429" i="6"/>
  <c r="H429" i="6"/>
  <c r="I429" i="6" s="1"/>
  <c r="J429" i="6"/>
  <c r="K429" i="6" s="1"/>
  <c r="C430" i="6"/>
  <c r="D430" i="6"/>
  <c r="E430" i="6" s="1"/>
  <c r="F430" i="6"/>
  <c r="G430" i="6"/>
  <c r="H430" i="6"/>
  <c r="I430" i="6" s="1"/>
  <c r="J430" i="6"/>
  <c r="K430" i="6" s="1"/>
  <c r="C431" i="6"/>
  <c r="D431" i="6"/>
  <c r="E431" i="6" s="1"/>
  <c r="F431" i="6"/>
  <c r="G431" i="6"/>
  <c r="H431" i="6"/>
  <c r="I431" i="6"/>
  <c r="J431" i="6"/>
  <c r="K431" i="6" s="1"/>
  <c r="C432" i="6"/>
  <c r="D432" i="6"/>
  <c r="E432" i="6" s="1"/>
  <c r="F432" i="6"/>
  <c r="G432" i="6"/>
  <c r="H432" i="6"/>
  <c r="I432" i="6" s="1"/>
  <c r="J432" i="6"/>
  <c r="K432" i="6" s="1"/>
  <c r="C433" i="6"/>
  <c r="D433" i="6"/>
  <c r="E433" i="6" s="1"/>
  <c r="F433" i="6"/>
  <c r="G433" i="6"/>
  <c r="H433" i="6"/>
  <c r="I433" i="6"/>
  <c r="J433" i="6"/>
  <c r="K433" i="6" s="1"/>
  <c r="C434" i="6"/>
  <c r="D434" i="6"/>
  <c r="E434" i="6" s="1"/>
  <c r="F434" i="6"/>
  <c r="G434" i="6" s="1"/>
  <c r="H434" i="6"/>
  <c r="I434" i="6"/>
  <c r="J434" i="6"/>
  <c r="K434" i="6" s="1"/>
  <c r="C435" i="6"/>
  <c r="D435" i="6"/>
  <c r="E435" i="6" s="1"/>
  <c r="F435" i="6"/>
  <c r="G435" i="6"/>
  <c r="H435" i="6"/>
  <c r="I435" i="6"/>
  <c r="J435" i="6"/>
  <c r="K435" i="6" s="1"/>
  <c r="C436" i="6"/>
  <c r="D436" i="6"/>
  <c r="E436" i="6" s="1"/>
  <c r="F436" i="6"/>
  <c r="G436" i="6"/>
  <c r="H436" i="6"/>
  <c r="I436" i="6"/>
  <c r="J436" i="6"/>
  <c r="K436" i="6" s="1"/>
  <c r="C437" i="6"/>
  <c r="D437" i="6"/>
  <c r="E437" i="6" s="1"/>
  <c r="F437" i="6"/>
  <c r="G437" i="6"/>
  <c r="H437" i="6"/>
  <c r="I437" i="6" s="1"/>
  <c r="J437" i="6"/>
  <c r="K437" i="6" s="1"/>
  <c r="C438" i="6"/>
  <c r="D438" i="6"/>
  <c r="E438" i="6" s="1"/>
  <c r="F438" i="6"/>
  <c r="G438" i="6"/>
  <c r="H438" i="6"/>
  <c r="I438" i="6" s="1"/>
  <c r="J438" i="6"/>
  <c r="K438" i="6" s="1"/>
  <c r="C439" i="6"/>
  <c r="D439" i="6"/>
  <c r="E439" i="6" s="1"/>
  <c r="F439" i="6"/>
  <c r="G439" i="6"/>
  <c r="H439" i="6"/>
  <c r="I439" i="6"/>
  <c r="J439" i="6"/>
  <c r="K439" i="6" s="1"/>
  <c r="C440" i="6"/>
  <c r="D440" i="6"/>
  <c r="E440" i="6" s="1"/>
  <c r="F440" i="6"/>
  <c r="G440" i="6"/>
  <c r="H440" i="6"/>
  <c r="I440" i="6" s="1"/>
  <c r="J440" i="6"/>
  <c r="K440" i="6" s="1"/>
  <c r="C441" i="6"/>
  <c r="D441" i="6"/>
  <c r="E441" i="6" s="1"/>
  <c r="F441" i="6"/>
  <c r="G441" i="6"/>
  <c r="H441" i="6"/>
  <c r="I441" i="6"/>
  <c r="J441" i="6"/>
  <c r="K441" i="6" s="1"/>
  <c r="C442" i="6"/>
  <c r="D442" i="6"/>
  <c r="E442" i="6" s="1"/>
  <c r="F442" i="6"/>
  <c r="G442" i="6"/>
  <c r="H442" i="6"/>
  <c r="I442" i="6"/>
  <c r="J442" i="6"/>
  <c r="K442" i="6" s="1"/>
  <c r="C443" i="6"/>
  <c r="D443" i="6"/>
  <c r="E443" i="6" s="1"/>
  <c r="F443" i="6"/>
  <c r="G443" i="6"/>
  <c r="H443" i="6"/>
  <c r="I443" i="6"/>
  <c r="J443" i="6"/>
  <c r="K443" i="6" s="1"/>
  <c r="C444" i="6"/>
  <c r="D444" i="6"/>
  <c r="E444" i="6" s="1"/>
  <c r="F444" i="6"/>
  <c r="G444" i="6"/>
  <c r="H444" i="6"/>
  <c r="I444" i="6"/>
  <c r="J444" i="6"/>
  <c r="K444" i="6" s="1"/>
  <c r="C445" i="6"/>
  <c r="D445" i="6"/>
  <c r="E445" i="6" s="1"/>
  <c r="F445" i="6"/>
  <c r="G445" i="6"/>
  <c r="H445" i="6"/>
  <c r="I445" i="6" s="1"/>
  <c r="J445" i="6"/>
  <c r="K445" i="6" s="1"/>
  <c r="C446" i="6"/>
  <c r="D446" i="6"/>
  <c r="E446" i="6" s="1"/>
  <c r="F446" i="6"/>
  <c r="G446" i="6"/>
  <c r="H446" i="6"/>
  <c r="I446" i="6" s="1"/>
  <c r="J446" i="6"/>
  <c r="K446" i="6" s="1"/>
  <c r="C447" i="6"/>
  <c r="D447" i="6"/>
  <c r="E447" i="6" s="1"/>
  <c r="F447" i="6"/>
  <c r="G447" i="6"/>
  <c r="H447" i="6"/>
  <c r="I447" i="6"/>
  <c r="J447" i="6"/>
  <c r="K447" i="6" s="1"/>
  <c r="C448" i="6"/>
  <c r="D448" i="6"/>
  <c r="E448" i="6" s="1"/>
  <c r="F448" i="6"/>
  <c r="G448" i="6"/>
  <c r="H448" i="6"/>
  <c r="I448" i="6" s="1"/>
  <c r="J448" i="6"/>
  <c r="K448" i="6" s="1"/>
  <c r="C449" i="6"/>
  <c r="D449" i="6"/>
  <c r="E449" i="6" s="1"/>
  <c r="F449" i="6"/>
  <c r="G449" i="6"/>
  <c r="H449" i="6"/>
  <c r="I449" i="6"/>
  <c r="J449" i="6"/>
  <c r="K449" i="6" s="1"/>
  <c r="C450" i="6"/>
  <c r="D450" i="6"/>
  <c r="E450" i="6" s="1"/>
  <c r="F450" i="6"/>
  <c r="G450" i="6" s="1"/>
  <c r="H450" i="6"/>
  <c r="I450" i="6"/>
  <c r="J450" i="6"/>
  <c r="K450" i="6" s="1"/>
  <c r="C451" i="6"/>
  <c r="D451" i="6"/>
  <c r="E451" i="6" s="1"/>
  <c r="F451" i="6"/>
  <c r="G451" i="6"/>
  <c r="H451" i="6"/>
  <c r="I451" i="6"/>
  <c r="J451" i="6"/>
  <c r="K451" i="6" s="1"/>
  <c r="C452" i="6"/>
  <c r="D452" i="6"/>
  <c r="E452" i="6" s="1"/>
  <c r="F452" i="6"/>
  <c r="G452" i="6" s="1"/>
  <c r="H452" i="6"/>
  <c r="I452" i="6"/>
  <c r="J452" i="6"/>
  <c r="K452" i="6" s="1"/>
  <c r="C453" i="6"/>
  <c r="D453" i="6"/>
  <c r="E453" i="6" s="1"/>
  <c r="F453" i="6"/>
  <c r="G453" i="6"/>
  <c r="H453" i="6"/>
  <c r="I453" i="6" s="1"/>
  <c r="J453" i="6"/>
  <c r="K453" i="6" s="1"/>
  <c r="C454" i="6"/>
  <c r="D454" i="6"/>
  <c r="E454" i="6" s="1"/>
  <c r="F454" i="6"/>
  <c r="G454" i="6"/>
  <c r="H454" i="6"/>
  <c r="I454" i="6" s="1"/>
  <c r="J454" i="6"/>
  <c r="K454" i="6" s="1"/>
  <c r="C455" i="6"/>
  <c r="D455" i="6"/>
  <c r="E455" i="6" s="1"/>
  <c r="F455" i="6"/>
  <c r="G455" i="6"/>
  <c r="H455" i="6"/>
  <c r="I455" i="6"/>
  <c r="J455" i="6"/>
  <c r="K455" i="6" s="1"/>
  <c r="C456" i="6"/>
  <c r="D456" i="6"/>
  <c r="E456" i="6" s="1"/>
  <c r="F456" i="6"/>
  <c r="G456" i="6"/>
  <c r="H456" i="6"/>
  <c r="I456" i="6" s="1"/>
  <c r="J456" i="6"/>
  <c r="K456" i="6" s="1"/>
  <c r="C457" i="6"/>
  <c r="D457" i="6"/>
  <c r="E457" i="6" s="1"/>
  <c r="F457" i="6"/>
  <c r="G457" i="6"/>
  <c r="H457" i="6"/>
  <c r="I457" i="6"/>
  <c r="J457" i="6"/>
  <c r="K457" i="6" s="1"/>
  <c r="C458" i="6"/>
  <c r="D458" i="6"/>
  <c r="E458" i="6" s="1"/>
  <c r="F458" i="6"/>
  <c r="G458" i="6" s="1"/>
  <c r="H458" i="6"/>
  <c r="I458" i="6"/>
  <c r="J458" i="6"/>
  <c r="K458" i="6" s="1"/>
  <c r="C459" i="6"/>
  <c r="D459" i="6"/>
  <c r="E459" i="6" s="1"/>
  <c r="F459" i="6"/>
  <c r="G459" i="6"/>
  <c r="H459" i="6"/>
  <c r="I459" i="6"/>
  <c r="J459" i="6"/>
  <c r="K459" i="6" s="1"/>
  <c r="C460" i="6"/>
  <c r="D460" i="6"/>
  <c r="E460" i="6" s="1"/>
  <c r="F460" i="6"/>
  <c r="G460" i="6"/>
  <c r="H460" i="6"/>
  <c r="I460" i="6"/>
  <c r="J460" i="6"/>
  <c r="K460" i="6" s="1"/>
  <c r="C461" i="6"/>
  <c r="D461" i="6"/>
  <c r="E461" i="6" s="1"/>
  <c r="F461" i="6"/>
  <c r="G461" i="6" s="1"/>
  <c r="H461" i="6"/>
  <c r="I461" i="6" s="1"/>
  <c r="J461" i="6"/>
  <c r="K461" i="6" s="1"/>
  <c r="C462" i="6"/>
  <c r="D462" i="6"/>
  <c r="E462" i="6" s="1"/>
  <c r="F462" i="6"/>
  <c r="G462" i="6"/>
  <c r="H462" i="6"/>
  <c r="I462" i="6" s="1"/>
  <c r="J462" i="6"/>
  <c r="K462" i="6" s="1"/>
  <c r="C463" i="6"/>
  <c r="D463" i="6"/>
  <c r="E463" i="6" s="1"/>
  <c r="F463" i="6"/>
  <c r="G463" i="6"/>
  <c r="H463" i="6"/>
  <c r="I463" i="6"/>
  <c r="J463" i="6"/>
  <c r="K463" i="6" s="1"/>
  <c r="C464" i="6"/>
  <c r="D464" i="6"/>
  <c r="E464" i="6" s="1"/>
  <c r="F464" i="6"/>
  <c r="G464" i="6"/>
  <c r="H464" i="6"/>
  <c r="I464" i="6" s="1"/>
  <c r="J464" i="6"/>
  <c r="K464" i="6" s="1"/>
  <c r="C465" i="6"/>
  <c r="D465" i="6"/>
  <c r="E465" i="6" s="1"/>
  <c r="F465" i="6"/>
  <c r="G465" i="6"/>
  <c r="H465" i="6"/>
  <c r="I465" i="6"/>
  <c r="J465" i="6"/>
  <c r="K465" i="6" s="1"/>
  <c r="C466" i="6"/>
  <c r="D466" i="6"/>
  <c r="E466" i="6" s="1"/>
  <c r="F466" i="6"/>
  <c r="G466" i="6" s="1"/>
  <c r="H466" i="6"/>
  <c r="I466" i="6"/>
  <c r="J466" i="6"/>
  <c r="K466" i="6" s="1"/>
  <c r="C467" i="6"/>
  <c r="D467" i="6"/>
  <c r="E467" i="6" s="1"/>
  <c r="F467" i="6"/>
  <c r="G467" i="6"/>
  <c r="H467" i="6"/>
  <c r="I467" i="6"/>
  <c r="J467" i="6"/>
  <c r="K467" i="6" s="1"/>
  <c r="C468" i="6"/>
  <c r="D468" i="6"/>
  <c r="E468" i="6" s="1"/>
  <c r="F468" i="6"/>
  <c r="G468" i="6" s="1"/>
  <c r="H468" i="6"/>
  <c r="I468" i="6"/>
  <c r="J468" i="6"/>
  <c r="K468" i="6" s="1"/>
  <c r="C469" i="6"/>
  <c r="D469" i="6"/>
  <c r="E469" i="6" s="1"/>
  <c r="F469" i="6"/>
  <c r="G469" i="6"/>
  <c r="H469" i="6"/>
  <c r="I469" i="6" s="1"/>
  <c r="J469" i="6"/>
  <c r="K469" i="6" s="1"/>
  <c r="C470" i="6"/>
  <c r="D470" i="6"/>
  <c r="E470" i="6" s="1"/>
  <c r="F470" i="6"/>
  <c r="G470" i="6"/>
  <c r="H470" i="6"/>
  <c r="I470" i="6" s="1"/>
  <c r="J470" i="6"/>
  <c r="K470" i="6" s="1"/>
  <c r="C471" i="6"/>
  <c r="D471" i="6"/>
  <c r="E471" i="6" s="1"/>
  <c r="F471" i="6"/>
  <c r="G471" i="6"/>
  <c r="H471" i="6"/>
  <c r="I471" i="6"/>
  <c r="J471" i="6"/>
  <c r="K471" i="6" s="1"/>
  <c r="C472" i="6"/>
  <c r="D472" i="6"/>
  <c r="E472" i="6" s="1"/>
  <c r="F472" i="6"/>
  <c r="G472" i="6"/>
  <c r="H472" i="6"/>
  <c r="I472" i="6" s="1"/>
  <c r="J472" i="6"/>
  <c r="K472" i="6" s="1"/>
  <c r="C473" i="6"/>
  <c r="D473" i="6"/>
  <c r="E473" i="6" s="1"/>
  <c r="F473" i="6"/>
  <c r="G473" i="6"/>
  <c r="H473" i="6"/>
  <c r="I473" i="6"/>
  <c r="J473" i="6"/>
  <c r="K473" i="6" s="1"/>
  <c r="C474" i="6"/>
  <c r="D474" i="6"/>
  <c r="E474" i="6" s="1"/>
  <c r="F474" i="6"/>
  <c r="G474" i="6"/>
  <c r="H474" i="6"/>
  <c r="I474" i="6"/>
  <c r="J474" i="6"/>
  <c r="K474" i="6" s="1"/>
  <c r="C475" i="6"/>
  <c r="D475" i="6"/>
  <c r="E475" i="6" s="1"/>
  <c r="F475" i="6"/>
  <c r="G475" i="6"/>
  <c r="H475" i="6"/>
  <c r="I475" i="6"/>
  <c r="J475" i="6"/>
  <c r="K475" i="6" s="1"/>
  <c r="C476" i="6"/>
  <c r="D476" i="6"/>
  <c r="E476" i="6" s="1"/>
  <c r="F476" i="6"/>
  <c r="G476" i="6" s="1"/>
  <c r="H476" i="6"/>
  <c r="I476" i="6"/>
  <c r="J476" i="6"/>
  <c r="K476" i="6" s="1"/>
  <c r="C477" i="6"/>
  <c r="D477" i="6"/>
  <c r="E477" i="6" s="1"/>
  <c r="F477" i="6"/>
  <c r="G477" i="6" s="1"/>
  <c r="H477" i="6"/>
  <c r="I477" i="6" s="1"/>
  <c r="J477" i="6"/>
  <c r="K477" i="6" s="1"/>
  <c r="C478" i="6"/>
  <c r="D478" i="6"/>
  <c r="E478" i="6" s="1"/>
  <c r="F478" i="6"/>
  <c r="G478" i="6" s="1"/>
  <c r="H478" i="6"/>
  <c r="I478" i="6" s="1"/>
  <c r="J478" i="6"/>
  <c r="K478" i="6" s="1"/>
  <c r="C479" i="6"/>
  <c r="D479" i="6"/>
  <c r="E479" i="6" s="1"/>
  <c r="F479" i="6"/>
  <c r="G479" i="6"/>
  <c r="H479" i="6"/>
  <c r="I479" i="6"/>
  <c r="J479" i="6"/>
  <c r="K479" i="6" s="1"/>
  <c r="C480" i="6"/>
  <c r="D480" i="6"/>
  <c r="E480" i="6" s="1"/>
  <c r="F480" i="6"/>
  <c r="G480" i="6"/>
  <c r="H480" i="6"/>
  <c r="I480" i="6" s="1"/>
  <c r="J480" i="6"/>
  <c r="K480" i="6" s="1"/>
  <c r="C481" i="6"/>
  <c r="D481" i="6"/>
  <c r="E481" i="6" s="1"/>
  <c r="F481" i="6"/>
  <c r="G481" i="6"/>
  <c r="H481" i="6"/>
  <c r="I481" i="6"/>
  <c r="J481" i="6"/>
  <c r="K481" i="6" s="1"/>
  <c r="C482" i="6"/>
  <c r="D482" i="6"/>
  <c r="E482" i="6" s="1"/>
  <c r="F482" i="6"/>
  <c r="G482" i="6"/>
  <c r="H482" i="6"/>
  <c r="I482" i="6"/>
  <c r="J482" i="6"/>
  <c r="K482" i="6" s="1"/>
  <c r="C483" i="6"/>
  <c r="D483" i="6"/>
  <c r="E483" i="6" s="1"/>
  <c r="F483" i="6"/>
  <c r="G483" i="6"/>
  <c r="H483" i="6"/>
  <c r="I483" i="6"/>
  <c r="J483" i="6"/>
  <c r="K483" i="6" s="1"/>
  <c r="C484" i="6"/>
  <c r="D484" i="6"/>
  <c r="E484" i="6" s="1"/>
  <c r="F484" i="6"/>
  <c r="G484" i="6" s="1"/>
  <c r="H484" i="6"/>
  <c r="I484" i="6"/>
  <c r="J484" i="6"/>
  <c r="K484" i="6" s="1"/>
  <c r="C485" i="6"/>
  <c r="D485" i="6"/>
  <c r="E485" i="6" s="1"/>
  <c r="F485" i="6"/>
  <c r="G485" i="6"/>
  <c r="H485" i="6"/>
  <c r="I485" i="6" s="1"/>
  <c r="J485" i="6"/>
  <c r="K485" i="6" s="1"/>
  <c r="C486" i="6"/>
  <c r="D486" i="6"/>
  <c r="E486" i="6" s="1"/>
  <c r="F486" i="6"/>
  <c r="G486" i="6" s="1"/>
  <c r="H486" i="6"/>
  <c r="I486" i="6" s="1"/>
  <c r="J486" i="6"/>
  <c r="K486" i="6" s="1"/>
  <c r="C487" i="6"/>
  <c r="D487" i="6"/>
  <c r="E487" i="6" s="1"/>
  <c r="F487" i="6"/>
  <c r="G487" i="6" s="1"/>
  <c r="H487" i="6"/>
  <c r="I487" i="6"/>
  <c r="J487" i="6"/>
  <c r="K487" i="6" s="1"/>
  <c r="C488" i="6"/>
  <c r="D488" i="6"/>
  <c r="E488" i="6" s="1"/>
  <c r="F488" i="6"/>
  <c r="G488" i="6"/>
  <c r="H488" i="6"/>
  <c r="I488" i="6" s="1"/>
  <c r="J488" i="6"/>
  <c r="K488" i="6" s="1"/>
  <c r="C489" i="6"/>
  <c r="D489" i="6"/>
  <c r="E489" i="6" s="1"/>
  <c r="F489" i="6"/>
  <c r="G489" i="6"/>
  <c r="H489" i="6"/>
  <c r="I489" i="6"/>
  <c r="J489" i="6"/>
  <c r="K489" i="6" s="1"/>
  <c r="C490" i="6"/>
  <c r="D490" i="6"/>
  <c r="E490" i="6" s="1"/>
  <c r="F490" i="6"/>
  <c r="G490" i="6"/>
  <c r="H490" i="6"/>
  <c r="I490" i="6"/>
  <c r="J490" i="6"/>
  <c r="K490" i="6" s="1"/>
  <c r="C491" i="6"/>
  <c r="D491" i="6"/>
  <c r="E491" i="6" s="1"/>
  <c r="F491" i="6"/>
  <c r="G491" i="6"/>
  <c r="H491" i="6"/>
  <c r="I491" i="6"/>
  <c r="J491" i="6"/>
  <c r="K491" i="6" s="1"/>
  <c r="C492" i="6"/>
  <c r="D492" i="6"/>
  <c r="E492" i="6" s="1"/>
  <c r="F492" i="6"/>
  <c r="G492" i="6" s="1"/>
  <c r="H492" i="6"/>
  <c r="I492" i="6"/>
  <c r="J492" i="6"/>
  <c r="K492" i="6" s="1"/>
  <c r="C493" i="6"/>
  <c r="D493" i="6"/>
  <c r="E493" i="6" s="1"/>
  <c r="F493" i="6"/>
  <c r="G493" i="6"/>
  <c r="H493" i="6"/>
  <c r="I493" i="6" s="1"/>
  <c r="J493" i="6"/>
  <c r="K493" i="6" s="1"/>
  <c r="C494" i="6"/>
  <c r="D494" i="6"/>
  <c r="E494" i="6" s="1"/>
  <c r="F494" i="6"/>
  <c r="G494" i="6" s="1"/>
  <c r="H494" i="6"/>
  <c r="I494" i="6" s="1"/>
  <c r="J494" i="6"/>
  <c r="K494" i="6" s="1"/>
  <c r="C495" i="6"/>
  <c r="D495" i="6"/>
  <c r="E495" i="6" s="1"/>
  <c r="F495" i="6"/>
  <c r="G495" i="6" s="1"/>
  <c r="H495" i="6"/>
  <c r="I495" i="6"/>
  <c r="J495" i="6"/>
  <c r="K495" i="6" s="1"/>
  <c r="C496" i="6"/>
  <c r="D496" i="6"/>
  <c r="E496" i="6" s="1"/>
  <c r="F496" i="6"/>
  <c r="G496" i="6"/>
  <c r="H496" i="6"/>
  <c r="I496" i="6" s="1"/>
  <c r="J496" i="6"/>
  <c r="K496" i="6" s="1"/>
  <c r="C497" i="6"/>
  <c r="D497" i="6"/>
  <c r="E497" i="6" s="1"/>
  <c r="F497" i="6"/>
  <c r="G497" i="6"/>
  <c r="H497" i="6"/>
  <c r="I497" i="6"/>
  <c r="J497" i="6"/>
  <c r="K497" i="6" s="1"/>
  <c r="C498" i="6"/>
  <c r="D498" i="6"/>
  <c r="E498" i="6" s="1"/>
  <c r="F498" i="6"/>
  <c r="G498" i="6" s="1"/>
  <c r="H498" i="6"/>
  <c r="I498" i="6"/>
  <c r="J498" i="6"/>
  <c r="K498" i="6" s="1"/>
  <c r="C499" i="6"/>
  <c r="D499" i="6"/>
  <c r="E499" i="6" s="1"/>
  <c r="F499" i="6"/>
  <c r="G499" i="6"/>
  <c r="H499" i="6"/>
  <c r="I499" i="6"/>
  <c r="J499" i="6"/>
  <c r="K499" i="6" s="1"/>
  <c r="C500" i="6"/>
  <c r="D500" i="6"/>
  <c r="E500" i="6" s="1"/>
  <c r="F500" i="6"/>
  <c r="G500" i="6" s="1"/>
  <c r="H500" i="6"/>
  <c r="I500" i="6"/>
  <c r="J500" i="6"/>
  <c r="K500" i="6" s="1"/>
  <c r="C501" i="6"/>
  <c r="D501" i="6"/>
  <c r="E501" i="6" s="1"/>
  <c r="F501" i="6"/>
  <c r="G501" i="6" s="1"/>
  <c r="H501" i="6"/>
  <c r="I501" i="6" s="1"/>
  <c r="J501" i="6"/>
  <c r="K501" i="6" s="1"/>
  <c r="C502" i="6"/>
  <c r="D502" i="6"/>
  <c r="E502" i="6" s="1"/>
  <c r="F502" i="6"/>
  <c r="G502" i="6" s="1"/>
  <c r="H502" i="6"/>
  <c r="I502" i="6" s="1"/>
  <c r="J502" i="6"/>
  <c r="K502" i="6" s="1"/>
  <c r="C503" i="6"/>
  <c r="D503" i="6"/>
  <c r="E503" i="6" s="1"/>
  <c r="F503" i="6"/>
  <c r="G503" i="6"/>
  <c r="H503" i="6"/>
  <c r="I503" i="6"/>
  <c r="J503" i="6"/>
  <c r="K503" i="6" s="1"/>
  <c r="C504" i="6"/>
  <c r="D504" i="6"/>
  <c r="E504" i="6" s="1"/>
  <c r="F504" i="6"/>
  <c r="G504" i="6"/>
  <c r="H504" i="6"/>
  <c r="I504" i="6" s="1"/>
  <c r="J504" i="6"/>
  <c r="K504" i="6" s="1"/>
  <c r="C505" i="6"/>
  <c r="D505" i="6"/>
  <c r="E505" i="6" s="1"/>
  <c r="F505" i="6"/>
  <c r="G505" i="6"/>
  <c r="H505" i="6"/>
  <c r="I505" i="6"/>
  <c r="J505" i="6"/>
  <c r="K505" i="6" s="1"/>
  <c r="C506" i="6"/>
  <c r="D506" i="6"/>
  <c r="E506" i="6" s="1"/>
  <c r="F506" i="6"/>
  <c r="G506" i="6" s="1"/>
  <c r="H506" i="6"/>
  <c r="I506" i="6"/>
  <c r="J506" i="6"/>
  <c r="K506" i="6"/>
  <c r="C507" i="6"/>
  <c r="D507" i="6"/>
  <c r="E507" i="6" s="1"/>
  <c r="F507" i="6"/>
  <c r="G507" i="6"/>
  <c r="H507" i="6"/>
  <c r="I507" i="6"/>
  <c r="J507" i="6"/>
  <c r="K507" i="6" s="1"/>
  <c r="C508" i="6"/>
  <c r="D508" i="6"/>
  <c r="E508" i="6" s="1"/>
  <c r="F508" i="6"/>
  <c r="G508" i="6"/>
  <c r="H508" i="6"/>
  <c r="I508" i="6"/>
  <c r="J508" i="6"/>
  <c r="K508" i="6" s="1"/>
  <c r="C509" i="6"/>
  <c r="D509" i="6"/>
  <c r="E509" i="6" s="1"/>
  <c r="F509" i="6"/>
  <c r="G509" i="6" s="1"/>
  <c r="H509" i="6"/>
  <c r="I509" i="6" s="1"/>
  <c r="J509" i="6"/>
  <c r="K509" i="6" s="1"/>
  <c r="C510" i="6"/>
  <c r="D510" i="6"/>
  <c r="E510" i="6" s="1"/>
  <c r="F510" i="6"/>
  <c r="G510" i="6"/>
  <c r="H510" i="6"/>
  <c r="I510" i="6" s="1"/>
  <c r="J510" i="6"/>
  <c r="K510" i="6" s="1"/>
  <c r="C511" i="6"/>
  <c r="D511" i="6"/>
  <c r="E511" i="6" s="1"/>
  <c r="F511" i="6"/>
  <c r="G511" i="6"/>
  <c r="H511" i="6"/>
  <c r="I511" i="6"/>
  <c r="J511" i="6"/>
  <c r="K511" i="6" s="1"/>
  <c r="C512" i="6"/>
  <c r="D512" i="6"/>
  <c r="E512" i="6" s="1"/>
  <c r="F512" i="6"/>
  <c r="G512" i="6"/>
  <c r="H512" i="6"/>
  <c r="I512" i="6" s="1"/>
  <c r="J512" i="6"/>
  <c r="K512" i="6" s="1"/>
  <c r="C513" i="6"/>
  <c r="D513" i="6"/>
  <c r="E513" i="6" s="1"/>
  <c r="F513" i="6"/>
  <c r="G513" i="6"/>
  <c r="H513" i="6"/>
  <c r="I513" i="6"/>
  <c r="J513" i="6"/>
  <c r="K513" i="6" s="1"/>
  <c r="C514" i="6"/>
  <c r="D514" i="6"/>
  <c r="E514" i="6" s="1"/>
  <c r="F514" i="6"/>
  <c r="G514" i="6" s="1"/>
  <c r="H514" i="6"/>
  <c r="I514" i="6"/>
  <c r="J514" i="6"/>
  <c r="K514" i="6" s="1"/>
  <c r="C515" i="6"/>
  <c r="D515" i="6"/>
  <c r="E515" i="6" s="1"/>
  <c r="F515" i="6"/>
  <c r="G515" i="6"/>
  <c r="H515" i="6"/>
  <c r="I515" i="6"/>
  <c r="J515" i="6"/>
  <c r="K515" i="6" s="1"/>
  <c r="C516" i="6"/>
  <c r="D516" i="6"/>
  <c r="E516" i="6" s="1"/>
  <c r="F516" i="6"/>
  <c r="G516" i="6" s="1"/>
  <c r="H516" i="6"/>
  <c r="I516" i="6"/>
  <c r="J516" i="6"/>
  <c r="K516" i="6" s="1"/>
  <c r="C517" i="6"/>
  <c r="D517" i="6"/>
  <c r="E517" i="6" s="1"/>
  <c r="F517" i="6"/>
  <c r="G517" i="6" s="1"/>
  <c r="H517" i="6"/>
  <c r="I517" i="6" s="1"/>
  <c r="J517" i="6"/>
  <c r="K517" i="6" s="1"/>
  <c r="C518" i="6"/>
  <c r="D518" i="6"/>
  <c r="E518" i="6" s="1"/>
  <c r="F518" i="6"/>
  <c r="G518" i="6" s="1"/>
  <c r="H518" i="6"/>
  <c r="I518" i="6" s="1"/>
  <c r="J518" i="6"/>
  <c r="K518" i="6"/>
  <c r="C519" i="6"/>
  <c r="D519" i="6"/>
  <c r="E519" i="6" s="1"/>
  <c r="F519" i="6"/>
  <c r="G519" i="6" s="1"/>
  <c r="H519" i="6"/>
  <c r="I519" i="6"/>
  <c r="J519" i="6"/>
  <c r="K519" i="6" s="1"/>
  <c r="C520" i="6"/>
  <c r="D520" i="6"/>
  <c r="E520" i="6"/>
  <c r="F520" i="6"/>
  <c r="G520" i="6"/>
  <c r="H520" i="6"/>
  <c r="I520" i="6" s="1"/>
  <c r="J520" i="6"/>
  <c r="K520" i="6" s="1"/>
  <c r="C521" i="6"/>
  <c r="D521" i="6"/>
  <c r="E521" i="6" s="1"/>
  <c r="F521" i="6"/>
  <c r="G521" i="6"/>
  <c r="H521" i="6"/>
  <c r="I521" i="6" s="1"/>
  <c r="J521" i="6"/>
  <c r="K521" i="6" s="1"/>
  <c r="C522" i="6"/>
  <c r="D522" i="6"/>
  <c r="E522" i="6" s="1"/>
  <c r="F522" i="6"/>
  <c r="G522" i="6" s="1"/>
  <c r="H522" i="6"/>
  <c r="I522" i="6"/>
  <c r="J522" i="6"/>
  <c r="K522" i="6"/>
  <c r="C523" i="6"/>
  <c r="D523" i="6"/>
  <c r="E523" i="6" s="1"/>
  <c r="F523" i="6"/>
  <c r="G523" i="6"/>
  <c r="H523" i="6"/>
  <c r="I523" i="6"/>
  <c r="J523" i="6"/>
  <c r="K523" i="6" s="1"/>
  <c r="C524" i="6"/>
  <c r="D524" i="6"/>
  <c r="E524" i="6" s="1"/>
  <c r="F524" i="6"/>
  <c r="G524" i="6" s="1"/>
  <c r="H524" i="6"/>
  <c r="I524" i="6"/>
  <c r="J524" i="6"/>
  <c r="K524" i="6" s="1"/>
  <c r="C525" i="6"/>
  <c r="D525" i="6"/>
  <c r="E525" i="6" s="1"/>
  <c r="F525" i="6"/>
  <c r="G525" i="6"/>
  <c r="H525" i="6"/>
  <c r="I525" i="6" s="1"/>
  <c r="J525" i="6"/>
  <c r="K525" i="6" s="1"/>
  <c r="C526" i="6"/>
  <c r="D526" i="6"/>
  <c r="E526" i="6" s="1"/>
  <c r="F526" i="6"/>
  <c r="G526" i="6" s="1"/>
  <c r="H526" i="6"/>
  <c r="I526" i="6" s="1"/>
  <c r="J526" i="6"/>
  <c r="K526" i="6"/>
  <c r="C527" i="6"/>
  <c r="D527" i="6"/>
  <c r="E527" i="6" s="1"/>
  <c r="F527" i="6"/>
  <c r="G527" i="6"/>
  <c r="H527" i="6"/>
  <c r="I527" i="6"/>
  <c r="J527" i="6"/>
  <c r="K527" i="6" s="1"/>
  <c r="C528" i="6"/>
  <c r="D528" i="6"/>
  <c r="E528" i="6"/>
  <c r="F528" i="6"/>
  <c r="G528" i="6"/>
  <c r="H528" i="6"/>
  <c r="I528" i="6" s="1"/>
  <c r="J528" i="6"/>
  <c r="K528" i="6" s="1"/>
  <c r="C529" i="6"/>
  <c r="D529" i="6"/>
  <c r="E529" i="6" s="1"/>
  <c r="F529" i="6"/>
  <c r="G529" i="6"/>
  <c r="H529" i="6"/>
  <c r="I529" i="6"/>
  <c r="J529" i="6"/>
  <c r="K529" i="6" s="1"/>
  <c r="C530" i="6"/>
  <c r="D530" i="6"/>
  <c r="E530" i="6" s="1"/>
  <c r="F530" i="6"/>
  <c r="G530" i="6"/>
  <c r="H530" i="6"/>
  <c r="I530" i="6"/>
  <c r="J530" i="6"/>
  <c r="K530" i="6" s="1"/>
  <c r="C531" i="6"/>
  <c r="D531" i="6"/>
  <c r="E531" i="6" s="1"/>
  <c r="F531" i="6"/>
  <c r="G531" i="6"/>
  <c r="H531" i="6"/>
  <c r="I531" i="6"/>
  <c r="J531" i="6"/>
  <c r="K531" i="6" s="1"/>
  <c r="C532" i="6"/>
  <c r="D532" i="6"/>
  <c r="E532" i="6" s="1"/>
  <c r="F532" i="6"/>
  <c r="G532" i="6"/>
  <c r="H532" i="6"/>
  <c r="I532" i="6"/>
  <c r="J532" i="6"/>
  <c r="K532" i="6" s="1"/>
  <c r="C533" i="6"/>
  <c r="D533" i="6"/>
  <c r="E533" i="6" s="1"/>
  <c r="F533" i="6"/>
  <c r="G533" i="6"/>
  <c r="H533" i="6"/>
  <c r="I533" i="6" s="1"/>
  <c r="J533" i="6"/>
  <c r="K533" i="6" s="1"/>
  <c r="C534" i="6"/>
  <c r="D534" i="6"/>
  <c r="E534" i="6" s="1"/>
  <c r="F534" i="6"/>
  <c r="G534" i="6" s="1"/>
  <c r="H534" i="6"/>
  <c r="I534" i="6" s="1"/>
  <c r="J534" i="6"/>
  <c r="K534" i="6" s="1"/>
  <c r="C535" i="6"/>
  <c r="D535" i="6"/>
  <c r="E535" i="6" s="1"/>
  <c r="F535" i="6"/>
  <c r="G535" i="6"/>
  <c r="H535" i="6"/>
  <c r="I535" i="6"/>
  <c r="J535" i="6"/>
  <c r="K535" i="6" s="1"/>
  <c r="C536" i="6"/>
  <c r="D536" i="6"/>
  <c r="E536" i="6"/>
  <c r="F536" i="6"/>
  <c r="G536" i="6"/>
  <c r="H536" i="6"/>
  <c r="I536" i="6" s="1"/>
  <c r="J536" i="6"/>
  <c r="K536" i="6" s="1"/>
  <c r="C537" i="6"/>
  <c r="D537" i="6"/>
  <c r="E537" i="6" s="1"/>
  <c r="F537" i="6"/>
  <c r="G537" i="6"/>
  <c r="H537" i="6"/>
  <c r="I537" i="6" s="1"/>
  <c r="J537" i="6"/>
  <c r="K537" i="6" s="1"/>
  <c r="C538" i="6"/>
  <c r="D538" i="6"/>
  <c r="E538" i="6" s="1"/>
  <c r="F538" i="6"/>
  <c r="G538" i="6"/>
  <c r="H538" i="6"/>
  <c r="I538" i="6"/>
  <c r="J538" i="6"/>
  <c r="K538" i="6" s="1"/>
  <c r="C539" i="6"/>
  <c r="D539" i="6"/>
  <c r="E539" i="6" s="1"/>
  <c r="F539" i="6"/>
  <c r="G539" i="6"/>
  <c r="H539" i="6"/>
  <c r="I539" i="6"/>
  <c r="J539" i="6"/>
  <c r="K539" i="6" s="1"/>
  <c r="C540" i="6"/>
  <c r="D540" i="6"/>
  <c r="E540" i="6" s="1"/>
  <c r="F540" i="6"/>
  <c r="G540" i="6" s="1"/>
  <c r="H540" i="6"/>
  <c r="I540" i="6"/>
  <c r="J540" i="6"/>
  <c r="K540" i="6" s="1"/>
  <c r="C541" i="6"/>
  <c r="D541" i="6"/>
  <c r="E541" i="6" s="1"/>
  <c r="F541" i="6"/>
  <c r="G541" i="6" s="1"/>
  <c r="H541" i="6"/>
  <c r="I541" i="6" s="1"/>
  <c r="J541" i="6"/>
  <c r="K541" i="6" s="1"/>
  <c r="C542" i="6"/>
  <c r="D542" i="6"/>
  <c r="E542" i="6" s="1"/>
  <c r="F542" i="6"/>
  <c r="G542" i="6" s="1"/>
  <c r="H542" i="6"/>
  <c r="I542" i="6" s="1"/>
  <c r="J542" i="6"/>
  <c r="K542" i="6" s="1"/>
  <c r="C543" i="6"/>
  <c r="D543" i="6"/>
  <c r="E543" i="6" s="1"/>
  <c r="F543" i="6"/>
  <c r="G543" i="6"/>
  <c r="H543" i="6"/>
  <c r="I543" i="6"/>
  <c r="J543" i="6"/>
  <c r="K543" i="6" s="1"/>
  <c r="C544" i="6"/>
  <c r="D544" i="6"/>
  <c r="E544" i="6"/>
  <c r="F544" i="6"/>
  <c r="G544" i="6"/>
  <c r="H544" i="6"/>
  <c r="I544" i="6" s="1"/>
  <c r="J544" i="6"/>
  <c r="K544" i="6" s="1"/>
  <c r="C545" i="6"/>
  <c r="D545" i="6"/>
  <c r="E545" i="6" s="1"/>
  <c r="F545" i="6"/>
  <c r="G545" i="6"/>
  <c r="H545" i="6"/>
  <c r="I545" i="6" s="1"/>
  <c r="J545" i="6"/>
  <c r="K545" i="6" s="1"/>
  <c r="C546" i="6"/>
  <c r="D546" i="6"/>
  <c r="E546" i="6" s="1"/>
  <c r="F546" i="6"/>
  <c r="G546" i="6"/>
  <c r="H546" i="6"/>
  <c r="I546" i="6"/>
  <c r="J546" i="6"/>
  <c r="K546" i="6" s="1"/>
  <c r="C547" i="6"/>
  <c r="D547" i="6"/>
  <c r="E547" i="6" s="1"/>
  <c r="F547" i="6"/>
  <c r="G547" i="6"/>
  <c r="H547" i="6"/>
  <c r="I547" i="6"/>
  <c r="J547" i="6"/>
  <c r="K547" i="6" s="1"/>
  <c r="C548" i="6"/>
  <c r="D548" i="6"/>
  <c r="E548" i="6" s="1"/>
  <c r="F548" i="6"/>
  <c r="G548" i="6" s="1"/>
  <c r="H548" i="6"/>
  <c r="I548" i="6"/>
  <c r="J548" i="6"/>
  <c r="K548" i="6" s="1"/>
  <c r="C549" i="6"/>
  <c r="D549" i="6"/>
  <c r="E549" i="6" s="1"/>
  <c r="F549" i="6"/>
  <c r="G549" i="6" s="1"/>
  <c r="H549" i="6"/>
  <c r="I549" i="6" s="1"/>
  <c r="J549" i="6"/>
  <c r="K549" i="6" s="1"/>
  <c r="C550" i="6"/>
  <c r="D550" i="6"/>
  <c r="E550" i="6" s="1"/>
  <c r="F550" i="6"/>
  <c r="G550" i="6" s="1"/>
  <c r="H550" i="6"/>
  <c r="I550" i="6" s="1"/>
  <c r="J550" i="6"/>
  <c r="K550" i="6" s="1"/>
  <c r="C551" i="6"/>
  <c r="D551" i="6"/>
  <c r="E551" i="6" s="1"/>
  <c r="F551" i="6"/>
  <c r="G551" i="6"/>
  <c r="H551" i="6"/>
  <c r="I551" i="6"/>
  <c r="J551" i="6"/>
  <c r="K551" i="6" s="1"/>
  <c r="C552" i="6"/>
  <c r="D552" i="6"/>
  <c r="E552" i="6"/>
  <c r="F552" i="6"/>
  <c r="G552" i="6"/>
  <c r="H552" i="6"/>
  <c r="I552" i="6" s="1"/>
  <c r="J552" i="6"/>
  <c r="K552" i="6" s="1"/>
  <c r="C553" i="6"/>
  <c r="D553" i="6"/>
  <c r="E553" i="6"/>
  <c r="F553" i="6"/>
  <c r="G553" i="6"/>
  <c r="H553" i="6"/>
  <c r="I553" i="6" s="1"/>
  <c r="J553" i="6"/>
  <c r="K553" i="6" s="1"/>
  <c r="C554" i="6"/>
  <c r="D554" i="6"/>
  <c r="E554" i="6" s="1"/>
  <c r="F554" i="6"/>
  <c r="G554" i="6"/>
  <c r="H554" i="6"/>
  <c r="I554" i="6"/>
  <c r="J554" i="6"/>
  <c r="K554" i="6" s="1"/>
  <c r="C555" i="6"/>
  <c r="D555" i="6"/>
  <c r="E555" i="6" s="1"/>
  <c r="F555" i="6"/>
  <c r="G555" i="6"/>
  <c r="H555" i="6"/>
  <c r="I555" i="6"/>
  <c r="J555" i="6"/>
  <c r="K555" i="6" s="1"/>
  <c r="C556" i="6"/>
  <c r="D556" i="6"/>
  <c r="E556" i="6" s="1"/>
  <c r="F556" i="6"/>
  <c r="G556" i="6" s="1"/>
  <c r="H556" i="6"/>
  <c r="I556" i="6"/>
  <c r="J556" i="6"/>
  <c r="K556" i="6" s="1"/>
  <c r="C557" i="6"/>
  <c r="D557" i="6"/>
  <c r="E557" i="6" s="1"/>
  <c r="F557" i="6"/>
  <c r="G557" i="6" s="1"/>
  <c r="H557" i="6"/>
  <c r="I557" i="6" s="1"/>
  <c r="J557" i="6"/>
  <c r="K557" i="6" s="1"/>
  <c r="C558" i="6"/>
  <c r="D558" i="6"/>
  <c r="E558" i="6" s="1"/>
  <c r="F558" i="6"/>
  <c r="G558" i="6"/>
  <c r="H558" i="6"/>
  <c r="I558" i="6" s="1"/>
  <c r="J558" i="6"/>
  <c r="K558" i="6"/>
  <c r="C559" i="6"/>
  <c r="D559" i="6"/>
  <c r="E559" i="6" s="1"/>
  <c r="F559" i="6"/>
  <c r="G559" i="6"/>
  <c r="H559" i="6"/>
  <c r="I559" i="6"/>
  <c r="J559" i="6"/>
  <c r="K559" i="6" s="1"/>
  <c r="C560" i="6"/>
  <c r="D560" i="6"/>
  <c r="E560" i="6" s="1"/>
  <c r="F560" i="6"/>
  <c r="G560" i="6"/>
  <c r="H560" i="6"/>
  <c r="I560" i="6" s="1"/>
  <c r="J560" i="6"/>
  <c r="K560" i="6" s="1"/>
  <c r="C561" i="6"/>
  <c r="D561" i="6"/>
  <c r="E561" i="6" s="1"/>
  <c r="F561" i="6"/>
  <c r="G561" i="6"/>
  <c r="H561" i="6"/>
  <c r="I561" i="6"/>
  <c r="J561" i="6"/>
  <c r="K561" i="6" s="1"/>
  <c r="C562" i="6"/>
  <c r="D562" i="6"/>
  <c r="E562" i="6" s="1"/>
  <c r="F562" i="6"/>
  <c r="G562" i="6" s="1"/>
  <c r="H562" i="6"/>
  <c r="I562" i="6"/>
  <c r="J562" i="6"/>
  <c r="K562" i="6"/>
  <c r="C563" i="6"/>
  <c r="D563" i="6"/>
  <c r="E563" i="6"/>
  <c r="F563" i="6"/>
  <c r="G563" i="6"/>
  <c r="H563" i="6"/>
  <c r="I563" i="6"/>
  <c r="J563" i="6"/>
  <c r="K563" i="6"/>
  <c r="C564" i="6"/>
  <c r="D564" i="6"/>
  <c r="E564" i="6"/>
  <c r="F564" i="6"/>
  <c r="G564" i="6" s="1"/>
  <c r="H564" i="6"/>
  <c r="I564" i="6"/>
  <c r="J564" i="6"/>
  <c r="K564" i="6" s="1"/>
  <c r="C565" i="6"/>
  <c r="D565" i="6"/>
  <c r="E565" i="6" s="1"/>
  <c r="F565" i="6"/>
  <c r="G565" i="6"/>
  <c r="H565" i="6"/>
  <c r="I565" i="6" s="1"/>
  <c r="J565" i="6"/>
  <c r="K565" i="6" s="1"/>
  <c r="C566" i="6"/>
  <c r="D566" i="6"/>
  <c r="E566" i="6" s="1"/>
  <c r="F566" i="6"/>
  <c r="G566" i="6" s="1"/>
  <c r="H566" i="6"/>
  <c r="I566" i="6" s="1"/>
  <c r="J566" i="6"/>
  <c r="K566" i="6" s="1"/>
  <c r="C567" i="6"/>
  <c r="D567" i="6"/>
  <c r="E567" i="6" s="1"/>
  <c r="F567" i="6"/>
  <c r="G567" i="6" s="1"/>
  <c r="H567" i="6"/>
  <c r="I567" i="6"/>
  <c r="J567" i="6"/>
  <c r="K567" i="6" s="1"/>
  <c r="C568" i="6"/>
  <c r="D568" i="6"/>
  <c r="E568" i="6" s="1"/>
  <c r="F568" i="6"/>
  <c r="G568" i="6"/>
  <c r="H568" i="6"/>
  <c r="I568" i="6" s="1"/>
  <c r="J568" i="6"/>
  <c r="K568" i="6" s="1"/>
  <c r="C569" i="6"/>
  <c r="D569" i="6"/>
  <c r="E569" i="6"/>
  <c r="F569" i="6"/>
  <c r="G569" i="6"/>
  <c r="H569" i="6"/>
  <c r="I569" i="6"/>
  <c r="J569" i="6"/>
  <c r="K569" i="6"/>
  <c r="C570" i="6"/>
  <c r="D570" i="6"/>
  <c r="E570" i="6" s="1"/>
  <c r="F570" i="6"/>
  <c r="G570" i="6" s="1"/>
  <c r="H570" i="6"/>
  <c r="I570" i="6"/>
  <c r="J570" i="6"/>
  <c r="K570" i="6" s="1"/>
  <c r="C571" i="6"/>
  <c r="D571" i="6"/>
  <c r="E571" i="6" s="1"/>
  <c r="F571" i="6"/>
  <c r="G571" i="6"/>
  <c r="H571" i="6"/>
  <c r="I571" i="6"/>
  <c r="J571" i="6"/>
  <c r="K571" i="6" s="1"/>
  <c r="C572" i="6"/>
  <c r="D572" i="6"/>
  <c r="E572" i="6"/>
  <c r="F572" i="6"/>
  <c r="G572" i="6"/>
  <c r="H572" i="6"/>
  <c r="I572" i="6"/>
  <c r="J572" i="6"/>
  <c r="K572" i="6" s="1"/>
  <c r="C573" i="6"/>
  <c r="D573" i="6"/>
  <c r="E573" i="6" s="1"/>
  <c r="F573" i="6"/>
  <c r="G573" i="6"/>
  <c r="H573" i="6"/>
  <c r="I573" i="6" s="1"/>
  <c r="J573" i="6"/>
  <c r="K573" i="6" s="1"/>
  <c r="C574" i="6"/>
  <c r="D574" i="6"/>
  <c r="E574" i="6" s="1"/>
  <c r="F574" i="6"/>
  <c r="G574" i="6" s="1"/>
  <c r="H574" i="6"/>
  <c r="I574" i="6" s="1"/>
  <c r="J574" i="6"/>
  <c r="K574" i="6" s="1"/>
  <c r="C575" i="6"/>
  <c r="D575" i="6"/>
  <c r="E575" i="6"/>
  <c r="F575" i="6"/>
  <c r="G575" i="6"/>
  <c r="H575" i="6"/>
  <c r="I575" i="6"/>
  <c r="J575" i="6"/>
  <c r="K575" i="6" s="1"/>
  <c r="C576" i="6"/>
  <c r="D576" i="6"/>
  <c r="E576" i="6" s="1"/>
  <c r="F576" i="6"/>
  <c r="G576" i="6" s="1"/>
  <c r="H576" i="6"/>
  <c r="I576" i="6" s="1"/>
  <c r="J576" i="6"/>
  <c r="K576" i="6" s="1"/>
  <c r="C577" i="6"/>
  <c r="D577" i="6"/>
  <c r="E577" i="6"/>
  <c r="F577" i="6"/>
  <c r="G577" i="6"/>
  <c r="H577" i="6"/>
  <c r="I577" i="6" s="1"/>
  <c r="J577" i="6"/>
  <c r="K577" i="6"/>
  <c r="C578" i="6"/>
  <c r="D578" i="6"/>
  <c r="E578" i="6" s="1"/>
  <c r="F578" i="6"/>
  <c r="G578" i="6"/>
  <c r="H578" i="6"/>
  <c r="I578" i="6"/>
  <c r="J578" i="6"/>
  <c r="K578" i="6" s="1"/>
  <c r="C579" i="6"/>
  <c r="D579" i="6"/>
  <c r="E579" i="6" s="1"/>
  <c r="F579" i="6"/>
  <c r="G579" i="6"/>
  <c r="H579" i="6"/>
  <c r="I579" i="6"/>
  <c r="J579" i="6"/>
  <c r="K579" i="6" s="1"/>
  <c r="C580" i="6"/>
  <c r="D580" i="6"/>
  <c r="E580" i="6" s="1"/>
  <c r="F580" i="6"/>
  <c r="G580" i="6" s="1"/>
  <c r="H580" i="6"/>
  <c r="I580" i="6"/>
  <c r="J580" i="6"/>
  <c r="K580" i="6" s="1"/>
  <c r="C581" i="6"/>
  <c r="D581" i="6"/>
  <c r="E581" i="6"/>
  <c r="F581" i="6"/>
  <c r="G581" i="6"/>
  <c r="H581" i="6"/>
  <c r="I581" i="6" s="1"/>
  <c r="J581" i="6"/>
  <c r="K581" i="6" s="1"/>
  <c r="C582" i="6"/>
  <c r="D582" i="6"/>
  <c r="E582" i="6" s="1"/>
  <c r="F582" i="6"/>
  <c r="G582" i="6" s="1"/>
  <c r="H582" i="6"/>
  <c r="I582" i="6" s="1"/>
  <c r="J582" i="6"/>
  <c r="K582" i="6" s="1"/>
  <c r="C583" i="6"/>
  <c r="D583" i="6"/>
  <c r="E583" i="6" s="1"/>
  <c r="F583" i="6"/>
  <c r="G583" i="6" s="1"/>
  <c r="H583" i="6"/>
  <c r="I583" i="6"/>
  <c r="J583" i="6"/>
  <c r="K583" i="6" s="1"/>
  <c r="C584" i="6"/>
  <c r="D584" i="6"/>
  <c r="E584" i="6" s="1"/>
  <c r="F584" i="6"/>
  <c r="G584" i="6" s="1"/>
  <c r="H584" i="6"/>
  <c r="I584" i="6" s="1"/>
  <c r="J584" i="6"/>
  <c r="K584" i="6" s="1"/>
  <c r="C585" i="6"/>
  <c r="D585" i="6"/>
  <c r="E585" i="6"/>
  <c r="F585" i="6"/>
  <c r="G585" i="6"/>
  <c r="H585" i="6"/>
  <c r="I585" i="6" s="1"/>
  <c r="J585" i="6"/>
  <c r="K585" i="6"/>
  <c r="C586" i="6"/>
  <c r="D586" i="6"/>
  <c r="E586" i="6" s="1"/>
  <c r="F586" i="6"/>
  <c r="G586" i="6" s="1"/>
  <c r="H586" i="6"/>
  <c r="I586" i="6"/>
  <c r="J586" i="6"/>
  <c r="K586" i="6" s="1"/>
  <c r="C587" i="6"/>
  <c r="D587" i="6"/>
  <c r="E587" i="6" s="1"/>
  <c r="F587" i="6"/>
  <c r="G587" i="6"/>
  <c r="H587" i="6"/>
  <c r="I587" i="6"/>
  <c r="J587" i="6"/>
  <c r="K587" i="6" s="1"/>
  <c r="C588" i="6"/>
  <c r="D588" i="6"/>
  <c r="E588" i="6" s="1"/>
  <c r="F588" i="6"/>
  <c r="G588" i="6" s="1"/>
  <c r="H588" i="6"/>
  <c r="I588" i="6"/>
  <c r="J588" i="6"/>
  <c r="K588" i="6" s="1"/>
  <c r="C589" i="6"/>
  <c r="D589" i="6"/>
  <c r="E589" i="6" s="1"/>
  <c r="F589" i="6"/>
  <c r="G589" i="6"/>
  <c r="H589" i="6"/>
  <c r="I589" i="6" s="1"/>
  <c r="J589" i="6"/>
  <c r="K589" i="6"/>
  <c r="C590" i="6"/>
  <c r="D590" i="6"/>
  <c r="E590" i="6" s="1"/>
  <c r="F590" i="6"/>
  <c r="G590" i="6" s="1"/>
  <c r="H590" i="6"/>
  <c r="I590" i="6" s="1"/>
  <c r="J590" i="6"/>
  <c r="K590" i="6" s="1"/>
  <c r="C591" i="6"/>
  <c r="D591" i="6"/>
  <c r="E591" i="6" s="1"/>
  <c r="F591" i="6"/>
  <c r="G591" i="6" s="1"/>
  <c r="H591" i="6"/>
  <c r="I591" i="6"/>
  <c r="J591" i="6"/>
  <c r="K591" i="6" s="1"/>
  <c r="C592" i="6"/>
  <c r="D592" i="6"/>
  <c r="E592" i="6" s="1"/>
  <c r="F592" i="6"/>
  <c r="G592" i="6" s="1"/>
  <c r="H592" i="6"/>
  <c r="I592" i="6" s="1"/>
  <c r="J592" i="6"/>
  <c r="K592" i="6" s="1"/>
  <c r="C593" i="6"/>
  <c r="D593" i="6"/>
  <c r="E593" i="6"/>
  <c r="F593" i="6"/>
  <c r="G593" i="6"/>
  <c r="H593" i="6"/>
  <c r="I593" i="6" s="1"/>
  <c r="J593" i="6"/>
  <c r="K593" i="6"/>
  <c r="C594" i="6"/>
  <c r="D594" i="6"/>
  <c r="E594" i="6" s="1"/>
  <c r="F594" i="6"/>
  <c r="G594" i="6" s="1"/>
  <c r="H594" i="6"/>
  <c r="I594" i="6"/>
  <c r="J594" i="6"/>
  <c r="K594" i="6" s="1"/>
  <c r="C595" i="6"/>
  <c r="D595" i="6"/>
  <c r="E595" i="6" s="1"/>
  <c r="F595" i="6"/>
  <c r="G595" i="6"/>
  <c r="H595" i="6"/>
  <c r="I595" i="6"/>
  <c r="J595" i="6"/>
  <c r="K595" i="6" s="1"/>
  <c r="C596" i="6"/>
  <c r="D596" i="6"/>
  <c r="E596" i="6" s="1"/>
  <c r="F596" i="6"/>
  <c r="G596" i="6" s="1"/>
  <c r="H596" i="6"/>
  <c r="I596" i="6"/>
  <c r="J596" i="6"/>
  <c r="K596" i="6" s="1"/>
  <c r="C597" i="6"/>
  <c r="D597" i="6"/>
  <c r="E597" i="6" s="1"/>
  <c r="F597" i="6"/>
  <c r="G597" i="6"/>
  <c r="H597" i="6"/>
  <c r="I597" i="6" s="1"/>
  <c r="J597" i="6"/>
  <c r="K597" i="6" s="1"/>
  <c r="C598" i="6"/>
  <c r="D598" i="6"/>
  <c r="E598" i="6" s="1"/>
  <c r="F598" i="6"/>
  <c r="G598" i="6" s="1"/>
  <c r="H598" i="6"/>
  <c r="I598" i="6" s="1"/>
  <c r="J598" i="6"/>
  <c r="K598" i="6" s="1"/>
  <c r="C599" i="6"/>
  <c r="D599" i="6"/>
  <c r="E599" i="6" s="1"/>
  <c r="F599" i="6"/>
  <c r="G599" i="6" s="1"/>
  <c r="H599" i="6"/>
  <c r="I599" i="6"/>
  <c r="J599" i="6"/>
  <c r="K599" i="6"/>
  <c r="C600" i="6"/>
  <c r="D600" i="6"/>
  <c r="E600" i="6" s="1"/>
  <c r="F600" i="6"/>
  <c r="G600" i="6"/>
  <c r="H600" i="6"/>
  <c r="I600" i="6" s="1"/>
  <c r="J600" i="6"/>
  <c r="K600" i="6" s="1"/>
  <c r="C601" i="6"/>
  <c r="D601" i="6"/>
  <c r="E601" i="6"/>
  <c r="F601" i="6"/>
  <c r="G601" i="6"/>
  <c r="H601" i="6"/>
  <c r="I601" i="6"/>
  <c r="J601" i="6"/>
  <c r="K601" i="6"/>
  <c r="C602" i="6"/>
  <c r="D602" i="6"/>
  <c r="E602" i="6"/>
  <c r="F602" i="6"/>
  <c r="G602" i="6" s="1"/>
  <c r="H602" i="6"/>
  <c r="I602" i="6" s="1"/>
  <c r="J602" i="6"/>
  <c r="K602" i="6" s="1"/>
  <c r="C603" i="6"/>
  <c r="D603" i="6"/>
  <c r="E603" i="6"/>
  <c r="F603" i="6"/>
  <c r="G603" i="6"/>
  <c r="H603" i="6"/>
  <c r="I603" i="6"/>
  <c r="J603" i="6"/>
  <c r="K603" i="6"/>
  <c r="C604" i="6"/>
  <c r="D604" i="6"/>
  <c r="E604" i="6"/>
  <c r="F604" i="6"/>
  <c r="G604" i="6" s="1"/>
  <c r="H604" i="6"/>
  <c r="I604" i="6" s="1"/>
  <c r="J604" i="6"/>
  <c r="K604" i="6"/>
  <c r="C605" i="6"/>
  <c r="D605" i="6"/>
  <c r="E605" i="6"/>
  <c r="F605" i="6"/>
  <c r="G605" i="6"/>
  <c r="H605" i="6"/>
  <c r="I605" i="6" s="1"/>
  <c r="J605" i="6"/>
  <c r="K605" i="6"/>
  <c r="C606" i="6"/>
  <c r="D606" i="6"/>
  <c r="E606" i="6" s="1"/>
  <c r="F606" i="6"/>
  <c r="G606" i="6" s="1"/>
  <c r="H606" i="6"/>
  <c r="I606" i="6" s="1"/>
  <c r="J606" i="6"/>
  <c r="K606" i="6" s="1"/>
  <c r="C607" i="6"/>
  <c r="D607" i="6"/>
  <c r="E607" i="6" s="1"/>
  <c r="F607" i="6"/>
  <c r="G607" i="6"/>
  <c r="H607" i="6"/>
  <c r="I607" i="6" s="1"/>
  <c r="J607" i="6"/>
  <c r="K607" i="6" s="1"/>
  <c r="C608" i="6"/>
  <c r="D608" i="6"/>
  <c r="E608" i="6" s="1"/>
  <c r="F608" i="6"/>
  <c r="G608" i="6" s="1"/>
  <c r="H608" i="6"/>
  <c r="I608" i="6" s="1"/>
  <c r="J608" i="6"/>
  <c r="K608" i="6" s="1"/>
  <c r="C609" i="6"/>
  <c r="D609" i="6"/>
  <c r="E609" i="6"/>
  <c r="F609" i="6"/>
  <c r="G609" i="6"/>
  <c r="H609" i="6"/>
  <c r="I609" i="6" s="1"/>
  <c r="J609" i="6"/>
  <c r="K609" i="6"/>
  <c r="C610" i="6"/>
  <c r="D610" i="6"/>
  <c r="E610" i="6"/>
  <c r="F610" i="6"/>
  <c r="G610" i="6" s="1"/>
  <c r="H610" i="6"/>
  <c r="I610" i="6" s="1"/>
  <c r="J610" i="6"/>
  <c r="K610" i="6"/>
  <c r="C611" i="6"/>
  <c r="D611" i="6"/>
  <c r="E611" i="6" s="1"/>
  <c r="F611" i="6"/>
  <c r="G611" i="6" s="1"/>
  <c r="H611" i="6"/>
  <c r="I611" i="6"/>
  <c r="J611" i="6"/>
  <c r="K611" i="6"/>
  <c r="C612" i="6"/>
  <c r="D612" i="6"/>
  <c r="E612" i="6"/>
  <c r="F612" i="6"/>
  <c r="G612" i="6" s="1"/>
  <c r="H612" i="6"/>
  <c r="I612" i="6" s="1"/>
  <c r="J612" i="6"/>
  <c r="K612" i="6"/>
  <c r="C613" i="6"/>
  <c r="D613" i="6"/>
  <c r="E613" i="6"/>
  <c r="F613" i="6"/>
  <c r="G613" i="6" s="1"/>
  <c r="H613" i="6"/>
  <c r="I613" i="6" s="1"/>
  <c r="J613" i="6"/>
  <c r="K613" i="6" s="1"/>
  <c r="C614" i="6"/>
  <c r="D614" i="6"/>
  <c r="E614" i="6" s="1"/>
  <c r="F614" i="6"/>
  <c r="G614" i="6"/>
  <c r="H614" i="6"/>
  <c r="I614" i="6" s="1"/>
  <c r="J614" i="6"/>
  <c r="K614" i="6" s="1"/>
  <c r="C615" i="6"/>
  <c r="D615" i="6"/>
  <c r="E615" i="6" s="1"/>
  <c r="F615" i="6"/>
  <c r="G615" i="6"/>
  <c r="H615" i="6"/>
  <c r="I615" i="6" s="1"/>
  <c r="J615" i="6"/>
  <c r="K615" i="6" s="1"/>
  <c r="C616" i="6"/>
  <c r="D616" i="6"/>
  <c r="E616" i="6" s="1"/>
  <c r="F616" i="6"/>
  <c r="G616" i="6"/>
  <c r="H616" i="6"/>
  <c r="I616" i="6"/>
  <c r="J616" i="6"/>
  <c r="K616" i="6" s="1"/>
  <c r="C617" i="6"/>
  <c r="D617" i="6"/>
  <c r="E617" i="6"/>
  <c r="F617" i="6"/>
  <c r="G617" i="6"/>
  <c r="H617" i="6"/>
  <c r="I617" i="6" s="1"/>
  <c r="J617" i="6"/>
  <c r="K617" i="6"/>
  <c r="C618" i="6"/>
  <c r="D618" i="6"/>
  <c r="E618" i="6"/>
  <c r="F618" i="6"/>
  <c r="G618" i="6" s="1"/>
  <c r="H618" i="6"/>
  <c r="I618" i="6" s="1"/>
  <c r="J618" i="6"/>
  <c r="K618" i="6"/>
  <c r="C619" i="6"/>
  <c r="D619" i="6"/>
  <c r="E619" i="6"/>
  <c r="F619" i="6"/>
  <c r="G619" i="6"/>
  <c r="H619" i="6"/>
  <c r="I619" i="6"/>
  <c r="J619" i="6"/>
  <c r="K619" i="6"/>
  <c r="C620" i="6"/>
  <c r="D620" i="6"/>
  <c r="E620" i="6"/>
  <c r="F620" i="6"/>
  <c r="G620" i="6"/>
  <c r="H620" i="6"/>
  <c r="I620" i="6" s="1"/>
  <c r="J620" i="6"/>
  <c r="K620" i="6"/>
  <c r="C621" i="6"/>
  <c r="D621" i="6"/>
  <c r="E621" i="6"/>
  <c r="F621" i="6"/>
  <c r="G621" i="6" s="1"/>
  <c r="H621" i="6"/>
  <c r="I621" i="6" s="1"/>
  <c r="J621" i="6"/>
  <c r="K621" i="6"/>
  <c r="C622" i="6"/>
  <c r="D622" i="6"/>
  <c r="E622" i="6" s="1"/>
  <c r="F622" i="6"/>
  <c r="G622" i="6" s="1"/>
  <c r="H622" i="6"/>
  <c r="I622" i="6" s="1"/>
  <c r="J622" i="6"/>
  <c r="K622" i="6"/>
  <c r="C623" i="6"/>
  <c r="D623" i="6"/>
  <c r="E623" i="6" s="1"/>
  <c r="F623" i="6"/>
  <c r="G623" i="6"/>
  <c r="H623" i="6"/>
  <c r="I623" i="6"/>
  <c r="J623" i="6"/>
  <c r="K623" i="6" s="1"/>
  <c r="C624" i="6"/>
  <c r="D624" i="6"/>
  <c r="E624" i="6" s="1"/>
  <c r="F624" i="6"/>
  <c r="G624" i="6"/>
  <c r="H624" i="6"/>
  <c r="I624" i="6" s="1"/>
  <c r="J624" i="6"/>
  <c r="K624" i="6" s="1"/>
  <c r="C625" i="6"/>
  <c r="D625" i="6"/>
  <c r="E625" i="6" s="1"/>
  <c r="F625" i="6"/>
  <c r="G625" i="6"/>
  <c r="H625" i="6"/>
  <c r="I625" i="6"/>
  <c r="J625" i="6"/>
  <c r="K625" i="6"/>
  <c r="C626" i="6"/>
  <c r="D626" i="6"/>
  <c r="E626" i="6"/>
  <c r="F626" i="6"/>
  <c r="G626" i="6"/>
  <c r="H626" i="6"/>
  <c r="I626" i="6" s="1"/>
  <c r="J626" i="6"/>
  <c r="K626" i="6"/>
  <c r="C627" i="6"/>
  <c r="D627" i="6"/>
  <c r="E627" i="6"/>
  <c r="F627" i="6"/>
  <c r="G627" i="6" s="1"/>
  <c r="H627" i="6"/>
  <c r="I627" i="6"/>
  <c r="J627" i="6"/>
  <c r="K627" i="6" s="1"/>
  <c r="C628" i="6"/>
  <c r="D628" i="6"/>
  <c r="E628" i="6"/>
  <c r="F628" i="6"/>
  <c r="G628" i="6" s="1"/>
  <c r="H628" i="6"/>
  <c r="I628" i="6" s="1"/>
  <c r="J628" i="6"/>
  <c r="K628" i="6"/>
  <c r="C629" i="6"/>
  <c r="D629" i="6"/>
  <c r="E629" i="6"/>
  <c r="F629" i="6"/>
  <c r="G629" i="6" s="1"/>
  <c r="H629" i="6"/>
  <c r="I629" i="6" s="1"/>
  <c r="J629" i="6"/>
  <c r="K629" i="6"/>
  <c r="C630" i="6"/>
  <c r="D630" i="6"/>
  <c r="E630" i="6"/>
  <c r="F630" i="6"/>
  <c r="G630" i="6" s="1"/>
  <c r="H630" i="6"/>
  <c r="I630" i="6" s="1"/>
  <c r="J630" i="6"/>
  <c r="K630" i="6" s="1"/>
  <c r="C631" i="6"/>
  <c r="D631" i="6"/>
  <c r="E631" i="6" s="1"/>
  <c r="F631" i="6"/>
  <c r="G631" i="6" s="1"/>
  <c r="H631" i="6"/>
  <c r="I631" i="6"/>
  <c r="J631" i="6"/>
  <c r="K631" i="6"/>
  <c r="C632" i="6"/>
  <c r="D632" i="6"/>
  <c r="E632" i="6" s="1"/>
  <c r="F632" i="6"/>
  <c r="G632" i="6" s="1"/>
  <c r="H632" i="6"/>
  <c r="I632" i="6"/>
  <c r="J632" i="6"/>
  <c r="K632" i="6" s="1"/>
  <c r="C633" i="6"/>
  <c r="D633" i="6"/>
  <c r="E633" i="6" s="1"/>
  <c r="F633" i="6"/>
  <c r="G633" i="6" s="1"/>
  <c r="H633" i="6"/>
  <c r="I633" i="6"/>
  <c r="J633" i="6"/>
  <c r="K633" i="6" s="1"/>
  <c r="C634" i="6"/>
  <c r="D634" i="6"/>
  <c r="E634" i="6"/>
  <c r="F634" i="6"/>
  <c r="G634" i="6" s="1"/>
  <c r="H634" i="6"/>
  <c r="I634" i="6"/>
  <c r="J634" i="6"/>
  <c r="K634" i="6" s="1"/>
  <c r="C635" i="6"/>
  <c r="D635" i="6"/>
  <c r="E635" i="6" s="1"/>
  <c r="F635" i="6"/>
  <c r="G635" i="6" s="1"/>
  <c r="H635" i="6"/>
  <c r="I635" i="6"/>
  <c r="J635" i="6"/>
  <c r="K635" i="6" s="1"/>
  <c r="C636" i="6"/>
  <c r="D636" i="6"/>
  <c r="E636" i="6" s="1"/>
  <c r="F636" i="6"/>
  <c r="G636" i="6"/>
  <c r="H636" i="6"/>
  <c r="I636" i="6"/>
  <c r="J636" i="6"/>
  <c r="K636" i="6"/>
  <c r="C637" i="6"/>
  <c r="D637" i="6"/>
  <c r="E637" i="6"/>
  <c r="F637" i="6"/>
  <c r="G637" i="6" s="1"/>
  <c r="H637" i="6"/>
  <c r="I637" i="6"/>
  <c r="J637" i="6"/>
  <c r="K637" i="6" s="1"/>
  <c r="C638" i="6"/>
  <c r="D638" i="6"/>
  <c r="E638" i="6" s="1"/>
  <c r="F638" i="6"/>
  <c r="G638" i="6" s="1"/>
  <c r="H638" i="6"/>
  <c r="I638" i="6" s="1"/>
  <c r="J638" i="6"/>
  <c r="K638" i="6" s="1"/>
  <c r="C639" i="6"/>
  <c r="D639" i="6"/>
  <c r="E639" i="6" s="1"/>
  <c r="F639" i="6"/>
  <c r="G639" i="6" s="1"/>
  <c r="H639" i="6"/>
  <c r="I639" i="6"/>
  <c r="J639" i="6"/>
  <c r="K639" i="6"/>
  <c r="C640" i="6"/>
  <c r="D640" i="6"/>
  <c r="E640" i="6" s="1"/>
  <c r="F640" i="6"/>
  <c r="G640" i="6" s="1"/>
  <c r="H640" i="6"/>
  <c r="I640" i="6"/>
  <c r="J640" i="6"/>
  <c r="K640" i="6" s="1"/>
  <c r="C641" i="6"/>
  <c r="D641" i="6"/>
  <c r="E641" i="6" s="1"/>
  <c r="F641" i="6"/>
  <c r="G641" i="6" s="1"/>
  <c r="H641" i="6"/>
  <c r="I641" i="6"/>
  <c r="J641" i="6"/>
  <c r="K641" i="6" s="1"/>
  <c r="C642" i="6"/>
  <c r="D642" i="6"/>
  <c r="E642" i="6"/>
  <c r="F642" i="6"/>
  <c r="G642" i="6" s="1"/>
  <c r="H642" i="6"/>
  <c r="I642" i="6"/>
  <c r="J642" i="6"/>
  <c r="K642" i="6" s="1"/>
  <c r="C643" i="6"/>
  <c r="D643" i="6"/>
  <c r="E643" i="6" s="1"/>
  <c r="F643" i="6"/>
  <c r="G643" i="6" s="1"/>
  <c r="H643" i="6"/>
  <c r="I643" i="6"/>
  <c r="J643" i="6"/>
  <c r="K643" i="6" s="1"/>
  <c r="C644" i="6"/>
  <c r="D644" i="6"/>
  <c r="E644" i="6" s="1"/>
  <c r="F644" i="6"/>
  <c r="G644" i="6"/>
  <c r="H644" i="6"/>
  <c r="I644" i="6"/>
  <c r="J644" i="6"/>
  <c r="K644" i="6"/>
  <c r="C645" i="6"/>
  <c r="D645" i="6"/>
  <c r="E645" i="6"/>
  <c r="F645" i="6"/>
  <c r="G645" i="6" s="1"/>
  <c r="H645" i="6"/>
  <c r="I645" i="6"/>
  <c r="J645" i="6"/>
  <c r="K645" i="6" s="1"/>
  <c r="C646" i="6"/>
  <c r="D646" i="6"/>
  <c r="E646" i="6" s="1"/>
  <c r="F646" i="6"/>
  <c r="G646" i="6" s="1"/>
  <c r="H646" i="6"/>
  <c r="I646" i="6" s="1"/>
  <c r="J646" i="6"/>
  <c r="K646" i="6" s="1"/>
  <c r="C647" i="6"/>
  <c r="D647" i="6"/>
  <c r="E647" i="6" s="1"/>
  <c r="F647" i="6"/>
  <c r="G647" i="6" s="1"/>
  <c r="H647" i="6"/>
  <c r="I647" i="6"/>
  <c r="J647" i="6"/>
  <c r="K647" i="6"/>
  <c r="C648" i="6"/>
  <c r="D648" i="6"/>
  <c r="E648" i="6" s="1"/>
  <c r="F648" i="6"/>
  <c r="G648" i="6" s="1"/>
  <c r="H648" i="6"/>
  <c r="I648" i="6"/>
  <c r="J648" i="6"/>
  <c r="K648" i="6" s="1"/>
  <c r="C649" i="6"/>
  <c r="D649" i="6"/>
  <c r="E649" i="6" s="1"/>
  <c r="F649" i="6"/>
  <c r="G649" i="6" s="1"/>
  <c r="H649" i="6"/>
  <c r="I649" i="6"/>
  <c r="J649" i="6"/>
  <c r="K649" i="6" s="1"/>
  <c r="C650" i="6"/>
  <c r="D650" i="6"/>
  <c r="E650" i="6"/>
  <c r="F650" i="6"/>
  <c r="G650" i="6" s="1"/>
  <c r="H650" i="6"/>
  <c r="I650" i="6"/>
  <c r="J650" i="6"/>
  <c r="K650" i="6" s="1"/>
  <c r="C651" i="6"/>
  <c r="D651" i="6"/>
  <c r="E651" i="6" s="1"/>
  <c r="F651" i="6"/>
  <c r="G651" i="6" s="1"/>
  <c r="H651" i="6"/>
  <c r="I651" i="6"/>
  <c r="J651" i="6"/>
  <c r="K651" i="6" s="1"/>
  <c r="C652" i="6"/>
  <c r="D652" i="6"/>
  <c r="E652" i="6" s="1"/>
  <c r="F652" i="6"/>
  <c r="G652" i="6"/>
  <c r="H652" i="6"/>
  <c r="I652" i="6"/>
  <c r="J652" i="6"/>
  <c r="K652" i="6"/>
  <c r="C653" i="6"/>
  <c r="D653" i="6"/>
  <c r="E653" i="6"/>
  <c r="F653" i="6"/>
  <c r="G653" i="6" s="1"/>
  <c r="H653" i="6"/>
  <c r="I653" i="6"/>
  <c r="J653" i="6"/>
  <c r="K653" i="6" s="1"/>
  <c r="C654" i="6"/>
  <c r="D654" i="6"/>
  <c r="E654" i="6" s="1"/>
  <c r="F654" i="6"/>
  <c r="G654" i="6"/>
  <c r="H654" i="6"/>
  <c r="I654" i="6" s="1"/>
  <c r="J654" i="6"/>
  <c r="K654" i="6" s="1"/>
  <c r="C655" i="6"/>
  <c r="D655" i="6"/>
  <c r="E655" i="6" s="1"/>
  <c r="F655" i="6"/>
  <c r="G655" i="6" s="1"/>
  <c r="H655" i="6"/>
  <c r="I655" i="6"/>
  <c r="J655" i="6"/>
  <c r="K655" i="6"/>
  <c r="C656" i="6"/>
  <c r="D656" i="6"/>
  <c r="E656" i="6" s="1"/>
  <c r="F656" i="6"/>
  <c r="G656" i="6" s="1"/>
  <c r="H656" i="6"/>
  <c r="I656" i="6"/>
  <c r="J656" i="6"/>
  <c r="K656" i="6" s="1"/>
  <c r="C657" i="6"/>
  <c r="D657" i="6"/>
  <c r="E657" i="6" s="1"/>
  <c r="F657" i="6"/>
  <c r="G657" i="6" s="1"/>
  <c r="H657" i="6"/>
  <c r="I657" i="6"/>
  <c r="J657" i="6"/>
  <c r="K657" i="6" s="1"/>
  <c r="C658" i="6"/>
  <c r="D658" i="6"/>
  <c r="E658" i="6"/>
  <c r="F658" i="6"/>
  <c r="G658" i="6" s="1"/>
  <c r="H658" i="6"/>
  <c r="I658" i="6"/>
  <c r="J658" i="6"/>
  <c r="K658" i="6" s="1"/>
  <c r="C659" i="6"/>
  <c r="D659" i="6"/>
  <c r="E659" i="6" s="1"/>
  <c r="F659" i="6"/>
  <c r="G659" i="6" s="1"/>
  <c r="H659" i="6"/>
  <c r="I659" i="6"/>
  <c r="J659" i="6"/>
  <c r="K659" i="6" s="1"/>
  <c r="C660" i="6"/>
  <c r="D660" i="6"/>
  <c r="E660" i="6" s="1"/>
  <c r="F660" i="6"/>
  <c r="G660" i="6"/>
  <c r="H660" i="6"/>
  <c r="I660" i="6"/>
  <c r="J660" i="6"/>
  <c r="K660" i="6"/>
  <c r="C661" i="6"/>
  <c r="D661" i="6"/>
  <c r="E661" i="6"/>
  <c r="F661" i="6"/>
  <c r="G661" i="6" s="1"/>
  <c r="H661" i="6"/>
  <c r="I661" i="6"/>
  <c r="J661" i="6"/>
  <c r="K661" i="6" s="1"/>
  <c r="C662" i="6"/>
  <c r="D662" i="6"/>
  <c r="E662" i="6" s="1"/>
  <c r="F662" i="6"/>
  <c r="G662" i="6"/>
  <c r="H662" i="6"/>
  <c r="I662" i="6" s="1"/>
  <c r="J662" i="6"/>
  <c r="K662" i="6" s="1"/>
  <c r="C663" i="6"/>
  <c r="D663" i="6"/>
  <c r="E663" i="6" s="1"/>
  <c r="F663" i="6"/>
  <c r="G663" i="6" s="1"/>
  <c r="H663" i="6"/>
  <c r="I663" i="6"/>
  <c r="J663" i="6"/>
  <c r="K663" i="6"/>
  <c r="C664" i="6"/>
  <c r="D664" i="6"/>
  <c r="E664" i="6" s="1"/>
  <c r="F664" i="6"/>
  <c r="G664" i="6" s="1"/>
  <c r="H664" i="6"/>
  <c r="I664" i="6"/>
  <c r="J664" i="6"/>
  <c r="K664" i="6" s="1"/>
  <c r="C665" i="6"/>
  <c r="D665" i="6"/>
  <c r="E665" i="6" s="1"/>
  <c r="F665" i="6"/>
  <c r="G665" i="6" s="1"/>
  <c r="H665" i="6"/>
  <c r="I665" i="6"/>
  <c r="J665" i="6"/>
  <c r="K665" i="6" s="1"/>
  <c r="C666" i="6"/>
  <c r="D666" i="6"/>
  <c r="E666" i="6"/>
  <c r="F666" i="6"/>
  <c r="G666" i="6" s="1"/>
  <c r="H666" i="6"/>
  <c r="I666" i="6"/>
  <c r="J666" i="6"/>
  <c r="K666" i="6" s="1"/>
  <c r="C667" i="6"/>
  <c r="D667" i="6"/>
  <c r="E667" i="6" s="1"/>
  <c r="F667" i="6"/>
  <c r="G667" i="6" s="1"/>
  <c r="H667" i="6"/>
  <c r="I667" i="6"/>
  <c r="J667" i="6"/>
  <c r="K667" i="6" s="1"/>
  <c r="C668" i="6"/>
  <c r="D668" i="6"/>
  <c r="E668" i="6" s="1"/>
  <c r="F668" i="6"/>
  <c r="G668" i="6"/>
  <c r="H668" i="6"/>
  <c r="I668" i="6"/>
  <c r="J668" i="6"/>
  <c r="K668" i="6"/>
  <c r="C669" i="6"/>
  <c r="D669" i="6"/>
  <c r="E669" i="6"/>
  <c r="F669" i="6"/>
  <c r="G669" i="6" s="1"/>
  <c r="H669" i="6"/>
  <c r="I669" i="6"/>
  <c r="J669" i="6"/>
  <c r="K669" i="6" s="1"/>
  <c r="C670" i="6"/>
  <c r="D670" i="6"/>
  <c r="E670" i="6" s="1"/>
  <c r="F670" i="6"/>
  <c r="G670" i="6"/>
  <c r="H670" i="6"/>
  <c r="I670" i="6" s="1"/>
  <c r="J670" i="6"/>
  <c r="K670" i="6" s="1"/>
  <c r="C671" i="6"/>
  <c r="D671" i="6"/>
  <c r="E671" i="6" s="1"/>
  <c r="F671" i="6"/>
  <c r="G671" i="6" s="1"/>
  <c r="H671" i="6"/>
  <c r="I671" i="6"/>
  <c r="J671" i="6"/>
  <c r="K671" i="6"/>
  <c r="C672" i="6"/>
  <c r="D672" i="6"/>
  <c r="E672" i="6" s="1"/>
  <c r="F672" i="6"/>
  <c r="G672" i="6" s="1"/>
  <c r="H672" i="6"/>
  <c r="I672" i="6"/>
  <c r="J672" i="6"/>
  <c r="K672" i="6" s="1"/>
  <c r="C673" i="6"/>
  <c r="D673" i="6"/>
  <c r="E673" i="6" s="1"/>
  <c r="F673" i="6"/>
  <c r="G673" i="6" s="1"/>
  <c r="H673" i="6"/>
  <c r="I673" i="6"/>
  <c r="J673" i="6"/>
  <c r="K673" i="6" s="1"/>
  <c r="C674" i="6"/>
  <c r="D674" i="6"/>
  <c r="E674" i="6"/>
  <c r="F674" i="6"/>
  <c r="G674" i="6" s="1"/>
  <c r="H674" i="6"/>
  <c r="I674" i="6"/>
  <c r="J674" i="6"/>
  <c r="K674" i="6" s="1"/>
  <c r="C675" i="6"/>
  <c r="D675" i="6"/>
  <c r="E675" i="6" s="1"/>
  <c r="F675" i="6"/>
  <c r="G675" i="6" s="1"/>
  <c r="H675" i="6"/>
  <c r="I675" i="6"/>
  <c r="J675" i="6"/>
  <c r="K675" i="6" s="1"/>
  <c r="C676" i="6"/>
  <c r="D676" i="6"/>
  <c r="E676" i="6" s="1"/>
  <c r="F676" i="6"/>
  <c r="G676" i="6"/>
  <c r="H676" i="6"/>
  <c r="I676" i="6"/>
  <c r="J676" i="6"/>
  <c r="K676" i="6"/>
  <c r="C677" i="6"/>
  <c r="D677" i="6"/>
  <c r="E677" i="6"/>
  <c r="F677" i="6"/>
  <c r="G677" i="6" s="1"/>
  <c r="H677" i="6"/>
  <c r="I677" i="6"/>
  <c r="J677" i="6"/>
  <c r="K677" i="6" s="1"/>
  <c r="C678" i="6"/>
  <c r="D678" i="6"/>
  <c r="E678" i="6" s="1"/>
  <c r="F678" i="6"/>
  <c r="G678" i="6"/>
  <c r="H678" i="6"/>
  <c r="I678" i="6" s="1"/>
  <c r="J678" i="6"/>
  <c r="K678" i="6" s="1"/>
  <c r="C679" i="6"/>
  <c r="D679" i="6"/>
  <c r="E679" i="6" s="1"/>
  <c r="F679" i="6"/>
  <c r="G679" i="6" s="1"/>
  <c r="H679" i="6"/>
  <c r="I679" i="6"/>
  <c r="J679" i="6"/>
  <c r="K679" i="6"/>
  <c r="C680" i="6"/>
  <c r="D680" i="6"/>
  <c r="E680" i="6" s="1"/>
  <c r="F680" i="6"/>
  <c r="G680" i="6" s="1"/>
  <c r="H680" i="6"/>
  <c r="I680" i="6"/>
  <c r="J680" i="6"/>
  <c r="K680" i="6" s="1"/>
  <c r="C681" i="6"/>
  <c r="D681" i="6"/>
  <c r="E681" i="6" s="1"/>
  <c r="F681" i="6"/>
  <c r="G681" i="6" s="1"/>
  <c r="H681" i="6"/>
  <c r="I681" i="6"/>
  <c r="J681" i="6"/>
  <c r="K681" i="6" s="1"/>
  <c r="C682" i="6"/>
  <c r="D682" i="6"/>
  <c r="E682" i="6"/>
  <c r="F682" i="6"/>
  <c r="G682" i="6" s="1"/>
  <c r="H682" i="6"/>
  <c r="I682" i="6"/>
  <c r="J682" i="6"/>
  <c r="K682" i="6" s="1"/>
  <c r="C683" i="6"/>
  <c r="D683" i="6"/>
  <c r="E683" i="6" s="1"/>
  <c r="F683" i="6"/>
  <c r="G683" i="6" s="1"/>
  <c r="H683" i="6"/>
  <c r="I683" i="6"/>
  <c r="J683" i="6"/>
  <c r="K683" i="6" s="1"/>
  <c r="C684" i="6"/>
  <c r="D684" i="6"/>
  <c r="E684" i="6" s="1"/>
  <c r="F684" i="6"/>
  <c r="G684" i="6"/>
  <c r="H684" i="6"/>
  <c r="I684" i="6"/>
  <c r="J684" i="6"/>
  <c r="K684" i="6"/>
  <c r="C685" i="6"/>
  <c r="D685" i="6"/>
  <c r="E685" i="6"/>
  <c r="F685" i="6"/>
  <c r="G685" i="6"/>
  <c r="H685" i="6"/>
  <c r="I685" i="6"/>
  <c r="J685" i="6"/>
  <c r="K685" i="6" s="1"/>
  <c r="C686" i="6"/>
  <c r="D686" i="6"/>
  <c r="E686" i="6" s="1"/>
  <c r="F686" i="6"/>
  <c r="G686" i="6"/>
  <c r="H686" i="6"/>
  <c r="I686" i="6" s="1"/>
  <c r="J686" i="6"/>
  <c r="K686" i="6" s="1"/>
  <c r="C687" i="6"/>
  <c r="D687" i="6"/>
  <c r="E687" i="6" s="1"/>
  <c r="F687" i="6"/>
  <c r="G687" i="6" s="1"/>
  <c r="H687" i="6"/>
  <c r="I687" i="6"/>
  <c r="J687" i="6"/>
  <c r="K687" i="6"/>
  <c r="C688" i="6"/>
  <c r="D688" i="6"/>
  <c r="E688" i="6" s="1"/>
  <c r="F688" i="6"/>
  <c r="G688" i="6" s="1"/>
  <c r="H688" i="6"/>
  <c r="I688" i="6"/>
  <c r="J688" i="6"/>
  <c r="K688" i="6" s="1"/>
  <c r="C689" i="6"/>
  <c r="D689" i="6"/>
  <c r="E689" i="6" s="1"/>
  <c r="F689" i="6"/>
  <c r="G689" i="6" s="1"/>
  <c r="H689" i="6"/>
  <c r="I689" i="6"/>
  <c r="J689" i="6"/>
  <c r="K689" i="6" s="1"/>
  <c r="C690" i="6"/>
  <c r="D690" i="6"/>
  <c r="E690" i="6"/>
  <c r="F690" i="6"/>
  <c r="G690" i="6" s="1"/>
  <c r="H690" i="6"/>
  <c r="I690" i="6"/>
  <c r="J690" i="6"/>
  <c r="K690" i="6" s="1"/>
  <c r="C691" i="6"/>
  <c r="D691" i="6"/>
  <c r="E691" i="6" s="1"/>
  <c r="F691" i="6"/>
  <c r="G691" i="6" s="1"/>
  <c r="H691" i="6"/>
  <c r="I691" i="6"/>
  <c r="J691" i="6"/>
  <c r="K691" i="6" s="1"/>
  <c r="C692" i="6"/>
  <c r="D692" i="6"/>
  <c r="E692" i="6" s="1"/>
  <c r="F692" i="6"/>
  <c r="G692" i="6"/>
  <c r="H692" i="6"/>
  <c r="I692" i="6"/>
  <c r="J692" i="6"/>
  <c r="K692" i="6"/>
  <c r="C693" i="6"/>
  <c r="D693" i="6"/>
  <c r="E693" i="6"/>
  <c r="F693" i="6"/>
  <c r="G693" i="6"/>
  <c r="H693" i="6"/>
  <c r="I693" i="6"/>
  <c r="J693" i="6"/>
  <c r="K693" i="6" s="1"/>
  <c r="C694" i="6"/>
  <c r="D694" i="6"/>
  <c r="E694" i="6" s="1"/>
  <c r="F694" i="6"/>
  <c r="G694" i="6" s="1"/>
  <c r="H694" i="6"/>
  <c r="I694" i="6" s="1"/>
  <c r="J694" i="6"/>
  <c r="K694" i="6" s="1"/>
  <c r="C695" i="6"/>
  <c r="D695" i="6"/>
  <c r="E695" i="6" s="1"/>
  <c r="F695" i="6"/>
  <c r="G695" i="6" s="1"/>
  <c r="H695" i="6"/>
  <c r="I695" i="6"/>
  <c r="J695" i="6"/>
  <c r="K695" i="6"/>
  <c r="C696" i="6"/>
  <c r="D696" i="6"/>
  <c r="E696" i="6" s="1"/>
  <c r="F696" i="6"/>
  <c r="G696" i="6" s="1"/>
  <c r="H696" i="6"/>
  <c r="I696" i="6"/>
  <c r="J696" i="6"/>
  <c r="K696" i="6" s="1"/>
  <c r="C697" i="6"/>
  <c r="D697" i="6"/>
  <c r="E697" i="6" s="1"/>
  <c r="F697" i="6"/>
  <c r="G697" i="6" s="1"/>
  <c r="H697" i="6"/>
  <c r="I697" i="6"/>
  <c r="J697" i="6"/>
  <c r="K697" i="6" s="1"/>
  <c r="C698" i="6"/>
  <c r="D698" i="6"/>
  <c r="E698" i="6"/>
  <c r="F698" i="6"/>
  <c r="G698" i="6" s="1"/>
  <c r="H698" i="6"/>
  <c r="I698" i="6"/>
  <c r="J698" i="6"/>
  <c r="K698" i="6" s="1"/>
  <c r="C699" i="6"/>
  <c r="D699" i="6"/>
  <c r="E699" i="6" s="1"/>
  <c r="F699" i="6"/>
  <c r="G699" i="6" s="1"/>
  <c r="H699" i="6"/>
  <c r="I699" i="6"/>
  <c r="J699" i="6"/>
  <c r="K699" i="6" s="1"/>
  <c r="C700" i="6"/>
  <c r="D700" i="6"/>
  <c r="E700" i="6" s="1"/>
  <c r="F700" i="6"/>
  <c r="G700" i="6"/>
  <c r="H700" i="6"/>
  <c r="I700" i="6"/>
  <c r="J700" i="6"/>
  <c r="K700" i="6"/>
  <c r="C701" i="6"/>
  <c r="D701" i="6"/>
  <c r="E701" i="6"/>
  <c r="F701" i="6"/>
  <c r="G701" i="6"/>
  <c r="H701" i="6"/>
  <c r="I701" i="6"/>
  <c r="J701" i="6"/>
  <c r="K701" i="6" s="1"/>
  <c r="C702" i="6"/>
  <c r="D702" i="6"/>
  <c r="E702" i="6" s="1"/>
  <c r="F702" i="6"/>
  <c r="G702" i="6"/>
  <c r="H702" i="6"/>
  <c r="I702" i="6" s="1"/>
  <c r="J702" i="6"/>
  <c r="K702" i="6" s="1"/>
  <c r="C703" i="6"/>
  <c r="D703" i="6"/>
  <c r="E703" i="6" s="1"/>
  <c r="F703" i="6"/>
  <c r="G703" i="6" s="1"/>
  <c r="H703" i="6"/>
  <c r="I703" i="6"/>
  <c r="J703" i="6"/>
  <c r="K703" i="6"/>
  <c r="C704" i="6"/>
  <c r="D704" i="6"/>
  <c r="E704" i="6" s="1"/>
  <c r="F704" i="6"/>
  <c r="G704" i="6" s="1"/>
  <c r="H704" i="6"/>
  <c r="I704" i="6"/>
  <c r="J704" i="6"/>
  <c r="K704" i="6" s="1"/>
  <c r="C705" i="6"/>
  <c r="D705" i="6"/>
  <c r="E705" i="6" s="1"/>
  <c r="F705" i="6"/>
  <c r="G705" i="6" s="1"/>
  <c r="H705" i="6"/>
  <c r="I705" i="6"/>
  <c r="J705" i="6"/>
  <c r="K705" i="6" s="1"/>
  <c r="C706" i="6"/>
  <c r="D706" i="6"/>
  <c r="E706" i="6"/>
  <c r="F706" i="6"/>
  <c r="G706" i="6" s="1"/>
  <c r="H706" i="6"/>
  <c r="I706" i="6"/>
  <c r="J706" i="6"/>
  <c r="K706" i="6" s="1"/>
  <c r="C707" i="6"/>
  <c r="D707" i="6"/>
  <c r="E707" i="6" s="1"/>
  <c r="F707" i="6"/>
  <c r="G707" i="6" s="1"/>
  <c r="H707" i="6"/>
  <c r="I707" i="6"/>
  <c r="J707" i="6"/>
  <c r="K707" i="6" s="1"/>
  <c r="C708" i="6"/>
  <c r="D708" i="6"/>
  <c r="E708" i="6" s="1"/>
  <c r="F708" i="6"/>
  <c r="G708" i="6"/>
  <c r="H708" i="6"/>
  <c r="I708" i="6"/>
  <c r="J708" i="6"/>
  <c r="K708" i="6"/>
  <c r="C709" i="6"/>
  <c r="D709" i="6"/>
  <c r="E709" i="6"/>
  <c r="F709" i="6"/>
  <c r="G709" i="6"/>
  <c r="H709" i="6"/>
  <c r="I709" i="6"/>
  <c r="J709" i="6"/>
  <c r="K709" i="6" s="1"/>
  <c r="C710" i="6"/>
  <c r="D710" i="6"/>
  <c r="E710" i="6" s="1"/>
  <c r="F710" i="6"/>
  <c r="G710" i="6" s="1"/>
  <c r="H710" i="6"/>
  <c r="I710" i="6"/>
  <c r="J710" i="6"/>
  <c r="K710" i="6" s="1"/>
  <c r="C711" i="6"/>
  <c r="D711" i="6"/>
  <c r="E711" i="6" s="1"/>
  <c r="F711" i="6"/>
  <c r="G711" i="6" s="1"/>
  <c r="H711" i="6"/>
  <c r="I711" i="6"/>
  <c r="J711" i="6"/>
  <c r="K711" i="6"/>
  <c r="C712" i="6"/>
  <c r="D712" i="6"/>
  <c r="E712" i="6" s="1"/>
  <c r="F712" i="6"/>
  <c r="G712" i="6" s="1"/>
  <c r="H712" i="6"/>
  <c r="I712" i="6"/>
  <c r="J712" i="6"/>
  <c r="K712" i="6" s="1"/>
  <c r="C713" i="6"/>
  <c r="D713" i="6"/>
  <c r="E713" i="6" s="1"/>
  <c r="F713" i="6"/>
  <c r="G713" i="6" s="1"/>
  <c r="H713" i="6"/>
  <c r="I713" i="6"/>
  <c r="J713" i="6"/>
  <c r="K713" i="6" s="1"/>
  <c r="C714" i="6"/>
  <c r="D714" i="6"/>
  <c r="E714" i="6"/>
  <c r="F714" i="6"/>
  <c r="G714" i="6" s="1"/>
  <c r="H714" i="6"/>
  <c r="I714" i="6"/>
  <c r="J714" i="6"/>
  <c r="K714" i="6" s="1"/>
  <c r="C715" i="6"/>
  <c r="D715" i="6"/>
  <c r="E715" i="6" s="1"/>
  <c r="F715" i="6"/>
  <c r="G715" i="6" s="1"/>
  <c r="H715" i="6"/>
  <c r="I715" i="6"/>
  <c r="J715" i="6"/>
  <c r="K715" i="6" s="1"/>
  <c r="C716" i="6"/>
  <c r="D716" i="6"/>
  <c r="E716" i="6" s="1"/>
  <c r="F716" i="6"/>
  <c r="G716" i="6"/>
  <c r="H716" i="6"/>
  <c r="I716" i="6"/>
  <c r="J716" i="6"/>
  <c r="K716" i="6"/>
  <c r="C717" i="6"/>
  <c r="D717" i="6"/>
  <c r="E717" i="6"/>
  <c r="F717" i="6"/>
  <c r="G717" i="6"/>
  <c r="H717" i="6"/>
  <c r="I717" i="6"/>
  <c r="J717" i="6"/>
  <c r="K717" i="6" s="1"/>
  <c r="C718" i="6"/>
  <c r="D718" i="6"/>
  <c r="E718" i="6" s="1"/>
  <c r="F718" i="6"/>
  <c r="G718" i="6" s="1"/>
  <c r="H718" i="6"/>
  <c r="I718" i="6"/>
  <c r="J718" i="6"/>
  <c r="K718" i="6" s="1"/>
  <c r="C719" i="6"/>
  <c r="D719" i="6"/>
  <c r="E719" i="6" s="1"/>
  <c r="F719" i="6"/>
  <c r="G719" i="6" s="1"/>
  <c r="H719" i="6"/>
  <c r="I719" i="6"/>
  <c r="J719" i="6"/>
  <c r="K719" i="6"/>
  <c r="C720" i="6"/>
  <c r="D720" i="6"/>
  <c r="E720" i="6" s="1"/>
  <c r="F720" i="6"/>
  <c r="G720" i="6"/>
  <c r="H720" i="6"/>
  <c r="I720" i="6"/>
  <c r="J720" i="6"/>
  <c r="K720" i="6" s="1"/>
  <c r="C721" i="6"/>
  <c r="D721" i="6"/>
  <c r="E721" i="6" s="1"/>
  <c r="F721" i="6"/>
  <c r="G721" i="6" s="1"/>
  <c r="H721" i="6"/>
  <c r="I721" i="6"/>
  <c r="J721" i="6"/>
  <c r="K721" i="6" s="1"/>
  <c r="C722" i="6"/>
  <c r="D722" i="6"/>
  <c r="E722" i="6"/>
  <c r="F722" i="6"/>
  <c r="G722" i="6" s="1"/>
  <c r="H722" i="6"/>
  <c r="I722" i="6"/>
  <c r="J722" i="6"/>
  <c r="K722" i="6" s="1"/>
  <c r="C723" i="6"/>
  <c r="D723" i="6"/>
  <c r="E723" i="6" s="1"/>
  <c r="F723" i="6"/>
  <c r="G723" i="6" s="1"/>
  <c r="H723" i="6"/>
  <c r="I723" i="6"/>
  <c r="J723" i="6"/>
  <c r="K723" i="6" s="1"/>
  <c r="C724" i="6"/>
  <c r="D724" i="6"/>
  <c r="E724" i="6" s="1"/>
  <c r="F724" i="6"/>
  <c r="G724" i="6"/>
  <c r="H724" i="6"/>
  <c r="I724" i="6"/>
  <c r="J724" i="6"/>
  <c r="K724" i="6"/>
  <c r="C725" i="6"/>
  <c r="D725" i="6"/>
  <c r="E725" i="6"/>
  <c r="F725" i="6"/>
  <c r="G725" i="6"/>
  <c r="H725" i="6"/>
  <c r="I725" i="6"/>
  <c r="J725" i="6"/>
  <c r="K725" i="6" s="1"/>
  <c r="C726" i="6"/>
  <c r="D726" i="6"/>
  <c r="E726" i="6" s="1"/>
  <c r="F726" i="6"/>
  <c r="G726" i="6" s="1"/>
  <c r="H726" i="6"/>
  <c r="I726" i="6"/>
  <c r="J726" i="6"/>
  <c r="K726" i="6" s="1"/>
  <c r="C727" i="6"/>
  <c r="D727" i="6"/>
  <c r="E727" i="6" s="1"/>
  <c r="F727" i="6"/>
  <c r="G727" i="6" s="1"/>
  <c r="H727" i="6"/>
  <c r="I727" i="6"/>
  <c r="J727" i="6"/>
  <c r="K727" i="6"/>
  <c r="C728" i="6"/>
  <c r="D728" i="6"/>
  <c r="E728" i="6" s="1"/>
  <c r="F728" i="6"/>
  <c r="G728" i="6" s="1"/>
  <c r="H728" i="6"/>
  <c r="I728" i="6"/>
  <c r="J728" i="6"/>
  <c r="K728" i="6" s="1"/>
  <c r="C729" i="6"/>
  <c r="D729" i="6"/>
  <c r="E729" i="6"/>
  <c r="F729" i="6"/>
  <c r="G729" i="6" s="1"/>
  <c r="H729" i="6"/>
  <c r="I729" i="6"/>
  <c r="J729" i="6"/>
  <c r="K729" i="6" s="1"/>
  <c r="C730" i="6"/>
  <c r="D730" i="6"/>
  <c r="E730" i="6"/>
  <c r="F730" i="6"/>
  <c r="G730" i="6" s="1"/>
  <c r="H730" i="6"/>
  <c r="I730" i="6"/>
  <c r="J730" i="6"/>
  <c r="K730" i="6" s="1"/>
  <c r="C731" i="6"/>
  <c r="D731" i="6"/>
  <c r="E731" i="6" s="1"/>
  <c r="F731" i="6"/>
  <c r="G731" i="6" s="1"/>
  <c r="H731" i="6"/>
  <c r="I731" i="6"/>
  <c r="J731" i="6"/>
  <c r="K731" i="6" s="1"/>
  <c r="C732" i="6"/>
  <c r="D732" i="6"/>
  <c r="E732" i="6" s="1"/>
  <c r="F732" i="6"/>
  <c r="G732" i="6"/>
  <c r="H732" i="6"/>
  <c r="I732" i="6"/>
  <c r="J732" i="6"/>
  <c r="K732" i="6"/>
  <c r="C733" i="6"/>
  <c r="D733" i="6"/>
  <c r="E733" i="6"/>
  <c r="F733" i="6"/>
  <c r="G733" i="6"/>
  <c r="H733" i="6"/>
  <c r="I733" i="6"/>
  <c r="J733" i="6"/>
  <c r="K733" i="6" s="1"/>
  <c r="C734" i="6"/>
  <c r="D734" i="6"/>
  <c r="E734" i="6" s="1"/>
  <c r="F734" i="6"/>
  <c r="G734" i="6" s="1"/>
  <c r="H734" i="6"/>
  <c r="I734" i="6"/>
  <c r="J734" i="6"/>
  <c r="K734" i="6" s="1"/>
  <c r="C735" i="6"/>
  <c r="D735" i="6"/>
  <c r="E735" i="6" s="1"/>
  <c r="F735" i="6"/>
  <c r="G735" i="6" s="1"/>
  <c r="H735" i="6"/>
  <c r="I735" i="6"/>
  <c r="J735" i="6"/>
  <c r="K735" i="6"/>
  <c r="C736" i="6"/>
  <c r="D736" i="6"/>
  <c r="E736" i="6" s="1"/>
  <c r="F736" i="6"/>
  <c r="G736" i="6" s="1"/>
  <c r="H736" i="6"/>
  <c r="I736" i="6"/>
  <c r="J736" i="6"/>
  <c r="K736" i="6" s="1"/>
  <c r="C737" i="6"/>
  <c r="D737" i="6"/>
  <c r="E737" i="6"/>
  <c r="F737" i="6"/>
  <c r="G737" i="6" s="1"/>
  <c r="H737" i="6"/>
  <c r="I737" i="6"/>
  <c r="J737" i="6"/>
  <c r="K737" i="6" s="1"/>
  <c r="C738" i="6"/>
  <c r="D738" i="6"/>
  <c r="E738" i="6"/>
  <c r="F738" i="6"/>
  <c r="G738" i="6" s="1"/>
  <c r="H738" i="6"/>
  <c r="I738" i="6"/>
  <c r="J738" i="6"/>
  <c r="K738" i="6" s="1"/>
  <c r="C739" i="6"/>
  <c r="D739" i="6"/>
  <c r="E739" i="6" s="1"/>
  <c r="F739" i="6"/>
  <c r="G739" i="6" s="1"/>
  <c r="H739" i="6"/>
  <c r="I739" i="6"/>
  <c r="J739" i="6"/>
  <c r="K739" i="6" s="1"/>
  <c r="C740" i="6"/>
  <c r="D740" i="6"/>
  <c r="E740" i="6" s="1"/>
  <c r="F740" i="6"/>
  <c r="G740" i="6"/>
  <c r="H740" i="6"/>
  <c r="I740" i="6"/>
  <c r="J740" i="6"/>
  <c r="K740" i="6"/>
  <c r="C741" i="6"/>
  <c r="D741" i="6"/>
  <c r="E741" i="6"/>
  <c r="F741" i="6"/>
  <c r="G741" i="6"/>
  <c r="H741" i="6"/>
  <c r="I741" i="6"/>
  <c r="J741" i="6"/>
  <c r="K741" i="6" s="1"/>
  <c r="C742" i="6"/>
  <c r="D742" i="6"/>
  <c r="E742" i="6" s="1"/>
  <c r="F742" i="6"/>
  <c r="G742" i="6"/>
  <c r="H742" i="6"/>
  <c r="I742" i="6"/>
  <c r="J742" i="6"/>
  <c r="K742" i="6" s="1"/>
  <c r="C743" i="6"/>
  <c r="D743" i="6"/>
  <c r="E743" i="6" s="1"/>
  <c r="F743" i="6"/>
  <c r="G743" i="6" s="1"/>
  <c r="H743" i="6"/>
  <c r="I743" i="6"/>
  <c r="J743" i="6"/>
  <c r="K743" i="6"/>
  <c r="C744" i="6"/>
  <c r="D744" i="6"/>
  <c r="E744" i="6" s="1"/>
  <c r="F744" i="6"/>
  <c r="G744" i="6" s="1"/>
  <c r="H744" i="6"/>
  <c r="I744" i="6"/>
  <c r="J744" i="6"/>
  <c r="K744" i="6" s="1"/>
  <c r="C745" i="6"/>
  <c r="D745" i="6"/>
  <c r="E745" i="6" s="1"/>
  <c r="F745" i="6"/>
  <c r="G745" i="6" s="1"/>
  <c r="H745" i="6"/>
  <c r="I745" i="6"/>
  <c r="J745" i="6"/>
  <c r="K745" i="6" s="1"/>
  <c r="C746" i="6"/>
  <c r="D746" i="6"/>
  <c r="E746" i="6"/>
  <c r="F746" i="6"/>
  <c r="G746" i="6" s="1"/>
  <c r="H746" i="6"/>
  <c r="I746" i="6"/>
  <c r="J746" i="6"/>
  <c r="K746" i="6" s="1"/>
  <c r="C747" i="6"/>
  <c r="D747" i="6"/>
  <c r="E747" i="6" s="1"/>
  <c r="F747" i="6"/>
  <c r="G747" i="6" s="1"/>
  <c r="H747" i="6"/>
  <c r="I747" i="6"/>
  <c r="J747" i="6"/>
  <c r="K747" i="6" s="1"/>
  <c r="C748" i="6"/>
  <c r="D748" i="6"/>
  <c r="E748" i="6" s="1"/>
  <c r="F748" i="6"/>
  <c r="G748" i="6"/>
  <c r="H748" i="6"/>
  <c r="I748" i="6"/>
  <c r="J748" i="6"/>
  <c r="K748" i="6"/>
  <c r="C749" i="6"/>
  <c r="D749" i="6"/>
  <c r="E749" i="6"/>
  <c r="F749" i="6"/>
  <c r="G749" i="6" s="1"/>
  <c r="H749" i="6"/>
  <c r="I749" i="6"/>
  <c r="J749" i="6"/>
  <c r="K749" i="6" s="1"/>
  <c r="C750" i="6"/>
  <c r="D750" i="6"/>
  <c r="E750" i="6" s="1"/>
  <c r="F750" i="6"/>
  <c r="G750" i="6"/>
  <c r="H750" i="6"/>
  <c r="I750" i="6"/>
  <c r="J750" i="6"/>
  <c r="K750" i="6" s="1"/>
  <c r="C751" i="6"/>
  <c r="D751" i="6"/>
  <c r="E751" i="6" s="1"/>
  <c r="F751" i="6"/>
  <c r="G751" i="6" s="1"/>
  <c r="H751" i="6"/>
  <c r="I751" i="6"/>
  <c r="J751" i="6"/>
  <c r="K751" i="6"/>
  <c r="C752" i="6"/>
  <c r="D752" i="6"/>
  <c r="E752" i="6" s="1"/>
  <c r="F752" i="6"/>
  <c r="G752" i="6"/>
  <c r="H752" i="6"/>
  <c r="I752" i="6"/>
  <c r="J752" i="6"/>
  <c r="K752" i="6" s="1"/>
  <c r="C753" i="6"/>
  <c r="D753" i="6"/>
  <c r="E753" i="6" s="1"/>
  <c r="F753" i="6"/>
  <c r="G753" i="6" s="1"/>
  <c r="H753" i="6"/>
  <c r="I753" i="6"/>
  <c r="J753" i="6"/>
  <c r="K753" i="6" s="1"/>
  <c r="C754" i="6"/>
  <c r="D754" i="6"/>
  <c r="E754" i="6"/>
  <c r="F754" i="6"/>
  <c r="G754" i="6" s="1"/>
  <c r="H754" i="6"/>
  <c r="I754" i="6"/>
  <c r="J754" i="6"/>
  <c r="K754" i="6" s="1"/>
  <c r="C755" i="6"/>
  <c r="D755" i="6"/>
  <c r="E755" i="6" s="1"/>
  <c r="F755" i="6"/>
  <c r="G755" i="6" s="1"/>
  <c r="H755" i="6"/>
  <c r="I755" i="6"/>
  <c r="J755" i="6"/>
  <c r="K755" i="6"/>
  <c r="C756" i="6"/>
  <c r="D756" i="6"/>
  <c r="E756" i="6" s="1"/>
  <c r="F756" i="6"/>
  <c r="G756" i="6" s="1"/>
  <c r="H756" i="6"/>
  <c r="I756" i="6"/>
  <c r="J756" i="6"/>
  <c r="K756" i="6"/>
  <c r="C757" i="6"/>
  <c r="D757" i="6"/>
  <c r="E757" i="6"/>
  <c r="F757" i="6"/>
  <c r="G757" i="6" s="1"/>
  <c r="H757" i="6"/>
  <c r="I757" i="6"/>
  <c r="J757" i="6"/>
  <c r="K757" i="6" s="1"/>
  <c r="C758" i="6"/>
  <c r="D758" i="6"/>
  <c r="E758" i="6" s="1"/>
  <c r="F758" i="6"/>
  <c r="G758" i="6" s="1"/>
  <c r="H758" i="6"/>
  <c r="I758" i="6" s="1"/>
  <c r="J758" i="6"/>
  <c r="K758" i="6" s="1"/>
  <c r="C759" i="6"/>
  <c r="D759" i="6"/>
  <c r="E759" i="6" s="1"/>
  <c r="F759" i="6"/>
  <c r="G759" i="6" s="1"/>
  <c r="H759" i="6"/>
  <c r="I759" i="6"/>
  <c r="J759" i="6"/>
  <c r="K759" i="6"/>
  <c r="C760" i="6"/>
  <c r="D760" i="6"/>
  <c r="E760" i="6" s="1"/>
  <c r="F760" i="6"/>
  <c r="G760" i="6"/>
  <c r="H760" i="6"/>
  <c r="I760" i="6"/>
  <c r="J760" i="6"/>
  <c r="K760" i="6" s="1"/>
  <c r="C761" i="6"/>
  <c r="D761" i="6"/>
  <c r="E761" i="6"/>
  <c r="F761" i="6"/>
  <c r="G761" i="6" s="1"/>
  <c r="H761" i="6"/>
  <c r="I761" i="6"/>
  <c r="J761" i="6"/>
  <c r="K761" i="6" s="1"/>
  <c r="C762" i="6"/>
  <c r="D762" i="6"/>
  <c r="E762" i="6"/>
  <c r="F762" i="6"/>
  <c r="G762" i="6" s="1"/>
  <c r="H762" i="6"/>
  <c r="I762" i="6"/>
  <c r="J762" i="6"/>
  <c r="K762" i="6" s="1"/>
  <c r="C763" i="6"/>
  <c r="D763" i="6"/>
  <c r="E763" i="6" s="1"/>
  <c r="F763" i="6"/>
  <c r="G763" i="6" s="1"/>
  <c r="H763" i="6"/>
  <c r="I763" i="6"/>
  <c r="J763" i="6"/>
  <c r="K763" i="6"/>
  <c r="C764" i="6"/>
  <c r="D764" i="6"/>
  <c r="E764" i="6" s="1"/>
  <c r="F764" i="6"/>
  <c r="G764" i="6" s="1"/>
  <c r="H764" i="6"/>
  <c r="I764" i="6"/>
  <c r="J764" i="6"/>
  <c r="K764" i="6"/>
  <c r="C765" i="6"/>
  <c r="D765" i="6"/>
  <c r="E765" i="6"/>
  <c r="F765" i="6"/>
  <c r="G765" i="6"/>
  <c r="H765" i="6"/>
  <c r="I765" i="6"/>
  <c r="J765" i="6"/>
  <c r="K765" i="6" s="1"/>
  <c r="C766" i="6"/>
  <c r="D766" i="6"/>
  <c r="E766" i="6" s="1"/>
  <c r="F766" i="6"/>
  <c r="G766" i="6" s="1"/>
  <c r="H766" i="6"/>
  <c r="I766" i="6"/>
  <c r="J766" i="6"/>
  <c r="K766" i="6" s="1"/>
  <c r="C767" i="6"/>
  <c r="D767" i="6"/>
  <c r="E767" i="6" s="1"/>
  <c r="F767" i="6"/>
  <c r="G767" i="6" s="1"/>
  <c r="H767" i="6"/>
  <c r="I767" i="6" s="1"/>
  <c r="J767" i="6"/>
  <c r="K767" i="6"/>
  <c r="C768" i="6"/>
  <c r="D768" i="6"/>
  <c r="E768" i="6" s="1"/>
  <c r="F768" i="6"/>
  <c r="G768" i="6" s="1"/>
  <c r="H768" i="6"/>
  <c r="I768" i="6"/>
  <c r="J768" i="6"/>
  <c r="K768" i="6" s="1"/>
  <c r="C769" i="6"/>
  <c r="D769" i="6"/>
  <c r="E769" i="6"/>
  <c r="F769" i="6"/>
  <c r="G769" i="6" s="1"/>
  <c r="H769" i="6"/>
  <c r="I769" i="6"/>
  <c r="J769" i="6"/>
  <c r="K769" i="6" s="1"/>
  <c r="C770" i="6"/>
  <c r="D770" i="6"/>
  <c r="E770" i="6"/>
  <c r="F770" i="6"/>
  <c r="G770" i="6" s="1"/>
  <c r="H770" i="6"/>
  <c r="I770" i="6" s="1"/>
  <c r="J770" i="6"/>
  <c r="K770" i="6" s="1"/>
  <c r="C771" i="6"/>
  <c r="D771" i="6"/>
  <c r="E771" i="6" s="1"/>
  <c r="F771" i="6"/>
  <c r="G771" i="6" s="1"/>
  <c r="H771" i="6"/>
  <c r="I771" i="6"/>
  <c r="J771" i="6"/>
  <c r="K771" i="6"/>
  <c r="C772" i="6"/>
  <c r="D772" i="6"/>
  <c r="E772" i="6" s="1"/>
  <c r="F772" i="6"/>
  <c r="G772" i="6" s="1"/>
  <c r="H772" i="6"/>
  <c r="I772" i="6"/>
  <c r="J772" i="6"/>
  <c r="K772" i="6"/>
  <c r="C773" i="6"/>
  <c r="D773" i="6"/>
  <c r="E773" i="6"/>
  <c r="F773" i="6"/>
  <c r="G773" i="6"/>
  <c r="H773" i="6"/>
  <c r="I773" i="6"/>
  <c r="J773" i="6"/>
  <c r="K773" i="6" s="1"/>
  <c r="C774" i="6"/>
  <c r="D774" i="6"/>
  <c r="E774" i="6" s="1"/>
  <c r="F774" i="6"/>
  <c r="G774" i="6"/>
  <c r="H774" i="6"/>
  <c r="I774" i="6" s="1"/>
  <c r="J774" i="6"/>
  <c r="K774" i="6" s="1"/>
  <c r="C775" i="6"/>
  <c r="D775" i="6"/>
  <c r="E775" i="6" s="1"/>
  <c r="F775" i="6"/>
  <c r="G775" i="6" s="1"/>
  <c r="H775" i="6"/>
  <c r="I775" i="6" s="1"/>
  <c r="J775" i="6"/>
  <c r="K775" i="6"/>
  <c r="C776" i="6"/>
  <c r="D776" i="6"/>
  <c r="E776" i="6" s="1"/>
  <c r="F776" i="6"/>
  <c r="G776" i="6"/>
  <c r="H776" i="6"/>
  <c r="I776" i="6"/>
  <c r="J776" i="6"/>
  <c r="K776" i="6" s="1"/>
  <c r="C777" i="6"/>
  <c r="D777" i="6"/>
  <c r="E777" i="6" s="1"/>
  <c r="F777" i="6"/>
  <c r="G777" i="6" s="1"/>
  <c r="H777" i="6"/>
  <c r="I777" i="6"/>
  <c r="J777" i="6"/>
  <c r="K777" i="6" s="1"/>
  <c r="C778" i="6"/>
  <c r="D778" i="6"/>
  <c r="E778" i="6"/>
  <c r="F778" i="6"/>
  <c r="G778" i="6" s="1"/>
  <c r="H778" i="6"/>
  <c r="I778" i="6"/>
  <c r="J778" i="6"/>
  <c r="K778" i="6" s="1"/>
  <c r="C779" i="6"/>
  <c r="D779" i="6"/>
  <c r="E779" i="6" s="1"/>
  <c r="F779" i="6"/>
  <c r="G779" i="6" s="1"/>
  <c r="H779" i="6"/>
  <c r="I779" i="6"/>
  <c r="J779" i="6"/>
  <c r="K779" i="6"/>
  <c r="C780" i="6"/>
  <c r="D780" i="6"/>
  <c r="E780" i="6" s="1"/>
  <c r="F780" i="6"/>
  <c r="G780" i="6"/>
  <c r="H780" i="6"/>
  <c r="I780" i="6"/>
  <c r="J780" i="6"/>
  <c r="K780" i="6"/>
  <c r="C781" i="6"/>
  <c r="D781" i="6"/>
  <c r="E781" i="6"/>
  <c r="F781" i="6"/>
  <c r="G781" i="6"/>
  <c r="H781" i="6"/>
  <c r="I781" i="6"/>
  <c r="J781" i="6"/>
  <c r="K781" i="6" s="1"/>
  <c r="C782" i="6"/>
  <c r="D782" i="6"/>
  <c r="E782" i="6" s="1"/>
  <c r="F782" i="6"/>
  <c r="G782" i="6" s="1"/>
  <c r="H782" i="6"/>
  <c r="I782" i="6" s="1"/>
  <c r="J782" i="6"/>
  <c r="K782" i="6" s="1"/>
  <c r="C783" i="6"/>
  <c r="D783" i="6"/>
  <c r="E783" i="6" s="1"/>
  <c r="F783" i="6"/>
  <c r="G783" i="6" s="1"/>
  <c r="H783" i="6"/>
  <c r="I783" i="6"/>
  <c r="J783" i="6"/>
  <c r="K783" i="6"/>
  <c r="C784" i="6"/>
  <c r="D784" i="6"/>
  <c r="E784" i="6" s="1"/>
  <c r="F784" i="6"/>
  <c r="G784" i="6" s="1"/>
  <c r="H784" i="6"/>
  <c r="I784" i="6"/>
  <c r="J784" i="6"/>
  <c r="K784" i="6" s="1"/>
  <c r="C785" i="6"/>
  <c r="D785" i="6"/>
  <c r="E785" i="6"/>
  <c r="F785" i="6"/>
  <c r="G785" i="6"/>
  <c r="H785" i="6"/>
  <c r="I785" i="6"/>
  <c r="J785" i="6"/>
  <c r="K785" i="6" s="1"/>
  <c r="C786" i="6"/>
  <c r="D786" i="6"/>
  <c r="E786" i="6"/>
  <c r="F786" i="6"/>
  <c r="G786" i="6" s="1"/>
  <c r="H786" i="6"/>
  <c r="I786" i="6"/>
  <c r="J786" i="6"/>
  <c r="K786" i="6" s="1"/>
  <c r="C787" i="6"/>
  <c r="D787" i="6"/>
  <c r="E787" i="6" s="1"/>
  <c r="F787" i="6"/>
  <c r="G787" i="6" s="1"/>
  <c r="H787" i="6"/>
  <c r="I787" i="6"/>
  <c r="J787" i="6"/>
  <c r="K787" i="6" s="1"/>
  <c r="C788" i="6"/>
  <c r="D788" i="6"/>
  <c r="E788" i="6" s="1"/>
  <c r="F788" i="6"/>
  <c r="G788" i="6"/>
  <c r="H788" i="6"/>
  <c r="I788" i="6"/>
  <c r="J788" i="6"/>
  <c r="K788" i="6"/>
  <c r="C789" i="6"/>
  <c r="D789" i="6"/>
  <c r="E789" i="6"/>
  <c r="F789" i="6"/>
  <c r="G789" i="6"/>
  <c r="H789" i="6"/>
  <c r="I789" i="6"/>
  <c r="J789" i="6"/>
  <c r="K789" i="6" s="1"/>
  <c r="C790" i="6"/>
  <c r="D790" i="6"/>
  <c r="E790" i="6" s="1"/>
  <c r="F790" i="6"/>
  <c r="G790" i="6" s="1"/>
  <c r="H790" i="6"/>
  <c r="I790" i="6"/>
  <c r="J790" i="6"/>
  <c r="K790" i="6" s="1"/>
  <c r="C791" i="6"/>
  <c r="D791" i="6"/>
  <c r="E791" i="6" s="1"/>
  <c r="F791" i="6"/>
  <c r="G791" i="6" s="1"/>
  <c r="H791" i="6"/>
  <c r="I791" i="6"/>
  <c r="J791" i="6"/>
  <c r="K791" i="6"/>
  <c r="C792" i="6"/>
  <c r="D792" i="6"/>
  <c r="E792" i="6" s="1"/>
  <c r="F792" i="6"/>
  <c r="G792" i="6"/>
  <c r="H792" i="6"/>
  <c r="I792" i="6"/>
  <c r="J792" i="6"/>
  <c r="K792" i="6" s="1"/>
  <c r="C793" i="6"/>
  <c r="D793" i="6"/>
  <c r="E793" i="6"/>
  <c r="F793" i="6"/>
  <c r="G793" i="6" s="1"/>
  <c r="H793" i="6"/>
  <c r="I793" i="6"/>
  <c r="J793" i="6"/>
  <c r="K793" i="6" s="1"/>
  <c r="C794" i="6"/>
  <c r="D794" i="6"/>
  <c r="E794" i="6"/>
  <c r="F794" i="6"/>
  <c r="G794" i="6"/>
  <c r="H794" i="6"/>
  <c r="I794" i="6"/>
  <c r="J794" i="6"/>
  <c r="K794" i="6" s="1"/>
  <c r="C795" i="6"/>
  <c r="D795" i="6"/>
  <c r="E795" i="6" s="1"/>
  <c r="F795" i="6"/>
  <c r="G795" i="6" s="1"/>
  <c r="H795" i="6"/>
  <c r="I795" i="6"/>
  <c r="J795" i="6"/>
  <c r="K795" i="6"/>
  <c r="C796" i="6"/>
  <c r="D796" i="6"/>
  <c r="E796" i="6" s="1"/>
  <c r="F796" i="6"/>
  <c r="G796" i="6"/>
  <c r="H796" i="6"/>
  <c r="I796" i="6"/>
  <c r="J796" i="6"/>
  <c r="K796" i="6"/>
  <c r="C797" i="6"/>
  <c r="D797" i="6"/>
  <c r="E797" i="6" s="1"/>
  <c r="F797" i="6"/>
  <c r="G797" i="6" s="1"/>
  <c r="H797" i="6"/>
  <c r="I797" i="6"/>
  <c r="J797" i="6"/>
  <c r="K797" i="6" s="1"/>
  <c r="C798" i="6"/>
  <c r="D798" i="6"/>
  <c r="E798" i="6" s="1"/>
  <c r="F798" i="6"/>
  <c r="G798" i="6" s="1"/>
  <c r="H798" i="6"/>
  <c r="I798" i="6"/>
  <c r="J798" i="6"/>
  <c r="K798" i="6" s="1"/>
  <c r="C799" i="6"/>
  <c r="D799" i="6"/>
  <c r="E799" i="6" s="1"/>
  <c r="F799" i="6"/>
  <c r="G799" i="6" s="1"/>
  <c r="H799" i="6"/>
  <c r="I799" i="6"/>
  <c r="J799" i="6"/>
  <c r="K799" i="6" s="1"/>
  <c r="C800" i="6"/>
  <c r="D800" i="6"/>
  <c r="E800" i="6" s="1"/>
  <c r="F800" i="6"/>
  <c r="G800" i="6"/>
  <c r="H800" i="6"/>
  <c r="I800" i="6"/>
  <c r="J800" i="6"/>
  <c r="K800" i="6" s="1"/>
  <c r="C801" i="6"/>
  <c r="D801" i="6"/>
  <c r="E801" i="6"/>
  <c r="F801" i="6"/>
  <c r="G801" i="6" s="1"/>
  <c r="H801" i="6"/>
  <c r="I801" i="6"/>
  <c r="J801" i="6"/>
  <c r="K801" i="6" s="1"/>
  <c r="C802" i="6"/>
  <c r="D802" i="6"/>
  <c r="E802" i="6"/>
  <c r="F802" i="6"/>
  <c r="G802" i="6"/>
  <c r="H802" i="6"/>
  <c r="I802" i="6"/>
  <c r="J802" i="6"/>
  <c r="K802" i="6" s="1"/>
  <c r="C803" i="6"/>
  <c r="D803" i="6"/>
  <c r="E803" i="6" s="1"/>
  <c r="F803" i="6"/>
  <c r="G803" i="6" s="1"/>
  <c r="H803" i="6"/>
  <c r="I803" i="6"/>
  <c r="J803" i="6"/>
  <c r="K803" i="6" s="1"/>
  <c r="C804" i="6"/>
  <c r="D804" i="6"/>
  <c r="E804" i="6" s="1"/>
  <c r="F804" i="6"/>
  <c r="G804" i="6"/>
  <c r="H804" i="6"/>
  <c r="I804" i="6"/>
  <c r="J804" i="6"/>
  <c r="K804" i="6"/>
  <c r="C805" i="6"/>
  <c r="D805" i="6"/>
  <c r="E805" i="6" s="1"/>
  <c r="F805" i="6"/>
  <c r="G805" i="6" s="1"/>
  <c r="H805" i="6"/>
  <c r="I805" i="6"/>
  <c r="J805" i="6"/>
  <c r="K805" i="6" s="1"/>
  <c r="C806" i="6"/>
  <c r="D806" i="6"/>
  <c r="E806" i="6" s="1"/>
  <c r="F806" i="6"/>
  <c r="G806" i="6" s="1"/>
  <c r="H806" i="6"/>
  <c r="I806" i="6"/>
  <c r="J806" i="6"/>
  <c r="K806" i="6" s="1"/>
  <c r="C807" i="6"/>
  <c r="D807" i="6"/>
  <c r="E807" i="6" s="1"/>
  <c r="F807" i="6"/>
  <c r="G807" i="6" s="1"/>
  <c r="H807" i="6"/>
  <c r="I807" i="6"/>
  <c r="J807" i="6"/>
  <c r="K807" i="6" s="1"/>
  <c r="C808" i="6"/>
  <c r="D808" i="6"/>
  <c r="E808" i="6" s="1"/>
  <c r="F808" i="6"/>
  <c r="G808" i="6"/>
  <c r="H808" i="6"/>
  <c r="I808" i="6"/>
  <c r="J808" i="6"/>
  <c r="K808" i="6" s="1"/>
  <c r="C809" i="6"/>
  <c r="D809" i="6"/>
  <c r="E809" i="6"/>
  <c r="F809" i="6"/>
  <c r="G809" i="6" s="1"/>
  <c r="H809" i="6"/>
  <c r="I809" i="6"/>
  <c r="J809" i="6"/>
  <c r="K809" i="6" s="1"/>
  <c r="C810" i="6"/>
  <c r="D810" i="6"/>
  <c r="E810" i="6"/>
  <c r="F810" i="6"/>
  <c r="G810" i="6"/>
  <c r="H810" i="6"/>
  <c r="I810" i="6"/>
  <c r="J810" i="6"/>
  <c r="K810" i="6" s="1"/>
  <c r="C811" i="6"/>
  <c r="D811" i="6"/>
  <c r="E811" i="6" s="1"/>
  <c r="F811" i="6"/>
  <c r="G811" i="6" s="1"/>
  <c r="H811" i="6"/>
  <c r="I811" i="6"/>
  <c r="J811" i="6"/>
  <c r="K811" i="6"/>
  <c r="C812" i="6"/>
  <c r="D812" i="6"/>
  <c r="E812" i="6" s="1"/>
  <c r="F812" i="6"/>
  <c r="G812" i="6"/>
  <c r="H812" i="6"/>
  <c r="I812" i="6"/>
  <c r="J812" i="6"/>
  <c r="K812" i="6"/>
  <c r="C813" i="6"/>
  <c r="D813" i="6"/>
  <c r="E813" i="6" s="1"/>
  <c r="F813" i="6"/>
  <c r="G813" i="6"/>
  <c r="H813" i="6"/>
  <c r="I813" i="6"/>
  <c r="J813" i="6"/>
  <c r="K813" i="6" s="1"/>
  <c r="C814" i="6"/>
  <c r="D814" i="6"/>
  <c r="E814" i="6" s="1"/>
  <c r="F814" i="6"/>
  <c r="G814" i="6" s="1"/>
  <c r="H814" i="6"/>
  <c r="I814" i="6"/>
  <c r="J814" i="6"/>
  <c r="K814" i="6" s="1"/>
  <c r="C815" i="6"/>
  <c r="D815" i="6"/>
  <c r="E815" i="6" s="1"/>
  <c r="F815" i="6"/>
  <c r="G815" i="6"/>
  <c r="H815" i="6"/>
  <c r="I815" i="6"/>
  <c r="J815" i="6"/>
  <c r="K815" i="6" s="1"/>
  <c r="C816" i="6"/>
  <c r="D816" i="6"/>
  <c r="E816" i="6" s="1"/>
  <c r="F816" i="6"/>
  <c r="G816" i="6" s="1"/>
  <c r="H816" i="6"/>
  <c r="I816" i="6"/>
  <c r="J816" i="6"/>
  <c r="K816" i="6" s="1"/>
  <c r="C817" i="6"/>
  <c r="D817" i="6"/>
  <c r="E817" i="6"/>
  <c r="F817" i="6"/>
  <c r="G817" i="6"/>
  <c r="H817" i="6"/>
  <c r="I817" i="6"/>
  <c r="J817" i="6"/>
  <c r="K817" i="6" s="1"/>
  <c r="C818" i="6"/>
  <c r="D818" i="6"/>
  <c r="E818" i="6" s="1"/>
  <c r="F818" i="6"/>
  <c r="G818" i="6"/>
  <c r="H818" i="6"/>
  <c r="I818" i="6"/>
  <c r="J818" i="6"/>
  <c r="K818" i="6" s="1"/>
  <c r="C819" i="6"/>
  <c r="D819" i="6"/>
  <c r="E819" i="6" s="1"/>
  <c r="F819" i="6"/>
  <c r="G819" i="6" s="1"/>
  <c r="H819" i="6"/>
  <c r="I819" i="6"/>
  <c r="J819" i="6"/>
  <c r="K819" i="6"/>
  <c r="C820" i="6"/>
  <c r="D820" i="6"/>
  <c r="E820" i="6" s="1"/>
  <c r="F820" i="6"/>
  <c r="G820" i="6"/>
  <c r="H820" i="6"/>
  <c r="I820" i="6"/>
  <c r="J820" i="6"/>
  <c r="K820" i="6" s="1"/>
  <c r="C821" i="6"/>
  <c r="D821" i="6"/>
  <c r="E821" i="6"/>
  <c r="F821" i="6"/>
  <c r="G821" i="6"/>
  <c r="H821" i="6"/>
  <c r="I821" i="6"/>
  <c r="J821" i="6"/>
  <c r="K821" i="6" s="1"/>
  <c r="C822" i="6"/>
  <c r="D822" i="6"/>
  <c r="E822" i="6" s="1"/>
  <c r="F822" i="6"/>
  <c r="G822" i="6"/>
  <c r="H822" i="6"/>
  <c r="I822" i="6" s="1"/>
  <c r="J822" i="6"/>
  <c r="K822" i="6" s="1"/>
  <c r="C823" i="6"/>
  <c r="D823" i="6"/>
  <c r="E823" i="6" s="1"/>
  <c r="F823" i="6"/>
  <c r="G823" i="6"/>
  <c r="H823" i="6"/>
  <c r="I823" i="6" s="1"/>
  <c r="J823" i="6"/>
  <c r="K823" i="6" s="1"/>
  <c r="C824" i="6"/>
  <c r="D824" i="6"/>
  <c r="E824" i="6" s="1"/>
  <c r="F824" i="6"/>
  <c r="G824" i="6"/>
  <c r="H824" i="6"/>
  <c r="I824" i="6"/>
  <c r="J824" i="6"/>
  <c r="K824" i="6" s="1"/>
  <c r="C825" i="6"/>
  <c r="D825" i="6"/>
  <c r="E825" i="6" s="1"/>
  <c r="F825" i="6"/>
  <c r="G825" i="6" s="1"/>
  <c r="H825" i="6"/>
  <c r="I825" i="6"/>
  <c r="J825" i="6"/>
  <c r="K825" i="6" s="1"/>
  <c r="C826" i="6"/>
  <c r="D826" i="6"/>
  <c r="E826" i="6"/>
  <c r="F826" i="6"/>
  <c r="G826" i="6"/>
  <c r="H826" i="6"/>
  <c r="I826" i="6" s="1"/>
  <c r="J826" i="6"/>
  <c r="K826" i="6" s="1"/>
  <c r="C827" i="6"/>
  <c r="D827" i="6"/>
  <c r="E827" i="6" s="1"/>
  <c r="F827" i="6"/>
  <c r="G827" i="6" s="1"/>
  <c r="H827" i="6"/>
  <c r="I827" i="6"/>
  <c r="J827" i="6"/>
  <c r="K827" i="6"/>
  <c r="C828" i="6"/>
  <c r="D828" i="6"/>
  <c r="E828" i="6" s="1"/>
  <c r="F828" i="6"/>
  <c r="G828" i="6" s="1"/>
  <c r="H828" i="6"/>
  <c r="I828" i="6"/>
  <c r="J828" i="6"/>
  <c r="K828" i="6" s="1"/>
  <c r="C829" i="6"/>
  <c r="D829" i="6"/>
  <c r="E829" i="6"/>
  <c r="F829" i="6"/>
  <c r="G829" i="6"/>
  <c r="H829" i="6"/>
  <c r="I829" i="6"/>
  <c r="J829" i="6"/>
  <c r="K829" i="6" s="1"/>
  <c r="C830" i="6"/>
  <c r="D830" i="6"/>
  <c r="E830" i="6" s="1"/>
  <c r="F830" i="6"/>
  <c r="G830" i="6" s="1"/>
  <c r="H830" i="6"/>
  <c r="I830" i="6"/>
  <c r="J830" i="6"/>
  <c r="K830" i="6" s="1"/>
  <c r="C831" i="6"/>
  <c r="D831" i="6"/>
  <c r="E831" i="6" s="1"/>
  <c r="F831" i="6"/>
  <c r="G831" i="6"/>
  <c r="H831" i="6"/>
  <c r="I831" i="6" s="1"/>
  <c r="J831" i="6"/>
  <c r="K831" i="6"/>
  <c r="C832" i="6"/>
  <c r="D832" i="6"/>
  <c r="E832" i="6" s="1"/>
  <c r="F832" i="6"/>
  <c r="G832" i="6"/>
  <c r="H832" i="6"/>
  <c r="I832" i="6"/>
  <c r="J832" i="6"/>
  <c r="K832" i="6" s="1"/>
  <c r="C833" i="6"/>
  <c r="D833" i="6"/>
  <c r="E833" i="6" s="1"/>
  <c r="F833" i="6"/>
  <c r="G833" i="6"/>
  <c r="H833" i="6"/>
  <c r="I833" i="6"/>
  <c r="J833" i="6"/>
  <c r="K833" i="6" s="1"/>
  <c r="C834" i="6"/>
  <c r="D834" i="6"/>
  <c r="E834" i="6"/>
  <c r="F834" i="6"/>
  <c r="G834" i="6" s="1"/>
  <c r="H834" i="6"/>
  <c r="I834" i="6" s="1"/>
  <c r="J834" i="6"/>
  <c r="K834" i="6" s="1"/>
  <c r="C835" i="6"/>
  <c r="D835" i="6"/>
  <c r="E835" i="6" s="1"/>
  <c r="F835" i="6"/>
  <c r="G835" i="6"/>
  <c r="H835" i="6"/>
  <c r="I835" i="6"/>
  <c r="J835" i="6"/>
  <c r="K835" i="6"/>
  <c r="C836" i="6"/>
  <c r="D836" i="6"/>
  <c r="E836" i="6" s="1"/>
  <c r="F836" i="6"/>
  <c r="G836" i="6" s="1"/>
  <c r="H836" i="6"/>
  <c r="I836" i="6"/>
  <c r="J836" i="6"/>
  <c r="K836" i="6"/>
  <c r="C837" i="6"/>
  <c r="D837" i="6"/>
  <c r="E837" i="6"/>
  <c r="F837" i="6"/>
  <c r="G837" i="6"/>
  <c r="H837" i="6"/>
  <c r="I837" i="6"/>
  <c r="J837" i="6"/>
  <c r="K837" i="6" s="1"/>
  <c r="C838" i="6"/>
  <c r="D838" i="6"/>
  <c r="E838" i="6" s="1"/>
  <c r="F838" i="6"/>
  <c r="G838" i="6"/>
  <c r="H838" i="6"/>
  <c r="I838" i="6" s="1"/>
  <c r="J838" i="6"/>
  <c r="K838" i="6" s="1"/>
  <c r="C839" i="6"/>
  <c r="D839" i="6"/>
  <c r="E839" i="6" s="1"/>
  <c r="F839" i="6"/>
  <c r="G839" i="6" s="1"/>
  <c r="H839" i="6"/>
  <c r="I839" i="6"/>
  <c r="J839" i="6"/>
  <c r="K839" i="6"/>
  <c r="C840" i="6"/>
  <c r="D840" i="6"/>
  <c r="E840" i="6" s="1"/>
  <c r="F840" i="6"/>
  <c r="G840" i="6"/>
  <c r="H840" i="6"/>
  <c r="I840" i="6"/>
  <c r="J840" i="6"/>
  <c r="K840" i="6" s="1"/>
  <c r="C841" i="6"/>
  <c r="D841" i="6"/>
  <c r="E841" i="6"/>
  <c r="F841" i="6"/>
  <c r="G841" i="6" s="1"/>
  <c r="H841" i="6"/>
  <c r="I841" i="6"/>
  <c r="J841" i="6"/>
  <c r="K841" i="6" s="1"/>
  <c r="C842" i="6"/>
  <c r="D842" i="6"/>
  <c r="E842" i="6" s="1"/>
  <c r="F842" i="6"/>
  <c r="G842" i="6" s="1"/>
  <c r="H842" i="6"/>
  <c r="I842" i="6"/>
  <c r="J842" i="6"/>
  <c r="K842" i="6" s="1"/>
  <c r="C843" i="6"/>
  <c r="D843" i="6"/>
  <c r="E843" i="6" s="1"/>
  <c r="F843" i="6"/>
  <c r="G843" i="6"/>
  <c r="H843" i="6"/>
  <c r="I843" i="6"/>
  <c r="J843" i="6"/>
  <c r="K843" i="6" s="1"/>
  <c r="C844" i="6"/>
  <c r="D844" i="6"/>
  <c r="E844" i="6" s="1"/>
  <c r="F844" i="6"/>
  <c r="G844" i="6" s="1"/>
  <c r="H844" i="6"/>
  <c r="I844" i="6"/>
  <c r="J844" i="6"/>
  <c r="K844" i="6" s="1"/>
  <c r="C845" i="6"/>
  <c r="D845" i="6"/>
  <c r="E845" i="6" s="1"/>
  <c r="F845" i="6"/>
  <c r="G845" i="6" s="1"/>
  <c r="H845" i="6"/>
  <c r="I845" i="6"/>
  <c r="J845" i="6"/>
  <c r="K845" i="6" s="1"/>
  <c r="C846" i="6"/>
  <c r="D846" i="6"/>
  <c r="E846" i="6" s="1"/>
  <c r="F846" i="6"/>
  <c r="G846" i="6"/>
  <c r="H846" i="6"/>
  <c r="I846" i="6"/>
  <c r="J846" i="6"/>
  <c r="K846" i="6" s="1"/>
  <c r="C847" i="6"/>
  <c r="D847" i="6"/>
  <c r="E847" i="6" s="1"/>
  <c r="F847" i="6"/>
  <c r="G847" i="6"/>
  <c r="H847" i="6"/>
  <c r="I847" i="6" s="1"/>
  <c r="J847" i="6"/>
  <c r="K847" i="6"/>
  <c r="C848" i="6"/>
  <c r="D848" i="6"/>
  <c r="E848" i="6" s="1"/>
  <c r="F848" i="6"/>
  <c r="G848" i="6" s="1"/>
  <c r="H848" i="6"/>
  <c r="I848" i="6"/>
  <c r="J848" i="6"/>
  <c r="K848" i="6" s="1"/>
  <c r="C849" i="6"/>
  <c r="D849" i="6"/>
  <c r="E849" i="6"/>
  <c r="F849" i="6"/>
  <c r="G849" i="6"/>
  <c r="H849" i="6"/>
  <c r="I849" i="6"/>
  <c r="J849" i="6"/>
  <c r="K849" i="6" s="1"/>
  <c r="C850" i="6"/>
  <c r="D850" i="6"/>
  <c r="E850" i="6" s="1"/>
  <c r="F850" i="6"/>
  <c r="G850" i="6"/>
  <c r="H850" i="6"/>
  <c r="I850" i="6" s="1"/>
  <c r="J850" i="6"/>
  <c r="K850" i="6" s="1"/>
  <c r="C851" i="6"/>
  <c r="D851" i="6"/>
  <c r="E851" i="6" s="1"/>
  <c r="F851" i="6"/>
  <c r="G851" i="6"/>
  <c r="H851" i="6"/>
  <c r="I851" i="6"/>
  <c r="J851" i="6"/>
  <c r="K851" i="6" s="1"/>
  <c r="C852" i="6"/>
  <c r="D852" i="6"/>
  <c r="E852" i="6" s="1"/>
  <c r="F852" i="6"/>
  <c r="G852" i="6"/>
  <c r="H852" i="6"/>
  <c r="I852" i="6"/>
  <c r="J852" i="6"/>
  <c r="K852" i="6" s="1"/>
  <c r="C853" i="6"/>
  <c r="D853" i="6"/>
  <c r="E853" i="6" s="1"/>
  <c r="F853" i="6"/>
  <c r="G853" i="6"/>
  <c r="H853" i="6"/>
  <c r="I853" i="6"/>
  <c r="J853" i="6"/>
  <c r="K853" i="6" s="1"/>
  <c r="C854" i="6"/>
  <c r="D854" i="6"/>
  <c r="E854" i="6" s="1"/>
  <c r="F854" i="6"/>
  <c r="G854" i="6"/>
  <c r="H854" i="6"/>
  <c r="I854" i="6"/>
  <c r="J854" i="6"/>
  <c r="K854" i="6" s="1"/>
  <c r="C855" i="6"/>
  <c r="D855" i="6"/>
  <c r="E855" i="6" s="1"/>
  <c r="F855" i="6"/>
  <c r="G855" i="6"/>
  <c r="H855" i="6"/>
  <c r="I855" i="6"/>
  <c r="J855" i="6"/>
  <c r="K855" i="6"/>
  <c r="C856" i="6"/>
  <c r="D856" i="6"/>
  <c r="E856" i="6" s="1"/>
  <c r="F856" i="6"/>
  <c r="G856" i="6" s="1"/>
  <c r="H856" i="6"/>
  <c r="I856" i="6"/>
  <c r="J856" i="6"/>
  <c r="K856" i="6" s="1"/>
  <c r="C857" i="6"/>
  <c r="D857" i="6"/>
  <c r="E857" i="6"/>
  <c r="F857" i="6"/>
  <c r="G857" i="6"/>
  <c r="H857" i="6"/>
  <c r="I857" i="6"/>
  <c r="J857" i="6"/>
  <c r="K857" i="6" s="1"/>
  <c r="C858" i="6"/>
  <c r="D858" i="6"/>
  <c r="E858" i="6"/>
  <c r="F858" i="6"/>
  <c r="G858" i="6"/>
  <c r="H858" i="6"/>
  <c r="I858" i="6"/>
  <c r="J858" i="6"/>
  <c r="K858" i="6" s="1"/>
  <c r="C859" i="6"/>
  <c r="D859" i="6"/>
  <c r="E859" i="6" s="1"/>
  <c r="F859" i="6"/>
  <c r="G859" i="6" s="1"/>
  <c r="H859" i="6"/>
  <c r="I859" i="6"/>
  <c r="J859" i="6"/>
  <c r="K859" i="6" s="1"/>
  <c r="C860" i="6"/>
  <c r="D860" i="6"/>
  <c r="E860" i="6" s="1"/>
  <c r="F860" i="6"/>
  <c r="G860" i="6" s="1"/>
  <c r="H860" i="6"/>
  <c r="I860" i="6"/>
  <c r="J860" i="6"/>
  <c r="K860" i="6"/>
  <c r="C861" i="6"/>
  <c r="D861" i="6"/>
  <c r="E861" i="6"/>
  <c r="F861" i="6"/>
  <c r="G861" i="6"/>
  <c r="H861" i="6"/>
  <c r="I861" i="6"/>
  <c r="J861" i="6"/>
  <c r="K861" i="6" s="1"/>
  <c r="C862" i="6"/>
  <c r="D862" i="6"/>
  <c r="E862" i="6" s="1"/>
  <c r="F862" i="6"/>
  <c r="G862" i="6" s="1"/>
  <c r="H862" i="6"/>
  <c r="I862" i="6"/>
  <c r="J862" i="6"/>
  <c r="K862" i="6" s="1"/>
  <c r="C863" i="6"/>
  <c r="D863" i="6"/>
  <c r="E863" i="6" s="1"/>
  <c r="F863" i="6"/>
  <c r="G863" i="6"/>
  <c r="H863" i="6"/>
  <c r="I863" i="6"/>
  <c r="J863" i="6"/>
  <c r="K863" i="6" s="1"/>
  <c r="C864" i="6"/>
  <c r="D864" i="6"/>
  <c r="E864" i="6" s="1"/>
  <c r="F864" i="6"/>
  <c r="G864" i="6"/>
  <c r="H864" i="6"/>
  <c r="I864" i="6"/>
  <c r="J864" i="6"/>
  <c r="K864" i="6" s="1"/>
  <c r="C865" i="6"/>
  <c r="D865" i="6"/>
  <c r="E865" i="6"/>
  <c r="F865" i="6"/>
  <c r="G865" i="6" s="1"/>
  <c r="H865" i="6"/>
  <c r="I865" i="6"/>
  <c r="J865" i="6"/>
  <c r="K865" i="6" s="1"/>
  <c r="C866" i="6"/>
  <c r="D866" i="6"/>
  <c r="E866" i="6" s="1"/>
  <c r="F866" i="6"/>
  <c r="G866" i="6"/>
  <c r="H866" i="6"/>
  <c r="I866" i="6"/>
  <c r="J866" i="6"/>
  <c r="K866" i="6" s="1"/>
  <c r="C867" i="6"/>
  <c r="D867" i="6"/>
  <c r="E867" i="6" s="1"/>
  <c r="F867" i="6"/>
  <c r="G867" i="6" s="1"/>
  <c r="H867" i="6"/>
  <c r="I867" i="6"/>
  <c r="J867" i="6"/>
  <c r="K867" i="6"/>
  <c r="C868" i="6"/>
  <c r="D868" i="6"/>
  <c r="E868" i="6" s="1"/>
  <c r="F868" i="6"/>
  <c r="G868" i="6" s="1"/>
  <c r="H868" i="6"/>
  <c r="I868" i="6"/>
  <c r="J868" i="6"/>
  <c r="K868" i="6"/>
  <c r="C869" i="6"/>
  <c r="D869" i="6"/>
  <c r="E869" i="6" s="1"/>
  <c r="F869" i="6"/>
  <c r="G869" i="6"/>
  <c r="H869" i="6"/>
  <c r="I869" i="6"/>
  <c r="J869" i="6"/>
  <c r="K869" i="6" s="1"/>
  <c r="C870" i="6"/>
  <c r="D870" i="6"/>
  <c r="E870" i="6" s="1"/>
  <c r="F870" i="6"/>
  <c r="G870" i="6" s="1"/>
  <c r="H870" i="6"/>
  <c r="I870" i="6" s="1"/>
  <c r="J870" i="6"/>
  <c r="K870" i="6" s="1"/>
  <c r="C871" i="6"/>
  <c r="D871" i="6"/>
  <c r="E871" i="6"/>
  <c r="F871" i="6"/>
  <c r="G871" i="6" s="1"/>
  <c r="H871" i="6"/>
  <c r="I871" i="6" s="1"/>
  <c r="J871" i="6"/>
  <c r="K871" i="6"/>
  <c r="C872" i="6"/>
  <c r="D872" i="6"/>
  <c r="E872" i="6" s="1"/>
  <c r="F872" i="6"/>
  <c r="G872" i="6"/>
  <c r="H872" i="6"/>
  <c r="I872" i="6"/>
  <c r="J872" i="6"/>
  <c r="K872" i="6" s="1"/>
  <c r="C873" i="6"/>
  <c r="D873" i="6"/>
  <c r="E873" i="6"/>
  <c r="F873" i="6"/>
  <c r="G873" i="6" s="1"/>
  <c r="H873" i="6"/>
  <c r="I873" i="6"/>
  <c r="J873" i="6"/>
  <c r="K873" i="6"/>
  <c r="C874" i="6"/>
  <c r="D874" i="6"/>
  <c r="E874" i="6"/>
  <c r="F874" i="6"/>
  <c r="G874" i="6"/>
  <c r="H874" i="6"/>
  <c r="I874" i="6" s="1"/>
  <c r="J874" i="6"/>
  <c r="K874" i="6" s="1"/>
  <c r="C875" i="6"/>
  <c r="D875" i="6"/>
  <c r="E875" i="6" s="1"/>
  <c r="F875" i="6"/>
  <c r="G875" i="6"/>
  <c r="H875" i="6"/>
  <c r="I875" i="6"/>
  <c r="J875" i="6"/>
  <c r="K875" i="6"/>
  <c r="C876" i="6"/>
  <c r="D876" i="6"/>
  <c r="E876" i="6" s="1"/>
  <c r="F876" i="6"/>
  <c r="G876" i="6" s="1"/>
  <c r="H876" i="6"/>
  <c r="I876" i="6" s="1"/>
  <c r="J876" i="6"/>
  <c r="K876" i="6"/>
  <c r="C877" i="6"/>
  <c r="D877" i="6"/>
  <c r="E877" i="6"/>
  <c r="F877" i="6"/>
  <c r="G877" i="6" s="1"/>
  <c r="H877" i="6"/>
  <c r="I877" i="6"/>
  <c r="J877" i="6"/>
  <c r="K877" i="6" s="1"/>
  <c r="C878" i="6"/>
  <c r="D878" i="6"/>
  <c r="E878" i="6" s="1"/>
  <c r="F878" i="6"/>
  <c r="G878" i="6"/>
  <c r="H878" i="6"/>
  <c r="I878" i="6" s="1"/>
  <c r="J878" i="6"/>
  <c r="K878" i="6" s="1"/>
  <c r="C879" i="6"/>
  <c r="D879" i="6"/>
  <c r="E879" i="6"/>
  <c r="F879" i="6"/>
  <c r="G879" i="6" s="1"/>
  <c r="H879" i="6"/>
  <c r="I879" i="6" s="1"/>
  <c r="J879" i="6"/>
  <c r="K879" i="6"/>
  <c r="C880" i="6"/>
  <c r="D880" i="6"/>
  <c r="E880" i="6"/>
  <c r="F880" i="6"/>
  <c r="G880" i="6" s="1"/>
  <c r="H880" i="6"/>
  <c r="I880" i="6"/>
  <c r="J880" i="6"/>
  <c r="K880" i="6" s="1"/>
  <c r="C881" i="6"/>
  <c r="D881" i="6"/>
  <c r="E881" i="6" s="1"/>
  <c r="F881" i="6"/>
  <c r="G881" i="6"/>
  <c r="H881" i="6"/>
  <c r="I881" i="6"/>
  <c r="J881" i="6"/>
  <c r="K881" i="6" s="1"/>
  <c r="C882" i="6"/>
  <c r="D882" i="6"/>
  <c r="E882" i="6" s="1"/>
  <c r="F882" i="6"/>
  <c r="G882" i="6" s="1"/>
  <c r="H882" i="6"/>
  <c r="I882" i="6"/>
  <c r="J882" i="6"/>
  <c r="K882" i="6"/>
  <c r="C883" i="6"/>
  <c r="D883" i="6"/>
  <c r="E883" i="6" s="1"/>
  <c r="F883" i="6"/>
  <c r="G883" i="6" s="1"/>
  <c r="H883" i="6"/>
  <c r="I883" i="6"/>
  <c r="J883" i="6"/>
  <c r="K883" i="6" s="1"/>
  <c r="C884" i="6"/>
  <c r="D884" i="6"/>
  <c r="E884" i="6" s="1"/>
  <c r="F884" i="6"/>
  <c r="G884" i="6" s="1"/>
  <c r="H884" i="6"/>
  <c r="I884" i="6"/>
  <c r="J884" i="6"/>
  <c r="K884" i="6"/>
  <c r="C885" i="6"/>
  <c r="D885" i="6"/>
  <c r="E885" i="6"/>
  <c r="F885" i="6"/>
  <c r="G885" i="6"/>
  <c r="H885" i="6"/>
  <c r="I885" i="6"/>
  <c r="J885" i="6"/>
  <c r="K885" i="6" s="1"/>
  <c r="C886" i="6"/>
  <c r="D886" i="6"/>
  <c r="E886" i="6" s="1"/>
  <c r="F886" i="6"/>
  <c r="G886" i="6" s="1"/>
  <c r="H886" i="6"/>
  <c r="I886" i="6"/>
  <c r="J886" i="6"/>
  <c r="K886" i="6" s="1"/>
  <c r="C887" i="6"/>
  <c r="D887" i="6"/>
  <c r="E887" i="6"/>
  <c r="F887" i="6"/>
  <c r="G887" i="6" s="1"/>
  <c r="H887" i="6"/>
  <c r="I887" i="6"/>
  <c r="J887" i="6"/>
  <c r="K887" i="6"/>
  <c r="C888" i="6"/>
  <c r="D888" i="6"/>
  <c r="E888" i="6"/>
  <c r="F888" i="6"/>
  <c r="G888" i="6"/>
  <c r="H888" i="6"/>
  <c r="I888" i="6"/>
  <c r="J888" i="6"/>
  <c r="K888" i="6" s="1"/>
  <c r="C889" i="6"/>
  <c r="D889" i="6"/>
  <c r="E889" i="6" s="1"/>
  <c r="F889" i="6"/>
  <c r="G889" i="6" s="1"/>
  <c r="H889" i="6"/>
  <c r="I889" i="6"/>
  <c r="J889" i="6"/>
  <c r="K889" i="6" s="1"/>
  <c r="C890" i="6"/>
  <c r="D890" i="6"/>
  <c r="E890" i="6" s="1"/>
  <c r="F890" i="6"/>
  <c r="G890" i="6"/>
  <c r="H890" i="6"/>
  <c r="I890" i="6"/>
  <c r="J890" i="6"/>
  <c r="K890" i="6" s="1"/>
  <c r="C891" i="6"/>
  <c r="D891" i="6"/>
  <c r="E891" i="6" s="1"/>
  <c r="F891" i="6"/>
  <c r="G891" i="6"/>
  <c r="H891" i="6"/>
  <c r="I891" i="6"/>
  <c r="J891" i="6"/>
  <c r="K891" i="6" s="1"/>
  <c r="C892" i="6"/>
  <c r="D892" i="6"/>
  <c r="E892" i="6" s="1"/>
  <c r="F892" i="6"/>
  <c r="G892" i="6"/>
  <c r="H892" i="6"/>
  <c r="I892" i="6" s="1"/>
  <c r="J892" i="6"/>
  <c r="K892" i="6"/>
  <c r="C893" i="6"/>
  <c r="D893" i="6"/>
  <c r="E893" i="6"/>
  <c r="F893" i="6"/>
  <c r="G893" i="6" s="1"/>
  <c r="H893" i="6"/>
  <c r="I893" i="6" s="1"/>
  <c r="J893" i="6"/>
  <c r="K893" i="6" s="1"/>
  <c r="C894" i="6"/>
  <c r="D894" i="6"/>
  <c r="E894" i="6" s="1"/>
  <c r="F894" i="6"/>
  <c r="G894" i="6"/>
  <c r="H894" i="6"/>
  <c r="I894" i="6"/>
  <c r="J894" i="6"/>
  <c r="K894" i="6" s="1"/>
  <c r="C895" i="6"/>
  <c r="D895" i="6"/>
  <c r="E895" i="6" s="1"/>
  <c r="F895" i="6"/>
  <c r="G895" i="6"/>
  <c r="H895" i="6"/>
  <c r="I895" i="6" s="1"/>
  <c r="J895" i="6"/>
  <c r="K895" i="6"/>
  <c r="C896" i="6"/>
  <c r="D896" i="6"/>
  <c r="E896" i="6"/>
  <c r="F896" i="6"/>
  <c r="G896" i="6" s="1"/>
  <c r="H896" i="6"/>
  <c r="I896" i="6"/>
  <c r="J896" i="6"/>
  <c r="K896" i="6" s="1"/>
  <c r="C897" i="6"/>
  <c r="D897" i="6"/>
  <c r="E897" i="6"/>
  <c r="F897" i="6"/>
  <c r="G897" i="6"/>
  <c r="H897" i="6"/>
  <c r="I897" i="6"/>
  <c r="J897" i="6"/>
  <c r="K897" i="6" s="1"/>
  <c r="C898" i="6"/>
  <c r="D898" i="6"/>
  <c r="E898" i="6"/>
  <c r="F898" i="6"/>
  <c r="G898" i="6" s="1"/>
  <c r="H898" i="6"/>
  <c r="I898" i="6"/>
  <c r="J898" i="6"/>
  <c r="K898" i="6" s="1"/>
  <c r="C899" i="6"/>
  <c r="D899" i="6"/>
  <c r="E899" i="6" s="1"/>
  <c r="F899" i="6"/>
  <c r="G899" i="6"/>
  <c r="H899" i="6"/>
  <c r="I899" i="6"/>
  <c r="J899" i="6"/>
  <c r="K899" i="6" s="1"/>
  <c r="C900" i="6"/>
  <c r="D900" i="6"/>
  <c r="E900" i="6" s="1"/>
  <c r="F900" i="6"/>
  <c r="G900" i="6"/>
  <c r="H900" i="6"/>
  <c r="I900" i="6"/>
  <c r="J900" i="6"/>
  <c r="K900" i="6" s="1"/>
  <c r="C901" i="6"/>
  <c r="D901" i="6"/>
  <c r="E901" i="6"/>
  <c r="F901" i="6"/>
  <c r="G901" i="6" s="1"/>
  <c r="H901" i="6"/>
  <c r="I901" i="6"/>
  <c r="J901" i="6"/>
  <c r="K901" i="6" s="1"/>
  <c r="C902" i="6"/>
  <c r="D902" i="6"/>
  <c r="E902" i="6" s="1"/>
  <c r="F902" i="6"/>
  <c r="G902" i="6"/>
  <c r="H902" i="6"/>
  <c r="I902" i="6" s="1"/>
  <c r="J902" i="6"/>
  <c r="K902" i="6" s="1"/>
  <c r="C903" i="6"/>
  <c r="D903" i="6"/>
  <c r="E903" i="6"/>
  <c r="F903" i="6"/>
  <c r="G903" i="6"/>
  <c r="H903" i="6"/>
  <c r="I903" i="6" s="1"/>
  <c r="J903" i="6"/>
  <c r="K903" i="6" s="1"/>
  <c r="C904" i="6"/>
  <c r="D904" i="6"/>
  <c r="E904" i="6"/>
  <c r="F904" i="6"/>
  <c r="G904" i="6" s="1"/>
  <c r="H904" i="6"/>
  <c r="I904" i="6"/>
  <c r="J904" i="6"/>
  <c r="K904" i="6" s="1"/>
  <c r="C905" i="6"/>
  <c r="D905" i="6"/>
  <c r="E905" i="6" s="1"/>
  <c r="F905" i="6"/>
  <c r="G905" i="6" s="1"/>
  <c r="H905" i="6"/>
  <c r="I905" i="6"/>
  <c r="J905" i="6"/>
  <c r="K905" i="6"/>
  <c r="C906" i="6"/>
  <c r="D906" i="6"/>
  <c r="E906" i="6"/>
  <c r="F906" i="6"/>
  <c r="G906" i="6" s="1"/>
  <c r="H906" i="6"/>
  <c r="I906" i="6" s="1"/>
  <c r="J906" i="6"/>
  <c r="K906" i="6"/>
  <c r="C907" i="6"/>
  <c r="D907" i="6"/>
  <c r="E907" i="6" s="1"/>
  <c r="F907" i="6"/>
  <c r="G907" i="6"/>
  <c r="H907" i="6"/>
  <c r="I907" i="6"/>
  <c r="J907" i="6"/>
  <c r="K907" i="6"/>
  <c r="C908" i="6"/>
  <c r="D908" i="6"/>
  <c r="E908" i="6" s="1"/>
  <c r="F908" i="6"/>
  <c r="G908" i="6" s="1"/>
  <c r="H908" i="6"/>
  <c r="I908" i="6" s="1"/>
  <c r="J908" i="6"/>
  <c r="K908" i="6" s="1"/>
  <c r="C909" i="6"/>
  <c r="D909" i="6"/>
  <c r="E909" i="6" s="1"/>
  <c r="F909" i="6"/>
  <c r="G909" i="6" s="1"/>
  <c r="H909" i="6"/>
  <c r="I909" i="6" s="1"/>
  <c r="J909" i="6"/>
  <c r="K909" i="6" s="1"/>
  <c r="C910" i="6"/>
  <c r="D910" i="6"/>
  <c r="E910" i="6" s="1"/>
  <c r="F910" i="6"/>
  <c r="G910" i="6"/>
  <c r="H910" i="6"/>
  <c r="I910" i="6" s="1"/>
  <c r="J910" i="6"/>
  <c r="K910" i="6" s="1"/>
  <c r="C911" i="6"/>
  <c r="D911" i="6"/>
  <c r="E911" i="6"/>
  <c r="F911" i="6"/>
  <c r="G911" i="6" s="1"/>
  <c r="H911" i="6"/>
  <c r="I911" i="6" s="1"/>
  <c r="J911" i="6"/>
  <c r="K911" i="6" s="1"/>
  <c r="C912" i="6"/>
  <c r="D912" i="6"/>
  <c r="E912" i="6"/>
  <c r="F912" i="6"/>
  <c r="G912" i="6" s="1"/>
  <c r="H912" i="6"/>
  <c r="I912" i="6"/>
  <c r="J912" i="6"/>
  <c r="K912" i="6" s="1"/>
  <c r="C913" i="6"/>
  <c r="D913" i="6"/>
  <c r="E913" i="6" s="1"/>
  <c r="F913" i="6"/>
  <c r="G913" i="6"/>
  <c r="H913" i="6"/>
  <c r="I913" i="6"/>
  <c r="J913" i="6"/>
  <c r="K913" i="6" s="1"/>
  <c r="C914" i="6"/>
  <c r="D914" i="6"/>
  <c r="E914" i="6" s="1"/>
  <c r="F914" i="6"/>
  <c r="G914" i="6" s="1"/>
  <c r="H914" i="6"/>
  <c r="I914" i="6" s="1"/>
  <c r="J914" i="6"/>
  <c r="K914" i="6"/>
  <c r="C915" i="6"/>
  <c r="D915" i="6"/>
  <c r="E915" i="6" s="1"/>
  <c r="F915" i="6"/>
  <c r="G915" i="6" s="1"/>
  <c r="H915" i="6"/>
  <c r="I915" i="6"/>
  <c r="J915" i="6"/>
  <c r="K915" i="6" s="1"/>
  <c r="C916" i="6"/>
  <c r="D916" i="6"/>
  <c r="E916" i="6"/>
  <c r="F916" i="6"/>
  <c r="G916" i="6"/>
  <c r="H916" i="6"/>
  <c r="I916" i="6" s="1"/>
  <c r="J916" i="6"/>
  <c r="K916" i="6" s="1"/>
  <c r="C917" i="6"/>
  <c r="D917" i="6"/>
  <c r="E917" i="6" s="1"/>
  <c r="F917" i="6"/>
  <c r="G917" i="6" s="1"/>
  <c r="H917" i="6"/>
  <c r="I917" i="6"/>
  <c r="J917" i="6"/>
  <c r="K917" i="6" s="1"/>
  <c r="C918" i="6"/>
  <c r="D918" i="6"/>
  <c r="E918" i="6" s="1"/>
  <c r="F918" i="6"/>
  <c r="G918" i="6" s="1"/>
  <c r="H918" i="6"/>
  <c r="I918" i="6" s="1"/>
  <c r="J918" i="6"/>
  <c r="K918" i="6" s="1"/>
  <c r="C919" i="6"/>
  <c r="D919" i="6"/>
  <c r="E919" i="6" s="1"/>
  <c r="F919" i="6"/>
  <c r="G919" i="6"/>
  <c r="H919" i="6"/>
  <c r="I919" i="6"/>
  <c r="J919" i="6"/>
  <c r="K919" i="6" s="1"/>
  <c r="C920" i="6"/>
  <c r="D920" i="6"/>
  <c r="E920" i="6"/>
  <c r="F920" i="6"/>
  <c r="G920" i="6"/>
  <c r="H920" i="6"/>
  <c r="I920" i="6"/>
  <c r="J920" i="6"/>
  <c r="K920" i="6" s="1"/>
  <c r="C921" i="6"/>
  <c r="D921" i="6"/>
  <c r="E921" i="6" s="1"/>
  <c r="F921" i="6"/>
  <c r="G921" i="6" s="1"/>
  <c r="H921" i="6"/>
  <c r="I921" i="6" s="1"/>
  <c r="J921" i="6"/>
  <c r="K921" i="6"/>
  <c r="C922" i="6"/>
  <c r="D922" i="6"/>
  <c r="E922" i="6"/>
  <c r="F922" i="6"/>
  <c r="G922" i="6"/>
  <c r="H922" i="6"/>
  <c r="I922" i="6" s="1"/>
  <c r="J922" i="6"/>
  <c r="K922" i="6" s="1"/>
  <c r="C923" i="6"/>
  <c r="D923" i="6"/>
  <c r="E923" i="6" s="1"/>
  <c r="F923" i="6"/>
  <c r="G923" i="6"/>
  <c r="H923" i="6"/>
  <c r="I923" i="6"/>
  <c r="J923" i="6"/>
  <c r="K923" i="6" s="1"/>
  <c r="C924" i="6"/>
  <c r="D924" i="6"/>
  <c r="E924" i="6" s="1"/>
  <c r="F924" i="6"/>
  <c r="G924" i="6" s="1"/>
  <c r="H924" i="6"/>
  <c r="I924" i="6"/>
  <c r="J924" i="6"/>
  <c r="K924" i="6"/>
  <c r="C925" i="6"/>
  <c r="D925" i="6"/>
  <c r="E925" i="6"/>
  <c r="F925" i="6"/>
  <c r="G925" i="6" s="1"/>
  <c r="H925" i="6"/>
  <c r="I925" i="6" s="1"/>
  <c r="J925" i="6"/>
  <c r="K925" i="6" s="1"/>
  <c r="C926" i="6"/>
  <c r="D926" i="6"/>
  <c r="E926" i="6" s="1"/>
  <c r="F926" i="6"/>
  <c r="G926" i="6" s="1"/>
  <c r="H926" i="6"/>
  <c r="I926" i="6"/>
  <c r="J926" i="6"/>
  <c r="K926" i="6" s="1"/>
  <c r="C927" i="6"/>
  <c r="D927" i="6"/>
  <c r="E927" i="6" s="1"/>
  <c r="F927" i="6"/>
  <c r="G927" i="6"/>
  <c r="H927" i="6"/>
  <c r="I927" i="6" s="1"/>
  <c r="J927" i="6"/>
  <c r="K927" i="6"/>
  <c r="C928" i="6"/>
  <c r="D928" i="6"/>
  <c r="E928" i="6" s="1"/>
  <c r="F928" i="6"/>
  <c r="G928" i="6"/>
  <c r="H928" i="6"/>
  <c r="I928" i="6"/>
  <c r="J928" i="6"/>
  <c r="K928" i="6" s="1"/>
  <c r="C929" i="6"/>
  <c r="D929" i="6"/>
  <c r="E929" i="6"/>
  <c r="F929" i="6"/>
  <c r="G929" i="6"/>
  <c r="H929" i="6"/>
  <c r="I929" i="6" s="1"/>
  <c r="J929" i="6"/>
  <c r="K929" i="6" s="1"/>
  <c r="C930" i="6"/>
  <c r="D930" i="6"/>
  <c r="E930" i="6"/>
  <c r="F930" i="6"/>
  <c r="G930" i="6" s="1"/>
  <c r="H930" i="6"/>
  <c r="I930" i="6"/>
  <c r="J930" i="6"/>
  <c r="K930" i="6"/>
  <c r="C931" i="6"/>
  <c r="D931" i="6"/>
  <c r="E931" i="6" s="1"/>
  <c r="F931" i="6"/>
  <c r="G931" i="6" s="1"/>
  <c r="H931" i="6"/>
  <c r="I931" i="6"/>
  <c r="J931" i="6"/>
  <c r="K931" i="6"/>
  <c r="C932" i="6"/>
  <c r="D932" i="6"/>
  <c r="E932" i="6" s="1"/>
  <c r="F932" i="6"/>
  <c r="G932" i="6" s="1"/>
  <c r="H932" i="6"/>
  <c r="I932" i="6" s="1"/>
  <c r="J932" i="6"/>
  <c r="K932" i="6" s="1"/>
  <c r="C933" i="6"/>
  <c r="D933" i="6"/>
  <c r="E933" i="6" s="1"/>
  <c r="F933" i="6"/>
  <c r="G933" i="6"/>
  <c r="H933" i="6"/>
  <c r="I933" i="6"/>
  <c r="J933" i="6"/>
  <c r="K933" i="6" s="1"/>
  <c r="C934" i="6"/>
  <c r="D934" i="6"/>
  <c r="E934" i="6" s="1"/>
  <c r="F934" i="6"/>
  <c r="G934" i="6"/>
  <c r="H934" i="6"/>
  <c r="I934" i="6"/>
  <c r="J934" i="6"/>
  <c r="K934" i="6"/>
  <c r="C935" i="6"/>
  <c r="D935" i="6"/>
  <c r="E935" i="6" s="1"/>
  <c r="F935" i="6"/>
  <c r="G935" i="6"/>
  <c r="H935" i="6"/>
  <c r="I935" i="6" s="1"/>
  <c r="J935" i="6"/>
  <c r="K935" i="6"/>
  <c r="C936" i="6"/>
  <c r="D936" i="6"/>
  <c r="E936" i="6"/>
  <c r="F936" i="6"/>
  <c r="G936" i="6" s="1"/>
  <c r="H936" i="6"/>
  <c r="I936" i="6"/>
  <c r="J936" i="6"/>
  <c r="K936" i="6" s="1"/>
  <c r="C937" i="6"/>
  <c r="D937" i="6"/>
  <c r="E937" i="6"/>
  <c r="F937" i="6"/>
  <c r="G937" i="6"/>
  <c r="H937" i="6"/>
  <c r="I937" i="6" s="1"/>
  <c r="J937" i="6"/>
  <c r="K937" i="6"/>
  <c r="C938" i="6"/>
  <c r="D938" i="6"/>
  <c r="E938" i="6"/>
  <c r="F938" i="6"/>
  <c r="G938" i="6" s="1"/>
  <c r="H938" i="6"/>
  <c r="I938" i="6"/>
  <c r="J938" i="6"/>
  <c r="K938" i="6" s="1"/>
  <c r="C939" i="6"/>
  <c r="D939" i="6"/>
  <c r="E939" i="6" s="1"/>
  <c r="F939" i="6"/>
  <c r="G939" i="6"/>
  <c r="H939" i="6"/>
  <c r="I939" i="6"/>
  <c r="J939" i="6"/>
  <c r="K939" i="6" s="1"/>
  <c r="C940" i="6"/>
  <c r="D940" i="6"/>
  <c r="E940" i="6"/>
  <c r="F940" i="6"/>
  <c r="G940" i="6" s="1"/>
  <c r="H940" i="6"/>
  <c r="I940" i="6" s="1"/>
  <c r="J940" i="6"/>
  <c r="K940" i="6" s="1"/>
  <c r="C941" i="6"/>
  <c r="D941" i="6"/>
  <c r="E941" i="6" s="1"/>
  <c r="F941" i="6"/>
  <c r="G941" i="6"/>
  <c r="H941" i="6"/>
  <c r="I941" i="6" s="1"/>
  <c r="J941" i="6"/>
  <c r="K941" i="6" s="1"/>
  <c r="C942" i="6"/>
  <c r="D942" i="6"/>
  <c r="E942" i="6" s="1"/>
  <c r="F942" i="6"/>
  <c r="G942" i="6" s="1"/>
  <c r="H942" i="6"/>
  <c r="I942" i="6"/>
  <c r="J942" i="6"/>
  <c r="K942" i="6"/>
  <c r="C943" i="6"/>
  <c r="D943" i="6"/>
  <c r="E943" i="6"/>
  <c r="F943" i="6"/>
  <c r="G943" i="6"/>
  <c r="H943" i="6"/>
  <c r="I943" i="6" s="1"/>
  <c r="J943" i="6"/>
  <c r="K943" i="6"/>
  <c r="C944" i="6"/>
  <c r="D944" i="6"/>
  <c r="E944" i="6" s="1"/>
  <c r="F944" i="6"/>
  <c r="G944" i="6"/>
  <c r="H944" i="6"/>
  <c r="I944" i="6"/>
  <c r="J944" i="6"/>
  <c r="K944" i="6" s="1"/>
  <c r="C945" i="6"/>
  <c r="D945" i="6"/>
  <c r="E945" i="6" s="1"/>
  <c r="F945" i="6"/>
  <c r="G945" i="6"/>
  <c r="H945" i="6"/>
  <c r="I945" i="6"/>
  <c r="J945" i="6"/>
  <c r="K945" i="6"/>
  <c r="C946" i="6"/>
  <c r="D946" i="6"/>
  <c r="E946" i="6" s="1"/>
  <c r="F946" i="6"/>
  <c r="G946" i="6" s="1"/>
  <c r="H946" i="6"/>
  <c r="I946" i="6"/>
  <c r="J946" i="6"/>
  <c r="K946" i="6" s="1"/>
  <c r="C947" i="6"/>
  <c r="D947" i="6"/>
  <c r="E947" i="6" s="1"/>
  <c r="F947" i="6"/>
  <c r="G947" i="6" s="1"/>
  <c r="H947" i="6"/>
  <c r="I947" i="6"/>
  <c r="J947" i="6"/>
  <c r="K947" i="6"/>
  <c r="C948" i="6"/>
  <c r="D948" i="6"/>
  <c r="E948" i="6"/>
  <c r="F948" i="6"/>
  <c r="G948" i="6"/>
  <c r="H948" i="6"/>
  <c r="I948" i="6"/>
  <c r="J948" i="6"/>
  <c r="K948" i="6"/>
  <c r="C949" i="6"/>
  <c r="D949" i="6"/>
  <c r="E949" i="6" s="1"/>
  <c r="F949" i="6"/>
  <c r="G949" i="6"/>
  <c r="H949" i="6"/>
  <c r="I949" i="6" s="1"/>
  <c r="J949" i="6"/>
  <c r="K949" i="6" s="1"/>
  <c r="C950" i="6"/>
  <c r="D950" i="6"/>
  <c r="E950" i="6" s="1"/>
  <c r="F950" i="6"/>
  <c r="G950" i="6"/>
  <c r="H950" i="6"/>
  <c r="I950" i="6" s="1"/>
  <c r="J950" i="6"/>
  <c r="K950" i="6" s="1"/>
  <c r="C951" i="6"/>
  <c r="D951" i="6"/>
  <c r="E951" i="6" s="1"/>
  <c r="F951" i="6"/>
  <c r="G951" i="6" s="1"/>
  <c r="H951" i="6"/>
  <c r="I951" i="6"/>
  <c r="J951" i="6"/>
  <c r="K951" i="6"/>
  <c r="C952" i="6"/>
  <c r="D952" i="6"/>
  <c r="E952" i="6" s="1"/>
  <c r="F952" i="6"/>
  <c r="G952" i="6" s="1"/>
  <c r="H952" i="6"/>
  <c r="I952" i="6"/>
  <c r="J952" i="6"/>
  <c r="K952" i="6" s="1"/>
  <c r="C953" i="6"/>
  <c r="D953" i="6"/>
  <c r="E953" i="6"/>
  <c r="F953" i="6"/>
  <c r="G953" i="6" s="1"/>
  <c r="H953" i="6"/>
  <c r="I953" i="6" s="1"/>
  <c r="J953" i="6"/>
  <c r="K953" i="6"/>
  <c r="C954" i="6"/>
  <c r="D954" i="6"/>
  <c r="E954" i="6" s="1"/>
  <c r="F954" i="6"/>
  <c r="G954" i="6"/>
  <c r="H954" i="6"/>
  <c r="I954" i="6"/>
  <c r="J954" i="6"/>
  <c r="K954" i="6" s="1"/>
  <c r="C955" i="6"/>
  <c r="D955" i="6"/>
  <c r="E955" i="6" s="1"/>
  <c r="F955" i="6"/>
  <c r="G955" i="6" s="1"/>
  <c r="H955" i="6"/>
  <c r="I955" i="6"/>
  <c r="J955" i="6"/>
  <c r="K955" i="6" s="1"/>
  <c r="C956" i="6"/>
  <c r="D956" i="6"/>
  <c r="E956" i="6" s="1"/>
  <c r="F956" i="6"/>
  <c r="G956" i="6" s="1"/>
  <c r="H956" i="6"/>
  <c r="I956" i="6"/>
  <c r="J956" i="6"/>
  <c r="K956" i="6"/>
  <c r="C957" i="6"/>
  <c r="D957" i="6"/>
  <c r="E957" i="6"/>
  <c r="F957" i="6"/>
  <c r="G957" i="6"/>
  <c r="H957" i="6"/>
  <c r="I957" i="6" s="1"/>
  <c r="J957" i="6"/>
  <c r="K957" i="6" s="1"/>
  <c r="C958" i="6"/>
  <c r="D958" i="6"/>
  <c r="E958" i="6" s="1"/>
  <c r="F958" i="6"/>
  <c r="G958" i="6"/>
  <c r="H958" i="6"/>
  <c r="I958" i="6"/>
  <c r="J958" i="6"/>
  <c r="K958" i="6"/>
  <c r="C959" i="6"/>
  <c r="D959" i="6"/>
  <c r="E959" i="6"/>
  <c r="F959" i="6"/>
  <c r="G959" i="6" s="1"/>
  <c r="H959" i="6"/>
  <c r="I959" i="6" s="1"/>
  <c r="J959" i="6"/>
  <c r="K959" i="6" s="1"/>
  <c r="C960" i="6"/>
  <c r="D960" i="6"/>
  <c r="E960" i="6" s="1"/>
  <c r="F960" i="6"/>
  <c r="G960" i="6"/>
  <c r="H960" i="6"/>
  <c r="I960" i="6"/>
  <c r="J960" i="6"/>
  <c r="K960" i="6" s="1"/>
  <c r="C961" i="6"/>
  <c r="D961" i="6"/>
  <c r="E961" i="6"/>
  <c r="F961" i="6"/>
  <c r="G961" i="6"/>
  <c r="H961" i="6"/>
  <c r="I961" i="6"/>
  <c r="J961" i="6"/>
  <c r="K961" i="6" s="1"/>
  <c r="C962" i="6"/>
  <c r="D962" i="6"/>
  <c r="E962" i="6" s="1"/>
  <c r="F962" i="6"/>
  <c r="G962" i="6" s="1"/>
  <c r="H962" i="6"/>
  <c r="I962" i="6" s="1"/>
  <c r="J962" i="6"/>
  <c r="K962" i="6"/>
  <c r="C963" i="6"/>
  <c r="D963" i="6"/>
  <c r="E963" i="6" s="1"/>
  <c r="F963" i="6"/>
  <c r="G963" i="6" s="1"/>
  <c r="H963" i="6"/>
  <c r="I963" i="6"/>
  <c r="J963" i="6"/>
  <c r="K963" i="6" s="1"/>
  <c r="C964" i="6"/>
  <c r="D964" i="6"/>
  <c r="E964" i="6"/>
  <c r="F964" i="6"/>
  <c r="G964" i="6"/>
  <c r="H964" i="6"/>
  <c r="I964" i="6" s="1"/>
  <c r="J964" i="6"/>
  <c r="K964" i="6" s="1"/>
  <c r="C965" i="6"/>
  <c r="D965" i="6"/>
  <c r="E965" i="6" s="1"/>
  <c r="F965" i="6"/>
  <c r="G965" i="6" s="1"/>
  <c r="H965" i="6"/>
  <c r="I965" i="6"/>
  <c r="J965" i="6"/>
  <c r="K965" i="6" s="1"/>
  <c r="C966" i="6"/>
  <c r="D966" i="6"/>
  <c r="E966" i="6" s="1"/>
  <c r="F966" i="6"/>
  <c r="G966" i="6" s="1"/>
  <c r="H966" i="6"/>
  <c r="I966" i="6" s="1"/>
  <c r="J966" i="6"/>
  <c r="K966" i="6"/>
  <c r="C967" i="6"/>
  <c r="D967" i="6"/>
  <c r="E967" i="6" s="1"/>
  <c r="F967" i="6"/>
  <c r="G967" i="6"/>
  <c r="H967" i="6"/>
  <c r="I967" i="6"/>
  <c r="J967" i="6"/>
  <c r="K967" i="6" s="1"/>
  <c r="C968" i="6"/>
  <c r="D968" i="6"/>
  <c r="E968" i="6"/>
  <c r="F968" i="6"/>
  <c r="G968" i="6"/>
  <c r="H968" i="6"/>
  <c r="I968" i="6"/>
  <c r="J968" i="6"/>
  <c r="K968" i="6" s="1"/>
  <c r="C969" i="6"/>
  <c r="D969" i="6"/>
  <c r="E969" i="6" s="1"/>
  <c r="F969" i="6"/>
  <c r="G969" i="6" s="1"/>
  <c r="H969" i="6"/>
  <c r="I969" i="6"/>
  <c r="J969" i="6"/>
  <c r="K969" i="6"/>
  <c r="C970" i="6"/>
  <c r="D970" i="6"/>
  <c r="E970" i="6"/>
  <c r="F970" i="6"/>
  <c r="G970" i="6"/>
  <c r="H970" i="6"/>
  <c r="I970" i="6" s="1"/>
  <c r="J970" i="6"/>
  <c r="K970" i="6" s="1"/>
  <c r="C971" i="6"/>
  <c r="D971" i="6"/>
  <c r="E971" i="6" s="1"/>
  <c r="F971" i="6"/>
  <c r="G971" i="6"/>
  <c r="H971" i="6"/>
  <c r="I971" i="6"/>
  <c r="J971" i="6"/>
  <c r="K971" i="6" s="1"/>
  <c r="C972" i="6"/>
  <c r="D972" i="6"/>
  <c r="E972" i="6" s="1"/>
  <c r="F972" i="6"/>
  <c r="G972" i="6"/>
  <c r="H972" i="6"/>
  <c r="I972" i="6"/>
  <c r="J972" i="6"/>
  <c r="K972" i="6"/>
  <c r="C973" i="6"/>
  <c r="D973" i="6"/>
  <c r="E973" i="6"/>
  <c r="F973" i="6"/>
  <c r="G973" i="6" s="1"/>
  <c r="H973" i="6"/>
  <c r="I973" i="6" s="1"/>
  <c r="J973" i="6"/>
  <c r="K973" i="6" s="1"/>
  <c r="C974" i="6"/>
  <c r="D974" i="6"/>
  <c r="E974" i="6" s="1"/>
  <c r="F974" i="6"/>
  <c r="G974" i="6"/>
  <c r="H974" i="6"/>
  <c r="I974" i="6" s="1"/>
  <c r="J974" i="6"/>
  <c r="K974" i="6" s="1"/>
  <c r="C975" i="6"/>
  <c r="D975" i="6"/>
  <c r="E975" i="6" s="1"/>
  <c r="F975" i="6"/>
  <c r="G975" i="6"/>
  <c r="H975" i="6"/>
  <c r="I975" i="6" s="1"/>
  <c r="J975" i="6"/>
  <c r="K975" i="6"/>
  <c r="C976" i="6"/>
  <c r="D976" i="6"/>
  <c r="E976" i="6" s="1"/>
  <c r="F976" i="6"/>
  <c r="G976" i="6"/>
  <c r="H976" i="6"/>
  <c r="I976" i="6"/>
  <c r="J976" i="6"/>
  <c r="K976" i="6" s="1"/>
  <c r="C977" i="6"/>
  <c r="D977" i="6"/>
  <c r="E977" i="6"/>
  <c r="F977" i="6"/>
  <c r="G977" i="6" s="1"/>
  <c r="H977" i="6"/>
  <c r="I977" i="6" s="1"/>
  <c r="J977" i="6"/>
  <c r="K977" i="6" s="1"/>
  <c r="C978" i="6"/>
  <c r="D978" i="6"/>
  <c r="E978" i="6"/>
  <c r="F978" i="6"/>
  <c r="G978" i="6" s="1"/>
  <c r="H978" i="6"/>
  <c r="I978" i="6"/>
  <c r="J978" i="6"/>
  <c r="K978" i="6"/>
  <c r="C979" i="6"/>
  <c r="D979" i="6"/>
  <c r="E979" i="6" s="1"/>
  <c r="F979" i="6"/>
  <c r="G979" i="6" s="1"/>
  <c r="H979" i="6"/>
  <c r="I979" i="6"/>
  <c r="J979" i="6"/>
  <c r="K979" i="6"/>
  <c r="C980" i="6"/>
  <c r="D980" i="6"/>
  <c r="E980" i="6"/>
  <c r="F980" i="6"/>
  <c r="G980" i="6" s="1"/>
  <c r="H980" i="6"/>
  <c r="I980" i="6" s="1"/>
  <c r="J980" i="6"/>
  <c r="K980" i="6"/>
  <c r="C981" i="6"/>
  <c r="D981" i="6"/>
  <c r="E981" i="6" s="1"/>
  <c r="F981" i="6"/>
  <c r="G981" i="6"/>
  <c r="H981" i="6"/>
  <c r="I981" i="6"/>
  <c r="J981" i="6"/>
  <c r="K981" i="6" s="1"/>
  <c r="C982" i="6"/>
  <c r="D982" i="6"/>
  <c r="E982" i="6" s="1"/>
  <c r="F982" i="6"/>
  <c r="G982" i="6"/>
  <c r="H982" i="6"/>
  <c r="I982" i="6"/>
  <c r="J982" i="6"/>
  <c r="K982" i="6"/>
  <c r="C983" i="6"/>
  <c r="D983" i="6"/>
  <c r="E983" i="6" s="1"/>
  <c r="F983" i="6"/>
  <c r="G983" i="6"/>
  <c r="H983" i="6"/>
  <c r="I983" i="6" s="1"/>
  <c r="J983" i="6"/>
  <c r="K983" i="6"/>
  <c r="C984" i="6"/>
  <c r="D984" i="6"/>
  <c r="E984" i="6"/>
  <c r="F984" i="6"/>
  <c r="G984" i="6" s="1"/>
  <c r="H984" i="6"/>
  <c r="I984" i="6"/>
  <c r="J984" i="6"/>
  <c r="K984" i="6" s="1"/>
  <c r="C985" i="6"/>
  <c r="D985" i="6"/>
  <c r="E985" i="6"/>
  <c r="F985" i="6"/>
  <c r="G985" i="6"/>
  <c r="H985" i="6"/>
  <c r="I985" i="6" s="1"/>
  <c r="J985" i="6"/>
  <c r="K985" i="6" s="1"/>
  <c r="C986" i="6"/>
  <c r="D986" i="6"/>
  <c r="E986" i="6"/>
  <c r="F986" i="6"/>
  <c r="G986" i="6" s="1"/>
  <c r="H986" i="6"/>
  <c r="I986" i="6"/>
  <c r="J986" i="6"/>
  <c r="K986" i="6" s="1"/>
  <c r="C987" i="6"/>
  <c r="D987" i="6"/>
  <c r="E987" i="6" s="1"/>
  <c r="F987" i="6"/>
  <c r="G987" i="6"/>
  <c r="H987" i="6"/>
  <c r="I987" i="6"/>
  <c r="J987" i="6"/>
  <c r="K987" i="6" s="1"/>
  <c r="C988" i="6"/>
  <c r="D988" i="6"/>
  <c r="E988" i="6"/>
  <c r="F988" i="6"/>
  <c r="G988" i="6" s="1"/>
  <c r="H988" i="6"/>
  <c r="I988" i="6"/>
  <c r="J988" i="6"/>
  <c r="K988" i="6" s="1"/>
  <c r="C989" i="6"/>
  <c r="D989" i="6"/>
  <c r="E989" i="6" s="1"/>
  <c r="F989" i="6"/>
  <c r="G989" i="6"/>
  <c r="H989" i="6"/>
  <c r="I989" i="6" s="1"/>
  <c r="J989" i="6"/>
  <c r="K989" i="6" s="1"/>
  <c r="C990" i="6"/>
  <c r="D990" i="6"/>
  <c r="E990" i="6" s="1"/>
  <c r="F990" i="6"/>
  <c r="G990" i="6" s="1"/>
  <c r="H990" i="6"/>
  <c r="I990" i="6"/>
  <c r="J990" i="6"/>
  <c r="K990" i="6"/>
  <c r="C991" i="6"/>
  <c r="D991" i="6"/>
  <c r="E991" i="6"/>
  <c r="F991" i="6"/>
  <c r="G991" i="6" s="1"/>
  <c r="H991" i="6"/>
  <c r="I991" i="6" s="1"/>
  <c r="J991" i="6"/>
  <c r="K991" i="6"/>
  <c r="C992" i="6"/>
  <c r="D992" i="6"/>
  <c r="E992" i="6"/>
  <c r="F992" i="6"/>
  <c r="G992" i="6"/>
  <c r="H992" i="6"/>
  <c r="I992" i="6"/>
  <c r="J992" i="6"/>
  <c r="K992" i="6" s="1"/>
  <c r="C993" i="6"/>
  <c r="D993" i="6"/>
  <c r="E993" i="6" s="1"/>
  <c r="F993" i="6"/>
  <c r="G993" i="6"/>
  <c r="H993" i="6"/>
  <c r="I993" i="6"/>
  <c r="J993" i="6"/>
  <c r="K993" i="6"/>
  <c r="C994" i="6"/>
  <c r="D994" i="6"/>
  <c r="E994" i="6" s="1"/>
  <c r="F994" i="6"/>
  <c r="G994" i="6" s="1"/>
  <c r="H994" i="6"/>
  <c r="I994" i="6"/>
  <c r="J994" i="6"/>
  <c r="K994" i="6" s="1"/>
  <c r="C995" i="6"/>
  <c r="D995" i="6"/>
  <c r="E995" i="6" s="1"/>
  <c r="F995" i="6"/>
  <c r="G995" i="6" s="1"/>
  <c r="H995" i="6"/>
  <c r="I995" i="6"/>
  <c r="J995" i="6"/>
  <c r="K995" i="6"/>
  <c r="C996" i="6"/>
  <c r="D996" i="6"/>
  <c r="E996" i="6"/>
  <c r="F996" i="6"/>
  <c r="G996" i="6"/>
  <c r="H996" i="6"/>
  <c r="I996" i="6"/>
  <c r="J996" i="6"/>
  <c r="K996" i="6" s="1"/>
  <c r="C997" i="6"/>
  <c r="D997" i="6"/>
  <c r="E997" i="6" s="1"/>
  <c r="F997" i="6"/>
  <c r="G997" i="6"/>
  <c r="H997" i="6"/>
  <c r="I997" i="6" s="1"/>
  <c r="J997" i="6"/>
  <c r="K997" i="6" s="1"/>
  <c r="C998" i="6"/>
  <c r="D998" i="6"/>
  <c r="E998" i="6" s="1"/>
  <c r="F998" i="6"/>
  <c r="G998" i="6"/>
  <c r="H998" i="6"/>
  <c r="I998" i="6" s="1"/>
  <c r="J998" i="6"/>
  <c r="K998" i="6" s="1"/>
  <c r="C999" i="6"/>
  <c r="D999" i="6"/>
  <c r="E999" i="6" s="1"/>
  <c r="F999" i="6"/>
  <c r="G999" i="6" s="1"/>
  <c r="H999" i="6"/>
  <c r="I999" i="6"/>
  <c r="J999" i="6"/>
  <c r="K999" i="6"/>
  <c r="C1000" i="6"/>
  <c r="D1000" i="6"/>
  <c r="E1000" i="6" s="1"/>
  <c r="F1000" i="6"/>
  <c r="G1000" i="6" s="1"/>
  <c r="H1000" i="6"/>
  <c r="I1000" i="6"/>
  <c r="J1000" i="6"/>
  <c r="K1000" i="6" s="1"/>
  <c r="C1001" i="6"/>
  <c r="D1001" i="6"/>
  <c r="E1001" i="6"/>
  <c r="F1001" i="6"/>
  <c r="G1001" i="6" s="1"/>
  <c r="H1001" i="6"/>
  <c r="I1001" i="6" s="1"/>
  <c r="J1001" i="6"/>
  <c r="K1001" i="6"/>
  <c r="C1002" i="6"/>
  <c r="D1002" i="6"/>
  <c r="E1002" i="6" s="1"/>
  <c r="F1002" i="6"/>
  <c r="G1002" i="6" s="1"/>
  <c r="H1002" i="6"/>
  <c r="I1002" i="6" s="1"/>
  <c r="J1002" i="6"/>
  <c r="K1002" i="6" s="1"/>
  <c r="C1003" i="6"/>
  <c r="D1003" i="6"/>
  <c r="E1003" i="6" s="1"/>
  <c r="F1003" i="6"/>
  <c r="G1003" i="6" s="1"/>
  <c r="H1003" i="6"/>
  <c r="I1003" i="6"/>
  <c r="J1003" i="6"/>
  <c r="K1003" i="6" s="1"/>
  <c r="C1004" i="6"/>
  <c r="D1004" i="6"/>
  <c r="E1004" i="6" s="1"/>
  <c r="F1004" i="6"/>
  <c r="G1004" i="6" s="1"/>
  <c r="H1004" i="6"/>
  <c r="I1004" i="6"/>
  <c r="J1004" i="6"/>
  <c r="K1004" i="6"/>
  <c r="C1005" i="6"/>
  <c r="D1005" i="6"/>
  <c r="E1005" i="6"/>
  <c r="F1005" i="6"/>
  <c r="G1005" i="6" s="1"/>
  <c r="H1005" i="6"/>
  <c r="I1005" i="6" s="1"/>
  <c r="J1005" i="6"/>
  <c r="K1005" i="6" s="1"/>
  <c r="C1006" i="6"/>
  <c r="D1006" i="6"/>
  <c r="E1006" i="6" s="1"/>
  <c r="F1006" i="6"/>
  <c r="G1006" i="6"/>
  <c r="H1006" i="6"/>
  <c r="I1006" i="6"/>
  <c r="J1006" i="6"/>
  <c r="K1006" i="6"/>
  <c r="C1007" i="6"/>
  <c r="D1007" i="6"/>
  <c r="E1007" i="6"/>
  <c r="F1007" i="6"/>
  <c r="G1007" i="6" s="1"/>
  <c r="H1007" i="6"/>
  <c r="I1007" i="6" s="1"/>
  <c r="J1007" i="6"/>
  <c r="K1007" i="6" s="1"/>
  <c r="C1008" i="6"/>
  <c r="D1008" i="6"/>
  <c r="E1008" i="6" s="1"/>
  <c r="F1008" i="6"/>
  <c r="G1008" i="6" s="1"/>
  <c r="H1008" i="6"/>
  <c r="I1008" i="6" s="1"/>
  <c r="J1008" i="6"/>
  <c r="K1008" i="6" s="1"/>
  <c r="C1009" i="6"/>
  <c r="D1009" i="6"/>
  <c r="E1009" i="6"/>
  <c r="F1009" i="6"/>
  <c r="G1009" i="6"/>
  <c r="H1009" i="6"/>
  <c r="I1009" i="6"/>
  <c r="J1009" i="6"/>
  <c r="K1009" i="6" s="1"/>
  <c r="C1010" i="6"/>
  <c r="D1010" i="6"/>
  <c r="E1010" i="6" s="1"/>
  <c r="F1010" i="6"/>
  <c r="G1010" i="6" s="1"/>
  <c r="H1010" i="6"/>
  <c r="I1010" i="6" s="1"/>
  <c r="J1010" i="6"/>
  <c r="K1010" i="6"/>
  <c r="C1011" i="6"/>
  <c r="D1011" i="6"/>
  <c r="E1011" i="6" s="1"/>
  <c r="F1011" i="6"/>
  <c r="G1011" i="6" s="1"/>
  <c r="H1011" i="6"/>
  <c r="I1011" i="6"/>
  <c r="J1011" i="6"/>
  <c r="K1011" i="6"/>
  <c r="C1012" i="6"/>
  <c r="D1012" i="6"/>
  <c r="E1012" i="6" s="1"/>
  <c r="F1012" i="6"/>
  <c r="G1012" i="6"/>
  <c r="H1012" i="6"/>
  <c r="I1012" i="6"/>
  <c r="J1012" i="6"/>
  <c r="K1012" i="6" s="1"/>
  <c r="C1013" i="6"/>
  <c r="D1013" i="6"/>
  <c r="E1013" i="6"/>
  <c r="F1013" i="6"/>
  <c r="G1013" i="6"/>
  <c r="H1013" i="6"/>
  <c r="I1013" i="6"/>
  <c r="J1013" i="6"/>
  <c r="K1013" i="6"/>
  <c r="C1014" i="6"/>
  <c r="D1014" i="6"/>
  <c r="E1014" i="6" s="1"/>
  <c r="F1014" i="6"/>
  <c r="G1014" i="6" s="1"/>
  <c r="H1014" i="6"/>
  <c r="I1014" i="6"/>
  <c r="J1014" i="6"/>
  <c r="K1014" i="6"/>
  <c r="C1015" i="6"/>
  <c r="D1015" i="6"/>
  <c r="E1015" i="6"/>
  <c r="F1015" i="6"/>
  <c r="G1015" i="6"/>
  <c r="H1015" i="6"/>
  <c r="I1015" i="6" s="1"/>
  <c r="J1015" i="6"/>
  <c r="K1015" i="6" s="1"/>
  <c r="C1016" i="6"/>
  <c r="D1016" i="6"/>
  <c r="E1016" i="6"/>
  <c r="F1016" i="6"/>
  <c r="G1016" i="6"/>
  <c r="H1016" i="6"/>
  <c r="I1016" i="6"/>
  <c r="J1016" i="6"/>
  <c r="K1016" i="6" s="1"/>
  <c r="C1017" i="6"/>
  <c r="D1017" i="6"/>
  <c r="E1017" i="6" s="1"/>
  <c r="F1017" i="6"/>
  <c r="G1017" i="6"/>
  <c r="H1017" i="6"/>
  <c r="I1017" i="6"/>
  <c r="J1017" i="6"/>
  <c r="K1017" i="6"/>
  <c r="C1018" i="6"/>
  <c r="D1018" i="6"/>
  <c r="E1018" i="6"/>
  <c r="F1018" i="6"/>
  <c r="G1018" i="6" s="1"/>
  <c r="H1018" i="6"/>
  <c r="I1018" i="6" s="1"/>
  <c r="J1018" i="6"/>
  <c r="K1018" i="6" s="1"/>
  <c r="C1019" i="6"/>
  <c r="D1019" i="6"/>
  <c r="E1019" i="6"/>
  <c r="F1019" i="6"/>
  <c r="G1019" i="6"/>
  <c r="H1019" i="6"/>
  <c r="I1019" i="6"/>
  <c r="J1019" i="6"/>
  <c r="K1019" i="6" s="1"/>
  <c r="C1020" i="6"/>
  <c r="D1020" i="6"/>
  <c r="E1020" i="6"/>
  <c r="F1020" i="6"/>
  <c r="G1020" i="6" s="1"/>
  <c r="H1020" i="6"/>
  <c r="I1020" i="6"/>
  <c r="J1020" i="6"/>
  <c r="K1020" i="6"/>
  <c r="C1021" i="6"/>
  <c r="D1021" i="6"/>
  <c r="E1021" i="6"/>
  <c r="F1021" i="6"/>
  <c r="G1021" i="6"/>
  <c r="H1021" i="6"/>
  <c r="I1021" i="6"/>
  <c r="J1021" i="6"/>
  <c r="K1021" i="6"/>
  <c r="C1022" i="6"/>
  <c r="D1022" i="6"/>
  <c r="E1022" i="6" s="1"/>
  <c r="F1022" i="6"/>
  <c r="G1022" i="6" s="1"/>
  <c r="H1022" i="6"/>
  <c r="I1022" i="6" s="1"/>
  <c r="J1022" i="6"/>
  <c r="K1022" i="6"/>
  <c r="C1023" i="6"/>
  <c r="D1023" i="6"/>
  <c r="E1023" i="6" s="1"/>
  <c r="F1023" i="6"/>
  <c r="G1023" i="6"/>
  <c r="H1023" i="6"/>
  <c r="I1023" i="6"/>
  <c r="J1023" i="6"/>
  <c r="K1023" i="6" s="1"/>
  <c r="C1024" i="6"/>
  <c r="D1024" i="6"/>
  <c r="E1024" i="6"/>
  <c r="F1024" i="6"/>
  <c r="G1024" i="6"/>
  <c r="H1024" i="6"/>
  <c r="I1024" i="6"/>
  <c r="J1024" i="6"/>
  <c r="K1024" i="6" s="1"/>
  <c r="C1025" i="6"/>
  <c r="D1025" i="6"/>
  <c r="E1025" i="6" s="1"/>
  <c r="F1025" i="6"/>
  <c r="G1025" i="6" s="1"/>
  <c r="H1025" i="6"/>
  <c r="I1025" i="6"/>
  <c r="J1025" i="6"/>
  <c r="K1025" i="6"/>
  <c r="C1026" i="6"/>
  <c r="D1026" i="6"/>
  <c r="E1026" i="6"/>
  <c r="F1026" i="6"/>
  <c r="G1026" i="6"/>
  <c r="H1026" i="6"/>
  <c r="I1026" i="6" s="1"/>
  <c r="J1026" i="6"/>
  <c r="K1026" i="6" s="1"/>
  <c r="C1027" i="6"/>
  <c r="D1027" i="6"/>
  <c r="E1027" i="6"/>
  <c r="F1027" i="6"/>
  <c r="G1027" i="6"/>
  <c r="H1027" i="6"/>
  <c r="I1027" i="6"/>
  <c r="J1027" i="6"/>
  <c r="K1027" i="6" s="1"/>
  <c r="C1028" i="6"/>
  <c r="D1028" i="6"/>
  <c r="E1028" i="6" s="1"/>
  <c r="F1028" i="6"/>
  <c r="G1028" i="6"/>
  <c r="H1028" i="6"/>
  <c r="I1028" i="6" s="1"/>
  <c r="J1028" i="6"/>
  <c r="K1028" i="6"/>
  <c r="C1029" i="6"/>
  <c r="D1029" i="6"/>
  <c r="E1029" i="6" s="1"/>
  <c r="F1029" i="6"/>
  <c r="G1029" i="6"/>
  <c r="H1029" i="6"/>
  <c r="I1029" i="6"/>
  <c r="J1029" i="6"/>
  <c r="K1029" i="6"/>
  <c r="C1030" i="6"/>
  <c r="D1030" i="6"/>
  <c r="E1030" i="6" s="1"/>
  <c r="F1030" i="6"/>
  <c r="G1030" i="6"/>
  <c r="H1030" i="6"/>
  <c r="I1030" i="6" s="1"/>
  <c r="J1030" i="6"/>
  <c r="K1030" i="6" s="1"/>
  <c r="C1031" i="6"/>
  <c r="D1031" i="6"/>
  <c r="E1031" i="6"/>
  <c r="F1031" i="6"/>
  <c r="G1031" i="6" s="1"/>
  <c r="H1031" i="6"/>
  <c r="I1031" i="6"/>
  <c r="J1031" i="6"/>
  <c r="K1031" i="6"/>
  <c r="C1032" i="6"/>
  <c r="D1032" i="6"/>
  <c r="E1032" i="6"/>
  <c r="F1032" i="6"/>
  <c r="G1032" i="6"/>
  <c r="H1032" i="6"/>
  <c r="I1032" i="6"/>
  <c r="J1032" i="6"/>
  <c r="K1032" i="6" s="1"/>
  <c r="C1033" i="6"/>
  <c r="D1033" i="6"/>
  <c r="E1033" i="6" s="1"/>
  <c r="F1033" i="6"/>
  <c r="G1033" i="6" s="1"/>
  <c r="H1033" i="6"/>
  <c r="I1033" i="6" s="1"/>
  <c r="J1033" i="6"/>
  <c r="K1033" i="6"/>
  <c r="C1034" i="6"/>
  <c r="D1034" i="6"/>
  <c r="E1034" i="6" s="1"/>
  <c r="F1034" i="6"/>
  <c r="G1034" i="6"/>
  <c r="H1034" i="6"/>
  <c r="I1034" i="6"/>
  <c r="J1034" i="6"/>
  <c r="K1034" i="6" s="1"/>
  <c r="C1035" i="6"/>
  <c r="D1035" i="6"/>
  <c r="E1035" i="6"/>
  <c r="F1035" i="6"/>
  <c r="G1035" i="6"/>
  <c r="H1035" i="6"/>
  <c r="I1035" i="6"/>
  <c r="J1035" i="6"/>
  <c r="K1035" i="6"/>
  <c r="C1036" i="6"/>
  <c r="D1036" i="6"/>
  <c r="E1036" i="6"/>
  <c r="F1036" i="6"/>
  <c r="G1036" i="6" s="1"/>
  <c r="H1036" i="6"/>
  <c r="I1036" i="6"/>
  <c r="J1036" i="6"/>
  <c r="K1036" i="6" s="1"/>
  <c r="C1037" i="6"/>
  <c r="D1037" i="6"/>
  <c r="E1037" i="6" s="1"/>
  <c r="F1037" i="6"/>
  <c r="G1037" i="6" s="1"/>
  <c r="H1037" i="6"/>
  <c r="I1037" i="6"/>
  <c r="J1037" i="6"/>
  <c r="K1037" i="6"/>
  <c r="C1038" i="6"/>
  <c r="D1038" i="6"/>
  <c r="E1038" i="6" s="1"/>
  <c r="F1038" i="6"/>
  <c r="G1038" i="6" s="1"/>
  <c r="H1038" i="6"/>
  <c r="I1038" i="6" s="1"/>
  <c r="J1038" i="6"/>
  <c r="K1038" i="6" s="1"/>
  <c r="C1039" i="6"/>
  <c r="D1039" i="6"/>
  <c r="E1039" i="6" s="1"/>
  <c r="F1039" i="6"/>
  <c r="G1039" i="6"/>
  <c r="H1039" i="6"/>
  <c r="I1039" i="6" s="1"/>
  <c r="J1039" i="6"/>
  <c r="K1039" i="6" s="1"/>
  <c r="C1040" i="6"/>
  <c r="D1040" i="6"/>
  <c r="E1040" i="6"/>
  <c r="F1040" i="6"/>
  <c r="G1040" i="6"/>
  <c r="H1040" i="6"/>
  <c r="I1040" i="6"/>
  <c r="J1040" i="6"/>
  <c r="K1040" i="6" s="1"/>
  <c r="C1041" i="6"/>
  <c r="D1041" i="6"/>
  <c r="E1041" i="6"/>
  <c r="F1041" i="6"/>
  <c r="G1041" i="6" s="1"/>
  <c r="H1041" i="6"/>
  <c r="I1041" i="6" s="1"/>
  <c r="J1041" i="6"/>
  <c r="K1041" i="6" s="1"/>
  <c r="C1042" i="6"/>
  <c r="D1042" i="6"/>
  <c r="E1042" i="6"/>
  <c r="F1042" i="6"/>
  <c r="G1042" i="6" s="1"/>
  <c r="H1042" i="6"/>
  <c r="I1042" i="6" s="1"/>
  <c r="J1042" i="6"/>
  <c r="K1042" i="6"/>
  <c r="C1043" i="6"/>
  <c r="D1043" i="6"/>
  <c r="E1043" i="6"/>
  <c r="F1043" i="6"/>
  <c r="G1043" i="6"/>
  <c r="H1043" i="6"/>
  <c r="I1043" i="6"/>
  <c r="J1043" i="6"/>
  <c r="K1043" i="6" s="1"/>
  <c r="C1044" i="6"/>
  <c r="D1044" i="6"/>
  <c r="E1044" i="6" s="1"/>
  <c r="F1044" i="6"/>
  <c r="G1044" i="6"/>
  <c r="H1044" i="6"/>
  <c r="I1044" i="6" s="1"/>
  <c r="J1044" i="6"/>
  <c r="K1044" i="6"/>
  <c r="C1045" i="6"/>
  <c r="D1045" i="6"/>
  <c r="E1045" i="6"/>
  <c r="F1045" i="6"/>
  <c r="G1045" i="6" s="1"/>
  <c r="H1045" i="6"/>
  <c r="I1045" i="6" s="1"/>
  <c r="J1045" i="6"/>
  <c r="K1045" i="6"/>
  <c r="C1046" i="6"/>
  <c r="D1046" i="6"/>
  <c r="E1046" i="6" s="1"/>
  <c r="F1046" i="6"/>
  <c r="G1046" i="6"/>
  <c r="H1046" i="6"/>
  <c r="I1046" i="6"/>
  <c r="J1046" i="6"/>
  <c r="K1046" i="6"/>
  <c r="C1047" i="6"/>
  <c r="D1047" i="6"/>
  <c r="E1047" i="6"/>
  <c r="F1047" i="6"/>
  <c r="G1047" i="6" s="1"/>
  <c r="H1047" i="6"/>
  <c r="I1047" i="6"/>
  <c r="J1047" i="6"/>
  <c r="K1047" i="6" s="1"/>
  <c r="C1048" i="6"/>
  <c r="D1048" i="6"/>
  <c r="E1048" i="6" s="1"/>
  <c r="F1048" i="6"/>
  <c r="G1048" i="6" s="1"/>
  <c r="H1048" i="6"/>
  <c r="I1048" i="6"/>
  <c r="J1048" i="6"/>
  <c r="K1048" i="6" s="1"/>
  <c r="C1049" i="6"/>
  <c r="D1049" i="6"/>
  <c r="E1049" i="6"/>
  <c r="F1049" i="6"/>
  <c r="G1049" i="6"/>
  <c r="H1049" i="6"/>
  <c r="I1049" i="6" s="1"/>
  <c r="J1049" i="6"/>
  <c r="K1049" i="6" s="1"/>
  <c r="C1050" i="6"/>
  <c r="D1050" i="6"/>
  <c r="E1050" i="6" s="1"/>
  <c r="F1050" i="6"/>
  <c r="G1050" i="6"/>
  <c r="H1050" i="6"/>
  <c r="I1050" i="6" s="1"/>
  <c r="J1050" i="6"/>
  <c r="K1050" i="6" s="1"/>
  <c r="C1051" i="6"/>
  <c r="D1051" i="6"/>
  <c r="E1051" i="6"/>
  <c r="F1051" i="6"/>
  <c r="G1051" i="6"/>
  <c r="H1051" i="6"/>
  <c r="I1051" i="6"/>
  <c r="J1051" i="6"/>
  <c r="K1051" i="6"/>
  <c r="C1052" i="6"/>
  <c r="D1052" i="6"/>
  <c r="E1052" i="6" s="1"/>
  <c r="F1052" i="6"/>
  <c r="G1052" i="6" s="1"/>
  <c r="H1052" i="6"/>
  <c r="I1052" i="6"/>
  <c r="J1052" i="6"/>
  <c r="K1052" i="6" s="1"/>
  <c r="C1053" i="6"/>
  <c r="D1053" i="6"/>
  <c r="E1053" i="6"/>
  <c r="F1053" i="6"/>
  <c r="G1053" i="6"/>
  <c r="H1053" i="6"/>
  <c r="I1053" i="6" s="1"/>
  <c r="J1053" i="6"/>
  <c r="K1053" i="6" s="1"/>
  <c r="C1054" i="6"/>
  <c r="D1054" i="6"/>
  <c r="E1054" i="6" s="1"/>
  <c r="F1054" i="6"/>
  <c r="G1054" i="6"/>
  <c r="H1054" i="6"/>
  <c r="I1054" i="6"/>
  <c r="J1054" i="6"/>
  <c r="K1054" i="6"/>
  <c r="C1055" i="6"/>
  <c r="D1055" i="6"/>
  <c r="E1055" i="6" s="1"/>
  <c r="F1055" i="6"/>
  <c r="G1055" i="6"/>
  <c r="H1055" i="6"/>
  <c r="I1055" i="6" s="1"/>
  <c r="J1055" i="6"/>
  <c r="K1055" i="6"/>
  <c r="C1056" i="6"/>
  <c r="D1056" i="6"/>
  <c r="E1056" i="6"/>
  <c r="F1056" i="6"/>
  <c r="G1056" i="6" s="1"/>
  <c r="H1056" i="6"/>
  <c r="I1056" i="6" s="1"/>
  <c r="J1056" i="6"/>
  <c r="K1056" i="6" s="1"/>
  <c r="C1057" i="6"/>
  <c r="D1057" i="6"/>
  <c r="E1057" i="6"/>
  <c r="F1057" i="6"/>
  <c r="G1057" i="6"/>
  <c r="H1057" i="6"/>
  <c r="I1057" i="6"/>
  <c r="J1057" i="6"/>
  <c r="K1057" i="6"/>
  <c r="C1058" i="6"/>
  <c r="D1058" i="6"/>
  <c r="E1058" i="6"/>
  <c r="F1058" i="6"/>
  <c r="G1058" i="6" s="1"/>
  <c r="H1058" i="6"/>
  <c r="I1058" i="6"/>
  <c r="J1058" i="6"/>
  <c r="K1058" i="6" s="1"/>
  <c r="C1059" i="6"/>
  <c r="D1059" i="6"/>
  <c r="E1059" i="6" s="1"/>
  <c r="F1059" i="6"/>
  <c r="G1059" i="6"/>
  <c r="H1059" i="6"/>
  <c r="I1059" i="6"/>
  <c r="J1059" i="6"/>
  <c r="K1059" i="6"/>
  <c r="C1060" i="6"/>
  <c r="D1060" i="6"/>
  <c r="E1060" i="6" s="1"/>
  <c r="F1060" i="6"/>
  <c r="G1060" i="6"/>
  <c r="H1060" i="6"/>
  <c r="I1060" i="6" s="1"/>
  <c r="J1060" i="6"/>
  <c r="K1060" i="6"/>
  <c r="C1061" i="6"/>
  <c r="D1061" i="6"/>
  <c r="E1061" i="6"/>
  <c r="F1061" i="6"/>
  <c r="G1061" i="6"/>
  <c r="H1061" i="6"/>
  <c r="I1061" i="6"/>
  <c r="J1061" i="6"/>
  <c r="K1061" i="6" s="1"/>
  <c r="C1062" i="6"/>
  <c r="D1062" i="6"/>
  <c r="E1062" i="6" s="1"/>
  <c r="F1062" i="6"/>
  <c r="G1062" i="6"/>
  <c r="H1062" i="6"/>
  <c r="I1062" i="6"/>
  <c r="J1062" i="6"/>
  <c r="K1062" i="6"/>
  <c r="C1063" i="6"/>
  <c r="D1063" i="6"/>
  <c r="E1063" i="6" s="1"/>
  <c r="F1063" i="6"/>
  <c r="G1063" i="6" s="1"/>
  <c r="H1063" i="6"/>
  <c r="I1063" i="6"/>
  <c r="J1063" i="6"/>
  <c r="K1063" i="6" s="1"/>
  <c r="C1064" i="6"/>
  <c r="D1064" i="6"/>
  <c r="E1064" i="6"/>
  <c r="F1064" i="6"/>
  <c r="G1064" i="6"/>
  <c r="H1064" i="6"/>
  <c r="I1064" i="6" s="1"/>
  <c r="J1064" i="6"/>
  <c r="K1064" i="6" s="1"/>
  <c r="C1065" i="6"/>
  <c r="D1065" i="6"/>
  <c r="E1065" i="6"/>
  <c r="F1065" i="6"/>
  <c r="G1065" i="6"/>
  <c r="H1065" i="6"/>
  <c r="I1065" i="6"/>
  <c r="J1065" i="6"/>
  <c r="K1065" i="6" s="1"/>
  <c r="C1066" i="6"/>
  <c r="D1066" i="6"/>
  <c r="E1066" i="6" s="1"/>
  <c r="F1066" i="6"/>
  <c r="G1066" i="6"/>
  <c r="H1066" i="6"/>
  <c r="I1066" i="6" s="1"/>
  <c r="J1066" i="6"/>
  <c r="K1066" i="6"/>
  <c r="C1067" i="6"/>
  <c r="D1067" i="6"/>
  <c r="E1067" i="6"/>
  <c r="F1067" i="6"/>
  <c r="G1067" i="6" s="1"/>
  <c r="H1067" i="6"/>
  <c r="I1067" i="6"/>
  <c r="J1067" i="6"/>
  <c r="K1067" i="6"/>
  <c r="C1068" i="6"/>
  <c r="D1068" i="6"/>
  <c r="E1068" i="6" s="1"/>
  <c r="F1068" i="6"/>
  <c r="G1068" i="6" s="1"/>
  <c r="H1068" i="6"/>
  <c r="I1068" i="6"/>
  <c r="J1068" i="6"/>
  <c r="K1068" i="6" s="1"/>
  <c r="C1069" i="6"/>
  <c r="D1069" i="6"/>
  <c r="E1069" i="6" s="1"/>
  <c r="F1069" i="6"/>
  <c r="G1069" i="6"/>
  <c r="H1069" i="6"/>
  <c r="I1069" i="6" s="1"/>
  <c r="J1069" i="6"/>
  <c r="K1069" i="6"/>
  <c r="C1070" i="6"/>
  <c r="D1070" i="6"/>
  <c r="E1070" i="6" s="1"/>
  <c r="F1070" i="6"/>
  <c r="G1070" i="6"/>
  <c r="H1070" i="6"/>
  <c r="I1070" i="6"/>
  <c r="J1070" i="6"/>
  <c r="K1070" i="6"/>
  <c r="C1071" i="6"/>
  <c r="D1071" i="6"/>
  <c r="E1071" i="6"/>
  <c r="F1071" i="6"/>
  <c r="G1071" i="6" s="1"/>
  <c r="H1071" i="6"/>
  <c r="I1071" i="6" s="1"/>
  <c r="J1071" i="6"/>
  <c r="K1071" i="6"/>
  <c r="C1072" i="6"/>
  <c r="D1072" i="6"/>
  <c r="E1072" i="6"/>
  <c r="F1072" i="6"/>
  <c r="G1072" i="6"/>
  <c r="H1072" i="6"/>
  <c r="I1072" i="6"/>
  <c r="J1072" i="6"/>
  <c r="K1072" i="6" s="1"/>
  <c r="C1073" i="6"/>
  <c r="D1073" i="6"/>
  <c r="E1073" i="6"/>
  <c r="F1073" i="6"/>
  <c r="G1073" i="6"/>
  <c r="H1073" i="6"/>
  <c r="I1073" i="6"/>
  <c r="J1073" i="6"/>
  <c r="K1073" i="6"/>
  <c r="C1074" i="6"/>
  <c r="D1074" i="6"/>
  <c r="E1074" i="6"/>
  <c r="F1074" i="6"/>
  <c r="G1074" i="6" s="1"/>
  <c r="H1074" i="6"/>
  <c r="I1074" i="6"/>
  <c r="J1074" i="6"/>
  <c r="K1074" i="6" s="1"/>
  <c r="C1075" i="6"/>
  <c r="D1075" i="6"/>
  <c r="E1075" i="6"/>
  <c r="F1075" i="6"/>
  <c r="G1075" i="6"/>
  <c r="H1075" i="6"/>
  <c r="I1075" i="6"/>
  <c r="J1075" i="6"/>
  <c r="K1075" i="6" s="1"/>
  <c r="C1076" i="6"/>
  <c r="D1076" i="6"/>
  <c r="E1076" i="6" s="1"/>
  <c r="F1076" i="6"/>
  <c r="G1076" i="6" s="1"/>
  <c r="H1076" i="6"/>
  <c r="I1076" i="6" s="1"/>
  <c r="J1076" i="6"/>
  <c r="K1076" i="6" s="1"/>
  <c r="C1077" i="6"/>
  <c r="D1077" i="6"/>
  <c r="E1077" i="6" s="1"/>
  <c r="F1077" i="6"/>
  <c r="G1077" i="6" s="1"/>
  <c r="H1077" i="6"/>
  <c r="I1077" i="6"/>
  <c r="J1077" i="6"/>
  <c r="K1077" i="6"/>
  <c r="C1078" i="6"/>
  <c r="D1078" i="6"/>
  <c r="E1078" i="6" s="1"/>
  <c r="F1078" i="6"/>
  <c r="G1078" i="6" s="1"/>
  <c r="H1078" i="6"/>
  <c r="I1078" i="6"/>
  <c r="J1078" i="6"/>
  <c r="K1078" i="6"/>
  <c r="C1079" i="6"/>
  <c r="D1079" i="6"/>
  <c r="E1079" i="6" s="1"/>
  <c r="F1079" i="6"/>
  <c r="G1079" i="6"/>
  <c r="H1079" i="6"/>
  <c r="I1079" i="6"/>
  <c r="J1079" i="6"/>
  <c r="K1079" i="6" s="1"/>
  <c r="C1080" i="6"/>
  <c r="D1080" i="6"/>
  <c r="E1080" i="6" s="1"/>
  <c r="F1080" i="6"/>
  <c r="G1080" i="6"/>
  <c r="H1080" i="6"/>
  <c r="I1080" i="6"/>
  <c r="J1080" i="6"/>
  <c r="K1080" i="6" s="1"/>
  <c r="C1081" i="6"/>
  <c r="D1081" i="6"/>
  <c r="E1081" i="6" s="1"/>
  <c r="F1081" i="6"/>
  <c r="G1081" i="6"/>
  <c r="H1081" i="6"/>
  <c r="I1081" i="6"/>
  <c r="J1081" i="6"/>
  <c r="K1081" i="6"/>
  <c r="C1082" i="6"/>
  <c r="D1082" i="6"/>
  <c r="E1082" i="6" s="1"/>
  <c r="F1082" i="6"/>
  <c r="G1082" i="6" s="1"/>
  <c r="H1082" i="6"/>
  <c r="I1082" i="6" s="1"/>
  <c r="J1082" i="6"/>
  <c r="K1082" i="6"/>
  <c r="C1083" i="6"/>
  <c r="D1083" i="6"/>
  <c r="E1083" i="6"/>
  <c r="F1083" i="6"/>
  <c r="G1083" i="6" s="1"/>
  <c r="H1083" i="6"/>
  <c r="I1083" i="6"/>
  <c r="J1083" i="6"/>
  <c r="K1083" i="6" s="1"/>
  <c r="C1084" i="6"/>
  <c r="D1084" i="6"/>
  <c r="E1084" i="6" s="1"/>
  <c r="F1084" i="6"/>
  <c r="G1084" i="6" s="1"/>
  <c r="H1084" i="6"/>
  <c r="I1084" i="6" s="1"/>
  <c r="J1084" i="6"/>
  <c r="K1084" i="6"/>
  <c r="C1085" i="6"/>
  <c r="D1085" i="6"/>
  <c r="E1085" i="6" s="1"/>
  <c r="F1085" i="6"/>
  <c r="G1085" i="6" s="1"/>
  <c r="H1085" i="6"/>
  <c r="I1085" i="6" s="1"/>
  <c r="J1085" i="6"/>
  <c r="K1085" i="6"/>
  <c r="C1086" i="6"/>
  <c r="D1086" i="6"/>
  <c r="E1086" i="6" s="1"/>
  <c r="F1086" i="6"/>
  <c r="G1086" i="6"/>
  <c r="H1086" i="6"/>
  <c r="I1086" i="6" s="1"/>
  <c r="J1086" i="6"/>
  <c r="K1086" i="6" s="1"/>
  <c r="C1087" i="6"/>
  <c r="D1087" i="6"/>
  <c r="E1087" i="6" s="1"/>
  <c r="F1087" i="6"/>
  <c r="G1087" i="6" s="1"/>
  <c r="H1087" i="6"/>
  <c r="I1087" i="6" s="1"/>
  <c r="J1087" i="6"/>
  <c r="K1087" i="6"/>
  <c r="C1088" i="6"/>
  <c r="D1088" i="6"/>
  <c r="E1088" i="6" s="1"/>
  <c r="F1088" i="6"/>
  <c r="G1088" i="6" s="1"/>
  <c r="H1088" i="6"/>
  <c r="I1088" i="6"/>
  <c r="J1088" i="6"/>
  <c r="K1088" i="6" s="1"/>
  <c r="C1089" i="6"/>
  <c r="D1089" i="6"/>
  <c r="E1089" i="6"/>
  <c r="F1089" i="6"/>
  <c r="G1089" i="6" s="1"/>
  <c r="H1089" i="6"/>
  <c r="I1089" i="6"/>
  <c r="J1089" i="6"/>
  <c r="K1089" i="6"/>
  <c r="C1090" i="6"/>
  <c r="D1090" i="6"/>
  <c r="E1090" i="6" s="1"/>
  <c r="F1090" i="6"/>
  <c r="G1090" i="6" s="1"/>
  <c r="H1090" i="6"/>
  <c r="I1090" i="6"/>
  <c r="J1090" i="6"/>
  <c r="K1090" i="6" s="1"/>
  <c r="C1091" i="6"/>
  <c r="D1091" i="6"/>
  <c r="E1091" i="6" s="1"/>
  <c r="F1091" i="6"/>
  <c r="G1091" i="6"/>
  <c r="H1091" i="6"/>
  <c r="I1091" i="6"/>
  <c r="J1091" i="6"/>
  <c r="K1091" i="6"/>
  <c r="C1092" i="6"/>
  <c r="D1092" i="6"/>
  <c r="E1092" i="6"/>
  <c r="F1092" i="6"/>
  <c r="G1092" i="6" s="1"/>
  <c r="H1092" i="6"/>
  <c r="I1092" i="6" s="1"/>
  <c r="J1092" i="6"/>
  <c r="K1092" i="6" s="1"/>
  <c r="C1093" i="6"/>
  <c r="D1093" i="6"/>
  <c r="E1093" i="6"/>
  <c r="F1093" i="6"/>
  <c r="G1093" i="6"/>
  <c r="H1093" i="6"/>
  <c r="I1093" i="6" s="1"/>
  <c r="J1093" i="6"/>
  <c r="K1093" i="6" s="1"/>
  <c r="C1094" i="6"/>
  <c r="D1094" i="6"/>
  <c r="E1094" i="6" s="1"/>
  <c r="F1094" i="6"/>
  <c r="G1094" i="6" s="1"/>
  <c r="H1094" i="6"/>
  <c r="I1094" i="6"/>
  <c r="J1094" i="6"/>
  <c r="K1094" i="6" s="1"/>
  <c r="C1095" i="6"/>
  <c r="D1095" i="6"/>
  <c r="E1095" i="6" s="1"/>
  <c r="F1095" i="6"/>
  <c r="G1095" i="6" s="1"/>
  <c r="H1095" i="6"/>
  <c r="I1095" i="6" s="1"/>
  <c r="J1095" i="6"/>
  <c r="K1095" i="6" s="1"/>
  <c r="C1096" i="6"/>
  <c r="D1096" i="6"/>
  <c r="E1096" i="6" s="1"/>
  <c r="F1096" i="6"/>
  <c r="G1096" i="6" s="1"/>
  <c r="H1096" i="6"/>
  <c r="I1096" i="6" s="1"/>
  <c r="J1096" i="6"/>
  <c r="K1096" i="6" s="1"/>
  <c r="C1097" i="6"/>
  <c r="D1097" i="6"/>
  <c r="E1097" i="6"/>
  <c r="F1097" i="6"/>
  <c r="G1097" i="6"/>
  <c r="H1097" i="6"/>
  <c r="I1097" i="6" s="1"/>
  <c r="J1097" i="6"/>
  <c r="K1097" i="6"/>
  <c r="C1098" i="6"/>
  <c r="D1098" i="6"/>
  <c r="E1098" i="6" s="1"/>
  <c r="F1098" i="6"/>
  <c r="G1098" i="6" s="1"/>
  <c r="H1098" i="6"/>
  <c r="I1098" i="6" s="1"/>
  <c r="J1098" i="6"/>
  <c r="K1098" i="6" s="1"/>
  <c r="C1099" i="6"/>
  <c r="D1099" i="6"/>
  <c r="E1099" i="6" s="1"/>
  <c r="F1099" i="6"/>
  <c r="G1099" i="6" s="1"/>
  <c r="H1099" i="6"/>
  <c r="I1099" i="6"/>
  <c r="J1099" i="6"/>
  <c r="K1099" i="6"/>
  <c r="C1100" i="6"/>
  <c r="D1100" i="6"/>
  <c r="E1100" i="6"/>
  <c r="F1100" i="6"/>
  <c r="G1100" i="6"/>
  <c r="H1100" i="6"/>
  <c r="I1100" i="6" s="1"/>
  <c r="J1100" i="6"/>
  <c r="K1100" i="6" s="1"/>
  <c r="C1101" i="6"/>
  <c r="D1101" i="6"/>
  <c r="E1101" i="6"/>
  <c r="F1101" i="6"/>
  <c r="G1101" i="6"/>
  <c r="H1101" i="6"/>
  <c r="I1101" i="6"/>
  <c r="J1101" i="6"/>
  <c r="K1101" i="6" s="1"/>
  <c r="C1102" i="6"/>
  <c r="D1102" i="6"/>
  <c r="E1102" i="6" s="1"/>
  <c r="F1102" i="6"/>
  <c r="G1102" i="6"/>
  <c r="H1102" i="6"/>
  <c r="I1102" i="6" s="1"/>
  <c r="J1102" i="6"/>
  <c r="K1102" i="6"/>
  <c r="C1103" i="6"/>
  <c r="D1103" i="6"/>
  <c r="E1103" i="6"/>
  <c r="F1103" i="6"/>
  <c r="G1103" i="6" s="1"/>
  <c r="H1103" i="6"/>
  <c r="I1103" i="6" s="1"/>
  <c r="J1103" i="6"/>
  <c r="K1103" i="6" s="1"/>
  <c r="C1104" i="6"/>
  <c r="D1104" i="6"/>
  <c r="E1104" i="6"/>
  <c r="F1104" i="6"/>
  <c r="G1104" i="6" s="1"/>
  <c r="H1104" i="6"/>
  <c r="I1104" i="6" s="1"/>
  <c r="J1104" i="6"/>
  <c r="K1104" i="6" s="1"/>
  <c r="C1105" i="6"/>
  <c r="D1105" i="6"/>
  <c r="E1105" i="6"/>
  <c r="F1105" i="6"/>
  <c r="G1105" i="6"/>
  <c r="H1105" i="6"/>
  <c r="I1105" i="6"/>
  <c r="J1105" i="6"/>
  <c r="K1105" i="6" s="1"/>
  <c r="C1106" i="6"/>
  <c r="D1106" i="6"/>
  <c r="E1106" i="6" s="1"/>
  <c r="F1106" i="6"/>
  <c r="G1106" i="6" s="1"/>
  <c r="H1106" i="6"/>
  <c r="I1106" i="6"/>
  <c r="J1106" i="6"/>
  <c r="K1106" i="6" s="1"/>
  <c r="C1107" i="6"/>
  <c r="D1107" i="6"/>
  <c r="E1107" i="6" s="1"/>
  <c r="F1107" i="6"/>
  <c r="G1107" i="6" s="1"/>
  <c r="H1107" i="6"/>
  <c r="I1107" i="6"/>
  <c r="J1107" i="6"/>
  <c r="K1107" i="6"/>
  <c r="C1108" i="6"/>
  <c r="D1108" i="6"/>
  <c r="E1108" i="6" s="1"/>
  <c r="F1108" i="6"/>
  <c r="G1108" i="6"/>
  <c r="H1108" i="6"/>
  <c r="I1108" i="6"/>
  <c r="J1108" i="6"/>
  <c r="K1108" i="6" s="1"/>
  <c r="C1109" i="6"/>
  <c r="D1109" i="6"/>
  <c r="E1109" i="6"/>
  <c r="F1109" i="6"/>
  <c r="G1109" i="6"/>
  <c r="H1109" i="6"/>
  <c r="I1109" i="6"/>
  <c r="J1109" i="6"/>
  <c r="K1109" i="6" s="1"/>
  <c r="C1110" i="6"/>
  <c r="D1110" i="6"/>
  <c r="E1110" i="6" s="1"/>
  <c r="F1110" i="6"/>
  <c r="G1110" i="6" s="1"/>
  <c r="H1110" i="6"/>
  <c r="I1110" i="6"/>
  <c r="J1110" i="6"/>
  <c r="K1110" i="6" s="1"/>
  <c r="C1111" i="6"/>
  <c r="D1111" i="6"/>
  <c r="E1111" i="6"/>
  <c r="F1111" i="6"/>
  <c r="G1111" i="6"/>
  <c r="H1111" i="6"/>
  <c r="I1111" i="6" s="1"/>
  <c r="J1111" i="6"/>
  <c r="K1111" i="6" s="1"/>
  <c r="C1112" i="6"/>
  <c r="D1112" i="6"/>
  <c r="E1112" i="6" s="1"/>
  <c r="F1112" i="6"/>
  <c r="G1112" i="6" s="1"/>
  <c r="H1112" i="6"/>
  <c r="I1112" i="6"/>
  <c r="J1112" i="6"/>
  <c r="K1112" i="6" s="1"/>
  <c r="C1113" i="6"/>
  <c r="D1113" i="6"/>
  <c r="E1113" i="6" s="1"/>
  <c r="F1113" i="6"/>
  <c r="G1113" i="6" s="1"/>
  <c r="H1113" i="6"/>
  <c r="I1113" i="6" s="1"/>
  <c r="J1113" i="6"/>
  <c r="K1113" i="6"/>
  <c r="C1114" i="6"/>
  <c r="D1114" i="6"/>
  <c r="E1114" i="6"/>
  <c r="F1114" i="6"/>
  <c r="G1114" i="6"/>
  <c r="H1114" i="6"/>
  <c r="I1114" i="6"/>
  <c r="J1114" i="6"/>
  <c r="K1114" i="6"/>
  <c r="C1115" i="6"/>
  <c r="D1115" i="6"/>
  <c r="E1115" i="6" s="1"/>
  <c r="F1115" i="6"/>
  <c r="G1115" i="6" s="1"/>
  <c r="H1115" i="6"/>
  <c r="I1115" i="6"/>
  <c r="J1115" i="6"/>
  <c r="K1115" i="6" s="1"/>
  <c r="C1116" i="6"/>
  <c r="D1116" i="6"/>
  <c r="E1116" i="6" s="1"/>
  <c r="F1116" i="6"/>
  <c r="G1116" i="6"/>
  <c r="H1116" i="6"/>
  <c r="I1116" i="6" s="1"/>
  <c r="J1116" i="6"/>
  <c r="K1116" i="6"/>
  <c r="C1117" i="6"/>
  <c r="D1117" i="6"/>
  <c r="E1117" i="6" s="1"/>
  <c r="F1117" i="6"/>
  <c r="G1117" i="6" s="1"/>
  <c r="H1117" i="6"/>
  <c r="I1117" i="6" s="1"/>
  <c r="J1117" i="6"/>
  <c r="K1117" i="6" s="1"/>
  <c r="C1118" i="6"/>
  <c r="D1118" i="6"/>
  <c r="E1118" i="6" s="1"/>
  <c r="F1118" i="6"/>
  <c r="G1118" i="6" s="1"/>
  <c r="H1118" i="6"/>
  <c r="I1118" i="6"/>
  <c r="J1118" i="6"/>
  <c r="K1118" i="6"/>
  <c r="C1119" i="6"/>
  <c r="D1119" i="6"/>
  <c r="E1119" i="6"/>
  <c r="F1119" i="6"/>
  <c r="G1119" i="6"/>
  <c r="H1119" i="6"/>
  <c r="I1119" i="6" s="1"/>
  <c r="J1119" i="6"/>
  <c r="K1119" i="6" s="1"/>
  <c r="C1120" i="6"/>
  <c r="D1120" i="6"/>
  <c r="E1120" i="6"/>
  <c r="F1120" i="6"/>
  <c r="G1120" i="6"/>
  <c r="H1120" i="6"/>
  <c r="I1120" i="6"/>
  <c r="J1120" i="6"/>
  <c r="K1120" i="6" s="1"/>
  <c r="C1121" i="6"/>
  <c r="D1121" i="6"/>
  <c r="E1121" i="6" s="1"/>
  <c r="F1121" i="6"/>
  <c r="G1121" i="6" s="1"/>
  <c r="H1121" i="6"/>
  <c r="I1121" i="6" s="1"/>
  <c r="J1121" i="6"/>
  <c r="K1121" i="6"/>
  <c r="C1122" i="6"/>
  <c r="D1122" i="6"/>
  <c r="E1122" i="6"/>
  <c r="F1122" i="6"/>
  <c r="G1122" i="6"/>
  <c r="H1122" i="6"/>
  <c r="I1122" i="6"/>
  <c r="J1122" i="6"/>
  <c r="K1122" i="6" s="1"/>
  <c r="C1123" i="6"/>
  <c r="D1123" i="6"/>
  <c r="E1123" i="6"/>
  <c r="F1123" i="6"/>
  <c r="G1123" i="6" s="1"/>
  <c r="H1123" i="6"/>
  <c r="I1123" i="6"/>
  <c r="J1123" i="6"/>
  <c r="K1123" i="6" s="1"/>
  <c r="C1124" i="6"/>
  <c r="D1124" i="6"/>
  <c r="E1124" i="6" s="1"/>
  <c r="F1124" i="6"/>
  <c r="G1124" i="6"/>
  <c r="H1124" i="6"/>
  <c r="I1124" i="6" s="1"/>
  <c r="J1124" i="6"/>
  <c r="K1124" i="6"/>
  <c r="C1125" i="6"/>
  <c r="D1125" i="6"/>
  <c r="E1125" i="6" s="1"/>
  <c r="F1125" i="6"/>
  <c r="G1125" i="6"/>
  <c r="H1125" i="6"/>
  <c r="I1125" i="6" s="1"/>
  <c r="J1125" i="6"/>
  <c r="K1125" i="6" s="1"/>
  <c r="C1126" i="6"/>
  <c r="D1126" i="6"/>
  <c r="E1126" i="6" s="1"/>
  <c r="F1126" i="6"/>
  <c r="G1126" i="6" s="1"/>
  <c r="H1126" i="6"/>
  <c r="I1126" i="6"/>
  <c r="J1126" i="6"/>
  <c r="K1126" i="6" s="1"/>
  <c r="C1127" i="6"/>
  <c r="D1127" i="6"/>
  <c r="E1127" i="6"/>
  <c r="F1127" i="6"/>
  <c r="G1127" i="6"/>
  <c r="H1127" i="6"/>
  <c r="I1127" i="6" s="1"/>
  <c r="J1127" i="6"/>
  <c r="K1127" i="6" s="1"/>
  <c r="C1128" i="6"/>
  <c r="D1128" i="6"/>
  <c r="E1128" i="6" s="1"/>
  <c r="F1128" i="6"/>
  <c r="G1128" i="6" s="1"/>
  <c r="H1128" i="6"/>
  <c r="I1128" i="6"/>
  <c r="J1128" i="6"/>
  <c r="K1128" i="6" s="1"/>
  <c r="C1129" i="6"/>
  <c r="D1129" i="6"/>
  <c r="E1129" i="6" s="1"/>
  <c r="F1129" i="6"/>
  <c r="G1129" i="6"/>
  <c r="H1129" i="6"/>
  <c r="I1129" i="6" s="1"/>
  <c r="J1129" i="6"/>
  <c r="K1129" i="6" s="1"/>
  <c r="C1130" i="6"/>
  <c r="D1130" i="6"/>
  <c r="E1130" i="6"/>
  <c r="F1130" i="6"/>
  <c r="G1130" i="6"/>
  <c r="H1130" i="6"/>
  <c r="I1130" i="6"/>
  <c r="J1130" i="6"/>
  <c r="K1130" i="6"/>
  <c r="C1131" i="6"/>
  <c r="D1131" i="6"/>
  <c r="E1131" i="6" s="1"/>
  <c r="F1131" i="6"/>
  <c r="G1131" i="6" s="1"/>
  <c r="H1131" i="6"/>
  <c r="I1131" i="6"/>
  <c r="J1131" i="6"/>
  <c r="K1131" i="6" s="1"/>
  <c r="C1132" i="6"/>
  <c r="D1132" i="6"/>
  <c r="E1132" i="6" s="1"/>
  <c r="F1132" i="6"/>
  <c r="G1132" i="6"/>
  <c r="H1132" i="6"/>
  <c r="I1132" i="6" s="1"/>
  <c r="J1132" i="6"/>
  <c r="K1132" i="6"/>
  <c r="C1133" i="6"/>
  <c r="D1133" i="6"/>
  <c r="E1133" i="6" s="1"/>
  <c r="F1133" i="6"/>
  <c r="G1133" i="6"/>
  <c r="H1133" i="6"/>
  <c r="I1133" i="6"/>
  <c r="J1133" i="6"/>
  <c r="K1133" i="6"/>
  <c r="C1134" i="6"/>
  <c r="D1134" i="6"/>
  <c r="E1134" i="6" s="1"/>
  <c r="F1134" i="6"/>
  <c r="G1134" i="6" s="1"/>
  <c r="H1134" i="6"/>
  <c r="I1134" i="6"/>
  <c r="J1134" i="6"/>
  <c r="K1134" i="6"/>
  <c r="C1135" i="6"/>
  <c r="D1135" i="6"/>
  <c r="E1135" i="6" s="1"/>
  <c r="F1135" i="6"/>
  <c r="G1135" i="6"/>
  <c r="H1135" i="6"/>
  <c r="I1135" i="6" s="1"/>
  <c r="J1135" i="6"/>
  <c r="K1135" i="6" s="1"/>
  <c r="C1136" i="6"/>
  <c r="D1136" i="6"/>
  <c r="E1136" i="6" s="1"/>
  <c r="F1136" i="6"/>
  <c r="G1136" i="6" s="1"/>
  <c r="H1136" i="6"/>
  <c r="I1136" i="6" s="1"/>
  <c r="J1136" i="6"/>
  <c r="K1136" i="6" s="1"/>
  <c r="C1137" i="6"/>
  <c r="D1137" i="6"/>
  <c r="E1137" i="6" s="1"/>
  <c r="F1137" i="6"/>
  <c r="G1137" i="6"/>
  <c r="H1137" i="6"/>
  <c r="I1137" i="6" s="1"/>
  <c r="J1137" i="6"/>
  <c r="K1137" i="6" s="1"/>
  <c r="C1138" i="6"/>
  <c r="D1138" i="6"/>
  <c r="E1138" i="6" s="1"/>
  <c r="F1138" i="6"/>
  <c r="G1138" i="6"/>
  <c r="H1138" i="6"/>
  <c r="I1138" i="6"/>
  <c r="J1138" i="6"/>
  <c r="K1138" i="6"/>
  <c r="C1139" i="6"/>
  <c r="D1139" i="6"/>
  <c r="E1139" i="6" s="1"/>
  <c r="F1139" i="6"/>
  <c r="G1139" i="6" s="1"/>
  <c r="H1139" i="6"/>
  <c r="I1139" i="6"/>
  <c r="J1139" i="6"/>
  <c r="K1139" i="6" s="1"/>
  <c r="C1140" i="6"/>
  <c r="D1140" i="6"/>
  <c r="E1140" i="6" s="1"/>
  <c r="F1140" i="6"/>
  <c r="G1140" i="6"/>
  <c r="H1140" i="6"/>
  <c r="I1140" i="6" s="1"/>
  <c r="J1140" i="6"/>
  <c r="K1140" i="6"/>
  <c r="C1141" i="6"/>
  <c r="D1141" i="6"/>
  <c r="E1141" i="6" s="1"/>
  <c r="F1141" i="6"/>
  <c r="G1141" i="6" s="1"/>
  <c r="H1141" i="6"/>
  <c r="I1141" i="6"/>
  <c r="J1141" i="6"/>
  <c r="K1141" i="6"/>
  <c r="C1142" i="6"/>
  <c r="D1142" i="6"/>
  <c r="E1142" i="6" s="1"/>
  <c r="F1142" i="6"/>
  <c r="G1142" i="6"/>
  <c r="H1142" i="6"/>
  <c r="I1142" i="6"/>
  <c r="J1142" i="6"/>
  <c r="K1142" i="6"/>
  <c r="C1143" i="6"/>
  <c r="D1143" i="6"/>
  <c r="E1143" i="6" s="1"/>
  <c r="F1143" i="6"/>
  <c r="G1143" i="6"/>
  <c r="H1143" i="6"/>
  <c r="I1143" i="6" s="1"/>
  <c r="J1143" i="6"/>
  <c r="K1143" i="6" s="1"/>
  <c r="C1144" i="6"/>
  <c r="D1144" i="6"/>
  <c r="E1144" i="6" s="1"/>
  <c r="F1144" i="6"/>
  <c r="G1144" i="6" s="1"/>
  <c r="H1144" i="6"/>
  <c r="I1144" i="6"/>
  <c r="J1144" i="6"/>
  <c r="K1144" i="6" s="1"/>
  <c r="C1145" i="6"/>
  <c r="D1145" i="6"/>
  <c r="E1145" i="6"/>
  <c r="F1145" i="6"/>
  <c r="G1145" i="6"/>
  <c r="H1145" i="6"/>
  <c r="I1145" i="6" s="1"/>
  <c r="J1145" i="6"/>
  <c r="K1145" i="6" s="1"/>
  <c r="C1146" i="6"/>
  <c r="D1146" i="6"/>
  <c r="E1146" i="6"/>
  <c r="F1146" i="6"/>
  <c r="G1146" i="6"/>
  <c r="H1146" i="6"/>
  <c r="I1146" i="6"/>
  <c r="J1146" i="6"/>
  <c r="K1146" i="6"/>
  <c r="C1147" i="6"/>
  <c r="D1147" i="6"/>
  <c r="E1147" i="6"/>
  <c r="F1147" i="6"/>
  <c r="G1147" i="6" s="1"/>
  <c r="H1147" i="6"/>
  <c r="I1147" i="6"/>
  <c r="J1147" i="6"/>
  <c r="K1147" i="6" s="1"/>
  <c r="C1148" i="6"/>
  <c r="D1148" i="6"/>
  <c r="E1148" i="6"/>
  <c r="F1148" i="6"/>
  <c r="G1148" i="6"/>
  <c r="H1148" i="6"/>
  <c r="I1148" i="6" s="1"/>
  <c r="J1148" i="6"/>
  <c r="K1148" i="6" s="1"/>
  <c r="C1149" i="6"/>
  <c r="D1149" i="6"/>
  <c r="E1149" i="6" s="1"/>
  <c r="F1149" i="6"/>
  <c r="G1149" i="6" s="1"/>
  <c r="H1149" i="6"/>
  <c r="I1149" i="6" s="1"/>
  <c r="J1149" i="6"/>
  <c r="K1149" i="6"/>
  <c r="C1150" i="6"/>
  <c r="D1150" i="6"/>
  <c r="E1150" i="6" s="1"/>
  <c r="F1150" i="6"/>
  <c r="G1150" i="6" s="1"/>
  <c r="H1150" i="6"/>
  <c r="I1150" i="6"/>
  <c r="J1150" i="6"/>
  <c r="K1150" i="6" s="1"/>
  <c r="C1151" i="6"/>
  <c r="D1151" i="6"/>
  <c r="E1151" i="6"/>
  <c r="F1151" i="6"/>
  <c r="G1151" i="6"/>
  <c r="H1151" i="6"/>
  <c r="I1151" i="6" s="1"/>
  <c r="J1151" i="6"/>
  <c r="K1151" i="6" s="1"/>
  <c r="C1152" i="6"/>
  <c r="D1152" i="6"/>
  <c r="E1152" i="6" s="1"/>
  <c r="F1152" i="6"/>
  <c r="G1152" i="6" s="1"/>
  <c r="H1152" i="6"/>
  <c r="I1152" i="6" s="1"/>
  <c r="J1152" i="6"/>
  <c r="K1152" i="6" s="1"/>
  <c r="C1153" i="6"/>
  <c r="D1153" i="6"/>
  <c r="E1153" i="6"/>
  <c r="F1153" i="6"/>
  <c r="G1153" i="6" s="1"/>
  <c r="H1153" i="6"/>
  <c r="I1153" i="6" s="1"/>
  <c r="J1153" i="6"/>
  <c r="K1153" i="6" s="1"/>
  <c r="C1154" i="6"/>
  <c r="D1154" i="6"/>
  <c r="E1154" i="6" s="1"/>
  <c r="F1154" i="6"/>
  <c r="G1154" i="6"/>
  <c r="H1154" i="6"/>
  <c r="I1154" i="6"/>
  <c r="J1154" i="6"/>
  <c r="K1154" i="6" s="1"/>
  <c r="C1155" i="6"/>
  <c r="D1155" i="6"/>
  <c r="E1155" i="6"/>
  <c r="F1155" i="6"/>
  <c r="G1155" i="6"/>
  <c r="H1155" i="6"/>
  <c r="I1155" i="6"/>
  <c r="J1155" i="6"/>
  <c r="K1155" i="6" s="1"/>
  <c r="C1156" i="6"/>
  <c r="D1156" i="6"/>
  <c r="E1156" i="6" s="1"/>
  <c r="F1156" i="6"/>
  <c r="G1156" i="6"/>
  <c r="H1156" i="6"/>
  <c r="I1156" i="6" s="1"/>
  <c r="J1156" i="6"/>
  <c r="K1156" i="6"/>
  <c r="C1157" i="6"/>
  <c r="D1157" i="6"/>
  <c r="E1157" i="6" s="1"/>
  <c r="F1157" i="6"/>
  <c r="G1157" i="6" s="1"/>
  <c r="H1157" i="6"/>
  <c r="I1157" i="6"/>
  <c r="J1157" i="6"/>
  <c r="K1157" i="6"/>
  <c r="C1158" i="6"/>
  <c r="D1158" i="6"/>
  <c r="E1158" i="6" s="1"/>
  <c r="F1158" i="6"/>
  <c r="G1158" i="6"/>
  <c r="H1158" i="6"/>
  <c r="I1158" i="6"/>
  <c r="J1158" i="6"/>
  <c r="K1158" i="6" s="1"/>
  <c r="C1159" i="6"/>
  <c r="D1159" i="6"/>
  <c r="E1159" i="6" s="1"/>
  <c r="F1159" i="6"/>
  <c r="G1159" i="6"/>
  <c r="H1159" i="6"/>
  <c r="I1159" i="6" s="1"/>
  <c r="J1159" i="6"/>
  <c r="K1159" i="6" s="1"/>
  <c r="C1160" i="6"/>
  <c r="D1160" i="6"/>
  <c r="E1160" i="6"/>
  <c r="F1160" i="6"/>
  <c r="G1160" i="6" s="1"/>
  <c r="H1160" i="6"/>
  <c r="I1160" i="6"/>
  <c r="J1160" i="6"/>
  <c r="K1160" i="6" s="1"/>
  <c r="C1161" i="6"/>
  <c r="D1161" i="6"/>
  <c r="E1161" i="6"/>
  <c r="F1161" i="6"/>
  <c r="G1161" i="6"/>
  <c r="H1161" i="6"/>
  <c r="I1161" i="6" s="1"/>
  <c r="J1161" i="6"/>
  <c r="K1161" i="6" s="1"/>
  <c r="C1162" i="6"/>
  <c r="D1162" i="6"/>
  <c r="E1162" i="6" s="1"/>
  <c r="F1162" i="6"/>
  <c r="G1162" i="6"/>
  <c r="H1162" i="6"/>
  <c r="I1162" i="6"/>
  <c r="J1162" i="6"/>
  <c r="K1162" i="6"/>
  <c r="C1163" i="6"/>
  <c r="D1163" i="6"/>
  <c r="E1163" i="6" s="1"/>
  <c r="F1163" i="6"/>
  <c r="G1163" i="6" s="1"/>
  <c r="H1163" i="6"/>
  <c r="I1163" i="6"/>
  <c r="J1163" i="6"/>
  <c r="K1163" i="6" s="1"/>
  <c r="C1164" i="6"/>
  <c r="D1164" i="6"/>
  <c r="E1164" i="6"/>
  <c r="F1164" i="6"/>
  <c r="G1164" i="6"/>
  <c r="H1164" i="6"/>
  <c r="I1164" i="6" s="1"/>
  <c r="J1164" i="6"/>
  <c r="K1164" i="6"/>
  <c r="C1165" i="6"/>
  <c r="D1165" i="6"/>
  <c r="E1165" i="6" s="1"/>
  <c r="F1165" i="6"/>
  <c r="G1165" i="6"/>
  <c r="H1165" i="6"/>
  <c r="I1165" i="6" s="1"/>
  <c r="J1165" i="6"/>
  <c r="K1165" i="6" s="1"/>
  <c r="C1166" i="6"/>
  <c r="D1166" i="6"/>
  <c r="E1166" i="6" s="1"/>
  <c r="F1166" i="6"/>
  <c r="G1166" i="6" s="1"/>
  <c r="H1166" i="6"/>
  <c r="I1166" i="6" s="1"/>
  <c r="J1166" i="6"/>
  <c r="K1166" i="6" s="1"/>
  <c r="C1167" i="6"/>
  <c r="D1167" i="6"/>
  <c r="E1167" i="6"/>
  <c r="F1167" i="6"/>
  <c r="G1167" i="6"/>
  <c r="H1167" i="6"/>
  <c r="I1167" i="6" s="1"/>
  <c r="J1167" i="6"/>
  <c r="K1167" i="6" s="1"/>
  <c r="C1168" i="6"/>
  <c r="D1168" i="6"/>
  <c r="E1168" i="6" s="1"/>
  <c r="F1168" i="6"/>
  <c r="G1168" i="6"/>
  <c r="H1168" i="6"/>
  <c r="I1168" i="6" s="1"/>
  <c r="J1168" i="6"/>
  <c r="K1168" i="6" s="1"/>
  <c r="C1169" i="6"/>
  <c r="D1169" i="6"/>
  <c r="E1169" i="6" s="1"/>
  <c r="F1169" i="6"/>
  <c r="G1169" i="6" s="1"/>
  <c r="H1169" i="6"/>
  <c r="I1169" i="6" s="1"/>
  <c r="J1169" i="6"/>
  <c r="K1169" i="6"/>
  <c r="C1170" i="6"/>
  <c r="D1170" i="6"/>
  <c r="E1170" i="6" s="1"/>
  <c r="F1170" i="6"/>
  <c r="G1170" i="6"/>
  <c r="H1170" i="6"/>
  <c r="I1170" i="6"/>
  <c r="J1170" i="6"/>
  <c r="K1170" i="6"/>
  <c r="C1171" i="6"/>
  <c r="D1171" i="6"/>
  <c r="E1171" i="6"/>
  <c r="F1171" i="6"/>
  <c r="G1171" i="6"/>
  <c r="H1171" i="6"/>
  <c r="I1171" i="6"/>
  <c r="J1171" i="6"/>
  <c r="K1171" i="6"/>
  <c r="C1172" i="6"/>
  <c r="D1172" i="6"/>
  <c r="E1172" i="6" s="1"/>
  <c r="F1172" i="6"/>
  <c r="G1172" i="6"/>
  <c r="H1172" i="6"/>
  <c r="I1172" i="6" s="1"/>
  <c r="J1172" i="6"/>
  <c r="K1172" i="6"/>
  <c r="C1173" i="6"/>
  <c r="D1173" i="6"/>
  <c r="E1173" i="6" s="1"/>
  <c r="F1173" i="6"/>
  <c r="G1173" i="6"/>
  <c r="H1173" i="6"/>
  <c r="I1173" i="6" s="1"/>
  <c r="J1173" i="6"/>
  <c r="K1173" i="6" s="1"/>
  <c r="C1174" i="6"/>
  <c r="D1174" i="6"/>
  <c r="E1174" i="6" s="1"/>
  <c r="F1174" i="6"/>
  <c r="G1174" i="6"/>
  <c r="H1174" i="6"/>
  <c r="I1174" i="6"/>
  <c r="J1174" i="6"/>
  <c r="K1174" i="6"/>
  <c r="C1175" i="6"/>
  <c r="D1175" i="6"/>
  <c r="E1175" i="6" s="1"/>
  <c r="F1175" i="6"/>
  <c r="G1175" i="6"/>
  <c r="H1175" i="6"/>
  <c r="I1175" i="6" s="1"/>
  <c r="J1175" i="6"/>
  <c r="K1175" i="6" s="1"/>
  <c r="C1176" i="6"/>
  <c r="D1176" i="6"/>
  <c r="E1176" i="6"/>
  <c r="F1176" i="6"/>
  <c r="G1176" i="6"/>
  <c r="H1176" i="6"/>
  <c r="I1176" i="6"/>
  <c r="J1176" i="6"/>
  <c r="K1176" i="6" s="1"/>
  <c r="C1177" i="6"/>
  <c r="D1177" i="6"/>
  <c r="E1177" i="6"/>
  <c r="F1177" i="6"/>
  <c r="G1177" i="6"/>
  <c r="H1177" i="6"/>
  <c r="I1177" i="6" s="1"/>
  <c r="J1177" i="6"/>
  <c r="K1177" i="6" s="1"/>
  <c r="C1178" i="6"/>
  <c r="D1178" i="6"/>
  <c r="E1178" i="6"/>
  <c r="F1178" i="6"/>
  <c r="G1178" i="6"/>
  <c r="H1178" i="6"/>
  <c r="I1178" i="6"/>
  <c r="J1178" i="6"/>
  <c r="K1178" i="6"/>
  <c r="C1179" i="6"/>
  <c r="D1179" i="6"/>
  <c r="E1179" i="6"/>
  <c r="F1179" i="6"/>
  <c r="G1179" i="6"/>
  <c r="H1179" i="6"/>
  <c r="I1179" i="6"/>
  <c r="J1179" i="6"/>
  <c r="K1179" i="6" s="1"/>
  <c r="C1180" i="6"/>
  <c r="D1180" i="6"/>
  <c r="E1180" i="6"/>
  <c r="F1180" i="6"/>
  <c r="G1180" i="6"/>
  <c r="H1180" i="6"/>
  <c r="I1180" i="6" s="1"/>
  <c r="J1180" i="6"/>
  <c r="K1180" i="6" s="1"/>
  <c r="C1181" i="6"/>
  <c r="D1181" i="6"/>
  <c r="E1181" i="6" s="1"/>
  <c r="F1181" i="6"/>
  <c r="G1181" i="6"/>
  <c r="H1181" i="6"/>
  <c r="I1181" i="6" s="1"/>
  <c r="J1181" i="6"/>
  <c r="K1181" i="6" s="1"/>
  <c r="C1182" i="6"/>
  <c r="D1182" i="6"/>
  <c r="E1182" i="6" s="1"/>
  <c r="F1182" i="6"/>
  <c r="G1182" i="6" s="1"/>
  <c r="H1182" i="6"/>
  <c r="I1182" i="6" s="1"/>
  <c r="J1182" i="6"/>
  <c r="K1182" i="6" s="1"/>
  <c r="C1183" i="6"/>
  <c r="D1183" i="6"/>
  <c r="E1183" i="6"/>
  <c r="F1183" i="6"/>
  <c r="G1183" i="6"/>
  <c r="H1183" i="6"/>
  <c r="I1183" i="6" s="1"/>
  <c r="J1183" i="6"/>
  <c r="K1183" i="6" s="1"/>
  <c r="C1184" i="6"/>
  <c r="D1184" i="6"/>
  <c r="E1184" i="6" s="1"/>
  <c r="F1184" i="6"/>
  <c r="G1184" i="6"/>
  <c r="H1184" i="6"/>
  <c r="I1184" i="6" s="1"/>
  <c r="J1184" i="6"/>
  <c r="K1184" i="6" s="1"/>
  <c r="C1185" i="6"/>
  <c r="D1185" i="6"/>
  <c r="E1185" i="6"/>
  <c r="F1185" i="6"/>
  <c r="G1185" i="6"/>
  <c r="H1185" i="6"/>
  <c r="I1185" i="6" s="1"/>
  <c r="J1185" i="6"/>
  <c r="K1185" i="6" s="1"/>
  <c r="C1186" i="6"/>
  <c r="D1186" i="6"/>
  <c r="E1186" i="6"/>
  <c r="F1186" i="6"/>
  <c r="G1186" i="6"/>
  <c r="H1186" i="6"/>
  <c r="I1186" i="6"/>
  <c r="J1186" i="6"/>
  <c r="K1186" i="6" s="1"/>
  <c r="C1187" i="6"/>
  <c r="D1187" i="6"/>
  <c r="E1187" i="6"/>
  <c r="F1187" i="6"/>
  <c r="G1187" i="6"/>
  <c r="H1187" i="6"/>
  <c r="I1187" i="6"/>
  <c r="J1187" i="6"/>
  <c r="K1187" i="6"/>
  <c r="C1188" i="6"/>
  <c r="D1188" i="6"/>
  <c r="E1188" i="6" s="1"/>
  <c r="F1188" i="6"/>
  <c r="G1188" i="6"/>
  <c r="H1188" i="6"/>
  <c r="I1188" i="6" s="1"/>
  <c r="J1188" i="6"/>
  <c r="K1188" i="6"/>
  <c r="C1189" i="6"/>
  <c r="D1189" i="6"/>
  <c r="E1189" i="6" s="1"/>
  <c r="F1189" i="6"/>
  <c r="G1189" i="6"/>
  <c r="H1189" i="6"/>
  <c r="I1189" i="6"/>
  <c r="J1189" i="6"/>
  <c r="K1189" i="6"/>
  <c r="C1190" i="6"/>
  <c r="D1190" i="6"/>
  <c r="E1190" i="6" s="1"/>
  <c r="F1190" i="6"/>
  <c r="G1190" i="6"/>
  <c r="H1190" i="6"/>
  <c r="I1190" i="6"/>
  <c r="J1190" i="6"/>
  <c r="K1190" i="6"/>
  <c r="C1191" i="6"/>
  <c r="D1191" i="6"/>
  <c r="E1191" i="6" s="1"/>
  <c r="F1191" i="6"/>
  <c r="G1191" i="6"/>
  <c r="H1191" i="6"/>
  <c r="I1191" i="6" s="1"/>
  <c r="J1191" i="6"/>
  <c r="K1191" i="6" s="1"/>
  <c r="C1192" i="6"/>
  <c r="D1192" i="6"/>
  <c r="E1192" i="6"/>
  <c r="F1192" i="6"/>
  <c r="G1192" i="6"/>
  <c r="H1192" i="6"/>
  <c r="I1192" i="6"/>
  <c r="J1192" i="6"/>
  <c r="K1192" i="6" s="1"/>
  <c r="C1193" i="6"/>
  <c r="D1193" i="6"/>
  <c r="E1193" i="6"/>
  <c r="F1193" i="6"/>
  <c r="G1193" i="6" s="1"/>
  <c r="H1193" i="6"/>
  <c r="I1193" i="6" s="1"/>
  <c r="J1193" i="6"/>
  <c r="K1193" i="6" s="1"/>
  <c r="C1194" i="6"/>
  <c r="D1194" i="6"/>
  <c r="E1194" i="6"/>
  <c r="F1194" i="6"/>
  <c r="G1194" i="6"/>
  <c r="H1194" i="6"/>
  <c r="I1194" i="6"/>
  <c r="J1194" i="6"/>
  <c r="K1194" i="6"/>
  <c r="C1195" i="6"/>
  <c r="D1195" i="6"/>
  <c r="E1195" i="6" s="1"/>
  <c r="F1195" i="6"/>
  <c r="G1195" i="6" s="1"/>
  <c r="H1195" i="6"/>
  <c r="I1195" i="6"/>
  <c r="J1195" i="6"/>
  <c r="K1195" i="6" s="1"/>
  <c r="C1196" i="6"/>
  <c r="D1196" i="6"/>
  <c r="E1196" i="6" s="1"/>
  <c r="F1196" i="6"/>
  <c r="G1196" i="6"/>
  <c r="H1196" i="6"/>
  <c r="I1196" i="6" s="1"/>
  <c r="J1196" i="6"/>
  <c r="K1196" i="6"/>
  <c r="C1197" i="6"/>
  <c r="D1197" i="6"/>
  <c r="E1197" i="6" s="1"/>
  <c r="F1197" i="6"/>
  <c r="G1197" i="6"/>
  <c r="H1197" i="6"/>
  <c r="I1197" i="6" s="1"/>
  <c r="J1197" i="6"/>
  <c r="K1197" i="6"/>
  <c r="C1198" i="6"/>
  <c r="D1198" i="6"/>
  <c r="E1198" i="6" s="1"/>
  <c r="F1198" i="6"/>
  <c r="G1198" i="6" s="1"/>
  <c r="H1198" i="6"/>
  <c r="I1198" i="6" s="1"/>
  <c r="J1198" i="6"/>
  <c r="K1198" i="6" s="1"/>
  <c r="C1199" i="6"/>
  <c r="D1199" i="6"/>
  <c r="E1199" i="6" s="1"/>
  <c r="F1199" i="6"/>
  <c r="G1199" i="6"/>
  <c r="H1199" i="6"/>
  <c r="I1199" i="6" s="1"/>
  <c r="J1199" i="6"/>
  <c r="K1199" i="6" s="1"/>
  <c r="C1200" i="6"/>
  <c r="D1200" i="6"/>
  <c r="E1200" i="6" s="1"/>
  <c r="F1200" i="6"/>
  <c r="G1200" i="6" s="1"/>
  <c r="H1200" i="6"/>
  <c r="I1200" i="6" s="1"/>
  <c r="J1200" i="6"/>
  <c r="K1200" i="6" s="1"/>
  <c r="C1201" i="6"/>
  <c r="D1201" i="6"/>
  <c r="E1201" i="6" s="1"/>
  <c r="F1201" i="6"/>
  <c r="G1201" i="6" s="1"/>
  <c r="H1201" i="6"/>
  <c r="I1201" i="6" s="1"/>
  <c r="J1201" i="6"/>
  <c r="K1201" i="6"/>
  <c r="C1202" i="6"/>
  <c r="D1202" i="6"/>
  <c r="E1202" i="6"/>
  <c r="F1202" i="6"/>
  <c r="G1202" i="6"/>
  <c r="H1202" i="6"/>
  <c r="I1202" i="6"/>
  <c r="J1202" i="6"/>
  <c r="K1202" i="6"/>
  <c r="C1203" i="6"/>
  <c r="D1203" i="6"/>
  <c r="E1203" i="6"/>
  <c r="F1203" i="6"/>
  <c r="G1203" i="6" s="1"/>
  <c r="H1203" i="6"/>
  <c r="I1203" i="6"/>
  <c r="J1203" i="6"/>
  <c r="K1203" i="6"/>
  <c r="C1204" i="6"/>
  <c r="D1204" i="6"/>
  <c r="E1204" i="6" s="1"/>
  <c r="F1204" i="6"/>
  <c r="G1204" i="6"/>
  <c r="H1204" i="6"/>
  <c r="I1204" i="6" s="1"/>
  <c r="J1204" i="6"/>
  <c r="K1204" i="6"/>
  <c r="C1205" i="6"/>
  <c r="D1205" i="6"/>
  <c r="E1205" i="6" s="1"/>
  <c r="F1205" i="6"/>
  <c r="G1205" i="6"/>
  <c r="H1205" i="6"/>
  <c r="I1205" i="6"/>
  <c r="J1205" i="6"/>
  <c r="K1205" i="6"/>
  <c r="C1206" i="6"/>
  <c r="D1206" i="6"/>
  <c r="E1206" i="6" s="1"/>
  <c r="F1206" i="6"/>
  <c r="G1206" i="6" s="1"/>
  <c r="H1206" i="6"/>
  <c r="I1206" i="6"/>
  <c r="J1206" i="6"/>
  <c r="K1206" i="6"/>
  <c r="C1207" i="6"/>
  <c r="D1207" i="6"/>
  <c r="E1207" i="6" s="1"/>
  <c r="F1207" i="6"/>
  <c r="G1207" i="6"/>
  <c r="H1207" i="6"/>
  <c r="I1207" i="6" s="1"/>
  <c r="J1207" i="6"/>
  <c r="K1207" i="6" s="1"/>
  <c r="C1208" i="6"/>
  <c r="D1208" i="6"/>
  <c r="E1208" i="6" s="1"/>
  <c r="F1208" i="6"/>
  <c r="G1208" i="6"/>
  <c r="H1208" i="6"/>
  <c r="I1208" i="6"/>
  <c r="J1208" i="6"/>
  <c r="K1208" i="6" s="1"/>
  <c r="C1209" i="6"/>
  <c r="D1209" i="6"/>
  <c r="E1209" i="6"/>
  <c r="F1209" i="6"/>
  <c r="G1209" i="6" s="1"/>
  <c r="H1209" i="6"/>
  <c r="I1209" i="6" s="1"/>
  <c r="J1209" i="6"/>
  <c r="K1209" i="6"/>
  <c r="C1210" i="6"/>
  <c r="D1210" i="6"/>
  <c r="E1210" i="6"/>
  <c r="F1210" i="6"/>
  <c r="G1210" i="6"/>
  <c r="H1210" i="6"/>
  <c r="I1210" i="6"/>
  <c r="J1210" i="6"/>
  <c r="K1210" i="6"/>
  <c r="C1211" i="6"/>
  <c r="D1211" i="6"/>
  <c r="E1211" i="6" s="1"/>
  <c r="F1211" i="6"/>
  <c r="G1211" i="6" s="1"/>
  <c r="H1211" i="6"/>
  <c r="I1211" i="6"/>
  <c r="J1211" i="6"/>
  <c r="K1211" i="6"/>
  <c r="C1212" i="6"/>
  <c r="D1212" i="6"/>
  <c r="E1212" i="6" s="1"/>
  <c r="F1212" i="6"/>
  <c r="G1212" i="6"/>
  <c r="H1212" i="6"/>
  <c r="I1212" i="6" s="1"/>
  <c r="J1212" i="6"/>
  <c r="K1212" i="6" s="1"/>
  <c r="C1213" i="6"/>
  <c r="D1213" i="6"/>
  <c r="E1213" i="6" s="1"/>
  <c r="F1213" i="6"/>
  <c r="G1213" i="6" s="1"/>
  <c r="H1213" i="6"/>
  <c r="I1213" i="6" s="1"/>
  <c r="J1213" i="6"/>
  <c r="K1213" i="6"/>
  <c r="C1214" i="6"/>
  <c r="D1214" i="6"/>
  <c r="E1214" i="6" s="1"/>
  <c r="F1214" i="6"/>
  <c r="G1214" i="6" s="1"/>
  <c r="H1214" i="6"/>
  <c r="I1214" i="6"/>
  <c r="J1214" i="6"/>
  <c r="K1214" i="6" s="1"/>
  <c r="C1215" i="6"/>
  <c r="D1215" i="6"/>
  <c r="E1215" i="6" s="1"/>
  <c r="F1215" i="6"/>
  <c r="G1215" i="6"/>
  <c r="H1215" i="6"/>
  <c r="I1215" i="6" s="1"/>
  <c r="J1215" i="6"/>
  <c r="K1215" i="6" s="1"/>
  <c r="C1216" i="6"/>
  <c r="D1216" i="6"/>
  <c r="E1216" i="6" s="1"/>
  <c r="F1216" i="6"/>
  <c r="G1216" i="6" s="1"/>
  <c r="H1216" i="6"/>
  <c r="I1216" i="6" s="1"/>
  <c r="J1216" i="6"/>
  <c r="K1216" i="6" s="1"/>
  <c r="C1217" i="6"/>
  <c r="D1217" i="6"/>
  <c r="E1217" i="6" s="1"/>
  <c r="F1217" i="6"/>
  <c r="G1217" i="6" s="1"/>
  <c r="H1217" i="6"/>
  <c r="I1217" i="6" s="1"/>
  <c r="J1217" i="6"/>
  <c r="K1217" i="6"/>
  <c r="C1218" i="6"/>
  <c r="D1218" i="6"/>
  <c r="E1218" i="6"/>
  <c r="F1218" i="6"/>
  <c r="G1218" i="6"/>
  <c r="H1218" i="6"/>
  <c r="I1218" i="6"/>
  <c r="J1218" i="6"/>
  <c r="K1218" i="6" s="1"/>
  <c r="C1219" i="6"/>
  <c r="D1219" i="6"/>
  <c r="E1219" i="6"/>
  <c r="F1219" i="6"/>
  <c r="G1219" i="6"/>
  <c r="H1219" i="6"/>
  <c r="I1219" i="6"/>
  <c r="J1219" i="6"/>
  <c r="K1219" i="6" s="1"/>
  <c r="C1220" i="6"/>
  <c r="D1220" i="6"/>
  <c r="E1220" i="6" s="1"/>
  <c r="F1220" i="6"/>
  <c r="G1220" i="6"/>
  <c r="H1220" i="6"/>
  <c r="I1220" i="6" s="1"/>
  <c r="J1220" i="6"/>
  <c r="K1220" i="6" s="1"/>
  <c r="C1221" i="6"/>
  <c r="D1221" i="6"/>
  <c r="E1221" i="6" s="1"/>
  <c r="F1221" i="6"/>
  <c r="G1221" i="6" s="1"/>
  <c r="H1221" i="6"/>
  <c r="I1221" i="6"/>
  <c r="J1221" i="6"/>
  <c r="K1221" i="6"/>
  <c r="C1222" i="6"/>
  <c r="D1222" i="6"/>
  <c r="E1222" i="6" s="1"/>
  <c r="F1222" i="6"/>
  <c r="G1222" i="6"/>
  <c r="H1222" i="6"/>
  <c r="I1222" i="6"/>
  <c r="J1222" i="6"/>
  <c r="K1222" i="6" s="1"/>
  <c r="C1223" i="6"/>
  <c r="D1223" i="6"/>
  <c r="E1223" i="6" s="1"/>
  <c r="F1223" i="6"/>
  <c r="G1223" i="6"/>
  <c r="H1223" i="6"/>
  <c r="I1223" i="6" s="1"/>
  <c r="J1223" i="6"/>
  <c r="K1223" i="6" s="1"/>
  <c r="C1224" i="6"/>
  <c r="D1224" i="6"/>
  <c r="E1224" i="6" s="1"/>
  <c r="F1224" i="6"/>
  <c r="G1224" i="6" s="1"/>
  <c r="H1224" i="6"/>
  <c r="I1224" i="6"/>
  <c r="J1224" i="6"/>
  <c r="K1224" i="6" s="1"/>
  <c r="C1225" i="6"/>
  <c r="D1225" i="6"/>
  <c r="E1225" i="6"/>
  <c r="F1225" i="6"/>
  <c r="G1225" i="6"/>
  <c r="H1225" i="6"/>
  <c r="I1225" i="6" s="1"/>
  <c r="J1225" i="6"/>
  <c r="K1225" i="6"/>
  <c r="C1226" i="6"/>
  <c r="D1226" i="6"/>
  <c r="E1226" i="6"/>
  <c r="F1226" i="6"/>
  <c r="G1226" i="6"/>
  <c r="H1226" i="6"/>
  <c r="I1226" i="6"/>
  <c r="J1226" i="6"/>
  <c r="K1226" i="6"/>
  <c r="C1227" i="6"/>
  <c r="D1227" i="6"/>
  <c r="E1227" i="6" s="1"/>
  <c r="F1227" i="6"/>
  <c r="G1227" i="6"/>
  <c r="H1227" i="6"/>
  <c r="I1227" i="6"/>
  <c r="J1227" i="6"/>
  <c r="K1227" i="6" s="1"/>
  <c r="C1228" i="6"/>
  <c r="D1228" i="6"/>
  <c r="E1228" i="6"/>
  <c r="F1228" i="6"/>
  <c r="G1228" i="6"/>
  <c r="H1228" i="6"/>
  <c r="I1228" i="6" s="1"/>
  <c r="J1228" i="6"/>
  <c r="K1228" i="6" s="1"/>
  <c r="C1229" i="6"/>
  <c r="D1229" i="6"/>
  <c r="E1229" i="6" s="1"/>
  <c r="F1229" i="6"/>
  <c r="G1229" i="6"/>
  <c r="H1229" i="6"/>
  <c r="I1229" i="6"/>
  <c r="J1229" i="6"/>
  <c r="K1229" i="6"/>
  <c r="C1230" i="6"/>
  <c r="D1230" i="6"/>
  <c r="E1230" i="6" s="1"/>
  <c r="F1230" i="6"/>
  <c r="G1230" i="6"/>
  <c r="H1230" i="6"/>
  <c r="I1230" i="6" s="1"/>
  <c r="J1230" i="6"/>
  <c r="K1230" i="6" s="1"/>
  <c r="C1231" i="6"/>
  <c r="D1231" i="6"/>
  <c r="E1231" i="6"/>
  <c r="F1231" i="6"/>
  <c r="G1231" i="6"/>
  <c r="H1231" i="6"/>
  <c r="I1231" i="6" s="1"/>
  <c r="J1231" i="6"/>
  <c r="K1231" i="6" s="1"/>
  <c r="C1232" i="6"/>
  <c r="D1232" i="6"/>
  <c r="E1232" i="6" s="1"/>
  <c r="F1232" i="6"/>
  <c r="G1232" i="6"/>
  <c r="H1232" i="6"/>
  <c r="I1232" i="6"/>
  <c r="J1232" i="6"/>
  <c r="K1232" i="6" s="1"/>
  <c r="C1233" i="6"/>
  <c r="D1233" i="6"/>
  <c r="E1233" i="6" s="1"/>
  <c r="F1233" i="6"/>
  <c r="G1233" i="6"/>
  <c r="H1233" i="6"/>
  <c r="I1233" i="6" s="1"/>
  <c r="J1233" i="6"/>
  <c r="K1233" i="6"/>
  <c r="C1234" i="6"/>
  <c r="D1234" i="6"/>
  <c r="E1234" i="6" s="1"/>
  <c r="F1234" i="6"/>
  <c r="G1234" i="6"/>
  <c r="H1234" i="6"/>
  <c r="I1234" i="6"/>
  <c r="J1234" i="6"/>
  <c r="K1234" i="6" s="1"/>
  <c r="C1235" i="6"/>
  <c r="D1235" i="6"/>
  <c r="E1235" i="6"/>
  <c r="F1235" i="6"/>
  <c r="G1235" i="6"/>
  <c r="H1235" i="6"/>
  <c r="I1235" i="6"/>
  <c r="J1235" i="6"/>
  <c r="K1235" i="6" s="1"/>
  <c r="C1236" i="6"/>
  <c r="D1236" i="6"/>
  <c r="E1236" i="6"/>
  <c r="F1236" i="6"/>
  <c r="G1236" i="6"/>
  <c r="H1236" i="6"/>
  <c r="I1236" i="6" s="1"/>
  <c r="J1236" i="6"/>
  <c r="K1236" i="6" s="1"/>
  <c r="C1237" i="6"/>
  <c r="D1237" i="6"/>
  <c r="E1237" i="6" s="1"/>
  <c r="F1237" i="6"/>
  <c r="G1237" i="6"/>
  <c r="H1237" i="6"/>
  <c r="I1237" i="6" s="1"/>
  <c r="J1237" i="6"/>
  <c r="K1237" i="6" s="1"/>
  <c r="C1238" i="6"/>
  <c r="D1238" i="6"/>
  <c r="E1238" i="6" s="1"/>
  <c r="F1238" i="6"/>
  <c r="G1238" i="6"/>
  <c r="H1238" i="6"/>
  <c r="I1238" i="6" s="1"/>
  <c r="J1238" i="6"/>
  <c r="K1238" i="6" s="1"/>
  <c r="C1239" i="6"/>
  <c r="D1239" i="6"/>
  <c r="E1239" i="6"/>
  <c r="F1239" i="6"/>
  <c r="G1239" i="6"/>
  <c r="H1239" i="6"/>
  <c r="I1239" i="6" s="1"/>
  <c r="J1239" i="6"/>
  <c r="K1239" i="6" s="1"/>
  <c r="C1240" i="6"/>
  <c r="D1240" i="6"/>
  <c r="E1240" i="6" s="1"/>
  <c r="F1240" i="6"/>
  <c r="G1240" i="6"/>
  <c r="H1240" i="6"/>
  <c r="I1240" i="6" s="1"/>
  <c r="J1240" i="6"/>
  <c r="K1240" i="6" s="1"/>
  <c r="C1241" i="6"/>
  <c r="D1241" i="6"/>
  <c r="E1241" i="6"/>
  <c r="F1241" i="6"/>
  <c r="G1241" i="6"/>
  <c r="H1241" i="6"/>
  <c r="I1241" i="6" s="1"/>
  <c r="J1241" i="6"/>
  <c r="K1241" i="6" s="1"/>
  <c r="C1242" i="6"/>
  <c r="D1242" i="6"/>
  <c r="E1242" i="6"/>
  <c r="F1242" i="6"/>
  <c r="G1242" i="6"/>
  <c r="H1242" i="6"/>
  <c r="I1242" i="6"/>
  <c r="J1242" i="6"/>
  <c r="K1242" i="6" s="1"/>
  <c r="C1243" i="6"/>
  <c r="D1243" i="6"/>
  <c r="E1243" i="6"/>
  <c r="F1243" i="6"/>
  <c r="G1243" i="6" s="1"/>
  <c r="H1243" i="6"/>
  <c r="I1243" i="6"/>
  <c r="J1243" i="6"/>
  <c r="K1243" i="6"/>
  <c r="C1244" i="6"/>
  <c r="D1244" i="6"/>
  <c r="E1244" i="6"/>
  <c r="F1244" i="6"/>
  <c r="G1244" i="6"/>
  <c r="H1244" i="6"/>
  <c r="I1244" i="6" s="1"/>
  <c r="J1244" i="6"/>
  <c r="K1244" i="6"/>
  <c r="C1245" i="6"/>
  <c r="D1245" i="6"/>
  <c r="E1245" i="6" s="1"/>
  <c r="F1245" i="6"/>
  <c r="G1245" i="6" s="1"/>
  <c r="H1245" i="6"/>
  <c r="I1245" i="6" s="1"/>
  <c r="J1245" i="6"/>
  <c r="K1245" i="6" s="1"/>
  <c r="C1246" i="6"/>
  <c r="D1246" i="6"/>
  <c r="E1246" i="6" s="1"/>
  <c r="F1246" i="6"/>
  <c r="G1246" i="6" s="1"/>
  <c r="H1246" i="6"/>
  <c r="I1246" i="6" s="1"/>
  <c r="J1246" i="6"/>
  <c r="K1246" i="6"/>
  <c r="C1247" i="6"/>
  <c r="D1247" i="6"/>
  <c r="E1247" i="6"/>
  <c r="F1247" i="6"/>
  <c r="G1247" i="6" s="1"/>
  <c r="H1247" i="6"/>
  <c r="I1247" i="6" s="1"/>
  <c r="J1247" i="6"/>
  <c r="K1247" i="6" s="1"/>
  <c r="C1248" i="6"/>
  <c r="D1248" i="6"/>
  <c r="E1248" i="6" s="1"/>
  <c r="F1248" i="6"/>
  <c r="G1248" i="6" s="1"/>
  <c r="H1248" i="6"/>
  <c r="I1248" i="6" s="1"/>
  <c r="J1248" i="6"/>
  <c r="K1248" i="6" s="1"/>
  <c r="C1249" i="6"/>
  <c r="D1249" i="6"/>
  <c r="E1249" i="6"/>
  <c r="F1249" i="6"/>
  <c r="G1249" i="6" s="1"/>
  <c r="H1249" i="6"/>
  <c r="I1249" i="6" s="1"/>
  <c r="J1249" i="6"/>
  <c r="K1249" i="6"/>
  <c r="C1250" i="6"/>
  <c r="D1250" i="6"/>
  <c r="E1250" i="6" s="1"/>
  <c r="F1250" i="6"/>
  <c r="G1250" i="6"/>
  <c r="H1250" i="6"/>
  <c r="I1250" i="6"/>
  <c r="J1250" i="6"/>
  <c r="K1250" i="6"/>
  <c r="C1251" i="6"/>
  <c r="D1251" i="6"/>
  <c r="E1251" i="6"/>
  <c r="F1251" i="6"/>
  <c r="G1251" i="6"/>
  <c r="H1251" i="6"/>
  <c r="I1251" i="6"/>
  <c r="J1251" i="6"/>
  <c r="K1251" i="6"/>
  <c r="C1252" i="6"/>
  <c r="D1252" i="6"/>
  <c r="E1252" i="6" s="1"/>
  <c r="F1252" i="6"/>
  <c r="G1252" i="6"/>
  <c r="H1252" i="6"/>
  <c r="I1252" i="6"/>
  <c r="J1252" i="6"/>
  <c r="K1252" i="6"/>
  <c r="C1253" i="6"/>
  <c r="D1253" i="6"/>
  <c r="E1253" i="6" s="1"/>
  <c r="F1253" i="6"/>
  <c r="G1253" i="6" s="1"/>
  <c r="H1253" i="6"/>
  <c r="I1253" i="6"/>
  <c r="J1253" i="6"/>
  <c r="K1253" i="6" s="1"/>
  <c r="C1254" i="6"/>
  <c r="D1254" i="6"/>
  <c r="E1254" i="6" s="1"/>
  <c r="F1254" i="6"/>
  <c r="G1254" i="6" s="1"/>
  <c r="H1254" i="6"/>
  <c r="I1254" i="6" s="1"/>
  <c r="J1254" i="6"/>
  <c r="K1254" i="6"/>
  <c r="C1255" i="6"/>
  <c r="D1255" i="6"/>
  <c r="E1255" i="6"/>
  <c r="F1255" i="6"/>
  <c r="G1255" i="6"/>
  <c r="H1255" i="6"/>
  <c r="I1255" i="6"/>
  <c r="J1255" i="6"/>
  <c r="K1255" i="6" s="1"/>
  <c r="C1256" i="6"/>
  <c r="D1256" i="6"/>
  <c r="E1256" i="6" s="1"/>
  <c r="F1256" i="6"/>
  <c r="G1256" i="6" s="1"/>
  <c r="H1256" i="6"/>
  <c r="I1256" i="6"/>
  <c r="J1256" i="6"/>
  <c r="K1256" i="6" s="1"/>
  <c r="C1257" i="6"/>
  <c r="D1257" i="6"/>
  <c r="E1257" i="6"/>
  <c r="F1257" i="6"/>
  <c r="G1257" i="6"/>
  <c r="H1257" i="6"/>
  <c r="I1257" i="6" s="1"/>
  <c r="J1257" i="6"/>
  <c r="K1257" i="6"/>
  <c r="C1258" i="6"/>
  <c r="D1258" i="6"/>
  <c r="E1258" i="6"/>
  <c r="F1258" i="6"/>
  <c r="G1258" i="6"/>
  <c r="H1258" i="6"/>
  <c r="I1258" i="6"/>
  <c r="J1258" i="6"/>
  <c r="K1258" i="6"/>
  <c r="C1259" i="6"/>
  <c r="D1259" i="6"/>
  <c r="E1259" i="6" s="1"/>
  <c r="F1259" i="6"/>
  <c r="G1259" i="6"/>
  <c r="H1259" i="6"/>
  <c r="I1259" i="6"/>
  <c r="J1259" i="6"/>
  <c r="K1259" i="6" s="1"/>
  <c r="C2" i="5"/>
  <c r="I2" i="7" s="1"/>
  <c r="D2" i="5"/>
  <c r="E2" i="5"/>
  <c r="H2" i="5"/>
  <c r="J2" i="5" s="1"/>
  <c r="I2" i="5"/>
  <c r="L2" i="5"/>
  <c r="N2" i="5" s="1"/>
  <c r="P2" i="5"/>
  <c r="Q2" i="5"/>
  <c r="R2" i="5"/>
  <c r="S2" i="5"/>
  <c r="C3" i="5"/>
  <c r="D3" i="5"/>
  <c r="E3" i="5" s="1"/>
  <c r="H3" i="5"/>
  <c r="J3" i="5" s="1"/>
  <c r="I3" i="5"/>
  <c r="L3" i="5"/>
  <c r="M3" i="5" s="1"/>
  <c r="N3" i="5"/>
  <c r="O3" i="5" s="1"/>
  <c r="P3" i="5"/>
  <c r="Q3" i="5" s="1"/>
  <c r="R3" i="5"/>
  <c r="C4" i="5"/>
  <c r="I4" i="9" s="1"/>
  <c r="D4" i="5"/>
  <c r="E4" i="5"/>
  <c r="H4" i="5"/>
  <c r="I4" i="5"/>
  <c r="J4" i="5"/>
  <c r="K4" i="5"/>
  <c r="L4" i="5"/>
  <c r="P4" i="5"/>
  <c r="S4" i="5" s="1"/>
  <c r="Q4" i="5"/>
  <c r="R4" i="5"/>
  <c r="C5" i="5"/>
  <c r="I5" i="8" s="1"/>
  <c r="D5" i="5"/>
  <c r="E5" i="5"/>
  <c r="H5" i="5"/>
  <c r="I5" i="5"/>
  <c r="J5" i="5"/>
  <c r="L5" i="5"/>
  <c r="M5" i="5" s="1"/>
  <c r="N5" i="5"/>
  <c r="P5" i="5"/>
  <c r="Q5" i="5"/>
  <c r="R5" i="5"/>
  <c r="S5" i="5"/>
  <c r="C6" i="5"/>
  <c r="I6" i="8" s="1"/>
  <c r="D6" i="5"/>
  <c r="H6" i="5"/>
  <c r="J6" i="5" s="1"/>
  <c r="I6" i="5"/>
  <c r="L6" i="5"/>
  <c r="M6" i="5" s="1"/>
  <c r="N6" i="5"/>
  <c r="P6" i="5"/>
  <c r="R6" i="5" s="1"/>
  <c r="S6" i="5"/>
  <c r="C7" i="5"/>
  <c r="D7" i="5"/>
  <c r="E7" i="5" s="1"/>
  <c r="H7" i="5"/>
  <c r="J7" i="5" s="1"/>
  <c r="I7" i="5"/>
  <c r="K7" i="5"/>
  <c r="L7" i="5"/>
  <c r="N7" i="5" s="1"/>
  <c r="M7" i="5"/>
  <c r="P7" i="5"/>
  <c r="Q7" i="5" s="1"/>
  <c r="C8" i="5"/>
  <c r="K8" i="5" s="1"/>
  <c r="D8" i="5"/>
  <c r="E8" i="5"/>
  <c r="H8" i="5"/>
  <c r="I8" i="5"/>
  <c r="J8" i="5"/>
  <c r="L8" i="5"/>
  <c r="M8" i="5" s="1"/>
  <c r="P8" i="5"/>
  <c r="Q8" i="5" s="1"/>
  <c r="R8" i="5"/>
  <c r="C9" i="5"/>
  <c r="D9" i="5"/>
  <c r="E9" i="5" s="1"/>
  <c r="H9" i="5"/>
  <c r="I9" i="5" s="1"/>
  <c r="L9" i="5"/>
  <c r="M9" i="5" s="1"/>
  <c r="P9" i="5"/>
  <c r="R9" i="5" s="1"/>
  <c r="Q9" i="5"/>
  <c r="C10" i="5"/>
  <c r="I10" i="9" s="1"/>
  <c r="D10" i="5"/>
  <c r="E10" i="5"/>
  <c r="H10" i="5"/>
  <c r="J10" i="5" s="1"/>
  <c r="K10" i="5" s="1"/>
  <c r="I10" i="5"/>
  <c r="L10" i="5"/>
  <c r="N10" i="5" s="1"/>
  <c r="M10" i="5"/>
  <c r="O10" i="5"/>
  <c r="P10" i="5"/>
  <c r="Q10" i="5"/>
  <c r="C11" i="5"/>
  <c r="I11" i="8" s="1"/>
  <c r="D11" i="5"/>
  <c r="E11" i="5" s="1"/>
  <c r="H11" i="5"/>
  <c r="I11" i="5" s="1"/>
  <c r="J11" i="5"/>
  <c r="L11" i="5"/>
  <c r="N11" i="5" s="1"/>
  <c r="O11" i="5"/>
  <c r="P11" i="5"/>
  <c r="Q11" i="5" s="1"/>
  <c r="C12" i="5"/>
  <c r="I12" i="7" s="1"/>
  <c r="D12" i="5"/>
  <c r="E12" i="5"/>
  <c r="H12" i="5"/>
  <c r="I12" i="5"/>
  <c r="L12" i="5"/>
  <c r="M12" i="5"/>
  <c r="N12" i="5"/>
  <c r="O12" i="5" s="1"/>
  <c r="P12" i="5"/>
  <c r="Q12" i="5" s="1"/>
  <c r="R12" i="5"/>
  <c r="C13" i="5"/>
  <c r="D13" i="5"/>
  <c r="E13" i="5"/>
  <c r="H13" i="5"/>
  <c r="J13" i="5" s="1"/>
  <c r="I13" i="5"/>
  <c r="L13" i="5"/>
  <c r="M13" i="5"/>
  <c r="N13" i="5"/>
  <c r="O13" i="5"/>
  <c r="P13" i="5"/>
  <c r="Q13" i="5"/>
  <c r="C14" i="5"/>
  <c r="I14" i="8" s="1"/>
  <c r="D14" i="5"/>
  <c r="E14" i="5"/>
  <c r="H14" i="5"/>
  <c r="I14" i="5" s="1"/>
  <c r="J14" i="5"/>
  <c r="L14" i="5"/>
  <c r="M14" i="5" s="1"/>
  <c r="N14" i="5"/>
  <c r="O14" i="5"/>
  <c r="P14" i="5"/>
  <c r="R14" i="5" s="1"/>
  <c r="S14" i="5"/>
  <c r="C15" i="5"/>
  <c r="D15" i="5"/>
  <c r="E15" i="5"/>
  <c r="H15" i="5"/>
  <c r="I15" i="5" s="1"/>
  <c r="L15" i="5"/>
  <c r="O15" i="5" s="1"/>
  <c r="M15" i="5"/>
  <c r="N15" i="5"/>
  <c r="P15" i="5"/>
  <c r="Q15" i="5" s="1"/>
  <c r="R15" i="5"/>
  <c r="C16" i="5"/>
  <c r="K16" i="5" s="1"/>
  <c r="D16" i="5"/>
  <c r="E16" i="5"/>
  <c r="H16" i="5"/>
  <c r="I16" i="5"/>
  <c r="J16" i="5"/>
  <c r="L16" i="5"/>
  <c r="M16" i="5"/>
  <c r="N16" i="5"/>
  <c r="O16" i="5"/>
  <c r="P16" i="5"/>
  <c r="C17" i="5"/>
  <c r="I17" i="8" s="1"/>
  <c r="D17" i="5"/>
  <c r="E17" i="5" s="1"/>
  <c r="H17" i="5"/>
  <c r="I17" i="5" s="1"/>
  <c r="J17" i="5"/>
  <c r="L17" i="5"/>
  <c r="N17" i="5" s="1"/>
  <c r="M17" i="5"/>
  <c r="P17" i="5"/>
  <c r="R17" i="5" s="1"/>
  <c r="S17" i="5" s="1"/>
  <c r="Q17" i="5"/>
  <c r="C18" i="5"/>
  <c r="D18" i="5"/>
  <c r="E18" i="5"/>
  <c r="H18" i="5"/>
  <c r="I18" i="5" s="1"/>
  <c r="L18" i="5"/>
  <c r="M18" i="5" s="1"/>
  <c r="P18" i="5"/>
  <c r="Q18" i="5" s="1"/>
  <c r="R18" i="5"/>
  <c r="C19" i="5"/>
  <c r="I19" i="9" s="1"/>
  <c r="D19" i="5"/>
  <c r="E19" i="5" s="1"/>
  <c r="H19" i="5"/>
  <c r="I19" i="5" s="1"/>
  <c r="L19" i="5"/>
  <c r="M19" i="5" s="1"/>
  <c r="N19" i="5"/>
  <c r="P19" i="5"/>
  <c r="Q19" i="5" s="1"/>
  <c r="C20" i="5"/>
  <c r="K20" i="5" s="1"/>
  <c r="D20" i="5"/>
  <c r="E20" i="5"/>
  <c r="H20" i="5"/>
  <c r="I20" i="5"/>
  <c r="J20" i="5"/>
  <c r="L20" i="5"/>
  <c r="M20" i="5"/>
  <c r="N20" i="5"/>
  <c r="P20" i="5"/>
  <c r="Q20" i="5"/>
  <c r="R20" i="5"/>
  <c r="S20" i="5"/>
  <c r="C21" i="5"/>
  <c r="D21" i="5"/>
  <c r="E21" i="5" s="1"/>
  <c r="H21" i="5"/>
  <c r="I21" i="5"/>
  <c r="J21" i="5"/>
  <c r="L21" i="5"/>
  <c r="M21" i="5" s="1"/>
  <c r="N21" i="5"/>
  <c r="P21" i="5"/>
  <c r="Q21" i="5" s="1"/>
  <c r="R21" i="5"/>
  <c r="C22" i="5"/>
  <c r="D22" i="5"/>
  <c r="E22" i="5"/>
  <c r="H22" i="5"/>
  <c r="I22" i="5"/>
  <c r="J22" i="5"/>
  <c r="K22" i="5" s="1"/>
  <c r="L22" i="5"/>
  <c r="P22" i="5"/>
  <c r="R22" i="5" s="1"/>
  <c r="Q22" i="5"/>
  <c r="C23" i="5"/>
  <c r="D23" i="5"/>
  <c r="E23" i="5" s="1"/>
  <c r="H23" i="5"/>
  <c r="J23" i="5" s="1"/>
  <c r="I23" i="5"/>
  <c r="L23" i="5"/>
  <c r="M23" i="5" s="1"/>
  <c r="P23" i="5"/>
  <c r="Q23" i="5" s="1"/>
  <c r="C24" i="5"/>
  <c r="D24" i="5"/>
  <c r="E24" i="5" s="1"/>
  <c r="H24" i="5"/>
  <c r="I24" i="5"/>
  <c r="J24" i="5"/>
  <c r="K24" i="5"/>
  <c r="L24" i="5"/>
  <c r="M24" i="5"/>
  <c r="N24" i="5"/>
  <c r="O24" i="5"/>
  <c r="P24" i="5"/>
  <c r="Q24" i="5" s="1"/>
  <c r="C25" i="5"/>
  <c r="D25" i="5"/>
  <c r="E25" i="5"/>
  <c r="H25" i="5"/>
  <c r="I25" i="5"/>
  <c r="L25" i="5"/>
  <c r="O25" i="5" s="1"/>
  <c r="M25" i="5"/>
  <c r="N25" i="5"/>
  <c r="P25" i="5"/>
  <c r="Q25" i="5" s="1"/>
  <c r="R25" i="5"/>
  <c r="C26" i="5"/>
  <c r="D26" i="5"/>
  <c r="E26" i="5"/>
  <c r="H26" i="5"/>
  <c r="J26" i="5" s="1"/>
  <c r="K26" i="5" s="1"/>
  <c r="I26" i="5"/>
  <c r="L26" i="5"/>
  <c r="M26" i="5"/>
  <c r="N26" i="5"/>
  <c r="O26" i="5"/>
  <c r="P26" i="5"/>
  <c r="C27" i="5"/>
  <c r="D27" i="5"/>
  <c r="E27" i="5" s="1"/>
  <c r="H27" i="5"/>
  <c r="I27" i="5" s="1"/>
  <c r="L27" i="5"/>
  <c r="N27" i="5" s="1"/>
  <c r="M27" i="5"/>
  <c r="P27" i="5"/>
  <c r="Q27" i="5" s="1"/>
  <c r="C28" i="5"/>
  <c r="D28" i="5"/>
  <c r="E28" i="5"/>
  <c r="H28" i="5"/>
  <c r="I28" i="5" s="1"/>
  <c r="J28" i="5"/>
  <c r="L28" i="5"/>
  <c r="M28" i="5"/>
  <c r="N28" i="5"/>
  <c r="P28" i="5"/>
  <c r="Q28" i="5"/>
  <c r="R28" i="5"/>
  <c r="C29" i="5"/>
  <c r="D29" i="5"/>
  <c r="E29" i="5" s="1"/>
  <c r="H29" i="5"/>
  <c r="I29" i="5"/>
  <c r="J29" i="5"/>
  <c r="K29" i="5"/>
  <c r="L29" i="5"/>
  <c r="M29" i="5"/>
  <c r="P29" i="5"/>
  <c r="S29" i="5" s="1"/>
  <c r="Q29" i="5"/>
  <c r="R29" i="5"/>
  <c r="C30" i="5"/>
  <c r="D30" i="5"/>
  <c r="E30" i="5"/>
  <c r="H30" i="5"/>
  <c r="I30" i="5"/>
  <c r="J30" i="5"/>
  <c r="K30" i="5" s="1"/>
  <c r="L30" i="5"/>
  <c r="N30" i="5" s="1"/>
  <c r="O30" i="5" s="1"/>
  <c r="M30" i="5"/>
  <c r="P30" i="5"/>
  <c r="Q30" i="5"/>
  <c r="R30" i="5"/>
  <c r="S30" i="5"/>
  <c r="C31" i="5"/>
  <c r="I31" i="9" s="1"/>
  <c r="D31" i="5"/>
  <c r="E31" i="5" s="1"/>
  <c r="H31" i="5"/>
  <c r="I31" i="5" s="1"/>
  <c r="L31" i="5"/>
  <c r="M31" i="5" s="1"/>
  <c r="P31" i="5"/>
  <c r="R31" i="5" s="1"/>
  <c r="Q31" i="5"/>
  <c r="C32" i="5"/>
  <c r="D32" i="5"/>
  <c r="E32" i="5"/>
  <c r="H32" i="5"/>
  <c r="I32" i="5" s="1"/>
  <c r="L32" i="5"/>
  <c r="M32" i="5" s="1"/>
  <c r="N32" i="5"/>
  <c r="O32" i="5"/>
  <c r="P32" i="5"/>
  <c r="Q32" i="5"/>
  <c r="R32" i="5"/>
  <c r="C33" i="5"/>
  <c r="D33" i="5"/>
  <c r="E33" i="5" s="1"/>
  <c r="H33" i="5"/>
  <c r="I33" i="5" s="1"/>
  <c r="J33" i="5"/>
  <c r="L33" i="5"/>
  <c r="M33" i="5"/>
  <c r="N33" i="5"/>
  <c r="O33" i="5" s="1"/>
  <c r="P33" i="5"/>
  <c r="Q33" i="5" s="1"/>
  <c r="C34" i="5"/>
  <c r="I34" i="9" s="1"/>
  <c r="D34" i="5"/>
  <c r="E34" i="5"/>
  <c r="H34" i="5"/>
  <c r="J34" i="5" s="1"/>
  <c r="K34" i="5" s="1"/>
  <c r="I34" i="5"/>
  <c r="L34" i="5"/>
  <c r="M34" i="5"/>
  <c r="N34" i="5"/>
  <c r="O34" i="5" s="1"/>
  <c r="P34" i="5"/>
  <c r="R34" i="5" s="1"/>
  <c r="S34" i="5" s="1"/>
  <c r="Q34" i="5"/>
  <c r="C35" i="5"/>
  <c r="I35" i="8" s="1"/>
  <c r="D35" i="5"/>
  <c r="E35" i="5"/>
  <c r="H35" i="5"/>
  <c r="I35" i="5" s="1"/>
  <c r="L35" i="5"/>
  <c r="M35" i="5" s="1"/>
  <c r="P35" i="5"/>
  <c r="Q35" i="5" s="1"/>
  <c r="C36" i="5"/>
  <c r="D36" i="5"/>
  <c r="E36" i="5" s="1"/>
  <c r="H36" i="5"/>
  <c r="I36" i="5"/>
  <c r="J36" i="5"/>
  <c r="K36" i="5"/>
  <c r="L36" i="5"/>
  <c r="N36" i="5" s="1"/>
  <c r="M36" i="5"/>
  <c r="P36" i="5"/>
  <c r="Q36" i="5" s="1"/>
  <c r="R36" i="5"/>
  <c r="S36" i="5"/>
  <c r="C37" i="5"/>
  <c r="D37" i="5"/>
  <c r="E37" i="5" s="1"/>
  <c r="H37" i="5"/>
  <c r="I37" i="5" s="1"/>
  <c r="J37" i="5"/>
  <c r="K37" i="5"/>
  <c r="L37" i="5"/>
  <c r="M37" i="5" s="1"/>
  <c r="N37" i="5"/>
  <c r="P37" i="5"/>
  <c r="Q37" i="5"/>
  <c r="R37" i="5"/>
  <c r="S37" i="5" s="1"/>
  <c r="C38" i="5"/>
  <c r="D38" i="5"/>
  <c r="H38" i="5"/>
  <c r="J38" i="5" s="1"/>
  <c r="I38" i="5"/>
  <c r="L38" i="5"/>
  <c r="N38" i="5" s="1"/>
  <c r="O38" i="5" s="1"/>
  <c r="M38" i="5"/>
  <c r="P38" i="5"/>
  <c r="Q38" i="5"/>
  <c r="R38" i="5"/>
  <c r="S38" i="5" s="1"/>
  <c r="C39" i="5"/>
  <c r="I39" i="9" s="1"/>
  <c r="D39" i="5"/>
  <c r="E39" i="5" s="1"/>
  <c r="H39" i="5"/>
  <c r="I39" i="5" s="1"/>
  <c r="L39" i="5"/>
  <c r="M39" i="5" s="1"/>
  <c r="P39" i="5"/>
  <c r="Q39" i="5" s="1"/>
  <c r="C40" i="5"/>
  <c r="D40" i="5"/>
  <c r="E40" i="5"/>
  <c r="H40" i="5"/>
  <c r="I40" i="5" s="1"/>
  <c r="L40" i="5"/>
  <c r="M40" i="5"/>
  <c r="N40" i="5"/>
  <c r="O40" i="5"/>
  <c r="P40" i="5"/>
  <c r="Q40" i="5" s="1"/>
  <c r="R40" i="5"/>
  <c r="C41" i="5"/>
  <c r="D41" i="5"/>
  <c r="E41" i="5"/>
  <c r="H41" i="5"/>
  <c r="I41" i="5" s="1"/>
  <c r="J41" i="5"/>
  <c r="L41" i="5"/>
  <c r="M41" i="5" s="1"/>
  <c r="N41" i="5"/>
  <c r="O41" i="5"/>
  <c r="P41" i="5"/>
  <c r="Q41" i="5" s="1"/>
  <c r="R41" i="5"/>
  <c r="C42" i="5"/>
  <c r="I42" i="9" s="1"/>
  <c r="D42" i="5"/>
  <c r="E42" i="5"/>
  <c r="H42" i="5"/>
  <c r="L42" i="5"/>
  <c r="N42" i="5" s="1"/>
  <c r="M42" i="5"/>
  <c r="P42" i="5"/>
  <c r="R42" i="5" s="1"/>
  <c r="S42" i="5" s="1"/>
  <c r="Q42" i="5"/>
  <c r="C43" i="5"/>
  <c r="I43" i="9" s="1"/>
  <c r="D43" i="5"/>
  <c r="E43" i="5"/>
  <c r="H43" i="5"/>
  <c r="I43" i="5" s="1"/>
  <c r="L43" i="5"/>
  <c r="N43" i="5" s="1"/>
  <c r="M43" i="5"/>
  <c r="P43" i="5"/>
  <c r="Q43" i="5" s="1"/>
  <c r="C44" i="5"/>
  <c r="K44" i="5" s="1"/>
  <c r="D44" i="5"/>
  <c r="E44" i="5"/>
  <c r="H44" i="5"/>
  <c r="I44" i="5"/>
  <c r="J44" i="5"/>
  <c r="L44" i="5"/>
  <c r="M44" i="5" s="1"/>
  <c r="P44" i="5"/>
  <c r="Q44" i="5"/>
  <c r="R44" i="5"/>
  <c r="S44" i="5"/>
  <c r="C45" i="5"/>
  <c r="D45" i="5"/>
  <c r="E45" i="5" s="1"/>
  <c r="H45" i="5"/>
  <c r="I45" i="5"/>
  <c r="J45" i="5"/>
  <c r="L45" i="5"/>
  <c r="M45" i="5" s="1"/>
  <c r="N45" i="5"/>
  <c r="P45" i="5"/>
  <c r="Q45" i="5" s="1"/>
  <c r="R45" i="5"/>
  <c r="C46" i="5"/>
  <c r="I46" i="9" s="1"/>
  <c r="D46" i="5"/>
  <c r="E46" i="5"/>
  <c r="H46" i="5"/>
  <c r="I46" i="5"/>
  <c r="J46" i="5"/>
  <c r="K46" i="5" s="1"/>
  <c r="L46" i="5"/>
  <c r="P46" i="5"/>
  <c r="R46" i="5" s="1"/>
  <c r="Q46" i="5"/>
  <c r="C47" i="5"/>
  <c r="D47" i="5"/>
  <c r="E47" i="5" s="1"/>
  <c r="H47" i="5"/>
  <c r="J47" i="5" s="1"/>
  <c r="I47" i="5"/>
  <c r="L47" i="5"/>
  <c r="M47" i="5" s="1"/>
  <c r="P47" i="5"/>
  <c r="Q47" i="5" s="1"/>
  <c r="C48" i="5"/>
  <c r="I48" i="9" s="1"/>
  <c r="D48" i="5"/>
  <c r="E48" i="5" s="1"/>
  <c r="H48" i="5"/>
  <c r="I48" i="5"/>
  <c r="J48" i="5"/>
  <c r="K48" i="5"/>
  <c r="L48" i="5"/>
  <c r="M48" i="5"/>
  <c r="N48" i="5"/>
  <c r="O48" i="5"/>
  <c r="P48" i="5"/>
  <c r="Q48" i="5" s="1"/>
  <c r="C49" i="5"/>
  <c r="I49" i="9" s="1"/>
  <c r="D49" i="5"/>
  <c r="E49" i="5"/>
  <c r="H49" i="5"/>
  <c r="I49" i="5" s="1"/>
  <c r="L49" i="5"/>
  <c r="O49" i="5" s="1"/>
  <c r="M49" i="5"/>
  <c r="N49" i="5"/>
  <c r="P49" i="5"/>
  <c r="Q49" i="5" s="1"/>
  <c r="R49" i="5"/>
  <c r="C50" i="5"/>
  <c r="D50" i="5"/>
  <c r="E50" i="5"/>
  <c r="H50" i="5"/>
  <c r="J50" i="5" s="1"/>
  <c r="K50" i="5" s="1"/>
  <c r="I50" i="5"/>
  <c r="L50" i="5"/>
  <c r="M50" i="5"/>
  <c r="N50" i="5"/>
  <c r="O50" i="5"/>
  <c r="P50" i="5"/>
  <c r="C51" i="5"/>
  <c r="D51" i="5"/>
  <c r="E51" i="5" s="1"/>
  <c r="H51" i="5"/>
  <c r="I51" i="5" s="1"/>
  <c r="L51" i="5"/>
  <c r="N51" i="5" s="1"/>
  <c r="M51" i="5"/>
  <c r="P51" i="5"/>
  <c r="Q51" i="5" s="1"/>
  <c r="C52" i="5"/>
  <c r="D52" i="5"/>
  <c r="E52" i="5" s="1"/>
  <c r="H52" i="5"/>
  <c r="I52" i="5" s="1"/>
  <c r="J52" i="5"/>
  <c r="L52" i="5"/>
  <c r="M52" i="5"/>
  <c r="N52" i="5"/>
  <c r="P52" i="5"/>
  <c r="Q52" i="5"/>
  <c r="R52" i="5"/>
  <c r="C53" i="5"/>
  <c r="D53" i="5"/>
  <c r="E53" i="5" s="1"/>
  <c r="H53" i="5"/>
  <c r="I53" i="5"/>
  <c r="J53" i="5"/>
  <c r="K53" i="5" s="1"/>
  <c r="L53" i="5"/>
  <c r="M53" i="5" s="1"/>
  <c r="P53" i="5"/>
  <c r="S53" i="5" s="1"/>
  <c r="Q53" i="5"/>
  <c r="R53" i="5"/>
  <c r="C54" i="5"/>
  <c r="D54" i="5"/>
  <c r="E54" i="5"/>
  <c r="H54" i="5"/>
  <c r="I54" i="5"/>
  <c r="J54" i="5"/>
  <c r="K54" i="5" s="1"/>
  <c r="L54" i="5"/>
  <c r="N54" i="5" s="1"/>
  <c r="O54" i="5" s="1"/>
  <c r="M54" i="5"/>
  <c r="P54" i="5"/>
  <c r="Q54" i="5"/>
  <c r="R54" i="5"/>
  <c r="S54" i="5" s="1"/>
  <c r="C55" i="5"/>
  <c r="D55" i="5"/>
  <c r="E55" i="5" s="1"/>
  <c r="H55" i="5"/>
  <c r="L55" i="5"/>
  <c r="M55" i="5" s="1"/>
  <c r="P55" i="5"/>
  <c r="R55" i="5" s="1"/>
  <c r="Q55" i="5"/>
  <c r="C56" i="5"/>
  <c r="D56" i="5"/>
  <c r="E56" i="5"/>
  <c r="H56" i="5"/>
  <c r="I56" i="5" s="1"/>
  <c r="L56" i="5"/>
  <c r="M56" i="5" s="1"/>
  <c r="N56" i="5"/>
  <c r="O56" i="5"/>
  <c r="P56" i="5"/>
  <c r="Q56" i="5"/>
  <c r="R56" i="5"/>
  <c r="C57" i="5"/>
  <c r="D57" i="5"/>
  <c r="E57" i="5" s="1"/>
  <c r="H57" i="5"/>
  <c r="I57" i="5" s="1"/>
  <c r="J57" i="5"/>
  <c r="L57" i="5"/>
  <c r="M57" i="5"/>
  <c r="N57" i="5"/>
  <c r="O57" i="5"/>
  <c r="P57" i="5"/>
  <c r="Q57" i="5"/>
  <c r="C58" i="5"/>
  <c r="D58" i="5"/>
  <c r="E58" i="5"/>
  <c r="H58" i="5"/>
  <c r="J58" i="5" s="1"/>
  <c r="K58" i="5" s="1"/>
  <c r="I58" i="5"/>
  <c r="L58" i="5"/>
  <c r="M58" i="5"/>
  <c r="N58" i="5"/>
  <c r="O58" i="5" s="1"/>
  <c r="P58" i="5"/>
  <c r="R58" i="5" s="1"/>
  <c r="S58" i="5" s="1"/>
  <c r="Q58" i="5"/>
  <c r="C59" i="5"/>
  <c r="I59" i="9" s="1"/>
  <c r="D59" i="5"/>
  <c r="H59" i="5"/>
  <c r="I59" i="5" s="1"/>
  <c r="L59" i="5"/>
  <c r="P59" i="5"/>
  <c r="Q59" i="5" s="1"/>
  <c r="C60" i="5"/>
  <c r="D60" i="5"/>
  <c r="E60" i="5" s="1"/>
  <c r="H60" i="5"/>
  <c r="I60" i="5"/>
  <c r="J60" i="5"/>
  <c r="K60" i="5"/>
  <c r="L60" i="5"/>
  <c r="M60" i="5" s="1"/>
  <c r="N60" i="5"/>
  <c r="P60" i="5"/>
  <c r="Q60" i="5" s="1"/>
  <c r="R60" i="5"/>
  <c r="S60" i="5"/>
  <c r="C61" i="5"/>
  <c r="D61" i="5"/>
  <c r="E61" i="5" s="1"/>
  <c r="H61" i="5"/>
  <c r="I61" i="5" s="1"/>
  <c r="J61" i="5"/>
  <c r="K61" i="5"/>
  <c r="L61" i="5"/>
  <c r="M61" i="5" s="1"/>
  <c r="N61" i="5"/>
  <c r="P61" i="5"/>
  <c r="Q61" i="5"/>
  <c r="R61" i="5"/>
  <c r="S61" i="5"/>
  <c r="C62" i="5"/>
  <c r="D62" i="5"/>
  <c r="H62" i="5"/>
  <c r="J62" i="5" s="1"/>
  <c r="I62" i="5"/>
  <c r="L62" i="5"/>
  <c r="N62" i="5" s="1"/>
  <c r="O62" i="5" s="1"/>
  <c r="M62" i="5"/>
  <c r="P62" i="5"/>
  <c r="Q62" i="5"/>
  <c r="R62" i="5"/>
  <c r="C63" i="5"/>
  <c r="D63" i="5"/>
  <c r="E63" i="5" s="1"/>
  <c r="H63" i="5"/>
  <c r="I63" i="5" s="1"/>
  <c r="L63" i="5"/>
  <c r="M63" i="5" s="1"/>
  <c r="P63" i="5"/>
  <c r="C64" i="5"/>
  <c r="D64" i="5"/>
  <c r="E64" i="5"/>
  <c r="H64" i="5"/>
  <c r="I64" i="5" s="1"/>
  <c r="L64" i="5"/>
  <c r="M64" i="5"/>
  <c r="N64" i="5"/>
  <c r="O64" i="5"/>
  <c r="P64" i="5"/>
  <c r="Q64" i="5"/>
  <c r="R64" i="5"/>
  <c r="C65" i="5"/>
  <c r="D65" i="5"/>
  <c r="E65" i="5"/>
  <c r="H65" i="5"/>
  <c r="I65" i="5" s="1"/>
  <c r="J65" i="5"/>
  <c r="L65" i="5"/>
  <c r="M65" i="5" s="1"/>
  <c r="N65" i="5"/>
  <c r="O65" i="5"/>
  <c r="P65" i="5"/>
  <c r="Q65" i="5" s="1"/>
  <c r="R65" i="5"/>
  <c r="C66" i="5"/>
  <c r="I66" i="9" s="1"/>
  <c r="D66" i="5"/>
  <c r="E66" i="5"/>
  <c r="H66" i="5"/>
  <c r="L66" i="5"/>
  <c r="N66" i="5" s="1"/>
  <c r="M66" i="5"/>
  <c r="P66" i="5"/>
  <c r="R66" i="5" s="1"/>
  <c r="S66" i="5" s="1"/>
  <c r="Q66" i="5"/>
  <c r="C67" i="5"/>
  <c r="I67" i="9" s="1"/>
  <c r="D67" i="5"/>
  <c r="E67" i="5"/>
  <c r="H67" i="5"/>
  <c r="I67" i="5" s="1"/>
  <c r="L67" i="5"/>
  <c r="M67" i="5"/>
  <c r="N67" i="5"/>
  <c r="O67" i="5" s="1"/>
  <c r="P67" i="5"/>
  <c r="Q67" i="5" s="1"/>
  <c r="C68" i="5"/>
  <c r="D68" i="5"/>
  <c r="E68" i="5"/>
  <c r="H68" i="5"/>
  <c r="I68" i="5"/>
  <c r="J68" i="5"/>
  <c r="L68" i="5"/>
  <c r="P68" i="5"/>
  <c r="Q68" i="5"/>
  <c r="R68" i="5"/>
  <c r="C69" i="5"/>
  <c r="D69" i="5"/>
  <c r="E69" i="5"/>
  <c r="H69" i="5"/>
  <c r="I69" i="5"/>
  <c r="J69" i="5"/>
  <c r="L69" i="5"/>
  <c r="M69" i="5" s="1"/>
  <c r="N69" i="5"/>
  <c r="P69" i="5"/>
  <c r="Q69" i="5" s="1"/>
  <c r="R69" i="5"/>
  <c r="S69" i="5"/>
  <c r="C70" i="5"/>
  <c r="I70" i="9" s="1"/>
  <c r="D70" i="5"/>
  <c r="E70" i="5"/>
  <c r="H70" i="5"/>
  <c r="I70" i="5"/>
  <c r="J70" i="5"/>
  <c r="K70" i="5"/>
  <c r="L70" i="5"/>
  <c r="P70" i="5"/>
  <c r="Q70" i="5"/>
  <c r="C71" i="5"/>
  <c r="D71" i="5"/>
  <c r="E71" i="5" s="1"/>
  <c r="H71" i="5"/>
  <c r="J71" i="5" s="1"/>
  <c r="I71" i="5"/>
  <c r="L71" i="5"/>
  <c r="M71" i="5" s="1"/>
  <c r="P71" i="5"/>
  <c r="Q71" i="5" s="1"/>
  <c r="R71" i="5"/>
  <c r="C72" i="5"/>
  <c r="D72" i="5"/>
  <c r="E72" i="5" s="1"/>
  <c r="H72" i="5"/>
  <c r="I72" i="5"/>
  <c r="J72" i="5"/>
  <c r="K72" i="5"/>
  <c r="L72" i="5"/>
  <c r="M72" i="5"/>
  <c r="N72" i="5"/>
  <c r="O72" i="5"/>
  <c r="P72" i="5"/>
  <c r="C73" i="5"/>
  <c r="I73" i="9" s="1"/>
  <c r="D73" i="5"/>
  <c r="E73" i="5"/>
  <c r="H73" i="5"/>
  <c r="I73" i="5"/>
  <c r="L73" i="5"/>
  <c r="M73" i="5"/>
  <c r="N73" i="5"/>
  <c r="P73" i="5"/>
  <c r="Q73" i="5" s="1"/>
  <c r="R73" i="5"/>
  <c r="C74" i="5"/>
  <c r="D74" i="5"/>
  <c r="E74" i="5"/>
  <c r="H74" i="5"/>
  <c r="J74" i="5" s="1"/>
  <c r="K74" i="5" s="1"/>
  <c r="I74" i="5"/>
  <c r="L74" i="5"/>
  <c r="M74" i="5"/>
  <c r="N74" i="5"/>
  <c r="O74" i="5"/>
  <c r="P74" i="5"/>
  <c r="C75" i="5"/>
  <c r="I75" i="9" s="1"/>
  <c r="D75" i="5"/>
  <c r="H75" i="5"/>
  <c r="I75" i="5" s="1"/>
  <c r="L75" i="5"/>
  <c r="N75" i="5" s="1"/>
  <c r="M75" i="5"/>
  <c r="P75" i="5"/>
  <c r="Q75" i="5" s="1"/>
  <c r="C76" i="5"/>
  <c r="D76" i="5"/>
  <c r="E76" i="5"/>
  <c r="H76" i="5"/>
  <c r="I76" i="5" s="1"/>
  <c r="J76" i="5"/>
  <c r="K76" i="5"/>
  <c r="L76" i="5"/>
  <c r="M76" i="5"/>
  <c r="N76" i="5"/>
  <c r="P76" i="5"/>
  <c r="Q76" i="5"/>
  <c r="R76" i="5"/>
  <c r="C77" i="5"/>
  <c r="D77" i="5"/>
  <c r="E77" i="5" s="1"/>
  <c r="H77" i="5"/>
  <c r="I77" i="5"/>
  <c r="J77" i="5"/>
  <c r="K77" i="5"/>
  <c r="L77" i="5"/>
  <c r="M77" i="5"/>
  <c r="P77" i="5"/>
  <c r="S77" i="5" s="1"/>
  <c r="Q77" i="5"/>
  <c r="R77" i="5"/>
  <c r="C78" i="5"/>
  <c r="I78" i="9" s="1"/>
  <c r="D78" i="5"/>
  <c r="E78" i="5"/>
  <c r="H78" i="5"/>
  <c r="I78" i="5"/>
  <c r="J78" i="5"/>
  <c r="K78" i="5" s="1"/>
  <c r="L78" i="5"/>
  <c r="N78" i="5" s="1"/>
  <c r="O78" i="5" s="1"/>
  <c r="M78" i="5"/>
  <c r="P78" i="5"/>
  <c r="Q78" i="5"/>
  <c r="R78" i="5"/>
  <c r="S78" i="5"/>
  <c r="C79" i="5"/>
  <c r="D79" i="5"/>
  <c r="E79" i="5" s="1"/>
  <c r="H79" i="5"/>
  <c r="L79" i="5"/>
  <c r="M79" i="5" s="1"/>
  <c r="P79" i="5"/>
  <c r="R79" i="5" s="1"/>
  <c r="Q79" i="5"/>
  <c r="C80" i="5"/>
  <c r="D80" i="5"/>
  <c r="E80" i="5"/>
  <c r="H80" i="5"/>
  <c r="I80" i="5" s="1"/>
  <c r="L80" i="5"/>
  <c r="M80" i="5" s="1"/>
  <c r="N80" i="5"/>
  <c r="P80" i="5"/>
  <c r="Q80" i="5"/>
  <c r="R80" i="5"/>
  <c r="C81" i="5"/>
  <c r="I81" i="9" s="1"/>
  <c r="D81" i="5"/>
  <c r="E81" i="5" s="1"/>
  <c r="H81" i="5"/>
  <c r="I81" i="5" s="1"/>
  <c r="J81" i="5"/>
  <c r="L81" i="5"/>
  <c r="M81" i="5"/>
  <c r="N81" i="5"/>
  <c r="O81" i="5"/>
  <c r="P81" i="5"/>
  <c r="Q81" i="5" s="1"/>
  <c r="C82" i="5"/>
  <c r="D82" i="5"/>
  <c r="E82" i="5" s="1"/>
  <c r="H82" i="5"/>
  <c r="J82" i="5" s="1"/>
  <c r="K82" i="5" s="1"/>
  <c r="I82" i="5"/>
  <c r="L82" i="5"/>
  <c r="M82" i="5"/>
  <c r="N82" i="5"/>
  <c r="O82" i="5" s="1"/>
  <c r="P82" i="5"/>
  <c r="R82" i="5" s="1"/>
  <c r="S82" i="5" s="1"/>
  <c r="Q82" i="5"/>
  <c r="C83" i="5"/>
  <c r="D83" i="5"/>
  <c r="E83" i="5" s="1"/>
  <c r="H83" i="5"/>
  <c r="I83" i="5" s="1"/>
  <c r="L83" i="5"/>
  <c r="P83" i="5"/>
  <c r="Q83" i="5" s="1"/>
  <c r="C84" i="5"/>
  <c r="D84" i="5"/>
  <c r="H84" i="5"/>
  <c r="I84" i="5"/>
  <c r="J84" i="5"/>
  <c r="K84" i="5"/>
  <c r="L84" i="5"/>
  <c r="M84" i="5" s="1"/>
  <c r="P84" i="5"/>
  <c r="Q84" i="5" s="1"/>
  <c r="R84" i="5"/>
  <c r="S84" i="5" s="1"/>
  <c r="C85" i="5"/>
  <c r="D85" i="5"/>
  <c r="E85" i="5" s="1"/>
  <c r="H85" i="5"/>
  <c r="I85" i="5" s="1"/>
  <c r="J85" i="5"/>
  <c r="K85" i="5" s="1"/>
  <c r="L85" i="5"/>
  <c r="M85" i="5" s="1"/>
  <c r="N85" i="5"/>
  <c r="P85" i="5"/>
  <c r="Q85" i="5"/>
  <c r="R85" i="5"/>
  <c r="S85" i="5" s="1"/>
  <c r="C86" i="5"/>
  <c r="D86" i="5"/>
  <c r="H86" i="5"/>
  <c r="I86" i="5"/>
  <c r="L86" i="5"/>
  <c r="N86" i="5" s="1"/>
  <c r="O86" i="5" s="1"/>
  <c r="M86" i="5"/>
  <c r="P86" i="5"/>
  <c r="Q86" i="5"/>
  <c r="R86" i="5"/>
  <c r="S86" i="5" s="1"/>
  <c r="C87" i="5"/>
  <c r="D87" i="5"/>
  <c r="H87" i="5"/>
  <c r="I87" i="5" s="1"/>
  <c r="J87" i="5"/>
  <c r="L87" i="5"/>
  <c r="M87" i="5" s="1"/>
  <c r="P87" i="5"/>
  <c r="C88" i="5"/>
  <c r="D88" i="5"/>
  <c r="E88" i="5"/>
  <c r="H88" i="5"/>
  <c r="L88" i="5"/>
  <c r="M88" i="5"/>
  <c r="N88" i="5"/>
  <c r="O88" i="5"/>
  <c r="P88" i="5"/>
  <c r="Q88" i="5"/>
  <c r="C89" i="5"/>
  <c r="I89" i="9" s="1"/>
  <c r="D89" i="5"/>
  <c r="E89" i="5"/>
  <c r="H89" i="5"/>
  <c r="I89" i="5" s="1"/>
  <c r="J89" i="5"/>
  <c r="L89" i="5"/>
  <c r="M89" i="5" s="1"/>
  <c r="N89" i="5"/>
  <c r="O89" i="5"/>
  <c r="P89" i="5"/>
  <c r="Q89" i="5" s="1"/>
  <c r="R89" i="5"/>
  <c r="C90" i="5"/>
  <c r="D90" i="5"/>
  <c r="E90" i="5"/>
  <c r="H90" i="5"/>
  <c r="L90" i="5"/>
  <c r="M90" i="5"/>
  <c r="P90" i="5"/>
  <c r="R90" i="5" s="1"/>
  <c r="S90" i="5" s="1"/>
  <c r="Q90" i="5"/>
  <c r="C91" i="5"/>
  <c r="D91" i="5"/>
  <c r="H91" i="5"/>
  <c r="L91" i="5"/>
  <c r="M91" i="5"/>
  <c r="N91" i="5"/>
  <c r="O91" i="5" s="1"/>
  <c r="P91" i="5"/>
  <c r="Q91" i="5" s="1"/>
  <c r="C92" i="5"/>
  <c r="I92" i="9" s="1"/>
  <c r="D92" i="5"/>
  <c r="E92" i="5"/>
  <c r="H92" i="5"/>
  <c r="I92" i="5"/>
  <c r="J92" i="5"/>
  <c r="L92" i="5"/>
  <c r="P92" i="5"/>
  <c r="Q92" i="5"/>
  <c r="R92" i="5"/>
  <c r="S92" i="5" s="1"/>
  <c r="C93" i="5"/>
  <c r="D93" i="5"/>
  <c r="E93" i="5" s="1"/>
  <c r="H93" i="5"/>
  <c r="I93" i="5"/>
  <c r="J93" i="5"/>
  <c r="L93" i="5"/>
  <c r="M93" i="5" s="1"/>
  <c r="N93" i="5"/>
  <c r="P93" i="5"/>
  <c r="Q93" i="5" s="1"/>
  <c r="R93" i="5"/>
  <c r="C94" i="5"/>
  <c r="I94" i="9" s="1"/>
  <c r="D94" i="5"/>
  <c r="E94" i="5"/>
  <c r="H94" i="5"/>
  <c r="I94" i="5"/>
  <c r="J94" i="5"/>
  <c r="K94" i="5" s="1"/>
  <c r="L94" i="5"/>
  <c r="P94" i="5"/>
  <c r="Q94" i="5"/>
  <c r="C95" i="5"/>
  <c r="D95" i="5"/>
  <c r="H95" i="5"/>
  <c r="L95" i="5"/>
  <c r="P95" i="5"/>
  <c r="Q95" i="5"/>
  <c r="R95" i="5"/>
  <c r="S95" i="5" s="1"/>
  <c r="C96" i="5"/>
  <c r="I96" i="9" s="1"/>
  <c r="D96" i="5"/>
  <c r="E96" i="5" s="1"/>
  <c r="H96" i="5"/>
  <c r="I96" i="5"/>
  <c r="J96" i="5"/>
  <c r="K96" i="5"/>
  <c r="L96" i="5"/>
  <c r="M96" i="5"/>
  <c r="N96" i="5"/>
  <c r="O96" i="5"/>
  <c r="P96" i="5"/>
  <c r="C97" i="5"/>
  <c r="D97" i="5"/>
  <c r="E97" i="5"/>
  <c r="H97" i="5"/>
  <c r="I97" i="5" s="1"/>
  <c r="L97" i="5"/>
  <c r="O97" i="5" s="1"/>
  <c r="M97" i="5"/>
  <c r="N97" i="5"/>
  <c r="P97" i="5"/>
  <c r="Q97" i="5" s="1"/>
  <c r="R97" i="5"/>
  <c r="C98" i="5"/>
  <c r="D98" i="5"/>
  <c r="E98" i="5"/>
  <c r="H98" i="5"/>
  <c r="J98" i="5" s="1"/>
  <c r="I98" i="5"/>
  <c r="L98" i="5"/>
  <c r="M98" i="5" s="1"/>
  <c r="P98" i="5"/>
  <c r="C99" i="5"/>
  <c r="I99" i="9" s="1"/>
  <c r="D99" i="5"/>
  <c r="H99" i="5"/>
  <c r="J99" i="5"/>
  <c r="L99" i="5"/>
  <c r="M99" i="5" s="1"/>
  <c r="P99" i="5"/>
  <c r="Q99" i="5" s="1"/>
  <c r="C100" i="5"/>
  <c r="I100" i="9" s="1"/>
  <c r="D100" i="5"/>
  <c r="E100" i="5"/>
  <c r="H100" i="5"/>
  <c r="I100" i="5" s="1"/>
  <c r="J100" i="5"/>
  <c r="L100" i="5"/>
  <c r="M100" i="5"/>
  <c r="N100" i="5"/>
  <c r="O100" i="5"/>
  <c r="P100" i="5"/>
  <c r="Q100" i="5"/>
  <c r="R100" i="5"/>
  <c r="C101" i="5"/>
  <c r="I101" i="9" s="1"/>
  <c r="D101" i="5"/>
  <c r="E101" i="5" s="1"/>
  <c r="H101" i="5"/>
  <c r="L101" i="5"/>
  <c r="M101" i="5"/>
  <c r="P101" i="5"/>
  <c r="Q101" i="5"/>
  <c r="R101" i="5"/>
  <c r="C102" i="5"/>
  <c r="I102" i="9" s="1"/>
  <c r="D102" i="5"/>
  <c r="E102" i="5"/>
  <c r="H102" i="5"/>
  <c r="I102" i="5"/>
  <c r="J102" i="5"/>
  <c r="K102" i="5" s="1"/>
  <c r="L102" i="5"/>
  <c r="N102" i="5" s="1"/>
  <c r="O102" i="5" s="1"/>
  <c r="M102" i="5"/>
  <c r="P102" i="5"/>
  <c r="Q102" i="5"/>
  <c r="R102" i="5"/>
  <c r="S102" i="5"/>
  <c r="C103" i="5"/>
  <c r="D103" i="5"/>
  <c r="E103" i="5" s="1"/>
  <c r="H103" i="5"/>
  <c r="L103" i="5"/>
  <c r="N103" i="5" s="1"/>
  <c r="P103" i="5"/>
  <c r="Q103" i="5"/>
  <c r="C104" i="5"/>
  <c r="I104" i="9" s="1"/>
  <c r="D104" i="5"/>
  <c r="E104" i="5"/>
  <c r="H104" i="5"/>
  <c r="J104" i="5" s="1"/>
  <c r="I104" i="5"/>
  <c r="L104" i="5"/>
  <c r="M104" i="5" s="1"/>
  <c r="N104" i="5"/>
  <c r="O104" i="5" s="1"/>
  <c r="P104" i="5"/>
  <c r="Q104" i="5"/>
  <c r="R104" i="5"/>
  <c r="S104" i="5"/>
  <c r="C105" i="5"/>
  <c r="I105" i="9" s="1"/>
  <c r="D105" i="5"/>
  <c r="E105" i="5" s="1"/>
  <c r="H105" i="5"/>
  <c r="I105" i="5" s="1"/>
  <c r="J105" i="5"/>
  <c r="L105" i="5"/>
  <c r="M105" i="5"/>
  <c r="N105" i="5"/>
  <c r="O105" i="5" s="1"/>
  <c r="P105" i="5"/>
  <c r="Q105" i="5" s="1"/>
  <c r="C106" i="5"/>
  <c r="I106" i="9" s="1"/>
  <c r="D106" i="5"/>
  <c r="E106" i="5"/>
  <c r="H106" i="5"/>
  <c r="J106" i="5" s="1"/>
  <c r="I106" i="5"/>
  <c r="K106" i="5"/>
  <c r="L106" i="5"/>
  <c r="M106" i="5"/>
  <c r="N106" i="5"/>
  <c r="O106" i="5" s="1"/>
  <c r="P106" i="5"/>
  <c r="R106" i="5" s="1"/>
  <c r="Q106" i="5"/>
  <c r="S106" i="5"/>
  <c r="C107" i="5"/>
  <c r="D107" i="5"/>
  <c r="E107" i="5"/>
  <c r="H107" i="5"/>
  <c r="I107" i="5" s="1"/>
  <c r="L107" i="5"/>
  <c r="P107" i="5"/>
  <c r="R107" i="5" s="1"/>
  <c r="C108" i="5"/>
  <c r="S108" i="5" s="1"/>
  <c r="D108" i="5"/>
  <c r="H108" i="5"/>
  <c r="I108" i="5"/>
  <c r="J108" i="5"/>
  <c r="K108" i="5" s="1"/>
  <c r="L108" i="5"/>
  <c r="M108" i="5" s="1"/>
  <c r="P108" i="5"/>
  <c r="Q108" i="5" s="1"/>
  <c r="R108" i="5"/>
  <c r="C109" i="5"/>
  <c r="D109" i="5"/>
  <c r="E109" i="5" s="1"/>
  <c r="H109" i="5"/>
  <c r="L109" i="5"/>
  <c r="M109" i="5" s="1"/>
  <c r="N109" i="5"/>
  <c r="P109" i="5"/>
  <c r="R109" i="5" s="1"/>
  <c r="S109" i="5" s="1"/>
  <c r="Q109" i="5"/>
  <c r="C110" i="5"/>
  <c r="D110" i="5"/>
  <c r="H110" i="5"/>
  <c r="I110" i="5"/>
  <c r="L110" i="5"/>
  <c r="N110" i="5" s="1"/>
  <c r="M110" i="5"/>
  <c r="O110" i="5"/>
  <c r="P110" i="5"/>
  <c r="Q110" i="5"/>
  <c r="R110" i="5"/>
  <c r="S110" i="5" s="1"/>
  <c r="C111" i="5"/>
  <c r="D111" i="5"/>
  <c r="E111" i="5" s="1"/>
  <c r="H111" i="5"/>
  <c r="J111" i="5" s="1"/>
  <c r="I111" i="5"/>
  <c r="L111" i="5"/>
  <c r="M111" i="5" s="1"/>
  <c r="P111" i="5"/>
  <c r="C112" i="5"/>
  <c r="D112" i="5"/>
  <c r="E112" i="5"/>
  <c r="H112" i="5"/>
  <c r="L112" i="5"/>
  <c r="M112" i="5"/>
  <c r="N112" i="5"/>
  <c r="O112" i="5"/>
  <c r="P112" i="5"/>
  <c r="Q112" i="5" s="1"/>
  <c r="C113" i="5"/>
  <c r="D113" i="5"/>
  <c r="E113" i="5"/>
  <c r="H113" i="5"/>
  <c r="I113" i="5" s="1"/>
  <c r="J113" i="5"/>
  <c r="L113" i="5"/>
  <c r="M113" i="5" s="1"/>
  <c r="P113" i="5"/>
  <c r="Q113" i="5" s="1"/>
  <c r="R113" i="5"/>
  <c r="C114" i="5"/>
  <c r="D114" i="5"/>
  <c r="E114" i="5"/>
  <c r="H114" i="5"/>
  <c r="L114" i="5"/>
  <c r="M114" i="5"/>
  <c r="P114" i="5"/>
  <c r="R114" i="5" s="1"/>
  <c r="Q114" i="5"/>
  <c r="S114" i="5"/>
  <c r="C115" i="5"/>
  <c r="D115" i="5"/>
  <c r="E115" i="5" s="1"/>
  <c r="H115" i="5"/>
  <c r="I115" i="5" s="1"/>
  <c r="J115" i="5"/>
  <c r="K115" i="5"/>
  <c r="L115" i="5"/>
  <c r="P115" i="5"/>
  <c r="Q115" i="5" s="1"/>
  <c r="C116" i="5"/>
  <c r="K116" i="5" s="1"/>
  <c r="D116" i="5"/>
  <c r="E116" i="5"/>
  <c r="H116" i="5"/>
  <c r="I116" i="5"/>
  <c r="J116" i="5"/>
  <c r="L116" i="5"/>
  <c r="N116" i="5" s="1"/>
  <c r="M116" i="5"/>
  <c r="O116" i="5"/>
  <c r="P116" i="5"/>
  <c r="Q116" i="5"/>
  <c r="R116" i="5"/>
  <c r="C117" i="5"/>
  <c r="D117" i="5"/>
  <c r="E117" i="5"/>
  <c r="H117" i="5"/>
  <c r="K117" i="5" s="1"/>
  <c r="I117" i="5"/>
  <c r="J117" i="5"/>
  <c r="L117" i="5"/>
  <c r="M117" i="5" s="1"/>
  <c r="N117" i="5"/>
  <c r="P117" i="5"/>
  <c r="Q117" i="5" s="1"/>
  <c r="R117" i="5"/>
  <c r="C118" i="5"/>
  <c r="D118" i="5"/>
  <c r="E118" i="5"/>
  <c r="H118" i="5"/>
  <c r="I118" i="5" s="1"/>
  <c r="L118" i="5"/>
  <c r="P118" i="5"/>
  <c r="Q118" i="5"/>
  <c r="C119" i="5"/>
  <c r="D119" i="5"/>
  <c r="H119" i="5"/>
  <c r="I119" i="5" s="1"/>
  <c r="J119" i="5"/>
  <c r="L119" i="5"/>
  <c r="M119" i="5" s="1"/>
  <c r="P119" i="5"/>
  <c r="S119" i="5" s="1"/>
  <c r="Q119" i="5"/>
  <c r="R119" i="5"/>
  <c r="C120" i="5"/>
  <c r="I120" i="9" s="1"/>
  <c r="D120" i="5"/>
  <c r="E120" i="5" s="1"/>
  <c r="H120" i="5"/>
  <c r="I120" i="5"/>
  <c r="J120" i="5"/>
  <c r="K120" i="5"/>
  <c r="L120" i="5"/>
  <c r="M120" i="5"/>
  <c r="N120" i="5"/>
  <c r="O120" i="5"/>
  <c r="P120" i="5"/>
  <c r="R120" i="5" s="1"/>
  <c r="Q120" i="5"/>
  <c r="S120" i="5"/>
  <c r="C121" i="5"/>
  <c r="I121" i="9" s="1"/>
  <c r="D121" i="5"/>
  <c r="H121" i="5"/>
  <c r="I121" i="5"/>
  <c r="L121" i="5"/>
  <c r="M121" i="5"/>
  <c r="N121" i="5"/>
  <c r="P121" i="5"/>
  <c r="Q121" i="5" s="1"/>
  <c r="R121" i="5"/>
  <c r="C122" i="5"/>
  <c r="D122" i="5"/>
  <c r="E122" i="5"/>
  <c r="H122" i="5"/>
  <c r="J122" i="5" s="1"/>
  <c r="K122" i="5" s="1"/>
  <c r="I122" i="5"/>
  <c r="L122" i="5"/>
  <c r="M122" i="5"/>
  <c r="N122" i="5"/>
  <c r="O122" i="5"/>
  <c r="P122" i="5"/>
  <c r="C123" i="5"/>
  <c r="D123" i="5"/>
  <c r="H123" i="5"/>
  <c r="J123" i="5" s="1"/>
  <c r="L123" i="5"/>
  <c r="M123" i="5"/>
  <c r="N123" i="5"/>
  <c r="P123" i="5"/>
  <c r="Q123" i="5" s="1"/>
  <c r="R123" i="5"/>
  <c r="C124" i="5"/>
  <c r="O124" i="5" s="1"/>
  <c r="D124" i="5"/>
  <c r="E124" i="5"/>
  <c r="H124" i="5"/>
  <c r="I124" i="5" s="1"/>
  <c r="J124" i="5"/>
  <c r="K124" i="5" s="1"/>
  <c r="L124" i="5"/>
  <c r="M124" i="5"/>
  <c r="N124" i="5"/>
  <c r="P124" i="5"/>
  <c r="Q124" i="5"/>
  <c r="R124" i="5"/>
  <c r="S124" i="5"/>
  <c r="C125" i="5"/>
  <c r="I125" i="9" s="1"/>
  <c r="D125" i="5"/>
  <c r="H125" i="5"/>
  <c r="K125" i="5" s="1"/>
  <c r="I125" i="5"/>
  <c r="J125" i="5"/>
  <c r="L125" i="5"/>
  <c r="M125" i="5" s="1"/>
  <c r="P125" i="5"/>
  <c r="Q125" i="5"/>
  <c r="R125" i="5"/>
  <c r="C126" i="5"/>
  <c r="I126" i="9" s="1"/>
  <c r="D126" i="5"/>
  <c r="E126" i="5"/>
  <c r="H126" i="5"/>
  <c r="I126" i="5"/>
  <c r="J126" i="5"/>
  <c r="K126" i="5"/>
  <c r="L126" i="5"/>
  <c r="N126" i="5" s="1"/>
  <c r="M126" i="5"/>
  <c r="O126" i="5"/>
  <c r="P126" i="5"/>
  <c r="C127" i="5"/>
  <c r="D127" i="5"/>
  <c r="E127" i="5" s="1"/>
  <c r="H127" i="5"/>
  <c r="L127" i="5"/>
  <c r="N127" i="5" s="1"/>
  <c r="P127" i="5"/>
  <c r="Q127" i="5" s="1"/>
  <c r="C128" i="5"/>
  <c r="D128" i="5"/>
  <c r="E128" i="5"/>
  <c r="H128" i="5"/>
  <c r="I128" i="5" s="1"/>
  <c r="L128" i="5"/>
  <c r="M128" i="5" s="1"/>
  <c r="N128" i="5"/>
  <c r="O128" i="5"/>
  <c r="P128" i="5"/>
  <c r="Q128" i="5"/>
  <c r="R128" i="5"/>
  <c r="C129" i="5"/>
  <c r="D129" i="5"/>
  <c r="E129" i="5" s="1"/>
  <c r="H129" i="5"/>
  <c r="J129" i="5" s="1"/>
  <c r="L129" i="5"/>
  <c r="M129" i="5" s="1"/>
  <c r="P129" i="5"/>
  <c r="Q129" i="5"/>
  <c r="C130" i="5"/>
  <c r="D130" i="5"/>
  <c r="E130" i="5"/>
  <c r="H130" i="5"/>
  <c r="J130" i="5" s="1"/>
  <c r="I130" i="5"/>
  <c r="K130" i="5"/>
  <c r="L130" i="5"/>
  <c r="M130" i="5"/>
  <c r="N130" i="5"/>
  <c r="O130" i="5" s="1"/>
  <c r="P130" i="5"/>
  <c r="R130" i="5" s="1"/>
  <c r="S130" i="5" s="1"/>
  <c r="Q130" i="5"/>
  <c r="C131" i="5"/>
  <c r="D131" i="5"/>
  <c r="E131" i="5" s="1"/>
  <c r="H131" i="5"/>
  <c r="I131" i="5" s="1"/>
  <c r="L131" i="5"/>
  <c r="P131" i="5"/>
  <c r="R131" i="5" s="1"/>
  <c r="C132" i="5"/>
  <c r="D132" i="5"/>
  <c r="E132" i="5" s="1"/>
  <c r="H132" i="5"/>
  <c r="I132" i="5"/>
  <c r="J132" i="5"/>
  <c r="K132" i="5"/>
  <c r="L132" i="5"/>
  <c r="M132" i="5"/>
  <c r="P132" i="5"/>
  <c r="Q132" i="5" s="1"/>
  <c r="R132" i="5"/>
  <c r="C133" i="5"/>
  <c r="D133" i="5"/>
  <c r="E133" i="5" s="1"/>
  <c r="H133" i="5"/>
  <c r="I133" i="5" s="1"/>
  <c r="L133" i="5"/>
  <c r="N133" i="5"/>
  <c r="P133" i="5"/>
  <c r="Q133" i="5" s="1"/>
  <c r="R133" i="5"/>
  <c r="S133" i="5" s="1"/>
  <c r="C134" i="5"/>
  <c r="D134" i="5"/>
  <c r="H134" i="5"/>
  <c r="I134" i="5"/>
  <c r="L134" i="5"/>
  <c r="N134" i="5" s="1"/>
  <c r="M134" i="5"/>
  <c r="O134" i="5"/>
  <c r="P134" i="5"/>
  <c r="Q134" i="5"/>
  <c r="R134" i="5"/>
  <c r="S134" i="5" s="1"/>
  <c r="C135" i="5"/>
  <c r="D135" i="5"/>
  <c r="E135" i="5" s="1"/>
  <c r="H135" i="5"/>
  <c r="I135" i="5" s="1"/>
  <c r="J135" i="5"/>
  <c r="L135" i="5"/>
  <c r="M135" i="5" s="1"/>
  <c r="P135" i="5"/>
  <c r="C136" i="5"/>
  <c r="I136" i="9" s="1"/>
  <c r="D136" i="5"/>
  <c r="E136" i="5"/>
  <c r="H136" i="5"/>
  <c r="J136" i="5" s="1"/>
  <c r="I136" i="5"/>
  <c r="K136" i="5"/>
  <c r="L136" i="5"/>
  <c r="M136" i="5"/>
  <c r="N136" i="5"/>
  <c r="O136" i="5" s="1"/>
  <c r="P136" i="5"/>
  <c r="Q136" i="5" s="1"/>
  <c r="C137" i="5"/>
  <c r="D137" i="5"/>
  <c r="E137" i="5"/>
  <c r="H137" i="5"/>
  <c r="I137" i="5" s="1"/>
  <c r="J137" i="5"/>
  <c r="L137" i="5"/>
  <c r="M137" i="5" s="1"/>
  <c r="N137" i="5"/>
  <c r="O137" i="5"/>
  <c r="P137" i="5"/>
  <c r="R137" i="5"/>
  <c r="C138" i="5"/>
  <c r="D138" i="5"/>
  <c r="E138" i="5"/>
  <c r="H138" i="5"/>
  <c r="L138" i="5"/>
  <c r="M138" i="5"/>
  <c r="P138" i="5"/>
  <c r="R138" i="5" s="1"/>
  <c r="S138" i="5" s="1"/>
  <c r="Q138" i="5"/>
  <c r="C139" i="5"/>
  <c r="D139" i="5"/>
  <c r="E139" i="5"/>
  <c r="H139" i="5"/>
  <c r="I139" i="5" s="1"/>
  <c r="J139" i="5"/>
  <c r="L139" i="5"/>
  <c r="M139" i="5" s="1"/>
  <c r="P139" i="5"/>
  <c r="Q139" i="5" s="1"/>
  <c r="C140" i="5"/>
  <c r="I140" i="9" s="1"/>
  <c r="D140" i="5"/>
  <c r="E140" i="5"/>
  <c r="H140" i="5"/>
  <c r="I140" i="5"/>
  <c r="J140" i="5"/>
  <c r="K140" i="5"/>
  <c r="L140" i="5"/>
  <c r="P140" i="5"/>
  <c r="Q140" i="5"/>
  <c r="R140" i="5"/>
  <c r="C141" i="5"/>
  <c r="I141" i="9" s="1"/>
  <c r="D141" i="5"/>
  <c r="E141" i="5" s="1"/>
  <c r="H141" i="5"/>
  <c r="K141" i="5" s="1"/>
  <c r="I141" i="5"/>
  <c r="J141" i="5"/>
  <c r="L141" i="5"/>
  <c r="M141" i="5" s="1"/>
  <c r="N141" i="5"/>
  <c r="P141" i="5"/>
  <c r="Q141" i="5" s="1"/>
  <c r="C142" i="5"/>
  <c r="I142" i="9" s="1"/>
  <c r="D142" i="5"/>
  <c r="E142" i="5"/>
  <c r="H142" i="5"/>
  <c r="J142" i="5"/>
  <c r="L142" i="5"/>
  <c r="P142" i="5"/>
  <c r="Q142" i="5"/>
  <c r="C143" i="5"/>
  <c r="D143" i="5"/>
  <c r="H143" i="5"/>
  <c r="I143" i="5" s="1"/>
  <c r="J143" i="5"/>
  <c r="L143" i="5"/>
  <c r="M143" i="5" s="1"/>
  <c r="N143" i="5"/>
  <c r="O143" i="5"/>
  <c r="P143" i="5"/>
  <c r="Q143" i="5"/>
  <c r="R143" i="5"/>
  <c r="S143" i="5" s="1"/>
  <c r="C144" i="5"/>
  <c r="I144" i="9" s="1"/>
  <c r="D144" i="5"/>
  <c r="E144" i="5"/>
  <c r="H144" i="5"/>
  <c r="I144" i="5"/>
  <c r="J144" i="5"/>
  <c r="K144" i="5"/>
  <c r="L144" i="5"/>
  <c r="M144" i="5"/>
  <c r="N144" i="5"/>
  <c r="O144" i="5"/>
  <c r="P144" i="5"/>
  <c r="R144" i="5" s="1"/>
  <c r="Q144" i="5"/>
  <c r="C145" i="5"/>
  <c r="D145" i="5"/>
  <c r="E145" i="5" s="1"/>
  <c r="H145" i="5"/>
  <c r="I145" i="5" s="1"/>
  <c r="L145" i="5"/>
  <c r="O145" i="5" s="1"/>
  <c r="M145" i="5"/>
  <c r="N145" i="5"/>
  <c r="P145" i="5"/>
  <c r="Q145" i="5" s="1"/>
  <c r="R145" i="5"/>
  <c r="C146" i="5"/>
  <c r="I146" i="9" s="1"/>
  <c r="D146" i="5"/>
  <c r="E146" i="5"/>
  <c r="H146" i="5"/>
  <c r="J146" i="5" s="1"/>
  <c r="I146" i="5"/>
  <c r="L146" i="5"/>
  <c r="M146" i="5" s="1"/>
  <c r="N146" i="5"/>
  <c r="P146" i="5"/>
  <c r="C147" i="5"/>
  <c r="D147" i="5"/>
  <c r="H147" i="5"/>
  <c r="J147" i="5" s="1"/>
  <c r="L147" i="5"/>
  <c r="M147" i="5" s="1"/>
  <c r="P147" i="5"/>
  <c r="Q147" i="5" s="1"/>
  <c r="C148" i="5"/>
  <c r="I148" i="9" s="1"/>
  <c r="D148" i="5"/>
  <c r="E148" i="5" s="1"/>
  <c r="H148" i="5"/>
  <c r="I148" i="5"/>
  <c r="J148" i="5"/>
  <c r="L148" i="5"/>
  <c r="M148" i="5"/>
  <c r="N148" i="5"/>
  <c r="P148" i="5"/>
  <c r="Q148" i="5"/>
  <c r="R148" i="5"/>
  <c r="C149" i="5"/>
  <c r="D149" i="5"/>
  <c r="H149" i="5"/>
  <c r="I149" i="5" s="1"/>
  <c r="L149" i="5"/>
  <c r="M149" i="5"/>
  <c r="P149" i="5"/>
  <c r="Q149" i="5"/>
  <c r="R149" i="5"/>
  <c r="C150" i="5"/>
  <c r="I150" i="9" s="1"/>
  <c r="D150" i="5"/>
  <c r="E150" i="5"/>
  <c r="H150" i="5"/>
  <c r="J150" i="5" s="1"/>
  <c r="K150" i="5" s="1"/>
  <c r="I150" i="5"/>
  <c r="L150" i="5"/>
  <c r="N150" i="5" s="1"/>
  <c r="M150" i="5"/>
  <c r="O150" i="5"/>
  <c r="P150" i="5"/>
  <c r="Q150" i="5" s="1"/>
  <c r="C151" i="5"/>
  <c r="D151" i="5"/>
  <c r="E151" i="5" s="1"/>
  <c r="H151" i="5"/>
  <c r="L151" i="5"/>
  <c r="M151" i="5" s="1"/>
  <c r="N151" i="5"/>
  <c r="O151" i="5"/>
  <c r="P151" i="5"/>
  <c r="Q151" i="5"/>
  <c r="C152" i="5"/>
  <c r="I152" i="9" s="1"/>
  <c r="D152" i="5"/>
  <c r="E152" i="5"/>
  <c r="H152" i="5"/>
  <c r="J152" i="5" s="1"/>
  <c r="K152" i="5" s="1"/>
  <c r="I152" i="5"/>
  <c r="L152" i="5"/>
  <c r="M152" i="5"/>
  <c r="N152" i="5"/>
  <c r="O152" i="5" s="1"/>
  <c r="P152" i="5"/>
  <c r="Q152" i="5"/>
  <c r="R152" i="5"/>
  <c r="C153" i="5"/>
  <c r="D153" i="5"/>
  <c r="E153" i="5"/>
  <c r="H153" i="5"/>
  <c r="L153" i="5"/>
  <c r="M153" i="5" s="1"/>
  <c r="P153" i="5"/>
  <c r="Q153" i="5" s="1"/>
  <c r="R153" i="5"/>
  <c r="C154" i="5"/>
  <c r="D154" i="5"/>
  <c r="E154" i="5" s="1"/>
  <c r="H154" i="5"/>
  <c r="J154" i="5" s="1"/>
  <c r="K154" i="5" s="1"/>
  <c r="I154" i="5"/>
  <c r="L154" i="5"/>
  <c r="M154" i="5" s="1"/>
  <c r="P154" i="5"/>
  <c r="R154" i="5" s="1"/>
  <c r="Q154" i="5"/>
  <c r="S154" i="5"/>
  <c r="C155" i="5"/>
  <c r="D155" i="5"/>
  <c r="E155" i="5"/>
  <c r="H155" i="5"/>
  <c r="L155" i="5"/>
  <c r="P155" i="5"/>
  <c r="Q155" i="5" s="1"/>
  <c r="C156" i="5"/>
  <c r="I156" i="9" s="1"/>
  <c r="D156" i="5"/>
  <c r="E156" i="5" s="1"/>
  <c r="H156" i="5"/>
  <c r="I156" i="5"/>
  <c r="J156" i="5"/>
  <c r="K156" i="5" s="1"/>
  <c r="L156" i="5"/>
  <c r="N156" i="5" s="1"/>
  <c r="M156" i="5"/>
  <c r="P156" i="5"/>
  <c r="Q156" i="5" s="1"/>
  <c r="R156" i="5"/>
  <c r="S156" i="5" s="1"/>
  <c r="C157" i="5"/>
  <c r="D157" i="5"/>
  <c r="E157" i="5" s="1"/>
  <c r="H157" i="5"/>
  <c r="I157" i="5" s="1"/>
  <c r="J157" i="5"/>
  <c r="K157" i="5"/>
  <c r="L157" i="5"/>
  <c r="N157" i="5"/>
  <c r="P157" i="5"/>
  <c r="Q157" i="5"/>
  <c r="R157" i="5"/>
  <c r="S157" i="5"/>
  <c r="C158" i="5"/>
  <c r="D158" i="5"/>
  <c r="E158" i="5"/>
  <c r="H158" i="5"/>
  <c r="I158" i="5" s="1"/>
  <c r="L158" i="5"/>
  <c r="N158" i="5" s="1"/>
  <c r="O158" i="5" s="1"/>
  <c r="M158" i="5"/>
  <c r="P158" i="5"/>
  <c r="Q158" i="5"/>
  <c r="R158" i="5"/>
  <c r="S158" i="5"/>
  <c r="C159" i="5"/>
  <c r="I159" i="9" s="1"/>
  <c r="D159" i="5"/>
  <c r="E159" i="5" s="1"/>
  <c r="H159" i="5"/>
  <c r="J159" i="5" s="1"/>
  <c r="K159" i="5" s="1"/>
  <c r="I159" i="5"/>
  <c r="L159" i="5"/>
  <c r="P159" i="5"/>
  <c r="C160" i="5"/>
  <c r="D160" i="5"/>
  <c r="E160" i="5"/>
  <c r="H160" i="5"/>
  <c r="J160" i="5" s="1"/>
  <c r="I160" i="5"/>
  <c r="L160" i="5"/>
  <c r="M160" i="5"/>
  <c r="N160" i="5"/>
  <c r="O160" i="5" s="1"/>
  <c r="P160" i="5"/>
  <c r="C161" i="5"/>
  <c r="I161" i="9" s="1"/>
  <c r="D161" i="5"/>
  <c r="E161" i="5"/>
  <c r="H161" i="5"/>
  <c r="I161" i="5" s="1"/>
  <c r="J161" i="5"/>
  <c r="L161" i="5"/>
  <c r="M161" i="5" s="1"/>
  <c r="P161" i="5"/>
  <c r="R161" i="5"/>
  <c r="C162" i="5"/>
  <c r="I162" i="9" s="1"/>
  <c r="D162" i="5"/>
  <c r="E162" i="5" s="1"/>
  <c r="H162" i="5"/>
  <c r="I162" i="5"/>
  <c r="L162" i="5"/>
  <c r="M162" i="5"/>
  <c r="P162" i="5"/>
  <c r="R162" i="5" s="1"/>
  <c r="S162" i="5" s="1"/>
  <c r="Q162" i="5"/>
  <c r="C163" i="5"/>
  <c r="D163" i="5"/>
  <c r="E163" i="5"/>
  <c r="H163" i="5"/>
  <c r="I163" i="5" s="1"/>
  <c r="L163" i="5"/>
  <c r="M163" i="5" s="1"/>
  <c r="P163" i="5"/>
  <c r="C164" i="5"/>
  <c r="D164" i="5"/>
  <c r="E164" i="5"/>
  <c r="H164" i="5"/>
  <c r="I164" i="5"/>
  <c r="J164" i="5"/>
  <c r="K164" i="5"/>
  <c r="L164" i="5"/>
  <c r="N164" i="5" s="1"/>
  <c r="P164" i="5"/>
  <c r="Q164" i="5"/>
  <c r="R164" i="5"/>
  <c r="S164" i="5" s="1"/>
  <c r="C165" i="5"/>
  <c r="D165" i="5"/>
  <c r="E165" i="5"/>
  <c r="H165" i="5"/>
  <c r="I165" i="5"/>
  <c r="J165" i="5"/>
  <c r="L165" i="5"/>
  <c r="M165" i="5" s="1"/>
  <c r="N165" i="5"/>
  <c r="P165" i="5"/>
  <c r="Q165" i="5" s="1"/>
  <c r="C166" i="5"/>
  <c r="I166" i="9" s="1"/>
  <c r="D166" i="5"/>
  <c r="E166" i="5"/>
  <c r="H166" i="5"/>
  <c r="I166" i="5" s="1"/>
  <c r="L166" i="5"/>
  <c r="M166" i="5"/>
  <c r="P166" i="5"/>
  <c r="Q166" i="5"/>
  <c r="C167" i="5"/>
  <c r="D167" i="5"/>
  <c r="E167" i="5" s="1"/>
  <c r="H167" i="5"/>
  <c r="I167" i="5" s="1"/>
  <c r="J167" i="5"/>
  <c r="L167" i="5"/>
  <c r="M167" i="5" s="1"/>
  <c r="P167" i="5"/>
  <c r="Q167" i="5"/>
  <c r="R167" i="5"/>
  <c r="S167" i="5"/>
  <c r="C168" i="5"/>
  <c r="I168" i="9" s="1"/>
  <c r="D168" i="5"/>
  <c r="E168" i="5"/>
  <c r="H168" i="5"/>
  <c r="I168" i="5"/>
  <c r="J168" i="5"/>
  <c r="L168" i="5"/>
  <c r="M168" i="5"/>
  <c r="N168" i="5"/>
  <c r="O168" i="5" s="1"/>
  <c r="P168" i="5"/>
  <c r="R168" i="5" s="1"/>
  <c r="C169" i="5"/>
  <c r="D169" i="5"/>
  <c r="E169" i="5" s="1"/>
  <c r="H169" i="5"/>
  <c r="I169" i="5"/>
  <c r="J169" i="5"/>
  <c r="L169" i="5"/>
  <c r="O169" i="5" s="1"/>
  <c r="M169" i="5"/>
  <c r="N169" i="5"/>
  <c r="P169" i="5"/>
  <c r="Q169" i="5" s="1"/>
  <c r="R169" i="5"/>
  <c r="C170" i="5"/>
  <c r="D170" i="5"/>
  <c r="E170" i="5"/>
  <c r="H170" i="5"/>
  <c r="J170" i="5" s="1"/>
  <c r="I170" i="5"/>
  <c r="K170" i="5"/>
  <c r="L170" i="5"/>
  <c r="M170" i="5" s="1"/>
  <c r="P170" i="5"/>
  <c r="Q170" i="5" s="1"/>
  <c r="C171" i="5"/>
  <c r="I171" i="9" s="1"/>
  <c r="D171" i="5"/>
  <c r="H171" i="5"/>
  <c r="I171" i="5" s="1"/>
  <c r="J171" i="5"/>
  <c r="K171" i="5"/>
  <c r="L171" i="5"/>
  <c r="P171" i="5"/>
  <c r="Q171" i="5" s="1"/>
  <c r="R171" i="5"/>
  <c r="S171" i="5"/>
  <c r="C172" i="5"/>
  <c r="O172" i="5" s="1"/>
  <c r="D172" i="5"/>
  <c r="E172" i="5" s="1"/>
  <c r="H172" i="5"/>
  <c r="I172" i="5"/>
  <c r="J172" i="5"/>
  <c r="K172" i="5"/>
  <c r="L172" i="5"/>
  <c r="M172" i="5"/>
  <c r="N172" i="5"/>
  <c r="P172" i="5"/>
  <c r="Q172" i="5"/>
  <c r="R172" i="5"/>
  <c r="S172" i="5"/>
  <c r="C173" i="5"/>
  <c r="D173" i="5"/>
  <c r="E173" i="5" s="1"/>
  <c r="H173" i="5"/>
  <c r="I173" i="5"/>
  <c r="J173" i="5"/>
  <c r="L173" i="5"/>
  <c r="M173" i="5" s="1"/>
  <c r="N173" i="5"/>
  <c r="P173" i="5"/>
  <c r="Q173" i="5"/>
  <c r="R173" i="5"/>
  <c r="C174" i="5"/>
  <c r="I174" i="9" s="1"/>
  <c r="D174" i="5"/>
  <c r="E174" i="5"/>
  <c r="H174" i="5"/>
  <c r="I174" i="5" s="1"/>
  <c r="L174" i="5"/>
  <c r="N174" i="5" s="1"/>
  <c r="O174" i="5"/>
  <c r="P174" i="5"/>
  <c r="Q174" i="5" s="1"/>
  <c r="C175" i="5"/>
  <c r="D175" i="5"/>
  <c r="H175" i="5"/>
  <c r="J175" i="5" s="1"/>
  <c r="L175" i="5"/>
  <c r="M175" i="5" s="1"/>
  <c r="P175" i="5"/>
  <c r="Q175" i="5" s="1"/>
  <c r="R175" i="5"/>
  <c r="S175" i="5" s="1"/>
  <c r="C176" i="5"/>
  <c r="I176" i="9" s="1"/>
  <c r="D176" i="5"/>
  <c r="E176" i="5"/>
  <c r="H176" i="5"/>
  <c r="K176" i="5" s="1"/>
  <c r="J176" i="5"/>
  <c r="L176" i="5"/>
  <c r="M176" i="5"/>
  <c r="N176" i="5"/>
  <c r="P176" i="5"/>
  <c r="Q176" i="5"/>
  <c r="R176" i="5"/>
  <c r="C177" i="5"/>
  <c r="I177" i="9" s="1"/>
  <c r="D177" i="5"/>
  <c r="E177" i="5"/>
  <c r="H177" i="5"/>
  <c r="I177" i="5" s="1"/>
  <c r="L177" i="5"/>
  <c r="M177" i="5" s="1"/>
  <c r="P177" i="5"/>
  <c r="Q177" i="5" s="1"/>
  <c r="R177" i="5"/>
  <c r="C178" i="5"/>
  <c r="I178" i="9" s="1"/>
  <c r="D178" i="5"/>
  <c r="E178" i="5" s="1"/>
  <c r="H178" i="5"/>
  <c r="J178" i="5" s="1"/>
  <c r="K178" i="5" s="1"/>
  <c r="I178" i="5"/>
  <c r="L178" i="5"/>
  <c r="M178" i="5" s="1"/>
  <c r="N178" i="5"/>
  <c r="P178" i="5"/>
  <c r="R178" i="5" s="1"/>
  <c r="C179" i="5"/>
  <c r="D179" i="5"/>
  <c r="E179" i="5" s="1"/>
  <c r="H179" i="5"/>
  <c r="I179" i="5" s="1"/>
  <c r="J179" i="5"/>
  <c r="K179" i="5"/>
  <c r="L179" i="5"/>
  <c r="N179" i="5"/>
  <c r="P179" i="5"/>
  <c r="Q179" i="5" s="1"/>
  <c r="C180" i="5"/>
  <c r="I180" i="9" s="1"/>
  <c r="D180" i="5"/>
  <c r="E180" i="5"/>
  <c r="H180" i="5"/>
  <c r="I180" i="5"/>
  <c r="J180" i="5"/>
  <c r="K180" i="5"/>
  <c r="L180" i="5"/>
  <c r="M180" i="5" s="1"/>
  <c r="N180" i="5"/>
  <c r="O180" i="5" s="1"/>
  <c r="P180" i="5"/>
  <c r="Q180" i="5"/>
  <c r="R180" i="5"/>
  <c r="S180" i="5"/>
  <c r="C181" i="5"/>
  <c r="D181" i="5"/>
  <c r="H181" i="5"/>
  <c r="L181" i="5"/>
  <c r="M181" i="5"/>
  <c r="N181" i="5"/>
  <c r="P181" i="5"/>
  <c r="R181" i="5" s="1"/>
  <c r="S181" i="5" s="1"/>
  <c r="Q181" i="5"/>
  <c r="C182" i="5"/>
  <c r="D182" i="5"/>
  <c r="E182" i="5" s="1"/>
  <c r="H182" i="5"/>
  <c r="J182" i="5" s="1"/>
  <c r="L182" i="5"/>
  <c r="N182" i="5" s="1"/>
  <c r="O182" i="5" s="1"/>
  <c r="M182" i="5"/>
  <c r="P182" i="5"/>
  <c r="Q182" i="5"/>
  <c r="R182" i="5"/>
  <c r="S182" i="5"/>
  <c r="C183" i="5"/>
  <c r="D183" i="5"/>
  <c r="E183" i="5" s="1"/>
  <c r="H183" i="5"/>
  <c r="J183" i="5" s="1"/>
  <c r="K183" i="5" s="1"/>
  <c r="I183" i="5"/>
  <c r="L183" i="5"/>
  <c r="M183" i="5" s="1"/>
  <c r="N183" i="5"/>
  <c r="O183" i="5" s="1"/>
  <c r="P183" i="5"/>
  <c r="R183" i="5" s="1"/>
  <c r="C184" i="5"/>
  <c r="D184" i="5"/>
  <c r="E184" i="5"/>
  <c r="H184" i="5"/>
  <c r="I184" i="5"/>
  <c r="J184" i="5"/>
  <c r="K184" i="5"/>
  <c r="L184" i="5"/>
  <c r="M184" i="5"/>
  <c r="N184" i="5"/>
  <c r="O184" i="5" s="1"/>
  <c r="P184" i="5"/>
  <c r="Q184" i="5"/>
  <c r="R184" i="5"/>
  <c r="S184" i="5"/>
  <c r="C185" i="5"/>
  <c r="D185" i="5"/>
  <c r="E185" i="5" s="1"/>
  <c r="H185" i="5"/>
  <c r="J185" i="5"/>
  <c r="L185" i="5"/>
  <c r="M185" i="5" s="1"/>
  <c r="N185" i="5"/>
  <c r="O185" i="5" s="1"/>
  <c r="P185" i="5"/>
  <c r="Q185" i="5" s="1"/>
  <c r="C186" i="5"/>
  <c r="D186" i="5"/>
  <c r="E186" i="5"/>
  <c r="H186" i="5"/>
  <c r="J186" i="5" s="1"/>
  <c r="L186" i="5"/>
  <c r="N186" i="5" s="1"/>
  <c r="M186" i="5"/>
  <c r="O186" i="5"/>
  <c r="P186" i="5"/>
  <c r="R186" i="5" s="1"/>
  <c r="S186" i="5" s="1"/>
  <c r="Q186" i="5"/>
  <c r="C187" i="5"/>
  <c r="I187" i="9" s="1"/>
  <c r="D187" i="5"/>
  <c r="E187" i="5"/>
  <c r="H187" i="5"/>
  <c r="I187" i="5" s="1"/>
  <c r="L187" i="5"/>
  <c r="M187" i="5" s="1"/>
  <c r="P187" i="5"/>
  <c r="Q187" i="5" s="1"/>
  <c r="C188" i="5"/>
  <c r="K188" i="5" s="1"/>
  <c r="D188" i="5"/>
  <c r="E188" i="5"/>
  <c r="H188" i="5"/>
  <c r="I188" i="5"/>
  <c r="J188" i="5"/>
  <c r="L188" i="5"/>
  <c r="M188" i="5"/>
  <c r="N188" i="5"/>
  <c r="P188" i="5"/>
  <c r="Q188" i="5"/>
  <c r="R188" i="5"/>
  <c r="S188" i="5" s="1"/>
  <c r="C189" i="5"/>
  <c r="I189" i="9" s="1"/>
  <c r="D189" i="5"/>
  <c r="E189" i="5" s="1"/>
  <c r="H189" i="5"/>
  <c r="I189" i="5"/>
  <c r="J189" i="5"/>
  <c r="L189" i="5"/>
  <c r="P189" i="5"/>
  <c r="Q189" i="5" s="1"/>
  <c r="C190" i="5"/>
  <c r="D190" i="5"/>
  <c r="E190" i="5"/>
  <c r="H190" i="5"/>
  <c r="I190" i="5" s="1"/>
  <c r="L190" i="5"/>
  <c r="M190" i="5"/>
  <c r="N190" i="5"/>
  <c r="O190" i="5" s="1"/>
  <c r="P190" i="5"/>
  <c r="R190" i="5" s="1"/>
  <c r="C191" i="5"/>
  <c r="D191" i="5"/>
  <c r="E191" i="5" s="1"/>
  <c r="H191" i="5"/>
  <c r="I191" i="5" s="1"/>
  <c r="L191" i="5"/>
  <c r="M191" i="5" s="1"/>
  <c r="P191" i="5"/>
  <c r="Q191" i="5" s="1"/>
  <c r="R191" i="5"/>
  <c r="C192" i="5"/>
  <c r="I192" i="9" s="1"/>
  <c r="D192" i="5"/>
  <c r="E192" i="5" s="1"/>
  <c r="H192" i="5"/>
  <c r="I192" i="5"/>
  <c r="J192" i="5"/>
  <c r="L192" i="5"/>
  <c r="M192" i="5"/>
  <c r="N192" i="5"/>
  <c r="O192" i="5"/>
  <c r="P192" i="5"/>
  <c r="Q192" i="5" s="1"/>
  <c r="C193" i="5"/>
  <c r="I193" i="9" s="1"/>
  <c r="D193" i="5"/>
  <c r="E193" i="5" s="1"/>
  <c r="H193" i="5"/>
  <c r="I193" i="5" s="1"/>
  <c r="L193" i="5"/>
  <c r="M193" i="5"/>
  <c r="N193" i="5"/>
  <c r="P193" i="5"/>
  <c r="R193" i="5"/>
  <c r="C194" i="5"/>
  <c r="D194" i="5"/>
  <c r="E194" i="5"/>
  <c r="H194" i="5"/>
  <c r="L194" i="5"/>
  <c r="M194" i="5"/>
  <c r="N194" i="5"/>
  <c r="O194" i="5"/>
  <c r="P194" i="5"/>
  <c r="R194" i="5" s="1"/>
  <c r="S194" i="5" s="1"/>
  <c r="Q194" i="5"/>
  <c r="C195" i="5"/>
  <c r="D195" i="5"/>
  <c r="H195" i="5"/>
  <c r="I195" i="5" s="1"/>
  <c r="J195" i="5"/>
  <c r="K195" i="5" s="1"/>
  <c r="L195" i="5"/>
  <c r="M195" i="5" s="1"/>
  <c r="P195" i="5"/>
  <c r="Q195" i="5" s="1"/>
  <c r="R195" i="5"/>
  <c r="S195" i="5" s="1"/>
  <c r="C196" i="5"/>
  <c r="D196" i="5"/>
  <c r="E196" i="5" s="1"/>
  <c r="H196" i="5"/>
  <c r="I196" i="5" s="1"/>
  <c r="L196" i="5"/>
  <c r="M196" i="5"/>
  <c r="N196" i="5"/>
  <c r="P196" i="5"/>
  <c r="Q196" i="5"/>
  <c r="R196" i="5"/>
  <c r="C197" i="5"/>
  <c r="D197" i="5"/>
  <c r="E197" i="5" s="1"/>
  <c r="H197" i="5"/>
  <c r="I197" i="5"/>
  <c r="J197" i="5"/>
  <c r="K197" i="5"/>
  <c r="L197" i="5"/>
  <c r="M197" i="5" s="1"/>
  <c r="P197" i="5"/>
  <c r="Q197" i="5" s="1"/>
  <c r="C198" i="5"/>
  <c r="O198" i="5" s="1"/>
  <c r="D198" i="5"/>
  <c r="E198" i="5"/>
  <c r="H198" i="5"/>
  <c r="I198" i="5" s="1"/>
  <c r="L198" i="5"/>
  <c r="N198" i="5" s="1"/>
  <c r="P198" i="5"/>
  <c r="Q198" i="5"/>
  <c r="R198" i="5"/>
  <c r="S198" i="5"/>
  <c r="C199" i="5"/>
  <c r="D199" i="5"/>
  <c r="H199" i="5"/>
  <c r="J199" i="5"/>
  <c r="L199" i="5"/>
  <c r="M199" i="5" s="1"/>
  <c r="P199" i="5"/>
  <c r="Q199" i="5"/>
  <c r="R199" i="5"/>
  <c r="C200" i="5"/>
  <c r="D200" i="5"/>
  <c r="E200" i="5"/>
  <c r="H200" i="5"/>
  <c r="I200" i="5" s="1"/>
  <c r="L200" i="5"/>
  <c r="O200" i="5" s="1"/>
  <c r="N200" i="5"/>
  <c r="P200" i="5"/>
  <c r="Q200" i="5"/>
  <c r="R200" i="5"/>
  <c r="S200" i="5"/>
  <c r="C201" i="5"/>
  <c r="I201" i="9" s="1"/>
  <c r="D201" i="5"/>
  <c r="E201" i="5"/>
  <c r="H201" i="5"/>
  <c r="I201" i="5"/>
  <c r="J201" i="5"/>
  <c r="L201" i="5"/>
  <c r="M201" i="5"/>
  <c r="N201" i="5"/>
  <c r="O201" i="5" s="1"/>
  <c r="P201" i="5"/>
  <c r="Q201" i="5" s="1"/>
  <c r="C202" i="5"/>
  <c r="D202" i="5"/>
  <c r="E202" i="5"/>
  <c r="H202" i="5"/>
  <c r="J202" i="5" s="1"/>
  <c r="K202" i="5" s="1"/>
  <c r="I202" i="5"/>
  <c r="L202" i="5"/>
  <c r="M202" i="5" s="1"/>
  <c r="P202" i="5"/>
  <c r="R202" i="5" s="1"/>
  <c r="Q202" i="5"/>
  <c r="C203" i="5"/>
  <c r="D203" i="5"/>
  <c r="E203" i="5" s="1"/>
  <c r="H203" i="5"/>
  <c r="J203" i="5" s="1"/>
  <c r="I203" i="5"/>
  <c r="L203" i="5"/>
  <c r="N203" i="5"/>
  <c r="P203" i="5"/>
  <c r="Q203" i="5" s="1"/>
  <c r="R203" i="5"/>
  <c r="C204" i="5"/>
  <c r="D204" i="5"/>
  <c r="E204" i="5"/>
  <c r="H204" i="5"/>
  <c r="I204" i="5"/>
  <c r="J204" i="5"/>
  <c r="K204" i="5"/>
  <c r="L204" i="5"/>
  <c r="O204" i="5" s="1"/>
  <c r="M204" i="5"/>
  <c r="N204" i="5"/>
  <c r="P204" i="5"/>
  <c r="Q204" i="5" s="1"/>
  <c r="C205" i="5"/>
  <c r="D205" i="5"/>
  <c r="H205" i="5"/>
  <c r="K205" i="5" s="1"/>
  <c r="J205" i="5"/>
  <c r="L205" i="5"/>
  <c r="M205" i="5" s="1"/>
  <c r="P205" i="5"/>
  <c r="Q205" i="5" s="1"/>
  <c r="C206" i="5"/>
  <c r="D206" i="5"/>
  <c r="E206" i="5" s="1"/>
  <c r="H206" i="5"/>
  <c r="J206" i="5" s="1"/>
  <c r="I206" i="5"/>
  <c r="K206" i="5"/>
  <c r="L206" i="5"/>
  <c r="N206" i="5" s="1"/>
  <c r="O206" i="5" s="1"/>
  <c r="M206" i="5"/>
  <c r="P206" i="5"/>
  <c r="Q206" i="5"/>
  <c r="R206" i="5"/>
  <c r="S206" i="5" s="1"/>
  <c r="C207" i="5"/>
  <c r="I207" i="9" s="1"/>
  <c r="D207" i="5"/>
  <c r="E207" i="5" s="1"/>
  <c r="H207" i="5"/>
  <c r="I207" i="5"/>
  <c r="J207" i="5"/>
  <c r="L207" i="5"/>
  <c r="M207" i="5" s="1"/>
  <c r="N207" i="5"/>
  <c r="P207" i="5"/>
  <c r="R207" i="5" s="1"/>
  <c r="C208" i="5"/>
  <c r="I208" i="9" s="1"/>
  <c r="D208" i="5"/>
  <c r="E208" i="5"/>
  <c r="H208" i="5"/>
  <c r="I208" i="5"/>
  <c r="J208" i="5"/>
  <c r="K208" i="5"/>
  <c r="L208" i="5"/>
  <c r="M208" i="5"/>
  <c r="N208" i="5"/>
  <c r="O208" i="5" s="1"/>
  <c r="P208" i="5"/>
  <c r="Q208" i="5"/>
  <c r="R208" i="5"/>
  <c r="S208" i="5" s="1"/>
  <c r="C209" i="5"/>
  <c r="D209" i="5"/>
  <c r="E209" i="5" s="1"/>
  <c r="H209" i="5"/>
  <c r="J209" i="5"/>
  <c r="L209" i="5"/>
  <c r="M209" i="5" s="1"/>
  <c r="N209" i="5"/>
  <c r="O209" i="5" s="1"/>
  <c r="P209" i="5"/>
  <c r="R209" i="5" s="1"/>
  <c r="Q209" i="5"/>
  <c r="C210" i="5"/>
  <c r="D210" i="5"/>
  <c r="E210" i="5"/>
  <c r="H210" i="5"/>
  <c r="I210" i="5" s="1"/>
  <c r="L210" i="5"/>
  <c r="N210" i="5" s="1"/>
  <c r="P210" i="5"/>
  <c r="R210" i="5" s="1"/>
  <c r="Q210" i="5"/>
  <c r="S210" i="5"/>
  <c r="C211" i="5"/>
  <c r="D211" i="5"/>
  <c r="E211" i="5" s="1"/>
  <c r="H211" i="5"/>
  <c r="I211" i="5" s="1"/>
  <c r="J211" i="5"/>
  <c r="K211" i="5"/>
  <c r="L211" i="5"/>
  <c r="M211" i="5"/>
  <c r="N211" i="5"/>
  <c r="O211" i="5"/>
  <c r="P211" i="5"/>
  <c r="R211" i="5" s="1"/>
  <c r="Q211" i="5"/>
  <c r="C212" i="5"/>
  <c r="I212" i="9" s="1"/>
  <c r="D212" i="5"/>
  <c r="E212" i="5"/>
  <c r="H212" i="5"/>
  <c r="I212" i="5"/>
  <c r="J212" i="5"/>
  <c r="K212" i="5"/>
  <c r="L212" i="5"/>
  <c r="N212" i="5" s="1"/>
  <c r="M212" i="5"/>
  <c r="P212" i="5"/>
  <c r="Q212" i="5"/>
  <c r="R212" i="5"/>
  <c r="S212" i="5"/>
  <c r="C213" i="5"/>
  <c r="I213" i="9" s="1"/>
  <c r="D213" i="5"/>
  <c r="E213" i="5"/>
  <c r="H213" i="5"/>
  <c r="L213" i="5"/>
  <c r="N213" i="5"/>
  <c r="P213" i="5"/>
  <c r="Q213" i="5" s="1"/>
  <c r="C214" i="5"/>
  <c r="D214" i="5"/>
  <c r="E214" i="5" s="1"/>
  <c r="H214" i="5"/>
  <c r="I214" i="5" s="1"/>
  <c r="J214" i="5"/>
  <c r="K214" i="5" s="1"/>
  <c r="L214" i="5"/>
  <c r="M214" i="5" s="1"/>
  <c r="P214" i="5"/>
  <c r="R214" i="5" s="1"/>
  <c r="Q214" i="5"/>
  <c r="S214" i="5"/>
  <c r="C215" i="5"/>
  <c r="D215" i="5"/>
  <c r="E215" i="5" s="1"/>
  <c r="H215" i="5"/>
  <c r="K215" i="5" s="1"/>
  <c r="I215" i="5"/>
  <c r="J215" i="5"/>
  <c r="L215" i="5"/>
  <c r="M215" i="5" s="1"/>
  <c r="P215" i="5"/>
  <c r="R215" i="5" s="1"/>
  <c r="Q215" i="5"/>
  <c r="C216" i="5"/>
  <c r="D216" i="5"/>
  <c r="E216" i="5"/>
  <c r="H216" i="5"/>
  <c r="I216" i="5"/>
  <c r="J216" i="5"/>
  <c r="K216" i="5"/>
  <c r="L216" i="5"/>
  <c r="M216" i="5"/>
  <c r="N216" i="5"/>
  <c r="O216" i="5" s="1"/>
  <c r="P216" i="5"/>
  <c r="S216" i="5" s="1"/>
  <c r="Q216" i="5"/>
  <c r="R216" i="5"/>
  <c r="C217" i="5"/>
  <c r="D217" i="5"/>
  <c r="E217" i="5"/>
  <c r="H217" i="5"/>
  <c r="I217" i="5" s="1"/>
  <c r="J217" i="5"/>
  <c r="K217" i="5" s="1"/>
  <c r="L217" i="5"/>
  <c r="M217" i="5" s="1"/>
  <c r="P217" i="5"/>
  <c r="R217" i="5"/>
  <c r="C218" i="5"/>
  <c r="K218" i="5" s="1"/>
  <c r="D218" i="5"/>
  <c r="E218" i="5"/>
  <c r="H218" i="5"/>
  <c r="J218" i="5" s="1"/>
  <c r="I218" i="5"/>
  <c r="L218" i="5"/>
  <c r="M218" i="5" s="1"/>
  <c r="N218" i="5"/>
  <c r="P218" i="5"/>
  <c r="Q218" i="5" s="1"/>
  <c r="C219" i="5"/>
  <c r="I219" i="7" s="1"/>
  <c r="D219" i="5"/>
  <c r="H219" i="5"/>
  <c r="I219" i="5" s="1"/>
  <c r="L219" i="5"/>
  <c r="M219" i="5"/>
  <c r="N219" i="5"/>
  <c r="O219" i="5" s="1"/>
  <c r="P219" i="5"/>
  <c r="C220" i="5"/>
  <c r="D220" i="5"/>
  <c r="E220" i="5"/>
  <c r="H220" i="5"/>
  <c r="I220" i="5" s="1"/>
  <c r="J220" i="5"/>
  <c r="L220" i="5"/>
  <c r="M220" i="5"/>
  <c r="N220" i="5"/>
  <c r="O220" i="5"/>
  <c r="P220" i="5"/>
  <c r="Q220" i="5"/>
  <c r="R220" i="5"/>
  <c r="S220" i="5" s="1"/>
  <c r="C221" i="5"/>
  <c r="D221" i="5"/>
  <c r="E221" i="5"/>
  <c r="H221" i="5"/>
  <c r="L221" i="5"/>
  <c r="O221" i="5" s="1"/>
  <c r="M221" i="5"/>
  <c r="N221" i="5"/>
  <c r="P221" i="5"/>
  <c r="Q221" i="5" s="1"/>
  <c r="R221" i="5"/>
  <c r="C222" i="5"/>
  <c r="I222" i="9" s="1"/>
  <c r="D222" i="5"/>
  <c r="E222" i="5" s="1"/>
  <c r="H222" i="5"/>
  <c r="I222" i="5" s="1"/>
  <c r="L222" i="5"/>
  <c r="N222" i="5" s="1"/>
  <c r="M222" i="5"/>
  <c r="O222" i="5"/>
  <c r="P222" i="5"/>
  <c r="S222" i="5" s="1"/>
  <c r="R222" i="5"/>
  <c r="C223" i="5"/>
  <c r="I223" i="7" s="1"/>
  <c r="D223" i="5"/>
  <c r="E223" i="5"/>
  <c r="H223" i="5"/>
  <c r="I223" i="5" s="1"/>
  <c r="J223" i="5"/>
  <c r="L223" i="5"/>
  <c r="M223" i="5" s="1"/>
  <c r="P223" i="5"/>
  <c r="Q223" i="5" s="1"/>
  <c r="R223" i="5"/>
  <c r="S223" i="5" s="1"/>
  <c r="C224" i="5"/>
  <c r="D224" i="5"/>
  <c r="E224" i="5"/>
  <c r="H224" i="5"/>
  <c r="K224" i="5" s="1"/>
  <c r="J224" i="5"/>
  <c r="L224" i="5"/>
  <c r="M224" i="5" s="1"/>
  <c r="P224" i="5"/>
  <c r="Q224" i="5"/>
  <c r="R224" i="5"/>
  <c r="S224" i="5" s="1"/>
  <c r="C225" i="5"/>
  <c r="D225" i="5"/>
  <c r="E225" i="5"/>
  <c r="H225" i="5"/>
  <c r="I225" i="5" s="1"/>
  <c r="L225" i="5"/>
  <c r="M225" i="5" s="1"/>
  <c r="P225" i="5"/>
  <c r="S225" i="5" s="1"/>
  <c r="R225" i="5"/>
  <c r="C226" i="5"/>
  <c r="O226" i="5" s="1"/>
  <c r="D226" i="5"/>
  <c r="E226" i="5"/>
  <c r="H226" i="5"/>
  <c r="J226" i="5" s="1"/>
  <c r="K226" i="5"/>
  <c r="L226" i="5"/>
  <c r="M226" i="5"/>
  <c r="N226" i="5"/>
  <c r="P226" i="5"/>
  <c r="R226" i="5" s="1"/>
  <c r="S226" i="5"/>
  <c r="C227" i="5"/>
  <c r="D227" i="5"/>
  <c r="E227" i="5" s="1"/>
  <c r="H227" i="5"/>
  <c r="I227" i="5"/>
  <c r="J227" i="5"/>
  <c r="K227" i="5"/>
  <c r="L227" i="5"/>
  <c r="M227" i="5" s="1"/>
  <c r="P227" i="5"/>
  <c r="Q227" i="5" s="1"/>
  <c r="R227" i="5"/>
  <c r="S227" i="5" s="1"/>
  <c r="C228" i="5"/>
  <c r="I228" i="7" s="1"/>
  <c r="D228" i="5"/>
  <c r="E228" i="5" s="1"/>
  <c r="H228" i="5"/>
  <c r="I228" i="5"/>
  <c r="J228" i="5"/>
  <c r="K228" i="5"/>
  <c r="L228" i="5"/>
  <c r="O228" i="5" s="1"/>
  <c r="M228" i="5"/>
  <c r="N228" i="5"/>
  <c r="P228" i="5"/>
  <c r="Q228" i="5"/>
  <c r="R228" i="5"/>
  <c r="S228" i="5" s="1"/>
  <c r="C229" i="5"/>
  <c r="D229" i="5"/>
  <c r="E229" i="5" s="1"/>
  <c r="H229" i="5"/>
  <c r="K229" i="5" s="1"/>
  <c r="I229" i="5"/>
  <c r="J229" i="5"/>
  <c r="L229" i="5"/>
  <c r="M229" i="5" s="1"/>
  <c r="N229" i="5"/>
  <c r="P229" i="5"/>
  <c r="S229" i="5" s="1"/>
  <c r="Q229" i="5"/>
  <c r="R229" i="5"/>
  <c r="C230" i="5"/>
  <c r="D230" i="5"/>
  <c r="E230" i="5"/>
  <c r="H230" i="5"/>
  <c r="J230" i="5" s="1"/>
  <c r="I230" i="5"/>
  <c r="K230" i="5"/>
  <c r="L230" i="5"/>
  <c r="N230" i="5" s="1"/>
  <c r="M230" i="5"/>
  <c r="P230" i="5"/>
  <c r="Q230" i="5" s="1"/>
  <c r="C231" i="5"/>
  <c r="I231" i="8" s="1"/>
  <c r="D231" i="5"/>
  <c r="E231" i="5" s="1"/>
  <c r="H231" i="5"/>
  <c r="I231" i="5" s="1"/>
  <c r="L231" i="5"/>
  <c r="M231" i="5"/>
  <c r="N231" i="5"/>
  <c r="O231" i="5"/>
  <c r="P231" i="5"/>
  <c r="Q231" i="5" s="1"/>
  <c r="C232" i="5"/>
  <c r="I232" i="7" s="1"/>
  <c r="D232" i="5"/>
  <c r="E232" i="5"/>
  <c r="H232" i="5"/>
  <c r="I232" i="5" s="1"/>
  <c r="L232" i="5"/>
  <c r="M232" i="5"/>
  <c r="N232" i="5"/>
  <c r="O232" i="5" s="1"/>
  <c r="P232" i="5"/>
  <c r="Q232" i="5" s="1"/>
  <c r="C233" i="5"/>
  <c r="D233" i="5"/>
  <c r="E233" i="5" s="1"/>
  <c r="H233" i="5"/>
  <c r="I233" i="5" s="1"/>
  <c r="L233" i="5"/>
  <c r="M233" i="5"/>
  <c r="N233" i="5"/>
  <c r="O233" i="5"/>
  <c r="P233" i="5"/>
  <c r="Q233" i="5" s="1"/>
  <c r="C234" i="5"/>
  <c r="D234" i="5"/>
  <c r="E234" i="5" s="1"/>
  <c r="H234" i="5"/>
  <c r="I234" i="5"/>
  <c r="J234" i="5"/>
  <c r="K234" i="5"/>
  <c r="L234" i="5"/>
  <c r="N234" i="5" s="1"/>
  <c r="O234" i="5"/>
  <c r="P234" i="5"/>
  <c r="R234" i="5" s="1"/>
  <c r="Q234" i="5"/>
  <c r="S234" i="5"/>
  <c r="C235" i="5"/>
  <c r="I235" i="7" s="1"/>
  <c r="D235" i="5"/>
  <c r="E235" i="5"/>
  <c r="H235" i="5"/>
  <c r="L235" i="5"/>
  <c r="M235" i="5"/>
  <c r="N235" i="5"/>
  <c r="O235" i="5" s="1"/>
  <c r="P235" i="5"/>
  <c r="R235" i="5" s="1"/>
  <c r="S235" i="5" s="1"/>
  <c r="Q235" i="5"/>
  <c r="C236" i="5"/>
  <c r="I236" i="8" s="1"/>
  <c r="D236" i="5"/>
  <c r="E236" i="5"/>
  <c r="H236" i="5"/>
  <c r="I236" i="5"/>
  <c r="J236" i="5"/>
  <c r="K236" i="5" s="1"/>
  <c r="L236" i="5"/>
  <c r="M236" i="5"/>
  <c r="N236" i="5"/>
  <c r="O236" i="5" s="1"/>
  <c r="P236" i="5"/>
  <c r="Q236" i="5"/>
  <c r="R236" i="5"/>
  <c r="S236" i="5" s="1"/>
  <c r="C237" i="5"/>
  <c r="I237" i="8" s="1"/>
  <c r="D237" i="5"/>
  <c r="E237" i="5" s="1"/>
  <c r="H237" i="5"/>
  <c r="I237" i="5"/>
  <c r="J237" i="5"/>
  <c r="L237" i="5"/>
  <c r="N237" i="5" s="1"/>
  <c r="M237" i="5"/>
  <c r="P237" i="5"/>
  <c r="Q237" i="5" s="1"/>
  <c r="C238" i="5"/>
  <c r="D238" i="5"/>
  <c r="E238" i="5"/>
  <c r="H238" i="5"/>
  <c r="J238" i="5" s="1"/>
  <c r="I238" i="5"/>
  <c r="L238" i="5"/>
  <c r="M238" i="5"/>
  <c r="N238" i="5"/>
  <c r="O238" i="5" s="1"/>
  <c r="P238" i="5"/>
  <c r="R238" i="5" s="1"/>
  <c r="Q238" i="5"/>
  <c r="C239" i="5"/>
  <c r="K239" i="5" s="1"/>
  <c r="D239" i="5"/>
  <c r="E239" i="5" s="1"/>
  <c r="H239" i="5"/>
  <c r="I239" i="5"/>
  <c r="J239" i="5"/>
  <c r="L239" i="5"/>
  <c r="M239" i="5" s="1"/>
  <c r="P239" i="5"/>
  <c r="Q239" i="5"/>
  <c r="R239" i="5"/>
  <c r="S239" i="5"/>
  <c r="C240" i="5"/>
  <c r="I240" i="8" s="1"/>
  <c r="D240" i="5"/>
  <c r="E240" i="5" s="1"/>
  <c r="H240" i="5"/>
  <c r="I240" i="5"/>
  <c r="J240" i="5"/>
  <c r="K240" i="5" s="1"/>
  <c r="L240" i="5"/>
  <c r="M240" i="5"/>
  <c r="N240" i="5"/>
  <c r="P240" i="5"/>
  <c r="Q240" i="5"/>
  <c r="R240" i="5"/>
  <c r="C241" i="5"/>
  <c r="D241" i="5"/>
  <c r="E241" i="5"/>
  <c r="H241" i="5"/>
  <c r="J241" i="5" s="1"/>
  <c r="I241" i="5"/>
  <c r="L241" i="5"/>
  <c r="M241" i="5"/>
  <c r="N241" i="5"/>
  <c r="P241" i="5"/>
  <c r="Q241" i="5" s="1"/>
  <c r="R241" i="5"/>
  <c r="C242" i="5"/>
  <c r="D242" i="5"/>
  <c r="E242" i="5" s="1"/>
  <c r="H242" i="5"/>
  <c r="J242" i="5" s="1"/>
  <c r="I242" i="5"/>
  <c r="K242" i="5"/>
  <c r="L242" i="5"/>
  <c r="M242" i="5" s="1"/>
  <c r="P242" i="5"/>
  <c r="Q242" i="5"/>
  <c r="R242" i="5"/>
  <c r="S242" i="5"/>
  <c r="C243" i="5"/>
  <c r="D243" i="5"/>
  <c r="E243" i="5" s="1"/>
  <c r="H243" i="5"/>
  <c r="I243" i="5" s="1"/>
  <c r="L243" i="5"/>
  <c r="M243" i="5" s="1"/>
  <c r="N243" i="5"/>
  <c r="P243" i="5"/>
  <c r="Q243" i="5" s="1"/>
  <c r="C244" i="5"/>
  <c r="I244" i="8" s="1"/>
  <c r="D244" i="5"/>
  <c r="E244" i="5"/>
  <c r="H244" i="5"/>
  <c r="I244" i="5"/>
  <c r="J244" i="5"/>
  <c r="K244" i="5" s="1"/>
  <c r="L244" i="5"/>
  <c r="M244" i="5"/>
  <c r="N244" i="5"/>
  <c r="O244" i="5" s="1"/>
  <c r="P244" i="5"/>
  <c r="Q244" i="5"/>
  <c r="R244" i="5"/>
  <c r="S244" i="5" s="1"/>
  <c r="C245" i="5"/>
  <c r="D245" i="5"/>
  <c r="E245" i="5"/>
  <c r="H245" i="5"/>
  <c r="I245" i="5" s="1"/>
  <c r="L245" i="5"/>
  <c r="N245" i="5" s="1"/>
  <c r="M245" i="5"/>
  <c r="P245" i="5"/>
  <c r="Q245" i="5"/>
  <c r="R245" i="5"/>
  <c r="C246" i="5"/>
  <c r="D246" i="5"/>
  <c r="H246" i="5"/>
  <c r="I246" i="5" s="1"/>
  <c r="J246" i="5"/>
  <c r="K246" i="5" s="1"/>
  <c r="L246" i="5"/>
  <c r="N246" i="5" s="1"/>
  <c r="M246" i="5"/>
  <c r="P246" i="5"/>
  <c r="Q246" i="5" s="1"/>
  <c r="C247" i="5"/>
  <c r="D247" i="5"/>
  <c r="E247" i="5" s="1"/>
  <c r="H247" i="5"/>
  <c r="I247" i="5" s="1"/>
  <c r="J247" i="5"/>
  <c r="K247" i="5"/>
  <c r="L247" i="5"/>
  <c r="M247" i="5" s="1"/>
  <c r="P247" i="5"/>
  <c r="Q247" i="5" s="1"/>
  <c r="C248" i="5"/>
  <c r="O248" i="5" s="1"/>
  <c r="D248" i="5"/>
  <c r="E248" i="5"/>
  <c r="H248" i="5"/>
  <c r="I248" i="5" s="1"/>
  <c r="L248" i="5"/>
  <c r="M248" i="5"/>
  <c r="N248" i="5"/>
  <c r="P248" i="5"/>
  <c r="Q248" i="5"/>
  <c r="R248" i="5"/>
  <c r="S248" i="5"/>
  <c r="C249" i="5"/>
  <c r="I249" i="8" s="1"/>
  <c r="D249" i="5"/>
  <c r="E249" i="5"/>
  <c r="H249" i="5"/>
  <c r="I249" i="5" s="1"/>
  <c r="J249" i="5"/>
  <c r="L249" i="5"/>
  <c r="M249" i="5" s="1"/>
  <c r="N249" i="5"/>
  <c r="P249" i="5"/>
  <c r="Q249" i="5" s="1"/>
  <c r="C250" i="5"/>
  <c r="D250" i="5"/>
  <c r="E250" i="5" s="1"/>
  <c r="H250" i="5"/>
  <c r="J250" i="5" s="1"/>
  <c r="K250" i="5"/>
  <c r="L250" i="5"/>
  <c r="M250" i="5"/>
  <c r="N250" i="5"/>
  <c r="O250" i="5"/>
  <c r="P250" i="5"/>
  <c r="R250" i="5" s="1"/>
  <c r="C251" i="5"/>
  <c r="I251" i="8" s="1"/>
  <c r="D251" i="5"/>
  <c r="E251" i="5" s="1"/>
  <c r="H251" i="5"/>
  <c r="I251" i="5"/>
  <c r="J251" i="5"/>
  <c r="K251" i="5"/>
  <c r="L251" i="5"/>
  <c r="M251" i="5" s="1"/>
  <c r="P251" i="5"/>
  <c r="Q251" i="5" s="1"/>
  <c r="R251" i="5"/>
  <c r="C252" i="5"/>
  <c r="I252" i="8" s="1"/>
  <c r="D252" i="5"/>
  <c r="E252" i="5"/>
  <c r="H252" i="5"/>
  <c r="I252" i="5"/>
  <c r="J252" i="5"/>
  <c r="K252" i="5" s="1"/>
  <c r="L252" i="5"/>
  <c r="O252" i="5" s="1"/>
  <c r="M252" i="5"/>
  <c r="N252" i="5"/>
  <c r="P252" i="5"/>
  <c r="Q252" i="5" s="1"/>
  <c r="R252" i="5"/>
  <c r="C253" i="5"/>
  <c r="D253" i="5"/>
  <c r="E253" i="5" s="1"/>
  <c r="H253" i="5"/>
  <c r="I253" i="5" s="1"/>
  <c r="L253" i="5"/>
  <c r="M253" i="5"/>
  <c r="N253" i="5"/>
  <c r="P253" i="5"/>
  <c r="R253" i="5" s="1"/>
  <c r="Q253" i="5"/>
  <c r="C254" i="5"/>
  <c r="I254" i="8" s="1"/>
  <c r="D254" i="5"/>
  <c r="E254" i="5"/>
  <c r="H254" i="5"/>
  <c r="J254" i="5" s="1"/>
  <c r="K254" i="5"/>
  <c r="L254" i="5"/>
  <c r="N254" i="5" s="1"/>
  <c r="M254" i="5"/>
  <c r="O254" i="5"/>
  <c r="P254" i="5"/>
  <c r="Q254" i="5"/>
  <c r="R254" i="5"/>
  <c r="S254" i="5" s="1"/>
  <c r="C255" i="5"/>
  <c r="D255" i="5"/>
  <c r="E255" i="5" s="1"/>
  <c r="H255" i="5"/>
  <c r="J255" i="5"/>
  <c r="L255" i="5"/>
  <c r="M255" i="5" s="1"/>
  <c r="P255" i="5"/>
  <c r="Q255" i="5" s="1"/>
  <c r="C256" i="5"/>
  <c r="I256" i="8" s="1"/>
  <c r="D256" i="5"/>
  <c r="E256" i="5"/>
  <c r="H256" i="5"/>
  <c r="I256" i="5"/>
  <c r="J256" i="5"/>
  <c r="K256" i="5" s="1"/>
  <c r="L256" i="5"/>
  <c r="M256" i="5"/>
  <c r="N256" i="5"/>
  <c r="O256" i="5"/>
  <c r="P256" i="5"/>
  <c r="S256" i="5" s="1"/>
  <c r="R256" i="5"/>
  <c r="C257" i="5"/>
  <c r="I257" i="8" s="1"/>
  <c r="D257" i="5"/>
  <c r="E257" i="5" s="1"/>
  <c r="H257" i="5"/>
  <c r="I257" i="5" s="1"/>
  <c r="J257" i="5"/>
  <c r="L257" i="5"/>
  <c r="M257" i="5"/>
  <c r="N257" i="5"/>
  <c r="P257" i="5"/>
  <c r="Q257" i="5" s="1"/>
  <c r="R257" i="5"/>
  <c r="C258" i="5"/>
  <c r="D258" i="5"/>
  <c r="E258" i="5" s="1"/>
  <c r="H258" i="5"/>
  <c r="I258" i="5"/>
  <c r="J258" i="5"/>
  <c r="K258" i="5"/>
  <c r="L258" i="5"/>
  <c r="N258" i="5" s="1"/>
  <c r="P258" i="5"/>
  <c r="R258" i="5" s="1"/>
  <c r="Q258" i="5"/>
  <c r="C259" i="5"/>
  <c r="D259" i="5"/>
  <c r="E259" i="5" s="1"/>
  <c r="H259" i="5"/>
  <c r="I259" i="5" s="1"/>
  <c r="L259" i="5"/>
  <c r="M259" i="5" s="1"/>
  <c r="P259" i="5"/>
  <c r="Q259" i="5"/>
  <c r="R259" i="5"/>
  <c r="S259" i="5"/>
  <c r="C260" i="5"/>
  <c r="D260" i="5"/>
  <c r="E260" i="5"/>
  <c r="H260" i="5"/>
  <c r="I260" i="5"/>
  <c r="J260" i="5"/>
  <c r="K260" i="5" s="1"/>
  <c r="L260" i="5"/>
  <c r="M260" i="5" s="1"/>
  <c r="N260" i="5"/>
  <c r="P260" i="5"/>
  <c r="Q260" i="5"/>
  <c r="R260" i="5"/>
  <c r="C261" i="5"/>
  <c r="I261" i="8" s="1"/>
  <c r="D261" i="5"/>
  <c r="E261" i="5" s="1"/>
  <c r="H261" i="5"/>
  <c r="I261" i="5"/>
  <c r="J261" i="5"/>
  <c r="L261" i="5"/>
  <c r="P261" i="5"/>
  <c r="Q261" i="5" s="1"/>
  <c r="R261" i="5"/>
  <c r="S261" i="5" s="1"/>
  <c r="C262" i="5"/>
  <c r="D262" i="5"/>
  <c r="E262" i="5" s="1"/>
  <c r="H262" i="5"/>
  <c r="K262" i="5" s="1"/>
  <c r="I262" i="5"/>
  <c r="J262" i="5"/>
  <c r="L262" i="5"/>
  <c r="M262" i="5" s="1"/>
  <c r="P262" i="5"/>
  <c r="R262" i="5" s="1"/>
  <c r="Q262" i="5"/>
  <c r="S262" i="5"/>
  <c r="C263" i="5"/>
  <c r="D263" i="5"/>
  <c r="E263" i="5" s="1"/>
  <c r="H263" i="5"/>
  <c r="I263" i="5" s="1"/>
  <c r="L263" i="5"/>
  <c r="M263" i="5" s="1"/>
  <c r="P263" i="5"/>
  <c r="Q263" i="5"/>
  <c r="R263" i="5"/>
  <c r="C264" i="5"/>
  <c r="D264" i="5"/>
  <c r="E264" i="5"/>
  <c r="H264" i="5"/>
  <c r="I264" i="5"/>
  <c r="J264" i="5"/>
  <c r="K264" i="5"/>
  <c r="L264" i="5"/>
  <c r="M264" i="5"/>
  <c r="N264" i="5"/>
  <c r="O264" i="5" s="1"/>
  <c r="P264" i="5"/>
  <c r="Q264" i="5" s="1"/>
  <c r="C265" i="5"/>
  <c r="I265" i="8" s="1"/>
  <c r="D265" i="5"/>
  <c r="E265" i="5"/>
  <c r="H265" i="5"/>
  <c r="I265" i="5" s="1"/>
  <c r="L265" i="5"/>
  <c r="M265" i="5" s="1"/>
  <c r="P265" i="5"/>
  <c r="Q265" i="5" s="1"/>
  <c r="R265" i="5"/>
  <c r="C266" i="5"/>
  <c r="D266" i="5"/>
  <c r="H266" i="5"/>
  <c r="J266" i="5" s="1"/>
  <c r="L266" i="5"/>
  <c r="M266" i="5" s="1"/>
  <c r="P266" i="5"/>
  <c r="Q266" i="5"/>
  <c r="R266" i="5"/>
  <c r="S266" i="5" s="1"/>
  <c r="C267" i="5"/>
  <c r="D267" i="5"/>
  <c r="E267" i="5" s="1"/>
  <c r="H267" i="5"/>
  <c r="I267" i="5" s="1"/>
  <c r="L267" i="5"/>
  <c r="M267" i="5"/>
  <c r="N267" i="5"/>
  <c r="O267" i="5" s="1"/>
  <c r="P267" i="5"/>
  <c r="C268" i="5"/>
  <c r="D268" i="5"/>
  <c r="E268" i="5"/>
  <c r="H268" i="5"/>
  <c r="I268" i="5" s="1"/>
  <c r="L268" i="5"/>
  <c r="M268" i="5"/>
  <c r="N268" i="5"/>
  <c r="O268" i="5"/>
  <c r="P268" i="5"/>
  <c r="Q268" i="5"/>
  <c r="R268" i="5"/>
  <c r="S268" i="5" s="1"/>
  <c r="C269" i="5"/>
  <c r="I269" i="8" s="1"/>
  <c r="D269" i="5"/>
  <c r="E269" i="5"/>
  <c r="H269" i="5"/>
  <c r="L269" i="5"/>
  <c r="O269" i="5" s="1"/>
  <c r="M269" i="5"/>
  <c r="N269" i="5"/>
  <c r="P269" i="5"/>
  <c r="Q269" i="5" s="1"/>
  <c r="C270" i="5"/>
  <c r="I270" i="8" s="1"/>
  <c r="D270" i="5"/>
  <c r="E270" i="5" s="1"/>
  <c r="H270" i="5"/>
  <c r="I270" i="5" s="1"/>
  <c r="L270" i="5"/>
  <c r="N270" i="5" s="1"/>
  <c r="M270" i="5"/>
  <c r="O270" i="5"/>
  <c r="P270" i="5"/>
  <c r="R270" i="5"/>
  <c r="C271" i="5"/>
  <c r="D271" i="5"/>
  <c r="E271" i="5"/>
  <c r="H271" i="5"/>
  <c r="I271" i="5" s="1"/>
  <c r="J271" i="5"/>
  <c r="L271" i="5"/>
  <c r="M271" i="5" s="1"/>
  <c r="P271" i="5"/>
  <c r="Q271" i="5" s="1"/>
  <c r="R271" i="5"/>
  <c r="S271" i="5" s="1"/>
  <c r="C272" i="5"/>
  <c r="D272" i="5"/>
  <c r="E272" i="5"/>
  <c r="H272" i="5"/>
  <c r="K272" i="5" s="1"/>
  <c r="J272" i="5"/>
  <c r="L272" i="5"/>
  <c r="M272" i="5" s="1"/>
  <c r="P272" i="5"/>
  <c r="Q272" i="5"/>
  <c r="R272" i="5"/>
  <c r="S272" i="5" s="1"/>
  <c r="C273" i="5"/>
  <c r="D273" i="5"/>
  <c r="E273" i="5" s="1"/>
  <c r="H273" i="5"/>
  <c r="I273" i="5" s="1"/>
  <c r="L273" i="5"/>
  <c r="M273" i="5" s="1"/>
  <c r="N273" i="5"/>
  <c r="O273" i="5"/>
  <c r="P273" i="5"/>
  <c r="R273" i="5" s="1"/>
  <c r="C274" i="5"/>
  <c r="D274" i="5"/>
  <c r="E274" i="5" s="1"/>
  <c r="H274" i="5"/>
  <c r="J274" i="5" s="1"/>
  <c r="K274" i="5"/>
  <c r="L274" i="5"/>
  <c r="M274" i="5"/>
  <c r="N274" i="5"/>
  <c r="O274" i="5" s="1"/>
  <c r="P274" i="5"/>
  <c r="R274" i="5" s="1"/>
  <c r="S274" i="5"/>
  <c r="C275" i="5"/>
  <c r="D275" i="5"/>
  <c r="E275" i="5" s="1"/>
  <c r="H275" i="5"/>
  <c r="I275" i="5"/>
  <c r="J275" i="5"/>
  <c r="K275" i="5"/>
  <c r="L275" i="5"/>
  <c r="M275" i="5" s="1"/>
  <c r="P275" i="5"/>
  <c r="Q275" i="5" s="1"/>
  <c r="R275" i="5"/>
  <c r="S275" i="5" s="1"/>
  <c r="C276" i="5"/>
  <c r="I276" i="8" s="1"/>
  <c r="D276" i="5"/>
  <c r="E276" i="5" s="1"/>
  <c r="H276" i="5"/>
  <c r="I276" i="5"/>
  <c r="J276" i="5"/>
  <c r="K276" i="5"/>
  <c r="L276" i="5"/>
  <c r="N276" i="5" s="1"/>
  <c r="M276" i="5"/>
  <c r="P276" i="5"/>
  <c r="Q276" i="5"/>
  <c r="R276" i="5"/>
  <c r="S276" i="5" s="1"/>
  <c r="C277" i="5"/>
  <c r="D277" i="5"/>
  <c r="E277" i="5" s="1"/>
  <c r="H277" i="5"/>
  <c r="K277" i="5" s="1"/>
  <c r="I277" i="5"/>
  <c r="J277" i="5"/>
  <c r="L277" i="5"/>
  <c r="M277" i="5" s="1"/>
  <c r="P277" i="5"/>
  <c r="R277" i="5" s="1"/>
  <c r="S277" i="5" s="1"/>
  <c r="Q277" i="5"/>
  <c r="C278" i="5"/>
  <c r="I278" i="7" s="1"/>
  <c r="D278" i="5"/>
  <c r="E278" i="5" s="1"/>
  <c r="H278" i="5"/>
  <c r="J278" i="5" s="1"/>
  <c r="I278" i="5"/>
  <c r="L278" i="5"/>
  <c r="P278" i="5"/>
  <c r="Q278" i="5"/>
  <c r="R278" i="5"/>
  <c r="S278" i="5" s="1"/>
  <c r="C279" i="5"/>
  <c r="D279" i="5"/>
  <c r="E279" i="5" s="1"/>
  <c r="H279" i="5"/>
  <c r="I279" i="5" s="1"/>
  <c r="L279" i="5"/>
  <c r="N279" i="5" s="1"/>
  <c r="M279" i="5"/>
  <c r="P279" i="5"/>
  <c r="Q279" i="5" s="1"/>
  <c r="R279" i="5"/>
  <c r="S279" i="5"/>
  <c r="C280" i="5"/>
  <c r="D280" i="5"/>
  <c r="E280" i="5"/>
  <c r="H280" i="5"/>
  <c r="K280" i="5" s="1"/>
  <c r="I280" i="5"/>
  <c r="J280" i="5"/>
  <c r="L280" i="5"/>
  <c r="M280" i="5" s="1"/>
  <c r="P280" i="5"/>
  <c r="Q280" i="5" s="1"/>
  <c r="C281" i="5"/>
  <c r="D281" i="5"/>
  <c r="E281" i="5" s="1"/>
  <c r="H281" i="5"/>
  <c r="I281" i="5"/>
  <c r="J281" i="5"/>
  <c r="K281" i="5" s="1"/>
  <c r="L281" i="5"/>
  <c r="P281" i="5"/>
  <c r="S281" i="5" s="1"/>
  <c r="Q281" i="5"/>
  <c r="R281" i="5"/>
  <c r="C282" i="5"/>
  <c r="D282" i="5"/>
  <c r="E282" i="5"/>
  <c r="H282" i="5"/>
  <c r="I282" i="5" s="1"/>
  <c r="J282" i="5"/>
  <c r="K282" i="5" s="1"/>
  <c r="L282" i="5"/>
  <c r="N282" i="5" s="1"/>
  <c r="P282" i="5"/>
  <c r="Q282" i="5"/>
  <c r="R282" i="5"/>
  <c r="S282" i="5" s="1"/>
  <c r="C283" i="5"/>
  <c r="D283" i="5"/>
  <c r="E283" i="5" s="1"/>
  <c r="H283" i="5"/>
  <c r="I283" i="5" s="1"/>
  <c r="L283" i="5"/>
  <c r="M283" i="5"/>
  <c r="N283" i="5"/>
  <c r="P283" i="5"/>
  <c r="Q283" i="5" s="1"/>
  <c r="R283" i="5"/>
  <c r="S283" i="5" s="1"/>
  <c r="C284" i="5"/>
  <c r="D284" i="5"/>
  <c r="E284" i="5" s="1"/>
  <c r="H284" i="5"/>
  <c r="J284" i="5" s="1"/>
  <c r="L284" i="5"/>
  <c r="M284" i="5" s="1"/>
  <c r="P284" i="5"/>
  <c r="Q284" i="5" s="1"/>
  <c r="R284" i="5"/>
  <c r="C285" i="5"/>
  <c r="D285" i="5"/>
  <c r="E285" i="5"/>
  <c r="H285" i="5"/>
  <c r="I285" i="5" s="1"/>
  <c r="L285" i="5"/>
  <c r="M285" i="5"/>
  <c r="N285" i="5"/>
  <c r="O285" i="5"/>
  <c r="P285" i="5"/>
  <c r="R285" i="5" s="1"/>
  <c r="Q285" i="5"/>
  <c r="C286" i="5"/>
  <c r="I286" i="9" s="1"/>
  <c r="D286" i="5"/>
  <c r="E286" i="5"/>
  <c r="H286" i="5"/>
  <c r="I286" i="5" s="1"/>
  <c r="L286" i="5"/>
  <c r="M286" i="5" s="1"/>
  <c r="P286" i="5"/>
  <c r="R286" i="5" s="1"/>
  <c r="Q286" i="5"/>
  <c r="C287" i="5"/>
  <c r="I287" i="9" s="1"/>
  <c r="D287" i="5"/>
  <c r="E287" i="5"/>
  <c r="H287" i="5"/>
  <c r="I287" i="5" s="1"/>
  <c r="L287" i="5"/>
  <c r="M287" i="5" s="1"/>
  <c r="P287" i="5"/>
  <c r="Q287" i="5"/>
  <c r="R287" i="5"/>
  <c r="C288" i="5"/>
  <c r="D288" i="5"/>
  <c r="E288" i="5"/>
  <c r="H288" i="5"/>
  <c r="I288" i="5" s="1"/>
  <c r="J288" i="5"/>
  <c r="K288" i="5"/>
  <c r="L288" i="5"/>
  <c r="N288" i="5" s="1"/>
  <c r="P288" i="5"/>
  <c r="Q288" i="5" s="1"/>
  <c r="C289" i="5"/>
  <c r="D289" i="5"/>
  <c r="E289" i="5"/>
  <c r="H289" i="5"/>
  <c r="K289" i="5" s="1"/>
  <c r="I289" i="5"/>
  <c r="J289" i="5"/>
  <c r="L289" i="5"/>
  <c r="M289" i="5" s="1"/>
  <c r="P289" i="5"/>
  <c r="Q289" i="5"/>
  <c r="R289" i="5"/>
  <c r="S289" i="5"/>
  <c r="C290" i="5"/>
  <c r="I290" i="8" s="1"/>
  <c r="D290" i="5"/>
  <c r="H290" i="5"/>
  <c r="J290" i="5" s="1"/>
  <c r="I290" i="5"/>
  <c r="L290" i="5"/>
  <c r="M290" i="5" s="1"/>
  <c r="P290" i="5"/>
  <c r="Q290" i="5" s="1"/>
  <c r="C291" i="5"/>
  <c r="D291" i="5"/>
  <c r="E291" i="5" s="1"/>
  <c r="H291" i="5"/>
  <c r="J291" i="5" s="1"/>
  <c r="I291" i="5"/>
  <c r="K291" i="5"/>
  <c r="L291" i="5"/>
  <c r="M291" i="5" s="1"/>
  <c r="P291" i="5"/>
  <c r="Q291" i="5" s="1"/>
  <c r="C292" i="5"/>
  <c r="I292" i="7" s="1"/>
  <c r="D292" i="5"/>
  <c r="E292" i="5" s="1"/>
  <c r="H292" i="5"/>
  <c r="I292" i="5"/>
  <c r="J292" i="5"/>
  <c r="K292" i="5"/>
  <c r="L292" i="5"/>
  <c r="M292" i="5" s="1"/>
  <c r="N292" i="5"/>
  <c r="O292" i="5"/>
  <c r="P292" i="5"/>
  <c r="R292" i="5" s="1"/>
  <c r="C293" i="5"/>
  <c r="I293" i="8" s="1"/>
  <c r="D293" i="5"/>
  <c r="E293" i="5"/>
  <c r="H293" i="5"/>
  <c r="J293" i="5" s="1"/>
  <c r="K293" i="5" s="1"/>
  <c r="I293" i="5"/>
  <c r="L293" i="5"/>
  <c r="N293" i="5" s="1"/>
  <c r="M293" i="5"/>
  <c r="P293" i="5"/>
  <c r="Q293" i="5" s="1"/>
  <c r="C294" i="5"/>
  <c r="I294" i="8" s="1"/>
  <c r="D294" i="5"/>
  <c r="E294" i="5"/>
  <c r="H294" i="5"/>
  <c r="L294" i="5"/>
  <c r="N294" i="5" s="1"/>
  <c r="M294" i="5"/>
  <c r="P294" i="5"/>
  <c r="Q294" i="5" s="1"/>
  <c r="C295" i="5"/>
  <c r="D295" i="5"/>
  <c r="E295" i="5" s="1"/>
  <c r="H295" i="5"/>
  <c r="I295" i="5" s="1"/>
  <c r="L295" i="5"/>
  <c r="N295" i="5" s="1"/>
  <c r="M295" i="5"/>
  <c r="O295" i="5"/>
  <c r="P295" i="5"/>
  <c r="Q295" i="5" s="1"/>
  <c r="C296" i="5"/>
  <c r="D296" i="5"/>
  <c r="E296" i="5" s="1"/>
  <c r="H296" i="5"/>
  <c r="I296" i="5" s="1"/>
  <c r="L296" i="5"/>
  <c r="M296" i="5"/>
  <c r="N296" i="5"/>
  <c r="O296" i="5"/>
  <c r="P296" i="5"/>
  <c r="Q296" i="5" s="1"/>
  <c r="R296" i="5"/>
  <c r="S296" i="5"/>
  <c r="C297" i="5"/>
  <c r="I297" i="9" s="1"/>
  <c r="D297" i="5"/>
  <c r="E297" i="5"/>
  <c r="H297" i="5"/>
  <c r="I297" i="5"/>
  <c r="J297" i="5"/>
  <c r="K297" i="5" s="1"/>
  <c r="L297" i="5"/>
  <c r="N297" i="5" s="1"/>
  <c r="O297" i="5" s="1"/>
  <c r="M297" i="5"/>
  <c r="P297" i="5"/>
  <c r="Q297" i="5" s="1"/>
  <c r="C298" i="5"/>
  <c r="I298" i="7" s="1"/>
  <c r="D298" i="5"/>
  <c r="E298" i="5"/>
  <c r="H298" i="5"/>
  <c r="I298" i="5"/>
  <c r="J298" i="5"/>
  <c r="K298" i="5" s="1"/>
  <c r="L298" i="5"/>
  <c r="P298" i="5"/>
  <c r="R298" i="5" s="1"/>
  <c r="Q298" i="5"/>
  <c r="C299" i="5"/>
  <c r="D299" i="5"/>
  <c r="E299" i="5"/>
  <c r="H299" i="5"/>
  <c r="I299" i="5" s="1"/>
  <c r="J299" i="5"/>
  <c r="K299" i="5" s="1"/>
  <c r="L299" i="5"/>
  <c r="M299" i="5" s="1"/>
  <c r="P299" i="5"/>
  <c r="R299" i="5" s="1"/>
  <c r="S299" i="5" s="1"/>
  <c r="Q299" i="5"/>
  <c r="C300" i="5"/>
  <c r="S300" i="5" s="1"/>
  <c r="D300" i="5"/>
  <c r="E300" i="5" s="1"/>
  <c r="H300" i="5"/>
  <c r="I300" i="5" s="1"/>
  <c r="J300" i="5"/>
  <c r="L300" i="5"/>
  <c r="M300" i="5" s="1"/>
  <c r="P300" i="5"/>
  <c r="Q300" i="5"/>
  <c r="R300" i="5"/>
  <c r="C301" i="5"/>
  <c r="D301" i="5"/>
  <c r="E301" i="5"/>
  <c r="H301" i="5"/>
  <c r="J301" i="5" s="1"/>
  <c r="I301" i="5"/>
  <c r="L301" i="5"/>
  <c r="M301" i="5"/>
  <c r="N301" i="5"/>
  <c r="O301" i="5" s="1"/>
  <c r="P301" i="5"/>
  <c r="R301" i="5" s="1"/>
  <c r="S301" i="5" s="1"/>
  <c r="Q301" i="5"/>
  <c r="C302" i="5"/>
  <c r="D302" i="5"/>
  <c r="E302" i="5" s="1"/>
  <c r="H302" i="5"/>
  <c r="J302" i="5" s="1"/>
  <c r="I302" i="5"/>
  <c r="L302" i="5"/>
  <c r="M302" i="5"/>
  <c r="N302" i="5"/>
  <c r="O302" i="5" s="1"/>
  <c r="P302" i="5"/>
  <c r="C303" i="5"/>
  <c r="I303" i="7" s="1"/>
  <c r="D303" i="5"/>
  <c r="E303" i="5" s="1"/>
  <c r="H303" i="5"/>
  <c r="I303" i="5"/>
  <c r="J303" i="5"/>
  <c r="L303" i="5"/>
  <c r="M303" i="5" s="1"/>
  <c r="N303" i="5"/>
  <c r="O303" i="5" s="1"/>
  <c r="P303" i="5"/>
  <c r="Q303" i="5" s="1"/>
  <c r="C304" i="5"/>
  <c r="I304" i="8" s="1"/>
  <c r="D304" i="5"/>
  <c r="H304" i="5"/>
  <c r="I304" i="5" s="1"/>
  <c r="L304" i="5"/>
  <c r="M304" i="5" s="1"/>
  <c r="N304" i="5"/>
  <c r="P304" i="5"/>
  <c r="Q304" i="5" s="1"/>
  <c r="C305" i="5"/>
  <c r="D305" i="5"/>
  <c r="E305" i="5" s="1"/>
  <c r="H305" i="5"/>
  <c r="I305" i="5"/>
  <c r="J305" i="5"/>
  <c r="K305" i="5"/>
  <c r="L305" i="5"/>
  <c r="N305" i="5" s="1"/>
  <c r="M305" i="5"/>
  <c r="P305" i="5"/>
  <c r="Q305" i="5"/>
  <c r="R305" i="5"/>
  <c r="S305" i="5" s="1"/>
  <c r="C306" i="5"/>
  <c r="D306" i="5"/>
  <c r="H306" i="5"/>
  <c r="I306" i="5" s="1"/>
  <c r="L306" i="5"/>
  <c r="N306" i="5" s="1"/>
  <c r="M306" i="5"/>
  <c r="P306" i="5"/>
  <c r="Q306" i="5"/>
  <c r="R306" i="5"/>
  <c r="S306" i="5" s="1"/>
  <c r="C307" i="5"/>
  <c r="D307" i="5"/>
  <c r="E307" i="5" s="1"/>
  <c r="H307" i="5"/>
  <c r="I307" i="5" s="1"/>
  <c r="L307" i="5"/>
  <c r="M307" i="5"/>
  <c r="N307" i="5"/>
  <c r="P307" i="5"/>
  <c r="Q307" i="5" s="1"/>
  <c r="R307" i="5"/>
  <c r="S307" i="5" s="1"/>
  <c r="C308" i="5"/>
  <c r="D308" i="5"/>
  <c r="E308" i="5" s="1"/>
  <c r="H308" i="5"/>
  <c r="J308" i="5" s="1"/>
  <c r="L308" i="5"/>
  <c r="M308" i="5" s="1"/>
  <c r="P308" i="5"/>
  <c r="Q308" i="5" s="1"/>
  <c r="R308" i="5"/>
  <c r="C309" i="5"/>
  <c r="D309" i="5"/>
  <c r="E309" i="5"/>
  <c r="H309" i="5"/>
  <c r="I309" i="5" s="1"/>
  <c r="L309" i="5"/>
  <c r="M309" i="5"/>
  <c r="N309" i="5"/>
  <c r="O309" i="5" s="1"/>
  <c r="P309" i="5"/>
  <c r="R309" i="5" s="1"/>
  <c r="Q309" i="5"/>
  <c r="C310" i="5"/>
  <c r="D310" i="5"/>
  <c r="E310" i="5"/>
  <c r="H310" i="5"/>
  <c r="L310" i="5"/>
  <c r="M310" i="5" s="1"/>
  <c r="P310" i="5"/>
  <c r="R310" i="5" s="1"/>
  <c r="Q310" i="5"/>
  <c r="C311" i="5"/>
  <c r="D311" i="5"/>
  <c r="E311" i="5"/>
  <c r="H311" i="5"/>
  <c r="I311" i="5" s="1"/>
  <c r="L311" i="5"/>
  <c r="M311" i="5" s="1"/>
  <c r="P311" i="5"/>
  <c r="Q311" i="5"/>
  <c r="R311" i="5"/>
  <c r="C312" i="5"/>
  <c r="I312" i="9" s="1"/>
  <c r="D312" i="5"/>
  <c r="E312" i="5"/>
  <c r="H312" i="5"/>
  <c r="I312" i="5" s="1"/>
  <c r="J312" i="5"/>
  <c r="K312" i="5"/>
  <c r="L312" i="5"/>
  <c r="N312" i="5" s="1"/>
  <c r="P312" i="5"/>
  <c r="Q312" i="5" s="1"/>
  <c r="C313" i="5"/>
  <c r="D313" i="5"/>
  <c r="E313" i="5"/>
  <c r="H313" i="5"/>
  <c r="K313" i="5" s="1"/>
  <c r="I313" i="5"/>
  <c r="J313" i="5"/>
  <c r="L313" i="5"/>
  <c r="M313" i="5" s="1"/>
  <c r="P313" i="5"/>
  <c r="Q313" i="5"/>
  <c r="R313" i="5"/>
  <c r="S313" i="5"/>
  <c r="C314" i="5"/>
  <c r="D314" i="5"/>
  <c r="H314" i="5"/>
  <c r="J314" i="5" s="1"/>
  <c r="I314" i="5"/>
  <c r="L314" i="5"/>
  <c r="P314" i="5"/>
  <c r="Q314" i="5" s="1"/>
  <c r="C315" i="5"/>
  <c r="I315" i="8" s="1"/>
  <c r="D315" i="5"/>
  <c r="E315" i="5" s="1"/>
  <c r="H315" i="5"/>
  <c r="J315" i="5" s="1"/>
  <c r="L315" i="5"/>
  <c r="M315" i="5" s="1"/>
  <c r="P315" i="5"/>
  <c r="Q315" i="5" s="1"/>
  <c r="C316" i="5"/>
  <c r="I316" i="8" s="1"/>
  <c r="D316" i="5"/>
  <c r="E316" i="5" s="1"/>
  <c r="H316" i="5"/>
  <c r="I316" i="5"/>
  <c r="J316" i="5"/>
  <c r="K316" i="5"/>
  <c r="L316" i="5"/>
  <c r="M316" i="5" s="1"/>
  <c r="N316" i="5"/>
  <c r="O316" i="5"/>
  <c r="P316" i="5"/>
  <c r="R316" i="5" s="1"/>
  <c r="C317" i="5"/>
  <c r="I317" i="7" s="1"/>
  <c r="D317" i="5"/>
  <c r="E317" i="5"/>
  <c r="H317" i="5"/>
  <c r="J317" i="5" s="1"/>
  <c r="K317" i="5" s="1"/>
  <c r="I317" i="5"/>
  <c r="L317" i="5"/>
  <c r="N317" i="5" s="1"/>
  <c r="M317" i="5"/>
  <c r="P317" i="5"/>
  <c r="Q317" i="5" s="1"/>
  <c r="C318" i="5"/>
  <c r="I318" i="8" s="1"/>
  <c r="D318" i="5"/>
  <c r="E318" i="5"/>
  <c r="H318" i="5"/>
  <c r="L318" i="5"/>
  <c r="N318" i="5" s="1"/>
  <c r="M318" i="5"/>
  <c r="P318" i="5"/>
  <c r="C319" i="5"/>
  <c r="I319" i="8" s="1"/>
  <c r="D319" i="5"/>
  <c r="E319" i="5" s="1"/>
  <c r="H319" i="5"/>
  <c r="I319" i="5" s="1"/>
  <c r="L319" i="5"/>
  <c r="N319" i="5" s="1"/>
  <c r="P319" i="5"/>
  <c r="Q319" i="5" s="1"/>
  <c r="C320" i="5"/>
  <c r="I320" i="9" s="1"/>
  <c r="D320" i="5"/>
  <c r="E320" i="5" s="1"/>
  <c r="H320" i="5"/>
  <c r="I320" i="5" s="1"/>
  <c r="L320" i="5"/>
  <c r="M320" i="5"/>
  <c r="N320" i="5"/>
  <c r="O320" i="5"/>
  <c r="P320" i="5"/>
  <c r="Q320" i="5" s="1"/>
  <c r="R320" i="5"/>
  <c r="S320" i="5"/>
  <c r="C321" i="5"/>
  <c r="D321" i="5"/>
  <c r="E321" i="5"/>
  <c r="H321" i="5"/>
  <c r="I321" i="5"/>
  <c r="J321" i="5"/>
  <c r="K321" i="5" s="1"/>
  <c r="L321" i="5"/>
  <c r="N321" i="5" s="1"/>
  <c r="M321" i="5"/>
  <c r="O321" i="5"/>
  <c r="P321" i="5"/>
  <c r="Q321" i="5" s="1"/>
  <c r="C322" i="5"/>
  <c r="D322" i="5"/>
  <c r="E322" i="5"/>
  <c r="H322" i="5"/>
  <c r="I322" i="5"/>
  <c r="J322" i="5"/>
  <c r="K322" i="5"/>
  <c r="L322" i="5"/>
  <c r="P322" i="5"/>
  <c r="R322" i="5" s="1"/>
  <c r="Q322" i="5"/>
  <c r="C323" i="5"/>
  <c r="D323" i="5"/>
  <c r="E323" i="5"/>
  <c r="H323" i="5"/>
  <c r="I323" i="5" s="1"/>
  <c r="J323" i="5"/>
  <c r="L323" i="5"/>
  <c r="M323" i="5" s="1"/>
  <c r="P323" i="5"/>
  <c r="Q323" i="5" s="1"/>
  <c r="C324" i="5"/>
  <c r="S324" i="5" s="1"/>
  <c r="D324" i="5"/>
  <c r="E324" i="5" s="1"/>
  <c r="H324" i="5"/>
  <c r="I324" i="5" s="1"/>
  <c r="J324" i="5"/>
  <c r="L324" i="5"/>
  <c r="P324" i="5"/>
  <c r="Q324" i="5"/>
  <c r="R324" i="5"/>
  <c r="C325" i="5"/>
  <c r="D325" i="5"/>
  <c r="E325" i="5"/>
  <c r="H325" i="5"/>
  <c r="I325" i="5"/>
  <c r="L325" i="5"/>
  <c r="M325" i="5"/>
  <c r="N325" i="5"/>
  <c r="O325" i="5" s="1"/>
  <c r="P325" i="5"/>
  <c r="R325" i="5" s="1"/>
  <c r="Q325" i="5"/>
  <c r="S325" i="5"/>
  <c r="C326" i="5"/>
  <c r="D326" i="5"/>
  <c r="E326" i="5" s="1"/>
  <c r="H326" i="5"/>
  <c r="J326" i="5" s="1"/>
  <c r="I326" i="5"/>
  <c r="L326" i="5"/>
  <c r="M326" i="5"/>
  <c r="N326" i="5"/>
  <c r="O326" i="5" s="1"/>
  <c r="P326" i="5"/>
  <c r="C327" i="5"/>
  <c r="K327" i="5" s="1"/>
  <c r="D327" i="5"/>
  <c r="E327" i="5" s="1"/>
  <c r="H327" i="5"/>
  <c r="I327" i="5"/>
  <c r="J327" i="5"/>
  <c r="L327" i="5"/>
  <c r="M327" i="5" s="1"/>
  <c r="N327" i="5"/>
  <c r="O327" i="5" s="1"/>
  <c r="P327" i="5"/>
  <c r="Q327" i="5" s="1"/>
  <c r="C328" i="5"/>
  <c r="D328" i="5"/>
  <c r="E328" i="5" s="1"/>
  <c r="H328" i="5"/>
  <c r="I328" i="5" s="1"/>
  <c r="L328" i="5"/>
  <c r="M328" i="5" s="1"/>
  <c r="N328" i="5"/>
  <c r="P328" i="5"/>
  <c r="C329" i="5"/>
  <c r="I329" i="8" s="1"/>
  <c r="D329" i="5"/>
  <c r="E329" i="5" s="1"/>
  <c r="H329" i="5"/>
  <c r="I329" i="5"/>
  <c r="J329" i="5"/>
  <c r="K329" i="5" s="1"/>
  <c r="L329" i="5"/>
  <c r="M329" i="5"/>
  <c r="P329" i="5"/>
  <c r="Q329" i="5"/>
  <c r="R329" i="5"/>
  <c r="S329" i="5" s="1"/>
  <c r="C330" i="5"/>
  <c r="D330" i="5"/>
  <c r="H330" i="5"/>
  <c r="I330" i="5" s="1"/>
  <c r="L330" i="5"/>
  <c r="N330" i="5" s="1"/>
  <c r="M330" i="5"/>
  <c r="P330" i="5"/>
  <c r="Q330" i="5"/>
  <c r="R330" i="5"/>
  <c r="S330" i="5"/>
  <c r="C331" i="5"/>
  <c r="D331" i="5"/>
  <c r="E331" i="5" s="1"/>
  <c r="H331" i="5"/>
  <c r="I331" i="5" s="1"/>
  <c r="L331" i="5"/>
  <c r="M331" i="5"/>
  <c r="N331" i="5"/>
  <c r="P331" i="5"/>
  <c r="Q331" i="5" s="1"/>
  <c r="R331" i="5"/>
  <c r="C332" i="5"/>
  <c r="D332" i="5"/>
  <c r="E332" i="5" s="1"/>
  <c r="H332" i="5"/>
  <c r="I332" i="5" s="1"/>
  <c r="L332" i="5"/>
  <c r="M332" i="5" s="1"/>
  <c r="P332" i="5"/>
  <c r="Q332" i="5" s="1"/>
  <c r="R332" i="5"/>
  <c r="C333" i="5"/>
  <c r="O333" i="5" s="1"/>
  <c r="D333" i="5"/>
  <c r="E333" i="5"/>
  <c r="H333" i="5"/>
  <c r="I333" i="5" s="1"/>
  <c r="L333" i="5"/>
  <c r="M333" i="5"/>
  <c r="N333" i="5"/>
  <c r="P333" i="5"/>
  <c r="Q333" i="5" s="1"/>
  <c r="C334" i="5"/>
  <c r="I334" i="8" s="1"/>
  <c r="D334" i="5"/>
  <c r="E334" i="5"/>
  <c r="H334" i="5"/>
  <c r="J334" i="5"/>
  <c r="L334" i="5"/>
  <c r="M334" i="5" s="1"/>
  <c r="P334" i="5"/>
  <c r="R334" i="5" s="1"/>
  <c r="Q334" i="5"/>
  <c r="C335" i="5"/>
  <c r="D335" i="5"/>
  <c r="E335" i="5" s="1"/>
  <c r="H335" i="5"/>
  <c r="L335" i="5"/>
  <c r="M335" i="5" s="1"/>
  <c r="P335" i="5"/>
  <c r="Q335" i="5"/>
  <c r="R335" i="5"/>
  <c r="C336" i="5"/>
  <c r="D336" i="5"/>
  <c r="E336" i="5"/>
  <c r="H336" i="5"/>
  <c r="I336" i="5" s="1"/>
  <c r="J336" i="5"/>
  <c r="K336" i="5"/>
  <c r="L336" i="5"/>
  <c r="M336" i="5" s="1"/>
  <c r="P336" i="5"/>
  <c r="Q336" i="5" s="1"/>
  <c r="C337" i="5"/>
  <c r="D337" i="5"/>
  <c r="E337" i="5"/>
  <c r="H337" i="5"/>
  <c r="I337" i="5" s="1"/>
  <c r="L337" i="5"/>
  <c r="M337" i="5" s="1"/>
  <c r="P337" i="5"/>
  <c r="Q337" i="5"/>
  <c r="R337" i="5"/>
  <c r="S337" i="5" s="1"/>
  <c r="C338" i="5"/>
  <c r="I338" i="8" s="1"/>
  <c r="D338" i="5"/>
  <c r="E338" i="5"/>
  <c r="H338" i="5"/>
  <c r="J338" i="5" s="1"/>
  <c r="I338" i="5"/>
  <c r="L338" i="5"/>
  <c r="N338" i="5" s="1"/>
  <c r="P338" i="5"/>
  <c r="Q338" i="5" s="1"/>
  <c r="C339" i="5"/>
  <c r="D339" i="5"/>
  <c r="E339" i="5" s="1"/>
  <c r="H339" i="5"/>
  <c r="I339" i="5"/>
  <c r="L339" i="5"/>
  <c r="P339" i="5"/>
  <c r="Q339" i="5" s="1"/>
  <c r="C340" i="5"/>
  <c r="D340" i="5"/>
  <c r="H340" i="5"/>
  <c r="I340" i="5"/>
  <c r="J340" i="5"/>
  <c r="K340" i="5"/>
  <c r="L340" i="5"/>
  <c r="M340" i="5" s="1"/>
  <c r="N340" i="5"/>
  <c r="O340" i="5"/>
  <c r="P340" i="5"/>
  <c r="Q340" i="5" s="1"/>
  <c r="R340" i="5"/>
  <c r="C341" i="5"/>
  <c r="D341" i="5"/>
  <c r="E341" i="5"/>
  <c r="H341" i="5"/>
  <c r="J341" i="5" s="1"/>
  <c r="I341" i="5"/>
  <c r="K341" i="5"/>
  <c r="L341" i="5"/>
  <c r="M341" i="5" s="1"/>
  <c r="P341" i="5"/>
  <c r="C342" i="5"/>
  <c r="D342" i="5"/>
  <c r="E342" i="5"/>
  <c r="H342" i="5"/>
  <c r="I342" i="5"/>
  <c r="L342" i="5"/>
  <c r="N342" i="5" s="1"/>
  <c r="M342" i="5"/>
  <c r="P342" i="5"/>
  <c r="R342" i="5" s="1"/>
  <c r="C343" i="5"/>
  <c r="D343" i="5"/>
  <c r="E343" i="5" s="1"/>
  <c r="H343" i="5"/>
  <c r="I343" i="5" s="1"/>
  <c r="L343" i="5"/>
  <c r="M343" i="5" s="1"/>
  <c r="N343" i="5"/>
  <c r="P343" i="5"/>
  <c r="C344" i="5"/>
  <c r="D344" i="5"/>
  <c r="E344" i="5" s="1"/>
  <c r="H344" i="5"/>
  <c r="L344" i="5"/>
  <c r="M344" i="5"/>
  <c r="N344" i="5"/>
  <c r="O344" i="5"/>
  <c r="P344" i="5"/>
  <c r="Q344" i="5" s="1"/>
  <c r="R344" i="5"/>
  <c r="S344" i="5" s="1"/>
  <c r="C345" i="5"/>
  <c r="I345" i="9" s="1"/>
  <c r="D345" i="5"/>
  <c r="E345" i="5" s="1"/>
  <c r="H345" i="5"/>
  <c r="I345" i="5"/>
  <c r="J345" i="5"/>
  <c r="K345" i="5" s="1"/>
  <c r="L345" i="5"/>
  <c r="N345" i="5" s="1"/>
  <c r="M345" i="5"/>
  <c r="O345" i="5"/>
  <c r="P345" i="5"/>
  <c r="Q345" i="5" s="1"/>
  <c r="C346" i="5"/>
  <c r="D346" i="5"/>
  <c r="E346" i="5"/>
  <c r="H346" i="5"/>
  <c r="I346" i="5" s="1"/>
  <c r="L346" i="5"/>
  <c r="M346" i="5" s="1"/>
  <c r="P346" i="5"/>
  <c r="R346" i="5" s="1"/>
  <c r="Q346" i="5"/>
  <c r="C347" i="5"/>
  <c r="D347" i="5"/>
  <c r="E347" i="5"/>
  <c r="H347" i="5"/>
  <c r="I347" i="5" s="1"/>
  <c r="J347" i="5"/>
  <c r="L347" i="5"/>
  <c r="M347" i="5" s="1"/>
  <c r="P347" i="5"/>
  <c r="R347" i="5" s="1"/>
  <c r="S347" i="5" s="1"/>
  <c r="Q347" i="5"/>
  <c r="C348" i="5"/>
  <c r="D348" i="5"/>
  <c r="E348" i="5" s="1"/>
  <c r="H348" i="5"/>
  <c r="I348" i="5" s="1"/>
  <c r="J348" i="5"/>
  <c r="L348" i="5"/>
  <c r="P348" i="5"/>
  <c r="Q348" i="5"/>
  <c r="R348" i="5"/>
  <c r="C349" i="5"/>
  <c r="D349" i="5"/>
  <c r="E349" i="5"/>
  <c r="H349" i="5"/>
  <c r="I349" i="5" s="1"/>
  <c r="L349" i="5"/>
  <c r="M349" i="5"/>
  <c r="N349" i="5"/>
  <c r="O349" i="5" s="1"/>
  <c r="P349" i="5"/>
  <c r="R349" i="5" s="1"/>
  <c r="Q349" i="5"/>
  <c r="S349" i="5"/>
  <c r="C350" i="5"/>
  <c r="D350" i="5"/>
  <c r="E350" i="5" s="1"/>
  <c r="H350" i="5"/>
  <c r="J350" i="5" s="1"/>
  <c r="I350" i="5"/>
  <c r="L350" i="5"/>
  <c r="P350" i="5"/>
  <c r="Q350" i="5" s="1"/>
  <c r="C351" i="5"/>
  <c r="D351" i="5"/>
  <c r="E351" i="5" s="1"/>
  <c r="H351" i="5"/>
  <c r="I351" i="5"/>
  <c r="J351" i="5"/>
  <c r="K351" i="5" s="1"/>
  <c r="L351" i="5"/>
  <c r="M351" i="5" s="1"/>
  <c r="N351" i="5"/>
  <c r="O351" i="5" s="1"/>
  <c r="P351" i="5"/>
  <c r="Q351" i="5" s="1"/>
  <c r="C352" i="5"/>
  <c r="D352" i="5"/>
  <c r="E352" i="5"/>
  <c r="H352" i="5"/>
  <c r="I352" i="5" s="1"/>
  <c r="L352" i="5"/>
  <c r="M352" i="5" s="1"/>
  <c r="N352" i="5"/>
  <c r="P352" i="5"/>
  <c r="C353" i="5"/>
  <c r="D353" i="5"/>
  <c r="H353" i="5"/>
  <c r="I353" i="5"/>
  <c r="J353" i="5"/>
  <c r="K353" i="5" s="1"/>
  <c r="L353" i="5"/>
  <c r="M353" i="5"/>
  <c r="N353" i="5"/>
  <c r="P353" i="5"/>
  <c r="Q353" i="5"/>
  <c r="R353" i="5"/>
  <c r="S353" i="5" s="1"/>
  <c r="C354" i="5"/>
  <c r="D354" i="5"/>
  <c r="H354" i="5"/>
  <c r="I354" i="5" s="1"/>
  <c r="L354" i="5"/>
  <c r="N354" i="5" s="1"/>
  <c r="M354" i="5"/>
  <c r="P354" i="5"/>
  <c r="R354" i="5" s="1"/>
  <c r="S354" i="5" s="1"/>
  <c r="Q354" i="5"/>
  <c r="C355" i="5"/>
  <c r="O355" i="5" s="1"/>
  <c r="D355" i="5"/>
  <c r="H355" i="5"/>
  <c r="I355" i="5" s="1"/>
  <c r="L355" i="5"/>
  <c r="M355" i="5"/>
  <c r="N355" i="5"/>
  <c r="P355" i="5"/>
  <c r="Q355" i="5" s="1"/>
  <c r="R355" i="5"/>
  <c r="C356" i="5"/>
  <c r="I356" i="8" s="1"/>
  <c r="D356" i="5"/>
  <c r="E356" i="5" s="1"/>
  <c r="H356" i="5"/>
  <c r="I356" i="5"/>
  <c r="J356" i="5"/>
  <c r="L356" i="5"/>
  <c r="M356" i="5" s="1"/>
  <c r="P356" i="5"/>
  <c r="Q356" i="5" s="1"/>
  <c r="R356" i="5"/>
  <c r="C357" i="5"/>
  <c r="D357" i="5"/>
  <c r="E357" i="5" s="1"/>
  <c r="H357" i="5"/>
  <c r="J357" i="5"/>
  <c r="L357" i="5"/>
  <c r="M357" i="5"/>
  <c r="N357" i="5"/>
  <c r="O357" i="5" s="1"/>
  <c r="P357" i="5"/>
  <c r="R357" i="5" s="1"/>
  <c r="Q357" i="5"/>
  <c r="C358" i="5"/>
  <c r="I358" i="9" s="1"/>
  <c r="D358" i="5"/>
  <c r="E358" i="5"/>
  <c r="H358" i="5"/>
  <c r="J358" i="5" s="1"/>
  <c r="L358" i="5"/>
  <c r="N358" i="5" s="1"/>
  <c r="M358" i="5"/>
  <c r="O358" i="5"/>
  <c r="P358" i="5"/>
  <c r="R358" i="5" s="1"/>
  <c r="Q358" i="5"/>
  <c r="C359" i="5"/>
  <c r="D359" i="5"/>
  <c r="E359" i="5"/>
  <c r="H359" i="5"/>
  <c r="L359" i="5"/>
  <c r="M359" i="5" s="1"/>
  <c r="P359" i="5"/>
  <c r="Q359" i="5"/>
  <c r="R359" i="5"/>
  <c r="C360" i="5"/>
  <c r="D360" i="5"/>
  <c r="E360" i="5"/>
  <c r="H360" i="5"/>
  <c r="I360" i="5" s="1"/>
  <c r="J360" i="5"/>
  <c r="K360" i="5" s="1"/>
  <c r="L360" i="5"/>
  <c r="M360" i="5"/>
  <c r="N360" i="5"/>
  <c r="O360" i="5"/>
  <c r="P360" i="5"/>
  <c r="Q360" i="5" s="1"/>
  <c r="C361" i="5"/>
  <c r="D361" i="5"/>
  <c r="E361" i="5"/>
  <c r="H361" i="5"/>
  <c r="I361" i="5" s="1"/>
  <c r="L361" i="5"/>
  <c r="N361" i="5"/>
  <c r="P361" i="5"/>
  <c r="Q361" i="5"/>
  <c r="R361" i="5"/>
  <c r="S361" i="5" s="1"/>
  <c r="C362" i="5"/>
  <c r="I362" i="8" s="1"/>
  <c r="D362" i="5"/>
  <c r="E362" i="5" s="1"/>
  <c r="H362" i="5"/>
  <c r="J362" i="5" s="1"/>
  <c r="I362" i="5"/>
  <c r="L362" i="5"/>
  <c r="N362" i="5" s="1"/>
  <c r="P362" i="5"/>
  <c r="Q362" i="5" s="1"/>
  <c r="C363" i="5"/>
  <c r="I363" i="8" s="1"/>
  <c r="D363" i="5"/>
  <c r="H363" i="5"/>
  <c r="J363" i="5" s="1"/>
  <c r="I363" i="5"/>
  <c r="L363" i="5"/>
  <c r="P363" i="5"/>
  <c r="C364" i="5"/>
  <c r="I364" i="7" s="1"/>
  <c r="D364" i="5"/>
  <c r="H364" i="5"/>
  <c r="I364" i="5"/>
  <c r="J364" i="5"/>
  <c r="K364" i="5"/>
  <c r="L364" i="5"/>
  <c r="M364" i="5" s="1"/>
  <c r="N364" i="5"/>
  <c r="O364" i="5"/>
  <c r="P364" i="5"/>
  <c r="R364" i="5" s="1"/>
  <c r="Q364" i="5"/>
  <c r="C365" i="5"/>
  <c r="I365" i="8" s="1"/>
  <c r="D365" i="5"/>
  <c r="E365" i="5"/>
  <c r="H365" i="5"/>
  <c r="J365" i="5" s="1"/>
  <c r="K365" i="5" s="1"/>
  <c r="I365" i="5"/>
  <c r="L365" i="5"/>
  <c r="M365" i="5" s="1"/>
  <c r="P365" i="5"/>
  <c r="R365" i="5"/>
  <c r="C366" i="5"/>
  <c r="I366" i="8" s="1"/>
  <c r="D366" i="5"/>
  <c r="H366" i="5"/>
  <c r="I366" i="5" s="1"/>
  <c r="L366" i="5"/>
  <c r="N366" i="5" s="1"/>
  <c r="M366" i="5"/>
  <c r="P366" i="5"/>
  <c r="R366" i="5"/>
  <c r="C367" i="5"/>
  <c r="I367" i="7" s="1"/>
  <c r="D367" i="5"/>
  <c r="E367" i="5" s="1"/>
  <c r="H367" i="5"/>
  <c r="L367" i="5"/>
  <c r="M367" i="5" s="1"/>
  <c r="P367" i="5"/>
  <c r="C368" i="5"/>
  <c r="D368" i="5"/>
  <c r="E368" i="5" s="1"/>
  <c r="H368" i="5"/>
  <c r="L368" i="5"/>
  <c r="M368" i="5"/>
  <c r="N368" i="5"/>
  <c r="O368" i="5"/>
  <c r="P368" i="5"/>
  <c r="Q368" i="5" s="1"/>
  <c r="R368" i="5"/>
  <c r="S368" i="5"/>
  <c r="C369" i="5"/>
  <c r="I369" i="9" s="1"/>
  <c r="D369" i="5"/>
  <c r="E369" i="5"/>
  <c r="H369" i="5"/>
  <c r="I369" i="5"/>
  <c r="J369" i="5"/>
  <c r="L369" i="5"/>
  <c r="N369" i="5" s="1"/>
  <c r="M369" i="5"/>
  <c r="O369" i="5"/>
  <c r="P369" i="5"/>
  <c r="Q369" i="5" s="1"/>
  <c r="C370" i="5"/>
  <c r="D370" i="5"/>
  <c r="E370" i="5"/>
  <c r="H370" i="5"/>
  <c r="J370" i="5" s="1"/>
  <c r="K370" i="5" s="1"/>
  <c r="I370" i="5"/>
  <c r="L370" i="5"/>
  <c r="M370" i="5" s="1"/>
  <c r="P370" i="5"/>
  <c r="R370" i="5" s="1"/>
  <c r="Q370" i="5"/>
  <c r="C371" i="5"/>
  <c r="I371" i="9" s="1"/>
  <c r="D371" i="5"/>
  <c r="E371" i="5"/>
  <c r="H371" i="5"/>
  <c r="I371" i="5" s="1"/>
  <c r="J371" i="5"/>
  <c r="K371" i="5" s="1"/>
  <c r="L371" i="5"/>
  <c r="P371" i="5"/>
  <c r="R371" i="5" s="1"/>
  <c r="S371" i="5" s="1"/>
  <c r="Q371" i="5"/>
  <c r="C372" i="5"/>
  <c r="D372" i="5"/>
  <c r="E372" i="5" s="1"/>
  <c r="H372" i="5"/>
  <c r="I372" i="5" s="1"/>
  <c r="J372" i="5"/>
  <c r="L372" i="5"/>
  <c r="P372" i="5"/>
  <c r="Q372" i="5"/>
  <c r="R372" i="5"/>
  <c r="S372" i="5"/>
  <c r="C373" i="5"/>
  <c r="D373" i="5"/>
  <c r="E373" i="5"/>
  <c r="H373" i="5"/>
  <c r="I373" i="5"/>
  <c r="J373" i="5"/>
  <c r="K373" i="5"/>
  <c r="L373" i="5"/>
  <c r="M373" i="5"/>
  <c r="N373" i="5"/>
  <c r="P373" i="5"/>
  <c r="R373" i="5" s="1"/>
  <c r="Q373" i="5"/>
  <c r="S373" i="5"/>
  <c r="C374" i="5"/>
  <c r="D374" i="5"/>
  <c r="E374" i="5"/>
  <c r="H374" i="5"/>
  <c r="J374" i="5" s="1"/>
  <c r="I374" i="5"/>
  <c r="L374" i="5"/>
  <c r="O374" i="5" s="1"/>
  <c r="M374" i="5"/>
  <c r="N374" i="5"/>
  <c r="P374" i="5"/>
  <c r="Q374" i="5" s="1"/>
  <c r="C375" i="5"/>
  <c r="I375" i="7" s="1"/>
  <c r="D375" i="5"/>
  <c r="H375" i="5"/>
  <c r="I375" i="5"/>
  <c r="J375" i="5"/>
  <c r="K375" i="5" s="1"/>
  <c r="L375" i="5"/>
  <c r="M375" i="5" s="1"/>
  <c r="N375" i="5"/>
  <c r="O375" i="5" s="1"/>
  <c r="P375" i="5"/>
  <c r="C376" i="5"/>
  <c r="I376" i="8" s="1"/>
  <c r="D376" i="5"/>
  <c r="E376" i="5" s="1"/>
  <c r="H376" i="5"/>
  <c r="L376" i="5"/>
  <c r="M376" i="5" s="1"/>
  <c r="N376" i="5"/>
  <c r="P376" i="5"/>
  <c r="C377" i="5"/>
  <c r="D377" i="5"/>
  <c r="H377" i="5"/>
  <c r="I377" i="5"/>
  <c r="J377" i="5"/>
  <c r="K377" i="5"/>
  <c r="L377" i="5"/>
  <c r="N377" i="5" s="1"/>
  <c r="M377" i="5"/>
  <c r="P377" i="5"/>
  <c r="Q377" i="5"/>
  <c r="R377" i="5"/>
  <c r="C378" i="5"/>
  <c r="I378" i="8" s="1"/>
  <c r="D378" i="5"/>
  <c r="H378" i="5"/>
  <c r="J378" i="5" s="1"/>
  <c r="I378" i="5"/>
  <c r="K378" i="5"/>
  <c r="L378" i="5"/>
  <c r="N378" i="5" s="1"/>
  <c r="M378" i="5"/>
  <c r="P378" i="5"/>
  <c r="C379" i="5"/>
  <c r="I379" i="9" s="1"/>
  <c r="D379" i="5"/>
  <c r="E379" i="5"/>
  <c r="H379" i="5"/>
  <c r="L379" i="5"/>
  <c r="M379" i="5"/>
  <c r="N379" i="5"/>
  <c r="O379" i="5" s="1"/>
  <c r="P379" i="5"/>
  <c r="Q379" i="5" s="1"/>
  <c r="R379" i="5"/>
  <c r="S379" i="5" s="1"/>
  <c r="C380" i="5"/>
  <c r="I380" i="7" s="1"/>
  <c r="D380" i="5"/>
  <c r="E380" i="5" s="1"/>
  <c r="H380" i="5"/>
  <c r="I380" i="5"/>
  <c r="J380" i="5"/>
  <c r="K380" i="5"/>
  <c r="L380" i="5"/>
  <c r="P380" i="5"/>
  <c r="Q380" i="5" s="1"/>
  <c r="R380" i="5"/>
  <c r="C381" i="5"/>
  <c r="I381" i="7" s="1"/>
  <c r="D381" i="5"/>
  <c r="E381" i="5" s="1"/>
  <c r="H381" i="5"/>
  <c r="I381" i="5"/>
  <c r="J381" i="5"/>
  <c r="L381" i="5"/>
  <c r="M381" i="5"/>
  <c r="N381" i="5"/>
  <c r="O381" i="5" s="1"/>
  <c r="P381" i="5"/>
  <c r="Q381" i="5" s="1"/>
  <c r="C382" i="5"/>
  <c r="D382" i="5"/>
  <c r="E382" i="5"/>
  <c r="H382" i="5"/>
  <c r="J382" i="5"/>
  <c r="L382" i="5"/>
  <c r="N382" i="5" s="1"/>
  <c r="O382" i="5" s="1"/>
  <c r="M382" i="5"/>
  <c r="P382" i="5"/>
  <c r="Q382" i="5" s="1"/>
  <c r="C383" i="5"/>
  <c r="I383" i="9" s="1"/>
  <c r="D383" i="5"/>
  <c r="E383" i="5" s="1"/>
  <c r="H383" i="5"/>
  <c r="I383" i="5" s="1"/>
  <c r="L383" i="5"/>
  <c r="P383" i="5"/>
  <c r="Q383" i="5"/>
  <c r="R383" i="5"/>
  <c r="C384" i="5"/>
  <c r="D384" i="5"/>
  <c r="E384" i="5"/>
  <c r="H384" i="5"/>
  <c r="I384" i="5" s="1"/>
  <c r="J384" i="5"/>
  <c r="K384" i="5"/>
  <c r="L384" i="5"/>
  <c r="M384" i="5" s="1"/>
  <c r="P384" i="5"/>
  <c r="Q384" i="5" s="1"/>
  <c r="R384" i="5"/>
  <c r="C385" i="5"/>
  <c r="D385" i="5"/>
  <c r="E385" i="5"/>
  <c r="H385" i="5"/>
  <c r="I385" i="5" s="1"/>
  <c r="L385" i="5"/>
  <c r="M385" i="5" s="1"/>
  <c r="P385" i="5"/>
  <c r="Q385" i="5"/>
  <c r="R385" i="5"/>
  <c r="S385" i="5" s="1"/>
  <c r="C386" i="5"/>
  <c r="I386" i="8" s="1"/>
  <c r="D386" i="5"/>
  <c r="E386" i="5" s="1"/>
  <c r="H386" i="5"/>
  <c r="I386" i="5"/>
  <c r="L386" i="5"/>
  <c r="N386" i="5"/>
  <c r="P386" i="5"/>
  <c r="Q386" i="5" s="1"/>
  <c r="C387" i="5"/>
  <c r="D387" i="5"/>
  <c r="H387" i="5"/>
  <c r="I387" i="5" s="1"/>
  <c r="L387" i="5"/>
  <c r="N387" i="5" s="1"/>
  <c r="P387" i="5"/>
  <c r="C388" i="5"/>
  <c r="D388" i="5"/>
  <c r="H388" i="5"/>
  <c r="I388" i="5"/>
  <c r="J388" i="5"/>
  <c r="K388" i="5"/>
  <c r="L388" i="5"/>
  <c r="M388" i="5" s="1"/>
  <c r="N388" i="5"/>
  <c r="O388" i="5" s="1"/>
  <c r="P388" i="5"/>
  <c r="C389" i="5"/>
  <c r="D389" i="5"/>
  <c r="E389" i="5"/>
  <c r="H389" i="5"/>
  <c r="J389" i="5" s="1"/>
  <c r="I389" i="5"/>
  <c r="K389" i="5"/>
  <c r="L389" i="5"/>
  <c r="M389" i="5" s="1"/>
  <c r="P389" i="5"/>
  <c r="Q389" i="5" s="1"/>
  <c r="C390" i="5"/>
  <c r="I390" i="8" s="1"/>
  <c r="D390" i="5"/>
  <c r="E390" i="5"/>
  <c r="H390" i="5"/>
  <c r="I390" i="5"/>
  <c r="J390" i="5"/>
  <c r="L390" i="5"/>
  <c r="M390" i="5"/>
  <c r="P390" i="5"/>
  <c r="R390" i="5" s="1"/>
  <c r="C391" i="5"/>
  <c r="D391" i="5"/>
  <c r="E391" i="5" s="1"/>
  <c r="H391" i="5"/>
  <c r="L391" i="5"/>
  <c r="N391" i="5" s="1"/>
  <c r="M391" i="5"/>
  <c r="P391" i="5"/>
  <c r="R391" i="5" s="1"/>
  <c r="S391" i="5"/>
  <c r="C392" i="5"/>
  <c r="D392" i="5"/>
  <c r="E392" i="5" s="1"/>
  <c r="H392" i="5"/>
  <c r="L392" i="5"/>
  <c r="M392" i="5"/>
  <c r="N392" i="5"/>
  <c r="O392" i="5" s="1"/>
  <c r="P392" i="5"/>
  <c r="Q392" i="5" s="1"/>
  <c r="R392" i="5"/>
  <c r="S392" i="5" s="1"/>
  <c r="C393" i="5"/>
  <c r="O393" i="5" s="1"/>
  <c r="D393" i="5"/>
  <c r="E393" i="5" s="1"/>
  <c r="H393" i="5"/>
  <c r="I393" i="5"/>
  <c r="J393" i="5"/>
  <c r="L393" i="5"/>
  <c r="N393" i="5" s="1"/>
  <c r="M393" i="5"/>
  <c r="P393" i="5"/>
  <c r="Q393" i="5" s="1"/>
  <c r="C394" i="5"/>
  <c r="I394" i="9" s="1"/>
  <c r="D394" i="5"/>
  <c r="E394" i="5"/>
  <c r="H394" i="5"/>
  <c r="I394" i="5" s="1"/>
  <c r="J394" i="5"/>
  <c r="K394" i="5"/>
  <c r="L394" i="5"/>
  <c r="N394" i="5" s="1"/>
  <c r="M394" i="5"/>
  <c r="P394" i="5"/>
  <c r="C395" i="5"/>
  <c r="D395" i="5"/>
  <c r="E395" i="5"/>
  <c r="H395" i="5"/>
  <c r="I395" i="5" s="1"/>
  <c r="J395" i="5"/>
  <c r="K395" i="5"/>
  <c r="L395" i="5"/>
  <c r="N395" i="5" s="1"/>
  <c r="M395" i="5"/>
  <c r="O395" i="5"/>
  <c r="P395" i="5"/>
  <c r="Q395" i="5"/>
  <c r="R395" i="5"/>
  <c r="S395" i="5"/>
  <c r="C396" i="5"/>
  <c r="D396" i="5"/>
  <c r="E396" i="5" s="1"/>
  <c r="H396" i="5"/>
  <c r="I396" i="5" s="1"/>
  <c r="J396" i="5"/>
  <c r="L396" i="5"/>
  <c r="M396" i="5" s="1"/>
  <c r="P396" i="5"/>
  <c r="Q396" i="5"/>
  <c r="R396" i="5"/>
  <c r="S396" i="5" s="1"/>
  <c r="C397" i="5"/>
  <c r="S397" i="5" s="1"/>
  <c r="D397" i="5"/>
  <c r="E397" i="5"/>
  <c r="H397" i="5"/>
  <c r="I397" i="5" s="1"/>
  <c r="J397" i="5"/>
  <c r="L397" i="5"/>
  <c r="M397" i="5"/>
  <c r="N397" i="5"/>
  <c r="O397" i="5" s="1"/>
  <c r="P397" i="5"/>
  <c r="R397" i="5" s="1"/>
  <c r="Q397" i="5"/>
  <c r="C398" i="5"/>
  <c r="I398" i="8" s="1"/>
  <c r="D398" i="5"/>
  <c r="E398" i="5"/>
  <c r="H398" i="5"/>
  <c r="L398" i="5"/>
  <c r="O398" i="5" s="1"/>
  <c r="M398" i="5"/>
  <c r="N398" i="5"/>
  <c r="P398" i="5"/>
  <c r="R398" i="5" s="1"/>
  <c r="Q398" i="5"/>
  <c r="C399" i="5"/>
  <c r="D399" i="5"/>
  <c r="E399" i="5"/>
  <c r="H399" i="5"/>
  <c r="I399" i="5"/>
  <c r="J399" i="5"/>
  <c r="K399" i="5" s="1"/>
  <c r="L399" i="5"/>
  <c r="M399" i="5" s="1"/>
  <c r="N399" i="5"/>
  <c r="O399" i="5"/>
  <c r="P399" i="5"/>
  <c r="R399" i="5" s="1"/>
  <c r="Q399" i="5"/>
  <c r="C400" i="5"/>
  <c r="I400" i="7" s="1"/>
  <c r="D400" i="5"/>
  <c r="E400" i="5" s="1"/>
  <c r="H400" i="5"/>
  <c r="I400" i="5" s="1"/>
  <c r="J400" i="5"/>
  <c r="K400" i="5"/>
  <c r="L400" i="5"/>
  <c r="N400" i="5" s="1"/>
  <c r="P400" i="5"/>
  <c r="R400" i="5" s="1"/>
  <c r="C401" i="5"/>
  <c r="I401" i="8" s="1"/>
  <c r="D401" i="5"/>
  <c r="E401" i="5" s="1"/>
  <c r="H401" i="5"/>
  <c r="I401" i="5"/>
  <c r="J401" i="5"/>
  <c r="K401" i="5"/>
  <c r="L401" i="5"/>
  <c r="N401" i="5" s="1"/>
  <c r="P401" i="5"/>
  <c r="S401" i="5" s="1"/>
  <c r="Q401" i="5"/>
  <c r="R401" i="5"/>
  <c r="C402" i="5"/>
  <c r="I402" i="9" s="1"/>
  <c r="D402" i="5"/>
  <c r="E402" i="5" s="1"/>
  <c r="H402" i="5"/>
  <c r="J402" i="5" s="1"/>
  <c r="I402" i="5"/>
  <c r="K402" i="5"/>
  <c r="L402" i="5"/>
  <c r="N402" i="5" s="1"/>
  <c r="M402" i="5"/>
  <c r="P402" i="5"/>
  <c r="Q402" i="5" s="1"/>
  <c r="R402" i="5"/>
  <c r="S402" i="5"/>
  <c r="C403" i="5"/>
  <c r="I403" i="8" s="1"/>
  <c r="D403" i="5"/>
  <c r="H403" i="5"/>
  <c r="J403" i="5" s="1"/>
  <c r="I403" i="5"/>
  <c r="L403" i="5"/>
  <c r="M403" i="5"/>
  <c r="N403" i="5"/>
  <c r="P403" i="5"/>
  <c r="Q403" i="5" s="1"/>
  <c r="C404" i="5"/>
  <c r="D404" i="5"/>
  <c r="E404" i="5" s="1"/>
  <c r="H404" i="5"/>
  <c r="I404" i="5" s="1"/>
  <c r="L404" i="5"/>
  <c r="M404" i="5"/>
  <c r="N404" i="5"/>
  <c r="O404" i="5"/>
  <c r="P404" i="5"/>
  <c r="R404" i="5" s="1"/>
  <c r="C405" i="5"/>
  <c r="O405" i="5" s="1"/>
  <c r="D405" i="5"/>
  <c r="H405" i="5"/>
  <c r="I405" i="5" s="1"/>
  <c r="L405" i="5"/>
  <c r="M405" i="5"/>
  <c r="N405" i="5"/>
  <c r="P405" i="5"/>
  <c r="Q405" i="5"/>
  <c r="R405" i="5"/>
  <c r="S405" i="5"/>
  <c r="C406" i="5"/>
  <c r="I406" i="9" s="1"/>
  <c r="D406" i="5"/>
  <c r="E406" i="5" s="1"/>
  <c r="H406" i="5"/>
  <c r="I406" i="5" s="1"/>
  <c r="L406" i="5"/>
  <c r="N406" i="5" s="1"/>
  <c r="O406" i="5" s="1"/>
  <c r="M406" i="5"/>
  <c r="P406" i="5"/>
  <c r="Q406" i="5" s="1"/>
  <c r="R406" i="5"/>
  <c r="C407" i="5"/>
  <c r="K407" i="5" s="1"/>
  <c r="D407" i="5"/>
  <c r="E407" i="5"/>
  <c r="H407" i="5"/>
  <c r="I407" i="5"/>
  <c r="J407" i="5"/>
  <c r="L407" i="5"/>
  <c r="N407" i="5" s="1"/>
  <c r="M407" i="5"/>
  <c r="P407" i="5"/>
  <c r="Q407" i="5"/>
  <c r="R407" i="5"/>
  <c r="S407" i="5"/>
  <c r="C408" i="5"/>
  <c r="D408" i="5"/>
  <c r="E408" i="5"/>
  <c r="H408" i="5"/>
  <c r="I408" i="5" s="1"/>
  <c r="L408" i="5"/>
  <c r="M408" i="5" s="1"/>
  <c r="P408" i="5"/>
  <c r="Q408" i="5" s="1"/>
  <c r="C409" i="5"/>
  <c r="D409" i="5"/>
  <c r="E409" i="5"/>
  <c r="H409" i="5"/>
  <c r="I409" i="5" s="1"/>
  <c r="J409" i="5"/>
  <c r="L409" i="5"/>
  <c r="M409" i="5" s="1"/>
  <c r="P409" i="5"/>
  <c r="Q409" i="5"/>
  <c r="R409" i="5"/>
  <c r="S409" i="5" s="1"/>
  <c r="C410" i="5"/>
  <c r="D410" i="5"/>
  <c r="E410" i="5" s="1"/>
  <c r="H410" i="5"/>
  <c r="I410" i="5" s="1"/>
  <c r="L410" i="5"/>
  <c r="M410" i="5" s="1"/>
  <c r="P410" i="5"/>
  <c r="R410" i="5" s="1"/>
  <c r="C411" i="5"/>
  <c r="I411" i="9" s="1"/>
  <c r="D411" i="5"/>
  <c r="E411" i="5"/>
  <c r="H411" i="5"/>
  <c r="L411" i="5"/>
  <c r="M411" i="5" s="1"/>
  <c r="N411" i="5"/>
  <c r="P411" i="5"/>
  <c r="R411" i="5" s="1"/>
  <c r="Q411" i="5"/>
  <c r="S411" i="5"/>
  <c r="C412" i="5"/>
  <c r="D412" i="5"/>
  <c r="E412" i="5"/>
  <c r="H412" i="5"/>
  <c r="I412" i="5"/>
  <c r="J412" i="5"/>
  <c r="K412" i="5"/>
  <c r="L412" i="5"/>
  <c r="M412" i="5" s="1"/>
  <c r="N412" i="5"/>
  <c r="O412" i="5"/>
  <c r="P412" i="5"/>
  <c r="R412" i="5" s="1"/>
  <c r="Q412" i="5"/>
  <c r="C413" i="5"/>
  <c r="D413" i="5"/>
  <c r="E413" i="5" s="1"/>
  <c r="H413" i="5"/>
  <c r="J413" i="5" s="1"/>
  <c r="I413" i="5"/>
  <c r="K413" i="5"/>
  <c r="L413" i="5"/>
  <c r="M413" i="5" s="1"/>
  <c r="P413" i="5"/>
  <c r="Q413" i="5" s="1"/>
  <c r="R413" i="5"/>
  <c r="S413" i="5"/>
  <c r="C414" i="5"/>
  <c r="D414" i="5"/>
  <c r="E414" i="5" s="1"/>
  <c r="H414" i="5"/>
  <c r="J414" i="5" s="1"/>
  <c r="I414" i="5"/>
  <c r="L414" i="5"/>
  <c r="N414" i="5" s="1"/>
  <c r="M414" i="5"/>
  <c r="P414" i="5"/>
  <c r="Q414" i="5" s="1"/>
  <c r="C415" i="5"/>
  <c r="D415" i="5"/>
  <c r="E415" i="5" s="1"/>
  <c r="H415" i="5"/>
  <c r="J415" i="5" s="1"/>
  <c r="I415" i="5"/>
  <c r="L415" i="5"/>
  <c r="N415" i="5" s="1"/>
  <c r="O415" i="5" s="1"/>
  <c r="M415" i="5"/>
  <c r="P415" i="5"/>
  <c r="Q415" i="5"/>
  <c r="R415" i="5"/>
  <c r="S415" i="5" s="1"/>
  <c r="C416" i="5"/>
  <c r="D416" i="5"/>
  <c r="H416" i="5"/>
  <c r="J416" i="5" s="1"/>
  <c r="K416" i="5" s="1"/>
  <c r="I416" i="5"/>
  <c r="L416" i="5"/>
  <c r="M416" i="5"/>
  <c r="N416" i="5"/>
  <c r="P416" i="5"/>
  <c r="Q416" i="5" s="1"/>
  <c r="C417" i="5"/>
  <c r="D417" i="5"/>
  <c r="E417" i="5"/>
  <c r="H417" i="5"/>
  <c r="I417" i="5" s="1"/>
  <c r="J417" i="5"/>
  <c r="K417" i="5"/>
  <c r="L417" i="5"/>
  <c r="N417" i="5" s="1"/>
  <c r="O417" i="5" s="1"/>
  <c r="M417" i="5"/>
  <c r="P417" i="5"/>
  <c r="R417" i="5"/>
  <c r="C418" i="5"/>
  <c r="D418" i="5"/>
  <c r="E418" i="5" s="1"/>
  <c r="H418" i="5"/>
  <c r="J418" i="5" s="1"/>
  <c r="I418" i="5"/>
  <c r="L418" i="5"/>
  <c r="M418" i="5" s="1"/>
  <c r="P418" i="5"/>
  <c r="Q418" i="5" s="1"/>
  <c r="C419" i="5"/>
  <c r="D419" i="5"/>
  <c r="E419" i="5"/>
  <c r="H419" i="5"/>
  <c r="I419" i="5" s="1"/>
  <c r="L419" i="5"/>
  <c r="N419" i="5" s="1"/>
  <c r="O419" i="5"/>
  <c r="P419" i="5"/>
  <c r="Q419" i="5" s="1"/>
  <c r="C420" i="5"/>
  <c r="D420" i="5"/>
  <c r="E420" i="5"/>
  <c r="H420" i="5"/>
  <c r="J420" i="5"/>
  <c r="L420" i="5"/>
  <c r="N420" i="5" s="1"/>
  <c r="O420" i="5" s="1"/>
  <c r="M420" i="5"/>
  <c r="P420" i="5"/>
  <c r="Q420" i="5"/>
  <c r="R420" i="5"/>
  <c r="S420" i="5" s="1"/>
  <c r="C421" i="5"/>
  <c r="D421" i="5"/>
  <c r="E421" i="5"/>
  <c r="H421" i="5"/>
  <c r="I421" i="5" s="1"/>
  <c r="L421" i="5"/>
  <c r="M421" i="5" s="1"/>
  <c r="P421" i="5"/>
  <c r="R421" i="5" s="1"/>
  <c r="Q421" i="5"/>
  <c r="S421" i="5"/>
  <c r="C422" i="5"/>
  <c r="I422" i="9" s="1"/>
  <c r="D422" i="5"/>
  <c r="E422" i="5" s="1"/>
  <c r="H422" i="5"/>
  <c r="I422" i="5" s="1"/>
  <c r="L422" i="5"/>
  <c r="N422" i="5" s="1"/>
  <c r="P422" i="5"/>
  <c r="Q422" i="5"/>
  <c r="R422" i="5"/>
  <c r="S422" i="5" s="1"/>
  <c r="C423" i="5"/>
  <c r="D423" i="5"/>
  <c r="E423" i="5" s="1"/>
  <c r="H423" i="5"/>
  <c r="I423" i="5"/>
  <c r="J423" i="5"/>
  <c r="K423" i="5"/>
  <c r="L423" i="5"/>
  <c r="M423" i="5" s="1"/>
  <c r="P423" i="5"/>
  <c r="R423" i="5" s="1"/>
  <c r="Q423" i="5"/>
  <c r="S423" i="5"/>
  <c r="C424" i="5"/>
  <c r="D424" i="5"/>
  <c r="H424" i="5"/>
  <c r="I424" i="5" s="1"/>
  <c r="J424" i="5"/>
  <c r="L424" i="5"/>
  <c r="N424" i="5"/>
  <c r="P424" i="5"/>
  <c r="Q424" i="5" s="1"/>
  <c r="C425" i="5"/>
  <c r="I425" i="7" s="1"/>
  <c r="D425" i="5"/>
  <c r="E425" i="5"/>
  <c r="H425" i="5"/>
  <c r="I425" i="5"/>
  <c r="J425" i="5"/>
  <c r="K425" i="5"/>
  <c r="L425" i="5"/>
  <c r="N425" i="5" s="1"/>
  <c r="M425" i="5"/>
  <c r="P425" i="5"/>
  <c r="R425" i="5" s="1"/>
  <c r="S425" i="5" s="1"/>
  <c r="Q425" i="5"/>
  <c r="C426" i="5"/>
  <c r="D426" i="5"/>
  <c r="E426" i="5" s="1"/>
  <c r="H426" i="5"/>
  <c r="J426" i="5" s="1"/>
  <c r="L426" i="5"/>
  <c r="M426" i="5" s="1"/>
  <c r="N426" i="5"/>
  <c r="P426" i="5"/>
  <c r="Q426" i="5" s="1"/>
  <c r="C427" i="5"/>
  <c r="I427" i="7" s="1"/>
  <c r="D427" i="5"/>
  <c r="E427" i="5" s="1"/>
  <c r="H427" i="5"/>
  <c r="J427" i="5" s="1"/>
  <c r="K427" i="5"/>
  <c r="L427" i="5"/>
  <c r="M427" i="5"/>
  <c r="N427" i="5"/>
  <c r="O427" i="5" s="1"/>
  <c r="P427" i="5"/>
  <c r="Q427" i="5" s="1"/>
  <c r="R427" i="5"/>
  <c r="S427" i="5" s="1"/>
  <c r="C428" i="5"/>
  <c r="D428" i="5"/>
  <c r="E428" i="5" s="1"/>
  <c r="H428" i="5"/>
  <c r="J428" i="5" s="1"/>
  <c r="I428" i="5"/>
  <c r="L428" i="5"/>
  <c r="M428" i="5"/>
  <c r="N428" i="5"/>
  <c r="O428" i="5" s="1"/>
  <c r="P428" i="5"/>
  <c r="R428" i="5" s="1"/>
  <c r="C429" i="5"/>
  <c r="D429" i="5"/>
  <c r="E429" i="5"/>
  <c r="H429" i="5"/>
  <c r="I429" i="5" s="1"/>
  <c r="L429" i="5"/>
  <c r="M429" i="5"/>
  <c r="N429" i="5"/>
  <c r="P429" i="5"/>
  <c r="Q429" i="5" s="1"/>
  <c r="R429" i="5"/>
  <c r="S429" i="5"/>
  <c r="C430" i="5"/>
  <c r="I430" i="7" s="1"/>
  <c r="D430" i="5"/>
  <c r="E430" i="5" s="1"/>
  <c r="H430" i="5"/>
  <c r="I430" i="5" s="1"/>
  <c r="L430" i="5"/>
  <c r="N430" i="5" s="1"/>
  <c r="P430" i="5"/>
  <c r="Q430" i="5" s="1"/>
  <c r="R430" i="5"/>
  <c r="C431" i="5"/>
  <c r="I431" i="9" s="1"/>
  <c r="D431" i="5"/>
  <c r="E431" i="5"/>
  <c r="H431" i="5"/>
  <c r="I431" i="5"/>
  <c r="J431" i="5"/>
  <c r="K431" i="5" s="1"/>
  <c r="L431" i="5"/>
  <c r="N431" i="5" s="1"/>
  <c r="M431" i="5"/>
  <c r="P431" i="5"/>
  <c r="Q431" i="5"/>
  <c r="R431" i="5"/>
  <c r="S431" i="5"/>
  <c r="C432" i="5"/>
  <c r="D432" i="5"/>
  <c r="E432" i="5"/>
  <c r="H432" i="5"/>
  <c r="I432" i="5" s="1"/>
  <c r="L432" i="5"/>
  <c r="M432" i="5" s="1"/>
  <c r="P432" i="5"/>
  <c r="Q432" i="5" s="1"/>
  <c r="C433" i="5"/>
  <c r="I433" i="8" s="1"/>
  <c r="D433" i="5"/>
  <c r="E433" i="5"/>
  <c r="H433" i="5"/>
  <c r="I433" i="5" s="1"/>
  <c r="L433" i="5"/>
  <c r="N433" i="5" s="1"/>
  <c r="M433" i="5"/>
  <c r="P433" i="5"/>
  <c r="Q433" i="5"/>
  <c r="R433" i="5"/>
  <c r="S433" i="5"/>
  <c r="C434" i="5"/>
  <c r="S434" i="5" s="1"/>
  <c r="D434" i="5"/>
  <c r="E434" i="5"/>
  <c r="H434" i="5"/>
  <c r="I434" i="5"/>
  <c r="J434" i="5"/>
  <c r="L434" i="5"/>
  <c r="M434" i="5" s="1"/>
  <c r="N434" i="5"/>
  <c r="O434" i="5"/>
  <c r="P434" i="5"/>
  <c r="Q434" i="5"/>
  <c r="R434" i="5"/>
  <c r="C435" i="5"/>
  <c r="D435" i="5"/>
  <c r="E435" i="5" s="1"/>
  <c r="H435" i="5"/>
  <c r="I435" i="5" s="1"/>
  <c r="J435" i="5"/>
  <c r="L435" i="5"/>
  <c r="M435" i="5" s="1"/>
  <c r="P435" i="5"/>
  <c r="R435" i="5" s="1"/>
  <c r="C436" i="5"/>
  <c r="D436" i="5"/>
  <c r="E436" i="5" s="1"/>
  <c r="H436" i="5"/>
  <c r="J436" i="5" s="1"/>
  <c r="K436" i="5" s="1"/>
  <c r="I436" i="5"/>
  <c r="L436" i="5"/>
  <c r="M436" i="5" s="1"/>
  <c r="P436" i="5"/>
  <c r="R436" i="5" s="1"/>
  <c r="C437" i="5"/>
  <c r="D437" i="5"/>
  <c r="E437" i="5" s="1"/>
  <c r="H437" i="5"/>
  <c r="J437" i="5" s="1"/>
  <c r="K437" i="5" s="1"/>
  <c r="I437" i="5"/>
  <c r="L437" i="5"/>
  <c r="M437" i="5"/>
  <c r="N437" i="5"/>
  <c r="O437" i="5"/>
  <c r="P437" i="5"/>
  <c r="Q437" i="5" s="1"/>
  <c r="C438" i="5"/>
  <c r="I438" i="8" s="1"/>
  <c r="D438" i="5"/>
  <c r="E438" i="5" s="1"/>
  <c r="H438" i="5"/>
  <c r="I438" i="5" s="1"/>
  <c r="J438" i="5"/>
  <c r="L438" i="5"/>
  <c r="M438" i="5" s="1"/>
  <c r="P438" i="5"/>
  <c r="Q438" i="5" s="1"/>
  <c r="R438" i="5"/>
  <c r="S438" i="5" s="1"/>
  <c r="C439" i="5"/>
  <c r="D439" i="5"/>
  <c r="E439" i="5"/>
  <c r="H439" i="5"/>
  <c r="J439" i="5" s="1"/>
  <c r="L439" i="5"/>
  <c r="M439" i="5"/>
  <c r="N439" i="5"/>
  <c r="O439" i="5" s="1"/>
  <c r="P439" i="5"/>
  <c r="C440" i="5"/>
  <c r="D440" i="5"/>
  <c r="H440" i="5"/>
  <c r="I440" i="5" s="1"/>
  <c r="L440" i="5"/>
  <c r="M440" i="5" s="1"/>
  <c r="P440" i="5"/>
  <c r="Q440" i="5" s="1"/>
  <c r="R440" i="5"/>
  <c r="S440" i="5"/>
  <c r="C441" i="5"/>
  <c r="I441" i="9" s="1"/>
  <c r="D441" i="5"/>
  <c r="E441" i="5" s="1"/>
  <c r="H441" i="5"/>
  <c r="I441" i="5" s="1"/>
  <c r="L441" i="5"/>
  <c r="N441" i="5" s="1"/>
  <c r="O441" i="5" s="1"/>
  <c r="M441" i="5"/>
  <c r="P441" i="5"/>
  <c r="Q441" i="5" s="1"/>
  <c r="C442" i="5"/>
  <c r="I442" i="9" s="1"/>
  <c r="D442" i="5"/>
  <c r="E442" i="5" s="1"/>
  <c r="H442" i="5"/>
  <c r="I442" i="5" s="1"/>
  <c r="J442" i="5"/>
  <c r="L442" i="5"/>
  <c r="N442" i="5" s="1"/>
  <c r="O442" i="5" s="1"/>
  <c r="M442" i="5"/>
  <c r="P442" i="5"/>
  <c r="Q442" i="5" s="1"/>
  <c r="C443" i="5"/>
  <c r="S443" i="5" s="1"/>
  <c r="D443" i="5"/>
  <c r="E443" i="5"/>
  <c r="H443" i="5"/>
  <c r="I443" i="5" s="1"/>
  <c r="L443" i="5"/>
  <c r="N443" i="5" s="1"/>
  <c r="P443" i="5"/>
  <c r="Q443" i="5"/>
  <c r="R443" i="5"/>
  <c r="C444" i="5"/>
  <c r="D444" i="5"/>
  <c r="E444" i="5"/>
  <c r="H444" i="5"/>
  <c r="J444" i="5" s="1"/>
  <c r="L444" i="5"/>
  <c r="P444" i="5"/>
  <c r="Q444" i="5" s="1"/>
  <c r="R444" i="5"/>
  <c r="C445" i="5"/>
  <c r="D445" i="5"/>
  <c r="E445" i="5"/>
  <c r="H445" i="5"/>
  <c r="I445" i="5" s="1"/>
  <c r="L445" i="5"/>
  <c r="M445" i="5" s="1"/>
  <c r="P445" i="5"/>
  <c r="R445" i="5" s="1"/>
  <c r="Q445" i="5"/>
  <c r="S445" i="5"/>
  <c r="C446" i="5"/>
  <c r="D446" i="5"/>
  <c r="H446" i="5"/>
  <c r="I446" i="5"/>
  <c r="J446" i="5"/>
  <c r="L446" i="5"/>
  <c r="M446" i="5"/>
  <c r="N446" i="5"/>
  <c r="O446" i="5" s="1"/>
  <c r="P446" i="5"/>
  <c r="Q446" i="5"/>
  <c r="R446" i="5"/>
  <c r="S446" i="5" s="1"/>
  <c r="C447" i="5"/>
  <c r="I447" i="9" s="1"/>
  <c r="D447" i="5"/>
  <c r="E447" i="5" s="1"/>
  <c r="H447" i="5"/>
  <c r="I447" i="5"/>
  <c r="J447" i="5"/>
  <c r="K447" i="5" s="1"/>
  <c r="L447" i="5"/>
  <c r="P447" i="5"/>
  <c r="R447" i="5" s="1"/>
  <c r="S447" i="5"/>
  <c r="C448" i="5"/>
  <c r="D448" i="5"/>
  <c r="E448" i="5"/>
  <c r="H448" i="5"/>
  <c r="I448" i="5"/>
  <c r="J448" i="5"/>
  <c r="K448" i="5" s="1"/>
  <c r="L448" i="5"/>
  <c r="N448" i="5"/>
  <c r="P448" i="5"/>
  <c r="R448" i="5" s="1"/>
  <c r="S448" i="5" s="1"/>
  <c r="Q448" i="5"/>
  <c r="C449" i="5"/>
  <c r="D449" i="5"/>
  <c r="E449" i="5"/>
  <c r="H449" i="5"/>
  <c r="I449" i="5"/>
  <c r="J449" i="5"/>
  <c r="L449" i="5"/>
  <c r="M449" i="5" s="1"/>
  <c r="P449" i="5"/>
  <c r="Q449" i="5" s="1"/>
  <c r="C450" i="5"/>
  <c r="I450" i="8" s="1"/>
  <c r="D450" i="5"/>
  <c r="E450" i="5" s="1"/>
  <c r="H450" i="5"/>
  <c r="I450" i="5" s="1"/>
  <c r="L450" i="5"/>
  <c r="M450" i="5" s="1"/>
  <c r="P450" i="5"/>
  <c r="Q450" i="5" s="1"/>
  <c r="R450" i="5"/>
  <c r="C451" i="5"/>
  <c r="O451" i="5" s="1"/>
  <c r="D451" i="5"/>
  <c r="E451" i="5" s="1"/>
  <c r="H451" i="5"/>
  <c r="J451" i="5" s="1"/>
  <c r="L451" i="5"/>
  <c r="M451" i="5"/>
  <c r="N451" i="5"/>
  <c r="P451" i="5"/>
  <c r="R451" i="5" s="1"/>
  <c r="Q451" i="5"/>
  <c r="C452" i="5"/>
  <c r="D452" i="5"/>
  <c r="E452" i="5" s="1"/>
  <c r="H452" i="5"/>
  <c r="I452" i="5" s="1"/>
  <c r="J452" i="5"/>
  <c r="L452" i="5"/>
  <c r="M452" i="5" s="1"/>
  <c r="P452" i="5"/>
  <c r="R452" i="5" s="1"/>
  <c r="C453" i="5"/>
  <c r="I453" i="7" s="1"/>
  <c r="D453" i="5"/>
  <c r="E453" i="5" s="1"/>
  <c r="H453" i="5"/>
  <c r="I453" i="5" s="1"/>
  <c r="L453" i="5"/>
  <c r="M453" i="5"/>
  <c r="N453" i="5"/>
  <c r="O453" i="5" s="1"/>
  <c r="P453" i="5"/>
  <c r="R453" i="5" s="1"/>
  <c r="S453" i="5" s="1"/>
  <c r="C454" i="5"/>
  <c r="D454" i="5"/>
  <c r="E454" i="5" s="1"/>
  <c r="H454" i="5"/>
  <c r="I454" i="5" s="1"/>
  <c r="J454" i="5"/>
  <c r="K454" i="5" s="1"/>
  <c r="L454" i="5"/>
  <c r="M454" i="5"/>
  <c r="N454" i="5"/>
  <c r="O454" i="5" s="1"/>
  <c r="P454" i="5"/>
  <c r="R454" i="5" s="1"/>
  <c r="Q454" i="5"/>
  <c r="C455" i="5"/>
  <c r="I455" i="7" s="1"/>
  <c r="D455" i="5"/>
  <c r="E455" i="5"/>
  <c r="H455" i="5"/>
  <c r="L455" i="5"/>
  <c r="N455" i="5" s="1"/>
  <c r="O455" i="5"/>
  <c r="P455" i="5"/>
  <c r="Q455" i="5"/>
  <c r="R455" i="5"/>
  <c r="S455" i="5"/>
  <c r="C456" i="5"/>
  <c r="D456" i="5"/>
  <c r="E456" i="5"/>
  <c r="H456" i="5"/>
  <c r="I456" i="5" s="1"/>
  <c r="J456" i="5"/>
  <c r="L456" i="5"/>
  <c r="M456" i="5" s="1"/>
  <c r="P456" i="5"/>
  <c r="Q456" i="5" s="1"/>
  <c r="C457" i="5"/>
  <c r="D457" i="5"/>
  <c r="E457" i="5" s="1"/>
  <c r="H457" i="5"/>
  <c r="I457" i="5"/>
  <c r="J457" i="5"/>
  <c r="K457" i="5" s="1"/>
  <c r="L457" i="5"/>
  <c r="N457" i="5" s="1"/>
  <c r="M457" i="5"/>
  <c r="P457" i="5"/>
  <c r="Q457" i="5"/>
  <c r="R457" i="5"/>
  <c r="S457" i="5"/>
  <c r="C458" i="5"/>
  <c r="D458" i="5"/>
  <c r="E458" i="5"/>
  <c r="H458" i="5"/>
  <c r="J458" i="5" s="1"/>
  <c r="K458" i="5" s="1"/>
  <c r="L458" i="5"/>
  <c r="M458" i="5"/>
  <c r="N458" i="5"/>
  <c r="O458" i="5" s="1"/>
  <c r="P458" i="5"/>
  <c r="S458" i="5" s="1"/>
  <c r="Q458" i="5"/>
  <c r="R458" i="5"/>
  <c r="C459" i="5"/>
  <c r="I459" i="8" s="1"/>
  <c r="D459" i="5"/>
  <c r="E459" i="5" s="1"/>
  <c r="H459" i="5"/>
  <c r="J459" i="5" s="1"/>
  <c r="I459" i="5"/>
  <c r="L459" i="5"/>
  <c r="M459" i="5" s="1"/>
  <c r="P459" i="5"/>
  <c r="Q459" i="5" s="1"/>
  <c r="R459" i="5"/>
  <c r="C460" i="5"/>
  <c r="D460" i="5"/>
  <c r="E460" i="5" s="1"/>
  <c r="H460" i="5"/>
  <c r="I460" i="5" s="1"/>
  <c r="L460" i="5"/>
  <c r="M460" i="5"/>
  <c r="N460" i="5"/>
  <c r="O460" i="5" s="1"/>
  <c r="P460" i="5"/>
  <c r="Q460" i="5" s="1"/>
  <c r="C461" i="5"/>
  <c r="I461" i="9" s="1"/>
  <c r="D461" i="5"/>
  <c r="H461" i="5"/>
  <c r="I461" i="5" s="1"/>
  <c r="J461" i="5"/>
  <c r="L461" i="5"/>
  <c r="M461" i="5"/>
  <c r="N461" i="5"/>
  <c r="O461" i="5" s="1"/>
  <c r="P461" i="5"/>
  <c r="R461" i="5" s="1"/>
  <c r="Q461" i="5"/>
  <c r="C462" i="5"/>
  <c r="D462" i="5"/>
  <c r="E462" i="5" s="1"/>
  <c r="H462" i="5"/>
  <c r="I462" i="5"/>
  <c r="J462" i="5"/>
  <c r="K462" i="5" s="1"/>
  <c r="L462" i="5"/>
  <c r="N462" i="5" s="1"/>
  <c r="O462" i="5" s="1"/>
  <c r="P462" i="5"/>
  <c r="Q462" i="5"/>
  <c r="R462" i="5"/>
  <c r="S462" i="5" s="1"/>
  <c r="C463" i="5"/>
  <c r="D463" i="5"/>
  <c r="E463" i="5" s="1"/>
  <c r="H463" i="5"/>
  <c r="I463" i="5" s="1"/>
  <c r="J463" i="5"/>
  <c r="K463" i="5"/>
  <c r="L463" i="5"/>
  <c r="N463" i="5" s="1"/>
  <c r="M463" i="5"/>
  <c r="P463" i="5"/>
  <c r="Q463" i="5" s="1"/>
  <c r="C464" i="5"/>
  <c r="I464" i="7" s="1"/>
  <c r="D464" i="5"/>
  <c r="E464" i="5"/>
  <c r="H464" i="5"/>
  <c r="I464" i="5" s="1"/>
  <c r="L464" i="5"/>
  <c r="M464" i="5" s="1"/>
  <c r="P464" i="5"/>
  <c r="Q464" i="5"/>
  <c r="R464" i="5"/>
  <c r="S464" i="5" s="1"/>
  <c r="C465" i="5"/>
  <c r="D465" i="5"/>
  <c r="E465" i="5"/>
  <c r="H465" i="5"/>
  <c r="L465" i="5"/>
  <c r="M465" i="5" s="1"/>
  <c r="P465" i="5"/>
  <c r="Q465" i="5"/>
  <c r="R465" i="5"/>
  <c r="S465" i="5" s="1"/>
  <c r="C466" i="5"/>
  <c r="D466" i="5"/>
  <c r="E466" i="5" s="1"/>
  <c r="H466" i="5"/>
  <c r="I466" i="5" s="1"/>
  <c r="L466" i="5"/>
  <c r="M466" i="5"/>
  <c r="N466" i="5"/>
  <c r="O466" i="5" s="1"/>
  <c r="P466" i="5"/>
  <c r="R466" i="5" s="1"/>
  <c r="S466" i="5" s="1"/>
  <c r="C467" i="5"/>
  <c r="D467" i="5"/>
  <c r="E467" i="5" s="1"/>
  <c r="H467" i="5"/>
  <c r="I467" i="5" s="1"/>
  <c r="L467" i="5"/>
  <c r="M467" i="5" s="1"/>
  <c r="N467" i="5"/>
  <c r="O467" i="5"/>
  <c r="P467" i="5"/>
  <c r="R467" i="5" s="1"/>
  <c r="Q467" i="5"/>
  <c r="C468" i="5"/>
  <c r="D468" i="5"/>
  <c r="E468" i="5" s="1"/>
  <c r="H468" i="5"/>
  <c r="J468" i="5" s="1"/>
  <c r="K468" i="5" s="1"/>
  <c r="I468" i="5"/>
  <c r="L468" i="5"/>
  <c r="M468" i="5" s="1"/>
  <c r="P468" i="5"/>
  <c r="Q468" i="5" s="1"/>
  <c r="C469" i="5"/>
  <c r="D469" i="5"/>
  <c r="E469" i="5"/>
  <c r="H469" i="5"/>
  <c r="I469" i="5"/>
  <c r="J469" i="5"/>
  <c r="K469" i="5" s="1"/>
  <c r="L469" i="5"/>
  <c r="P469" i="5"/>
  <c r="Q469" i="5" s="1"/>
  <c r="C470" i="5"/>
  <c r="I470" i="8" s="1"/>
  <c r="D470" i="5"/>
  <c r="E470" i="5"/>
  <c r="H470" i="5"/>
  <c r="I470" i="5" s="1"/>
  <c r="L470" i="5"/>
  <c r="M470" i="5" s="1"/>
  <c r="P470" i="5"/>
  <c r="Q470" i="5"/>
  <c r="R470" i="5"/>
  <c r="S470" i="5" s="1"/>
  <c r="C471" i="5"/>
  <c r="D471" i="5"/>
  <c r="E471" i="5"/>
  <c r="H471" i="5"/>
  <c r="I471" i="5" s="1"/>
  <c r="L471" i="5"/>
  <c r="M471" i="5" s="1"/>
  <c r="P471" i="5"/>
  <c r="Q471" i="5" s="1"/>
  <c r="R471" i="5"/>
  <c r="S471" i="5"/>
  <c r="C472" i="5"/>
  <c r="I472" i="9" s="1"/>
  <c r="D472" i="5"/>
  <c r="E472" i="5" s="1"/>
  <c r="H472" i="5"/>
  <c r="I472" i="5" s="1"/>
  <c r="L472" i="5"/>
  <c r="N472" i="5" s="1"/>
  <c r="O472" i="5" s="1"/>
  <c r="M472" i="5"/>
  <c r="P472" i="5"/>
  <c r="Q472" i="5" s="1"/>
  <c r="C473" i="5"/>
  <c r="D473" i="5"/>
  <c r="E473" i="5"/>
  <c r="H473" i="5"/>
  <c r="J473" i="5" s="1"/>
  <c r="I473" i="5"/>
  <c r="L473" i="5"/>
  <c r="M473" i="5"/>
  <c r="N473" i="5"/>
  <c r="O473" i="5" s="1"/>
  <c r="P473" i="5"/>
  <c r="Q473" i="5" s="1"/>
  <c r="C474" i="5"/>
  <c r="D474" i="5"/>
  <c r="E474" i="5"/>
  <c r="H474" i="5"/>
  <c r="K474" i="5" s="1"/>
  <c r="I474" i="5"/>
  <c r="J474" i="5"/>
  <c r="L474" i="5"/>
  <c r="M474" i="5" s="1"/>
  <c r="P474" i="5"/>
  <c r="Q474" i="5" s="1"/>
  <c r="C475" i="5"/>
  <c r="D475" i="5"/>
  <c r="E475" i="5" s="1"/>
  <c r="H475" i="5"/>
  <c r="K475" i="5" s="1"/>
  <c r="I475" i="5"/>
  <c r="J475" i="5"/>
  <c r="L475" i="5"/>
  <c r="M475" i="5" s="1"/>
  <c r="P475" i="5"/>
  <c r="Q475" i="5" s="1"/>
  <c r="C476" i="5"/>
  <c r="D476" i="5"/>
  <c r="E476" i="5"/>
  <c r="H476" i="5"/>
  <c r="I476" i="5" s="1"/>
  <c r="L476" i="5"/>
  <c r="M476" i="5" s="1"/>
  <c r="P476" i="5"/>
  <c r="R476" i="5" s="1"/>
  <c r="Q476" i="5"/>
  <c r="C477" i="5"/>
  <c r="D477" i="5"/>
  <c r="E477" i="5"/>
  <c r="H477" i="5"/>
  <c r="K477" i="5" s="1"/>
  <c r="I477" i="5"/>
  <c r="J477" i="5"/>
  <c r="L477" i="5"/>
  <c r="N477" i="5" s="1"/>
  <c r="M477" i="5"/>
  <c r="P477" i="5"/>
  <c r="Q477" i="5"/>
  <c r="R477" i="5"/>
  <c r="S477" i="5" s="1"/>
  <c r="C478" i="5"/>
  <c r="D478" i="5"/>
  <c r="E478" i="5" s="1"/>
  <c r="H478" i="5"/>
  <c r="I478" i="5"/>
  <c r="J478" i="5"/>
  <c r="K478" i="5" s="1"/>
  <c r="L478" i="5"/>
  <c r="O478" i="5" s="1"/>
  <c r="M478" i="5"/>
  <c r="N478" i="5"/>
  <c r="P478" i="5"/>
  <c r="Q478" i="5" s="1"/>
  <c r="C479" i="5"/>
  <c r="I479" i="8" s="1"/>
  <c r="D479" i="5"/>
  <c r="E479" i="5"/>
  <c r="H479" i="5"/>
  <c r="I479" i="5" s="1"/>
  <c r="L479" i="5"/>
  <c r="O479" i="5" s="1"/>
  <c r="M479" i="5"/>
  <c r="N479" i="5"/>
  <c r="P479" i="5"/>
  <c r="Q479" i="5" s="1"/>
  <c r="C480" i="5"/>
  <c r="I480" i="8" s="1"/>
  <c r="D480" i="5"/>
  <c r="E480" i="5" s="1"/>
  <c r="H480" i="5"/>
  <c r="I480" i="5"/>
  <c r="J480" i="5"/>
  <c r="K480" i="5" s="1"/>
  <c r="L480" i="5"/>
  <c r="M480" i="5" s="1"/>
  <c r="P480" i="5"/>
  <c r="Q480" i="5" s="1"/>
  <c r="C481" i="5"/>
  <c r="D481" i="5"/>
  <c r="E481" i="5" s="1"/>
  <c r="H481" i="5"/>
  <c r="I481" i="5"/>
  <c r="J481" i="5"/>
  <c r="K481" i="5" s="1"/>
  <c r="L481" i="5"/>
  <c r="N481" i="5" s="1"/>
  <c r="M481" i="5"/>
  <c r="P481" i="5"/>
  <c r="R481" i="5" s="1"/>
  <c r="Q481" i="5"/>
  <c r="C482" i="5"/>
  <c r="D482" i="5"/>
  <c r="E482" i="5"/>
  <c r="H482" i="5"/>
  <c r="I482" i="5" s="1"/>
  <c r="J482" i="5"/>
  <c r="K482" i="5"/>
  <c r="L482" i="5"/>
  <c r="M482" i="5"/>
  <c r="N482" i="5"/>
  <c r="O482" i="5" s="1"/>
  <c r="P482" i="5"/>
  <c r="S482" i="5" s="1"/>
  <c r="Q482" i="5"/>
  <c r="R482" i="5"/>
  <c r="C483" i="5"/>
  <c r="I483" i="9" s="1"/>
  <c r="D483" i="5"/>
  <c r="E483" i="5" s="1"/>
  <c r="H483" i="5"/>
  <c r="J483" i="5" s="1"/>
  <c r="I483" i="5"/>
  <c r="L483" i="5"/>
  <c r="M483" i="5" s="1"/>
  <c r="P483" i="5"/>
  <c r="S483" i="5" s="1"/>
  <c r="Q483" i="5"/>
  <c r="R483" i="5"/>
  <c r="C484" i="5"/>
  <c r="D484" i="5"/>
  <c r="E484" i="5" s="1"/>
  <c r="H484" i="5"/>
  <c r="I484" i="5" s="1"/>
  <c r="L484" i="5"/>
  <c r="M484" i="5"/>
  <c r="N484" i="5"/>
  <c r="O484" i="5" s="1"/>
  <c r="P484" i="5"/>
  <c r="Q484" i="5" s="1"/>
  <c r="C485" i="5"/>
  <c r="D485" i="5"/>
  <c r="E485" i="5" s="1"/>
  <c r="H485" i="5"/>
  <c r="I485" i="5" s="1"/>
  <c r="L485" i="5"/>
  <c r="M485" i="5"/>
  <c r="N485" i="5"/>
  <c r="O485" i="5" s="1"/>
  <c r="P485" i="5"/>
  <c r="R485" i="5" s="1"/>
  <c r="S485" i="5" s="1"/>
  <c r="Q485" i="5"/>
  <c r="C486" i="5"/>
  <c r="D486" i="5"/>
  <c r="E486" i="5" s="1"/>
  <c r="H486" i="5"/>
  <c r="I486" i="5"/>
  <c r="J486" i="5"/>
  <c r="K486" i="5" s="1"/>
  <c r="L486" i="5"/>
  <c r="M486" i="5" s="1"/>
  <c r="N486" i="5"/>
  <c r="O486" i="5"/>
  <c r="P486" i="5"/>
  <c r="Q486" i="5"/>
  <c r="R486" i="5"/>
  <c r="S486" i="5" s="1"/>
  <c r="C487" i="5"/>
  <c r="D487" i="5"/>
  <c r="E487" i="5" s="1"/>
  <c r="H487" i="5"/>
  <c r="I487" i="5" s="1"/>
  <c r="J487" i="5"/>
  <c r="K487" i="5"/>
  <c r="L487" i="5"/>
  <c r="N487" i="5" s="1"/>
  <c r="M487" i="5"/>
  <c r="P487" i="5"/>
  <c r="Q487" i="5" s="1"/>
  <c r="C488" i="5"/>
  <c r="D488" i="5"/>
  <c r="E488" i="5"/>
  <c r="H488" i="5"/>
  <c r="I488" i="5" s="1"/>
  <c r="L488" i="5"/>
  <c r="M488" i="5" s="1"/>
  <c r="P488" i="5"/>
  <c r="S488" i="5" s="1"/>
  <c r="Q488" i="5"/>
  <c r="R488" i="5"/>
  <c r="C489" i="5"/>
  <c r="I489" i="9" s="1"/>
  <c r="D489" i="5"/>
  <c r="E489" i="5"/>
  <c r="H489" i="5"/>
  <c r="I489" i="5" s="1"/>
  <c r="L489" i="5"/>
  <c r="M489" i="5" s="1"/>
  <c r="P489" i="5"/>
  <c r="Q489" i="5"/>
  <c r="R489" i="5"/>
  <c r="S489" i="5" s="1"/>
  <c r="C490" i="5"/>
  <c r="I490" i="8" s="1"/>
  <c r="D490" i="5"/>
  <c r="E490" i="5" s="1"/>
  <c r="H490" i="5"/>
  <c r="I490" i="5" s="1"/>
  <c r="L490" i="5"/>
  <c r="M490" i="5"/>
  <c r="N490" i="5"/>
  <c r="O490" i="5" s="1"/>
  <c r="P490" i="5"/>
  <c r="Q490" i="5" s="1"/>
  <c r="R490" i="5"/>
  <c r="S490" i="5"/>
  <c r="C491" i="5"/>
  <c r="D491" i="5"/>
  <c r="E491" i="5" s="1"/>
  <c r="H491" i="5"/>
  <c r="I491" i="5" s="1"/>
  <c r="L491" i="5"/>
  <c r="M491" i="5" s="1"/>
  <c r="N491" i="5"/>
  <c r="O491" i="5"/>
  <c r="P491" i="5"/>
  <c r="R491" i="5" s="1"/>
  <c r="Q491" i="5"/>
  <c r="C492" i="5"/>
  <c r="D492" i="5"/>
  <c r="E492" i="5" s="1"/>
  <c r="H492" i="5"/>
  <c r="J492" i="5" s="1"/>
  <c r="I492" i="5"/>
  <c r="L492" i="5"/>
  <c r="M492" i="5" s="1"/>
  <c r="P492" i="5"/>
  <c r="Q492" i="5" s="1"/>
  <c r="C493" i="5"/>
  <c r="D493" i="5"/>
  <c r="E493" i="5"/>
  <c r="H493" i="5"/>
  <c r="I493" i="5"/>
  <c r="J493" i="5"/>
  <c r="K493" i="5" s="1"/>
  <c r="L493" i="5"/>
  <c r="M493" i="5" s="1"/>
  <c r="P493" i="5"/>
  <c r="Q493" i="5" s="1"/>
  <c r="C494" i="5"/>
  <c r="D494" i="5"/>
  <c r="E494" i="5"/>
  <c r="H494" i="5"/>
  <c r="I494" i="5" s="1"/>
  <c r="L494" i="5"/>
  <c r="M494" i="5" s="1"/>
  <c r="P494" i="5"/>
  <c r="Q494" i="5"/>
  <c r="R494" i="5"/>
  <c r="S494" i="5" s="1"/>
  <c r="C495" i="5"/>
  <c r="I495" i="8" s="1"/>
  <c r="D495" i="5"/>
  <c r="E495" i="5"/>
  <c r="H495" i="5"/>
  <c r="I495" i="5" s="1"/>
  <c r="L495" i="5"/>
  <c r="M495" i="5" s="1"/>
  <c r="P495" i="5"/>
  <c r="Q495" i="5" s="1"/>
  <c r="R495" i="5"/>
  <c r="S495" i="5"/>
  <c r="C496" i="5"/>
  <c r="D496" i="5"/>
  <c r="E496" i="5" s="1"/>
  <c r="H496" i="5"/>
  <c r="I496" i="5" s="1"/>
  <c r="L496" i="5"/>
  <c r="N496" i="5" s="1"/>
  <c r="M496" i="5"/>
  <c r="P496" i="5"/>
  <c r="Q496" i="5" s="1"/>
  <c r="C497" i="5"/>
  <c r="I497" i="9" s="1"/>
  <c r="D497" i="5"/>
  <c r="E497" i="5"/>
  <c r="H497" i="5"/>
  <c r="J497" i="5" s="1"/>
  <c r="I497" i="5"/>
  <c r="L497" i="5"/>
  <c r="M497" i="5"/>
  <c r="N497" i="5"/>
  <c r="O497" i="5" s="1"/>
  <c r="P497" i="5"/>
  <c r="Q497" i="5" s="1"/>
  <c r="C498" i="5"/>
  <c r="D498" i="5"/>
  <c r="E498" i="5"/>
  <c r="H498" i="5"/>
  <c r="I498" i="5"/>
  <c r="J498" i="5"/>
  <c r="L498" i="5"/>
  <c r="N498" i="5" s="1"/>
  <c r="M498" i="5"/>
  <c r="P498" i="5"/>
  <c r="Q498" i="5" s="1"/>
  <c r="C499" i="5"/>
  <c r="D499" i="5"/>
  <c r="E499" i="5" s="1"/>
  <c r="H499" i="5"/>
  <c r="K499" i="5" s="1"/>
  <c r="I499" i="5"/>
  <c r="J499" i="5"/>
  <c r="L499" i="5"/>
  <c r="M499" i="5" s="1"/>
  <c r="P499" i="5"/>
  <c r="Q499" i="5" s="1"/>
  <c r="C500" i="5"/>
  <c r="D500" i="5"/>
  <c r="E500" i="5"/>
  <c r="H500" i="5"/>
  <c r="I500" i="5" s="1"/>
  <c r="L500" i="5"/>
  <c r="M500" i="5" s="1"/>
  <c r="P500" i="5"/>
  <c r="R500" i="5" s="1"/>
  <c r="Q500" i="5"/>
  <c r="C501" i="5"/>
  <c r="I501" i="8" s="1"/>
  <c r="D501" i="5"/>
  <c r="E501" i="5"/>
  <c r="H501" i="5"/>
  <c r="I501" i="5"/>
  <c r="J501" i="5"/>
  <c r="K501" i="5" s="1"/>
  <c r="L501" i="5"/>
  <c r="N501" i="5" s="1"/>
  <c r="M501" i="5"/>
  <c r="P501" i="5"/>
  <c r="Q501" i="5"/>
  <c r="R501" i="5"/>
  <c r="S501" i="5" s="1"/>
  <c r="C502" i="5"/>
  <c r="D502" i="5"/>
  <c r="E502" i="5" s="1"/>
  <c r="H502" i="5"/>
  <c r="I502" i="5"/>
  <c r="J502" i="5"/>
  <c r="K502" i="5" s="1"/>
  <c r="L502" i="5"/>
  <c r="O502" i="5" s="1"/>
  <c r="M502" i="5"/>
  <c r="N502" i="5"/>
  <c r="P502" i="5"/>
  <c r="Q502" i="5" s="1"/>
  <c r="C503" i="5"/>
  <c r="D503" i="5"/>
  <c r="E503" i="5"/>
  <c r="H503" i="5"/>
  <c r="I503" i="5" s="1"/>
  <c r="L503" i="5"/>
  <c r="O503" i="5" s="1"/>
  <c r="M503" i="5"/>
  <c r="N503" i="5"/>
  <c r="P503" i="5"/>
  <c r="Q503" i="5" s="1"/>
  <c r="C504" i="5"/>
  <c r="D504" i="5"/>
  <c r="E504" i="5" s="1"/>
  <c r="H504" i="5"/>
  <c r="K504" i="5" s="1"/>
  <c r="I504" i="5"/>
  <c r="J504" i="5"/>
  <c r="L504" i="5"/>
  <c r="M504" i="5" s="1"/>
  <c r="P504" i="5"/>
  <c r="Q504" i="5" s="1"/>
  <c r="C505" i="5"/>
  <c r="I505" i="8" s="1"/>
  <c r="D505" i="5"/>
  <c r="H505" i="5"/>
  <c r="I505" i="5"/>
  <c r="J505" i="5"/>
  <c r="L505" i="5"/>
  <c r="M505" i="5"/>
  <c r="N505" i="5"/>
  <c r="O505" i="5" s="1"/>
  <c r="P505" i="5"/>
  <c r="Q505" i="5" s="1"/>
  <c r="C506" i="5"/>
  <c r="I506" i="8" s="1"/>
  <c r="D506" i="5"/>
  <c r="E506" i="5"/>
  <c r="H506" i="5"/>
  <c r="I506" i="5" s="1"/>
  <c r="J506" i="5"/>
  <c r="K506" i="5" s="1"/>
  <c r="L506" i="5"/>
  <c r="M506" i="5"/>
  <c r="N506" i="5"/>
  <c r="O506" i="5" s="1"/>
  <c r="P506" i="5"/>
  <c r="S506" i="5" s="1"/>
  <c r="Q506" i="5"/>
  <c r="R506" i="5"/>
  <c r="C507" i="5"/>
  <c r="D507" i="5"/>
  <c r="E507" i="5" s="1"/>
  <c r="H507" i="5"/>
  <c r="J507" i="5" s="1"/>
  <c r="I507" i="5"/>
  <c r="L507" i="5"/>
  <c r="M507" i="5" s="1"/>
  <c r="P507" i="5"/>
  <c r="Q507" i="5"/>
  <c r="R507" i="5"/>
  <c r="C508" i="5"/>
  <c r="D508" i="5"/>
  <c r="E508" i="5" s="1"/>
  <c r="H508" i="5"/>
  <c r="I508" i="5" s="1"/>
  <c r="L508" i="5"/>
  <c r="O508" i="5" s="1"/>
  <c r="M508" i="5"/>
  <c r="N508" i="5"/>
  <c r="P508" i="5"/>
  <c r="Q508" i="5" s="1"/>
  <c r="C509" i="5"/>
  <c r="D509" i="5"/>
  <c r="E509" i="5" s="1"/>
  <c r="H509" i="5"/>
  <c r="J509" i="5" s="1"/>
  <c r="L509" i="5"/>
  <c r="M509" i="5"/>
  <c r="N509" i="5"/>
  <c r="O509" i="5" s="1"/>
  <c r="P509" i="5"/>
  <c r="Q509" i="5"/>
  <c r="R509" i="5"/>
  <c r="S509" i="5" s="1"/>
  <c r="C510" i="5"/>
  <c r="D510" i="5"/>
  <c r="E510" i="5" s="1"/>
  <c r="H510" i="5"/>
  <c r="I510" i="5"/>
  <c r="J510" i="5"/>
  <c r="K510" i="5" s="1"/>
  <c r="L510" i="5"/>
  <c r="M510" i="5" s="1"/>
  <c r="N510" i="5"/>
  <c r="O510" i="5"/>
  <c r="P510" i="5"/>
  <c r="Q510" i="5"/>
  <c r="R510" i="5"/>
  <c r="S510" i="5" s="1"/>
  <c r="C511" i="5"/>
  <c r="D511" i="5"/>
  <c r="H511" i="5"/>
  <c r="I511" i="5" s="1"/>
  <c r="J511" i="5"/>
  <c r="K511" i="5"/>
  <c r="L511" i="5"/>
  <c r="N511" i="5" s="1"/>
  <c r="M511" i="5"/>
  <c r="P511" i="5"/>
  <c r="Q511" i="5" s="1"/>
  <c r="C512" i="5"/>
  <c r="D512" i="5"/>
  <c r="E512" i="5" s="1"/>
  <c r="H512" i="5"/>
  <c r="I512" i="5" s="1"/>
  <c r="L512" i="5"/>
  <c r="M512" i="5" s="1"/>
  <c r="P512" i="5"/>
  <c r="S512" i="5" s="1"/>
  <c r="Q512" i="5"/>
  <c r="R512" i="5"/>
  <c r="C513" i="5"/>
  <c r="I513" i="9" s="1"/>
  <c r="D513" i="5"/>
  <c r="E513" i="5"/>
  <c r="H513" i="5"/>
  <c r="I513" i="5" s="1"/>
  <c r="L513" i="5"/>
  <c r="N513" i="5" s="1"/>
  <c r="P513" i="5"/>
  <c r="Q513" i="5"/>
  <c r="R513" i="5"/>
  <c r="S513" i="5" s="1"/>
  <c r="C514" i="5"/>
  <c r="D514" i="5"/>
  <c r="E514" i="5"/>
  <c r="H514" i="5"/>
  <c r="I514" i="5" s="1"/>
  <c r="L514" i="5"/>
  <c r="M514" i="5"/>
  <c r="N514" i="5"/>
  <c r="O514" i="5" s="1"/>
  <c r="P514" i="5"/>
  <c r="Q514" i="5" s="1"/>
  <c r="R514" i="5"/>
  <c r="S514" i="5"/>
  <c r="C515" i="5"/>
  <c r="D515" i="5"/>
  <c r="H515" i="5"/>
  <c r="L515" i="5"/>
  <c r="M515" i="5" s="1"/>
  <c r="N515" i="5"/>
  <c r="O515" i="5"/>
  <c r="P515" i="5"/>
  <c r="R515" i="5" s="1"/>
  <c r="S515" i="5" s="1"/>
  <c r="Q515" i="5"/>
  <c r="C516" i="5"/>
  <c r="D516" i="5"/>
  <c r="H516" i="5"/>
  <c r="J516" i="5" s="1"/>
  <c r="I516" i="5"/>
  <c r="K516" i="5"/>
  <c r="L516" i="5"/>
  <c r="M516" i="5" s="1"/>
  <c r="P516" i="5"/>
  <c r="Q516" i="5" s="1"/>
  <c r="C517" i="5"/>
  <c r="D517" i="5"/>
  <c r="E517" i="5"/>
  <c r="H517" i="5"/>
  <c r="I517" i="5"/>
  <c r="J517" i="5"/>
  <c r="K517" i="5" s="1"/>
  <c r="L517" i="5"/>
  <c r="M517" i="5" s="1"/>
  <c r="P517" i="5"/>
  <c r="R517" i="5" s="1"/>
  <c r="C518" i="5"/>
  <c r="D518" i="5"/>
  <c r="E518" i="5"/>
  <c r="H518" i="5"/>
  <c r="J518" i="5" s="1"/>
  <c r="K518" i="5" s="1"/>
  <c r="I518" i="5"/>
  <c r="L518" i="5"/>
  <c r="P518" i="5"/>
  <c r="Q518" i="5"/>
  <c r="R518" i="5"/>
  <c r="S518" i="5" s="1"/>
  <c r="C519" i="5"/>
  <c r="I519" i="9" s="1"/>
  <c r="D519" i="5"/>
  <c r="E519" i="5"/>
  <c r="H519" i="5"/>
  <c r="L519" i="5"/>
  <c r="P519" i="5"/>
  <c r="Q519" i="5" s="1"/>
  <c r="R519" i="5"/>
  <c r="S519" i="5" s="1"/>
  <c r="C520" i="5"/>
  <c r="D520" i="5"/>
  <c r="E520" i="5" s="1"/>
  <c r="H520" i="5"/>
  <c r="L520" i="5"/>
  <c r="N520" i="5" s="1"/>
  <c r="P520" i="5"/>
  <c r="Q520" i="5" s="1"/>
  <c r="C521" i="5"/>
  <c r="D521" i="5"/>
  <c r="E521" i="5"/>
  <c r="H521" i="5"/>
  <c r="I521" i="5" s="1"/>
  <c r="L521" i="5"/>
  <c r="M521" i="5"/>
  <c r="N521" i="5"/>
  <c r="O521" i="5" s="1"/>
  <c r="P521" i="5"/>
  <c r="Q521" i="5" s="1"/>
  <c r="C522" i="5"/>
  <c r="I522" i="8" s="1"/>
  <c r="D522" i="5"/>
  <c r="E522" i="5"/>
  <c r="H522" i="5"/>
  <c r="I522" i="5"/>
  <c r="J522" i="5"/>
  <c r="L522" i="5"/>
  <c r="N522" i="5" s="1"/>
  <c r="M522" i="5"/>
  <c r="O522" i="5"/>
  <c r="P522" i="5"/>
  <c r="C523" i="5"/>
  <c r="I523" i="7" s="1"/>
  <c r="D523" i="5"/>
  <c r="E523" i="5"/>
  <c r="H523" i="5"/>
  <c r="I523" i="5"/>
  <c r="J523" i="5"/>
  <c r="L523" i="5"/>
  <c r="P523" i="5"/>
  <c r="C524" i="5"/>
  <c r="D524" i="5"/>
  <c r="E524" i="5"/>
  <c r="H524" i="5"/>
  <c r="I524" i="5" s="1"/>
  <c r="L524" i="5"/>
  <c r="M524" i="5" s="1"/>
  <c r="P524" i="5"/>
  <c r="R524" i="5" s="1"/>
  <c r="C525" i="5"/>
  <c r="I525" i="9" s="1"/>
  <c r="D525" i="5"/>
  <c r="E525" i="5"/>
  <c r="H525" i="5"/>
  <c r="I525" i="5"/>
  <c r="J525" i="5"/>
  <c r="K525" i="5" s="1"/>
  <c r="L525" i="5"/>
  <c r="M525" i="5" s="1"/>
  <c r="P525" i="5"/>
  <c r="Q525" i="5"/>
  <c r="R525" i="5"/>
  <c r="S525" i="5"/>
  <c r="C526" i="5"/>
  <c r="I526" i="8" s="1"/>
  <c r="D526" i="5"/>
  <c r="E526" i="5" s="1"/>
  <c r="H526" i="5"/>
  <c r="I526" i="5"/>
  <c r="J526" i="5"/>
  <c r="K526" i="5" s="1"/>
  <c r="L526" i="5"/>
  <c r="O526" i="5" s="1"/>
  <c r="M526" i="5"/>
  <c r="N526" i="5"/>
  <c r="P526" i="5"/>
  <c r="R526" i="5" s="1"/>
  <c r="Q526" i="5"/>
  <c r="S526" i="5"/>
  <c r="C527" i="5"/>
  <c r="D527" i="5"/>
  <c r="E527" i="5"/>
  <c r="H527" i="5"/>
  <c r="I527" i="5"/>
  <c r="L527" i="5"/>
  <c r="M527" i="5"/>
  <c r="N527" i="5"/>
  <c r="P527" i="5"/>
  <c r="C528" i="5"/>
  <c r="D528" i="5"/>
  <c r="E528" i="5" s="1"/>
  <c r="H528" i="5"/>
  <c r="I528" i="5"/>
  <c r="J528" i="5"/>
  <c r="L528" i="5"/>
  <c r="M528" i="5" s="1"/>
  <c r="P528" i="5"/>
  <c r="Q528" i="5" s="1"/>
  <c r="C529" i="5"/>
  <c r="I529" i="9" s="1"/>
  <c r="D529" i="5"/>
  <c r="H529" i="5"/>
  <c r="I529" i="5"/>
  <c r="J529" i="5"/>
  <c r="K529" i="5" s="1"/>
  <c r="L529" i="5"/>
  <c r="M529" i="5"/>
  <c r="N529" i="5"/>
  <c r="O529" i="5" s="1"/>
  <c r="P529" i="5"/>
  <c r="R529" i="5" s="1"/>
  <c r="S529" i="5"/>
  <c r="C530" i="5"/>
  <c r="D530" i="5"/>
  <c r="E530" i="5"/>
  <c r="H530" i="5"/>
  <c r="I530" i="5" s="1"/>
  <c r="J530" i="5"/>
  <c r="K530" i="5"/>
  <c r="L530" i="5"/>
  <c r="M530" i="5"/>
  <c r="N530" i="5"/>
  <c r="O530" i="5" s="1"/>
  <c r="P530" i="5"/>
  <c r="S530" i="5" s="1"/>
  <c r="Q530" i="5"/>
  <c r="R530" i="5"/>
  <c r="C531" i="5"/>
  <c r="D531" i="5"/>
  <c r="E531" i="5" s="1"/>
  <c r="H531" i="5"/>
  <c r="J531" i="5" s="1"/>
  <c r="K531" i="5" s="1"/>
  <c r="I531" i="5"/>
  <c r="L531" i="5"/>
  <c r="P531" i="5"/>
  <c r="Q531" i="5"/>
  <c r="R531" i="5"/>
  <c r="C532" i="5"/>
  <c r="D532" i="5"/>
  <c r="E532" i="5" s="1"/>
  <c r="H532" i="5"/>
  <c r="L532" i="5"/>
  <c r="M532" i="5"/>
  <c r="N532" i="5"/>
  <c r="P532" i="5"/>
  <c r="C533" i="5"/>
  <c r="I533" i="9" s="1"/>
  <c r="D533" i="5"/>
  <c r="H533" i="5"/>
  <c r="J533" i="5" s="1"/>
  <c r="L533" i="5"/>
  <c r="M533" i="5"/>
  <c r="N533" i="5"/>
  <c r="O533" i="5"/>
  <c r="P533" i="5"/>
  <c r="Q533" i="5"/>
  <c r="R533" i="5"/>
  <c r="S533" i="5" s="1"/>
  <c r="C534" i="5"/>
  <c r="D534" i="5"/>
  <c r="H534" i="5"/>
  <c r="I534" i="5"/>
  <c r="J534" i="5"/>
  <c r="K534" i="5" s="1"/>
  <c r="L534" i="5"/>
  <c r="M534" i="5"/>
  <c r="N534" i="5"/>
  <c r="O534" i="5" s="1"/>
  <c r="P534" i="5"/>
  <c r="Q534" i="5"/>
  <c r="R534" i="5"/>
  <c r="C535" i="5"/>
  <c r="D535" i="5"/>
  <c r="E535" i="5" s="1"/>
  <c r="H535" i="5"/>
  <c r="I535" i="5" s="1"/>
  <c r="L535" i="5"/>
  <c r="N535" i="5" s="1"/>
  <c r="O535" i="5" s="1"/>
  <c r="M535" i="5"/>
  <c r="P535" i="5"/>
  <c r="Q535" i="5"/>
  <c r="R535" i="5"/>
  <c r="S535" i="5"/>
  <c r="C536" i="5"/>
  <c r="D536" i="5"/>
  <c r="E536" i="5"/>
  <c r="H536" i="5"/>
  <c r="I536" i="5" s="1"/>
  <c r="L536" i="5"/>
  <c r="P536" i="5"/>
  <c r="Q536" i="5"/>
  <c r="R536" i="5"/>
  <c r="C537" i="5"/>
  <c r="D537" i="5"/>
  <c r="E537" i="5"/>
  <c r="H537" i="5"/>
  <c r="K537" i="5" s="1"/>
  <c r="I537" i="5"/>
  <c r="J537" i="5"/>
  <c r="L537" i="5"/>
  <c r="M537" i="5" s="1"/>
  <c r="N537" i="5"/>
  <c r="O537" i="5" s="1"/>
  <c r="P537" i="5"/>
  <c r="Q537" i="5"/>
  <c r="R537" i="5"/>
  <c r="C538" i="5"/>
  <c r="D538" i="5"/>
  <c r="E538" i="5"/>
  <c r="H538" i="5"/>
  <c r="J538" i="5" s="1"/>
  <c r="L538" i="5"/>
  <c r="M538" i="5"/>
  <c r="N538" i="5"/>
  <c r="O538" i="5" s="1"/>
  <c r="P538" i="5"/>
  <c r="Q538" i="5" s="1"/>
  <c r="C539" i="5"/>
  <c r="D539" i="5"/>
  <c r="H539" i="5"/>
  <c r="I539" i="5"/>
  <c r="L539" i="5"/>
  <c r="M539" i="5" s="1"/>
  <c r="N539" i="5"/>
  <c r="O539" i="5" s="1"/>
  <c r="P539" i="5"/>
  <c r="R539" i="5" s="1"/>
  <c r="S539" i="5" s="1"/>
  <c r="Q539" i="5"/>
  <c r="C540" i="5"/>
  <c r="D540" i="5"/>
  <c r="E540" i="5" s="1"/>
  <c r="H540" i="5"/>
  <c r="J540" i="5" s="1"/>
  <c r="L540" i="5"/>
  <c r="P540" i="5"/>
  <c r="C541" i="5"/>
  <c r="I541" i="8" s="1"/>
  <c r="D541" i="5"/>
  <c r="E541" i="5" s="1"/>
  <c r="H541" i="5"/>
  <c r="I541" i="5"/>
  <c r="J541" i="5"/>
  <c r="K541" i="5" s="1"/>
  <c r="L541" i="5"/>
  <c r="M541" i="5" s="1"/>
  <c r="P541" i="5"/>
  <c r="Q541" i="5" s="1"/>
  <c r="C542" i="5"/>
  <c r="I542" i="8" s="1"/>
  <c r="D542" i="5"/>
  <c r="E542" i="5"/>
  <c r="H542" i="5"/>
  <c r="J542" i="5" s="1"/>
  <c r="K542" i="5" s="1"/>
  <c r="I542" i="5"/>
  <c r="L542" i="5"/>
  <c r="N542" i="5" s="1"/>
  <c r="P542" i="5"/>
  <c r="Q542" i="5"/>
  <c r="R542" i="5"/>
  <c r="S542" i="5"/>
  <c r="C543" i="5"/>
  <c r="D543" i="5"/>
  <c r="E543" i="5"/>
  <c r="H543" i="5"/>
  <c r="I543" i="5" s="1"/>
  <c r="L543" i="5"/>
  <c r="M543" i="5" s="1"/>
  <c r="P543" i="5"/>
  <c r="Q543" i="5" s="1"/>
  <c r="C544" i="5"/>
  <c r="I544" i="9" s="1"/>
  <c r="D544" i="5"/>
  <c r="H544" i="5"/>
  <c r="I544" i="5" s="1"/>
  <c r="J544" i="5"/>
  <c r="L544" i="5"/>
  <c r="N544" i="5" s="1"/>
  <c r="P544" i="5"/>
  <c r="C545" i="5"/>
  <c r="D545" i="5"/>
  <c r="E545" i="5"/>
  <c r="H545" i="5"/>
  <c r="J545" i="5" s="1"/>
  <c r="I545" i="5"/>
  <c r="L545" i="5"/>
  <c r="M545" i="5"/>
  <c r="N545" i="5"/>
  <c r="O545" i="5" s="1"/>
  <c r="P545" i="5"/>
  <c r="Q545" i="5" s="1"/>
  <c r="R545" i="5"/>
  <c r="S545" i="5" s="1"/>
  <c r="C546" i="5"/>
  <c r="D546" i="5"/>
  <c r="E546" i="5"/>
  <c r="H546" i="5"/>
  <c r="K546" i="5" s="1"/>
  <c r="I546" i="5"/>
  <c r="J546" i="5"/>
  <c r="L546" i="5"/>
  <c r="N546" i="5" s="1"/>
  <c r="M546" i="5"/>
  <c r="O546" i="5"/>
  <c r="P546" i="5"/>
  <c r="R546" i="5"/>
  <c r="C547" i="5"/>
  <c r="D547" i="5"/>
  <c r="E547" i="5"/>
  <c r="H547" i="5"/>
  <c r="J547" i="5" s="1"/>
  <c r="I547" i="5"/>
  <c r="L547" i="5"/>
  <c r="N547" i="5" s="1"/>
  <c r="O547" i="5"/>
  <c r="P547" i="5"/>
  <c r="Q547" i="5" s="1"/>
  <c r="C548" i="5"/>
  <c r="I548" i="7" s="1"/>
  <c r="D548" i="5"/>
  <c r="E548" i="5"/>
  <c r="H548" i="5"/>
  <c r="L548" i="5"/>
  <c r="O548" i="5" s="1"/>
  <c r="N548" i="5"/>
  <c r="P548" i="5"/>
  <c r="R548" i="5" s="1"/>
  <c r="S548" i="5"/>
  <c r="C549" i="5"/>
  <c r="I549" i="9" s="1"/>
  <c r="D549" i="5"/>
  <c r="E549" i="5"/>
  <c r="H549" i="5"/>
  <c r="I549" i="5"/>
  <c r="J549" i="5"/>
  <c r="L549" i="5"/>
  <c r="N549" i="5" s="1"/>
  <c r="P549" i="5"/>
  <c r="Q549" i="5"/>
  <c r="R549" i="5"/>
  <c r="S549" i="5"/>
  <c r="C550" i="5"/>
  <c r="I550" i="9" s="1"/>
  <c r="D550" i="5"/>
  <c r="E550" i="5"/>
  <c r="H550" i="5"/>
  <c r="I550" i="5"/>
  <c r="J550" i="5"/>
  <c r="K550" i="5" s="1"/>
  <c r="L550" i="5"/>
  <c r="M550" i="5" s="1"/>
  <c r="P550" i="5"/>
  <c r="R550" i="5" s="1"/>
  <c r="Q550" i="5"/>
  <c r="S550" i="5"/>
  <c r="C551" i="5"/>
  <c r="D551" i="5"/>
  <c r="E551" i="5"/>
  <c r="H551" i="5"/>
  <c r="I551" i="5" s="1"/>
  <c r="L551" i="5"/>
  <c r="M551" i="5"/>
  <c r="N551" i="5"/>
  <c r="P551" i="5"/>
  <c r="R551" i="5" s="1"/>
  <c r="Q551" i="5"/>
  <c r="C552" i="5"/>
  <c r="D552" i="5"/>
  <c r="E552" i="5" s="1"/>
  <c r="H552" i="5"/>
  <c r="I552" i="5"/>
  <c r="J552" i="5"/>
  <c r="L552" i="5"/>
  <c r="M552" i="5" s="1"/>
  <c r="N552" i="5"/>
  <c r="P552" i="5"/>
  <c r="R552" i="5" s="1"/>
  <c r="S552" i="5" s="1"/>
  <c r="Q552" i="5"/>
  <c r="C553" i="5"/>
  <c r="D553" i="5"/>
  <c r="E553" i="5" s="1"/>
  <c r="H553" i="5"/>
  <c r="I553" i="5"/>
  <c r="J553" i="5"/>
  <c r="K553" i="5"/>
  <c r="L553" i="5"/>
  <c r="M553" i="5"/>
  <c r="N553" i="5"/>
  <c r="O553" i="5" s="1"/>
  <c r="P553" i="5"/>
  <c r="R553" i="5" s="1"/>
  <c r="S553" i="5"/>
  <c r="C554" i="5"/>
  <c r="D554" i="5"/>
  <c r="E554" i="5" s="1"/>
  <c r="H554" i="5"/>
  <c r="I554" i="5" s="1"/>
  <c r="L554" i="5"/>
  <c r="M554" i="5"/>
  <c r="N554" i="5"/>
  <c r="O554" i="5" s="1"/>
  <c r="P554" i="5"/>
  <c r="Q554" i="5" s="1"/>
  <c r="R554" i="5"/>
  <c r="C555" i="5"/>
  <c r="K555" i="5" s="1"/>
  <c r="D555" i="5"/>
  <c r="E555" i="5"/>
  <c r="H555" i="5"/>
  <c r="J555" i="5" s="1"/>
  <c r="I555" i="5"/>
  <c r="L555" i="5"/>
  <c r="M555" i="5" s="1"/>
  <c r="P555" i="5"/>
  <c r="R555" i="5" s="1"/>
  <c r="Q555" i="5"/>
  <c r="C556" i="5"/>
  <c r="D556" i="5"/>
  <c r="E556" i="5" s="1"/>
  <c r="H556" i="5"/>
  <c r="I556" i="5" s="1"/>
  <c r="L556" i="5"/>
  <c r="M556" i="5"/>
  <c r="N556" i="5"/>
  <c r="O556" i="5"/>
  <c r="P556" i="5"/>
  <c r="Q556" i="5" s="1"/>
  <c r="C557" i="5"/>
  <c r="I557" i="9" s="1"/>
  <c r="D557" i="5"/>
  <c r="E557" i="5" s="1"/>
  <c r="H557" i="5"/>
  <c r="I557" i="5" s="1"/>
  <c r="L557" i="5"/>
  <c r="M557" i="5"/>
  <c r="N557" i="5"/>
  <c r="O557" i="5" s="1"/>
  <c r="P557" i="5"/>
  <c r="Q557" i="5"/>
  <c r="R557" i="5"/>
  <c r="S557" i="5" s="1"/>
  <c r="C558" i="5"/>
  <c r="S558" i="5" s="1"/>
  <c r="D558" i="5"/>
  <c r="E558" i="5"/>
  <c r="H558" i="5"/>
  <c r="J558" i="5" s="1"/>
  <c r="K558" i="5" s="1"/>
  <c r="I558" i="5"/>
  <c r="L558" i="5"/>
  <c r="N558" i="5" s="1"/>
  <c r="O558" i="5" s="1"/>
  <c r="M558" i="5"/>
  <c r="P558" i="5"/>
  <c r="Q558" i="5"/>
  <c r="R558" i="5"/>
  <c r="C559" i="5"/>
  <c r="D559" i="5"/>
  <c r="E559" i="5" s="1"/>
  <c r="H559" i="5"/>
  <c r="I559" i="5" s="1"/>
  <c r="L559" i="5"/>
  <c r="N559" i="5" s="1"/>
  <c r="O559" i="5"/>
  <c r="P559" i="5"/>
  <c r="S559" i="5" s="1"/>
  <c r="Q559" i="5"/>
  <c r="R559" i="5"/>
  <c r="C560" i="5"/>
  <c r="D560" i="5"/>
  <c r="E560" i="5"/>
  <c r="H560" i="5"/>
  <c r="I560" i="5" s="1"/>
  <c r="L560" i="5"/>
  <c r="M560" i="5" s="1"/>
  <c r="P560" i="5"/>
  <c r="Q560" i="5" s="1"/>
  <c r="R560" i="5"/>
  <c r="C561" i="5"/>
  <c r="D561" i="5"/>
  <c r="E561" i="5"/>
  <c r="H561" i="5"/>
  <c r="K561" i="5" s="1"/>
  <c r="I561" i="5"/>
  <c r="J561" i="5"/>
  <c r="L561" i="5"/>
  <c r="M561" i="5" s="1"/>
  <c r="P561" i="5"/>
  <c r="Q561" i="5"/>
  <c r="R561" i="5"/>
  <c r="S561" i="5" s="1"/>
  <c r="C562" i="5"/>
  <c r="D562" i="5"/>
  <c r="E562" i="5" s="1"/>
  <c r="H562" i="5"/>
  <c r="J562" i="5" s="1"/>
  <c r="I562" i="5"/>
  <c r="L562" i="5"/>
  <c r="M562" i="5" s="1"/>
  <c r="P562" i="5"/>
  <c r="Q562" i="5" s="1"/>
  <c r="C563" i="5"/>
  <c r="D563" i="5"/>
  <c r="E563" i="5" s="1"/>
  <c r="H563" i="5"/>
  <c r="J563" i="5" s="1"/>
  <c r="L563" i="5"/>
  <c r="M563" i="5"/>
  <c r="N563" i="5"/>
  <c r="O563" i="5" s="1"/>
  <c r="P563" i="5"/>
  <c r="R563" i="5" s="1"/>
  <c r="S563" i="5"/>
  <c r="C564" i="5"/>
  <c r="D564" i="5"/>
  <c r="E564" i="5" s="1"/>
  <c r="H564" i="5"/>
  <c r="J564" i="5" s="1"/>
  <c r="L564" i="5"/>
  <c r="O564" i="5" s="1"/>
  <c r="N564" i="5"/>
  <c r="P564" i="5"/>
  <c r="Q564" i="5" s="1"/>
  <c r="C565" i="5"/>
  <c r="D565" i="5"/>
  <c r="E565" i="5" s="1"/>
  <c r="H565" i="5"/>
  <c r="I565" i="5"/>
  <c r="J565" i="5"/>
  <c r="K565" i="5"/>
  <c r="L565" i="5"/>
  <c r="N565" i="5" s="1"/>
  <c r="O565" i="5" s="1"/>
  <c r="M565" i="5"/>
  <c r="P565" i="5"/>
  <c r="Q565" i="5" s="1"/>
  <c r="R565" i="5"/>
  <c r="S565" i="5" s="1"/>
  <c r="C566" i="5"/>
  <c r="I566" i="9" s="1"/>
  <c r="D566" i="5"/>
  <c r="E566" i="5" s="1"/>
  <c r="H566" i="5"/>
  <c r="J566" i="5" s="1"/>
  <c r="K566" i="5" s="1"/>
  <c r="I566" i="5"/>
  <c r="L566" i="5"/>
  <c r="M566" i="5" s="1"/>
  <c r="P566" i="5"/>
  <c r="Q566" i="5" s="1"/>
  <c r="C567" i="5"/>
  <c r="D567" i="5"/>
  <c r="E567" i="5" s="1"/>
  <c r="H567" i="5"/>
  <c r="I567" i="5"/>
  <c r="J567" i="5"/>
  <c r="K567" i="5"/>
  <c r="L567" i="5"/>
  <c r="N567" i="5" s="1"/>
  <c r="M567" i="5"/>
  <c r="O567" i="5"/>
  <c r="P567" i="5"/>
  <c r="Q567" i="5"/>
  <c r="R567" i="5"/>
  <c r="S567" i="5"/>
  <c r="C568" i="5"/>
  <c r="D568" i="5"/>
  <c r="E568" i="5" s="1"/>
  <c r="H568" i="5"/>
  <c r="K568" i="5" s="1"/>
  <c r="I568" i="5"/>
  <c r="J568" i="5"/>
  <c r="L568" i="5"/>
  <c r="N568" i="5" s="1"/>
  <c r="O568" i="5"/>
  <c r="P568" i="5"/>
  <c r="R568" i="5" s="1"/>
  <c r="S568" i="5" s="1"/>
  <c r="Q568" i="5"/>
  <c r="C569" i="5"/>
  <c r="D569" i="5"/>
  <c r="E569" i="5"/>
  <c r="H569" i="5"/>
  <c r="I569" i="5"/>
  <c r="J569" i="5"/>
  <c r="K569" i="5"/>
  <c r="L569" i="5"/>
  <c r="M569" i="5"/>
  <c r="N569" i="5"/>
  <c r="O569" i="5" s="1"/>
  <c r="P569" i="5"/>
  <c r="R569" i="5" s="1"/>
  <c r="Q569" i="5"/>
  <c r="C570" i="5"/>
  <c r="D570" i="5"/>
  <c r="E570" i="5"/>
  <c r="H570" i="5"/>
  <c r="I570" i="5"/>
  <c r="J570" i="5"/>
  <c r="K570" i="5"/>
  <c r="L570" i="5"/>
  <c r="M570" i="5" s="1"/>
  <c r="N570" i="5"/>
  <c r="P570" i="5"/>
  <c r="R570" i="5"/>
  <c r="C571" i="5"/>
  <c r="D571" i="5"/>
  <c r="E571" i="5" s="1"/>
  <c r="H571" i="5"/>
  <c r="I571" i="5" s="1"/>
  <c r="L571" i="5"/>
  <c r="M571" i="5" s="1"/>
  <c r="N571" i="5"/>
  <c r="P571" i="5"/>
  <c r="Q571" i="5" s="1"/>
  <c r="C572" i="5"/>
  <c r="D572" i="5"/>
  <c r="E572" i="5" s="1"/>
  <c r="H572" i="5"/>
  <c r="I572" i="5" s="1"/>
  <c r="L572" i="5"/>
  <c r="M572" i="5"/>
  <c r="N572" i="5"/>
  <c r="O572" i="5" s="1"/>
  <c r="P572" i="5"/>
  <c r="R572" i="5" s="1"/>
  <c r="Q572" i="5"/>
  <c r="C573" i="5"/>
  <c r="D573" i="5"/>
  <c r="E573" i="5" s="1"/>
  <c r="H573" i="5"/>
  <c r="I573" i="5" s="1"/>
  <c r="L573" i="5"/>
  <c r="M573" i="5" s="1"/>
  <c r="P573" i="5"/>
  <c r="Q573" i="5"/>
  <c r="R573" i="5"/>
  <c r="S573" i="5"/>
  <c r="C574" i="5"/>
  <c r="D574" i="5"/>
  <c r="E574" i="5" s="1"/>
  <c r="H574" i="5"/>
  <c r="I574" i="5"/>
  <c r="J574" i="5"/>
  <c r="K574" i="5"/>
  <c r="L574" i="5"/>
  <c r="M574" i="5"/>
  <c r="N574" i="5"/>
  <c r="O574" i="5"/>
  <c r="P574" i="5"/>
  <c r="Q574" i="5"/>
  <c r="R574" i="5"/>
  <c r="S574" i="5"/>
  <c r="C575" i="5"/>
  <c r="D575" i="5"/>
  <c r="E575" i="5"/>
  <c r="H575" i="5"/>
  <c r="J575" i="5" s="1"/>
  <c r="K575" i="5" s="1"/>
  <c r="I575" i="5"/>
  <c r="L575" i="5"/>
  <c r="M575" i="5" s="1"/>
  <c r="P575" i="5"/>
  <c r="Q575" i="5" s="1"/>
  <c r="C576" i="5"/>
  <c r="I576" i="9" s="1"/>
  <c r="D576" i="5"/>
  <c r="E576" i="5" s="1"/>
  <c r="H576" i="5"/>
  <c r="I576" i="5" s="1"/>
  <c r="J576" i="5"/>
  <c r="K576" i="5" s="1"/>
  <c r="L576" i="5"/>
  <c r="N576" i="5" s="1"/>
  <c r="O576" i="5" s="1"/>
  <c r="M576" i="5"/>
  <c r="P576" i="5"/>
  <c r="R576" i="5" s="1"/>
  <c r="S576" i="5" s="1"/>
  <c r="Q576" i="5"/>
  <c r="C577" i="5"/>
  <c r="I577" i="8" s="1"/>
  <c r="D577" i="5"/>
  <c r="E577" i="5" s="1"/>
  <c r="H577" i="5"/>
  <c r="I577" i="5" s="1"/>
  <c r="J577" i="5"/>
  <c r="L577" i="5"/>
  <c r="M577" i="5" s="1"/>
  <c r="P577" i="5"/>
  <c r="Q577" i="5" s="1"/>
  <c r="R577" i="5"/>
  <c r="S577" i="5" s="1"/>
  <c r="C578" i="5"/>
  <c r="D578" i="5"/>
  <c r="H578" i="5"/>
  <c r="I578" i="5" s="1"/>
  <c r="L578" i="5"/>
  <c r="M578" i="5"/>
  <c r="N578" i="5"/>
  <c r="O578" i="5" s="1"/>
  <c r="P578" i="5"/>
  <c r="R578" i="5" s="1"/>
  <c r="S578" i="5" s="1"/>
  <c r="Q578" i="5"/>
  <c r="C579" i="5"/>
  <c r="I579" i="7" s="1"/>
  <c r="D579" i="5"/>
  <c r="E579" i="5" s="1"/>
  <c r="H579" i="5"/>
  <c r="I579" i="5" s="1"/>
  <c r="L579" i="5"/>
  <c r="M579" i="5"/>
  <c r="N579" i="5"/>
  <c r="O579" i="5"/>
  <c r="P579" i="5"/>
  <c r="Q579" i="5"/>
  <c r="R579" i="5"/>
  <c r="C580" i="5"/>
  <c r="D580" i="5"/>
  <c r="E580" i="5"/>
  <c r="H580" i="5"/>
  <c r="I580" i="5" s="1"/>
  <c r="J580" i="5"/>
  <c r="L580" i="5"/>
  <c r="M580" i="5" s="1"/>
  <c r="P580" i="5"/>
  <c r="Q580" i="5" s="1"/>
  <c r="C581" i="5"/>
  <c r="D581" i="5"/>
  <c r="E581" i="5" s="1"/>
  <c r="H581" i="5"/>
  <c r="I581" i="5" s="1"/>
  <c r="L581" i="5"/>
  <c r="N581" i="5" s="1"/>
  <c r="M581" i="5"/>
  <c r="P581" i="5"/>
  <c r="Q581" i="5" s="1"/>
  <c r="R581" i="5"/>
  <c r="C582" i="5"/>
  <c r="D582" i="5"/>
  <c r="E582" i="5"/>
  <c r="H582" i="5"/>
  <c r="I582" i="5" s="1"/>
  <c r="J582" i="5"/>
  <c r="L582" i="5"/>
  <c r="M582" i="5" s="1"/>
  <c r="N582" i="5"/>
  <c r="P582" i="5"/>
  <c r="Q582" i="5"/>
  <c r="R582" i="5"/>
  <c r="C583" i="5"/>
  <c r="D583" i="5"/>
  <c r="E583" i="5" s="1"/>
  <c r="H583" i="5"/>
  <c r="I583" i="5" s="1"/>
  <c r="L583" i="5"/>
  <c r="M583" i="5" s="1"/>
  <c r="N583" i="5"/>
  <c r="O583" i="5" s="1"/>
  <c r="P583" i="5"/>
  <c r="R583" i="5" s="1"/>
  <c r="S583" i="5" s="1"/>
  <c r="Q583" i="5"/>
  <c r="C584" i="5"/>
  <c r="D584" i="5"/>
  <c r="E584" i="5" s="1"/>
  <c r="H584" i="5"/>
  <c r="I584" i="5" s="1"/>
  <c r="J584" i="5"/>
  <c r="L584" i="5"/>
  <c r="N584" i="5" s="1"/>
  <c r="O584" i="5" s="1"/>
  <c r="M584" i="5"/>
  <c r="P584" i="5"/>
  <c r="R584" i="5" s="1"/>
  <c r="S584" i="5" s="1"/>
  <c r="Q584" i="5"/>
  <c r="C585" i="5"/>
  <c r="I585" i="9" s="1"/>
  <c r="D585" i="5"/>
  <c r="E585" i="5" s="1"/>
  <c r="H585" i="5"/>
  <c r="I585" i="5"/>
  <c r="J585" i="5"/>
  <c r="K585" i="5"/>
  <c r="L585" i="5"/>
  <c r="M585" i="5"/>
  <c r="N585" i="5"/>
  <c r="O585" i="5" s="1"/>
  <c r="P585" i="5"/>
  <c r="R585" i="5" s="1"/>
  <c r="Q585" i="5"/>
  <c r="C586" i="5"/>
  <c r="D586" i="5"/>
  <c r="E586" i="5"/>
  <c r="H586" i="5"/>
  <c r="J586" i="5" s="1"/>
  <c r="K586" i="5" s="1"/>
  <c r="I586" i="5"/>
  <c r="L586" i="5"/>
  <c r="M586" i="5" s="1"/>
  <c r="N586" i="5"/>
  <c r="P586" i="5"/>
  <c r="Q586" i="5" s="1"/>
  <c r="R586" i="5"/>
  <c r="C587" i="5"/>
  <c r="D587" i="5"/>
  <c r="E587" i="5" s="1"/>
  <c r="H587" i="5"/>
  <c r="I587" i="5" s="1"/>
  <c r="J587" i="5"/>
  <c r="L587" i="5"/>
  <c r="M587" i="5" s="1"/>
  <c r="P587" i="5"/>
  <c r="Q587" i="5" s="1"/>
  <c r="R587" i="5"/>
  <c r="C588" i="5"/>
  <c r="I588" i="7" s="1"/>
  <c r="D588" i="5"/>
  <c r="H588" i="5"/>
  <c r="I588" i="5" s="1"/>
  <c r="L588" i="5"/>
  <c r="M588" i="5" s="1"/>
  <c r="N588" i="5"/>
  <c r="P588" i="5"/>
  <c r="R588" i="5" s="1"/>
  <c r="S588" i="5" s="1"/>
  <c r="Q588" i="5"/>
  <c r="C589" i="5"/>
  <c r="D589" i="5"/>
  <c r="E589" i="5" s="1"/>
  <c r="H589" i="5"/>
  <c r="I589" i="5" s="1"/>
  <c r="L589" i="5"/>
  <c r="M589" i="5"/>
  <c r="N589" i="5"/>
  <c r="O589" i="5"/>
  <c r="P589" i="5"/>
  <c r="Q589" i="5"/>
  <c r="R589" i="5"/>
  <c r="S589" i="5" s="1"/>
  <c r="C590" i="5"/>
  <c r="D590" i="5"/>
  <c r="E590" i="5" s="1"/>
  <c r="H590" i="5"/>
  <c r="I590" i="5"/>
  <c r="J590" i="5"/>
  <c r="K590" i="5"/>
  <c r="L590" i="5"/>
  <c r="N590" i="5" s="1"/>
  <c r="O590" i="5" s="1"/>
  <c r="M590" i="5"/>
  <c r="P590" i="5"/>
  <c r="Q590" i="5" s="1"/>
  <c r="R590" i="5"/>
  <c r="C591" i="5"/>
  <c r="I591" i="7" s="1"/>
  <c r="D591" i="5"/>
  <c r="E591" i="5"/>
  <c r="H591" i="5"/>
  <c r="I591" i="5" s="1"/>
  <c r="L591" i="5"/>
  <c r="M591" i="5" s="1"/>
  <c r="N591" i="5"/>
  <c r="P591" i="5"/>
  <c r="Q591" i="5" s="1"/>
  <c r="C592" i="5"/>
  <c r="I592" i="8" s="1"/>
  <c r="D592" i="5"/>
  <c r="E592" i="5"/>
  <c r="H592" i="5"/>
  <c r="K592" i="5" s="1"/>
  <c r="J592" i="5"/>
  <c r="L592" i="5"/>
  <c r="M592" i="5" s="1"/>
  <c r="P592" i="5"/>
  <c r="Q592" i="5" s="1"/>
  <c r="R592" i="5"/>
  <c r="C593" i="5"/>
  <c r="I593" i="8" s="1"/>
  <c r="D593" i="5"/>
  <c r="E593" i="5" s="1"/>
  <c r="H593" i="5"/>
  <c r="I593" i="5" s="1"/>
  <c r="L593" i="5"/>
  <c r="M593" i="5" s="1"/>
  <c r="P593" i="5"/>
  <c r="Q593" i="5"/>
  <c r="R593" i="5"/>
  <c r="S593" i="5"/>
  <c r="C594" i="5"/>
  <c r="D594" i="5"/>
  <c r="E594" i="5" s="1"/>
  <c r="H594" i="5"/>
  <c r="I594" i="5" s="1"/>
  <c r="L594" i="5"/>
  <c r="N594" i="5" s="1"/>
  <c r="O594" i="5" s="1"/>
  <c r="M594" i="5"/>
  <c r="P594" i="5"/>
  <c r="R594" i="5" s="1"/>
  <c r="S594" i="5" s="1"/>
  <c r="Q594" i="5"/>
  <c r="C595" i="5"/>
  <c r="I595" i="9" s="1"/>
  <c r="D595" i="5"/>
  <c r="E595" i="5"/>
  <c r="H595" i="5"/>
  <c r="J595" i="5" s="1"/>
  <c r="K595" i="5" s="1"/>
  <c r="I595" i="5"/>
  <c r="L595" i="5"/>
  <c r="M595" i="5" s="1"/>
  <c r="P595" i="5"/>
  <c r="Q595" i="5" s="1"/>
  <c r="R595" i="5"/>
  <c r="C596" i="5"/>
  <c r="D596" i="5"/>
  <c r="E596" i="5"/>
  <c r="H596" i="5"/>
  <c r="I596" i="5"/>
  <c r="J596" i="5"/>
  <c r="K596" i="5" s="1"/>
  <c r="L596" i="5"/>
  <c r="P596" i="5"/>
  <c r="Q596" i="5" s="1"/>
  <c r="C597" i="5"/>
  <c r="I597" i="8" s="1"/>
  <c r="D597" i="5"/>
  <c r="E597" i="5"/>
  <c r="H597" i="5"/>
  <c r="I597" i="5" s="1"/>
  <c r="J597" i="5"/>
  <c r="L597" i="5"/>
  <c r="M597" i="5" s="1"/>
  <c r="P597" i="5"/>
  <c r="Q597" i="5" s="1"/>
  <c r="C598" i="5"/>
  <c r="D598" i="5"/>
  <c r="E598" i="5" s="1"/>
  <c r="H598" i="5"/>
  <c r="I598" i="5" s="1"/>
  <c r="L598" i="5"/>
  <c r="M598" i="5" s="1"/>
  <c r="P598" i="5"/>
  <c r="R598" i="5" s="1"/>
  <c r="S598" i="5" s="1"/>
  <c r="Q598" i="5"/>
  <c r="C599" i="5"/>
  <c r="I599" i="7" s="1"/>
  <c r="D599" i="5"/>
  <c r="E599" i="5" s="1"/>
  <c r="H599" i="5"/>
  <c r="J599" i="5" s="1"/>
  <c r="K599" i="5" s="1"/>
  <c r="I599" i="5"/>
  <c r="L599" i="5"/>
  <c r="N599" i="5" s="1"/>
  <c r="O599" i="5" s="1"/>
  <c r="M599" i="5"/>
  <c r="P599" i="5"/>
  <c r="Q599" i="5" s="1"/>
  <c r="C600" i="5"/>
  <c r="I600" i="9" s="1"/>
  <c r="D600" i="5"/>
  <c r="E600" i="5"/>
  <c r="H600" i="5"/>
  <c r="J600" i="5" s="1"/>
  <c r="K600" i="5" s="1"/>
  <c r="I600" i="5"/>
  <c r="L600" i="5"/>
  <c r="M600" i="5"/>
  <c r="N600" i="5"/>
  <c r="O600" i="5"/>
  <c r="P600" i="5"/>
  <c r="C601" i="5"/>
  <c r="I601" i="9" s="1"/>
  <c r="D601" i="5"/>
  <c r="E601" i="5"/>
  <c r="H601" i="5"/>
  <c r="J601" i="5" s="1"/>
  <c r="I601" i="5"/>
  <c r="L601" i="5"/>
  <c r="M601" i="5" s="1"/>
  <c r="N601" i="5"/>
  <c r="P601" i="5"/>
  <c r="Q601" i="5" s="1"/>
  <c r="C602" i="5"/>
  <c r="D602" i="5"/>
  <c r="E602" i="5" s="1"/>
  <c r="H602" i="5"/>
  <c r="I602" i="5" s="1"/>
  <c r="J602" i="5"/>
  <c r="L602" i="5"/>
  <c r="M602" i="5" s="1"/>
  <c r="P602" i="5"/>
  <c r="Q602" i="5" s="1"/>
  <c r="C603" i="5"/>
  <c r="D603" i="5"/>
  <c r="E603" i="5" s="1"/>
  <c r="H603" i="5"/>
  <c r="I603" i="5" s="1"/>
  <c r="J603" i="5"/>
  <c r="L603" i="5"/>
  <c r="N603" i="5" s="1"/>
  <c r="O603" i="5" s="1"/>
  <c r="M603" i="5"/>
  <c r="P603" i="5"/>
  <c r="R603" i="5" s="1"/>
  <c r="S603" i="5" s="1"/>
  <c r="Q603" i="5"/>
  <c r="C604" i="5"/>
  <c r="D604" i="5"/>
  <c r="E604" i="5" s="1"/>
  <c r="H604" i="5"/>
  <c r="J604" i="5" s="1"/>
  <c r="K604" i="5" s="1"/>
  <c r="I604" i="5"/>
  <c r="L604" i="5"/>
  <c r="N604" i="5" s="1"/>
  <c r="O604" i="5" s="1"/>
  <c r="M604" i="5"/>
  <c r="P604" i="5"/>
  <c r="Q604" i="5"/>
  <c r="R604" i="5"/>
  <c r="S604" i="5"/>
  <c r="C605" i="5"/>
  <c r="D605" i="5"/>
  <c r="E605" i="5"/>
  <c r="H605" i="5"/>
  <c r="I605" i="5"/>
  <c r="J605" i="5"/>
  <c r="L605" i="5"/>
  <c r="N605" i="5" s="1"/>
  <c r="M605" i="5"/>
  <c r="P605" i="5"/>
  <c r="Q605" i="5" s="1"/>
  <c r="R605" i="5"/>
  <c r="C606" i="5"/>
  <c r="I606" i="9" s="1"/>
  <c r="D606" i="5"/>
  <c r="E606" i="5"/>
  <c r="H606" i="5"/>
  <c r="I606" i="5" s="1"/>
  <c r="J606" i="5"/>
  <c r="L606" i="5"/>
  <c r="M606" i="5" s="1"/>
  <c r="N606" i="5"/>
  <c r="P606" i="5"/>
  <c r="Q606" i="5" s="1"/>
  <c r="C607" i="5"/>
  <c r="D607" i="5"/>
  <c r="E607" i="5" s="1"/>
  <c r="H607" i="5"/>
  <c r="I607" i="5" s="1"/>
  <c r="L607" i="5"/>
  <c r="M607" i="5" s="1"/>
  <c r="N607" i="5"/>
  <c r="P607" i="5"/>
  <c r="R607" i="5" s="1"/>
  <c r="S607" i="5" s="1"/>
  <c r="Q607" i="5"/>
  <c r="C608" i="5"/>
  <c r="I608" i="9" s="1"/>
  <c r="D608" i="5"/>
  <c r="E608" i="5" s="1"/>
  <c r="H608" i="5"/>
  <c r="I608" i="5" s="1"/>
  <c r="J608" i="5"/>
  <c r="L608" i="5"/>
  <c r="N608" i="5" s="1"/>
  <c r="O608" i="5" s="1"/>
  <c r="M608" i="5"/>
  <c r="P608" i="5"/>
  <c r="R608" i="5" s="1"/>
  <c r="S608" i="5" s="1"/>
  <c r="Q608" i="5"/>
  <c r="C609" i="5"/>
  <c r="I609" i="9" s="1"/>
  <c r="D609" i="5"/>
  <c r="E609" i="5" s="1"/>
  <c r="H609" i="5"/>
  <c r="I609" i="5"/>
  <c r="J609" i="5"/>
  <c r="K609" i="5"/>
  <c r="L609" i="5"/>
  <c r="M609" i="5"/>
  <c r="N609" i="5"/>
  <c r="O609" i="5"/>
  <c r="P609" i="5"/>
  <c r="R609" i="5" s="1"/>
  <c r="Q609" i="5"/>
  <c r="C610" i="5"/>
  <c r="D610" i="5"/>
  <c r="E610" i="5"/>
  <c r="H610" i="5"/>
  <c r="J610" i="5" s="1"/>
  <c r="K610" i="5" s="1"/>
  <c r="I610" i="5"/>
  <c r="L610" i="5"/>
  <c r="O610" i="5" s="1"/>
  <c r="M610" i="5"/>
  <c r="N610" i="5"/>
  <c r="P610" i="5"/>
  <c r="Q610" i="5" s="1"/>
  <c r="R610" i="5"/>
  <c r="C611" i="5"/>
  <c r="I611" i="9" s="1"/>
  <c r="D611" i="5"/>
  <c r="E611" i="5" s="1"/>
  <c r="H611" i="5"/>
  <c r="I611" i="5" s="1"/>
  <c r="J611" i="5"/>
  <c r="L611" i="5"/>
  <c r="M611" i="5" s="1"/>
  <c r="P611" i="5"/>
  <c r="Q611" i="5" s="1"/>
  <c r="R611" i="5"/>
  <c r="C612" i="5"/>
  <c r="D612" i="5"/>
  <c r="H612" i="5"/>
  <c r="L612" i="5"/>
  <c r="M612" i="5" s="1"/>
  <c r="N612" i="5"/>
  <c r="P612" i="5"/>
  <c r="R612" i="5" s="1"/>
  <c r="S612" i="5" s="1"/>
  <c r="Q612" i="5"/>
  <c r="C613" i="5"/>
  <c r="D613" i="5"/>
  <c r="E613" i="5" s="1"/>
  <c r="H613" i="5"/>
  <c r="I613" i="5" s="1"/>
  <c r="L613" i="5"/>
  <c r="M613" i="5"/>
  <c r="N613" i="5"/>
  <c r="O613" i="5"/>
  <c r="P613" i="5"/>
  <c r="Q613" i="5"/>
  <c r="R613" i="5"/>
  <c r="S613" i="5"/>
  <c r="C614" i="5"/>
  <c r="I614" i="8" s="1"/>
  <c r="D614" i="5"/>
  <c r="E614" i="5" s="1"/>
  <c r="H614" i="5"/>
  <c r="I614" i="5"/>
  <c r="J614" i="5"/>
  <c r="K614" i="5"/>
  <c r="L614" i="5"/>
  <c r="N614" i="5" s="1"/>
  <c r="O614" i="5" s="1"/>
  <c r="M614" i="5"/>
  <c r="P614" i="5"/>
  <c r="Q614" i="5"/>
  <c r="R614" i="5"/>
  <c r="C615" i="5"/>
  <c r="D615" i="5"/>
  <c r="E615" i="5"/>
  <c r="H615" i="5"/>
  <c r="I615" i="5" s="1"/>
  <c r="L615" i="5"/>
  <c r="M615" i="5" s="1"/>
  <c r="N615" i="5"/>
  <c r="P615" i="5"/>
  <c r="Q615" i="5" s="1"/>
  <c r="C616" i="5"/>
  <c r="D616" i="5"/>
  <c r="E616" i="5"/>
  <c r="H616" i="5"/>
  <c r="L616" i="5"/>
  <c r="P616" i="5"/>
  <c r="Q616" i="5" s="1"/>
  <c r="R616" i="5"/>
  <c r="C617" i="5"/>
  <c r="I617" i="8" s="1"/>
  <c r="D617" i="5"/>
  <c r="E617" i="5" s="1"/>
  <c r="H617" i="5"/>
  <c r="I617" i="5" s="1"/>
  <c r="J617" i="5"/>
  <c r="L617" i="5"/>
  <c r="M617" i="5" s="1"/>
  <c r="P617" i="5"/>
  <c r="Q617" i="5"/>
  <c r="R617" i="5"/>
  <c r="S617" i="5"/>
  <c r="C618" i="5"/>
  <c r="D618" i="5"/>
  <c r="E618" i="5" s="1"/>
  <c r="H618" i="5"/>
  <c r="I618" i="5" s="1"/>
  <c r="L618" i="5"/>
  <c r="N618" i="5" s="1"/>
  <c r="O618" i="5" s="1"/>
  <c r="M618" i="5"/>
  <c r="P618" i="5"/>
  <c r="R618" i="5" s="1"/>
  <c r="S618" i="5" s="1"/>
  <c r="Q618" i="5"/>
  <c r="C619" i="5"/>
  <c r="D619" i="5"/>
  <c r="E619" i="5"/>
  <c r="H619" i="5"/>
  <c r="J619" i="5" s="1"/>
  <c r="I619" i="5"/>
  <c r="L619" i="5"/>
  <c r="M619" i="5" s="1"/>
  <c r="P619" i="5"/>
  <c r="Q619" i="5" s="1"/>
  <c r="R619" i="5"/>
  <c r="C620" i="5"/>
  <c r="K620" i="5" s="1"/>
  <c r="D620" i="5"/>
  <c r="E620" i="5"/>
  <c r="H620" i="5"/>
  <c r="I620" i="5"/>
  <c r="J620" i="5"/>
  <c r="L620" i="5"/>
  <c r="P620" i="5"/>
  <c r="C621" i="5"/>
  <c r="D621" i="5"/>
  <c r="E621" i="5"/>
  <c r="H621" i="5"/>
  <c r="I621" i="5" s="1"/>
  <c r="J621" i="5"/>
  <c r="L621" i="5"/>
  <c r="M621" i="5" s="1"/>
  <c r="N621" i="5"/>
  <c r="P621" i="5"/>
  <c r="Q621" i="5" s="1"/>
  <c r="C622" i="5"/>
  <c r="D622" i="5"/>
  <c r="E622" i="5" s="1"/>
  <c r="H622" i="5"/>
  <c r="I622" i="5" s="1"/>
  <c r="L622" i="5"/>
  <c r="M622" i="5" s="1"/>
  <c r="P622" i="5"/>
  <c r="R622" i="5" s="1"/>
  <c r="S622" i="5" s="1"/>
  <c r="Q622" i="5"/>
  <c r="C623" i="5"/>
  <c r="D623" i="5"/>
  <c r="E623" i="5" s="1"/>
  <c r="H623" i="5"/>
  <c r="J623" i="5" s="1"/>
  <c r="K623" i="5" s="1"/>
  <c r="I623" i="5"/>
  <c r="L623" i="5"/>
  <c r="N623" i="5" s="1"/>
  <c r="M623" i="5"/>
  <c r="P623" i="5"/>
  <c r="Q623" i="5" s="1"/>
  <c r="C624" i="5"/>
  <c r="I624" i="8" s="1"/>
  <c r="D624" i="5"/>
  <c r="E624" i="5"/>
  <c r="H624" i="5"/>
  <c r="J624" i="5" s="1"/>
  <c r="K624" i="5" s="1"/>
  <c r="I624" i="5"/>
  <c r="L624" i="5"/>
  <c r="M624" i="5"/>
  <c r="N624" i="5"/>
  <c r="O624" i="5"/>
  <c r="P624" i="5"/>
  <c r="C625" i="5"/>
  <c r="I625" i="9" s="1"/>
  <c r="D625" i="5"/>
  <c r="E625" i="5"/>
  <c r="H625" i="5"/>
  <c r="J625" i="5" s="1"/>
  <c r="I625" i="5"/>
  <c r="L625" i="5"/>
  <c r="M625" i="5" s="1"/>
  <c r="N625" i="5"/>
  <c r="P625" i="5"/>
  <c r="Q625" i="5" s="1"/>
  <c r="R625" i="5"/>
  <c r="C626" i="5"/>
  <c r="D626" i="5"/>
  <c r="E626" i="5"/>
  <c r="H626" i="5"/>
  <c r="I626" i="5" s="1"/>
  <c r="J626" i="5"/>
  <c r="L626" i="5"/>
  <c r="M626" i="5" s="1"/>
  <c r="P626" i="5"/>
  <c r="Q626" i="5" s="1"/>
  <c r="C627" i="5"/>
  <c r="I627" i="8" s="1"/>
  <c r="D627" i="5"/>
  <c r="E627" i="5" s="1"/>
  <c r="H627" i="5"/>
  <c r="I627" i="5" s="1"/>
  <c r="J627" i="5"/>
  <c r="L627" i="5"/>
  <c r="N627" i="5" s="1"/>
  <c r="O627" i="5" s="1"/>
  <c r="M627" i="5"/>
  <c r="P627" i="5"/>
  <c r="R627" i="5" s="1"/>
  <c r="Q627" i="5"/>
  <c r="C628" i="5"/>
  <c r="D628" i="5"/>
  <c r="E628" i="5" s="1"/>
  <c r="H628" i="5"/>
  <c r="J628" i="5" s="1"/>
  <c r="K628" i="5" s="1"/>
  <c r="I628" i="5"/>
  <c r="L628" i="5"/>
  <c r="N628" i="5" s="1"/>
  <c r="O628" i="5" s="1"/>
  <c r="M628" i="5"/>
  <c r="P628" i="5"/>
  <c r="Q628" i="5"/>
  <c r="R628" i="5"/>
  <c r="S628" i="5"/>
  <c r="C629" i="5"/>
  <c r="D629" i="5"/>
  <c r="E629" i="5"/>
  <c r="H629" i="5"/>
  <c r="I629" i="5"/>
  <c r="J629" i="5"/>
  <c r="L629" i="5"/>
  <c r="N629" i="5" s="1"/>
  <c r="M629" i="5"/>
  <c r="P629" i="5"/>
  <c r="Q629" i="5" s="1"/>
  <c r="R629" i="5"/>
  <c r="C630" i="5"/>
  <c r="D630" i="5"/>
  <c r="E630" i="5"/>
  <c r="H630" i="5"/>
  <c r="K630" i="5" s="1"/>
  <c r="I630" i="5"/>
  <c r="J630" i="5"/>
  <c r="L630" i="5"/>
  <c r="M630" i="5" s="1"/>
  <c r="N630" i="5"/>
  <c r="P630" i="5"/>
  <c r="Q630" i="5" s="1"/>
  <c r="C631" i="5"/>
  <c r="D631" i="5"/>
  <c r="E631" i="5" s="1"/>
  <c r="H631" i="5"/>
  <c r="I631" i="5" s="1"/>
  <c r="L631" i="5"/>
  <c r="M631" i="5" s="1"/>
  <c r="N631" i="5"/>
  <c r="P631" i="5"/>
  <c r="R631" i="5" s="1"/>
  <c r="S631" i="5" s="1"/>
  <c r="Q631" i="5"/>
  <c r="C632" i="5"/>
  <c r="D632" i="5"/>
  <c r="H632" i="5"/>
  <c r="I632" i="5" s="1"/>
  <c r="J632" i="5"/>
  <c r="L632" i="5"/>
  <c r="N632" i="5" s="1"/>
  <c r="O632" i="5" s="1"/>
  <c r="M632" i="5"/>
  <c r="P632" i="5"/>
  <c r="R632" i="5" s="1"/>
  <c r="S632" i="5" s="1"/>
  <c r="Q632" i="5"/>
  <c r="C633" i="5"/>
  <c r="I633" i="9" s="1"/>
  <c r="D633" i="5"/>
  <c r="E633" i="5" s="1"/>
  <c r="H633" i="5"/>
  <c r="I633" i="5"/>
  <c r="J633" i="5"/>
  <c r="K633" i="5"/>
  <c r="L633" i="5"/>
  <c r="M633" i="5"/>
  <c r="N633" i="5"/>
  <c r="O633" i="5"/>
  <c r="P633" i="5"/>
  <c r="R633" i="5" s="1"/>
  <c r="Q633" i="5"/>
  <c r="C634" i="5"/>
  <c r="D634" i="5"/>
  <c r="E634" i="5"/>
  <c r="H634" i="5"/>
  <c r="J634" i="5" s="1"/>
  <c r="K634" i="5" s="1"/>
  <c r="I634" i="5"/>
  <c r="L634" i="5"/>
  <c r="M634" i="5"/>
  <c r="N634" i="5"/>
  <c r="P634" i="5"/>
  <c r="Q634" i="5" s="1"/>
  <c r="R634" i="5"/>
  <c r="C635" i="5"/>
  <c r="D635" i="5"/>
  <c r="E635" i="5" s="1"/>
  <c r="H635" i="5"/>
  <c r="I635" i="5" s="1"/>
  <c r="J635" i="5"/>
  <c r="L635" i="5"/>
  <c r="M635" i="5" s="1"/>
  <c r="P635" i="5"/>
  <c r="Q635" i="5" s="1"/>
  <c r="R635" i="5"/>
  <c r="C636" i="5"/>
  <c r="I636" i="7" s="1"/>
  <c r="D636" i="5"/>
  <c r="H636" i="5"/>
  <c r="L636" i="5"/>
  <c r="M636" i="5" s="1"/>
  <c r="N636" i="5"/>
  <c r="P636" i="5"/>
  <c r="R636" i="5" s="1"/>
  <c r="S636" i="5" s="1"/>
  <c r="Q636" i="5"/>
  <c r="C637" i="5"/>
  <c r="D637" i="5"/>
  <c r="E637" i="5" s="1"/>
  <c r="H637" i="5"/>
  <c r="I637" i="5" s="1"/>
  <c r="L637" i="5"/>
  <c r="M637" i="5"/>
  <c r="N637" i="5"/>
  <c r="O637" i="5"/>
  <c r="P637" i="5"/>
  <c r="Q637" i="5"/>
  <c r="R637" i="5"/>
  <c r="S637" i="5"/>
  <c r="C638" i="5"/>
  <c r="I638" i="8" s="1"/>
  <c r="D638" i="5"/>
  <c r="E638" i="5" s="1"/>
  <c r="H638" i="5"/>
  <c r="I638" i="5"/>
  <c r="J638" i="5"/>
  <c r="K638" i="5"/>
  <c r="L638" i="5"/>
  <c r="N638" i="5" s="1"/>
  <c r="O638" i="5" s="1"/>
  <c r="M638" i="5"/>
  <c r="P638" i="5"/>
  <c r="Q638" i="5"/>
  <c r="R638" i="5"/>
  <c r="C639" i="5"/>
  <c r="I639" i="7" s="1"/>
  <c r="D639" i="5"/>
  <c r="E639" i="5"/>
  <c r="H639" i="5"/>
  <c r="I639" i="5" s="1"/>
  <c r="L639" i="5"/>
  <c r="M639" i="5" s="1"/>
  <c r="N639" i="5"/>
  <c r="P639" i="5"/>
  <c r="Q639" i="5" s="1"/>
  <c r="C640" i="5"/>
  <c r="D640" i="5"/>
  <c r="E640" i="5"/>
  <c r="H640" i="5"/>
  <c r="L640" i="5"/>
  <c r="P640" i="5"/>
  <c r="Q640" i="5" s="1"/>
  <c r="R640" i="5"/>
  <c r="C641" i="5"/>
  <c r="I641" i="8" s="1"/>
  <c r="D641" i="5"/>
  <c r="E641" i="5" s="1"/>
  <c r="H641" i="5"/>
  <c r="I641" i="5" s="1"/>
  <c r="J641" i="5"/>
  <c r="L641" i="5"/>
  <c r="P641" i="5"/>
  <c r="Q641" i="5"/>
  <c r="R641" i="5"/>
  <c r="S641" i="5"/>
  <c r="C642" i="5"/>
  <c r="D642" i="5"/>
  <c r="E642" i="5" s="1"/>
  <c r="H642" i="5"/>
  <c r="I642" i="5" s="1"/>
  <c r="L642" i="5"/>
  <c r="N642" i="5" s="1"/>
  <c r="O642" i="5" s="1"/>
  <c r="M642" i="5"/>
  <c r="P642" i="5"/>
  <c r="R642" i="5" s="1"/>
  <c r="S642" i="5" s="1"/>
  <c r="Q642" i="5"/>
  <c r="C643" i="5"/>
  <c r="I643" i="7" s="1"/>
  <c r="D643" i="5"/>
  <c r="E643" i="5"/>
  <c r="H643" i="5"/>
  <c r="J643" i="5" s="1"/>
  <c r="I643" i="5"/>
  <c r="L643" i="5"/>
  <c r="M643" i="5" s="1"/>
  <c r="P643" i="5"/>
  <c r="Q643" i="5" s="1"/>
  <c r="R643" i="5"/>
  <c r="C644" i="5"/>
  <c r="K644" i="5" s="1"/>
  <c r="D644" i="5"/>
  <c r="E644" i="5"/>
  <c r="H644" i="5"/>
  <c r="I644" i="5"/>
  <c r="J644" i="5"/>
  <c r="L644" i="5"/>
  <c r="P644" i="5"/>
  <c r="C645" i="5"/>
  <c r="I645" i="9" s="1"/>
  <c r="D645" i="5"/>
  <c r="E645" i="5"/>
  <c r="H645" i="5"/>
  <c r="I645" i="5" s="1"/>
  <c r="J645" i="5"/>
  <c r="L645" i="5"/>
  <c r="M645" i="5" s="1"/>
  <c r="N645" i="5"/>
  <c r="P645" i="5"/>
  <c r="C646" i="5"/>
  <c r="D646" i="5"/>
  <c r="E646" i="5" s="1"/>
  <c r="H646" i="5"/>
  <c r="I646" i="5" s="1"/>
  <c r="L646" i="5"/>
  <c r="M646" i="5" s="1"/>
  <c r="P646" i="5"/>
  <c r="R646" i="5" s="1"/>
  <c r="S646" i="5" s="1"/>
  <c r="Q646" i="5"/>
  <c r="C647" i="5"/>
  <c r="I647" i="8" s="1"/>
  <c r="D647" i="5"/>
  <c r="E647" i="5" s="1"/>
  <c r="H647" i="5"/>
  <c r="J647" i="5" s="1"/>
  <c r="I647" i="5"/>
  <c r="K647" i="5"/>
  <c r="L647" i="5"/>
  <c r="N647" i="5" s="1"/>
  <c r="M647" i="5"/>
  <c r="P647" i="5"/>
  <c r="Q647" i="5" s="1"/>
  <c r="C648" i="5"/>
  <c r="I648" i="9" s="1"/>
  <c r="D648" i="5"/>
  <c r="E648" i="5"/>
  <c r="H648" i="5"/>
  <c r="J648" i="5" s="1"/>
  <c r="I648" i="5"/>
  <c r="K648" i="5"/>
  <c r="L648" i="5"/>
  <c r="M648" i="5"/>
  <c r="N648" i="5"/>
  <c r="O648" i="5"/>
  <c r="P648" i="5"/>
  <c r="R648" i="5"/>
  <c r="C649" i="5"/>
  <c r="I649" i="8" s="1"/>
  <c r="D649" i="5"/>
  <c r="E649" i="5"/>
  <c r="H649" i="5"/>
  <c r="J649" i="5" s="1"/>
  <c r="I649" i="5"/>
  <c r="L649" i="5"/>
  <c r="M649" i="5" s="1"/>
  <c r="N649" i="5"/>
  <c r="P649" i="5"/>
  <c r="Q649" i="5" s="1"/>
  <c r="R649" i="5"/>
  <c r="C650" i="5"/>
  <c r="D650" i="5"/>
  <c r="E650" i="5"/>
  <c r="H650" i="5"/>
  <c r="J650" i="5" s="1"/>
  <c r="L650" i="5"/>
  <c r="M650" i="5" s="1"/>
  <c r="P650" i="5"/>
  <c r="Q650" i="5" s="1"/>
  <c r="C651" i="5"/>
  <c r="I651" i="9" s="1"/>
  <c r="D651" i="5"/>
  <c r="E651" i="5" s="1"/>
  <c r="H651" i="5"/>
  <c r="J651" i="5"/>
  <c r="L651" i="5"/>
  <c r="N651" i="5" s="1"/>
  <c r="M651" i="5"/>
  <c r="O651" i="5"/>
  <c r="P651" i="5"/>
  <c r="R651" i="5" s="1"/>
  <c r="Q651" i="5"/>
  <c r="C652" i="5"/>
  <c r="D652" i="5"/>
  <c r="E652" i="5" s="1"/>
  <c r="H652" i="5"/>
  <c r="J652" i="5" s="1"/>
  <c r="K652" i="5" s="1"/>
  <c r="I652" i="5"/>
  <c r="L652" i="5"/>
  <c r="N652" i="5" s="1"/>
  <c r="M652" i="5"/>
  <c r="O652" i="5"/>
  <c r="P652" i="5"/>
  <c r="Q652" i="5"/>
  <c r="R652" i="5"/>
  <c r="S652" i="5"/>
  <c r="C653" i="5"/>
  <c r="D653" i="5"/>
  <c r="E653" i="5"/>
  <c r="H653" i="5"/>
  <c r="I653" i="5"/>
  <c r="J653" i="5"/>
  <c r="K653" i="5" s="1"/>
  <c r="L653" i="5"/>
  <c r="N653" i="5" s="1"/>
  <c r="M653" i="5"/>
  <c r="P653" i="5"/>
  <c r="Q653" i="5" s="1"/>
  <c r="R653" i="5"/>
  <c r="C654" i="5"/>
  <c r="I654" i="9" s="1"/>
  <c r="D654" i="5"/>
  <c r="E654" i="5"/>
  <c r="H654" i="5"/>
  <c r="I654" i="5"/>
  <c r="J654" i="5"/>
  <c r="L654" i="5"/>
  <c r="N654" i="5" s="1"/>
  <c r="P654" i="5"/>
  <c r="Q654" i="5" s="1"/>
  <c r="C655" i="5"/>
  <c r="I655" i="7" s="1"/>
  <c r="D655" i="5"/>
  <c r="E655" i="5" s="1"/>
  <c r="H655" i="5"/>
  <c r="I655" i="5" s="1"/>
  <c r="L655" i="5"/>
  <c r="N655" i="5" s="1"/>
  <c r="P655" i="5"/>
  <c r="R655" i="5" s="1"/>
  <c r="S655" i="5" s="1"/>
  <c r="Q655" i="5"/>
  <c r="C656" i="5"/>
  <c r="D656" i="5"/>
  <c r="H656" i="5"/>
  <c r="I656" i="5" s="1"/>
  <c r="J656" i="5"/>
  <c r="L656" i="5"/>
  <c r="N656" i="5" s="1"/>
  <c r="O656" i="5" s="1"/>
  <c r="M656" i="5"/>
  <c r="P656" i="5"/>
  <c r="R656" i="5" s="1"/>
  <c r="S656" i="5" s="1"/>
  <c r="Q656" i="5"/>
  <c r="C657" i="5"/>
  <c r="D657" i="5"/>
  <c r="H657" i="5"/>
  <c r="I657" i="5"/>
  <c r="J657" i="5"/>
  <c r="K657" i="5"/>
  <c r="L657" i="5"/>
  <c r="M657" i="5"/>
  <c r="N657" i="5"/>
  <c r="O657" i="5"/>
  <c r="P657" i="5"/>
  <c r="R657" i="5" s="1"/>
  <c r="Q657" i="5"/>
  <c r="C658" i="5"/>
  <c r="D658" i="5"/>
  <c r="E658" i="5"/>
  <c r="H658" i="5"/>
  <c r="J658" i="5" s="1"/>
  <c r="I658" i="5"/>
  <c r="K658" i="5"/>
  <c r="L658" i="5"/>
  <c r="O658" i="5" s="1"/>
  <c r="M658" i="5"/>
  <c r="N658" i="5"/>
  <c r="P658" i="5"/>
  <c r="R658" i="5" s="1"/>
  <c r="Q658" i="5"/>
  <c r="C659" i="5"/>
  <c r="D659" i="5"/>
  <c r="E659" i="5" s="1"/>
  <c r="H659" i="5"/>
  <c r="I659" i="5" s="1"/>
  <c r="J659" i="5"/>
  <c r="L659" i="5"/>
  <c r="M659" i="5" s="1"/>
  <c r="P659" i="5"/>
  <c r="R659" i="5" s="1"/>
  <c r="C660" i="5"/>
  <c r="I660" i="7" s="1"/>
  <c r="D660" i="5"/>
  <c r="E660" i="5" s="1"/>
  <c r="H660" i="5"/>
  <c r="J660" i="5" s="1"/>
  <c r="L660" i="5"/>
  <c r="M660" i="5" s="1"/>
  <c r="N660" i="5"/>
  <c r="P660" i="5"/>
  <c r="R660" i="5" s="1"/>
  <c r="Q660" i="5"/>
  <c r="S660" i="5"/>
  <c r="C661" i="5"/>
  <c r="D661" i="5"/>
  <c r="E661" i="5" s="1"/>
  <c r="H661" i="5"/>
  <c r="L661" i="5"/>
  <c r="M661" i="5"/>
  <c r="N661" i="5"/>
  <c r="O661" i="5"/>
  <c r="P661" i="5"/>
  <c r="Q661" i="5"/>
  <c r="R661" i="5"/>
  <c r="S661" i="5"/>
  <c r="C662" i="5"/>
  <c r="D662" i="5"/>
  <c r="H662" i="5"/>
  <c r="J662" i="5" s="1"/>
  <c r="K662" i="5" s="1"/>
  <c r="I662" i="5"/>
  <c r="L662" i="5"/>
  <c r="N662" i="5" s="1"/>
  <c r="O662" i="5" s="1"/>
  <c r="M662" i="5"/>
  <c r="P662" i="5"/>
  <c r="Q662" i="5"/>
  <c r="R662" i="5"/>
  <c r="C663" i="5"/>
  <c r="D663" i="5"/>
  <c r="H663" i="5"/>
  <c r="I663" i="5" s="1"/>
  <c r="L663" i="5"/>
  <c r="M663" i="5" s="1"/>
  <c r="N663" i="5"/>
  <c r="P663" i="5"/>
  <c r="C664" i="5"/>
  <c r="I664" i="8" s="1"/>
  <c r="D664" i="5"/>
  <c r="E664" i="5"/>
  <c r="H664" i="5"/>
  <c r="I664" i="5" s="1"/>
  <c r="L664" i="5"/>
  <c r="N664" i="5" s="1"/>
  <c r="P664" i="5"/>
  <c r="Q664" i="5" s="1"/>
  <c r="R664" i="5"/>
  <c r="C665" i="5"/>
  <c r="I665" i="8" s="1"/>
  <c r="D665" i="5"/>
  <c r="E665" i="5" s="1"/>
  <c r="H665" i="5"/>
  <c r="I665" i="5" s="1"/>
  <c r="J665" i="5"/>
  <c r="L665" i="5"/>
  <c r="P665" i="5"/>
  <c r="Q665" i="5"/>
  <c r="R665" i="5"/>
  <c r="S665" i="5" s="1"/>
  <c r="C666" i="5"/>
  <c r="I666" i="7" s="1"/>
  <c r="D666" i="5"/>
  <c r="H666" i="5"/>
  <c r="L666" i="5"/>
  <c r="N666" i="5" s="1"/>
  <c r="O666" i="5" s="1"/>
  <c r="M666" i="5"/>
  <c r="P666" i="5"/>
  <c r="R666" i="5" s="1"/>
  <c r="S666" i="5" s="1"/>
  <c r="Q666" i="5"/>
  <c r="C667" i="5"/>
  <c r="D667" i="5"/>
  <c r="E667" i="5"/>
  <c r="H667" i="5"/>
  <c r="J667" i="5" s="1"/>
  <c r="I667" i="5"/>
  <c r="K667" i="5"/>
  <c r="L667" i="5"/>
  <c r="M667" i="5" s="1"/>
  <c r="P667" i="5"/>
  <c r="Q667" i="5" s="1"/>
  <c r="R667" i="5"/>
  <c r="C668" i="5"/>
  <c r="D668" i="5"/>
  <c r="E668" i="5"/>
  <c r="H668" i="5"/>
  <c r="I668" i="5"/>
  <c r="J668" i="5"/>
  <c r="K668" i="5"/>
  <c r="L668" i="5"/>
  <c r="M668" i="5" s="1"/>
  <c r="P668" i="5"/>
  <c r="R668" i="5"/>
  <c r="C669" i="5"/>
  <c r="I669" i="9" s="1"/>
  <c r="D669" i="5"/>
  <c r="E669" i="5"/>
  <c r="H669" i="5"/>
  <c r="I669" i="5" s="1"/>
  <c r="J669" i="5"/>
  <c r="L669" i="5"/>
  <c r="N669" i="5"/>
  <c r="P669" i="5"/>
  <c r="Q669" i="5" s="1"/>
  <c r="R669" i="5"/>
  <c r="S669" i="5" s="1"/>
  <c r="C670" i="5"/>
  <c r="I670" i="9" s="1"/>
  <c r="D670" i="5"/>
  <c r="E670" i="5" s="1"/>
  <c r="H670" i="5"/>
  <c r="L670" i="5"/>
  <c r="P670" i="5"/>
  <c r="R670" i="5" s="1"/>
  <c r="Q670" i="5"/>
  <c r="S670" i="5"/>
  <c r="C671" i="5"/>
  <c r="D671" i="5"/>
  <c r="H671" i="5"/>
  <c r="J671" i="5" s="1"/>
  <c r="K671" i="5"/>
  <c r="L671" i="5"/>
  <c r="N671" i="5" s="1"/>
  <c r="O671" i="5"/>
  <c r="P671" i="5"/>
  <c r="Q671" i="5" s="1"/>
  <c r="C672" i="5"/>
  <c r="D672" i="5"/>
  <c r="E672" i="5"/>
  <c r="H672" i="5"/>
  <c r="J672" i="5" s="1"/>
  <c r="K672" i="5" s="1"/>
  <c r="I672" i="5"/>
  <c r="L672" i="5"/>
  <c r="M672" i="5"/>
  <c r="N672" i="5"/>
  <c r="O672" i="5"/>
  <c r="P672" i="5"/>
  <c r="Q672" i="5" s="1"/>
  <c r="C673" i="5"/>
  <c r="D673" i="5"/>
  <c r="E673" i="5"/>
  <c r="H673" i="5"/>
  <c r="J673" i="5" s="1"/>
  <c r="I673" i="5"/>
  <c r="L673" i="5"/>
  <c r="M673" i="5" s="1"/>
  <c r="N673" i="5"/>
  <c r="P673" i="5"/>
  <c r="R673" i="5" s="1"/>
  <c r="C674" i="5"/>
  <c r="D674" i="5"/>
  <c r="E674" i="5"/>
  <c r="H674" i="5"/>
  <c r="I674" i="5"/>
  <c r="L674" i="5"/>
  <c r="P674" i="5"/>
  <c r="C675" i="5"/>
  <c r="D675" i="5"/>
  <c r="H675" i="5"/>
  <c r="J675" i="5" s="1"/>
  <c r="L675" i="5"/>
  <c r="N675" i="5" s="1"/>
  <c r="M675" i="5"/>
  <c r="P675" i="5"/>
  <c r="R675" i="5" s="1"/>
  <c r="Q675" i="5"/>
  <c r="C676" i="5"/>
  <c r="D676" i="5"/>
  <c r="E676" i="5" s="1"/>
  <c r="H676" i="5"/>
  <c r="J676" i="5" s="1"/>
  <c r="I676" i="5"/>
  <c r="K676" i="5"/>
  <c r="L676" i="5"/>
  <c r="N676" i="5" s="1"/>
  <c r="O676" i="5" s="1"/>
  <c r="M676" i="5"/>
  <c r="P676" i="5"/>
  <c r="Q676" i="5"/>
  <c r="R676" i="5"/>
  <c r="S676" i="5"/>
  <c r="C677" i="5"/>
  <c r="I677" i="8" s="1"/>
  <c r="D677" i="5"/>
  <c r="E677" i="5"/>
  <c r="H677" i="5"/>
  <c r="I677" i="5"/>
  <c r="J677" i="5"/>
  <c r="K677" i="5" s="1"/>
  <c r="L677" i="5"/>
  <c r="N677" i="5" s="1"/>
  <c r="M677" i="5"/>
  <c r="P677" i="5"/>
  <c r="R677" i="5" s="1"/>
  <c r="C678" i="5"/>
  <c r="D678" i="5"/>
  <c r="E678" i="5"/>
  <c r="H678" i="5"/>
  <c r="I678" i="5"/>
  <c r="J678" i="5"/>
  <c r="L678" i="5"/>
  <c r="P678" i="5"/>
  <c r="C679" i="5"/>
  <c r="I679" i="9" s="1"/>
  <c r="D679" i="5"/>
  <c r="E679" i="5"/>
  <c r="H679" i="5"/>
  <c r="J679" i="5" s="1"/>
  <c r="L679" i="5"/>
  <c r="M679" i="5" s="1"/>
  <c r="P679" i="5"/>
  <c r="R679" i="5" s="1"/>
  <c r="Q679" i="5"/>
  <c r="C680" i="5"/>
  <c r="D680" i="5"/>
  <c r="H680" i="5"/>
  <c r="I680" i="5" s="1"/>
  <c r="J680" i="5"/>
  <c r="L680" i="5"/>
  <c r="N680" i="5" s="1"/>
  <c r="M680" i="5"/>
  <c r="O680" i="5"/>
  <c r="P680" i="5"/>
  <c r="R680" i="5" s="1"/>
  <c r="S680" i="5" s="1"/>
  <c r="Q680" i="5"/>
  <c r="C681" i="5"/>
  <c r="I681" i="9" s="1"/>
  <c r="D681" i="5"/>
  <c r="E681" i="5"/>
  <c r="H681" i="5"/>
  <c r="I681" i="5"/>
  <c r="J681" i="5"/>
  <c r="K681" i="5" s="1"/>
  <c r="L681" i="5"/>
  <c r="M681" i="5"/>
  <c r="N681" i="5"/>
  <c r="O681" i="5"/>
  <c r="P681" i="5"/>
  <c r="R681" i="5" s="1"/>
  <c r="Q681" i="5"/>
  <c r="C682" i="5"/>
  <c r="I682" i="9" s="1"/>
  <c r="D682" i="5"/>
  <c r="E682" i="5"/>
  <c r="H682" i="5"/>
  <c r="J682" i="5" s="1"/>
  <c r="I682" i="5"/>
  <c r="K682" i="5"/>
  <c r="L682" i="5"/>
  <c r="M682" i="5" s="1"/>
  <c r="N682" i="5"/>
  <c r="P682" i="5"/>
  <c r="Q682" i="5"/>
  <c r="R682" i="5"/>
  <c r="C683" i="5"/>
  <c r="I683" i="8" s="1"/>
  <c r="D683" i="5"/>
  <c r="E683" i="5" s="1"/>
  <c r="H683" i="5"/>
  <c r="K683" i="5" s="1"/>
  <c r="I683" i="5"/>
  <c r="J683" i="5"/>
  <c r="L683" i="5"/>
  <c r="N683" i="5"/>
  <c r="P683" i="5"/>
  <c r="Q683" i="5" s="1"/>
  <c r="C684" i="5"/>
  <c r="I684" i="9" s="1"/>
  <c r="D684" i="5"/>
  <c r="E684" i="5" s="1"/>
  <c r="H684" i="5"/>
  <c r="L684" i="5"/>
  <c r="M684" i="5" s="1"/>
  <c r="N684" i="5"/>
  <c r="P684" i="5"/>
  <c r="R684" i="5" s="1"/>
  <c r="S684" i="5" s="1"/>
  <c r="Q684" i="5"/>
  <c r="C685" i="5"/>
  <c r="I685" i="8" s="1"/>
  <c r="D685" i="5"/>
  <c r="H685" i="5"/>
  <c r="K685" i="5" s="1"/>
  <c r="I685" i="5"/>
  <c r="J685" i="5"/>
  <c r="L685" i="5"/>
  <c r="M685" i="5"/>
  <c r="N685" i="5"/>
  <c r="O685" i="5" s="1"/>
  <c r="P685" i="5"/>
  <c r="Q685" i="5"/>
  <c r="R685" i="5"/>
  <c r="S685" i="5"/>
  <c r="C686" i="5"/>
  <c r="I686" i="8" s="1"/>
  <c r="D686" i="5"/>
  <c r="H686" i="5"/>
  <c r="I686" i="5"/>
  <c r="J686" i="5"/>
  <c r="K686" i="5"/>
  <c r="L686" i="5"/>
  <c r="N686" i="5" s="1"/>
  <c r="M686" i="5"/>
  <c r="O686" i="5"/>
  <c r="P686" i="5"/>
  <c r="Q686" i="5" s="1"/>
  <c r="C687" i="5"/>
  <c r="I687" i="7" s="1"/>
  <c r="D687" i="5"/>
  <c r="E687" i="5" s="1"/>
  <c r="H687" i="5"/>
  <c r="J687" i="5" s="1"/>
  <c r="L687" i="5"/>
  <c r="O687" i="5" s="1"/>
  <c r="M687" i="5"/>
  <c r="N687" i="5"/>
  <c r="P687" i="5"/>
  <c r="R687" i="5"/>
  <c r="C688" i="5"/>
  <c r="D688" i="5"/>
  <c r="E688" i="5"/>
  <c r="H688" i="5"/>
  <c r="I688" i="5" s="1"/>
  <c r="L688" i="5"/>
  <c r="M688" i="5" s="1"/>
  <c r="N688" i="5"/>
  <c r="O688" i="5" s="1"/>
  <c r="P688" i="5"/>
  <c r="R688" i="5"/>
  <c r="C689" i="5"/>
  <c r="I689" i="8" s="1"/>
  <c r="D689" i="5"/>
  <c r="H689" i="5"/>
  <c r="J689" i="5" s="1"/>
  <c r="L689" i="5"/>
  <c r="M689" i="5"/>
  <c r="N689" i="5"/>
  <c r="O689" i="5"/>
  <c r="P689" i="5"/>
  <c r="Q689" i="5"/>
  <c r="R689" i="5"/>
  <c r="S689" i="5" s="1"/>
  <c r="C690" i="5"/>
  <c r="D690" i="5"/>
  <c r="E690" i="5" s="1"/>
  <c r="H690" i="5"/>
  <c r="I690" i="5" s="1"/>
  <c r="L690" i="5"/>
  <c r="N690" i="5" s="1"/>
  <c r="O690" i="5" s="1"/>
  <c r="M690" i="5"/>
  <c r="P690" i="5"/>
  <c r="R690" i="5" s="1"/>
  <c r="S690" i="5" s="1"/>
  <c r="Q690" i="5"/>
  <c r="C691" i="5"/>
  <c r="I691" i="8" s="1"/>
  <c r="D691" i="5"/>
  <c r="E691" i="5" s="1"/>
  <c r="H691" i="5"/>
  <c r="J691" i="5" s="1"/>
  <c r="L691" i="5"/>
  <c r="N691" i="5" s="1"/>
  <c r="M691" i="5"/>
  <c r="O691" i="5"/>
  <c r="P691" i="5"/>
  <c r="S691" i="5" s="1"/>
  <c r="Q691" i="5"/>
  <c r="R691" i="5"/>
  <c r="C692" i="5"/>
  <c r="D692" i="5"/>
  <c r="E692" i="5"/>
  <c r="H692" i="5"/>
  <c r="I692" i="5"/>
  <c r="J692" i="5"/>
  <c r="K692" i="5" s="1"/>
  <c r="L692" i="5"/>
  <c r="M692" i="5" s="1"/>
  <c r="P692" i="5"/>
  <c r="Q692" i="5" s="1"/>
  <c r="R692" i="5"/>
  <c r="C693" i="5"/>
  <c r="D693" i="5"/>
  <c r="E693" i="5"/>
  <c r="H693" i="5"/>
  <c r="J693" i="5"/>
  <c r="L693" i="5"/>
  <c r="P693" i="5"/>
  <c r="C694" i="5"/>
  <c r="D694" i="5"/>
  <c r="E694" i="5"/>
  <c r="H694" i="5"/>
  <c r="I694" i="5" s="1"/>
  <c r="J694" i="5"/>
  <c r="L694" i="5"/>
  <c r="M694" i="5"/>
  <c r="N694" i="5"/>
  <c r="O694" i="5" s="1"/>
  <c r="P694" i="5"/>
  <c r="R694" i="5" s="1"/>
  <c r="Q694" i="5"/>
  <c r="S694" i="5"/>
  <c r="C695" i="5"/>
  <c r="D695" i="5"/>
  <c r="E695" i="5" s="1"/>
  <c r="H695" i="5"/>
  <c r="J695" i="5" s="1"/>
  <c r="I695" i="5"/>
  <c r="L695" i="5"/>
  <c r="N695" i="5" s="1"/>
  <c r="M695" i="5"/>
  <c r="O695" i="5"/>
  <c r="P695" i="5"/>
  <c r="Q695" i="5" s="1"/>
  <c r="R695" i="5"/>
  <c r="S695" i="5" s="1"/>
  <c r="C696" i="5"/>
  <c r="O696" i="5" s="1"/>
  <c r="D696" i="5"/>
  <c r="E696" i="5" s="1"/>
  <c r="H696" i="5"/>
  <c r="J696" i="5" s="1"/>
  <c r="K696" i="5" s="1"/>
  <c r="I696" i="5"/>
  <c r="L696" i="5"/>
  <c r="M696" i="5"/>
  <c r="N696" i="5"/>
  <c r="P696" i="5"/>
  <c r="Q696" i="5" s="1"/>
  <c r="R696" i="5"/>
  <c r="S696" i="5"/>
  <c r="C697" i="5"/>
  <c r="D697" i="5"/>
  <c r="E697" i="5"/>
  <c r="H697" i="5"/>
  <c r="J697" i="5" s="1"/>
  <c r="K697" i="5" s="1"/>
  <c r="I697" i="5"/>
  <c r="L697" i="5"/>
  <c r="N697" i="5" s="1"/>
  <c r="P697" i="5"/>
  <c r="R697" i="5" s="1"/>
  <c r="C698" i="5"/>
  <c r="D698" i="5"/>
  <c r="E698" i="5"/>
  <c r="H698" i="5"/>
  <c r="J698" i="5" s="1"/>
  <c r="I698" i="5"/>
  <c r="L698" i="5"/>
  <c r="M698" i="5"/>
  <c r="N698" i="5"/>
  <c r="O698" i="5"/>
  <c r="P698" i="5"/>
  <c r="R698" i="5" s="1"/>
  <c r="Q698" i="5"/>
  <c r="C699" i="5"/>
  <c r="D699" i="5"/>
  <c r="H699" i="5"/>
  <c r="I699" i="5" s="1"/>
  <c r="J699" i="5"/>
  <c r="K699" i="5" s="1"/>
  <c r="L699" i="5"/>
  <c r="N699" i="5" s="1"/>
  <c r="O699" i="5" s="1"/>
  <c r="M699" i="5"/>
  <c r="P699" i="5"/>
  <c r="R699" i="5" s="1"/>
  <c r="Q699" i="5"/>
  <c r="S699" i="5"/>
  <c r="C700" i="5"/>
  <c r="D700" i="5"/>
  <c r="E700" i="5"/>
  <c r="H700" i="5"/>
  <c r="J700" i="5" s="1"/>
  <c r="I700" i="5"/>
  <c r="K700" i="5"/>
  <c r="L700" i="5"/>
  <c r="N700" i="5" s="1"/>
  <c r="O700" i="5" s="1"/>
  <c r="M700" i="5"/>
  <c r="P700" i="5"/>
  <c r="Q700" i="5"/>
  <c r="R700" i="5"/>
  <c r="S700" i="5" s="1"/>
  <c r="C701" i="5"/>
  <c r="D701" i="5"/>
  <c r="E701" i="5"/>
  <c r="H701" i="5"/>
  <c r="I701" i="5"/>
  <c r="J701" i="5"/>
  <c r="K701" i="5"/>
  <c r="L701" i="5"/>
  <c r="M701" i="5" s="1"/>
  <c r="N701" i="5"/>
  <c r="P701" i="5"/>
  <c r="Q701" i="5" s="1"/>
  <c r="R701" i="5"/>
  <c r="S701" i="5"/>
  <c r="C702" i="5"/>
  <c r="D702" i="5"/>
  <c r="E702" i="5"/>
  <c r="H702" i="5"/>
  <c r="I702" i="5"/>
  <c r="J702" i="5"/>
  <c r="L702" i="5"/>
  <c r="M702" i="5"/>
  <c r="N702" i="5"/>
  <c r="P702" i="5"/>
  <c r="Q702" i="5" s="1"/>
  <c r="R702" i="5"/>
  <c r="C703" i="5"/>
  <c r="D703" i="5"/>
  <c r="E703" i="5"/>
  <c r="H703" i="5"/>
  <c r="J703" i="5" s="1"/>
  <c r="I703" i="5"/>
  <c r="L703" i="5"/>
  <c r="M703" i="5" s="1"/>
  <c r="N703" i="5"/>
  <c r="O703" i="5"/>
  <c r="P703" i="5"/>
  <c r="C704" i="5"/>
  <c r="D704" i="5"/>
  <c r="E704" i="5" s="1"/>
  <c r="H704" i="5"/>
  <c r="I704" i="5"/>
  <c r="J704" i="5"/>
  <c r="K704" i="5"/>
  <c r="L704" i="5"/>
  <c r="N704" i="5" s="1"/>
  <c r="M704" i="5"/>
  <c r="P704" i="5"/>
  <c r="R704" i="5" s="1"/>
  <c r="Q704" i="5"/>
  <c r="S704" i="5"/>
  <c r="C705" i="5"/>
  <c r="I705" i="9" s="1"/>
  <c r="D705" i="5"/>
  <c r="E705" i="5"/>
  <c r="H705" i="5"/>
  <c r="I705" i="5"/>
  <c r="J705" i="5"/>
  <c r="K705" i="5" s="1"/>
  <c r="L705" i="5"/>
  <c r="M705" i="5"/>
  <c r="N705" i="5"/>
  <c r="O705" i="5"/>
  <c r="P705" i="5"/>
  <c r="Q705" i="5"/>
  <c r="R705" i="5"/>
  <c r="S705" i="5"/>
  <c r="C706" i="5"/>
  <c r="D706" i="5"/>
  <c r="E706" i="5"/>
  <c r="H706" i="5"/>
  <c r="J706" i="5" s="1"/>
  <c r="K706" i="5" s="1"/>
  <c r="I706" i="5"/>
  <c r="L706" i="5"/>
  <c r="N706" i="5" s="1"/>
  <c r="O706" i="5" s="1"/>
  <c r="M706" i="5"/>
  <c r="P706" i="5"/>
  <c r="Q706" i="5"/>
  <c r="R706" i="5"/>
  <c r="S706" i="5" s="1"/>
  <c r="C707" i="5"/>
  <c r="D707" i="5"/>
  <c r="E707" i="5" s="1"/>
  <c r="H707" i="5"/>
  <c r="I707" i="5" s="1"/>
  <c r="J707" i="5"/>
  <c r="L707" i="5"/>
  <c r="N707" i="5" s="1"/>
  <c r="M707" i="5"/>
  <c r="P707" i="5"/>
  <c r="Q707" i="5" s="1"/>
  <c r="C708" i="5"/>
  <c r="I708" i="7" s="1"/>
  <c r="D708" i="5"/>
  <c r="E708" i="5" s="1"/>
  <c r="H708" i="5"/>
  <c r="I708" i="5"/>
  <c r="J708" i="5"/>
  <c r="K708" i="5"/>
  <c r="L708" i="5"/>
  <c r="M708" i="5" s="1"/>
  <c r="N708" i="5"/>
  <c r="P708" i="5"/>
  <c r="Q708" i="5" s="1"/>
  <c r="C709" i="5"/>
  <c r="I709" i="9" s="1"/>
  <c r="D709" i="5"/>
  <c r="E709" i="5" s="1"/>
  <c r="H709" i="5"/>
  <c r="I709" i="5" s="1"/>
  <c r="L709" i="5"/>
  <c r="M709" i="5" s="1"/>
  <c r="P709" i="5"/>
  <c r="Q709" i="5"/>
  <c r="R709" i="5"/>
  <c r="S709" i="5"/>
  <c r="C710" i="5"/>
  <c r="D710" i="5"/>
  <c r="E710" i="5"/>
  <c r="H710" i="5"/>
  <c r="I710" i="5" s="1"/>
  <c r="J710" i="5"/>
  <c r="K710" i="5"/>
  <c r="L710" i="5"/>
  <c r="N710" i="5" s="1"/>
  <c r="P710" i="5"/>
  <c r="Q710" i="5" s="1"/>
  <c r="C711" i="5"/>
  <c r="D711" i="5"/>
  <c r="E711" i="5"/>
  <c r="H711" i="5"/>
  <c r="L711" i="5"/>
  <c r="N711" i="5" s="1"/>
  <c r="O711" i="5" s="1"/>
  <c r="M711" i="5"/>
  <c r="P711" i="5"/>
  <c r="Q711" i="5" s="1"/>
  <c r="C712" i="5"/>
  <c r="I712" i="8" s="1"/>
  <c r="D712" i="5"/>
  <c r="E712" i="5"/>
  <c r="H712" i="5"/>
  <c r="K712" i="5" s="1"/>
  <c r="I712" i="5"/>
  <c r="J712" i="5"/>
  <c r="L712" i="5"/>
  <c r="M712" i="5"/>
  <c r="N712" i="5"/>
  <c r="O712" i="5"/>
  <c r="P712" i="5"/>
  <c r="R712" i="5" s="1"/>
  <c r="Q712" i="5"/>
  <c r="C713" i="5"/>
  <c r="I713" i="8" s="1"/>
  <c r="D713" i="5"/>
  <c r="E713" i="5"/>
  <c r="H713" i="5"/>
  <c r="I713" i="5" s="1"/>
  <c r="J713" i="5"/>
  <c r="L713" i="5"/>
  <c r="O713" i="5" s="1"/>
  <c r="M713" i="5"/>
  <c r="N713" i="5"/>
  <c r="P713" i="5"/>
  <c r="R713" i="5" s="1"/>
  <c r="S713" i="5" s="1"/>
  <c r="Q713" i="5"/>
  <c r="C714" i="5"/>
  <c r="I714" i="9" s="1"/>
  <c r="D714" i="5"/>
  <c r="E714" i="5"/>
  <c r="H714" i="5"/>
  <c r="I714" i="5" s="1"/>
  <c r="J714" i="5"/>
  <c r="L714" i="5"/>
  <c r="M714" i="5" s="1"/>
  <c r="P714" i="5"/>
  <c r="R714" i="5" s="1"/>
  <c r="Q714" i="5"/>
  <c r="C715" i="5"/>
  <c r="D715" i="5"/>
  <c r="E715" i="5" s="1"/>
  <c r="H715" i="5"/>
  <c r="I715" i="5"/>
  <c r="J715" i="5"/>
  <c r="K715" i="5"/>
  <c r="L715" i="5"/>
  <c r="N715" i="5" s="1"/>
  <c r="P715" i="5"/>
  <c r="R715" i="5" s="1"/>
  <c r="S715" i="5" s="1"/>
  <c r="Q715" i="5"/>
  <c r="C716" i="5"/>
  <c r="D716" i="5"/>
  <c r="E716" i="5"/>
  <c r="H716" i="5"/>
  <c r="I716" i="5" s="1"/>
  <c r="J716" i="5"/>
  <c r="K716" i="5" s="1"/>
  <c r="L716" i="5"/>
  <c r="O716" i="5" s="1"/>
  <c r="M716" i="5"/>
  <c r="N716" i="5"/>
  <c r="P716" i="5"/>
  <c r="Q716" i="5"/>
  <c r="R716" i="5"/>
  <c r="S716" i="5"/>
  <c r="C717" i="5"/>
  <c r="I717" i="9" s="1"/>
  <c r="D717" i="5"/>
  <c r="H717" i="5"/>
  <c r="I717" i="5"/>
  <c r="J717" i="5"/>
  <c r="K717" i="5" s="1"/>
  <c r="L717" i="5"/>
  <c r="M717" i="5" s="1"/>
  <c r="N717" i="5"/>
  <c r="P717" i="5"/>
  <c r="S717" i="5" s="1"/>
  <c r="Q717" i="5"/>
  <c r="R717" i="5"/>
  <c r="C718" i="5"/>
  <c r="I718" i="7" s="1"/>
  <c r="D718" i="5"/>
  <c r="E718" i="5" s="1"/>
  <c r="H718" i="5"/>
  <c r="I718" i="5"/>
  <c r="J718" i="5"/>
  <c r="K718" i="5"/>
  <c r="L718" i="5"/>
  <c r="M718" i="5" s="1"/>
  <c r="N718" i="5"/>
  <c r="P718" i="5"/>
  <c r="Q718" i="5" s="1"/>
  <c r="C719" i="5"/>
  <c r="I719" i="8" s="1"/>
  <c r="D719" i="5"/>
  <c r="E719" i="5" s="1"/>
  <c r="H719" i="5"/>
  <c r="I719" i="5" s="1"/>
  <c r="L719" i="5"/>
  <c r="M719" i="5"/>
  <c r="N719" i="5"/>
  <c r="O719" i="5"/>
  <c r="P719" i="5"/>
  <c r="R719" i="5"/>
  <c r="C720" i="5"/>
  <c r="D720" i="5"/>
  <c r="E720" i="5" s="1"/>
  <c r="H720" i="5"/>
  <c r="I720" i="5"/>
  <c r="J720" i="5"/>
  <c r="K720" i="5"/>
  <c r="L720" i="5"/>
  <c r="M720" i="5"/>
  <c r="N720" i="5"/>
  <c r="O720" i="5" s="1"/>
  <c r="P720" i="5"/>
  <c r="S720" i="5" s="1"/>
  <c r="Q720" i="5"/>
  <c r="R720" i="5"/>
  <c r="C721" i="5"/>
  <c r="I721" i="8" s="1"/>
  <c r="D721" i="5"/>
  <c r="E721" i="5"/>
  <c r="H721" i="5"/>
  <c r="L721" i="5"/>
  <c r="M721" i="5"/>
  <c r="N721" i="5"/>
  <c r="O721" i="5"/>
  <c r="P721" i="5"/>
  <c r="Q721" i="5" s="1"/>
  <c r="R721" i="5"/>
  <c r="C722" i="5"/>
  <c r="I722" i="8" s="1"/>
  <c r="D722" i="5"/>
  <c r="E722" i="5" s="1"/>
  <c r="H722" i="5"/>
  <c r="I722" i="5" s="1"/>
  <c r="L722" i="5"/>
  <c r="N722" i="5" s="1"/>
  <c r="O722" i="5" s="1"/>
  <c r="M722" i="5"/>
  <c r="P722" i="5"/>
  <c r="Q722" i="5" s="1"/>
  <c r="R722" i="5"/>
  <c r="C723" i="5"/>
  <c r="D723" i="5"/>
  <c r="E723" i="5" s="1"/>
  <c r="H723" i="5"/>
  <c r="I723" i="5" s="1"/>
  <c r="L723" i="5"/>
  <c r="M723" i="5" s="1"/>
  <c r="P723" i="5"/>
  <c r="Q723" i="5"/>
  <c r="R723" i="5"/>
  <c r="S723" i="5"/>
  <c r="C724" i="5"/>
  <c r="D724" i="5"/>
  <c r="E724" i="5"/>
  <c r="H724" i="5"/>
  <c r="I724" i="5" s="1"/>
  <c r="L724" i="5"/>
  <c r="M724" i="5"/>
  <c r="N724" i="5"/>
  <c r="P724" i="5"/>
  <c r="Q724" i="5"/>
  <c r="R724" i="5"/>
  <c r="S724" i="5" s="1"/>
  <c r="C725" i="5"/>
  <c r="D725" i="5"/>
  <c r="E725" i="5"/>
  <c r="H725" i="5"/>
  <c r="I725" i="5"/>
  <c r="J725" i="5"/>
  <c r="K725" i="5" s="1"/>
  <c r="L725" i="5"/>
  <c r="P725" i="5"/>
  <c r="Q725" i="5"/>
  <c r="R725" i="5"/>
  <c r="S725" i="5" s="1"/>
  <c r="C726" i="5"/>
  <c r="D726" i="5"/>
  <c r="E726" i="5"/>
  <c r="H726" i="5"/>
  <c r="I726" i="5" s="1"/>
  <c r="L726" i="5"/>
  <c r="M726" i="5" s="1"/>
  <c r="P726" i="5"/>
  <c r="R726" i="5" s="1"/>
  <c r="Q726" i="5"/>
  <c r="S726" i="5"/>
  <c r="C727" i="5"/>
  <c r="D727" i="5"/>
  <c r="E727" i="5"/>
  <c r="H727" i="5"/>
  <c r="I727" i="5" s="1"/>
  <c r="J727" i="5"/>
  <c r="K727" i="5" s="1"/>
  <c r="L727" i="5"/>
  <c r="M727" i="5" s="1"/>
  <c r="P727" i="5"/>
  <c r="Q727" i="5" s="1"/>
  <c r="C728" i="5"/>
  <c r="D728" i="5"/>
  <c r="E728" i="5"/>
  <c r="H728" i="5"/>
  <c r="J728" i="5" s="1"/>
  <c r="I728" i="5"/>
  <c r="L728" i="5"/>
  <c r="M728" i="5" s="1"/>
  <c r="P728" i="5"/>
  <c r="Q728" i="5"/>
  <c r="R728" i="5"/>
  <c r="S728" i="5"/>
  <c r="C729" i="5"/>
  <c r="D729" i="5"/>
  <c r="E729" i="5"/>
  <c r="H729" i="5"/>
  <c r="J729" i="5" s="1"/>
  <c r="I729" i="5"/>
  <c r="L729" i="5"/>
  <c r="M729" i="5"/>
  <c r="N729" i="5"/>
  <c r="O729" i="5" s="1"/>
  <c r="P729" i="5"/>
  <c r="C730" i="5"/>
  <c r="I730" i="9" s="1"/>
  <c r="D730" i="5"/>
  <c r="E730" i="5" s="1"/>
  <c r="H730" i="5"/>
  <c r="J730" i="5" s="1"/>
  <c r="I730" i="5"/>
  <c r="L730" i="5"/>
  <c r="M730" i="5" s="1"/>
  <c r="P730" i="5"/>
  <c r="Q730" i="5" s="1"/>
  <c r="C731" i="5"/>
  <c r="D731" i="5"/>
  <c r="H731" i="5"/>
  <c r="I731" i="5"/>
  <c r="J731" i="5"/>
  <c r="L731" i="5"/>
  <c r="M731" i="5" s="1"/>
  <c r="N731" i="5"/>
  <c r="P731" i="5"/>
  <c r="Q731" i="5" s="1"/>
  <c r="C732" i="5"/>
  <c r="D732" i="5"/>
  <c r="E732" i="5"/>
  <c r="H732" i="5"/>
  <c r="I732" i="5"/>
  <c r="J732" i="5"/>
  <c r="K732" i="5" s="1"/>
  <c r="L732" i="5"/>
  <c r="N732" i="5" s="1"/>
  <c r="M732" i="5"/>
  <c r="P732" i="5"/>
  <c r="Q732" i="5" s="1"/>
  <c r="C733" i="5"/>
  <c r="D733" i="5"/>
  <c r="E733" i="5"/>
  <c r="H733" i="5"/>
  <c r="K733" i="5" s="1"/>
  <c r="I733" i="5"/>
  <c r="J733" i="5"/>
  <c r="L733" i="5"/>
  <c r="N733" i="5" s="1"/>
  <c r="M733" i="5"/>
  <c r="P733" i="5"/>
  <c r="Q733" i="5"/>
  <c r="R733" i="5"/>
  <c r="S733" i="5" s="1"/>
  <c r="C734" i="5"/>
  <c r="D734" i="5"/>
  <c r="E734" i="5" s="1"/>
  <c r="H734" i="5"/>
  <c r="I734" i="5" s="1"/>
  <c r="L734" i="5"/>
  <c r="N734" i="5" s="1"/>
  <c r="M734" i="5"/>
  <c r="P734" i="5"/>
  <c r="Q734" i="5" s="1"/>
  <c r="C735" i="5"/>
  <c r="I735" i="7" s="1"/>
  <c r="D735" i="5"/>
  <c r="E735" i="5"/>
  <c r="H735" i="5"/>
  <c r="I735" i="5" s="1"/>
  <c r="L735" i="5"/>
  <c r="M735" i="5"/>
  <c r="N735" i="5"/>
  <c r="P735" i="5"/>
  <c r="Q735" i="5" s="1"/>
  <c r="R735" i="5"/>
  <c r="C736" i="5"/>
  <c r="D736" i="5"/>
  <c r="E736" i="5"/>
  <c r="H736" i="5"/>
  <c r="K736" i="5" s="1"/>
  <c r="I736" i="5"/>
  <c r="J736" i="5"/>
  <c r="L736" i="5"/>
  <c r="M736" i="5"/>
  <c r="N736" i="5"/>
  <c r="O736" i="5"/>
  <c r="P736" i="5"/>
  <c r="Q736" i="5"/>
  <c r="C737" i="5"/>
  <c r="D737" i="5"/>
  <c r="E737" i="5"/>
  <c r="H737" i="5"/>
  <c r="K737" i="5" s="1"/>
  <c r="I737" i="5"/>
  <c r="J737" i="5"/>
  <c r="L737" i="5"/>
  <c r="O737" i="5" s="1"/>
  <c r="M737" i="5"/>
  <c r="N737" i="5"/>
  <c r="P737" i="5"/>
  <c r="R737" i="5" s="1"/>
  <c r="Q737" i="5"/>
  <c r="C738" i="5"/>
  <c r="I738" i="7" s="1"/>
  <c r="D738" i="5"/>
  <c r="E738" i="5"/>
  <c r="H738" i="5"/>
  <c r="I738" i="5" s="1"/>
  <c r="J738" i="5"/>
  <c r="K738" i="5" s="1"/>
  <c r="L738" i="5"/>
  <c r="M738" i="5" s="1"/>
  <c r="P738" i="5"/>
  <c r="R738" i="5" s="1"/>
  <c r="Q738" i="5"/>
  <c r="C739" i="5"/>
  <c r="D739" i="5"/>
  <c r="E739" i="5" s="1"/>
  <c r="H739" i="5"/>
  <c r="I739" i="5"/>
  <c r="J739" i="5"/>
  <c r="K739" i="5"/>
  <c r="L739" i="5"/>
  <c r="N739" i="5" s="1"/>
  <c r="M739" i="5"/>
  <c r="P739" i="5"/>
  <c r="Q739" i="5"/>
  <c r="R739" i="5"/>
  <c r="C740" i="5"/>
  <c r="D740" i="5"/>
  <c r="E740" i="5"/>
  <c r="H740" i="5"/>
  <c r="I740" i="5"/>
  <c r="J740" i="5"/>
  <c r="K740" i="5" s="1"/>
  <c r="L740" i="5"/>
  <c r="O740" i="5" s="1"/>
  <c r="M740" i="5"/>
  <c r="N740" i="5"/>
  <c r="P740" i="5"/>
  <c r="Q740" i="5"/>
  <c r="R740" i="5"/>
  <c r="S740" i="5"/>
  <c r="C741" i="5"/>
  <c r="I741" i="9" s="1"/>
  <c r="D741" i="5"/>
  <c r="H741" i="5"/>
  <c r="I741" i="5"/>
  <c r="J741" i="5"/>
  <c r="L741" i="5"/>
  <c r="M741" i="5"/>
  <c r="N741" i="5"/>
  <c r="P741" i="5"/>
  <c r="S741" i="5" s="1"/>
  <c r="Q741" i="5"/>
  <c r="R741" i="5"/>
  <c r="C742" i="5"/>
  <c r="I742" i="9" s="1"/>
  <c r="D742" i="5"/>
  <c r="E742" i="5" s="1"/>
  <c r="H742" i="5"/>
  <c r="I742" i="5"/>
  <c r="J742" i="5"/>
  <c r="L742" i="5"/>
  <c r="M742" i="5" s="1"/>
  <c r="N742" i="5"/>
  <c r="O742" i="5" s="1"/>
  <c r="P742" i="5"/>
  <c r="Q742" i="5" s="1"/>
  <c r="C743" i="5"/>
  <c r="D743" i="5"/>
  <c r="E743" i="5" s="1"/>
  <c r="H743" i="5"/>
  <c r="I743" i="5" s="1"/>
  <c r="L743" i="5"/>
  <c r="M743" i="5"/>
  <c r="N743" i="5"/>
  <c r="O743" i="5"/>
  <c r="P743" i="5"/>
  <c r="Q743" i="5" s="1"/>
  <c r="C744" i="5"/>
  <c r="I744" i="9" s="1"/>
  <c r="D744" i="5"/>
  <c r="E744" i="5" s="1"/>
  <c r="H744" i="5"/>
  <c r="I744" i="5"/>
  <c r="J744" i="5"/>
  <c r="K744" i="5"/>
  <c r="L744" i="5"/>
  <c r="M744" i="5"/>
  <c r="N744" i="5"/>
  <c r="O744" i="5" s="1"/>
  <c r="P744" i="5"/>
  <c r="S744" i="5" s="1"/>
  <c r="Q744" i="5"/>
  <c r="R744" i="5"/>
  <c r="C745" i="5"/>
  <c r="D745" i="5"/>
  <c r="E745" i="5"/>
  <c r="H745" i="5"/>
  <c r="L745" i="5"/>
  <c r="N745" i="5" s="1"/>
  <c r="M745" i="5"/>
  <c r="P745" i="5"/>
  <c r="Q745" i="5" s="1"/>
  <c r="R745" i="5"/>
  <c r="C746" i="5"/>
  <c r="D746" i="5"/>
  <c r="E746" i="5" s="1"/>
  <c r="H746" i="5"/>
  <c r="I746" i="5" s="1"/>
  <c r="L746" i="5"/>
  <c r="M746" i="5" s="1"/>
  <c r="N746" i="5"/>
  <c r="P746" i="5"/>
  <c r="Q746" i="5" s="1"/>
  <c r="R746" i="5"/>
  <c r="S746" i="5" s="1"/>
  <c r="C747" i="5"/>
  <c r="D747" i="5"/>
  <c r="E747" i="5" s="1"/>
  <c r="H747" i="5"/>
  <c r="I747" i="5" s="1"/>
  <c r="L747" i="5"/>
  <c r="M747" i="5" s="1"/>
  <c r="P747" i="5"/>
  <c r="Q747" i="5"/>
  <c r="R747" i="5"/>
  <c r="S747" i="5"/>
  <c r="C748" i="5"/>
  <c r="D748" i="5"/>
  <c r="E748" i="5"/>
  <c r="H748" i="5"/>
  <c r="I748" i="5" s="1"/>
  <c r="L748" i="5"/>
  <c r="M748" i="5"/>
  <c r="N748" i="5"/>
  <c r="P748" i="5"/>
  <c r="Q748" i="5"/>
  <c r="R748" i="5"/>
  <c r="C749" i="5"/>
  <c r="D749" i="5"/>
  <c r="E749" i="5"/>
  <c r="H749" i="5"/>
  <c r="I749" i="5"/>
  <c r="J749" i="5"/>
  <c r="K749" i="5"/>
  <c r="L749" i="5"/>
  <c r="P749" i="5"/>
  <c r="R749" i="5" s="1"/>
  <c r="Q749" i="5"/>
  <c r="C750" i="5"/>
  <c r="D750" i="5"/>
  <c r="E750" i="5"/>
  <c r="H750" i="5"/>
  <c r="I750" i="5" s="1"/>
  <c r="L750" i="5"/>
  <c r="M750" i="5" s="1"/>
  <c r="P750" i="5"/>
  <c r="Q750" i="5"/>
  <c r="R750" i="5"/>
  <c r="S750" i="5"/>
  <c r="C751" i="5"/>
  <c r="D751" i="5"/>
  <c r="E751" i="5"/>
  <c r="H751" i="5"/>
  <c r="I751" i="5" s="1"/>
  <c r="J751" i="5"/>
  <c r="K751" i="5"/>
  <c r="L751" i="5"/>
  <c r="M751" i="5" s="1"/>
  <c r="P751" i="5"/>
  <c r="Q751" i="5" s="1"/>
  <c r="C752" i="5"/>
  <c r="D752" i="5"/>
  <c r="E752" i="5"/>
  <c r="H752" i="5"/>
  <c r="L752" i="5"/>
  <c r="M752" i="5" s="1"/>
  <c r="P752" i="5"/>
  <c r="Q752" i="5"/>
  <c r="R752" i="5"/>
  <c r="S752" i="5"/>
  <c r="C753" i="5"/>
  <c r="I753" i="9" s="1"/>
  <c r="D753" i="5"/>
  <c r="E753" i="5"/>
  <c r="H753" i="5"/>
  <c r="J753" i="5" s="1"/>
  <c r="I753" i="5"/>
  <c r="L753" i="5"/>
  <c r="M753" i="5"/>
  <c r="N753" i="5"/>
  <c r="O753" i="5"/>
  <c r="P753" i="5"/>
  <c r="C754" i="5"/>
  <c r="D754" i="5"/>
  <c r="E754" i="5" s="1"/>
  <c r="H754" i="5"/>
  <c r="J754" i="5" s="1"/>
  <c r="I754" i="5"/>
  <c r="L754" i="5"/>
  <c r="M754" i="5" s="1"/>
  <c r="P754" i="5"/>
  <c r="Q754" i="5" s="1"/>
  <c r="C755" i="5"/>
  <c r="D755" i="5"/>
  <c r="H755" i="5"/>
  <c r="I755" i="5"/>
  <c r="J755" i="5"/>
  <c r="L755" i="5"/>
  <c r="M755" i="5" s="1"/>
  <c r="N755" i="5"/>
  <c r="P755" i="5"/>
  <c r="Q755" i="5" s="1"/>
  <c r="C756" i="5"/>
  <c r="I756" i="9" s="1"/>
  <c r="D756" i="5"/>
  <c r="E756" i="5"/>
  <c r="H756" i="5"/>
  <c r="I756" i="5"/>
  <c r="J756" i="5"/>
  <c r="K756" i="5"/>
  <c r="L756" i="5"/>
  <c r="M756" i="5" s="1"/>
  <c r="P756" i="5"/>
  <c r="Q756" i="5" s="1"/>
  <c r="C757" i="5"/>
  <c r="I757" i="7" s="1"/>
  <c r="D757" i="5"/>
  <c r="E757" i="5"/>
  <c r="H757" i="5"/>
  <c r="K757" i="5" s="1"/>
  <c r="I757" i="5"/>
  <c r="J757" i="5"/>
  <c r="L757" i="5"/>
  <c r="N757" i="5" s="1"/>
  <c r="M757" i="5"/>
  <c r="P757" i="5"/>
  <c r="Q757" i="5"/>
  <c r="R757" i="5"/>
  <c r="S757" i="5"/>
  <c r="C758" i="5"/>
  <c r="D758" i="5"/>
  <c r="E758" i="5" s="1"/>
  <c r="H758" i="5"/>
  <c r="I758" i="5" s="1"/>
  <c r="L758" i="5"/>
  <c r="N758" i="5" s="1"/>
  <c r="M758" i="5"/>
  <c r="P758" i="5"/>
  <c r="Q758" i="5" s="1"/>
  <c r="C759" i="5"/>
  <c r="D759" i="5"/>
  <c r="E759" i="5"/>
  <c r="H759" i="5"/>
  <c r="J759" i="5" s="1"/>
  <c r="I759" i="5"/>
  <c r="L759" i="5"/>
  <c r="M759" i="5"/>
  <c r="N759" i="5"/>
  <c r="P759" i="5"/>
  <c r="Q759" i="5" s="1"/>
  <c r="R759" i="5"/>
  <c r="C760" i="5"/>
  <c r="I760" i="7" s="1"/>
  <c r="D760" i="5"/>
  <c r="E760" i="5"/>
  <c r="H760" i="5"/>
  <c r="K760" i="5" s="1"/>
  <c r="I760" i="5"/>
  <c r="J760" i="5"/>
  <c r="L760" i="5"/>
  <c r="M760" i="5"/>
  <c r="N760" i="5"/>
  <c r="O760" i="5"/>
  <c r="P760" i="5"/>
  <c r="Q760" i="5"/>
  <c r="C761" i="5"/>
  <c r="D761" i="5"/>
  <c r="E761" i="5"/>
  <c r="H761" i="5"/>
  <c r="K761" i="5" s="1"/>
  <c r="I761" i="5"/>
  <c r="J761" i="5"/>
  <c r="L761" i="5"/>
  <c r="O761" i="5" s="1"/>
  <c r="M761" i="5"/>
  <c r="N761" i="5"/>
  <c r="P761" i="5"/>
  <c r="R761" i="5" s="1"/>
  <c r="Q761" i="5"/>
  <c r="C762" i="5"/>
  <c r="I762" i="7" s="1"/>
  <c r="D762" i="5"/>
  <c r="E762" i="5"/>
  <c r="H762" i="5"/>
  <c r="I762" i="5" s="1"/>
  <c r="J762" i="5"/>
  <c r="K762" i="5" s="1"/>
  <c r="L762" i="5"/>
  <c r="M762" i="5" s="1"/>
  <c r="P762" i="5"/>
  <c r="R762" i="5" s="1"/>
  <c r="Q762" i="5"/>
  <c r="C763" i="5"/>
  <c r="D763" i="5"/>
  <c r="E763" i="5" s="1"/>
  <c r="H763" i="5"/>
  <c r="I763" i="5"/>
  <c r="J763" i="5"/>
  <c r="K763" i="5"/>
  <c r="L763" i="5"/>
  <c r="M763" i="5" s="1"/>
  <c r="N763" i="5"/>
  <c r="P763" i="5"/>
  <c r="Q763" i="5"/>
  <c r="R763" i="5"/>
  <c r="C764" i="5"/>
  <c r="D764" i="5"/>
  <c r="E764" i="5"/>
  <c r="H764" i="5"/>
  <c r="I764" i="5"/>
  <c r="J764" i="5"/>
  <c r="K764" i="5" s="1"/>
  <c r="L764" i="5"/>
  <c r="O764" i="5" s="1"/>
  <c r="M764" i="5"/>
  <c r="N764" i="5"/>
  <c r="P764" i="5"/>
  <c r="Q764" i="5"/>
  <c r="R764" i="5"/>
  <c r="S764" i="5"/>
  <c r="C765" i="5"/>
  <c r="D765" i="5"/>
  <c r="H765" i="5"/>
  <c r="J765" i="5" s="1"/>
  <c r="I765" i="5"/>
  <c r="L765" i="5"/>
  <c r="O765" i="5" s="1"/>
  <c r="M765" i="5"/>
  <c r="N765" i="5"/>
  <c r="P765" i="5"/>
  <c r="S765" i="5" s="1"/>
  <c r="Q765" i="5"/>
  <c r="R765" i="5"/>
  <c r="C766" i="5"/>
  <c r="D766" i="5"/>
  <c r="E766" i="5" s="1"/>
  <c r="H766" i="5"/>
  <c r="J766" i="5" s="1"/>
  <c r="I766" i="5"/>
  <c r="L766" i="5"/>
  <c r="M766" i="5" s="1"/>
  <c r="N766" i="5"/>
  <c r="O766" i="5" s="1"/>
  <c r="P766" i="5"/>
  <c r="Q766" i="5" s="1"/>
  <c r="C767" i="5"/>
  <c r="D767" i="5"/>
  <c r="E767" i="5" s="1"/>
  <c r="H767" i="5"/>
  <c r="I767" i="5" s="1"/>
  <c r="L767" i="5"/>
  <c r="M767" i="5"/>
  <c r="N767" i="5"/>
  <c r="O767" i="5"/>
  <c r="P767" i="5"/>
  <c r="Q767" i="5"/>
  <c r="R767" i="5"/>
  <c r="C768" i="5"/>
  <c r="D768" i="5"/>
  <c r="E768" i="5" s="1"/>
  <c r="H768" i="5"/>
  <c r="I768" i="5"/>
  <c r="J768" i="5"/>
  <c r="K768" i="5"/>
  <c r="L768" i="5"/>
  <c r="M768" i="5"/>
  <c r="N768" i="5"/>
  <c r="O768" i="5" s="1"/>
  <c r="P768" i="5"/>
  <c r="S768" i="5" s="1"/>
  <c r="Q768" i="5"/>
  <c r="R768" i="5"/>
  <c r="C769" i="5"/>
  <c r="D769" i="5"/>
  <c r="E769" i="5"/>
  <c r="H769" i="5"/>
  <c r="L769" i="5"/>
  <c r="N769" i="5" s="1"/>
  <c r="M769" i="5"/>
  <c r="P769" i="5"/>
  <c r="Q769" i="5" s="1"/>
  <c r="R769" i="5"/>
  <c r="C770" i="5"/>
  <c r="D770" i="5"/>
  <c r="E770" i="5" s="1"/>
  <c r="H770" i="5"/>
  <c r="I770" i="5" s="1"/>
  <c r="L770" i="5"/>
  <c r="N770" i="5" s="1"/>
  <c r="O770" i="5" s="1"/>
  <c r="M770" i="5"/>
  <c r="P770" i="5"/>
  <c r="Q770" i="5" s="1"/>
  <c r="R770" i="5"/>
  <c r="S770" i="5" s="1"/>
  <c r="C771" i="5"/>
  <c r="I771" i="9" s="1"/>
  <c r="D771" i="5"/>
  <c r="E771" i="5" s="1"/>
  <c r="H771" i="5"/>
  <c r="I771" i="5" s="1"/>
  <c r="L771" i="5"/>
  <c r="M771" i="5" s="1"/>
  <c r="P771" i="5"/>
  <c r="Q771" i="5"/>
  <c r="R771" i="5"/>
  <c r="S771" i="5"/>
  <c r="C772" i="5"/>
  <c r="D772" i="5"/>
  <c r="E772" i="5"/>
  <c r="H772" i="5"/>
  <c r="I772" i="5" s="1"/>
  <c r="L772" i="5"/>
  <c r="M772" i="5"/>
  <c r="N772" i="5"/>
  <c r="P772" i="5"/>
  <c r="Q772" i="5"/>
  <c r="R772" i="5"/>
  <c r="S772" i="5" s="1"/>
  <c r="C773" i="5"/>
  <c r="D773" i="5"/>
  <c r="E773" i="5"/>
  <c r="H773" i="5"/>
  <c r="I773" i="5"/>
  <c r="J773" i="5"/>
  <c r="K773" i="5"/>
  <c r="L773" i="5"/>
  <c r="P773" i="5"/>
  <c r="R773" i="5" s="1"/>
  <c r="Q773" i="5"/>
  <c r="C774" i="5"/>
  <c r="I774" i="7" s="1"/>
  <c r="D774" i="5"/>
  <c r="E774" i="5"/>
  <c r="H774" i="5"/>
  <c r="I774" i="5" s="1"/>
  <c r="L774" i="5"/>
  <c r="M774" i="5" s="1"/>
  <c r="P774" i="5"/>
  <c r="Q774" i="5" s="1"/>
  <c r="C775" i="5"/>
  <c r="I775" i="7" s="1"/>
  <c r="D775" i="5"/>
  <c r="E775" i="5"/>
  <c r="H775" i="5"/>
  <c r="I775" i="5" s="1"/>
  <c r="J775" i="5"/>
  <c r="K775" i="5" s="1"/>
  <c r="L775" i="5"/>
  <c r="M775" i="5" s="1"/>
  <c r="P775" i="5"/>
  <c r="Q775" i="5" s="1"/>
  <c r="C776" i="5"/>
  <c r="D776" i="5"/>
  <c r="E776" i="5"/>
  <c r="H776" i="5"/>
  <c r="L776" i="5"/>
  <c r="M776" i="5" s="1"/>
  <c r="P776" i="5"/>
  <c r="Q776" i="5"/>
  <c r="R776" i="5"/>
  <c r="S776" i="5"/>
  <c r="C777" i="5"/>
  <c r="D777" i="5"/>
  <c r="E777" i="5"/>
  <c r="H777" i="5"/>
  <c r="J777" i="5" s="1"/>
  <c r="I777" i="5"/>
  <c r="L777" i="5"/>
  <c r="M777" i="5"/>
  <c r="N777" i="5"/>
  <c r="O777" i="5"/>
  <c r="P777" i="5"/>
  <c r="C778" i="5"/>
  <c r="D778" i="5"/>
  <c r="E778" i="5" s="1"/>
  <c r="H778" i="5"/>
  <c r="J778" i="5" s="1"/>
  <c r="I778" i="5"/>
  <c r="L778" i="5"/>
  <c r="M778" i="5" s="1"/>
  <c r="P778" i="5"/>
  <c r="Q778" i="5" s="1"/>
  <c r="C779" i="5"/>
  <c r="D779" i="5"/>
  <c r="E779" i="5"/>
  <c r="H779" i="5"/>
  <c r="I779" i="5"/>
  <c r="J779" i="5"/>
  <c r="L779" i="5"/>
  <c r="M779" i="5" s="1"/>
  <c r="N779" i="5"/>
  <c r="P779" i="5"/>
  <c r="Q779" i="5" s="1"/>
  <c r="C780" i="5"/>
  <c r="D780" i="5"/>
  <c r="E780" i="5"/>
  <c r="H780" i="5"/>
  <c r="I780" i="5"/>
  <c r="J780" i="5"/>
  <c r="K780" i="5"/>
  <c r="L780" i="5"/>
  <c r="M780" i="5"/>
  <c r="P780" i="5"/>
  <c r="C781" i="5"/>
  <c r="I781" i="9" s="1"/>
  <c r="D781" i="5"/>
  <c r="E781" i="5" s="1"/>
  <c r="H781" i="5"/>
  <c r="K781" i="5" s="1"/>
  <c r="I781" i="5"/>
  <c r="J781" i="5"/>
  <c r="L781" i="5"/>
  <c r="N781" i="5" s="1"/>
  <c r="M781" i="5"/>
  <c r="P781" i="5"/>
  <c r="Q781" i="5"/>
  <c r="R781" i="5"/>
  <c r="S781" i="5"/>
  <c r="C782" i="5"/>
  <c r="D782" i="5"/>
  <c r="E782" i="5" s="1"/>
  <c r="H782" i="5"/>
  <c r="I782" i="5" s="1"/>
  <c r="L782" i="5"/>
  <c r="N782" i="5" s="1"/>
  <c r="M782" i="5"/>
  <c r="P782" i="5"/>
  <c r="Q782" i="5" s="1"/>
  <c r="C783" i="5"/>
  <c r="O783" i="5" s="1"/>
  <c r="D783" i="5"/>
  <c r="E783" i="5"/>
  <c r="H783" i="5"/>
  <c r="I783" i="5" s="1"/>
  <c r="L783" i="5"/>
  <c r="M783" i="5"/>
  <c r="N783" i="5"/>
  <c r="P783" i="5"/>
  <c r="Q783" i="5" s="1"/>
  <c r="R783" i="5"/>
  <c r="C784" i="5"/>
  <c r="D784" i="5"/>
  <c r="E784" i="5"/>
  <c r="H784" i="5"/>
  <c r="K784" i="5" s="1"/>
  <c r="I784" i="5"/>
  <c r="J784" i="5"/>
  <c r="L784" i="5"/>
  <c r="M784" i="5"/>
  <c r="N784" i="5"/>
  <c r="O784" i="5" s="1"/>
  <c r="P784" i="5"/>
  <c r="Q784" i="5" s="1"/>
  <c r="C785" i="5"/>
  <c r="D785" i="5"/>
  <c r="E785" i="5"/>
  <c r="H785" i="5"/>
  <c r="I785" i="5" s="1"/>
  <c r="J785" i="5"/>
  <c r="L785" i="5"/>
  <c r="O785" i="5" s="1"/>
  <c r="M785" i="5"/>
  <c r="N785" i="5"/>
  <c r="P785" i="5"/>
  <c r="R785" i="5" s="1"/>
  <c r="Q785" i="5"/>
  <c r="C786" i="5"/>
  <c r="D786" i="5"/>
  <c r="E786" i="5" s="1"/>
  <c r="H786" i="5"/>
  <c r="I786" i="5" s="1"/>
  <c r="J786" i="5"/>
  <c r="K786" i="5" s="1"/>
  <c r="L786" i="5"/>
  <c r="M786" i="5" s="1"/>
  <c r="P786" i="5"/>
  <c r="R786" i="5" s="1"/>
  <c r="Q786" i="5"/>
  <c r="C787" i="5"/>
  <c r="D787" i="5"/>
  <c r="E787" i="5" s="1"/>
  <c r="H787" i="5"/>
  <c r="I787" i="5"/>
  <c r="J787" i="5"/>
  <c r="K787" i="5"/>
  <c r="L787" i="5"/>
  <c r="M787" i="5" s="1"/>
  <c r="N787" i="5"/>
  <c r="P787" i="5"/>
  <c r="Q787" i="5"/>
  <c r="R787" i="5"/>
  <c r="C788" i="5"/>
  <c r="D788" i="5"/>
  <c r="E788" i="5"/>
  <c r="H788" i="5"/>
  <c r="I788" i="5"/>
  <c r="J788" i="5"/>
  <c r="K788" i="5" s="1"/>
  <c r="L788" i="5"/>
  <c r="O788" i="5" s="1"/>
  <c r="M788" i="5"/>
  <c r="N788" i="5"/>
  <c r="P788" i="5"/>
  <c r="Q788" i="5"/>
  <c r="R788" i="5"/>
  <c r="S788" i="5"/>
  <c r="C789" i="5"/>
  <c r="D789" i="5"/>
  <c r="H789" i="5"/>
  <c r="J789" i="5" s="1"/>
  <c r="I789" i="5"/>
  <c r="L789" i="5"/>
  <c r="O789" i="5" s="1"/>
  <c r="M789" i="5"/>
  <c r="N789" i="5"/>
  <c r="P789" i="5"/>
  <c r="S789" i="5" s="1"/>
  <c r="Q789" i="5"/>
  <c r="R789" i="5"/>
  <c r="C790" i="5"/>
  <c r="D790" i="5"/>
  <c r="E790" i="5" s="1"/>
  <c r="H790" i="5"/>
  <c r="L790" i="5"/>
  <c r="M790" i="5" s="1"/>
  <c r="N790" i="5"/>
  <c r="O790" i="5" s="1"/>
  <c r="P790" i="5"/>
  <c r="Q790" i="5" s="1"/>
  <c r="C791" i="5"/>
  <c r="D791" i="5"/>
  <c r="E791" i="5" s="1"/>
  <c r="H791" i="5"/>
  <c r="I791" i="5" s="1"/>
  <c r="L791" i="5"/>
  <c r="M791" i="5"/>
  <c r="N791" i="5"/>
  <c r="O791" i="5"/>
  <c r="P791" i="5"/>
  <c r="Q791" i="5"/>
  <c r="R791" i="5"/>
  <c r="C792" i="5"/>
  <c r="D792" i="5"/>
  <c r="H792" i="5"/>
  <c r="I792" i="5"/>
  <c r="J792" i="5"/>
  <c r="K792" i="5"/>
  <c r="L792" i="5"/>
  <c r="M792" i="5"/>
  <c r="N792" i="5"/>
  <c r="O792" i="5" s="1"/>
  <c r="P792" i="5"/>
  <c r="S792" i="5" s="1"/>
  <c r="Q792" i="5"/>
  <c r="R792" i="5"/>
  <c r="C793" i="5"/>
  <c r="I793" i="8" s="1"/>
  <c r="D793" i="5"/>
  <c r="E793" i="5"/>
  <c r="H793" i="5"/>
  <c r="L793" i="5"/>
  <c r="N793" i="5" s="1"/>
  <c r="M793" i="5"/>
  <c r="P793" i="5"/>
  <c r="Q793" i="5" s="1"/>
  <c r="R793" i="5"/>
  <c r="C794" i="5"/>
  <c r="D794" i="5"/>
  <c r="E794" i="5" s="1"/>
  <c r="H794" i="5"/>
  <c r="I794" i="5" s="1"/>
  <c r="L794" i="5"/>
  <c r="N794" i="5" s="1"/>
  <c r="O794" i="5" s="1"/>
  <c r="M794" i="5"/>
  <c r="P794" i="5"/>
  <c r="Q794" i="5" s="1"/>
  <c r="R794" i="5"/>
  <c r="S794" i="5" s="1"/>
  <c r="C795" i="5"/>
  <c r="I795" i="9" s="1"/>
  <c r="D795" i="5"/>
  <c r="E795" i="5" s="1"/>
  <c r="H795" i="5"/>
  <c r="I795" i="5" s="1"/>
  <c r="L795" i="5"/>
  <c r="M795" i="5" s="1"/>
  <c r="P795" i="5"/>
  <c r="Q795" i="5"/>
  <c r="R795" i="5"/>
  <c r="S795" i="5"/>
  <c r="C796" i="5"/>
  <c r="D796" i="5"/>
  <c r="E796" i="5" s="1"/>
  <c r="H796" i="5"/>
  <c r="L796" i="5"/>
  <c r="M796" i="5"/>
  <c r="N796" i="5"/>
  <c r="P796" i="5"/>
  <c r="Q796" i="5"/>
  <c r="R796" i="5"/>
  <c r="S796" i="5" s="1"/>
  <c r="C797" i="5"/>
  <c r="D797" i="5"/>
  <c r="E797" i="5"/>
  <c r="H797" i="5"/>
  <c r="I797" i="5"/>
  <c r="J797" i="5"/>
  <c r="K797" i="5" s="1"/>
  <c r="L797" i="5"/>
  <c r="P797" i="5"/>
  <c r="Q797" i="5" s="1"/>
  <c r="C798" i="5"/>
  <c r="I798" i="7" s="1"/>
  <c r="D798" i="5"/>
  <c r="E798" i="5"/>
  <c r="H798" i="5"/>
  <c r="I798" i="5" s="1"/>
  <c r="L798" i="5"/>
  <c r="M798" i="5" s="1"/>
  <c r="P798" i="5"/>
  <c r="Q798" i="5" s="1"/>
  <c r="R798" i="5"/>
  <c r="C799" i="5"/>
  <c r="D799" i="5"/>
  <c r="E799" i="5"/>
  <c r="H799" i="5"/>
  <c r="I799" i="5" s="1"/>
  <c r="J799" i="5"/>
  <c r="K799" i="5" s="1"/>
  <c r="L799" i="5"/>
  <c r="M799" i="5" s="1"/>
  <c r="P799" i="5"/>
  <c r="Q799" i="5" s="1"/>
  <c r="C800" i="5"/>
  <c r="D800" i="5"/>
  <c r="E800" i="5"/>
  <c r="H800" i="5"/>
  <c r="I800" i="5"/>
  <c r="L800" i="5"/>
  <c r="P800" i="5"/>
  <c r="Q800" i="5"/>
  <c r="R800" i="5"/>
  <c r="S800" i="5"/>
  <c r="C801" i="5"/>
  <c r="D801" i="5"/>
  <c r="E801" i="5"/>
  <c r="H801" i="5"/>
  <c r="J801" i="5" s="1"/>
  <c r="I801" i="5"/>
  <c r="L801" i="5"/>
  <c r="M801" i="5"/>
  <c r="N801" i="5"/>
  <c r="O801" i="5" s="1"/>
  <c r="P801" i="5"/>
  <c r="C802" i="5"/>
  <c r="I802" i="9" s="1"/>
  <c r="D802" i="5"/>
  <c r="E802" i="5" s="1"/>
  <c r="H802" i="5"/>
  <c r="J802" i="5" s="1"/>
  <c r="I802" i="5"/>
  <c r="L802" i="5"/>
  <c r="M802" i="5" s="1"/>
  <c r="P802" i="5"/>
  <c r="Q802" i="5" s="1"/>
  <c r="C803" i="5"/>
  <c r="D803" i="5"/>
  <c r="H803" i="5"/>
  <c r="I803" i="5"/>
  <c r="J803" i="5"/>
  <c r="L803" i="5"/>
  <c r="M803" i="5" s="1"/>
  <c r="N803" i="5"/>
  <c r="P803" i="5"/>
  <c r="Q803" i="5" s="1"/>
  <c r="C804" i="5"/>
  <c r="D804" i="5"/>
  <c r="E804" i="5"/>
  <c r="H804" i="5"/>
  <c r="I804" i="5"/>
  <c r="J804" i="5"/>
  <c r="K804" i="5"/>
  <c r="L804" i="5"/>
  <c r="M804" i="5"/>
  <c r="P804" i="5"/>
  <c r="C805" i="5"/>
  <c r="D805" i="5"/>
  <c r="E805" i="5" s="1"/>
  <c r="H805" i="5"/>
  <c r="K805" i="5" s="1"/>
  <c r="I805" i="5"/>
  <c r="J805" i="5"/>
  <c r="L805" i="5"/>
  <c r="N805" i="5" s="1"/>
  <c r="M805" i="5"/>
  <c r="P805" i="5"/>
  <c r="Q805" i="5"/>
  <c r="R805" i="5"/>
  <c r="S805" i="5"/>
  <c r="C806" i="5"/>
  <c r="D806" i="5"/>
  <c r="E806" i="5" s="1"/>
  <c r="H806" i="5"/>
  <c r="I806" i="5" s="1"/>
  <c r="L806" i="5"/>
  <c r="N806" i="5" s="1"/>
  <c r="M806" i="5"/>
  <c r="P806" i="5"/>
  <c r="Q806" i="5" s="1"/>
  <c r="C807" i="5"/>
  <c r="I807" i="9" s="1"/>
  <c r="D807" i="5"/>
  <c r="E807" i="5"/>
  <c r="H807" i="5"/>
  <c r="I807" i="5" s="1"/>
  <c r="L807" i="5"/>
  <c r="M807" i="5"/>
  <c r="N807" i="5"/>
  <c r="P807" i="5"/>
  <c r="Q807" i="5" s="1"/>
  <c r="R807" i="5"/>
  <c r="C808" i="5"/>
  <c r="D808" i="5"/>
  <c r="E808" i="5"/>
  <c r="H808" i="5"/>
  <c r="K808" i="5" s="1"/>
  <c r="I808" i="5"/>
  <c r="J808" i="5"/>
  <c r="L808" i="5"/>
  <c r="M808" i="5"/>
  <c r="N808" i="5"/>
  <c r="O808" i="5" s="1"/>
  <c r="P808" i="5"/>
  <c r="Q808" i="5" s="1"/>
  <c r="C809" i="5"/>
  <c r="D809" i="5"/>
  <c r="E809" i="5" s="1"/>
  <c r="H809" i="5"/>
  <c r="I809" i="5" s="1"/>
  <c r="J809" i="5"/>
  <c r="L809" i="5"/>
  <c r="O809" i="5" s="1"/>
  <c r="M809" i="5"/>
  <c r="N809" i="5"/>
  <c r="P809" i="5"/>
  <c r="R809" i="5" s="1"/>
  <c r="Q809" i="5"/>
  <c r="C810" i="5"/>
  <c r="D810" i="5"/>
  <c r="E810" i="5"/>
  <c r="H810" i="5"/>
  <c r="I810" i="5"/>
  <c r="J810" i="5"/>
  <c r="K810" i="5" s="1"/>
  <c r="L810" i="5"/>
  <c r="M810" i="5" s="1"/>
  <c r="P810" i="5"/>
  <c r="R810" i="5" s="1"/>
  <c r="Q810" i="5"/>
  <c r="C811" i="5"/>
  <c r="I811" i="8" s="1"/>
  <c r="D811" i="5"/>
  <c r="E811" i="5" s="1"/>
  <c r="H811" i="5"/>
  <c r="I811" i="5"/>
  <c r="J811" i="5"/>
  <c r="K811" i="5"/>
  <c r="L811" i="5"/>
  <c r="M811" i="5" s="1"/>
  <c r="P811" i="5"/>
  <c r="Q811" i="5"/>
  <c r="R811" i="5"/>
  <c r="C812" i="5"/>
  <c r="D812" i="5"/>
  <c r="E812" i="5"/>
  <c r="H812" i="5"/>
  <c r="I812" i="5"/>
  <c r="J812" i="5"/>
  <c r="K812" i="5" s="1"/>
  <c r="L812" i="5"/>
  <c r="O812" i="5" s="1"/>
  <c r="M812" i="5"/>
  <c r="N812" i="5"/>
  <c r="P812" i="5"/>
  <c r="Q812" i="5"/>
  <c r="R812" i="5"/>
  <c r="S812" i="5"/>
  <c r="C813" i="5"/>
  <c r="I813" i="7" s="1"/>
  <c r="D813" i="5"/>
  <c r="H813" i="5"/>
  <c r="I813" i="5" s="1"/>
  <c r="L813" i="5"/>
  <c r="O813" i="5" s="1"/>
  <c r="M813" i="5"/>
  <c r="N813" i="5"/>
  <c r="P813" i="5"/>
  <c r="S813" i="5" s="1"/>
  <c r="Q813" i="5"/>
  <c r="R813" i="5"/>
  <c r="C814" i="5"/>
  <c r="I814" i="7" s="1"/>
  <c r="D814" i="5"/>
  <c r="E814" i="5" s="1"/>
  <c r="H814" i="5"/>
  <c r="I814" i="5"/>
  <c r="J814" i="5"/>
  <c r="K814" i="5" s="1"/>
  <c r="L814" i="5"/>
  <c r="M814" i="5"/>
  <c r="N814" i="5"/>
  <c r="O814" i="5" s="1"/>
  <c r="P814" i="5"/>
  <c r="Q814" i="5" s="1"/>
  <c r="C815" i="5"/>
  <c r="D815" i="5"/>
  <c r="E815" i="5" s="1"/>
  <c r="H815" i="5"/>
  <c r="I815" i="5" s="1"/>
  <c r="L815" i="5"/>
  <c r="M815" i="5"/>
  <c r="N815" i="5"/>
  <c r="O815" i="5"/>
  <c r="P815" i="5"/>
  <c r="Q815" i="5" s="1"/>
  <c r="R815" i="5"/>
  <c r="C816" i="5"/>
  <c r="I816" i="7" s="1"/>
  <c r="D816" i="5"/>
  <c r="H816" i="5"/>
  <c r="I816" i="5"/>
  <c r="J816" i="5"/>
  <c r="K816" i="5"/>
  <c r="L816" i="5"/>
  <c r="M816" i="5"/>
  <c r="N816" i="5"/>
  <c r="O816" i="5" s="1"/>
  <c r="P816" i="5"/>
  <c r="S816" i="5" s="1"/>
  <c r="Q816" i="5"/>
  <c r="R816" i="5"/>
  <c r="C817" i="5"/>
  <c r="I817" i="9" s="1"/>
  <c r="D817" i="5"/>
  <c r="E817" i="5"/>
  <c r="H817" i="5"/>
  <c r="L817" i="5"/>
  <c r="M817" i="5" s="1"/>
  <c r="P817" i="5"/>
  <c r="Q817" i="5" s="1"/>
  <c r="R817" i="5"/>
  <c r="C818" i="5"/>
  <c r="D818" i="5"/>
  <c r="E818" i="5" s="1"/>
  <c r="H818" i="5"/>
  <c r="I818" i="5" s="1"/>
  <c r="L818" i="5"/>
  <c r="M818" i="5" s="1"/>
  <c r="P818" i="5"/>
  <c r="Q818" i="5"/>
  <c r="R818" i="5"/>
  <c r="S818" i="5" s="1"/>
  <c r="C819" i="5"/>
  <c r="D819" i="5"/>
  <c r="E819" i="5"/>
  <c r="H819" i="5"/>
  <c r="I819" i="5" s="1"/>
  <c r="L819" i="5"/>
  <c r="M819" i="5" s="1"/>
  <c r="P819" i="5"/>
  <c r="Q819" i="5"/>
  <c r="R819" i="5"/>
  <c r="S819" i="5"/>
  <c r="C820" i="5"/>
  <c r="D820" i="5"/>
  <c r="E820" i="5"/>
  <c r="H820" i="5"/>
  <c r="L820" i="5"/>
  <c r="M820" i="5"/>
  <c r="N820" i="5"/>
  <c r="P820" i="5"/>
  <c r="Q820" i="5"/>
  <c r="R820" i="5"/>
  <c r="C821" i="5"/>
  <c r="D821" i="5"/>
  <c r="E821" i="5"/>
  <c r="H821" i="5"/>
  <c r="I821" i="5"/>
  <c r="J821" i="5"/>
  <c r="K821" i="5" s="1"/>
  <c r="L821" i="5"/>
  <c r="P821" i="5"/>
  <c r="Q821" i="5" s="1"/>
  <c r="C822" i="5"/>
  <c r="D822" i="5"/>
  <c r="E822" i="5"/>
  <c r="H822" i="5"/>
  <c r="I822" i="5" s="1"/>
  <c r="L822" i="5"/>
  <c r="M822" i="5" s="1"/>
  <c r="P822" i="5"/>
  <c r="Q822" i="5" s="1"/>
  <c r="C823" i="5"/>
  <c r="I823" i="9" s="1"/>
  <c r="D823" i="5"/>
  <c r="E823" i="5"/>
  <c r="H823" i="5"/>
  <c r="I823" i="5"/>
  <c r="J823" i="5"/>
  <c r="K823" i="5" s="1"/>
  <c r="L823" i="5"/>
  <c r="M823" i="5" s="1"/>
  <c r="P823" i="5"/>
  <c r="Q823" i="5" s="1"/>
  <c r="C824" i="5"/>
  <c r="D824" i="5"/>
  <c r="E824" i="5"/>
  <c r="H824" i="5"/>
  <c r="I824" i="5" s="1"/>
  <c r="L824" i="5"/>
  <c r="P824" i="5"/>
  <c r="Q824" i="5"/>
  <c r="R824" i="5"/>
  <c r="S824" i="5"/>
  <c r="C825" i="5"/>
  <c r="I825" i="9" s="1"/>
  <c r="D825" i="5"/>
  <c r="E825" i="5"/>
  <c r="H825" i="5"/>
  <c r="J825" i="5" s="1"/>
  <c r="I825" i="5"/>
  <c r="L825" i="5"/>
  <c r="M825" i="5"/>
  <c r="N825" i="5"/>
  <c r="O825" i="5" s="1"/>
  <c r="P825" i="5"/>
  <c r="C826" i="5"/>
  <c r="D826" i="5"/>
  <c r="E826" i="5" s="1"/>
  <c r="H826" i="5"/>
  <c r="J826" i="5" s="1"/>
  <c r="I826" i="5"/>
  <c r="L826" i="5"/>
  <c r="M826" i="5" s="1"/>
  <c r="P826" i="5"/>
  <c r="Q826" i="5" s="1"/>
  <c r="C827" i="5"/>
  <c r="D827" i="5"/>
  <c r="E827" i="5" s="1"/>
  <c r="H827" i="5"/>
  <c r="I827" i="5"/>
  <c r="J827" i="5"/>
  <c r="L827" i="5"/>
  <c r="M827" i="5"/>
  <c r="N827" i="5"/>
  <c r="O827" i="5" s="1"/>
  <c r="P827" i="5"/>
  <c r="Q827" i="5" s="1"/>
  <c r="C828" i="5"/>
  <c r="D828" i="5"/>
  <c r="E828" i="5"/>
  <c r="H828" i="5"/>
  <c r="I828" i="5"/>
  <c r="J828" i="5"/>
  <c r="K828" i="5"/>
  <c r="L828" i="5"/>
  <c r="M828" i="5"/>
  <c r="P828" i="5"/>
  <c r="C829" i="5"/>
  <c r="D829" i="5"/>
  <c r="E829" i="5" s="1"/>
  <c r="H829" i="5"/>
  <c r="K829" i="5" s="1"/>
  <c r="I829" i="5"/>
  <c r="J829" i="5"/>
  <c r="L829" i="5"/>
  <c r="N829" i="5" s="1"/>
  <c r="M829" i="5"/>
  <c r="P829" i="5"/>
  <c r="Q829" i="5"/>
  <c r="R829" i="5"/>
  <c r="S829" i="5" s="1"/>
  <c r="C830" i="5"/>
  <c r="D830" i="5"/>
  <c r="E830" i="5"/>
  <c r="H830" i="5"/>
  <c r="I830" i="5" s="1"/>
  <c r="L830" i="5"/>
  <c r="N830" i="5" s="1"/>
  <c r="M830" i="5"/>
  <c r="P830" i="5"/>
  <c r="Q830" i="5" s="1"/>
  <c r="C831" i="5"/>
  <c r="D831" i="5"/>
  <c r="E831" i="5"/>
  <c r="H831" i="5"/>
  <c r="L831" i="5"/>
  <c r="M831" i="5"/>
  <c r="N831" i="5"/>
  <c r="P831" i="5"/>
  <c r="Q831" i="5" s="1"/>
  <c r="R831" i="5"/>
  <c r="S831" i="5" s="1"/>
  <c r="C832" i="5"/>
  <c r="D832" i="5"/>
  <c r="E832" i="5"/>
  <c r="H832" i="5"/>
  <c r="K832" i="5" s="1"/>
  <c r="I832" i="5"/>
  <c r="J832" i="5"/>
  <c r="L832" i="5"/>
  <c r="M832" i="5"/>
  <c r="N832" i="5"/>
  <c r="O832" i="5" s="1"/>
  <c r="P832" i="5"/>
  <c r="Q832" i="5"/>
  <c r="C833" i="5"/>
  <c r="D833" i="5"/>
  <c r="E833" i="5"/>
  <c r="H833" i="5"/>
  <c r="I833" i="5" s="1"/>
  <c r="J833" i="5"/>
  <c r="L833" i="5"/>
  <c r="M833" i="5"/>
  <c r="N833" i="5"/>
  <c r="P833" i="5"/>
  <c r="R833" i="5" s="1"/>
  <c r="Q833" i="5"/>
  <c r="C834" i="5"/>
  <c r="I834" i="7" s="1"/>
  <c r="D834" i="5"/>
  <c r="E834" i="5"/>
  <c r="H834" i="5"/>
  <c r="I834" i="5"/>
  <c r="J834" i="5"/>
  <c r="L834" i="5"/>
  <c r="M834" i="5" s="1"/>
  <c r="P834" i="5"/>
  <c r="R834" i="5" s="1"/>
  <c r="Q834" i="5"/>
  <c r="C835" i="5"/>
  <c r="I835" i="8" s="1"/>
  <c r="D835" i="5"/>
  <c r="E835" i="5" s="1"/>
  <c r="H835" i="5"/>
  <c r="I835" i="5"/>
  <c r="J835" i="5"/>
  <c r="K835" i="5"/>
  <c r="L835" i="5"/>
  <c r="P835" i="5"/>
  <c r="R835" i="5" s="1"/>
  <c r="S835" i="5" s="1"/>
  <c r="Q835" i="5"/>
  <c r="C836" i="5"/>
  <c r="D836" i="5"/>
  <c r="E836" i="5"/>
  <c r="H836" i="5"/>
  <c r="I836" i="5"/>
  <c r="J836" i="5"/>
  <c r="K836" i="5" s="1"/>
  <c r="L836" i="5"/>
  <c r="O836" i="5" s="1"/>
  <c r="M836" i="5"/>
  <c r="N836" i="5"/>
  <c r="P836" i="5"/>
  <c r="Q836" i="5"/>
  <c r="R836" i="5"/>
  <c r="S836" i="5"/>
  <c r="C837" i="5"/>
  <c r="D837" i="5"/>
  <c r="H837" i="5"/>
  <c r="J837" i="5" s="1"/>
  <c r="I837" i="5"/>
  <c r="L837" i="5"/>
  <c r="M837" i="5" s="1"/>
  <c r="N837" i="5"/>
  <c r="P837" i="5"/>
  <c r="S837" i="5" s="1"/>
  <c r="Q837" i="5"/>
  <c r="R837" i="5"/>
  <c r="C838" i="5"/>
  <c r="D838" i="5"/>
  <c r="E838" i="5" s="1"/>
  <c r="H838" i="5"/>
  <c r="I838" i="5" s="1"/>
  <c r="J838" i="5"/>
  <c r="L838" i="5"/>
  <c r="M838" i="5"/>
  <c r="N838" i="5"/>
  <c r="O838" i="5" s="1"/>
  <c r="P838" i="5"/>
  <c r="Q838" i="5" s="1"/>
  <c r="C839" i="5"/>
  <c r="D839" i="5"/>
  <c r="E839" i="5" s="1"/>
  <c r="H839" i="5"/>
  <c r="I839" i="5" s="1"/>
  <c r="L839" i="5"/>
  <c r="M839" i="5"/>
  <c r="N839" i="5"/>
  <c r="O839" i="5"/>
  <c r="P839" i="5"/>
  <c r="Q839" i="5"/>
  <c r="R839" i="5"/>
  <c r="C840" i="5"/>
  <c r="D840" i="5"/>
  <c r="H840" i="5"/>
  <c r="I840" i="5"/>
  <c r="J840" i="5"/>
  <c r="K840" i="5"/>
  <c r="L840" i="5"/>
  <c r="M840" i="5"/>
  <c r="N840" i="5"/>
  <c r="O840" i="5" s="1"/>
  <c r="P840" i="5"/>
  <c r="S840" i="5" s="1"/>
  <c r="Q840" i="5"/>
  <c r="R840" i="5"/>
  <c r="C841" i="5"/>
  <c r="I841" i="9" s="1"/>
  <c r="D841" i="5"/>
  <c r="E841" i="5"/>
  <c r="H841" i="5"/>
  <c r="L841" i="5"/>
  <c r="N841" i="5" s="1"/>
  <c r="M841" i="5"/>
  <c r="P841" i="5"/>
  <c r="Q841" i="5" s="1"/>
  <c r="R841" i="5"/>
  <c r="C842" i="5"/>
  <c r="D842" i="5"/>
  <c r="E842" i="5" s="1"/>
  <c r="H842" i="5"/>
  <c r="I842" i="5" s="1"/>
  <c r="L842" i="5"/>
  <c r="M842" i="5"/>
  <c r="N842" i="5"/>
  <c r="O842" i="5"/>
  <c r="P842" i="5"/>
  <c r="Q842" i="5"/>
  <c r="R842" i="5"/>
  <c r="S842" i="5" s="1"/>
  <c r="C843" i="5"/>
  <c r="I843" i="9" s="1"/>
  <c r="D843" i="5"/>
  <c r="E843" i="5"/>
  <c r="H843" i="5"/>
  <c r="L843" i="5"/>
  <c r="M843" i="5" s="1"/>
  <c r="P843" i="5"/>
  <c r="Q843" i="5"/>
  <c r="R843" i="5"/>
  <c r="S843" i="5"/>
  <c r="C844" i="5"/>
  <c r="D844" i="5"/>
  <c r="H844" i="5"/>
  <c r="L844" i="5"/>
  <c r="M844" i="5"/>
  <c r="N844" i="5"/>
  <c r="P844" i="5"/>
  <c r="Q844" i="5"/>
  <c r="R844" i="5"/>
  <c r="C845" i="5"/>
  <c r="D845" i="5"/>
  <c r="E845" i="5"/>
  <c r="H845" i="5"/>
  <c r="I845" i="5" s="1"/>
  <c r="L845" i="5"/>
  <c r="P845" i="5"/>
  <c r="R845" i="5" s="1"/>
  <c r="Q845" i="5"/>
  <c r="C846" i="5"/>
  <c r="D846" i="5"/>
  <c r="E846" i="5"/>
  <c r="H846" i="5"/>
  <c r="I846" i="5" s="1"/>
  <c r="L846" i="5"/>
  <c r="M846" i="5" s="1"/>
  <c r="P846" i="5"/>
  <c r="C847" i="5"/>
  <c r="D847" i="5"/>
  <c r="E847" i="5"/>
  <c r="H847" i="5"/>
  <c r="I847" i="5"/>
  <c r="J847" i="5"/>
  <c r="K847" i="5" s="1"/>
  <c r="L847" i="5"/>
  <c r="P847" i="5"/>
  <c r="Q847" i="5" s="1"/>
  <c r="C848" i="5"/>
  <c r="D848" i="5"/>
  <c r="E848" i="5"/>
  <c r="H848" i="5"/>
  <c r="I848" i="5" s="1"/>
  <c r="L848" i="5"/>
  <c r="P848" i="5"/>
  <c r="Q848" i="5"/>
  <c r="R848" i="5"/>
  <c r="S848" i="5"/>
  <c r="C849" i="5"/>
  <c r="D849" i="5"/>
  <c r="E849" i="5"/>
  <c r="H849" i="5"/>
  <c r="J849" i="5" s="1"/>
  <c r="I849" i="5"/>
  <c r="L849" i="5"/>
  <c r="M849" i="5" s="1"/>
  <c r="N849" i="5"/>
  <c r="P849" i="5"/>
  <c r="C850" i="5"/>
  <c r="D850" i="5"/>
  <c r="E850" i="5" s="1"/>
  <c r="H850" i="5"/>
  <c r="J850" i="5" s="1"/>
  <c r="I850" i="5"/>
  <c r="L850" i="5"/>
  <c r="M850" i="5" s="1"/>
  <c r="P850" i="5"/>
  <c r="Q850" i="5" s="1"/>
  <c r="C851" i="5"/>
  <c r="D851" i="5"/>
  <c r="E851" i="5" s="1"/>
  <c r="H851" i="5"/>
  <c r="I851" i="5"/>
  <c r="J851" i="5"/>
  <c r="L851" i="5"/>
  <c r="M851" i="5"/>
  <c r="N851" i="5"/>
  <c r="O851" i="5" s="1"/>
  <c r="P851" i="5"/>
  <c r="C852" i="5"/>
  <c r="I852" i="7" s="1"/>
  <c r="D852" i="5"/>
  <c r="E852" i="5"/>
  <c r="H852" i="5"/>
  <c r="I852" i="5"/>
  <c r="J852" i="5"/>
  <c r="K852" i="5" s="1"/>
  <c r="L852" i="5"/>
  <c r="M852" i="5"/>
  <c r="P852" i="5"/>
  <c r="C853" i="5"/>
  <c r="I853" i="9" s="1"/>
  <c r="D853" i="5"/>
  <c r="E853" i="5" s="1"/>
  <c r="H853" i="5"/>
  <c r="K853" i="5" s="1"/>
  <c r="I853" i="5"/>
  <c r="J853" i="5"/>
  <c r="L853" i="5"/>
  <c r="N853" i="5" s="1"/>
  <c r="M853" i="5"/>
  <c r="P853" i="5"/>
  <c r="S853" i="5" s="1"/>
  <c r="Q853" i="5"/>
  <c r="R853" i="5"/>
  <c r="C854" i="5"/>
  <c r="D854" i="5"/>
  <c r="E854" i="5"/>
  <c r="H854" i="5"/>
  <c r="I854" i="5" s="1"/>
  <c r="L854" i="5"/>
  <c r="N854" i="5" s="1"/>
  <c r="M854" i="5"/>
  <c r="P854" i="5"/>
  <c r="Q854" i="5" s="1"/>
  <c r="C855" i="5"/>
  <c r="I855" i="7" s="1"/>
  <c r="D855" i="5"/>
  <c r="E855" i="5"/>
  <c r="H855" i="5"/>
  <c r="J855" i="5" s="1"/>
  <c r="I855" i="5"/>
  <c r="L855" i="5"/>
  <c r="N855" i="5" s="1"/>
  <c r="O855" i="5" s="1"/>
  <c r="M855" i="5"/>
  <c r="P855" i="5"/>
  <c r="Q855" i="5"/>
  <c r="R855" i="5"/>
  <c r="S855" i="5" s="1"/>
  <c r="C856" i="5"/>
  <c r="D856" i="5"/>
  <c r="E856" i="5"/>
  <c r="H856" i="5"/>
  <c r="I856" i="5"/>
  <c r="J856" i="5"/>
  <c r="L856" i="5"/>
  <c r="M856" i="5"/>
  <c r="N856" i="5"/>
  <c r="P856" i="5"/>
  <c r="Q856" i="5" s="1"/>
  <c r="C857" i="5"/>
  <c r="D857" i="5"/>
  <c r="E857" i="5"/>
  <c r="H857" i="5"/>
  <c r="I857" i="5" s="1"/>
  <c r="J857" i="5"/>
  <c r="L857" i="5"/>
  <c r="N857" i="5" s="1"/>
  <c r="M857" i="5"/>
  <c r="P857" i="5"/>
  <c r="R857" i="5" s="1"/>
  <c r="Q857" i="5"/>
  <c r="C858" i="5"/>
  <c r="D858" i="5"/>
  <c r="E858" i="5"/>
  <c r="H858" i="5"/>
  <c r="I858" i="5"/>
  <c r="J858" i="5"/>
  <c r="L858" i="5"/>
  <c r="M858" i="5" s="1"/>
  <c r="P858" i="5"/>
  <c r="R858" i="5" s="1"/>
  <c r="Q858" i="5"/>
  <c r="C859" i="5"/>
  <c r="D859" i="5"/>
  <c r="E859" i="5" s="1"/>
  <c r="H859" i="5"/>
  <c r="I859" i="5"/>
  <c r="J859" i="5"/>
  <c r="K859" i="5"/>
  <c r="L859" i="5"/>
  <c r="N859" i="5" s="1"/>
  <c r="M859" i="5"/>
  <c r="P859" i="5"/>
  <c r="R859" i="5" s="1"/>
  <c r="S859" i="5" s="1"/>
  <c r="Q859" i="5"/>
  <c r="C860" i="5"/>
  <c r="D860" i="5"/>
  <c r="E860" i="5"/>
  <c r="H860" i="5"/>
  <c r="I860" i="5"/>
  <c r="J860" i="5"/>
  <c r="K860" i="5" s="1"/>
  <c r="L860" i="5"/>
  <c r="O860" i="5" s="1"/>
  <c r="M860" i="5"/>
  <c r="N860" i="5"/>
  <c r="P860" i="5"/>
  <c r="Q860" i="5"/>
  <c r="R860" i="5"/>
  <c r="S860" i="5" s="1"/>
  <c r="C861" i="5"/>
  <c r="I861" i="9" s="1"/>
  <c r="D861" i="5"/>
  <c r="H861" i="5"/>
  <c r="J861" i="5" s="1"/>
  <c r="I861" i="5"/>
  <c r="L861" i="5"/>
  <c r="M861" i="5" s="1"/>
  <c r="N861" i="5"/>
  <c r="P861" i="5"/>
  <c r="R861" i="5" s="1"/>
  <c r="Q861" i="5"/>
  <c r="C862" i="5"/>
  <c r="I862" i="9" s="1"/>
  <c r="D862" i="5"/>
  <c r="E862" i="5" s="1"/>
  <c r="H862" i="5"/>
  <c r="L862" i="5"/>
  <c r="M862" i="5"/>
  <c r="N862" i="5"/>
  <c r="O862" i="5" s="1"/>
  <c r="P862" i="5"/>
  <c r="Q862" i="5" s="1"/>
  <c r="C863" i="5"/>
  <c r="D863" i="5"/>
  <c r="H863" i="5"/>
  <c r="I863" i="5" s="1"/>
  <c r="J863" i="5"/>
  <c r="K863" i="5"/>
  <c r="L863" i="5"/>
  <c r="M863" i="5"/>
  <c r="N863" i="5"/>
  <c r="O863" i="5"/>
  <c r="P863" i="5"/>
  <c r="R863" i="5" s="1"/>
  <c r="Q863" i="5"/>
  <c r="C864" i="5"/>
  <c r="I864" i="9" s="1"/>
  <c r="D864" i="5"/>
  <c r="H864" i="5"/>
  <c r="I864" i="5"/>
  <c r="J864" i="5"/>
  <c r="K864" i="5"/>
  <c r="L864" i="5"/>
  <c r="M864" i="5"/>
  <c r="N864" i="5"/>
  <c r="O864" i="5" s="1"/>
  <c r="P864" i="5"/>
  <c r="Q864" i="5" s="1"/>
  <c r="C865" i="5"/>
  <c r="D865" i="5"/>
  <c r="E865" i="5"/>
  <c r="H865" i="5"/>
  <c r="L865" i="5"/>
  <c r="N865" i="5" s="1"/>
  <c r="M865" i="5"/>
  <c r="P865" i="5"/>
  <c r="Q865" i="5" s="1"/>
  <c r="R865" i="5"/>
  <c r="C866" i="5"/>
  <c r="D866" i="5"/>
  <c r="E866" i="5" s="1"/>
  <c r="H866" i="5"/>
  <c r="I866" i="5" s="1"/>
  <c r="L866" i="5"/>
  <c r="M866" i="5" s="1"/>
  <c r="N866" i="5"/>
  <c r="P866" i="5"/>
  <c r="Q866" i="5"/>
  <c r="R866" i="5"/>
  <c r="S866" i="5" s="1"/>
  <c r="C867" i="5"/>
  <c r="D867" i="5"/>
  <c r="E867" i="5"/>
  <c r="H867" i="5"/>
  <c r="L867" i="5"/>
  <c r="M867" i="5"/>
  <c r="N867" i="5"/>
  <c r="O867" i="5"/>
  <c r="P867" i="5"/>
  <c r="Q867" i="5"/>
  <c r="R867" i="5"/>
  <c r="S867" i="5"/>
  <c r="C868" i="5"/>
  <c r="D868" i="5"/>
  <c r="E868" i="5" s="1"/>
  <c r="H868" i="5"/>
  <c r="L868" i="5"/>
  <c r="M868" i="5"/>
  <c r="N868" i="5"/>
  <c r="O868" i="5"/>
  <c r="P868" i="5"/>
  <c r="Q868" i="5"/>
  <c r="R868" i="5"/>
  <c r="S868" i="5" s="1"/>
  <c r="C869" i="5"/>
  <c r="D869" i="5"/>
  <c r="E869" i="5"/>
  <c r="H869" i="5"/>
  <c r="I869" i="5"/>
  <c r="J869" i="5"/>
  <c r="L869" i="5"/>
  <c r="P869" i="5"/>
  <c r="R869" i="5" s="1"/>
  <c r="Q869" i="5"/>
  <c r="C870" i="5"/>
  <c r="D870" i="5"/>
  <c r="E870" i="5"/>
  <c r="H870" i="5"/>
  <c r="I870" i="5" s="1"/>
  <c r="J870" i="5"/>
  <c r="L870" i="5"/>
  <c r="M870" i="5" s="1"/>
  <c r="P870" i="5"/>
  <c r="Q870" i="5" s="1"/>
  <c r="R870" i="5"/>
  <c r="C871" i="5"/>
  <c r="D871" i="5"/>
  <c r="E871" i="5"/>
  <c r="H871" i="5"/>
  <c r="I871" i="5"/>
  <c r="J871" i="5"/>
  <c r="K871" i="5" s="1"/>
  <c r="L871" i="5"/>
  <c r="P871" i="5"/>
  <c r="Q871" i="5"/>
  <c r="R871" i="5"/>
  <c r="S871" i="5"/>
  <c r="C872" i="5"/>
  <c r="D872" i="5"/>
  <c r="E872" i="5"/>
  <c r="H872" i="5"/>
  <c r="I872" i="5" s="1"/>
  <c r="L872" i="5"/>
  <c r="P872" i="5"/>
  <c r="Q872" i="5"/>
  <c r="R872" i="5"/>
  <c r="S872" i="5"/>
  <c r="C873" i="5"/>
  <c r="D873" i="5"/>
  <c r="E873" i="5"/>
  <c r="H873" i="5"/>
  <c r="J873" i="5" s="1"/>
  <c r="I873" i="5"/>
  <c r="L873" i="5"/>
  <c r="N873" i="5" s="1"/>
  <c r="O873" i="5" s="1"/>
  <c r="M873" i="5"/>
  <c r="P873" i="5"/>
  <c r="C874" i="5"/>
  <c r="I874" i="9" s="1"/>
  <c r="D874" i="5"/>
  <c r="E874" i="5" s="1"/>
  <c r="H874" i="5"/>
  <c r="J874" i="5" s="1"/>
  <c r="I874" i="5"/>
  <c r="L874" i="5"/>
  <c r="M874" i="5" s="1"/>
  <c r="N874" i="5"/>
  <c r="P874" i="5"/>
  <c r="Q874" i="5" s="1"/>
  <c r="C875" i="5"/>
  <c r="D875" i="5"/>
  <c r="E875" i="5" s="1"/>
  <c r="H875" i="5"/>
  <c r="J875" i="5" s="1"/>
  <c r="K875" i="5" s="1"/>
  <c r="I875" i="5"/>
  <c r="L875" i="5"/>
  <c r="M875" i="5"/>
  <c r="N875" i="5"/>
  <c r="P875" i="5"/>
  <c r="C876" i="5"/>
  <c r="I876" i="9" s="1"/>
  <c r="D876" i="5"/>
  <c r="H876" i="5"/>
  <c r="I876" i="5"/>
  <c r="J876" i="5"/>
  <c r="K876" i="5"/>
  <c r="L876" i="5"/>
  <c r="M876" i="5" s="1"/>
  <c r="P876" i="5"/>
  <c r="C877" i="5"/>
  <c r="I877" i="9" s="1"/>
  <c r="D877" i="5"/>
  <c r="E877" i="5" s="1"/>
  <c r="H877" i="5"/>
  <c r="I877" i="5"/>
  <c r="J877" i="5"/>
  <c r="K877" i="5"/>
  <c r="L877" i="5"/>
  <c r="N877" i="5" s="1"/>
  <c r="M877" i="5"/>
  <c r="P877" i="5"/>
  <c r="Q877" i="5"/>
  <c r="R877" i="5"/>
  <c r="S877" i="5" s="1"/>
  <c r="C878" i="5"/>
  <c r="D878" i="5"/>
  <c r="E878" i="5"/>
  <c r="H878" i="5"/>
  <c r="I878" i="5" s="1"/>
  <c r="L878" i="5"/>
  <c r="N878" i="5" s="1"/>
  <c r="M878" i="5"/>
  <c r="P878" i="5"/>
  <c r="Q878" i="5" s="1"/>
  <c r="R878" i="5"/>
  <c r="C879" i="5"/>
  <c r="D879" i="5"/>
  <c r="E879" i="5"/>
  <c r="H879" i="5"/>
  <c r="J879" i="5" s="1"/>
  <c r="I879" i="5"/>
  <c r="L879" i="5"/>
  <c r="N879" i="5" s="1"/>
  <c r="O879" i="5" s="1"/>
  <c r="M879" i="5"/>
  <c r="P879" i="5"/>
  <c r="Q879" i="5"/>
  <c r="R879" i="5"/>
  <c r="S879" i="5" s="1"/>
  <c r="C880" i="5"/>
  <c r="D880" i="5"/>
  <c r="E880" i="5"/>
  <c r="H880" i="5"/>
  <c r="L880" i="5"/>
  <c r="M880" i="5"/>
  <c r="N880" i="5"/>
  <c r="P880" i="5"/>
  <c r="Q880" i="5"/>
  <c r="C881" i="5"/>
  <c r="D881" i="5"/>
  <c r="E881" i="5"/>
  <c r="H881" i="5"/>
  <c r="I881" i="5" s="1"/>
  <c r="J881" i="5"/>
  <c r="L881" i="5"/>
  <c r="N881" i="5" s="1"/>
  <c r="O881" i="5" s="1"/>
  <c r="M881" i="5"/>
  <c r="P881" i="5"/>
  <c r="R881" i="5" s="1"/>
  <c r="Q881" i="5"/>
  <c r="C882" i="5"/>
  <c r="I882" i="7" s="1"/>
  <c r="D882" i="5"/>
  <c r="H882" i="5"/>
  <c r="I882" i="5"/>
  <c r="J882" i="5"/>
  <c r="K882" i="5" s="1"/>
  <c r="L882" i="5"/>
  <c r="M882" i="5" s="1"/>
  <c r="P882" i="5"/>
  <c r="R882" i="5" s="1"/>
  <c r="Q882" i="5"/>
  <c r="C883" i="5"/>
  <c r="I883" i="8" s="1"/>
  <c r="D883" i="5"/>
  <c r="E883" i="5"/>
  <c r="H883" i="5"/>
  <c r="I883" i="5"/>
  <c r="J883" i="5"/>
  <c r="K883" i="5"/>
  <c r="L883" i="5"/>
  <c r="N883" i="5" s="1"/>
  <c r="M883" i="5"/>
  <c r="P883" i="5"/>
  <c r="R883" i="5" s="1"/>
  <c r="S883" i="5" s="1"/>
  <c r="Q883" i="5"/>
  <c r="C884" i="5"/>
  <c r="D884" i="5"/>
  <c r="E884" i="5"/>
  <c r="H884" i="5"/>
  <c r="I884" i="5"/>
  <c r="J884" i="5"/>
  <c r="K884" i="5" s="1"/>
  <c r="L884" i="5"/>
  <c r="P884" i="5"/>
  <c r="Q884" i="5"/>
  <c r="R884" i="5"/>
  <c r="S884" i="5" s="1"/>
  <c r="C885" i="5"/>
  <c r="D885" i="5"/>
  <c r="H885" i="5"/>
  <c r="J885" i="5" s="1"/>
  <c r="I885" i="5"/>
  <c r="L885" i="5"/>
  <c r="M885" i="5" s="1"/>
  <c r="N885" i="5"/>
  <c r="P885" i="5"/>
  <c r="R885" i="5" s="1"/>
  <c r="S885" i="5" s="1"/>
  <c r="Q885" i="5"/>
  <c r="C886" i="5"/>
  <c r="D886" i="5"/>
  <c r="E886" i="5" s="1"/>
  <c r="H886" i="5"/>
  <c r="I886" i="5"/>
  <c r="J886" i="5"/>
  <c r="K886" i="5"/>
  <c r="L886" i="5"/>
  <c r="M886" i="5"/>
  <c r="N886" i="5"/>
  <c r="O886" i="5" s="1"/>
  <c r="P886" i="5"/>
  <c r="Q886" i="5" s="1"/>
  <c r="C887" i="5"/>
  <c r="D887" i="5"/>
  <c r="H887" i="5"/>
  <c r="I887" i="5"/>
  <c r="J887" i="5"/>
  <c r="K887" i="5"/>
  <c r="L887" i="5"/>
  <c r="M887" i="5"/>
  <c r="N887" i="5"/>
  <c r="O887" i="5"/>
  <c r="P887" i="5"/>
  <c r="R887" i="5" s="1"/>
  <c r="Q887" i="5"/>
  <c r="C888" i="5"/>
  <c r="D888" i="5"/>
  <c r="H888" i="5"/>
  <c r="I888" i="5"/>
  <c r="J888" i="5"/>
  <c r="K888" i="5"/>
  <c r="L888" i="5"/>
  <c r="M888" i="5"/>
  <c r="N888" i="5"/>
  <c r="O888" i="5" s="1"/>
  <c r="P888" i="5"/>
  <c r="C889" i="5"/>
  <c r="I889" i="9" s="1"/>
  <c r="D889" i="5"/>
  <c r="E889" i="5"/>
  <c r="H889" i="5"/>
  <c r="L889" i="5"/>
  <c r="N889" i="5" s="1"/>
  <c r="M889" i="5"/>
  <c r="P889" i="5"/>
  <c r="Q889" i="5" s="1"/>
  <c r="R889" i="5"/>
  <c r="C890" i="5"/>
  <c r="D890" i="5"/>
  <c r="E890" i="5" s="1"/>
  <c r="H890" i="5"/>
  <c r="I890" i="5" s="1"/>
  <c r="L890" i="5"/>
  <c r="M890" i="5" s="1"/>
  <c r="N890" i="5"/>
  <c r="P890" i="5"/>
  <c r="Q890" i="5"/>
  <c r="R890" i="5"/>
  <c r="S890" i="5" s="1"/>
  <c r="C891" i="5"/>
  <c r="D891" i="5"/>
  <c r="E891" i="5"/>
  <c r="H891" i="5"/>
  <c r="L891" i="5"/>
  <c r="N891" i="5" s="1"/>
  <c r="O891" i="5" s="1"/>
  <c r="M891" i="5"/>
  <c r="P891" i="5"/>
  <c r="Q891" i="5"/>
  <c r="R891" i="5"/>
  <c r="S891" i="5" s="1"/>
  <c r="C892" i="5"/>
  <c r="D892" i="5"/>
  <c r="E892" i="5"/>
  <c r="H892" i="5"/>
  <c r="L892" i="5"/>
  <c r="M892" i="5"/>
  <c r="N892" i="5"/>
  <c r="O892" i="5"/>
  <c r="P892" i="5"/>
  <c r="Q892" i="5"/>
  <c r="R892" i="5"/>
  <c r="S892" i="5" s="1"/>
  <c r="C893" i="5"/>
  <c r="D893" i="5"/>
  <c r="E893" i="5"/>
  <c r="H893" i="5"/>
  <c r="I893" i="5"/>
  <c r="J893" i="5"/>
  <c r="K893" i="5"/>
  <c r="L893" i="5"/>
  <c r="P893" i="5"/>
  <c r="R893" i="5" s="1"/>
  <c r="Q893" i="5"/>
  <c r="C894" i="5"/>
  <c r="D894" i="5"/>
  <c r="E894" i="5"/>
  <c r="H894" i="5"/>
  <c r="I894" i="5" s="1"/>
  <c r="J894" i="5"/>
  <c r="L894" i="5"/>
  <c r="M894" i="5" s="1"/>
  <c r="P894" i="5"/>
  <c r="Q894" i="5" s="1"/>
  <c r="C895" i="5"/>
  <c r="D895" i="5"/>
  <c r="E895" i="5"/>
  <c r="H895" i="5"/>
  <c r="I895" i="5"/>
  <c r="J895" i="5"/>
  <c r="K895" i="5" s="1"/>
  <c r="L895" i="5"/>
  <c r="P895" i="5"/>
  <c r="R895" i="5" s="1"/>
  <c r="S895" i="5" s="1"/>
  <c r="Q895" i="5"/>
  <c r="C896" i="5"/>
  <c r="D896" i="5"/>
  <c r="E896" i="5"/>
  <c r="H896" i="5"/>
  <c r="I896" i="5"/>
  <c r="L896" i="5"/>
  <c r="P896" i="5"/>
  <c r="Q896" i="5"/>
  <c r="R896" i="5"/>
  <c r="S896" i="5"/>
  <c r="C897" i="5"/>
  <c r="D897" i="5"/>
  <c r="E897" i="5"/>
  <c r="H897" i="5"/>
  <c r="J897" i="5" s="1"/>
  <c r="I897" i="5"/>
  <c r="L897" i="5"/>
  <c r="P897" i="5"/>
  <c r="C898" i="5"/>
  <c r="D898" i="5"/>
  <c r="E898" i="5" s="1"/>
  <c r="H898" i="5"/>
  <c r="J898" i="5" s="1"/>
  <c r="I898" i="5"/>
  <c r="L898" i="5"/>
  <c r="O898" i="5" s="1"/>
  <c r="M898" i="5"/>
  <c r="N898" i="5"/>
  <c r="P898" i="5"/>
  <c r="Q898" i="5" s="1"/>
  <c r="C899" i="5"/>
  <c r="D899" i="5"/>
  <c r="E899" i="5"/>
  <c r="H899" i="5"/>
  <c r="J899" i="5" s="1"/>
  <c r="I899" i="5"/>
  <c r="L899" i="5"/>
  <c r="M899" i="5"/>
  <c r="N899" i="5"/>
  <c r="P899" i="5"/>
  <c r="C900" i="5"/>
  <c r="I900" i="9" s="1"/>
  <c r="D900" i="5"/>
  <c r="H900" i="5"/>
  <c r="I900" i="5"/>
  <c r="J900" i="5"/>
  <c r="K900" i="5"/>
  <c r="L900" i="5"/>
  <c r="M900" i="5"/>
  <c r="P900" i="5"/>
  <c r="C901" i="5"/>
  <c r="I901" i="7" s="1"/>
  <c r="D901" i="5"/>
  <c r="E901" i="5" s="1"/>
  <c r="H901" i="5"/>
  <c r="I901" i="5"/>
  <c r="J901" i="5"/>
  <c r="K901" i="5"/>
  <c r="L901" i="5"/>
  <c r="N901" i="5" s="1"/>
  <c r="M901" i="5"/>
  <c r="P901" i="5"/>
  <c r="Q901" i="5"/>
  <c r="R901" i="5"/>
  <c r="S901" i="5"/>
  <c r="C902" i="5"/>
  <c r="D902" i="5"/>
  <c r="E902" i="5"/>
  <c r="H902" i="5"/>
  <c r="I902" i="5" s="1"/>
  <c r="L902" i="5"/>
  <c r="N902" i="5" s="1"/>
  <c r="M902" i="5"/>
  <c r="P902" i="5"/>
  <c r="Q902" i="5"/>
  <c r="R902" i="5"/>
  <c r="C903" i="5"/>
  <c r="I903" i="7" s="1"/>
  <c r="D903" i="5"/>
  <c r="E903" i="5"/>
  <c r="H903" i="5"/>
  <c r="I903" i="5" s="1"/>
  <c r="L903" i="5"/>
  <c r="N903" i="5" s="1"/>
  <c r="M903" i="5"/>
  <c r="P903" i="5"/>
  <c r="Q903" i="5"/>
  <c r="R903" i="5"/>
  <c r="C904" i="5"/>
  <c r="D904" i="5"/>
  <c r="E904" i="5"/>
  <c r="H904" i="5"/>
  <c r="J904" i="5"/>
  <c r="L904" i="5"/>
  <c r="M904" i="5"/>
  <c r="N904" i="5"/>
  <c r="O904" i="5"/>
  <c r="P904" i="5"/>
  <c r="Q904" i="5"/>
  <c r="C905" i="5"/>
  <c r="O905" i="5" s="1"/>
  <c r="D905" i="5"/>
  <c r="E905" i="5"/>
  <c r="H905" i="5"/>
  <c r="I905" i="5" s="1"/>
  <c r="J905" i="5"/>
  <c r="L905" i="5"/>
  <c r="M905" i="5"/>
  <c r="N905" i="5"/>
  <c r="P905" i="5"/>
  <c r="R905" i="5" s="1"/>
  <c r="Q905" i="5"/>
  <c r="C906" i="5"/>
  <c r="I906" i="7" s="1"/>
  <c r="D906" i="5"/>
  <c r="E906" i="5" s="1"/>
  <c r="H906" i="5"/>
  <c r="I906" i="5"/>
  <c r="J906" i="5"/>
  <c r="L906" i="5"/>
  <c r="M906" i="5" s="1"/>
  <c r="P906" i="5"/>
  <c r="R906" i="5" s="1"/>
  <c r="Q906" i="5"/>
  <c r="C907" i="5"/>
  <c r="I907" i="8" s="1"/>
  <c r="D907" i="5"/>
  <c r="E907" i="5"/>
  <c r="H907" i="5"/>
  <c r="I907" i="5"/>
  <c r="J907" i="5"/>
  <c r="K907" i="5"/>
  <c r="L907" i="5"/>
  <c r="N907" i="5" s="1"/>
  <c r="M907" i="5"/>
  <c r="P907" i="5"/>
  <c r="R907" i="5" s="1"/>
  <c r="Q907" i="5"/>
  <c r="C908" i="5"/>
  <c r="D908" i="5"/>
  <c r="E908" i="5"/>
  <c r="H908" i="5"/>
  <c r="I908" i="5"/>
  <c r="J908" i="5"/>
  <c r="K908" i="5"/>
  <c r="L908" i="5"/>
  <c r="N908" i="5" s="1"/>
  <c r="P908" i="5"/>
  <c r="Q908" i="5"/>
  <c r="R908" i="5"/>
  <c r="S908" i="5" s="1"/>
  <c r="C909" i="5"/>
  <c r="I909" i="7" s="1"/>
  <c r="D909" i="5"/>
  <c r="H909" i="5"/>
  <c r="J909" i="5" s="1"/>
  <c r="I909" i="5"/>
  <c r="L909" i="5"/>
  <c r="M909" i="5" s="1"/>
  <c r="N909" i="5"/>
  <c r="P909" i="5"/>
  <c r="Q909" i="5"/>
  <c r="R909" i="5"/>
  <c r="S909" i="5"/>
  <c r="C910" i="5"/>
  <c r="D910" i="5"/>
  <c r="H910" i="5"/>
  <c r="I910" i="5" s="1"/>
  <c r="L910" i="5"/>
  <c r="M910" i="5"/>
  <c r="N910" i="5"/>
  <c r="O910" i="5" s="1"/>
  <c r="P910" i="5"/>
  <c r="Q910" i="5" s="1"/>
  <c r="C911" i="5"/>
  <c r="D911" i="5"/>
  <c r="H911" i="5"/>
  <c r="J911" i="5" s="1"/>
  <c r="I911" i="5"/>
  <c r="K911" i="5"/>
  <c r="L911" i="5"/>
  <c r="M911" i="5"/>
  <c r="N911" i="5"/>
  <c r="O911" i="5"/>
  <c r="P911" i="5"/>
  <c r="Q911" i="5"/>
  <c r="R911" i="5"/>
  <c r="C912" i="5"/>
  <c r="I912" i="9" s="1"/>
  <c r="D912" i="5"/>
  <c r="H912" i="5"/>
  <c r="I912" i="5"/>
  <c r="J912" i="5"/>
  <c r="K912" i="5"/>
  <c r="L912" i="5"/>
  <c r="M912" i="5"/>
  <c r="N912" i="5"/>
  <c r="O912" i="5"/>
  <c r="P912" i="5"/>
  <c r="R912" i="5"/>
  <c r="C913" i="5"/>
  <c r="D913" i="5"/>
  <c r="E913" i="5" s="1"/>
  <c r="H913" i="5"/>
  <c r="L913" i="5"/>
  <c r="N913" i="5" s="1"/>
  <c r="M913" i="5"/>
  <c r="P913" i="5"/>
  <c r="Q913" i="5" s="1"/>
  <c r="R913" i="5"/>
  <c r="C914" i="5"/>
  <c r="D914" i="5"/>
  <c r="E914" i="5"/>
  <c r="H914" i="5"/>
  <c r="L914" i="5"/>
  <c r="M914" i="5"/>
  <c r="N914" i="5"/>
  <c r="O914" i="5"/>
  <c r="P914" i="5"/>
  <c r="Q914" i="5"/>
  <c r="R914" i="5"/>
  <c r="S914" i="5" s="1"/>
  <c r="C915" i="5"/>
  <c r="I915" i="9" s="1"/>
  <c r="D915" i="5"/>
  <c r="E915" i="5"/>
  <c r="H915" i="5"/>
  <c r="L915" i="5"/>
  <c r="N915" i="5" s="1"/>
  <c r="O915" i="5" s="1"/>
  <c r="M915" i="5"/>
  <c r="P915" i="5"/>
  <c r="Q915" i="5"/>
  <c r="R915" i="5"/>
  <c r="S915" i="5" s="1"/>
  <c r="C916" i="5"/>
  <c r="D916" i="5"/>
  <c r="E916" i="5" s="1"/>
  <c r="H916" i="5"/>
  <c r="L916" i="5"/>
  <c r="M916" i="5"/>
  <c r="N916" i="5"/>
  <c r="P916" i="5"/>
  <c r="Q916" i="5"/>
  <c r="R916" i="5"/>
  <c r="C917" i="5"/>
  <c r="D917" i="5"/>
  <c r="E917" i="5"/>
  <c r="H917" i="5"/>
  <c r="I917" i="5"/>
  <c r="J917" i="5"/>
  <c r="K917" i="5"/>
  <c r="L917" i="5"/>
  <c r="P917" i="5"/>
  <c r="R917" i="5" s="1"/>
  <c r="Q917" i="5"/>
  <c r="C918" i="5"/>
  <c r="I918" i="7" s="1"/>
  <c r="D918" i="5"/>
  <c r="E918" i="5"/>
  <c r="H918" i="5"/>
  <c r="I918" i="5"/>
  <c r="J918" i="5"/>
  <c r="L918" i="5"/>
  <c r="P918" i="5"/>
  <c r="R918" i="5" s="1"/>
  <c r="S918" i="5" s="1"/>
  <c r="Q918" i="5"/>
  <c r="C919" i="5"/>
  <c r="D919" i="5"/>
  <c r="E919" i="5"/>
  <c r="H919" i="5"/>
  <c r="I919" i="5"/>
  <c r="J919" i="5"/>
  <c r="K919" i="5" s="1"/>
  <c r="L919" i="5"/>
  <c r="P919" i="5"/>
  <c r="R919" i="5" s="1"/>
  <c r="C920" i="5"/>
  <c r="D920" i="5"/>
  <c r="E920" i="5"/>
  <c r="H920" i="5"/>
  <c r="I920" i="5"/>
  <c r="L920" i="5"/>
  <c r="P920" i="5"/>
  <c r="Q920" i="5"/>
  <c r="R920" i="5"/>
  <c r="S920" i="5"/>
  <c r="C921" i="5"/>
  <c r="D921" i="5"/>
  <c r="E921" i="5"/>
  <c r="H921" i="5"/>
  <c r="J921" i="5" s="1"/>
  <c r="I921" i="5"/>
  <c r="L921" i="5"/>
  <c r="M921" i="5" s="1"/>
  <c r="N921" i="5"/>
  <c r="P921" i="5"/>
  <c r="C922" i="5"/>
  <c r="I922" i="8" s="1"/>
  <c r="D922" i="5"/>
  <c r="E922" i="5" s="1"/>
  <c r="H922" i="5"/>
  <c r="J922" i="5" s="1"/>
  <c r="I922" i="5"/>
  <c r="L922" i="5"/>
  <c r="O922" i="5" s="1"/>
  <c r="M922" i="5"/>
  <c r="N922" i="5"/>
  <c r="P922" i="5"/>
  <c r="C923" i="5"/>
  <c r="D923" i="5"/>
  <c r="E923" i="5"/>
  <c r="H923" i="5"/>
  <c r="J923" i="5" s="1"/>
  <c r="I923" i="5"/>
  <c r="L923" i="5"/>
  <c r="M923" i="5"/>
  <c r="N923" i="5"/>
  <c r="O923" i="5" s="1"/>
  <c r="P923" i="5"/>
  <c r="C924" i="5"/>
  <c r="I924" i="7" s="1"/>
  <c r="D924" i="5"/>
  <c r="H924" i="5"/>
  <c r="I924" i="5"/>
  <c r="J924" i="5"/>
  <c r="K924" i="5" s="1"/>
  <c r="L924" i="5"/>
  <c r="P924" i="5"/>
  <c r="C925" i="5"/>
  <c r="D925" i="5"/>
  <c r="E925" i="5"/>
  <c r="H925" i="5"/>
  <c r="I925" i="5"/>
  <c r="J925" i="5"/>
  <c r="K925" i="5"/>
  <c r="L925" i="5"/>
  <c r="N925" i="5" s="1"/>
  <c r="M925" i="5"/>
  <c r="P925" i="5"/>
  <c r="Q925" i="5" s="1"/>
  <c r="R925" i="5"/>
  <c r="C926" i="5"/>
  <c r="D926" i="5"/>
  <c r="E926" i="5"/>
  <c r="H926" i="5"/>
  <c r="I926" i="5" s="1"/>
  <c r="L926" i="5"/>
  <c r="M926" i="5"/>
  <c r="P926" i="5"/>
  <c r="C927" i="5"/>
  <c r="I927" i="7" s="1"/>
  <c r="D927" i="5"/>
  <c r="E927" i="5"/>
  <c r="H927" i="5"/>
  <c r="I927" i="5" s="1"/>
  <c r="L927" i="5"/>
  <c r="N927" i="5" s="1"/>
  <c r="M927" i="5"/>
  <c r="P927" i="5"/>
  <c r="Q927" i="5"/>
  <c r="R927" i="5"/>
  <c r="S927" i="5"/>
  <c r="C928" i="5"/>
  <c r="I928" i="9" s="1"/>
  <c r="D928" i="5"/>
  <c r="E928" i="5"/>
  <c r="H928" i="5"/>
  <c r="J928" i="5"/>
  <c r="L928" i="5"/>
  <c r="M928" i="5"/>
  <c r="N928" i="5"/>
  <c r="O928" i="5" s="1"/>
  <c r="P928" i="5"/>
  <c r="R928" i="5" s="1"/>
  <c r="C929" i="5"/>
  <c r="D929" i="5"/>
  <c r="E929" i="5"/>
  <c r="H929" i="5"/>
  <c r="I929" i="5"/>
  <c r="J929" i="5"/>
  <c r="L929" i="5"/>
  <c r="M929" i="5"/>
  <c r="N929" i="5"/>
  <c r="O929" i="5"/>
  <c r="P929" i="5"/>
  <c r="R929" i="5" s="1"/>
  <c r="Q929" i="5"/>
  <c r="C930" i="5"/>
  <c r="D930" i="5"/>
  <c r="H930" i="5"/>
  <c r="I930" i="5"/>
  <c r="J930" i="5"/>
  <c r="K930" i="5" s="1"/>
  <c r="L930" i="5"/>
  <c r="M930" i="5" s="1"/>
  <c r="P930" i="5"/>
  <c r="Q930" i="5"/>
  <c r="C931" i="5"/>
  <c r="I931" i="9" s="1"/>
  <c r="D931" i="5"/>
  <c r="E931" i="5" s="1"/>
  <c r="H931" i="5"/>
  <c r="I931" i="5"/>
  <c r="J931" i="5"/>
  <c r="K931" i="5"/>
  <c r="L931" i="5"/>
  <c r="N931" i="5" s="1"/>
  <c r="M931" i="5"/>
  <c r="P931" i="5"/>
  <c r="R931" i="5" s="1"/>
  <c r="S931" i="5"/>
  <c r="C932" i="5"/>
  <c r="D932" i="5"/>
  <c r="E932" i="5"/>
  <c r="H932" i="5"/>
  <c r="I932" i="5"/>
  <c r="J932" i="5"/>
  <c r="K932" i="5" s="1"/>
  <c r="L932" i="5"/>
  <c r="N932" i="5" s="1"/>
  <c r="P932" i="5"/>
  <c r="Q932" i="5"/>
  <c r="R932" i="5"/>
  <c r="S932" i="5"/>
  <c r="C933" i="5"/>
  <c r="D933" i="5"/>
  <c r="E933" i="5" s="1"/>
  <c r="H933" i="5"/>
  <c r="J933" i="5" s="1"/>
  <c r="I933" i="5"/>
  <c r="L933" i="5"/>
  <c r="M933" i="5" s="1"/>
  <c r="N933" i="5"/>
  <c r="P933" i="5"/>
  <c r="Q933" i="5"/>
  <c r="R933" i="5"/>
  <c r="S933" i="5" s="1"/>
  <c r="C934" i="5"/>
  <c r="D934" i="5"/>
  <c r="H934" i="5"/>
  <c r="I934" i="5" s="1"/>
  <c r="L934" i="5"/>
  <c r="M934" i="5"/>
  <c r="N934" i="5"/>
  <c r="O934" i="5" s="1"/>
  <c r="P934" i="5"/>
  <c r="C935" i="5"/>
  <c r="O935" i="5" s="1"/>
  <c r="D935" i="5"/>
  <c r="H935" i="5"/>
  <c r="J935" i="5" s="1"/>
  <c r="L935" i="5"/>
  <c r="M935" i="5"/>
  <c r="N935" i="5"/>
  <c r="P935" i="5"/>
  <c r="C936" i="5"/>
  <c r="D936" i="5"/>
  <c r="H936" i="5"/>
  <c r="I936" i="5"/>
  <c r="J936" i="5"/>
  <c r="K936" i="5"/>
  <c r="L936" i="5"/>
  <c r="M936" i="5"/>
  <c r="N936" i="5"/>
  <c r="O936" i="5"/>
  <c r="P936" i="5"/>
  <c r="R936" i="5"/>
  <c r="C937" i="5"/>
  <c r="D937" i="5"/>
  <c r="E937" i="5" s="1"/>
  <c r="H937" i="5"/>
  <c r="L937" i="5"/>
  <c r="N937" i="5" s="1"/>
  <c r="M937" i="5"/>
  <c r="P937" i="5"/>
  <c r="Q937" i="5"/>
  <c r="R937" i="5"/>
  <c r="C938" i="5"/>
  <c r="D938" i="5"/>
  <c r="E938" i="5"/>
  <c r="H938" i="5"/>
  <c r="L938" i="5"/>
  <c r="M938" i="5"/>
  <c r="N938" i="5"/>
  <c r="O938" i="5" s="1"/>
  <c r="P938" i="5"/>
  <c r="Q938" i="5"/>
  <c r="R938" i="5"/>
  <c r="S938" i="5" s="1"/>
  <c r="C939" i="5"/>
  <c r="D939" i="5"/>
  <c r="E939" i="5"/>
  <c r="H939" i="5"/>
  <c r="I939" i="5" s="1"/>
  <c r="J939" i="5"/>
  <c r="K939" i="5" s="1"/>
  <c r="L939" i="5"/>
  <c r="N939" i="5" s="1"/>
  <c r="M939" i="5"/>
  <c r="P939" i="5"/>
  <c r="Q939" i="5"/>
  <c r="R939" i="5"/>
  <c r="S939" i="5" s="1"/>
  <c r="C940" i="5"/>
  <c r="I940" i="8" s="1"/>
  <c r="D940" i="5"/>
  <c r="E940" i="5" s="1"/>
  <c r="H940" i="5"/>
  <c r="J940" i="5" s="1"/>
  <c r="L940" i="5"/>
  <c r="M940" i="5"/>
  <c r="N940" i="5"/>
  <c r="O940" i="5" s="1"/>
  <c r="P940" i="5"/>
  <c r="Q940" i="5"/>
  <c r="R940" i="5"/>
  <c r="S940" i="5" s="1"/>
  <c r="C941" i="5"/>
  <c r="D941" i="5"/>
  <c r="E941" i="5"/>
  <c r="H941" i="5"/>
  <c r="I941" i="5" s="1"/>
  <c r="L941" i="5"/>
  <c r="M941" i="5" s="1"/>
  <c r="N941" i="5"/>
  <c r="O941" i="5" s="1"/>
  <c r="P941" i="5"/>
  <c r="R941" i="5" s="1"/>
  <c r="Q941" i="5"/>
  <c r="C942" i="5"/>
  <c r="I942" i="7" s="1"/>
  <c r="D942" i="5"/>
  <c r="E942" i="5"/>
  <c r="H942" i="5"/>
  <c r="I942" i="5" s="1"/>
  <c r="L942" i="5"/>
  <c r="P942" i="5"/>
  <c r="C943" i="5"/>
  <c r="I943" i="8" s="1"/>
  <c r="D943" i="5"/>
  <c r="E943" i="5" s="1"/>
  <c r="H943" i="5"/>
  <c r="I943" i="5"/>
  <c r="J943" i="5"/>
  <c r="K943" i="5" s="1"/>
  <c r="L943" i="5"/>
  <c r="M943" i="5" s="1"/>
  <c r="P943" i="5"/>
  <c r="Q943" i="5"/>
  <c r="R943" i="5"/>
  <c r="S943" i="5"/>
  <c r="C944" i="5"/>
  <c r="D944" i="5"/>
  <c r="E944" i="5"/>
  <c r="H944" i="5"/>
  <c r="L944" i="5"/>
  <c r="P944" i="5"/>
  <c r="Q944" i="5"/>
  <c r="R944" i="5"/>
  <c r="S944" i="5"/>
  <c r="C945" i="5"/>
  <c r="D945" i="5"/>
  <c r="E945" i="5" s="1"/>
  <c r="H945" i="5"/>
  <c r="I945" i="5"/>
  <c r="L945" i="5"/>
  <c r="M945" i="5" s="1"/>
  <c r="N945" i="5"/>
  <c r="P945" i="5"/>
  <c r="Q945" i="5" s="1"/>
  <c r="C946" i="5"/>
  <c r="I946" i="9" s="1"/>
  <c r="D946" i="5"/>
  <c r="H946" i="5"/>
  <c r="J946" i="5" s="1"/>
  <c r="I946" i="5"/>
  <c r="K946" i="5"/>
  <c r="L946" i="5"/>
  <c r="M946" i="5" s="1"/>
  <c r="P946" i="5"/>
  <c r="C947" i="5"/>
  <c r="I947" i="9" s="1"/>
  <c r="D947" i="5"/>
  <c r="E947" i="5" s="1"/>
  <c r="H947" i="5"/>
  <c r="J947" i="5" s="1"/>
  <c r="I947" i="5"/>
  <c r="K947" i="5"/>
  <c r="L947" i="5"/>
  <c r="M947" i="5"/>
  <c r="N947" i="5"/>
  <c r="O947" i="5" s="1"/>
  <c r="P947" i="5"/>
  <c r="Q947" i="5" s="1"/>
  <c r="C948" i="5"/>
  <c r="I948" i="9" s="1"/>
  <c r="D948" i="5"/>
  <c r="E948" i="5"/>
  <c r="H948" i="5"/>
  <c r="I948" i="5"/>
  <c r="J948" i="5"/>
  <c r="K948" i="5"/>
  <c r="L948" i="5"/>
  <c r="N948" i="5" s="1"/>
  <c r="M948" i="5"/>
  <c r="O948" i="5"/>
  <c r="P948" i="5"/>
  <c r="R948" i="5" s="1"/>
  <c r="C949" i="5"/>
  <c r="I949" i="9" s="1"/>
  <c r="D949" i="5"/>
  <c r="E949" i="5"/>
  <c r="H949" i="5"/>
  <c r="I949" i="5" s="1"/>
  <c r="L949" i="5"/>
  <c r="M949" i="5" s="1"/>
  <c r="P949" i="5"/>
  <c r="C950" i="5"/>
  <c r="D950" i="5"/>
  <c r="E950" i="5"/>
  <c r="H950" i="5"/>
  <c r="L950" i="5"/>
  <c r="N950" i="5" s="1"/>
  <c r="P950" i="5"/>
  <c r="Q950" i="5" s="1"/>
  <c r="C951" i="5"/>
  <c r="D951" i="5"/>
  <c r="E951" i="5"/>
  <c r="H951" i="5"/>
  <c r="I951" i="5" s="1"/>
  <c r="J951" i="5"/>
  <c r="L951" i="5"/>
  <c r="N951" i="5" s="1"/>
  <c r="M951" i="5"/>
  <c r="O951" i="5"/>
  <c r="P951" i="5"/>
  <c r="Q951" i="5"/>
  <c r="R951" i="5"/>
  <c r="S951" i="5" s="1"/>
  <c r="C952" i="5"/>
  <c r="I952" i="8" s="1"/>
  <c r="D952" i="5"/>
  <c r="E952" i="5"/>
  <c r="H952" i="5"/>
  <c r="I952" i="5" s="1"/>
  <c r="L952" i="5"/>
  <c r="M952" i="5"/>
  <c r="N952" i="5"/>
  <c r="O952" i="5" s="1"/>
  <c r="P952" i="5"/>
  <c r="R952" i="5" s="1"/>
  <c r="C953" i="5"/>
  <c r="D953" i="5"/>
  <c r="E953" i="5"/>
  <c r="H953" i="5"/>
  <c r="I953" i="5"/>
  <c r="J953" i="5"/>
  <c r="L953" i="5"/>
  <c r="M953" i="5" s="1"/>
  <c r="P953" i="5"/>
  <c r="Q953" i="5"/>
  <c r="C954" i="5"/>
  <c r="I954" i="7" s="1"/>
  <c r="D954" i="5"/>
  <c r="E954" i="5" s="1"/>
  <c r="H954" i="5"/>
  <c r="I954" i="5"/>
  <c r="J954" i="5"/>
  <c r="K954" i="5" s="1"/>
  <c r="L954" i="5"/>
  <c r="P954" i="5"/>
  <c r="R954" i="5" s="1"/>
  <c r="Q954" i="5"/>
  <c r="C955" i="5"/>
  <c r="K955" i="5" s="1"/>
  <c r="D955" i="5"/>
  <c r="E955" i="5"/>
  <c r="H955" i="5"/>
  <c r="I955" i="5"/>
  <c r="J955" i="5"/>
  <c r="L955" i="5"/>
  <c r="M955" i="5"/>
  <c r="N955" i="5"/>
  <c r="P955" i="5"/>
  <c r="R955" i="5" s="1"/>
  <c r="C956" i="5"/>
  <c r="I956" i="9" s="1"/>
  <c r="D956" i="5"/>
  <c r="E956" i="5"/>
  <c r="H956" i="5"/>
  <c r="I956" i="5"/>
  <c r="J956" i="5"/>
  <c r="K956" i="5" s="1"/>
  <c r="L956" i="5"/>
  <c r="P956" i="5"/>
  <c r="Q956" i="5"/>
  <c r="R956" i="5"/>
  <c r="S956" i="5" s="1"/>
  <c r="C957" i="5"/>
  <c r="I957" i="7" s="1"/>
  <c r="D957" i="5"/>
  <c r="E957" i="5" s="1"/>
  <c r="H957" i="5"/>
  <c r="J957" i="5" s="1"/>
  <c r="I957" i="5"/>
  <c r="L957" i="5"/>
  <c r="M957" i="5" s="1"/>
  <c r="P957" i="5"/>
  <c r="Q957" i="5" s="1"/>
  <c r="R957" i="5"/>
  <c r="C958" i="5"/>
  <c r="K958" i="5" s="1"/>
  <c r="D958" i="5"/>
  <c r="H958" i="5"/>
  <c r="I958" i="5"/>
  <c r="J958" i="5"/>
  <c r="L958" i="5"/>
  <c r="M958" i="5"/>
  <c r="N958" i="5"/>
  <c r="P958" i="5"/>
  <c r="C959" i="5"/>
  <c r="I959" i="9" s="1"/>
  <c r="D959" i="5"/>
  <c r="E959" i="5" s="1"/>
  <c r="H959" i="5"/>
  <c r="I959" i="5" s="1"/>
  <c r="L959" i="5"/>
  <c r="M959" i="5"/>
  <c r="N959" i="5"/>
  <c r="O959" i="5" s="1"/>
  <c r="P959" i="5"/>
  <c r="Q959" i="5" s="1"/>
  <c r="C960" i="5"/>
  <c r="D960" i="5"/>
  <c r="H960" i="5"/>
  <c r="I960" i="5"/>
  <c r="J960" i="5"/>
  <c r="K960" i="5" s="1"/>
  <c r="L960" i="5"/>
  <c r="M960" i="5"/>
  <c r="N960" i="5"/>
  <c r="O960" i="5" s="1"/>
  <c r="P960" i="5"/>
  <c r="Q960" i="5" s="1"/>
  <c r="R960" i="5"/>
  <c r="C961" i="5"/>
  <c r="I961" i="9" s="1"/>
  <c r="D961" i="5"/>
  <c r="E961" i="5"/>
  <c r="H961" i="5"/>
  <c r="I961" i="5" s="1"/>
  <c r="L961" i="5"/>
  <c r="N961" i="5" s="1"/>
  <c r="M961" i="5"/>
  <c r="P961" i="5"/>
  <c r="Q961" i="5"/>
  <c r="R961" i="5"/>
  <c r="C962" i="5"/>
  <c r="D962" i="5"/>
  <c r="H962" i="5"/>
  <c r="I962" i="5" s="1"/>
  <c r="J962" i="5"/>
  <c r="K962" i="5" s="1"/>
  <c r="L962" i="5"/>
  <c r="M962" i="5" s="1"/>
  <c r="N962" i="5"/>
  <c r="O962" i="5" s="1"/>
  <c r="P962" i="5"/>
  <c r="Q962" i="5"/>
  <c r="R962" i="5"/>
  <c r="S962" i="5" s="1"/>
  <c r="C963" i="5"/>
  <c r="D963" i="5"/>
  <c r="E963" i="5"/>
  <c r="H963" i="5"/>
  <c r="I963" i="5" s="1"/>
  <c r="J963" i="5"/>
  <c r="K963" i="5" s="1"/>
  <c r="L963" i="5"/>
  <c r="O963" i="5" s="1"/>
  <c r="M963" i="5"/>
  <c r="N963" i="5"/>
  <c r="P963" i="5"/>
  <c r="Q963" i="5"/>
  <c r="R963" i="5"/>
  <c r="S963" i="5" s="1"/>
  <c r="C964" i="5"/>
  <c r="D964" i="5"/>
  <c r="E964" i="5"/>
  <c r="H964" i="5"/>
  <c r="I964" i="5"/>
  <c r="J964" i="5"/>
  <c r="L964" i="5"/>
  <c r="M964" i="5"/>
  <c r="N964" i="5"/>
  <c r="O964" i="5"/>
  <c r="P964" i="5"/>
  <c r="Q964" i="5"/>
  <c r="R964" i="5"/>
  <c r="S964" i="5"/>
  <c r="C965" i="5"/>
  <c r="D965" i="5"/>
  <c r="E965" i="5"/>
  <c r="H965" i="5"/>
  <c r="I965" i="5" s="1"/>
  <c r="L965" i="5"/>
  <c r="M965" i="5" s="1"/>
  <c r="N965" i="5"/>
  <c r="P965" i="5"/>
  <c r="R965" i="5" s="1"/>
  <c r="C966" i="5"/>
  <c r="I966" i="7" s="1"/>
  <c r="D966" i="5"/>
  <c r="E966" i="5" s="1"/>
  <c r="H966" i="5"/>
  <c r="J966" i="5" s="1"/>
  <c r="K966" i="5" s="1"/>
  <c r="I966" i="5"/>
  <c r="L966" i="5"/>
  <c r="M966" i="5" s="1"/>
  <c r="N966" i="5"/>
  <c r="O966" i="5" s="1"/>
  <c r="P966" i="5"/>
  <c r="S966" i="5" s="1"/>
  <c r="Q966" i="5"/>
  <c r="R966" i="5"/>
  <c r="C967" i="5"/>
  <c r="D967" i="5"/>
  <c r="E967" i="5"/>
  <c r="H967" i="5"/>
  <c r="I967" i="5"/>
  <c r="J967" i="5"/>
  <c r="K967" i="5" s="1"/>
  <c r="L967" i="5"/>
  <c r="M967" i="5" s="1"/>
  <c r="N967" i="5"/>
  <c r="O967" i="5" s="1"/>
  <c r="P967" i="5"/>
  <c r="Q967" i="5" s="1"/>
  <c r="C968" i="5"/>
  <c r="I968" i="9" s="1"/>
  <c r="D968" i="5"/>
  <c r="E968" i="5"/>
  <c r="H968" i="5"/>
  <c r="L968" i="5"/>
  <c r="M968" i="5"/>
  <c r="N968" i="5"/>
  <c r="P968" i="5"/>
  <c r="R968" i="5" s="1"/>
  <c r="S968" i="5" s="1"/>
  <c r="Q968" i="5"/>
  <c r="C969" i="5"/>
  <c r="D969" i="5"/>
  <c r="E969" i="5"/>
  <c r="H969" i="5"/>
  <c r="J969" i="5" s="1"/>
  <c r="L969" i="5"/>
  <c r="M969" i="5"/>
  <c r="N969" i="5"/>
  <c r="O969" i="5"/>
  <c r="P969" i="5"/>
  <c r="Q969" i="5" s="1"/>
  <c r="R969" i="5"/>
  <c r="S969" i="5"/>
  <c r="C970" i="5"/>
  <c r="D970" i="5"/>
  <c r="E970" i="5" s="1"/>
  <c r="H970" i="5"/>
  <c r="J970" i="5" s="1"/>
  <c r="L970" i="5"/>
  <c r="O970" i="5" s="1"/>
  <c r="M970" i="5"/>
  <c r="N970" i="5"/>
  <c r="P970" i="5"/>
  <c r="Q970" i="5" s="1"/>
  <c r="R970" i="5"/>
  <c r="S970" i="5" s="1"/>
  <c r="C971" i="5"/>
  <c r="I971" i="9" s="1"/>
  <c r="D971" i="5"/>
  <c r="E971" i="5"/>
  <c r="H971" i="5"/>
  <c r="I971" i="5" s="1"/>
  <c r="J971" i="5"/>
  <c r="L971" i="5"/>
  <c r="M971" i="5"/>
  <c r="N971" i="5"/>
  <c r="O971" i="5" s="1"/>
  <c r="P971" i="5"/>
  <c r="Q971" i="5" s="1"/>
  <c r="C972" i="5"/>
  <c r="D972" i="5"/>
  <c r="E972" i="5" s="1"/>
  <c r="H972" i="5"/>
  <c r="I972" i="5" s="1"/>
  <c r="L972" i="5"/>
  <c r="N972" i="5" s="1"/>
  <c r="M972" i="5"/>
  <c r="P972" i="5"/>
  <c r="Q972" i="5" s="1"/>
  <c r="C973" i="5"/>
  <c r="I973" i="8" s="1"/>
  <c r="D973" i="5"/>
  <c r="H973" i="5"/>
  <c r="L973" i="5"/>
  <c r="N973" i="5" s="1"/>
  <c r="M973" i="5"/>
  <c r="O973" i="5"/>
  <c r="P973" i="5"/>
  <c r="Q973" i="5" s="1"/>
  <c r="R973" i="5"/>
  <c r="S973" i="5" s="1"/>
  <c r="C974" i="5"/>
  <c r="D974" i="5"/>
  <c r="E974" i="5"/>
  <c r="H974" i="5"/>
  <c r="I974" i="5" s="1"/>
  <c r="J974" i="5"/>
  <c r="L974" i="5"/>
  <c r="N974" i="5" s="1"/>
  <c r="O974" i="5"/>
  <c r="P974" i="5"/>
  <c r="Q974" i="5"/>
  <c r="R974" i="5"/>
  <c r="S974" i="5" s="1"/>
  <c r="C975" i="5"/>
  <c r="D975" i="5"/>
  <c r="E975" i="5"/>
  <c r="H975" i="5"/>
  <c r="I975" i="5" s="1"/>
  <c r="J975" i="5"/>
  <c r="L975" i="5"/>
  <c r="M975" i="5" s="1"/>
  <c r="P975" i="5"/>
  <c r="Q975" i="5"/>
  <c r="R975" i="5"/>
  <c r="S975" i="5"/>
  <c r="C976" i="5"/>
  <c r="I976" i="8" s="1"/>
  <c r="D976" i="5"/>
  <c r="E976" i="5"/>
  <c r="H976" i="5"/>
  <c r="I976" i="5"/>
  <c r="J976" i="5"/>
  <c r="L976" i="5"/>
  <c r="M976" i="5" s="1"/>
  <c r="P976" i="5"/>
  <c r="R976" i="5" s="1"/>
  <c r="Q976" i="5"/>
  <c r="C977" i="5"/>
  <c r="I977" i="9" s="1"/>
  <c r="D977" i="5"/>
  <c r="E977" i="5" s="1"/>
  <c r="H977" i="5"/>
  <c r="I977" i="5" s="1"/>
  <c r="J977" i="5"/>
  <c r="L977" i="5"/>
  <c r="N977" i="5" s="1"/>
  <c r="O977" i="5" s="1"/>
  <c r="M977" i="5"/>
  <c r="P977" i="5"/>
  <c r="R977" i="5" s="1"/>
  <c r="Q977" i="5"/>
  <c r="C978" i="5"/>
  <c r="D978" i="5"/>
  <c r="H978" i="5"/>
  <c r="I978" i="5"/>
  <c r="J978" i="5"/>
  <c r="K978" i="5"/>
  <c r="L978" i="5"/>
  <c r="M978" i="5" s="1"/>
  <c r="N978" i="5"/>
  <c r="O978" i="5" s="1"/>
  <c r="P978" i="5"/>
  <c r="R978" i="5" s="1"/>
  <c r="Q978" i="5"/>
  <c r="S978" i="5"/>
  <c r="C979" i="5"/>
  <c r="I979" i="8" s="1"/>
  <c r="D979" i="5"/>
  <c r="E979" i="5" s="1"/>
  <c r="H979" i="5"/>
  <c r="I979" i="5"/>
  <c r="J979" i="5"/>
  <c r="K979" i="5" s="1"/>
  <c r="L979" i="5"/>
  <c r="M979" i="5"/>
  <c r="N979" i="5"/>
  <c r="P979" i="5"/>
  <c r="Q979" i="5" s="1"/>
  <c r="C980" i="5"/>
  <c r="D980" i="5"/>
  <c r="E980" i="5" s="1"/>
  <c r="H980" i="5"/>
  <c r="I980" i="5"/>
  <c r="J980" i="5"/>
  <c r="K980" i="5" s="1"/>
  <c r="L980" i="5"/>
  <c r="M980" i="5" s="1"/>
  <c r="P980" i="5"/>
  <c r="Q980" i="5"/>
  <c r="R980" i="5"/>
  <c r="S980" i="5"/>
  <c r="C981" i="5"/>
  <c r="D981" i="5"/>
  <c r="E981" i="5" s="1"/>
  <c r="H981" i="5"/>
  <c r="J981" i="5" s="1"/>
  <c r="L981" i="5"/>
  <c r="M981" i="5" s="1"/>
  <c r="N981" i="5"/>
  <c r="P981" i="5"/>
  <c r="S981" i="5" s="1"/>
  <c r="Q981" i="5"/>
  <c r="R981" i="5"/>
  <c r="C982" i="5"/>
  <c r="I982" i="9" s="1"/>
  <c r="D982" i="5"/>
  <c r="E982" i="5" s="1"/>
  <c r="H982" i="5"/>
  <c r="J982" i="5" s="1"/>
  <c r="K982" i="5" s="1"/>
  <c r="I982" i="5"/>
  <c r="L982" i="5"/>
  <c r="M982" i="5"/>
  <c r="N982" i="5"/>
  <c r="O982" i="5"/>
  <c r="P982" i="5"/>
  <c r="C983" i="5"/>
  <c r="I983" i="9" s="1"/>
  <c r="D983" i="5"/>
  <c r="E983" i="5" s="1"/>
  <c r="H983" i="5"/>
  <c r="I983" i="5" s="1"/>
  <c r="J983" i="5"/>
  <c r="K983" i="5" s="1"/>
  <c r="L983" i="5"/>
  <c r="M983" i="5"/>
  <c r="N983" i="5"/>
  <c r="O983" i="5" s="1"/>
  <c r="P983" i="5"/>
  <c r="Q983" i="5" s="1"/>
  <c r="C984" i="5"/>
  <c r="I984" i="9" s="1"/>
  <c r="D984" i="5"/>
  <c r="E984" i="5" s="1"/>
  <c r="H984" i="5"/>
  <c r="I984" i="5"/>
  <c r="J984" i="5"/>
  <c r="K984" i="5" s="1"/>
  <c r="L984" i="5"/>
  <c r="M984" i="5"/>
  <c r="N984" i="5"/>
  <c r="O984" i="5"/>
  <c r="P984" i="5"/>
  <c r="R984" i="5" s="1"/>
  <c r="Q984" i="5"/>
  <c r="C985" i="5"/>
  <c r="S985" i="5" s="1"/>
  <c r="D985" i="5"/>
  <c r="E985" i="5" s="1"/>
  <c r="H985" i="5"/>
  <c r="I985" i="5" s="1"/>
  <c r="J985" i="5"/>
  <c r="L985" i="5"/>
  <c r="N985" i="5" s="1"/>
  <c r="P985" i="5"/>
  <c r="Q985" i="5"/>
  <c r="R985" i="5"/>
  <c r="C986" i="5"/>
  <c r="D986" i="5"/>
  <c r="E986" i="5" s="1"/>
  <c r="H986" i="5"/>
  <c r="I986" i="5" s="1"/>
  <c r="L986" i="5"/>
  <c r="M986" i="5"/>
  <c r="N986" i="5"/>
  <c r="P986" i="5"/>
  <c r="Q986" i="5"/>
  <c r="R986" i="5"/>
  <c r="C987" i="5"/>
  <c r="I987" i="9" s="1"/>
  <c r="D987" i="5"/>
  <c r="E987" i="5"/>
  <c r="H987" i="5"/>
  <c r="L987" i="5"/>
  <c r="M987" i="5" s="1"/>
  <c r="P987" i="5"/>
  <c r="Q987" i="5"/>
  <c r="R987" i="5"/>
  <c r="S987" i="5" s="1"/>
  <c r="C988" i="5"/>
  <c r="D988" i="5"/>
  <c r="E988" i="5" s="1"/>
  <c r="H988" i="5"/>
  <c r="J988" i="5" s="1"/>
  <c r="K988" i="5" s="1"/>
  <c r="I988" i="5"/>
  <c r="L988" i="5"/>
  <c r="M988" i="5"/>
  <c r="N988" i="5"/>
  <c r="O988" i="5"/>
  <c r="P988" i="5"/>
  <c r="Q988" i="5"/>
  <c r="R988" i="5"/>
  <c r="S988" i="5" s="1"/>
  <c r="C989" i="5"/>
  <c r="D989" i="5"/>
  <c r="E989" i="5"/>
  <c r="H989" i="5"/>
  <c r="J989" i="5" s="1"/>
  <c r="K989" i="5" s="1"/>
  <c r="I989" i="5"/>
  <c r="L989" i="5"/>
  <c r="M989" i="5" s="1"/>
  <c r="P989" i="5"/>
  <c r="R989" i="5" s="1"/>
  <c r="S989" i="5" s="1"/>
  <c r="Q989" i="5"/>
  <c r="C990" i="5"/>
  <c r="D990" i="5"/>
  <c r="E990" i="5" s="1"/>
  <c r="H990" i="5"/>
  <c r="K990" i="5" s="1"/>
  <c r="I990" i="5"/>
  <c r="J990" i="5"/>
  <c r="L990" i="5"/>
  <c r="M990" i="5" s="1"/>
  <c r="P990" i="5"/>
  <c r="R990" i="5" s="1"/>
  <c r="S990" i="5" s="1"/>
  <c r="Q990" i="5"/>
  <c r="C991" i="5"/>
  <c r="D991" i="5"/>
  <c r="E991" i="5"/>
  <c r="H991" i="5"/>
  <c r="I991" i="5" s="1"/>
  <c r="L991" i="5"/>
  <c r="M991" i="5" s="1"/>
  <c r="N991" i="5"/>
  <c r="P991" i="5"/>
  <c r="S991" i="5" s="1"/>
  <c r="Q991" i="5"/>
  <c r="R991" i="5"/>
  <c r="C992" i="5"/>
  <c r="I992" i="9" s="1"/>
  <c r="D992" i="5"/>
  <c r="E992" i="5"/>
  <c r="H992" i="5"/>
  <c r="K992" i="5" s="1"/>
  <c r="I992" i="5"/>
  <c r="J992" i="5"/>
  <c r="L992" i="5"/>
  <c r="M992" i="5"/>
  <c r="N992" i="5"/>
  <c r="O992" i="5"/>
  <c r="P992" i="5"/>
  <c r="R992" i="5" s="1"/>
  <c r="S992" i="5" s="1"/>
  <c r="Q992" i="5"/>
  <c r="C993" i="5"/>
  <c r="I993" i="9" s="1"/>
  <c r="D993" i="5"/>
  <c r="H993" i="5"/>
  <c r="J993" i="5" s="1"/>
  <c r="L993" i="5"/>
  <c r="M993" i="5"/>
  <c r="N993" i="5"/>
  <c r="O993" i="5"/>
  <c r="P993" i="5"/>
  <c r="S993" i="5" s="1"/>
  <c r="Q993" i="5"/>
  <c r="R993" i="5"/>
  <c r="C994" i="5"/>
  <c r="I994" i="7" s="1"/>
  <c r="D994" i="5"/>
  <c r="E994" i="5" s="1"/>
  <c r="H994" i="5"/>
  <c r="I994" i="5" s="1"/>
  <c r="L994" i="5"/>
  <c r="P994" i="5"/>
  <c r="Q994" i="5" s="1"/>
  <c r="C995" i="5"/>
  <c r="I995" i="9" s="1"/>
  <c r="D995" i="5"/>
  <c r="E995" i="5" s="1"/>
  <c r="H995" i="5"/>
  <c r="J995" i="5" s="1"/>
  <c r="I995" i="5"/>
  <c r="L995" i="5"/>
  <c r="M995" i="5" s="1"/>
  <c r="N995" i="5"/>
  <c r="P995" i="5"/>
  <c r="Q995" i="5" s="1"/>
  <c r="C996" i="5"/>
  <c r="I996" i="7" s="1"/>
  <c r="D996" i="5"/>
  <c r="E996" i="5"/>
  <c r="H996" i="5"/>
  <c r="I996" i="5" s="1"/>
  <c r="L996" i="5"/>
  <c r="M996" i="5" s="1"/>
  <c r="P996" i="5"/>
  <c r="Q996" i="5" s="1"/>
  <c r="C997" i="5"/>
  <c r="D997" i="5"/>
  <c r="E997" i="5"/>
  <c r="H997" i="5"/>
  <c r="I997" i="5"/>
  <c r="J997" i="5"/>
  <c r="K997" i="5"/>
  <c r="L997" i="5"/>
  <c r="N997" i="5" s="1"/>
  <c r="M997" i="5"/>
  <c r="O997" i="5"/>
  <c r="P997" i="5"/>
  <c r="Q997" i="5" s="1"/>
  <c r="C998" i="5"/>
  <c r="D998" i="5"/>
  <c r="E998" i="5"/>
  <c r="H998" i="5"/>
  <c r="I998" i="5" s="1"/>
  <c r="L998" i="5"/>
  <c r="N998" i="5" s="1"/>
  <c r="O998" i="5" s="1"/>
  <c r="M998" i="5"/>
  <c r="P998" i="5"/>
  <c r="Q998" i="5"/>
  <c r="R998" i="5"/>
  <c r="S998" i="5"/>
  <c r="C999" i="5"/>
  <c r="I999" i="7" s="1"/>
  <c r="D999" i="5"/>
  <c r="E999" i="5"/>
  <c r="H999" i="5"/>
  <c r="I999" i="5"/>
  <c r="J999" i="5"/>
  <c r="K999" i="5" s="1"/>
  <c r="L999" i="5"/>
  <c r="M999" i="5" s="1"/>
  <c r="N999" i="5"/>
  <c r="O999" i="5"/>
  <c r="P999" i="5"/>
  <c r="Q999" i="5"/>
  <c r="R999" i="5"/>
  <c r="S999" i="5" s="1"/>
  <c r="C1000" i="5"/>
  <c r="I1000" i="9" s="1"/>
  <c r="D1000" i="5"/>
  <c r="E1000" i="5"/>
  <c r="H1000" i="5"/>
  <c r="I1000" i="5"/>
  <c r="J1000" i="5"/>
  <c r="L1000" i="5"/>
  <c r="O1000" i="5" s="1"/>
  <c r="M1000" i="5"/>
  <c r="N1000" i="5"/>
  <c r="P1000" i="5"/>
  <c r="Q1000" i="5" s="1"/>
  <c r="R1000" i="5"/>
  <c r="S1000" i="5" s="1"/>
  <c r="C1001" i="5"/>
  <c r="S1001" i="5" s="1"/>
  <c r="D1001" i="5"/>
  <c r="E1001" i="5"/>
  <c r="H1001" i="5"/>
  <c r="I1001" i="5"/>
  <c r="J1001" i="5"/>
  <c r="K1001" i="5"/>
  <c r="L1001" i="5"/>
  <c r="N1001" i="5" s="1"/>
  <c r="O1001" i="5" s="1"/>
  <c r="M1001" i="5"/>
  <c r="P1001" i="5"/>
  <c r="R1001" i="5" s="1"/>
  <c r="Q1001" i="5"/>
  <c r="C1002" i="5"/>
  <c r="I1002" i="7" s="1"/>
  <c r="D1002" i="5"/>
  <c r="H1002" i="5"/>
  <c r="I1002" i="5"/>
  <c r="J1002" i="5"/>
  <c r="L1002" i="5"/>
  <c r="O1002" i="5" s="1"/>
  <c r="M1002" i="5"/>
  <c r="N1002" i="5"/>
  <c r="P1002" i="5"/>
  <c r="Q1002" i="5"/>
  <c r="R1002" i="5"/>
  <c r="S1002" i="5"/>
  <c r="C1003" i="5"/>
  <c r="D1003" i="5"/>
  <c r="E1003" i="5" s="1"/>
  <c r="H1003" i="5"/>
  <c r="I1003" i="5"/>
  <c r="J1003" i="5"/>
  <c r="K1003" i="5"/>
  <c r="L1003" i="5"/>
  <c r="M1003" i="5" s="1"/>
  <c r="P1003" i="5"/>
  <c r="Q1003" i="5" s="1"/>
  <c r="C1004" i="5"/>
  <c r="I1004" i="9" s="1"/>
  <c r="D1004" i="5"/>
  <c r="E1004" i="5" s="1"/>
  <c r="H1004" i="5"/>
  <c r="J1004" i="5" s="1"/>
  <c r="K1004" i="5" s="1"/>
  <c r="I1004" i="5"/>
  <c r="L1004" i="5"/>
  <c r="M1004" i="5"/>
  <c r="N1004" i="5"/>
  <c r="P1004" i="5"/>
  <c r="C1005" i="5"/>
  <c r="I1005" i="7" s="1"/>
  <c r="D1005" i="5"/>
  <c r="E1005" i="5" s="1"/>
  <c r="H1005" i="5"/>
  <c r="I1005" i="5"/>
  <c r="J1005" i="5"/>
  <c r="L1005" i="5"/>
  <c r="M1005" i="5" s="1"/>
  <c r="P1005" i="5"/>
  <c r="R1005" i="5" s="1"/>
  <c r="S1005" i="5" s="1"/>
  <c r="Q1005" i="5"/>
  <c r="C1006" i="5"/>
  <c r="D1006" i="5"/>
  <c r="E1006" i="5" s="1"/>
  <c r="H1006" i="5"/>
  <c r="I1006" i="5"/>
  <c r="J1006" i="5"/>
  <c r="K1006" i="5" s="1"/>
  <c r="L1006" i="5"/>
  <c r="M1006" i="5" s="1"/>
  <c r="P1006" i="5"/>
  <c r="Q1006" i="5"/>
  <c r="R1006" i="5"/>
  <c r="S1006" i="5"/>
  <c r="C1007" i="5"/>
  <c r="D1007" i="5"/>
  <c r="E1007" i="5"/>
  <c r="H1007" i="5"/>
  <c r="I1007" i="5" s="1"/>
  <c r="L1007" i="5"/>
  <c r="M1007" i="5" s="1"/>
  <c r="N1007" i="5"/>
  <c r="P1007" i="5"/>
  <c r="S1007" i="5" s="1"/>
  <c r="Q1007" i="5"/>
  <c r="R1007" i="5"/>
  <c r="C1008" i="5"/>
  <c r="D1008" i="5"/>
  <c r="E1008" i="5"/>
  <c r="H1008" i="5"/>
  <c r="K1008" i="5" s="1"/>
  <c r="I1008" i="5"/>
  <c r="J1008" i="5"/>
  <c r="L1008" i="5"/>
  <c r="M1008" i="5"/>
  <c r="N1008" i="5"/>
  <c r="O1008" i="5"/>
  <c r="P1008" i="5"/>
  <c r="R1008" i="5" s="1"/>
  <c r="S1008" i="5" s="1"/>
  <c r="Q1008" i="5"/>
  <c r="C1009" i="5"/>
  <c r="I1009" i="8" s="1"/>
  <c r="D1009" i="5"/>
  <c r="H1009" i="5"/>
  <c r="I1009" i="5" s="1"/>
  <c r="L1009" i="5"/>
  <c r="M1009" i="5" s="1"/>
  <c r="P1009" i="5"/>
  <c r="R1009" i="5" s="1"/>
  <c r="Q1009" i="5"/>
  <c r="C1010" i="5"/>
  <c r="I1010" i="9" s="1"/>
  <c r="D1010" i="5"/>
  <c r="E1010" i="5"/>
  <c r="H1010" i="5"/>
  <c r="I1010" i="5"/>
  <c r="J1010" i="5"/>
  <c r="K1010" i="5"/>
  <c r="L1010" i="5"/>
  <c r="M1010" i="5"/>
  <c r="N1010" i="5"/>
  <c r="O1010" i="5" s="1"/>
  <c r="P1010" i="5"/>
  <c r="Q1010" i="5" s="1"/>
  <c r="C1011" i="5"/>
  <c r="D1011" i="5"/>
  <c r="E1011" i="5" s="1"/>
  <c r="H1011" i="5"/>
  <c r="I1011" i="5"/>
  <c r="J1011" i="5"/>
  <c r="K1011" i="5" s="1"/>
  <c r="L1011" i="5"/>
  <c r="M1011" i="5" s="1"/>
  <c r="P1011" i="5"/>
  <c r="Q1011" i="5" s="1"/>
  <c r="R1011" i="5"/>
  <c r="C1012" i="5"/>
  <c r="K1012" i="5" s="1"/>
  <c r="D1012" i="5"/>
  <c r="H1012" i="5"/>
  <c r="I1012" i="5"/>
  <c r="J1012" i="5"/>
  <c r="L1012" i="5"/>
  <c r="O1012" i="5" s="1"/>
  <c r="M1012" i="5"/>
  <c r="N1012" i="5"/>
  <c r="P1012" i="5"/>
  <c r="Q1012" i="5"/>
  <c r="R1012" i="5"/>
  <c r="S1012" i="5"/>
  <c r="C1013" i="5"/>
  <c r="I1013" i="9" s="1"/>
  <c r="D1013" i="5"/>
  <c r="E1013" i="5" s="1"/>
  <c r="H1013" i="5"/>
  <c r="L1013" i="5"/>
  <c r="M1013" i="5" s="1"/>
  <c r="P1013" i="5"/>
  <c r="Q1013" i="5" s="1"/>
  <c r="C1014" i="5"/>
  <c r="D1014" i="5"/>
  <c r="E1014" i="5" s="1"/>
  <c r="H1014" i="5"/>
  <c r="J1014" i="5" s="1"/>
  <c r="K1014" i="5" s="1"/>
  <c r="I1014" i="5"/>
  <c r="L1014" i="5"/>
  <c r="M1014" i="5"/>
  <c r="N1014" i="5"/>
  <c r="O1014" i="5"/>
  <c r="P1014" i="5"/>
  <c r="Q1014" i="5"/>
  <c r="R1014" i="5"/>
  <c r="S1014" i="5" s="1"/>
  <c r="C1015" i="5"/>
  <c r="I1015" i="8" s="1"/>
  <c r="D1015" i="5"/>
  <c r="E1015" i="5"/>
  <c r="H1015" i="5"/>
  <c r="I1015" i="5" s="1"/>
  <c r="J1015" i="5"/>
  <c r="K1015" i="5"/>
  <c r="L1015" i="5"/>
  <c r="M1015" i="5"/>
  <c r="N1015" i="5"/>
  <c r="O1015" i="5" s="1"/>
  <c r="P1015" i="5"/>
  <c r="Q1015" i="5" s="1"/>
  <c r="C1016" i="5"/>
  <c r="D1016" i="5"/>
  <c r="E1016" i="5"/>
  <c r="H1016" i="5"/>
  <c r="I1016" i="5" s="1"/>
  <c r="L1016" i="5"/>
  <c r="M1016" i="5"/>
  <c r="N1016" i="5"/>
  <c r="O1016" i="5"/>
  <c r="P1016" i="5"/>
  <c r="S1016" i="5" s="1"/>
  <c r="Q1016" i="5"/>
  <c r="R1016" i="5"/>
  <c r="C1017" i="5"/>
  <c r="I1017" i="8" s="1"/>
  <c r="D1017" i="5"/>
  <c r="E1017" i="5" s="1"/>
  <c r="H1017" i="5"/>
  <c r="I1017" i="5" s="1"/>
  <c r="L1017" i="5"/>
  <c r="P1017" i="5"/>
  <c r="C1018" i="5"/>
  <c r="I1018" i="9" s="1"/>
  <c r="D1018" i="5"/>
  <c r="E1018" i="5"/>
  <c r="H1018" i="5"/>
  <c r="I1018" i="5" s="1"/>
  <c r="L1018" i="5"/>
  <c r="N1018" i="5" s="1"/>
  <c r="O1018" i="5" s="1"/>
  <c r="M1018" i="5"/>
  <c r="P1018" i="5"/>
  <c r="Q1018" i="5"/>
  <c r="R1018" i="5"/>
  <c r="S1018" i="5"/>
  <c r="C1019" i="5"/>
  <c r="I1019" i="9" s="1"/>
  <c r="D1019" i="5"/>
  <c r="E1019" i="5"/>
  <c r="H1019" i="5"/>
  <c r="I1019" i="5"/>
  <c r="J1019" i="5"/>
  <c r="K1019" i="5" s="1"/>
  <c r="L1019" i="5"/>
  <c r="M1019" i="5" s="1"/>
  <c r="N1019" i="5"/>
  <c r="O1019" i="5"/>
  <c r="P1019" i="5"/>
  <c r="Q1019" i="5"/>
  <c r="R1019" i="5"/>
  <c r="S1019" i="5" s="1"/>
  <c r="C1020" i="5"/>
  <c r="K1020" i="5" s="1"/>
  <c r="D1020" i="5"/>
  <c r="E1020" i="5"/>
  <c r="H1020" i="5"/>
  <c r="I1020" i="5"/>
  <c r="J1020" i="5"/>
  <c r="L1020" i="5"/>
  <c r="M1020" i="5"/>
  <c r="P1020" i="5"/>
  <c r="Q1020" i="5"/>
  <c r="R1020" i="5"/>
  <c r="C1021" i="5"/>
  <c r="I1021" i="9" s="1"/>
  <c r="D1021" i="5"/>
  <c r="E1021" i="5"/>
  <c r="H1021" i="5"/>
  <c r="I1021" i="5" s="1"/>
  <c r="J1021" i="5"/>
  <c r="L1021" i="5"/>
  <c r="M1021" i="5" s="1"/>
  <c r="P1021" i="5"/>
  <c r="C1022" i="5"/>
  <c r="D1022" i="5"/>
  <c r="E1022" i="5" s="1"/>
  <c r="H1022" i="5"/>
  <c r="I1022" i="5"/>
  <c r="J1022" i="5"/>
  <c r="L1022" i="5"/>
  <c r="M1022" i="5" s="1"/>
  <c r="P1022" i="5"/>
  <c r="R1022" i="5" s="1"/>
  <c r="Q1022" i="5"/>
  <c r="C1023" i="5"/>
  <c r="D1023" i="5"/>
  <c r="E1023" i="5" s="1"/>
  <c r="H1023" i="5"/>
  <c r="I1023" i="5"/>
  <c r="J1023" i="5"/>
  <c r="L1023" i="5"/>
  <c r="M1023" i="5"/>
  <c r="N1023" i="5"/>
  <c r="O1023" i="5" s="1"/>
  <c r="P1023" i="5"/>
  <c r="Q1023" i="5" s="1"/>
  <c r="R1023" i="5"/>
  <c r="S1023" i="5"/>
  <c r="C1024" i="5"/>
  <c r="D1024" i="5"/>
  <c r="E1024" i="5"/>
  <c r="H1024" i="5"/>
  <c r="J1024" i="5" s="1"/>
  <c r="K1024" i="5" s="1"/>
  <c r="I1024" i="5"/>
  <c r="L1024" i="5"/>
  <c r="M1024" i="5"/>
  <c r="N1024" i="5"/>
  <c r="O1024" i="5"/>
  <c r="P1024" i="5"/>
  <c r="Q1024" i="5" s="1"/>
  <c r="C1025" i="5"/>
  <c r="I1025" i="9" s="1"/>
  <c r="D1025" i="5"/>
  <c r="E1025" i="5" s="1"/>
  <c r="H1025" i="5"/>
  <c r="J1025" i="5" s="1"/>
  <c r="I1025" i="5"/>
  <c r="L1025" i="5"/>
  <c r="M1025" i="5" s="1"/>
  <c r="N1025" i="5"/>
  <c r="P1025" i="5"/>
  <c r="Q1025" i="5" s="1"/>
  <c r="C1026" i="5"/>
  <c r="D1026" i="5"/>
  <c r="E1026" i="5"/>
  <c r="H1026" i="5"/>
  <c r="I1026" i="5" s="1"/>
  <c r="J1026" i="5"/>
  <c r="L1026" i="5"/>
  <c r="M1026" i="5"/>
  <c r="N1026" i="5"/>
  <c r="P1026" i="5"/>
  <c r="Q1026" i="5" s="1"/>
  <c r="C1027" i="5"/>
  <c r="D1027" i="5"/>
  <c r="E1027" i="5" s="1"/>
  <c r="H1027" i="5"/>
  <c r="I1027" i="5" s="1"/>
  <c r="J1027" i="5"/>
  <c r="L1027" i="5"/>
  <c r="O1027" i="5" s="1"/>
  <c r="M1027" i="5"/>
  <c r="N1027" i="5"/>
  <c r="P1027" i="5"/>
  <c r="Q1027" i="5"/>
  <c r="R1027" i="5"/>
  <c r="S1027" i="5" s="1"/>
  <c r="C1028" i="5"/>
  <c r="D1028" i="5"/>
  <c r="E1028" i="5"/>
  <c r="H1028" i="5"/>
  <c r="I1028" i="5"/>
  <c r="J1028" i="5"/>
  <c r="K1028" i="5"/>
  <c r="L1028" i="5"/>
  <c r="N1028" i="5" s="1"/>
  <c r="O1028" i="5" s="1"/>
  <c r="M1028" i="5"/>
  <c r="P1028" i="5"/>
  <c r="Q1028" i="5"/>
  <c r="R1028" i="5"/>
  <c r="S1028" i="5"/>
  <c r="C1029" i="5"/>
  <c r="D1029" i="5"/>
  <c r="H1029" i="5"/>
  <c r="I1029" i="5" s="1"/>
  <c r="L1029" i="5"/>
  <c r="N1029" i="5" s="1"/>
  <c r="M1029" i="5"/>
  <c r="P1029" i="5"/>
  <c r="Q1029" i="5" s="1"/>
  <c r="R1029" i="5"/>
  <c r="C1030" i="5"/>
  <c r="O1030" i="5" s="1"/>
  <c r="D1030" i="5"/>
  <c r="E1030" i="5"/>
  <c r="H1030" i="5"/>
  <c r="I1030" i="5"/>
  <c r="J1030" i="5"/>
  <c r="K1030" i="5"/>
  <c r="L1030" i="5"/>
  <c r="M1030" i="5" s="1"/>
  <c r="N1030" i="5"/>
  <c r="P1030" i="5"/>
  <c r="Q1030" i="5"/>
  <c r="R1030" i="5"/>
  <c r="C1031" i="5"/>
  <c r="D1031" i="5"/>
  <c r="E1031" i="5"/>
  <c r="H1031" i="5"/>
  <c r="I1031" i="5" s="1"/>
  <c r="L1031" i="5"/>
  <c r="M1031" i="5" s="1"/>
  <c r="N1031" i="5"/>
  <c r="P1031" i="5"/>
  <c r="S1031" i="5" s="1"/>
  <c r="Q1031" i="5"/>
  <c r="R1031" i="5"/>
  <c r="C1032" i="5"/>
  <c r="D1032" i="5"/>
  <c r="E1032" i="5"/>
  <c r="H1032" i="5"/>
  <c r="K1032" i="5" s="1"/>
  <c r="I1032" i="5"/>
  <c r="J1032" i="5"/>
  <c r="L1032" i="5"/>
  <c r="M1032" i="5"/>
  <c r="N1032" i="5"/>
  <c r="O1032" i="5"/>
  <c r="P1032" i="5"/>
  <c r="R1032" i="5" s="1"/>
  <c r="S1032" i="5" s="1"/>
  <c r="Q1032" i="5"/>
  <c r="C1033" i="5"/>
  <c r="D1033" i="5"/>
  <c r="H1033" i="5"/>
  <c r="L1033" i="5"/>
  <c r="M1033" i="5" s="1"/>
  <c r="P1033" i="5"/>
  <c r="R1033" i="5" s="1"/>
  <c r="Q1033" i="5"/>
  <c r="C1034" i="5"/>
  <c r="I1034" i="9" s="1"/>
  <c r="D1034" i="5"/>
  <c r="E1034" i="5"/>
  <c r="H1034" i="5"/>
  <c r="I1034" i="5"/>
  <c r="J1034" i="5"/>
  <c r="K1034" i="5"/>
  <c r="L1034" i="5"/>
  <c r="M1034" i="5"/>
  <c r="N1034" i="5"/>
  <c r="O1034" i="5" s="1"/>
  <c r="P1034" i="5"/>
  <c r="Q1034" i="5" s="1"/>
  <c r="R1034" i="5"/>
  <c r="C1035" i="5"/>
  <c r="D1035" i="5"/>
  <c r="E1035" i="5" s="1"/>
  <c r="H1035" i="5"/>
  <c r="I1035" i="5"/>
  <c r="J1035" i="5"/>
  <c r="K1035" i="5" s="1"/>
  <c r="L1035" i="5"/>
  <c r="M1035" i="5" s="1"/>
  <c r="P1035" i="5"/>
  <c r="Q1035" i="5" s="1"/>
  <c r="R1035" i="5"/>
  <c r="C1036" i="5"/>
  <c r="D1036" i="5"/>
  <c r="E1036" i="5" s="1"/>
  <c r="H1036" i="5"/>
  <c r="I1036" i="5"/>
  <c r="J1036" i="5"/>
  <c r="L1036" i="5"/>
  <c r="O1036" i="5" s="1"/>
  <c r="M1036" i="5"/>
  <c r="N1036" i="5"/>
  <c r="P1036" i="5"/>
  <c r="Q1036" i="5"/>
  <c r="R1036" i="5"/>
  <c r="S1036" i="5"/>
  <c r="C1037" i="5"/>
  <c r="I1037" i="9" s="1"/>
  <c r="D1037" i="5"/>
  <c r="E1037" i="5" s="1"/>
  <c r="H1037" i="5"/>
  <c r="L1037" i="5"/>
  <c r="P1037" i="5"/>
  <c r="Q1037" i="5" s="1"/>
  <c r="C1038" i="5"/>
  <c r="D1038" i="5"/>
  <c r="E1038" i="5" s="1"/>
  <c r="H1038" i="5"/>
  <c r="J1038" i="5" s="1"/>
  <c r="K1038" i="5" s="1"/>
  <c r="I1038" i="5"/>
  <c r="L1038" i="5"/>
  <c r="M1038" i="5"/>
  <c r="N1038" i="5"/>
  <c r="O1038" i="5"/>
  <c r="P1038" i="5"/>
  <c r="Q1038" i="5"/>
  <c r="R1038" i="5"/>
  <c r="S1038" i="5" s="1"/>
  <c r="C1039" i="5"/>
  <c r="D1039" i="5"/>
  <c r="E1039" i="5"/>
  <c r="H1039" i="5"/>
  <c r="I1039" i="5" s="1"/>
  <c r="J1039" i="5"/>
  <c r="K1039" i="5"/>
  <c r="L1039" i="5"/>
  <c r="M1039" i="5"/>
  <c r="N1039" i="5"/>
  <c r="O1039" i="5" s="1"/>
  <c r="P1039" i="5"/>
  <c r="Q1039" i="5" s="1"/>
  <c r="C1040" i="5"/>
  <c r="I1040" i="9" s="1"/>
  <c r="D1040" i="5"/>
  <c r="E1040" i="5"/>
  <c r="H1040" i="5"/>
  <c r="I1040" i="5" s="1"/>
  <c r="L1040" i="5"/>
  <c r="M1040" i="5"/>
  <c r="N1040" i="5"/>
  <c r="O1040" i="5"/>
  <c r="P1040" i="5"/>
  <c r="S1040" i="5" s="1"/>
  <c r="Q1040" i="5"/>
  <c r="R1040" i="5"/>
  <c r="C1041" i="5"/>
  <c r="D1041" i="5"/>
  <c r="E1041" i="5" s="1"/>
  <c r="H1041" i="5"/>
  <c r="I1041" i="5" s="1"/>
  <c r="L1041" i="5"/>
  <c r="P1041" i="5"/>
  <c r="C1042" i="5"/>
  <c r="I1042" i="9" s="1"/>
  <c r="D1042" i="5"/>
  <c r="E1042" i="5"/>
  <c r="H1042" i="5"/>
  <c r="I1042" i="5" s="1"/>
  <c r="L1042" i="5"/>
  <c r="N1042" i="5" s="1"/>
  <c r="O1042" i="5" s="1"/>
  <c r="M1042" i="5"/>
  <c r="P1042" i="5"/>
  <c r="Q1042" i="5"/>
  <c r="R1042" i="5"/>
  <c r="S1042" i="5"/>
  <c r="C1043" i="5"/>
  <c r="I1043" i="9" s="1"/>
  <c r="D1043" i="5"/>
  <c r="E1043" i="5"/>
  <c r="H1043" i="5"/>
  <c r="I1043" i="5"/>
  <c r="J1043" i="5"/>
  <c r="K1043" i="5" s="1"/>
  <c r="L1043" i="5"/>
  <c r="M1043" i="5"/>
  <c r="N1043" i="5"/>
  <c r="O1043" i="5"/>
  <c r="P1043" i="5"/>
  <c r="Q1043" i="5"/>
  <c r="R1043" i="5"/>
  <c r="S1043" i="5" s="1"/>
  <c r="C1044" i="5"/>
  <c r="I1044" i="8" s="1"/>
  <c r="D1044" i="5"/>
  <c r="E1044" i="5"/>
  <c r="H1044" i="5"/>
  <c r="I1044" i="5"/>
  <c r="J1044" i="5"/>
  <c r="L1044" i="5"/>
  <c r="P1044" i="5"/>
  <c r="Q1044" i="5"/>
  <c r="R1044" i="5"/>
  <c r="C1045" i="5"/>
  <c r="D1045" i="5"/>
  <c r="E1045" i="5"/>
  <c r="H1045" i="5"/>
  <c r="I1045" i="5" s="1"/>
  <c r="J1045" i="5"/>
  <c r="L1045" i="5"/>
  <c r="M1045" i="5" s="1"/>
  <c r="P1045" i="5"/>
  <c r="C1046" i="5"/>
  <c r="D1046" i="5"/>
  <c r="E1046" i="5"/>
  <c r="H1046" i="5"/>
  <c r="I1046" i="5"/>
  <c r="J1046" i="5"/>
  <c r="L1046" i="5"/>
  <c r="M1046" i="5" s="1"/>
  <c r="P1046" i="5"/>
  <c r="R1046" i="5" s="1"/>
  <c r="S1046" i="5" s="1"/>
  <c r="Q1046" i="5"/>
  <c r="C1047" i="5"/>
  <c r="D1047" i="5"/>
  <c r="E1047" i="5" s="1"/>
  <c r="H1047" i="5"/>
  <c r="I1047" i="5"/>
  <c r="J1047" i="5"/>
  <c r="L1047" i="5"/>
  <c r="M1047" i="5"/>
  <c r="N1047" i="5"/>
  <c r="O1047" i="5" s="1"/>
  <c r="P1047" i="5"/>
  <c r="Q1047" i="5" s="1"/>
  <c r="R1047" i="5"/>
  <c r="S1047" i="5"/>
  <c r="C1048" i="5"/>
  <c r="D1048" i="5"/>
  <c r="E1048" i="5"/>
  <c r="H1048" i="5"/>
  <c r="J1048" i="5" s="1"/>
  <c r="K1048" i="5" s="1"/>
  <c r="I1048" i="5"/>
  <c r="L1048" i="5"/>
  <c r="M1048" i="5"/>
  <c r="N1048" i="5"/>
  <c r="O1048" i="5"/>
  <c r="P1048" i="5"/>
  <c r="Q1048" i="5" s="1"/>
  <c r="C1049" i="5"/>
  <c r="I1049" i="9" s="1"/>
  <c r="D1049" i="5"/>
  <c r="E1049" i="5" s="1"/>
  <c r="H1049" i="5"/>
  <c r="J1049" i="5" s="1"/>
  <c r="I1049" i="5"/>
  <c r="L1049" i="5"/>
  <c r="M1049" i="5" s="1"/>
  <c r="N1049" i="5"/>
  <c r="P1049" i="5"/>
  <c r="Q1049" i="5" s="1"/>
  <c r="C1050" i="5"/>
  <c r="D1050" i="5"/>
  <c r="E1050" i="5"/>
  <c r="H1050" i="5"/>
  <c r="I1050" i="5"/>
  <c r="J1050" i="5"/>
  <c r="L1050" i="5"/>
  <c r="M1050" i="5"/>
  <c r="N1050" i="5"/>
  <c r="P1050" i="5"/>
  <c r="Q1050" i="5" s="1"/>
  <c r="C1051" i="5"/>
  <c r="D1051" i="5"/>
  <c r="E1051" i="5" s="1"/>
  <c r="H1051" i="5"/>
  <c r="I1051" i="5" s="1"/>
  <c r="J1051" i="5"/>
  <c r="L1051" i="5"/>
  <c r="M1051" i="5"/>
  <c r="N1051" i="5"/>
  <c r="P1051" i="5"/>
  <c r="Q1051" i="5"/>
  <c r="R1051" i="5"/>
  <c r="S1051" i="5" s="1"/>
  <c r="C1052" i="5"/>
  <c r="D1052" i="5"/>
  <c r="E1052" i="5"/>
  <c r="H1052" i="5"/>
  <c r="I1052" i="5"/>
  <c r="J1052" i="5"/>
  <c r="K1052" i="5"/>
  <c r="L1052" i="5"/>
  <c r="N1052" i="5" s="1"/>
  <c r="O1052" i="5" s="1"/>
  <c r="M1052" i="5"/>
  <c r="P1052" i="5"/>
  <c r="Q1052" i="5"/>
  <c r="R1052" i="5"/>
  <c r="S1052" i="5"/>
  <c r="C1053" i="5"/>
  <c r="D1053" i="5"/>
  <c r="H1053" i="5"/>
  <c r="I1053" i="5" s="1"/>
  <c r="L1053" i="5"/>
  <c r="N1053" i="5" s="1"/>
  <c r="M1053" i="5"/>
  <c r="P1053" i="5"/>
  <c r="Q1053" i="5" s="1"/>
  <c r="R1053" i="5"/>
  <c r="C1054" i="5"/>
  <c r="I1054" i="9" s="1"/>
  <c r="D1054" i="5"/>
  <c r="E1054" i="5"/>
  <c r="H1054" i="5"/>
  <c r="I1054" i="5"/>
  <c r="J1054" i="5"/>
  <c r="K1054" i="5" s="1"/>
  <c r="L1054" i="5"/>
  <c r="M1054" i="5"/>
  <c r="N1054" i="5"/>
  <c r="P1054" i="5"/>
  <c r="Q1054" i="5"/>
  <c r="R1054" i="5"/>
  <c r="C1055" i="5"/>
  <c r="D1055" i="5"/>
  <c r="E1055" i="5"/>
  <c r="H1055" i="5"/>
  <c r="I1055" i="5" s="1"/>
  <c r="L1055" i="5"/>
  <c r="M1055" i="5" s="1"/>
  <c r="N1055" i="5"/>
  <c r="P1055" i="5"/>
  <c r="Q1055" i="5"/>
  <c r="R1055" i="5"/>
  <c r="C1056" i="5"/>
  <c r="D1056" i="5"/>
  <c r="E1056" i="5"/>
  <c r="H1056" i="5"/>
  <c r="K1056" i="5" s="1"/>
  <c r="I1056" i="5"/>
  <c r="J1056" i="5"/>
  <c r="L1056" i="5"/>
  <c r="M1056" i="5"/>
  <c r="N1056" i="5"/>
  <c r="O1056" i="5"/>
  <c r="P1056" i="5"/>
  <c r="R1056" i="5" s="1"/>
  <c r="S1056" i="5" s="1"/>
  <c r="Q1056" i="5"/>
  <c r="C1057" i="5"/>
  <c r="D1057" i="5"/>
  <c r="H1057" i="5"/>
  <c r="L1057" i="5"/>
  <c r="M1057" i="5" s="1"/>
  <c r="P1057" i="5"/>
  <c r="R1057" i="5" s="1"/>
  <c r="Q1057" i="5"/>
  <c r="C1058" i="5"/>
  <c r="D1058" i="5"/>
  <c r="E1058" i="5"/>
  <c r="H1058" i="5"/>
  <c r="I1058" i="5"/>
  <c r="J1058" i="5"/>
  <c r="K1058" i="5"/>
  <c r="L1058" i="5"/>
  <c r="M1058" i="5"/>
  <c r="N1058" i="5"/>
  <c r="O1058" i="5" s="1"/>
  <c r="P1058" i="5"/>
  <c r="Q1058" i="5"/>
  <c r="R1058" i="5"/>
  <c r="S1058" i="5"/>
  <c r="C1059" i="5"/>
  <c r="I1059" i="9" s="1"/>
  <c r="D1059" i="5"/>
  <c r="E1059" i="5"/>
  <c r="H1059" i="5"/>
  <c r="I1059" i="5"/>
  <c r="J1059" i="5"/>
  <c r="K1059" i="5" s="1"/>
  <c r="L1059" i="5"/>
  <c r="M1059" i="5" s="1"/>
  <c r="P1059" i="5"/>
  <c r="Q1059" i="5" s="1"/>
  <c r="R1059" i="5"/>
  <c r="C1060" i="5"/>
  <c r="I1060" i="7" s="1"/>
  <c r="D1060" i="5"/>
  <c r="E1060" i="5" s="1"/>
  <c r="H1060" i="5"/>
  <c r="I1060" i="5"/>
  <c r="J1060" i="5"/>
  <c r="L1060" i="5"/>
  <c r="O1060" i="5" s="1"/>
  <c r="M1060" i="5"/>
  <c r="N1060" i="5"/>
  <c r="P1060" i="5"/>
  <c r="Q1060" i="5"/>
  <c r="R1060" i="5"/>
  <c r="S1060" i="5"/>
  <c r="C1061" i="5"/>
  <c r="D1061" i="5"/>
  <c r="E1061" i="5" s="1"/>
  <c r="H1061" i="5"/>
  <c r="L1061" i="5"/>
  <c r="P1061" i="5"/>
  <c r="Q1061" i="5" s="1"/>
  <c r="C1062" i="5"/>
  <c r="I1062" i="7" s="1"/>
  <c r="D1062" i="5"/>
  <c r="E1062" i="5" s="1"/>
  <c r="H1062" i="5"/>
  <c r="J1062" i="5" s="1"/>
  <c r="K1062" i="5" s="1"/>
  <c r="I1062" i="5"/>
  <c r="L1062" i="5"/>
  <c r="M1062" i="5"/>
  <c r="N1062" i="5"/>
  <c r="O1062" i="5"/>
  <c r="P1062" i="5"/>
  <c r="Q1062" i="5"/>
  <c r="R1062" i="5"/>
  <c r="S1062" i="5"/>
  <c r="C1063" i="5"/>
  <c r="I1063" i="7" s="1"/>
  <c r="D1063" i="5"/>
  <c r="E1063" i="5"/>
  <c r="H1063" i="5"/>
  <c r="I1063" i="5"/>
  <c r="J1063" i="5"/>
  <c r="K1063" i="5"/>
  <c r="L1063" i="5"/>
  <c r="M1063" i="5"/>
  <c r="N1063" i="5"/>
  <c r="O1063" i="5" s="1"/>
  <c r="P1063" i="5"/>
  <c r="Q1063" i="5" s="1"/>
  <c r="C1064" i="5"/>
  <c r="D1064" i="5"/>
  <c r="E1064" i="5"/>
  <c r="H1064" i="5"/>
  <c r="I1064" i="5" s="1"/>
  <c r="L1064" i="5"/>
  <c r="M1064" i="5"/>
  <c r="N1064" i="5"/>
  <c r="O1064" i="5"/>
  <c r="P1064" i="5"/>
  <c r="S1064" i="5" s="1"/>
  <c r="Q1064" i="5"/>
  <c r="R1064" i="5"/>
  <c r="C1065" i="5"/>
  <c r="D1065" i="5"/>
  <c r="E1065" i="5" s="1"/>
  <c r="H1065" i="5"/>
  <c r="I1065" i="5" s="1"/>
  <c r="L1065" i="5"/>
  <c r="P1065" i="5"/>
  <c r="C1066" i="5"/>
  <c r="D1066" i="5"/>
  <c r="E1066" i="5"/>
  <c r="H1066" i="5"/>
  <c r="I1066" i="5" s="1"/>
  <c r="L1066" i="5"/>
  <c r="N1066" i="5" s="1"/>
  <c r="O1066" i="5" s="1"/>
  <c r="M1066" i="5"/>
  <c r="P1066" i="5"/>
  <c r="Q1066" i="5"/>
  <c r="R1066" i="5"/>
  <c r="S1066" i="5"/>
  <c r="C1067" i="5"/>
  <c r="D1067" i="5"/>
  <c r="E1067" i="5"/>
  <c r="H1067" i="5"/>
  <c r="I1067" i="5"/>
  <c r="J1067" i="5"/>
  <c r="K1067" i="5" s="1"/>
  <c r="L1067" i="5"/>
  <c r="M1067" i="5"/>
  <c r="N1067" i="5"/>
  <c r="O1067" i="5"/>
  <c r="P1067" i="5"/>
  <c r="Q1067" i="5"/>
  <c r="R1067" i="5"/>
  <c r="S1067" i="5" s="1"/>
  <c r="C1068" i="5"/>
  <c r="I1068" i="8" s="1"/>
  <c r="D1068" i="5"/>
  <c r="E1068" i="5"/>
  <c r="H1068" i="5"/>
  <c r="I1068" i="5"/>
  <c r="J1068" i="5"/>
  <c r="L1068" i="5"/>
  <c r="M1068" i="5" s="1"/>
  <c r="P1068" i="5"/>
  <c r="Q1068" i="5"/>
  <c r="R1068" i="5"/>
  <c r="C1069" i="5"/>
  <c r="D1069" i="5"/>
  <c r="E1069" i="5"/>
  <c r="H1069" i="5"/>
  <c r="I1069" i="5" s="1"/>
  <c r="J1069" i="5"/>
  <c r="L1069" i="5"/>
  <c r="M1069" i="5" s="1"/>
  <c r="P1069" i="5"/>
  <c r="C1070" i="5"/>
  <c r="D1070" i="5"/>
  <c r="E1070" i="5"/>
  <c r="H1070" i="5"/>
  <c r="I1070" i="5"/>
  <c r="J1070" i="5"/>
  <c r="L1070" i="5"/>
  <c r="M1070" i="5" s="1"/>
  <c r="P1070" i="5"/>
  <c r="R1070" i="5" s="1"/>
  <c r="Q1070" i="5"/>
  <c r="C1071" i="5"/>
  <c r="D1071" i="5"/>
  <c r="E1071" i="5" s="1"/>
  <c r="H1071" i="5"/>
  <c r="I1071" i="5"/>
  <c r="J1071" i="5"/>
  <c r="L1071" i="5"/>
  <c r="M1071" i="5"/>
  <c r="N1071" i="5"/>
  <c r="O1071" i="5" s="1"/>
  <c r="P1071" i="5"/>
  <c r="Q1071" i="5"/>
  <c r="R1071" i="5"/>
  <c r="S1071" i="5"/>
  <c r="C1072" i="5"/>
  <c r="I1072" i="9" s="1"/>
  <c r="D1072" i="5"/>
  <c r="E1072" i="5"/>
  <c r="H1072" i="5"/>
  <c r="J1072" i="5" s="1"/>
  <c r="K1072" i="5" s="1"/>
  <c r="I1072" i="5"/>
  <c r="L1072" i="5"/>
  <c r="M1072" i="5"/>
  <c r="N1072" i="5"/>
  <c r="O1072" i="5"/>
  <c r="P1072" i="5"/>
  <c r="Q1072" i="5"/>
  <c r="C1073" i="5"/>
  <c r="D1073" i="5"/>
  <c r="E1073" i="5" s="1"/>
  <c r="H1073" i="5"/>
  <c r="J1073" i="5" s="1"/>
  <c r="I1073" i="5"/>
  <c r="L1073" i="5"/>
  <c r="M1073" i="5" s="1"/>
  <c r="N1073" i="5"/>
  <c r="P1073" i="5"/>
  <c r="Q1073" i="5" s="1"/>
  <c r="C1074" i="5"/>
  <c r="D1074" i="5"/>
  <c r="E1074" i="5"/>
  <c r="H1074" i="5"/>
  <c r="I1074" i="5"/>
  <c r="J1074" i="5"/>
  <c r="L1074" i="5"/>
  <c r="M1074" i="5"/>
  <c r="N1074" i="5"/>
  <c r="P1074" i="5"/>
  <c r="Q1074" i="5" s="1"/>
  <c r="C1075" i="5"/>
  <c r="D1075" i="5"/>
  <c r="E1075" i="5" s="1"/>
  <c r="H1075" i="5"/>
  <c r="I1075" i="5" s="1"/>
  <c r="J1075" i="5"/>
  <c r="L1075" i="5"/>
  <c r="O1075" i="5" s="1"/>
  <c r="M1075" i="5"/>
  <c r="N1075" i="5"/>
  <c r="P1075" i="5"/>
  <c r="Q1075" i="5"/>
  <c r="R1075" i="5"/>
  <c r="S1075" i="5" s="1"/>
  <c r="C1076" i="5"/>
  <c r="D1076" i="5"/>
  <c r="E1076" i="5"/>
  <c r="H1076" i="5"/>
  <c r="I1076" i="5"/>
  <c r="J1076" i="5"/>
  <c r="K1076" i="5"/>
  <c r="L1076" i="5"/>
  <c r="N1076" i="5" s="1"/>
  <c r="O1076" i="5" s="1"/>
  <c r="M1076" i="5"/>
  <c r="P1076" i="5"/>
  <c r="Q1076" i="5"/>
  <c r="R1076" i="5"/>
  <c r="S1076" i="5"/>
  <c r="C1077" i="5"/>
  <c r="I1077" i="8" s="1"/>
  <c r="D1077" i="5"/>
  <c r="H1077" i="5"/>
  <c r="I1077" i="5" s="1"/>
  <c r="L1077" i="5"/>
  <c r="N1077" i="5" s="1"/>
  <c r="M1077" i="5"/>
  <c r="P1077" i="5"/>
  <c r="Q1077" i="5" s="1"/>
  <c r="R1077" i="5"/>
  <c r="C1078" i="5"/>
  <c r="D1078" i="5"/>
  <c r="E1078" i="5"/>
  <c r="H1078" i="5"/>
  <c r="I1078" i="5"/>
  <c r="J1078" i="5"/>
  <c r="K1078" i="5" s="1"/>
  <c r="L1078" i="5"/>
  <c r="M1078" i="5"/>
  <c r="N1078" i="5"/>
  <c r="P1078" i="5"/>
  <c r="Q1078" i="5"/>
  <c r="R1078" i="5"/>
  <c r="C1079" i="5"/>
  <c r="D1079" i="5"/>
  <c r="E1079" i="5"/>
  <c r="H1079" i="5"/>
  <c r="I1079" i="5" s="1"/>
  <c r="L1079" i="5"/>
  <c r="M1079" i="5" s="1"/>
  <c r="N1079" i="5"/>
  <c r="P1079" i="5"/>
  <c r="Q1079" i="5"/>
  <c r="R1079" i="5"/>
  <c r="C1080" i="5"/>
  <c r="I1080" i="8" s="1"/>
  <c r="D1080" i="5"/>
  <c r="E1080" i="5"/>
  <c r="H1080" i="5"/>
  <c r="K1080" i="5" s="1"/>
  <c r="I1080" i="5"/>
  <c r="J1080" i="5"/>
  <c r="L1080" i="5"/>
  <c r="M1080" i="5"/>
  <c r="N1080" i="5"/>
  <c r="O1080" i="5"/>
  <c r="P1080" i="5"/>
  <c r="R1080" i="5" s="1"/>
  <c r="S1080" i="5" s="1"/>
  <c r="Q1080" i="5"/>
  <c r="C1081" i="5"/>
  <c r="D1081" i="5"/>
  <c r="H1081" i="5"/>
  <c r="L1081" i="5"/>
  <c r="M1081" i="5" s="1"/>
  <c r="P1081" i="5"/>
  <c r="R1081" i="5" s="1"/>
  <c r="Q1081" i="5"/>
  <c r="C1082" i="5"/>
  <c r="D1082" i="5"/>
  <c r="E1082" i="5"/>
  <c r="H1082" i="5"/>
  <c r="I1082" i="5"/>
  <c r="J1082" i="5"/>
  <c r="K1082" i="5"/>
  <c r="L1082" i="5"/>
  <c r="M1082" i="5"/>
  <c r="N1082" i="5"/>
  <c r="O1082" i="5" s="1"/>
  <c r="P1082" i="5"/>
  <c r="Q1082" i="5"/>
  <c r="R1082" i="5"/>
  <c r="S1082" i="5"/>
  <c r="C1083" i="5"/>
  <c r="D1083" i="5"/>
  <c r="E1083" i="5"/>
  <c r="H1083" i="5"/>
  <c r="I1083" i="5"/>
  <c r="J1083" i="5"/>
  <c r="K1083" i="5" s="1"/>
  <c r="L1083" i="5"/>
  <c r="P1083" i="5"/>
  <c r="Q1083" i="5" s="1"/>
  <c r="R1083" i="5"/>
  <c r="C1084" i="5"/>
  <c r="D1084" i="5"/>
  <c r="E1084" i="5" s="1"/>
  <c r="H1084" i="5"/>
  <c r="I1084" i="5"/>
  <c r="J1084" i="5"/>
  <c r="L1084" i="5"/>
  <c r="O1084" i="5" s="1"/>
  <c r="M1084" i="5"/>
  <c r="N1084" i="5"/>
  <c r="P1084" i="5"/>
  <c r="Q1084" i="5"/>
  <c r="R1084" i="5"/>
  <c r="S1084" i="5"/>
  <c r="C1085" i="5"/>
  <c r="D1085" i="5"/>
  <c r="E1085" i="5" s="1"/>
  <c r="H1085" i="5"/>
  <c r="L1085" i="5"/>
  <c r="P1085" i="5"/>
  <c r="Q1085" i="5" s="1"/>
  <c r="C1086" i="5"/>
  <c r="I1086" i="9" s="1"/>
  <c r="D1086" i="5"/>
  <c r="E1086" i="5" s="1"/>
  <c r="H1086" i="5"/>
  <c r="J1086" i="5" s="1"/>
  <c r="K1086" i="5" s="1"/>
  <c r="I1086" i="5"/>
  <c r="L1086" i="5"/>
  <c r="M1086" i="5"/>
  <c r="N1086" i="5"/>
  <c r="O1086" i="5"/>
  <c r="P1086" i="5"/>
  <c r="Q1086" i="5"/>
  <c r="R1086" i="5"/>
  <c r="S1086" i="5" s="1"/>
  <c r="C1087" i="5"/>
  <c r="D1087" i="5"/>
  <c r="E1087" i="5"/>
  <c r="H1087" i="5"/>
  <c r="I1087" i="5"/>
  <c r="J1087" i="5"/>
  <c r="K1087" i="5"/>
  <c r="L1087" i="5"/>
  <c r="M1087" i="5"/>
  <c r="N1087" i="5"/>
  <c r="O1087" i="5" s="1"/>
  <c r="P1087" i="5"/>
  <c r="C1088" i="5"/>
  <c r="D1088" i="5"/>
  <c r="E1088" i="5"/>
  <c r="H1088" i="5"/>
  <c r="L1088" i="5"/>
  <c r="N1088" i="5" s="1"/>
  <c r="O1088" i="5" s="1"/>
  <c r="M1088" i="5"/>
  <c r="P1088" i="5"/>
  <c r="S1088" i="5" s="1"/>
  <c r="Q1088" i="5"/>
  <c r="R1088" i="5"/>
  <c r="C1089" i="5"/>
  <c r="I1089" i="9" s="1"/>
  <c r="D1089" i="5"/>
  <c r="E1089" i="5" s="1"/>
  <c r="H1089" i="5"/>
  <c r="I1089" i="5" s="1"/>
  <c r="L1089" i="5"/>
  <c r="P1089" i="5"/>
  <c r="C1090" i="5"/>
  <c r="I1090" i="7" s="1"/>
  <c r="D1090" i="5"/>
  <c r="E1090" i="5"/>
  <c r="H1090" i="5"/>
  <c r="I1090" i="5" s="1"/>
  <c r="L1090" i="5"/>
  <c r="N1090" i="5" s="1"/>
  <c r="O1090" i="5" s="1"/>
  <c r="M1090" i="5"/>
  <c r="P1090" i="5"/>
  <c r="Q1090" i="5"/>
  <c r="R1090" i="5"/>
  <c r="S1090" i="5"/>
  <c r="C1091" i="5"/>
  <c r="D1091" i="5"/>
  <c r="E1091" i="5"/>
  <c r="H1091" i="5"/>
  <c r="I1091" i="5"/>
  <c r="J1091" i="5"/>
  <c r="K1091" i="5" s="1"/>
  <c r="L1091" i="5"/>
  <c r="M1091" i="5"/>
  <c r="N1091" i="5"/>
  <c r="O1091" i="5"/>
  <c r="P1091" i="5"/>
  <c r="Q1091" i="5"/>
  <c r="R1091" i="5"/>
  <c r="S1091" i="5" s="1"/>
  <c r="C1092" i="5"/>
  <c r="D1092" i="5"/>
  <c r="E1092" i="5"/>
  <c r="H1092" i="5"/>
  <c r="I1092" i="5"/>
  <c r="J1092" i="5"/>
  <c r="L1092" i="5"/>
  <c r="M1092" i="5" s="1"/>
  <c r="P1092" i="5"/>
  <c r="R1092" i="5" s="1"/>
  <c r="S1092" i="5" s="1"/>
  <c r="Q1092" i="5"/>
  <c r="C1093" i="5"/>
  <c r="D1093" i="5"/>
  <c r="E1093" i="5"/>
  <c r="H1093" i="5"/>
  <c r="I1093" i="5" s="1"/>
  <c r="J1093" i="5"/>
  <c r="L1093" i="5"/>
  <c r="M1093" i="5" s="1"/>
  <c r="P1093" i="5"/>
  <c r="C1094" i="5"/>
  <c r="D1094" i="5"/>
  <c r="E1094" i="5"/>
  <c r="H1094" i="5"/>
  <c r="I1094" i="5"/>
  <c r="J1094" i="5"/>
  <c r="L1094" i="5"/>
  <c r="P1094" i="5"/>
  <c r="R1094" i="5" s="1"/>
  <c r="S1094" i="5" s="1"/>
  <c r="Q1094" i="5"/>
  <c r="C1095" i="5"/>
  <c r="I1095" i="7" s="1"/>
  <c r="D1095" i="5"/>
  <c r="E1095" i="5" s="1"/>
  <c r="H1095" i="5"/>
  <c r="K1095" i="5" s="1"/>
  <c r="I1095" i="5"/>
  <c r="J1095" i="5"/>
  <c r="L1095" i="5"/>
  <c r="M1095" i="5"/>
  <c r="N1095" i="5"/>
  <c r="O1095" i="5" s="1"/>
  <c r="P1095" i="5"/>
  <c r="Q1095" i="5"/>
  <c r="R1095" i="5"/>
  <c r="S1095" i="5"/>
  <c r="C1096" i="5"/>
  <c r="I1096" i="8" s="1"/>
  <c r="D1096" i="5"/>
  <c r="E1096" i="5"/>
  <c r="H1096" i="5"/>
  <c r="J1096" i="5" s="1"/>
  <c r="K1096" i="5" s="1"/>
  <c r="I1096" i="5"/>
  <c r="L1096" i="5"/>
  <c r="M1096" i="5"/>
  <c r="N1096" i="5"/>
  <c r="O1096" i="5"/>
  <c r="P1096" i="5"/>
  <c r="Q1096" i="5" s="1"/>
  <c r="C1097" i="5"/>
  <c r="I1097" i="9" s="1"/>
  <c r="D1097" i="5"/>
  <c r="E1097" i="5" s="1"/>
  <c r="H1097" i="5"/>
  <c r="J1097" i="5" s="1"/>
  <c r="I1097" i="5"/>
  <c r="L1097" i="5"/>
  <c r="M1097" i="5" s="1"/>
  <c r="N1097" i="5"/>
  <c r="P1097" i="5"/>
  <c r="Q1097" i="5" s="1"/>
  <c r="C1098" i="5"/>
  <c r="D1098" i="5"/>
  <c r="E1098" i="5"/>
  <c r="H1098" i="5"/>
  <c r="I1098" i="5"/>
  <c r="J1098" i="5"/>
  <c r="L1098" i="5"/>
  <c r="M1098" i="5"/>
  <c r="N1098" i="5"/>
  <c r="P1098" i="5"/>
  <c r="C1099" i="5"/>
  <c r="I1099" i="9" s="1"/>
  <c r="D1099" i="5"/>
  <c r="H1099" i="5"/>
  <c r="I1099" i="5" s="1"/>
  <c r="J1099" i="5"/>
  <c r="L1099" i="5"/>
  <c r="M1099" i="5"/>
  <c r="N1099" i="5"/>
  <c r="P1099" i="5"/>
  <c r="Q1099" i="5"/>
  <c r="R1099" i="5"/>
  <c r="S1099" i="5" s="1"/>
  <c r="C1100" i="5"/>
  <c r="D1100" i="5"/>
  <c r="E1100" i="5"/>
  <c r="H1100" i="5"/>
  <c r="I1100" i="5"/>
  <c r="J1100" i="5"/>
  <c r="K1100" i="5"/>
  <c r="L1100" i="5"/>
  <c r="N1100" i="5" s="1"/>
  <c r="O1100" i="5" s="1"/>
  <c r="M1100" i="5"/>
  <c r="P1100" i="5"/>
  <c r="Q1100" i="5"/>
  <c r="R1100" i="5"/>
  <c r="S1100" i="5"/>
  <c r="C1101" i="5"/>
  <c r="I1101" i="8" s="1"/>
  <c r="D1101" i="5"/>
  <c r="H1101" i="5"/>
  <c r="I1101" i="5" s="1"/>
  <c r="L1101" i="5"/>
  <c r="N1101" i="5" s="1"/>
  <c r="M1101" i="5"/>
  <c r="P1101" i="5"/>
  <c r="Q1101" i="5" s="1"/>
  <c r="R1101" i="5"/>
  <c r="C1102" i="5"/>
  <c r="D1102" i="5"/>
  <c r="E1102" i="5"/>
  <c r="H1102" i="5"/>
  <c r="I1102" i="5"/>
  <c r="J1102" i="5"/>
  <c r="K1102" i="5"/>
  <c r="L1102" i="5"/>
  <c r="M1102" i="5"/>
  <c r="N1102" i="5"/>
  <c r="P1102" i="5"/>
  <c r="Q1102" i="5"/>
  <c r="R1102" i="5"/>
  <c r="C1103" i="5"/>
  <c r="D1103" i="5"/>
  <c r="E1103" i="5"/>
  <c r="H1103" i="5"/>
  <c r="L1103" i="5"/>
  <c r="M1103" i="5" s="1"/>
  <c r="N1103" i="5"/>
  <c r="P1103" i="5"/>
  <c r="Q1103" i="5"/>
  <c r="R1103" i="5"/>
  <c r="C1104" i="5"/>
  <c r="I1104" i="9" s="1"/>
  <c r="D1104" i="5"/>
  <c r="E1104" i="5"/>
  <c r="H1104" i="5"/>
  <c r="I1104" i="5"/>
  <c r="J1104" i="5"/>
  <c r="L1104" i="5"/>
  <c r="M1104" i="5"/>
  <c r="N1104" i="5"/>
  <c r="O1104" i="5"/>
  <c r="P1104" i="5"/>
  <c r="R1104" i="5" s="1"/>
  <c r="S1104" i="5" s="1"/>
  <c r="Q1104" i="5"/>
  <c r="C1105" i="5"/>
  <c r="I1105" i="9" s="1"/>
  <c r="D1105" i="5"/>
  <c r="H1105" i="5"/>
  <c r="L1105" i="5"/>
  <c r="M1105" i="5" s="1"/>
  <c r="P1105" i="5"/>
  <c r="R1105" i="5" s="1"/>
  <c r="Q1105" i="5"/>
  <c r="C1106" i="5"/>
  <c r="D1106" i="5"/>
  <c r="E1106" i="5"/>
  <c r="H1106" i="5"/>
  <c r="I1106" i="5"/>
  <c r="J1106" i="5"/>
  <c r="K1106" i="5"/>
  <c r="L1106" i="5"/>
  <c r="M1106" i="5"/>
  <c r="N1106" i="5"/>
  <c r="O1106" i="5"/>
  <c r="P1106" i="5"/>
  <c r="Q1106" i="5"/>
  <c r="R1106" i="5"/>
  <c r="S1106" i="5"/>
  <c r="C1107" i="5"/>
  <c r="I1107" i="8" s="1"/>
  <c r="D1107" i="5"/>
  <c r="E1107" i="5"/>
  <c r="H1107" i="5"/>
  <c r="I1107" i="5"/>
  <c r="J1107" i="5"/>
  <c r="K1107" i="5" s="1"/>
  <c r="L1107" i="5"/>
  <c r="P1107" i="5"/>
  <c r="Q1107" i="5" s="1"/>
  <c r="R1107" i="5"/>
  <c r="C1108" i="5"/>
  <c r="I1108" i="7" s="1"/>
  <c r="D1108" i="5"/>
  <c r="E1108" i="5" s="1"/>
  <c r="H1108" i="5"/>
  <c r="I1108" i="5"/>
  <c r="J1108" i="5"/>
  <c r="L1108" i="5"/>
  <c r="M1108" i="5"/>
  <c r="N1108" i="5"/>
  <c r="P1108" i="5"/>
  <c r="Q1108" i="5"/>
  <c r="R1108" i="5"/>
  <c r="S1108" i="5"/>
  <c r="C1109" i="5"/>
  <c r="I1109" i="9" s="1"/>
  <c r="D1109" i="5"/>
  <c r="E1109" i="5" s="1"/>
  <c r="H1109" i="5"/>
  <c r="L1109" i="5"/>
  <c r="P1109" i="5"/>
  <c r="Q1109" i="5" s="1"/>
  <c r="C1110" i="5"/>
  <c r="I1110" i="7" s="1"/>
  <c r="D1110" i="5"/>
  <c r="H1110" i="5"/>
  <c r="J1110" i="5" s="1"/>
  <c r="K1110" i="5" s="1"/>
  <c r="I1110" i="5"/>
  <c r="L1110" i="5"/>
  <c r="M1110" i="5"/>
  <c r="N1110" i="5"/>
  <c r="O1110" i="5"/>
  <c r="P1110" i="5"/>
  <c r="Q1110" i="5"/>
  <c r="R1110" i="5"/>
  <c r="S1110" i="5" s="1"/>
  <c r="C1111" i="5"/>
  <c r="D1111" i="5"/>
  <c r="E1111" i="5"/>
  <c r="H1111" i="5"/>
  <c r="I1111" i="5"/>
  <c r="J1111" i="5"/>
  <c r="K1111" i="5"/>
  <c r="L1111" i="5"/>
  <c r="M1111" i="5"/>
  <c r="N1111" i="5"/>
  <c r="O1111" i="5" s="1"/>
  <c r="P1111" i="5"/>
  <c r="R1111" i="5" s="1"/>
  <c r="C1112" i="5"/>
  <c r="D1112" i="5"/>
  <c r="E1112" i="5"/>
  <c r="H1112" i="5"/>
  <c r="I1112" i="5" s="1"/>
  <c r="L1112" i="5"/>
  <c r="N1112" i="5" s="1"/>
  <c r="O1112" i="5" s="1"/>
  <c r="M1112" i="5"/>
  <c r="P1112" i="5"/>
  <c r="S1112" i="5" s="1"/>
  <c r="Q1112" i="5"/>
  <c r="R1112" i="5"/>
  <c r="C1113" i="5"/>
  <c r="D1113" i="5"/>
  <c r="E1113" i="5" s="1"/>
  <c r="H1113" i="5"/>
  <c r="L1113" i="5"/>
  <c r="P1113" i="5"/>
  <c r="C1114" i="5"/>
  <c r="D1114" i="5"/>
  <c r="E1114" i="5"/>
  <c r="H1114" i="5"/>
  <c r="L1114" i="5"/>
  <c r="N1114" i="5" s="1"/>
  <c r="M1114" i="5"/>
  <c r="O1114" i="5"/>
  <c r="P1114" i="5"/>
  <c r="Q1114" i="5"/>
  <c r="R1114" i="5"/>
  <c r="S1114" i="5"/>
  <c r="C1115" i="5"/>
  <c r="I1115" i="9" s="1"/>
  <c r="D1115" i="5"/>
  <c r="E1115" i="5"/>
  <c r="H1115" i="5"/>
  <c r="I1115" i="5"/>
  <c r="J1115" i="5"/>
  <c r="K1115" i="5" s="1"/>
  <c r="L1115" i="5"/>
  <c r="M1115" i="5"/>
  <c r="N1115" i="5"/>
  <c r="O1115" i="5"/>
  <c r="P1115" i="5"/>
  <c r="Q1115" i="5"/>
  <c r="R1115" i="5"/>
  <c r="S1115" i="5" s="1"/>
  <c r="C1116" i="5"/>
  <c r="D1116" i="5"/>
  <c r="E1116" i="5"/>
  <c r="H1116" i="5"/>
  <c r="I1116" i="5"/>
  <c r="J1116" i="5"/>
  <c r="L1116" i="5"/>
  <c r="M1116" i="5" s="1"/>
  <c r="P1116" i="5"/>
  <c r="R1116" i="5" s="1"/>
  <c r="S1116" i="5" s="1"/>
  <c r="Q1116" i="5"/>
  <c r="C1117" i="5"/>
  <c r="D1117" i="5"/>
  <c r="E1117" i="5"/>
  <c r="H1117" i="5"/>
  <c r="I1117" i="5" s="1"/>
  <c r="J1117" i="5"/>
  <c r="L1117" i="5"/>
  <c r="P1117" i="5"/>
  <c r="C1118" i="5"/>
  <c r="I1118" i="9" s="1"/>
  <c r="D1118" i="5"/>
  <c r="E1118" i="5"/>
  <c r="H1118" i="5"/>
  <c r="I1118" i="5"/>
  <c r="J1118" i="5"/>
  <c r="K1118" i="5"/>
  <c r="L1118" i="5"/>
  <c r="P1118" i="5"/>
  <c r="R1118" i="5" s="1"/>
  <c r="S1118" i="5" s="1"/>
  <c r="Q1118" i="5"/>
  <c r="C1119" i="5"/>
  <c r="D1119" i="5"/>
  <c r="E1119" i="5" s="1"/>
  <c r="H1119" i="5"/>
  <c r="K1119" i="5" s="1"/>
  <c r="I1119" i="5"/>
  <c r="J1119" i="5"/>
  <c r="L1119" i="5"/>
  <c r="M1119" i="5"/>
  <c r="N1119" i="5"/>
  <c r="O1119" i="5" s="1"/>
  <c r="P1119" i="5"/>
  <c r="Q1119" i="5"/>
  <c r="R1119" i="5"/>
  <c r="S1119" i="5"/>
  <c r="C1120" i="5"/>
  <c r="D1120" i="5"/>
  <c r="E1120" i="5"/>
  <c r="H1120" i="5"/>
  <c r="J1120" i="5" s="1"/>
  <c r="K1120" i="5" s="1"/>
  <c r="I1120" i="5"/>
  <c r="L1120" i="5"/>
  <c r="M1120" i="5"/>
  <c r="N1120" i="5"/>
  <c r="O1120" i="5"/>
  <c r="P1120" i="5"/>
  <c r="Q1120" i="5"/>
  <c r="C1121" i="5"/>
  <c r="I1121" i="9" s="1"/>
  <c r="D1121" i="5"/>
  <c r="E1121" i="5" s="1"/>
  <c r="H1121" i="5"/>
  <c r="I1121" i="5" s="1"/>
  <c r="L1121" i="5"/>
  <c r="M1121" i="5" s="1"/>
  <c r="N1121" i="5"/>
  <c r="P1121" i="5"/>
  <c r="C1122" i="5"/>
  <c r="D1122" i="5"/>
  <c r="E1122" i="5"/>
  <c r="H1122" i="5"/>
  <c r="I1122" i="5"/>
  <c r="J1122" i="5"/>
  <c r="L1122" i="5"/>
  <c r="M1122" i="5"/>
  <c r="N1122" i="5"/>
  <c r="P1122" i="5"/>
  <c r="C1123" i="5"/>
  <c r="D1123" i="5"/>
  <c r="H1123" i="5"/>
  <c r="I1123" i="5" s="1"/>
  <c r="J1123" i="5"/>
  <c r="L1123" i="5"/>
  <c r="O1123" i="5" s="1"/>
  <c r="M1123" i="5"/>
  <c r="N1123" i="5"/>
  <c r="P1123" i="5"/>
  <c r="Q1123" i="5"/>
  <c r="R1123" i="5"/>
  <c r="S1123" i="5" s="1"/>
  <c r="C1124" i="5"/>
  <c r="D1124" i="5"/>
  <c r="E1124" i="5"/>
  <c r="H1124" i="5"/>
  <c r="I1124" i="5"/>
  <c r="J1124" i="5"/>
  <c r="K1124" i="5"/>
  <c r="L1124" i="5"/>
  <c r="N1124" i="5" s="1"/>
  <c r="O1124" i="5" s="1"/>
  <c r="M1124" i="5"/>
  <c r="P1124" i="5"/>
  <c r="Q1124" i="5"/>
  <c r="R1124" i="5"/>
  <c r="S1124" i="5"/>
  <c r="C1125" i="5"/>
  <c r="D1125" i="5"/>
  <c r="H1125" i="5"/>
  <c r="L1125" i="5"/>
  <c r="M1125" i="5"/>
  <c r="P1125" i="5"/>
  <c r="Q1125" i="5" s="1"/>
  <c r="R1125" i="5"/>
  <c r="C1126" i="5"/>
  <c r="D1126" i="5"/>
  <c r="E1126" i="5"/>
  <c r="H1126" i="5"/>
  <c r="I1126" i="5"/>
  <c r="J1126" i="5"/>
  <c r="K1126" i="5" s="1"/>
  <c r="L1126" i="5"/>
  <c r="M1126" i="5"/>
  <c r="N1126" i="5"/>
  <c r="P1126" i="5"/>
  <c r="Q1126" i="5"/>
  <c r="R1126" i="5"/>
  <c r="S1126" i="5"/>
  <c r="C1127" i="5"/>
  <c r="D1127" i="5"/>
  <c r="E1127" i="5"/>
  <c r="H1127" i="5"/>
  <c r="J1127" i="5"/>
  <c r="L1127" i="5"/>
  <c r="M1127" i="5" s="1"/>
  <c r="N1127" i="5"/>
  <c r="P1127" i="5"/>
  <c r="Q1127" i="5"/>
  <c r="R1127" i="5"/>
  <c r="C1128" i="5"/>
  <c r="I1128" i="8" s="1"/>
  <c r="D1128" i="5"/>
  <c r="E1128" i="5"/>
  <c r="H1128" i="5"/>
  <c r="K1128" i="5" s="1"/>
  <c r="I1128" i="5"/>
  <c r="J1128" i="5"/>
  <c r="L1128" i="5"/>
  <c r="M1128" i="5"/>
  <c r="N1128" i="5"/>
  <c r="O1128" i="5"/>
  <c r="P1128" i="5"/>
  <c r="R1128" i="5" s="1"/>
  <c r="S1128" i="5" s="1"/>
  <c r="Q1128" i="5"/>
  <c r="C1129" i="5"/>
  <c r="D1129" i="5"/>
  <c r="H1129" i="5"/>
  <c r="L1129" i="5"/>
  <c r="P1129" i="5"/>
  <c r="Q1129" i="5" s="1"/>
  <c r="C1130" i="5"/>
  <c r="D1130" i="5"/>
  <c r="E1130" i="5"/>
  <c r="H1130" i="5"/>
  <c r="I1130" i="5"/>
  <c r="J1130" i="5"/>
  <c r="K1130" i="5"/>
  <c r="L1130" i="5"/>
  <c r="M1130" i="5"/>
  <c r="N1130" i="5"/>
  <c r="O1130" i="5" s="1"/>
  <c r="P1130" i="5"/>
  <c r="Q1130" i="5"/>
  <c r="R1130" i="5"/>
  <c r="S1130" i="5"/>
  <c r="C1131" i="5"/>
  <c r="D1131" i="5"/>
  <c r="E1131" i="5"/>
  <c r="H1131" i="5"/>
  <c r="I1131" i="5"/>
  <c r="J1131" i="5"/>
  <c r="K1131" i="5" s="1"/>
  <c r="L1131" i="5"/>
  <c r="N1131" i="5" s="1"/>
  <c r="P1131" i="5"/>
  <c r="Q1131" i="5" s="1"/>
  <c r="R1131" i="5"/>
  <c r="C1132" i="5"/>
  <c r="D1132" i="5"/>
  <c r="E1132" i="5" s="1"/>
  <c r="H1132" i="5"/>
  <c r="J1132" i="5" s="1"/>
  <c r="K1132" i="5" s="1"/>
  <c r="I1132" i="5"/>
  <c r="L1132" i="5"/>
  <c r="M1132" i="5" s="1"/>
  <c r="P1132" i="5"/>
  <c r="Q1132" i="5"/>
  <c r="R1132" i="5"/>
  <c r="S1132" i="5"/>
  <c r="C1133" i="5"/>
  <c r="D1133" i="5"/>
  <c r="H1133" i="5"/>
  <c r="L1133" i="5"/>
  <c r="P1133" i="5"/>
  <c r="C1134" i="5"/>
  <c r="D1134" i="5"/>
  <c r="H1134" i="5"/>
  <c r="J1134" i="5" s="1"/>
  <c r="K1134" i="5" s="1"/>
  <c r="I1134" i="5"/>
  <c r="L1134" i="5"/>
  <c r="M1134" i="5"/>
  <c r="N1134" i="5"/>
  <c r="P1134" i="5"/>
  <c r="Q1134" i="5"/>
  <c r="R1134" i="5"/>
  <c r="S1134" i="5" s="1"/>
  <c r="C1135" i="5"/>
  <c r="I1135" i="8" s="1"/>
  <c r="D1135" i="5"/>
  <c r="E1135" i="5"/>
  <c r="H1135" i="5"/>
  <c r="I1135" i="5"/>
  <c r="J1135" i="5"/>
  <c r="K1135" i="5"/>
  <c r="L1135" i="5"/>
  <c r="M1135" i="5"/>
  <c r="N1135" i="5"/>
  <c r="O1135" i="5" s="1"/>
  <c r="P1135" i="5"/>
  <c r="R1135" i="5" s="1"/>
  <c r="C1136" i="5"/>
  <c r="D1136" i="5"/>
  <c r="E1136" i="5"/>
  <c r="H1136" i="5"/>
  <c r="I1136" i="5" s="1"/>
  <c r="L1136" i="5"/>
  <c r="N1136" i="5" s="1"/>
  <c r="O1136" i="5" s="1"/>
  <c r="M1136" i="5"/>
  <c r="P1136" i="5"/>
  <c r="Q1136" i="5" s="1"/>
  <c r="C1137" i="5"/>
  <c r="D1137" i="5"/>
  <c r="H1137" i="5"/>
  <c r="L1137" i="5"/>
  <c r="P1137" i="5"/>
  <c r="C1138" i="5"/>
  <c r="D1138" i="5"/>
  <c r="E1138" i="5"/>
  <c r="H1138" i="5"/>
  <c r="L1138" i="5"/>
  <c r="N1138" i="5" s="1"/>
  <c r="O1138" i="5" s="1"/>
  <c r="M1138" i="5"/>
  <c r="P1138" i="5"/>
  <c r="Q1138" i="5"/>
  <c r="R1138" i="5"/>
  <c r="C1139" i="5"/>
  <c r="D1139" i="5"/>
  <c r="E1139" i="5"/>
  <c r="H1139" i="5"/>
  <c r="I1139" i="5"/>
  <c r="J1139" i="5"/>
  <c r="K1139" i="5" s="1"/>
  <c r="L1139" i="5"/>
  <c r="M1139" i="5"/>
  <c r="N1139" i="5"/>
  <c r="O1139" i="5"/>
  <c r="P1139" i="5"/>
  <c r="Q1139" i="5"/>
  <c r="R1139" i="5"/>
  <c r="S1139" i="5" s="1"/>
  <c r="C1140" i="5"/>
  <c r="D1140" i="5"/>
  <c r="E1140" i="5"/>
  <c r="H1140" i="5"/>
  <c r="I1140" i="5"/>
  <c r="J1140" i="5"/>
  <c r="L1140" i="5"/>
  <c r="M1140" i="5" s="1"/>
  <c r="P1140" i="5"/>
  <c r="R1140" i="5" s="1"/>
  <c r="S1140" i="5" s="1"/>
  <c r="Q1140" i="5"/>
  <c r="C1141" i="5"/>
  <c r="I1141" i="8" s="1"/>
  <c r="D1141" i="5"/>
  <c r="E1141" i="5" s="1"/>
  <c r="H1141" i="5"/>
  <c r="J1141" i="5"/>
  <c r="L1141" i="5"/>
  <c r="P1141" i="5"/>
  <c r="C1142" i="5"/>
  <c r="D1142" i="5"/>
  <c r="E1142" i="5"/>
  <c r="H1142" i="5"/>
  <c r="I1142" i="5"/>
  <c r="J1142" i="5"/>
  <c r="K1142" i="5"/>
  <c r="L1142" i="5"/>
  <c r="P1142" i="5"/>
  <c r="R1142" i="5" s="1"/>
  <c r="Q1142" i="5"/>
  <c r="S1142" i="5"/>
  <c r="C1143" i="5"/>
  <c r="I1143" i="7" s="1"/>
  <c r="D1143" i="5"/>
  <c r="E1143" i="5" s="1"/>
  <c r="H1143" i="5"/>
  <c r="K1143" i="5" s="1"/>
  <c r="I1143" i="5"/>
  <c r="J1143" i="5"/>
  <c r="L1143" i="5"/>
  <c r="M1143" i="5"/>
  <c r="N1143" i="5"/>
  <c r="O1143" i="5" s="1"/>
  <c r="P1143" i="5"/>
  <c r="Q1143" i="5"/>
  <c r="R1143" i="5"/>
  <c r="S1143" i="5" s="1"/>
  <c r="C1144" i="5"/>
  <c r="I1144" i="9" s="1"/>
  <c r="D1144" i="5"/>
  <c r="E1144" i="5"/>
  <c r="H1144" i="5"/>
  <c r="J1144" i="5" s="1"/>
  <c r="K1144" i="5" s="1"/>
  <c r="I1144" i="5"/>
  <c r="L1144" i="5"/>
  <c r="M1144" i="5"/>
  <c r="N1144" i="5"/>
  <c r="O1144" i="5"/>
  <c r="P1144" i="5"/>
  <c r="Q1144" i="5"/>
  <c r="C1145" i="5"/>
  <c r="D1145" i="5"/>
  <c r="H1145" i="5"/>
  <c r="I1145" i="5" s="1"/>
  <c r="L1145" i="5"/>
  <c r="M1145" i="5" s="1"/>
  <c r="P1145" i="5"/>
  <c r="C1146" i="5"/>
  <c r="K1146" i="5" s="1"/>
  <c r="D1146" i="5"/>
  <c r="E1146" i="5"/>
  <c r="H1146" i="5"/>
  <c r="I1146" i="5"/>
  <c r="J1146" i="5"/>
  <c r="L1146" i="5"/>
  <c r="M1146" i="5"/>
  <c r="N1146" i="5"/>
  <c r="O1146" i="5"/>
  <c r="P1146" i="5"/>
  <c r="C1147" i="5"/>
  <c r="D1147" i="5"/>
  <c r="H1147" i="5"/>
  <c r="I1147" i="5" s="1"/>
  <c r="J1147" i="5"/>
  <c r="L1147" i="5"/>
  <c r="M1147" i="5" s="1"/>
  <c r="P1147" i="5"/>
  <c r="Q1147" i="5"/>
  <c r="R1147" i="5"/>
  <c r="C1148" i="5"/>
  <c r="I1148" i="9" s="1"/>
  <c r="D1148" i="5"/>
  <c r="E1148" i="5" s="1"/>
  <c r="H1148" i="5"/>
  <c r="I1148" i="5"/>
  <c r="J1148" i="5"/>
  <c r="K1148" i="5"/>
  <c r="L1148" i="5"/>
  <c r="N1148" i="5" s="1"/>
  <c r="O1148" i="5" s="1"/>
  <c r="M1148" i="5"/>
  <c r="P1148" i="5"/>
  <c r="Q1148" i="5"/>
  <c r="R1148" i="5"/>
  <c r="S1148" i="5"/>
  <c r="C1149" i="5"/>
  <c r="I1149" i="9" s="1"/>
  <c r="D1149" i="5"/>
  <c r="H1149" i="5"/>
  <c r="L1149" i="5"/>
  <c r="M1149" i="5" s="1"/>
  <c r="P1149" i="5"/>
  <c r="Q1149" i="5" s="1"/>
  <c r="C1150" i="5"/>
  <c r="I1150" i="8" s="1"/>
  <c r="D1150" i="5"/>
  <c r="E1150" i="5"/>
  <c r="H1150" i="5"/>
  <c r="I1150" i="5"/>
  <c r="J1150" i="5"/>
  <c r="K1150" i="5" s="1"/>
  <c r="L1150" i="5"/>
  <c r="M1150" i="5"/>
  <c r="N1150" i="5"/>
  <c r="O1150" i="5"/>
  <c r="P1150" i="5"/>
  <c r="Q1150" i="5"/>
  <c r="R1150" i="5"/>
  <c r="S1150" i="5"/>
  <c r="C1151" i="5"/>
  <c r="D1151" i="5"/>
  <c r="E1151" i="5"/>
  <c r="H1151" i="5"/>
  <c r="J1151" i="5" s="1"/>
  <c r="L1151" i="5"/>
  <c r="M1151" i="5" s="1"/>
  <c r="N1151" i="5"/>
  <c r="P1151" i="5"/>
  <c r="R1151" i="5" s="1"/>
  <c r="Q1151" i="5"/>
  <c r="C1152" i="5"/>
  <c r="D1152" i="5"/>
  <c r="E1152" i="5"/>
  <c r="H1152" i="5"/>
  <c r="J1152" i="5" s="1"/>
  <c r="I1152" i="5"/>
  <c r="L1152" i="5"/>
  <c r="M1152" i="5"/>
  <c r="N1152" i="5"/>
  <c r="O1152" i="5" s="1"/>
  <c r="P1152" i="5"/>
  <c r="R1152" i="5" s="1"/>
  <c r="S1152" i="5" s="1"/>
  <c r="Q1152" i="5"/>
  <c r="C1153" i="5"/>
  <c r="I1153" i="9" s="1"/>
  <c r="D1153" i="5"/>
  <c r="E1153" i="5" s="1"/>
  <c r="H1153" i="5"/>
  <c r="L1153" i="5"/>
  <c r="M1153" i="5" s="1"/>
  <c r="P1153" i="5"/>
  <c r="Q1153" i="5"/>
  <c r="C1154" i="5"/>
  <c r="K1154" i="5" s="1"/>
  <c r="D1154" i="5"/>
  <c r="E1154" i="5" s="1"/>
  <c r="H1154" i="5"/>
  <c r="I1154" i="5"/>
  <c r="J1154" i="5"/>
  <c r="L1154" i="5"/>
  <c r="M1154" i="5"/>
  <c r="N1154" i="5"/>
  <c r="O1154" i="5" s="1"/>
  <c r="P1154" i="5"/>
  <c r="Q1154" i="5"/>
  <c r="R1154" i="5"/>
  <c r="C1155" i="5"/>
  <c r="I1155" i="7" s="1"/>
  <c r="D1155" i="5"/>
  <c r="E1155" i="5"/>
  <c r="H1155" i="5"/>
  <c r="I1155" i="5"/>
  <c r="J1155" i="5"/>
  <c r="K1155" i="5" s="1"/>
  <c r="L1155" i="5"/>
  <c r="N1155" i="5" s="1"/>
  <c r="P1155" i="5"/>
  <c r="Q1155" i="5" s="1"/>
  <c r="R1155" i="5"/>
  <c r="C1156" i="5"/>
  <c r="D1156" i="5"/>
  <c r="E1156" i="5" s="1"/>
  <c r="H1156" i="5"/>
  <c r="J1156" i="5" s="1"/>
  <c r="I1156" i="5"/>
  <c r="K1156" i="5"/>
  <c r="L1156" i="5"/>
  <c r="M1156" i="5"/>
  <c r="N1156" i="5"/>
  <c r="P1156" i="5"/>
  <c r="Q1156" i="5"/>
  <c r="R1156" i="5"/>
  <c r="S1156" i="5" s="1"/>
  <c r="C1157" i="5"/>
  <c r="I1157" i="7" s="1"/>
  <c r="D1157" i="5"/>
  <c r="H1157" i="5"/>
  <c r="I1157" i="5" s="1"/>
  <c r="J1157" i="5"/>
  <c r="K1157" i="5"/>
  <c r="L1157" i="5"/>
  <c r="P1157" i="5"/>
  <c r="Q1157" i="5" s="1"/>
  <c r="R1157" i="5"/>
  <c r="C1158" i="5"/>
  <c r="D1158" i="5"/>
  <c r="H1158" i="5"/>
  <c r="J1158" i="5" s="1"/>
  <c r="I1158" i="5"/>
  <c r="K1158" i="5"/>
  <c r="L1158" i="5"/>
  <c r="M1158" i="5"/>
  <c r="N1158" i="5"/>
  <c r="P1158" i="5"/>
  <c r="Q1158" i="5"/>
  <c r="R1158" i="5"/>
  <c r="S1158" i="5"/>
  <c r="C1159" i="5"/>
  <c r="D1159" i="5"/>
  <c r="E1159" i="5"/>
  <c r="H1159" i="5"/>
  <c r="I1159" i="5" s="1"/>
  <c r="L1159" i="5"/>
  <c r="M1159" i="5"/>
  <c r="N1159" i="5"/>
  <c r="O1159" i="5"/>
  <c r="P1159" i="5"/>
  <c r="R1159" i="5"/>
  <c r="C1160" i="5"/>
  <c r="O1160" i="5" s="1"/>
  <c r="D1160" i="5"/>
  <c r="E1160" i="5"/>
  <c r="H1160" i="5"/>
  <c r="I1160" i="5" s="1"/>
  <c r="L1160" i="5"/>
  <c r="N1160" i="5" s="1"/>
  <c r="M1160" i="5"/>
  <c r="P1160" i="5"/>
  <c r="Q1160" i="5" s="1"/>
  <c r="C1161" i="5"/>
  <c r="D1161" i="5"/>
  <c r="E1161" i="5"/>
  <c r="H1161" i="5"/>
  <c r="J1161" i="5" s="1"/>
  <c r="L1161" i="5"/>
  <c r="M1161" i="5" s="1"/>
  <c r="P1161" i="5"/>
  <c r="C1162" i="5"/>
  <c r="O1162" i="5" s="1"/>
  <c r="D1162" i="5"/>
  <c r="E1162" i="5"/>
  <c r="H1162" i="5"/>
  <c r="L1162" i="5"/>
  <c r="N1162" i="5" s="1"/>
  <c r="M1162" i="5"/>
  <c r="P1162" i="5"/>
  <c r="Q1162" i="5"/>
  <c r="R1162" i="5"/>
  <c r="C1163" i="5"/>
  <c r="I1163" i="9" s="1"/>
  <c r="D1163" i="5"/>
  <c r="E1163" i="5" s="1"/>
  <c r="H1163" i="5"/>
  <c r="I1163" i="5"/>
  <c r="J1163" i="5"/>
  <c r="K1163" i="5"/>
  <c r="L1163" i="5"/>
  <c r="M1163" i="5" s="1"/>
  <c r="P1163" i="5"/>
  <c r="Q1163" i="5"/>
  <c r="R1163" i="5"/>
  <c r="S1163" i="5" s="1"/>
  <c r="C1164" i="5"/>
  <c r="D1164" i="5"/>
  <c r="E1164" i="5"/>
  <c r="H1164" i="5"/>
  <c r="I1164" i="5"/>
  <c r="J1164" i="5"/>
  <c r="K1164" i="5"/>
  <c r="L1164" i="5"/>
  <c r="M1164" i="5"/>
  <c r="P1164" i="5"/>
  <c r="R1164" i="5" s="1"/>
  <c r="S1164" i="5" s="1"/>
  <c r="Q1164" i="5"/>
  <c r="C1165" i="5"/>
  <c r="D1165" i="5"/>
  <c r="E1165" i="5"/>
  <c r="H1165" i="5"/>
  <c r="I1165" i="5"/>
  <c r="J1165" i="5"/>
  <c r="L1165" i="5"/>
  <c r="P1165" i="5"/>
  <c r="Q1165" i="5" s="1"/>
  <c r="C1166" i="5"/>
  <c r="D1166" i="5"/>
  <c r="E1166" i="5"/>
  <c r="H1166" i="5"/>
  <c r="I1166" i="5" s="1"/>
  <c r="J1166" i="5"/>
  <c r="K1166" i="5"/>
  <c r="L1166" i="5"/>
  <c r="P1166" i="5"/>
  <c r="R1166" i="5" s="1"/>
  <c r="Q1166" i="5"/>
  <c r="C1167" i="5"/>
  <c r="D1167" i="5"/>
  <c r="H1167" i="5"/>
  <c r="I1167" i="5"/>
  <c r="J1167" i="5"/>
  <c r="L1167" i="5"/>
  <c r="O1167" i="5" s="1"/>
  <c r="M1167" i="5"/>
  <c r="N1167" i="5"/>
  <c r="P1167" i="5"/>
  <c r="Q1167" i="5"/>
  <c r="R1167" i="5"/>
  <c r="S1167" i="5"/>
  <c r="C1168" i="5"/>
  <c r="D1168" i="5"/>
  <c r="E1168" i="5"/>
  <c r="H1168" i="5"/>
  <c r="J1168" i="5" s="1"/>
  <c r="K1168" i="5" s="1"/>
  <c r="I1168" i="5"/>
  <c r="L1168" i="5"/>
  <c r="M1168" i="5"/>
  <c r="N1168" i="5"/>
  <c r="O1168" i="5"/>
  <c r="P1168" i="5"/>
  <c r="R1168" i="5" s="1"/>
  <c r="Q1168" i="5"/>
  <c r="S1168" i="5"/>
  <c r="C1169" i="5"/>
  <c r="I1169" i="9" s="1"/>
  <c r="D1169" i="5"/>
  <c r="E1169" i="5"/>
  <c r="H1169" i="5"/>
  <c r="I1169" i="5"/>
  <c r="L1169" i="5"/>
  <c r="N1169" i="5" s="1"/>
  <c r="M1169" i="5"/>
  <c r="P1169" i="5"/>
  <c r="R1169" i="5" s="1"/>
  <c r="C1170" i="5"/>
  <c r="D1170" i="5"/>
  <c r="E1170" i="5"/>
  <c r="H1170" i="5"/>
  <c r="I1170" i="5"/>
  <c r="J1170" i="5"/>
  <c r="K1170" i="5"/>
  <c r="L1170" i="5"/>
  <c r="M1170" i="5"/>
  <c r="N1170" i="5"/>
  <c r="O1170" i="5"/>
  <c r="P1170" i="5"/>
  <c r="C1171" i="5"/>
  <c r="D1171" i="5"/>
  <c r="H1171" i="5"/>
  <c r="J1171" i="5" s="1"/>
  <c r="L1171" i="5"/>
  <c r="M1171" i="5" s="1"/>
  <c r="P1171" i="5"/>
  <c r="Q1171" i="5"/>
  <c r="R1171" i="5"/>
  <c r="S1171" i="5" s="1"/>
  <c r="C1172" i="5"/>
  <c r="K1172" i="5" s="1"/>
  <c r="D1172" i="5"/>
  <c r="E1172" i="5"/>
  <c r="H1172" i="5"/>
  <c r="I1172" i="5"/>
  <c r="J1172" i="5"/>
  <c r="L1172" i="5"/>
  <c r="N1172" i="5" s="1"/>
  <c r="O1172" i="5" s="1"/>
  <c r="M1172" i="5"/>
  <c r="P1172" i="5"/>
  <c r="Q1172" i="5"/>
  <c r="R1172" i="5"/>
  <c r="C1173" i="5"/>
  <c r="D1173" i="5"/>
  <c r="E1173" i="5" s="1"/>
  <c r="H1173" i="5"/>
  <c r="I1173" i="5" s="1"/>
  <c r="J1173" i="5"/>
  <c r="K1173" i="5"/>
  <c r="L1173" i="5"/>
  <c r="M1173" i="5"/>
  <c r="P1173" i="5"/>
  <c r="R1173" i="5" s="1"/>
  <c r="Q1173" i="5"/>
  <c r="C1174" i="5"/>
  <c r="D1174" i="5"/>
  <c r="E1174" i="5"/>
  <c r="H1174" i="5"/>
  <c r="I1174" i="5"/>
  <c r="J1174" i="5"/>
  <c r="K1174" i="5" s="1"/>
  <c r="L1174" i="5"/>
  <c r="M1174" i="5"/>
  <c r="N1174" i="5"/>
  <c r="O1174" i="5" s="1"/>
  <c r="P1174" i="5"/>
  <c r="Q1174" i="5" s="1"/>
  <c r="C1175" i="5"/>
  <c r="I1175" i="9" s="1"/>
  <c r="D1175" i="5"/>
  <c r="E1175" i="5"/>
  <c r="H1175" i="5"/>
  <c r="I1175" i="5" s="1"/>
  <c r="L1175" i="5"/>
  <c r="M1175" i="5" s="1"/>
  <c r="P1175" i="5"/>
  <c r="Q1175" i="5"/>
  <c r="C1176" i="5"/>
  <c r="D1176" i="5"/>
  <c r="E1176" i="5" s="1"/>
  <c r="H1176" i="5"/>
  <c r="J1176" i="5" s="1"/>
  <c r="I1176" i="5"/>
  <c r="L1176" i="5"/>
  <c r="M1176" i="5"/>
  <c r="N1176" i="5"/>
  <c r="O1176" i="5"/>
  <c r="P1176" i="5"/>
  <c r="R1176" i="5" s="1"/>
  <c r="C1177" i="5"/>
  <c r="D1177" i="5"/>
  <c r="E1177" i="5"/>
  <c r="H1177" i="5"/>
  <c r="I1177" i="5" s="1"/>
  <c r="J1177" i="5"/>
  <c r="K1177" i="5"/>
  <c r="L1177" i="5"/>
  <c r="N1177" i="5" s="1"/>
  <c r="M1177" i="5"/>
  <c r="P1177" i="5"/>
  <c r="Q1177" i="5"/>
  <c r="C1178" i="5"/>
  <c r="D1178" i="5"/>
  <c r="E1178" i="5" s="1"/>
  <c r="H1178" i="5"/>
  <c r="I1178" i="5"/>
  <c r="J1178" i="5"/>
  <c r="K1178" i="5"/>
  <c r="L1178" i="5"/>
  <c r="N1178" i="5" s="1"/>
  <c r="M1178" i="5"/>
  <c r="P1178" i="5"/>
  <c r="Q1178" i="5"/>
  <c r="R1178" i="5"/>
  <c r="S1178" i="5"/>
  <c r="C1179" i="5"/>
  <c r="D1179" i="5"/>
  <c r="E1179" i="5" s="1"/>
  <c r="H1179" i="5"/>
  <c r="I1179" i="5"/>
  <c r="J1179" i="5"/>
  <c r="L1179" i="5"/>
  <c r="M1179" i="5" s="1"/>
  <c r="P1179" i="5"/>
  <c r="Q1179" i="5" s="1"/>
  <c r="R1179" i="5"/>
  <c r="S1179" i="5" s="1"/>
  <c r="C1180" i="5"/>
  <c r="S1180" i="5" s="1"/>
  <c r="D1180" i="5"/>
  <c r="E1180" i="5" s="1"/>
  <c r="H1180" i="5"/>
  <c r="J1180" i="5" s="1"/>
  <c r="K1180" i="5" s="1"/>
  <c r="I1180" i="5"/>
  <c r="L1180" i="5"/>
  <c r="M1180" i="5"/>
  <c r="P1180" i="5"/>
  <c r="Q1180" i="5"/>
  <c r="R1180" i="5"/>
  <c r="C1181" i="5"/>
  <c r="I1181" i="9" s="1"/>
  <c r="D1181" i="5"/>
  <c r="H1181" i="5"/>
  <c r="I1181" i="5" s="1"/>
  <c r="L1181" i="5"/>
  <c r="M1181" i="5" s="1"/>
  <c r="P1181" i="5"/>
  <c r="Q1181" i="5" s="1"/>
  <c r="C1182" i="5"/>
  <c r="D1182" i="5"/>
  <c r="H1182" i="5"/>
  <c r="J1182" i="5" s="1"/>
  <c r="I1182" i="5"/>
  <c r="L1182" i="5"/>
  <c r="M1182" i="5"/>
  <c r="N1182" i="5"/>
  <c r="P1182" i="5"/>
  <c r="Q1182" i="5" s="1"/>
  <c r="C1183" i="5"/>
  <c r="D1183" i="5"/>
  <c r="E1183" i="5"/>
  <c r="H1183" i="5"/>
  <c r="I1183" i="5" s="1"/>
  <c r="L1183" i="5"/>
  <c r="M1183" i="5"/>
  <c r="N1183" i="5"/>
  <c r="O1183" i="5"/>
  <c r="P1183" i="5"/>
  <c r="C1184" i="5"/>
  <c r="D1184" i="5"/>
  <c r="E1184" i="5"/>
  <c r="H1184" i="5"/>
  <c r="J1184" i="5" s="1"/>
  <c r="L1184" i="5"/>
  <c r="M1184" i="5"/>
  <c r="N1184" i="5"/>
  <c r="O1184" i="5" s="1"/>
  <c r="P1184" i="5"/>
  <c r="R1184" i="5" s="1"/>
  <c r="Q1184" i="5"/>
  <c r="C1185" i="5"/>
  <c r="I1185" i="9" s="1"/>
  <c r="D1185" i="5"/>
  <c r="E1185" i="5"/>
  <c r="H1185" i="5"/>
  <c r="J1185" i="5"/>
  <c r="L1185" i="5"/>
  <c r="M1185" i="5" s="1"/>
  <c r="P1185" i="5"/>
  <c r="Q1185" i="5" s="1"/>
  <c r="R1185" i="5"/>
  <c r="S1185" i="5"/>
  <c r="C1186" i="5"/>
  <c r="I1186" i="8" s="1"/>
  <c r="D1186" i="5"/>
  <c r="E1186" i="5" s="1"/>
  <c r="H1186" i="5"/>
  <c r="I1186" i="5" s="1"/>
  <c r="L1186" i="5"/>
  <c r="M1186" i="5" s="1"/>
  <c r="P1186" i="5"/>
  <c r="Q1186" i="5"/>
  <c r="R1186" i="5"/>
  <c r="S1186" i="5"/>
  <c r="C1187" i="5"/>
  <c r="D1187" i="5"/>
  <c r="E1187" i="5" s="1"/>
  <c r="H1187" i="5"/>
  <c r="I1187" i="5"/>
  <c r="J1187" i="5"/>
  <c r="L1187" i="5"/>
  <c r="M1187" i="5" s="1"/>
  <c r="P1187" i="5"/>
  <c r="Q1187" i="5"/>
  <c r="R1187" i="5"/>
  <c r="C1188" i="5"/>
  <c r="D1188" i="5"/>
  <c r="E1188" i="5" s="1"/>
  <c r="H1188" i="5"/>
  <c r="I1188" i="5" s="1"/>
  <c r="L1188" i="5"/>
  <c r="P1188" i="5"/>
  <c r="Q1188" i="5" s="1"/>
  <c r="R1188" i="5"/>
  <c r="C1189" i="5"/>
  <c r="D1189" i="5"/>
  <c r="E1189" i="5" s="1"/>
  <c r="H1189" i="5"/>
  <c r="I1189" i="5"/>
  <c r="J1189" i="5"/>
  <c r="K1189" i="5" s="1"/>
  <c r="L1189" i="5"/>
  <c r="M1189" i="5" s="1"/>
  <c r="N1189" i="5"/>
  <c r="P1189" i="5"/>
  <c r="S1189" i="5" s="1"/>
  <c r="Q1189" i="5"/>
  <c r="R1189" i="5"/>
  <c r="C1190" i="5"/>
  <c r="D1190" i="5"/>
  <c r="E1190" i="5"/>
  <c r="H1190" i="5"/>
  <c r="I1190" i="5" s="1"/>
  <c r="L1190" i="5"/>
  <c r="M1190" i="5" s="1"/>
  <c r="N1190" i="5"/>
  <c r="P1190" i="5"/>
  <c r="Q1190" i="5" s="1"/>
  <c r="R1190" i="5"/>
  <c r="S1190" i="5"/>
  <c r="C1191" i="5"/>
  <c r="D1191" i="5"/>
  <c r="E1191" i="5" s="1"/>
  <c r="H1191" i="5"/>
  <c r="J1191" i="5" s="1"/>
  <c r="I1191" i="5"/>
  <c r="L1191" i="5"/>
  <c r="O1191" i="5" s="1"/>
  <c r="M1191" i="5"/>
  <c r="N1191" i="5"/>
  <c r="P1191" i="5"/>
  <c r="Q1191" i="5" s="1"/>
  <c r="C1192" i="5"/>
  <c r="D1192" i="5"/>
  <c r="E1192" i="5"/>
  <c r="H1192" i="5"/>
  <c r="J1192" i="5" s="1"/>
  <c r="I1192" i="5"/>
  <c r="K1192" i="5"/>
  <c r="L1192" i="5"/>
  <c r="O1192" i="5" s="1"/>
  <c r="M1192" i="5"/>
  <c r="N1192" i="5"/>
  <c r="P1192" i="5"/>
  <c r="R1192" i="5" s="1"/>
  <c r="Q1192" i="5"/>
  <c r="S1192" i="5"/>
  <c r="C1193" i="5"/>
  <c r="I1193" i="8" s="1"/>
  <c r="D1193" i="5"/>
  <c r="E1193" i="5"/>
  <c r="H1193" i="5"/>
  <c r="J1193" i="5" s="1"/>
  <c r="L1193" i="5"/>
  <c r="M1193" i="5"/>
  <c r="N1193" i="5"/>
  <c r="O1193" i="5"/>
  <c r="P1193" i="5"/>
  <c r="Q1193" i="5" s="1"/>
  <c r="C1194" i="5"/>
  <c r="I1194" i="9" s="1"/>
  <c r="D1194" i="5"/>
  <c r="E1194" i="5" s="1"/>
  <c r="H1194" i="5"/>
  <c r="I1194" i="5"/>
  <c r="J1194" i="5"/>
  <c r="K1194" i="5"/>
  <c r="L1194" i="5"/>
  <c r="M1194" i="5"/>
  <c r="N1194" i="5"/>
  <c r="O1194" i="5"/>
  <c r="P1194" i="5"/>
  <c r="Q1194" i="5" s="1"/>
  <c r="C1195" i="5"/>
  <c r="D1195" i="5"/>
  <c r="E1195" i="5"/>
  <c r="H1195" i="5"/>
  <c r="I1195" i="5" s="1"/>
  <c r="L1195" i="5"/>
  <c r="N1195" i="5" s="1"/>
  <c r="M1195" i="5"/>
  <c r="P1195" i="5"/>
  <c r="Q1195" i="5" s="1"/>
  <c r="C1196" i="5"/>
  <c r="D1196" i="5"/>
  <c r="E1196" i="5" s="1"/>
  <c r="H1196" i="5"/>
  <c r="J1196" i="5" s="1"/>
  <c r="I1196" i="5"/>
  <c r="L1196" i="5"/>
  <c r="N1196" i="5" s="1"/>
  <c r="O1196" i="5"/>
  <c r="P1196" i="5"/>
  <c r="S1196" i="5" s="1"/>
  <c r="Q1196" i="5"/>
  <c r="R1196" i="5"/>
  <c r="C1197" i="5"/>
  <c r="D1197" i="5"/>
  <c r="E1197" i="5" s="1"/>
  <c r="H1197" i="5"/>
  <c r="K1197" i="5" s="1"/>
  <c r="I1197" i="5"/>
  <c r="J1197" i="5"/>
  <c r="L1197" i="5"/>
  <c r="N1197" i="5" s="1"/>
  <c r="M1197" i="5"/>
  <c r="O1197" i="5"/>
  <c r="P1197" i="5"/>
  <c r="Q1197" i="5"/>
  <c r="R1197" i="5"/>
  <c r="S1197" i="5"/>
  <c r="C1198" i="5"/>
  <c r="I1198" i="7" s="1"/>
  <c r="D1198" i="5"/>
  <c r="E1198" i="5"/>
  <c r="H1198" i="5"/>
  <c r="K1198" i="5" s="1"/>
  <c r="I1198" i="5"/>
  <c r="J1198" i="5"/>
  <c r="L1198" i="5"/>
  <c r="M1198" i="5"/>
  <c r="N1198" i="5"/>
  <c r="O1198" i="5"/>
  <c r="P1198" i="5"/>
  <c r="R1198" i="5" s="1"/>
  <c r="Q1198" i="5"/>
  <c r="C1199" i="5"/>
  <c r="I1199" i="8" s="1"/>
  <c r="D1199" i="5"/>
  <c r="E1199" i="5"/>
  <c r="H1199" i="5"/>
  <c r="I1199" i="5"/>
  <c r="L1199" i="5"/>
  <c r="M1199" i="5" s="1"/>
  <c r="P1199" i="5"/>
  <c r="S1199" i="5" s="1"/>
  <c r="Q1199" i="5"/>
  <c r="R1199" i="5"/>
  <c r="C1200" i="5"/>
  <c r="I1200" i="9" s="1"/>
  <c r="D1200" i="5"/>
  <c r="E1200" i="5"/>
  <c r="H1200" i="5"/>
  <c r="I1200" i="5" s="1"/>
  <c r="L1200" i="5"/>
  <c r="M1200" i="5" s="1"/>
  <c r="N1200" i="5"/>
  <c r="P1200" i="5"/>
  <c r="R1200" i="5" s="1"/>
  <c r="Q1200" i="5"/>
  <c r="S1200" i="5"/>
  <c r="C1201" i="5"/>
  <c r="I1201" i="8" s="1"/>
  <c r="D1201" i="5"/>
  <c r="E1201" i="5" s="1"/>
  <c r="H1201" i="5"/>
  <c r="K1201" i="5" s="1"/>
  <c r="I1201" i="5"/>
  <c r="J1201" i="5"/>
  <c r="L1201" i="5"/>
  <c r="M1201" i="5"/>
  <c r="N1201" i="5"/>
  <c r="O1201" i="5"/>
  <c r="P1201" i="5"/>
  <c r="R1201" i="5" s="1"/>
  <c r="Q1201" i="5"/>
  <c r="C1202" i="5"/>
  <c r="I1202" i="8" s="1"/>
  <c r="D1202" i="5"/>
  <c r="E1202" i="5" s="1"/>
  <c r="H1202" i="5"/>
  <c r="I1202" i="5"/>
  <c r="J1202" i="5"/>
  <c r="K1202" i="5" s="1"/>
  <c r="L1202" i="5"/>
  <c r="M1202" i="5" s="1"/>
  <c r="P1202" i="5"/>
  <c r="S1202" i="5" s="1"/>
  <c r="Q1202" i="5"/>
  <c r="R1202" i="5"/>
  <c r="C1203" i="5"/>
  <c r="D1203" i="5"/>
  <c r="E1203" i="5"/>
  <c r="H1203" i="5"/>
  <c r="I1203" i="5"/>
  <c r="J1203" i="5"/>
  <c r="K1203" i="5"/>
  <c r="L1203" i="5"/>
  <c r="N1203" i="5" s="1"/>
  <c r="M1203" i="5"/>
  <c r="P1203" i="5"/>
  <c r="Q1203" i="5"/>
  <c r="R1203" i="5"/>
  <c r="C1204" i="5"/>
  <c r="I1204" i="7" s="1"/>
  <c r="D1204" i="5"/>
  <c r="E1204" i="5" s="1"/>
  <c r="H1204" i="5"/>
  <c r="J1204" i="5" s="1"/>
  <c r="I1204" i="5"/>
  <c r="L1204" i="5"/>
  <c r="M1204" i="5"/>
  <c r="N1204" i="5"/>
  <c r="P1204" i="5"/>
  <c r="R1204" i="5" s="1"/>
  <c r="Q1204" i="5"/>
  <c r="C1205" i="5"/>
  <c r="D1205" i="5"/>
  <c r="E1205" i="5" s="1"/>
  <c r="H1205" i="5"/>
  <c r="K1205" i="5" s="1"/>
  <c r="I1205" i="5"/>
  <c r="J1205" i="5"/>
  <c r="L1205" i="5"/>
  <c r="M1205" i="5" s="1"/>
  <c r="P1205" i="5"/>
  <c r="S1205" i="5" s="1"/>
  <c r="Q1205" i="5"/>
  <c r="R1205" i="5"/>
  <c r="C1206" i="5"/>
  <c r="I1206" i="9" s="1"/>
  <c r="D1206" i="5"/>
  <c r="E1206" i="5" s="1"/>
  <c r="H1206" i="5"/>
  <c r="J1206" i="5" s="1"/>
  <c r="I1206" i="5"/>
  <c r="L1206" i="5"/>
  <c r="M1206" i="5" s="1"/>
  <c r="N1206" i="5"/>
  <c r="P1206" i="5"/>
  <c r="S1206" i="5" s="1"/>
  <c r="Q1206" i="5"/>
  <c r="R1206" i="5"/>
  <c r="C1207" i="5"/>
  <c r="D1207" i="5"/>
  <c r="E1207" i="5" s="1"/>
  <c r="H1207" i="5"/>
  <c r="I1207" i="5" s="1"/>
  <c r="L1207" i="5"/>
  <c r="M1207" i="5"/>
  <c r="N1207" i="5"/>
  <c r="O1207" i="5" s="1"/>
  <c r="P1207" i="5"/>
  <c r="Q1207" i="5" s="1"/>
  <c r="C1208" i="5"/>
  <c r="I1208" i="7" s="1"/>
  <c r="D1208" i="5"/>
  <c r="E1208" i="5" s="1"/>
  <c r="H1208" i="5"/>
  <c r="L1208" i="5"/>
  <c r="M1208" i="5"/>
  <c r="N1208" i="5"/>
  <c r="O1208" i="5"/>
  <c r="P1208" i="5"/>
  <c r="Q1208" i="5" s="1"/>
  <c r="C1209" i="5"/>
  <c r="I1209" i="9" s="1"/>
  <c r="D1209" i="5"/>
  <c r="E1209" i="5"/>
  <c r="H1209" i="5"/>
  <c r="I1209" i="5" s="1"/>
  <c r="L1209" i="5"/>
  <c r="M1209" i="5" s="1"/>
  <c r="P1209" i="5"/>
  <c r="C1210" i="5"/>
  <c r="D1210" i="5"/>
  <c r="E1210" i="5"/>
  <c r="H1210" i="5"/>
  <c r="I1210" i="5" s="1"/>
  <c r="L1210" i="5"/>
  <c r="M1210" i="5"/>
  <c r="N1210" i="5"/>
  <c r="O1210" i="5"/>
  <c r="P1210" i="5"/>
  <c r="Q1210" i="5" s="1"/>
  <c r="C1211" i="5"/>
  <c r="I1211" i="8" s="1"/>
  <c r="D1211" i="5"/>
  <c r="E1211" i="5"/>
  <c r="H1211" i="5"/>
  <c r="J1211" i="5" s="1"/>
  <c r="I1211" i="5"/>
  <c r="L1211" i="5"/>
  <c r="M1211" i="5"/>
  <c r="N1211" i="5"/>
  <c r="O1211" i="5" s="1"/>
  <c r="P1211" i="5"/>
  <c r="Q1211" i="5"/>
  <c r="R1211" i="5"/>
  <c r="C1212" i="5"/>
  <c r="D1212" i="5"/>
  <c r="E1212" i="5"/>
  <c r="H1212" i="5"/>
  <c r="I1212" i="5" s="1"/>
  <c r="J1212" i="5"/>
  <c r="L1212" i="5"/>
  <c r="O1212" i="5" s="1"/>
  <c r="N1212" i="5"/>
  <c r="P1212" i="5"/>
  <c r="Q1212" i="5" s="1"/>
  <c r="C1213" i="5"/>
  <c r="D1213" i="5"/>
  <c r="E1213" i="5" s="1"/>
  <c r="H1213" i="5"/>
  <c r="I1213" i="5"/>
  <c r="J1213" i="5"/>
  <c r="K1213" i="5"/>
  <c r="L1213" i="5"/>
  <c r="M1213" i="5" s="1"/>
  <c r="P1213" i="5"/>
  <c r="Q1213" i="5" s="1"/>
  <c r="R1213" i="5"/>
  <c r="C1214" i="5"/>
  <c r="D1214" i="5"/>
  <c r="E1214" i="5"/>
  <c r="H1214" i="5"/>
  <c r="I1214" i="5" s="1"/>
  <c r="L1214" i="5"/>
  <c r="M1214" i="5" s="1"/>
  <c r="P1214" i="5"/>
  <c r="Q1214" i="5"/>
  <c r="R1214" i="5"/>
  <c r="C1215" i="5"/>
  <c r="D1215" i="5"/>
  <c r="E1215" i="5" s="1"/>
  <c r="H1215" i="5"/>
  <c r="J1215" i="5" s="1"/>
  <c r="K1215" i="5" s="1"/>
  <c r="I1215" i="5"/>
  <c r="L1215" i="5"/>
  <c r="N1215" i="5" s="1"/>
  <c r="M1215" i="5"/>
  <c r="P1215" i="5"/>
  <c r="Q1215" i="5" s="1"/>
  <c r="C1216" i="5"/>
  <c r="D1216" i="5"/>
  <c r="E1216" i="5" s="1"/>
  <c r="H1216" i="5"/>
  <c r="I1216" i="5" s="1"/>
  <c r="J1216" i="5"/>
  <c r="K1216" i="5"/>
  <c r="L1216" i="5"/>
  <c r="M1216" i="5" s="1"/>
  <c r="P1216" i="5"/>
  <c r="Q1216" i="5" s="1"/>
  <c r="C1217" i="5"/>
  <c r="D1217" i="5"/>
  <c r="E1217" i="5"/>
  <c r="H1217" i="5"/>
  <c r="J1217" i="5" s="1"/>
  <c r="I1217" i="5"/>
  <c r="L1217" i="5"/>
  <c r="M1217" i="5" s="1"/>
  <c r="P1217" i="5"/>
  <c r="Q1217" i="5" s="1"/>
  <c r="R1217" i="5"/>
  <c r="C1218" i="5"/>
  <c r="D1218" i="5"/>
  <c r="E1218" i="5"/>
  <c r="H1218" i="5"/>
  <c r="I1218" i="5"/>
  <c r="J1218" i="5"/>
  <c r="K1218" i="5"/>
  <c r="L1218" i="5"/>
  <c r="N1218" i="5" s="1"/>
  <c r="M1218" i="5"/>
  <c r="P1218" i="5"/>
  <c r="Q1218" i="5" s="1"/>
  <c r="R1218" i="5"/>
  <c r="S1218" i="5"/>
  <c r="C1219" i="5"/>
  <c r="I1219" i="9" s="1"/>
  <c r="D1219" i="5"/>
  <c r="E1219" i="5" s="1"/>
  <c r="H1219" i="5"/>
  <c r="K1219" i="5" s="1"/>
  <c r="I1219" i="5"/>
  <c r="J1219" i="5"/>
  <c r="L1219" i="5"/>
  <c r="M1219" i="5"/>
  <c r="N1219" i="5"/>
  <c r="P1219" i="5"/>
  <c r="Q1219" i="5"/>
  <c r="R1219" i="5"/>
  <c r="S1219" i="5"/>
  <c r="C1220" i="5"/>
  <c r="I1220" i="9" s="1"/>
  <c r="D1220" i="5"/>
  <c r="E1220" i="5" s="1"/>
  <c r="H1220" i="5"/>
  <c r="I1220" i="5"/>
  <c r="J1220" i="5"/>
  <c r="K1220" i="5" s="1"/>
  <c r="L1220" i="5"/>
  <c r="M1220" i="5" s="1"/>
  <c r="P1220" i="5"/>
  <c r="Q1220" i="5" s="1"/>
  <c r="R1220" i="5"/>
  <c r="C1221" i="5"/>
  <c r="D1221" i="5"/>
  <c r="E1221" i="5" s="1"/>
  <c r="H1221" i="5"/>
  <c r="K1221" i="5" s="1"/>
  <c r="I1221" i="5"/>
  <c r="J1221" i="5"/>
  <c r="L1221" i="5"/>
  <c r="N1221" i="5" s="1"/>
  <c r="P1221" i="5"/>
  <c r="Q1221" i="5"/>
  <c r="R1221" i="5"/>
  <c r="S1221" i="5" s="1"/>
  <c r="C1222" i="5"/>
  <c r="D1222" i="5"/>
  <c r="E1222" i="5"/>
  <c r="H1222" i="5"/>
  <c r="I1222" i="5" s="1"/>
  <c r="L1222" i="5"/>
  <c r="M1222" i="5" s="1"/>
  <c r="N1222" i="5"/>
  <c r="P1222" i="5"/>
  <c r="R1222" i="5"/>
  <c r="C1223" i="5"/>
  <c r="I1223" i="7" s="1"/>
  <c r="D1223" i="5"/>
  <c r="E1223" i="5"/>
  <c r="H1223" i="5"/>
  <c r="I1223" i="5" s="1"/>
  <c r="L1223" i="5"/>
  <c r="M1223" i="5"/>
  <c r="N1223" i="5"/>
  <c r="O1223" i="5"/>
  <c r="P1223" i="5"/>
  <c r="Q1223" i="5" s="1"/>
  <c r="C1224" i="5"/>
  <c r="D1224" i="5"/>
  <c r="E1224" i="5" s="1"/>
  <c r="H1224" i="5"/>
  <c r="L1224" i="5"/>
  <c r="M1224" i="5" s="1"/>
  <c r="N1224" i="5"/>
  <c r="O1224" i="5"/>
  <c r="P1224" i="5"/>
  <c r="Q1224" i="5" s="1"/>
  <c r="C1225" i="5"/>
  <c r="D1225" i="5"/>
  <c r="E1225" i="5" s="1"/>
  <c r="H1225" i="5"/>
  <c r="I1225" i="5" s="1"/>
  <c r="L1225" i="5"/>
  <c r="M1225" i="5" s="1"/>
  <c r="P1225" i="5"/>
  <c r="C1226" i="5"/>
  <c r="I1226" i="8" s="1"/>
  <c r="D1226" i="5"/>
  <c r="E1226" i="5"/>
  <c r="H1226" i="5"/>
  <c r="I1226" i="5" s="1"/>
  <c r="L1226" i="5"/>
  <c r="M1226" i="5" s="1"/>
  <c r="P1226" i="5"/>
  <c r="Q1226" i="5" s="1"/>
  <c r="C1227" i="5"/>
  <c r="D1227" i="5"/>
  <c r="E1227" i="5"/>
  <c r="H1227" i="5"/>
  <c r="I1227" i="5"/>
  <c r="J1227" i="5"/>
  <c r="K1227" i="5" s="1"/>
  <c r="L1227" i="5"/>
  <c r="M1227" i="5" s="1"/>
  <c r="N1227" i="5"/>
  <c r="O1227" i="5" s="1"/>
  <c r="P1227" i="5"/>
  <c r="Q1227" i="5" s="1"/>
  <c r="C1228" i="5"/>
  <c r="D1228" i="5"/>
  <c r="E1228" i="5" s="1"/>
  <c r="H1228" i="5"/>
  <c r="I1228" i="5" s="1"/>
  <c r="J1228" i="5"/>
  <c r="L1228" i="5"/>
  <c r="M1228" i="5"/>
  <c r="N1228" i="5"/>
  <c r="P1228" i="5"/>
  <c r="S1228" i="5" s="1"/>
  <c r="Q1228" i="5"/>
  <c r="R1228" i="5"/>
  <c r="C1229" i="5"/>
  <c r="I1229" i="7" s="1"/>
  <c r="D1229" i="5"/>
  <c r="E1229" i="5"/>
  <c r="H1229" i="5"/>
  <c r="I1229" i="5"/>
  <c r="J1229" i="5"/>
  <c r="K1229" i="5" s="1"/>
  <c r="L1229" i="5"/>
  <c r="M1229" i="5" s="1"/>
  <c r="P1229" i="5"/>
  <c r="Q1229" i="5" s="1"/>
  <c r="R1229" i="5"/>
  <c r="C1230" i="5"/>
  <c r="D1230" i="5"/>
  <c r="E1230" i="5" s="1"/>
  <c r="H1230" i="5"/>
  <c r="J1230" i="5" s="1"/>
  <c r="I1230" i="5"/>
  <c r="L1230" i="5"/>
  <c r="O1230" i="5" s="1"/>
  <c r="M1230" i="5"/>
  <c r="N1230" i="5"/>
  <c r="P1230" i="5"/>
  <c r="Q1230" i="5"/>
  <c r="R1230" i="5"/>
  <c r="S1230" i="5" s="1"/>
  <c r="C1231" i="5"/>
  <c r="I1231" i="9" s="1"/>
  <c r="D1231" i="5"/>
  <c r="E1231" i="5" s="1"/>
  <c r="H1231" i="5"/>
  <c r="J1231" i="5" s="1"/>
  <c r="K1231" i="5" s="1"/>
  <c r="I1231" i="5"/>
  <c r="L1231" i="5"/>
  <c r="M1231" i="5"/>
  <c r="N1231" i="5"/>
  <c r="P1231" i="5"/>
  <c r="Q1231" i="5" s="1"/>
  <c r="C1232" i="5"/>
  <c r="D1232" i="5"/>
  <c r="E1232" i="5" s="1"/>
  <c r="H1232" i="5"/>
  <c r="I1232" i="5" s="1"/>
  <c r="J1232" i="5"/>
  <c r="L1232" i="5"/>
  <c r="M1232" i="5" s="1"/>
  <c r="P1232" i="5"/>
  <c r="Q1232" i="5" s="1"/>
  <c r="C1233" i="5"/>
  <c r="I1233" i="9" s="1"/>
  <c r="D1233" i="5"/>
  <c r="H1233" i="5"/>
  <c r="I1233" i="5"/>
  <c r="J1233" i="5"/>
  <c r="K1233" i="5"/>
  <c r="L1233" i="5"/>
  <c r="M1233" i="5" s="1"/>
  <c r="P1233" i="5"/>
  <c r="Q1233" i="5" s="1"/>
  <c r="R1233" i="5"/>
  <c r="C1234" i="5"/>
  <c r="D1234" i="5"/>
  <c r="E1234" i="5"/>
  <c r="H1234" i="5"/>
  <c r="I1234" i="5" s="1"/>
  <c r="J1234" i="5"/>
  <c r="K1234" i="5"/>
  <c r="L1234" i="5"/>
  <c r="P1234" i="5"/>
  <c r="Q1234" i="5"/>
  <c r="R1234" i="5"/>
  <c r="S1234" i="5"/>
  <c r="C1235" i="5"/>
  <c r="O1235" i="5" s="1"/>
  <c r="D1235" i="5"/>
  <c r="E1235" i="5" s="1"/>
  <c r="H1235" i="5"/>
  <c r="K1235" i="5" s="1"/>
  <c r="I1235" i="5"/>
  <c r="J1235" i="5"/>
  <c r="L1235" i="5"/>
  <c r="M1235" i="5"/>
  <c r="N1235" i="5"/>
  <c r="P1235" i="5"/>
  <c r="Q1235" i="5"/>
  <c r="R1235" i="5"/>
  <c r="S1235" i="5"/>
  <c r="C1236" i="5"/>
  <c r="D1236" i="5"/>
  <c r="E1236" i="5"/>
  <c r="H1236" i="5"/>
  <c r="K1236" i="5" s="1"/>
  <c r="I1236" i="5"/>
  <c r="J1236" i="5"/>
  <c r="L1236" i="5"/>
  <c r="M1236" i="5" s="1"/>
  <c r="N1236" i="5"/>
  <c r="O1236" i="5" s="1"/>
  <c r="P1236" i="5"/>
  <c r="Q1236" i="5" s="1"/>
  <c r="C1237" i="5"/>
  <c r="D1237" i="5"/>
  <c r="E1237" i="5"/>
  <c r="H1237" i="5"/>
  <c r="I1237" i="5" s="1"/>
  <c r="L1237" i="5"/>
  <c r="M1237" i="5" s="1"/>
  <c r="P1237" i="5"/>
  <c r="C1238" i="5"/>
  <c r="D1238" i="5"/>
  <c r="E1238" i="5" s="1"/>
  <c r="H1238" i="5"/>
  <c r="I1238" i="5" s="1"/>
  <c r="L1238" i="5"/>
  <c r="M1238" i="5" s="1"/>
  <c r="P1238" i="5"/>
  <c r="C1239" i="5"/>
  <c r="I1239" i="9" s="1"/>
  <c r="D1239" i="5"/>
  <c r="E1239" i="5"/>
  <c r="H1239" i="5"/>
  <c r="I1239" i="5" s="1"/>
  <c r="L1239" i="5"/>
  <c r="O1239" i="5" s="1"/>
  <c r="M1239" i="5"/>
  <c r="N1239" i="5"/>
  <c r="P1239" i="5"/>
  <c r="Q1239" i="5"/>
  <c r="R1239" i="5"/>
  <c r="S1239" i="5"/>
  <c r="C1240" i="5"/>
  <c r="I1240" i="7" s="1"/>
  <c r="D1240" i="5"/>
  <c r="E1240" i="5"/>
  <c r="H1240" i="5"/>
  <c r="J1240" i="5" s="1"/>
  <c r="I1240" i="5"/>
  <c r="L1240" i="5"/>
  <c r="O1240" i="5" s="1"/>
  <c r="M1240" i="5"/>
  <c r="N1240" i="5"/>
  <c r="P1240" i="5"/>
  <c r="Q1240" i="5" s="1"/>
  <c r="R1240" i="5"/>
  <c r="S1240" i="5" s="1"/>
  <c r="C1241" i="5"/>
  <c r="D1241" i="5"/>
  <c r="E1241" i="5" s="1"/>
  <c r="H1241" i="5"/>
  <c r="J1241" i="5" s="1"/>
  <c r="K1241" i="5" s="1"/>
  <c r="I1241" i="5"/>
  <c r="L1241" i="5"/>
  <c r="M1241" i="5" s="1"/>
  <c r="P1241" i="5"/>
  <c r="Q1241" i="5" s="1"/>
  <c r="C1242" i="5"/>
  <c r="D1242" i="5"/>
  <c r="E1242" i="5" s="1"/>
  <c r="H1242" i="5"/>
  <c r="I1242" i="5" s="1"/>
  <c r="L1242" i="5"/>
  <c r="M1242" i="5" s="1"/>
  <c r="P1242" i="5"/>
  <c r="Q1242" i="5" s="1"/>
  <c r="C1243" i="5"/>
  <c r="D1243" i="5"/>
  <c r="E1243" i="5"/>
  <c r="H1243" i="5"/>
  <c r="I1243" i="5"/>
  <c r="J1243" i="5"/>
  <c r="K1243" i="5" s="1"/>
  <c r="L1243" i="5"/>
  <c r="M1243" i="5" s="1"/>
  <c r="P1243" i="5"/>
  <c r="Q1243" i="5"/>
  <c r="R1243" i="5"/>
  <c r="C1244" i="5"/>
  <c r="D1244" i="5"/>
  <c r="E1244" i="5" s="1"/>
  <c r="H1244" i="5"/>
  <c r="K1244" i="5" s="1"/>
  <c r="I1244" i="5"/>
  <c r="J1244" i="5"/>
  <c r="L1244" i="5"/>
  <c r="N1244" i="5" s="1"/>
  <c r="M1244" i="5"/>
  <c r="P1244" i="5"/>
  <c r="S1244" i="5" s="1"/>
  <c r="Q1244" i="5"/>
  <c r="R1244" i="5"/>
  <c r="C1245" i="5"/>
  <c r="I1245" i="9" s="1"/>
  <c r="D1245" i="5"/>
  <c r="E1245" i="5"/>
  <c r="H1245" i="5"/>
  <c r="L1245" i="5"/>
  <c r="N1245" i="5" s="1"/>
  <c r="O1245" i="5" s="1"/>
  <c r="M1245" i="5"/>
  <c r="P1245" i="5"/>
  <c r="Q1245" i="5" s="1"/>
  <c r="C1246" i="5"/>
  <c r="D1246" i="5"/>
  <c r="E1246" i="5"/>
  <c r="H1246" i="5"/>
  <c r="I1246" i="5" s="1"/>
  <c r="L1246" i="5"/>
  <c r="M1246" i="5" s="1"/>
  <c r="P1246" i="5"/>
  <c r="Q1246" i="5" s="1"/>
  <c r="C1247" i="5"/>
  <c r="D1247" i="5"/>
  <c r="E1247" i="5"/>
  <c r="H1247" i="5"/>
  <c r="K1247" i="5" s="1"/>
  <c r="I1247" i="5"/>
  <c r="J1247" i="5"/>
  <c r="L1247" i="5"/>
  <c r="M1247" i="5"/>
  <c r="N1247" i="5"/>
  <c r="O1247" i="5" s="1"/>
  <c r="P1247" i="5"/>
  <c r="Q1247" i="5" s="1"/>
  <c r="C1248" i="5"/>
  <c r="I1248" i="9" s="1"/>
  <c r="D1248" i="5"/>
  <c r="E1248" i="5"/>
  <c r="H1248" i="5"/>
  <c r="I1248" i="5" s="1"/>
  <c r="J1248" i="5"/>
  <c r="L1248" i="5"/>
  <c r="O1248" i="5" s="1"/>
  <c r="M1248" i="5"/>
  <c r="N1248" i="5"/>
  <c r="P1248" i="5"/>
  <c r="R1248" i="5" s="1"/>
  <c r="Q1248" i="5"/>
  <c r="C1249" i="5"/>
  <c r="D1249" i="5"/>
  <c r="H1249" i="5"/>
  <c r="I1249" i="5"/>
  <c r="J1249" i="5"/>
  <c r="K1249" i="5"/>
  <c r="L1249" i="5"/>
  <c r="P1249" i="5"/>
  <c r="R1249" i="5" s="1"/>
  <c r="S1249" i="5" s="1"/>
  <c r="Q1249" i="5"/>
  <c r="C1250" i="5"/>
  <c r="I1250" i="8" s="1"/>
  <c r="D1250" i="5"/>
  <c r="H1250" i="5"/>
  <c r="I1250" i="5"/>
  <c r="J1250" i="5"/>
  <c r="K1250" i="5"/>
  <c r="L1250" i="5"/>
  <c r="M1250" i="5" s="1"/>
  <c r="P1250" i="5"/>
  <c r="Q1250" i="5" s="1"/>
  <c r="C1251" i="5"/>
  <c r="D1251" i="5"/>
  <c r="E1251" i="5"/>
  <c r="H1251" i="5"/>
  <c r="I1251" i="5"/>
  <c r="J1251" i="5"/>
  <c r="K1251" i="5"/>
  <c r="L1251" i="5"/>
  <c r="O1251" i="5" s="1"/>
  <c r="M1251" i="5"/>
  <c r="N1251" i="5"/>
  <c r="P1251" i="5"/>
  <c r="Q1251" i="5"/>
  <c r="R1251" i="5"/>
  <c r="S1251" i="5"/>
  <c r="C1252" i="5"/>
  <c r="I1252" i="8" s="1"/>
  <c r="D1252" i="5"/>
  <c r="E1252" i="5" s="1"/>
  <c r="H1252" i="5"/>
  <c r="J1252" i="5" s="1"/>
  <c r="I1252" i="5"/>
  <c r="L1252" i="5"/>
  <c r="O1252" i="5" s="1"/>
  <c r="M1252" i="5"/>
  <c r="N1252" i="5"/>
  <c r="P1252" i="5"/>
  <c r="Q1252" i="5"/>
  <c r="R1252" i="5"/>
  <c r="C1253" i="5"/>
  <c r="D1253" i="5"/>
  <c r="H1253" i="5"/>
  <c r="I1253" i="5" s="1"/>
  <c r="L1253" i="5"/>
  <c r="M1253" i="5"/>
  <c r="N1253" i="5"/>
  <c r="O1253" i="5"/>
  <c r="P1253" i="5"/>
  <c r="C1254" i="5"/>
  <c r="D1254" i="5"/>
  <c r="E1254" i="5" s="1"/>
  <c r="H1254" i="5"/>
  <c r="L1254" i="5"/>
  <c r="M1254" i="5"/>
  <c r="N1254" i="5"/>
  <c r="O1254" i="5"/>
  <c r="P1254" i="5"/>
  <c r="C1255" i="5"/>
  <c r="K1255" i="5" s="1"/>
  <c r="D1255" i="5"/>
  <c r="E1255" i="5"/>
  <c r="H1255" i="5"/>
  <c r="I1255" i="5"/>
  <c r="J1255" i="5"/>
  <c r="L1255" i="5"/>
  <c r="M1255" i="5"/>
  <c r="N1255" i="5"/>
  <c r="O1255" i="5" s="1"/>
  <c r="P1255" i="5"/>
  <c r="Q1255" i="5"/>
  <c r="R1255" i="5"/>
  <c r="C1256" i="5"/>
  <c r="D1256" i="5"/>
  <c r="E1256" i="5"/>
  <c r="H1256" i="5"/>
  <c r="I1256" i="5" s="1"/>
  <c r="J1256" i="5"/>
  <c r="K1256" i="5" s="1"/>
  <c r="L1256" i="5"/>
  <c r="N1256" i="5" s="1"/>
  <c r="M1256" i="5"/>
  <c r="P1256" i="5"/>
  <c r="S1256" i="5" s="1"/>
  <c r="Q1256" i="5"/>
  <c r="R1256" i="5"/>
  <c r="C1257" i="5"/>
  <c r="I1257" i="9" s="1"/>
  <c r="D1257" i="5"/>
  <c r="E1257" i="5" s="1"/>
  <c r="H1257" i="5"/>
  <c r="L1257" i="5"/>
  <c r="M1257" i="5" s="1"/>
  <c r="P1257" i="5"/>
  <c r="Q1257" i="5"/>
  <c r="R1257" i="5"/>
  <c r="C1258" i="5"/>
  <c r="D1258" i="5"/>
  <c r="E1258" i="5" s="1"/>
  <c r="H1258" i="5"/>
  <c r="I1258" i="5" s="1"/>
  <c r="L1258" i="5"/>
  <c r="P1258" i="5"/>
  <c r="Q1258" i="5"/>
  <c r="R1258" i="5"/>
  <c r="S1258" i="5"/>
  <c r="C1259" i="5"/>
  <c r="I1259" i="7" s="1"/>
  <c r="D1259" i="5"/>
  <c r="E1259" i="5" s="1"/>
  <c r="G1259" i="5"/>
  <c r="H1259" i="5"/>
  <c r="K1259" i="5" s="1"/>
  <c r="I1259" i="5"/>
  <c r="J1259" i="5"/>
  <c r="L1259" i="5"/>
  <c r="M1259" i="5"/>
  <c r="N1259" i="5"/>
  <c r="O1259" i="5"/>
  <c r="P1259" i="5"/>
  <c r="Q1259" i="5"/>
  <c r="R1259" i="5"/>
  <c r="S1259" i="5"/>
  <c r="C2" i="1"/>
  <c r="D2" i="1"/>
  <c r="E2" i="1"/>
  <c r="H2" i="1"/>
  <c r="K2" i="1"/>
  <c r="R2" i="1"/>
  <c r="C3" i="1"/>
  <c r="D3" i="1"/>
  <c r="E3" i="1"/>
  <c r="N3" i="1" s="1"/>
  <c r="F3" i="1"/>
  <c r="G3" i="1"/>
  <c r="H3" i="1"/>
  <c r="K3" i="1"/>
  <c r="R3" i="1"/>
  <c r="C4" i="1"/>
  <c r="F4" i="5" s="1"/>
  <c r="G4" i="5" s="1"/>
  <c r="D4" i="1"/>
  <c r="E4" i="1"/>
  <c r="F4" i="1" s="1"/>
  <c r="H4" i="1"/>
  <c r="I4" i="1"/>
  <c r="K4" i="1"/>
  <c r="R4" i="1"/>
  <c r="C5" i="1"/>
  <c r="D5" i="1"/>
  <c r="E5" i="1"/>
  <c r="F5" i="1" s="1"/>
  <c r="H5" i="1"/>
  <c r="K5" i="1"/>
  <c r="N5" i="1"/>
  <c r="R5" i="1"/>
  <c r="C6" i="1"/>
  <c r="D6" i="1"/>
  <c r="E6" i="1"/>
  <c r="N6" i="1" s="1"/>
  <c r="F6" i="1"/>
  <c r="H6" i="1"/>
  <c r="I6" i="1"/>
  <c r="K6" i="1"/>
  <c r="R6" i="1"/>
  <c r="C7" i="1"/>
  <c r="E7" i="1"/>
  <c r="N7" i="1" s="1"/>
  <c r="F7" i="1"/>
  <c r="G7" i="1"/>
  <c r="H7" i="1"/>
  <c r="K7" i="1"/>
  <c r="R7" i="1"/>
  <c r="C8" i="1"/>
  <c r="F8" i="5" s="1"/>
  <c r="G8" i="5" s="1"/>
  <c r="D8" i="1"/>
  <c r="E8" i="1"/>
  <c r="G8" i="1" s="1"/>
  <c r="F8" i="1"/>
  <c r="H8" i="1"/>
  <c r="K8" i="1"/>
  <c r="R8" i="1"/>
  <c r="C9" i="1"/>
  <c r="D9" i="1" s="1"/>
  <c r="E9" i="1"/>
  <c r="G9" i="1"/>
  <c r="H9" i="1"/>
  <c r="K9" i="1"/>
  <c r="R9" i="1"/>
  <c r="C10" i="1"/>
  <c r="D10" i="1" s="1"/>
  <c r="E10" i="1"/>
  <c r="H10" i="1"/>
  <c r="K10" i="1"/>
  <c r="R10" i="1"/>
  <c r="C11" i="1"/>
  <c r="E11" i="1"/>
  <c r="G11" i="1"/>
  <c r="H11" i="1"/>
  <c r="K11" i="1"/>
  <c r="R11" i="1"/>
  <c r="C12" i="1"/>
  <c r="F12" i="5" s="1"/>
  <c r="G12" i="5" s="1"/>
  <c r="D12" i="1"/>
  <c r="E12" i="1"/>
  <c r="H12" i="1"/>
  <c r="K12" i="1"/>
  <c r="R12" i="1"/>
  <c r="C13" i="1"/>
  <c r="F13" i="5" s="1"/>
  <c r="G13" i="5" s="1"/>
  <c r="D13" i="1"/>
  <c r="E13" i="1"/>
  <c r="H13" i="1"/>
  <c r="I13" i="1"/>
  <c r="K13" i="1"/>
  <c r="R13" i="1"/>
  <c r="C14" i="1"/>
  <c r="F14" i="5" s="1"/>
  <c r="D14" i="1"/>
  <c r="E14" i="1"/>
  <c r="G14" i="1"/>
  <c r="H14" i="1"/>
  <c r="K14" i="1"/>
  <c r="R14" i="1"/>
  <c r="C15" i="1"/>
  <c r="F15" i="5" s="1"/>
  <c r="G15" i="5" s="1"/>
  <c r="D15" i="1"/>
  <c r="E15" i="1"/>
  <c r="H15" i="1"/>
  <c r="K15" i="1"/>
  <c r="R15" i="1"/>
  <c r="C16" i="1"/>
  <c r="F16" i="5" s="1"/>
  <c r="G16" i="5" s="1"/>
  <c r="D16" i="1"/>
  <c r="E16" i="1"/>
  <c r="G16" i="1" s="1"/>
  <c r="H16" i="1"/>
  <c r="K16" i="1"/>
  <c r="R16" i="1"/>
  <c r="C17" i="1"/>
  <c r="D17" i="1" s="1"/>
  <c r="E17" i="1"/>
  <c r="G17" i="1" s="1"/>
  <c r="H17" i="1"/>
  <c r="K17" i="1"/>
  <c r="R17" i="1"/>
  <c r="C18" i="1"/>
  <c r="F18" i="5" s="1"/>
  <c r="G18" i="5" s="1"/>
  <c r="D18" i="1"/>
  <c r="E18" i="1"/>
  <c r="H18" i="1"/>
  <c r="I18" i="1"/>
  <c r="K18" i="1"/>
  <c r="R18" i="1"/>
  <c r="C19" i="1"/>
  <c r="D19" i="1" s="1"/>
  <c r="E19" i="1"/>
  <c r="G19" i="1"/>
  <c r="H19" i="1"/>
  <c r="I19" i="1"/>
  <c r="K19" i="1"/>
  <c r="R19" i="1"/>
  <c r="C20" i="1"/>
  <c r="F20" i="5" s="1"/>
  <c r="G20" i="5" s="1"/>
  <c r="D20" i="1"/>
  <c r="E20" i="1"/>
  <c r="H20" i="1"/>
  <c r="K20" i="1"/>
  <c r="R20" i="1"/>
  <c r="C21" i="1"/>
  <c r="D21" i="1" s="1"/>
  <c r="E21" i="1"/>
  <c r="H21" i="1"/>
  <c r="K21" i="1"/>
  <c r="R21" i="1"/>
  <c r="C22" i="1"/>
  <c r="D22" i="1"/>
  <c r="E22" i="1"/>
  <c r="G22" i="1"/>
  <c r="H22" i="1"/>
  <c r="K22" i="1"/>
  <c r="R22" i="1"/>
  <c r="C23" i="1"/>
  <c r="F23" i="5" s="1"/>
  <c r="D23" i="1"/>
  <c r="E23" i="1"/>
  <c r="H23" i="1"/>
  <c r="K23" i="1"/>
  <c r="R23" i="1"/>
  <c r="C24" i="1"/>
  <c r="F24" i="5" s="1"/>
  <c r="G24" i="5" s="1"/>
  <c r="D24" i="1"/>
  <c r="E24" i="1"/>
  <c r="G24" i="1" s="1"/>
  <c r="H24" i="1"/>
  <c r="K24" i="1"/>
  <c r="R24" i="1"/>
  <c r="C25" i="1"/>
  <c r="F25" i="5" s="1"/>
  <c r="G25" i="5" s="1"/>
  <c r="E25" i="1"/>
  <c r="G25" i="1" s="1"/>
  <c r="H25" i="1"/>
  <c r="K25" i="1"/>
  <c r="R25" i="1"/>
  <c r="C26" i="1"/>
  <c r="F26" i="5" s="1"/>
  <c r="G26" i="5" s="1"/>
  <c r="E26" i="1"/>
  <c r="F26" i="1" s="1"/>
  <c r="H26" i="1"/>
  <c r="I26" i="1"/>
  <c r="K26" i="1"/>
  <c r="R26" i="1"/>
  <c r="C27" i="1"/>
  <c r="D27" i="1" s="1"/>
  <c r="E27" i="1"/>
  <c r="F27" i="1" s="1"/>
  <c r="H27" i="1"/>
  <c r="I27" i="1"/>
  <c r="K27" i="1"/>
  <c r="R27" i="1"/>
  <c r="C28" i="1"/>
  <c r="D28" i="1"/>
  <c r="E28" i="1"/>
  <c r="H28" i="1"/>
  <c r="K28" i="1"/>
  <c r="R28" i="1"/>
  <c r="C29" i="1"/>
  <c r="F29" i="5" s="1"/>
  <c r="E29" i="1"/>
  <c r="G29" i="1"/>
  <c r="H29" i="1"/>
  <c r="K29" i="1"/>
  <c r="R29" i="1"/>
  <c r="C30" i="1"/>
  <c r="D30" i="1"/>
  <c r="E30" i="1"/>
  <c r="G30" i="1"/>
  <c r="H30" i="1"/>
  <c r="K30" i="1"/>
  <c r="R30" i="1"/>
  <c r="C31" i="1"/>
  <c r="D31" i="1"/>
  <c r="E31" i="1"/>
  <c r="G31" i="1"/>
  <c r="H31" i="1"/>
  <c r="K31" i="1"/>
  <c r="R31" i="1"/>
  <c r="C32" i="1"/>
  <c r="F32" i="5" s="1"/>
  <c r="G32" i="5" s="1"/>
  <c r="D32" i="1"/>
  <c r="E32" i="1"/>
  <c r="G32" i="1" s="1"/>
  <c r="H32" i="1"/>
  <c r="K32" i="1"/>
  <c r="R32" i="1"/>
  <c r="C33" i="1"/>
  <c r="F33" i="5" s="1"/>
  <c r="G33" i="5" s="1"/>
  <c r="E33" i="1"/>
  <c r="G33" i="1" s="1"/>
  <c r="H33" i="1"/>
  <c r="K33" i="1"/>
  <c r="R33" i="1"/>
  <c r="C34" i="1"/>
  <c r="D34" i="1" s="1"/>
  <c r="E34" i="1"/>
  <c r="H34" i="1"/>
  <c r="I34" i="1"/>
  <c r="K34" i="1"/>
  <c r="R34" i="1"/>
  <c r="C35" i="1"/>
  <c r="E35" i="1"/>
  <c r="G35" i="1" s="1"/>
  <c r="H35" i="1"/>
  <c r="I35" i="1"/>
  <c r="K35" i="1"/>
  <c r="R35" i="1"/>
  <c r="C36" i="1"/>
  <c r="D36" i="1"/>
  <c r="E36" i="1"/>
  <c r="H36" i="1"/>
  <c r="K36" i="1"/>
  <c r="R36" i="1"/>
  <c r="C37" i="1"/>
  <c r="F37" i="5" s="1"/>
  <c r="E37" i="1"/>
  <c r="G37" i="1"/>
  <c r="H37" i="1"/>
  <c r="K37" i="1"/>
  <c r="R37" i="1"/>
  <c r="C38" i="1"/>
  <c r="D38" i="1"/>
  <c r="E38" i="1"/>
  <c r="G38" i="1"/>
  <c r="H38" i="1"/>
  <c r="K38" i="1"/>
  <c r="R38" i="1"/>
  <c r="C39" i="1"/>
  <c r="D39" i="1"/>
  <c r="E39" i="1"/>
  <c r="G39" i="1"/>
  <c r="H39" i="1"/>
  <c r="K39" i="1"/>
  <c r="R39" i="1"/>
  <c r="C40" i="1"/>
  <c r="F40" i="5" s="1"/>
  <c r="G40" i="5" s="1"/>
  <c r="E40" i="1"/>
  <c r="G40" i="1" s="1"/>
  <c r="H40" i="1"/>
  <c r="K40" i="1"/>
  <c r="R40" i="1"/>
  <c r="C41" i="1"/>
  <c r="F41" i="5" s="1"/>
  <c r="D41" i="1"/>
  <c r="E41" i="1"/>
  <c r="H41" i="1"/>
  <c r="K41" i="1"/>
  <c r="R41" i="1"/>
  <c r="C42" i="1"/>
  <c r="F42" i="5" s="1"/>
  <c r="G42" i="5" s="1"/>
  <c r="E42" i="1"/>
  <c r="H42" i="1"/>
  <c r="K42" i="1"/>
  <c r="R42" i="1"/>
  <c r="C43" i="1"/>
  <c r="D43" i="1" s="1"/>
  <c r="E43" i="1"/>
  <c r="G43" i="1" s="1"/>
  <c r="H43" i="1"/>
  <c r="K43" i="1"/>
  <c r="R43" i="1"/>
  <c r="C44" i="1"/>
  <c r="F44" i="5" s="1"/>
  <c r="G44" i="5" s="1"/>
  <c r="D44" i="1"/>
  <c r="E44" i="1"/>
  <c r="I44" i="1" s="1"/>
  <c r="H44" i="1"/>
  <c r="K44" i="1"/>
  <c r="R44" i="1"/>
  <c r="C45" i="1"/>
  <c r="D45" i="1" s="1"/>
  <c r="E45" i="1"/>
  <c r="G45" i="1"/>
  <c r="H45" i="1"/>
  <c r="I45" i="1"/>
  <c r="K45" i="1"/>
  <c r="R45" i="1"/>
  <c r="C46" i="1"/>
  <c r="D46" i="1"/>
  <c r="E46" i="1"/>
  <c r="G46" i="1" s="1"/>
  <c r="H46" i="1"/>
  <c r="K46" i="1"/>
  <c r="R46" i="1"/>
  <c r="C47" i="1"/>
  <c r="F47" i="5" s="1"/>
  <c r="D47" i="1"/>
  <c r="E47" i="1"/>
  <c r="G47" i="1"/>
  <c r="H47" i="1"/>
  <c r="K47" i="1"/>
  <c r="R47" i="1"/>
  <c r="C48" i="1"/>
  <c r="F48" i="5" s="1"/>
  <c r="G48" i="5" s="1"/>
  <c r="E48" i="1"/>
  <c r="G48" i="1" s="1"/>
  <c r="H48" i="1"/>
  <c r="K48" i="1"/>
  <c r="R48" i="1"/>
  <c r="C49" i="1"/>
  <c r="F49" i="5" s="1"/>
  <c r="G49" i="5" s="1"/>
  <c r="D49" i="1"/>
  <c r="E49" i="1"/>
  <c r="G49" i="1" s="1"/>
  <c r="H49" i="1"/>
  <c r="K49" i="1"/>
  <c r="R49" i="1"/>
  <c r="C50" i="1"/>
  <c r="F50" i="5" s="1"/>
  <c r="G50" i="5" s="1"/>
  <c r="D50" i="1"/>
  <c r="E50" i="1"/>
  <c r="H50" i="1"/>
  <c r="K50" i="1"/>
  <c r="R50" i="1"/>
  <c r="C51" i="1"/>
  <c r="D51" i="1" s="1"/>
  <c r="E51" i="1"/>
  <c r="H51" i="1"/>
  <c r="K51" i="1"/>
  <c r="R51" i="1"/>
  <c r="C52" i="1"/>
  <c r="F52" i="5" s="1"/>
  <c r="D52" i="1"/>
  <c r="E52" i="1"/>
  <c r="I52" i="1" s="1"/>
  <c r="H52" i="1"/>
  <c r="K52" i="1"/>
  <c r="R52" i="1"/>
  <c r="C53" i="1"/>
  <c r="F53" i="5" s="1"/>
  <c r="E53" i="1"/>
  <c r="G53" i="1" s="1"/>
  <c r="H53" i="1"/>
  <c r="I53" i="1"/>
  <c r="K53" i="1"/>
  <c r="R53" i="1"/>
  <c r="C54" i="1"/>
  <c r="D54" i="1"/>
  <c r="E54" i="1"/>
  <c r="G54" i="1" s="1"/>
  <c r="H54" i="1"/>
  <c r="K54" i="1"/>
  <c r="R54" i="1"/>
  <c r="C55" i="1"/>
  <c r="D55" i="1"/>
  <c r="E55" i="1"/>
  <c r="G55" i="1" s="1"/>
  <c r="H55" i="1"/>
  <c r="K55" i="1"/>
  <c r="R55" i="1"/>
  <c r="C56" i="1"/>
  <c r="F56" i="5" s="1"/>
  <c r="G56" i="5" s="1"/>
  <c r="E56" i="1"/>
  <c r="G56" i="1" s="1"/>
  <c r="H56" i="1"/>
  <c r="K56" i="1"/>
  <c r="R56" i="1"/>
  <c r="C57" i="1"/>
  <c r="F57" i="5" s="1"/>
  <c r="G57" i="5" s="1"/>
  <c r="D57" i="1"/>
  <c r="E57" i="1"/>
  <c r="G57" i="1"/>
  <c r="H57" i="1"/>
  <c r="K57" i="1"/>
  <c r="R57" i="1"/>
  <c r="C58" i="1"/>
  <c r="D58" i="1"/>
  <c r="E58" i="1"/>
  <c r="I58" i="1" s="1"/>
  <c r="H58" i="1"/>
  <c r="K58" i="1"/>
  <c r="R58" i="1"/>
  <c r="C59" i="1"/>
  <c r="D59" i="1" s="1"/>
  <c r="E59" i="1"/>
  <c r="G59" i="1" s="1"/>
  <c r="H59" i="1"/>
  <c r="K59" i="1"/>
  <c r="R59" i="1"/>
  <c r="C60" i="1"/>
  <c r="D60" i="1"/>
  <c r="E60" i="1"/>
  <c r="H60" i="1"/>
  <c r="I60" i="1"/>
  <c r="K60" i="1"/>
  <c r="R60" i="1"/>
  <c r="C61" i="1"/>
  <c r="F61" i="5" s="1"/>
  <c r="E61" i="1"/>
  <c r="G61" i="1" s="1"/>
  <c r="H61" i="1"/>
  <c r="I61" i="1"/>
  <c r="K61" i="1"/>
  <c r="R61" i="1"/>
  <c r="C62" i="1"/>
  <c r="D62" i="1"/>
  <c r="E62" i="1"/>
  <c r="H62" i="1"/>
  <c r="K62" i="1"/>
  <c r="R62" i="1"/>
  <c r="C63" i="1"/>
  <c r="D63" i="1"/>
  <c r="E63" i="1"/>
  <c r="G63" i="1" s="1"/>
  <c r="H63" i="1"/>
  <c r="K63" i="1"/>
  <c r="R63" i="1"/>
  <c r="C64" i="1"/>
  <c r="F64" i="5" s="1"/>
  <c r="G64" i="5" s="1"/>
  <c r="E64" i="1"/>
  <c r="G64" i="1" s="1"/>
  <c r="H64" i="1"/>
  <c r="K64" i="1"/>
  <c r="R64" i="1"/>
  <c r="C65" i="1"/>
  <c r="F65" i="5" s="1"/>
  <c r="E65" i="1"/>
  <c r="G65" i="1" s="1"/>
  <c r="H65" i="1"/>
  <c r="K65" i="1"/>
  <c r="R65" i="1"/>
  <c r="C66" i="1"/>
  <c r="F66" i="5" s="1"/>
  <c r="G66" i="5" s="1"/>
  <c r="E66" i="1"/>
  <c r="I66" i="1" s="1"/>
  <c r="H66" i="1"/>
  <c r="K66" i="1"/>
  <c r="R66" i="1"/>
  <c r="C67" i="1"/>
  <c r="D67" i="1" s="1"/>
  <c r="E67" i="1"/>
  <c r="G67" i="1" s="1"/>
  <c r="H67" i="1"/>
  <c r="K67" i="1"/>
  <c r="R67" i="1"/>
  <c r="C68" i="1"/>
  <c r="F68" i="5" s="1"/>
  <c r="G68" i="5" s="1"/>
  <c r="D68" i="1"/>
  <c r="E68" i="1"/>
  <c r="I68" i="1" s="1"/>
  <c r="H68" i="1"/>
  <c r="K68" i="1"/>
  <c r="R68" i="1"/>
  <c r="C69" i="1"/>
  <c r="D69" i="1" s="1"/>
  <c r="E69" i="1"/>
  <c r="G69" i="1" s="1"/>
  <c r="H69" i="1"/>
  <c r="I69" i="1"/>
  <c r="K69" i="1"/>
  <c r="R69" i="1"/>
  <c r="C70" i="1"/>
  <c r="D70" i="1" s="1"/>
  <c r="E70" i="1"/>
  <c r="G70" i="1" s="1"/>
  <c r="H70" i="1"/>
  <c r="K70" i="1"/>
  <c r="R70" i="1"/>
  <c r="C71" i="1"/>
  <c r="D71" i="1"/>
  <c r="E71" i="1"/>
  <c r="G71" i="1"/>
  <c r="H71" i="1"/>
  <c r="K71" i="1"/>
  <c r="R71" i="1"/>
  <c r="C72" i="1"/>
  <c r="F72" i="5" s="1"/>
  <c r="G72" i="5" s="1"/>
  <c r="E72" i="1"/>
  <c r="G72" i="1" s="1"/>
  <c r="H72" i="1"/>
  <c r="I72" i="1"/>
  <c r="K72" i="1"/>
  <c r="R72" i="1"/>
  <c r="C73" i="1"/>
  <c r="F73" i="5" s="1"/>
  <c r="G73" i="5" s="1"/>
  <c r="E73" i="1"/>
  <c r="G73" i="1"/>
  <c r="H73" i="1"/>
  <c r="K73" i="1"/>
  <c r="R73" i="1"/>
  <c r="C74" i="1"/>
  <c r="F74" i="5" s="1"/>
  <c r="G74" i="5" s="1"/>
  <c r="E74" i="1"/>
  <c r="H74" i="1"/>
  <c r="I74" i="1"/>
  <c r="K74" i="1"/>
  <c r="R74" i="1"/>
  <c r="C75" i="1"/>
  <c r="D75" i="1" s="1"/>
  <c r="E75" i="1"/>
  <c r="G75" i="1" s="1"/>
  <c r="H75" i="1"/>
  <c r="K75" i="1"/>
  <c r="R75" i="1"/>
  <c r="C76" i="1"/>
  <c r="D76" i="1"/>
  <c r="E76" i="1"/>
  <c r="I76" i="1" s="1"/>
  <c r="H76" i="1"/>
  <c r="K76" i="1"/>
  <c r="R76" i="1"/>
  <c r="C77" i="1"/>
  <c r="F77" i="5" s="1"/>
  <c r="E77" i="1"/>
  <c r="G77" i="1"/>
  <c r="H77" i="1"/>
  <c r="I77" i="1"/>
  <c r="K77" i="1"/>
  <c r="R77" i="1"/>
  <c r="C78" i="1"/>
  <c r="D78" i="1" s="1"/>
  <c r="E78" i="1"/>
  <c r="G78" i="1" s="1"/>
  <c r="H78" i="1"/>
  <c r="K78" i="1"/>
  <c r="R78" i="1"/>
  <c r="C79" i="1"/>
  <c r="D79" i="1"/>
  <c r="E79" i="1"/>
  <c r="G79" i="1"/>
  <c r="H79" i="1"/>
  <c r="K79" i="1"/>
  <c r="R79" i="1"/>
  <c r="C80" i="1"/>
  <c r="F80" i="5" s="1"/>
  <c r="G80" i="5" s="1"/>
  <c r="E80" i="1"/>
  <c r="G80" i="1" s="1"/>
  <c r="H80" i="1"/>
  <c r="K80" i="1"/>
  <c r="R80" i="1"/>
  <c r="C81" i="1"/>
  <c r="F81" i="5" s="1"/>
  <c r="G81" i="5" s="1"/>
  <c r="E81" i="1"/>
  <c r="G81" i="1"/>
  <c r="H81" i="1"/>
  <c r="K81" i="1"/>
  <c r="R81" i="1"/>
  <c r="C82" i="1"/>
  <c r="D82" i="1" s="1"/>
  <c r="E82" i="1"/>
  <c r="H82" i="1"/>
  <c r="I82" i="1"/>
  <c r="K82" i="1"/>
  <c r="R82" i="1"/>
  <c r="C83" i="1"/>
  <c r="E83" i="1"/>
  <c r="G83" i="1" s="1"/>
  <c r="F83" i="1"/>
  <c r="H83" i="1"/>
  <c r="K83" i="1"/>
  <c r="R83" i="1"/>
  <c r="C84" i="1"/>
  <c r="D84" i="1"/>
  <c r="E84" i="1"/>
  <c r="I84" i="1" s="1"/>
  <c r="H84" i="1"/>
  <c r="K84" i="1"/>
  <c r="R84" i="1"/>
  <c r="C85" i="1"/>
  <c r="F85" i="5" s="1"/>
  <c r="E85" i="1"/>
  <c r="G85" i="1"/>
  <c r="H85" i="1"/>
  <c r="I85" i="1"/>
  <c r="K85" i="1"/>
  <c r="R85" i="1"/>
  <c r="C86" i="1"/>
  <c r="D86" i="1"/>
  <c r="E86" i="1"/>
  <c r="G86" i="1" s="1"/>
  <c r="H86" i="1"/>
  <c r="K86" i="1"/>
  <c r="R86" i="1"/>
  <c r="C87" i="1"/>
  <c r="D87" i="1"/>
  <c r="E87" i="1"/>
  <c r="G87" i="1"/>
  <c r="H87" i="1"/>
  <c r="K87" i="1"/>
  <c r="R87" i="1"/>
  <c r="C88" i="1"/>
  <c r="F88" i="5" s="1"/>
  <c r="G88" i="5" s="1"/>
  <c r="E88" i="1"/>
  <c r="G88" i="1" s="1"/>
  <c r="H88" i="1"/>
  <c r="K88" i="1"/>
  <c r="R88" i="1"/>
  <c r="C89" i="1"/>
  <c r="F89" i="5" s="1"/>
  <c r="D89" i="1"/>
  <c r="E89" i="1"/>
  <c r="G89" i="1"/>
  <c r="H89" i="1"/>
  <c r="K89" i="1"/>
  <c r="R89" i="1"/>
  <c r="C90" i="1"/>
  <c r="F90" i="5" s="1"/>
  <c r="G90" i="5" s="1"/>
  <c r="E90" i="1"/>
  <c r="H90" i="1"/>
  <c r="I90" i="1"/>
  <c r="K90" i="1"/>
  <c r="R90" i="1"/>
  <c r="C91" i="1"/>
  <c r="D91" i="1" s="1"/>
  <c r="E91" i="1"/>
  <c r="G91" i="1" s="1"/>
  <c r="F91" i="1"/>
  <c r="H91" i="1"/>
  <c r="I91" i="1"/>
  <c r="K91" i="1"/>
  <c r="R91" i="1"/>
  <c r="C92" i="1"/>
  <c r="F92" i="5" s="1"/>
  <c r="G92" i="5" s="1"/>
  <c r="D92" i="1"/>
  <c r="E92" i="1"/>
  <c r="H92" i="1"/>
  <c r="K92" i="1"/>
  <c r="R92" i="1"/>
  <c r="C93" i="1"/>
  <c r="D93" i="1" s="1"/>
  <c r="E93" i="1"/>
  <c r="G93" i="1"/>
  <c r="H93" i="1"/>
  <c r="I93" i="1"/>
  <c r="K93" i="1"/>
  <c r="R93" i="1"/>
  <c r="C94" i="1"/>
  <c r="D94" i="1"/>
  <c r="E94" i="1"/>
  <c r="G94" i="1" s="1"/>
  <c r="F94" i="1"/>
  <c r="H94" i="1"/>
  <c r="K94" i="1"/>
  <c r="R94" i="1"/>
  <c r="C95" i="1"/>
  <c r="D95" i="1"/>
  <c r="E95" i="1"/>
  <c r="F95" i="1"/>
  <c r="G95" i="1"/>
  <c r="H95" i="1"/>
  <c r="K95" i="1"/>
  <c r="R95" i="1"/>
  <c r="C96" i="1"/>
  <c r="F96" i="5" s="1"/>
  <c r="G96" i="5" s="1"/>
  <c r="E96" i="1"/>
  <c r="G96" i="1" s="1"/>
  <c r="H96" i="1"/>
  <c r="K96" i="1"/>
  <c r="R96" i="1"/>
  <c r="C97" i="1"/>
  <c r="F97" i="5" s="1"/>
  <c r="G97" i="5" s="1"/>
  <c r="D97" i="1"/>
  <c r="E97" i="1"/>
  <c r="G97" i="1"/>
  <c r="H97" i="1"/>
  <c r="K97" i="1"/>
  <c r="R97" i="1"/>
  <c r="C98" i="1"/>
  <c r="F98" i="5" s="1"/>
  <c r="G98" i="5" s="1"/>
  <c r="E98" i="1"/>
  <c r="I98" i="1" s="1"/>
  <c r="H98" i="1"/>
  <c r="K98" i="1"/>
  <c r="R98" i="1"/>
  <c r="C99" i="1"/>
  <c r="D99" i="1" s="1"/>
  <c r="E99" i="1"/>
  <c r="G99" i="1"/>
  <c r="H99" i="1"/>
  <c r="I99" i="1"/>
  <c r="K99" i="1"/>
  <c r="R99" i="1"/>
  <c r="C100" i="1"/>
  <c r="F100" i="5" s="1"/>
  <c r="D100" i="1"/>
  <c r="E100" i="1"/>
  <c r="I100" i="1" s="1"/>
  <c r="H100" i="1"/>
  <c r="K100" i="1"/>
  <c r="R100" i="1"/>
  <c r="C101" i="1"/>
  <c r="F101" i="5" s="1"/>
  <c r="E101" i="1"/>
  <c r="G101" i="1" s="1"/>
  <c r="H101" i="1"/>
  <c r="I101" i="1"/>
  <c r="K101" i="1"/>
  <c r="R101" i="1"/>
  <c r="C102" i="1"/>
  <c r="D102" i="1"/>
  <c r="E102" i="1"/>
  <c r="G102" i="1"/>
  <c r="H102" i="1"/>
  <c r="K102" i="1"/>
  <c r="R102" i="1"/>
  <c r="C103" i="1"/>
  <c r="D103" i="1"/>
  <c r="E103" i="1"/>
  <c r="G103" i="1"/>
  <c r="H103" i="1"/>
  <c r="K103" i="1"/>
  <c r="R103" i="1"/>
  <c r="C104" i="1"/>
  <c r="F104" i="5" s="1"/>
  <c r="G104" i="5" s="1"/>
  <c r="E104" i="1"/>
  <c r="G104" i="1" s="1"/>
  <c r="H104" i="1"/>
  <c r="K104" i="1"/>
  <c r="R104" i="1"/>
  <c r="C105" i="1"/>
  <c r="F105" i="5" s="1"/>
  <c r="D105" i="1"/>
  <c r="E105" i="1"/>
  <c r="F105" i="1" s="1"/>
  <c r="G105" i="1"/>
  <c r="H105" i="1"/>
  <c r="K105" i="1"/>
  <c r="R105" i="1"/>
  <c r="C106" i="1"/>
  <c r="D106" i="1" s="1"/>
  <c r="E106" i="1"/>
  <c r="I106" i="1" s="1"/>
  <c r="H106" i="1"/>
  <c r="K106" i="1"/>
  <c r="R106" i="1"/>
  <c r="C107" i="1"/>
  <c r="D107" i="1" s="1"/>
  <c r="E107" i="1"/>
  <c r="F107" i="1"/>
  <c r="G107" i="1"/>
  <c r="H107" i="1"/>
  <c r="I107" i="1"/>
  <c r="K107" i="1"/>
  <c r="R107" i="1"/>
  <c r="C108" i="1"/>
  <c r="D108" i="1"/>
  <c r="E108" i="1"/>
  <c r="H108" i="1"/>
  <c r="K108" i="1"/>
  <c r="R108" i="1"/>
  <c r="C109" i="1"/>
  <c r="F109" i="5" s="1"/>
  <c r="E109" i="1"/>
  <c r="G109" i="1"/>
  <c r="H109" i="1"/>
  <c r="I109" i="1"/>
  <c r="K109" i="1"/>
  <c r="R109" i="1"/>
  <c r="C110" i="1"/>
  <c r="D110" i="1"/>
  <c r="E110" i="1"/>
  <c r="G110" i="1"/>
  <c r="H110" i="1"/>
  <c r="I110" i="1"/>
  <c r="K110" i="1"/>
  <c r="R110" i="1"/>
  <c r="C111" i="1"/>
  <c r="F111" i="5" s="1"/>
  <c r="G111" i="5" s="1"/>
  <c r="D111" i="1"/>
  <c r="E111" i="1"/>
  <c r="G111" i="1" s="1"/>
  <c r="H111" i="1"/>
  <c r="K111" i="1"/>
  <c r="R111" i="1"/>
  <c r="C112" i="1"/>
  <c r="F112" i="5" s="1"/>
  <c r="G112" i="5" s="1"/>
  <c r="D112" i="1"/>
  <c r="E112" i="1"/>
  <c r="G112" i="1" s="1"/>
  <c r="H112" i="1"/>
  <c r="K112" i="1"/>
  <c r="R112" i="1"/>
  <c r="C113" i="1"/>
  <c r="F113" i="5" s="1"/>
  <c r="E113" i="1"/>
  <c r="H113" i="1"/>
  <c r="K113" i="1"/>
  <c r="R113" i="1"/>
  <c r="C114" i="1"/>
  <c r="F114" i="5" s="1"/>
  <c r="G114" i="5" s="1"/>
  <c r="D114" i="1"/>
  <c r="E114" i="1"/>
  <c r="H114" i="1"/>
  <c r="K114" i="1"/>
  <c r="R114" i="1"/>
  <c r="C115" i="1"/>
  <c r="D115" i="1" s="1"/>
  <c r="E115" i="1"/>
  <c r="G115" i="1"/>
  <c r="H115" i="1"/>
  <c r="I115" i="1"/>
  <c r="K115" i="1"/>
  <c r="R115" i="1"/>
  <c r="C116" i="1"/>
  <c r="F116" i="5" s="1"/>
  <c r="G116" i="5" s="1"/>
  <c r="D116" i="1"/>
  <c r="E116" i="1"/>
  <c r="H116" i="1"/>
  <c r="I116" i="1"/>
  <c r="K116" i="1"/>
  <c r="R116" i="1"/>
  <c r="C117" i="1"/>
  <c r="D117" i="1" s="1"/>
  <c r="E117" i="1"/>
  <c r="G117" i="1"/>
  <c r="H117" i="1"/>
  <c r="I117" i="1"/>
  <c r="K117" i="1"/>
  <c r="R117" i="1"/>
  <c r="C118" i="1"/>
  <c r="D118" i="1"/>
  <c r="E118" i="1"/>
  <c r="G118" i="1"/>
  <c r="H118" i="1"/>
  <c r="I118" i="1"/>
  <c r="K118" i="1"/>
  <c r="R118" i="1"/>
  <c r="C119" i="1"/>
  <c r="F119" i="5" s="1"/>
  <c r="D119" i="1"/>
  <c r="E119" i="1"/>
  <c r="G119" i="1"/>
  <c r="H119" i="1"/>
  <c r="K119" i="1"/>
  <c r="R119" i="1"/>
  <c r="C120" i="1"/>
  <c r="F120" i="5" s="1"/>
  <c r="G120" i="5" s="1"/>
  <c r="D120" i="1"/>
  <c r="E120" i="1"/>
  <c r="G120" i="1" s="1"/>
  <c r="H120" i="1"/>
  <c r="K120" i="1"/>
  <c r="R120" i="1"/>
  <c r="C121" i="1"/>
  <c r="D121" i="1" s="1"/>
  <c r="E121" i="1"/>
  <c r="H121" i="1"/>
  <c r="K121" i="1"/>
  <c r="R121" i="1"/>
  <c r="C122" i="1"/>
  <c r="F122" i="5" s="1"/>
  <c r="G122" i="5" s="1"/>
  <c r="D122" i="1"/>
  <c r="E122" i="1"/>
  <c r="H122" i="1"/>
  <c r="I122" i="1"/>
  <c r="K122" i="1"/>
  <c r="R122" i="1"/>
  <c r="C123" i="1"/>
  <c r="D123" i="1" s="1"/>
  <c r="E123" i="1"/>
  <c r="G123" i="1"/>
  <c r="H123" i="1"/>
  <c r="I123" i="1"/>
  <c r="K123" i="1"/>
  <c r="R123" i="1"/>
  <c r="C124" i="1"/>
  <c r="F124" i="5" s="1"/>
  <c r="D124" i="1"/>
  <c r="E124" i="1"/>
  <c r="H124" i="1"/>
  <c r="I124" i="1"/>
  <c r="K124" i="1"/>
  <c r="R124" i="1"/>
  <c r="C125" i="1"/>
  <c r="D125" i="1" s="1"/>
  <c r="E125" i="1"/>
  <c r="F125" i="1" s="1"/>
  <c r="F126" i="1" s="1"/>
  <c r="F127" i="1" s="1"/>
  <c r="H125" i="1"/>
  <c r="I125" i="1"/>
  <c r="K125" i="1"/>
  <c r="R125" i="1"/>
  <c r="C126" i="1"/>
  <c r="D126" i="1"/>
  <c r="E126" i="1"/>
  <c r="G126" i="1"/>
  <c r="H126" i="1"/>
  <c r="I126" i="1"/>
  <c r="K126" i="1"/>
  <c r="R126" i="1"/>
  <c r="C127" i="1"/>
  <c r="D127" i="1"/>
  <c r="E127" i="1"/>
  <c r="G127" i="1"/>
  <c r="H127" i="1"/>
  <c r="K127" i="1"/>
  <c r="R127" i="1"/>
  <c r="C128" i="1"/>
  <c r="F128" i="5" s="1"/>
  <c r="G128" i="5" s="1"/>
  <c r="E128" i="1"/>
  <c r="G128" i="1" s="1"/>
  <c r="H128" i="1"/>
  <c r="K128" i="1"/>
  <c r="R128" i="1"/>
  <c r="C129" i="1"/>
  <c r="F129" i="5" s="1"/>
  <c r="E129" i="1"/>
  <c r="G129" i="1"/>
  <c r="H129" i="1"/>
  <c r="K129" i="1"/>
  <c r="R129" i="1"/>
  <c r="C130" i="1"/>
  <c r="D130" i="1"/>
  <c r="E130" i="1"/>
  <c r="H130" i="1"/>
  <c r="I130" i="1"/>
  <c r="K130" i="1"/>
  <c r="R130" i="1"/>
  <c r="C131" i="1"/>
  <c r="E131" i="1"/>
  <c r="F131" i="1" s="1"/>
  <c r="H131" i="1"/>
  <c r="I131" i="1"/>
  <c r="K131" i="1"/>
  <c r="R131" i="1"/>
  <c r="C132" i="1"/>
  <c r="D132" i="1"/>
  <c r="E132" i="1"/>
  <c r="H132" i="1"/>
  <c r="I132" i="1"/>
  <c r="K132" i="1"/>
  <c r="R132" i="1"/>
  <c r="C133" i="1"/>
  <c r="F133" i="5" s="1"/>
  <c r="E133" i="1"/>
  <c r="G133" i="1"/>
  <c r="H133" i="1"/>
  <c r="I133" i="1"/>
  <c r="K133" i="1"/>
  <c r="R133" i="1"/>
  <c r="C134" i="1"/>
  <c r="D134" i="1" s="1"/>
  <c r="E134" i="1"/>
  <c r="H134" i="1"/>
  <c r="I134" i="1"/>
  <c r="K134" i="1"/>
  <c r="R134" i="1"/>
  <c r="C135" i="1"/>
  <c r="F135" i="5" s="1"/>
  <c r="D135" i="1"/>
  <c r="E135" i="1"/>
  <c r="G135" i="1"/>
  <c r="H135" i="1"/>
  <c r="K135" i="1"/>
  <c r="R135" i="1"/>
  <c r="C136" i="1"/>
  <c r="F136" i="5" s="1"/>
  <c r="G136" i="5" s="1"/>
  <c r="E136" i="1"/>
  <c r="G136" i="1" s="1"/>
  <c r="H136" i="1"/>
  <c r="K136" i="1"/>
  <c r="R136" i="1"/>
  <c r="C137" i="1"/>
  <c r="F137" i="5" s="1"/>
  <c r="D137" i="1"/>
  <c r="E137" i="1"/>
  <c r="F137" i="1"/>
  <c r="G137" i="1"/>
  <c r="H137" i="1"/>
  <c r="K137" i="1"/>
  <c r="R137" i="1"/>
  <c r="C138" i="1"/>
  <c r="D138" i="1"/>
  <c r="E138" i="1"/>
  <c r="H138" i="1"/>
  <c r="I138" i="1"/>
  <c r="K138" i="1"/>
  <c r="R138" i="1"/>
  <c r="C139" i="1"/>
  <c r="E139" i="1"/>
  <c r="F139" i="1" s="1"/>
  <c r="G139" i="1"/>
  <c r="H139" i="1"/>
  <c r="I139" i="1"/>
  <c r="K139" i="1"/>
  <c r="R139" i="1"/>
  <c r="C140" i="1"/>
  <c r="F140" i="5" s="1"/>
  <c r="G140" i="5" s="1"/>
  <c r="E140" i="1"/>
  <c r="I140" i="1" s="1"/>
  <c r="H140" i="1"/>
  <c r="K140" i="1"/>
  <c r="R140" i="1"/>
  <c r="C141" i="1"/>
  <c r="D141" i="1" s="1"/>
  <c r="E141" i="1"/>
  <c r="F141" i="1" s="1"/>
  <c r="G141" i="1"/>
  <c r="H141" i="1"/>
  <c r="K141" i="1"/>
  <c r="R141" i="1"/>
  <c r="C142" i="1"/>
  <c r="D142" i="1" s="1"/>
  <c r="E142" i="1"/>
  <c r="F142" i="1" s="1"/>
  <c r="G142" i="1"/>
  <c r="H142" i="1"/>
  <c r="I142" i="1"/>
  <c r="K142" i="1"/>
  <c r="R142" i="1"/>
  <c r="C143" i="1"/>
  <c r="D143" i="1"/>
  <c r="E143" i="1"/>
  <c r="H143" i="1"/>
  <c r="K143" i="1"/>
  <c r="R143" i="1"/>
  <c r="C144" i="1"/>
  <c r="F144" i="5" s="1"/>
  <c r="G144" i="5" s="1"/>
  <c r="E144" i="1"/>
  <c r="G144" i="1" s="1"/>
  <c r="H144" i="1"/>
  <c r="I144" i="1"/>
  <c r="K144" i="1"/>
  <c r="R144" i="1"/>
  <c r="C145" i="1"/>
  <c r="F145" i="5" s="1"/>
  <c r="D145" i="1"/>
  <c r="E145" i="1"/>
  <c r="G145" i="1"/>
  <c r="H145" i="1"/>
  <c r="K145" i="1"/>
  <c r="R145" i="1"/>
  <c r="C146" i="1"/>
  <c r="F146" i="5" s="1"/>
  <c r="G146" i="5" s="1"/>
  <c r="E146" i="1"/>
  <c r="I146" i="1" s="1"/>
  <c r="H146" i="1"/>
  <c r="K146" i="1"/>
  <c r="R146" i="1"/>
  <c r="C147" i="1"/>
  <c r="D147" i="1" s="1"/>
  <c r="E147" i="1"/>
  <c r="F147" i="1" s="1"/>
  <c r="G147" i="1"/>
  <c r="H147" i="1"/>
  <c r="I147" i="1"/>
  <c r="K147" i="1"/>
  <c r="R147" i="1"/>
  <c r="C148" i="1"/>
  <c r="F148" i="5" s="1"/>
  <c r="E148" i="1"/>
  <c r="F148" i="1" s="1"/>
  <c r="H148" i="1"/>
  <c r="K148" i="1"/>
  <c r="R148" i="1"/>
  <c r="C149" i="1"/>
  <c r="F149" i="5" s="1"/>
  <c r="E149" i="1"/>
  <c r="F149" i="1" s="1"/>
  <c r="F150" i="1" s="1"/>
  <c r="F151" i="1" s="1"/>
  <c r="H149" i="1"/>
  <c r="K149" i="1"/>
  <c r="R149" i="1"/>
  <c r="C150" i="1"/>
  <c r="D150" i="1"/>
  <c r="E150" i="1"/>
  <c r="G150" i="1"/>
  <c r="H150" i="1"/>
  <c r="I150" i="1"/>
  <c r="K150" i="1"/>
  <c r="R150" i="1"/>
  <c r="C151" i="1"/>
  <c r="D151" i="1"/>
  <c r="E151" i="1"/>
  <c r="G151" i="1"/>
  <c r="H151" i="1"/>
  <c r="K151" i="1"/>
  <c r="R151" i="1"/>
  <c r="C152" i="1"/>
  <c r="F152" i="5" s="1"/>
  <c r="G152" i="5" s="1"/>
  <c r="E152" i="1"/>
  <c r="G152" i="1" s="1"/>
  <c r="H152" i="1"/>
  <c r="K152" i="1"/>
  <c r="R152" i="1"/>
  <c r="C153" i="1"/>
  <c r="F153" i="5" s="1"/>
  <c r="G153" i="5" s="1"/>
  <c r="E153" i="1"/>
  <c r="F153" i="1" s="1"/>
  <c r="H153" i="1"/>
  <c r="K153" i="1"/>
  <c r="R153" i="1"/>
  <c r="C154" i="1"/>
  <c r="D154" i="1"/>
  <c r="E154" i="1"/>
  <c r="H154" i="1"/>
  <c r="I154" i="1"/>
  <c r="K154" i="1"/>
  <c r="R154" i="1"/>
  <c r="C155" i="1"/>
  <c r="D155" i="1" s="1"/>
  <c r="E155" i="1"/>
  <c r="F155" i="1" s="1"/>
  <c r="H155" i="1"/>
  <c r="K155" i="1"/>
  <c r="R155" i="1"/>
  <c r="C156" i="1"/>
  <c r="D156" i="1"/>
  <c r="E156" i="1"/>
  <c r="G156" i="1"/>
  <c r="H156" i="1"/>
  <c r="I156" i="1"/>
  <c r="K156" i="1"/>
  <c r="R156" i="1"/>
  <c r="C157" i="1"/>
  <c r="F157" i="5" s="1"/>
  <c r="E157" i="1"/>
  <c r="G157" i="1"/>
  <c r="H157" i="1"/>
  <c r="I157" i="1"/>
  <c r="K157" i="1"/>
  <c r="R157" i="1"/>
  <c r="C158" i="1"/>
  <c r="D158" i="1" s="1"/>
  <c r="E158" i="1"/>
  <c r="F158" i="1"/>
  <c r="G158" i="1"/>
  <c r="H158" i="1"/>
  <c r="I158" i="1"/>
  <c r="K158" i="1"/>
  <c r="R158" i="1"/>
  <c r="C159" i="1"/>
  <c r="D159" i="1"/>
  <c r="E159" i="1"/>
  <c r="F159" i="1" s="1"/>
  <c r="H159" i="1"/>
  <c r="K159" i="1"/>
  <c r="R159" i="1"/>
  <c r="C160" i="1"/>
  <c r="F160" i="5" s="1"/>
  <c r="G160" i="5" s="1"/>
  <c r="D160" i="1"/>
  <c r="E160" i="1"/>
  <c r="G160" i="1" s="1"/>
  <c r="F160" i="1"/>
  <c r="H160" i="1"/>
  <c r="I160" i="1"/>
  <c r="K160" i="1"/>
  <c r="R160" i="1"/>
  <c r="C161" i="1"/>
  <c r="F161" i="5" s="1"/>
  <c r="E161" i="1"/>
  <c r="F161" i="1"/>
  <c r="G161" i="1"/>
  <c r="H161" i="1"/>
  <c r="K161" i="1"/>
  <c r="R161" i="1"/>
  <c r="C162" i="1"/>
  <c r="D162" i="1" s="1"/>
  <c r="E162" i="1"/>
  <c r="I162" i="1" s="1"/>
  <c r="H162" i="1"/>
  <c r="K162" i="1"/>
  <c r="R162" i="1"/>
  <c r="C163" i="1"/>
  <c r="D163" i="1" s="1"/>
  <c r="E163" i="1"/>
  <c r="G163" i="1"/>
  <c r="H163" i="1"/>
  <c r="I163" i="1"/>
  <c r="K163" i="1"/>
  <c r="R163" i="1"/>
  <c r="C164" i="1"/>
  <c r="F164" i="5" s="1"/>
  <c r="G164" i="5" s="1"/>
  <c r="E164" i="1"/>
  <c r="G164" i="1"/>
  <c r="H164" i="1"/>
  <c r="I164" i="1"/>
  <c r="K164" i="1"/>
  <c r="R164" i="1"/>
  <c r="C165" i="1"/>
  <c r="F165" i="5" s="1"/>
  <c r="E165" i="1"/>
  <c r="G165" i="1"/>
  <c r="H165" i="1"/>
  <c r="I165" i="1"/>
  <c r="K165" i="1"/>
  <c r="R165" i="1"/>
  <c r="C166" i="1"/>
  <c r="D166" i="1" s="1"/>
  <c r="E166" i="1"/>
  <c r="G166" i="1"/>
  <c r="H166" i="1"/>
  <c r="I166" i="1"/>
  <c r="K166" i="1"/>
  <c r="R166" i="1"/>
  <c r="C167" i="1"/>
  <c r="D167" i="1"/>
  <c r="E167" i="1"/>
  <c r="G167" i="1"/>
  <c r="H167" i="1"/>
  <c r="K167" i="1"/>
  <c r="R167" i="1"/>
  <c r="C168" i="1"/>
  <c r="F168" i="5" s="1"/>
  <c r="G168" i="5" s="1"/>
  <c r="E168" i="1"/>
  <c r="G168" i="1" s="1"/>
  <c r="H168" i="1"/>
  <c r="I168" i="1"/>
  <c r="K168" i="1"/>
  <c r="R168" i="1"/>
  <c r="C169" i="1"/>
  <c r="D169" i="1"/>
  <c r="E169" i="1"/>
  <c r="G169" i="1"/>
  <c r="H169" i="1"/>
  <c r="K169" i="1"/>
  <c r="R169" i="1"/>
  <c r="C170" i="1"/>
  <c r="D170" i="1" s="1"/>
  <c r="E170" i="1"/>
  <c r="H170" i="1"/>
  <c r="I170" i="1"/>
  <c r="K170" i="1"/>
  <c r="R170" i="1"/>
  <c r="C171" i="1"/>
  <c r="E171" i="1"/>
  <c r="G171" i="1"/>
  <c r="H171" i="1"/>
  <c r="I171" i="1"/>
  <c r="K171" i="1"/>
  <c r="R171" i="1"/>
  <c r="C172" i="1"/>
  <c r="F172" i="5" s="1"/>
  <c r="E172" i="1"/>
  <c r="F172" i="1" s="1"/>
  <c r="H172" i="1"/>
  <c r="I172" i="1"/>
  <c r="K172" i="1"/>
  <c r="R172" i="1"/>
  <c r="C173" i="1"/>
  <c r="D173" i="1" s="1"/>
  <c r="E173" i="1"/>
  <c r="F173" i="1" s="1"/>
  <c r="H173" i="1"/>
  <c r="K173" i="1"/>
  <c r="R173" i="1"/>
  <c r="C174" i="1"/>
  <c r="D174" i="1"/>
  <c r="E174" i="1"/>
  <c r="F174" i="1"/>
  <c r="G174" i="1"/>
  <c r="H174" i="1"/>
  <c r="I174" i="1"/>
  <c r="K174" i="1"/>
  <c r="R174" i="1"/>
  <c r="C175" i="1"/>
  <c r="D175" i="1"/>
  <c r="E175" i="1"/>
  <c r="F175" i="1"/>
  <c r="G175" i="1"/>
  <c r="H175" i="1"/>
  <c r="K175" i="1"/>
  <c r="R175" i="1"/>
  <c r="C176" i="1"/>
  <c r="F176" i="5" s="1"/>
  <c r="G176" i="5" s="1"/>
  <c r="E176" i="1"/>
  <c r="G176" i="1" s="1"/>
  <c r="F176" i="1"/>
  <c r="H176" i="1"/>
  <c r="K176" i="1"/>
  <c r="R176" i="1"/>
  <c r="C177" i="1"/>
  <c r="F177" i="5" s="1"/>
  <c r="E177" i="1"/>
  <c r="F177" i="1"/>
  <c r="G177" i="1"/>
  <c r="H177" i="1"/>
  <c r="K177" i="1"/>
  <c r="R177" i="1"/>
  <c r="C178" i="1"/>
  <c r="D178" i="1"/>
  <c r="E178" i="1"/>
  <c r="H178" i="1"/>
  <c r="I178" i="1"/>
  <c r="K178" i="1"/>
  <c r="R178" i="1"/>
  <c r="C179" i="1"/>
  <c r="D179" i="1" s="1"/>
  <c r="E179" i="1"/>
  <c r="H179" i="1"/>
  <c r="I179" i="1"/>
  <c r="K179" i="1"/>
  <c r="R179" i="1"/>
  <c r="C180" i="1"/>
  <c r="D180" i="1"/>
  <c r="E180" i="1"/>
  <c r="G180" i="1"/>
  <c r="H180" i="1"/>
  <c r="I180" i="1"/>
  <c r="K180" i="1"/>
  <c r="R180" i="1"/>
  <c r="C181" i="1"/>
  <c r="D181" i="1" s="1"/>
  <c r="E181" i="1"/>
  <c r="G181" i="1"/>
  <c r="H181" i="1"/>
  <c r="I181" i="1"/>
  <c r="K181" i="1"/>
  <c r="R181" i="1"/>
  <c r="C182" i="1"/>
  <c r="D182" i="1" s="1"/>
  <c r="E182" i="1"/>
  <c r="G182" i="1"/>
  <c r="H182" i="1"/>
  <c r="I182" i="1"/>
  <c r="K182" i="1"/>
  <c r="R182" i="1"/>
  <c r="C183" i="1"/>
  <c r="D183" i="1"/>
  <c r="E183" i="1"/>
  <c r="G183" i="1"/>
  <c r="H183" i="1"/>
  <c r="K183" i="1"/>
  <c r="R183" i="1"/>
  <c r="C184" i="1"/>
  <c r="F184" i="5" s="1"/>
  <c r="G184" i="5" s="1"/>
  <c r="D184" i="1"/>
  <c r="E184" i="1"/>
  <c r="G184" i="1" s="1"/>
  <c r="H184" i="1"/>
  <c r="I184" i="1"/>
  <c r="K184" i="1"/>
  <c r="R184" i="1"/>
  <c r="C185" i="1"/>
  <c r="F185" i="5" s="1"/>
  <c r="E185" i="1"/>
  <c r="F185" i="1"/>
  <c r="G185" i="1"/>
  <c r="H185" i="1"/>
  <c r="K185" i="1"/>
  <c r="R185" i="1"/>
  <c r="C186" i="1"/>
  <c r="F186" i="5" s="1"/>
  <c r="G186" i="5" s="1"/>
  <c r="E186" i="1"/>
  <c r="H186" i="1"/>
  <c r="I186" i="1"/>
  <c r="K186" i="1"/>
  <c r="R186" i="1"/>
  <c r="C187" i="1"/>
  <c r="E187" i="1"/>
  <c r="F187" i="1"/>
  <c r="G187" i="1"/>
  <c r="H187" i="1"/>
  <c r="I187" i="1"/>
  <c r="K187" i="1"/>
  <c r="R187" i="1"/>
  <c r="C188" i="1"/>
  <c r="F188" i="5" s="1"/>
  <c r="G188" i="5" s="1"/>
  <c r="E188" i="1"/>
  <c r="F188" i="1" s="1"/>
  <c r="G188" i="1"/>
  <c r="H188" i="1"/>
  <c r="I188" i="1"/>
  <c r="K188" i="1"/>
  <c r="R188" i="1"/>
  <c r="C189" i="1"/>
  <c r="D189" i="1" s="1"/>
  <c r="E189" i="1"/>
  <c r="F189" i="1" s="1"/>
  <c r="G189" i="1"/>
  <c r="H189" i="1"/>
  <c r="I189" i="1"/>
  <c r="K189" i="1"/>
  <c r="R189" i="1"/>
  <c r="C190" i="1"/>
  <c r="D190" i="1" s="1"/>
  <c r="E190" i="1"/>
  <c r="F190" i="1" s="1"/>
  <c r="G190" i="1"/>
  <c r="H190" i="1"/>
  <c r="I190" i="1"/>
  <c r="K190" i="1"/>
  <c r="R190" i="1"/>
  <c r="C191" i="1"/>
  <c r="D191" i="1"/>
  <c r="E191" i="1"/>
  <c r="F191" i="1"/>
  <c r="G191" i="1"/>
  <c r="H191" i="1"/>
  <c r="K191" i="1"/>
  <c r="R191" i="1"/>
  <c r="C192" i="1"/>
  <c r="F192" i="5" s="1"/>
  <c r="G192" i="5" s="1"/>
  <c r="E192" i="1"/>
  <c r="G192" i="1" s="1"/>
  <c r="F192" i="1"/>
  <c r="H192" i="1"/>
  <c r="I192" i="1"/>
  <c r="K192" i="1"/>
  <c r="R192" i="1"/>
  <c r="C193" i="1"/>
  <c r="F193" i="5" s="1"/>
  <c r="D193" i="1"/>
  <c r="E193" i="1"/>
  <c r="F193" i="1"/>
  <c r="G193" i="1"/>
  <c r="H193" i="1"/>
  <c r="K193" i="1"/>
  <c r="R193" i="1"/>
  <c r="C194" i="1"/>
  <c r="F194" i="5" s="1"/>
  <c r="G194" i="5" s="1"/>
  <c r="E194" i="1"/>
  <c r="H194" i="1"/>
  <c r="I194" i="1"/>
  <c r="K194" i="1"/>
  <c r="R194" i="1"/>
  <c r="C195" i="1"/>
  <c r="D195" i="1" s="1"/>
  <c r="E195" i="1"/>
  <c r="F195" i="1" s="1"/>
  <c r="G195" i="1"/>
  <c r="H195" i="1"/>
  <c r="I195" i="1"/>
  <c r="K195" i="1"/>
  <c r="R195" i="1"/>
  <c r="C196" i="1"/>
  <c r="D196" i="1" s="1"/>
  <c r="E196" i="1"/>
  <c r="G196" i="1" s="1"/>
  <c r="H196" i="1"/>
  <c r="I196" i="1"/>
  <c r="K196" i="1"/>
  <c r="R196" i="1"/>
  <c r="C197" i="1"/>
  <c r="D197" i="1" s="1"/>
  <c r="E197" i="1"/>
  <c r="F197" i="1" s="1"/>
  <c r="H197" i="1"/>
  <c r="I197" i="1"/>
  <c r="K197" i="1"/>
  <c r="R197" i="1"/>
  <c r="C198" i="1"/>
  <c r="D198" i="1"/>
  <c r="E198" i="1"/>
  <c r="F198" i="1"/>
  <c r="G198" i="1"/>
  <c r="H198" i="1"/>
  <c r="I198" i="1"/>
  <c r="K198" i="1"/>
  <c r="R198" i="1"/>
  <c r="C199" i="1"/>
  <c r="D199" i="1"/>
  <c r="E199" i="1"/>
  <c r="F199" i="1"/>
  <c r="F200" i="1" s="1"/>
  <c r="F201" i="1" s="1"/>
  <c r="G199" i="1"/>
  <c r="H199" i="1"/>
  <c r="K199" i="1"/>
  <c r="R199" i="1"/>
  <c r="C200" i="1"/>
  <c r="F200" i="5" s="1"/>
  <c r="G200" i="5" s="1"/>
  <c r="E200" i="1"/>
  <c r="G200" i="1" s="1"/>
  <c r="H200" i="1"/>
  <c r="I200" i="1"/>
  <c r="K200" i="1"/>
  <c r="R200" i="1"/>
  <c r="C201" i="1"/>
  <c r="D201" i="1" s="1"/>
  <c r="E201" i="1"/>
  <c r="G201" i="1"/>
  <c r="H201" i="1"/>
  <c r="K201" i="1"/>
  <c r="R201" i="1"/>
  <c r="C202" i="1"/>
  <c r="D202" i="1"/>
  <c r="E202" i="1"/>
  <c r="H202" i="1"/>
  <c r="I202" i="1"/>
  <c r="K202" i="1"/>
  <c r="R202" i="1"/>
  <c r="C203" i="1"/>
  <c r="E203" i="1"/>
  <c r="H203" i="1"/>
  <c r="I203" i="1"/>
  <c r="K203" i="1"/>
  <c r="R203" i="1"/>
  <c r="C204" i="1"/>
  <c r="F204" i="5" s="1"/>
  <c r="G204" i="5" s="1"/>
  <c r="D204" i="1"/>
  <c r="E204" i="1"/>
  <c r="G204" i="1"/>
  <c r="H204" i="1"/>
  <c r="I204" i="1"/>
  <c r="K204" i="1"/>
  <c r="R204" i="1"/>
  <c r="C205" i="1"/>
  <c r="F205" i="5" s="1"/>
  <c r="E205" i="1"/>
  <c r="G205" i="1"/>
  <c r="H205" i="1"/>
  <c r="I205" i="1"/>
  <c r="K205" i="1"/>
  <c r="R205" i="1"/>
  <c r="C206" i="1"/>
  <c r="D206" i="1" s="1"/>
  <c r="E206" i="1"/>
  <c r="G206" i="1"/>
  <c r="H206" i="1"/>
  <c r="I206" i="1"/>
  <c r="K206" i="1"/>
  <c r="R206" i="1"/>
  <c r="C207" i="1"/>
  <c r="D207" i="1"/>
  <c r="E207" i="1"/>
  <c r="G207" i="1"/>
  <c r="H207" i="1"/>
  <c r="K207" i="1"/>
  <c r="R207" i="1"/>
  <c r="C208" i="1"/>
  <c r="F208" i="5" s="1"/>
  <c r="G208" i="5" s="1"/>
  <c r="D208" i="1"/>
  <c r="E208" i="1"/>
  <c r="G208" i="1" s="1"/>
  <c r="H208" i="1"/>
  <c r="I208" i="1"/>
  <c r="K208" i="1"/>
  <c r="R208" i="1"/>
  <c r="C209" i="1"/>
  <c r="F209" i="5" s="1"/>
  <c r="E209" i="1"/>
  <c r="G209" i="1"/>
  <c r="H209" i="1"/>
  <c r="K209" i="1"/>
  <c r="R209" i="1"/>
  <c r="C210" i="1"/>
  <c r="F210" i="5" s="1"/>
  <c r="G210" i="5" s="1"/>
  <c r="E210" i="1"/>
  <c r="H210" i="1"/>
  <c r="I210" i="1"/>
  <c r="K210" i="1"/>
  <c r="R210" i="1"/>
  <c r="C211" i="1"/>
  <c r="D211" i="1" s="1"/>
  <c r="E211" i="1"/>
  <c r="G211" i="1"/>
  <c r="H211" i="1"/>
  <c r="I211" i="1"/>
  <c r="K211" i="1"/>
  <c r="R211" i="1"/>
  <c r="C212" i="1"/>
  <c r="F212" i="5" s="1"/>
  <c r="G212" i="5" s="1"/>
  <c r="E212" i="1"/>
  <c r="G212" i="1"/>
  <c r="H212" i="1"/>
  <c r="I212" i="1"/>
  <c r="K212" i="1"/>
  <c r="R212" i="1"/>
  <c r="C213" i="1"/>
  <c r="F213" i="5" s="1"/>
  <c r="G213" i="5" s="1"/>
  <c r="E213" i="1"/>
  <c r="G213" i="1"/>
  <c r="H213" i="1"/>
  <c r="I213" i="1"/>
  <c r="K213" i="1"/>
  <c r="R213" i="1"/>
  <c r="C214" i="1"/>
  <c r="D214" i="1" s="1"/>
  <c r="E214" i="1"/>
  <c r="G214" i="1"/>
  <c r="H214" i="1"/>
  <c r="I214" i="1"/>
  <c r="K214" i="1"/>
  <c r="R214" i="1"/>
  <c r="C215" i="1"/>
  <c r="D215" i="1"/>
  <c r="E215" i="1"/>
  <c r="G215" i="1"/>
  <c r="H215" i="1"/>
  <c r="I215" i="1"/>
  <c r="K215" i="1"/>
  <c r="R215" i="1"/>
  <c r="C216" i="1"/>
  <c r="F216" i="5" s="1"/>
  <c r="D216" i="1"/>
  <c r="E216" i="1"/>
  <c r="G216" i="1" s="1"/>
  <c r="H216" i="1"/>
  <c r="K216" i="1"/>
  <c r="R216" i="1"/>
  <c r="C217" i="1"/>
  <c r="F217" i="5" s="1"/>
  <c r="G217" i="5" s="1"/>
  <c r="E217" i="1"/>
  <c r="G217" i="1"/>
  <c r="H217" i="1"/>
  <c r="K217" i="1"/>
  <c r="R217" i="1"/>
  <c r="C218" i="1"/>
  <c r="D218" i="1"/>
  <c r="E218" i="1"/>
  <c r="G218" i="1" s="1"/>
  <c r="H218" i="1"/>
  <c r="K218" i="1"/>
  <c r="R218" i="1"/>
  <c r="C219" i="1"/>
  <c r="D219" i="1" s="1"/>
  <c r="E219" i="1"/>
  <c r="I219" i="1" s="1"/>
  <c r="G219" i="1"/>
  <c r="H219" i="1"/>
  <c r="K219" i="1"/>
  <c r="R219" i="1"/>
  <c r="C220" i="1"/>
  <c r="F220" i="5" s="1"/>
  <c r="E220" i="1"/>
  <c r="G220" i="1" s="1"/>
  <c r="H220" i="1"/>
  <c r="K220" i="1"/>
  <c r="R220" i="1"/>
  <c r="C221" i="1"/>
  <c r="E221" i="1"/>
  <c r="G221" i="1"/>
  <c r="H221" i="1"/>
  <c r="I221" i="1"/>
  <c r="K221" i="1"/>
  <c r="R221" i="1"/>
  <c r="C222" i="1"/>
  <c r="D222" i="1"/>
  <c r="E222" i="1"/>
  <c r="I222" i="1" s="1"/>
  <c r="G222" i="1"/>
  <c r="H222" i="1"/>
  <c r="K222" i="1"/>
  <c r="R222" i="1"/>
  <c r="C223" i="1"/>
  <c r="F223" i="5" s="1"/>
  <c r="G223" i="5" s="1"/>
  <c r="D223" i="1"/>
  <c r="E223" i="1"/>
  <c r="G223" i="1" s="1"/>
  <c r="H223" i="1"/>
  <c r="K223" i="1"/>
  <c r="R223" i="1"/>
  <c r="C224" i="1"/>
  <c r="F224" i="5" s="1"/>
  <c r="G224" i="5" s="1"/>
  <c r="E224" i="1"/>
  <c r="G224" i="1" s="1"/>
  <c r="H224" i="1"/>
  <c r="K224" i="1"/>
  <c r="R224" i="1"/>
  <c r="C225" i="1"/>
  <c r="F225" i="5" s="1"/>
  <c r="E225" i="1"/>
  <c r="H225" i="1"/>
  <c r="K225" i="1"/>
  <c r="R225" i="1"/>
  <c r="C226" i="1"/>
  <c r="D226" i="1" s="1"/>
  <c r="E226" i="1"/>
  <c r="H226" i="1"/>
  <c r="K226" i="1"/>
  <c r="R226" i="1"/>
  <c r="C227" i="1"/>
  <c r="D227" i="1" s="1"/>
  <c r="E227" i="1"/>
  <c r="H227" i="1"/>
  <c r="K227" i="1"/>
  <c r="R227" i="1"/>
  <c r="C228" i="1"/>
  <c r="F228" i="5" s="1"/>
  <c r="E228" i="1"/>
  <c r="H228" i="1"/>
  <c r="K228" i="1"/>
  <c r="R228" i="1"/>
  <c r="C229" i="1"/>
  <c r="D229" i="1" s="1"/>
  <c r="E229" i="1"/>
  <c r="G229" i="1" s="1"/>
  <c r="H229" i="1"/>
  <c r="K229" i="1"/>
  <c r="R229" i="1"/>
  <c r="C230" i="1"/>
  <c r="D230" i="1" s="1"/>
  <c r="E230" i="1"/>
  <c r="G230" i="1" s="1"/>
  <c r="H230" i="1"/>
  <c r="K230" i="1"/>
  <c r="R230" i="1"/>
  <c r="C231" i="1"/>
  <c r="F231" i="5" s="1"/>
  <c r="D231" i="1"/>
  <c r="E231" i="1"/>
  <c r="G231" i="1" s="1"/>
  <c r="H231" i="1"/>
  <c r="K231" i="1"/>
  <c r="R231" i="1"/>
  <c r="C232" i="1"/>
  <c r="E232" i="1"/>
  <c r="G232" i="1" s="1"/>
  <c r="H232" i="1"/>
  <c r="K232" i="1"/>
  <c r="R232" i="1"/>
  <c r="C233" i="1"/>
  <c r="D233" i="1"/>
  <c r="E233" i="1"/>
  <c r="G233" i="1" s="1"/>
  <c r="H233" i="1"/>
  <c r="K233" i="1"/>
  <c r="R233" i="1"/>
  <c r="C234" i="1"/>
  <c r="D234" i="1" s="1"/>
  <c r="E234" i="1"/>
  <c r="G234" i="1" s="1"/>
  <c r="H234" i="1"/>
  <c r="K234" i="1"/>
  <c r="R234" i="1"/>
  <c r="C235" i="1"/>
  <c r="E235" i="1"/>
  <c r="G235" i="1"/>
  <c r="H235" i="1"/>
  <c r="I235" i="1"/>
  <c r="K235" i="1"/>
  <c r="R235" i="1"/>
  <c r="C236" i="1"/>
  <c r="F236" i="5" s="1"/>
  <c r="G236" i="5" s="1"/>
  <c r="D236" i="1"/>
  <c r="E236" i="1"/>
  <c r="G236" i="1"/>
  <c r="H236" i="1"/>
  <c r="I236" i="1"/>
  <c r="K236" i="1"/>
  <c r="R236" i="1"/>
  <c r="C237" i="1"/>
  <c r="D237" i="1" s="1"/>
  <c r="E237" i="1"/>
  <c r="G237" i="1" s="1"/>
  <c r="H237" i="1"/>
  <c r="K237" i="1"/>
  <c r="R237" i="1"/>
  <c r="C238" i="1"/>
  <c r="D238" i="1" s="1"/>
  <c r="E238" i="1"/>
  <c r="H238" i="1"/>
  <c r="I238" i="1"/>
  <c r="K238" i="1"/>
  <c r="R238" i="1"/>
  <c r="C239" i="1"/>
  <c r="D239" i="1"/>
  <c r="E239" i="1"/>
  <c r="G239" i="1"/>
  <c r="H239" i="1"/>
  <c r="I239" i="1"/>
  <c r="K239" i="1"/>
  <c r="R239" i="1"/>
  <c r="C240" i="1"/>
  <c r="D240" i="1" s="1"/>
  <c r="E240" i="1"/>
  <c r="G240" i="1" s="1"/>
  <c r="H240" i="1"/>
  <c r="I240" i="1"/>
  <c r="K240" i="1"/>
  <c r="R240" i="1"/>
  <c r="C241" i="1"/>
  <c r="F241" i="5" s="1"/>
  <c r="G241" i="5" s="1"/>
  <c r="E241" i="1"/>
  <c r="G241" i="1"/>
  <c r="H241" i="1"/>
  <c r="K241" i="1"/>
  <c r="R241" i="1"/>
  <c r="C242" i="1"/>
  <c r="D242" i="1"/>
  <c r="E242" i="1"/>
  <c r="G242" i="1" s="1"/>
  <c r="H242" i="1"/>
  <c r="I242" i="1"/>
  <c r="K242" i="1"/>
  <c r="R242" i="1"/>
  <c r="C243" i="1"/>
  <c r="D243" i="1" s="1"/>
  <c r="E243" i="1"/>
  <c r="G243" i="1"/>
  <c r="H243" i="1"/>
  <c r="I243" i="1"/>
  <c r="K243" i="1"/>
  <c r="R243" i="1"/>
  <c r="C244" i="1"/>
  <c r="F244" i="5" s="1"/>
  <c r="E244" i="1"/>
  <c r="G244" i="1"/>
  <c r="H244" i="1"/>
  <c r="I244" i="1"/>
  <c r="K244" i="1"/>
  <c r="R244" i="1"/>
  <c r="C245" i="1"/>
  <c r="E245" i="1"/>
  <c r="G245" i="1"/>
  <c r="H245" i="1"/>
  <c r="I245" i="1"/>
  <c r="K245" i="1"/>
  <c r="R245" i="1"/>
  <c r="C246" i="1"/>
  <c r="D246" i="1" s="1"/>
  <c r="E246" i="1"/>
  <c r="G246" i="1"/>
  <c r="H246" i="1"/>
  <c r="I246" i="1"/>
  <c r="K246" i="1"/>
  <c r="R246" i="1"/>
  <c r="C247" i="1"/>
  <c r="D247" i="1"/>
  <c r="E247" i="1"/>
  <c r="G247" i="1"/>
  <c r="H247" i="1"/>
  <c r="I247" i="1"/>
  <c r="K247" i="1"/>
  <c r="R247" i="1"/>
  <c r="C248" i="1"/>
  <c r="F248" i="5" s="1"/>
  <c r="G248" i="5" s="1"/>
  <c r="D248" i="1"/>
  <c r="E248" i="1"/>
  <c r="H248" i="1"/>
  <c r="K248" i="1"/>
  <c r="R248" i="1"/>
  <c r="C249" i="1"/>
  <c r="D249" i="1" s="1"/>
  <c r="E249" i="1"/>
  <c r="G249" i="1"/>
  <c r="H249" i="1"/>
  <c r="K249" i="1"/>
  <c r="R249" i="1"/>
  <c r="C250" i="1"/>
  <c r="D250" i="1"/>
  <c r="E250" i="1"/>
  <c r="G250" i="1" s="1"/>
  <c r="H250" i="1"/>
  <c r="K250" i="1"/>
  <c r="R250" i="1"/>
  <c r="C251" i="1"/>
  <c r="D251" i="1" s="1"/>
  <c r="E251" i="1"/>
  <c r="I251" i="1" s="1"/>
  <c r="G251" i="1"/>
  <c r="H251" i="1"/>
  <c r="K251" i="1"/>
  <c r="R251" i="1"/>
  <c r="C252" i="1"/>
  <c r="F252" i="5" s="1"/>
  <c r="G252" i="5" s="1"/>
  <c r="E252" i="1"/>
  <c r="H252" i="1"/>
  <c r="K252" i="1"/>
  <c r="R252" i="1"/>
  <c r="C253" i="1"/>
  <c r="E253" i="1"/>
  <c r="G253" i="1"/>
  <c r="H253" i="1"/>
  <c r="I253" i="1"/>
  <c r="K253" i="1"/>
  <c r="R253" i="1"/>
  <c r="C254" i="1"/>
  <c r="F254" i="5" s="1"/>
  <c r="D254" i="1"/>
  <c r="E254" i="1"/>
  <c r="G254" i="1"/>
  <c r="H254" i="1"/>
  <c r="K254" i="1"/>
  <c r="R254" i="1"/>
  <c r="C255" i="1"/>
  <c r="F255" i="5" s="1"/>
  <c r="G255" i="5" s="1"/>
  <c r="D255" i="1"/>
  <c r="E255" i="1"/>
  <c r="G255" i="1" s="1"/>
  <c r="H255" i="1"/>
  <c r="K255" i="1"/>
  <c r="R255" i="1"/>
  <c r="C256" i="1"/>
  <c r="F256" i="5" s="1"/>
  <c r="G256" i="5" s="1"/>
  <c r="E256" i="1"/>
  <c r="G256" i="1" s="1"/>
  <c r="H256" i="1"/>
  <c r="K256" i="1"/>
  <c r="R256" i="1"/>
  <c r="C257" i="1"/>
  <c r="E257" i="1"/>
  <c r="H257" i="1"/>
  <c r="K257" i="1"/>
  <c r="R257" i="1"/>
  <c r="C258" i="1"/>
  <c r="D258" i="1" s="1"/>
  <c r="E258" i="1"/>
  <c r="H258" i="1"/>
  <c r="K258" i="1"/>
  <c r="R258" i="1"/>
  <c r="C259" i="1"/>
  <c r="E259" i="1"/>
  <c r="H259" i="1"/>
  <c r="K259" i="1"/>
  <c r="R259" i="1"/>
  <c r="C260" i="1"/>
  <c r="E260" i="1"/>
  <c r="H260" i="1"/>
  <c r="K260" i="1"/>
  <c r="R260" i="1"/>
  <c r="C261" i="1"/>
  <c r="D261" i="1" s="1"/>
  <c r="E261" i="1"/>
  <c r="G261" i="1" s="1"/>
  <c r="H261" i="1"/>
  <c r="K261" i="1"/>
  <c r="R261" i="1"/>
  <c r="C262" i="1"/>
  <c r="D262" i="1" s="1"/>
  <c r="E262" i="1"/>
  <c r="H262" i="1"/>
  <c r="K262" i="1"/>
  <c r="R262" i="1"/>
  <c r="C263" i="1"/>
  <c r="F263" i="5" s="1"/>
  <c r="D263" i="1"/>
  <c r="E263" i="1"/>
  <c r="G263" i="1" s="1"/>
  <c r="H263" i="1"/>
  <c r="K263" i="1"/>
  <c r="R263" i="1"/>
  <c r="C264" i="1"/>
  <c r="E264" i="1"/>
  <c r="G264" i="1" s="1"/>
  <c r="H264" i="1"/>
  <c r="K264" i="1"/>
  <c r="R264" i="1"/>
  <c r="C265" i="1"/>
  <c r="D265" i="1" s="1"/>
  <c r="E265" i="1"/>
  <c r="G265" i="1" s="1"/>
  <c r="H265" i="1"/>
  <c r="K265" i="1"/>
  <c r="R265" i="1"/>
  <c r="C266" i="1"/>
  <c r="E266" i="1"/>
  <c r="G266" i="1" s="1"/>
  <c r="H266" i="1"/>
  <c r="K266" i="1"/>
  <c r="R266" i="1"/>
  <c r="C267" i="1"/>
  <c r="E267" i="1"/>
  <c r="G267" i="1"/>
  <c r="H267" i="1"/>
  <c r="I267" i="1"/>
  <c r="K267" i="1"/>
  <c r="R267" i="1"/>
  <c r="C268" i="1"/>
  <c r="F268" i="5" s="1"/>
  <c r="E268" i="1"/>
  <c r="G268" i="1"/>
  <c r="H268" i="1"/>
  <c r="I268" i="1"/>
  <c r="K268" i="1"/>
  <c r="R268" i="1"/>
  <c r="C269" i="1"/>
  <c r="E269" i="1"/>
  <c r="G269" i="1" s="1"/>
  <c r="H269" i="1"/>
  <c r="K269" i="1"/>
  <c r="R269" i="1"/>
  <c r="C270" i="1"/>
  <c r="D270" i="1" s="1"/>
  <c r="E270" i="1"/>
  <c r="H270" i="1"/>
  <c r="I270" i="1"/>
  <c r="K270" i="1"/>
  <c r="R270" i="1"/>
  <c r="C271" i="1"/>
  <c r="F271" i="5" s="1"/>
  <c r="G271" i="5" s="1"/>
  <c r="D271" i="1"/>
  <c r="E271" i="1"/>
  <c r="G271" i="1"/>
  <c r="H271" i="1"/>
  <c r="I271" i="1"/>
  <c r="K271" i="1"/>
  <c r="R271" i="1"/>
  <c r="C272" i="1"/>
  <c r="F272" i="5" s="1"/>
  <c r="G272" i="5" s="1"/>
  <c r="E272" i="1"/>
  <c r="G272" i="1" s="1"/>
  <c r="H272" i="1"/>
  <c r="I272" i="1"/>
  <c r="K272" i="1"/>
  <c r="R272" i="1"/>
  <c r="C273" i="1"/>
  <c r="D273" i="1" s="1"/>
  <c r="E273" i="1"/>
  <c r="G273" i="1"/>
  <c r="H273" i="1"/>
  <c r="K273" i="1"/>
  <c r="R273" i="1"/>
  <c r="C274" i="1"/>
  <c r="D274" i="1"/>
  <c r="E274" i="1"/>
  <c r="G274" i="1" s="1"/>
  <c r="H274" i="1"/>
  <c r="I274" i="1"/>
  <c r="K274" i="1"/>
  <c r="R274" i="1"/>
  <c r="C275" i="1"/>
  <c r="D275" i="1" s="1"/>
  <c r="E275" i="1"/>
  <c r="G275" i="1"/>
  <c r="H275" i="1"/>
  <c r="I275" i="1"/>
  <c r="K275" i="1"/>
  <c r="R275" i="1"/>
  <c r="C276" i="1"/>
  <c r="D276" i="1" s="1"/>
  <c r="E276" i="1"/>
  <c r="G276" i="1"/>
  <c r="H276" i="1"/>
  <c r="I276" i="1"/>
  <c r="K276" i="1"/>
  <c r="R276" i="1"/>
  <c r="C277" i="1"/>
  <c r="D277" i="1" s="1"/>
  <c r="E277" i="1"/>
  <c r="G277" i="1"/>
  <c r="H277" i="1"/>
  <c r="I277" i="1"/>
  <c r="K277" i="1"/>
  <c r="R277" i="1"/>
  <c r="C278" i="1"/>
  <c r="D278" i="1" s="1"/>
  <c r="E278" i="1"/>
  <c r="G278" i="1"/>
  <c r="H278" i="1"/>
  <c r="I278" i="1"/>
  <c r="K278" i="1"/>
  <c r="R278" i="1"/>
  <c r="C279" i="1"/>
  <c r="D279" i="1"/>
  <c r="E279" i="1"/>
  <c r="G279" i="1"/>
  <c r="H279" i="1"/>
  <c r="I279" i="1"/>
  <c r="K279" i="1"/>
  <c r="R279" i="1"/>
  <c r="C280" i="1"/>
  <c r="F280" i="5" s="1"/>
  <c r="G280" i="5" s="1"/>
  <c r="D280" i="1"/>
  <c r="E280" i="1"/>
  <c r="H280" i="1"/>
  <c r="K280" i="1"/>
  <c r="R280" i="1"/>
  <c r="C281" i="1"/>
  <c r="D281" i="1" s="1"/>
  <c r="E281" i="1"/>
  <c r="G281" i="1"/>
  <c r="H281" i="1"/>
  <c r="K281" i="1"/>
  <c r="R281" i="1"/>
  <c r="C282" i="1"/>
  <c r="F282" i="5" s="1"/>
  <c r="G282" i="5" s="1"/>
  <c r="D282" i="1"/>
  <c r="E282" i="1"/>
  <c r="G282" i="1" s="1"/>
  <c r="H282" i="1"/>
  <c r="K282" i="1"/>
  <c r="R282" i="1"/>
  <c r="C283" i="1"/>
  <c r="D283" i="1" s="1"/>
  <c r="E283" i="1"/>
  <c r="I283" i="1" s="1"/>
  <c r="G283" i="1"/>
  <c r="H283" i="1"/>
  <c r="K283" i="1"/>
  <c r="R283" i="1"/>
  <c r="C284" i="1"/>
  <c r="F284" i="5" s="1"/>
  <c r="G284" i="5" s="1"/>
  <c r="E284" i="1"/>
  <c r="H284" i="1"/>
  <c r="K284" i="1"/>
  <c r="R284" i="1"/>
  <c r="C285" i="1"/>
  <c r="E285" i="1"/>
  <c r="G285" i="1"/>
  <c r="H285" i="1"/>
  <c r="I285" i="1"/>
  <c r="K285" i="1"/>
  <c r="R285" i="1"/>
  <c r="C286" i="1"/>
  <c r="F286" i="5" s="1"/>
  <c r="D286" i="1"/>
  <c r="E286" i="1"/>
  <c r="G286" i="1" s="1"/>
  <c r="H286" i="1"/>
  <c r="K286" i="1"/>
  <c r="R286" i="1"/>
  <c r="C287" i="1"/>
  <c r="D287" i="1"/>
  <c r="E287" i="1"/>
  <c r="G287" i="1" s="1"/>
  <c r="H287" i="1"/>
  <c r="K287" i="1"/>
  <c r="R287" i="1"/>
  <c r="C288" i="1"/>
  <c r="F288" i="5" s="1"/>
  <c r="G288" i="5" s="1"/>
  <c r="E288" i="1"/>
  <c r="G288" i="1" s="1"/>
  <c r="H288" i="1"/>
  <c r="K288" i="1"/>
  <c r="R288" i="1"/>
  <c r="C289" i="1"/>
  <c r="D289" i="1" s="1"/>
  <c r="E289" i="1"/>
  <c r="H289" i="1"/>
  <c r="K289" i="1"/>
  <c r="R289" i="1"/>
  <c r="C290" i="1"/>
  <c r="D290" i="1" s="1"/>
  <c r="E290" i="1"/>
  <c r="H290" i="1"/>
  <c r="K290" i="1"/>
  <c r="R290" i="1"/>
  <c r="C291" i="1"/>
  <c r="D291" i="1" s="1"/>
  <c r="E291" i="1"/>
  <c r="G291" i="1" s="1"/>
  <c r="H291" i="1"/>
  <c r="K291" i="1"/>
  <c r="R291" i="1"/>
  <c r="C292" i="1"/>
  <c r="D292" i="1" s="1"/>
  <c r="E292" i="1"/>
  <c r="H292" i="1"/>
  <c r="K292" i="1"/>
  <c r="R292" i="1"/>
  <c r="C293" i="1"/>
  <c r="E293" i="1"/>
  <c r="G293" i="1" s="1"/>
  <c r="H293" i="1"/>
  <c r="K293" i="1"/>
  <c r="R293" i="1"/>
  <c r="C294" i="1"/>
  <c r="F294" i="5" s="1"/>
  <c r="G294" i="5" s="1"/>
  <c r="E294" i="1"/>
  <c r="H294" i="1"/>
  <c r="K294" i="1"/>
  <c r="R294" i="1"/>
  <c r="C295" i="1"/>
  <c r="F295" i="5" s="1"/>
  <c r="G295" i="5" s="1"/>
  <c r="D295" i="1"/>
  <c r="E295" i="1"/>
  <c r="G295" i="1" s="1"/>
  <c r="H295" i="1"/>
  <c r="K295" i="1"/>
  <c r="R295" i="1"/>
  <c r="C296" i="1"/>
  <c r="E296" i="1"/>
  <c r="G296" i="1" s="1"/>
  <c r="H296" i="1"/>
  <c r="K296" i="1"/>
  <c r="R296" i="1"/>
  <c r="C297" i="1"/>
  <c r="D297" i="1" s="1"/>
  <c r="E297" i="1"/>
  <c r="G297" i="1" s="1"/>
  <c r="H297" i="1"/>
  <c r="K297" i="1"/>
  <c r="R297" i="1"/>
  <c r="C298" i="1"/>
  <c r="D298" i="1" s="1"/>
  <c r="E298" i="1"/>
  <c r="G298" i="1" s="1"/>
  <c r="H298" i="1"/>
  <c r="K298" i="1"/>
  <c r="R298" i="1"/>
  <c r="C299" i="1"/>
  <c r="E299" i="1"/>
  <c r="G299" i="1"/>
  <c r="H299" i="1"/>
  <c r="I299" i="1"/>
  <c r="K299" i="1"/>
  <c r="R299" i="1"/>
  <c r="C300" i="1"/>
  <c r="D300" i="1" s="1"/>
  <c r="E300" i="1"/>
  <c r="G300" i="1"/>
  <c r="H300" i="1"/>
  <c r="I300" i="1"/>
  <c r="K300" i="1"/>
  <c r="R300" i="1"/>
  <c r="C301" i="1"/>
  <c r="E301" i="1"/>
  <c r="G301" i="1" s="1"/>
  <c r="H301" i="1"/>
  <c r="K301" i="1"/>
  <c r="R301" i="1"/>
  <c r="C302" i="1"/>
  <c r="D302" i="1" s="1"/>
  <c r="E302" i="1"/>
  <c r="H302" i="1"/>
  <c r="K302" i="1"/>
  <c r="R302" i="1"/>
  <c r="C303" i="1"/>
  <c r="D303" i="1"/>
  <c r="E303" i="1"/>
  <c r="G303" i="1"/>
  <c r="H303" i="1"/>
  <c r="I303" i="1"/>
  <c r="K303" i="1"/>
  <c r="R303" i="1"/>
  <c r="C304" i="1"/>
  <c r="D304" i="1" s="1"/>
  <c r="E304" i="1"/>
  <c r="G304" i="1" s="1"/>
  <c r="H304" i="1"/>
  <c r="K304" i="1"/>
  <c r="R304" i="1"/>
  <c r="C305" i="1"/>
  <c r="D305" i="1" s="1"/>
  <c r="E305" i="1"/>
  <c r="G305" i="1"/>
  <c r="H305" i="1"/>
  <c r="K305" i="1"/>
  <c r="R305" i="1"/>
  <c r="C306" i="1"/>
  <c r="D306" i="1"/>
  <c r="E306" i="1"/>
  <c r="G306" i="1" s="1"/>
  <c r="H306" i="1"/>
  <c r="I306" i="1"/>
  <c r="K306" i="1"/>
  <c r="R306" i="1"/>
  <c r="C307" i="1"/>
  <c r="D307" i="1" s="1"/>
  <c r="E307" i="1"/>
  <c r="G307" i="1"/>
  <c r="H307" i="1"/>
  <c r="I307" i="1"/>
  <c r="K307" i="1"/>
  <c r="R307" i="1"/>
  <c r="C308" i="1"/>
  <c r="F308" i="5" s="1"/>
  <c r="G308" i="5" s="1"/>
  <c r="E308" i="1"/>
  <c r="G308" i="1"/>
  <c r="H308" i="1"/>
  <c r="I308" i="1"/>
  <c r="K308" i="1"/>
  <c r="R308" i="1"/>
  <c r="C309" i="1"/>
  <c r="E309" i="1"/>
  <c r="G309" i="1"/>
  <c r="H309" i="1"/>
  <c r="I309" i="1"/>
  <c r="K309" i="1"/>
  <c r="R309" i="1"/>
  <c r="C310" i="1"/>
  <c r="D310" i="1" s="1"/>
  <c r="E310" i="1"/>
  <c r="G310" i="1"/>
  <c r="H310" i="1"/>
  <c r="I310" i="1"/>
  <c r="K310" i="1"/>
  <c r="R310" i="1"/>
  <c r="C311" i="1"/>
  <c r="D311" i="1"/>
  <c r="E311" i="1"/>
  <c r="G311" i="1"/>
  <c r="H311" i="1"/>
  <c r="I311" i="1"/>
  <c r="K311" i="1"/>
  <c r="R311" i="1"/>
  <c r="C312" i="1"/>
  <c r="F312" i="5" s="1"/>
  <c r="G312" i="5" s="1"/>
  <c r="D312" i="1"/>
  <c r="E312" i="1"/>
  <c r="H312" i="1"/>
  <c r="K312" i="1"/>
  <c r="R312" i="1"/>
  <c r="C313" i="1"/>
  <c r="D313" i="1" s="1"/>
  <c r="E313" i="1"/>
  <c r="G313" i="1"/>
  <c r="H313" i="1"/>
  <c r="K313" i="1"/>
  <c r="R313" i="1"/>
  <c r="C314" i="1"/>
  <c r="D314" i="1"/>
  <c r="E314" i="1"/>
  <c r="G314" i="1" s="1"/>
  <c r="H314" i="1"/>
  <c r="K314" i="1"/>
  <c r="R314" i="1"/>
  <c r="C315" i="1"/>
  <c r="D315" i="1" s="1"/>
  <c r="E315" i="1"/>
  <c r="I315" i="1" s="1"/>
  <c r="H315" i="1"/>
  <c r="K315" i="1"/>
  <c r="R315" i="1"/>
  <c r="C316" i="1"/>
  <c r="D316" i="1" s="1"/>
  <c r="E316" i="1"/>
  <c r="H316" i="1"/>
  <c r="K316" i="1"/>
  <c r="R316" i="1"/>
  <c r="C317" i="1"/>
  <c r="E317" i="1"/>
  <c r="G317" i="1"/>
  <c r="H317" i="1"/>
  <c r="I317" i="1"/>
  <c r="K317" i="1"/>
  <c r="R317" i="1"/>
  <c r="C318" i="1"/>
  <c r="F318" i="5" s="1"/>
  <c r="G318" i="5" s="1"/>
  <c r="D318" i="1"/>
  <c r="E318" i="1"/>
  <c r="G318" i="1"/>
  <c r="H318" i="1"/>
  <c r="K318" i="1"/>
  <c r="R318" i="1"/>
  <c r="C319" i="1"/>
  <c r="F319" i="5" s="1"/>
  <c r="G319" i="5" s="1"/>
  <c r="D319" i="1"/>
  <c r="E319" i="1"/>
  <c r="G319" i="1" s="1"/>
  <c r="H319" i="1"/>
  <c r="K319" i="1"/>
  <c r="R319" i="1"/>
  <c r="C320" i="1"/>
  <c r="F320" i="5" s="1"/>
  <c r="E320" i="1"/>
  <c r="H320" i="1"/>
  <c r="K320" i="1"/>
  <c r="R320" i="1"/>
  <c r="C321" i="1"/>
  <c r="D321" i="1" s="1"/>
  <c r="E321" i="1"/>
  <c r="H321" i="1"/>
  <c r="K321" i="1"/>
  <c r="R321" i="1"/>
  <c r="C322" i="1"/>
  <c r="D322" i="1" s="1"/>
  <c r="E322" i="1"/>
  <c r="H322" i="1"/>
  <c r="K322" i="1"/>
  <c r="R322" i="1"/>
  <c r="C323" i="1"/>
  <c r="E323" i="1"/>
  <c r="G323" i="1" s="1"/>
  <c r="H323" i="1"/>
  <c r="K323" i="1"/>
  <c r="R323" i="1"/>
  <c r="C324" i="1"/>
  <c r="D324" i="1" s="1"/>
  <c r="E324" i="1"/>
  <c r="H324" i="1"/>
  <c r="K324" i="1"/>
  <c r="R324" i="1"/>
  <c r="C325" i="1"/>
  <c r="E325" i="1"/>
  <c r="G325" i="1" s="1"/>
  <c r="H325" i="1"/>
  <c r="K325" i="1"/>
  <c r="R325" i="1"/>
  <c r="C326" i="1"/>
  <c r="D326" i="1" s="1"/>
  <c r="E326" i="1"/>
  <c r="H326" i="1"/>
  <c r="K326" i="1"/>
  <c r="R326" i="1"/>
  <c r="C327" i="1"/>
  <c r="D327" i="1"/>
  <c r="E327" i="1"/>
  <c r="G327" i="1" s="1"/>
  <c r="H327" i="1"/>
  <c r="K327" i="1"/>
  <c r="R327" i="1"/>
  <c r="C328" i="1"/>
  <c r="D328" i="1" s="1"/>
  <c r="E328" i="1"/>
  <c r="H328" i="1"/>
  <c r="K328" i="1"/>
  <c r="R328" i="1"/>
  <c r="C329" i="1"/>
  <c r="D329" i="1" s="1"/>
  <c r="E329" i="1"/>
  <c r="G329" i="1" s="1"/>
  <c r="H329" i="1"/>
  <c r="K329" i="1"/>
  <c r="R329" i="1"/>
  <c r="C330" i="1"/>
  <c r="D330" i="1" s="1"/>
  <c r="E330" i="1"/>
  <c r="G330" i="1" s="1"/>
  <c r="H330" i="1"/>
  <c r="K330" i="1"/>
  <c r="R330" i="1"/>
  <c r="C331" i="1"/>
  <c r="D331" i="1" s="1"/>
  <c r="E331" i="1"/>
  <c r="G331" i="1"/>
  <c r="H331" i="1"/>
  <c r="I331" i="1"/>
  <c r="K331" i="1"/>
  <c r="R331" i="1"/>
  <c r="C332" i="1"/>
  <c r="E332" i="1"/>
  <c r="G332" i="1"/>
  <c r="H332" i="1"/>
  <c r="I332" i="1"/>
  <c r="K332" i="1"/>
  <c r="R332" i="1"/>
  <c r="C333" i="1"/>
  <c r="E333" i="1"/>
  <c r="G333" i="1" s="1"/>
  <c r="H333" i="1"/>
  <c r="K333" i="1"/>
  <c r="R333" i="1"/>
  <c r="C334" i="1"/>
  <c r="D334" i="1" s="1"/>
  <c r="E334" i="1"/>
  <c r="H334" i="1"/>
  <c r="K334" i="1"/>
  <c r="R334" i="1"/>
  <c r="C335" i="1"/>
  <c r="D335" i="1"/>
  <c r="E335" i="1"/>
  <c r="G335" i="1"/>
  <c r="H335" i="1"/>
  <c r="K335" i="1"/>
  <c r="R335" i="1"/>
  <c r="C336" i="1"/>
  <c r="F336" i="5" s="1"/>
  <c r="G336" i="5" s="1"/>
  <c r="E336" i="1"/>
  <c r="G336" i="1" s="1"/>
  <c r="H336" i="1"/>
  <c r="K336" i="1"/>
  <c r="R336" i="1"/>
  <c r="C337" i="1"/>
  <c r="D337" i="1" s="1"/>
  <c r="E337" i="1"/>
  <c r="G337" i="1"/>
  <c r="H337" i="1"/>
  <c r="K337" i="1"/>
  <c r="R337" i="1"/>
  <c r="C338" i="1"/>
  <c r="D338" i="1"/>
  <c r="E338" i="1"/>
  <c r="G338" i="1" s="1"/>
  <c r="H338" i="1"/>
  <c r="I338" i="1"/>
  <c r="K338" i="1"/>
  <c r="R338" i="1"/>
  <c r="C339" i="1"/>
  <c r="D339" i="1" s="1"/>
  <c r="E339" i="1"/>
  <c r="G339" i="1" s="1"/>
  <c r="H339" i="1"/>
  <c r="I339" i="1"/>
  <c r="K339" i="1"/>
  <c r="R339" i="1"/>
  <c r="C340" i="1"/>
  <c r="D340" i="1" s="1"/>
  <c r="E340" i="1"/>
  <c r="G340" i="1" s="1"/>
  <c r="H340" i="1"/>
  <c r="I340" i="1"/>
  <c r="K340" i="1"/>
  <c r="R340" i="1"/>
  <c r="C341" i="1"/>
  <c r="E341" i="1"/>
  <c r="G341" i="1"/>
  <c r="H341" i="1"/>
  <c r="K341" i="1"/>
  <c r="R341" i="1"/>
  <c r="C342" i="1"/>
  <c r="F342" i="5" s="1"/>
  <c r="G342" i="5" s="1"/>
  <c r="E342" i="1"/>
  <c r="G342" i="1" s="1"/>
  <c r="H342" i="1"/>
  <c r="K342" i="1"/>
  <c r="R342" i="1"/>
  <c r="C343" i="1"/>
  <c r="F343" i="5" s="1"/>
  <c r="G343" i="5" s="1"/>
  <c r="D343" i="1"/>
  <c r="E343" i="1"/>
  <c r="G343" i="1"/>
  <c r="H343" i="1"/>
  <c r="I343" i="1"/>
  <c r="K343" i="1"/>
  <c r="R343" i="1"/>
  <c r="C344" i="1"/>
  <c r="F344" i="5" s="1"/>
  <c r="D344" i="1"/>
  <c r="E344" i="1"/>
  <c r="H344" i="1"/>
  <c r="K344" i="1"/>
  <c r="R344" i="1"/>
  <c r="C345" i="1"/>
  <c r="E345" i="1"/>
  <c r="G345" i="1" s="1"/>
  <c r="H345" i="1"/>
  <c r="K345" i="1"/>
  <c r="R345" i="1"/>
  <c r="C346" i="1"/>
  <c r="D346" i="1" s="1"/>
  <c r="E346" i="1"/>
  <c r="H346" i="1"/>
  <c r="K346" i="1"/>
  <c r="R346" i="1"/>
  <c r="C347" i="1"/>
  <c r="E347" i="1"/>
  <c r="I347" i="1" s="1"/>
  <c r="H347" i="1"/>
  <c r="K347" i="1"/>
  <c r="R347" i="1"/>
  <c r="C348" i="1"/>
  <c r="D348" i="1" s="1"/>
  <c r="E348" i="1"/>
  <c r="H348" i="1"/>
  <c r="K348" i="1"/>
  <c r="R348" i="1"/>
  <c r="C349" i="1"/>
  <c r="E349" i="1"/>
  <c r="G349" i="1"/>
  <c r="H349" i="1"/>
  <c r="I349" i="1"/>
  <c r="K349" i="1"/>
  <c r="R349" i="1"/>
  <c r="C350" i="1"/>
  <c r="D350" i="1"/>
  <c r="E350" i="1"/>
  <c r="G350" i="1" s="1"/>
  <c r="H350" i="1"/>
  <c r="K350" i="1"/>
  <c r="R350" i="1"/>
  <c r="C351" i="1"/>
  <c r="D351" i="1"/>
  <c r="E351" i="1"/>
  <c r="G351" i="1" s="1"/>
  <c r="H351" i="1"/>
  <c r="K351" i="1"/>
  <c r="R351" i="1"/>
  <c r="C352" i="1"/>
  <c r="D352" i="1" s="1"/>
  <c r="E352" i="1"/>
  <c r="H352" i="1"/>
  <c r="K352" i="1"/>
  <c r="R352" i="1"/>
  <c r="C353" i="1"/>
  <c r="D353" i="1" s="1"/>
  <c r="E353" i="1"/>
  <c r="H353" i="1"/>
  <c r="K353" i="1"/>
  <c r="R353" i="1"/>
  <c r="C354" i="1"/>
  <c r="D354" i="1" s="1"/>
  <c r="E354" i="1"/>
  <c r="H354" i="1"/>
  <c r="K354" i="1"/>
  <c r="R354" i="1"/>
  <c r="C355" i="1"/>
  <c r="D355" i="1" s="1"/>
  <c r="E355" i="1"/>
  <c r="G355" i="1" s="1"/>
  <c r="H355" i="1"/>
  <c r="K355" i="1"/>
  <c r="R355" i="1"/>
  <c r="C356" i="1"/>
  <c r="E356" i="1"/>
  <c r="H356" i="1"/>
  <c r="K356" i="1"/>
  <c r="R356" i="1"/>
  <c r="C357" i="1"/>
  <c r="E357" i="1"/>
  <c r="G357" i="1" s="1"/>
  <c r="H357" i="1"/>
  <c r="K357" i="1"/>
  <c r="R357" i="1"/>
  <c r="C358" i="1"/>
  <c r="D358" i="1"/>
  <c r="E358" i="1"/>
  <c r="G358" i="1"/>
  <c r="H358" i="1"/>
  <c r="I358" i="1"/>
  <c r="K358" i="1"/>
  <c r="R358" i="1"/>
  <c r="C359" i="1"/>
  <c r="F359" i="5" s="1"/>
  <c r="G359" i="5" s="1"/>
  <c r="D359" i="1"/>
  <c r="E359" i="1"/>
  <c r="G359" i="1"/>
  <c r="H359" i="1"/>
  <c r="I359" i="1"/>
  <c r="K359" i="1"/>
  <c r="R359" i="1"/>
  <c r="C360" i="1"/>
  <c r="F360" i="5" s="1"/>
  <c r="G360" i="5" s="1"/>
  <c r="D360" i="1"/>
  <c r="E360" i="1"/>
  <c r="G360" i="1" s="1"/>
  <c r="H360" i="1"/>
  <c r="I360" i="1"/>
  <c r="K360" i="1"/>
  <c r="R360" i="1"/>
  <c r="C361" i="1"/>
  <c r="D361" i="1"/>
  <c r="E361" i="1"/>
  <c r="G361" i="1"/>
  <c r="H361" i="1"/>
  <c r="K361" i="1"/>
  <c r="R361" i="1"/>
  <c r="C362" i="1"/>
  <c r="D362" i="1"/>
  <c r="E362" i="1"/>
  <c r="G362" i="1" s="1"/>
  <c r="H362" i="1"/>
  <c r="I362" i="1"/>
  <c r="K362" i="1"/>
  <c r="R362" i="1"/>
  <c r="C363" i="1"/>
  <c r="D363" i="1" s="1"/>
  <c r="E363" i="1"/>
  <c r="G363" i="1"/>
  <c r="H363" i="1"/>
  <c r="I363" i="1"/>
  <c r="K363" i="1"/>
  <c r="R363" i="1"/>
  <c r="C364" i="1"/>
  <c r="D364" i="1"/>
  <c r="E364" i="1"/>
  <c r="G364" i="1"/>
  <c r="H364" i="1"/>
  <c r="I364" i="1"/>
  <c r="K364" i="1"/>
  <c r="R364" i="1"/>
  <c r="C365" i="1"/>
  <c r="F365" i="5" s="1"/>
  <c r="G365" i="5" s="1"/>
  <c r="E365" i="1"/>
  <c r="G365" i="1" s="1"/>
  <c r="H365" i="1"/>
  <c r="K365" i="1"/>
  <c r="R365" i="1"/>
  <c r="C366" i="1"/>
  <c r="D366" i="1"/>
  <c r="E366" i="1"/>
  <c r="I366" i="1" s="1"/>
  <c r="G366" i="1"/>
  <c r="H366" i="1"/>
  <c r="K366" i="1"/>
  <c r="R366" i="1"/>
  <c r="C367" i="1"/>
  <c r="F367" i="5" s="1"/>
  <c r="G367" i="5" s="1"/>
  <c r="D367" i="1"/>
  <c r="E367" i="1"/>
  <c r="G367" i="1" s="1"/>
  <c r="H367" i="1"/>
  <c r="K367" i="1"/>
  <c r="R367" i="1"/>
  <c r="C368" i="1"/>
  <c r="F368" i="5" s="1"/>
  <c r="D368" i="1"/>
  <c r="E368" i="1"/>
  <c r="G368" i="1" s="1"/>
  <c r="H368" i="1"/>
  <c r="I368" i="1"/>
  <c r="K368" i="1"/>
  <c r="R368" i="1"/>
  <c r="C369" i="1"/>
  <c r="F369" i="5" s="1"/>
  <c r="D369" i="1"/>
  <c r="E369" i="1"/>
  <c r="G369" i="1" s="1"/>
  <c r="H369" i="1"/>
  <c r="K369" i="1"/>
  <c r="R369" i="1"/>
  <c r="C370" i="1"/>
  <c r="D370" i="1"/>
  <c r="E370" i="1"/>
  <c r="G370" i="1" s="1"/>
  <c r="H370" i="1"/>
  <c r="K370" i="1"/>
  <c r="R370" i="1"/>
  <c r="C371" i="1"/>
  <c r="E371" i="1"/>
  <c r="G371" i="1" s="1"/>
  <c r="H371" i="1"/>
  <c r="K371" i="1"/>
  <c r="R371" i="1"/>
  <c r="C372" i="1"/>
  <c r="D372" i="1" s="1"/>
  <c r="E372" i="1"/>
  <c r="H372" i="1"/>
  <c r="K372" i="1"/>
  <c r="R372" i="1"/>
  <c r="C373" i="1"/>
  <c r="E373" i="1"/>
  <c r="H373" i="1"/>
  <c r="I373" i="1"/>
  <c r="K373" i="1"/>
  <c r="R373" i="1"/>
  <c r="C374" i="1"/>
  <c r="D374" i="1"/>
  <c r="E374" i="1"/>
  <c r="G374" i="1" s="1"/>
  <c r="H374" i="1"/>
  <c r="I374" i="1"/>
  <c r="K374" i="1"/>
  <c r="R374" i="1"/>
  <c r="C375" i="1"/>
  <c r="D375" i="1"/>
  <c r="E375" i="1"/>
  <c r="H375" i="1"/>
  <c r="I375" i="1"/>
  <c r="K375" i="1"/>
  <c r="R375" i="1"/>
  <c r="C376" i="1"/>
  <c r="D376" i="1"/>
  <c r="E376" i="1"/>
  <c r="G376" i="1" s="1"/>
  <c r="H376" i="1"/>
  <c r="I376" i="1"/>
  <c r="K376" i="1"/>
  <c r="R376" i="1"/>
  <c r="C377" i="1"/>
  <c r="D377" i="1"/>
  <c r="E377" i="1"/>
  <c r="G377" i="1"/>
  <c r="H377" i="1"/>
  <c r="K377" i="1"/>
  <c r="R377" i="1"/>
  <c r="C378" i="1"/>
  <c r="D378" i="1"/>
  <c r="E378" i="1"/>
  <c r="G378" i="1"/>
  <c r="H378" i="1"/>
  <c r="K378" i="1"/>
  <c r="R378" i="1"/>
  <c r="C379" i="1"/>
  <c r="D379" i="1" s="1"/>
  <c r="E379" i="1"/>
  <c r="G379" i="1" s="1"/>
  <c r="H379" i="1"/>
  <c r="I379" i="1"/>
  <c r="K379" i="1"/>
  <c r="R379" i="1"/>
  <c r="C380" i="1"/>
  <c r="E380" i="1"/>
  <c r="G380" i="1"/>
  <c r="H380" i="1"/>
  <c r="I380" i="1"/>
  <c r="K380" i="1"/>
  <c r="R380" i="1"/>
  <c r="C381" i="1"/>
  <c r="D381" i="1" s="1"/>
  <c r="E381" i="1"/>
  <c r="G381" i="1"/>
  <c r="H381" i="1"/>
  <c r="I381" i="1"/>
  <c r="K381" i="1"/>
  <c r="R381" i="1"/>
  <c r="C382" i="1"/>
  <c r="D382" i="1"/>
  <c r="E382" i="1"/>
  <c r="G382" i="1"/>
  <c r="H382" i="1"/>
  <c r="I382" i="1"/>
  <c r="K382" i="1"/>
  <c r="R382" i="1"/>
  <c r="C383" i="1"/>
  <c r="D383" i="1"/>
  <c r="E383" i="1"/>
  <c r="G383" i="1"/>
  <c r="H383" i="1"/>
  <c r="K383" i="1"/>
  <c r="R383" i="1"/>
  <c r="C384" i="1"/>
  <c r="F384" i="5" s="1"/>
  <c r="G384" i="5" s="1"/>
  <c r="D384" i="1"/>
  <c r="E384" i="1"/>
  <c r="G384" i="1" s="1"/>
  <c r="H384" i="1"/>
  <c r="I384" i="1"/>
  <c r="K384" i="1"/>
  <c r="R384" i="1"/>
  <c r="C385" i="1"/>
  <c r="D385" i="1"/>
  <c r="E385" i="1"/>
  <c r="G385" i="1" s="1"/>
  <c r="H385" i="1"/>
  <c r="K385" i="1"/>
  <c r="R385" i="1"/>
  <c r="C386" i="1"/>
  <c r="D386" i="1"/>
  <c r="E386" i="1"/>
  <c r="G386" i="1" s="1"/>
  <c r="H386" i="1"/>
  <c r="K386" i="1"/>
  <c r="R386" i="1"/>
  <c r="C387" i="1"/>
  <c r="D387" i="1" s="1"/>
  <c r="E387" i="1"/>
  <c r="G387" i="1" s="1"/>
  <c r="H387" i="1"/>
  <c r="K387" i="1"/>
  <c r="R387" i="1"/>
  <c r="C388" i="1"/>
  <c r="D388" i="1"/>
  <c r="E388" i="1"/>
  <c r="H388" i="1"/>
  <c r="K388" i="1"/>
  <c r="R388" i="1"/>
  <c r="C389" i="1"/>
  <c r="E389" i="1"/>
  <c r="H389" i="1"/>
  <c r="K389" i="1"/>
  <c r="R389" i="1"/>
  <c r="C390" i="1"/>
  <c r="F390" i="5" s="1"/>
  <c r="D390" i="1"/>
  <c r="E390" i="1"/>
  <c r="G390" i="1" s="1"/>
  <c r="H390" i="1"/>
  <c r="K390" i="1"/>
  <c r="R390" i="1"/>
  <c r="C391" i="1"/>
  <c r="F391" i="5" s="1"/>
  <c r="G391" i="5" s="1"/>
  <c r="D391" i="1"/>
  <c r="E391" i="1"/>
  <c r="H391" i="1"/>
  <c r="I391" i="1"/>
  <c r="K391" i="1"/>
  <c r="R391" i="1"/>
  <c r="C392" i="1"/>
  <c r="F392" i="5" s="1"/>
  <c r="D392" i="1"/>
  <c r="E392" i="1"/>
  <c r="G392" i="1" s="1"/>
  <c r="H392" i="1"/>
  <c r="I392" i="1"/>
  <c r="K392" i="1"/>
  <c r="R392" i="1"/>
  <c r="C393" i="1"/>
  <c r="F393" i="5" s="1"/>
  <c r="G393" i="5" s="1"/>
  <c r="D393" i="1"/>
  <c r="E393" i="1"/>
  <c r="G393" i="1" s="1"/>
  <c r="H393" i="1"/>
  <c r="K393" i="1"/>
  <c r="R393" i="1"/>
  <c r="C394" i="1"/>
  <c r="F394" i="5" s="1"/>
  <c r="D394" i="1"/>
  <c r="E394" i="1"/>
  <c r="G394" i="1"/>
  <c r="H394" i="1"/>
  <c r="I394" i="1"/>
  <c r="K394" i="1"/>
  <c r="R394" i="1"/>
  <c r="C395" i="1"/>
  <c r="E395" i="1"/>
  <c r="G395" i="1"/>
  <c r="H395" i="1"/>
  <c r="K395" i="1"/>
  <c r="R395" i="1"/>
  <c r="C396" i="1"/>
  <c r="D396" i="1" s="1"/>
  <c r="E396" i="1"/>
  <c r="I396" i="1" s="1"/>
  <c r="H396" i="1"/>
  <c r="K396" i="1"/>
  <c r="R396" i="1"/>
  <c r="C397" i="1"/>
  <c r="E397" i="1"/>
  <c r="G397" i="1"/>
  <c r="H397" i="1"/>
  <c r="I397" i="1"/>
  <c r="K397" i="1"/>
  <c r="R397" i="1"/>
  <c r="C398" i="1"/>
  <c r="D398" i="1" s="1"/>
  <c r="E398" i="1"/>
  <c r="I398" i="1" s="1"/>
  <c r="H398" i="1"/>
  <c r="K398" i="1"/>
  <c r="R398" i="1"/>
  <c r="C399" i="1"/>
  <c r="D399" i="1"/>
  <c r="E399" i="1"/>
  <c r="G399" i="1"/>
  <c r="H399" i="1"/>
  <c r="K399" i="1"/>
  <c r="R399" i="1"/>
  <c r="C400" i="1"/>
  <c r="D400" i="1"/>
  <c r="E400" i="1"/>
  <c r="H400" i="1"/>
  <c r="K400" i="1"/>
  <c r="R400" i="1"/>
  <c r="C401" i="1"/>
  <c r="D401" i="1"/>
  <c r="E401" i="1"/>
  <c r="G401" i="1" s="1"/>
  <c r="H401" i="1"/>
  <c r="K401" i="1"/>
  <c r="R401" i="1"/>
  <c r="C402" i="1"/>
  <c r="D402" i="1"/>
  <c r="E402" i="1"/>
  <c r="H402" i="1"/>
  <c r="K402" i="1"/>
  <c r="R402" i="1"/>
  <c r="C403" i="1"/>
  <c r="D403" i="1" s="1"/>
  <c r="E403" i="1"/>
  <c r="H403" i="1"/>
  <c r="K403" i="1"/>
  <c r="R403" i="1"/>
  <c r="C404" i="1"/>
  <c r="E404" i="1"/>
  <c r="H404" i="1"/>
  <c r="K404" i="1"/>
  <c r="R404" i="1"/>
  <c r="C405" i="1"/>
  <c r="D405" i="1"/>
  <c r="E405" i="1"/>
  <c r="G405" i="1"/>
  <c r="H405" i="1"/>
  <c r="K405" i="1"/>
  <c r="R405" i="1"/>
  <c r="C406" i="1"/>
  <c r="F406" i="5" s="1"/>
  <c r="E406" i="1"/>
  <c r="G406" i="1"/>
  <c r="H406" i="1"/>
  <c r="I406" i="1"/>
  <c r="K406" i="1"/>
  <c r="R406" i="1"/>
  <c r="C407" i="1"/>
  <c r="F407" i="5" s="1"/>
  <c r="G407" i="5" s="1"/>
  <c r="D407" i="1"/>
  <c r="E407" i="1"/>
  <c r="G407" i="1"/>
  <c r="H407" i="1"/>
  <c r="I407" i="1"/>
  <c r="K407" i="1"/>
  <c r="R407" i="1"/>
  <c r="C408" i="1"/>
  <c r="F408" i="5" s="1"/>
  <c r="G408" i="5" s="1"/>
  <c r="D408" i="1"/>
  <c r="E408" i="1"/>
  <c r="G408" i="1" s="1"/>
  <c r="H408" i="1"/>
  <c r="I408" i="1"/>
  <c r="K408" i="1"/>
  <c r="R408" i="1"/>
  <c r="C409" i="1"/>
  <c r="D409" i="1"/>
  <c r="E409" i="1"/>
  <c r="G409" i="1"/>
  <c r="H409" i="1"/>
  <c r="K409" i="1"/>
  <c r="R409" i="1"/>
  <c r="C410" i="1"/>
  <c r="D410" i="1" s="1"/>
  <c r="E410" i="1"/>
  <c r="G410" i="1" s="1"/>
  <c r="H410" i="1"/>
  <c r="K410" i="1"/>
  <c r="R410" i="1"/>
  <c r="C411" i="1"/>
  <c r="D411" i="1" s="1"/>
  <c r="E411" i="1"/>
  <c r="G411" i="1"/>
  <c r="H411" i="1"/>
  <c r="I411" i="1"/>
  <c r="K411" i="1"/>
  <c r="R411" i="1"/>
  <c r="C412" i="1"/>
  <c r="F412" i="5" s="1"/>
  <c r="G412" i="5" s="1"/>
  <c r="E412" i="1"/>
  <c r="I412" i="1" s="1"/>
  <c r="H412" i="1"/>
  <c r="K412" i="1"/>
  <c r="R412" i="1"/>
  <c r="C413" i="1"/>
  <c r="E413" i="1"/>
  <c r="G413" i="1"/>
  <c r="H413" i="1"/>
  <c r="I413" i="1"/>
  <c r="K413" i="1"/>
  <c r="R413" i="1"/>
  <c r="C414" i="1"/>
  <c r="F414" i="5" s="1"/>
  <c r="G414" i="5" s="1"/>
  <c r="D414" i="1"/>
  <c r="E414" i="1"/>
  <c r="H414" i="1"/>
  <c r="K414" i="1"/>
  <c r="R414" i="1"/>
  <c r="C415" i="1"/>
  <c r="D415" i="1" s="1"/>
  <c r="E415" i="1"/>
  <c r="I415" i="1" s="1"/>
  <c r="H415" i="1"/>
  <c r="K415" i="1"/>
  <c r="R415" i="1"/>
  <c r="C416" i="1"/>
  <c r="D416" i="1" s="1"/>
  <c r="E416" i="1"/>
  <c r="G416" i="1" s="1"/>
  <c r="H416" i="1"/>
  <c r="I416" i="1"/>
  <c r="K416" i="1"/>
  <c r="R416" i="1"/>
  <c r="C417" i="1"/>
  <c r="F417" i="5" s="1"/>
  <c r="E417" i="1"/>
  <c r="G417" i="1"/>
  <c r="H417" i="1"/>
  <c r="I417" i="1"/>
  <c r="K417" i="1"/>
  <c r="R417" i="1"/>
  <c r="C418" i="1"/>
  <c r="D418" i="1" s="1"/>
  <c r="E418" i="1"/>
  <c r="G418" i="1"/>
  <c r="H418" i="1"/>
  <c r="I418" i="1"/>
  <c r="K418" i="1"/>
  <c r="R418" i="1"/>
  <c r="C419" i="1"/>
  <c r="E419" i="1"/>
  <c r="I419" i="1" s="1"/>
  <c r="H419" i="1"/>
  <c r="K419" i="1"/>
  <c r="R419" i="1"/>
  <c r="C420" i="1"/>
  <c r="F420" i="5" s="1"/>
  <c r="G420" i="5" s="1"/>
  <c r="D420" i="1"/>
  <c r="E420" i="1"/>
  <c r="G420" i="1"/>
  <c r="H420" i="1"/>
  <c r="K420" i="1"/>
  <c r="R420" i="1"/>
  <c r="C421" i="1"/>
  <c r="F421" i="5" s="1"/>
  <c r="G421" i="5" s="1"/>
  <c r="E421" i="1"/>
  <c r="G421" i="1" s="1"/>
  <c r="H421" i="1"/>
  <c r="I421" i="1"/>
  <c r="K421" i="1"/>
  <c r="R421" i="1"/>
  <c r="C422" i="1"/>
  <c r="D422" i="1"/>
  <c r="E422" i="1"/>
  <c r="I422" i="1" s="1"/>
  <c r="G422" i="1"/>
  <c r="H422" i="1"/>
  <c r="K422" i="1"/>
  <c r="R422" i="1"/>
  <c r="C423" i="1"/>
  <c r="D423" i="1"/>
  <c r="E423" i="1"/>
  <c r="G423" i="1"/>
  <c r="H423" i="1"/>
  <c r="K423" i="1"/>
  <c r="R423" i="1"/>
  <c r="C424" i="1"/>
  <c r="D424" i="1"/>
  <c r="E424" i="1"/>
  <c r="G424" i="1" s="1"/>
  <c r="H424" i="1"/>
  <c r="K424" i="1"/>
  <c r="R424" i="1"/>
  <c r="C425" i="1"/>
  <c r="F425" i="5" s="1"/>
  <c r="D425" i="1"/>
  <c r="E425" i="1"/>
  <c r="H425" i="1"/>
  <c r="K425" i="1"/>
  <c r="R425" i="1"/>
  <c r="C426" i="1"/>
  <c r="E426" i="1"/>
  <c r="H426" i="1"/>
  <c r="I426" i="1"/>
  <c r="K426" i="1"/>
  <c r="R426" i="1"/>
  <c r="C427" i="1"/>
  <c r="D427" i="1" s="1"/>
  <c r="E427" i="1"/>
  <c r="G427" i="1" s="1"/>
  <c r="H427" i="1"/>
  <c r="K427" i="1"/>
  <c r="R427" i="1"/>
  <c r="C428" i="1"/>
  <c r="F428" i="5" s="1"/>
  <c r="G428" i="5" s="1"/>
  <c r="E428" i="1"/>
  <c r="G428" i="1"/>
  <c r="H428" i="1"/>
  <c r="I428" i="1"/>
  <c r="K428" i="1"/>
  <c r="R428" i="1"/>
  <c r="C429" i="1"/>
  <c r="D429" i="1" s="1"/>
  <c r="E429" i="1"/>
  <c r="G429" i="1"/>
  <c r="H429" i="1"/>
  <c r="I429" i="1"/>
  <c r="K429" i="1"/>
  <c r="R429" i="1"/>
  <c r="C430" i="1"/>
  <c r="D430" i="1"/>
  <c r="E430" i="1"/>
  <c r="G430" i="1"/>
  <c r="H430" i="1"/>
  <c r="I430" i="1"/>
  <c r="K430" i="1"/>
  <c r="R430" i="1"/>
  <c r="C431" i="1"/>
  <c r="F431" i="5" s="1"/>
  <c r="G431" i="5" s="1"/>
  <c r="E431" i="1"/>
  <c r="G431" i="1"/>
  <c r="H431" i="1"/>
  <c r="I431" i="1"/>
  <c r="K431" i="1"/>
  <c r="R431" i="1"/>
  <c r="C432" i="1"/>
  <c r="F432" i="5" s="1"/>
  <c r="G432" i="5" s="1"/>
  <c r="D432" i="1"/>
  <c r="E432" i="1"/>
  <c r="G432" i="1" s="1"/>
  <c r="H432" i="1"/>
  <c r="I432" i="1"/>
  <c r="K432" i="1"/>
  <c r="R432" i="1"/>
  <c r="C433" i="1"/>
  <c r="D433" i="1" s="1"/>
  <c r="E433" i="1"/>
  <c r="I433" i="1" s="1"/>
  <c r="G433" i="1"/>
  <c r="H433" i="1"/>
  <c r="K433" i="1"/>
  <c r="R433" i="1"/>
  <c r="C434" i="1"/>
  <c r="F434" i="5" s="1"/>
  <c r="G434" i="5" s="1"/>
  <c r="D434" i="1"/>
  <c r="E434" i="1"/>
  <c r="G434" i="1" s="1"/>
  <c r="H434" i="1"/>
  <c r="K434" i="1"/>
  <c r="R434" i="1"/>
  <c r="C435" i="1"/>
  <c r="D435" i="1" s="1"/>
  <c r="E435" i="1"/>
  <c r="G435" i="1" s="1"/>
  <c r="H435" i="1"/>
  <c r="K435" i="1"/>
  <c r="R435" i="1"/>
  <c r="C436" i="1"/>
  <c r="F436" i="5" s="1"/>
  <c r="G436" i="5" s="1"/>
  <c r="D436" i="1"/>
  <c r="E436" i="1"/>
  <c r="H436" i="1"/>
  <c r="K436" i="1"/>
  <c r="R436" i="1"/>
  <c r="C437" i="1"/>
  <c r="D437" i="1" s="1"/>
  <c r="E437" i="1"/>
  <c r="H437" i="1"/>
  <c r="I437" i="1"/>
  <c r="K437" i="1"/>
  <c r="R437" i="1"/>
  <c r="C438" i="1"/>
  <c r="D438" i="1"/>
  <c r="E438" i="1"/>
  <c r="G438" i="1" s="1"/>
  <c r="H438" i="1"/>
  <c r="I438" i="1"/>
  <c r="K438" i="1"/>
  <c r="R438" i="1"/>
  <c r="C439" i="1"/>
  <c r="D439" i="1" s="1"/>
  <c r="E439" i="1"/>
  <c r="I439" i="1" s="1"/>
  <c r="H439" i="1"/>
  <c r="K439" i="1"/>
  <c r="R439" i="1"/>
  <c r="C440" i="1"/>
  <c r="F440" i="5" s="1"/>
  <c r="D440" i="1"/>
  <c r="E440" i="1"/>
  <c r="G440" i="1" s="1"/>
  <c r="H440" i="1"/>
  <c r="I440" i="1"/>
  <c r="K440" i="1"/>
  <c r="R440" i="1"/>
  <c r="C441" i="1"/>
  <c r="D441" i="1"/>
  <c r="E441" i="1"/>
  <c r="G441" i="1"/>
  <c r="H441" i="1"/>
  <c r="I441" i="1"/>
  <c r="K441" i="1"/>
  <c r="R441" i="1"/>
  <c r="C442" i="1"/>
  <c r="D442" i="1" s="1"/>
  <c r="E442" i="1"/>
  <c r="G442" i="1"/>
  <c r="H442" i="1"/>
  <c r="I442" i="1"/>
  <c r="K442" i="1"/>
  <c r="R442" i="1"/>
  <c r="C443" i="1"/>
  <c r="E443" i="1"/>
  <c r="G443" i="1"/>
  <c r="H443" i="1"/>
  <c r="I443" i="1"/>
  <c r="K443" i="1"/>
  <c r="R443" i="1"/>
  <c r="C444" i="1"/>
  <c r="D444" i="1"/>
  <c r="E444" i="1"/>
  <c r="I444" i="1" s="1"/>
  <c r="G444" i="1"/>
  <c r="H444" i="1"/>
  <c r="K444" i="1"/>
  <c r="R444" i="1"/>
  <c r="C445" i="1"/>
  <c r="F445" i="5" s="1"/>
  <c r="G445" i="5" s="1"/>
  <c r="D445" i="1"/>
  <c r="E445" i="1"/>
  <c r="G445" i="1" s="1"/>
  <c r="H445" i="1"/>
  <c r="K445" i="1"/>
  <c r="R445" i="1"/>
  <c r="C446" i="1"/>
  <c r="D446" i="1"/>
  <c r="E446" i="1"/>
  <c r="H446" i="1"/>
  <c r="K446" i="1"/>
  <c r="R446" i="1"/>
  <c r="C447" i="1"/>
  <c r="D447" i="1"/>
  <c r="E447" i="1"/>
  <c r="G447" i="1"/>
  <c r="H447" i="1"/>
  <c r="K447" i="1"/>
  <c r="R447" i="1"/>
  <c r="C448" i="1"/>
  <c r="F448" i="5" s="1"/>
  <c r="G448" i="5" s="1"/>
  <c r="D448" i="1"/>
  <c r="E448" i="1"/>
  <c r="G448" i="1" s="1"/>
  <c r="H448" i="1"/>
  <c r="I448" i="1"/>
  <c r="K448" i="1"/>
  <c r="R448" i="1"/>
  <c r="C449" i="1"/>
  <c r="D449" i="1"/>
  <c r="E449" i="1"/>
  <c r="G449" i="1" s="1"/>
  <c r="H449" i="1"/>
  <c r="I449" i="1"/>
  <c r="K449" i="1"/>
  <c r="R449" i="1"/>
  <c r="C450" i="1"/>
  <c r="E450" i="1"/>
  <c r="I450" i="1" s="1"/>
  <c r="H450" i="1"/>
  <c r="K450" i="1"/>
  <c r="R450" i="1"/>
  <c r="C451" i="1"/>
  <c r="D451" i="1" s="1"/>
  <c r="E451" i="1"/>
  <c r="G451" i="1"/>
  <c r="H451" i="1"/>
  <c r="I451" i="1"/>
  <c r="K451" i="1"/>
  <c r="R451" i="1"/>
  <c r="C452" i="1"/>
  <c r="D452" i="1"/>
  <c r="E452" i="1"/>
  <c r="G452" i="1"/>
  <c r="H452" i="1"/>
  <c r="I452" i="1"/>
  <c r="K452" i="1"/>
  <c r="R452" i="1"/>
  <c r="C453" i="1"/>
  <c r="D453" i="1" s="1"/>
  <c r="E453" i="1"/>
  <c r="G453" i="1"/>
  <c r="H453" i="1"/>
  <c r="I453" i="1"/>
  <c r="K453" i="1"/>
  <c r="R453" i="1"/>
  <c r="C454" i="1"/>
  <c r="D454" i="1"/>
  <c r="E454" i="1"/>
  <c r="G454" i="1"/>
  <c r="H454" i="1"/>
  <c r="I454" i="1"/>
  <c r="K454" i="1"/>
  <c r="R454" i="1"/>
  <c r="C455" i="1"/>
  <c r="F455" i="5" s="1"/>
  <c r="G455" i="5" s="1"/>
  <c r="D455" i="1"/>
  <c r="E455" i="1"/>
  <c r="G455" i="1" s="1"/>
  <c r="H455" i="1"/>
  <c r="K455" i="1"/>
  <c r="R455" i="1"/>
  <c r="C456" i="1"/>
  <c r="F456" i="5" s="1"/>
  <c r="G456" i="5" s="1"/>
  <c r="E456" i="1"/>
  <c r="G456" i="1" s="1"/>
  <c r="H456" i="1"/>
  <c r="K456" i="1"/>
  <c r="R456" i="1"/>
  <c r="C457" i="1"/>
  <c r="F457" i="5" s="1"/>
  <c r="E457" i="1"/>
  <c r="G457" i="1"/>
  <c r="H457" i="1"/>
  <c r="K457" i="1"/>
  <c r="R457" i="1"/>
  <c r="C458" i="1"/>
  <c r="F458" i="5" s="1"/>
  <c r="G458" i="5" s="1"/>
  <c r="D458" i="1"/>
  <c r="E458" i="1"/>
  <c r="G458" i="1"/>
  <c r="H458" i="1"/>
  <c r="I458" i="1"/>
  <c r="K458" i="1"/>
  <c r="R458" i="1"/>
  <c r="C459" i="1"/>
  <c r="E459" i="1"/>
  <c r="G459" i="1" s="1"/>
  <c r="H459" i="1"/>
  <c r="K459" i="1"/>
  <c r="R459" i="1"/>
  <c r="C460" i="1"/>
  <c r="D460" i="1"/>
  <c r="E460" i="1"/>
  <c r="G460" i="1"/>
  <c r="H460" i="1"/>
  <c r="I460" i="1"/>
  <c r="K460" i="1"/>
  <c r="R460" i="1"/>
  <c r="C461" i="1"/>
  <c r="D461" i="1" s="1"/>
  <c r="E461" i="1"/>
  <c r="G461" i="1"/>
  <c r="H461" i="1"/>
  <c r="I461" i="1"/>
  <c r="K461" i="1"/>
  <c r="R461" i="1"/>
  <c r="C462" i="1"/>
  <c r="D462" i="1"/>
  <c r="E462" i="1"/>
  <c r="G462" i="1"/>
  <c r="H462" i="1"/>
  <c r="I462" i="1"/>
  <c r="K462" i="1"/>
  <c r="R462" i="1"/>
  <c r="C463" i="1"/>
  <c r="D463" i="1"/>
  <c r="E463" i="1"/>
  <c r="G463" i="1"/>
  <c r="H463" i="1"/>
  <c r="I463" i="1"/>
  <c r="K463" i="1"/>
  <c r="R463" i="1"/>
  <c r="C464" i="1"/>
  <c r="D464" i="1"/>
  <c r="E464" i="1"/>
  <c r="H464" i="1"/>
  <c r="K464" i="1"/>
  <c r="R464" i="1"/>
  <c r="C465" i="1"/>
  <c r="F465" i="5" s="1"/>
  <c r="G465" i="5" s="1"/>
  <c r="D465" i="1"/>
  <c r="E465" i="1"/>
  <c r="G465" i="1"/>
  <c r="H465" i="1"/>
  <c r="K465" i="1"/>
  <c r="R465" i="1"/>
  <c r="C466" i="1"/>
  <c r="D466" i="1" s="1"/>
  <c r="E466" i="1"/>
  <c r="G466" i="1"/>
  <c r="H466" i="1"/>
  <c r="I466" i="1"/>
  <c r="K466" i="1"/>
  <c r="R466" i="1"/>
  <c r="C467" i="1"/>
  <c r="D467" i="1" s="1"/>
  <c r="E467" i="1"/>
  <c r="I467" i="1" s="1"/>
  <c r="G467" i="1"/>
  <c r="H467" i="1"/>
  <c r="K467" i="1"/>
  <c r="R467" i="1"/>
  <c r="C468" i="1"/>
  <c r="D468" i="1"/>
  <c r="E468" i="1"/>
  <c r="G468" i="1"/>
  <c r="H468" i="1"/>
  <c r="I468" i="1"/>
  <c r="K468" i="1"/>
  <c r="R468" i="1"/>
  <c r="C469" i="1"/>
  <c r="D469" i="1" s="1"/>
  <c r="E469" i="1"/>
  <c r="G469" i="1"/>
  <c r="H469" i="1"/>
  <c r="I469" i="1"/>
  <c r="K469" i="1"/>
  <c r="R469" i="1"/>
  <c r="C470" i="1"/>
  <c r="F470" i="5" s="1"/>
  <c r="D470" i="1"/>
  <c r="E470" i="1"/>
  <c r="G470" i="1"/>
  <c r="H470" i="1"/>
  <c r="I470" i="1"/>
  <c r="K470" i="1"/>
  <c r="R470" i="1"/>
  <c r="C471" i="1"/>
  <c r="F471" i="5" s="1"/>
  <c r="D471" i="1"/>
  <c r="E471" i="1"/>
  <c r="G471" i="1" s="1"/>
  <c r="H471" i="1"/>
  <c r="I471" i="1"/>
  <c r="K471" i="1"/>
  <c r="R471" i="1"/>
  <c r="C472" i="1"/>
  <c r="D472" i="1"/>
  <c r="E472" i="1"/>
  <c r="H472" i="1"/>
  <c r="K472" i="1"/>
  <c r="R472" i="1"/>
  <c r="C473" i="1"/>
  <c r="F473" i="5" s="1"/>
  <c r="D473" i="1"/>
  <c r="E473" i="1"/>
  <c r="G473" i="1"/>
  <c r="H473" i="1"/>
  <c r="K473" i="1"/>
  <c r="R473" i="1"/>
  <c r="C474" i="1"/>
  <c r="F474" i="5" s="1"/>
  <c r="G474" i="5" s="1"/>
  <c r="D474" i="1"/>
  <c r="E474" i="1"/>
  <c r="G474" i="1" s="1"/>
  <c r="H474" i="1"/>
  <c r="K474" i="1"/>
  <c r="R474" i="1"/>
  <c r="C475" i="1"/>
  <c r="D475" i="1" s="1"/>
  <c r="E475" i="1"/>
  <c r="G475" i="1" s="1"/>
  <c r="H475" i="1"/>
  <c r="I475" i="1"/>
  <c r="K475" i="1"/>
  <c r="R475" i="1"/>
  <c r="C476" i="1"/>
  <c r="F476" i="5" s="1"/>
  <c r="G476" i="5" s="1"/>
  <c r="D476" i="1"/>
  <c r="E476" i="1"/>
  <c r="G476" i="1"/>
  <c r="H476" i="1"/>
  <c r="I476" i="1"/>
  <c r="K476" i="1"/>
  <c r="R476" i="1"/>
  <c r="C477" i="1"/>
  <c r="E477" i="1"/>
  <c r="G477" i="1"/>
  <c r="H477" i="1"/>
  <c r="I477" i="1"/>
  <c r="K477" i="1"/>
  <c r="R477" i="1"/>
  <c r="C478" i="1"/>
  <c r="F478" i="5" s="1"/>
  <c r="G478" i="5" s="1"/>
  <c r="D478" i="1"/>
  <c r="E478" i="1"/>
  <c r="G478" i="1"/>
  <c r="H478" i="1"/>
  <c r="I478" i="1"/>
  <c r="K478" i="1"/>
  <c r="R478" i="1"/>
  <c r="C479" i="1"/>
  <c r="D479" i="1"/>
  <c r="E479" i="1"/>
  <c r="I479" i="1" s="1"/>
  <c r="G479" i="1"/>
  <c r="H479" i="1"/>
  <c r="K479" i="1"/>
  <c r="R479" i="1"/>
  <c r="C480" i="1"/>
  <c r="D480" i="1"/>
  <c r="E480" i="1"/>
  <c r="H480" i="1"/>
  <c r="K480" i="1"/>
  <c r="R480" i="1"/>
  <c r="C481" i="1"/>
  <c r="D481" i="1" s="1"/>
  <c r="E481" i="1"/>
  <c r="G481" i="1"/>
  <c r="H481" i="1"/>
  <c r="K481" i="1"/>
  <c r="R481" i="1"/>
  <c r="C482" i="1"/>
  <c r="F482" i="5" s="1"/>
  <c r="G482" i="5" s="1"/>
  <c r="E482" i="1"/>
  <c r="G482" i="1" s="1"/>
  <c r="H482" i="1"/>
  <c r="I482" i="1"/>
  <c r="K482" i="1"/>
  <c r="R482" i="1"/>
  <c r="C483" i="1"/>
  <c r="E483" i="1"/>
  <c r="G483" i="1"/>
  <c r="H483" i="1"/>
  <c r="I483" i="1"/>
  <c r="K483" i="1"/>
  <c r="R483" i="1"/>
  <c r="C484" i="1"/>
  <c r="D484" i="1"/>
  <c r="E484" i="1"/>
  <c r="G484" i="1"/>
  <c r="H484" i="1"/>
  <c r="I484" i="1"/>
  <c r="K484" i="1"/>
  <c r="R484" i="1"/>
  <c r="C485" i="1"/>
  <c r="D485" i="1" s="1"/>
  <c r="E485" i="1"/>
  <c r="G485" i="1"/>
  <c r="H485" i="1"/>
  <c r="I485" i="1"/>
  <c r="K485" i="1"/>
  <c r="R485" i="1"/>
  <c r="C486" i="1"/>
  <c r="D486" i="1"/>
  <c r="E486" i="1"/>
  <c r="I486" i="1" s="1"/>
  <c r="G486" i="1"/>
  <c r="H486" i="1"/>
  <c r="K486" i="1"/>
  <c r="R486" i="1"/>
  <c r="C487" i="1"/>
  <c r="D487" i="1"/>
  <c r="E487" i="1"/>
  <c r="H487" i="1"/>
  <c r="I487" i="1"/>
  <c r="K487" i="1"/>
  <c r="R487" i="1"/>
  <c r="C488" i="1"/>
  <c r="D488" i="1" s="1"/>
  <c r="E488" i="1"/>
  <c r="H488" i="1"/>
  <c r="K488" i="1"/>
  <c r="R488" i="1"/>
  <c r="C489" i="1"/>
  <c r="F489" i="5" s="1"/>
  <c r="G489" i="5" s="1"/>
  <c r="D489" i="1"/>
  <c r="E489" i="1"/>
  <c r="G489" i="1"/>
  <c r="H489" i="1"/>
  <c r="K489" i="1"/>
  <c r="R489" i="1"/>
  <c r="C490" i="1"/>
  <c r="D490" i="1" s="1"/>
  <c r="E490" i="1"/>
  <c r="G490" i="1" s="1"/>
  <c r="H490" i="1"/>
  <c r="K490" i="1"/>
  <c r="R490" i="1"/>
  <c r="C491" i="1"/>
  <c r="D491" i="1" s="1"/>
  <c r="E491" i="1"/>
  <c r="G491" i="1" s="1"/>
  <c r="H491" i="1"/>
  <c r="K491" i="1"/>
  <c r="R491" i="1"/>
  <c r="C492" i="1"/>
  <c r="D492" i="1"/>
  <c r="E492" i="1"/>
  <c r="G492" i="1"/>
  <c r="H492" i="1"/>
  <c r="I492" i="1"/>
  <c r="K492" i="1"/>
  <c r="R492" i="1"/>
  <c r="C493" i="1"/>
  <c r="D493" i="1" s="1"/>
  <c r="E493" i="1"/>
  <c r="G493" i="1"/>
  <c r="H493" i="1"/>
  <c r="K493" i="1"/>
  <c r="R493" i="1"/>
  <c r="C494" i="1"/>
  <c r="F494" i="5" s="1"/>
  <c r="D494" i="1"/>
  <c r="E494" i="1"/>
  <c r="I494" i="1" s="1"/>
  <c r="G494" i="1"/>
  <c r="H494" i="1"/>
  <c r="K494" i="1"/>
  <c r="R494" i="1"/>
  <c r="C495" i="1"/>
  <c r="F495" i="5" s="1"/>
  <c r="D495" i="1"/>
  <c r="E495" i="1"/>
  <c r="G495" i="1"/>
  <c r="H495" i="1"/>
  <c r="I495" i="1"/>
  <c r="K495" i="1"/>
  <c r="R495" i="1"/>
  <c r="C496" i="1"/>
  <c r="D496" i="1" s="1"/>
  <c r="E496" i="1"/>
  <c r="H496" i="1"/>
  <c r="K496" i="1"/>
  <c r="R496" i="1"/>
  <c r="C497" i="1"/>
  <c r="F497" i="5" s="1"/>
  <c r="G497" i="5" s="1"/>
  <c r="E497" i="1"/>
  <c r="G497" i="1" s="1"/>
  <c r="H497" i="1"/>
  <c r="K497" i="1"/>
  <c r="R497" i="1"/>
  <c r="C498" i="1"/>
  <c r="F498" i="5" s="1"/>
  <c r="G498" i="5" s="1"/>
  <c r="E498" i="1"/>
  <c r="H498" i="1"/>
  <c r="I498" i="1"/>
  <c r="K498" i="1"/>
  <c r="R498" i="1"/>
  <c r="C499" i="1"/>
  <c r="D499" i="1" s="1"/>
  <c r="E499" i="1"/>
  <c r="G499" i="1" s="1"/>
  <c r="H499" i="1"/>
  <c r="I499" i="1"/>
  <c r="K499" i="1"/>
  <c r="R499" i="1"/>
  <c r="C500" i="1"/>
  <c r="F500" i="5" s="1"/>
  <c r="D500" i="1"/>
  <c r="E500" i="1"/>
  <c r="I500" i="1" s="1"/>
  <c r="G500" i="1"/>
  <c r="H500" i="1"/>
  <c r="K500" i="1"/>
  <c r="R500" i="1"/>
  <c r="C501" i="1"/>
  <c r="F501" i="5" s="1"/>
  <c r="G501" i="5" s="1"/>
  <c r="E501" i="1"/>
  <c r="H501" i="1"/>
  <c r="I501" i="1"/>
  <c r="K501" i="1"/>
  <c r="R501" i="1"/>
  <c r="C502" i="1"/>
  <c r="F502" i="5" s="1"/>
  <c r="G502" i="5" s="1"/>
  <c r="D502" i="1"/>
  <c r="E502" i="1"/>
  <c r="I502" i="1" s="1"/>
  <c r="G502" i="1"/>
  <c r="H502" i="1"/>
  <c r="K502" i="1"/>
  <c r="R502" i="1"/>
  <c r="C503" i="1"/>
  <c r="D503" i="1"/>
  <c r="E503" i="1"/>
  <c r="H503" i="1"/>
  <c r="K503" i="1"/>
  <c r="R503" i="1"/>
  <c r="C504" i="1"/>
  <c r="D504" i="1" s="1"/>
  <c r="E504" i="1"/>
  <c r="H504" i="1"/>
  <c r="K504" i="1"/>
  <c r="R504" i="1"/>
  <c r="C505" i="1"/>
  <c r="D505" i="1" s="1"/>
  <c r="E505" i="1"/>
  <c r="G505" i="1"/>
  <c r="H505" i="1"/>
  <c r="K505" i="1"/>
  <c r="R505" i="1"/>
  <c r="C506" i="1"/>
  <c r="F506" i="5" s="1"/>
  <c r="G506" i="5" s="1"/>
  <c r="D506" i="1"/>
  <c r="E506" i="1"/>
  <c r="G506" i="1"/>
  <c r="H506" i="1"/>
  <c r="I506" i="1"/>
  <c r="K506" i="1"/>
  <c r="R506" i="1"/>
  <c r="C507" i="1"/>
  <c r="E507" i="1"/>
  <c r="G507" i="1" s="1"/>
  <c r="H507" i="1"/>
  <c r="I507" i="1"/>
  <c r="K507" i="1"/>
  <c r="R507" i="1"/>
  <c r="C508" i="1"/>
  <c r="D508" i="1"/>
  <c r="E508" i="1"/>
  <c r="G508" i="1" s="1"/>
  <c r="H508" i="1"/>
  <c r="I508" i="1"/>
  <c r="K508" i="1"/>
  <c r="R508" i="1"/>
  <c r="C509" i="1"/>
  <c r="D509" i="1"/>
  <c r="E509" i="1"/>
  <c r="G509" i="1"/>
  <c r="H509" i="1"/>
  <c r="I509" i="1"/>
  <c r="K509" i="1"/>
  <c r="R509" i="1"/>
  <c r="C510" i="1"/>
  <c r="D510" i="1"/>
  <c r="E510" i="1"/>
  <c r="I510" i="1" s="1"/>
  <c r="G510" i="1"/>
  <c r="H510" i="1"/>
  <c r="K510" i="1"/>
  <c r="R510" i="1"/>
  <c r="C511" i="1"/>
  <c r="D511" i="1"/>
  <c r="E511" i="1"/>
  <c r="F511" i="1"/>
  <c r="G511" i="1"/>
  <c r="H511" i="1"/>
  <c r="I511" i="1"/>
  <c r="K511" i="1"/>
  <c r="R511" i="1"/>
  <c r="C512" i="1"/>
  <c r="D512" i="1"/>
  <c r="E512" i="1"/>
  <c r="F512" i="1" s="1"/>
  <c r="H512" i="1"/>
  <c r="K512" i="1"/>
  <c r="R512" i="1"/>
  <c r="C513" i="1"/>
  <c r="F513" i="5" s="1"/>
  <c r="G513" i="5" s="1"/>
  <c r="E513" i="1"/>
  <c r="G513" i="1"/>
  <c r="H513" i="1"/>
  <c r="K513" i="1"/>
  <c r="R513" i="1"/>
  <c r="C514" i="1"/>
  <c r="D514" i="1"/>
  <c r="E514" i="1"/>
  <c r="G514" i="1"/>
  <c r="H514" i="1"/>
  <c r="I514" i="1"/>
  <c r="K514" i="1"/>
  <c r="R514" i="1"/>
  <c r="C515" i="1"/>
  <c r="D515" i="1" s="1"/>
  <c r="E515" i="1"/>
  <c r="G515" i="1"/>
  <c r="H515" i="1"/>
  <c r="I515" i="1"/>
  <c r="K515" i="1"/>
  <c r="R515" i="1"/>
  <c r="C516" i="1"/>
  <c r="D516" i="1"/>
  <c r="E516" i="1"/>
  <c r="G516" i="1" s="1"/>
  <c r="H516" i="1"/>
  <c r="I516" i="1"/>
  <c r="K516" i="1"/>
  <c r="R516" i="1"/>
  <c r="C517" i="1"/>
  <c r="D517" i="1"/>
  <c r="E517" i="1"/>
  <c r="F517" i="1" s="1"/>
  <c r="F518" i="1" s="1"/>
  <c r="F519" i="1" s="1"/>
  <c r="F520" i="1" s="1"/>
  <c r="G517" i="1"/>
  <c r="H517" i="1"/>
  <c r="I517" i="1"/>
  <c r="K517" i="1"/>
  <c r="R517" i="1"/>
  <c r="C518" i="1"/>
  <c r="F518" i="5" s="1"/>
  <c r="D518" i="1"/>
  <c r="E518" i="1"/>
  <c r="I518" i="1" s="1"/>
  <c r="H518" i="1"/>
  <c r="K518" i="1"/>
  <c r="R518" i="1"/>
  <c r="C519" i="1"/>
  <c r="F519" i="5" s="1"/>
  <c r="D519" i="1"/>
  <c r="E519" i="1"/>
  <c r="G519" i="1"/>
  <c r="H519" i="1"/>
  <c r="I519" i="1"/>
  <c r="K519" i="1"/>
  <c r="R519" i="1"/>
  <c r="C520" i="1"/>
  <c r="D520" i="1" s="1"/>
  <c r="E520" i="1"/>
  <c r="H520" i="1"/>
  <c r="K520" i="1"/>
  <c r="R520" i="1"/>
  <c r="C521" i="1"/>
  <c r="F521" i="5" s="1"/>
  <c r="G521" i="5" s="1"/>
  <c r="E521" i="1"/>
  <c r="G521" i="1"/>
  <c r="H521" i="1"/>
  <c r="K521" i="1"/>
  <c r="R521" i="1"/>
  <c r="C522" i="1"/>
  <c r="F522" i="5" s="1"/>
  <c r="G522" i="5" s="1"/>
  <c r="E522" i="1"/>
  <c r="H522" i="1"/>
  <c r="I522" i="1"/>
  <c r="K522" i="1"/>
  <c r="R522" i="1"/>
  <c r="C523" i="1"/>
  <c r="D523" i="1" s="1"/>
  <c r="E523" i="1"/>
  <c r="G523" i="1" s="1"/>
  <c r="H523" i="1"/>
  <c r="I523" i="1"/>
  <c r="K523" i="1"/>
  <c r="R523" i="1"/>
  <c r="C524" i="1"/>
  <c r="F524" i="5" s="1"/>
  <c r="D524" i="1"/>
  <c r="E524" i="1"/>
  <c r="G524" i="1"/>
  <c r="H524" i="1"/>
  <c r="I524" i="1"/>
  <c r="K524" i="1"/>
  <c r="R524" i="1"/>
  <c r="C525" i="1"/>
  <c r="F525" i="5" s="1"/>
  <c r="G525" i="5" s="1"/>
  <c r="E525" i="1"/>
  <c r="H525" i="1"/>
  <c r="I525" i="1"/>
  <c r="K525" i="1"/>
  <c r="R525" i="1"/>
  <c r="C526" i="1"/>
  <c r="F526" i="5" s="1"/>
  <c r="G526" i="5" s="1"/>
  <c r="D526" i="1"/>
  <c r="E526" i="1"/>
  <c r="I526" i="1" s="1"/>
  <c r="G526" i="1"/>
  <c r="H526" i="1"/>
  <c r="K526" i="1"/>
  <c r="R526" i="1"/>
  <c r="C527" i="1"/>
  <c r="D527" i="1"/>
  <c r="E527" i="1"/>
  <c r="G527" i="1" s="1"/>
  <c r="F527" i="1"/>
  <c r="H527" i="1"/>
  <c r="K527" i="1"/>
  <c r="R527" i="1"/>
  <c r="C528" i="1"/>
  <c r="D528" i="1" s="1"/>
  <c r="E528" i="1"/>
  <c r="F528" i="1"/>
  <c r="H528" i="1"/>
  <c r="K528" i="1"/>
  <c r="R528" i="1"/>
  <c r="C529" i="1"/>
  <c r="F529" i="5" s="1"/>
  <c r="E529" i="1"/>
  <c r="G529" i="1"/>
  <c r="H529" i="1"/>
  <c r="K529" i="1"/>
  <c r="R529" i="1"/>
  <c r="C530" i="1"/>
  <c r="F530" i="5" s="1"/>
  <c r="G530" i="5" s="1"/>
  <c r="D530" i="1"/>
  <c r="E530" i="1"/>
  <c r="G530" i="1"/>
  <c r="H530" i="1"/>
  <c r="I530" i="1"/>
  <c r="K530" i="1"/>
  <c r="R530" i="1"/>
  <c r="C531" i="1"/>
  <c r="E531" i="1"/>
  <c r="G531" i="1" s="1"/>
  <c r="H531" i="1"/>
  <c r="I531" i="1"/>
  <c r="K531" i="1"/>
  <c r="R531" i="1"/>
  <c r="C532" i="1"/>
  <c r="D532" i="1"/>
  <c r="E532" i="1"/>
  <c r="G532" i="1" s="1"/>
  <c r="H532" i="1"/>
  <c r="I532" i="1"/>
  <c r="K532" i="1"/>
  <c r="R532" i="1"/>
  <c r="C533" i="1"/>
  <c r="D533" i="1"/>
  <c r="E533" i="1"/>
  <c r="G533" i="1"/>
  <c r="H533" i="1"/>
  <c r="I533" i="1"/>
  <c r="K533" i="1"/>
  <c r="R533" i="1"/>
  <c r="C534" i="1"/>
  <c r="D534" i="1"/>
  <c r="E534" i="1"/>
  <c r="I534" i="1" s="1"/>
  <c r="G534" i="1"/>
  <c r="H534" i="1"/>
  <c r="K534" i="1"/>
  <c r="R534" i="1"/>
  <c r="C535" i="1"/>
  <c r="D535" i="1"/>
  <c r="E535" i="1"/>
  <c r="I535" i="1" s="1"/>
  <c r="G535" i="1"/>
  <c r="H535" i="1"/>
  <c r="K535" i="1"/>
  <c r="R535" i="1"/>
  <c r="C536" i="1"/>
  <c r="D536" i="1"/>
  <c r="E536" i="1"/>
  <c r="H536" i="1"/>
  <c r="K536" i="1"/>
  <c r="R536" i="1"/>
  <c r="C537" i="1"/>
  <c r="F537" i="5" s="1"/>
  <c r="G537" i="5" s="1"/>
  <c r="E537" i="1"/>
  <c r="G537" i="1"/>
  <c r="H537" i="1"/>
  <c r="K537" i="1"/>
  <c r="R537" i="1"/>
  <c r="C538" i="1"/>
  <c r="D538" i="1"/>
  <c r="E538" i="1"/>
  <c r="G538" i="1"/>
  <c r="H538" i="1"/>
  <c r="I538" i="1"/>
  <c r="K538" i="1"/>
  <c r="R538" i="1"/>
  <c r="C539" i="1"/>
  <c r="D539" i="1" s="1"/>
  <c r="E539" i="1"/>
  <c r="G539" i="1"/>
  <c r="H539" i="1"/>
  <c r="I539" i="1"/>
  <c r="K539" i="1"/>
  <c r="R539" i="1"/>
  <c r="C540" i="1"/>
  <c r="F540" i="5" s="1"/>
  <c r="G540" i="5" s="1"/>
  <c r="D540" i="1"/>
  <c r="E540" i="1"/>
  <c r="G540" i="1" s="1"/>
  <c r="H540" i="1"/>
  <c r="I540" i="1"/>
  <c r="K540" i="1"/>
  <c r="R540" i="1"/>
  <c r="C541" i="1"/>
  <c r="D541" i="1"/>
  <c r="E541" i="1"/>
  <c r="G541" i="1"/>
  <c r="H541" i="1"/>
  <c r="I541" i="1"/>
  <c r="K541" i="1"/>
  <c r="R541" i="1"/>
  <c r="C542" i="1"/>
  <c r="F542" i="5" s="1"/>
  <c r="D542" i="1"/>
  <c r="E542" i="1"/>
  <c r="I542" i="1" s="1"/>
  <c r="G542" i="1"/>
  <c r="H542" i="1"/>
  <c r="K542" i="1"/>
  <c r="R542" i="1"/>
  <c r="C543" i="1"/>
  <c r="F543" i="5" s="1"/>
  <c r="D543" i="1"/>
  <c r="E543" i="1"/>
  <c r="G543" i="1"/>
  <c r="H543" i="1"/>
  <c r="I543" i="1"/>
  <c r="K543" i="1"/>
  <c r="R543" i="1"/>
  <c r="C544" i="1"/>
  <c r="D544" i="1" s="1"/>
  <c r="E544" i="1"/>
  <c r="H544" i="1"/>
  <c r="K544" i="1"/>
  <c r="R544" i="1"/>
  <c r="C545" i="1"/>
  <c r="F545" i="5" s="1"/>
  <c r="G545" i="5" s="1"/>
  <c r="E545" i="1"/>
  <c r="G545" i="1"/>
  <c r="H545" i="1"/>
  <c r="K545" i="1"/>
  <c r="R545" i="1"/>
  <c r="C546" i="1"/>
  <c r="F546" i="5" s="1"/>
  <c r="G546" i="5" s="1"/>
  <c r="E546" i="1"/>
  <c r="G546" i="1"/>
  <c r="H546" i="1"/>
  <c r="I546" i="1"/>
  <c r="K546" i="1"/>
  <c r="R546" i="1"/>
  <c r="C547" i="1"/>
  <c r="D547" i="1" s="1"/>
  <c r="E547" i="1"/>
  <c r="G547" i="1" s="1"/>
  <c r="H547" i="1"/>
  <c r="I547" i="1"/>
  <c r="K547" i="1"/>
  <c r="R547" i="1"/>
  <c r="C548" i="1"/>
  <c r="F548" i="5" s="1"/>
  <c r="D548" i="1"/>
  <c r="E548" i="1"/>
  <c r="G548" i="1"/>
  <c r="H548" i="1"/>
  <c r="I548" i="1"/>
  <c r="K548" i="1"/>
  <c r="R548" i="1"/>
  <c r="C549" i="1"/>
  <c r="F549" i="5" s="1"/>
  <c r="G549" i="5" s="1"/>
  <c r="E549" i="1"/>
  <c r="G549" i="1"/>
  <c r="H549" i="1"/>
  <c r="I549" i="1"/>
  <c r="K549" i="1"/>
  <c r="R549" i="1"/>
  <c r="C550" i="1"/>
  <c r="F550" i="5" s="1"/>
  <c r="G550" i="5" s="1"/>
  <c r="D550" i="1"/>
  <c r="E550" i="1"/>
  <c r="I550" i="1" s="1"/>
  <c r="G550" i="1"/>
  <c r="H550" i="1"/>
  <c r="K550" i="1"/>
  <c r="R550" i="1"/>
  <c r="C551" i="1"/>
  <c r="D551" i="1"/>
  <c r="E551" i="1"/>
  <c r="I551" i="1" s="1"/>
  <c r="G551" i="1"/>
  <c r="H551" i="1"/>
  <c r="K551" i="1"/>
  <c r="R551" i="1"/>
  <c r="C552" i="1"/>
  <c r="F552" i="5" s="1"/>
  <c r="G552" i="5" s="1"/>
  <c r="E552" i="1"/>
  <c r="H552" i="1"/>
  <c r="K552" i="1"/>
  <c r="R552" i="1"/>
  <c r="C553" i="1"/>
  <c r="D553" i="1" s="1"/>
  <c r="E553" i="1"/>
  <c r="G553" i="1"/>
  <c r="H553" i="1"/>
  <c r="K553" i="1"/>
  <c r="R553" i="1"/>
  <c r="C554" i="1"/>
  <c r="D554" i="1"/>
  <c r="E554" i="1"/>
  <c r="G554" i="1"/>
  <c r="H554" i="1"/>
  <c r="I554" i="1"/>
  <c r="K554" i="1"/>
  <c r="R554" i="1"/>
  <c r="C555" i="1"/>
  <c r="D555" i="1" s="1"/>
  <c r="E555" i="1"/>
  <c r="G555" i="1" s="1"/>
  <c r="H555" i="1"/>
  <c r="I555" i="1"/>
  <c r="K555" i="1"/>
  <c r="R555" i="1"/>
  <c r="C556" i="1"/>
  <c r="F556" i="5" s="1"/>
  <c r="G556" i="5" s="1"/>
  <c r="D556" i="1"/>
  <c r="E556" i="1"/>
  <c r="G556" i="1" s="1"/>
  <c r="H556" i="1"/>
  <c r="I556" i="1"/>
  <c r="K556" i="1"/>
  <c r="R556" i="1"/>
  <c r="C557" i="1"/>
  <c r="D557" i="1"/>
  <c r="E557" i="1"/>
  <c r="G557" i="1"/>
  <c r="H557" i="1"/>
  <c r="I557" i="1"/>
  <c r="K557" i="1"/>
  <c r="R557" i="1"/>
  <c r="C558" i="1"/>
  <c r="F558" i="5" s="1"/>
  <c r="D558" i="1"/>
  <c r="E558" i="1"/>
  <c r="I558" i="1" s="1"/>
  <c r="G558" i="1"/>
  <c r="H558" i="1"/>
  <c r="K558" i="1"/>
  <c r="R558" i="1"/>
  <c r="C559" i="1"/>
  <c r="D559" i="1"/>
  <c r="E559" i="1"/>
  <c r="I559" i="1" s="1"/>
  <c r="G559" i="1"/>
  <c r="H559" i="1"/>
  <c r="K559" i="1"/>
  <c r="R559" i="1"/>
  <c r="C560" i="1"/>
  <c r="D560" i="1"/>
  <c r="E560" i="1"/>
  <c r="H560" i="1"/>
  <c r="K560" i="1"/>
  <c r="R560" i="1"/>
  <c r="C561" i="1"/>
  <c r="F561" i="5" s="1"/>
  <c r="G561" i="5" s="1"/>
  <c r="D561" i="1"/>
  <c r="E561" i="1"/>
  <c r="G561" i="1"/>
  <c r="H561" i="1"/>
  <c r="K561" i="1"/>
  <c r="R561" i="1"/>
  <c r="C562" i="1"/>
  <c r="D562" i="1"/>
  <c r="E562" i="1"/>
  <c r="G562" i="1"/>
  <c r="H562" i="1"/>
  <c r="I562" i="1"/>
  <c r="K562" i="1"/>
  <c r="R562" i="1"/>
  <c r="C563" i="1"/>
  <c r="E563" i="1"/>
  <c r="G563" i="1"/>
  <c r="H563" i="1"/>
  <c r="I563" i="1"/>
  <c r="K563" i="1"/>
  <c r="R563" i="1"/>
  <c r="C564" i="1"/>
  <c r="D564" i="1"/>
  <c r="E564" i="1"/>
  <c r="G564" i="1" s="1"/>
  <c r="H564" i="1"/>
  <c r="I564" i="1"/>
  <c r="K564" i="1"/>
  <c r="R564" i="1"/>
  <c r="C565" i="1"/>
  <c r="F565" i="5" s="1"/>
  <c r="D565" i="1"/>
  <c r="E565" i="1"/>
  <c r="G565" i="1"/>
  <c r="H565" i="1"/>
  <c r="I565" i="1"/>
  <c r="K565" i="1"/>
  <c r="R565" i="1"/>
  <c r="C566" i="1"/>
  <c r="F566" i="5" s="1"/>
  <c r="D566" i="1"/>
  <c r="E566" i="1"/>
  <c r="I566" i="1" s="1"/>
  <c r="G566" i="1"/>
  <c r="H566" i="1"/>
  <c r="K566" i="1"/>
  <c r="R566" i="1"/>
  <c r="C567" i="1"/>
  <c r="D567" i="1"/>
  <c r="E567" i="1"/>
  <c r="G567" i="1"/>
  <c r="H567" i="1"/>
  <c r="I567" i="1"/>
  <c r="K567" i="1"/>
  <c r="R567" i="1"/>
  <c r="C568" i="1"/>
  <c r="D568" i="1" s="1"/>
  <c r="E568" i="1"/>
  <c r="H568" i="1"/>
  <c r="K568" i="1"/>
  <c r="R568" i="1"/>
  <c r="C569" i="1"/>
  <c r="F569" i="5" s="1"/>
  <c r="G569" i="5" s="1"/>
  <c r="E569" i="1"/>
  <c r="G569" i="1"/>
  <c r="H569" i="1"/>
  <c r="K569" i="1"/>
  <c r="R569" i="1"/>
  <c r="C570" i="1"/>
  <c r="F570" i="5" s="1"/>
  <c r="G570" i="5" s="1"/>
  <c r="E570" i="1"/>
  <c r="G570" i="1"/>
  <c r="H570" i="1"/>
  <c r="I570" i="1"/>
  <c r="K570" i="1"/>
  <c r="R570" i="1"/>
  <c r="C571" i="1"/>
  <c r="D571" i="1" s="1"/>
  <c r="E571" i="1"/>
  <c r="G571" i="1" s="1"/>
  <c r="H571" i="1"/>
  <c r="I571" i="1"/>
  <c r="K571" i="1"/>
  <c r="R571" i="1"/>
  <c r="C572" i="1"/>
  <c r="F572" i="5" s="1"/>
  <c r="D572" i="1"/>
  <c r="E572" i="1"/>
  <c r="G572" i="1"/>
  <c r="H572" i="1"/>
  <c r="I572" i="1"/>
  <c r="K572" i="1"/>
  <c r="R572" i="1"/>
  <c r="C573" i="1"/>
  <c r="F573" i="5" s="1"/>
  <c r="E573" i="1"/>
  <c r="G573" i="1"/>
  <c r="H573" i="1"/>
  <c r="I573" i="1"/>
  <c r="K573" i="1"/>
  <c r="R573" i="1"/>
  <c r="C574" i="1"/>
  <c r="D574" i="1"/>
  <c r="E574" i="1"/>
  <c r="I574" i="1" s="1"/>
  <c r="G574" i="1"/>
  <c r="H574" i="1"/>
  <c r="K574" i="1"/>
  <c r="R574" i="1"/>
  <c r="C575" i="1"/>
  <c r="D575" i="1"/>
  <c r="E575" i="1"/>
  <c r="I575" i="1" s="1"/>
  <c r="G575" i="1"/>
  <c r="H575" i="1"/>
  <c r="K575" i="1"/>
  <c r="R575" i="1"/>
  <c r="C576" i="1"/>
  <c r="D576" i="1" s="1"/>
  <c r="E576" i="1"/>
  <c r="H576" i="1"/>
  <c r="K576" i="1"/>
  <c r="R576" i="1"/>
  <c r="C577" i="1"/>
  <c r="D577" i="1" s="1"/>
  <c r="E577" i="1"/>
  <c r="G577" i="1"/>
  <c r="H577" i="1"/>
  <c r="K577" i="1"/>
  <c r="R577" i="1"/>
  <c r="C578" i="1"/>
  <c r="F578" i="5" s="1"/>
  <c r="D578" i="1"/>
  <c r="E578" i="1"/>
  <c r="G578" i="1"/>
  <c r="H578" i="1"/>
  <c r="I578" i="1"/>
  <c r="K578" i="1"/>
  <c r="R578" i="1"/>
  <c r="C579" i="1"/>
  <c r="D579" i="1" s="1"/>
  <c r="E579" i="1"/>
  <c r="G579" i="1" s="1"/>
  <c r="H579" i="1"/>
  <c r="I579" i="1"/>
  <c r="K579" i="1"/>
  <c r="R579" i="1"/>
  <c r="C580" i="1"/>
  <c r="D580" i="1"/>
  <c r="E580" i="1"/>
  <c r="G580" i="1" s="1"/>
  <c r="H580" i="1"/>
  <c r="I580" i="1"/>
  <c r="K580" i="1"/>
  <c r="R580" i="1"/>
  <c r="C581" i="1"/>
  <c r="F581" i="5" s="1"/>
  <c r="D581" i="1"/>
  <c r="E581" i="1"/>
  <c r="G581" i="1"/>
  <c r="H581" i="1"/>
  <c r="I581" i="1"/>
  <c r="K581" i="1"/>
  <c r="R581" i="1"/>
  <c r="C582" i="1"/>
  <c r="D582" i="1"/>
  <c r="E582" i="1"/>
  <c r="I582" i="1" s="1"/>
  <c r="G582" i="1"/>
  <c r="H582" i="1"/>
  <c r="K582" i="1"/>
  <c r="R582" i="1"/>
  <c r="C583" i="1"/>
  <c r="F583" i="5" s="1"/>
  <c r="D583" i="1"/>
  <c r="E583" i="1"/>
  <c r="I583" i="1" s="1"/>
  <c r="G583" i="1"/>
  <c r="H583" i="1"/>
  <c r="K583" i="1"/>
  <c r="R583" i="1"/>
  <c r="C584" i="1"/>
  <c r="D584" i="1"/>
  <c r="E584" i="1"/>
  <c r="H584" i="1"/>
  <c r="K584" i="1"/>
  <c r="R584" i="1"/>
  <c r="C585" i="1"/>
  <c r="D585" i="1"/>
  <c r="E585" i="1"/>
  <c r="G585" i="1"/>
  <c r="H585" i="1"/>
  <c r="K585" i="1"/>
  <c r="R585" i="1"/>
  <c r="C586" i="1"/>
  <c r="F586" i="5" s="1"/>
  <c r="G586" i="5" s="1"/>
  <c r="D586" i="1"/>
  <c r="E586" i="1"/>
  <c r="G586" i="1"/>
  <c r="H586" i="1"/>
  <c r="I586" i="1"/>
  <c r="K586" i="1"/>
  <c r="R586" i="1"/>
  <c r="C587" i="1"/>
  <c r="D587" i="1" s="1"/>
  <c r="E587" i="1"/>
  <c r="G587" i="1"/>
  <c r="H587" i="1"/>
  <c r="I587" i="1"/>
  <c r="K587" i="1"/>
  <c r="R587" i="1"/>
  <c r="C588" i="1"/>
  <c r="F588" i="5" s="1"/>
  <c r="D588" i="1"/>
  <c r="E588" i="1"/>
  <c r="G588" i="1" s="1"/>
  <c r="H588" i="1"/>
  <c r="I588" i="1"/>
  <c r="K588" i="1"/>
  <c r="R588" i="1"/>
  <c r="C589" i="1"/>
  <c r="D589" i="1"/>
  <c r="E589" i="1"/>
  <c r="G589" i="1"/>
  <c r="H589" i="1"/>
  <c r="I589" i="1"/>
  <c r="K589" i="1"/>
  <c r="R589" i="1"/>
  <c r="C590" i="1"/>
  <c r="D590" i="1"/>
  <c r="E590" i="1"/>
  <c r="I590" i="1" s="1"/>
  <c r="G590" i="1"/>
  <c r="H590" i="1"/>
  <c r="K590" i="1"/>
  <c r="R590" i="1"/>
  <c r="C591" i="1"/>
  <c r="D591" i="1"/>
  <c r="E591" i="1"/>
  <c r="G591" i="1"/>
  <c r="H591" i="1"/>
  <c r="I591" i="1"/>
  <c r="K591" i="1"/>
  <c r="R591" i="1"/>
  <c r="C592" i="1"/>
  <c r="F592" i="5" s="1"/>
  <c r="G592" i="5" s="1"/>
  <c r="E592" i="1"/>
  <c r="H592" i="1"/>
  <c r="K592" i="1"/>
  <c r="R592" i="1"/>
  <c r="C593" i="1"/>
  <c r="F593" i="5" s="1"/>
  <c r="E593" i="1"/>
  <c r="G593" i="1"/>
  <c r="H593" i="1"/>
  <c r="K593" i="1"/>
  <c r="R593" i="1"/>
  <c r="C594" i="1"/>
  <c r="D594" i="1" s="1"/>
  <c r="E594" i="1"/>
  <c r="G594" i="1"/>
  <c r="H594" i="1"/>
  <c r="I594" i="1"/>
  <c r="K594" i="1"/>
  <c r="R594" i="1"/>
  <c r="C595" i="1"/>
  <c r="D595" i="1" s="1"/>
  <c r="E595" i="1"/>
  <c r="G595" i="1" s="1"/>
  <c r="H595" i="1"/>
  <c r="I595" i="1"/>
  <c r="K595" i="1"/>
  <c r="R595" i="1"/>
  <c r="C596" i="1"/>
  <c r="D596" i="1"/>
  <c r="E596" i="1"/>
  <c r="G596" i="1"/>
  <c r="H596" i="1"/>
  <c r="I596" i="1"/>
  <c r="K596" i="1"/>
  <c r="R596" i="1"/>
  <c r="C597" i="1"/>
  <c r="D597" i="1" s="1"/>
  <c r="E597" i="1"/>
  <c r="G597" i="1"/>
  <c r="H597" i="1"/>
  <c r="I597" i="1"/>
  <c r="K597" i="1"/>
  <c r="R597" i="1"/>
  <c r="C598" i="1"/>
  <c r="F598" i="5" s="1"/>
  <c r="D598" i="1"/>
  <c r="E598" i="1"/>
  <c r="I598" i="1" s="1"/>
  <c r="G598" i="1"/>
  <c r="H598" i="1"/>
  <c r="K598" i="1"/>
  <c r="R598" i="1"/>
  <c r="C599" i="1"/>
  <c r="F599" i="5" s="1"/>
  <c r="D599" i="1"/>
  <c r="E599" i="1"/>
  <c r="I599" i="1" s="1"/>
  <c r="G599" i="1"/>
  <c r="H599" i="1"/>
  <c r="K599" i="1"/>
  <c r="R599" i="1"/>
  <c r="C600" i="1"/>
  <c r="F600" i="5" s="1"/>
  <c r="G600" i="5" s="1"/>
  <c r="E600" i="1"/>
  <c r="H600" i="1"/>
  <c r="K600" i="1"/>
  <c r="R600" i="1"/>
  <c r="C601" i="1"/>
  <c r="F601" i="5" s="1"/>
  <c r="G601" i="5" s="1"/>
  <c r="E601" i="1"/>
  <c r="G601" i="1"/>
  <c r="H601" i="1"/>
  <c r="K601" i="1"/>
  <c r="R601" i="1"/>
  <c r="C602" i="1"/>
  <c r="F602" i="5" s="1"/>
  <c r="D602" i="1"/>
  <c r="E602" i="1"/>
  <c r="G602" i="1"/>
  <c r="H602" i="1"/>
  <c r="I602" i="1"/>
  <c r="K602" i="1"/>
  <c r="R602" i="1"/>
  <c r="C603" i="1"/>
  <c r="D603" i="1" s="1"/>
  <c r="E603" i="1"/>
  <c r="G603" i="1" s="1"/>
  <c r="H603" i="1"/>
  <c r="I603" i="1"/>
  <c r="K603" i="1"/>
  <c r="R603" i="1"/>
  <c r="C604" i="1"/>
  <c r="F604" i="5" s="1"/>
  <c r="D604" i="1"/>
  <c r="E604" i="1"/>
  <c r="G604" i="1" s="1"/>
  <c r="H604" i="1"/>
  <c r="I604" i="1"/>
  <c r="K604" i="1"/>
  <c r="R604" i="1"/>
  <c r="C605" i="1"/>
  <c r="F605" i="5" s="1"/>
  <c r="G605" i="5" s="1"/>
  <c r="D605" i="1"/>
  <c r="E605" i="1"/>
  <c r="G605" i="1"/>
  <c r="H605" i="1"/>
  <c r="I605" i="1"/>
  <c r="K605" i="1"/>
  <c r="R605" i="1"/>
  <c r="C606" i="1"/>
  <c r="D606" i="1"/>
  <c r="E606" i="1"/>
  <c r="I606" i="1" s="1"/>
  <c r="G606" i="1"/>
  <c r="H606" i="1"/>
  <c r="K606" i="1"/>
  <c r="R606" i="1"/>
  <c r="C607" i="1"/>
  <c r="F607" i="5" s="1"/>
  <c r="D607" i="1"/>
  <c r="E607" i="1"/>
  <c r="I607" i="1" s="1"/>
  <c r="G607" i="1"/>
  <c r="H607" i="1"/>
  <c r="K607" i="1"/>
  <c r="R607" i="1"/>
  <c r="C608" i="1"/>
  <c r="D608" i="1"/>
  <c r="E608" i="1"/>
  <c r="H608" i="1"/>
  <c r="K608" i="1"/>
  <c r="R608" i="1"/>
  <c r="C609" i="1"/>
  <c r="D609" i="1"/>
  <c r="E609" i="1"/>
  <c r="G609" i="1"/>
  <c r="H609" i="1"/>
  <c r="K609" i="1"/>
  <c r="R609" i="1"/>
  <c r="C610" i="1"/>
  <c r="F610" i="5" s="1"/>
  <c r="G610" i="5" s="1"/>
  <c r="D610" i="1"/>
  <c r="E610" i="1"/>
  <c r="G610" i="1"/>
  <c r="H610" i="1"/>
  <c r="I610" i="1"/>
  <c r="K610" i="1"/>
  <c r="R610" i="1"/>
  <c r="C611" i="1"/>
  <c r="D611" i="1" s="1"/>
  <c r="E611" i="1"/>
  <c r="G611" i="1"/>
  <c r="H611" i="1"/>
  <c r="I611" i="1"/>
  <c r="K611" i="1"/>
  <c r="R611" i="1"/>
  <c r="C612" i="1"/>
  <c r="D612" i="1"/>
  <c r="E612" i="1"/>
  <c r="G612" i="1" s="1"/>
  <c r="H612" i="1"/>
  <c r="I612" i="1"/>
  <c r="K612" i="1"/>
  <c r="R612" i="1"/>
  <c r="C613" i="1"/>
  <c r="F613" i="5" s="1"/>
  <c r="D613" i="1"/>
  <c r="E613" i="1"/>
  <c r="G613" i="1"/>
  <c r="H613" i="1"/>
  <c r="I613" i="1"/>
  <c r="K613" i="1"/>
  <c r="R613" i="1"/>
  <c r="C614" i="1"/>
  <c r="D614" i="1"/>
  <c r="E614" i="1"/>
  <c r="I614" i="1" s="1"/>
  <c r="G614" i="1"/>
  <c r="H614" i="1"/>
  <c r="K614" i="1"/>
  <c r="R614" i="1"/>
  <c r="C615" i="1"/>
  <c r="D615" i="1"/>
  <c r="E615" i="1"/>
  <c r="G615" i="1"/>
  <c r="H615" i="1"/>
  <c r="I615" i="1"/>
  <c r="K615" i="1"/>
  <c r="R615" i="1"/>
  <c r="C616" i="1"/>
  <c r="F616" i="5" s="1"/>
  <c r="G616" i="5" s="1"/>
  <c r="E616" i="1"/>
  <c r="H616" i="1"/>
  <c r="K616" i="1"/>
  <c r="R616" i="1"/>
  <c r="C617" i="1"/>
  <c r="F617" i="5" s="1"/>
  <c r="E617" i="1"/>
  <c r="G617" i="1"/>
  <c r="H617" i="1"/>
  <c r="K617" i="1"/>
  <c r="R617" i="1"/>
  <c r="C618" i="1"/>
  <c r="D618" i="1" s="1"/>
  <c r="E618" i="1"/>
  <c r="G618" i="1"/>
  <c r="H618" i="1"/>
  <c r="I618" i="1"/>
  <c r="K618" i="1"/>
  <c r="R618" i="1"/>
  <c r="C619" i="1"/>
  <c r="D619" i="1" s="1"/>
  <c r="E619" i="1"/>
  <c r="G619" i="1" s="1"/>
  <c r="H619" i="1"/>
  <c r="I619" i="1"/>
  <c r="K619" i="1"/>
  <c r="R619" i="1"/>
  <c r="C620" i="1"/>
  <c r="D620" i="1"/>
  <c r="E620" i="1"/>
  <c r="G620" i="1"/>
  <c r="H620" i="1"/>
  <c r="I620" i="1"/>
  <c r="K620" i="1"/>
  <c r="R620" i="1"/>
  <c r="C621" i="1"/>
  <c r="D621" i="1" s="1"/>
  <c r="E621" i="1"/>
  <c r="G621" i="1"/>
  <c r="H621" i="1"/>
  <c r="I621" i="1"/>
  <c r="K621" i="1"/>
  <c r="R621" i="1"/>
  <c r="C622" i="1"/>
  <c r="F622" i="5" s="1"/>
  <c r="D622" i="1"/>
  <c r="E622" i="1"/>
  <c r="I622" i="1" s="1"/>
  <c r="G622" i="1"/>
  <c r="H622" i="1"/>
  <c r="K622" i="1"/>
  <c r="R622" i="1"/>
  <c r="C623" i="1"/>
  <c r="F623" i="5" s="1"/>
  <c r="D623" i="1"/>
  <c r="E623" i="1"/>
  <c r="I623" i="1" s="1"/>
  <c r="G623" i="1"/>
  <c r="H623" i="1"/>
  <c r="K623" i="1"/>
  <c r="R623" i="1"/>
  <c r="C624" i="1"/>
  <c r="F624" i="5" s="1"/>
  <c r="G624" i="5" s="1"/>
  <c r="E624" i="1"/>
  <c r="H624" i="1"/>
  <c r="K624" i="1"/>
  <c r="R624" i="1"/>
  <c r="C625" i="1"/>
  <c r="F625" i="5" s="1"/>
  <c r="G625" i="5" s="1"/>
  <c r="D625" i="1"/>
  <c r="E625" i="1"/>
  <c r="G625" i="1"/>
  <c r="H625" i="1"/>
  <c r="I625" i="1"/>
  <c r="K625" i="1"/>
  <c r="R625" i="1"/>
  <c r="C626" i="1"/>
  <c r="F626" i="5" s="1"/>
  <c r="E626" i="1"/>
  <c r="I626" i="1" s="1"/>
  <c r="G626" i="1"/>
  <c r="H626" i="1"/>
  <c r="K626" i="1"/>
  <c r="R626" i="1"/>
  <c r="C627" i="1"/>
  <c r="D627" i="1" s="1"/>
  <c r="E627" i="1"/>
  <c r="G627" i="1"/>
  <c r="H627" i="1"/>
  <c r="I627" i="1"/>
  <c r="K627" i="1"/>
  <c r="R627" i="1"/>
  <c r="C628" i="1"/>
  <c r="F628" i="5" s="1"/>
  <c r="D628" i="1"/>
  <c r="E628" i="1"/>
  <c r="I628" i="1" s="1"/>
  <c r="G628" i="1"/>
  <c r="H628" i="1"/>
  <c r="K628" i="1"/>
  <c r="R628" i="1"/>
  <c r="C629" i="1"/>
  <c r="F629" i="5" s="1"/>
  <c r="G629" i="5" s="1"/>
  <c r="D629" i="1"/>
  <c r="E629" i="1"/>
  <c r="G629" i="1"/>
  <c r="H629" i="1"/>
  <c r="K629" i="1"/>
  <c r="R629" i="1"/>
  <c r="C630" i="1"/>
  <c r="D630" i="1"/>
  <c r="E630" i="1"/>
  <c r="I630" i="1" s="1"/>
  <c r="H630" i="1"/>
  <c r="K630" i="1"/>
  <c r="R630" i="1"/>
  <c r="C631" i="1"/>
  <c r="F631" i="5" s="1"/>
  <c r="D631" i="1"/>
  <c r="E631" i="1"/>
  <c r="H631" i="1"/>
  <c r="K631" i="1"/>
  <c r="R631" i="1"/>
  <c r="C632" i="1"/>
  <c r="D632" i="1" s="1"/>
  <c r="E632" i="1"/>
  <c r="H632" i="1"/>
  <c r="K632" i="1"/>
  <c r="R632" i="1"/>
  <c r="C633" i="1"/>
  <c r="D633" i="1"/>
  <c r="E633" i="1"/>
  <c r="H633" i="1"/>
  <c r="K633" i="1"/>
  <c r="R633" i="1"/>
  <c r="C634" i="1"/>
  <c r="F634" i="5" s="1"/>
  <c r="G634" i="5" s="1"/>
  <c r="D634" i="1"/>
  <c r="E634" i="1"/>
  <c r="H634" i="1"/>
  <c r="K634" i="1"/>
  <c r="R634" i="1"/>
  <c r="C635" i="1"/>
  <c r="D635" i="1" s="1"/>
  <c r="E635" i="1"/>
  <c r="I635" i="1" s="1"/>
  <c r="G635" i="1"/>
  <c r="H635" i="1"/>
  <c r="K635" i="1"/>
  <c r="R635" i="1"/>
  <c r="C636" i="1"/>
  <c r="D636" i="1"/>
  <c r="E636" i="1"/>
  <c r="H636" i="1"/>
  <c r="K636" i="1"/>
  <c r="R636" i="1"/>
  <c r="C637" i="1"/>
  <c r="F637" i="5" s="1"/>
  <c r="D637" i="1"/>
  <c r="E637" i="1"/>
  <c r="I637" i="1" s="1"/>
  <c r="H637" i="1"/>
  <c r="K637" i="1"/>
  <c r="R637" i="1"/>
  <c r="C638" i="1"/>
  <c r="D638" i="1"/>
  <c r="E638" i="1"/>
  <c r="I638" i="1" s="1"/>
  <c r="G638" i="1"/>
  <c r="H638" i="1"/>
  <c r="K638" i="1"/>
  <c r="R638" i="1"/>
  <c r="C639" i="1"/>
  <c r="D639" i="1" s="1"/>
  <c r="E639" i="1"/>
  <c r="H639" i="1"/>
  <c r="K639" i="1"/>
  <c r="R639" i="1"/>
  <c r="C640" i="1"/>
  <c r="F640" i="5" s="1"/>
  <c r="G640" i="5" s="1"/>
  <c r="E640" i="1"/>
  <c r="H640" i="1"/>
  <c r="K640" i="1"/>
  <c r="R640" i="1"/>
  <c r="C641" i="1"/>
  <c r="F641" i="5" s="1"/>
  <c r="D641" i="1"/>
  <c r="E641" i="1"/>
  <c r="G641" i="1"/>
  <c r="H641" i="1"/>
  <c r="I641" i="1"/>
  <c r="K641" i="1"/>
  <c r="R641" i="1"/>
  <c r="C642" i="1"/>
  <c r="D642" i="1" s="1"/>
  <c r="E642" i="1"/>
  <c r="H642" i="1"/>
  <c r="K642" i="1"/>
  <c r="R642" i="1"/>
  <c r="C643" i="1"/>
  <c r="D643" i="1" s="1"/>
  <c r="E643" i="1"/>
  <c r="G643" i="1"/>
  <c r="H643" i="1"/>
  <c r="I643" i="1"/>
  <c r="K643" i="1"/>
  <c r="R643" i="1"/>
  <c r="C644" i="1"/>
  <c r="D644" i="1"/>
  <c r="E644" i="1"/>
  <c r="I644" i="1" s="1"/>
  <c r="G644" i="1"/>
  <c r="H644" i="1"/>
  <c r="K644" i="1"/>
  <c r="R644" i="1"/>
  <c r="C645" i="1"/>
  <c r="F645" i="5" s="1"/>
  <c r="E645" i="1"/>
  <c r="G645" i="1"/>
  <c r="H645" i="1"/>
  <c r="I645" i="1"/>
  <c r="K645" i="1"/>
  <c r="R645" i="1"/>
  <c r="C646" i="1"/>
  <c r="F646" i="5" s="1"/>
  <c r="D646" i="1"/>
  <c r="E646" i="1"/>
  <c r="I646" i="1" s="1"/>
  <c r="H646" i="1"/>
  <c r="K646" i="1"/>
  <c r="R646" i="1"/>
  <c r="C647" i="1"/>
  <c r="F647" i="5" s="1"/>
  <c r="D647" i="1"/>
  <c r="E647" i="1"/>
  <c r="G647" i="1" s="1"/>
  <c r="H647" i="1"/>
  <c r="I647" i="1"/>
  <c r="K647" i="1"/>
  <c r="R647" i="1"/>
  <c r="C648" i="1"/>
  <c r="D648" i="1"/>
  <c r="E648" i="1"/>
  <c r="H648" i="1"/>
  <c r="K648" i="1"/>
  <c r="R648" i="1"/>
  <c r="C649" i="1"/>
  <c r="F649" i="5" s="1"/>
  <c r="G649" i="5" s="1"/>
  <c r="D649" i="1"/>
  <c r="E649" i="1"/>
  <c r="G649" i="1" s="1"/>
  <c r="H649" i="1"/>
  <c r="I649" i="1"/>
  <c r="K649" i="1"/>
  <c r="R649" i="1"/>
  <c r="C650" i="1"/>
  <c r="F650" i="5" s="1"/>
  <c r="D650" i="1"/>
  <c r="E650" i="1"/>
  <c r="G650" i="1" s="1"/>
  <c r="H650" i="1"/>
  <c r="I650" i="1"/>
  <c r="K650" i="1"/>
  <c r="R650" i="1"/>
  <c r="C651" i="1"/>
  <c r="D651" i="1" s="1"/>
  <c r="E651" i="1"/>
  <c r="G651" i="1"/>
  <c r="H651" i="1"/>
  <c r="I651" i="1"/>
  <c r="K651" i="1"/>
  <c r="R651" i="1"/>
  <c r="C652" i="1"/>
  <c r="F652" i="5" s="1"/>
  <c r="D652" i="1"/>
  <c r="E652" i="1"/>
  <c r="G652" i="1"/>
  <c r="H652" i="1"/>
  <c r="I652" i="1"/>
  <c r="K652" i="1"/>
  <c r="R652" i="1"/>
  <c r="C653" i="1"/>
  <c r="F653" i="5" s="1"/>
  <c r="G653" i="5" s="1"/>
  <c r="E653" i="1"/>
  <c r="G653" i="1"/>
  <c r="H653" i="1"/>
  <c r="I653" i="1"/>
  <c r="K653" i="1"/>
  <c r="R653" i="1"/>
  <c r="C654" i="1"/>
  <c r="D654" i="1"/>
  <c r="E654" i="1"/>
  <c r="I654" i="1" s="1"/>
  <c r="G654" i="1"/>
  <c r="H654" i="1"/>
  <c r="K654" i="1"/>
  <c r="R654" i="1"/>
  <c r="C655" i="1"/>
  <c r="F655" i="5" s="1"/>
  <c r="D655" i="1"/>
  <c r="E655" i="1"/>
  <c r="H655" i="1"/>
  <c r="K655" i="1"/>
  <c r="R655" i="1"/>
  <c r="C656" i="1"/>
  <c r="D656" i="1"/>
  <c r="E656" i="1"/>
  <c r="H656" i="1"/>
  <c r="K656" i="1"/>
  <c r="R656" i="1"/>
  <c r="C657" i="1"/>
  <c r="D657" i="1" s="1"/>
  <c r="E657" i="1"/>
  <c r="I657" i="1" s="1"/>
  <c r="G657" i="1"/>
  <c r="H657" i="1"/>
  <c r="K657" i="1"/>
  <c r="R657" i="1"/>
  <c r="C658" i="1"/>
  <c r="F658" i="5" s="1"/>
  <c r="G658" i="5" s="1"/>
  <c r="D658" i="1"/>
  <c r="E658" i="1"/>
  <c r="G658" i="1" s="1"/>
  <c r="H658" i="1"/>
  <c r="K658" i="1"/>
  <c r="R658" i="1"/>
  <c r="C659" i="1"/>
  <c r="D659" i="1" s="1"/>
  <c r="E659" i="1"/>
  <c r="H659" i="1"/>
  <c r="K659" i="1"/>
  <c r="R659" i="1"/>
  <c r="C660" i="1"/>
  <c r="D660" i="1"/>
  <c r="E660" i="1"/>
  <c r="H660" i="1"/>
  <c r="K660" i="1"/>
  <c r="R660" i="1"/>
  <c r="C661" i="1"/>
  <c r="F661" i="5" s="1"/>
  <c r="E661" i="1"/>
  <c r="H661" i="1"/>
  <c r="K661" i="1"/>
  <c r="R661" i="1"/>
  <c r="C662" i="1"/>
  <c r="D662" i="1"/>
  <c r="E662" i="1"/>
  <c r="H662" i="1"/>
  <c r="K662" i="1"/>
  <c r="R662" i="1"/>
  <c r="C663" i="1"/>
  <c r="D663" i="1" s="1"/>
  <c r="E663" i="1"/>
  <c r="G663" i="1"/>
  <c r="H663" i="1"/>
  <c r="I663" i="1"/>
  <c r="K663" i="1"/>
  <c r="R663" i="1"/>
  <c r="C664" i="1"/>
  <c r="F664" i="5" s="1"/>
  <c r="G664" i="5" s="1"/>
  <c r="D664" i="1"/>
  <c r="E664" i="1"/>
  <c r="I664" i="1" s="1"/>
  <c r="H664" i="1"/>
  <c r="K664" i="1"/>
  <c r="R664" i="1"/>
  <c r="C665" i="1"/>
  <c r="F665" i="5" s="1"/>
  <c r="E665" i="1"/>
  <c r="G665" i="1" s="1"/>
  <c r="H665" i="1"/>
  <c r="I665" i="1"/>
  <c r="K665" i="1"/>
  <c r="R665" i="1"/>
  <c r="C666" i="1"/>
  <c r="D666" i="1"/>
  <c r="E666" i="1"/>
  <c r="G666" i="1"/>
  <c r="H666" i="1"/>
  <c r="I666" i="1"/>
  <c r="K666" i="1"/>
  <c r="R666" i="1"/>
  <c r="C667" i="1"/>
  <c r="D667" i="1"/>
  <c r="E667" i="1"/>
  <c r="G667" i="1"/>
  <c r="H667" i="1"/>
  <c r="I667" i="1"/>
  <c r="K667" i="1"/>
  <c r="R667" i="1"/>
  <c r="C668" i="1"/>
  <c r="D668" i="1"/>
  <c r="E668" i="1"/>
  <c r="I668" i="1" s="1"/>
  <c r="G668" i="1"/>
  <c r="H668" i="1"/>
  <c r="K668" i="1"/>
  <c r="R668" i="1"/>
  <c r="C669" i="1"/>
  <c r="F669" i="5" s="1"/>
  <c r="D669" i="1"/>
  <c r="E669" i="1"/>
  <c r="H669" i="1"/>
  <c r="K669" i="1"/>
  <c r="R669" i="1"/>
  <c r="C670" i="1"/>
  <c r="F670" i="5" s="1"/>
  <c r="D670" i="1"/>
  <c r="E670" i="1"/>
  <c r="H670" i="1"/>
  <c r="K670" i="1"/>
  <c r="R670" i="1"/>
  <c r="C671" i="1"/>
  <c r="F671" i="5" s="1"/>
  <c r="D671" i="1"/>
  <c r="E671" i="1"/>
  <c r="H671" i="1"/>
  <c r="K671" i="1"/>
  <c r="R671" i="1"/>
  <c r="C672" i="1"/>
  <c r="D672" i="1"/>
  <c r="E672" i="1"/>
  <c r="I672" i="1" s="1"/>
  <c r="G672" i="1"/>
  <c r="H672" i="1"/>
  <c r="K672" i="1"/>
  <c r="R672" i="1"/>
  <c r="C673" i="1"/>
  <c r="E673" i="1"/>
  <c r="H673" i="1"/>
  <c r="K673" i="1"/>
  <c r="R673" i="1"/>
  <c r="C674" i="1"/>
  <c r="E674" i="1"/>
  <c r="G674" i="1"/>
  <c r="H674" i="1"/>
  <c r="I674" i="1"/>
  <c r="K674" i="1"/>
  <c r="R674" i="1"/>
  <c r="C675" i="1"/>
  <c r="F675" i="5" s="1"/>
  <c r="D675" i="1"/>
  <c r="E675" i="1"/>
  <c r="G675" i="1"/>
  <c r="H675" i="1"/>
  <c r="I675" i="1"/>
  <c r="K675" i="1"/>
  <c r="R675" i="1"/>
  <c r="C676" i="1"/>
  <c r="F676" i="5" s="1"/>
  <c r="E676" i="1"/>
  <c r="G676" i="1" s="1"/>
  <c r="H676" i="1"/>
  <c r="I676" i="1"/>
  <c r="K676" i="1"/>
  <c r="R676" i="1"/>
  <c r="C677" i="1"/>
  <c r="F677" i="5" s="1"/>
  <c r="G677" i="5" s="1"/>
  <c r="D677" i="1"/>
  <c r="E677" i="1"/>
  <c r="G677" i="1"/>
  <c r="H677" i="1"/>
  <c r="I677" i="1"/>
  <c r="K677" i="1"/>
  <c r="R677" i="1"/>
  <c r="C678" i="1"/>
  <c r="D678" i="1"/>
  <c r="E678" i="1"/>
  <c r="G678" i="1"/>
  <c r="H678" i="1"/>
  <c r="I678" i="1"/>
  <c r="K678" i="1"/>
  <c r="R678" i="1"/>
  <c r="C679" i="1"/>
  <c r="F679" i="5" s="1"/>
  <c r="E679" i="1"/>
  <c r="I679" i="1" s="1"/>
  <c r="G679" i="1"/>
  <c r="H679" i="1"/>
  <c r="K679" i="1"/>
  <c r="R679" i="1"/>
  <c r="C680" i="1"/>
  <c r="D680" i="1"/>
  <c r="E680" i="1"/>
  <c r="I680" i="1" s="1"/>
  <c r="H680" i="1"/>
  <c r="K680" i="1"/>
  <c r="R680" i="1"/>
  <c r="C681" i="1"/>
  <c r="F681" i="5" s="1"/>
  <c r="G681" i="5" s="1"/>
  <c r="D681" i="1"/>
  <c r="E681" i="1"/>
  <c r="H681" i="1"/>
  <c r="K681" i="1"/>
  <c r="R681" i="1"/>
  <c r="C682" i="1"/>
  <c r="F682" i="5" s="1"/>
  <c r="G682" i="5" s="1"/>
  <c r="D682" i="1"/>
  <c r="E682" i="1"/>
  <c r="H682" i="1"/>
  <c r="K682" i="1"/>
  <c r="R682" i="1"/>
  <c r="C683" i="1"/>
  <c r="D683" i="1" s="1"/>
  <c r="E683" i="1"/>
  <c r="G683" i="1"/>
  <c r="H683" i="1"/>
  <c r="I683" i="1"/>
  <c r="K683" i="1"/>
  <c r="R683" i="1"/>
  <c r="C684" i="1"/>
  <c r="E684" i="1"/>
  <c r="H684" i="1"/>
  <c r="K684" i="1"/>
  <c r="R684" i="1"/>
  <c r="C685" i="1"/>
  <c r="D685" i="1" s="1"/>
  <c r="E685" i="1"/>
  <c r="G685" i="1"/>
  <c r="H685" i="1"/>
  <c r="I685" i="1"/>
  <c r="K685" i="1"/>
  <c r="R685" i="1"/>
  <c r="C686" i="1"/>
  <c r="D686" i="1"/>
  <c r="E686" i="1"/>
  <c r="G686" i="1" s="1"/>
  <c r="H686" i="1"/>
  <c r="I686" i="1"/>
  <c r="K686" i="1"/>
  <c r="R686" i="1"/>
  <c r="C687" i="1"/>
  <c r="D687" i="1"/>
  <c r="E687" i="1"/>
  <c r="G687" i="1"/>
  <c r="H687" i="1"/>
  <c r="I687" i="1"/>
  <c r="K687" i="1"/>
  <c r="R687" i="1"/>
  <c r="C688" i="1"/>
  <c r="F688" i="5" s="1"/>
  <c r="G688" i="5" s="1"/>
  <c r="E688" i="1"/>
  <c r="I688" i="1" s="1"/>
  <c r="G688" i="1"/>
  <c r="H688" i="1"/>
  <c r="K688" i="1"/>
  <c r="R688" i="1"/>
  <c r="C689" i="1"/>
  <c r="F689" i="5" s="1"/>
  <c r="D689" i="1"/>
  <c r="E689" i="1"/>
  <c r="G689" i="1"/>
  <c r="H689" i="1"/>
  <c r="I689" i="1"/>
  <c r="K689" i="1"/>
  <c r="R689" i="1"/>
  <c r="C690" i="1"/>
  <c r="F690" i="5" s="1"/>
  <c r="E690" i="1"/>
  <c r="I690" i="1" s="1"/>
  <c r="G690" i="1"/>
  <c r="H690" i="1"/>
  <c r="K690" i="1"/>
  <c r="R690" i="1"/>
  <c r="C691" i="1"/>
  <c r="D691" i="1"/>
  <c r="E691" i="1"/>
  <c r="G691" i="1" s="1"/>
  <c r="H691" i="1"/>
  <c r="K691" i="1"/>
  <c r="R691" i="1"/>
  <c r="C692" i="1"/>
  <c r="D692" i="1"/>
  <c r="E692" i="1"/>
  <c r="H692" i="1"/>
  <c r="K692" i="1"/>
  <c r="R692" i="1"/>
  <c r="C693" i="1"/>
  <c r="D693" i="1"/>
  <c r="E693" i="1"/>
  <c r="H693" i="1"/>
  <c r="K693" i="1"/>
  <c r="R693" i="1"/>
  <c r="C694" i="1"/>
  <c r="F694" i="5" s="1"/>
  <c r="D694" i="1"/>
  <c r="E694" i="1"/>
  <c r="I694" i="1" s="1"/>
  <c r="G694" i="1"/>
  <c r="H694" i="1"/>
  <c r="K694" i="1"/>
  <c r="R694" i="1"/>
  <c r="C695" i="1"/>
  <c r="F695" i="5" s="1"/>
  <c r="G695" i="5" s="1"/>
  <c r="E695" i="1"/>
  <c r="G695" i="1"/>
  <c r="H695" i="1"/>
  <c r="I695" i="1"/>
  <c r="K695" i="1"/>
  <c r="R695" i="1"/>
  <c r="C696" i="1"/>
  <c r="D696" i="1"/>
  <c r="E696" i="1"/>
  <c r="I696" i="1" s="1"/>
  <c r="G696" i="1"/>
  <c r="H696" i="1"/>
  <c r="K696" i="1"/>
  <c r="R696" i="1"/>
  <c r="C697" i="1"/>
  <c r="F697" i="5" s="1"/>
  <c r="G697" i="5" s="1"/>
  <c r="D697" i="1"/>
  <c r="E697" i="1"/>
  <c r="G697" i="1" s="1"/>
  <c r="H697" i="1"/>
  <c r="I697" i="1"/>
  <c r="K697" i="1"/>
  <c r="R697" i="1"/>
  <c r="C698" i="1"/>
  <c r="D698" i="1" s="1"/>
  <c r="E698" i="1"/>
  <c r="G698" i="1"/>
  <c r="H698" i="1"/>
  <c r="I698" i="1"/>
  <c r="K698" i="1"/>
  <c r="R698" i="1"/>
  <c r="C699" i="1"/>
  <c r="D699" i="1" s="1"/>
  <c r="E699" i="1"/>
  <c r="G699" i="1"/>
  <c r="H699" i="1"/>
  <c r="I699" i="1"/>
  <c r="K699" i="1"/>
  <c r="R699" i="1"/>
  <c r="C700" i="1"/>
  <c r="D700" i="1"/>
  <c r="E700" i="1"/>
  <c r="G700" i="1"/>
  <c r="H700" i="1"/>
  <c r="I700" i="1"/>
  <c r="K700" i="1"/>
  <c r="R700" i="1"/>
  <c r="C701" i="1"/>
  <c r="F701" i="5" s="1"/>
  <c r="G701" i="5" s="1"/>
  <c r="E701" i="1"/>
  <c r="I701" i="1" s="1"/>
  <c r="G701" i="1"/>
  <c r="H701" i="1"/>
  <c r="K701" i="1"/>
  <c r="R701" i="1"/>
  <c r="C702" i="1"/>
  <c r="D702" i="1"/>
  <c r="E702" i="1"/>
  <c r="H702" i="1"/>
  <c r="K702" i="1"/>
  <c r="R702" i="1"/>
  <c r="C703" i="1"/>
  <c r="D703" i="1"/>
  <c r="E703" i="1"/>
  <c r="H703" i="1"/>
  <c r="K703" i="1"/>
  <c r="R703" i="1"/>
  <c r="C704" i="1"/>
  <c r="F704" i="5" s="1"/>
  <c r="G704" i="5" s="1"/>
  <c r="D704" i="1"/>
  <c r="E704" i="1"/>
  <c r="I704" i="1" s="1"/>
  <c r="G704" i="1"/>
  <c r="H704" i="1"/>
  <c r="K704" i="1"/>
  <c r="R704" i="1"/>
  <c r="C705" i="1"/>
  <c r="D705" i="1" s="1"/>
  <c r="E705" i="1"/>
  <c r="I705" i="1" s="1"/>
  <c r="G705" i="1"/>
  <c r="H705" i="1"/>
  <c r="K705" i="1"/>
  <c r="R705" i="1"/>
  <c r="C706" i="1"/>
  <c r="E706" i="1"/>
  <c r="G706" i="1"/>
  <c r="H706" i="1"/>
  <c r="I706" i="1"/>
  <c r="K706" i="1"/>
  <c r="R706" i="1"/>
  <c r="C707" i="1"/>
  <c r="F707" i="5" s="1"/>
  <c r="G707" i="5" s="1"/>
  <c r="D707" i="1"/>
  <c r="E707" i="1"/>
  <c r="G707" i="1" s="1"/>
  <c r="H707" i="1"/>
  <c r="I707" i="1"/>
  <c r="K707" i="1"/>
  <c r="R707" i="1"/>
  <c r="C708" i="1"/>
  <c r="D708" i="1"/>
  <c r="E708" i="1"/>
  <c r="G708" i="1" s="1"/>
  <c r="H708" i="1"/>
  <c r="I708" i="1"/>
  <c r="K708" i="1"/>
  <c r="R708" i="1"/>
  <c r="C709" i="1"/>
  <c r="D709" i="1" s="1"/>
  <c r="E709" i="1"/>
  <c r="G709" i="1"/>
  <c r="H709" i="1"/>
  <c r="I709" i="1"/>
  <c r="K709" i="1"/>
  <c r="R709" i="1"/>
  <c r="C710" i="1"/>
  <c r="F710" i="5" s="1"/>
  <c r="G710" i="5" s="1"/>
  <c r="D710" i="1"/>
  <c r="E710" i="1"/>
  <c r="I710" i="1" s="1"/>
  <c r="G710" i="1"/>
  <c r="H710" i="1"/>
  <c r="K710" i="1"/>
  <c r="R710" i="1"/>
  <c r="C711" i="1"/>
  <c r="F711" i="5" s="1"/>
  <c r="G711" i="5" s="1"/>
  <c r="E711" i="1"/>
  <c r="I711" i="1" s="1"/>
  <c r="G711" i="1"/>
  <c r="H711" i="1"/>
  <c r="K711" i="1"/>
  <c r="R711" i="1"/>
  <c r="C712" i="1"/>
  <c r="F712" i="5" s="1"/>
  <c r="G712" i="5" s="1"/>
  <c r="D712" i="1"/>
  <c r="E712" i="1"/>
  <c r="H712" i="1"/>
  <c r="K712" i="1"/>
  <c r="R712" i="1"/>
  <c r="C713" i="1"/>
  <c r="F713" i="5" s="1"/>
  <c r="G713" i="5" s="1"/>
  <c r="D713" i="1"/>
  <c r="E713" i="1"/>
  <c r="H713" i="1"/>
  <c r="K713" i="1"/>
  <c r="R713" i="1"/>
  <c r="C714" i="1"/>
  <c r="F714" i="5" s="1"/>
  <c r="G714" i="5" s="1"/>
  <c r="D714" i="1"/>
  <c r="E714" i="1"/>
  <c r="H714" i="1"/>
  <c r="K714" i="1"/>
  <c r="R714" i="1"/>
  <c r="C715" i="1"/>
  <c r="D715" i="1" s="1"/>
  <c r="E715" i="1"/>
  <c r="G715" i="1"/>
  <c r="H715" i="1"/>
  <c r="I715" i="1"/>
  <c r="K715" i="1"/>
  <c r="R715" i="1"/>
  <c r="C716" i="1"/>
  <c r="E716" i="1"/>
  <c r="I716" i="1" s="1"/>
  <c r="G716" i="1"/>
  <c r="H716" i="1"/>
  <c r="K716" i="1"/>
  <c r="R716" i="1"/>
  <c r="C717" i="1"/>
  <c r="D717" i="1" s="1"/>
  <c r="E717" i="1"/>
  <c r="G717" i="1"/>
  <c r="H717" i="1"/>
  <c r="I717" i="1"/>
  <c r="K717" i="1"/>
  <c r="R717" i="1"/>
  <c r="C718" i="1"/>
  <c r="D718" i="1"/>
  <c r="E718" i="1"/>
  <c r="G718" i="1"/>
  <c r="H718" i="1"/>
  <c r="I718" i="1"/>
  <c r="K718" i="1"/>
  <c r="R718" i="1"/>
  <c r="C719" i="1"/>
  <c r="D719" i="1" s="1"/>
  <c r="E719" i="1"/>
  <c r="G719" i="1"/>
  <c r="H719" i="1"/>
  <c r="I719" i="1"/>
  <c r="K719" i="1"/>
  <c r="R719" i="1"/>
  <c r="C720" i="1"/>
  <c r="D720" i="1"/>
  <c r="E720" i="1"/>
  <c r="I720" i="1" s="1"/>
  <c r="G720" i="1"/>
  <c r="H720" i="1"/>
  <c r="K720" i="1"/>
  <c r="R720" i="1"/>
  <c r="C721" i="1"/>
  <c r="F721" i="5" s="1"/>
  <c r="G721" i="5" s="1"/>
  <c r="E721" i="1"/>
  <c r="I721" i="1" s="1"/>
  <c r="G721" i="1"/>
  <c r="H721" i="1"/>
  <c r="K721" i="1"/>
  <c r="R721" i="1"/>
  <c r="C722" i="1"/>
  <c r="D722" i="1" s="1"/>
  <c r="E722" i="1"/>
  <c r="I722" i="1" s="1"/>
  <c r="G722" i="1"/>
  <c r="H722" i="1"/>
  <c r="K722" i="1"/>
  <c r="R722" i="1"/>
  <c r="C723" i="1"/>
  <c r="F723" i="5" s="1"/>
  <c r="G723" i="5" s="1"/>
  <c r="D723" i="1"/>
  <c r="E723" i="1"/>
  <c r="G723" i="1"/>
  <c r="H723" i="1"/>
  <c r="K723" i="1"/>
  <c r="R723" i="1"/>
  <c r="C724" i="1"/>
  <c r="D724" i="1"/>
  <c r="E724" i="1"/>
  <c r="H724" i="1"/>
  <c r="K724" i="1"/>
  <c r="R724" i="1"/>
  <c r="C725" i="1"/>
  <c r="D725" i="1"/>
  <c r="E725" i="1"/>
  <c r="H725" i="1"/>
  <c r="K725" i="1"/>
  <c r="R725" i="1"/>
  <c r="C726" i="1"/>
  <c r="D726" i="1"/>
  <c r="E726" i="1"/>
  <c r="G726" i="1"/>
  <c r="H726" i="1"/>
  <c r="I726" i="1"/>
  <c r="K726" i="1"/>
  <c r="R726" i="1"/>
  <c r="C727" i="1"/>
  <c r="E727" i="1"/>
  <c r="G727" i="1"/>
  <c r="H727" i="1"/>
  <c r="I727" i="1"/>
  <c r="K727" i="1"/>
  <c r="R727" i="1"/>
  <c r="C728" i="1"/>
  <c r="F728" i="5" s="1"/>
  <c r="G728" i="5" s="1"/>
  <c r="E728" i="1"/>
  <c r="I728" i="1" s="1"/>
  <c r="H728" i="1"/>
  <c r="K728" i="1"/>
  <c r="R728" i="1"/>
  <c r="C729" i="1"/>
  <c r="F729" i="5" s="1"/>
  <c r="D729" i="1"/>
  <c r="E729" i="1"/>
  <c r="G729" i="1"/>
  <c r="H729" i="1"/>
  <c r="I729" i="1"/>
  <c r="K729" i="1"/>
  <c r="R729" i="1"/>
  <c r="C730" i="1"/>
  <c r="D730" i="1" s="1"/>
  <c r="E730" i="1"/>
  <c r="G730" i="1"/>
  <c r="H730" i="1"/>
  <c r="I730" i="1"/>
  <c r="K730" i="1"/>
  <c r="R730" i="1"/>
  <c r="C731" i="1"/>
  <c r="F731" i="5" s="1"/>
  <c r="D731" i="1"/>
  <c r="E731" i="1"/>
  <c r="G731" i="1"/>
  <c r="H731" i="1"/>
  <c r="I731" i="1"/>
  <c r="K731" i="1"/>
  <c r="R731" i="1"/>
  <c r="C732" i="1"/>
  <c r="F732" i="5" s="1"/>
  <c r="E732" i="1"/>
  <c r="I732" i="1" s="1"/>
  <c r="G732" i="1"/>
  <c r="H732" i="1"/>
  <c r="K732" i="1"/>
  <c r="R732" i="1"/>
  <c r="C733" i="1"/>
  <c r="F733" i="5" s="1"/>
  <c r="E733" i="1"/>
  <c r="I733" i="1" s="1"/>
  <c r="G733" i="1"/>
  <c r="H733" i="1"/>
  <c r="K733" i="1"/>
  <c r="R733" i="1"/>
  <c r="C734" i="1"/>
  <c r="F734" i="5" s="1"/>
  <c r="D734" i="1"/>
  <c r="E734" i="1"/>
  <c r="H734" i="1"/>
  <c r="K734" i="1"/>
  <c r="R734" i="1"/>
  <c r="C735" i="1"/>
  <c r="F735" i="5" s="1"/>
  <c r="G735" i="5" s="1"/>
  <c r="D735" i="1"/>
  <c r="E735" i="1"/>
  <c r="H735" i="1"/>
  <c r="K735" i="1"/>
  <c r="R735" i="1"/>
  <c r="C736" i="1"/>
  <c r="F736" i="5" s="1"/>
  <c r="G736" i="5" s="1"/>
  <c r="D736" i="1"/>
  <c r="E736" i="1"/>
  <c r="I736" i="1" s="1"/>
  <c r="H736" i="1"/>
  <c r="K736" i="1"/>
  <c r="R736" i="1"/>
  <c r="C737" i="1"/>
  <c r="F737" i="5" s="1"/>
  <c r="D737" i="1"/>
  <c r="E737" i="1"/>
  <c r="G737" i="1"/>
  <c r="H737" i="1"/>
  <c r="I737" i="1"/>
  <c r="K737" i="1"/>
  <c r="R737" i="1"/>
  <c r="C738" i="1"/>
  <c r="D738" i="1" s="1"/>
  <c r="E738" i="1"/>
  <c r="G738" i="1"/>
  <c r="H738" i="1"/>
  <c r="I738" i="1"/>
  <c r="K738" i="1"/>
  <c r="R738" i="1"/>
  <c r="C739" i="1"/>
  <c r="D739" i="1" s="1"/>
  <c r="E739" i="1"/>
  <c r="G739" i="1"/>
  <c r="H739" i="1"/>
  <c r="I739" i="1"/>
  <c r="K739" i="1"/>
  <c r="R739" i="1"/>
  <c r="C740" i="1"/>
  <c r="F740" i="5" s="1"/>
  <c r="G740" i="5" s="1"/>
  <c r="D740" i="1"/>
  <c r="E740" i="1"/>
  <c r="G740" i="1"/>
  <c r="H740" i="1"/>
  <c r="I740" i="1"/>
  <c r="K740" i="1"/>
  <c r="R740" i="1"/>
  <c r="C741" i="1"/>
  <c r="D741" i="1" s="1"/>
  <c r="E741" i="1"/>
  <c r="G741" i="1"/>
  <c r="H741" i="1"/>
  <c r="I741" i="1"/>
  <c r="K741" i="1"/>
  <c r="R741" i="1"/>
  <c r="C742" i="1"/>
  <c r="D742" i="1"/>
  <c r="E742" i="1"/>
  <c r="I742" i="1" s="1"/>
  <c r="G742" i="1"/>
  <c r="H742" i="1"/>
  <c r="K742" i="1"/>
  <c r="R742" i="1"/>
  <c r="C743" i="1"/>
  <c r="D743" i="1"/>
  <c r="E743" i="1"/>
  <c r="I743" i="1" s="1"/>
  <c r="G743" i="1"/>
  <c r="H743" i="1"/>
  <c r="K743" i="1"/>
  <c r="R743" i="1"/>
  <c r="C744" i="1"/>
  <c r="D744" i="1"/>
  <c r="E744" i="1"/>
  <c r="H744" i="1"/>
  <c r="K744" i="1"/>
  <c r="R744" i="1"/>
  <c r="C745" i="1"/>
  <c r="F745" i="5" s="1"/>
  <c r="G745" i="5" s="1"/>
  <c r="D745" i="1"/>
  <c r="E745" i="1"/>
  <c r="H745" i="1"/>
  <c r="K745" i="1"/>
  <c r="R745" i="1"/>
  <c r="C746" i="1"/>
  <c r="D746" i="1" s="1"/>
  <c r="E746" i="1"/>
  <c r="H746" i="1"/>
  <c r="K746" i="1"/>
  <c r="R746" i="1"/>
  <c r="C747" i="1"/>
  <c r="F747" i="5" s="1"/>
  <c r="G747" i="5" s="1"/>
  <c r="D747" i="1"/>
  <c r="E747" i="1"/>
  <c r="G747" i="1" s="1"/>
  <c r="H747" i="1"/>
  <c r="I747" i="1"/>
  <c r="K747" i="1"/>
  <c r="R747" i="1"/>
  <c r="C748" i="1"/>
  <c r="D748" i="1"/>
  <c r="E748" i="1"/>
  <c r="G748" i="1"/>
  <c r="H748" i="1"/>
  <c r="I748" i="1"/>
  <c r="K748" i="1"/>
  <c r="R748" i="1"/>
  <c r="C749" i="1"/>
  <c r="D749" i="1" s="1"/>
  <c r="E749" i="1"/>
  <c r="G749" i="1"/>
  <c r="H749" i="1"/>
  <c r="I749" i="1"/>
  <c r="K749" i="1"/>
  <c r="R749" i="1"/>
  <c r="C750" i="1"/>
  <c r="D750" i="1"/>
  <c r="E750" i="1"/>
  <c r="G750" i="1" s="1"/>
  <c r="H750" i="1"/>
  <c r="I750" i="1"/>
  <c r="K750" i="1"/>
  <c r="R750" i="1"/>
  <c r="C751" i="1"/>
  <c r="F751" i="5" s="1"/>
  <c r="G751" i="5" s="1"/>
  <c r="D751" i="1"/>
  <c r="E751" i="1"/>
  <c r="G751" i="1"/>
  <c r="H751" i="1"/>
  <c r="I751" i="1"/>
  <c r="K751" i="1"/>
  <c r="R751" i="1"/>
  <c r="C752" i="1"/>
  <c r="F752" i="5" s="1"/>
  <c r="G752" i="5" s="1"/>
  <c r="D752" i="1"/>
  <c r="E752" i="1"/>
  <c r="I752" i="1" s="1"/>
  <c r="G752" i="1"/>
  <c r="H752" i="1"/>
  <c r="K752" i="1"/>
  <c r="R752" i="1"/>
  <c r="C753" i="1"/>
  <c r="F753" i="5" s="1"/>
  <c r="D753" i="1"/>
  <c r="E753" i="1"/>
  <c r="I753" i="1" s="1"/>
  <c r="G753" i="1"/>
  <c r="H753" i="1"/>
  <c r="K753" i="1"/>
  <c r="R753" i="1"/>
  <c r="C754" i="1"/>
  <c r="D754" i="1"/>
  <c r="E754" i="1"/>
  <c r="I754" i="1" s="1"/>
  <c r="G754" i="1"/>
  <c r="H754" i="1"/>
  <c r="K754" i="1"/>
  <c r="R754" i="1"/>
  <c r="C755" i="1"/>
  <c r="D755" i="1"/>
  <c r="E755" i="1"/>
  <c r="G755" i="1" s="1"/>
  <c r="H755" i="1"/>
  <c r="K755" i="1"/>
  <c r="R755" i="1"/>
  <c r="C756" i="1"/>
  <c r="F756" i="5" s="1"/>
  <c r="D756" i="1"/>
  <c r="E756" i="1"/>
  <c r="H756" i="1"/>
  <c r="K756" i="1"/>
  <c r="R756" i="1"/>
  <c r="C757" i="1"/>
  <c r="F757" i="5" s="1"/>
  <c r="E757" i="1"/>
  <c r="H757" i="1"/>
  <c r="K757" i="1"/>
  <c r="R757" i="1"/>
  <c r="C758" i="1"/>
  <c r="F758" i="5" s="1"/>
  <c r="G758" i="5" s="1"/>
  <c r="D758" i="1"/>
  <c r="E758" i="1"/>
  <c r="H758" i="1"/>
  <c r="K758" i="1"/>
  <c r="R758" i="1"/>
  <c r="C759" i="1"/>
  <c r="E759" i="1"/>
  <c r="G759" i="1"/>
  <c r="H759" i="1"/>
  <c r="I759" i="1"/>
  <c r="K759" i="1"/>
  <c r="R759" i="1"/>
  <c r="C760" i="1"/>
  <c r="F760" i="5" s="1"/>
  <c r="G760" i="5" s="1"/>
  <c r="D760" i="1"/>
  <c r="E760" i="1"/>
  <c r="I760" i="1" s="1"/>
  <c r="H760" i="1"/>
  <c r="K760" i="1"/>
  <c r="R760" i="1"/>
  <c r="C761" i="1"/>
  <c r="F761" i="5" s="1"/>
  <c r="E761" i="1"/>
  <c r="G761" i="1" s="1"/>
  <c r="H761" i="1"/>
  <c r="I761" i="1"/>
  <c r="K761" i="1"/>
  <c r="R761" i="1"/>
  <c r="C762" i="1"/>
  <c r="F762" i="5" s="1"/>
  <c r="G762" i="5" s="1"/>
  <c r="D762" i="1"/>
  <c r="E762" i="1"/>
  <c r="G762" i="1"/>
  <c r="H762" i="1"/>
  <c r="I762" i="1"/>
  <c r="K762" i="1"/>
  <c r="R762" i="1"/>
  <c r="C763" i="1"/>
  <c r="D763" i="1"/>
  <c r="E763" i="1"/>
  <c r="G763" i="1"/>
  <c r="H763" i="1"/>
  <c r="I763" i="1"/>
  <c r="K763" i="1"/>
  <c r="R763" i="1"/>
  <c r="C764" i="1"/>
  <c r="F764" i="5" s="1"/>
  <c r="G764" i="5" s="1"/>
  <c r="D764" i="1"/>
  <c r="E764" i="1"/>
  <c r="I764" i="1" s="1"/>
  <c r="G764" i="1"/>
  <c r="H764" i="1"/>
  <c r="K764" i="1"/>
  <c r="R764" i="1"/>
  <c r="C765" i="1"/>
  <c r="D765" i="1"/>
  <c r="E765" i="1"/>
  <c r="I765" i="1" s="1"/>
  <c r="H765" i="1"/>
  <c r="K765" i="1"/>
  <c r="R765" i="1"/>
  <c r="C766" i="1"/>
  <c r="D766" i="1"/>
  <c r="E766" i="1"/>
  <c r="H766" i="1"/>
  <c r="K766" i="1"/>
  <c r="R766" i="1"/>
  <c r="C767" i="1"/>
  <c r="D767" i="1" s="1"/>
  <c r="E767" i="1"/>
  <c r="H767" i="1"/>
  <c r="K767" i="1"/>
  <c r="R767" i="1"/>
  <c r="C768" i="1"/>
  <c r="D768" i="1" s="1"/>
  <c r="E768" i="1"/>
  <c r="I768" i="1" s="1"/>
  <c r="G768" i="1"/>
  <c r="H768" i="1"/>
  <c r="K768" i="1"/>
  <c r="R768" i="1"/>
  <c r="C769" i="1"/>
  <c r="F769" i="5" s="1"/>
  <c r="G769" i="5" s="1"/>
  <c r="E769" i="1"/>
  <c r="H769" i="1"/>
  <c r="K769" i="1"/>
  <c r="R769" i="1"/>
  <c r="C770" i="1"/>
  <c r="D770" i="1" s="1"/>
  <c r="E770" i="1"/>
  <c r="G770" i="1"/>
  <c r="H770" i="1"/>
  <c r="I770" i="1"/>
  <c r="K770" i="1"/>
  <c r="R770" i="1"/>
  <c r="C771" i="1"/>
  <c r="F771" i="5" s="1"/>
  <c r="G771" i="5" s="1"/>
  <c r="D771" i="1"/>
  <c r="E771" i="1"/>
  <c r="G771" i="1"/>
  <c r="H771" i="1"/>
  <c r="I771" i="1"/>
  <c r="K771" i="1"/>
  <c r="R771" i="1"/>
  <c r="C772" i="1"/>
  <c r="D772" i="1" s="1"/>
  <c r="E772" i="1"/>
  <c r="G772" i="1" s="1"/>
  <c r="H772" i="1"/>
  <c r="I772" i="1"/>
  <c r="K772" i="1"/>
  <c r="R772" i="1"/>
  <c r="C773" i="1"/>
  <c r="D773" i="1"/>
  <c r="E773" i="1"/>
  <c r="G773" i="1"/>
  <c r="H773" i="1"/>
  <c r="I773" i="1"/>
  <c r="K773" i="1"/>
  <c r="R773" i="1"/>
  <c r="C774" i="1"/>
  <c r="D774" i="1"/>
  <c r="E774" i="1"/>
  <c r="G774" i="1"/>
  <c r="H774" i="1"/>
  <c r="I774" i="1"/>
  <c r="K774" i="1"/>
  <c r="R774" i="1"/>
  <c r="C775" i="1"/>
  <c r="F775" i="5" s="1"/>
  <c r="G775" i="5" s="1"/>
  <c r="E775" i="1"/>
  <c r="I775" i="1" s="1"/>
  <c r="G775" i="1"/>
  <c r="H775" i="1"/>
  <c r="K775" i="1"/>
  <c r="R775" i="1"/>
  <c r="C776" i="1"/>
  <c r="F776" i="5" s="1"/>
  <c r="G776" i="5" s="1"/>
  <c r="D776" i="1"/>
  <c r="E776" i="1"/>
  <c r="H776" i="1"/>
  <c r="K776" i="1"/>
  <c r="R776" i="1"/>
  <c r="C777" i="1"/>
  <c r="F777" i="5" s="1"/>
  <c r="D777" i="1"/>
  <c r="E777" i="1"/>
  <c r="H777" i="1"/>
  <c r="K777" i="1"/>
  <c r="R777" i="1"/>
  <c r="C778" i="1"/>
  <c r="D778" i="1" s="1"/>
  <c r="E778" i="1"/>
  <c r="H778" i="1"/>
  <c r="K778" i="1"/>
  <c r="R778" i="1"/>
  <c r="C779" i="1"/>
  <c r="F779" i="5" s="1"/>
  <c r="E779" i="1"/>
  <c r="G779" i="1"/>
  <c r="H779" i="1"/>
  <c r="I779" i="1"/>
  <c r="K779" i="1"/>
  <c r="R779" i="1"/>
  <c r="C780" i="1"/>
  <c r="F780" i="5" s="1"/>
  <c r="E780" i="1"/>
  <c r="H780" i="1"/>
  <c r="K780" i="1"/>
  <c r="R780" i="1"/>
  <c r="C781" i="1"/>
  <c r="E781" i="1"/>
  <c r="G781" i="1"/>
  <c r="H781" i="1"/>
  <c r="I781" i="1"/>
  <c r="K781" i="1"/>
  <c r="R781" i="1"/>
  <c r="C782" i="1"/>
  <c r="F782" i="5" s="1"/>
  <c r="G782" i="5" s="1"/>
  <c r="D782" i="1"/>
  <c r="E782" i="1"/>
  <c r="G782" i="1" s="1"/>
  <c r="H782" i="1"/>
  <c r="I782" i="1"/>
  <c r="K782" i="1"/>
  <c r="R782" i="1"/>
  <c r="C783" i="1"/>
  <c r="F783" i="5" s="1"/>
  <c r="G783" i="5" s="1"/>
  <c r="D783" i="1"/>
  <c r="E783" i="1"/>
  <c r="G783" i="1"/>
  <c r="H783" i="1"/>
  <c r="I783" i="1"/>
  <c r="K783" i="1"/>
  <c r="R783" i="1"/>
  <c r="C784" i="1"/>
  <c r="F784" i="5" s="1"/>
  <c r="G784" i="5" s="1"/>
  <c r="E784" i="1"/>
  <c r="I784" i="1" s="1"/>
  <c r="G784" i="1"/>
  <c r="H784" i="1"/>
  <c r="K784" i="1"/>
  <c r="R784" i="1"/>
  <c r="C785" i="1"/>
  <c r="D785" i="1"/>
  <c r="E785" i="1"/>
  <c r="G785" i="1"/>
  <c r="H785" i="1"/>
  <c r="I785" i="1"/>
  <c r="K785" i="1"/>
  <c r="R785" i="1"/>
  <c r="C786" i="1"/>
  <c r="F786" i="5" s="1"/>
  <c r="G786" i="5" s="1"/>
  <c r="E786" i="1"/>
  <c r="I786" i="1" s="1"/>
  <c r="G786" i="1"/>
  <c r="H786" i="1"/>
  <c r="K786" i="1"/>
  <c r="R786" i="1"/>
  <c r="C787" i="1"/>
  <c r="D787" i="1"/>
  <c r="E787" i="1"/>
  <c r="G787" i="1" s="1"/>
  <c r="H787" i="1"/>
  <c r="K787" i="1"/>
  <c r="R787" i="1"/>
  <c r="C788" i="1"/>
  <c r="F788" i="5" s="1"/>
  <c r="G788" i="5" s="1"/>
  <c r="D788" i="1"/>
  <c r="E788" i="1"/>
  <c r="H788" i="1"/>
  <c r="K788" i="1"/>
  <c r="R788" i="1"/>
  <c r="C789" i="1"/>
  <c r="D789" i="1" s="1"/>
  <c r="E789" i="1"/>
  <c r="H789" i="1"/>
  <c r="K789" i="1"/>
  <c r="R789" i="1"/>
  <c r="C790" i="1"/>
  <c r="D790" i="1"/>
  <c r="E790" i="1"/>
  <c r="I790" i="1" s="1"/>
  <c r="G790" i="1"/>
  <c r="H790" i="1"/>
  <c r="K790" i="1"/>
  <c r="R790" i="1"/>
  <c r="C791" i="1"/>
  <c r="D791" i="1" s="1"/>
  <c r="E791" i="1"/>
  <c r="G791" i="1"/>
  <c r="H791" i="1"/>
  <c r="I791" i="1"/>
  <c r="K791" i="1"/>
  <c r="R791" i="1"/>
  <c r="C792" i="1"/>
  <c r="D792" i="1"/>
  <c r="E792" i="1"/>
  <c r="I792" i="1" s="1"/>
  <c r="G792" i="1"/>
  <c r="H792" i="1"/>
  <c r="K792" i="1"/>
  <c r="R792" i="1"/>
  <c r="C793" i="1"/>
  <c r="F793" i="5" s="1"/>
  <c r="G793" i="5" s="1"/>
  <c r="D793" i="1"/>
  <c r="E793" i="1"/>
  <c r="G793" i="1" s="1"/>
  <c r="H793" i="1"/>
  <c r="I793" i="1"/>
  <c r="K793" i="1"/>
  <c r="R793" i="1"/>
  <c r="C794" i="1"/>
  <c r="D794" i="1"/>
  <c r="E794" i="1"/>
  <c r="G794" i="1"/>
  <c r="H794" i="1"/>
  <c r="I794" i="1"/>
  <c r="K794" i="1"/>
  <c r="R794" i="1"/>
  <c r="C795" i="1"/>
  <c r="F795" i="5" s="1"/>
  <c r="G795" i="5" s="1"/>
  <c r="E795" i="1"/>
  <c r="G795" i="1" s="1"/>
  <c r="H795" i="1"/>
  <c r="I795" i="1"/>
  <c r="K795" i="1"/>
  <c r="R795" i="1"/>
  <c r="C796" i="1"/>
  <c r="D796" i="1"/>
  <c r="E796" i="1"/>
  <c r="G796" i="1"/>
  <c r="H796" i="1"/>
  <c r="I796" i="1"/>
  <c r="K796" i="1"/>
  <c r="R796" i="1"/>
  <c r="C797" i="1"/>
  <c r="D797" i="1" s="1"/>
  <c r="E797" i="1"/>
  <c r="I797" i="1" s="1"/>
  <c r="H797" i="1"/>
  <c r="K797" i="1"/>
  <c r="R797" i="1"/>
  <c r="C798" i="1"/>
  <c r="D798" i="1"/>
  <c r="E798" i="1"/>
  <c r="H798" i="1"/>
  <c r="K798" i="1"/>
  <c r="R798" i="1"/>
  <c r="C799" i="1"/>
  <c r="F799" i="5" s="1"/>
  <c r="G799" i="5" s="1"/>
  <c r="E799" i="1"/>
  <c r="H799" i="1"/>
  <c r="K799" i="1"/>
  <c r="R799" i="1"/>
  <c r="C800" i="1"/>
  <c r="F800" i="5" s="1"/>
  <c r="G800" i="5" s="1"/>
  <c r="E800" i="1"/>
  <c r="I800" i="1" s="1"/>
  <c r="G800" i="1"/>
  <c r="H800" i="1"/>
  <c r="K800" i="1"/>
  <c r="R800" i="1"/>
  <c r="C801" i="1"/>
  <c r="F801" i="5" s="1"/>
  <c r="E801" i="1"/>
  <c r="I801" i="1" s="1"/>
  <c r="G801" i="1"/>
  <c r="H801" i="1"/>
  <c r="K801" i="1"/>
  <c r="R801" i="1"/>
  <c r="C802" i="1"/>
  <c r="D802" i="1" s="1"/>
  <c r="E802" i="1"/>
  <c r="G802" i="1"/>
  <c r="H802" i="1"/>
  <c r="I802" i="1"/>
  <c r="K802" i="1"/>
  <c r="R802" i="1"/>
  <c r="C803" i="1"/>
  <c r="D803" i="1"/>
  <c r="E803" i="1"/>
  <c r="H803" i="1"/>
  <c r="I803" i="1"/>
  <c r="K803" i="1"/>
  <c r="R803" i="1"/>
  <c r="C804" i="1"/>
  <c r="F804" i="5" s="1"/>
  <c r="D804" i="1"/>
  <c r="E804" i="1"/>
  <c r="G804" i="1" s="1"/>
  <c r="H804" i="1"/>
  <c r="I804" i="1"/>
  <c r="K804" i="1"/>
  <c r="R804" i="1"/>
  <c r="C805" i="1"/>
  <c r="F805" i="5" s="1"/>
  <c r="D805" i="1"/>
  <c r="E805" i="1"/>
  <c r="G805" i="1"/>
  <c r="H805" i="1"/>
  <c r="I805" i="1"/>
  <c r="K805" i="1"/>
  <c r="R805" i="1"/>
  <c r="C806" i="1"/>
  <c r="F806" i="5" s="1"/>
  <c r="G806" i="5" s="1"/>
  <c r="D806" i="1"/>
  <c r="E806" i="1"/>
  <c r="I806" i="1" s="1"/>
  <c r="G806" i="1"/>
  <c r="H806" i="1"/>
  <c r="K806" i="1"/>
  <c r="R806" i="1"/>
  <c r="C807" i="1"/>
  <c r="E807" i="1"/>
  <c r="I807" i="1" s="1"/>
  <c r="H807" i="1"/>
  <c r="K807" i="1"/>
  <c r="R807" i="1"/>
  <c r="C808" i="1"/>
  <c r="F808" i="5" s="1"/>
  <c r="G808" i="5" s="1"/>
  <c r="D808" i="1"/>
  <c r="E808" i="1"/>
  <c r="H808" i="1"/>
  <c r="K808" i="1"/>
  <c r="R808" i="1"/>
  <c r="C809" i="1"/>
  <c r="D809" i="1" s="1"/>
  <c r="E809" i="1"/>
  <c r="H809" i="1"/>
  <c r="K809" i="1"/>
  <c r="R809" i="1"/>
  <c r="C810" i="1"/>
  <c r="F810" i="5" s="1"/>
  <c r="E810" i="1"/>
  <c r="H810" i="1"/>
  <c r="I810" i="1"/>
  <c r="K810" i="1"/>
  <c r="R810" i="1"/>
  <c r="C811" i="1"/>
  <c r="D811" i="1"/>
  <c r="E811" i="1"/>
  <c r="G811" i="1"/>
  <c r="H811" i="1"/>
  <c r="I811" i="1"/>
  <c r="K811" i="1"/>
  <c r="R811" i="1"/>
  <c r="C812" i="1"/>
  <c r="F812" i="5" s="1"/>
  <c r="G812" i="5" s="1"/>
  <c r="D812" i="1"/>
  <c r="E812" i="1"/>
  <c r="I812" i="1" s="1"/>
  <c r="G812" i="1"/>
  <c r="H812" i="1"/>
  <c r="K812" i="1"/>
  <c r="R812" i="1"/>
  <c r="C813" i="1"/>
  <c r="D813" i="1" s="1"/>
  <c r="E813" i="1"/>
  <c r="G813" i="1"/>
  <c r="H813" i="1"/>
  <c r="I813" i="1"/>
  <c r="K813" i="1"/>
  <c r="R813" i="1"/>
  <c r="C814" i="1"/>
  <c r="D814" i="1"/>
  <c r="E814" i="1"/>
  <c r="G814" i="1"/>
  <c r="H814" i="1"/>
  <c r="I814" i="1"/>
  <c r="K814" i="1"/>
  <c r="R814" i="1"/>
  <c r="C815" i="1"/>
  <c r="D815" i="1"/>
  <c r="E815" i="1"/>
  <c r="G815" i="1" s="1"/>
  <c r="H815" i="1"/>
  <c r="K815" i="1"/>
  <c r="R815" i="1"/>
  <c r="C816" i="1"/>
  <c r="D816" i="1"/>
  <c r="E816" i="1"/>
  <c r="I816" i="1" s="1"/>
  <c r="G816" i="1"/>
  <c r="H816" i="1"/>
  <c r="K816" i="1"/>
  <c r="R816" i="1"/>
  <c r="C817" i="1"/>
  <c r="E817" i="1"/>
  <c r="I817" i="1" s="1"/>
  <c r="G817" i="1"/>
  <c r="H817" i="1"/>
  <c r="K817" i="1"/>
  <c r="R817" i="1"/>
  <c r="C818" i="1"/>
  <c r="D818" i="1" s="1"/>
  <c r="E818" i="1"/>
  <c r="I818" i="1" s="1"/>
  <c r="G818" i="1"/>
  <c r="H818" i="1"/>
  <c r="K818" i="1"/>
  <c r="R818" i="1"/>
  <c r="C819" i="1"/>
  <c r="F819" i="5" s="1"/>
  <c r="G819" i="5" s="1"/>
  <c r="D819" i="1"/>
  <c r="E819" i="1"/>
  <c r="G819" i="1" s="1"/>
  <c r="H819" i="1"/>
  <c r="K819" i="1"/>
  <c r="R819" i="1"/>
  <c r="C820" i="1"/>
  <c r="D820" i="1" s="1"/>
  <c r="E820" i="1"/>
  <c r="H820" i="1"/>
  <c r="K820" i="1"/>
  <c r="R820" i="1"/>
  <c r="C821" i="1"/>
  <c r="D821" i="1" s="1"/>
  <c r="E821" i="1"/>
  <c r="I821" i="1" s="1"/>
  <c r="H821" i="1"/>
  <c r="K821" i="1"/>
  <c r="R821" i="1"/>
  <c r="C822" i="1"/>
  <c r="D822" i="1"/>
  <c r="E822" i="1"/>
  <c r="G822" i="1"/>
  <c r="H822" i="1"/>
  <c r="I822" i="1"/>
  <c r="K822" i="1"/>
  <c r="R822" i="1"/>
  <c r="C823" i="1"/>
  <c r="E823" i="1"/>
  <c r="G823" i="1"/>
  <c r="H823" i="1"/>
  <c r="I823" i="1"/>
  <c r="K823" i="1"/>
  <c r="R823" i="1"/>
  <c r="C824" i="1"/>
  <c r="F824" i="5" s="1"/>
  <c r="G824" i="5" s="1"/>
  <c r="E824" i="1"/>
  <c r="I824" i="1" s="1"/>
  <c r="H824" i="1"/>
  <c r="K824" i="1"/>
  <c r="R824" i="1"/>
  <c r="C825" i="1"/>
  <c r="F825" i="5" s="1"/>
  <c r="D825" i="1"/>
  <c r="E825" i="1"/>
  <c r="G825" i="1" s="1"/>
  <c r="H825" i="1"/>
  <c r="K825" i="1"/>
  <c r="R825" i="1"/>
  <c r="C826" i="1"/>
  <c r="D826" i="1" s="1"/>
  <c r="E826" i="1"/>
  <c r="I826" i="1" s="1"/>
  <c r="G826" i="1"/>
  <c r="H826" i="1"/>
  <c r="K826" i="1"/>
  <c r="R826" i="1"/>
  <c r="C827" i="1"/>
  <c r="F827" i="5" s="1"/>
  <c r="D827" i="1"/>
  <c r="E827" i="1"/>
  <c r="G827" i="1"/>
  <c r="H827" i="1"/>
  <c r="I827" i="1"/>
  <c r="K827" i="1"/>
  <c r="R827" i="1"/>
  <c r="C828" i="1"/>
  <c r="E828" i="1"/>
  <c r="I828" i="1" s="1"/>
  <c r="G828" i="1"/>
  <c r="H828" i="1"/>
  <c r="K828" i="1"/>
  <c r="R828" i="1"/>
  <c r="C829" i="1"/>
  <c r="E829" i="1"/>
  <c r="I829" i="1" s="1"/>
  <c r="G829" i="1"/>
  <c r="H829" i="1"/>
  <c r="K829" i="1"/>
  <c r="R829" i="1"/>
  <c r="C830" i="1"/>
  <c r="F830" i="5" s="1"/>
  <c r="G830" i="5" s="1"/>
  <c r="D830" i="1"/>
  <c r="E830" i="1"/>
  <c r="G830" i="1" s="1"/>
  <c r="H830" i="1"/>
  <c r="K830" i="1"/>
  <c r="R830" i="1"/>
  <c r="C831" i="1"/>
  <c r="F831" i="5" s="1"/>
  <c r="G831" i="5" s="1"/>
  <c r="D831" i="1"/>
  <c r="E831" i="1"/>
  <c r="I831" i="1" s="1"/>
  <c r="H831" i="1"/>
  <c r="K831" i="1"/>
  <c r="R831" i="1"/>
  <c r="C832" i="1"/>
  <c r="F832" i="5" s="1"/>
  <c r="G832" i="5" s="1"/>
  <c r="E832" i="1"/>
  <c r="I832" i="1" s="1"/>
  <c r="H832" i="1"/>
  <c r="K832" i="1"/>
  <c r="R832" i="1"/>
  <c r="C833" i="1"/>
  <c r="D833" i="1" s="1"/>
  <c r="E833" i="1"/>
  <c r="G833" i="1"/>
  <c r="H833" i="1"/>
  <c r="I833" i="1"/>
  <c r="K833" i="1"/>
  <c r="R833" i="1"/>
  <c r="C834" i="1"/>
  <c r="E834" i="1"/>
  <c r="G834" i="1"/>
  <c r="H834" i="1"/>
  <c r="I834" i="1"/>
  <c r="K834" i="1"/>
  <c r="R834" i="1"/>
  <c r="C835" i="1"/>
  <c r="D835" i="1" s="1"/>
  <c r="E835" i="1"/>
  <c r="G835" i="1"/>
  <c r="H835" i="1"/>
  <c r="I835" i="1"/>
  <c r="K835" i="1"/>
  <c r="R835" i="1"/>
  <c r="C836" i="1"/>
  <c r="F836" i="5" s="1"/>
  <c r="G836" i="5" s="1"/>
  <c r="D836" i="1"/>
  <c r="E836" i="1"/>
  <c r="G836" i="1" s="1"/>
  <c r="H836" i="1"/>
  <c r="K836" i="1"/>
  <c r="R836" i="1"/>
  <c r="C837" i="1"/>
  <c r="D837" i="1"/>
  <c r="E837" i="1"/>
  <c r="G837" i="1"/>
  <c r="H837" i="1"/>
  <c r="I837" i="1"/>
  <c r="K837" i="1"/>
  <c r="R837" i="1"/>
  <c r="C838" i="1"/>
  <c r="D838" i="1"/>
  <c r="E838" i="1"/>
  <c r="I838" i="1" s="1"/>
  <c r="G838" i="1"/>
  <c r="H838" i="1"/>
  <c r="K838" i="1"/>
  <c r="R838" i="1"/>
  <c r="C839" i="1"/>
  <c r="D839" i="1"/>
  <c r="E839" i="1"/>
  <c r="I839" i="1" s="1"/>
  <c r="H839" i="1"/>
  <c r="K839" i="1"/>
  <c r="R839" i="1"/>
  <c r="C840" i="1"/>
  <c r="D840" i="1"/>
  <c r="E840" i="1"/>
  <c r="H840" i="1"/>
  <c r="K840" i="1"/>
  <c r="R840" i="1"/>
  <c r="C841" i="1"/>
  <c r="D841" i="1"/>
  <c r="E841" i="1"/>
  <c r="G841" i="1" s="1"/>
  <c r="H841" i="1"/>
  <c r="I841" i="1"/>
  <c r="K841" i="1"/>
  <c r="R841" i="1"/>
  <c r="C842" i="1"/>
  <c r="D842" i="1"/>
  <c r="E842" i="1"/>
  <c r="H842" i="1"/>
  <c r="I842" i="1"/>
  <c r="K842" i="1"/>
  <c r="R842" i="1"/>
  <c r="C843" i="1"/>
  <c r="F843" i="5" s="1"/>
  <c r="G843" i="5" s="1"/>
  <c r="D843" i="1"/>
  <c r="E843" i="1"/>
  <c r="H843" i="1"/>
  <c r="I843" i="1"/>
  <c r="K843" i="1"/>
  <c r="R843" i="1"/>
  <c r="C844" i="1"/>
  <c r="D844" i="1" s="1"/>
  <c r="E844" i="1"/>
  <c r="G844" i="1"/>
  <c r="H844" i="1"/>
  <c r="I844" i="1"/>
  <c r="K844" i="1"/>
  <c r="R844" i="1"/>
  <c r="C845" i="1"/>
  <c r="D845" i="1" s="1"/>
  <c r="E845" i="1"/>
  <c r="G845" i="1"/>
  <c r="H845" i="1"/>
  <c r="I845" i="1"/>
  <c r="K845" i="1"/>
  <c r="R845" i="1"/>
  <c r="C846" i="1"/>
  <c r="D846" i="1"/>
  <c r="E846" i="1"/>
  <c r="G846" i="1" s="1"/>
  <c r="H846" i="1"/>
  <c r="I846" i="1"/>
  <c r="K846" i="1"/>
  <c r="R846" i="1"/>
  <c r="C847" i="1"/>
  <c r="F847" i="5" s="1"/>
  <c r="G847" i="5" s="1"/>
  <c r="D847" i="1"/>
  <c r="E847" i="1"/>
  <c r="G847" i="1"/>
  <c r="H847" i="1"/>
  <c r="I847" i="1"/>
  <c r="K847" i="1"/>
  <c r="R847" i="1"/>
  <c r="C848" i="1"/>
  <c r="F848" i="5" s="1"/>
  <c r="G848" i="5" s="1"/>
  <c r="D848" i="1"/>
  <c r="E848" i="1"/>
  <c r="I848" i="1" s="1"/>
  <c r="G848" i="1"/>
  <c r="H848" i="1"/>
  <c r="K848" i="1"/>
  <c r="R848" i="1"/>
  <c r="C849" i="1"/>
  <c r="F849" i="5" s="1"/>
  <c r="D849" i="1"/>
  <c r="E849" i="1"/>
  <c r="I849" i="1" s="1"/>
  <c r="G849" i="1"/>
  <c r="H849" i="1"/>
  <c r="K849" i="1"/>
  <c r="R849" i="1"/>
  <c r="C850" i="1"/>
  <c r="D850" i="1"/>
  <c r="E850" i="1"/>
  <c r="I850" i="1" s="1"/>
  <c r="G850" i="1"/>
  <c r="H850" i="1"/>
  <c r="K850" i="1"/>
  <c r="R850" i="1"/>
  <c r="C851" i="1"/>
  <c r="F851" i="5" s="1"/>
  <c r="D851" i="1"/>
  <c r="E851" i="1"/>
  <c r="G851" i="1" s="1"/>
  <c r="H851" i="1"/>
  <c r="K851" i="1"/>
  <c r="R851" i="1"/>
  <c r="C852" i="1"/>
  <c r="F852" i="5" s="1"/>
  <c r="D852" i="1"/>
  <c r="E852" i="1"/>
  <c r="G852" i="1" s="1"/>
  <c r="H852" i="1"/>
  <c r="K852" i="1"/>
  <c r="R852" i="1"/>
  <c r="C853" i="1"/>
  <c r="F853" i="5" s="1"/>
  <c r="E853" i="1"/>
  <c r="I853" i="1" s="1"/>
  <c r="H853" i="1"/>
  <c r="K853" i="1"/>
  <c r="R853" i="1"/>
  <c r="C854" i="1"/>
  <c r="F854" i="5" s="1"/>
  <c r="G854" i="5" s="1"/>
  <c r="D854" i="1"/>
  <c r="E854" i="1"/>
  <c r="H854" i="1"/>
  <c r="K854" i="1"/>
  <c r="R854" i="1"/>
  <c r="C855" i="1"/>
  <c r="E855" i="1"/>
  <c r="G855" i="1"/>
  <c r="H855" i="1"/>
  <c r="I855" i="1"/>
  <c r="K855" i="1"/>
  <c r="R855" i="1"/>
  <c r="C856" i="1"/>
  <c r="F856" i="5" s="1"/>
  <c r="G856" i="5" s="1"/>
  <c r="D856" i="1"/>
  <c r="E856" i="1"/>
  <c r="H856" i="1"/>
  <c r="K856" i="1"/>
  <c r="R856" i="1"/>
  <c r="C857" i="1"/>
  <c r="D857" i="1" s="1"/>
  <c r="E857" i="1"/>
  <c r="G857" i="1" s="1"/>
  <c r="H857" i="1"/>
  <c r="I857" i="1"/>
  <c r="K857" i="1"/>
  <c r="R857" i="1"/>
  <c r="C858" i="1"/>
  <c r="F858" i="5" s="1"/>
  <c r="G858" i="5" s="1"/>
  <c r="D858" i="1"/>
  <c r="E858" i="1"/>
  <c r="G858" i="1"/>
  <c r="H858" i="1"/>
  <c r="I858" i="1"/>
  <c r="K858" i="1"/>
  <c r="R858" i="1"/>
  <c r="C859" i="1"/>
  <c r="F859" i="5" s="1"/>
  <c r="G859" i="5" s="1"/>
  <c r="E859" i="1"/>
  <c r="G859" i="1"/>
  <c r="H859" i="1"/>
  <c r="I859" i="1"/>
  <c r="K859" i="1"/>
  <c r="R859" i="1"/>
  <c r="C860" i="1"/>
  <c r="F860" i="5" s="1"/>
  <c r="G860" i="5" s="1"/>
  <c r="D860" i="1"/>
  <c r="E860" i="1"/>
  <c r="I860" i="1" s="1"/>
  <c r="G860" i="1"/>
  <c r="H860" i="1"/>
  <c r="K860" i="1"/>
  <c r="R860" i="1"/>
  <c r="C861" i="1"/>
  <c r="D861" i="1"/>
  <c r="E861" i="1"/>
  <c r="I861" i="1" s="1"/>
  <c r="H861" i="1"/>
  <c r="K861" i="1"/>
  <c r="R861" i="1"/>
  <c r="C862" i="1"/>
  <c r="D862" i="1"/>
  <c r="E862" i="1"/>
  <c r="G862" i="1" s="1"/>
  <c r="H862" i="1"/>
  <c r="K862" i="1"/>
  <c r="R862" i="1"/>
  <c r="C863" i="1"/>
  <c r="D863" i="1" s="1"/>
  <c r="E863" i="1"/>
  <c r="H863" i="1"/>
  <c r="K863" i="1"/>
  <c r="R863" i="1"/>
  <c r="C864" i="1"/>
  <c r="D864" i="1" s="1"/>
  <c r="E864" i="1"/>
  <c r="G864" i="1" s="1"/>
  <c r="H864" i="1"/>
  <c r="K864" i="1"/>
  <c r="R864" i="1"/>
  <c r="C865" i="1"/>
  <c r="F865" i="5" s="1"/>
  <c r="G865" i="5" s="1"/>
  <c r="E865" i="1"/>
  <c r="H865" i="1"/>
  <c r="K865" i="1"/>
  <c r="R865" i="1"/>
  <c r="C866" i="1"/>
  <c r="E866" i="1"/>
  <c r="G866" i="1"/>
  <c r="H866" i="1"/>
  <c r="I866" i="1"/>
  <c r="K866" i="1"/>
  <c r="R866" i="1"/>
  <c r="C867" i="1"/>
  <c r="E867" i="1"/>
  <c r="G867" i="1" s="1"/>
  <c r="H867" i="1"/>
  <c r="I867" i="1"/>
  <c r="K867" i="1"/>
  <c r="R867" i="1"/>
  <c r="C868" i="1"/>
  <c r="D868" i="1"/>
  <c r="E868" i="1"/>
  <c r="G868" i="1" s="1"/>
  <c r="H868" i="1"/>
  <c r="K868" i="1"/>
  <c r="R868" i="1"/>
  <c r="C869" i="1"/>
  <c r="D869" i="1" s="1"/>
  <c r="E869" i="1"/>
  <c r="H869" i="1"/>
  <c r="I869" i="1"/>
  <c r="K869" i="1"/>
  <c r="R869" i="1"/>
  <c r="C870" i="1"/>
  <c r="D870" i="1" s="1"/>
  <c r="E870" i="1"/>
  <c r="I870" i="1" s="1"/>
  <c r="H870" i="1"/>
  <c r="K870" i="1"/>
  <c r="R870" i="1"/>
  <c r="C871" i="1"/>
  <c r="D871" i="1"/>
  <c r="E871" i="1"/>
  <c r="G871" i="1" s="1"/>
  <c r="H871" i="1"/>
  <c r="K871" i="1"/>
  <c r="R871" i="1"/>
  <c r="C872" i="1"/>
  <c r="F872" i="5" s="1"/>
  <c r="G872" i="5" s="1"/>
  <c r="E872" i="1"/>
  <c r="G872" i="1" s="1"/>
  <c r="H872" i="1"/>
  <c r="I872" i="1"/>
  <c r="K872" i="1"/>
  <c r="R872" i="1"/>
  <c r="C873" i="1"/>
  <c r="F873" i="5" s="1"/>
  <c r="G873" i="5" s="1"/>
  <c r="D873" i="1"/>
  <c r="E873" i="1"/>
  <c r="G873" i="1" s="1"/>
  <c r="H873" i="1"/>
  <c r="K873" i="1"/>
  <c r="R873" i="1"/>
  <c r="C874" i="1"/>
  <c r="D874" i="1" s="1"/>
  <c r="E874" i="1"/>
  <c r="G874" i="1"/>
  <c r="H874" i="1"/>
  <c r="I874" i="1"/>
  <c r="K874" i="1"/>
  <c r="R874" i="1"/>
  <c r="C875" i="1"/>
  <c r="E875" i="1"/>
  <c r="G875" i="1" s="1"/>
  <c r="H875" i="1"/>
  <c r="K875" i="1"/>
  <c r="R875" i="1"/>
  <c r="C876" i="1"/>
  <c r="D876" i="1"/>
  <c r="E876" i="1"/>
  <c r="G876" i="1" s="1"/>
  <c r="H876" i="1"/>
  <c r="I876" i="1"/>
  <c r="K876" i="1"/>
  <c r="R876" i="1"/>
  <c r="C877" i="1"/>
  <c r="F877" i="5" s="1"/>
  <c r="E877" i="1"/>
  <c r="G877" i="1"/>
  <c r="H877" i="1"/>
  <c r="K877" i="1"/>
  <c r="R877" i="1"/>
  <c r="C878" i="1"/>
  <c r="E878" i="1"/>
  <c r="I878" i="1" s="1"/>
  <c r="G878" i="1"/>
  <c r="H878" i="1"/>
  <c r="K878" i="1"/>
  <c r="R878" i="1"/>
  <c r="C879" i="1"/>
  <c r="F879" i="5" s="1"/>
  <c r="G879" i="5" s="1"/>
  <c r="D879" i="1"/>
  <c r="E879" i="1"/>
  <c r="G879" i="1" s="1"/>
  <c r="H879" i="1"/>
  <c r="I879" i="1"/>
  <c r="K879" i="1"/>
  <c r="R879" i="1"/>
  <c r="C880" i="1"/>
  <c r="F880" i="5" s="1"/>
  <c r="G880" i="5" s="1"/>
  <c r="E880" i="1"/>
  <c r="G880" i="1" s="1"/>
  <c r="H880" i="1"/>
  <c r="I880" i="1"/>
  <c r="K880" i="1"/>
  <c r="R880" i="1"/>
  <c r="C881" i="1"/>
  <c r="D881" i="1"/>
  <c r="E881" i="1"/>
  <c r="G881" i="1" s="1"/>
  <c r="H881" i="1"/>
  <c r="K881" i="1"/>
  <c r="R881" i="1"/>
  <c r="C882" i="1"/>
  <c r="D882" i="1" s="1"/>
  <c r="E882" i="1"/>
  <c r="H882" i="1"/>
  <c r="I882" i="1"/>
  <c r="K882" i="1"/>
  <c r="R882" i="1"/>
  <c r="C883" i="1"/>
  <c r="F883" i="5" s="1"/>
  <c r="G883" i="5" s="1"/>
  <c r="E883" i="1"/>
  <c r="G883" i="1" s="1"/>
  <c r="H883" i="1"/>
  <c r="I883" i="1"/>
  <c r="K883" i="1"/>
  <c r="R883" i="1"/>
  <c r="C884" i="1"/>
  <c r="F884" i="5" s="1"/>
  <c r="G884" i="5" s="1"/>
  <c r="D884" i="1"/>
  <c r="E884" i="1"/>
  <c r="G884" i="1" s="1"/>
  <c r="H884" i="1"/>
  <c r="K884" i="1"/>
  <c r="R884" i="1"/>
  <c r="C885" i="1"/>
  <c r="D885" i="1" s="1"/>
  <c r="E885" i="1"/>
  <c r="H885" i="1"/>
  <c r="K885" i="1"/>
  <c r="R885" i="1"/>
  <c r="C886" i="1"/>
  <c r="D886" i="1" s="1"/>
  <c r="E886" i="1"/>
  <c r="I886" i="1" s="1"/>
  <c r="H886" i="1"/>
  <c r="K886" i="1"/>
  <c r="R886" i="1"/>
  <c r="C887" i="1"/>
  <c r="D887" i="1"/>
  <c r="E887" i="1"/>
  <c r="G887" i="1" s="1"/>
  <c r="H887" i="1"/>
  <c r="K887" i="1"/>
  <c r="R887" i="1"/>
  <c r="C888" i="1"/>
  <c r="D888" i="1" s="1"/>
  <c r="E888" i="1"/>
  <c r="H888" i="1"/>
  <c r="K888" i="1"/>
  <c r="R888" i="1"/>
  <c r="C889" i="1"/>
  <c r="D889" i="1" s="1"/>
  <c r="E889" i="1"/>
  <c r="G889" i="1" s="1"/>
  <c r="H889" i="1"/>
  <c r="K889" i="1"/>
  <c r="R889" i="1"/>
  <c r="C890" i="1"/>
  <c r="E890" i="1"/>
  <c r="G890" i="1" s="1"/>
  <c r="H890" i="1"/>
  <c r="I890" i="1"/>
  <c r="K890" i="1"/>
  <c r="R890" i="1"/>
  <c r="C891" i="1"/>
  <c r="F891" i="5" s="1"/>
  <c r="G891" i="5" s="1"/>
  <c r="E891" i="1"/>
  <c r="G891" i="1" s="1"/>
  <c r="H891" i="1"/>
  <c r="I891" i="1"/>
  <c r="K891" i="1"/>
  <c r="R891" i="1"/>
  <c r="C892" i="1"/>
  <c r="D892" i="1"/>
  <c r="E892" i="1"/>
  <c r="G892" i="1"/>
  <c r="H892" i="1"/>
  <c r="I892" i="1"/>
  <c r="K892" i="1"/>
  <c r="R892" i="1"/>
  <c r="C893" i="1"/>
  <c r="D893" i="1"/>
  <c r="E893" i="1"/>
  <c r="H893" i="1"/>
  <c r="K893" i="1"/>
  <c r="R893" i="1"/>
  <c r="C894" i="1"/>
  <c r="D894" i="1" s="1"/>
  <c r="E894" i="1"/>
  <c r="I894" i="1" s="1"/>
  <c r="H894" i="1"/>
  <c r="K894" i="1"/>
  <c r="R894" i="1"/>
  <c r="C895" i="1"/>
  <c r="D895" i="1"/>
  <c r="E895" i="1"/>
  <c r="G895" i="1" s="1"/>
  <c r="H895" i="1"/>
  <c r="I895" i="1"/>
  <c r="K895" i="1"/>
  <c r="R895" i="1"/>
  <c r="C896" i="1"/>
  <c r="F896" i="5" s="1"/>
  <c r="G896" i="5" s="1"/>
  <c r="D896" i="1"/>
  <c r="E896" i="1"/>
  <c r="H896" i="1"/>
  <c r="K896" i="1"/>
  <c r="R896" i="1"/>
  <c r="C897" i="1"/>
  <c r="F897" i="5" s="1"/>
  <c r="G897" i="5" s="1"/>
  <c r="D897" i="1"/>
  <c r="E897" i="1"/>
  <c r="G897" i="1"/>
  <c r="H897" i="1"/>
  <c r="K897" i="1"/>
  <c r="R897" i="1"/>
  <c r="C898" i="1"/>
  <c r="D898" i="1" s="1"/>
  <c r="E898" i="1"/>
  <c r="H898" i="1"/>
  <c r="I898" i="1"/>
  <c r="K898" i="1"/>
  <c r="R898" i="1"/>
  <c r="C899" i="1"/>
  <c r="D899" i="1"/>
  <c r="E899" i="1"/>
  <c r="G899" i="1" s="1"/>
  <c r="H899" i="1"/>
  <c r="K899" i="1"/>
  <c r="R899" i="1"/>
  <c r="C900" i="1"/>
  <c r="F900" i="5" s="1"/>
  <c r="D900" i="1"/>
  <c r="E900" i="1"/>
  <c r="G900" i="1" s="1"/>
  <c r="H900" i="1"/>
  <c r="I900" i="1"/>
  <c r="K900" i="1"/>
  <c r="R900" i="1"/>
  <c r="C901" i="1"/>
  <c r="F901" i="5" s="1"/>
  <c r="E901" i="1"/>
  <c r="G901" i="1"/>
  <c r="H901" i="1"/>
  <c r="I901" i="1"/>
  <c r="K901" i="1"/>
  <c r="R901" i="1"/>
  <c r="C902" i="1"/>
  <c r="E902" i="1"/>
  <c r="I902" i="1" s="1"/>
  <c r="H902" i="1"/>
  <c r="K902" i="1"/>
  <c r="R902" i="1"/>
  <c r="C903" i="1"/>
  <c r="F903" i="5" s="1"/>
  <c r="G903" i="5" s="1"/>
  <c r="D903" i="1"/>
  <c r="E903" i="1"/>
  <c r="G903" i="1" s="1"/>
  <c r="H903" i="1"/>
  <c r="I903" i="1"/>
  <c r="K903" i="1"/>
  <c r="R903" i="1"/>
  <c r="C904" i="1"/>
  <c r="F904" i="5" s="1"/>
  <c r="G904" i="5" s="1"/>
  <c r="E904" i="1"/>
  <c r="G904" i="1"/>
  <c r="H904" i="1"/>
  <c r="I904" i="1"/>
  <c r="K904" i="1"/>
  <c r="R904" i="1"/>
  <c r="C905" i="1"/>
  <c r="D905" i="1"/>
  <c r="E905" i="1"/>
  <c r="G905" i="1"/>
  <c r="H905" i="1"/>
  <c r="K905" i="1"/>
  <c r="R905" i="1"/>
  <c r="C906" i="1"/>
  <c r="E906" i="1"/>
  <c r="G906" i="1" s="1"/>
  <c r="H906" i="1"/>
  <c r="I906" i="1"/>
  <c r="K906" i="1"/>
  <c r="R906" i="1"/>
  <c r="C907" i="1"/>
  <c r="D907" i="1" s="1"/>
  <c r="E907" i="1"/>
  <c r="G907" i="1" s="1"/>
  <c r="H907" i="1"/>
  <c r="I907" i="1"/>
  <c r="K907" i="1"/>
  <c r="R907" i="1"/>
  <c r="C908" i="1"/>
  <c r="F908" i="5" s="1"/>
  <c r="G908" i="5" s="1"/>
  <c r="D908" i="1"/>
  <c r="E908" i="1"/>
  <c r="G908" i="1" s="1"/>
  <c r="H908" i="1"/>
  <c r="I908" i="1"/>
  <c r="K908" i="1"/>
  <c r="R908" i="1"/>
  <c r="C909" i="1"/>
  <c r="D909" i="1" s="1"/>
  <c r="E909" i="1"/>
  <c r="H909" i="1"/>
  <c r="K909" i="1"/>
  <c r="R909" i="1"/>
  <c r="C910" i="1"/>
  <c r="D910" i="1" s="1"/>
  <c r="E910" i="1"/>
  <c r="I910" i="1" s="1"/>
  <c r="G910" i="1"/>
  <c r="H910" i="1"/>
  <c r="K910" i="1"/>
  <c r="R910" i="1"/>
  <c r="C911" i="1"/>
  <c r="D911" i="1"/>
  <c r="E911" i="1"/>
  <c r="G911" i="1" s="1"/>
  <c r="H911" i="1"/>
  <c r="K911" i="1"/>
  <c r="R911" i="1"/>
  <c r="C912" i="1"/>
  <c r="D912" i="1" s="1"/>
  <c r="E912" i="1"/>
  <c r="H912" i="1"/>
  <c r="K912" i="1"/>
  <c r="R912" i="1"/>
  <c r="C913" i="1"/>
  <c r="D913" i="1" s="1"/>
  <c r="E913" i="1"/>
  <c r="G913" i="1"/>
  <c r="H913" i="1"/>
  <c r="K913" i="1"/>
  <c r="R913" i="1"/>
  <c r="C914" i="1"/>
  <c r="E914" i="1"/>
  <c r="G914" i="1" s="1"/>
  <c r="H914" i="1"/>
  <c r="I914" i="1"/>
  <c r="K914" i="1"/>
  <c r="R914" i="1"/>
  <c r="C915" i="1"/>
  <c r="F915" i="5" s="1"/>
  <c r="G915" i="5" s="1"/>
  <c r="E915" i="1"/>
  <c r="G915" i="1" s="1"/>
  <c r="H915" i="1"/>
  <c r="I915" i="1"/>
  <c r="K915" i="1"/>
  <c r="R915" i="1"/>
  <c r="C916" i="1"/>
  <c r="D916" i="1"/>
  <c r="E916" i="1"/>
  <c r="G916" i="1" s="1"/>
  <c r="H916" i="1"/>
  <c r="I916" i="1"/>
  <c r="K916" i="1"/>
  <c r="R916" i="1"/>
  <c r="C917" i="1"/>
  <c r="D917" i="1"/>
  <c r="E917" i="1"/>
  <c r="H917" i="1"/>
  <c r="K917" i="1"/>
  <c r="R917" i="1"/>
  <c r="C918" i="1"/>
  <c r="D918" i="1" s="1"/>
  <c r="E918" i="1"/>
  <c r="I918" i="1" s="1"/>
  <c r="H918" i="1"/>
  <c r="K918" i="1"/>
  <c r="R918" i="1"/>
  <c r="C919" i="1"/>
  <c r="D919" i="1"/>
  <c r="E919" i="1"/>
  <c r="G919" i="1" s="1"/>
  <c r="H919" i="1"/>
  <c r="I919" i="1"/>
  <c r="K919" i="1"/>
  <c r="R919" i="1"/>
  <c r="C920" i="1"/>
  <c r="F920" i="5" s="1"/>
  <c r="G920" i="5" s="1"/>
  <c r="D920" i="1"/>
  <c r="E920" i="1"/>
  <c r="H920" i="1"/>
  <c r="K920" i="1"/>
  <c r="R920" i="1"/>
  <c r="C921" i="1"/>
  <c r="F921" i="5" s="1"/>
  <c r="G921" i="5" s="1"/>
  <c r="D921" i="1"/>
  <c r="E921" i="1"/>
  <c r="G921" i="1"/>
  <c r="H921" i="1"/>
  <c r="K921" i="1"/>
  <c r="R921" i="1"/>
  <c r="C922" i="1"/>
  <c r="D922" i="1" s="1"/>
  <c r="E922" i="1"/>
  <c r="G922" i="1" s="1"/>
  <c r="H922" i="1"/>
  <c r="I922" i="1"/>
  <c r="K922" i="1"/>
  <c r="R922" i="1"/>
  <c r="C923" i="1"/>
  <c r="F923" i="5" s="1"/>
  <c r="D923" i="1"/>
  <c r="E923" i="1"/>
  <c r="G923" i="1" s="1"/>
  <c r="H923" i="1"/>
  <c r="I923" i="1"/>
  <c r="K923" i="1"/>
  <c r="R923" i="1"/>
  <c r="C924" i="1"/>
  <c r="F924" i="5" s="1"/>
  <c r="D924" i="1"/>
  <c r="E924" i="1"/>
  <c r="G924" i="1" s="1"/>
  <c r="H924" i="1"/>
  <c r="I924" i="1"/>
  <c r="K924" i="1"/>
  <c r="R924" i="1"/>
  <c r="C925" i="1"/>
  <c r="D925" i="1" s="1"/>
  <c r="E925" i="1"/>
  <c r="G925" i="1"/>
  <c r="H925" i="1"/>
  <c r="K925" i="1"/>
  <c r="R925" i="1"/>
  <c r="C926" i="1"/>
  <c r="E926" i="1"/>
  <c r="I926" i="1" s="1"/>
  <c r="H926" i="1"/>
  <c r="K926" i="1"/>
  <c r="R926" i="1"/>
  <c r="C927" i="1"/>
  <c r="F927" i="5" s="1"/>
  <c r="G927" i="5" s="1"/>
  <c r="D927" i="1"/>
  <c r="E927" i="1"/>
  <c r="G927" i="1" s="1"/>
  <c r="H927" i="1"/>
  <c r="I927" i="1"/>
  <c r="K927" i="1"/>
  <c r="R927" i="1"/>
  <c r="C928" i="1"/>
  <c r="F928" i="5" s="1"/>
  <c r="G928" i="5" s="1"/>
  <c r="E928" i="1"/>
  <c r="G928" i="1"/>
  <c r="H928" i="1"/>
  <c r="K928" i="1"/>
  <c r="R928" i="1"/>
  <c r="C929" i="1"/>
  <c r="D929" i="1"/>
  <c r="E929" i="1"/>
  <c r="G929" i="1"/>
  <c r="H929" i="1"/>
  <c r="K929" i="1"/>
  <c r="R929" i="1"/>
  <c r="C930" i="1"/>
  <c r="D930" i="1" s="1"/>
  <c r="E930" i="1"/>
  <c r="G930" i="1" s="1"/>
  <c r="H930" i="1"/>
  <c r="I930" i="1"/>
  <c r="K930" i="1"/>
  <c r="R930" i="1"/>
  <c r="C931" i="1"/>
  <c r="D931" i="1" s="1"/>
  <c r="E931" i="1"/>
  <c r="G931" i="1" s="1"/>
  <c r="H931" i="1"/>
  <c r="I931" i="1"/>
  <c r="K931" i="1"/>
  <c r="R931" i="1"/>
  <c r="C932" i="1"/>
  <c r="F932" i="5" s="1"/>
  <c r="G932" i="5" s="1"/>
  <c r="D932" i="1"/>
  <c r="E932" i="1"/>
  <c r="G932" i="1" s="1"/>
  <c r="H932" i="1"/>
  <c r="I932" i="1"/>
  <c r="K932" i="1"/>
  <c r="R932" i="1"/>
  <c r="C933" i="1"/>
  <c r="F933" i="5" s="1"/>
  <c r="E933" i="1"/>
  <c r="H933" i="1"/>
  <c r="K933" i="1"/>
  <c r="R933" i="1"/>
  <c r="C934" i="1"/>
  <c r="D934" i="1" s="1"/>
  <c r="E934" i="1"/>
  <c r="I934" i="1" s="1"/>
  <c r="G934" i="1"/>
  <c r="H934" i="1"/>
  <c r="K934" i="1"/>
  <c r="R934" i="1"/>
  <c r="C935" i="1"/>
  <c r="D935" i="1"/>
  <c r="E935" i="1"/>
  <c r="G935" i="1" s="1"/>
  <c r="H935" i="1"/>
  <c r="I935" i="1"/>
  <c r="K935" i="1"/>
  <c r="R935" i="1"/>
  <c r="C936" i="1"/>
  <c r="F936" i="5" s="1"/>
  <c r="E936" i="1"/>
  <c r="H936" i="1"/>
  <c r="K936" i="1"/>
  <c r="R936" i="1"/>
  <c r="C937" i="1"/>
  <c r="D937" i="1"/>
  <c r="E937" i="1"/>
  <c r="G937" i="1"/>
  <c r="H937" i="1"/>
  <c r="K937" i="1"/>
  <c r="R937" i="1"/>
  <c r="C938" i="1"/>
  <c r="E938" i="1"/>
  <c r="G938" i="1" s="1"/>
  <c r="H938" i="1"/>
  <c r="I938" i="1"/>
  <c r="K938" i="1"/>
  <c r="R938" i="1"/>
  <c r="C939" i="1"/>
  <c r="F939" i="5" s="1"/>
  <c r="G939" i="5" s="1"/>
  <c r="E939" i="1"/>
  <c r="G939" i="1" s="1"/>
  <c r="H939" i="1"/>
  <c r="I939" i="1"/>
  <c r="K939" i="1"/>
  <c r="R939" i="1"/>
  <c r="C940" i="1"/>
  <c r="D940" i="1"/>
  <c r="E940" i="1"/>
  <c r="G940" i="1" s="1"/>
  <c r="H940" i="1"/>
  <c r="I940" i="1"/>
  <c r="K940" i="1"/>
  <c r="R940" i="1"/>
  <c r="C941" i="1"/>
  <c r="D941" i="1"/>
  <c r="E941" i="1"/>
  <c r="G941" i="1"/>
  <c r="H941" i="1"/>
  <c r="K941" i="1"/>
  <c r="R941" i="1"/>
  <c r="C942" i="1"/>
  <c r="D942" i="1" s="1"/>
  <c r="E942" i="1"/>
  <c r="I942" i="1" s="1"/>
  <c r="H942" i="1"/>
  <c r="K942" i="1"/>
  <c r="R942" i="1"/>
  <c r="C943" i="1"/>
  <c r="D943" i="1"/>
  <c r="E943" i="1"/>
  <c r="G943" i="1" s="1"/>
  <c r="H943" i="1"/>
  <c r="I943" i="1"/>
  <c r="K943" i="1"/>
  <c r="R943" i="1"/>
  <c r="C944" i="1"/>
  <c r="F944" i="5" s="1"/>
  <c r="G944" i="5" s="1"/>
  <c r="D944" i="1"/>
  <c r="E944" i="1"/>
  <c r="G944" i="1"/>
  <c r="H944" i="1"/>
  <c r="K944" i="1"/>
  <c r="R944" i="1"/>
  <c r="C945" i="1"/>
  <c r="F945" i="5" s="1"/>
  <c r="G945" i="5" s="1"/>
  <c r="D945" i="1"/>
  <c r="E945" i="1"/>
  <c r="G945" i="1"/>
  <c r="H945" i="1"/>
  <c r="K945" i="1"/>
  <c r="R945" i="1"/>
  <c r="C946" i="1"/>
  <c r="D946" i="1" s="1"/>
  <c r="E946" i="1"/>
  <c r="G946" i="1" s="1"/>
  <c r="H946" i="1"/>
  <c r="I946" i="1"/>
  <c r="K946" i="1"/>
  <c r="R946" i="1"/>
  <c r="C947" i="1"/>
  <c r="D947" i="1"/>
  <c r="E947" i="1"/>
  <c r="G947" i="1" s="1"/>
  <c r="H947" i="1"/>
  <c r="I947" i="1"/>
  <c r="K947" i="1"/>
  <c r="R947" i="1"/>
  <c r="C948" i="1"/>
  <c r="F948" i="5" s="1"/>
  <c r="D948" i="1"/>
  <c r="E948" i="1"/>
  <c r="G948" i="1" s="1"/>
  <c r="H948" i="1"/>
  <c r="I948" i="1"/>
  <c r="K948" i="1"/>
  <c r="R948" i="1"/>
  <c r="C949" i="1"/>
  <c r="F949" i="5" s="1"/>
  <c r="E949" i="1"/>
  <c r="G949" i="1"/>
  <c r="H949" i="1"/>
  <c r="K949" i="1"/>
  <c r="R949" i="1"/>
  <c r="C950" i="1"/>
  <c r="E950" i="1"/>
  <c r="I950" i="1" s="1"/>
  <c r="G950" i="1"/>
  <c r="H950" i="1"/>
  <c r="K950" i="1"/>
  <c r="R950" i="1"/>
  <c r="C951" i="1"/>
  <c r="F951" i="5" s="1"/>
  <c r="G951" i="5" s="1"/>
  <c r="D951" i="1"/>
  <c r="E951" i="1"/>
  <c r="G951" i="1" s="1"/>
  <c r="H951" i="1"/>
  <c r="I951" i="1"/>
  <c r="K951" i="1"/>
  <c r="R951" i="1"/>
  <c r="C952" i="1"/>
  <c r="F952" i="5" s="1"/>
  <c r="G952" i="5" s="1"/>
  <c r="E952" i="1"/>
  <c r="G952" i="1"/>
  <c r="H952" i="1"/>
  <c r="K952" i="1"/>
  <c r="R952" i="1"/>
  <c r="C953" i="1"/>
  <c r="D953" i="1"/>
  <c r="E953" i="1"/>
  <c r="I953" i="1" s="1"/>
  <c r="G953" i="1"/>
  <c r="H953" i="1"/>
  <c r="K953" i="1"/>
  <c r="R953" i="1"/>
  <c r="C954" i="1"/>
  <c r="D954" i="1" s="1"/>
  <c r="E954" i="1"/>
  <c r="G954" i="1"/>
  <c r="H954" i="1"/>
  <c r="K954" i="1"/>
  <c r="R954" i="1"/>
  <c r="C955" i="1"/>
  <c r="F955" i="5" s="1"/>
  <c r="G955" i="5" s="1"/>
  <c r="D955" i="1"/>
  <c r="E955" i="1"/>
  <c r="G955" i="1" s="1"/>
  <c r="H955" i="1"/>
  <c r="K955" i="1"/>
  <c r="R955" i="1"/>
  <c r="C956" i="1"/>
  <c r="F956" i="5" s="1"/>
  <c r="G956" i="5" s="1"/>
  <c r="D956" i="1"/>
  <c r="E956" i="1"/>
  <c r="I956" i="1" s="1"/>
  <c r="G956" i="1"/>
  <c r="H956" i="1"/>
  <c r="K956" i="1"/>
  <c r="R956" i="1"/>
  <c r="C957" i="1"/>
  <c r="D957" i="1" s="1"/>
  <c r="E957" i="1"/>
  <c r="G957" i="1" s="1"/>
  <c r="H957" i="1"/>
  <c r="K957" i="1"/>
  <c r="R957" i="1"/>
  <c r="C958" i="1"/>
  <c r="D958" i="1" s="1"/>
  <c r="E958" i="1"/>
  <c r="I958" i="1" s="1"/>
  <c r="H958" i="1"/>
  <c r="K958" i="1"/>
  <c r="R958" i="1"/>
  <c r="C959" i="1"/>
  <c r="F959" i="5" s="1"/>
  <c r="E959" i="1"/>
  <c r="G959" i="1" s="1"/>
  <c r="H959" i="1"/>
  <c r="K959" i="1"/>
  <c r="R959" i="1"/>
  <c r="C960" i="1"/>
  <c r="D960" i="1" s="1"/>
  <c r="E960" i="1"/>
  <c r="G960" i="1" s="1"/>
  <c r="H960" i="1"/>
  <c r="K960" i="1"/>
  <c r="R960" i="1"/>
  <c r="C961" i="1"/>
  <c r="F961" i="5" s="1"/>
  <c r="G961" i="5" s="1"/>
  <c r="D961" i="1"/>
  <c r="E961" i="1"/>
  <c r="G961" i="1" s="1"/>
  <c r="H961" i="1"/>
  <c r="K961" i="1"/>
  <c r="R961" i="1"/>
  <c r="C962" i="1"/>
  <c r="D962" i="1" s="1"/>
  <c r="E962" i="1"/>
  <c r="H962" i="1"/>
  <c r="K962" i="1"/>
  <c r="R962" i="1"/>
  <c r="C963" i="1"/>
  <c r="F963" i="5" s="1"/>
  <c r="G963" i="5" s="1"/>
  <c r="D963" i="1"/>
  <c r="E963" i="1"/>
  <c r="G963" i="1" s="1"/>
  <c r="H963" i="1"/>
  <c r="K963" i="1"/>
  <c r="R963" i="1"/>
  <c r="C964" i="1"/>
  <c r="D964" i="1"/>
  <c r="E964" i="1"/>
  <c r="I964" i="1" s="1"/>
  <c r="H964" i="1"/>
  <c r="K964" i="1"/>
  <c r="R964" i="1"/>
  <c r="C965" i="1"/>
  <c r="D965" i="1" s="1"/>
  <c r="E965" i="1"/>
  <c r="G965" i="1"/>
  <c r="H965" i="1"/>
  <c r="I965" i="1"/>
  <c r="K965" i="1"/>
  <c r="R965" i="1"/>
  <c r="C966" i="1"/>
  <c r="D966" i="1" s="1"/>
  <c r="E966" i="1"/>
  <c r="I966" i="1" s="1"/>
  <c r="G966" i="1"/>
  <c r="H966" i="1"/>
  <c r="K966" i="1"/>
  <c r="R966" i="1"/>
  <c r="C967" i="1"/>
  <c r="F967" i="5" s="1"/>
  <c r="G967" i="5" s="1"/>
  <c r="D967" i="1"/>
  <c r="E967" i="1"/>
  <c r="G967" i="1" s="1"/>
  <c r="H967" i="1"/>
  <c r="I967" i="1"/>
  <c r="K967" i="1"/>
  <c r="R967" i="1"/>
  <c r="C968" i="1"/>
  <c r="F968" i="5" s="1"/>
  <c r="G968" i="5" s="1"/>
  <c r="E968" i="1"/>
  <c r="G968" i="1"/>
  <c r="H968" i="1"/>
  <c r="I968" i="1"/>
  <c r="K968" i="1"/>
  <c r="R968" i="1"/>
  <c r="C969" i="1"/>
  <c r="F969" i="5" s="1"/>
  <c r="G969" i="5" s="1"/>
  <c r="E969" i="1"/>
  <c r="G969" i="1"/>
  <c r="H969" i="1"/>
  <c r="I969" i="1"/>
  <c r="K969" i="1"/>
  <c r="R969" i="1"/>
  <c r="C970" i="1"/>
  <c r="D970" i="1" s="1"/>
  <c r="E970" i="1"/>
  <c r="G970" i="1" s="1"/>
  <c r="H970" i="1"/>
  <c r="I970" i="1"/>
  <c r="K970" i="1"/>
  <c r="R970" i="1"/>
  <c r="C971" i="1"/>
  <c r="D971" i="1" s="1"/>
  <c r="E971" i="1"/>
  <c r="G971" i="1" s="1"/>
  <c r="H971" i="1"/>
  <c r="I971" i="1"/>
  <c r="K971" i="1"/>
  <c r="R971" i="1"/>
  <c r="C972" i="1"/>
  <c r="F972" i="5" s="1"/>
  <c r="D972" i="1"/>
  <c r="E972" i="1"/>
  <c r="I972" i="1" s="1"/>
  <c r="G972" i="1"/>
  <c r="H972" i="1"/>
  <c r="K972" i="1"/>
  <c r="R972" i="1"/>
  <c r="C973" i="1"/>
  <c r="D973" i="1" s="1"/>
  <c r="E973" i="1"/>
  <c r="G973" i="1"/>
  <c r="H973" i="1"/>
  <c r="I973" i="1"/>
  <c r="K973" i="1"/>
  <c r="R973" i="1"/>
  <c r="C974" i="1"/>
  <c r="E974" i="1"/>
  <c r="I974" i="1" s="1"/>
  <c r="G974" i="1"/>
  <c r="H974" i="1"/>
  <c r="K974" i="1"/>
  <c r="R974" i="1"/>
  <c r="C975" i="1"/>
  <c r="F975" i="5" s="1"/>
  <c r="G975" i="5" s="1"/>
  <c r="D975" i="1"/>
  <c r="E975" i="1"/>
  <c r="G975" i="1" s="1"/>
  <c r="H975" i="1"/>
  <c r="K975" i="1"/>
  <c r="R975" i="1"/>
  <c r="C976" i="1"/>
  <c r="F976" i="5" s="1"/>
  <c r="G976" i="5" s="1"/>
  <c r="E976" i="1"/>
  <c r="G976" i="1"/>
  <c r="H976" i="1"/>
  <c r="I976" i="1"/>
  <c r="K976" i="1"/>
  <c r="R976" i="1"/>
  <c r="C977" i="1"/>
  <c r="D977" i="1"/>
  <c r="E977" i="1"/>
  <c r="G977" i="1"/>
  <c r="H977" i="1"/>
  <c r="I977" i="1"/>
  <c r="K977" i="1"/>
  <c r="R977" i="1"/>
  <c r="C978" i="1"/>
  <c r="D978" i="1" s="1"/>
  <c r="E978" i="1"/>
  <c r="H978" i="1"/>
  <c r="I978" i="1"/>
  <c r="K978" i="1"/>
  <c r="R978" i="1"/>
  <c r="C979" i="1"/>
  <c r="D979" i="1" s="1"/>
  <c r="E979" i="1"/>
  <c r="G979" i="1" s="1"/>
  <c r="H979" i="1"/>
  <c r="I979" i="1"/>
  <c r="K979" i="1"/>
  <c r="R979" i="1"/>
  <c r="C980" i="1"/>
  <c r="F980" i="5" s="1"/>
  <c r="G980" i="5" s="1"/>
  <c r="D980" i="1"/>
  <c r="E980" i="1"/>
  <c r="G980" i="1" s="1"/>
  <c r="H980" i="1"/>
  <c r="I980" i="1"/>
  <c r="K980" i="1"/>
  <c r="R980" i="1"/>
  <c r="C981" i="1"/>
  <c r="F981" i="5" s="1"/>
  <c r="G981" i="5" s="1"/>
  <c r="E981" i="1"/>
  <c r="G981" i="1"/>
  <c r="H981" i="1"/>
  <c r="K981" i="1"/>
  <c r="R981" i="1"/>
  <c r="C982" i="1"/>
  <c r="D982" i="1" s="1"/>
  <c r="E982" i="1"/>
  <c r="I982" i="1" s="1"/>
  <c r="G982" i="1"/>
  <c r="H982" i="1"/>
  <c r="K982" i="1"/>
  <c r="R982" i="1"/>
  <c r="C983" i="1"/>
  <c r="F983" i="5" s="1"/>
  <c r="G983" i="5" s="1"/>
  <c r="D983" i="1"/>
  <c r="E983" i="1"/>
  <c r="G983" i="1" s="1"/>
  <c r="H983" i="1"/>
  <c r="I983" i="1"/>
  <c r="K983" i="1"/>
  <c r="R983" i="1"/>
  <c r="C984" i="1"/>
  <c r="F984" i="5" s="1"/>
  <c r="E984" i="1"/>
  <c r="G984" i="1"/>
  <c r="H984" i="1"/>
  <c r="K984" i="1"/>
  <c r="R984" i="1"/>
  <c r="C985" i="1"/>
  <c r="D985" i="1"/>
  <c r="E985" i="1"/>
  <c r="I985" i="1" s="1"/>
  <c r="G985" i="1"/>
  <c r="H985" i="1"/>
  <c r="K985" i="1"/>
  <c r="R985" i="1"/>
  <c r="C986" i="1"/>
  <c r="D986" i="1" s="1"/>
  <c r="E986" i="1"/>
  <c r="H986" i="1"/>
  <c r="K986" i="1"/>
  <c r="R986" i="1"/>
  <c r="C987" i="1"/>
  <c r="F987" i="5" s="1"/>
  <c r="G987" i="5" s="1"/>
  <c r="D987" i="1"/>
  <c r="E987" i="1"/>
  <c r="G987" i="1" s="1"/>
  <c r="H987" i="1"/>
  <c r="K987" i="1"/>
  <c r="R987" i="1"/>
  <c r="C988" i="1"/>
  <c r="D988" i="1"/>
  <c r="E988" i="1"/>
  <c r="I988" i="1" s="1"/>
  <c r="G988" i="1"/>
  <c r="H988" i="1"/>
  <c r="K988" i="1"/>
  <c r="R988" i="1"/>
  <c r="C989" i="1"/>
  <c r="D989" i="1" s="1"/>
  <c r="E989" i="1"/>
  <c r="G989" i="1" s="1"/>
  <c r="H989" i="1"/>
  <c r="K989" i="1"/>
  <c r="R989" i="1"/>
  <c r="C990" i="1"/>
  <c r="E990" i="1"/>
  <c r="I990" i="1" s="1"/>
  <c r="H990" i="1"/>
  <c r="K990" i="1"/>
  <c r="R990" i="1"/>
  <c r="C991" i="1"/>
  <c r="F991" i="5" s="1"/>
  <c r="G991" i="5" s="1"/>
  <c r="E991" i="1"/>
  <c r="G991" i="1" s="1"/>
  <c r="H991" i="1"/>
  <c r="K991" i="1"/>
  <c r="R991" i="1"/>
  <c r="C992" i="1"/>
  <c r="F992" i="5" s="1"/>
  <c r="G992" i="5" s="1"/>
  <c r="E992" i="1"/>
  <c r="G992" i="1" s="1"/>
  <c r="H992" i="1"/>
  <c r="K992" i="1"/>
  <c r="R992" i="1"/>
  <c r="C993" i="1"/>
  <c r="D993" i="1"/>
  <c r="E993" i="1"/>
  <c r="G993" i="1" s="1"/>
  <c r="H993" i="1"/>
  <c r="K993" i="1"/>
  <c r="R993" i="1"/>
  <c r="C994" i="1"/>
  <c r="E994" i="1"/>
  <c r="H994" i="1"/>
  <c r="K994" i="1"/>
  <c r="R994" i="1"/>
  <c r="C995" i="1"/>
  <c r="D995" i="1"/>
  <c r="E995" i="1"/>
  <c r="G995" i="1" s="1"/>
  <c r="H995" i="1"/>
  <c r="K995" i="1"/>
  <c r="R995" i="1"/>
  <c r="C996" i="1"/>
  <c r="F996" i="5" s="1"/>
  <c r="D996" i="1"/>
  <c r="E996" i="1"/>
  <c r="I996" i="1" s="1"/>
  <c r="H996" i="1"/>
  <c r="K996" i="1"/>
  <c r="R996" i="1"/>
  <c r="C997" i="1"/>
  <c r="D997" i="1" s="1"/>
  <c r="E997" i="1"/>
  <c r="G997" i="1"/>
  <c r="H997" i="1"/>
  <c r="I997" i="1"/>
  <c r="K997" i="1"/>
  <c r="R997" i="1"/>
  <c r="C998" i="1"/>
  <c r="D998" i="1" s="1"/>
  <c r="E998" i="1"/>
  <c r="I998" i="1" s="1"/>
  <c r="G998" i="1"/>
  <c r="H998" i="1"/>
  <c r="K998" i="1"/>
  <c r="R998" i="1"/>
  <c r="C999" i="1"/>
  <c r="F999" i="5" s="1"/>
  <c r="G999" i="5" s="1"/>
  <c r="D999" i="1"/>
  <c r="E999" i="1"/>
  <c r="G999" i="1" s="1"/>
  <c r="H999" i="1"/>
  <c r="I999" i="1"/>
  <c r="K999" i="1"/>
  <c r="R999" i="1"/>
  <c r="C1000" i="1"/>
  <c r="D1000" i="1" s="1"/>
  <c r="E1000" i="1"/>
  <c r="G1000" i="1"/>
  <c r="H1000" i="1"/>
  <c r="I1000" i="1"/>
  <c r="K1000" i="1"/>
  <c r="R1000" i="1"/>
  <c r="C1001" i="1"/>
  <c r="F1001" i="5" s="1"/>
  <c r="E1001" i="1"/>
  <c r="G1001" i="1"/>
  <c r="H1001" i="1"/>
  <c r="I1001" i="1"/>
  <c r="K1001" i="1"/>
  <c r="R1001" i="1"/>
  <c r="C1002" i="1"/>
  <c r="D1002" i="1" s="1"/>
  <c r="E1002" i="1"/>
  <c r="G1002" i="1" s="1"/>
  <c r="H1002" i="1"/>
  <c r="I1002" i="1"/>
  <c r="K1002" i="1"/>
  <c r="R1002" i="1"/>
  <c r="C1003" i="1"/>
  <c r="D1003" i="1" s="1"/>
  <c r="E1003" i="1"/>
  <c r="G1003" i="1" s="1"/>
  <c r="H1003" i="1"/>
  <c r="I1003" i="1"/>
  <c r="K1003" i="1"/>
  <c r="R1003" i="1"/>
  <c r="C1004" i="1"/>
  <c r="D1004" i="1"/>
  <c r="E1004" i="1"/>
  <c r="I1004" i="1" s="1"/>
  <c r="G1004" i="1"/>
  <c r="H1004" i="1"/>
  <c r="K1004" i="1"/>
  <c r="R1004" i="1"/>
  <c r="C1005" i="1"/>
  <c r="D1005" i="1" s="1"/>
  <c r="E1005" i="1"/>
  <c r="G1005" i="1"/>
  <c r="H1005" i="1"/>
  <c r="I1005" i="1"/>
  <c r="K1005" i="1"/>
  <c r="R1005" i="1"/>
  <c r="C1006" i="1"/>
  <c r="D1006" i="1" s="1"/>
  <c r="E1006" i="1"/>
  <c r="I1006" i="1" s="1"/>
  <c r="G1006" i="1"/>
  <c r="H1006" i="1"/>
  <c r="K1006" i="1"/>
  <c r="R1006" i="1"/>
  <c r="C1007" i="1"/>
  <c r="F1007" i="5" s="1"/>
  <c r="G1007" i="5" s="1"/>
  <c r="D1007" i="1"/>
  <c r="E1007" i="1"/>
  <c r="G1007" i="1" s="1"/>
  <c r="H1007" i="1"/>
  <c r="K1007" i="1"/>
  <c r="R1007" i="1"/>
  <c r="C1008" i="1"/>
  <c r="F1008" i="5" s="1"/>
  <c r="G1008" i="5" s="1"/>
  <c r="E1008" i="1"/>
  <c r="G1008" i="1"/>
  <c r="H1008" i="1"/>
  <c r="I1008" i="1"/>
  <c r="K1008" i="1"/>
  <c r="R1008" i="1"/>
  <c r="C1009" i="1"/>
  <c r="D1009" i="1"/>
  <c r="E1009" i="1"/>
  <c r="G1009" i="1"/>
  <c r="H1009" i="1"/>
  <c r="I1009" i="1"/>
  <c r="K1009" i="1"/>
  <c r="R1009" i="1"/>
  <c r="C1010" i="1"/>
  <c r="D1010" i="1" s="1"/>
  <c r="E1010" i="1"/>
  <c r="H1010" i="1"/>
  <c r="I1010" i="1"/>
  <c r="K1010" i="1"/>
  <c r="R1010" i="1"/>
  <c r="C1011" i="1"/>
  <c r="F1011" i="5" s="1"/>
  <c r="G1011" i="5" s="1"/>
  <c r="D1011" i="1"/>
  <c r="E1011" i="1"/>
  <c r="G1011" i="1" s="1"/>
  <c r="H1011" i="1"/>
  <c r="I1011" i="1"/>
  <c r="K1011" i="1"/>
  <c r="R1011" i="1"/>
  <c r="C1012" i="1"/>
  <c r="D1012" i="1"/>
  <c r="E1012" i="1"/>
  <c r="G1012" i="1" s="1"/>
  <c r="H1012" i="1"/>
  <c r="I1012" i="1"/>
  <c r="K1012" i="1"/>
  <c r="R1012" i="1"/>
  <c r="C1013" i="1"/>
  <c r="D1013" i="1" s="1"/>
  <c r="E1013" i="1"/>
  <c r="G1013" i="1"/>
  <c r="H1013" i="1"/>
  <c r="K1013" i="1"/>
  <c r="R1013" i="1"/>
  <c r="C1014" i="1"/>
  <c r="D1014" i="1" s="1"/>
  <c r="E1014" i="1"/>
  <c r="I1014" i="1" s="1"/>
  <c r="G1014" i="1"/>
  <c r="H1014" i="1"/>
  <c r="K1014" i="1"/>
  <c r="R1014" i="1"/>
  <c r="C1015" i="1"/>
  <c r="F1015" i="5" s="1"/>
  <c r="G1015" i="5" s="1"/>
  <c r="D1015" i="1"/>
  <c r="E1015" i="1"/>
  <c r="G1015" i="1" s="1"/>
  <c r="H1015" i="1"/>
  <c r="I1015" i="1"/>
  <c r="K1015" i="1"/>
  <c r="R1015" i="1"/>
  <c r="C1016" i="1"/>
  <c r="F1016" i="5" s="1"/>
  <c r="G1016" i="5" s="1"/>
  <c r="E1016" i="1"/>
  <c r="G1016" i="1"/>
  <c r="H1016" i="1"/>
  <c r="K1016" i="1"/>
  <c r="R1016" i="1"/>
  <c r="C1017" i="1"/>
  <c r="F1017" i="5" s="1"/>
  <c r="D1017" i="1"/>
  <c r="E1017" i="1"/>
  <c r="I1017" i="1" s="1"/>
  <c r="G1017" i="1"/>
  <c r="H1017" i="1"/>
  <c r="K1017" i="1"/>
  <c r="R1017" i="1"/>
  <c r="C1018" i="1"/>
  <c r="E1018" i="1"/>
  <c r="G1018" i="1"/>
  <c r="H1018" i="1"/>
  <c r="K1018" i="1"/>
  <c r="R1018" i="1"/>
  <c r="C1019" i="1"/>
  <c r="F1019" i="5" s="1"/>
  <c r="D1019" i="1"/>
  <c r="E1019" i="1"/>
  <c r="G1019" i="1" s="1"/>
  <c r="H1019" i="1"/>
  <c r="K1019" i="1"/>
  <c r="R1019" i="1"/>
  <c r="C1020" i="1"/>
  <c r="D1020" i="1"/>
  <c r="E1020" i="1"/>
  <c r="I1020" i="1" s="1"/>
  <c r="G1020" i="1"/>
  <c r="H1020" i="1"/>
  <c r="K1020" i="1"/>
  <c r="R1020" i="1"/>
  <c r="C1021" i="1"/>
  <c r="D1021" i="1" s="1"/>
  <c r="E1021" i="1"/>
  <c r="G1021" i="1" s="1"/>
  <c r="H1021" i="1"/>
  <c r="K1021" i="1"/>
  <c r="R1021" i="1"/>
  <c r="C1022" i="1"/>
  <c r="E1022" i="1"/>
  <c r="I1022" i="1" s="1"/>
  <c r="H1022" i="1"/>
  <c r="K1022" i="1"/>
  <c r="R1022" i="1"/>
  <c r="C1023" i="1"/>
  <c r="F1023" i="5" s="1"/>
  <c r="E1023" i="1"/>
  <c r="G1023" i="1" s="1"/>
  <c r="H1023" i="1"/>
  <c r="K1023" i="1"/>
  <c r="R1023" i="1"/>
  <c r="C1024" i="1"/>
  <c r="F1024" i="5" s="1"/>
  <c r="G1024" i="5" s="1"/>
  <c r="E1024" i="1"/>
  <c r="H1024" i="1"/>
  <c r="K1024" i="1"/>
  <c r="R1024" i="1"/>
  <c r="C1025" i="1"/>
  <c r="D1025" i="1"/>
  <c r="E1025" i="1"/>
  <c r="G1025" i="1" s="1"/>
  <c r="H1025" i="1"/>
  <c r="K1025" i="1"/>
  <c r="R1025" i="1"/>
  <c r="C1026" i="1"/>
  <c r="E1026" i="1"/>
  <c r="H1026" i="1"/>
  <c r="K1026" i="1"/>
  <c r="R1026" i="1"/>
  <c r="C1027" i="1"/>
  <c r="D1027" i="1"/>
  <c r="E1027" i="1"/>
  <c r="G1027" i="1" s="1"/>
  <c r="H1027" i="1"/>
  <c r="K1027" i="1"/>
  <c r="R1027" i="1"/>
  <c r="C1028" i="1"/>
  <c r="F1028" i="5" s="1"/>
  <c r="D1028" i="1"/>
  <c r="E1028" i="1"/>
  <c r="I1028" i="1" s="1"/>
  <c r="H1028" i="1"/>
  <c r="K1028" i="1"/>
  <c r="R1028" i="1"/>
  <c r="C1029" i="1"/>
  <c r="D1029" i="1" s="1"/>
  <c r="E1029" i="1"/>
  <c r="G1029" i="1"/>
  <c r="H1029" i="1"/>
  <c r="I1029" i="1"/>
  <c r="K1029" i="1"/>
  <c r="R1029" i="1"/>
  <c r="C1030" i="1"/>
  <c r="E1030" i="1"/>
  <c r="I1030" i="1" s="1"/>
  <c r="G1030" i="1"/>
  <c r="H1030" i="1"/>
  <c r="K1030" i="1"/>
  <c r="R1030" i="1"/>
  <c r="C1031" i="1"/>
  <c r="F1031" i="5" s="1"/>
  <c r="G1031" i="5" s="1"/>
  <c r="D1031" i="1"/>
  <c r="E1031" i="1"/>
  <c r="G1031" i="1" s="1"/>
  <c r="H1031" i="1"/>
  <c r="I1031" i="1"/>
  <c r="K1031" i="1"/>
  <c r="R1031" i="1"/>
  <c r="C1032" i="1"/>
  <c r="F1032" i="5" s="1"/>
  <c r="G1032" i="5" s="1"/>
  <c r="E1032" i="1"/>
  <c r="G1032" i="1"/>
  <c r="H1032" i="1"/>
  <c r="I1032" i="1"/>
  <c r="K1032" i="1"/>
  <c r="R1032" i="1"/>
  <c r="C1033" i="1"/>
  <c r="D1033" i="1" s="1"/>
  <c r="E1033" i="1"/>
  <c r="G1033" i="1" s="1"/>
  <c r="H1033" i="1"/>
  <c r="K1033" i="1"/>
  <c r="R1033" i="1"/>
  <c r="C1034" i="1"/>
  <c r="D1034" i="1" s="1"/>
  <c r="E1034" i="1"/>
  <c r="G1034" i="1" s="1"/>
  <c r="H1034" i="1"/>
  <c r="I1034" i="1"/>
  <c r="K1034" i="1"/>
  <c r="R1034" i="1"/>
  <c r="C1035" i="1"/>
  <c r="F1035" i="5" s="1"/>
  <c r="G1035" i="5" s="1"/>
  <c r="E1035" i="1"/>
  <c r="G1035" i="1" s="1"/>
  <c r="H1035" i="1"/>
  <c r="I1035" i="1"/>
  <c r="K1035" i="1"/>
  <c r="R1035" i="1"/>
  <c r="C1036" i="1"/>
  <c r="D1036" i="1"/>
  <c r="E1036" i="1"/>
  <c r="H1036" i="1"/>
  <c r="K1036" i="1"/>
  <c r="R1036" i="1"/>
  <c r="C1037" i="1"/>
  <c r="D1037" i="1" s="1"/>
  <c r="E1037" i="1"/>
  <c r="G1037" i="1"/>
  <c r="H1037" i="1"/>
  <c r="I1037" i="1"/>
  <c r="K1037" i="1"/>
  <c r="R1037" i="1"/>
  <c r="C1038" i="1"/>
  <c r="D1038" i="1" s="1"/>
  <c r="E1038" i="1"/>
  <c r="I1038" i="1" s="1"/>
  <c r="G1038" i="1"/>
  <c r="H1038" i="1"/>
  <c r="K1038" i="1"/>
  <c r="R1038" i="1"/>
  <c r="C1039" i="1"/>
  <c r="F1039" i="5" s="1"/>
  <c r="G1039" i="5" s="1"/>
  <c r="D1039" i="1"/>
  <c r="E1039" i="1"/>
  <c r="G1039" i="1" s="1"/>
  <c r="H1039" i="1"/>
  <c r="K1039" i="1"/>
  <c r="R1039" i="1"/>
  <c r="C1040" i="1"/>
  <c r="F1040" i="5" s="1"/>
  <c r="G1040" i="5" s="1"/>
  <c r="E1040" i="1"/>
  <c r="G1040" i="1"/>
  <c r="H1040" i="1"/>
  <c r="I1040" i="1"/>
  <c r="K1040" i="1"/>
  <c r="R1040" i="1"/>
  <c r="C1041" i="1"/>
  <c r="F1041" i="5" s="1"/>
  <c r="D1041" i="1"/>
  <c r="E1041" i="1"/>
  <c r="G1041" i="1"/>
  <c r="H1041" i="1"/>
  <c r="I1041" i="1"/>
  <c r="K1041" i="1"/>
  <c r="R1041" i="1"/>
  <c r="C1042" i="1"/>
  <c r="E1042" i="1"/>
  <c r="G1042" i="1"/>
  <c r="H1042" i="1"/>
  <c r="I1042" i="1"/>
  <c r="K1042" i="1"/>
  <c r="R1042" i="1"/>
  <c r="C1043" i="1"/>
  <c r="F1043" i="5" s="1"/>
  <c r="D1043" i="1"/>
  <c r="E1043" i="1"/>
  <c r="G1043" i="1" s="1"/>
  <c r="H1043" i="1"/>
  <c r="I1043" i="1"/>
  <c r="K1043" i="1"/>
  <c r="R1043" i="1"/>
  <c r="C1044" i="1"/>
  <c r="D1044" i="1"/>
  <c r="E1044" i="1"/>
  <c r="G1044" i="1" s="1"/>
  <c r="H1044" i="1"/>
  <c r="I1044" i="1"/>
  <c r="K1044" i="1"/>
  <c r="R1044" i="1"/>
  <c r="C1045" i="1"/>
  <c r="D1045" i="1" s="1"/>
  <c r="E1045" i="1"/>
  <c r="G1045" i="1"/>
  <c r="H1045" i="1"/>
  <c r="K1045" i="1"/>
  <c r="R1045" i="1"/>
  <c r="C1046" i="1"/>
  <c r="E1046" i="1"/>
  <c r="I1046" i="1" s="1"/>
  <c r="G1046" i="1"/>
  <c r="H1046" i="1"/>
  <c r="K1046" i="1"/>
  <c r="R1046" i="1"/>
  <c r="C1047" i="1"/>
  <c r="F1047" i="5" s="1"/>
  <c r="D1047" i="1"/>
  <c r="E1047" i="1"/>
  <c r="G1047" i="1" s="1"/>
  <c r="H1047" i="1"/>
  <c r="I1047" i="1"/>
  <c r="K1047" i="1"/>
  <c r="R1047" i="1"/>
  <c r="C1048" i="1"/>
  <c r="F1048" i="5" s="1"/>
  <c r="G1048" i="5" s="1"/>
  <c r="E1048" i="1"/>
  <c r="G1048" i="1"/>
  <c r="H1048" i="1"/>
  <c r="K1048" i="1"/>
  <c r="R1048" i="1"/>
  <c r="C1049" i="1"/>
  <c r="D1049" i="1"/>
  <c r="E1049" i="1"/>
  <c r="I1049" i="1" s="1"/>
  <c r="G1049" i="1"/>
  <c r="H1049" i="1"/>
  <c r="K1049" i="1"/>
  <c r="R1049" i="1"/>
  <c r="C1050" i="1"/>
  <c r="E1050" i="1"/>
  <c r="G1050" i="1"/>
  <c r="H1050" i="1"/>
  <c r="K1050" i="1"/>
  <c r="R1050" i="1"/>
  <c r="C1051" i="1"/>
  <c r="D1051" i="1"/>
  <c r="E1051" i="1"/>
  <c r="G1051" i="1" s="1"/>
  <c r="H1051" i="1"/>
  <c r="K1051" i="1"/>
  <c r="R1051" i="1"/>
  <c r="C1052" i="1"/>
  <c r="F1052" i="5" s="1"/>
  <c r="D1052" i="1"/>
  <c r="E1052" i="1"/>
  <c r="I1052" i="1" s="1"/>
  <c r="G1052" i="1"/>
  <c r="H1052" i="1"/>
  <c r="K1052" i="1"/>
  <c r="R1052" i="1"/>
  <c r="C1053" i="1"/>
  <c r="D1053" i="1" s="1"/>
  <c r="E1053" i="1"/>
  <c r="H1053" i="1"/>
  <c r="K1053" i="1"/>
  <c r="R1053" i="1"/>
  <c r="C1054" i="1"/>
  <c r="E1054" i="1"/>
  <c r="I1054" i="1" s="1"/>
  <c r="H1054" i="1"/>
  <c r="J10" i="3" s="1" a="1"/>
  <c r="J10" i="3" s="1"/>
  <c r="K1054" i="1"/>
  <c r="R1054" i="1"/>
  <c r="C1055" i="1"/>
  <c r="F1055" i="5" s="1"/>
  <c r="G1055" i="5" s="1"/>
  <c r="E1055" i="1"/>
  <c r="G1055" i="1" s="1"/>
  <c r="H1055" i="1"/>
  <c r="K1055" i="1"/>
  <c r="R1055" i="1"/>
  <c r="C1056" i="1"/>
  <c r="F1056" i="5" s="1"/>
  <c r="G1056" i="5" s="1"/>
  <c r="E1056" i="1"/>
  <c r="H1056" i="1"/>
  <c r="K1056" i="1"/>
  <c r="R1056" i="1"/>
  <c r="C1057" i="1"/>
  <c r="D1057" i="1"/>
  <c r="E1057" i="1"/>
  <c r="G1057" i="1" s="1"/>
  <c r="H1057" i="1"/>
  <c r="K1057" i="1"/>
  <c r="R1057" i="1"/>
  <c r="C1058" i="1"/>
  <c r="D1058" i="1" s="1"/>
  <c r="E1058" i="1"/>
  <c r="H1058" i="1"/>
  <c r="K1058" i="1"/>
  <c r="R1058" i="1"/>
  <c r="C1059" i="1"/>
  <c r="F1059" i="5" s="1"/>
  <c r="G1059" i="5" s="1"/>
  <c r="D1059" i="1"/>
  <c r="E1059" i="1"/>
  <c r="G1059" i="1" s="1"/>
  <c r="H1059" i="1"/>
  <c r="K1059" i="1"/>
  <c r="R1059" i="1"/>
  <c r="C1060" i="1"/>
  <c r="D1060" i="1"/>
  <c r="E1060" i="1"/>
  <c r="I1060" i="1" s="1"/>
  <c r="G1060" i="1"/>
  <c r="H1060" i="1"/>
  <c r="K1060" i="1"/>
  <c r="R1060" i="1"/>
  <c r="C1061" i="1"/>
  <c r="D1061" i="1" s="1"/>
  <c r="E1061" i="1"/>
  <c r="H1061" i="1"/>
  <c r="I1061" i="1"/>
  <c r="K1061" i="1"/>
  <c r="R1061" i="1"/>
  <c r="C1062" i="1"/>
  <c r="D1062" i="1" s="1"/>
  <c r="E1062" i="1"/>
  <c r="I1062" i="1" s="1"/>
  <c r="G1062" i="1"/>
  <c r="H1062" i="1"/>
  <c r="K1062" i="1"/>
  <c r="R1062" i="1"/>
  <c r="C1063" i="1"/>
  <c r="F1063" i="5" s="1"/>
  <c r="G1063" i="5" s="1"/>
  <c r="D1063" i="1"/>
  <c r="E1063" i="1"/>
  <c r="G1063" i="1" s="1"/>
  <c r="H1063" i="1"/>
  <c r="I1063" i="1"/>
  <c r="K1063" i="1"/>
  <c r="R1063" i="1"/>
  <c r="C1064" i="1"/>
  <c r="F1064" i="5" s="1"/>
  <c r="G1064" i="5" s="1"/>
  <c r="E1064" i="1"/>
  <c r="H1064" i="1"/>
  <c r="I1064" i="1"/>
  <c r="K1064" i="1"/>
  <c r="R1064" i="1"/>
  <c r="C1065" i="1"/>
  <c r="F1065" i="5" s="1"/>
  <c r="E1065" i="1"/>
  <c r="G1065" i="1" s="1"/>
  <c r="H1065" i="1"/>
  <c r="K1065" i="1"/>
  <c r="R1065" i="1"/>
  <c r="C1066" i="1"/>
  <c r="E1066" i="1"/>
  <c r="G1066" i="1"/>
  <c r="H1066" i="1"/>
  <c r="I1066" i="1"/>
  <c r="K1066" i="1"/>
  <c r="R1066" i="1"/>
  <c r="C1067" i="1"/>
  <c r="F1067" i="5" s="1"/>
  <c r="E1067" i="1"/>
  <c r="G1067" i="1" s="1"/>
  <c r="H1067" i="1"/>
  <c r="I1067" i="1"/>
  <c r="K1067" i="1"/>
  <c r="R1067" i="1"/>
  <c r="C1068" i="1"/>
  <c r="D1068" i="1"/>
  <c r="E1068" i="1"/>
  <c r="H1068" i="1"/>
  <c r="K1068" i="1"/>
  <c r="R1068" i="1"/>
  <c r="C1069" i="1"/>
  <c r="D1069" i="1"/>
  <c r="E1069" i="1"/>
  <c r="G1069" i="1"/>
  <c r="H1069" i="1"/>
  <c r="I1069" i="1"/>
  <c r="K1069" i="1"/>
  <c r="R1069" i="1"/>
  <c r="C1070" i="1"/>
  <c r="E1070" i="1"/>
  <c r="I1070" i="1" s="1"/>
  <c r="G1070" i="1"/>
  <c r="H1070" i="1"/>
  <c r="K1070" i="1"/>
  <c r="R1070" i="1"/>
  <c r="C1071" i="1"/>
  <c r="F1071" i="5" s="1"/>
  <c r="D1071" i="1"/>
  <c r="E1071" i="1"/>
  <c r="G1071" i="1" s="1"/>
  <c r="H1071" i="1"/>
  <c r="K1071" i="1"/>
  <c r="R1071" i="1"/>
  <c r="C1072" i="1"/>
  <c r="F1072" i="5" s="1"/>
  <c r="G1072" i="5" s="1"/>
  <c r="D1072" i="1"/>
  <c r="E1072" i="1"/>
  <c r="G1072" i="1"/>
  <c r="H1072" i="1"/>
  <c r="I1072" i="1"/>
  <c r="K1072" i="1"/>
  <c r="R1072" i="1"/>
  <c r="C1073" i="1"/>
  <c r="D1073" i="1"/>
  <c r="E1073" i="1"/>
  <c r="G1073" i="1" s="1"/>
  <c r="H1073" i="1"/>
  <c r="I1073" i="1"/>
  <c r="K1073" i="1"/>
  <c r="R1073" i="1"/>
  <c r="C1074" i="1"/>
  <c r="E1074" i="1"/>
  <c r="G1074" i="1"/>
  <c r="H1074" i="1"/>
  <c r="I1074" i="1"/>
  <c r="K1074" i="1"/>
  <c r="R1074" i="1"/>
  <c r="C1075" i="1"/>
  <c r="D1075" i="1" s="1"/>
  <c r="E1075" i="1"/>
  <c r="G1075" i="1" s="1"/>
  <c r="H1075" i="1"/>
  <c r="I1075" i="1"/>
  <c r="K1075" i="1"/>
  <c r="R1075" i="1"/>
  <c r="C1076" i="1"/>
  <c r="F1076" i="5" s="1"/>
  <c r="D1076" i="1"/>
  <c r="E1076" i="1"/>
  <c r="H1076" i="1"/>
  <c r="I1076" i="1"/>
  <c r="K1076" i="1"/>
  <c r="R1076" i="1"/>
  <c r="C1077" i="1"/>
  <c r="D1077" i="1" s="1"/>
  <c r="E1077" i="1"/>
  <c r="H1077" i="1"/>
  <c r="K1077" i="1"/>
  <c r="R1077" i="1"/>
  <c r="C1078" i="1"/>
  <c r="E1078" i="1"/>
  <c r="G1078" i="1"/>
  <c r="H1078" i="1"/>
  <c r="K1078" i="1"/>
  <c r="R1078" i="1"/>
  <c r="C1079" i="1"/>
  <c r="F1079" i="5" s="1"/>
  <c r="G1079" i="5" s="1"/>
  <c r="E1079" i="1"/>
  <c r="G1079" i="1" s="1"/>
  <c r="H1079" i="1"/>
  <c r="K1079" i="1"/>
  <c r="R1079" i="1"/>
  <c r="C1080" i="1"/>
  <c r="F1080" i="5" s="1"/>
  <c r="G1080" i="5" s="1"/>
  <c r="D1080" i="1"/>
  <c r="E1080" i="1"/>
  <c r="G1080" i="1"/>
  <c r="H1080" i="1"/>
  <c r="I1080" i="1"/>
  <c r="K1080" i="1"/>
  <c r="R1080" i="1"/>
  <c r="C1081" i="1"/>
  <c r="D1081" i="1" s="1"/>
  <c r="E1081" i="1"/>
  <c r="H1081" i="1"/>
  <c r="K1081" i="1"/>
  <c r="R1081" i="1"/>
  <c r="C1082" i="1"/>
  <c r="D1082" i="1" s="1"/>
  <c r="E1082" i="1"/>
  <c r="H1082" i="1"/>
  <c r="K1082" i="1"/>
  <c r="R1082" i="1"/>
  <c r="C1083" i="1"/>
  <c r="F1083" i="5" s="1"/>
  <c r="G1083" i="5" s="1"/>
  <c r="D1083" i="1"/>
  <c r="E1083" i="1"/>
  <c r="G1083" i="1" s="1"/>
  <c r="H1083" i="1"/>
  <c r="K1083" i="1"/>
  <c r="R1083" i="1"/>
  <c r="C1084" i="1"/>
  <c r="D1084" i="1"/>
  <c r="E1084" i="1"/>
  <c r="H1084" i="1"/>
  <c r="K1084" i="1"/>
  <c r="R1084" i="1"/>
  <c r="C1085" i="1"/>
  <c r="D1085" i="1" s="1"/>
  <c r="E1085" i="1"/>
  <c r="G1085" i="1"/>
  <c r="H1085" i="1"/>
  <c r="I1085" i="1"/>
  <c r="K1085" i="1"/>
  <c r="R1085" i="1"/>
  <c r="C1086" i="1"/>
  <c r="D1086" i="1" s="1"/>
  <c r="E1086" i="1"/>
  <c r="G1086" i="1"/>
  <c r="H1086" i="1"/>
  <c r="I1086" i="1"/>
  <c r="K1086" i="1"/>
  <c r="R1086" i="1"/>
  <c r="C1087" i="1"/>
  <c r="F1087" i="5" s="1"/>
  <c r="G1087" i="5" s="1"/>
  <c r="E1087" i="1"/>
  <c r="G1087" i="1" s="1"/>
  <c r="H1087" i="1"/>
  <c r="I1087" i="1"/>
  <c r="K1087" i="1"/>
  <c r="R1087" i="1"/>
  <c r="C1088" i="1"/>
  <c r="F1088" i="5" s="1"/>
  <c r="G1088" i="5" s="1"/>
  <c r="E1088" i="1"/>
  <c r="H1088" i="1"/>
  <c r="K1088" i="1"/>
  <c r="R1088" i="1"/>
  <c r="C1089" i="1"/>
  <c r="F1089" i="5" s="1"/>
  <c r="D1089" i="1"/>
  <c r="E1089" i="1"/>
  <c r="G1089" i="1"/>
  <c r="H1089" i="1"/>
  <c r="I1089" i="1"/>
  <c r="K1089" i="1"/>
  <c r="R1089" i="1"/>
  <c r="C1090" i="1"/>
  <c r="E1090" i="1"/>
  <c r="G1090" i="1"/>
  <c r="H1090" i="1"/>
  <c r="I1090" i="1"/>
  <c r="K1090" i="1"/>
  <c r="R1090" i="1"/>
  <c r="C1091" i="1"/>
  <c r="F1091" i="5" s="1"/>
  <c r="E1091" i="1"/>
  <c r="G1091" i="1" s="1"/>
  <c r="H1091" i="1"/>
  <c r="I1091" i="1"/>
  <c r="K1091" i="1"/>
  <c r="R1091" i="1"/>
  <c r="C1092" i="1"/>
  <c r="D1092" i="1" s="1"/>
  <c r="E1092" i="1"/>
  <c r="G1092" i="1"/>
  <c r="H1092" i="1"/>
  <c r="I1092" i="1"/>
  <c r="K1092" i="1"/>
  <c r="R1092" i="1"/>
  <c r="C1093" i="1"/>
  <c r="D1093" i="1"/>
  <c r="E1093" i="1"/>
  <c r="G1093" i="1"/>
  <c r="H1093" i="1"/>
  <c r="K1093" i="1"/>
  <c r="R1093" i="1"/>
  <c r="C1094" i="1"/>
  <c r="E1094" i="1"/>
  <c r="H1094" i="1"/>
  <c r="K1094" i="1"/>
  <c r="R1094" i="1"/>
  <c r="C1095" i="1"/>
  <c r="F1095" i="5" s="1"/>
  <c r="D1095" i="1"/>
  <c r="E1095" i="1"/>
  <c r="G1095" i="1" s="1"/>
  <c r="H1095" i="1"/>
  <c r="K1095" i="1"/>
  <c r="R1095" i="1"/>
  <c r="C1096" i="1"/>
  <c r="F1096" i="5" s="1"/>
  <c r="G1096" i="5" s="1"/>
  <c r="E1096" i="1"/>
  <c r="G1096" i="1"/>
  <c r="H1096" i="1"/>
  <c r="I1096" i="1"/>
  <c r="K1096" i="1"/>
  <c r="R1096" i="1"/>
  <c r="C1097" i="1"/>
  <c r="D1097" i="1" s="1"/>
  <c r="E1097" i="1"/>
  <c r="I1097" i="1" s="1"/>
  <c r="H1097" i="1"/>
  <c r="K1097" i="1"/>
  <c r="R1097" i="1"/>
  <c r="C1098" i="1"/>
  <c r="E1098" i="1"/>
  <c r="H1098" i="1"/>
  <c r="K1098" i="1"/>
  <c r="R1098" i="1"/>
  <c r="C1099" i="1"/>
  <c r="D1099" i="1"/>
  <c r="E1099" i="1"/>
  <c r="G1099" i="1" s="1"/>
  <c r="H1099" i="1"/>
  <c r="K1099" i="1"/>
  <c r="R1099" i="1"/>
  <c r="C1100" i="1"/>
  <c r="F1100" i="5" s="1"/>
  <c r="D1100" i="1"/>
  <c r="E1100" i="1"/>
  <c r="I1100" i="1" s="1"/>
  <c r="G1100" i="1"/>
  <c r="H1100" i="1"/>
  <c r="K1100" i="1"/>
  <c r="R1100" i="1"/>
  <c r="C1101" i="1"/>
  <c r="D1101" i="1" s="1"/>
  <c r="E1101" i="1"/>
  <c r="G1101" i="1"/>
  <c r="H1101" i="1"/>
  <c r="I1101" i="1"/>
  <c r="K1101" i="1"/>
  <c r="R1101" i="1"/>
  <c r="C1102" i="1"/>
  <c r="E1102" i="1"/>
  <c r="G1102" i="1"/>
  <c r="H1102" i="1"/>
  <c r="I1102" i="1"/>
  <c r="K1102" i="1"/>
  <c r="R1102" i="1"/>
  <c r="C1103" i="1"/>
  <c r="F1103" i="5" s="1"/>
  <c r="G1103" i="5" s="1"/>
  <c r="E1103" i="1"/>
  <c r="G1103" i="1" s="1"/>
  <c r="H1103" i="1"/>
  <c r="K1103" i="1"/>
  <c r="R1103" i="1"/>
  <c r="C1104" i="1"/>
  <c r="F1104" i="5" s="1"/>
  <c r="G1104" i="5" s="1"/>
  <c r="E1104" i="1"/>
  <c r="I1104" i="1" s="1"/>
  <c r="G1104" i="1"/>
  <c r="H1104" i="1"/>
  <c r="K1104" i="1"/>
  <c r="R1104" i="1"/>
  <c r="C1105" i="1"/>
  <c r="D1105" i="1"/>
  <c r="E1105" i="1"/>
  <c r="G1105" i="1"/>
  <c r="H1105" i="1"/>
  <c r="I1105" i="1"/>
  <c r="K1105" i="1"/>
  <c r="R1105" i="1"/>
  <c r="C1106" i="1"/>
  <c r="D1106" i="1" s="1"/>
  <c r="E1106" i="1"/>
  <c r="G1106" i="1"/>
  <c r="H1106" i="1"/>
  <c r="I1106" i="1"/>
  <c r="K1106" i="1"/>
  <c r="R1106" i="1"/>
  <c r="C1107" i="1"/>
  <c r="F1107" i="5" s="1"/>
  <c r="G1107" i="5" s="1"/>
  <c r="D1107" i="1"/>
  <c r="E1107" i="1"/>
  <c r="G1107" i="1" s="1"/>
  <c r="H1107" i="1"/>
  <c r="K1107" i="1"/>
  <c r="R1107" i="1"/>
  <c r="C1108" i="1"/>
  <c r="D1108" i="1" s="1"/>
  <c r="E1108" i="1"/>
  <c r="H1108" i="1"/>
  <c r="I1108" i="1"/>
  <c r="K1108" i="1"/>
  <c r="R1108" i="1"/>
  <c r="C1109" i="1"/>
  <c r="D1109" i="1"/>
  <c r="E1109" i="1"/>
  <c r="I1109" i="1" s="1"/>
  <c r="G1109" i="1"/>
  <c r="H1109" i="1"/>
  <c r="K1109" i="1"/>
  <c r="R1109" i="1"/>
  <c r="C1110" i="1"/>
  <c r="D1110" i="1" s="1"/>
  <c r="E1110" i="1"/>
  <c r="G1110" i="1"/>
  <c r="H1110" i="1"/>
  <c r="K1110" i="1"/>
  <c r="R1110" i="1"/>
  <c r="C1111" i="1"/>
  <c r="F1111" i="5" s="1"/>
  <c r="G1111" i="5" s="1"/>
  <c r="E1111" i="1"/>
  <c r="G1111" i="1" s="1"/>
  <c r="H1111" i="1"/>
  <c r="K1111" i="1"/>
  <c r="R1111" i="1"/>
  <c r="C1112" i="1"/>
  <c r="F1112" i="5" s="1"/>
  <c r="G1112" i="5" s="1"/>
  <c r="D1112" i="1"/>
  <c r="E1112" i="1"/>
  <c r="I1112" i="1" s="1"/>
  <c r="G1112" i="1"/>
  <c r="H1112" i="1"/>
  <c r="K1112" i="1"/>
  <c r="R1112" i="1"/>
  <c r="C1113" i="1"/>
  <c r="F1113" i="5" s="1"/>
  <c r="E1113" i="1"/>
  <c r="G1113" i="1" s="1"/>
  <c r="H1113" i="1"/>
  <c r="K1113" i="1"/>
  <c r="R1113" i="1"/>
  <c r="C1114" i="1"/>
  <c r="E1114" i="1"/>
  <c r="I1114" i="1" s="1"/>
  <c r="H1114" i="1"/>
  <c r="K1114" i="1"/>
  <c r="R1114" i="1"/>
  <c r="C1115" i="1"/>
  <c r="F1115" i="5" s="1"/>
  <c r="D1115" i="1"/>
  <c r="E1115" i="1"/>
  <c r="G1115" i="1" s="1"/>
  <c r="H1115" i="1"/>
  <c r="K1115" i="1"/>
  <c r="R1115" i="1"/>
  <c r="C1116" i="1"/>
  <c r="D1116" i="1"/>
  <c r="E1116" i="1"/>
  <c r="H1116" i="1"/>
  <c r="K1116" i="1"/>
  <c r="R1116" i="1"/>
  <c r="C1117" i="1"/>
  <c r="D1117" i="1"/>
  <c r="E1117" i="1"/>
  <c r="G1117" i="1"/>
  <c r="H1117" i="1"/>
  <c r="I1117" i="1"/>
  <c r="K1117" i="1"/>
  <c r="R1117" i="1"/>
  <c r="C1118" i="1"/>
  <c r="E1118" i="1"/>
  <c r="H1118" i="1"/>
  <c r="I1118" i="1"/>
  <c r="K1118" i="1"/>
  <c r="R1118" i="1"/>
  <c r="C1119" i="1"/>
  <c r="F1119" i="5" s="1"/>
  <c r="E1119" i="1"/>
  <c r="G1119" i="1" s="1"/>
  <c r="H1119" i="1"/>
  <c r="K1119" i="1"/>
  <c r="R1119" i="1"/>
  <c r="C1120" i="1"/>
  <c r="F1120" i="5" s="1"/>
  <c r="G1120" i="5" s="1"/>
  <c r="E1120" i="1"/>
  <c r="H1120" i="1"/>
  <c r="K1120" i="1"/>
  <c r="R1120" i="1"/>
  <c r="C1121" i="1"/>
  <c r="D1121" i="1" s="1"/>
  <c r="E1121" i="1"/>
  <c r="G1121" i="1"/>
  <c r="H1121" i="1"/>
  <c r="I1121" i="1"/>
  <c r="K1121" i="1"/>
  <c r="R1121" i="1"/>
  <c r="C1122" i="1"/>
  <c r="E1122" i="1"/>
  <c r="G1122" i="1"/>
  <c r="H1122" i="1"/>
  <c r="I1122" i="1"/>
  <c r="K1122" i="1"/>
  <c r="R1122" i="1"/>
  <c r="C1123" i="1"/>
  <c r="F1123" i="5" s="1"/>
  <c r="E1123" i="1"/>
  <c r="G1123" i="1" s="1"/>
  <c r="H1123" i="1"/>
  <c r="I1123" i="1"/>
  <c r="K1123" i="1"/>
  <c r="R1123" i="1"/>
  <c r="C1124" i="1"/>
  <c r="F1124" i="5" s="1"/>
  <c r="E1124" i="1"/>
  <c r="H1124" i="1"/>
  <c r="K1124" i="1"/>
  <c r="R1124" i="1"/>
  <c r="C1125" i="1"/>
  <c r="D1125" i="1"/>
  <c r="E1125" i="1"/>
  <c r="H1125" i="1"/>
  <c r="K1125" i="1"/>
  <c r="R1125" i="1"/>
  <c r="C1126" i="1"/>
  <c r="E1126" i="1"/>
  <c r="I1126" i="1" s="1"/>
  <c r="G1126" i="1"/>
  <c r="H1126" i="1"/>
  <c r="K1126" i="1"/>
  <c r="R1126" i="1"/>
  <c r="C1127" i="1"/>
  <c r="F1127" i="5" s="1"/>
  <c r="G1127" i="5" s="1"/>
  <c r="E1127" i="1"/>
  <c r="G1127" i="1" s="1"/>
  <c r="H1127" i="1"/>
  <c r="K1127" i="1"/>
  <c r="R1127" i="1"/>
  <c r="C1128" i="1"/>
  <c r="F1128" i="5" s="1"/>
  <c r="G1128" i="5" s="1"/>
  <c r="E1128" i="1"/>
  <c r="G1128" i="1"/>
  <c r="H1128" i="1"/>
  <c r="I1128" i="1"/>
  <c r="K1128" i="1"/>
  <c r="R1128" i="1"/>
  <c r="C1129" i="1"/>
  <c r="D1129" i="1"/>
  <c r="E1129" i="1"/>
  <c r="G1129" i="1" s="1"/>
  <c r="H1129" i="1"/>
  <c r="K1129" i="1"/>
  <c r="R1129" i="1"/>
  <c r="C1130" i="1"/>
  <c r="D1130" i="1" s="1"/>
  <c r="E1130" i="1"/>
  <c r="G1130" i="1" s="1"/>
  <c r="H1130" i="1"/>
  <c r="K1130" i="1"/>
  <c r="R1130" i="1"/>
  <c r="C1131" i="1"/>
  <c r="F1131" i="5" s="1"/>
  <c r="G1131" i="5" s="1"/>
  <c r="D1131" i="1"/>
  <c r="E1131" i="1"/>
  <c r="G1131" i="1" s="1"/>
  <c r="H1131" i="1"/>
  <c r="K1131" i="1"/>
  <c r="R1131" i="1"/>
  <c r="C1132" i="1"/>
  <c r="D1132" i="1"/>
  <c r="E1132" i="1"/>
  <c r="H1132" i="1"/>
  <c r="K1132" i="1"/>
  <c r="R1132" i="1"/>
  <c r="C1133" i="1"/>
  <c r="D1133" i="1"/>
  <c r="E1133" i="1"/>
  <c r="G1133" i="1"/>
  <c r="H1133" i="1"/>
  <c r="I1133" i="1"/>
  <c r="K1133" i="1"/>
  <c r="R1133" i="1"/>
  <c r="C1134" i="1"/>
  <c r="D1134" i="1" s="1"/>
  <c r="E1134" i="1"/>
  <c r="G1134" i="1"/>
  <c r="H1134" i="1"/>
  <c r="I1134" i="1"/>
  <c r="K1134" i="1"/>
  <c r="R1134" i="1"/>
  <c r="C1135" i="1"/>
  <c r="F1135" i="5" s="1"/>
  <c r="G1135" i="5" s="1"/>
  <c r="E1135" i="1"/>
  <c r="G1135" i="1" s="1"/>
  <c r="H1135" i="1"/>
  <c r="I1135" i="1"/>
  <c r="K1135" i="1"/>
  <c r="R1135" i="1"/>
  <c r="C1136" i="1"/>
  <c r="F1136" i="5" s="1"/>
  <c r="G1136" i="5" s="1"/>
  <c r="E1136" i="1"/>
  <c r="G1136" i="1"/>
  <c r="H1136" i="1"/>
  <c r="K1136" i="1"/>
  <c r="R1136" i="1"/>
  <c r="C1137" i="1"/>
  <c r="D1137" i="1"/>
  <c r="E1137" i="1"/>
  <c r="G1137" i="1"/>
  <c r="H1137" i="1"/>
  <c r="I1137" i="1"/>
  <c r="K1137" i="1"/>
  <c r="R1137" i="1"/>
  <c r="C1138" i="1"/>
  <c r="E1138" i="1"/>
  <c r="G1138" i="1"/>
  <c r="H1138" i="1"/>
  <c r="I1138" i="1"/>
  <c r="K1138" i="1"/>
  <c r="R1138" i="1"/>
  <c r="C1139" i="1"/>
  <c r="F1139" i="5" s="1"/>
  <c r="E1139" i="1"/>
  <c r="G1139" i="1" s="1"/>
  <c r="H1139" i="1"/>
  <c r="K1139" i="1"/>
  <c r="R1139" i="1"/>
  <c r="C1140" i="1"/>
  <c r="D1140" i="1" s="1"/>
  <c r="E1140" i="1"/>
  <c r="G1140" i="1"/>
  <c r="H1140" i="1"/>
  <c r="I1140" i="1"/>
  <c r="K1140" i="1"/>
  <c r="R1140" i="1"/>
  <c r="C1141" i="1"/>
  <c r="D1141" i="1"/>
  <c r="E1141" i="1"/>
  <c r="G1141" i="1"/>
  <c r="H1141" i="1"/>
  <c r="K1141" i="1"/>
  <c r="R1141" i="1"/>
  <c r="C1142" i="1"/>
  <c r="E1142" i="1"/>
  <c r="H1142" i="1"/>
  <c r="K1142" i="1"/>
  <c r="R1142" i="1"/>
  <c r="C1143" i="1"/>
  <c r="F1143" i="5" s="1"/>
  <c r="D1143" i="1"/>
  <c r="E1143" i="1"/>
  <c r="G1143" i="1" s="1"/>
  <c r="H1143" i="1"/>
  <c r="K1143" i="1"/>
  <c r="R1143" i="1"/>
  <c r="C1144" i="1"/>
  <c r="F1144" i="5" s="1"/>
  <c r="G1144" i="5" s="1"/>
  <c r="E1144" i="1"/>
  <c r="G1144" i="1"/>
  <c r="H1144" i="1"/>
  <c r="I1144" i="1"/>
  <c r="K1144" i="1"/>
  <c r="R1144" i="1"/>
  <c r="C1145" i="1"/>
  <c r="D1145" i="1" s="1"/>
  <c r="E1145" i="1"/>
  <c r="I1145" i="1" s="1"/>
  <c r="H1145" i="1"/>
  <c r="K1145" i="1"/>
  <c r="R1145" i="1"/>
  <c r="C1146" i="1"/>
  <c r="E1146" i="1"/>
  <c r="G1146" i="1" s="1"/>
  <c r="H1146" i="1"/>
  <c r="K1146" i="1"/>
  <c r="R1146" i="1"/>
  <c r="C1147" i="1"/>
  <c r="D1147" i="1"/>
  <c r="E1147" i="1"/>
  <c r="G1147" i="1" s="1"/>
  <c r="H1147" i="1"/>
  <c r="K1147" i="1"/>
  <c r="R1147" i="1"/>
  <c r="C1148" i="1"/>
  <c r="D1148" i="1"/>
  <c r="E1148" i="1"/>
  <c r="I1148" i="1" s="1"/>
  <c r="G1148" i="1"/>
  <c r="H1148" i="1"/>
  <c r="K1148" i="1"/>
  <c r="R1148" i="1"/>
  <c r="C1149" i="1"/>
  <c r="D1149" i="1"/>
  <c r="E1149" i="1"/>
  <c r="G1149" i="1"/>
  <c r="H1149" i="1"/>
  <c r="I1149" i="1"/>
  <c r="K1149" i="1"/>
  <c r="R1149" i="1"/>
  <c r="C1150" i="1"/>
  <c r="E1150" i="1"/>
  <c r="G1150" i="1"/>
  <c r="H1150" i="1"/>
  <c r="I1150" i="1"/>
  <c r="K1150" i="1"/>
  <c r="R1150" i="1"/>
  <c r="C1151" i="1"/>
  <c r="F1151" i="5" s="1"/>
  <c r="G1151" i="5" s="1"/>
  <c r="E1151" i="1"/>
  <c r="G1151" i="1" s="1"/>
  <c r="H1151" i="1"/>
  <c r="K1151" i="1"/>
  <c r="R1151" i="1"/>
  <c r="C1152" i="1"/>
  <c r="D1152" i="1" s="1"/>
  <c r="E1152" i="1"/>
  <c r="G1152" i="1"/>
  <c r="H1152" i="1"/>
  <c r="K1152" i="1"/>
  <c r="R1152" i="1"/>
  <c r="C1153" i="1"/>
  <c r="F1153" i="5" s="1"/>
  <c r="G1153" i="5" s="1"/>
  <c r="D1153" i="1"/>
  <c r="E1153" i="1"/>
  <c r="I1153" i="1" s="1"/>
  <c r="G1153" i="1"/>
  <c r="H1153" i="1"/>
  <c r="K1153" i="1"/>
  <c r="R1153" i="1"/>
  <c r="C1154" i="1"/>
  <c r="D1154" i="1" s="1"/>
  <c r="E1154" i="1"/>
  <c r="G1154" i="1"/>
  <c r="H1154" i="1"/>
  <c r="I1154" i="1"/>
  <c r="K1154" i="1"/>
  <c r="R1154" i="1"/>
  <c r="C1155" i="1"/>
  <c r="D1155" i="1" s="1"/>
  <c r="E1155" i="1"/>
  <c r="G1155" i="1" s="1"/>
  <c r="H1155" i="1"/>
  <c r="K1155" i="1"/>
  <c r="R1155" i="1"/>
  <c r="C1156" i="1"/>
  <c r="D1156" i="1" s="1"/>
  <c r="E1156" i="1"/>
  <c r="H1156" i="1"/>
  <c r="I1156" i="1"/>
  <c r="K1156" i="1"/>
  <c r="R1156" i="1"/>
  <c r="C1157" i="1"/>
  <c r="D1157" i="1"/>
  <c r="E1157" i="1"/>
  <c r="I1157" i="1" s="1"/>
  <c r="G1157" i="1"/>
  <c r="H1157" i="1"/>
  <c r="K1157" i="1"/>
  <c r="R1157" i="1"/>
  <c r="C1158" i="1"/>
  <c r="D1158" i="1" s="1"/>
  <c r="E1158" i="1"/>
  <c r="G1158" i="1"/>
  <c r="H1158" i="1"/>
  <c r="K1158" i="1"/>
  <c r="R1158" i="1"/>
  <c r="C1159" i="1"/>
  <c r="F1159" i="5" s="1"/>
  <c r="G1159" i="5" s="1"/>
  <c r="E1159" i="1"/>
  <c r="G1159" i="1" s="1"/>
  <c r="H1159" i="1"/>
  <c r="K1159" i="1"/>
  <c r="R1159" i="1"/>
  <c r="C1160" i="1"/>
  <c r="F1160" i="5" s="1"/>
  <c r="G1160" i="5" s="1"/>
  <c r="D1160" i="1"/>
  <c r="E1160" i="1"/>
  <c r="I1160" i="1" s="1"/>
  <c r="G1160" i="1"/>
  <c r="H1160" i="1"/>
  <c r="K1160" i="1"/>
  <c r="R1160" i="1"/>
  <c r="C1161" i="1"/>
  <c r="D1161" i="1" s="1"/>
  <c r="E1161" i="1"/>
  <c r="G1161" i="1" s="1"/>
  <c r="H1161" i="1"/>
  <c r="K1161" i="1"/>
  <c r="R1161" i="1"/>
  <c r="C1162" i="1"/>
  <c r="E1162" i="1"/>
  <c r="I1162" i="1" s="1"/>
  <c r="H1162" i="1"/>
  <c r="K1162" i="1"/>
  <c r="R1162" i="1"/>
  <c r="C1163" i="1"/>
  <c r="D1163" i="1"/>
  <c r="E1163" i="1"/>
  <c r="G1163" i="1" s="1"/>
  <c r="H1163" i="1"/>
  <c r="K1163" i="1"/>
  <c r="R1163" i="1"/>
  <c r="C1164" i="1"/>
  <c r="D1164" i="1"/>
  <c r="E1164" i="1"/>
  <c r="H1164" i="1"/>
  <c r="K1164" i="1"/>
  <c r="R1164" i="1"/>
  <c r="C1165" i="1"/>
  <c r="D1165" i="1"/>
  <c r="E1165" i="1"/>
  <c r="G1165" i="1"/>
  <c r="H1165" i="1"/>
  <c r="I1165" i="1"/>
  <c r="K1165" i="1"/>
  <c r="R1165" i="1"/>
  <c r="C1166" i="1"/>
  <c r="E1166" i="1"/>
  <c r="G1166" i="1" s="1"/>
  <c r="H1166" i="1"/>
  <c r="I1166" i="1"/>
  <c r="K1166" i="1"/>
  <c r="R1166" i="1"/>
  <c r="C1167" i="1"/>
  <c r="D1167" i="1" s="1"/>
  <c r="E1167" i="1"/>
  <c r="G1167" i="1" s="1"/>
  <c r="H1167" i="1"/>
  <c r="K1167" i="1"/>
  <c r="R1167" i="1"/>
  <c r="C1168" i="1"/>
  <c r="F1168" i="5" s="1"/>
  <c r="G1168" i="5" s="1"/>
  <c r="E1168" i="1"/>
  <c r="H1168" i="1"/>
  <c r="K1168" i="1"/>
  <c r="R1168" i="1"/>
  <c r="C1169" i="1"/>
  <c r="D1169" i="1"/>
  <c r="E1169" i="1"/>
  <c r="G1169" i="1"/>
  <c r="H1169" i="1"/>
  <c r="I1169" i="1"/>
  <c r="K1169" i="1"/>
  <c r="R1169" i="1"/>
  <c r="C1170" i="1"/>
  <c r="E1170" i="1"/>
  <c r="I1170" i="1" s="1"/>
  <c r="G1170" i="1"/>
  <c r="H1170" i="1"/>
  <c r="K1170" i="1"/>
  <c r="R1170" i="1"/>
  <c r="C1171" i="1"/>
  <c r="F1171" i="5" s="1"/>
  <c r="E1171" i="1"/>
  <c r="G1171" i="1" s="1"/>
  <c r="H1171" i="1"/>
  <c r="I1171" i="1"/>
  <c r="K1171" i="1"/>
  <c r="R1171" i="1"/>
  <c r="C1172" i="1"/>
  <c r="D1172" i="1" s="1"/>
  <c r="E1172" i="1"/>
  <c r="H1172" i="1"/>
  <c r="K1172" i="1"/>
  <c r="R1172" i="1"/>
  <c r="C1173" i="1"/>
  <c r="F1173" i="5" s="1"/>
  <c r="D1173" i="1"/>
  <c r="E1173" i="1"/>
  <c r="G1173" i="1"/>
  <c r="H1173" i="1"/>
  <c r="K1173" i="1"/>
  <c r="R1173" i="1"/>
  <c r="C1174" i="1"/>
  <c r="E1174" i="1"/>
  <c r="I1174" i="1" s="1"/>
  <c r="G1174" i="1"/>
  <c r="H1174" i="1"/>
  <c r="K1174" i="1"/>
  <c r="R1174" i="1"/>
  <c r="C1175" i="1"/>
  <c r="F1175" i="5" s="1"/>
  <c r="G1175" i="5" s="1"/>
  <c r="E1175" i="1"/>
  <c r="G1175" i="1" s="1"/>
  <c r="H1175" i="1"/>
  <c r="K1175" i="1"/>
  <c r="R1175" i="1"/>
  <c r="C1176" i="1"/>
  <c r="D1176" i="1" s="1"/>
  <c r="E1176" i="1"/>
  <c r="G1176" i="1"/>
  <c r="H1176" i="1"/>
  <c r="I1176" i="1"/>
  <c r="K1176" i="1"/>
  <c r="R1176" i="1"/>
  <c r="C1177" i="1"/>
  <c r="F1177" i="5" s="1"/>
  <c r="D1177" i="1"/>
  <c r="E1177" i="1"/>
  <c r="G1177" i="1" s="1"/>
  <c r="H1177" i="1"/>
  <c r="K1177" i="1"/>
  <c r="R1177" i="1"/>
  <c r="C1178" i="1"/>
  <c r="D1178" i="1" s="1"/>
  <c r="E1178" i="1"/>
  <c r="G1178" i="1" s="1"/>
  <c r="H1178" i="1"/>
  <c r="K1178" i="1"/>
  <c r="R1178" i="1"/>
  <c r="C1179" i="1"/>
  <c r="D1179" i="1"/>
  <c r="E1179" i="1"/>
  <c r="G1179" i="1" s="1"/>
  <c r="H1179" i="1"/>
  <c r="K1179" i="1"/>
  <c r="R1179" i="1"/>
  <c r="C1180" i="1"/>
  <c r="D1180" i="1"/>
  <c r="E1180" i="1"/>
  <c r="H1180" i="1"/>
  <c r="I1180" i="1"/>
  <c r="K1180" i="1"/>
  <c r="R1180" i="1"/>
  <c r="C1181" i="1"/>
  <c r="F1181" i="5" s="1"/>
  <c r="D1181" i="1"/>
  <c r="E1181" i="1"/>
  <c r="G1181" i="1"/>
  <c r="H1181" i="1"/>
  <c r="I1181" i="1"/>
  <c r="K1181" i="1"/>
  <c r="R1181" i="1"/>
  <c r="C1182" i="1"/>
  <c r="D1182" i="1" s="1"/>
  <c r="E1182" i="1"/>
  <c r="G1182" i="1"/>
  <c r="H1182" i="1"/>
  <c r="I1182" i="1"/>
  <c r="K1182" i="1"/>
  <c r="R1182" i="1"/>
  <c r="C1183" i="1"/>
  <c r="D1183" i="1" s="1"/>
  <c r="E1183" i="1"/>
  <c r="G1183" i="1" s="1"/>
  <c r="H1183" i="1"/>
  <c r="I1183" i="1"/>
  <c r="K1183" i="1"/>
  <c r="R1183" i="1"/>
  <c r="C1184" i="1"/>
  <c r="F1184" i="5" s="1"/>
  <c r="G1184" i="5" s="1"/>
  <c r="E1184" i="1"/>
  <c r="G1184" i="1"/>
  <c r="H1184" i="1"/>
  <c r="K1184" i="1"/>
  <c r="R1184" i="1"/>
  <c r="C1185" i="1"/>
  <c r="D1185" i="1"/>
  <c r="E1185" i="1"/>
  <c r="G1185" i="1"/>
  <c r="H1185" i="1"/>
  <c r="I1185" i="1"/>
  <c r="K1185" i="1"/>
  <c r="R1185" i="1"/>
  <c r="C1186" i="1"/>
  <c r="D1186" i="1" s="1"/>
  <c r="E1186" i="1"/>
  <c r="G1186" i="1"/>
  <c r="H1186" i="1"/>
  <c r="I1186" i="1"/>
  <c r="K1186" i="1"/>
  <c r="R1186" i="1"/>
  <c r="C1187" i="1"/>
  <c r="D1187" i="1" s="1"/>
  <c r="E1187" i="1"/>
  <c r="G1187" i="1" s="1"/>
  <c r="H1187" i="1"/>
  <c r="K1187" i="1"/>
  <c r="R1187" i="1"/>
  <c r="C1188" i="1"/>
  <c r="D1188" i="1" s="1"/>
  <c r="E1188" i="1"/>
  <c r="G1188" i="1"/>
  <c r="H1188" i="1"/>
  <c r="I1188" i="1"/>
  <c r="K1188" i="1"/>
  <c r="R1188" i="1"/>
  <c r="C1189" i="1"/>
  <c r="D1189" i="1"/>
  <c r="E1189" i="1"/>
  <c r="G1189" i="1"/>
  <c r="H1189" i="1"/>
  <c r="K1189" i="1"/>
  <c r="R1189" i="1"/>
  <c r="C1190" i="1"/>
  <c r="E1190" i="1"/>
  <c r="H1190" i="1"/>
  <c r="K1190" i="1"/>
  <c r="R1190" i="1"/>
  <c r="C1191" i="1"/>
  <c r="D1191" i="1"/>
  <c r="E1191" i="1"/>
  <c r="G1191" i="1" s="1"/>
  <c r="H1191" i="1"/>
  <c r="K1191" i="1"/>
  <c r="R1191" i="1"/>
  <c r="C1192" i="1"/>
  <c r="D1192" i="1" s="1"/>
  <c r="E1192" i="1"/>
  <c r="G1192" i="1"/>
  <c r="H1192" i="1"/>
  <c r="I1192" i="1"/>
  <c r="K1192" i="1"/>
  <c r="R1192" i="1"/>
  <c r="C1193" i="1"/>
  <c r="F1193" i="5" s="1"/>
  <c r="E1193" i="1"/>
  <c r="I1193" i="1" s="1"/>
  <c r="H1193" i="1"/>
  <c r="K1193" i="1"/>
  <c r="R1193" i="1"/>
  <c r="C1194" i="1"/>
  <c r="D1194" i="1" s="1"/>
  <c r="E1194" i="1"/>
  <c r="G1194" i="1" s="1"/>
  <c r="H1194" i="1"/>
  <c r="K1194" i="1"/>
  <c r="R1194" i="1"/>
  <c r="C1195" i="1"/>
  <c r="F1195" i="5" s="1"/>
  <c r="D1195" i="1"/>
  <c r="E1195" i="1"/>
  <c r="G1195" i="1" s="1"/>
  <c r="H1195" i="1"/>
  <c r="K1195" i="1"/>
  <c r="R1195" i="1"/>
  <c r="C1196" i="1"/>
  <c r="D1196" i="1"/>
  <c r="E1196" i="1"/>
  <c r="I1196" i="1" s="1"/>
  <c r="G1196" i="1"/>
  <c r="H1196" i="1"/>
  <c r="K1196" i="1"/>
  <c r="R1196" i="1"/>
  <c r="C1197" i="1"/>
  <c r="F1197" i="5" s="1"/>
  <c r="G1197" i="5" s="1"/>
  <c r="D1197" i="1"/>
  <c r="E1197" i="1"/>
  <c r="G1197" i="1"/>
  <c r="H1197" i="1"/>
  <c r="I1197" i="1"/>
  <c r="K1197" i="1"/>
  <c r="R1197" i="1"/>
  <c r="C1198" i="1"/>
  <c r="E1198" i="1"/>
  <c r="G1198" i="1"/>
  <c r="H1198" i="1"/>
  <c r="I1198" i="1"/>
  <c r="K1198" i="1"/>
  <c r="R1198" i="1"/>
  <c r="C1199" i="1"/>
  <c r="F1199" i="5" s="1"/>
  <c r="G1199" i="5" s="1"/>
  <c r="E1199" i="1"/>
  <c r="G1199" i="1" s="1"/>
  <c r="H1199" i="1"/>
  <c r="K1199" i="1"/>
  <c r="R1199" i="1"/>
  <c r="C1200" i="1"/>
  <c r="F1200" i="5" s="1"/>
  <c r="G1200" i="5" s="1"/>
  <c r="E1200" i="1"/>
  <c r="H1200" i="1"/>
  <c r="K1200" i="1"/>
  <c r="R1200" i="1"/>
  <c r="C1201" i="1"/>
  <c r="D1201" i="1"/>
  <c r="E1201" i="1"/>
  <c r="G1201" i="1"/>
  <c r="H1201" i="1"/>
  <c r="I1201" i="1"/>
  <c r="K1201" i="1"/>
  <c r="R1201" i="1"/>
  <c r="C1202" i="1"/>
  <c r="E1202" i="1"/>
  <c r="G1202" i="1"/>
  <c r="H1202" i="1"/>
  <c r="I1202" i="1"/>
  <c r="K1202" i="1"/>
  <c r="R1202" i="1"/>
  <c r="C1203" i="1"/>
  <c r="F1203" i="5" s="1"/>
  <c r="G1203" i="5" s="1"/>
  <c r="E1203" i="1"/>
  <c r="G1203" i="1" s="1"/>
  <c r="H1203" i="1"/>
  <c r="K1203" i="1"/>
  <c r="R1203" i="1"/>
  <c r="C1204" i="1"/>
  <c r="D1204" i="1" s="1"/>
  <c r="E1204" i="1"/>
  <c r="H1204" i="1"/>
  <c r="I1204" i="1"/>
  <c r="K1204" i="1"/>
  <c r="R1204" i="1"/>
  <c r="C1205" i="1"/>
  <c r="F1205" i="5" s="1"/>
  <c r="D1205" i="1"/>
  <c r="E1205" i="1"/>
  <c r="I1205" i="1" s="1"/>
  <c r="G1205" i="1"/>
  <c r="H1205" i="1"/>
  <c r="K1205" i="1"/>
  <c r="R1205" i="1"/>
  <c r="C1206" i="1"/>
  <c r="E1206" i="1"/>
  <c r="G1206" i="1"/>
  <c r="H1206" i="1"/>
  <c r="K1206" i="1"/>
  <c r="R1206" i="1"/>
  <c r="C1207" i="1"/>
  <c r="D1207" i="1" s="1"/>
  <c r="E1207" i="1"/>
  <c r="G1207" i="1" s="1"/>
  <c r="H1207" i="1"/>
  <c r="K1207" i="1"/>
  <c r="R1207" i="1"/>
  <c r="C1208" i="1"/>
  <c r="F1208" i="5" s="1"/>
  <c r="G1208" i="5" s="1"/>
  <c r="D1208" i="1"/>
  <c r="E1208" i="1"/>
  <c r="G1208" i="1"/>
  <c r="H1208" i="1"/>
  <c r="I1208" i="1"/>
  <c r="K1208" i="1"/>
  <c r="R1208" i="1"/>
  <c r="C1209" i="1"/>
  <c r="F1209" i="5" s="1"/>
  <c r="G1209" i="5" s="1"/>
  <c r="E1209" i="1"/>
  <c r="G1209" i="1" s="1"/>
  <c r="H1209" i="1"/>
  <c r="K1209" i="1"/>
  <c r="R1209" i="1"/>
  <c r="C1210" i="1"/>
  <c r="E1210" i="1"/>
  <c r="I1210" i="1" s="1"/>
  <c r="H1210" i="1"/>
  <c r="K1210" i="1"/>
  <c r="R1210" i="1"/>
  <c r="C1211" i="1"/>
  <c r="F1211" i="5" s="1"/>
  <c r="G1211" i="5" s="1"/>
  <c r="D1211" i="1"/>
  <c r="E1211" i="1"/>
  <c r="G1211" i="1" s="1"/>
  <c r="H1211" i="1"/>
  <c r="K1211" i="1"/>
  <c r="R1211" i="1"/>
  <c r="C1212" i="1"/>
  <c r="D1212" i="1"/>
  <c r="E1212" i="1"/>
  <c r="H1212" i="1"/>
  <c r="K1212" i="1"/>
  <c r="R1212" i="1"/>
  <c r="C1213" i="1"/>
  <c r="D1213" i="1"/>
  <c r="E1213" i="1"/>
  <c r="G1213" i="1"/>
  <c r="H1213" i="1"/>
  <c r="I1213" i="1"/>
  <c r="K1213" i="1"/>
  <c r="R1213" i="1"/>
  <c r="C1214" i="1"/>
  <c r="D1214" i="1" s="1"/>
  <c r="E1214" i="1"/>
  <c r="G1214" i="1" s="1"/>
  <c r="H1214" i="1"/>
  <c r="I1214" i="1"/>
  <c r="K1214" i="1"/>
  <c r="R1214" i="1"/>
  <c r="C1215" i="1"/>
  <c r="D1215" i="1" s="1"/>
  <c r="E1215" i="1"/>
  <c r="G1215" i="1" s="1"/>
  <c r="H1215" i="1"/>
  <c r="K1215" i="1"/>
  <c r="R1215" i="1"/>
  <c r="C1216" i="1"/>
  <c r="D1216" i="1" s="1"/>
  <c r="E1216" i="1"/>
  <c r="H1216" i="1"/>
  <c r="K1216" i="1"/>
  <c r="R1216" i="1"/>
  <c r="C1217" i="1"/>
  <c r="D1217" i="1"/>
  <c r="E1217" i="1"/>
  <c r="G1217" i="1"/>
  <c r="H1217" i="1"/>
  <c r="I1217" i="1"/>
  <c r="K1217" i="1"/>
  <c r="R1217" i="1"/>
  <c r="C1218" i="1"/>
  <c r="E1218" i="1"/>
  <c r="G1218" i="1"/>
  <c r="H1218" i="1"/>
  <c r="I1218" i="1"/>
  <c r="K1218" i="1"/>
  <c r="R1218" i="1"/>
  <c r="C1219" i="1"/>
  <c r="D1219" i="1" s="1"/>
  <c r="E1219" i="1"/>
  <c r="G1219" i="1" s="1"/>
  <c r="H1219" i="1"/>
  <c r="I1219" i="1"/>
  <c r="K1219" i="1"/>
  <c r="R1219" i="1"/>
  <c r="C1220" i="1"/>
  <c r="D1220" i="1" s="1"/>
  <c r="E1220" i="1"/>
  <c r="H1220" i="1"/>
  <c r="K1220" i="1"/>
  <c r="R1220" i="1"/>
  <c r="C1221" i="1"/>
  <c r="F1221" i="5" s="1"/>
  <c r="D1221" i="1"/>
  <c r="E1221" i="1"/>
  <c r="G1221" i="1"/>
  <c r="H1221" i="1"/>
  <c r="K1221" i="1"/>
  <c r="R1221" i="1"/>
  <c r="C1222" i="1"/>
  <c r="E1222" i="1"/>
  <c r="I1222" i="1" s="1"/>
  <c r="G1222" i="1"/>
  <c r="H1222" i="1"/>
  <c r="K1222" i="1"/>
  <c r="R1222" i="1"/>
  <c r="C1223" i="1"/>
  <c r="F1223" i="5" s="1"/>
  <c r="G1223" i="5" s="1"/>
  <c r="E1223" i="1"/>
  <c r="G1223" i="1" s="1"/>
  <c r="H1223" i="1"/>
  <c r="K1223" i="1"/>
  <c r="R1223" i="1"/>
  <c r="C1224" i="1"/>
  <c r="F1224" i="5" s="1"/>
  <c r="E1224" i="1"/>
  <c r="G1224" i="1"/>
  <c r="H1224" i="1"/>
  <c r="I1224" i="1"/>
  <c r="K1224" i="1"/>
  <c r="R1224" i="1"/>
  <c r="C1225" i="1"/>
  <c r="F1225" i="5" s="1"/>
  <c r="G1225" i="5" s="1"/>
  <c r="D1225" i="1"/>
  <c r="E1225" i="1"/>
  <c r="G1225" i="1" s="1"/>
  <c r="H1225" i="1"/>
  <c r="K1225" i="1"/>
  <c r="R1225" i="1"/>
  <c r="C1226" i="1"/>
  <c r="E1226" i="1"/>
  <c r="G1226" i="1" s="1"/>
  <c r="H1226" i="1"/>
  <c r="K1226" i="1"/>
  <c r="R1226" i="1"/>
  <c r="C1227" i="1"/>
  <c r="F1227" i="5" s="1"/>
  <c r="G1227" i="5" s="1"/>
  <c r="D1227" i="1"/>
  <c r="E1227" i="1"/>
  <c r="G1227" i="1" s="1"/>
  <c r="H1227" i="1"/>
  <c r="K1227" i="1"/>
  <c r="R1227" i="1"/>
  <c r="C1228" i="1"/>
  <c r="D1228" i="1"/>
  <c r="E1228" i="1"/>
  <c r="G1228" i="1"/>
  <c r="H1228" i="1"/>
  <c r="I1228" i="1"/>
  <c r="K1228" i="1"/>
  <c r="R1228" i="1"/>
  <c r="C1229" i="1"/>
  <c r="F1229" i="5" s="1"/>
  <c r="D1229" i="1"/>
  <c r="E1229" i="1"/>
  <c r="G1229" i="1"/>
  <c r="H1229" i="1"/>
  <c r="I1229" i="1"/>
  <c r="K1229" i="1"/>
  <c r="R1229" i="1"/>
  <c r="C1230" i="1"/>
  <c r="E1230" i="1"/>
  <c r="G1230" i="1"/>
  <c r="H1230" i="1"/>
  <c r="I1230" i="1"/>
  <c r="K1230" i="1"/>
  <c r="R1230" i="1"/>
  <c r="C1231" i="1"/>
  <c r="D1231" i="1" s="1"/>
  <c r="E1231" i="1"/>
  <c r="G1231" i="1" s="1"/>
  <c r="H1231" i="1"/>
  <c r="K1231" i="1"/>
  <c r="R1231" i="1"/>
  <c r="C1232" i="1"/>
  <c r="D1232" i="1" s="1"/>
  <c r="E1232" i="1"/>
  <c r="G1232" i="1"/>
  <c r="H1232" i="1"/>
  <c r="K1232" i="1"/>
  <c r="R1232" i="1"/>
  <c r="C1233" i="1"/>
  <c r="D1233" i="1"/>
  <c r="E1233" i="1"/>
  <c r="G1233" i="1"/>
  <c r="H1233" i="1"/>
  <c r="I1233" i="1"/>
  <c r="K1233" i="1"/>
  <c r="R1233" i="1"/>
  <c r="C1234" i="1"/>
  <c r="E1234" i="1"/>
  <c r="G1234" i="1"/>
  <c r="H1234" i="1"/>
  <c r="I1234" i="1"/>
  <c r="K1234" i="1"/>
  <c r="R1234" i="1"/>
  <c r="C1235" i="1"/>
  <c r="D1235" i="1" s="1"/>
  <c r="E1235" i="1"/>
  <c r="G1235" i="1" s="1"/>
  <c r="H1235" i="1"/>
  <c r="K1235" i="1"/>
  <c r="R1235" i="1"/>
  <c r="C1236" i="1"/>
  <c r="D1236" i="1" s="1"/>
  <c r="E1236" i="1"/>
  <c r="G1236" i="1"/>
  <c r="H1236" i="1"/>
  <c r="I1236" i="1"/>
  <c r="K1236" i="1"/>
  <c r="R1236" i="1"/>
  <c r="C1237" i="1"/>
  <c r="D1237" i="1"/>
  <c r="E1237" i="1"/>
  <c r="G1237" i="1"/>
  <c r="H1237" i="1"/>
  <c r="K1237" i="1"/>
  <c r="R1237" i="1"/>
  <c r="C1238" i="1"/>
  <c r="E1238" i="1"/>
  <c r="H1238" i="1"/>
  <c r="K1238" i="1"/>
  <c r="R1238" i="1"/>
  <c r="C1239" i="1"/>
  <c r="F1239" i="5" s="1"/>
  <c r="G1239" i="5" s="1"/>
  <c r="D1239" i="1"/>
  <c r="E1239" i="1"/>
  <c r="G1239" i="1" s="1"/>
  <c r="H1239" i="1"/>
  <c r="K1239" i="1"/>
  <c r="R1239" i="1"/>
  <c r="C1240" i="1"/>
  <c r="F1240" i="5" s="1"/>
  <c r="E1240" i="1"/>
  <c r="G1240" i="1"/>
  <c r="H1240" i="1"/>
  <c r="I1240" i="1"/>
  <c r="K1240" i="1"/>
  <c r="R1240" i="1"/>
  <c r="C1241" i="1"/>
  <c r="D1241" i="1" s="1"/>
  <c r="E1241" i="1"/>
  <c r="I1241" i="1" s="1"/>
  <c r="H1241" i="1"/>
  <c r="K1241" i="1"/>
  <c r="R1241" i="1"/>
  <c r="C1242" i="1"/>
  <c r="D1242" i="1" s="1"/>
  <c r="E1242" i="1"/>
  <c r="G1242" i="1" s="1"/>
  <c r="H1242" i="1"/>
  <c r="K1242" i="1"/>
  <c r="R1242" i="1"/>
  <c r="C1243" i="1"/>
  <c r="F1243" i="5" s="1"/>
  <c r="D1243" i="1"/>
  <c r="E1243" i="1"/>
  <c r="G1243" i="1" s="1"/>
  <c r="H1243" i="1"/>
  <c r="K1243" i="1"/>
  <c r="R1243" i="1"/>
  <c r="C1244" i="1"/>
  <c r="F1244" i="5" s="1"/>
  <c r="D1244" i="1"/>
  <c r="E1244" i="1"/>
  <c r="I1244" i="1" s="1"/>
  <c r="H1244" i="1"/>
  <c r="K1244" i="1"/>
  <c r="R1244" i="1"/>
  <c r="C1245" i="1"/>
  <c r="F1245" i="5" s="1"/>
  <c r="G1245" i="5" s="1"/>
  <c r="D1245" i="1"/>
  <c r="E1245" i="1"/>
  <c r="G1245" i="1"/>
  <c r="H1245" i="1"/>
  <c r="I1245" i="1"/>
  <c r="K1245" i="1"/>
  <c r="R1245" i="1"/>
  <c r="C1246" i="1"/>
  <c r="E1246" i="1"/>
  <c r="G1246" i="1"/>
  <c r="H1246" i="1"/>
  <c r="I1246" i="1"/>
  <c r="K1246" i="1"/>
  <c r="R1246" i="1"/>
  <c r="C1247" i="1"/>
  <c r="F1247" i="5" s="1"/>
  <c r="G1247" i="5" s="1"/>
  <c r="E1247" i="1"/>
  <c r="G1247" i="1" s="1"/>
  <c r="H1247" i="1"/>
  <c r="K1247" i="1"/>
  <c r="R1247" i="1"/>
  <c r="C1248" i="1"/>
  <c r="D1248" i="1" s="1"/>
  <c r="E1248" i="1"/>
  <c r="H1248" i="1"/>
  <c r="K1248" i="1"/>
  <c r="R1248" i="1"/>
  <c r="C1249" i="1"/>
  <c r="D1249" i="1"/>
  <c r="E1249" i="1"/>
  <c r="G1249" i="1"/>
  <c r="H1249" i="1"/>
  <c r="I1249" i="1"/>
  <c r="K1249" i="1"/>
  <c r="R1249" i="1"/>
  <c r="C1250" i="1"/>
  <c r="D1250" i="1" s="1"/>
  <c r="E1250" i="1"/>
  <c r="G1250" i="1"/>
  <c r="H1250" i="1"/>
  <c r="I1250" i="1"/>
  <c r="K1250" i="1"/>
  <c r="R1250" i="1"/>
  <c r="C1251" i="1"/>
  <c r="F1251" i="5" s="1"/>
  <c r="G1251" i="5" s="1"/>
  <c r="E1251" i="1"/>
  <c r="H1251" i="1"/>
  <c r="K1251" i="1"/>
  <c r="R1251" i="1"/>
  <c r="C1252" i="1"/>
  <c r="F1252" i="5" s="1"/>
  <c r="G1252" i="5" s="1"/>
  <c r="D1252" i="1"/>
  <c r="E1252" i="1"/>
  <c r="H1252" i="1"/>
  <c r="K1252" i="1"/>
  <c r="R1252" i="1"/>
  <c r="C1253" i="1"/>
  <c r="D1253" i="1"/>
  <c r="E1253" i="1"/>
  <c r="G1253" i="1"/>
  <c r="H1253" i="1"/>
  <c r="I1253" i="1"/>
  <c r="K1253" i="1"/>
  <c r="R1253" i="1"/>
  <c r="C1254" i="1"/>
  <c r="F1254" i="5" s="1"/>
  <c r="G1254" i="5" s="1"/>
  <c r="E1254" i="1"/>
  <c r="G1254" i="1" s="1"/>
  <c r="H1254" i="1"/>
  <c r="K1254" i="1"/>
  <c r="R1254" i="1"/>
  <c r="C1255" i="1"/>
  <c r="F1255" i="5" s="1"/>
  <c r="D1255" i="1"/>
  <c r="E1255" i="1"/>
  <c r="G1255" i="1" s="1"/>
  <c r="H1255" i="1"/>
  <c r="K1255" i="1"/>
  <c r="R1255" i="1"/>
  <c r="C1256" i="1"/>
  <c r="F1256" i="5" s="1"/>
  <c r="E1256" i="1"/>
  <c r="G1256" i="1"/>
  <c r="H1256" i="1"/>
  <c r="I1256" i="1"/>
  <c r="K1256" i="1"/>
  <c r="R1256" i="1"/>
  <c r="C1257" i="1"/>
  <c r="D1257" i="1"/>
  <c r="E1257" i="1"/>
  <c r="G1257" i="1"/>
  <c r="H1257" i="1"/>
  <c r="I1257" i="1"/>
  <c r="C1258" i="1"/>
  <c r="D1258" i="1"/>
  <c r="E1258" i="1"/>
  <c r="G1258" i="1" s="1"/>
  <c r="H1258" i="1"/>
  <c r="C1259" i="1"/>
  <c r="D1259" i="1" s="1"/>
  <c r="E1259" i="1"/>
  <c r="G1259" i="1"/>
  <c r="H1259" i="1"/>
  <c r="I1259" i="1"/>
  <c r="B1" i="3"/>
  <c r="G1" i="3"/>
  <c r="A3" i="3"/>
  <c r="A4" i="3"/>
  <c r="J4" i="3" a="1"/>
  <c r="J4" i="3" s="1"/>
  <c r="J7" i="3"/>
  <c r="J8" i="3" a="1"/>
  <c r="J8" i="3" s="1"/>
  <c r="J9" i="3" a="1"/>
  <c r="J9" i="3" s="1"/>
  <c r="J11" i="3" a="1"/>
  <c r="J11" i="3" s="1"/>
  <c r="J12" i="3" a="1"/>
  <c r="J12" i="3" s="1"/>
  <c r="J13" i="3" a="1"/>
  <c r="J13" i="3" s="1"/>
  <c r="B19" i="3"/>
  <c r="G19" i="3"/>
  <c r="A21" i="3"/>
  <c r="A22" i="3"/>
  <c r="E22" i="3" a="1"/>
  <c r="E22" i="3" s="1"/>
  <c r="J22" i="3" a="1"/>
  <c r="J22" i="3" s="1"/>
  <c r="J24" i="3" a="1"/>
  <c r="J24" i="3" s="1"/>
  <c r="J25" i="3" a="1"/>
  <c r="J25" i="3"/>
  <c r="J26" i="3" a="1"/>
  <c r="J26" i="3" s="1"/>
  <c r="J27" i="3" a="1"/>
  <c r="J27" i="3"/>
  <c r="F28" i="3" a="1"/>
  <c r="F28" i="3" s="1"/>
  <c r="H51" i="4" s="1"/>
  <c r="J28" i="3" a="1"/>
  <c r="J28" i="3"/>
  <c r="J29" i="3" a="1"/>
  <c r="J29" i="3"/>
  <c r="J30" i="3" a="1"/>
  <c r="J30" i="3"/>
  <c r="J31" i="3" a="1"/>
  <c r="J31" i="3"/>
  <c r="B37" i="3"/>
  <c r="G37" i="3"/>
  <c r="A39" i="3"/>
  <c r="A40" i="3"/>
  <c r="J40" i="3" a="1"/>
  <c r="J40" i="3" s="1"/>
  <c r="J42" i="3" a="1"/>
  <c r="J42" i="3" s="1"/>
  <c r="J43" i="3" a="1"/>
  <c r="J43" i="3"/>
  <c r="J44" i="3" a="1"/>
  <c r="J44" i="3" s="1"/>
  <c r="J45" i="3" a="1"/>
  <c r="J45" i="3" s="1"/>
  <c r="J46" i="3" a="1"/>
  <c r="J46" i="3" s="1"/>
  <c r="D47" i="3" a="1"/>
  <c r="D47" i="3" s="1"/>
  <c r="J47" i="3" a="1"/>
  <c r="J47" i="3" s="1"/>
  <c r="J48" i="3" a="1"/>
  <c r="J48" i="3" s="1"/>
  <c r="J49" i="3" a="1"/>
  <c r="J49" i="3" s="1"/>
  <c r="B55" i="3"/>
  <c r="G55" i="3"/>
  <c r="A57" i="3"/>
  <c r="A58" i="3"/>
  <c r="J58" i="3" a="1"/>
  <c r="J58" i="3"/>
  <c r="J60" i="3" a="1"/>
  <c r="J60" i="3"/>
  <c r="J61" i="3" a="1"/>
  <c r="J61" i="3"/>
  <c r="J62" i="3" a="1"/>
  <c r="J62" i="3" s="1"/>
  <c r="J63" i="3" a="1"/>
  <c r="J63" i="3"/>
  <c r="J64" i="3" a="1"/>
  <c r="J64" i="3"/>
  <c r="J65" i="3" a="1"/>
  <c r="J65" i="3"/>
  <c r="J66" i="3" a="1"/>
  <c r="J66" i="3"/>
  <c r="J67" i="3" a="1"/>
  <c r="J67" i="3"/>
  <c r="B1" i="10"/>
  <c r="C1" i="10"/>
  <c r="D1" i="10"/>
  <c r="E1" i="10"/>
  <c r="B2" i="10"/>
  <c r="C2" i="10"/>
  <c r="D2" i="10"/>
  <c r="E2" i="10"/>
  <c r="B3" i="10"/>
  <c r="C3" i="10"/>
  <c r="D3" i="10"/>
  <c r="E3" i="10"/>
  <c r="B4" i="10"/>
  <c r="C4" i="10"/>
  <c r="D4" i="10"/>
  <c r="E4" i="10"/>
  <c r="B5" i="10"/>
  <c r="C5" i="10"/>
  <c r="D5" i="10"/>
  <c r="E5" i="10"/>
  <c r="B6" i="10"/>
  <c r="C6" i="10"/>
  <c r="D6" i="10"/>
  <c r="E6" i="10"/>
  <c r="B7" i="10"/>
  <c r="C7" i="10"/>
  <c r="D7" i="10"/>
  <c r="E7" i="10"/>
  <c r="B8" i="10"/>
  <c r="C8" i="10"/>
  <c r="D8" i="10"/>
  <c r="E8" i="10"/>
  <c r="B9" i="10"/>
  <c r="C9" i="10"/>
  <c r="D9" i="10"/>
  <c r="E9" i="10"/>
  <c r="B10" i="10"/>
  <c r="C10" i="10"/>
  <c r="D10" i="10"/>
  <c r="E10" i="10"/>
  <c r="B11" i="10"/>
  <c r="C11" i="10"/>
  <c r="D11" i="10"/>
  <c r="E11" i="10"/>
  <c r="B12" i="10"/>
  <c r="C12" i="10"/>
  <c r="D12" i="10"/>
  <c r="E12" i="10"/>
  <c r="B13" i="10"/>
  <c r="C13" i="10"/>
  <c r="D13" i="10"/>
  <c r="E13" i="10"/>
  <c r="B14" i="10"/>
  <c r="C14" i="10"/>
  <c r="D14" i="10"/>
  <c r="E14" i="10"/>
  <c r="B15" i="10"/>
  <c r="C15" i="10"/>
  <c r="D15" i="10"/>
  <c r="E15" i="10"/>
  <c r="B16" i="10"/>
  <c r="C16" i="10"/>
  <c r="D16" i="10"/>
  <c r="E16" i="10"/>
  <c r="B17" i="10"/>
  <c r="C17" i="10"/>
  <c r="D17" i="10"/>
  <c r="E17" i="10"/>
  <c r="B18" i="10"/>
  <c r="C18" i="10"/>
  <c r="D18" i="10"/>
  <c r="E18" i="10"/>
  <c r="B19" i="10"/>
  <c r="C19" i="10"/>
  <c r="D19" i="10"/>
  <c r="E19" i="10"/>
  <c r="B20" i="10"/>
  <c r="C20" i="10"/>
  <c r="D20" i="10"/>
  <c r="E20" i="10"/>
  <c r="B21" i="10"/>
  <c r="C21" i="10"/>
  <c r="D21" i="10"/>
  <c r="E21" i="10"/>
  <c r="B22" i="10"/>
  <c r="C22" i="10"/>
  <c r="D22" i="10"/>
  <c r="E22" i="10"/>
  <c r="B23" i="10"/>
  <c r="C23" i="10"/>
  <c r="D23" i="10"/>
  <c r="E23" i="10"/>
  <c r="B24" i="10"/>
  <c r="C24" i="10"/>
  <c r="D24" i="10"/>
  <c r="E24" i="10"/>
  <c r="B25" i="10"/>
  <c r="C25" i="10"/>
  <c r="D25" i="10"/>
  <c r="E25" i="10"/>
  <c r="B26" i="10"/>
  <c r="C26" i="10"/>
  <c r="D26" i="10"/>
  <c r="E26" i="10"/>
  <c r="B27" i="10"/>
  <c r="C27" i="10"/>
  <c r="D27" i="10"/>
  <c r="E27" i="10"/>
  <c r="B28" i="10"/>
  <c r="C28" i="10"/>
  <c r="D28" i="10"/>
  <c r="E28" i="10"/>
  <c r="B29" i="10"/>
  <c r="C29" i="10"/>
  <c r="D29" i="10"/>
  <c r="E29" i="10"/>
  <c r="B30" i="10"/>
  <c r="C30" i="10"/>
  <c r="D30" i="10"/>
  <c r="E30" i="10"/>
  <c r="B31" i="10"/>
  <c r="C31" i="10"/>
  <c r="D31" i="10"/>
  <c r="E31" i="10"/>
  <c r="B32" i="10"/>
  <c r="C32" i="10"/>
  <c r="D32" i="10"/>
  <c r="E32" i="10"/>
  <c r="B33" i="10"/>
  <c r="C33" i="10"/>
  <c r="D33" i="10"/>
  <c r="E33" i="10"/>
  <c r="B34" i="10"/>
  <c r="C34" i="10"/>
  <c r="D34" i="10"/>
  <c r="E34" i="10"/>
  <c r="B35" i="10"/>
  <c r="C35" i="10"/>
  <c r="D35" i="10"/>
  <c r="E35" i="10"/>
  <c r="B36" i="10"/>
  <c r="C36" i="10"/>
  <c r="D36" i="10"/>
  <c r="E36" i="10"/>
  <c r="B37" i="10"/>
  <c r="C37" i="10"/>
  <c r="D37" i="10"/>
  <c r="E37" i="10"/>
  <c r="B38" i="10"/>
  <c r="C38" i="10"/>
  <c r="D38" i="10"/>
  <c r="E38" i="10"/>
  <c r="B39" i="10"/>
  <c r="C39" i="10"/>
  <c r="D39" i="10"/>
  <c r="E39" i="10"/>
  <c r="B40" i="10"/>
  <c r="C40" i="10"/>
  <c r="D40" i="10"/>
  <c r="E40" i="10"/>
  <c r="B41" i="10"/>
  <c r="C41" i="10"/>
  <c r="D41" i="10"/>
  <c r="E41" i="10"/>
  <c r="B42" i="10"/>
  <c r="C42" i="10"/>
  <c r="D42" i="10"/>
  <c r="E42" i="10"/>
  <c r="B43" i="10"/>
  <c r="C43" i="10"/>
  <c r="D43" i="10"/>
  <c r="E43" i="10"/>
  <c r="B44" i="10"/>
  <c r="C44" i="10"/>
  <c r="D44" i="10"/>
  <c r="E44" i="10"/>
  <c r="B45" i="10"/>
  <c r="C45" i="10"/>
  <c r="D45" i="10"/>
  <c r="E45" i="10"/>
  <c r="B46" i="10"/>
  <c r="C46" i="10"/>
  <c r="D46" i="10"/>
  <c r="E46" i="10"/>
  <c r="B47" i="10"/>
  <c r="C47" i="10"/>
  <c r="D47" i="10"/>
  <c r="E47" i="10"/>
  <c r="B48" i="10"/>
  <c r="C48" i="10"/>
  <c r="D48" i="10"/>
  <c r="E48" i="10"/>
  <c r="B49" i="10"/>
  <c r="C49" i="10"/>
  <c r="D49" i="10"/>
  <c r="E49" i="10"/>
  <c r="B50" i="10"/>
  <c r="C50" i="10"/>
  <c r="D50" i="10"/>
  <c r="E50" i="10"/>
  <c r="B51" i="10"/>
  <c r="C51" i="10"/>
  <c r="D51" i="10"/>
  <c r="E51" i="10"/>
  <c r="B52" i="10"/>
  <c r="C52" i="10"/>
  <c r="D52" i="10"/>
  <c r="E52" i="10"/>
  <c r="B53" i="10"/>
  <c r="C53" i="10"/>
  <c r="D53" i="10"/>
  <c r="E53" i="10"/>
  <c r="B54" i="10"/>
  <c r="C54" i="10"/>
  <c r="D54" i="10"/>
  <c r="E54" i="10"/>
  <c r="B55" i="10"/>
  <c r="C55" i="10"/>
  <c r="D55" i="10"/>
  <c r="E55" i="10"/>
  <c r="B56" i="10"/>
  <c r="C56" i="10"/>
  <c r="D56" i="10"/>
  <c r="E56" i="10"/>
  <c r="B57" i="10"/>
  <c r="C57" i="10"/>
  <c r="D57" i="10"/>
  <c r="E57" i="10"/>
  <c r="B58" i="10"/>
  <c r="C58" i="10"/>
  <c r="D58" i="10"/>
  <c r="E58" i="10"/>
  <c r="B59" i="10"/>
  <c r="C59" i="10"/>
  <c r="D59" i="10"/>
  <c r="E59" i="10"/>
  <c r="B60" i="10"/>
  <c r="C60" i="10"/>
  <c r="D60" i="10"/>
  <c r="E60" i="10"/>
  <c r="B61" i="10"/>
  <c r="C61" i="10"/>
  <c r="D61" i="10"/>
  <c r="E61" i="10"/>
  <c r="B62" i="10"/>
  <c r="C62" i="10"/>
  <c r="D62" i="10"/>
  <c r="E62" i="10"/>
  <c r="B63" i="10"/>
  <c r="C63" i="10"/>
  <c r="D63" i="10"/>
  <c r="E63" i="10"/>
  <c r="B64" i="10"/>
  <c r="C64" i="10"/>
  <c r="D64" i="10"/>
  <c r="E64" i="10"/>
  <c r="B65" i="10"/>
  <c r="C65" i="10"/>
  <c r="D65" i="10"/>
  <c r="E65" i="10"/>
  <c r="B66" i="10"/>
  <c r="C66" i="10"/>
  <c r="D66" i="10"/>
  <c r="E66" i="10"/>
  <c r="B67" i="10"/>
  <c r="C67" i="10"/>
  <c r="D67" i="10"/>
  <c r="E67" i="10"/>
  <c r="B68" i="10"/>
  <c r="C68" i="10"/>
  <c r="D68" i="10"/>
  <c r="E68" i="10"/>
  <c r="B69" i="10"/>
  <c r="C69" i="10"/>
  <c r="D69" i="10"/>
  <c r="E69" i="10"/>
  <c r="B70" i="10"/>
  <c r="C70" i="10"/>
  <c r="D70" i="10"/>
  <c r="E70" i="10"/>
  <c r="B71" i="10"/>
  <c r="C71" i="10"/>
  <c r="D71" i="10"/>
  <c r="E71" i="10"/>
  <c r="B72" i="10"/>
  <c r="C72" i="10"/>
  <c r="D72" i="10"/>
  <c r="E72" i="10"/>
  <c r="B73" i="10"/>
  <c r="C73" i="10"/>
  <c r="D73" i="10"/>
  <c r="E73" i="10"/>
  <c r="B74" i="10"/>
  <c r="C74" i="10"/>
  <c r="D74" i="10"/>
  <c r="E74" i="10"/>
  <c r="B75" i="10"/>
  <c r="C75" i="10"/>
  <c r="D75" i="10"/>
  <c r="E75" i="10"/>
  <c r="B76" i="10"/>
  <c r="C76" i="10"/>
  <c r="D76" i="10"/>
  <c r="E76" i="10"/>
  <c r="B77" i="10"/>
  <c r="C77" i="10"/>
  <c r="D77" i="10"/>
  <c r="E77" i="10"/>
  <c r="B78" i="10"/>
  <c r="C78" i="10"/>
  <c r="D78" i="10"/>
  <c r="E78" i="10"/>
  <c r="B79" i="10"/>
  <c r="C79" i="10"/>
  <c r="D79" i="10"/>
  <c r="E79" i="10"/>
  <c r="B80" i="10"/>
  <c r="C80" i="10"/>
  <c r="D80" i="10"/>
  <c r="E80" i="10"/>
  <c r="B81" i="10"/>
  <c r="C81" i="10"/>
  <c r="D81" i="10"/>
  <c r="E81" i="10"/>
  <c r="B82" i="10"/>
  <c r="C82" i="10"/>
  <c r="D82" i="10"/>
  <c r="E82" i="10"/>
  <c r="B83" i="10"/>
  <c r="C83" i="10"/>
  <c r="D83" i="10"/>
  <c r="E83" i="10"/>
  <c r="B84" i="10"/>
  <c r="C84" i="10"/>
  <c r="D84" i="10"/>
  <c r="E84" i="10"/>
  <c r="B85" i="10"/>
  <c r="C85" i="10"/>
  <c r="D85" i="10"/>
  <c r="E85" i="10"/>
  <c r="B86" i="10"/>
  <c r="C86" i="10"/>
  <c r="D86" i="10"/>
  <c r="E86" i="10"/>
  <c r="B87" i="10"/>
  <c r="C87" i="10"/>
  <c r="D87" i="10"/>
  <c r="E87" i="10"/>
  <c r="B88" i="10"/>
  <c r="C88" i="10"/>
  <c r="D88" i="10"/>
  <c r="E88" i="10"/>
  <c r="B89" i="10"/>
  <c r="C89" i="10"/>
  <c r="D89" i="10"/>
  <c r="E89" i="10"/>
  <c r="B90" i="10"/>
  <c r="C90" i="10"/>
  <c r="D90" i="10"/>
  <c r="E90" i="10"/>
  <c r="B91" i="10"/>
  <c r="C91" i="10"/>
  <c r="D91" i="10"/>
  <c r="E91" i="10"/>
  <c r="B92" i="10"/>
  <c r="C92" i="10"/>
  <c r="D92" i="10"/>
  <c r="E92" i="10"/>
  <c r="B93" i="10"/>
  <c r="C93" i="10"/>
  <c r="D93" i="10"/>
  <c r="E93" i="10"/>
  <c r="B94" i="10"/>
  <c r="C94" i="10"/>
  <c r="D94" i="10"/>
  <c r="E94" i="10"/>
  <c r="B95" i="10"/>
  <c r="C95" i="10"/>
  <c r="D95" i="10"/>
  <c r="E95" i="10"/>
  <c r="B96" i="10"/>
  <c r="C96" i="10"/>
  <c r="D96" i="10"/>
  <c r="E96" i="10"/>
  <c r="B97" i="10"/>
  <c r="C97" i="10"/>
  <c r="D97" i="10"/>
  <c r="E97" i="10"/>
  <c r="B98" i="10"/>
  <c r="C98" i="10"/>
  <c r="D98" i="10"/>
  <c r="E98" i="10"/>
  <c r="B99" i="10"/>
  <c r="C99" i="10"/>
  <c r="D99" i="10"/>
  <c r="E99" i="10"/>
  <c r="B100" i="10"/>
  <c r="C100" i="10"/>
  <c r="D100" i="10"/>
  <c r="E100" i="10"/>
  <c r="B101" i="10"/>
  <c r="C101" i="10"/>
  <c r="D101" i="10"/>
  <c r="E101" i="10"/>
  <c r="B102" i="10"/>
  <c r="C102" i="10"/>
  <c r="D102" i="10"/>
  <c r="E102" i="10"/>
  <c r="B103" i="10"/>
  <c r="C103" i="10"/>
  <c r="D103" i="10"/>
  <c r="E103" i="10"/>
  <c r="B104" i="10"/>
  <c r="C104" i="10"/>
  <c r="D104" i="10"/>
  <c r="E104" i="10"/>
  <c r="B105" i="10"/>
  <c r="C105" i="10"/>
  <c r="D105" i="10"/>
  <c r="E105" i="10"/>
  <c r="B106" i="10"/>
  <c r="C106" i="10"/>
  <c r="D106" i="10"/>
  <c r="E106" i="10"/>
  <c r="B107" i="10"/>
  <c r="C107" i="10"/>
  <c r="D107" i="10"/>
  <c r="E107" i="10"/>
  <c r="B108" i="10"/>
  <c r="C108" i="10"/>
  <c r="D108" i="10"/>
  <c r="E108" i="10"/>
  <c r="B109" i="10"/>
  <c r="C109" i="10"/>
  <c r="D109" i="10"/>
  <c r="E109" i="10"/>
  <c r="B110" i="10"/>
  <c r="C110" i="10"/>
  <c r="D110" i="10"/>
  <c r="E110" i="10"/>
  <c r="B111" i="10"/>
  <c r="C111" i="10"/>
  <c r="D111" i="10"/>
  <c r="E111" i="10"/>
  <c r="B112" i="10"/>
  <c r="C112" i="10"/>
  <c r="D112" i="10"/>
  <c r="E112" i="10"/>
  <c r="B113" i="10"/>
  <c r="C113" i="10"/>
  <c r="D113" i="10"/>
  <c r="E113" i="10"/>
  <c r="B114" i="10"/>
  <c r="C114" i="10"/>
  <c r="D114" i="10"/>
  <c r="E114" i="10"/>
  <c r="B115" i="10"/>
  <c r="C115" i="10"/>
  <c r="D115" i="10"/>
  <c r="E115" i="10"/>
  <c r="B116" i="10"/>
  <c r="C116" i="10"/>
  <c r="D116" i="10"/>
  <c r="E116" i="10"/>
  <c r="B117" i="10"/>
  <c r="C117" i="10"/>
  <c r="D117" i="10"/>
  <c r="E117" i="10"/>
  <c r="B118" i="10"/>
  <c r="C118" i="10"/>
  <c r="D118" i="10"/>
  <c r="E118" i="10"/>
  <c r="B119" i="10"/>
  <c r="C119" i="10"/>
  <c r="D119" i="10"/>
  <c r="E119" i="10"/>
  <c r="B120" i="10"/>
  <c r="C120" i="10"/>
  <c r="D120" i="10"/>
  <c r="E120" i="10"/>
  <c r="B121" i="10"/>
  <c r="C121" i="10"/>
  <c r="D121" i="10"/>
  <c r="E121" i="10"/>
  <c r="B122" i="10"/>
  <c r="C122" i="10"/>
  <c r="D122" i="10"/>
  <c r="E122" i="10"/>
  <c r="B123" i="10"/>
  <c r="C123" i="10"/>
  <c r="D123" i="10"/>
  <c r="E123" i="10"/>
  <c r="B124" i="10"/>
  <c r="C124" i="10"/>
  <c r="D124" i="10"/>
  <c r="E124" i="10"/>
  <c r="B125" i="10"/>
  <c r="C125" i="10"/>
  <c r="D125" i="10"/>
  <c r="E125" i="10"/>
  <c r="B126" i="10"/>
  <c r="C126" i="10"/>
  <c r="D126" i="10"/>
  <c r="E126" i="10"/>
  <c r="B127" i="10"/>
  <c r="C127" i="10"/>
  <c r="D127" i="10"/>
  <c r="E127" i="10"/>
  <c r="B128" i="10"/>
  <c r="C128" i="10"/>
  <c r="D128" i="10"/>
  <c r="E128" i="10"/>
  <c r="B129" i="10"/>
  <c r="C129" i="10"/>
  <c r="D129" i="10"/>
  <c r="E129" i="10"/>
  <c r="B130" i="10"/>
  <c r="C130" i="10"/>
  <c r="D130" i="10"/>
  <c r="E130" i="10"/>
  <c r="B131" i="10"/>
  <c r="C131" i="10"/>
  <c r="D131" i="10"/>
  <c r="E131" i="10"/>
  <c r="B132" i="10"/>
  <c r="C132" i="10"/>
  <c r="D132" i="10"/>
  <c r="E132" i="10"/>
  <c r="B133" i="10"/>
  <c r="C133" i="10"/>
  <c r="D133" i="10"/>
  <c r="E133" i="10"/>
  <c r="B134" i="10"/>
  <c r="C134" i="10"/>
  <c r="D134" i="10"/>
  <c r="E134" i="10"/>
  <c r="B135" i="10"/>
  <c r="C135" i="10"/>
  <c r="D135" i="10"/>
  <c r="E135" i="10"/>
  <c r="B136" i="10"/>
  <c r="C136" i="10"/>
  <c r="D136" i="10"/>
  <c r="E136" i="10"/>
  <c r="B137" i="10"/>
  <c r="C137" i="10"/>
  <c r="D137" i="10"/>
  <c r="E137" i="10"/>
  <c r="B138" i="10"/>
  <c r="C138" i="10"/>
  <c r="D138" i="10"/>
  <c r="E138" i="10"/>
  <c r="B139" i="10"/>
  <c r="C139" i="10"/>
  <c r="D139" i="10"/>
  <c r="E139" i="10"/>
  <c r="B140" i="10"/>
  <c r="C140" i="10"/>
  <c r="D140" i="10"/>
  <c r="E140" i="10"/>
  <c r="B141" i="10"/>
  <c r="C141" i="10"/>
  <c r="D141" i="10"/>
  <c r="E141" i="10"/>
  <c r="B142" i="10"/>
  <c r="C142" i="10"/>
  <c r="D142" i="10"/>
  <c r="E142" i="10"/>
  <c r="B143" i="10"/>
  <c r="C143" i="10"/>
  <c r="D143" i="10"/>
  <c r="E143" i="10"/>
  <c r="B144" i="10"/>
  <c r="C144" i="10"/>
  <c r="D144" i="10"/>
  <c r="E144" i="10"/>
  <c r="B145" i="10"/>
  <c r="C145" i="10"/>
  <c r="D145" i="10"/>
  <c r="E145" i="10"/>
  <c r="B146" i="10"/>
  <c r="C146" i="10"/>
  <c r="D146" i="10"/>
  <c r="E146" i="10"/>
  <c r="B147" i="10"/>
  <c r="C147" i="10"/>
  <c r="D147" i="10"/>
  <c r="E147" i="10"/>
  <c r="B148" i="10"/>
  <c r="C148" i="10"/>
  <c r="D148" i="10"/>
  <c r="E148" i="10"/>
  <c r="B149" i="10"/>
  <c r="C149" i="10"/>
  <c r="D149" i="10"/>
  <c r="E149" i="10"/>
  <c r="B150" i="10"/>
  <c r="C150" i="10"/>
  <c r="D150" i="10"/>
  <c r="E150" i="10"/>
  <c r="B151" i="10"/>
  <c r="C151" i="10"/>
  <c r="D151" i="10"/>
  <c r="E151" i="10"/>
  <c r="B152" i="10"/>
  <c r="C152" i="10"/>
  <c r="D152" i="10"/>
  <c r="E152" i="10"/>
  <c r="B153" i="10"/>
  <c r="C153" i="10"/>
  <c r="D153" i="10"/>
  <c r="E153" i="10"/>
  <c r="B154" i="10"/>
  <c r="C154" i="10"/>
  <c r="D154" i="10"/>
  <c r="E154" i="10"/>
  <c r="B155" i="10"/>
  <c r="C155" i="10"/>
  <c r="D155" i="10"/>
  <c r="E155" i="10"/>
  <c r="B156" i="10"/>
  <c r="C156" i="10"/>
  <c r="D156" i="10"/>
  <c r="E156" i="10"/>
  <c r="B157" i="10"/>
  <c r="C157" i="10"/>
  <c r="D157" i="10"/>
  <c r="E157" i="10"/>
  <c r="B158" i="10"/>
  <c r="C158" i="10"/>
  <c r="D158" i="10"/>
  <c r="E158" i="10"/>
  <c r="B159" i="10"/>
  <c r="C159" i="10"/>
  <c r="D159" i="10"/>
  <c r="E159" i="10"/>
  <c r="B160" i="10"/>
  <c r="C160" i="10"/>
  <c r="D160" i="10"/>
  <c r="E160" i="10"/>
  <c r="B161" i="10"/>
  <c r="C161" i="10"/>
  <c r="D161" i="10"/>
  <c r="E161" i="10"/>
  <c r="B162" i="10"/>
  <c r="C162" i="10"/>
  <c r="D162" i="10"/>
  <c r="E162" i="10"/>
  <c r="B163" i="10"/>
  <c r="C163" i="10"/>
  <c r="D163" i="10"/>
  <c r="E163" i="10"/>
  <c r="B164" i="10"/>
  <c r="C164" i="10"/>
  <c r="D164" i="10"/>
  <c r="E164" i="10"/>
  <c r="B165" i="10"/>
  <c r="C165" i="10"/>
  <c r="D165" i="10"/>
  <c r="E165" i="10"/>
  <c r="B166" i="10"/>
  <c r="C166" i="10"/>
  <c r="D166" i="10"/>
  <c r="E166" i="10"/>
  <c r="B167" i="10"/>
  <c r="C167" i="10"/>
  <c r="D167" i="10"/>
  <c r="E167" i="10"/>
  <c r="B168" i="10"/>
  <c r="C168" i="10"/>
  <c r="D168" i="10"/>
  <c r="E168" i="10"/>
  <c r="B169" i="10"/>
  <c r="C169" i="10"/>
  <c r="D169" i="10"/>
  <c r="E169" i="10"/>
  <c r="B170" i="10"/>
  <c r="C170" i="10"/>
  <c r="D170" i="10"/>
  <c r="E170" i="10"/>
  <c r="B171" i="10"/>
  <c r="C171" i="10"/>
  <c r="D171" i="10"/>
  <c r="E171" i="10"/>
  <c r="B172" i="10"/>
  <c r="C172" i="10"/>
  <c r="D172" i="10"/>
  <c r="E172" i="10"/>
  <c r="B173" i="10"/>
  <c r="C173" i="10"/>
  <c r="D173" i="10"/>
  <c r="E173" i="10"/>
  <c r="B174" i="10"/>
  <c r="C174" i="10"/>
  <c r="D174" i="10"/>
  <c r="E174" i="10"/>
  <c r="B175" i="10"/>
  <c r="C175" i="10"/>
  <c r="D175" i="10"/>
  <c r="E175" i="10"/>
  <c r="B176" i="10"/>
  <c r="C176" i="10"/>
  <c r="D176" i="10"/>
  <c r="E176" i="10"/>
  <c r="B177" i="10"/>
  <c r="C177" i="10"/>
  <c r="D177" i="10"/>
  <c r="E177" i="10"/>
  <c r="B178" i="10"/>
  <c r="C178" i="10"/>
  <c r="D178" i="10"/>
  <c r="E178" i="10"/>
  <c r="B179" i="10"/>
  <c r="C179" i="10"/>
  <c r="D179" i="10"/>
  <c r="E179" i="10"/>
  <c r="B180" i="10"/>
  <c r="C180" i="10"/>
  <c r="D180" i="10"/>
  <c r="E180" i="10"/>
  <c r="B181" i="10"/>
  <c r="C181" i="10"/>
  <c r="D181" i="10"/>
  <c r="E181" i="10"/>
  <c r="B182" i="10"/>
  <c r="C182" i="10"/>
  <c r="D182" i="10"/>
  <c r="E182" i="10"/>
  <c r="B183" i="10"/>
  <c r="C183" i="10"/>
  <c r="D183" i="10"/>
  <c r="E183" i="10"/>
  <c r="B184" i="10"/>
  <c r="C184" i="10"/>
  <c r="D184" i="10"/>
  <c r="E184" i="10"/>
  <c r="B185" i="10"/>
  <c r="C185" i="10"/>
  <c r="D185" i="10"/>
  <c r="E185" i="10"/>
  <c r="B186" i="10"/>
  <c r="C186" i="10"/>
  <c r="D186" i="10"/>
  <c r="E186" i="10"/>
  <c r="B187" i="10"/>
  <c r="C187" i="10"/>
  <c r="D187" i="10"/>
  <c r="E187" i="10"/>
  <c r="B188" i="10"/>
  <c r="C188" i="10"/>
  <c r="D188" i="10"/>
  <c r="E188" i="10"/>
  <c r="B189" i="10"/>
  <c r="C189" i="10"/>
  <c r="D189" i="10"/>
  <c r="E189" i="10"/>
  <c r="B190" i="10"/>
  <c r="C190" i="10"/>
  <c r="D190" i="10"/>
  <c r="E190" i="10"/>
  <c r="B191" i="10"/>
  <c r="C191" i="10"/>
  <c r="D191" i="10"/>
  <c r="E191" i="10"/>
  <c r="B192" i="10"/>
  <c r="C192" i="10"/>
  <c r="D192" i="10"/>
  <c r="E192" i="10"/>
  <c r="B193" i="10"/>
  <c r="C193" i="10"/>
  <c r="D193" i="10"/>
  <c r="E193" i="10"/>
  <c r="B194" i="10"/>
  <c r="C194" i="10"/>
  <c r="D194" i="10"/>
  <c r="E194" i="10"/>
  <c r="B195" i="10"/>
  <c r="C195" i="10"/>
  <c r="D195" i="10"/>
  <c r="E195" i="10"/>
  <c r="B196" i="10"/>
  <c r="C196" i="10"/>
  <c r="D196" i="10"/>
  <c r="E196" i="10"/>
  <c r="B197" i="10"/>
  <c r="C197" i="10"/>
  <c r="D197" i="10"/>
  <c r="E197" i="10"/>
  <c r="B198" i="10"/>
  <c r="C198" i="10"/>
  <c r="D198" i="10"/>
  <c r="E198" i="10"/>
  <c r="B199" i="10"/>
  <c r="C199" i="10"/>
  <c r="D199" i="10"/>
  <c r="E199" i="10"/>
  <c r="B200" i="10"/>
  <c r="C200" i="10"/>
  <c r="D200" i="10"/>
  <c r="E200" i="10"/>
  <c r="B201" i="10"/>
  <c r="C201" i="10"/>
  <c r="D201" i="10"/>
  <c r="E201" i="10"/>
  <c r="B202" i="10"/>
  <c r="C202" i="10"/>
  <c r="D202" i="10"/>
  <c r="E202" i="10"/>
  <c r="B203" i="10"/>
  <c r="C203" i="10"/>
  <c r="D203" i="10"/>
  <c r="E203" i="10"/>
  <c r="B204" i="10"/>
  <c r="C204" i="10"/>
  <c r="D204" i="10"/>
  <c r="E204" i="10"/>
  <c r="B205" i="10"/>
  <c r="C205" i="10"/>
  <c r="D205" i="10"/>
  <c r="E205" i="10"/>
  <c r="B206" i="10"/>
  <c r="C206" i="10"/>
  <c r="D206" i="10"/>
  <c r="E206" i="10"/>
  <c r="B207" i="10"/>
  <c r="C207" i="10"/>
  <c r="D207" i="10"/>
  <c r="E207" i="10"/>
  <c r="B208" i="10"/>
  <c r="C208" i="10"/>
  <c r="D208" i="10"/>
  <c r="E208" i="10"/>
  <c r="B209" i="10"/>
  <c r="C209" i="10"/>
  <c r="D209" i="10"/>
  <c r="E209" i="10"/>
  <c r="B210" i="10"/>
  <c r="C210" i="10"/>
  <c r="D210" i="10"/>
  <c r="E210" i="10"/>
  <c r="B211" i="10"/>
  <c r="C211" i="10"/>
  <c r="D211" i="10"/>
  <c r="E211" i="10"/>
  <c r="B212" i="10"/>
  <c r="C212" i="10"/>
  <c r="D212" i="10"/>
  <c r="E212" i="10"/>
  <c r="B213" i="10"/>
  <c r="C213" i="10"/>
  <c r="D213" i="10"/>
  <c r="E213" i="10"/>
  <c r="B214" i="10"/>
  <c r="C214" i="10"/>
  <c r="D214" i="10"/>
  <c r="E214" i="10"/>
  <c r="B215" i="10"/>
  <c r="C215" i="10"/>
  <c r="D215" i="10"/>
  <c r="E215" i="10"/>
  <c r="B216" i="10"/>
  <c r="C216" i="10"/>
  <c r="D216" i="10"/>
  <c r="E216" i="10"/>
  <c r="B217" i="10"/>
  <c r="C217" i="10"/>
  <c r="D217" i="10"/>
  <c r="E217" i="10"/>
  <c r="B218" i="10"/>
  <c r="C218" i="10"/>
  <c r="D218" i="10"/>
  <c r="E218" i="10"/>
  <c r="B219" i="10"/>
  <c r="C219" i="10"/>
  <c r="D219" i="10"/>
  <c r="E219" i="10"/>
  <c r="B220" i="10"/>
  <c r="C220" i="10"/>
  <c r="D220" i="10"/>
  <c r="E220" i="10"/>
  <c r="B221" i="10"/>
  <c r="C221" i="10"/>
  <c r="D221" i="10"/>
  <c r="E221" i="10"/>
  <c r="B222" i="10"/>
  <c r="C222" i="10"/>
  <c r="D222" i="10"/>
  <c r="E222" i="10"/>
  <c r="B223" i="10"/>
  <c r="C223" i="10"/>
  <c r="D223" i="10"/>
  <c r="E223" i="10"/>
  <c r="B224" i="10"/>
  <c r="C224" i="10"/>
  <c r="D224" i="10"/>
  <c r="E224" i="10"/>
  <c r="B225" i="10"/>
  <c r="C225" i="10"/>
  <c r="D225" i="10"/>
  <c r="E225" i="10"/>
  <c r="B226" i="10"/>
  <c r="C226" i="10"/>
  <c r="D226" i="10"/>
  <c r="E226" i="10"/>
  <c r="B227" i="10"/>
  <c r="C227" i="10"/>
  <c r="D227" i="10"/>
  <c r="E227" i="10"/>
  <c r="B228" i="10"/>
  <c r="C228" i="10"/>
  <c r="D228" i="10"/>
  <c r="E228" i="10"/>
  <c r="B229" i="10"/>
  <c r="C229" i="10"/>
  <c r="D229" i="10"/>
  <c r="E229" i="10"/>
  <c r="B230" i="10"/>
  <c r="C230" i="10"/>
  <c r="D230" i="10"/>
  <c r="E230" i="10"/>
  <c r="B231" i="10"/>
  <c r="C231" i="10"/>
  <c r="D231" i="10"/>
  <c r="E231" i="10"/>
  <c r="B232" i="10"/>
  <c r="C232" i="10"/>
  <c r="D232" i="10"/>
  <c r="E232" i="10"/>
  <c r="B233" i="10"/>
  <c r="C233" i="10"/>
  <c r="D233" i="10"/>
  <c r="E233" i="10"/>
  <c r="B234" i="10"/>
  <c r="C234" i="10"/>
  <c r="D234" i="10"/>
  <c r="E234" i="10"/>
  <c r="B235" i="10"/>
  <c r="C235" i="10"/>
  <c r="D235" i="10"/>
  <c r="E235" i="10"/>
  <c r="B236" i="10"/>
  <c r="C236" i="10"/>
  <c r="D236" i="10"/>
  <c r="E236" i="10"/>
  <c r="B237" i="10"/>
  <c r="C237" i="10"/>
  <c r="D237" i="10"/>
  <c r="E237" i="10"/>
  <c r="B238" i="10"/>
  <c r="C238" i="10"/>
  <c r="D238" i="10"/>
  <c r="E238" i="10"/>
  <c r="B239" i="10"/>
  <c r="C239" i="10"/>
  <c r="D239" i="10"/>
  <c r="E239" i="10"/>
  <c r="B240" i="10"/>
  <c r="C240" i="10"/>
  <c r="D240" i="10"/>
  <c r="E240" i="10"/>
  <c r="B241" i="10"/>
  <c r="C241" i="10"/>
  <c r="D241" i="10"/>
  <c r="E241" i="10"/>
  <c r="B242" i="10"/>
  <c r="C242" i="10"/>
  <c r="D242" i="10"/>
  <c r="E242" i="10"/>
  <c r="B243" i="10"/>
  <c r="C243" i="10"/>
  <c r="D243" i="10"/>
  <c r="E243" i="10"/>
  <c r="B244" i="10"/>
  <c r="C244" i="10"/>
  <c r="D244" i="10"/>
  <c r="E244" i="10"/>
  <c r="B245" i="10"/>
  <c r="C245" i="10"/>
  <c r="D245" i="10"/>
  <c r="E245" i="10"/>
  <c r="B246" i="10"/>
  <c r="C246" i="10"/>
  <c r="D246" i="10"/>
  <c r="E246" i="10"/>
  <c r="B247" i="10"/>
  <c r="C247" i="10"/>
  <c r="D247" i="10"/>
  <c r="E247" i="10"/>
  <c r="B248" i="10"/>
  <c r="C248" i="10"/>
  <c r="D248" i="10"/>
  <c r="E248" i="10"/>
  <c r="B249" i="10"/>
  <c r="C249" i="10"/>
  <c r="D249" i="10"/>
  <c r="E249" i="10"/>
  <c r="B250" i="10"/>
  <c r="C250" i="10"/>
  <c r="D250" i="10"/>
  <c r="E250" i="10"/>
  <c r="B251" i="10"/>
  <c r="C251" i="10"/>
  <c r="D251" i="10"/>
  <c r="E251" i="10"/>
  <c r="B252" i="10"/>
  <c r="C252" i="10"/>
  <c r="D252" i="10"/>
  <c r="E252" i="10"/>
  <c r="B253" i="10"/>
  <c r="C253" i="10"/>
  <c r="D253" i="10"/>
  <c r="E253" i="10"/>
  <c r="B254" i="10"/>
  <c r="C254" i="10"/>
  <c r="D254" i="10"/>
  <c r="E254" i="10"/>
  <c r="B255" i="10"/>
  <c r="C255" i="10"/>
  <c r="D255" i="10"/>
  <c r="E255" i="10"/>
  <c r="B256" i="10"/>
  <c r="C256" i="10"/>
  <c r="D256" i="10"/>
  <c r="E256" i="10"/>
  <c r="B257" i="10"/>
  <c r="C257" i="10"/>
  <c r="D257" i="10"/>
  <c r="E257" i="10"/>
  <c r="B258" i="10"/>
  <c r="C258" i="10"/>
  <c r="D258" i="10"/>
  <c r="E258" i="10"/>
  <c r="B259" i="10"/>
  <c r="C259" i="10"/>
  <c r="D259" i="10"/>
  <c r="E259" i="10"/>
  <c r="B260" i="10"/>
  <c r="C260" i="10"/>
  <c r="D260" i="10"/>
  <c r="E260" i="10"/>
  <c r="B261" i="10"/>
  <c r="C261" i="10"/>
  <c r="D261" i="10"/>
  <c r="E261" i="10"/>
  <c r="B262" i="10"/>
  <c r="C262" i="10"/>
  <c r="D262" i="10"/>
  <c r="E262" i="10"/>
  <c r="B263" i="10"/>
  <c r="C263" i="10"/>
  <c r="D263" i="10"/>
  <c r="E263" i="10"/>
  <c r="B264" i="10"/>
  <c r="C264" i="10"/>
  <c r="D264" i="10"/>
  <c r="E264" i="10"/>
  <c r="B265" i="10"/>
  <c r="C265" i="10"/>
  <c r="D265" i="10"/>
  <c r="E265" i="10"/>
  <c r="B266" i="10"/>
  <c r="C266" i="10"/>
  <c r="D266" i="10"/>
  <c r="E266" i="10"/>
  <c r="B267" i="10"/>
  <c r="C267" i="10"/>
  <c r="D267" i="10"/>
  <c r="E267" i="10"/>
  <c r="B268" i="10"/>
  <c r="C268" i="10"/>
  <c r="D268" i="10"/>
  <c r="E268" i="10"/>
  <c r="B269" i="10"/>
  <c r="C269" i="10"/>
  <c r="D269" i="10"/>
  <c r="E269" i="10"/>
  <c r="B270" i="10"/>
  <c r="C270" i="10"/>
  <c r="D270" i="10"/>
  <c r="E270" i="10"/>
  <c r="B271" i="10"/>
  <c r="C271" i="10"/>
  <c r="D271" i="10"/>
  <c r="E271" i="10"/>
  <c r="B272" i="10"/>
  <c r="C272" i="10"/>
  <c r="D272" i="10"/>
  <c r="E272" i="10"/>
  <c r="B273" i="10"/>
  <c r="C273" i="10"/>
  <c r="D273" i="10"/>
  <c r="E273" i="10"/>
  <c r="B274" i="10"/>
  <c r="C274" i="10"/>
  <c r="D274" i="10"/>
  <c r="E274" i="10"/>
  <c r="B275" i="10"/>
  <c r="C275" i="10"/>
  <c r="D275" i="10"/>
  <c r="E275" i="10"/>
  <c r="B276" i="10"/>
  <c r="C276" i="10"/>
  <c r="D276" i="10"/>
  <c r="E276" i="10"/>
  <c r="B277" i="10"/>
  <c r="C277" i="10"/>
  <c r="D277" i="10"/>
  <c r="E277" i="10"/>
  <c r="B278" i="10"/>
  <c r="C278" i="10"/>
  <c r="D278" i="10"/>
  <c r="E278" i="10"/>
  <c r="B279" i="10"/>
  <c r="C279" i="10"/>
  <c r="D279" i="10"/>
  <c r="E279" i="10"/>
  <c r="B280" i="10"/>
  <c r="C280" i="10"/>
  <c r="D280" i="10"/>
  <c r="E280" i="10"/>
  <c r="B281" i="10"/>
  <c r="C281" i="10"/>
  <c r="D281" i="10"/>
  <c r="E281" i="10"/>
  <c r="B282" i="10"/>
  <c r="C282" i="10"/>
  <c r="D282" i="10"/>
  <c r="E282" i="10"/>
  <c r="B283" i="10"/>
  <c r="C283" i="10"/>
  <c r="D283" i="10"/>
  <c r="E283" i="10"/>
  <c r="B284" i="10"/>
  <c r="C284" i="10"/>
  <c r="D284" i="10"/>
  <c r="E284" i="10"/>
  <c r="B285" i="10"/>
  <c r="C285" i="10"/>
  <c r="D285" i="10"/>
  <c r="E285" i="10"/>
  <c r="B286" i="10"/>
  <c r="C286" i="10"/>
  <c r="D286" i="10"/>
  <c r="E286" i="10"/>
  <c r="B287" i="10"/>
  <c r="C287" i="10"/>
  <c r="D287" i="10"/>
  <c r="E287" i="10"/>
  <c r="B288" i="10"/>
  <c r="C288" i="10"/>
  <c r="D288" i="10"/>
  <c r="E288" i="10"/>
  <c r="B289" i="10"/>
  <c r="C289" i="10"/>
  <c r="D289" i="10"/>
  <c r="E289" i="10"/>
  <c r="B290" i="10"/>
  <c r="C290" i="10"/>
  <c r="D290" i="10"/>
  <c r="E290" i="10"/>
  <c r="B291" i="10"/>
  <c r="C291" i="10"/>
  <c r="D291" i="10"/>
  <c r="E291" i="10"/>
  <c r="B292" i="10"/>
  <c r="C292" i="10"/>
  <c r="D292" i="10"/>
  <c r="E292" i="10"/>
  <c r="B293" i="10"/>
  <c r="C293" i="10"/>
  <c r="D293" i="10"/>
  <c r="E293" i="10"/>
  <c r="B294" i="10"/>
  <c r="C294" i="10"/>
  <c r="D294" i="10"/>
  <c r="E294" i="10"/>
  <c r="B295" i="10"/>
  <c r="C295" i="10"/>
  <c r="D295" i="10"/>
  <c r="E295" i="10"/>
  <c r="B296" i="10"/>
  <c r="C296" i="10"/>
  <c r="D296" i="10"/>
  <c r="E296" i="10"/>
  <c r="B297" i="10"/>
  <c r="C297" i="10"/>
  <c r="D297" i="10"/>
  <c r="E297" i="10"/>
  <c r="B298" i="10"/>
  <c r="C298" i="10"/>
  <c r="D298" i="10"/>
  <c r="E298" i="10"/>
  <c r="B299" i="10"/>
  <c r="C299" i="10"/>
  <c r="D299" i="10"/>
  <c r="E299" i="10"/>
  <c r="B300" i="10"/>
  <c r="C300" i="10"/>
  <c r="D300" i="10"/>
  <c r="E300" i="10"/>
  <c r="B301" i="10"/>
  <c r="C301" i="10"/>
  <c r="D301" i="10"/>
  <c r="E301" i="10"/>
  <c r="B302" i="10"/>
  <c r="C302" i="10"/>
  <c r="D302" i="10"/>
  <c r="E302" i="10"/>
  <c r="B303" i="10"/>
  <c r="C303" i="10"/>
  <c r="D303" i="10"/>
  <c r="E303" i="10"/>
  <c r="B304" i="10"/>
  <c r="C304" i="10"/>
  <c r="D304" i="10"/>
  <c r="E304" i="10"/>
  <c r="B305" i="10"/>
  <c r="C305" i="10"/>
  <c r="D305" i="10"/>
  <c r="E305" i="10"/>
  <c r="B306" i="10"/>
  <c r="C306" i="10"/>
  <c r="D306" i="10"/>
  <c r="E306" i="10"/>
  <c r="B307" i="10"/>
  <c r="C307" i="10"/>
  <c r="D307" i="10"/>
  <c r="E307" i="10"/>
  <c r="B308" i="10"/>
  <c r="C308" i="10"/>
  <c r="D308" i="10"/>
  <c r="E308" i="10"/>
  <c r="B309" i="10"/>
  <c r="C309" i="10"/>
  <c r="D309" i="10"/>
  <c r="E309" i="10"/>
  <c r="B310" i="10"/>
  <c r="C310" i="10"/>
  <c r="D310" i="10"/>
  <c r="E310" i="10"/>
  <c r="B311" i="10"/>
  <c r="C311" i="10"/>
  <c r="D311" i="10"/>
  <c r="E311" i="10"/>
  <c r="B312" i="10"/>
  <c r="C312" i="10"/>
  <c r="D312" i="10"/>
  <c r="E312" i="10"/>
  <c r="B313" i="10"/>
  <c r="C313" i="10"/>
  <c r="D313" i="10"/>
  <c r="E313" i="10"/>
  <c r="B314" i="10"/>
  <c r="C314" i="10"/>
  <c r="D314" i="10"/>
  <c r="E314" i="10"/>
  <c r="B315" i="10"/>
  <c r="C315" i="10"/>
  <c r="D315" i="10"/>
  <c r="E315" i="10"/>
  <c r="B316" i="10"/>
  <c r="C316" i="10"/>
  <c r="D316" i="10"/>
  <c r="E316" i="10"/>
  <c r="B317" i="10"/>
  <c r="C317" i="10"/>
  <c r="D317" i="10"/>
  <c r="E317" i="10"/>
  <c r="B318" i="10"/>
  <c r="C318" i="10"/>
  <c r="D318" i="10"/>
  <c r="E318" i="10"/>
  <c r="B319" i="10"/>
  <c r="C319" i="10"/>
  <c r="D319" i="10"/>
  <c r="E319" i="10"/>
  <c r="B320" i="10"/>
  <c r="C320" i="10"/>
  <c r="D320" i="10"/>
  <c r="E320" i="10"/>
  <c r="B321" i="10"/>
  <c r="C321" i="10"/>
  <c r="D321" i="10"/>
  <c r="E321" i="10"/>
  <c r="B322" i="10"/>
  <c r="C322" i="10"/>
  <c r="D322" i="10"/>
  <c r="E322" i="10"/>
  <c r="B323" i="10"/>
  <c r="C323" i="10"/>
  <c r="D323" i="10"/>
  <c r="E323" i="10"/>
  <c r="B324" i="10"/>
  <c r="C324" i="10"/>
  <c r="D324" i="10"/>
  <c r="E324" i="10"/>
  <c r="B325" i="10"/>
  <c r="C325" i="10"/>
  <c r="D325" i="10"/>
  <c r="E325" i="10"/>
  <c r="B326" i="10"/>
  <c r="C326" i="10"/>
  <c r="D326" i="10"/>
  <c r="E326" i="10"/>
  <c r="B327" i="10"/>
  <c r="C327" i="10"/>
  <c r="D327" i="10"/>
  <c r="E327" i="10"/>
  <c r="B328" i="10"/>
  <c r="C328" i="10"/>
  <c r="D328" i="10"/>
  <c r="E328" i="10"/>
  <c r="B329" i="10"/>
  <c r="C329" i="10"/>
  <c r="D329" i="10"/>
  <c r="E329" i="10"/>
  <c r="B330" i="10"/>
  <c r="C330" i="10"/>
  <c r="D330" i="10"/>
  <c r="E330" i="10"/>
  <c r="B331" i="10"/>
  <c r="C331" i="10"/>
  <c r="D331" i="10"/>
  <c r="E331" i="10"/>
  <c r="B332" i="10"/>
  <c r="C332" i="10"/>
  <c r="D332" i="10"/>
  <c r="E332" i="10"/>
  <c r="B333" i="10"/>
  <c r="C333" i="10"/>
  <c r="D333" i="10"/>
  <c r="E333" i="10"/>
  <c r="B334" i="10"/>
  <c r="C334" i="10"/>
  <c r="D334" i="10"/>
  <c r="E334" i="10"/>
  <c r="B335" i="10"/>
  <c r="C335" i="10"/>
  <c r="D335" i="10"/>
  <c r="E335" i="10"/>
  <c r="B336" i="10"/>
  <c r="C336" i="10"/>
  <c r="D336" i="10"/>
  <c r="E336" i="10"/>
  <c r="B337" i="10"/>
  <c r="C337" i="10"/>
  <c r="D337" i="10"/>
  <c r="E337" i="10"/>
  <c r="B338" i="10"/>
  <c r="C338" i="10"/>
  <c r="D338" i="10"/>
  <c r="E338" i="10"/>
  <c r="B339" i="10"/>
  <c r="C339" i="10"/>
  <c r="D339" i="10"/>
  <c r="E339" i="10"/>
  <c r="B340" i="10"/>
  <c r="C340" i="10"/>
  <c r="D340" i="10"/>
  <c r="E340" i="10"/>
  <c r="B341" i="10"/>
  <c r="C341" i="10"/>
  <c r="D341" i="10"/>
  <c r="E341" i="10"/>
  <c r="B342" i="10"/>
  <c r="C342" i="10"/>
  <c r="D342" i="10"/>
  <c r="E342" i="10"/>
  <c r="B343" i="10"/>
  <c r="C343" i="10"/>
  <c r="D343" i="10"/>
  <c r="E343" i="10"/>
  <c r="B344" i="10"/>
  <c r="C344" i="10"/>
  <c r="D344" i="10"/>
  <c r="E344" i="10"/>
  <c r="B345" i="10"/>
  <c r="C345" i="10"/>
  <c r="D345" i="10"/>
  <c r="E345" i="10"/>
  <c r="B346" i="10"/>
  <c r="C346" i="10"/>
  <c r="D346" i="10"/>
  <c r="E346" i="10"/>
  <c r="B347" i="10"/>
  <c r="C347" i="10"/>
  <c r="D347" i="10"/>
  <c r="E347" i="10"/>
  <c r="B348" i="10"/>
  <c r="C348" i="10"/>
  <c r="D348" i="10"/>
  <c r="E348" i="10"/>
  <c r="B349" i="10"/>
  <c r="C349" i="10"/>
  <c r="D349" i="10"/>
  <c r="E349" i="10"/>
  <c r="B350" i="10"/>
  <c r="C350" i="10"/>
  <c r="D350" i="10"/>
  <c r="E350" i="10"/>
  <c r="B351" i="10"/>
  <c r="C351" i="10"/>
  <c r="D351" i="10"/>
  <c r="E351" i="10"/>
  <c r="B352" i="10"/>
  <c r="C352" i="10"/>
  <c r="D352" i="10"/>
  <c r="E352" i="10"/>
  <c r="B353" i="10"/>
  <c r="C353" i="10"/>
  <c r="D353" i="10"/>
  <c r="E353" i="10"/>
  <c r="B354" i="10"/>
  <c r="C354" i="10"/>
  <c r="D354" i="10"/>
  <c r="E354" i="10"/>
  <c r="B355" i="10"/>
  <c r="C355" i="10"/>
  <c r="D355" i="10"/>
  <c r="E355" i="10"/>
  <c r="B356" i="10"/>
  <c r="C356" i="10"/>
  <c r="D356" i="10"/>
  <c r="E356" i="10"/>
  <c r="B357" i="10"/>
  <c r="C357" i="10"/>
  <c r="D357" i="10"/>
  <c r="E357" i="10"/>
  <c r="B358" i="10"/>
  <c r="C358" i="10"/>
  <c r="D358" i="10"/>
  <c r="E358" i="10"/>
  <c r="B359" i="10"/>
  <c r="C359" i="10"/>
  <c r="D359" i="10"/>
  <c r="E359" i="10"/>
  <c r="B360" i="10"/>
  <c r="C360" i="10"/>
  <c r="D360" i="10"/>
  <c r="E360" i="10"/>
  <c r="B361" i="10"/>
  <c r="C361" i="10"/>
  <c r="D361" i="10"/>
  <c r="E361" i="10"/>
  <c r="B362" i="10"/>
  <c r="C362" i="10"/>
  <c r="D362" i="10"/>
  <c r="E362" i="10"/>
  <c r="B363" i="10"/>
  <c r="C363" i="10"/>
  <c r="D363" i="10"/>
  <c r="E363" i="10"/>
  <c r="B364" i="10"/>
  <c r="C364" i="10"/>
  <c r="D364" i="10"/>
  <c r="E364" i="10"/>
  <c r="B365" i="10"/>
  <c r="C365" i="10"/>
  <c r="D365" i="10"/>
  <c r="E365" i="10"/>
  <c r="B366" i="10"/>
  <c r="C366" i="10"/>
  <c r="D366" i="10"/>
  <c r="E366" i="10"/>
  <c r="B367" i="10"/>
  <c r="C367" i="10"/>
  <c r="D367" i="10"/>
  <c r="E367" i="10"/>
  <c r="B368" i="10"/>
  <c r="C368" i="10"/>
  <c r="D368" i="10"/>
  <c r="E368" i="10"/>
  <c r="B369" i="10"/>
  <c r="C369" i="10"/>
  <c r="D369" i="10"/>
  <c r="E369" i="10"/>
  <c r="B370" i="10"/>
  <c r="C370" i="10"/>
  <c r="D370" i="10"/>
  <c r="E370" i="10"/>
  <c r="B371" i="10"/>
  <c r="C371" i="10"/>
  <c r="D371" i="10"/>
  <c r="E371" i="10"/>
  <c r="B372" i="10"/>
  <c r="C372" i="10"/>
  <c r="D372" i="10"/>
  <c r="E372" i="10"/>
  <c r="B373" i="10"/>
  <c r="C373" i="10"/>
  <c r="D373" i="10"/>
  <c r="E373" i="10"/>
  <c r="B374" i="10"/>
  <c r="C374" i="10"/>
  <c r="D374" i="10"/>
  <c r="E374" i="10"/>
  <c r="B375" i="10"/>
  <c r="C375" i="10"/>
  <c r="D375" i="10"/>
  <c r="E375" i="10"/>
  <c r="B376" i="10"/>
  <c r="C376" i="10"/>
  <c r="D376" i="10"/>
  <c r="E376" i="10"/>
  <c r="B377" i="10"/>
  <c r="C377" i="10"/>
  <c r="D377" i="10"/>
  <c r="E377" i="10"/>
  <c r="B378" i="10"/>
  <c r="C378" i="10"/>
  <c r="D378" i="10"/>
  <c r="E378" i="10"/>
  <c r="B379" i="10"/>
  <c r="C379" i="10"/>
  <c r="D379" i="10"/>
  <c r="E379" i="10"/>
  <c r="B380" i="10"/>
  <c r="C380" i="10"/>
  <c r="D380" i="10"/>
  <c r="E380" i="10"/>
  <c r="B381" i="10"/>
  <c r="C381" i="10"/>
  <c r="D381" i="10"/>
  <c r="E381" i="10"/>
  <c r="B382" i="10"/>
  <c r="C382" i="10"/>
  <c r="D382" i="10"/>
  <c r="E382" i="10"/>
  <c r="B383" i="10"/>
  <c r="C383" i="10"/>
  <c r="D383" i="10"/>
  <c r="E383" i="10"/>
  <c r="B384" i="10"/>
  <c r="C384" i="10"/>
  <c r="D384" i="10"/>
  <c r="E384" i="10"/>
  <c r="B385" i="10"/>
  <c r="C385" i="10"/>
  <c r="D385" i="10"/>
  <c r="E385" i="10"/>
  <c r="B386" i="10"/>
  <c r="C386" i="10"/>
  <c r="D386" i="10"/>
  <c r="E386" i="10"/>
  <c r="B387" i="10"/>
  <c r="C387" i="10"/>
  <c r="D387" i="10"/>
  <c r="E387" i="10"/>
  <c r="B388" i="10"/>
  <c r="C388" i="10"/>
  <c r="D388" i="10"/>
  <c r="E388" i="10"/>
  <c r="B389" i="10"/>
  <c r="C389" i="10"/>
  <c r="D389" i="10"/>
  <c r="E389" i="10"/>
  <c r="B390" i="10"/>
  <c r="C390" i="10"/>
  <c r="D390" i="10"/>
  <c r="E390" i="10"/>
  <c r="B391" i="10"/>
  <c r="C391" i="10"/>
  <c r="D391" i="10"/>
  <c r="E391" i="10"/>
  <c r="B392" i="10"/>
  <c r="C392" i="10"/>
  <c r="D392" i="10"/>
  <c r="E392" i="10"/>
  <c r="B393" i="10"/>
  <c r="C393" i="10"/>
  <c r="D393" i="10"/>
  <c r="E393" i="10"/>
  <c r="B394" i="10"/>
  <c r="C394" i="10"/>
  <c r="D394" i="10"/>
  <c r="E394" i="10"/>
  <c r="B395" i="10"/>
  <c r="C395" i="10"/>
  <c r="D395" i="10"/>
  <c r="E395" i="10"/>
  <c r="B396" i="10"/>
  <c r="C396" i="10"/>
  <c r="D396" i="10"/>
  <c r="E396" i="10"/>
  <c r="B397" i="10"/>
  <c r="C397" i="10"/>
  <c r="D397" i="10"/>
  <c r="E397" i="10"/>
  <c r="B398" i="10"/>
  <c r="C398" i="10"/>
  <c r="D398" i="10"/>
  <c r="E398" i="10"/>
  <c r="B399" i="10"/>
  <c r="C399" i="10"/>
  <c r="D399" i="10"/>
  <c r="E399" i="10"/>
  <c r="B400" i="10"/>
  <c r="C400" i="10"/>
  <c r="D400" i="10"/>
  <c r="E400" i="10"/>
  <c r="B401" i="10"/>
  <c r="C401" i="10"/>
  <c r="D401" i="10"/>
  <c r="E401" i="10"/>
  <c r="B402" i="10"/>
  <c r="C402" i="10"/>
  <c r="D402" i="10"/>
  <c r="E402" i="10"/>
  <c r="B403" i="10"/>
  <c r="C403" i="10"/>
  <c r="D403" i="10"/>
  <c r="E403" i="10"/>
  <c r="B404" i="10"/>
  <c r="C404" i="10"/>
  <c r="D404" i="10"/>
  <c r="E404" i="10"/>
  <c r="B405" i="10"/>
  <c r="C405" i="10"/>
  <c r="D405" i="10"/>
  <c r="E405" i="10"/>
  <c r="B406" i="10"/>
  <c r="C406" i="10"/>
  <c r="D406" i="10"/>
  <c r="E406" i="10"/>
  <c r="B407" i="10"/>
  <c r="C407" i="10"/>
  <c r="D407" i="10"/>
  <c r="E407" i="10"/>
  <c r="B408" i="10"/>
  <c r="C408" i="10"/>
  <c r="D408" i="10"/>
  <c r="E408" i="10"/>
  <c r="B409" i="10"/>
  <c r="C409" i="10"/>
  <c r="D409" i="10"/>
  <c r="E409" i="10"/>
  <c r="B410" i="10"/>
  <c r="C410" i="10"/>
  <c r="D410" i="10"/>
  <c r="E410" i="10"/>
  <c r="B411" i="10"/>
  <c r="C411" i="10"/>
  <c r="D411" i="10"/>
  <c r="E411" i="10"/>
  <c r="B412" i="10"/>
  <c r="C412" i="10"/>
  <c r="D412" i="10"/>
  <c r="E412" i="10"/>
  <c r="B413" i="10"/>
  <c r="C413" i="10"/>
  <c r="D413" i="10"/>
  <c r="E413" i="10"/>
  <c r="B414" i="10"/>
  <c r="C414" i="10"/>
  <c r="D414" i="10"/>
  <c r="E414" i="10"/>
  <c r="B415" i="10"/>
  <c r="C415" i="10"/>
  <c r="D415" i="10"/>
  <c r="E415" i="10"/>
  <c r="B416" i="10"/>
  <c r="C416" i="10"/>
  <c r="D416" i="10"/>
  <c r="E416" i="10"/>
  <c r="B417" i="10"/>
  <c r="C417" i="10"/>
  <c r="D417" i="10"/>
  <c r="E417" i="10"/>
  <c r="B418" i="10"/>
  <c r="C418" i="10"/>
  <c r="D418" i="10"/>
  <c r="E418" i="10"/>
  <c r="B419" i="10"/>
  <c r="C419" i="10"/>
  <c r="D419" i="10"/>
  <c r="E419" i="10"/>
  <c r="B420" i="10"/>
  <c r="C420" i="10"/>
  <c r="D420" i="10"/>
  <c r="E420" i="10"/>
  <c r="B421" i="10"/>
  <c r="C421" i="10"/>
  <c r="D421" i="10"/>
  <c r="E421" i="10"/>
  <c r="B422" i="10"/>
  <c r="C422" i="10"/>
  <c r="D422" i="10"/>
  <c r="E422" i="10"/>
  <c r="B423" i="10"/>
  <c r="C423" i="10"/>
  <c r="D423" i="10"/>
  <c r="E423" i="10"/>
  <c r="B424" i="10"/>
  <c r="C424" i="10"/>
  <c r="D424" i="10"/>
  <c r="E424" i="10"/>
  <c r="B425" i="10"/>
  <c r="C425" i="10"/>
  <c r="D425" i="10"/>
  <c r="E425" i="10"/>
  <c r="B426" i="10"/>
  <c r="C426" i="10"/>
  <c r="D426" i="10"/>
  <c r="E426" i="10"/>
  <c r="B427" i="10"/>
  <c r="C427" i="10"/>
  <c r="D427" i="10"/>
  <c r="E427" i="10"/>
  <c r="B428" i="10"/>
  <c r="C428" i="10"/>
  <c r="D428" i="10"/>
  <c r="E428" i="10"/>
  <c r="B429" i="10"/>
  <c r="C429" i="10"/>
  <c r="D429" i="10"/>
  <c r="E429" i="10"/>
  <c r="B430" i="10"/>
  <c r="C430" i="10"/>
  <c r="D430" i="10"/>
  <c r="E430" i="10"/>
  <c r="B431" i="10"/>
  <c r="C431" i="10"/>
  <c r="D431" i="10"/>
  <c r="E431" i="10"/>
  <c r="B432" i="10"/>
  <c r="C432" i="10"/>
  <c r="D432" i="10"/>
  <c r="E432" i="10"/>
  <c r="B433" i="10"/>
  <c r="C433" i="10"/>
  <c r="D433" i="10"/>
  <c r="E433" i="10"/>
  <c r="B434" i="10"/>
  <c r="C434" i="10"/>
  <c r="D434" i="10"/>
  <c r="E434" i="10"/>
  <c r="B435" i="10"/>
  <c r="C435" i="10"/>
  <c r="D435" i="10"/>
  <c r="E435" i="10"/>
  <c r="B436" i="10"/>
  <c r="C436" i="10"/>
  <c r="D436" i="10"/>
  <c r="E436" i="10"/>
  <c r="B437" i="10"/>
  <c r="C437" i="10"/>
  <c r="D437" i="10"/>
  <c r="E437" i="10"/>
  <c r="B438" i="10"/>
  <c r="C438" i="10"/>
  <c r="D438" i="10"/>
  <c r="E438" i="10"/>
  <c r="B439" i="10"/>
  <c r="C439" i="10"/>
  <c r="D439" i="10"/>
  <c r="E439" i="10"/>
  <c r="B440" i="10"/>
  <c r="C440" i="10"/>
  <c r="D440" i="10"/>
  <c r="E440" i="10"/>
  <c r="B441" i="10"/>
  <c r="C441" i="10"/>
  <c r="D441" i="10"/>
  <c r="E441" i="10"/>
  <c r="B442" i="10"/>
  <c r="C442" i="10"/>
  <c r="D442" i="10"/>
  <c r="E442" i="10"/>
  <c r="B443" i="10"/>
  <c r="C443" i="10"/>
  <c r="D443" i="10"/>
  <c r="E443" i="10"/>
  <c r="B444" i="10"/>
  <c r="C444" i="10"/>
  <c r="D444" i="10"/>
  <c r="E444" i="10"/>
  <c r="B445" i="10"/>
  <c r="C445" i="10"/>
  <c r="D445" i="10"/>
  <c r="E445" i="10"/>
  <c r="B446" i="10"/>
  <c r="C446" i="10"/>
  <c r="D446" i="10"/>
  <c r="E446" i="10"/>
  <c r="B447" i="10"/>
  <c r="C447" i="10"/>
  <c r="D447" i="10"/>
  <c r="E447" i="10"/>
  <c r="B448" i="10"/>
  <c r="C448" i="10"/>
  <c r="D448" i="10"/>
  <c r="E448" i="10"/>
  <c r="B449" i="10"/>
  <c r="C449" i="10"/>
  <c r="D449" i="10"/>
  <c r="E449" i="10"/>
  <c r="B450" i="10"/>
  <c r="C450" i="10"/>
  <c r="D450" i="10"/>
  <c r="E450" i="10"/>
  <c r="B451" i="10"/>
  <c r="C451" i="10"/>
  <c r="D451" i="10"/>
  <c r="E451" i="10"/>
  <c r="B452" i="10"/>
  <c r="C452" i="10"/>
  <c r="D452" i="10"/>
  <c r="E452" i="10"/>
  <c r="B453" i="10"/>
  <c r="C453" i="10"/>
  <c r="D453" i="10"/>
  <c r="E453" i="10"/>
  <c r="B454" i="10"/>
  <c r="C454" i="10"/>
  <c r="D454" i="10"/>
  <c r="E454" i="10"/>
  <c r="B455" i="10"/>
  <c r="C455" i="10"/>
  <c r="D455" i="10"/>
  <c r="E455" i="10"/>
  <c r="B456" i="10"/>
  <c r="C456" i="10"/>
  <c r="D456" i="10"/>
  <c r="E456" i="10"/>
  <c r="B457" i="10"/>
  <c r="C457" i="10"/>
  <c r="D457" i="10"/>
  <c r="E457" i="10"/>
  <c r="B458" i="10"/>
  <c r="C458" i="10"/>
  <c r="D458" i="10"/>
  <c r="E458" i="10"/>
  <c r="B459" i="10"/>
  <c r="C459" i="10"/>
  <c r="D459" i="10"/>
  <c r="E459" i="10"/>
  <c r="B460" i="10"/>
  <c r="C460" i="10"/>
  <c r="D460" i="10"/>
  <c r="E460" i="10"/>
  <c r="B461" i="10"/>
  <c r="C461" i="10"/>
  <c r="D461" i="10"/>
  <c r="E461" i="10"/>
  <c r="B462" i="10"/>
  <c r="C462" i="10"/>
  <c r="D462" i="10"/>
  <c r="E462" i="10"/>
  <c r="B463" i="10"/>
  <c r="C463" i="10"/>
  <c r="D463" i="10"/>
  <c r="E463" i="10"/>
  <c r="B464" i="10"/>
  <c r="C464" i="10"/>
  <c r="D464" i="10"/>
  <c r="E464" i="10"/>
  <c r="B465" i="10"/>
  <c r="C465" i="10"/>
  <c r="D465" i="10"/>
  <c r="E465" i="10"/>
  <c r="B466" i="10"/>
  <c r="C466" i="10"/>
  <c r="D466" i="10"/>
  <c r="E466" i="10"/>
  <c r="B467" i="10"/>
  <c r="C467" i="10"/>
  <c r="D467" i="10"/>
  <c r="E467" i="10"/>
  <c r="B468" i="10"/>
  <c r="C468" i="10"/>
  <c r="D468" i="10"/>
  <c r="E468" i="10"/>
  <c r="B469" i="10"/>
  <c r="C469" i="10"/>
  <c r="D469" i="10"/>
  <c r="E469" i="10"/>
  <c r="B470" i="10"/>
  <c r="C470" i="10"/>
  <c r="D470" i="10"/>
  <c r="E470" i="10"/>
  <c r="B471" i="10"/>
  <c r="C471" i="10"/>
  <c r="D471" i="10"/>
  <c r="E471" i="10"/>
  <c r="B472" i="10"/>
  <c r="C472" i="10"/>
  <c r="D472" i="10"/>
  <c r="E472" i="10"/>
  <c r="B473" i="10"/>
  <c r="C473" i="10"/>
  <c r="D473" i="10"/>
  <c r="E473" i="10"/>
  <c r="B474" i="10"/>
  <c r="C474" i="10"/>
  <c r="D474" i="10"/>
  <c r="E474" i="10"/>
  <c r="B475" i="10"/>
  <c r="C475" i="10"/>
  <c r="D475" i="10"/>
  <c r="E475" i="10"/>
  <c r="B476" i="10"/>
  <c r="C476" i="10"/>
  <c r="D476" i="10"/>
  <c r="E476" i="10"/>
  <c r="B477" i="10"/>
  <c r="C477" i="10"/>
  <c r="D477" i="10"/>
  <c r="E477" i="10"/>
  <c r="B478" i="10"/>
  <c r="C478" i="10"/>
  <c r="D478" i="10"/>
  <c r="E478" i="10"/>
  <c r="B479" i="10"/>
  <c r="C479" i="10"/>
  <c r="D479" i="10"/>
  <c r="E479" i="10"/>
  <c r="B480" i="10"/>
  <c r="C480" i="10"/>
  <c r="D480" i="10"/>
  <c r="E480" i="10"/>
  <c r="B481" i="10"/>
  <c r="C481" i="10"/>
  <c r="D481" i="10"/>
  <c r="E481" i="10"/>
  <c r="B482" i="10"/>
  <c r="C482" i="10"/>
  <c r="D482" i="10"/>
  <c r="E482" i="10"/>
  <c r="B483" i="10"/>
  <c r="C483" i="10"/>
  <c r="D483" i="10"/>
  <c r="E483" i="10"/>
  <c r="B484" i="10"/>
  <c r="C484" i="10"/>
  <c r="D484" i="10"/>
  <c r="E484" i="10"/>
  <c r="B485" i="10"/>
  <c r="C485" i="10"/>
  <c r="D485" i="10"/>
  <c r="E485" i="10"/>
  <c r="B486" i="10"/>
  <c r="C486" i="10"/>
  <c r="D486" i="10"/>
  <c r="E486" i="10"/>
  <c r="B487" i="10"/>
  <c r="C487" i="10"/>
  <c r="D487" i="10"/>
  <c r="E487" i="10"/>
  <c r="B488" i="10"/>
  <c r="C488" i="10"/>
  <c r="D488" i="10"/>
  <c r="E488" i="10"/>
  <c r="B489" i="10"/>
  <c r="C489" i="10"/>
  <c r="D489" i="10"/>
  <c r="E489" i="10"/>
  <c r="B490" i="10"/>
  <c r="C490" i="10"/>
  <c r="D490" i="10"/>
  <c r="E490" i="10"/>
  <c r="B491" i="10"/>
  <c r="C491" i="10"/>
  <c r="D491" i="10"/>
  <c r="E491" i="10"/>
  <c r="B492" i="10"/>
  <c r="C492" i="10"/>
  <c r="D492" i="10"/>
  <c r="E492" i="10"/>
  <c r="B493" i="10"/>
  <c r="C493" i="10"/>
  <c r="D493" i="10"/>
  <c r="E493" i="10"/>
  <c r="B494" i="10"/>
  <c r="C494" i="10"/>
  <c r="D494" i="10"/>
  <c r="E494" i="10"/>
  <c r="B495" i="10"/>
  <c r="C495" i="10"/>
  <c r="D495" i="10"/>
  <c r="E495" i="10"/>
  <c r="B496" i="10"/>
  <c r="C496" i="10"/>
  <c r="D496" i="10"/>
  <c r="E496" i="10"/>
  <c r="B497" i="10"/>
  <c r="C497" i="10"/>
  <c r="D497" i="10"/>
  <c r="E497" i="10"/>
  <c r="B498" i="10"/>
  <c r="C498" i="10"/>
  <c r="D498" i="10"/>
  <c r="E498" i="10"/>
  <c r="B499" i="10"/>
  <c r="C499" i="10"/>
  <c r="D499" i="10"/>
  <c r="E499" i="10"/>
  <c r="B500" i="10"/>
  <c r="C500" i="10"/>
  <c r="D500" i="10"/>
  <c r="E500" i="10"/>
  <c r="B501" i="10"/>
  <c r="C501" i="10"/>
  <c r="D501" i="10"/>
  <c r="E501" i="10"/>
  <c r="B502" i="10"/>
  <c r="C502" i="10"/>
  <c r="D502" i="10"/>
  <c r="E502" i="10"/>
  <c r="B503" i="10"/>
  <c r="C503" i="10"/>
  <c r="D503" i="10"/>
  <c r="E503" i="10"/>
  <c r="B504" i="10"/>
  <c r="C504" i="10"/>
  <c r="D504" i="10"/>
  <c r="E504" i="10"/>
  <c r="B505" i="10"/>
  <c r="C505" i="10"/>
  <c r="D505" i="10"/>
  <c r="E505" i="10"/>
  <c r="B506" i="10"/>
  <c r="C506" i="10"/>
  <c r="D506" i="10"/>
  <c r="E506" i="10"/>
  <c r="B507" i="10"/>
  <c r="C507" i="10"/>
  <c r="D507" i="10"/>
  <c r="E507" i="10"/>
  <c r="B508" i="10"/>
  <c r="C508" i="10"/>
  <c r="D508" i="10"/>
  <c r="E508" i="10"/>
  <c r="B509" i="10"/>
  <c r="C509" i="10"/>
  <c r="D509" i="10"/>
  <c r="E509" i="10"/>
  <c r="B510" i="10"/>
  <c r="C510" i="10"/>
  <c r="D510" i="10"/>
  <c r="E510" i="10"/>
  <c r="B511" i="10"/>
  <c r="C511" i="10"/>
  <c r="D511" i="10"/>
  <c r="E511" i="10"/>
  <c r="B512" i="10"/>
  <c r="C512" i="10"/>
  <c r="D512" i="10"/>
  <c r="E512" i="10"/>
  <c r="B513" i="10"/>
  <c r="C513" i="10"/>
  <c r="D513" i="10"/>
  <c r="E513" i="10"/>
  <c r="B514" i="10"/>
  <c r="C514" i="10"/>
  <c r="D514" i="10"/>
  <c r="E514" i="10"/>
  <c r="B515" i="10"/>
  <c r="C515" i="10"/>
  <c r="D515" i="10"/>
  <c r="E515" i="10"/>
  <c r="B516" i="10"/>
  <c r="C516" i="10"/>
  <c r="D516" i="10"/>
  <c r="E516" i="10"/>
  <c r="B517" i="10"/>
  <c r="C517" i="10"/>
  <c r="D517" i="10"/>
  <c r="E517" i="10"/>
  <c r="B518" i="10"/>
  <c r="C518" i="10"/>
  <c r="D518" i="10"/>
  <c r="E518" i="10"/>
  <c r="B519" i="10"/>
  <c r="C519" i="10"/>
  <c r="D519" i="10"/>
  <c r="E519" i="10"/>
  <c r="B520" i="10"/>
  <c r="C520" i="10"/>
  <c r="D520" i="10"/>
  <c r="E520" i="10"/>
  <c r="B521" i="10"/>
  <c r="C521" i="10"/>
  <c r="D521" i="10"/>
  <c r="E521" i="10"/>
  <c r="B522" i="10"/>
  <c r="C522" i="10"/>
  <c r="D522" i="10"/>
  <c r="E522" i="10"/>
  <c r="B523" i="10"/>
  <c r="C523" i="10"/>
  <c r="D523" i="10"/>
  <c r="E523" i="10"/>
  <c r="B524" i="10"/>
  <c r="C524" i="10"/>
  <c r="D524" i="10"/>
  <c r="E524" i="10"/>
  <c r="B525" i="10"/>
  <c r="C525" i="10"/>
  <c r="D525" i="10"/>
  <c r="E525" i="10"/>
  <c r="B526" i="10"/>
  <c r="C526" i="10"/>
  <c r="D526" i="10"/>
  <c r="E526" i="10"/>
  <c r="B527" i="10"/>
  <c r="C527" i="10"/>
  <c r="D527" i="10"/>
  <c r="E527" i="10"/>
  <c r="B528" i="10"/>
  <c r="C528" i="10"/>
  <c r="D528" i="10"/>
  <c r="E528" i="10"/>
  <c r="B529" i="10"/>
  <c r="C529" i="10"/>
  <c r="D529" i="10"/>
  <c r="E529" i="10"/>
  <c r="B530" i="10"/>
  <c r="C530" i="10"/>
  <c r="D530" i="10"/>
  <c r="E530" i="10"/>
  <c r="B531" i="10"/>
  <c r="C531" i="10"/>
  <c r="D531" i="10"/>
  <c r="E531" i="10"/>
  <c r="B532" i="10"/>
  <c r="C532" i="10"/>
  <c r="D532" i="10"/>
  <c r="E532" i="10"/>
  <c r="B533" i="10"/>
  <c r="C533" i="10"/>
  <c r="D533" i="10"/>
  <c r="E533" i="10"/>
  <c r="B534" i="10"/>
  <c r="C534" i="10"/>
  <c r="D534" i="10"/>
  <c r="E534" i="10"/>
  <c r="B535" i="10"/>
  <c r="C535" i="10"/>
  <c r="D535" i="10"/>
  <c r="E535" i="10"/>
  <c r="B536" i="10"/>
  <c r="C536" i="10"/>
  <c r="D536" i="10"/>
  <c r="E536" i="10"/>
  <c r="B537" i="10"/>
  <c r="C537" i="10"/>
  <c r="D537" i="10"/>
  <c r="E537" i="10"/>
  <c r="B538" i="10"/>
  <c r="C538" i="10"/>
  <c r="D538" i="10"/>
  <c r="E538" i="10"/>
  <c r="B539" i="10"/>
  <c r="C539" i="10"/>
  <c r="D539" i="10"/>
  <c r="E539" i="10"/>
  <c r="B540" i="10"/>
  <c r="C540" i="10"/>
  <c r="D540" i="10"/>
  <c r="E540" i="10"/>
  <c r="B541" i="10"/>
  <c r="C541" i="10"/>
  <c r="D541" i="10"/>
  <c r="E541" i="10"/>
  <c r="B542" i="10"/>
  <c r="C542" i="10"/>
  <c r="D542" i="10"/>
  <c r="E542" i="10"/>
  <c r="B543" i="10"/>
  <c r="C543" i="10"/>
  <c r="D543" i="10"/>
  <c r="E543" i="10"/>
  <c r="B544" i="10"/>
  <c r="C544" i="10"/>
  <c r="D544" i="10"/>
  <c r="E544" i="10"/>
  <c r="B545" i="10"/>
  <c r="C545" i="10"/>
  <c r="D545" i="10"/>
  <c r="E545" i="10"/>
  <c r="B546" i="10"/>
  <c r="C546" i="10"/>
  <c r="D546" i="10"/>
  <c r="E546" i="10"/>
  <c r="B547" i="10"/>
  <c r="C547" i="10"/>
  <c r="D547" i="10"/>
  <c r="E547" i="10"/>
  <c r="B548" i="10"/>
  <c r="C548" i="10"/>
  <c r="D548" i="10"/>
  <c r="E548" i="10"/>
  <c r="B549" i="10"/>
  <c r="C549" i="10"/>
  <c r="D549" i="10"/>
  <c r="E549" i="10"/>
  <c r="B550" i="10"/>
  <c r="C550" i="10"/>
  <c r="D550" i="10"/>
  <c r="E550" i="10"/>
  <c r="B551" i="10"/>
  <c r="C551" i="10"/>
  <c r="D551" i="10"/>
  <c r="E551" i="10"/>
  <c r="B552" i="10"/>
  <c r="C552" i="10"/>
  <c r="D552" i="10"/>
  <c r="E552" i="10"/>
  <c r="B553" i="10"/>
  <c r="C553" i="10"/>
  <c r="D553" i="10"/>
  <c r="E553" i="10"/>
  <c r="B554" i="10"/>
  <c r="C554" i="10"/>
  <c r="D554" i="10"/>
  <c r="E554" i="10"/>
  <c r="B555" i="10"/>
  <c r="C555" i="10"/>
  <c r="D555" i="10"/>
  <c r="E555" i="10"/>
  <c r="B556" i="10"/>
  <c r="C556" i="10"/>
  <c r="D556" i="10"/>
  <c r="E556" i="10"/>
  <c r="B557" i="10"/>
  <c r="C557" i="10"/>
  <c r="D557" i="10"/>
  <c r="E557" i="10"/>
  <c r="B558" i="10"/>
  <c r="C558" i="10"/>
  <c r="D558" i="10"/>
  <c r="E558" i="10"/>
  <c r="B559" i="10"/>
  <c r="C559" i="10"/>
  <c r="D559" i="10"/>
  <c r="E559" i="10"/>
  <c r="B560" i="10"/>
  <c r="C560" i="10"/>
  <c r="D560" i="10"/>
  <c r="E560" i="10"/>
  <c r="B561" i="10"/>
  <c r="C561" i="10"/>
  <c r="D561" i="10"/>
  <c r="E561" i="10"/>
  <c r="B562" i="10"/>
  <c r="C562" i="10"/>
  <c r="D562" i="10"/>
  <c r="E562" i="10"/>
  <c r="B563" i="10"/>
  <c r="C563" i="10"/>
  <c r="D563" i="10"/>
  <c r="E563" i="10"/>
  <c r="B564" i="10"/>
  <c r="C564" i="10"/>
  <c r="D564" i="10"/>
  <c r="E564" i="10"/>
  <c r="B565" i="10"/>
  <c r="C565" i="10"/>
  <c r="D565" i="10"/>
  <c r="E565" i="10"/>
  <c r="B566" i="10"/>
  <c r="C566" i="10"/>
  <c r="D566" i="10"/>
  <c r="E566" i="10"/>
  <c r="B567" i="10"/>
  <c r="C567" i="10"/>
  <c r="D567" i="10"/>
  <c r="E567" i="10"/>
  <c r="B568" i="10"/>
  <c r="C568" i="10"/>
  <c r="D568" i="10"/>
  <c r="E568" i="10"/>
  <c r="B569" i="10"/>
  <c r="C569" i="10"/>
  <c r="D569" i="10"/>
  <c r="E569" i="10"/>
  <c r="B570" i="10"/>
  <c r="C570" i="10"/>
  <c r="D570" i="10"/>
  <c r="E570" i="10"/>
  <c r="B571" i="10"/>
  <c r="C571" i="10"/>
  <c r="D571" i="10"/>
  <c r="E571" i="10"/>
  <c r="B572" i="10"/>
  <c r="C572" i="10"/>
  <c r="D572" i="10"/>
  <c r="E572" i="10"/>
  <c r="B573" i="10"/>
  <c r="C573" i="10"/>
  <c r="D573" i="10"/>
  <c r="E573" i="10"/>
  <c r="B574" i="10"/>
  <c r="C574" i="10"/>
  <c r="D574" i="10"/>
  <c r="E574" i="10"/>
  <c r="B575" i="10"/>
  <c r="C575" i="10"/>
  <c r="D575" i="10"/>
  <c r="E575" i="10"/>
  <c r="B576" i="10"/>
  <c r="C576" i="10"/>
  <c r="D576" i="10"/>
  <c r="E576" i="10"/>
  <c r="B577" i="10"/>
  <c r="C577" i="10"/>
  <c r="D577" i="10"/>
  <c r="E577" i="10"/>
  <c r="B578" i="10"/>
  <c r="C578" i="10"/>
  <c r="D578" i="10"/>
  <c r="E578" i="10"/>
  <c r="B579" i="10"/>
  <c r="C579" i="10"/>
  <c r="D579" i="10"/>
  <c r="E579" i="10"/>
  <c r="B580" i="10"/>
  <c r="C580" i="10"/>
  <c r="D580" i="10"/>
  <c r="E580" i="10"/>
  <c r="B581" i="10"/>
  <c r="C581" i="10"/>
  <c r="D581" i="10"/>
  <c r="E581" i="10"/>
  <c r="B582" i="10"/>
  <c r="C582" i="10"/>
  <c r="D582" i="10"/>
  <c r="E582" i="10"/>
  <c r="B583" i="10"/>
  <c r="C583" i="10"/>
  <c r="D583" i="10"/>
  <c r="E583" i="10"/>
  <c r="B584" i="10"/>
  <c r="C584" i="10"/>
  <c r="D584" i="10"/>
  <c r="E584" i="10"/>
  <c r="B585" i="10"/>
  <c r="C585" i="10"/>
  <c r="D585" i="10"/>
  <c r="E585" i="10"/>
  <c r="B586" i="10"/>
  <c r="C586" i="10"/>
  <c r="D586" i="10"/>
  <c r="E586" i="10"/>
  <c r="B587" i="10"/>
  <c r="C587" i="10"/>
  <c r="D587" i="10"/>
  <c r="E587" i="10"/>
  <c r="B588" i="10"/>
  <c r="C588" i="10"/>
  <c r="D588" i="10"/>
  <c r="E588" i="10"/>
  <c r="B589" i="10"/>
  <c r="C589" i="10"/>
  <c r="D589" i="10"/>
  <c r="E589" i="10"/>
  <c r="B590" i="10"/>
  <c r="C590" i="10"/>
  <c r="D590" i="10"/>
  <c r="E590" i="10"/>
  <c r="B591" i="10"/>
  <c r="C591" i="10"/>
  <c r="D591" i="10"/>
  <c r="E591" i="10"/>
  <c r="B592" i="10"/>
  <c r="C592" i="10"/>
  <c r="D592" i="10"/>
  <c r="E592" i="10"/>
  <c r="B593" i="10"/>
  <c r="C593" i="10"/>
  <c r="D593" i="10"/>
  <c r="E593" i="10"/>
  <c r="B594" i="10"/>
  <c r="C594" i="10"/>
  <c r="D594" i="10"/>
  <c r="E594" i="10"/>
  <c r="B595" i="10"/>
  <c r="C595" i="10"/>
  <c r="D595" i="10"/>
  <c r="E595" i="10"/>
  <c r="B596" i="10"/>
  <c r="C596" i="10"/>
  <c r="D596" i="10"/>
  <c r="E596" i="10"/>
  <c r="B597" i="10"/>
  <c r="C597" i="10"/>
  <c r="D597" i="10"/>
  <c r="E597" i="10"/>
  <c r="B598" i="10"/>
  <c r="C598" i="10"/>
  <c r="D598" i="10"/>
  <c r="E598" i="10"/>
  <c r="B599" i="10"/>
  <c r="C599" i="10"/>
  <c r="D599" i="10"/>
  <c r="E599" i="10"/>
  <c r="B600" i="10"/>
  <c r="C600" i="10"/>
  <c r="D600" i="10"/>
  <c r="E600" i="10"/>
  <c r="B601" i="10"/>
  <c r="C601" i="10"/>
  <c r="D601" i="10"/>
  <c r="E601" i="10"/>
  <c r="B602" i="10"/>
  <c r="C602" i="10"/>
  <c r="D602" i="10"/>
  <c r="E602" i="10"/>
  <c r="B603" i="10"/>
  <c r="C603" i="10"/>
  <c r="D603" i="10"/>
  <c r="E603" i="10"/>
  <c r="B604" i="10"/>
  <c r="C604" i="10"/>
  <c r="D604" i="10"/>
  <c r="E604" i="10"/>
  <c r="B605" i="10"/>
  <c r="C605" i="10"/>
  <c r="D605" i="10"/>
  <c r="E605" i="10"/>
  <c r="B606" i="10"/>
  <c r="C606" i="10"/>
  <c r="D606" i="10"/>
  <c r="E606" i="10"/>
  <c r="B607" i="10"/>
  <c r="C607" i="10"/>
  <c r="D607" i="10"/>
  <c r="E607" i="10"/>
  <c r="B608" i="10"/>
  <c r="C608" i="10"/>
  <c r="D608" i="10"/>
  <c r="E608" i="10"/>
  <c r="B609" i="10"/>
  <c r="C609" i="10"/>
  <c r="D609" i="10"/>
  <c r="E609" i="10"/>
  <c r="B610" i="10"/>
  <c r="C610" i="10"/>
  <c r="D610" i="10"/>
  <c r="E610" i="10"/>
  <c r="B611" i="10"/>
  <c r="C611" i="10"/>
  <c r="D611" i="10"/>
  <c r="E611" i="10"/>
  <c r="B612" i="10"/>
  <c r="C612" i="10"/>
  <c r="D612" i="10"/>
  <c r="E612" i="10"/>
  <c r="B613" i="10"/>
  <c r="C613" i="10"/>
  <c r="D613" i="10"/>
  <c r="E613" i="10"/>
  <c r="B614" i="10"/>
  <c r="C614" i="10"/>
  <c r="D614" i="10"/>
  <c r="E614" i="10"/>
  <c r="B615" i="10"/>
  <c r="C615" i="10"/>
  <c r="D615" i="10"/>
  <c r="E615" i="10"/>
  <c r="B616" i="10"/>
  <c r="C616" i="10"/>
  <c r="D616" i="10"/>
  <c r="E616" i="10"/>
  <c r="B617" i="10"/>
  <c r="C617" i="10"/>
  <c r="D617" i="10"/>
  <c r="E617" i="10"/>
  <c r="B618" i="10"/>
  <c r="C618" i="10"/>
  <c r="D618" i="10"/>
  <c r="E618" i="10"/>
  <c r="B619" i="10"/>
  <c r="C619" i="10"/>
  <c r="D619" i="10"/>
  <c r="E619" i="10"/>
  <c r="B620" i="10"/>
  <c r="C620" i="10"/>
  <c r="D620" i="10"/>
  <c r="E620" i="10"/>
  <c r="B621" i="10"/>
  <c r="C621" i="10"/>
  <c r="D621" i="10"/>
  <c r="E621" i="10"/>
  <c r="B622" i="10"/>
  <c r="C622" i="10"/>
  <c r="D622" i="10"/>
  <c r="E622" i="10"/>
  <c r="B623" i="10"/>
  <c r="C623" i="10"/>
  <c r="D623" i="10"/>
  <c r="E623" i="10"/>
  <c r="B624" i="10"/>
  <c r="C624" i="10"/>
  <c r="D624" i="10"/>
  <c r="E624" i="10"/>
  <c r="B625" i="10"/>
  <c r="C625" i="10"/>
  <c r="D625" i="10"/>
  <c r="E625" i="10"/>
  <c r="B626" i="10"/>
  <c r="C626" i="10"/>
  <c r="D626" i="10"/>
  <c r="E626" i="10"/>
  <c r="B627" i="10"/>
  <c r="C627" i="10"/>
  <c r="D627" i="10"/>
  <c r="E627" i="10"/>
  <c r="B628" i="10"/>
  <c r="C628" i="10"/>
  <c r="D628" i="10"/>
  <c r="E628" i="10"/>
  <c r="B629" i="10"/>
  <c r="C629" i="10"/>
  <c r="D629" i="10"/>
  <c r="E629" i="10"/>
  <c r="B630" i="10"/>
  <c r="C630" i="10"/>
  <c r="D630" i="10"/>
  <c r="E630" i="10"/>
  <c r="B631" i="10"/>
  <c r="C631" i="10"/>
  <c r="D631" i="10"/>
  <c r="E631" i="10"/>
  <c r="B632" i="10"/>
  <c r="C632" i="10"/>
  <c r="D632" i="10"/>
  <c r="E632" i="10"/>
  <c r="B633" i="10"/>
  <c r="C633" i="10"/>
  <c r="D633" i="10"/>
  <c r="E633" i="10"/>
  <c r="B634" i="10"/>
  <c r="C634" i="10"/>
  <c r="D634" i="10"/>
  <c r="E634" i="10"/>
  <c r="B635" i="10"/>
  <c r="C635" i="10"/>
  <c r="D635" i="10"/>
  <c r="E635" i="10"/>
  <c r="B636" i="10"/>
  <c r="C636" i="10"/>
  <c r="D636" i="10"/>
  <c r="E636" i="10"/>
  <c r="B637" i="10"/>
  <c r="C637" i="10"/>
  <c r="D637" i="10"/>
  <c r="E637" i="10"/>
  <c r="B638" i="10"/>
  <c r="C638" i="10"/>
  <c r="D638" i="10"/>
  <c r="E638" i="10"/>
  <c r="B639" i="10"/>
  <c r="C639" i="10"/>
  <c r="D639" i="10"/>
  <c r="E639" i="10"/>
  <c r="B640" i="10"/>
  <c r="C640" i="10"/>
  <c r="D640" i="10"/>
  <c r="E640" i="10"/>
  <c r="B641" i="10"/>
  <c r="C641" i="10"/>
  <c r="D641" i="10"/>
  <c r="E641" i="10"/>
  <c r="B642" i="10"/>
  <c r="C642" i="10"/>
  <c r="D642" i="10"/>
  <c r="E642" i="10"/>
  <c r="B643" i="10"/>
  <c r="C643" i="10"/>
  <c r="D643" i="10"/>
  <c r="E643" i="10"/>
  <c r="B644" i="10"/>
  <c r="C644" i="10"/>
  <c r="D644" i="10"/>
  <c r="E644" i="10"/>
  <c r="B645" i="10"/>
  <c r="C645" i="10"/>
  <c r="D645" i="10"/>
  <c r="E645" i="10"/>
  <c r="B646" i="10"/>
  <c r="C646" i="10"/>
  <c r="D646" i="10"/>
  <c r="E646" i="10"/>
  <c r="B647" i="10"/>
  <c r="C647" i="10"/>
  <c r="D647" i="10"/>
  <c r="E647" i="10"/>
  <c r="B648" i="10"/>
  <c r="C648" i="10"/>
  <c r="D648" i="10"/>
  <c r="E648" i="10"/>
  <c r="B649" i="10"/>
  <c r="C649" i="10"/>
  <c r="D649" i="10"/>
  <c r="E649" i="10"/>
  <c r="B650" i="10"/>
  <c r="C650" i="10"/>
  <c r="D650" i="10"/>
  <c r="E650" i="10"/>
  <c r="B651" i="10"/>
  <c r="C651" i="10"/>
  <c r="D651" i="10"/>
  <c r="E651" i="10"/>
  <c r="B652" i="10"/>
  <c r="C652" i="10"/>
  <c r="D652" i="10"/>
  <c r="E652" i="10"/>
  <c r="B653" i="10"/>
  <c r="C653" i="10"/>
  <c r="D653" i="10"/>
  <c r="E653" i="10"/>
  <c r="B654" i="10"/>
  <c r="C654" i="10"/>
  <c r="D654" i="10"/>
  <c r="E654" i="10"/>
  <c r="B655" i="10"/>
  <c r="C655" i="10"/>
  <c r="D655" i="10"/>
  <c r="E655" i="10"/>
  <c r="B656" i="10"/>
  <c r="C656" i="10"/>
  <c r="D656" i="10"/>
  <c r="E656" i="10"/>
  <c r="B657" i="10"/>
  <c r="C657" i="10"/>
  <c r="D657" i="10"/>
  <c r="E657" i="10"/>
  <c r="B658" i="10"/>
  <c r="C658" i="10"/>
  <c r="D658" i="10"/>
  <c r="E658" i="10"/>
  <c r="B659" i="10"/>
  <c r="C659" i="10"/>
  <c r="D659" i="10"/>
  <c r="E659" i="10"/>
  <c r="B660" i="10"/>
  <c r="C660" i="10"/>
  <c r="D660" i="10"/>
  <c r="E660" i="10"/>
  <c r="B661" i="10"/>
  <c r="C661" i="10"/>
  <c r="D661" i="10"/>
  <c r="E661" i="10"/>
  <c r="B662" i="10"/>
  <c r="C662" i="10"/>
  <c r="D662" i="10"/>
  <c r="E662" i="10"/>
  <c r="B663" i="10"/>
  <c r="C663" i="10"/>
  <c r="D663" i="10"/>
  <c r="E663" i="10"/>
  <c r="B664" i="10"/>
  <c r="C664" i="10"/>
  <c r="D664" i="10"/>
  <c r="E664" i="10"/>
  <c r="B665" i="10"/>
  <c r="C665" i="10"/>
  <c r="D665" i="10"/>
  <c r="E665" i="10"/>
  <c r="B666" i="10"/>
  <c r="C666" i="10"/>
  <c r="D666" i="10"/>
  <c r="E666" i="10"/>
  <c r="B667" i="10"/>
  <c r="C667" i="10"/>
  <c r="D667" i="10"/>
  <c r="E667" i="10"/>
  <c r="B668" i="10"/>
  <c r="C668" i="10"/>
  <c r="D668" i="10"/>
  <c r="E668" i="10"/>
  <c r="B669" i="10"/>
  <c r="C669" i="10"/>
  <c r="D669" i="10"/>
  <c r="E669" i="10"/>
  <c r="B670" i="10"/>
  <c r="C670" i="10"/>
  <c r="D670" i="10"/>
  <c r="E670" i="10"/>
  <c r="B671" i="10"/>
  <c r="C671" i="10"/>
  <c r="D671" i="10"/>
  <c r="E671" i="10"/>
  <c r="B672" i="10"/>
  <c r="C672" i="10"/>
  <c r="D672" i="10"/>
  <c r="E672" i="10"/>
  <c r="B673" i="10"/>
  <c r="C673" i="10"/>
  <c r="D673" i="10"/>
  <c r="E673" i="10"/>
  <c r="B674" i="10"/>
  <c r="C674" i="10"/>
  <c r="D674" i="10"/>
  <c r="E674" i="10"/>
  <c r="B675" i="10"/>
  <c r="C675" i="10"/>
  <c r="D675" i="10"/>
  <c r="E675" i="10"/>
  <c r="B676" i="10"/>
  <c r="C676" i="10"/>
  <c r="D676" i="10"/>
  <c r="E676" i="10"/>
  <c r="B677" i="10"/>
  <c r="C677" i="10"/>
  <c r="D677" i="10"/>
  <c r="E677" i="10"/>
  <c r="B678" i="10"/>
  <c r="C678" i="10"/>
  <c r="D678" i="10"/>
  <c r="E678" i="10"/>
  <c r="B679" i="10"/>
  <c r="C679" i="10"/>
  <c r="D679" i="10"/>
  <c r="E679" i="10"/>
  <c r="B680" i="10"/>
  <c r="C680" i="10"/>
  <c r="D680" i="10"/>
  <c r="E680" i="10"/>
  <c r="B681" i="10"/>
  <c r="C681" i="10"/>
  <c r="D681" i="10"/>
  <c r="E681" i="10"/>
  <c r="B682" i="10"/>
  <c r="C682" i="10"/>
  <c r="D682" i="10"/>
  <c r="E682" i="10"/>
  <c r="B683" i="10"/>
  <c r="C683" i="10"/>
  <c r="D683" i="10"/>
  <c r="E683" i="10"/>
  <c r="B684" i="10"/>
  <c r="C684" i="10"/>
  <c r="D684" i="10"/>
  <c r="E684" i="10"/>
  <c r="B685" i="10"/>
  <c r="C685" i="10"/>
  <c r="D685" i="10"/>
  <c r="E685" i="10"/>
  <c r="B686" i="10"/>
  <c r="C686" i="10"/>
  <c r="D686" i="10"/>
  <c r="E686" i="10"/>
  <c r="B687" i="10"/>
  <c r="C687" i="10"/>
  <c r="D687" i="10"/>
  <c r="E687" i="10"/>
  <c r="B688" i="10"/>
  <c r="C688" i="10"/>
  <c r="D688" i="10"/>
  <c r="E688" i="10"/>
  <c r="B689" i="10"/>
  <c r="C689" i="10"/>
  <c r="D689" i="10"/>
  <c r="E689" i="10"/>
  <c r="B690" i="10"/>
  <c r="C690" i="10"/>
  <c r="D690" i="10"/>
  <c r="E690" i="10"/>
  <c r="B691" i="10"/>
  <c r="C691" i="10"/>
  <c r="D691" i="10"/>
  <c r="E691" i="10"/>
  <c r="B692" i="10"/>
  <c r="C692" i="10"/>
  <c r="D692" i="10"/>
  <c r="E692" i="10"/>
  <c r="B693" i="10"/>
  <c r="C693" i="10"/>
  <c r="D693" i="10"/>
  <c r="E693" i="10"/>
  <c r="B694" i="10"/>
  <c r="C694" i="10"/>
  <c r="D694" i="10"/>
  <c r="E694" i="10"/>
  <c r="B695" i="10"/>
  <c r="C695" i="10"/>
  <c r="D695" i="10"/>
  <c r="E695" i="10"/>
  <c r="B696" i="10"/>
  <c r="C696" i="10"/>
  <c r="D696" i="10"/>
  <c r="E696" i="10"/>
  <c r="B697" i="10"/>
  <c r="C697" i="10"/>
  <c r="D697" i="10"/>
  <c r="E697" i="10"/>
  <c r="B698" i="10"/>
  <c r="C698" i="10"/>
  <c r="D698" i="10"/>
  <c r="E698" i="10"/>
  <c r="B699" i="10"/>
  <c r="C699" i="10"/>
  <c r="D699" i="10"/>
  <c r="E699" i="10"/>
  <c r="B700" i="10"/>
  <c r="C700" i="10"/>
  <c r="D700" i="10"/>
  <c r="E700" i="10"/>
  <c r="B701" i="10"/>
  <c r="C701" i="10"/>
  <c r="D701" i="10"/>
  <c r="E701" i="10"/>
  <c r="B702" i="10"/>
  <c r="C702" i="10"/>
  <c r="D702" i="10"/>
  <c r="E702" i="10"/>
  <c r="B703" i="10"/>
  <c r="C703" i="10"/>
  <c r="D703" i="10"/>
  <c r="E703" i="10"/>
  <c r="B704" i="10"/>
  <c r="C704" i="10"/>
  <c r="D704" i="10"/>
  <c r="E704" i="10"/>
  <c r="B705" i="10"/>
  <c r="C705" i="10"/>
  <c r="D705" i="10"/>
  <c r="E705" i="10"/>
  <c r="B706" i="10"/>
  <c r="C706" i="10"/>
  <c r="D706" i="10"/>
  <c r="E706" i="10"/>
  <c r="B707" i="10"/>
  <c r="C707" i="10"/>
  <c r="D707" i="10"/>
  <c r="E707" i="10"/>
  <c r="B708" i="10"/>
  <c r="C708" i="10"/>
  <c r="D708" i="10"/>
  <c r="E708" i="10"/>
  <c r="B709" i="10"/>
  <c r="C709" i="10"/>
  <c r="D709" i="10"/>
  <c r="E709" i="10"/>
  <c r="B710" i="10"/>
  <c r="C710" i="10"/>
  <c r="D710" i="10"/>
  <c r="E710" i="10"/>
  <c r="B711" i="10"/>
  <c r="C711" i="10"/>
  <c r="D711" i="10"/>
  <c r="E711" i="10"/>
  <c r="B712" i="10"/>
  <c r="C712" i="10"/>
  <c r="D712" i="10"/>
  <c r="E712" i="10"/>
  <c r="B713" i="10"/>
  <c r="C713" i="10"/>
  <c r="D713" i="10"/>
  <c r="E713" i="10"/>
  <c r="B714" i="10"/>
  <c r="C714" i="10"/>
  <c r="D714" i="10"/>
  <c r="E714" i="10"/>
  <c r="B715" i="10"/>
  <c r="C715" i="10"/>
  <c r="D715" i="10"/>
  <c r="E715" i="10"/>
  <c r="B716" i="10"/>
  <c r="C716" i="10"/>
  <c r="D716" i="10"/>
  <c r="E716" i="10"/>
  <c r="B717" i="10"/>
  <c r="C717" i="10"/>
  <c r="D717" i="10"/>
  <c r="E717" i="10"/>
  <c r="B718" i="10"/>
  <c r="C718" i="10"/>
  <c r="D718" i="10"/>
  <c r="E718" i="10"/>
  <c r="B719" i="10"/>
  <c r="C719" i="10"/>
  <c r="D719" i="10"/>
  <c r="E719" i="10"/>
  <c r="B720" i="10"/>
  <c r="C720" i="10"/>
  <c r="D720" i="10"/>
  <c r="E720" i="10"/>
  <c r="B721" i="10"/>
  <c r="C721" i="10"/>
  <c r="D721" i="10"/>
  <c r="E721" i="10"/>
  <c r="B722" i="10"/>
  <c r="C722" i="10"/>
  <c r="D722" i="10"/>
  <c r="E722" i="10"/>
  <c r="B723" i="10"/>
  <c r="C723" i="10"/>
  <c r="D723" i="10"/>
  <c r="E723" i="10"/>
  <c r="B724" i="10"/>
  <c r="C724" i="10"/>
  <c r="D724" i="10"/>
  <c r="E724" i="10"/>
  <c r="B725" i="10"/>
  <c r="C725" i="10"/>
  <c r="D725" i="10"/>
  <c r="E725" i="10"/>
  <c r="B726" i="10"/>
  <c r="C726" i="10"/>
  <c r="D726" i="10"/>
  <c r="E726" i="10"/>
  <c r="B727" i="10"/>
  <c r="C727" i="10"/>
  <c r="D727" i="10"/>
  <c r="E727" i="10"/>
  <c r="B728" i="10"/>
  <c r="C728" i="10"/>
  <c r="D728" i="10"/>
  <c r="E728" i="10"/>
  <c r="B729" i="10"/>
  <c r="C729" i="10"/>
  <c r="D729" i="10"/>
  <c r="E729" i="10"/>
  <c r="B730" i="10"/>
  <c r="C730" i="10"/>
  <c r="D730" i="10"/>
  <c r="E730" i="10"/>
  <c r="B731" i="10"/>
  <c r="C731" i="10"/>
  <c r="D731" i="10"/>
  <c r="E731" i="10"/>
  <c r="B732" i="10"/>
  <c r="C732" i="10"/>
  <c r="D732" i="10"/>
  <c r="E732" i="10"/>
  <c r="B733" i="10"/>
  <c r="C733" i="10"/>
  <c r="D733" i="10"/>
  <c r="E733" i="10"/>
  <c r="B734" i="10"/>
  <c r="C734" i="10"/>
  <c r="D734" i="10"/>
  <c r="E734" i="10"/>
  <c r="B735" i="10"/>
  <c r="C735" i="10"/>
  <c r="D735" i="10"/>
  <c r="E735" i="10"/>
  <c r="B736" i="10"/>
  <c r="C736" i="10"/>
  <c r="D736" i="10"/>
  <c r="E736" i="10"/>
  <c r="B737" i="10"/>
  <c r="C737" i="10"/>
  <c r="D737" i="10"/>
  <c r="E737" i="10"/>
  <c r="B738" i="10"/>
  <c r="C738" i="10"/>
  <c r="D738" i="10"/>
  <c r="E738" i="10"/>
  <c r="B739" i="10"/>
  <c r="C739" i="10"/>
  <c r="D739" i="10"/>
  <c r="E739" i="10"/>
  <c r="B740" i="10"/>
  <c r="C740" i="10"/>
  <c r="D740" i="10"/>
  <c r="E740" i="10"/>
  <c r="B741" i="10"/>
  <c r="C741" i="10"/>
  <c r="D741" i="10"/>
  <c r="E741" i="10"/>
  <c r="B742" i="10"/>
  <c r="C742" i="10"/>
  <c r="D742" i="10"/>
  <c r="E742" i="10"/>
  <c r="B743" i="10"/>
  <c r="C743" i="10"/>
  <c r="D743" i="10"/>
  <c r="E743" i="10"/>
  <c r="B744" i="10"/>
  <c r="C744" i="10"/>
  <c r="D744" i="10"/>
  <c r="E744" i="10"/>
  <c r="B745" i="10"/>
  <c r="C745" i="10"/>
  <c r="D745" i="10"/>
  <c r="E745" i="10"/>
  <c r="B746" i="10"/>
  <c r="C746" i="10"/>
  <c r="D746" i="10"/>
  <c r="E746" i="10"/>
  <c r="B747" i="10"/>
  <c r="C747" i="10"/>
  <c r="D747" i="10"/>
  <c r="E747" i="10"/>
  <c r="B748" i="10"/>
  <c r="C748" i="10"/>
  <c r="D748" i="10"/>
  <c r="E748" i="10"/>
  <c r="B749" i="10"/>
  <c r="C749" i="10"/>
  <c r="D749" i="10"/>
  <c r="E749" i="10"/>
  <c r="B750" i="10"/>
  <c r="C750" i="10"/>
  <c r="D750" i="10"/>
  <c r="E750" i="10"/>
  <c r="B751" i="10"/>
  <c r="C751" i="10"/>
  <c r="D751" i="10"/>
  <c r="E751" i="10"/>
  <c r="B752" i="10"/>
  <c r="C752" i="10"/>
  <c r="D752" i="10"/>
  <c r="E752" i="10"/>
  <c r="B753" i="10"/>
  <c r="C753" i="10"/>
  <c r="D753" i="10"/>
  <c r="E753" i="10"/>
  <c r="B754" i="10"/>
  <c r="C754" i="10"/>
  <c r="D754" i="10"/>
  <c r="E754" i="10"/>
  <c r="B755" i="10"/>
  <c r="C755" i="10"/>
  <c r="D755" i="10"/>
  <c r="E755" i="10"/>
  <c r="B756" i="10"/>
  <c r="C756" i="10"/>
  <c r="D756" i="10"/>
  <c r="E756" i="10"/>
  <c r="B757" i="10"/>
  <c r="C757" i="10"/>
  <c r="D757" i="10"/>
  <c r="E757" i="10"/>
  <c r="B758" i="10"/>
  <c r="C758" i="10"/>
  <c r="D758" i="10"/>
  <c r="E758" i="10"/>
  <c r="B759" i="10"/>
  <c r="C759" i="10"/>
  <c r="D759" i="10"/>
  <c r="E759" i="10"/>
  <c r="B760" i="10"/>
  <c r="C760" i="10"/>
  <c r="D760" i="10"/>
  <c r="E760" i="10"/>
  <c r="B761" i="10"/>
  <c r="C761" i="10"/>
  <c r="D761" i="10"/>
  <c r="E761" i="10"/>
  <c r="B762" i="10"/>
  <c r="C762" i="10"/>
  <c r="D762" i="10"/>
  <c r="E762" i="10"/>
  <c r="B763" i="10"/>
  <c r="C763" i="10"/>
  <c r="D763" i="10"/>
  <c r="E763" i="10"/>
  <c r="B764" i="10"/>
  <c r="C764" i="10"/>
  <c r="D764" i="10"/>
  <c r="E764" i="10"/>
  <c r="B765" i="10"/>
  <c r="C765" i="10"/>
  <c r="D765" i="10"/>
  <c r="E765" i="10"/>
  <c r="B766" i="10"/>
  <c r="C766" i="10"/>
  <c r="D766" i="10"/>
  <c r="E766" i="10"/>
  <c r="B767" i="10"/>
  <c r="C767" i="10"/>
  <c r="D767" i="10"/>
  <c r="E767" i="10"/>
  <c r="B768" i="10"/>
  <c r="C768" i="10"/>
  <c r="D768" i="10"/>
  <c r="E768" i="10"/>
  <c r="B769" i="10"/>
  <c r="C769" i="10"/>
  <c r="D769" i="10"/>
  <c r="E769" i="10"/>
  <c r="B770" i="10"/>
  <c r="C770" i="10"/>
  <c r="D770" i="10"/>
  <c r="E770" i="10"/>
  <c r="B771" i="10"/>
  <c r="C771" i="10"/>
  <c r="D771" i="10"/>
  <c r="E771" i="10"/>
  <c r="B772" i="10"/>
  <c r="C772" i="10"/>
  <c r="D772" i="10"/>
  <c r="E772" i="10"/>
  <c r="B773" i="10"/>
  <c r="C773" i="10"/>
  <c r="D773" i="10"/>
  <c r="E773" i="10"/>
  <c r="B774" i="10"/>
  <c r="C774" i="10"/>
  <c r="D774" i="10"/>
  <c r="E774" i="10"/>
  <c r="B775" i="10"/>
  <c r="C775" i="10"/>
  <c r="D775" i="10"/>
  <c r="E775" i="10"/>
  <c r="B776" i="10"/>
  <c r="C776" i="10"/>
  <c r="D776" i="10"/>
  <c r="E776" i="10"/>
  <c r="B777" i="10"/>
  <c r="C777" i="10"/>
  <c r="D777" i="10"/>
  <c r="E777" i="10"/>
  <c r="B778" i="10"/>
  <c r="C778" i="10"/>
  <c r="D778" i="10"/>
  <c r="E778" i="10"/>
  <c r="B779" i="10"/>
  <c r="C779" i="10"/>
  <c r="D779" i="10"/>
  <c r="E779" i="10"/>
  <c r="B780" i="10"/>
  <c r="C780" i="10"/>
  <c r="D780" i="10"/>
  <c r="E780" i="10"/>
  <c r="B781" i="10"/>
  <c r="C781" i="10"/>
  <c r="D781" i="10"/>
  <c r="E781" i="10"/>
  <c r="B782" i="10"/>
  <c r="C782" i="10"/>
  <c r="D782" i="10"/>
  <c r="E782" i="10"/>
  <c r="B783" i="10"/>
  <c r="C783" i="10"/>
  <c r="D783" i="10"/>
  <c r="E783" i="10"/>
  <c r="B784" i="10"/>
  <c r="C784" i="10"/>
  <c r="D784" i="10"/>
  <c r="E784" i="10"/>
  <c r="B785" i="10"/>
  <c r="C785" i="10"/>
  <c r="D785" i="10"/>
  <c r="E785" i="10"/>
  <c r="B786" i="10"/>
  <c r="C786" i="10"/>
  <c r="D786" i="10"/>
  <c r="E786" i="10"/>
  <c r="B787" i="10"/>
  <c r="C787" i="10"/>
  <c r="D787" i="10"/>
  <c r="E787" i="10"/>
  <c r="B788" i="10"/>
  <c r="C788" i="10"/>
  <c r="D788" i="10"/>
  <c r="E788" i="10"/>
  <c r="B789" i="10"/>
  <c r="C789" i="10"/>
  <c r="D789" i="10"/>
  <c r="E789" i="10"/>
  <c r="B790" i="10"/>
  <c r="C790" i="10"/>
  <c r="D790" i="10"/>
  <c r="E790" i="10"/>
  <c r="B791" i="10"/>
  <c r="C791" i="10"/>
  <c r="D791" i="10"/>
  <c r="E791" i="10"/>
  <c r="B792" i="10"/>
  <c r="C792" i="10"/>
  <c r="D792" i="10"/>
  <c r="E792" i="10"/>
  <c r="B793" i="10"/>
  <c r="C793" i="10"/>
  <c r="D793" i="10"/>
  <c r="E793" i="10"/>
  <c r="B794" i="10"/>
  <c r="C794" i="10"/>
  <c r="D794" i="10"/>
  <c r="E794" i="10"/>
  <c r="B795" i="10"/>
  <c r="C795" i="10"/>
  <c r="D795" i="10"/>
  <c r="E795" i="10"/>
  <c r="B796" i="10"/>
  <c r="C796" i="10"/>
  <c r="D796" i="10"/>
  <c r="E796" i="10"/>
  <c r="B797" i="10"/>
  <c r="C797" i="10"/>
  <c r="D797" i="10"/>
  <c r="E797" i="10"/>
  <c r="B798" i="10"/>
  <c r="C798" i="10"/>
  <c r="D798" i="10"/>
  <c r="E798" i="10"/>
  <c r="B799" i="10"/>
  <c r="C799" i="10"/>
  <c r="D799" i="10"/>
  <c r="E799" i="10"/>
  <c r="B800" i="10"/>
  <c r="C800" i="10"/>
  <c r="D800" i="10"/>
  <c r="E800" i="10"/>
  <c r="B801" i="10"/>
  <c r="C801" i="10"/>
  <c r="D801" i="10"/>
  <c r="E801" i="10"/>
  <c r="B802" i="10"/>
  <c r="C802" i="10"/>
  <c r="D802" i="10"/>
  <c r="E802" i="10"/>
  <c r="B803" i="10"/>
  <c r="C803" i="10"/>
  <c r="D803" i="10"/>
  <c r="E803" i="10"/>
  <c r="B804" i="10"/>
  <c r="C804" i="10"/>
  <c r="D804" i="10"/>
  <c r="E804" i="10"/>
  <c r="B805" i="10"/>
  <c r="C805" i="10"/>
  <c r="D805" i="10"/>
  <c r="E805" i="10"/>
  <c r="B806" i="10"/>
  <c r="C806" i="10"/>
  <c r="D806" i="10"/>
  <c r="E806" i="10"/>
  <c r="B807" i="10"/>
  <c r="C807" i="10"/>
  <c r="D807" i="10"/>
  <c r="E807" i="10"/>
  <c r="B808" i="10"/>
  <c r="C808" i="10"/>
  <c r="D808" i="10"/>
  <c r="E808" i="10"/>
  <c r="B809" i="10"/>
  <c r="C809" i="10"/>
  <c r="D809" i="10"/>
  <c r="E809" i="10"/>
  <c r="B810" i="10"/>
  <c r="C810" i="10"/>
  <c r="D810" i="10"/>
  <c r="E810" i="10"/>
  <c r="B811" i="10"/>
  <c r="C811" i="10"/>
  <c r="D811" i="10"/>
  <c r="E811" i="10"/>
  <c r="B812" i="10"/>
  <c r="C812" i="10"/>
  <c r="D812" i="10"/>
  <c r="E812" i="10"/>
  <c r="B813" i="10"/>
  <c r="C813" i="10"/>
  <c r="D813" i="10"/>
  <c r="E813" i="10"/>
  <c r="B814" i="10"/>
  <c r="C814" i="10"/>
  <c r="D814" i="10"/>
  <c r="E814" i="10"/>
  <c r="B815" i="10"/>
  <c r="C815" i="10"/>
  <c r="D815" i="10"/>
  <c r="E815" i="10"/>
  <c r="B816" i="10"/>
  <c r="C816" i="10"/>
  <c r="D816" i="10"/>
  <c r="E816" i="10"/>
  <c r="B817" i="10"/>
  <c r="C817" i="10"/>
  <c r="D817" i="10"/>
  <c r="E817" i="10"/>
  <c r="B818" i="10"/>
  <c r="C818" i="10"/>
  <c r="D818" i="10"/>
  <c r="E818" i="10"/>
  <c r="B819" i="10"/>
  <c r="C819" i="10"/>
  <c r="D819" i="10"/>
  <c r="E819" i="10"/>
  <c r="B820" i="10"/>
  <c r="C820" i="10"/>
  <c r="D820" i="10"/>
  <c r="E820" i="10"/>
  <c r="B821" i="10"/>
  <c r="C821" i="10"/>
  <c r="D821" i="10"/>
  <c r="E821" i="10"/>
  <c r="B822" i="10"/>
  <c r="C822" i="10"/>
  <c r="D822" i="10"/>
  <c r="E822" i="10"/>
  <c r="B823" i="10"/>
  <c r="C823" i="10"/>
  <c r="D823" i="10"/>
  <c r="E823" i="10"/>
  <c r="B824" i="10"/>
  <c r="C824" i="10"/>
  <c r="D824" i="10"/>
  <c r="E824" i="10"/>
  <c r="B825" i="10"/>
  <c r="C825" i="10"/>
  <c r="D825" i="10"/>
  <c r="E825" i="10"/>
  <c r="B826" i="10"/>
  <c r="C826" i="10"/>
  <c r="D826" i="10"/>
  <c r="E826" i="10"/>
  <c r="B827" i="10"/>
  <c r="C827" i="10"/>
  <c r="D827" i="10"/>
  <c r="E827" i="10"/>
  <c r="B828" i="10"/>
  <c r="C828" i="10"/>
  <c r="D828" i="10"/>
  <c r="E828" i="10"/>
  <c r="B829" i="10"/>
  <c r="C829" i="10"/>
  <c r="D829" i="10"/>
  <c r="E829" i="10"/>
  <c r="B830" i="10"/>
  <c r="C830" i="10"/>
  <c r="D830" i="10"/>
  <c r="E830" i="10"/>
  <c r="B831" i="10"/>
  <c r="C831" i="10"/>
  <c r="D831" i="10"/>
  <c r="E831" i="10"/>
  <c r="B832" i="10"/>
  <c r="C832" i="10"/>
  <c r="D832" i="10"/>
  <c r="E832" i="10"/>
  <c r="B833" i="10"/>
  <c r="C833" i="10"/>
  <c r="D833" i="10"/>
  <c r="E833" i="10"/>
  <c r="B834" i="10"/>
  <c r="C834" i="10"/>
  <c r="D834" i="10"/>
  <c r="E834" i="10"/>
  <c r="B835" i="10"/>
  <c r="C835" i="10"/>
  <c r="D835" i="10"/>
  <c r="E835" i="10"/>
  <c r="B836" i="10"/>
  <c r="C836" i="10"/>
  <c r="D836" i="10"/>
  <c r="E836" i="10"/>
  <c r="B837" i="10"/>
  <c r="C837" i="10"/>
  <c r="D837" i="10"/>
  <c r="E837" i="10"/>
  <c r="B838" i="10"/>
  <c r="C838" i="10"/>
  <c r="D838" i="10"/>
  <c r="E838" i="10"/>
  <c r="B839" i="10"/>
  <c r="C839" i="10"/>
  <c r="D839" i="10"/>
  <c r="E839" i="10"/>
  <c r="B840" i="10"/>
  <c r="C840" i="10"/>
  <c r="D840" i="10"/>
  <c r="E840" i="10"/>
  <c r="B841" i="10"/>
  <c r="C841" i="10"/>
  <c r="D841" i="10"/>
  <c r="E841" i="10"/>
  <c r="B842" i="10"/>
  <c r="C842" i="10"/>
  <c r="D842" i="10"/>
  <c r="E842" i="10"/>
  <c r="B843" i="10"/>
  <c r="C843" i="10"/>
  <c r="D843" i="10"/>
  <c r="E843" i="10"/>
  <c r="B844" i="10"/>
  <c r="C844" i="10"/>
  <c r="D844" i="10"/>
  <c r="E844" i="10"/>
  <c r="B845" i="10"/>
  <c r="C845" i="10"/>
  <c r="D845" i="10"/>
  <c r="E845" i="10"/>
  <c r="B846" i="10"/>
  <c r="C846" i="10"/>
  <c r="D846" i="10"/>
  <c r="E846" i="10"/>
  <c r="B847" i="10"/>
  <c r="C847" i="10"/>
  <c r="D847" i="10"/>
  <c r="E847" i="10"/>
  <c r="B848" i="10"/>
  <c r="C848" i="10"/>
  <c r="D848" i="10"/>
  <c r="E848" i="10"/>
  <c r="B849" i="10"/>
  <c r="C849" i="10"/>
  <c r="D849" i="10"/>
  <c r="E849" i="10"/>
  <c r="B850" i="10"/>
  <c r="C850" i="10"/>
  <c r="D850" i="10"/>
  <c r="E850" i="10"/>
  <c r="B851" i="10"/>
  <c r="C851" i="10"/>
  <c r="D851" i="10"/>
  <c r="E851" i="10"/>
  <c r="B852" i="10"/>
  <c r="C852" i="10"/>
  <c r="D852" i="10"/>
  <c r="E852" i="10"/>
  <c r="B853" i="10"/>
  <c r="C853" i="10"/>
  <c r="D853" i="10"/>
  <c r="E853" i="10"/>
  <c r="B854" i="10"/>
  <c r="C854" i="10"/>
  <c r="D854" i="10"/>
  <c r="E854" i="10"/>
  <c r="B855" i="10"/>
  <c r="C855" i="10"/>
  <c r="D855" i="10"/>
  <c r="E855" i="10"/>
  <c r="B856" i="10"/>
  <c r="C856" i="10"/>
  <c r="D856" i="10"/>
  <c r="E856" i="10"/>
  <c r="B857" i="10"/>
  <c r="C857" i="10"/>
  <c r="D857" i="10"/>
  <c r="E857" i="10"/>
  <c r="B858" i="10"/>
  <c r="C858" i="10"/>
  <c r="D858" i="10"/>
  <c r="E858" i="10"/>
  <c r="B859" i="10"/>
  <c r="C859" i="10"/>
  <c r="D859" i="10"/>
  <c r="E859" i="10"/>
  <c r="B860" i="10"/>
  <c r="C860" i="10"/>
  <c r="D860" i="10"/>
  <c r="E860" i="10"/>
  <c r="B861" i="10"/>
  <c r="C861" i="10"/>
  <c r="D861" i="10"/>
  <c r="E861" i="10"/>
  <c r="B862" i="10"/>
  <c r="C862" i="10"/>
  <c r="D862" i="10"/>
  <c r="E862" i="10"/>
  <c r="B863" i="10"/>
  <c r="C863" i="10"/>
  <c r="D863" i="10"/>
  <c r="E863" i="10"/>
  <c r="B864" i="10"/>
  <c r="C864" i="10"/>
  <c r="D864" i="10"/>
  <c r="E864" i="10"/>
  <c r="B865" i="10"/>
  <c r="C865" i="10"/>
  <c r="D865" i="10"/>
  <c r="E865" i="10"/>
  <c r="B866" i="10"/>
  <c r="C866" i="10"/>
  <c r="D866" i="10"/>
  <c r="E866" i="10"/>
  <c r="B867" i="10"/>
  <c r="C867" i="10"/>
  <c r="D867" i="10"/>
  <c r="E867" i="10"/>
  <c r="B868" i="10"/>
  <c r="C868" i="10"/>
  <c r="D868" i="10"/>
  <c r="E868" i="10"/>
  <c r="B869" i="10"/>
  <c r="C869" i="10"/>
  <c r="D869" i="10"/>
  <c r="E869" i="10"/>
  <c r="B870" i="10"/>
  <c r="C870" i="10"/>
  <c r="D870" i="10"/>
  <c r="E870" i="10"/>
  <c r="B871" i="10"/>
  <c r="C871" i="10"/>
  <c r="D871" i="10"/>
  <c r="E871" i="10"/>
  <c r="B872" i="10"/>
  <c r="C872" i="10"/>
  <c r="D872" i="10"/>
  <c r="E872" i="10"/>
  <c r="B873" i="10"/>
  <c r="C873" i="10"/>
  <c r="D873" i="10"/>
  <c r="E873" i="10"/>
  <c r="B874" i="10"/>
  <c r="C874" i="10"/>
  <c r="D874" i="10"/>
  <c r="E874" i="10"/>
  <c r="B875" i="10"/>
  <c r="C875" i="10"/>
  <c r="D875" i="10"/>
  <c r="E875" i="10"/>
  <c r="B876" i="10"/>
  <c r="C876" i="10"/>
  <c r="D876" i="10"/>
  <c r="E876" i="10"/>
  <c r="B877" i="10"/>
  <c r="C877" i="10"/>
  <c r="D877" i="10"/>
  <c r="E877" i="10"/>
  <c r="B878" i="10"/>
  <c r="C878" i="10"/>
  <c r="D878" i="10"/>
  <c r="E878" i="10"/>
  <c r="B879" i="10"/>
  <c r="C879" i="10"/>
  <c r="D879" i="10"/>
  <c r="E879" i="10"/>
  <c r="B880" i="10"/>
  <c r="C880" i="10"/>
  <c r="D880" i="10"/>
  <c r="E880" i="10"/>
  <c r="B881" i="10"/>
  <c r="C881" i="10"/>
  <c r="D881" i="10"/>
  <c r="E881" i="10"/>
  <c r="B882" i="10"/>
  <c r="C882" i="10"/>
  <c r="D882" i="10"/>
  <c r="E882" i="10"/>
  <c r="B883" i="10"/>
  <c r="C883" i="10"/>
  <c r="D883" i="10"/>
  <c r="E883" i="10"/>
  <c r="B884" i="10"/>
  <c r="C884" i="10"/>
  <c r="D884" i="10"/>
  <c r="E884" i="10"/>
  <c r="B885" i="10"/>
  <c r="C885" i="10"/>
  <c r="D885" i="10"/>
  <c r="E885" i="10"/>
  <c r="B886" i="10"/>
  <c r="C886" i="10"/>
  <c r="D886" i="10"/>
  <c r="E886" i="10"/>
  <c r="B887" i="10"/>
  <c r="C887" i="10"/>
  <c r="D887" i="10"/>
  <c r="E887" i="10"/>
  <c r="B888" i="10"/>
  <c r="C888" i="10"/>
  <c r="D888" i="10"/>
  <c r="E888" i="10"/>
  <c r="B889" i="10"/>
  <c r="C889" i="10"/>
  <c r="D889" i="10"/>
  <c r="E889" i="10"/>
  <c r="B890" i="10"/>
  <c r="C890" i="10"/>
  <c r="D890" i="10"/>
  <c r="E890" i="10"/>
  <c r="B891" i="10"/>
  <c r="C891" i="10"/>
  <c r="D891" i="10"/>
  <c r="E891" i="10"/>
  <c r="B892" i="10"/>
  <c r="C892" i="10"/>
  <c r="D892" i="10"/>
  <c r="E892" i="10"/>
  <c r="B893" i="10"/>
  <c r="C893" i="10"/>
  <c r="D893" i="10"/>
  <c r="E893" i="10"/>
  <c r="B894" i="10"/>
  <c r="C894" i="10"/>
  <c r="D894" i="10"/>
  <c r="E894" i="10"/>
  <c r="B895" i="10"/>
  <c r="C895" i="10"/>
  <c r="D895" i="10"/>
  <c r="E895" i="10"/>
  <c r="B896" i="10"/>
  <c r="C896" i="10"/>
  <c r="D896" i="10"/>
  <c r="E896" i="10"/>
  <c r="B897" i="10"/>
  <c r="C897" i="10"/>
  <c r="D897" i="10"/>
  <c r="E897" i="10"/>
  <c r="B898" i="10"/>
  <c r="C898" i="10"/>
  <c r="D898" i="10"/>
  <c r="E898" i="10"/>
  <c r="B899" i="10"/>
  <c r="C899" i="10"/>
  <c r="D899" i="10"/>
  <c r="E899" i="10"/>
  <c r="B900" i="10"/>
  <c r="C900" i="10"/>
  <c r="D900" i="10"/>
  <c r="E900" i="10"/>
  <c r="B901" i="10"/>
  <c r="C901" i="10"/>
  <c r="D901" i="10"/>
  <c r="E901" i="10"/>
  <c r="B902" i="10"/>
  <c r="C902" i="10"/>
  <c r="D902" i="10"/>
  <c r="E902" i="10"/>
  <c r="B903" i="10"/>
  <c r="C903" i="10"/>
  <c r="D903" i="10"/>
  <c r="E903" i="10"/>
  <c r="B904" i="10"/>
  <c r="C904" i="10"/>
  <c r="D904" i="10"/>
  <c r="E904" i="10"/>
  <c r="B905" i="10"/>
  <c r="C905" i="10"/>
  <c r="D905" i="10"/>
  <c r="E905" i="10"/>
  <c r="B906" i="10"/>
  <c r="C906" i="10"/>
  <c r="D906" i="10"/>
  <c r="E906" i="10"/>
  <c r="B907" i="10"/>
  <c r="C907" i="10"/>
  <c r="D907" i="10"/>
  <c r="E907" i="10"/>
  <c r="B908" i="10"/>
  <c r="C908" i="10"/>
  <c r="D908" i="10"/>
  <c r="E908" i="10"/>
  <c r="B909" i="10"/>
  <c r="C909" i="10"/>
  <c r="D909" i="10"/>
  <c r="E909" i="10"/>
  <c r="B910" i="10"/>
  <c r="C910" i="10"/>
  <c r="D910" i="10"/>
  <c r="E910" i="10"/>
  <c r="B911" i="10"/>
  <c r="C911" i="10"/>
  <c r="D911" i="10"/>
  <c r="E911" i="10"/>
  <c r="B912" i="10"/>
  <c r="C912" i="10"/>
  <c r="D912" i="10"/>
  <c r="E912" i="10"/>
  <c r="B913" i="10"/>
  <c r="C913" i="10"/>
  <c r="D913" i="10"/>
  <c r="E913" i="10"/>
  <c r="B914" i="10"/>
  <c r="C914" i="10"/>
  <c r="D914" i="10"/>
  <c r="E914" i="10"/>
  <c r="B915" i="10"/>
  <c r="C915" i="10"/>
  <c r="D915" i="10"/>
  <c r="E915" i="10"/>
  <c r="B916" i="10"/>
  <c r="C916" i="10"/>
  <c r="D916" i="10"/>
  <c r="E916" i="10"/>
  <c r="B917" i="10"/>
  <c r="C917" i="10"/>
  <c r="D917" i="10"/>
  <c r="E917" i="10"/>
  <c r="B918" i="10"/>
  <c r="C918" i="10"/>
  <c r="D918" i="10"/>
  <c r="E918" i="10"/>
  <c r="B919" i="10"/>
  <c r="C919" i="10"/>
  <c r="D919" i="10"/>
  <c r="E919" i="10"/>
  <c r="B920" i="10"/>
  <c r="C920" i="10"/>
  <c r="D920" i="10"/>
  <c r="E920" i="10"/>
  <c r="B921" i="10"/>
  <c r="C921" i="10"/>
  <c r="D921" i="10"/>
  <c r="E921" i="10"/>
  <c r="B922" i="10"/>
  <c r="C922" i="10"/>
  <c r="D922" i="10"/>
  <c r="E922" i="10"/>
  <c r="B923" i="10"/>
  <c r="C923" i="10"/>
  <c r="D923" i="10"/>
  <c r="E923" i="10"/>
  <c r="B924" i="10"/>
  <c r="C924" i="10"/>
  <c r="D924" i="10"/>
  <c r="E924" i="10"/>
  <c r="B925" i="10"/>
  <c r="C925" i="10"/>
  <c r="D925" i="10"/>
  <c r="E925" i="10"/>
  <c r="B926" i="10"/>
  <c r="C926" i="10"/>
  <c r="D926" i="10"/>
  <c r="E926" i="10"/>
  <c r="B927" i="10"/>
  <c r="C927" i="10"/>
  <c r="D927" i="10"/>
  <c r="E927" i="10"/>
  <c r="B928" i="10"/>
  <c r="C928" i="10"/>
  <c r="D928" i="10"/>
  <c r="E928" i="10"/>
  <c r="B929" i="10"/>
  <c r="C929" i="10"/>
  <c r="D929" i="10"/>
  <c r="E929" i="10"/>
  <c r="B930" i="10"/>
  <c r="C930" i="10"/>
  <c r="D930" i="10"/>
  <c r="E930" i="10"/>
  <c r="B931" i="10"/>
  <c r="C931" i="10"/>
  <c r="D931" i="10"/>
  <c r="E931" i="10"/>
  <c r="B932" i="10"/>
  <c r="C932" i="10"/>
  <c r="D932" i="10"/>
  <c r="E932" i="10"/>
  <c r="B933" i="10"/>
  <c r="C933" i="10"/>
  <c r="D933" i="10"/>
  <c r="E933" i="10"/>
  <c r="B934" i="10"/>
  <c r="C934" i="10"/>
  <c r="D934" i="10"/>
  <c r="E934" i="10"/>
  <c r="B935" i="10"/>
  <c r="C935" i="10"/>
  <c r="D935" i="10"/>
  <c r="E935" i="10"/>
  <c r="B936" i="10"/>
  <c r="C936" i="10"/>
  <c r="D936" i="10"/>
  <c r="E936" i="10"/>
  <c r="B937" i="10"/>
  <c r="C937" i="10"/>
  <c r="D937" i="10"/>
  <c r="E937" i="10"/>
  <c r="B938" i="10"/>
  <c r="C938" i="10"/>
  <c r="D938" i="10"/>
  <c r="E938" i="10"/>
  <c r="B939" i="10"/>
  <c r="C939" i="10"/>
  <c r="D939" i="10"/>
  <c r="E939" i="10"/>
  <c r="B940" i="10"/>
  <c r="C940" i="10"/>
  <c r="D940" i="10"/>
  <c r="E940" i="10"/>
  <c r="B941" i="10"/>
  <c r="C941" i="10"/>
  <c r="D941" i="10"/>
  <c r="E941" i="10"/>
  <c r="B942" i="10"/>
  <c r="C942" i="10"/>
  <c r="D942" i="10"/>
  <c r="E942" i="10"/>
  <c r="B943" i="10"/>
  <c r="C943" i="10"/>
  <c r="D943" i="10"/>
  <c r="E943" i="10"/>
  <c r="B944" i="10"/>
  <c r="C944" i="10"/>
  <c r="D944" i="10"/>
  <c r="E944" i="10"/>
  <c r="B945" i="10"/>
  <c r="C945" i="10"/>
  <c r="D945" i="10"/>
  <c r="E945" i="10"/>
  <c r="B946" i="10"/>
  <c r="C946" i="10"/>
  <c r="D946" i="10"/>
  <c r="E946" i="10"/>
  <c r="B947" i="10"/>
  <c r="C947" i="10"/>
  <c r="D947" i="10"/>
  <c r="E947" i="10"/>
  <c r="B948" i="10"/>
  <c r="C948" i="10"/>
  <c r="D948" i="10"/>
  <c r="E948" i="10"/>
  <c r="B949" i="10"/>
  <c r="C949" i="10"/>
  <c r="D949" i="10"/>
  <c r="E949" i="10"/>
  <c r="B950" i="10"/>
  <c r="C950" i="10"/>
  <c r="D950" i="10"/>
  <c r="E950" i="10"/>
  <c r="B951" i="10"/>
  <c r="C951" i="10"/>
  <c r="D951" i="10"/>
  <c r="E951" i="10"/>
  <c r="B952" i="10"/>
  <c r="C952" i="10"/>
  <c r="D952" i="10"/>
  <c r="E952" i="10"/>
  <c r="B953" i="10"/>
  <c r="C953" i="10"/>
  <c r="D953" i="10"/>
  <c r="E953" i="10"/>
  <c r="B954" i="10"/>
  <c r="C954" i="10"/>
  <c r="D954" i="10"/>
  <c r="E954" i="10"/>
  <c r="B955" i="10"/>
  <c r="C955" i="10"/>
  <c r="D955" i="10"/>
  <c r="E955" i="10"/>
  <c r="B956" i="10"/>
  <c r="C956" i="10"/>
  <c r="D956" i="10"/>
  <c r="E956" i="10"/>
  <c r="B957" i="10"/>
  <c r="C957" i="10"/>
  <c r="D957" i="10"/>
  <c r="E957" i="10"/>
  <c r="B958" i="10"/>
  <c r="C958" i="10"/>
  <c r="D958" i="10"/>
  <c r="E958" i="10"/>
  <c r="B959" i="10"/>
  <c r="C959" i="10"/>
  <c r="D959" i="10"/>
  <c r="E959" i="10"/>
  <c r="B960" i="10"/>
  <c r="C960" i="10"/>
  <c r="D960" i="10"/>
  <c r="E960" i="10"/>
  <c r="B961" i="10"/>
  <c r="C961" i="10"/>
  <c r="D961" i="10"/>
  <c r="E961" i="10"/>
  <c r="B962" i="10"/>
  <c r="C962" i="10"/>
  <c r="D962" i="10"/>
  <c r="E962" i="10"/>
  <c r="B963" i="10"/>
  <c r="C963" i="10"/>
  <c r="D963" i="10"/>
  <c r="E963" i="10"/>
  <c r="B964" i="10"/>
  <c r="C964" i="10"/>
  <c r="D964" i="10"/>
  <c r="E964" i="10"/>
  <c r="B965" i="10"/>
  <c r="C965" i="10"/>
  <c r="D965" i="10"/>
  <c r="E965" i="10"/>
  <c r="B966" i="10"/>
  <c r="C966" i="10"/>
  <c r="D966" i="10"/>
  <c r="E966" i="10"/>
  <c r="B967" i="10"/>
  <c r="C967" i="10"/>
  <c r="D967" i="10"/>
  <c r="E967" i="10"/>
  <c r="B968" i="10"/>
  <c r="C968" i="10"/>
  <c r="D968" i="10"/>
  <c r="E968" i="10"/>
  <c r="B969" i="10"/>
  <c r="C969" i="10"/>
  <c r="D969" i="10"/>
  <c r="E969" i="10"/>
  <c r="B970" i="10"/>
  <c r="C970" i="10"/>
  <c r="D970" i="10"/>
  <c r="E970" i="10"/>
  <c r="B971" i="10"/>
  <c r="C971" i="10"/>
  <c r="D971" i="10"/>
  <c r="E971" i="10"/>
  <c r="B972" i="10"/>
  <c r="C972" i="10"/>
  <c r="D972" i="10"/>
  <c r="E972" i="10"/>
  <c r="B973" i="10"/>
  <c r="C973" i="10"/>
  <c r="D973" i="10"/>
  <c r="E973" i="10"/>
  <c r="B974" i="10"/>
  <c r="C974" i="10"/>
  <c r="D974" i="10"/>
  <c r="E974" i="10"/>
  <c r="B975" i="10"/>
  <c r="C975" i="10"/>
  <c r="D975" i="10"/>
  <c r="E975" i="10"/>
  <c r="B976" i="10"/>
  <c r="C976" i="10"/>
  <c r="D976" i="10"/>
  <c r="E976" i="10"/>
  <c r="B977" i="10"/>
  <c r="C977" i="10"/>
  <c r="D977" i="10"/>
  <c r="E977" i="10"/>
  <c r="B978" i="10"/>
  <c r="C978" i="10"/>
  <c r="D978" i="10"/>
  <c r="E978" i="10"/>
  <c r="B979" i="10"/>
  <c r="C979" i="10"/>
  <c r="D979" i="10"/>
  <c r="E979" i="10"/>
  <c r="B980" i="10"/>
  <c r="C980" i="10"/>
  <c r="D980" i="10"/>
  <c r="E980" i="10"/>
  <c r="B981" i="10"/>
  <c r="C981" i="10"/>
  <c r="D981" i="10"/>
  <c r="E981" i="10"/>
  <c r="B982" i="10"/>
  <c r="C982" i="10"/>
  <c r="D982" i="10"/>
  <c r="E982" i="10"/>
  <c r="B983" i="10"/>
  <c r="C983" i="10"/>
  <c r="D983" i="10"/>
  <c r="E983" i="10"/>
  <c r="B984" i="10"/>
  <c r="C984" i="10"/>
  <c r="D984" i="10"/>
  <c r="E984" i="10"/>
  <c r="B985" i="10"/>
  <c r="C985" i="10"/>
  <c r="D985" i="10"/>
  <c r="E985" i="10"/>
  <c r="B986" i="10"/>
  <c r="C986" i="10"/>
  <c r="D986" i="10"/>
  <c r="E986" i="10"/>
  <c r="B987" i="10"/>
  <c r="C987" i="10"/>
  <c r="D987" i="10"/>
  <c r="E987" i="10"/>
  <c r="B988" i="10"/>
  <c r="C988" i="10"/>
  <c r="D988" i="10"/>
  <c r="E988" i="10"/>
  <c r="B989" i="10"/>
  <c r="C989" i="10"/>
  <c r="D989" i="10"/>
  <c r="E989" i="10"/>
  <c r="B990" i="10"/>
  <c r="C990" i="10"/>
  <c r="D990" i="10"/>
  <c r="E990" i="10"/>
  <c r="B991" i="10"/>
  <c r="C991" i="10"/>
  <c r="D991" i="10"/>
  <c r="E991" i="10"/>
  <c r="B992" i="10"/>
  <c r="C992" i="10"/>
  <c r="D992" i="10"/>
  <c r="E992" i="10"/>
  <c r="B993" i="10"/>
  <c r="C993" i="10"/>
  <c r="D993" i="10"/>
  <c r="E993" i="10"/>
  <c r="B994" i="10"/>
  <c r="C994" i="10"/>
  <c r="D994" i="10"/>
  <c r="E994" i="10"/>
  <c r="B995" i="10"/>
  <c r="C995" i="10"/>
  <c r="D995" i="10"/>
  <c r="E995" i="10"/>
  <c r="B996" i="10"/>
  <c r="C996" i="10"/>
  <c r="D996" i="10"/>
  <c r="E996" i="10"/>
  <c r="B997" i="10"/>
  <c r="C997" i="10"/>
  <c r="D997" i="10"/>
  <c r="E997" i="10"/>
  <c r="B998" i="10"/>
  <c r="C998" i="10"/>
  <c r="D998" i="10"/>
  <c r="E998" i="10"/>
  <c r="B999" i="10"/>
  <c r="C999" i="10"/>
  <c r="D999" i="10"/>
  <c r="E999" i="10"/>
  <c r="B1000" i="10"/>
  <c r="C1000" i="10"/>
  <c r="D1000" i="10"/>
  <c r="E1000" i="10"/>
  <c r="B1001" i="10"/>
  <c r="C1001" i="10"/>
  <c r="D1001" i="10"/>
  <c r="E1001" i="10"/>
  <c r="B1002" i="10"/>
  <c r="C1002" i="10"/>
  <c r="D1002" i="10"/>
  <c r="E1002" i="10"/>
  <c r="B1003" i="10"/>
  <c r="C1003" i="10"/>
  <c r="D1003" i="10"/>
  <c r="E1003" i="10"/>
  <c r="B1004" i="10"/>
  <c r="C1004" i="10"/>
  <c r="D1004" i="10"/>
  <c r="E1004" i="10"/>
  <c r="B1005" i="10"/>
  <c r="C1005" i="10"/>
  <c r="D1005" i="10"/>
  <c r="E1005" i="10"/>
  <c r="B1006" i="10"/>
  <c r="C1006" i="10"/>
  <c r="D1006" i="10"/>
  <c r="E1006" i="10"/>
  <c r="B1007" i="10"/>
  <c r="C1007" i="10"/>
  <c r="D1007" i="10"/>
  <c r="E1007" i="10"/>
  <c r="B1008" i="10"/>
  <c r="C1008" i="10"/>
  <c r="D1008" i="10"/>
  <c r="E1008" i="10"/>
  <c r="B1009" i="10"/>
  <c r="C1009" i="10"/>
  <c r="D1009" i="10"/>
  <c r="E1009" i="10"/>
  <c r="B1010" i="10"/>
  <c r="C1010" i="10"/>
  <c r="D1010" i="10"/>
  <c r="E1010" i="10"/>
  <c r="B1011" i="10"/>
  <c r="C1011" i="10"/>
  <c r="D1011" i="10"/>
  <c r="E1011" i="10"/>
  <c r="B1012" i="10"/>
  <c r="C1012" i="10"/>
  <c r="D1012" i="10"/>
  <c r="E1012" i="10"/>
  <c r="B1013" i="10"/>
  <c r="C1013" i="10"/>
  <c r="D1013" i="10"/>
  <c r="E1013" i="10"/>
  <c r="B1014" i="10"/>
  <c r="C1014" i="10"/>
  <c r="D1014" i="10"/>
  <c r="E1014" i="10"/>
  <c r="B1015" i="10"/>
  <c r="C1015" i="10"/>
  <c r="D1015" i="10"/>
  <c r="E1015" i="10"/>
  <c r="B1016" i="10"/>
  <c r="C1016" i="10"/>
  <c r="D1016" i="10"/>
  <c r="E1016" i="10"/>
  <c r="B1017" i="10"/>
  <c r="C1017" i="10"/>
  <c r="D1017" i="10"/>
  <c r="E1017" i="10"/>
  <c r="B1018" i="10"/>
  <c r="C1018" i="10"/>
  <c r="D1018" i="10"/>
  <c r="E1018" i="10"/>
  <c r="B1019" i="10"/>
  <c r="C1019" i="10"/>
  <c r="D1019" i="10"/>
  <c r="E1019" i="10"/>
  <c r="B1020" i="10"/>
  <c r="C1020" i="10"/>
  <c r="D1020" i="10"/>
  <c r="E1020" i="10"/>
  <c r="B1021" i="10"/>
  <c r="C1021" i="10"/>
  <c r="D1021" i="10"/>
  <c r="E1021" i="10"/>
  <c r="B1022" i="10"/>
  <c r="C1022" i="10"/>
  <c r="D1022" i="10"/>
  <c r="E1022" i="10"/>
  <c r="B1023" i="10"/>
  <c r="C1023" i="10"/>
  <c r="D1023" i="10"/>
  <c r="E1023" i="10"/>
  <c r="B1024" i="10"/>
  <c r="C1024" i="10"/>
  <c r="D1024" i="10"/>
  <c r="E1024" i="10"/>
  <c r="B1025" i="10"/>
  <c r="C1025" i="10"/>
  <c r="D1025" i="10"/>
  <c r="E1025" i="10"/>
  <c r="B1026" i="10"/>
  <c r="C1026" i="10"/>
  <c r="D1026" i="10"/>
  <c r="E1026" i="10"/>
  <c r="B1027" i="10"/>
  <c r="C1027" i="10"/>
  <c r="D1027" i="10"/>
  <c r="E1027" i="10"/>
  <c r="B1028" i="10"/>
  <c r="C1028" i="10"/>
  <c r="D1028" i="10"/>
  <c r="E1028" i="10"/>
  <c r="B1029" i="10"/>
  <c r="C1029" i="10"/>
  <c r="D1029" i="10"/>
  <c r="E1029" i="10"/>
  <c r="B1030" i="10"/>
  <c r="C1030" i="10"/>
  <c r="D1030" i="10"/>
  <c r="E1030" i="10"/>
  <c r="B1031" i="10"/>
  <c r="C1031" i="10"/>
  <c r="D1031" i="10"/>
  <c r="E1031" i="10"/>
  <c r="B1032" i="10"/>
  <c r="C1032" i="10"/>
  <c r="D1032" i="10"/>
  <c r="E1032" i="10"/>
  <c r="B1033" i="10"/>
  <c r="C1033" i="10"/>
  <c r="D1033" i="10"/>
  <c r="E1033" i="10"/>
  <c r="B1034" i="10"/>
  <c r="C1034" i="10"/>
  <c r="D1034" i="10"/>
  <c r="E1034" i="10"/>
  <c r="B1035" i="10"/>
  <c r="C1035" i="10"/>
  <c r="D1035" i="10"/>
  <c r="E1035" i="10"/>
  <c r="B1036" i="10"/>
  <c r="C1036" i="10"/>
  <c r="D1036" i="10"/>
  <c r="E1036" i="10"/>
  <c r="B1037" i="10"/>
  <c r="C1037" i="10"/>
  <c r="D1037" i="10"/>
  <c r="E1037" i="10"/>
  <c r="B1038" i="10"/>
  <c r="C1038" i="10"/>
  <c r="D1038" i="10"/>
  <c r="E1038" i="10"/>
  <c r="B1039" i="10"/>
  <c r="C1039" i="10"/>
  <c r="D1039" i="10"/>
  <c r="E1039" i="10"/>
  <c r="B1040" i="10"/>
  <c r="C1040" i="10"/>
  <c r="D1040" i="10"/>
  <c r="E1040" i="10"/>
  <c r="B1041" i="10"/>
  <c r="C1041" i="10"/>
  <c r="D1041" i="10"/>
  <c r="E1041" i="10"/>
  <c r="B1042" i="10"/>
  <c r="C1042" i="10"/>
  <c r="D1042" i="10"/>
  <c r="E1042" i="10"/>
  <c r="B1043" i="10"/>
  <c r="C1043" i="10"/>
  <c r="D1043" i="10"/>
  <c r="E1043" i="10"/>
  <c r="B1044" i="10"/>
  <c r="C1044" i="10"/>
  <c r="D1044" i="10"/>
  <c r="E1044" i="10"/>
  <c r="B1045" i="10"/>
  <c r="C1045" i="10"/>
  <c r="D1045" i="10"/>
  <c r="E1045" i="10"/>
  <c r="B1046" i="10"/>
  <c r="C1046" i="10"/>
  <c r="D1046" i="10"/>
  <c r="E1046" i="10"/>
  <c r="B1047" i="10"/>
  <c r="C1047" i="10"/>
  <c r="D1047" i="10"/>
  <c r="E1047" i="10"/>
  <c r="B1048" i="10"/>
  <c r="C1048" i="10"/>
  <c r="D1048" i="10"/>
  <c r="E1048" i="10"/>
  <c r="B1049" i="10"/>
  <c r="C1049" i="10"/>
  <c r="D1049" i="10"/>
  <c r="E1049" i="10"/>
  <c r="B1050" i="10"/>
  <c r="C1050" i="10"/>
  <c r="D1050" i="10"/>
  <c r="E1050" i="10"/>
  <c r="B1051" i="10"/>
  <c r="C1051" i="10"/>
  <c r="D1051" i="10"/>
  <c r="E1051" i="10"/>
  <c r="B1052" i="10"/>
  <c r="C1052" i="10"/>
  <c r="D1052" i="10"/>
  <c r="E1052" i="10"/>
  <c r="B1053" i="10"/>
  <c r="C1053" i="10"/>
  <c r="D1053" i="10"/>
  <c r="E1053" i="10"/>
  <c r="B1054" i="10"/>
  <c r="C1054" i="10"/>
  <c r="D1054" i="10"/>
  <c r="E1054" i="10"/>
  <c r="B1055" i="10"/>
  <c r="C1055" i="10"/>
  <c r="D1055" i="10"/>
  <c r="E1055" i="10"/>
  <c r="B1056" i="10"/>
  <c r="C1056" i="10"/>
  <c r="D1056" i="10"/>
  <c r="E1056" i="10"/>
  <c r="B1057" i="10"/>
  <c r="C1057" i="10"/>
  <c r="D1057" i="10"/>
  <c r="E1057" i="10"/>
  <c r="B1058" i="10"/>
  <c r="C1058" i="10"/>
  <c r="D1058" i="10"/>
  <c r="E1058" i="10"/>
  <c r="B1059" i="10"/>
  <c r="C1059" i="10"/>
  <c r="D1059" i="10"/>
  <c r="E1059" i="10"/>
  <c r="B1060" i="10"/>
  <c r="C1060" i="10"/>
  <c r="D1060" i="10"/>
  <c r="E1060" i="10"/>
  <c r="B1061" i="10"/>
  <c r="C1061" i="10"/>
  <c r="D1061" i="10"/>
  <c r="E1061" i="10"/>
  <c r="B1062" i="10"/>
  <c r="C1062" i="10"/>
  <c r="D1062" i="10"/>
  <c r="E1062" i="10"/>
  <c r="B1063" i="10"/>
  <c r="C1063" i="10"/>
  <c r="D1063" i="10"/>
  <c r="E1063" i="10"/>
  <c r="B1064" i="10"/>
  <c r="C1064" i="10"/>
  <c r="D1064" i="10"/>
  <c r="E1064" i="10"/>
  <c r="B1065" i="10"/>
  <c r="C1065" i="10"/>
  <c r="D1065" i="10"/>
  <c r="E1065" i="10"/>
  <c r="B1066" i="10"/>
  <c r="C1066" i="10"/>
  <c r="D1066" i="10"/>
  <c r="E1066" i="10"/>
  <c r="B1067" i="10"/>
  <c r="C1067" i="10"/>
  <c r="D1067" i="10"/>
  <c r="E1067" i="10"/>
  <c r="B1068" i="10"/>
  <c r="C1068" i="10"/>
  <c r="D1068" i="10"/>
  <c r="E1068" i="10"/>
  <c r="B1069" i="10"/>
  <c r="C1069" i="10"/>
  <c r="D1069" i="10"/>
  <c r="E1069" i="10"/>
  <c r="B1070" i="10"/>
  <c r="C1070" i="10"/>
  <c r="D1070" i="10"/>
  <c r="E1070" i="10"/>
  <c r="B1071" i="10"/>
  <c r="C1071" i="10"/>
  <c r="D1071" i="10"/>
  <c r="E1071" i="10"/>
  <c r="B1072" i="10"/>
  <c r="C1072" i="10"/>
  <c r="D1072" i="10"/>
  <c r="E1072" i="10"/>
  <c r="B1073" i="10"/>
  <c r="C1073" i="10"/>
  <c r="D1073" i="10"/>
  <c r="E1073" i="10"/>
  <c r="B1074" i="10"/>
  <c r="C1074" i="10"/>
  <c r="D1074" i="10"/>
  <c r="E1074" i="10"/>
  <c r="B1075" i="10"/>
  <c r="C1075" i="10"/>
  <c r="D1075" i="10"/>
  <c r="E1075" i="10"/>
  <c r="B1076" i="10"/>
  <c r="C1076" i="10"/>
  <c r="D1076" i="10"/>
  <c r="E1076" i="10"/>
  <c r="B1077" i="10"/>
  <c r="C1077" i="10"/>
  <c r="D1077" i="10"/>
  <c r="E1077" i="10"/>
  <c r="B1078" i="10"/>
  <c r="C1078" i="10"/>
  <c r="D1078" i="10"/>
  <c r="E1078" i="10"/>
  <c r="B1079" i="10"/>
  <c r="C1079" i="10"/>
  <c r="D1079" i="10"/>
  <c r="E1079" i="10"/>
  <c r="B1080" i="10"/>
  <c r="C1080" i="10"/>
  <c r="D1080" i="10"/>
  <c r="E1080" i="10"/>
  <c r="B1081" i="10"/>
  <c r="C1081" i="10"/>
  <c r="D1081" i="10"/>
  <c r="E1081" i="10"/>
  <c r="B1082" i="10"/>
  <c r="C1082" i="10"/>
  <c r="D1082" i="10"/>
  <c r="E1082" i="10"/>
  <c r="B1083" i="10"/>
  <c r="C1083" i="10"/>
  <c r="D1083" i="10"/>
  <c r="E1083" i="10"/>
  <c r="B1084" i="10"/>
  <c r="C1084" i="10"/>
  <c r="D1084" i="10"/>
  <c r="E1084" i="10"/>
  <c r="B1085" i="10"/>
  <c r="C1085" i="10"/>
  <c r="D1085" i="10"/>
  <c r="E1085" i="10"/>
  <c r="B1086" i="10"/>
  <c r="C1086" i="10"/>
  <c r="D1086" i="10"/>
  <c r="E1086" i="10"/>
  <c r="B1087" i="10"/>
  <c r="C1087" i="10"/>
  <c r="D1087" i="10"/>
  <c r="E1087" i="10"/>
  <c r="B1088" i="10"/>
  <c r="C1088" i="10"/>
  <c r="D1088" i="10"/>
  <c r="E1088" i="10"/>
  <c r="B1089" i="10"/>
  <c r="C1089" i="10"/>
  <c r="D1089" i="10"/>
  <c r="E1089" i="10"/>
  <c r="B1090" i="10"/>
  <c r="C1090" i="10"/>
  <c r="D1090" i="10"/>
  <c r="E1090" i="10"/>
  <c r="B1091" i="10"/>
  <c r="C1091" i="10"/>
  <c r="D1091" i="10"/>
  <c r="E1091" i="10"/>
  <c r="B1092" i="10"/>
  <c r="C1092" i="10"/>
  <c r="D1092" i="10"/>
  <c r="E1092" i="10"/>
  <c r="B1093" i="10"/>
  <c r="C1093" i="10"/>
  <c r="D1093" i="10"/>
  <c r="E1093" i="10"/>
  <c r="B1094" i="10"/>
  <c r="C1094" i="10"/>
  <c r="D1094" i="10"/>
  <c r="E1094" i="10"/>
  <c r="B1095" i="10"/>
  <c r="C1095" i="10"/>
  <c r="D1095" i="10"/>
  <c r="E1095" i="10"/>
  <c r="B1096" i="10"/>
  <c r="C1096" i="10"/>
  <c r="D1096" i="10"/>
  <c r="E1096" i="10"/>
  <c r="B1097" i="10"/>
  <c r="C1097" i="10"/>
  <c r="D1097" i="10"/>
  <c r="E1097" i="10"/>
  <c r="B1098" i="10"/>
  <c r="C1098" i="10"/>
  <c r="D1098" i="10"/>
  <c r="E1098" i="10"/>
  <c r="B1099" i="10"/>
  <c r="C1099" i="10"/>
  <c r="D1099" i="10"/>
  <c r="E1099" i="10"/>
  <c r="B1100" i="10"/>
  <c r="C1100" i="10"/>
  <c r="D1100" i="10"/>
  <c r="E1100" i="10"/>
  <c r="B1101" i="10"/>
  <c r="C1101" i="10"/>
  <c r="D1101" i="10"/>
  <c r="E1101" i="10"/>
  <c r="B1102" i="10"/>
  <c r="C1102" i="10"/>
  <c r="D1102" i="10"/>
  <c r="E1102" i="10"/>
  <c r="B1103" i="10"/>
  <c r="C1103" i="10"/>
  <c r="D1103" i="10"/>
  <c r="E1103" i="10"/>
  <c r="B1104" i="10"/>
  <c r="C1104" i="10"/>
  <c r="D1104" i="10"/>
  <c r="E1104" i="10"/>
  <c r="B1105" i="10"/>
  <c r="C1105" i="10"/>
  <c r="D1105" i="10"/>
  <c r="E1105" i="10"/>
  <c r="B1106" i="10"/>
  <c r="C1106" i="10"/>
  <c r="D1106" i="10"/>
  <c r="E1106" i="10"/>
  <c r="B1107" i="10"/>
  <c r="C1107" i="10"/>
  <c r="D1107" i="10"/>
  <c r="E1107" i="10"/>
  <c r="B1108" i="10"/>
  <c r="C1108" i="10"/>
  <c r="D1108" i="10"/>
  <c r="E1108" i="10"/>
  <c r="B1109" i="10"/>
  <c r="C1109" i="10"/>
  <c r="D1109" i="10"/>
  <c r="E1109" i="10"/>
  <c r="B1110" i="10"/>
  <c r="C1110" i="10"/>
  <c r="D1110" i="10"/>
  <c r="E1110" i="10"/>
  <c r="B1111" i="10"/>
  <c r="C1111" i="10"/>
  <c r="D1111" i="10"/>
  <c r="E1111" i="10"/>
  <c r="B1112" i="10"/>
  <c r="C1112" i="10"/>
  <c r="D1112" i="10"/>
  <c r="E1112" i="10"/>
  <c r="B1113" i="10"/>
  <c r="C1113" i="10"/>
  <c r="D1113" i="10"/>
  <c r="E1113" i="10"/>
  <c r="B1114" i="10"/>
  <c r="C1114" i="10"/>
  <c r="D1114" i="10"/>
  <c r="E1114" i="10"/>
  <c r="B1115" i="10"/>
  <c r="C1115" i="10"/>
  <c r="D1115" i="10"/>
  <c r="E1115" i="10"/>
  <c r="B1116" i="10"/>
  <c r="C1116" i="10"/>
  <c r="D1116" i="10"/>
  <c r="E1116" i="10"/>
  <c r="B1117" i="10"/>
  <c r="C1117" i="10"/>
  <c r="D1117" i="10"/>
  <c r="E1117" i="10"/>
  <c r="B1118" i="10"/>
  <c r="C1118" i="10"/>
  <c r="D1118" i="10"/>
  <c r="E1118" i="10"/>
  <c r="B1119" i="10"/>
  <c r="C1119" i="10"/>
  <c r="D1119" i="10"/>
  <c r="E1119" i="10"/>
  <c r="B1120" i="10"/>
  <c r="C1120" i="10"/>
  <c r="D1120" i="10"/>
  <c r="E1120" i="10"/>
  <c r="B1121" i="10"/>
  <c r="C1121" i="10"/>
  <c r="D1121" i="10"/>
  <c r="E1121" i="10"/>
  <c r="B1122" i="10"/>
  <c r="C1122" i="10"/>
  <c r="D1122" i="10"/>
  <c r="E1122" i="10"/>
  <c r="B1123" i="10"/>
  <c r="C1123" i="10"/>
  <c r="D1123" i="10"/>
  <c r="E1123" i="10"/>
  <c r="B1124" i="10"/>
  <c r="C1124" i="10"/>
  <c r="D1124" i="10"/>
  <c r="E1124" i="10"/>
  <c r="B1125" i="10"/>
  <c r="C1125" i="10"/>
  <c r="D1125" i="10"/>
  <c r="E1125" i="10"/>
  <c r="B1126" i="10"/>
  <c r="C1126" i="10"/>
  <c r="D1126" i="10"/>
  <c r="E1126" i="10"/>
  <c r="B1127" i="10"/>
  <c r="C1127" i="10"/>
  <c r="D1127" i="10"/>
  <c r="E1127" i="10"/>
  <c r="B1128" i="10"/>
  <c r="C1128" i="10"/>
  <c r="D1128" i="10"/>
  <c r="E1128" i="10"/>
  <c r="B1129" i="10"/>
  <c r="C1129" i="10"/>
  <c r="D1129" i="10"/>
  <c r="E1129" i="10"/>
  <c r="B1130" i="10"/>
  <c r="C1130" i="10"/>
  <c r="D1130" i="10"/>
  <c r="E1130" i="10"/>
  <c r="B1131" i="10"/>
  <c r="C1131" i="10"/>
  <c r="D1131" i="10"/>
  <c r="E1131" i="10"/>
  <c r="B1132" i="10"/>
  <c r="C1132" i="10"/>
  <c r="D1132" i="10"/>
  <c r="E1132" i="10"/>
  <c r="B1133" i="10"/>
  <c r="C1133" i="10"/>
  <c r="D1133" i="10"/>
  <c r="E1133" i="10"/>
  <c r="B1134" i="10"/>
  <c r="C1134" i="10"/>
  <c r="D1134" i="10"/>
  <c r="E1134" i="10"/>
  <c r="B1135" i="10"/>
  <c r="C1135" i="10"/>
  <c r="D1135" i="10"/>
  <c r="E1135" i="10"/>
  <c r="B1136" i="10"/>
  <c r="C1136" i="10"/>
  <c r="D1136" i="10"/>
  <c r="E1136" i="10"/>
  <c r="B1137" i="10"/>
  <c r="C1137" i="10"/>
  <c r="D1137" i="10"/>
  <c r="E1137" i="10"/>
  <c r="B1138" i="10"/>
  <c r="C1138" i="10"/>
  <c r="D1138" i="10"/>
  <c r="E1138" i="10"/>
  <c r="B1139" i="10"/>
  <c r="C1139" i="10"/>
  <c r="D1139" i="10"/>
  <c r="E1139" i="10"/>
  <c r="B1140" i="10"/>
  <c r="C1140" i="10"/>
  <c r="D1140" i="10"/>
  <c r="E1140" i="10"/>
  <c r="B1141" i="10"/>
  <c r="C1141" i="10"/>
  <c r="D1141" i="10"/>
  <c r="E1141" i="10"/>
  <c r="B1142" i="10"/>
  <c r="C1142" i="10"/>
  <c r="D1142" i="10"/>
  <c r="E1142" i="10"/>
  <c r="B1143" i="10"/>
  <c r="C1143" i="10"/>
  <c r="D1143" i="10"/>
  <c r="E1143" i="10"/>
  <c r="B1144" i="10"/>
  <c r="C1144" i="10"/>
  <c r="D1144" i="10"/>
  <c r="E1144" i="10"/>
  <c r="B1145" i="10"/>
  <c r="C1145" i="10"/>
  <c r="D1145" i="10"/>
  <c r="E1145" i="10"/>
  <c r="B1146" i="10"/>
  <c r="C1146" i="10"/>
  <c r="D1146" i="10"/>
  <c r="E1146" i="10"/>
  <c r="B1147" i="10"/>
  <c r="C1147" i="10"/>
  <c r="D1147" i="10"/>
  <c r="E1147" i="10"/>
  <c r="B1148" i="10"/>
  <c r="C1148" i="10"/>
  <c r="D1148" i="10"/>
  <c r="E1148" i="10"/>
  <c r="B1149" i="10"/>
  <c r="C1149" i="10"/>
  <c r="D1149" i="10"/>
  <c r="E1149" i="10"/>
  <c r="B1150" i="10"/>
  <c r="C1150" i="10"/>
  <c r="D1150" i="10"/>
  <c r="E1150" i="10"/>
  <c r="B1151" i="10"/>
  <c r="C1151" i="10"/>
  <c r="D1151" i="10"/>
  <c r="E1151" i="10"/>
  <c r="B1152" i="10"/>
  <c r="C1152" i="10"/>
  <c r="D1152" i="10"/>
  <c r="E1152" i="10"/>
  <c r="B1153" i="10"/>
  <c r="C1153" i="10"/>
  <c r="D1153" i="10"/>
  <c r="E1153" i="10"/>
  <c r="B1154" i="10"/>
  <c r="C1154" i="10"/>
  <c r="D1154" i="10"/>
  <c r="E1154" i="10"/>
  <c r="B1155" i="10"/>
  <c r="C1155" i="10"/>
  <c r="D1155" i="10"/>
  <c r="E1155" i="10"/>
  <c r="B1156" i="10"/>
  <c r="C1156" i="10"/>
  <c r="D1156" i="10"/>
  <c r="E1156" i="10"/>
  <c r="B1157" i="10"/>
  <c r="C1157" i="10"/>
  <c r="D1157" i="10"/>
  <c r="E1157" i="10"/>
  <c r="B1158" i="10"/>
  <c r="C1158" i="10"/>
  <c r="D1158" i="10"/>
  <c r="E1158" i="10"/>
  <c r="B1159" i="10"/>
  <c r="C1159" i="10"/>
  <c r="D1159" i="10"/>
  <c r="E1159" i="10"/>
  <c r="B1160" i="10"/>
  <c r="C1160" i="10"/>
  <c r="D1160" i="10"/>
  <c r="E1160" i="10"/>
  <c r="B1161" i="10"/>
  <c r="C1161" i="10"/>
  <c r="D1161" i="10"/>
  <c r="E1161" i="10"/>
  <c r="B1162" i="10"/>
  <c r="C1162" i="10"/>
  <c r="D1162" i="10"/>
  <c r="E1162" i="10"/>
  <c r="B1163" i="10"/>
  <c r="C1163" i="10"/>
  <c r="D1163" i="10"/>
  <c r="E1163" i="10"/>
  <c r="B1164" i="10"/>
  <c r="C1164" i="10"/>
  <c r="D1164" i="10"/>
  <c r="E1164" i="10"/>
  <c r="B1165" i="10"/>
  <c r="C1165" i="10"/>
  <c r="D1165" i="10"/>
  <c r="E1165" i="10"/>
  <c r="B1166" i="10"/>
  <c r="C1166" i="10"/>
  <c r="D1166" i="10"/>
  <c r="E1166" i="10"/>
  <c r="B1167" i="10"/>
  <c r="C1167" i="10"/>
  <c r="D1167" i="10"/>
  <c r="E1167" i="10"/>
  <c r="B1168" i="10"/>
  <c r="C1168" i="10"/>
  <c r="D1168" i="10"/>
  <c r="E1168" i="10"/>
  <c r="B1169" i="10"/>
  <c r="C1169" i="10"/>
  <c r="D1169" i="10"/>
  <c r="E1169" i="10"/>
  <c r="B1170" i="10"/>
  <c r="C1170" i="10"/>
  <c r="D1170" i="10"/>
  <c r="E1170" i="10"/>
  <c r="B1171" i="10"/>
  <c r="C1171" i="10"/>
  <c r="D1171" i="10"/>
  <c r="E1171" i="10"/>
  <c r="B1172" i="10"/>
  <c r="C1172" i="10"/>
  <c r="D1172" i="10"/>
  <c r="E1172" i="10"/>
  <c r="B1173" i="10"/>
  <c r="C1173" i="10"/>
  <c r="D1173" i="10"/>
  <c r="E1173" i="10"/>
  <c r="B1174" i="10"/>
  <c r="C1174" i="10"/>
  <c r="D1174" i="10"/>
  <c r="E1174" i="10"/>
  <c r="B1175" i="10"/>
  <c r="C1175" i="10"/>
  <c r="D1175" i="10"/>
  <c r="E1175" i="10"/>
  <c r="B1176" i="10"/>
  <c r="C1176" i="10"/>
  <c r="D1176" i="10"/>
  <c r="E1176" i="10"/>
  <c r="B1177" i="10"/>
  <c r="C1177" i="10"/>
  <c r="D1177" i="10"/>
  <c r="E1177" i="10"/>
  <c r="B1178" i="10"/>
  <c r="C1178" i="10"/>
  <c r="D1178" i="10"/>
  <c r="E1178" i="10"/>
  <c r="B1179" i="10"/>
  <c r="C1179" i="10"/>
  <c r="D1179" i="10"/>
  <c r="E1179" i="10"/>
  <c r="B1180" i="10"/>
  <c r="C1180" i="10"/>
  <c r="D1180" i="10"/>
  <c r="E1180" i="10"/>
  <c r="B1181" i="10"/>
  <c r="C1181" i="10"/>
  <c r="D1181" i="10"/>
  <c r="E1181" i="10"/>
  <c r="B1182" i="10"/>
  <c r="C1182" i="10"/>
  <c r="D1182" i="10"/>
  <c r="E1182" i="10"/>
  <c r="B1183" i="10"/>
  <c r="C1183" i="10"/>
  <c r="D1183" i="10"/>
  <c r="E1183" i="10"/>
  <c r="B1184" i="10"/>
  <c r="C1184" i="10"/>
  <c r="D1184" i="10"/>
  <c r="E1184" i="10"/>
  <c r="B1185" i="10"/>
  <c r="C1185" i="10"/>
  <c r="D1185" i="10"/>
  <c r="E1185" i="10"/>
  <c r="B1186" i="10"/>
  <c r="C1186" i="10"/>
  <c r="D1186" i="10"/>
  <c r="E1186" i="10"/>
  <c r="B1187" i="10"/>
  <c r="C1187" i="10"/>
  <c r="D1187" i="10"/>
  <c r="E1187" i="10"/>
  <c r="B1188" i="10"/>
  <c r="C1188" i="10"/>
  <c r="D1188" i="10"/>
  <c r="E1188" i="10"/>
  <c r="B1189" i="10"/>
  <c r="C1189" i="10"/>
  <c r="D1189" i="10"/>
  <c r="E1189" i="10"/>
  <c r="B1190" i="10"/>
  <c r="C1190" i="10"/>
  <c r="D1190" i="10"/>
  <c r="E1190" i="10"/>
  <c r="B1191" i="10"/>
  <c r="C1191" i="10"/>
  <c r="D1191" i="10"/>
  <c r="E1191" i="10"/>
  <c r="B1192" i="10"/>
  <c r="C1192" i="10"/>
  <c r="D1192" i="10"/>
  <c r="E1192" i="10"/>
  <c r="B1193" i="10"/>
  <c r="C1193" i="10"/>
  <c r="D1193" i="10"/>
  <c r="E1193" i="10"/>
  <c r="B1194" i="10"/>
  <c r="C1194" i="10"/>
  <c r="D1194" i="10"/>
  <c r="E1194" i="10"/>
  <c r="B1195" i="10"/>
  <c r="C1195" i="10"/>
  <c r="D1195" i="10"/>
  <c r="E1195" i="10"/>
  <c r="B1196" i="10"/>
  <c r="C1196" i="10"/>
  <c r="D1196" i="10"/>
  <c r="E1196" i="10"/>
  <c r="B1197" i="10"/>
  <c r="C1197" i="10"/>
  <c r="D1197" i="10"/>
  <c r="E1197" i="10"/>
  <c r="B1198" i="10"/>
  <c r="C1198" i="10"/>
  <c r="D1198" i="10"/>
  <c r="E1198" i="10"/>
  <c r="B1199" i="10"/>
  <c r="C1199" i="10"/>
  <c r="D1199" i="10"/>
  <c r="E1199" i="10"/>
  <c r="B1200" i="10"/>
  <c r="C1200" i="10"/>
  <c r="D1200" i="10"/>
  <c r="E1200" i="10"/>
  <c r="B1201" i="10"/>
  <c r="C1201" i="10"/>
  <c r="D1201" i="10"/>
  <c r="E1201" i="10"/>
  <c r="B1202" i="10"/>
  <c r="C1202" i="10"/>
  <c r="D1202" i="10"/>
  <c r="E1202" i="10"/>
  <c r="B1203" i="10"/>
  <c r="C1203" i="10"/>
  <c r="D1203" i="10"/>
  <c r="E1203" i="10"/>
  <c r="B1204" i="10"/>
  <c r="C1204" i="10"/>
  <c r="D1204" i="10"/>
  <c r="E1204" i="10"/>
  <c r="B1205" i="10"/>
  <c r="C1205" i="10"/>
  <c r="D1205" i="10"/>
  <c r="E1205" i="10"/>
  <c r="B1206" i="10"/>
  <c r="C1206" i="10"/>
  <c r="D1206" i="10"/>
  <c r="E1206" i="10"/>
  <c r="B1207" i="10"/>
  <c r="C1207" i="10"/>
  <c r="D1207" i="10"/>
  <c r="E1207" i="10"/>
  <c r="B1208" i="10"/>
  <c r="C1208" i="10"/>
  <c r="D1208" i="10"/>
  <c r="E1208" i="10"/>
  <c r="B1209" i="10"/>
  <c r="C1209" i="10"/>
  <c r="D1209" i="10"/>
  <c r="E1209" i="10"/>
  <c r="B1210" i="10"/>
  <c r="C1210" i="10"/>
  <c r="D1210" i="10"/>
  <c r="E1210" i="10"/>
  <c r="B1211" i="10"/>
  <c r="C1211" i="10"/>
  <c r="D1211" i="10"/>
  <c r="E1211" i="10"/>
  <c r="B1212" i="10"/>
  <c r="C1212" i="10"/>
  <c r="D1212" i="10"/>
  <c r="E1212" i="10"/>
  <c r="B1213" i="10"/>
  <c r="C1213" i="10"/>
  <c r="D1213" i="10"/>
  <c r="E1213" i="10"/>
  <c r="B1214" i="10"/>
  <c r="C1214" i="10"/>
  <c r="D1214" i="10"/>
  <c r="E1214" i="10"/>
  <c r="B1215" i="10"/>
  <c r="C1215" i="10"/>
  <c r="D1215" i="10"/>
  <c r="E1215" i="10"/>
  <c r="B1216" i="10"/>
  <c r="C1216" i="10"/>
  <c r="D1216" i="10"/>
  <c r="E1216" i="10"/>
  <c r="B1217" i="10"/>
  <c r="C1217" i="10"/>
  <c r="D1217" i="10"/>
  <c r="E1217" i="10"/>
  <c r="B1218" i="10"/>
  <c r="C1218" i="10"/>
  <c r="D1218" i="10"/>
  <c r="E1218" i="10"/>
  <c r="B1219" i="10"/>
  <c r="C1219" i="10"/>
  <c r="D1219" i="10"/>
  <c r="E1219" i="10"/>
  <c r="B1220" i="10"/>
  <c r="C1220" i="10"/>
  <c r="D1220" i="10"/>
  <c r="E1220" i="10"/>
  <c r="B1221" i="10"/>
  <c r="C1221" i="10"/>
  <c r="D1221" i="10"/>
  <c r="E1221" i="10"/>
  <c r="B1222" i="10"/>
  <c r="C1222" i="10"/>
  <c r="D1222" i="10"/>
  <c r="E1222" i="10"/>
  <c r="B1223" i="10"/>
  <c r="C1223" i="10"/>
  <c r="D1223" i="10"/>
  <c r="E1223" i="10"/>
  <c r="B1224" i="10"/>
  <c r="C1224" i="10"/>
  <c r="D1224" i="10"/>
  <c r="E1224" i="10"/>
  <c r="B1225" i="10"/>
  <c r="C1225" i="10"/>
  <c r="D1225" i="10"/>
  <c r="E1225" i="10"/>
  <c r="B1226" i="10"/>
  <c r="C1226" i="10"/>
  <c r="D1226" i="10"/>
  <c r="E1226" i="10"/>
  <c r="B1227" i="10"/>
  <c r="C1227" i="10"/>
  <c r="D1227" i="10"/>
  <c r="E1227" i="10"/>
  <c r="B1228" i="10"/>
  <c r="C1228" i="10"/>
  <c r="D1228" i="10"/>
  <c r="E1228" i="10"/>
  <c r="B1229" i="10"/>
  <c r="C1229" i="10"/>
  <c r="D1229" i="10"/>
  <c r="E1229" i="10"/>
  <c r="B1230" i="10"/>
  <c r="C1230" i="10"/>
  <c r="D1230" i="10"/>
  <c r="E1230" i="10"/>
  <c r="B1231" i="10"/>
  <c r="C1231" i="10"/>
  <c r="D1231" i="10"/>
  <c r="E1231" i="10"/>
  <c r="B1232" i="10"/>
  <c r="C1232" i="10"/>
  <c r="D1232" i="10"/>
  <c r="E1232" i="10"/>
  <c r="B1233" i="10"/>
  <c r="C1233" i="10"/>
  <c r="D1233" i="10"/>
  <c r="E1233" i="10"/>
  <c r="B1234" i="10"/>
  <c r="C1234" i="10"/>
  <c r="D1234" i="10"/>
  <c r="E1234" i="10"/>
  <c r="B1235" i="10"/>
  <c r="C1235" i="10"/>
  <c r="D1235" i="10"/>
  <c r="E1235" i="10"/>
  <c r="B1236" i="10"/>
  <c r="C1236" i="10"/>
  <c r="D1236" i="10"/>
  <c r="E1236" i="10"/>
  <c r="B1237" i="10"/>
  <c r="C1237" i="10"/>
  <c r="D1237" i="10"/>
  <c r="E1237" i="10"/>
  <c r="B1238" i="10"/>
  <c r="C1238" i="10"/>
  <c r="D1238" i="10"/>
  <c r="E1238" i="10"/>
  <c r="B1239" i="10"/>
  <c r="C1239" i="10"/>
  <c r="D1239" i="10"/>
  <c r="E1239" i="10"/>
  <c r="B1240" i="10"/>
  <c r="C1240" i="10"/>
  <c r="D1240" i="10"/>
  <c r="E1240" i="10"/>
  <c r="B1241" i="10"/>
  <c r="C1241" i="10"/>
  <c r="D1241" i="10"/>
  <c r="E1241" i="10"/>
  <c r="B1242" i="10"/>
  <c r="C1242" i="10"/>
  <c r="D1242" i="10"/>
  <c r="E1242" i="10"/>
  <c r="B1243" i="10"/>
  <c r="C1243" i="10"/>
  <c r="D1243" i="10"/>
  <c r="E1243" i="10"/>
  <c r="B1244" i="10"/>
  <c r="C1244" i="10"/>
  <c r="D1244" i="10"/>
  <c r="E1244" i="10"/>
  <c r="B1245" i="10"/>
  <c r="C1245" i="10"/>
  <c r="D1245" i="10"/>
  <c r="E1245" i="10"/>
  <c r="B1246" i="10"/>
  <c r="C1246" i="10"/>
  <c r="D1246" i="10"/>
  <c r="E1246" i="10"/>
  <c r="B1247" i="10"/>
  <c r="C1247" i="10"/>
  <c r="D1247" i="10"/>
  <c r="E1247" i="10"/>
  <c r="B1248" i="10"/>
  <c r="C1248" i="10"/>
  <c r="D1248" i="10"/>
  <c r="E1248" i="10"/>
  <c r="B1249" i="10"/>
  <c r="C1249" i="10"/>
  <c r="D1249" i="10"/>
  <c r="E1249" i="10"/>
  <c r="B1250" i="10"/>
  <c r="C1250" i="10"/>
  <c r="D1250" i="10"/>
  <c r="E1250" i="10"/>
  <c r="B1251" i="10"/>
  <c r="C1251" i="10"/>
  <c r="D1251" i="10"/>
  <c r="E1251" i="10"/>
  <c r="B1252" i="10"/>
  <c r="C1252" i="10"/>
  <c r="D1252" i="10"/>
  <c r="E1252" i="10"/>
  <c r="B1253" i="10"/>
  <c r="C1253" i="10"/>
  <c r="D1253" i="10"/>
  <c r="E1253" i="10"/>
  <c r="B1254" i="10"/>
  <c r="C1254" i="10"/>
  <c r="D1254" i="10"/>
  <c r="E1254" i="10"/>
  <c r="B1255" i="10"/>
  <c r="C1255" i="10"/>
  <c r="D1255" i="10"/>
  <c r="E1255" i="10"/>
  <c r="B1256" i="10"/>
  <c r="C1256" i="10"/>
  <c r="D1256" i="10"/>
  <c r="E1256" i="10"/>
  <c r="C2" i="4"/>
  <c r="E2" i="4"/>
  <c r="G2" i="4"/>
  <c r="I2" i="4"/>
  <c r="C3" i="4"/>
  <c r="D3" i="4"/>
  <c r="E3" i="4"/>
  <c r="F3" i="4"/>
  <c r="G3" i="4"/>
  <c r="H3" i="4"/>
  <c r="I3" i="4"/>
  <c r="J3" i="4"/>
  <c r="C20" i="4"/>
  <c r="C27" i="4" s="1"/>
  <c r="D20" i="4"/>
  <c r="D27" i="4" s="1"/>
  <c r="E20" i="4"/>
  <c r="E27" i="4" s="1"/>
  <c r="F20" i="4"/>
  <c r="G20" i="4"/>
  <c r="H20" i="4"/>
  <c r="I20" i="4"/>
  <c r="J20" i="4"/>
  <c r="F27" i="4"/>
  <c r="C34" i="4"/>
  <c r="C35" i="4"/>
  <c r="D35" i="4"/>
  <c r="E35" i="4"/>
  <c r="F35" i="4"/>
  <c r="G35" i="4"/>
  <c r="H35" i="4"/>
  <c r="I35" i="4"/>
  <c r="J35" i="4"/>
  <c r="C41" i="4"/>
  <c r="C50" i="4"/>
  <c r="D50" i="4"/>
  <c r="E50" i="4"/>
  <c r="F50" i="4"/>
  <c r="G50" i="4"/>
  <c r="H50" i="4"/>
  <c r="I50" i="4"/>
  <c r="J50" i="4"/>
  <c r="C65" i="4"/>
  <c r="D65" i="4"/>
  <c r="E65" i="4"/>
  <c r="F65" i="4"/>
  <c r="G65" i="4"/>
  <c r="H65" i="4"/>
  <c r="I65" i="4"/>
  <c r="J65" i="4"/>
  <c r="C72" i="4"/>
  <c r="D72" i="4"/>
  <c r="E72" i="4"/>
  <c r="F72" i="4"/>
  <c r="G72" i="4"/>
  <c r="H72" i="4"/>
  <c r="I72" i="4"/>
  <c r="J72" i="4"/>
  <c r="B10" i="2"/>
  <c r="B60" i="3" s="1" a="1"/>
  <c r="B60" i="3" s="1"/>
  <c r="B11" i="2"/>
  <c r="C65" i="3" s="1" a="1"/>
  <c r="C65" i="3" s="1"/>
  <c r="B12" i="2"/>
  <c r="D7" i="3" s="1"/>
  <c r="B13" i="2"/>
  <c r="E61" i="3" s="1" a="1"/>
  <c r="E61" i="3" s="1"/>
  <c r="B14" i="2"/>
  <c r="F26" i="3" s="1" a="1"/>
  <c r="F26" i="3" s="1"/>
  <c r="H21" i="4" s="1"/>
  <c r="B15" i="2"/>
  <c r="G42" i="3" s="1" a="1"/>
  <c r="G42" i="3" s="1"/>
  <c r="B16" i="2"/>
  <c r="H58" i="3" s="1" a="1"/>
  <c r="H58" i="3" s="1"/>
  <c r="J6" i="4" s="1"/>
  <c r="B17" i="2"/>
  <c r="I65" i="3" s="1" a="1"/>
  <c r="I65" i="3" s="1"/>
  <c r="E63" i="3" l="1" a="1"/>
  <c r="E63" i="3" s="1"/>
  <c r="I67" i="3" a="1"/>
  <c r="I67" i="3" s="1"/>
  <c r="F69" i="4" s="1"/>
  <c r="I63" i="3" a="1"/>
  <c r="I63" i="3" s="1"/>
  <c r="F54" i="4" s="1"/>
  <c r="E58" i="3" a="1"/>
  <c r="E58" i="3" s="1"/>
  <c r="B58" i="3" a="1"/>
  <c r="B58" i="3" s="1"/>
  <c r="H64" i="3" a="1"/>
  <c r="H64" i="3" s="1"/>
  <c r="J53" i="4" s="1"/>
  <c r="I13" i="3" a="1"/>
  <c r="I13" i="3" s="1"/>
  <c r="C69" i="4" s="1"/>
  <c r="F13" i="3" a="1"/>
  <c r="F13" i="3" s="1"/>
  <c r="C66" i="4" s="1"/>
  <c r="F64" i="3" a="1"/>
  <c r="F64" i="3" s="1"/>
  <c r="J51" i="4" s="1"/>
  <c r="I29" i="3" a="1"/>
  <c r="I29" i="3" s="1"/>
  <c r="F12" i="3" a="1"/>
  <c r="F12" i="3" s="1"/>
  <c r="C12" i="3" a="1"/>
  <c r="C12" i="3" s="1"/>
  <c r="F63" i="3" a="1"/>
  <c r="F63" i="3" s="1"/>
  <c r="F51" i="4" s="1"/>
  <c r="G48" i="3" a="1"/>
  <c r="G48" i="3" s="1"/>
  <c r="C11" i="3" a="1"/>
  <c r="C11" i="3" s="1"/>
  <c r="I10" i="3" a="1"/>
  <c r="I10" i="3" s="1"/>
  <c r="G54" i="4" s="1"/>
  <c r="F67" i="3" a="1"/>
  <c r="F67" i="3" s="1"/>
  <c r="F66" i="4" s="1"/>
  <c r="F62" i="3" a="1"/>
  <c r="F62" i="3" s="1"/>
  <c r="J21" i="4" s="1"/>
  <c r="E67" i="3" a="1"/>
  <c r="E67" i="3" s="1"/>
  <c r="E62" i="3" a="1"/>
  <c r="E62" i="3" s="1"/>
  <c r="I9" i="3" a="1"/>
  <c r="I9" i="3" s="1"/>
  <c r="C54" i="4" s="1"/>
  <c r="F9" i="3" a="1"/>
  <c r="F9" i="3" s="1"/>
  <c r="C51" i="4" s="1"/>
  <c r="G44" i="3" a="1"/>
  <c r="G44" i="3" s="1"/>
  <c r="I22" i="4" s="1"/>
  <c r="F66" i="3" a="1"/>
  <c r="F66" i="3" s="1"/>
  <c r="E25" i="3" a="1"/>
  <c r="E25" i="3" s="1"/>
  <c r="F8" i="3" a="1"/>
  <c r="F8" i="3" s="1"/>
  <c r="G21" i="4" s="1"/>
  <c r="B25" i="3" a="1"/>
  <c r="B25" i="3" s="1"/>
  <c r="D43" i="3" a="1"/>
  <c r="D43" i="3" s="1"/>
  <c r="F61" i="3" a="1"/>
  <c r="F61" i="3" s="1"/>
  <c r="B66" i="3" a="1"/>
  <c r="B66" i="3" s="1"/>
  <c r="G24" i="3" a="1"/>
  <c r="G24" i="3" s="1"/>
  <c r="D24" i="3" a="1"/>
  <c r="D24" i="3" s="1"/>
  <c r="E66" i="3" a="1"/>
  <c r="E66" i="3" s="1"/>
  <c r="H60" i="3" a="1"/>
  <c r="H60" i="3" s="1"/>
  <c r="F60" i="3" a="1"/>
  <c r="F60" i="3" s="1"/>
  <c r="F65" i="3" a="1"/>
  <c r="F65" i="3" s="1"/>
  <c r="B65" i="3" a="1"/>
  <c r="B65" i="3" s="1"/>
  <c r="F58" i="3" a="1"/>
  <c r="F58" i="3" s="1"/>
  <c r="J4" i="4" s="1"/>
  <c r="C7" i="3"/>
  <c r="E4" i="3" a="1"/>
  <c r="E4" i="3" s="1"/>
  <c r="G1244" i="1"/>
  <c r="F1202" i="5"/>
  <c r="D1202" i="1"/>
  <c r="D1040" i="1"/>
  <c r="G1028" i="1"/>
  <c r="D1008" i="1"/>
  <c r="G996" i="1"/>
  <c r="D976" i="1"/>
  <c r="G964" i="1"/>
  <c r="I877" i="1"/>
  <c r="I865" i="1"/>
  <c r="G807" i="1"/>
  <c r="G797" i="1"/>
  <c r="F781" i="5"/>
  <c r="D781" i="1"/>
  <c r="I767" i="1"/>
  <c r="G767" i="1"/>
  <c r="F727" i="5"/>
  <c r="G727" i="5" s="1"/>
  <c r="D727" i="1"/>
  <c r="G713" i="1"/>
  <c r="I713" i="1"/>
  <c r="G692" i="1"/>
  <c r="I692" i="1"/>
  <c r="G11" i="3" a="1"/>
  <c r="G11" i="3" s="1"/>
  <c r="D10" i="3" a="1"/>
  <c r="D10" i="3" s="1"/>
  <c r="G66" i="3" a="1"/>
  <c r="G66" i="3" s="1"/>
  <c r="D65" i="3" a="1"/>
  <c r="D65" i="3" s="1"/>
  <c r="G62" i="3" a="1"/>
  <c r="G62" i="3" s="1"/>
  <c r="J22" i="4" s="1"/>
  <c r="D61" i="3" a="1"/>
  <c r="D61" i="3" s="1"/>
  <c r="G58" i="3" a="1"/>
  <c r="G58" i="3" s="1"/>
  <c r="J5" i="4" s="1"/>
  <c r="C49" i="3" a="1"/>
  <c r="C49" i="3" s="1"/>
  <c r="I47" i="3" a="1"/>
  <c r="I47" i="3" s="1"/>
  <c r="F46" i="3" a="1"/>
  <c r="F46" i="3" s="1"/>
  <c r="I51" i="4" s="1"/>
  <c r="C45" i="3" a="1"/>
  <c r="C45" i="3" s="1"/>
  <c r="I43" i="3" a="1"/>
  <c r="I43" i="3" s="1"/>
  <c r="F42" i="3" a="1"/>
  <c r="F42" i="3" s="1"/>
  <c r="H31" i="3" a="1"/>
  <c r="H31" i="3" s="1"/>
  <c r="D68" i="4" s="1"/>
  <c r="E30" i="3" a="1"/>
  <c r="E30" i="3" s="1"/>
  <c r="B29" i="3" a="1"/>
  <c r="B29" i="3" s="1"/>
  <c r="H27" i="3" a="1"/>
  <c r="H27" i="3" s="1"/>
  <c r="D53" i="4" s="1"/>
  <c r="E26" i="3" a="1"/>
  <c r="E26" i="3" s="1"/>
  <c r="B7" i="3"/>
  <c r="I1252" i="1"/>
  <c r="D1247" i="1"/>
  <c r="G1241" i="1"/>
  <c r="I1238" i="1"/>
  <c r="I1221" i="1"/>
  <c r="G1210" i="1"/>
  <c r="I1207" i="1"/>
  <c r="D1199" i="1"/>
  <c r="G1193" i="1"/>
  <c r="I1190" i="1"/>
  <c r="I1173" i="1"/>
  <c r="D1168" i="1"/>
  <c r="G1162" i="1"/>
  <c r="I1159" i="1"/>
  <c r="D1151" i="1"/>
  <c r="G1145" i="1"/>
  <c r="I1142" i="1"/>
  <c r="I1125" i="1"/>
  <c r="D1120" i="1"/>
  <c r="G1114" i="1"/>
  <c r="I1111" i="1"/>
  <c r="D1103" i="1"/>
  <c r="G1097" i="1"/>
  <c r="I1094" i="1"/>
  <c r="I1077" i="1"/>
  <c r="G1054" i="1"/>
  <c r="I1051" i="1"/>
  <c r="I1048" i="1"/>
  <c r="I1045" i="1"/>
  <c r="G1022" i="1"/>
  <c r="I1019" i="1"/>
  <c r="I1016" i="1"/>
  <c r="I1013" i="1"/>
  <c r="G990" i="1"/>
  <c r="I987" i="1"/>
  <c r="I984" i="1"/>
  <c r="I981" i="1"/>
  <c r="G958" i="1"/>
  <c r="I955" i="1"/>
  <c r="I952" i="1"/>
  <c r="I949" i="1"/>
  <c r="I928" i="1"/>
  <c r="I925" i="1"/>
  <c r="D865" i="1"/>
  <c r="F817" i="5"/>
  <c r="G817" i="5" s="1"/>
  <c r="D817" i="1"/>
  <c r="I787" i="1"/>
  <c r="G777" i="1"/>
  <c r="I777" i="1"/>
  <c r="G681" i="1"/>
  <c r="I681" i="1"/>
  <c r="G633" i="1"/>
  <c r="I633" i="1"/>
  <c r="D22" i="3" a="1"/>
  <c r="D22" i="3" s="1"/>
  <c r="I12" i="3" a="1"/>
  <c r="I12" i="3" s="1"/>
  <c r="F11" i="3" a="1"/>
  <c r="F11" i="3" s="1"/>
  <c r="C10" i="3" a="1"/>
  <c r="C10" i="3" s="1"/>
  <c r="I8" i="3" a="1"/>
  <c r="I8" i="3" s="1"/>
  <c r="G24" i="4" s="1"/>
  <c r="D4" i="3" a="1"/>
  <c r="D4" i="3" s="1"/>
  <c r="F1230" i="5"/>
  <c r="D1230" i="1"/>
  <c r="F1066" i="5"/>
  <c r="G1066" i="5" s="1"/>
  <c r="D1066" i="1"/>
  <c r="G820" i="1"/>
  <c r="I820" i="1"/>
  <c r="I723" i="1"/>
  <c r="G659" i="1"/>
  <c r="I659" i="1"/>
  <c r="B49" i="3" a="1"/>
  <c r="B49" i="3" s="1"/>
  <c r="E46" i="3" a="1"/>
  <c r="E46" i="3" s="1"/>
  <c r="B45" i="3" a="1"/>
  <c r="B45" i="3" s="1"/>
  <c r="H43" i="3" a="1"/>
  <c r="H43" i="3" s="1"/>
  <c r="E42" i="3" a="1"/>
  <c r="E42" i="3" s="1"/>
  <c r="G31" i="3" a="1"/>
  <c r="G31" i="3" s="1"/>
  <c r="D67" i="4" s="1"/>
  <c r="D30" i="3" a="1"/>
  <c r="D30" i="3" s="1"/>
  <c r="G27" i="3" a="1"/>
  <c r="G27" i="3" s="1"/>
  <c r="D52" i="4" s="1"/>
  <c r="J6" i="3" a="1"/>
  <c r="J6" i="3" s="1"/>
  <c r="C4" i="3" a="1"/>
  <c r="C4" i="3" s="1"/>
  <c r="G1252" i="1"/>
  <c r="G1238" i="1"/>
  <c r="I1235" i="1"/>
  <c r="G1190" i="1"/>
  <c r="I1187" i="1"/>
  <c r="G1142" i="1"/>
  <c r="I1139" i="1"/>
  <c r="G1125" i="1"/>
  <c r="G1094" i="1"/>
  <c r="G1077" i="1"/>
  <c r="G886" i="1"/>
  <c r="F807" i="5"/>
  <c r="G807" i="5" s="1"/>
  <c r="D807" i="1"/>
  <c r="G670" i="1"/>
  <c r="I670" i="1"/>
  <c r="C61" i="3" a="1"/>
  <c r="C61" i="3" s="1"/>
  <c r="H47" i="3" a="1"/>
  <c r="H47" i="3" s="1"/>
  <c r="D26" i="3" a="1"/>
  <c r="D26" i="3" s="1"/>
  <c r="I24" i="3" a="1"/>
  <c r="I24" i="3" s="1"/>
  <c r="C22" i="3" a="1"/>
  <c r="C22" i="3" s="1"/>
  <c r="H12" i="3" a="1"/>
  <c r="H12" i="3" s="1"/>
  <c r="E11" i="3" a="1"/>
  <c r="E11" i="3" s="1"/>
  <c r="B10" i="3" a="1"/>
  <c r="B10" i="3" s="1"/>
  <c r="H8" i="3" a="1"/>
  <c r="H8" i="3" s="1"/>
  <c r="G23" i="4" s="1"/>
  <c r="I1232" i="1"/>
  <c r="F1210" i="5"/>
  <c r="G1210" i="5" s="1"/>
  <c r="D1210" i="1"/>
  <c r="G1204" i="1"/>
  <c r="D1193" i="1"/>
  <c r="I1184" i="1"/>
  <c r="F1162" i="5"/>
  <c r="G1162" i="5" s="1"/>
  <c r="D1162" i="1"/>
  <c r="G1156" i="1"/>
  <c r="I1136" i="1"/>
  <c r="F1114" i="5"/>
  <c r="G1114" i="5" s="1"/>
  <c r="D1114" i="1"/>
  <c r="G1108" i="1"/>
  <c r="I1088" i="1"/>
  <c r="I1071" i="1"/>
  <c r="I1068" i="1"/>
  <c r="F1054" i="5"/>
  <c r="G1054" i="5" s="1"/>
  <c r="D1054" i="1"/>
  <c r="I1039" i="1"/>
  <c r="I1036" i="1"/>
  <c r="F1022" i="5"/>
  <c r="G1022" i="5" s="1"/>
  <c r="D1022" i="1"/>
  <c r="I1007" i="1"/>
  <c r="F990" i="5"/>
  <c r="D990" i="1"/>
  <c r="I975" i="1"/>
  <c r="I937" i="1"/>
  <c r="I913" i="1"/>
  <c r="G898" i="1"/>
  <c r="I889" i="1"/>
  <c r="G861" i="1"/>
  <c r="I836" i="1"/>
  <c r="G810" i="1"/>
  <c r="F706" i="5"/>
  <c r="G706" i="5" s="1"/>
  <c r="D706" i="1"/>
  <c r="B61" i="3" a="1"/>
  <c r="B61" i="3" s="1"/>
  <c r="G47" i="3" a="1"/>
  <c r="G47" i="3" s="1"/>
  <c r="D46" i="3" a="1"/>
  <c r="D46" i="3" s="1"/>
  <c r="G43" i="3" a="1"/>
  <c r="G43" i="3" s="1"/>
  <c r="D42" i="3" a="1"/>
  <c r="D42" i="3" s="1"/>
  <c r="F31" i="3" a="1"/>
  <c r="F31" i="3" s="1"/>
  <c r="D66" i="4" s="1"/>
  <c r="C30" i="3" a="1"/>
  <c r="C30" i="3" s="1"/>
  <c r="I28" i="3" a="1"/>
  <c r="I28" i="3" s="1"/>
  <c r="H54" i="4" s="1"/>
  <c r="F27" i="3" a="1"/>
  <c r="F27" i="3" s="1"/>
  <c r="D51" i="4" s="1"/>
  <c r="C26" i="3" a="1"/>
  <c r="C26" i="3" s="1"/>
  <c r="I6" i="3" a="1"/>
  <c r="I6" i="3" s="1"/>
  <c r="B4" i="3" a="1"/>
  <c r="B4" i="3" s="1"/>
  <c r="D1224" i="1"/>
  <c r="I1215" i="1"/>
  <c r="I1167" i="1"/>
  <c r="D1159" i="1"/>
  <c r="D1128" i="1"/>
  <c r="I1119" i="1"/>
  <c r="D1111" i="1"/>
  <c r="I1065" i="1"/>
  <c r="I1033" i="1"/>
  <c r="G1010" i="1"/>
  <c r="G978" i="1"/>
  <c r="D880" i="1"/>
  <c r="D877" i="1"/>
  <c r="G839" i="1"/>
  <c r="D810" i="1"/>
  <c r="D780" i="1"/>
  <c r="I756" i="1"/>
  <c r="G756" i="1"/>
  <c r="F674" i="5"/>
  <c r="D674" i="1"/>
  <c r="H67" i="3" a="1"/>
  <c r="H67" i="3" s="1"/>
  <c r="F68" i="4" s="1"/>
  <c r="H63" i="3" a="1"/>
  <c r="H63" i="3" s="1"/>
  <c r="F53" i="4" s="1"/>
  <c r="H24" i="3" a="1"/>
  <c r="H24" i="3" s="1"/>
  <c r="B22" i="3" a="1"/>
  <c r="B22" i="3" s="1"/>
  <c r="G12" i="3" a="1"/>
  <c r="G12" i="3" s="1"/>
  <c r="D11" i="3" a="1"/>
  <c r="D11" i="3" s="1"/>
  <c r="G8" i="3" a="1"/>
  <c r="G8" i="3" s="1"/>
  <c r="G22" i="4" s="1"/>
  <c r="F1238" i="5"/>
  <c r="D1238" i="1"/>
  <c r="I1212" i="1"/>
  <c r="F1190" i="5"/>
  <c r="G1190" i="5" s="1"/>
  <c r="D1190" i="1"/>
  <c r="I1164" i="1"/>
  <c r="F1142" i="5"/>
  <c r="G1142" i="5" s="1"/>
  <c r="D1142" i="1"/>
  <c r="I1116" i="1"/>
  <c r="F1094" i="5"/>
  <c r="G1094" i="5" s="1"/>
  <c r="D1094" i="1"/>
  <c r="G1088" i="1"/>
  <c r="G1068" i="1"/>
  <c r="D1048" i="1"/>
  <c r="G1036" i="1"/>
  <c r="D1016" i="1"/>
  <c r="D984" i="1"/>
  <c r="D981" i="1"/>
  <c r="D952" i="1"/>
  <c r="D949" i="1"/>
  <c r="D928" i="1"/>
  <c r="D904" i="1"/>
  <c r="D901" i="1"/>
  <c r="D883" i="1"/>
  <c r="F823" i="5"/>
  <c r="G823" i="5" s="1"/>
  <c r="D823" i="1"/>
  <c r="D800" i="1"/>
  <c r="F716" i="5"/>
  <c r="G716" i="5" s="1"/>
  <c r="D716" i="1"/>
  <c r="G67" i="3" a="1"/>
  <c r="G67" i="3" s="1"/>
  <c r="F67" i="4" s="1"/>
  <c r="D66" i="3" a="1"/>
  <c r="D66" i="3" s="1"/>
  <c r="G63" i="3" a="1"/>
  <c r="G63" i="3" s="1"/>
  <c r="F52" i="4" s="1"/>
  <c r="D62" i="3" a="1"/>
  <c r="D62" i="3" s="1"/>
  <c r="D58" i="3" a="1"/>
  <c r="D58" i="3" s="1"/>
  <c r="I48" i="3" a="1"/>
  <c r="I48" i="3" s="1"/>
  <c r="F47" i="3" a="1"/>
  <c r="F47" i="3" s="1"/>
  <c r="C46" i="3" a="1"/>
  <c r="C46" i="3" s="1"/>
  <c r="I44" i="3" a="1"/>
  <c r="I44" i="3" s="1"/>
  <c r="I24" i="4" s="1"/>
  <c r="F43" i="3" a="1"/>
  <c r="F43" i="3" s="1"/>
  <c r="E21" i="4" s="1" a="1"/>
  <c r="C42" i="3" a="1"/>
  <c r="C42" i="3" s="1"/>
  <c r="I40" i="3" a="1"/>
  <c r="I40" i="3" s="1"/>
  <c r="H7" i="4" s="1"/>
  <c r="E31" i="3" a="1"/>
  <c r="E31" i="3" s="1"/>
  <c r="B30" i="3" a="1"/>
  <c r="B30" i="3" s="1"/>
  <c r="H28" i="3" a="1"/>
  <c r="H28" i="3" s="1"/>
  <c r="H53" i="4" s="1"/>
  <c r="E27" i="3" a="1"/>
  <c r="E27" i="3" s="1"/>
  <c r="H6" i="3" a="1"/>
  <c r="H6" i="3" s="1"/>
  <c r="I1254" i="1"/>
  <c r="I1243" i="1"/>
  <c r="I1226" i="1"/>
  <c r="I1209" i="1"/>
  <c r="I1195" i="1"/>
  <c r="I1178" i="1"/>
  <c r="I1161" i="1"/>
  <c r="I1147" i="1"/>
  <c r="D1139" i="1"/>
  <c r="I1130" i="1"/>
  <c r="I1113" i="1"/>
  <c r="I1099" i="1"/>
  <c r="D1091" i="1"/>
  <c r="I1082" i="1"/>
  <c r="I1059" i="1"/>
  <c r="I1056" i="1"/>
  <c r="I1053" i="1"/>
  <c r="I1027" i="1"/>
  <c r="I1024" i="1"/>
  <c r="I1021" i="1"/>
  <c r="I995" i="1"/>
  <c r="I992" i="1"/>
  <c r="I989" i="1"/>
  <c r="I963" i="1"/>
  <c r="I960" i="1"/>
  <c r="I957" i="1"/>
  <c r="I864" i="1"/>
  <c r="F855" i="5"/>
  <c r="G855" i="5" s="1"/>
  <c r="D855" i="1"/>
  <c r="G766" i="1"/>
  <c r="I766" i="1"/>
  <c r="G746" i="1"/>
  <c r="I746" i="1"/>
  <c r="I712" i="1"/>
  <c r="G712" i="1"/>
  <c r="G636" i="1"/>
  <c r="I636" i="1"/>
  <c r="F1218" i="5"/>
  <c r="G1218" i="5" s="1"/>
  <c r="D1218" i="1"/>
  <c r="G1212" i="1"/>
  <c r="F1170" i="5"/>
  <c r="G1170" i="5" s="1"/>
  <c r="D1170" i="1"/>
  <c r="G1164" i="1"/>
  <c r="F1122" i="5"/>
  <c r="G1122" i="5" s="1"/>
  <c r="D1122" i="1"/>
  <c r="G1116" i="1"/>
  <c r="F1074" i="5"/>
  <c r="G1074" i="5" s="1"/>
  <c r="D1074" i="1"/>
  <c r="F1042" i="5"/>
  <c r="G1042" i="5" s="1"/>
  <c r="D1042" i="1"/>
  <c r="G870" i="1"/>
  <c r="G842" i="1"/>
  <c r="G803" i="1"/>
  <c r="I776" i="1"/>
  <c r="G776" i="1"/>
  <c r="F684" i="5"/>
  <c r="G684" i="5" s="1"/>
  <c r="D684" i="1"/>
  <c r="C66" i="3" a="1"/>
  <c r="C66" i="3" s="1"/>
  <c r="I64" i="3" a="1"/>
  <c r="I64" i="3" s="1"/>
  <c r="J54" i="4" s="1"/>
  <c r="C58" i="3" a="1"/>
  <c r="C58" i="3" s="1"/>
  <c r="H48" i="3" a="1"/>
  <c r="H48" i="3" s="1"/>
  <c r="E47" i="3" a="1"/>
  <c r="E47" i="3" s="1"/>
  <c r="B46" i="3" a="1"/>
  <c r="B46" i="3" s="1"/>
  <c r="H44" i="3" a="1"/>
  <c r="H44" i="3" s="1"/>
  <c r="I23" i="4" s="1"/>
  <c r="E43" i="3" a="1"/>
  <c r="E43" i="3" s="1"/>
  <c r="B42" i="3" a="1"/>
  <c r="B42" i="3" s="1"/>
  <c r="H40" i="3" a="1"/>
  <c r="H40" i="3" s="1"/>
  <c r="H6" i="4" s="1"/>
  <c r="G28" i="3" a="1"/>
  <c r="G28" i="3" s="1"/>
  <c r="H52" i="4" s="1"/>
  <c r="D27" i="3" a="1"/>
  <c r="D27" i="3" s="1"/>
  <c r="G6" i="3" a="1"/>
  <c r="G6" i="3" s="1"/>
  <c r="I1237" i="1"/>
  <c r="I1223" i="1"/>
  <c r="I1206" i="1"/>
  <c r="I1189" i="1"/>
  <c r="D1184" i="1"/>
  <c r="I1175" i="1"/>
  <c r="I1158" i="1"/>
  <c r="I1141" i="1"/>
  <c r="D1136" i="1"/>
  <c r="I1127" i="1"/>
  <c r="D1119" i="1"/>
  <c r="I1110" i="1"/>
  <c r="I1093" i="1"/>
  <c r="D1088" i="1"/>
  <c r="G1082" i="1"/>
  <c r="I1079" i="1"/>
  <c r="D1065" i="1"/>
  <c r="G1056" i="1"/>
  <c r="G1053" i="1"/>
  <c r="I1050" i="1"/>
  <c r="G1024" i="1"/>
  <c r="I1018" i="1"/>
  <c r="D1001" i="1"/>
  <c r="I986" i="1"/>
  <c r="D969" i="1"/>
  <c r="I954" i="1"/>
  <c r="I936" i="1"/>
  <c r="I933" i="1"/>
  <c r="I912" i="1"/>
  <c r="I909" i="1"/>
  <c r="I888" i="1"/>
  <c r="I885" i="1"/>
  <c r="I851" i="1"/>
  <c r="I819" i="1"/>
  <c r="C62" i="3" a="1"/>
  <c r="C62" i="3" s="1"/>
  <c r="I60" i="3" a="1"/>
  <c r="I60" i="3" s="1"/>
  <c r="D31" i="3" a="1"/>
  <c r="D31" i="3" s="1"/>
  <c r="F24" i="3" a="1"/>
  <c r="F24" i="3" s="1"/>
  <c r="H13" i="3" a="1"/>
  <c r="H13" i="3" s="1"/>
  <c r="C68" i="4" s="1"/>
  <c r="E12" i="3" a="1"/>
  <c r="E12" i="3" s="1"/>
  <c r="B11" i="3" a="1"/>
  <c r="B11" i="3" s="1"/>
  <c r="H9" i="3" a="1"/>
  <c r="H9" i="3" s="1"/>
  <c r="C53" i="4" s="1"/>
  <c r="E8" i="3" a="1"/>
  <c r="E8" i="3" s="1"/>
  <c r="I1251" i="1"/>
  <c r="F1246" i="5"/>
  <c r="G1246" i="5" s="1"/>
  <c r="D1246" i="1"/>
  <c r="I1220" i="1"/>
  <c r="F1198" i="5"/>
  <c r="G1198" i="5" s="1"/>
  <c r="D1198" i="1"/>
  <c r="I1172" i="1"/>
  <c r="F1150" i="5"/>
  <c r="G1150" i="5" s="1"/>
  <c r="D1150" i="1"/>
  <c r="I1124" i="1"/>
  <c r="F1102" i="5"/>
  <c r="G1102" i="5" s="1"/>
  <c r="D1102" i="1"/>
  <c r="F1030" i="5"/>
  <c r="G1030" i="5" s="1"/>
  <c r="D1030" i="1"/>
  <c r="I873" i="1"/>
  <c r="F673" i="5"/>
  <c r="G673" i="5" s="1"/>
  <c r="D673" i="1"/>
  <c r="C27" i="3" a="1"/>
  <c r="C27" i="3" s="1"/>
  <c r="I25" i="3" a="1"/>
  <c r="I25" i="3" s="1"/>
  <c r="F6" i="3" a="1"/>
  <c r="F6" i="3" s="1"/>
  <c r="I1203" i="1"/>
  <c r="I1155" i="1"/>
  <c r="I1107" i="1"/>
  <c r="G986" i="1"/>
  <c r="G942" i="1"/>
  <c r="G936" i="1"/>
  <c r="G933" i="1"/>
  <c r="G918" i="1"/>
  <c r="G912" i="1"/>
  <c r="G909" i="1"/>
  <c r="G894" i="1"/>
  <c r="G888" i="1"/>
  <c r="G885" i="1"/>
  <c r="F867" i="5"/>
  <c r="G867" i="5" s="1"/>
  <c r="D867" i="1"/>
  <c r="G854" i="1"/>
  <c r="I854" i="1"/>
  <c r="F829" i="5"/>
  <c r="D829" i="1"/>
  <c r="G809" i="1"/>
  <c r="I809" i="1"/>
  <c r="G799" i="1"/>
  <c r="I799" i="1"/>
  <c r="I789" i="1"/>
  <c r="G789" i="1"/>
  <c r="C31" i="3" a="1"/>
  <c r="C31" i="3" s="1"/>
  <c r="E24" i="3" a="1"/>
  <c r="E24" i="3" s="1"/>
  <c r="G13" i="3" a="1"/>
  <c r="G13" i="3" s="1"/>
  <c r="C67" i="4" s="1"/>
  <c r="D12" i="3" a="1"/>
  <c r="D12" i="3" s="1"/>
  <c r="G9" i="3" a="1"/>
  <c r="G9" i="3" s="1"/>
  <c r="C52" i="4" s="1"/>
  <c r="D8" i="3" a="1"/>
  <c r="D8" i="3" s="1"/>
  <c r="D1254" i="1"/>
  <c r="G1251" i="1"/>
  <c r="I1248" i="1"/>
  <c r="F1226" i="5"/>
  <c r="G1226" i="5" s="1"/>
  <c r="D1226" i="1"/>
  <c r="G1220" i="1"/>
  <c r="D1209" i="1"/>
  <c r="I1200" i="1"/>
  <c r="G1172" i="1"/>
  <c r="I1152" i="1"/>
  <c r="G1124" i="1"/>
  <c r="D1113" i="1"/>
  <c r="G1076" i="1"/>
  <c r="D1056" i="1"/>
  <c r="D1024" i="1"/>
  <c r="D992" i="1"/>
  <c r="I945" i="1"/>
  <c r="I921" i="1"/>
  <c r="I897" i="1"/>
  <c r="G882" i="1"/>
  <c r="D832" i="1"/>
  <c r="I825" i="1"/>
  <c r="I815" i="1"/>
  <c r="D799" i="1"/>
  <c r="D769" i="1"/>
  <c r="F759" i="5"/>
  <c r="G759" i="5" s="1"/>
  <c r="D759" i="1"/>
  <c r="I755" i="1"/>
  <c r="G725" i="1"/>
  <c r="I725" i="1"/>
  <c r="I631" i="1"/>
  <c r="G631" i="1"/>
  <c r="G40" i="3" a="1"/>
  <c r="G40" i="3" s="1"/>
  <c r="H5" i="4" s="1"/>
  <c r="D67" i="3" a="1"/>
  <c r="D67" i="3" s="1"/>
  <c r="G64" i="3" a="1"/>
  <c r="G64" i="3" s="1"/>
  <c r="J52" i="4" s="1"/>
  <c r="D63" i="3" a="1"/>
  <c r="D63" i="3" s="1"/>
  <c r="G60" i="3" a="1"/>
  <c r="G60" i="3" s="1"/>
  <c r="I49" i="3" a="1"/>
  <c r="I49" i="3" s="1"/>
  <c r="E69" i="4" s="1"/>
  <c r="F48" i="3" a="1"/>
  <c r="F48" i="3" s="1"/>
  <c r="C47" i="3" a="1"/>
  <c r="C47" i="3" s="1"/>
  <c r="I45" i="3" a="1"/>
  <c r="I45" i="3" s="1"/>
  <c r="E54" i="4" s="1"/>
  <c r="F44" i="3" a="1"/>
  <c r="F44" i="3" s="1"/>
  <c r="I21" i="4" s="1"/>
  <c r="C43" i="3" a="1"/>
  <c r="C43" i="3" s="1"/>
  <c r="F40" i="3" a="1"/>
  <c r="F40" i="3" s="1"/>
  <c r="H4" i="4" s="1"/>
  <c r="B31" i="3" a="1"/>
  <c r="B31" i="3" s="1"/>
  <c r="H29" i="3" a="1"/>
  <c r="H29" i="3" s="1"/>
  <c r="E28" i="3" a="1"/>
  <c r="E28" i="3" s="1"/>
  <c r="B27" i="3" a="1"/>
  <c r="B27" i="3" s="1"/>
  <c r="H25" i="3" a="1"/>
  <c r="H25" i="3" s="1"/>
  <c r="E6" i="3" a="1"/>
  <c r="E6" i="3" s="1"/>
  <c r="D1240" i="1"/>
  <c r="I1231" i="1"/>
  <c r="D1223" i="1"/>
  <c r="D1175" i="1"/>
  <c r="D1144" i="1"/>
  <c r="D1127" i="1"/>
  <c r="D1096" i="1"/>
  <c r="D1079" i="1"/>
  <c r="I863" i="1"/>
  <c r="G863" i="1"/>
  <c r="D779" i="1"/>
  <c r="G765" i="1"/>
  <c r="C8" i="3" a="1"/>
  <c r="C8" i="3" s="1"/>
  <c r="G1248" i="1"/>
  <c r="F1206" i="5"/>
  <c r="G1206" i="5" s="1"/>
  <c r="D1206" i="1"/>
  <c r="G1200" i="1"/>
  <c r="I1132" i="1"/>
  <c r="I1084" i="1"/>
  <c r="F1050" i="5"/>
  <c r="G1050" i="5" s="1"/>
  <c r="D1050" i="1"/>
  <c r="F1018" i="5"/>
  <c r="G1018" i="5" s="1"/>
  <c r="D1018" i="1"/>
  <c r="D939" i="1"/>
  <c r="D936" i="1"/>
  <c r="D933" i="1"/>
  <c r="D915" i="1"/>
  <c r="D891" i="1"/>
  <c r="I745" i="1"/>
  <c r="G745" i="1"/>
  <c r="G735" i="1"/>
  <c r="I735" i="1"/>
  <c r="E48" i="3" a="1"/>
  <c r="E48" i="3" s="1"/>
  <c r="H45" i="3" a="1"/>
  <c r="H45" i="3" s="1"/>
  <c r="E53" i="4" s="1"/>
  <c r="G29" i="3" a="1"/>
  <c r="G29" i="3" s="1"/>
  <c r="D28" i="3" a="1"/>
  <c r="D28" i="3" s="1"/>
  <c r="G25" i="3" a="1"/>
  <c r="G25" i="3" s="1"/>
  <c r="D6" i="3" a="1"/>
  <c r="D6" i="3" s="1"/>
  <c r="D1251" i="1"/>
  <c r="I1242" i="1"/>
  <c r="I1225" i="1"/>
  <c r="I1211" i="1"/>
  <c r="D1203" i="1"/>
  <c r="I1194" i="1"/>
  <c r="I1177" i="1"/>
  <c r="I1163" i="1"/>
  <c r="I1146" i="1"/>
  <c r="I1129" i="1"/>
  <c r="D1124" i="1"/>
  <c r="G1118" i="1"/>
  <c r="I1115" i="1"/>
  <c r="I1098" i="1"/>
  <c r="I1081" i="1"/>
  <c r="G1064" i="1"/>
  <c r="G1061" i="1"/>
  <c r="I1058" i="1"/>
  <c r="I1026" i="1"/>
  <c r="I994" i="1"/>
  <c r="I962" i="1"/>
  <c r="F906" i="5"/>
  <c r="G906" i="5" s="1"/>
  <c r="D906" i="1"/>
  <c r="C67" i="3" a="1"/>
  <c r="C67" i="3" s="1"/>
  <c r="C63" i="3" a="1"/>
  <c r="C63" i="3" s="1"/>
  <c r="I61" i="3" a="1"/>
  <c r="I61" i="3" s="1"/>
  <c r="H49" i="3" a="1"/>
  <c r="H49" i="3" s="1"/>
  <c r="E68" i="4" s="1"/>
  <c r="B47" i="3" a="1"/>
  <c r="B47" i="3" s="1"/>
  <c r="E44" i="3" a="1"/>
  <c r="E44" i="3" s="1"/>
  <c r="B43" i="3" a="1"/>
  <c r="B43" i="3" s="1"/>
  <c r="E40" i="3" a="1"/>
  <c r="E40" i="3" s="1"/>
  <c r="F25" i="3"/>
  <c r="C24" i="3" a="1"/>
  <c r="C24" i="3" s="1"/>
  <c r="I22" i="3" a="1"/>
  <c r="I22" i="3" s="1"/>
  <c r="F7" i="4" s="1"/>
  <c r="E13" i="3" a="1"/>
  <c r="E13" i="3" s="1"/>
  <c r="B12" i="3" a="1"/>
  <c r="B12" i="3" s="1"/>
  <c r="H10" i="3" a="1"/>
  <c r="H10" i="3" s="1"/>
  <c r="G53" i="4" s="1"/>
  <c r="E9" i="3" a="1"/>
  <c r="E9" i="3" s="1"/>
  <c r="I4" i="3" a="1"/>
  <c r="I4" i="3" s="1"/>
  <c r="D7" i="4" s="1"/>
  <c r="F1234" i="5"/>
  <c r="G1234" i="5" s="1"/>
  <c r="D1234" i="1"/>
  <c r="G1180" i="1"/>
  <c r="F1138" i="5"/>
  <c r="G1138" i="5" s="1"/>
  <c r="D1138" i="1"/>
  <c r="G1132" i="1"/>
  <c r="F1090" i="5"/>
  <c r="G1090" i="5" s="1"/>
  <c r="D1090" i="1"/>
  <c r="G1084" i="1"/>
  <c r="F1070" i="5"/>
  <c r="G1070" i="5" s="1"/>
  <c r="D1070" i="1"/>
  <c r="I1055" i="1"/>
  <c r="I1023" i="1"/>
  <c r="I991" i="1"/>
  <c r="F974" i="5"/>
  <c r="G974" i="5" s="1"/>
  <c r="D974" i="1"/>
  <c r="I959" i="1"/>
  <c r="G869" i="1"/>
  <c r="B67" i="3" a="1"/>
  <c r="B67" i="3" s="1"/>
  <c r="H65" i="3" a="1"/>
  <c r="H65" i="3" s="1"/>
  <c r="E64" i="3" a="1"/>
  <c r="E64" i="3" s="1"/>
  <c r="B63" i="3" a="1"/>
  <c r="B63" i="3" s="1"/>
  <c r="H61" i="3" a="1"/>
  <c r="H61" i="3" s="1"/>
  <c r="E60" i="3" a="1"/>
  <c r="E60" i="3" s="1"/>
  <c r="G49" i="3" a="1"/>
  <c r="G49" i="3" s="1"/>
  <c r="E67" i="4" s="1"/>
  <c r="D48" i="3" a="1"/>
  <c r="D48" i="3" s="1"/>
  <c r="G45" i="3" a="1"/>
  <c r="G45" i="3" s="1"/>
  <c r="E52" i="4" s="1"/>
  <c r="D44" i="3" a="1"/>
  <c r="D44" i="3" s="1"/>
  <c r="D40" i="3" a="1"/>
  <c r="D40" i="3" s="1"/>
  <c r="I30" i="3" a="1"/>
  <c r="I30" i="3" s="1"/>
  <c r="F29" i="3" a="1"/>
  <c r="F29" i="3" s="1"/>
  <c r="C28" i="3" a="1"/>
  <c r="C28" i="3" s="1"/>
  <c r="I26" i="3" a="1"/>
  <c r="I26" i="3" s="1"/>
  <c r="H24" i="4" s="1"/>
  <c r="C6" i="3" a="1"/>
  <c r="C6" i="3" s="1"/>
  <c r="I1239" i="1"/>
  <c r="D1200" i="1"/>
  <c r="I1191" i="1"/>
  <c r="I1143" i="1"/>
  <c r="D1135" i="1"/>
  <c r="D1104" i="1"/>
  <c r="G1098" i="1"/>
  <c r="I1095" i="1"/>
  <c r="D1087" i="1"/>
  <c r="G1081" i="1"/>
  <c r="I1078" i="1"/>
  <c r="D1067" i="1"/>
  <c r="G1058" i="1"/>
  <c r="D1035" i="1"/>
  <c r="G1026" i="1"/>
  <c r="G994" i="1"/>
  <c r="G962" i="1"/>
  <c r="I944" i="1"/>
  <c r="I941" i="1"/>
  <c r="I920" i="1"/>
  <c r="I917" i="1"/>
  <c r="I896" i="1"/>
  <c r="I893" i="1"/>
  <c r="I875" i="1"/>
  <c r="B24" i="3" a="1"/>
  <c r="B24" i="3" s="1"/>
  <c r="H22" i="3" a="1"/>
  <c r="H22" i="3" s="1"/>
  <c r="F6" i="4" s="1"/>
  <c r="D13" i="3" a="1"/>
  <c r="D13" i="3" s="1"/>
  <c r="G10" i="3" a="1"/>
  <c r="G10" i="3" s="1"/>
  <c r="G52" i="4" s="1"/>
  <c r="D9" i="3" a="1"/>
  <c r="D9" i="3" s="1"/>
  <c r="I7" i="3"/>
  <c r="H4" i="3" a="1"/>
  <c r="H4" i="3" s="1"/>
  <c r="D6" i="4" s="1"/>
  <c r="F1166" i="5"/>
  <c r="G1166" i="5" s="1"/>
  <c r="D1166" i="1"/>
  <c r="F1118" i="5"/>
  <c r="G1118" i="5" s="1"/>
  <c r="D1118" i="1"/>
  <c r="D1064" i="1"/>
  <c r="D1032" i="1"/>
  <c r="D968" i="1"/>
  <c r="I911" i="1"/>
  <c r="I899" i="1"/>
  <c r="I887" i="1"/>
  <c r="I884" i="1"/>
  <c r="I862" i="1"/>
  <c r="G853" i="1"/>
  <c r="G831" i="1"/>
  <c r="F828" i="5"/>
  <c r="D828" i="1"/>
  <c r="I808" i="1"/>
  <c r="G808" i="1"/>
  <c r="G798" i="1"/>
  <c r="I798" i="1"/>
  <c r="G788" i="1"/>
  <c r="I788" i="1"/>
  <c r="I778" i="1"/>
  <c r="G778" i="1"/>
  <c r="G714" i="1"/>
  <c r="I714" i="1"/>
  <c r="I693" i="1"/>
  <c r="G693" i="1"/>
  <c r="G65" i="3" a="1"/>
  <c r="G65" i="3" s="1"/>
  <c r="D64" i="3" a="1"/>
  <c r="D64" i="3" s="1"/>
  <c r="F49" i="3" a="1"/>
  <c r="F49" i="3" s="1"/>
  <c r="E66" i="4" s="1"/>
  <c r="C48" i="3" a="1"/>
  <c r="C48" i="3" s="1"/>
  <c r="I46" i="3" a="1"/>
  <c r="I46" i="3" s="1"/>
  <c r="I54" i="4" s="1"/>
  <c r="F45" i="3" a="1"/>
  <c r="F45" i="3" s="1"/>
  <c r="E51" i="4" s="1"/>
  <c r="C44" i="3" a="1"/>
  <c r="C44" i="3" s="1"/>
  <c r="I42" i="3" a="1"/>
  <c r="I42" i="3" s="1"/>
  <c r="C40" i="3" a="1"/>
  <c r="C40" i="3" s="1"/>
  <c r="H30" i="3" a="1"/>
  <c r="H30" i="3" s="1"/>
  <c r="E29" i="3" a="1"/>
  <c r="E29" i="3" s="1"/>
  <c r="B28" i="3" a="1"/>
  <c r="B28" i="3" s="1"/>
  <c r="H26" i="3" a="1"/>
  <c r="H26" i="3" s="1"/>
  <c r="H23" i="4" s="1"/>
  <c r="H7" i="3"/>
  <c r="B6" i="3" a="1"/>
  <c r="B6" i="3" s="1"/>
  <c r="D1256" i="1"/>
  <c r="G926" i="1"/>
  <c r="G920" i="1"/>
  <c r="G917" i="1"/>
  <c r="G902" i="1"/>
  <c r="G896" i="1"/>
  <c r="G893" i="1"/>
  <c r="D872" i="1"/>
  <c r="F866" i="5"/>
  <c r="G866" i="5" s="1"/>
  <c r="D866" i="1"/>
  <c r="D853" i="1"/>
  <c r="G821" i="1"/>
  <c r="G724" i="1"/>
  <c r="I724" i="1"/>
  <c r="I682" i="1"/>
  <c r="G682" i="1"/>
  <c r="I634" i="1"/>
  <c r="G634" i="1"/>
  <c r="G61" i="3" a="1"/>
  <c r="G61" i="3" s="1"/>
  <c r="F21" i="4" s="1" a="1"/>
  <c r="D60" i="3" a="1"/>
  <c r="D60" i="3" s="1"/>
  <c r="C10" i="2"/>
  <c r="B62" i="3" s="1" a="1"/>
  <c r="B62" i="3" s="1"/>
  <c r="D25" i="3" a="1"/>
  <c r="D25" i="3" s="1"/>
  <c r="G22" i="3" a="1"/>
  <c r="G22" i="3" s="1"/>
  <c r="F5" i="4" s="1"/>
  <c r="C13" i="3" a="1"/>
  <c r="C13" i="3" s="1"/>
  <c r="I11" i="3" a="1"/>
  <c r="I11" i="3" s="1"/>
  <c r="F10" i="3" a="1"/>
  <c r="F10" i="3" s="1"/>
  <c r="G51" i="4" s="1"/>
  <c r="C9" i="3" a="1"/>
  <c r="C9" i="3" s="1"/>
  <c r="G7" i="3"/>
  <c r="G4" i="3" a="1"/>
  <c r="G4" i="3" s="1"/>
  <c r="D5" i="4" s="1"/>
  <c r="I1216" i="1"/>
  <c r="I1168" i="1"/>
  <c r="F1146" i="5"/>
  <c r="G1146" i="5" s="1"/>
  <c r="D1146" i="1"/>
  <c r="I1120" i="1"/>
  <c r="F1098" i="5"/>
  <c r="G1098" i="5" s="1"/>
  <c r="D1098" i="1"/>
  <c r="D1055" i="1"/>
  <c r="F1026" i="5"/>
  <c r="G1026" i="5" s="1"/>
  <c r="D1026" i="1"/>
  <c r="D1023" i="1"/>
  <c r="F994" i="5"/>
  <c r="D994" i="1"/>
  <c r="D991" i="1"/>
  <c r="D959" i="1"/>
  <c r="I929" i="1"/>
  <c r="I905" i="1"/>
  <c r="I881" i="1"/>
  <c r="I660" i="1"/>
  <c r="G660" i="1"/>
  <c r="G656" i="1"/>
  <c r="I656" i="1"/>
  <c r="I58" i="3" a="1"/>
  <c r="I58" i="3" s="1"/>
  <c r="J7" i="4" s="1"/>
  <c r="E49" i="3" a="1"/>
  <c r="E49" i="3" s="1"/>
  <c r="H46" i="3" a="1"/>
  <c r="H46" i="3" s="1"/>
  <c r="I53" i="4" s="1"/>
  <c r="G30" i="3" a="1"/>
  <c r="G30" i="3" s="1"/>
  <c r="D29" i="3" a="1"/>
  <c r="D29" i="3" s="1"/>
  <c r="I1247" i="1"/>
  <c r="I1199" i="1"/>
  <c r="I1151" i="1"/>
  <c r="I1103" i="1"/>
  <c r="F878" i="5"/>
  <c r="G878" i="5" s="1"/>
  <c r="D878" i="1"/>
  <c r="F875" i="5"/>
  <c r="G875" i="5" s="1"/>
  <c r="D875" i="1"/>
  <c r="I856" i="1"/>
  <c r="G856" i="1"/>
  <c r="I744" i="1"/>
  <c r="G744" i="1"/>
  <c r="I734" i="1"/>
  <c r="G734" i="1"/>
  <c r="G703" i="1"/>
  <c r="I703" i="1"/>
  <c r="I671" i="1"/>
  <c r="G671" i="1"/>
  <c r="I66" i="3" a="1"/>
  <c r="I66" i="3" s="1"/>
  <c r="C64" i="3" a="1"/>
  <c r="C64" i="3" s="1"/>
  <c r="I62" i="3" a="1"/>
  <c r="I62" i="3" s="1"/>
  <c r="J24" i="4" s="1"/>
  <c r="C60" i="3" a="1"/>
  <c r="C60" i="3" s="1"/>
  <c r="B48" i="3" a="1"/>
  <c r="B48" i="3" s="1"/>
  <c r="E45" i="3" a="1"/>
  <c r="E45" i="3" s="1"/>
  <c r="H42" i="3" a="1"/>
  <c r="H42" i="3" s="1"/>
  <c r="B40" i="3" a="1"/>
  <c r="B40" i="3" s="1"/>
  <c r="G26" i="3" a="1"/>
  <c r="G26" i="3" s="1"/>
  <c r="H22" i="4" s="1"/>
  <c r="F7" i="3"/>
  <c r="C25" i="3" a="1"/>
  <c r="C25" i="3" s="1"/>
  <c r="F22" i="3" a="1"/>
  <c r="F22" i="3" s="1"/>
  <c r="F4" i="4" s="1"/>
  <c r="B13" i="3" a="1"/>
  <c r="B13" i="3" s="1"/>
  <c r="H11" i="3" a="1"/>
  <c r="H11" i="3" s="1"/>
  <c r="E10" i="3" a="1"/>
  <c r="E10" i="3" s="1"/>
  <c r="B9" i="3" a="1"/>
  <c r="B9" i="3" s="1"/>
  <c r="E7" i="3"/>
  <c r="F4" i="3" a="1"/>
  <c r="F4" i="3" s="1"/>
  <c r="D4" i="4" s="1"/>
  <c r="F1222" i="5"/>
  <c r="G1222" i="5" s="1"/>
  <c r="D1222" i="1"/>
  <c r="G1216" i="1"/>
  <c r="F1174" i="5"/>
  <c r="G1174" i="5" s="1"/>
  <c r="D1174" i="1"/>
  <c r="G1168" i="1"/>
  <c r="F1126" i="5"/>
  <c r="G1126" i="5" s="1"/>
  <c r="D1126" i="1"/>
  <c r="G1120" i="1"/>
  <c r="F1078" i="5"/>
  <c r="G1078" i="5" s="1"/>
  <c r="D1078" i="1"/>
  <c r="F1046" i="5"/>
  <c r="G1046" i="5" s="1"/>
  <c r="D1046" i="1"/>
  <c r="F950" i="5"/>
  <c r="G950" i="5" s="1"/>
  <c r="D950" i="1"/>
  <c r="F926" i="5"/>
  <c r="G926" i="5" s="1"/>
  <c r="D926" i="1"/>
  <c r="F902" i="5"/>
  <c r="G902" i="5" s="1"/>
  <c r="D902" i="1"/>
  <c r="G757" i="1"/>
  <c r="I757" i="1"/>
  <c r="H66" i="3" a="1"/>
  <c r="H66" i="3" s="1"/>
  <c r="E65" i="3" a="1"/>
  <c r="E65" i="3" s="1"/>
  <c r="B64" i="3" a="1"/>
  <c r="B64" i="3" s="1"/>
  <c r="H62" i="3" a="1"/>
  <c r="H62" i="3" s="1"/>
  <c r="J23" i="4" s="1"/>
  <c r="D49" i="3" a="1"/>
  <c r="D49" i="3" s="1"/>
  <c r="G46" i="3" a="1"/>
  <c r="G46" i="3" s="1"/>
  <c r="I52" i="4" s="1"/>
  <c r="D45" i="3" a="1"/>
  <c r="D45" i="3" s="1"/>
  <c r="I31" i="3" a="1"/>
  <c r="I31" i="3" s="1"/>
  <c r="D69" i="4" s="1"/>
  <c r="F30" i="3" a="1"/>
  <c r="F30" i="3" s="1"/>
  <c r="C29" i="3" a="1"/>
  <c r="C29" i="3" s="1"/>
  <c r="I27" i="3" a="1"/>
  <c r="I27" i="3" s="1"/>
  <c r="D54" i="4" s="1"/>
  <c r="I1258" i="1"/>
  <c r="I1255" i="1"/>
  <c r="I1227" i="1"/>
  <c r="I1179" i="1"/>
  <c r="D1171" i="1"/>
  <c r="I1131" i="1"/>
  <c r="D1123" i="1"/>
  <c r="I1083" i="1"/>
  <c r="I1057" i="1"/>
  <c r="I1025" i="1"/>
  <c r="I993" i="1"/>
  <c r="I961" i="1"/>
  <c r="F938" i="5"/>
  <c r="D938" i="1"/>
  <c r="F914" i="5"/>
  <c r="D914" i="1"/>
  <c r="F890" i="5"/>
  <c r="G890" i="5" s="1"/>
  <c r="D890" i="1"/>
  <c r="I871" i="1"/>
  <c r="I868" i="1"/>
  <c r="G865" i="1"/>
  <c r="D859" i="1"/>
  <c r="I852" i="1"/>
  <c r="I840" i="1"/>
  <c r="G840" i="1"/>
  <c r="F834" i="5"/>
  <c r="G834" i="5" s="1"/>
  <c r="D834" i="1"/>
  <c r="I830" i="1"/>
  <c r="D801" i="1"/>
  <c r="D757" i="1"/>
  <c r="G640" i="1"/>
  <c r="I640" i="1"/>
  <c r="G637" i="1"/>
  <c r="I457" i="1"/>
  <c r="I424" i="1"/>
  <c r="G373" i="1"/>
  <c r="F356" i="5"/>
  <c r="G356" i="5" s="1"/>
  <c r="D356" i="1"/>
  <c r="G324" i="1"/>
  <c r="I324" i="1"/>
  <c r="F301" i="5"/>
  <c r="G301" i="5" s="1"/>
  <c r="D301" i="1"/>
  <c r="G284" i="1"/>
  <c r="I284" i="1"/>
  <c r="G280" i="1"/>
  <c r="I280" i="1"/>
  <c r="D640" i="1"/>
  <c r="I490" i="1"/>
  <c r="G487" i="1"/>
  <c r="I481" i="1"/>
  <c r="D457" i="1"/>
  <c r="D428" i="1"/>
  <c r="G404" i="1"/>
  <c r="I404" i="1"/>
  <c r="F373" i="5"/>
  <c r="G373" i="5" s="1"/>
  <c r="D373" i="1"/>
  <c r="I493" i="1"/>
  <c r="G414" i="1"/>
  <c r="I414" i="1"/>
  <c r="F404" i="5"/>
  <c r="G404" i="5" s="1"/>
  <c r="D404" i="1"/>
  <c r="G328" i="1"/>
  <c r="I328" i="1"/>
  <c r="G292" i="1"/>
  <c r="I292" i="1"/>
  <c r="I434" i="1"/>
  <c r="G400" i="1"/>
  <c r="I400" i="1"/>
  <c r="F397" i="5"/>
  <c r="G397" i="5" s="1"/>
  <c r="D397" i="1"/>
  <c r="G616" i="1"/>
  <c r="I616" i="1"/>
  <c r="G592" i="1"/>
  <c r="I592" i="1"/>
  <c r="G568" i="1"/>
  <c r="I568" i="1"/>
  <c r="G544" i="1"/>
  <c r="I544" i="1"/>
  <c r="G520" i="1"/>
  <c r="I520" i="1"/>
  <c r="G496" i="1"/>
  <c r="I496" i="1"/>
  <c r="I447" i="1"/>
  <c r="I410" i="1"/>
  <c r="I365" i="1"/>
  <c r="F332" i="5"/>
  <c r="G332" i="5" s="1"/>
  <c r="D332" i="1"/>
  <c r="F269" i="5"/>
  <c r="G269" i="5" s="1"/>
  <c r="D269" i="1"/>
  <c r="G252" i="1"/>
  <c r="I252" i="1"/>
  <c r="G248" i="1"/>
  <c r="I248" i="1"/>
  <c r="F113" i="1"/>
  <c r="G824" i="1"/>
  <c r="D786" i="1"/>
  <c r="I780" i="1"/>
  <c r="D775" i="1"/>
  <c r="I769" i="1"/>
  <c r="I758" i="1"/>
  <c r="G728" i="1"/>
  <c r="D701" i="1"/>
  <c r="D690" i="1"/>
  <c r="I684" i="1"/>
  <c r="D679" i="1"/>
  <c r="I673" i="1"/>
  <c r="I662" i="1"/>
  <c r="I642" i="1"/>
  <c r="I639" i="1"/>
  <c r="D616" i="1"/>
  <c r="I601" i="1"/>
  <c r="D592" i="1"/>
  <c r="I577" i="1"/>
  <c r="I553" i="1"/>
  <c r="F529" i="1"/>
  <c r="F530" i="1" s="1"/>
  <c r="I529" i="1"/>
  <c r="I505" i="1"/>
  <c r="G372" i="1"/>
  <c r="I372" i="1"/>
  <c r="F296" i="5"/>
  <c r="D296" i="1"/>
  <c r="G648" i="1"/>
  <c r="I648" i="1"/>
  <c r="D601" i="1"/>
  <c r="D529" i="1"/>
  <c r="F523" i="1"/>
  <c r="F524" i="1" s="1"/>
  <c r="F525" i="1" s="1"/>
  <c r="F526" i="1" s="1"/>
  <c r="I474" i="1"/>
  <c r="I459" i="1"/>
  <c r="G437" i="1"/>
  <c r="D417" i="1"/>
  <c r="G389" i="1"/>
  <c r="I389" i="1"/>
  <c r="G260" i="1"/>
  <c r="I260" i="1"/>
  <c r="G832" i="1"/>
  <c r="G780" i="1"/>
  <c r="G769" i="1"/>
  <c r="G758" i="1"/>
  <c r="G736" i="1"/>
  <c r="G684" i="1"/>
  <c r="G673" i="1"/>
  <c r="G662" i="1"/>
  <c r="G642" i="1"/>
  <c r="G639" i="1"/>
  <c r="G450" i="1"/>
  <c r="I427" i="1"/>
  <c r="G403" i="1"/>
  <c r="I403" i="1"/>
  <c r="F389" i="5"/>
  <c r="D389" i="1"/>
  <c r="F260" i="5"/>
  <c r="G260" i="5" s="1"/>
  <c r="D260" i="1"/>
  <c r="G843" i="1"/>
  <c r="D824" i="1"/>
  <c r="D761" i="1"/>
  <c r="D728" i="1"/>
  <c r="D676" i="1"/>
  <c r="D665" i="1"/>
  <c r="G480" i="1"/>
  <c r="I480" i="1"/>
  <c r="I465" i="1"/>
  <c r="D456" i="1"/>
  <c r="F450" i="5"/>
  <c r="G450" i="5" s="1"/>
  <c r="D450" i="1"/>
  <c r="I399" i="1"/>
  <c r="G396" i="1"/>
  <c r="D695" i="1"/>
  <c r="D645" i="1"/>
  <c r="G630" i="1"/>
  <c r="I350" i="1"/>
  <c r="F264" i="5"/>
  <c r="G264" i="5" s="1"/>
  <c r="D264" i="1"/>
  <c r="F459" i="5"/>
  <c r="G459" i="5" s="1"/>
  <c r="D459" i="1"/>
  <c r="I423" i="1"/>
  <c r="G354" i="1"/>
  <c r="I354" i="1"/>
  <c r="G346" i="1"/>
  <c r="I346" i="1"/>
  <c r="I318" i="1"/>
  <c r="F134" i="1"/>
  <c r="F135" i="1" s="1"/>
  <c r="I489" i="1"/>
  <c r="G446" i="1"/>
  <c r="I446" i="1"/>
  <c r="G388" i="1"/>
  <c r="I388" i="1"/>
  <c r="I342" i="1"/>
  <c r="G322" i="1"/>
  <c r="I322" i="1"/>
  <c r="I286" i="1"/>
  <c r="O1258" i="5"/>
  <c r="G624" i="1"/>
  <c r="I624" i="1"/>
  <c r="G600" i="1"/>
  <c r="I600" i="1"/>
  <c r="G576" i="1"/>
  <c r="I576" i="1"/>
  <c r="G552" i="1"/>
  <c r="I552" i="1"/>
  <c r="G528" i="1"/>
  <c r="I528" i="1"/>
  <c r="G525" i="1"/>
  <c r="G522" i="1"/>
  <c r="G504" i="1"/>
  <c r="I504" i="1"/>
  <c r="G501" i="1"/>
  <c r="G498" i="1"/>
  <c r="F483" i="5"/>
  <c r="G483" i="5" s="1"/>
  <c r="D483" i="1"/>
  <c r="F477" i="5"/>
  <c r="G477" i="5" s="1"/>
  <c r="D477" i="1"/>
  <c r="I455" i="1"/>
  <c r="G436" i="1"/>
  <c r="I436" i="1"/>
  <c r="F413" i="5"/>
  <c r="D413" i="1"/>
  <c r="F371" i="5"/>
  <c r="G371" i="5" s="1"/>
  <c r="D371" i="1"/>
  <c r="G290" i="1"/>
  <c r="I290" i="1"/>
  <c r="F29" i="1"/>
  <c r="F30" i="1" s="1"/>
  <c r="F31" i="1" s="1"/>
  <c r="F32" i="1" s="1"/>
  <c r="G760" i="1"/>
  <c r="D733" i="1"/>
  <c r="D711" i="1"/>
  <c r="G664" i="1"/>
  <c r="D624" i="1"/>
  <c r="I609" i="1"/>
  <c r="D600" i="1"/>
  <c r="I585" i="1"/>
  <c r="I561" i="1"/>
  <c r="D552" i="1"/>
  <c r="I537" i="1"/>
  <c r="F513" i="1"/>
  <c r="F514" i="1" s="1"/>
  <c r="F515" i="1" s="1"/>
  <c r="F516" i="1" s="1"/>
  <c r="I513" i="1"/>
  <c r="G426" i="1"/>
  <c r="D406" i="1"/>
  <c r="G402" i="1"/>
  <c r="I402" i="1"/>
  <c r="G326" i="1"/>
  <c r="I326" i="1"/>
  <c r="I661" i="1"/>
  <c r="D537" i="1"/>
  <c r="F531" i="1"/>
  <c r="F532" i="1" s="1"/>
  <c r="F533" i="1" s="1"/>
  <c r="F534" i="1" s="1"/>
  <c r="F535" i="1" s="1"/>
  <c r="F536" i="1" s="1"/>
  <c r="F537" i="1" s="1"/>
  <c r="F538" i="1" s="1"/>
  <c r="F539" i="1" s="1"/>
  <c r="F540" i="1" s="1"/>
  <c r="F541" i="1" s="1"/>
  <c r="F542" i="1" s="1"/>
  <c r="F543" i="1" s="1"/>
  <c r="F544" i="1" s="1"/>
  <c r="F545" i="1" s="1"/>
  <c r="F546" i="1" s="1"/>
  <c r="F547" i="1" s="1"/>
  <c r="F548" i="1" s="1"/>
  <c r="F549" i="1" s="1"/>
  <c r="F550" i="1" s="1"/>
  <c r="F551" i="1" s="1"/>
  <c r="F552" i="1" s="1"/>
  <c r="F553" i="1" s="1"/>
  <c r="F554" i="1" s="1"/>
  <c r="F555" i="1" s="1"/>
  <c r="F556" i="1" s="1"/>
  <c r="F557" i="1" s="1"/>
  <c r="F558" i="1" s="1"/>
  <c r="F559" i="1" s="1"/>
  <c r="F560" i="1" s="1"/>
  <c r="F561" i="1" s="1"/>
  <c r="F562" i="1" s="1"/>
  <c r="F563" i="1" s="1"/>
  <c r="F564" i="1" s="1"/>
  <c r="F565" i="1" s="1"/>
  <c r="F566" i="1" s="1"/>
  <c r="F567" i="1" s="1"/>
  <c r="F568" i="1" s="1"/>
  <c r="F569" i="1" s="1"/>
  <c r="F570" i="1" s="1"/>
  <c r="F571" i="1" s="1"/>
  <c r="F572" i="1" s="1"/>
  <c r="F573" i="1" s="1"/>
  <c r="F574" i="1" s="1"/>
  <c r="F575" i="1" s="1"/>
  <c r="F576" i="1" s="1"/>
  <c r="F577" i="1" s="1"/>
  <c r="F578" i="1" s="1"/>
  <c r="F579" i="1" s="1"/>
  <c r="F580" i="1" s="1"/>
  <c r="F581" i="1" s="1"/>
  <c r="F582" i="1" s="1"/>
  <c r="F583" i="1" s="1"/>
  <c r="F584" i="1" s="1"/>
  <c r="F585" i="1" s="1"/>
  <c r="F586" i="1" s="1"/>
  <c r="F587" i="1" s="1"/>
  <c r="F588" i="1" s="1"/>
  <c r="F589" i="1" s="1"/>
  <c r="F590" i="1" s="1"/>
  <c r="F591" i="1" s="1"/>
  <c r="F592" i="1" s="1"/>
  <c r="F593" i="1" s="1"/>
  <c r="F594" i="1" s="1"/>
  <c r="F595" i="1" s="1"/>
  <c r="F596" i="1" s="1"/>
  <c r="F597" i="1" s="1"/>
  <c r="F598" i="1" s="1"/>
  <c r="F599" i="1" s="1"/>
  <c r="F600" i="1" s="1"/>
  <c r="F601" i="1" s="1"/>
  <c r="F602" i="1" s="1"/>
  <c r="F603" i="1" s="1"/>
  <c r="F604" i="1" s="1"/>
  <c r="F605" i="1" s="1"/>
  <c r="F606" i="1" s="1"/>
  <c r="F607" i="1" s="1"/>
  <c r="F608" i="1" s="1"/>
  <c r="F609" i="1" s="1"/>
  <c r="F610" i="1" s="1"/>
  <c r="F611" i="1" s="1"/>
  <c r="F612" i="1" s="1"/>
  <c r="F613" i="1" s="1"/>
  <c r="F614" i="1" s="1"/>
  <c r="F615" i="1" s="1"/>
  <c r="F616" i="1" s="1"/>
  <c r="F617" i="1" s="1"/>
  <c r="F618" i="1" s="1"/>
  <c r="F619" i="1" s="1"/>
  <c r="F620" i="1" s="1"/>
  <c r="F621" i="1" s="1"/>
  <c r="F622" i="1" s="1"/>
  <c r="F623" i="1" s="1"/>
  <c r="F624" i="1" s="1"/>
  <c r="F625" i="1" s="1"/>
  <c r="F626" i="1" s="1"/>
  <c r="F627" i="1" s="1"/>
  <c r="F628" i="1" s="1"/>
  <c r="F629" i="1" s="1"/>
  <c r="F630" i="1" s="1"/>
  <c r="F631" i="1" s="1"/>
  <c r="F632" i="1" s="1"/>
  <c r="F633" i="1" s="1"/>
  <c r="F634" i="1" s="1"/>
  <c r="F635" i="1" s="1"/>
  <c r="F636" i="1" s="1"/>
  <c r="F637" i="1" s="1"/>
  <c r="F638" i="1" s="1"/>
  <c r="F639" i="1" s="1"/>
  <c r="F640" i="1" s="1"/>
  <c r="F641" i="1" s="1"/>
  <c r="F642" i="1" s="1"/>
  <c r="F643" i="1" s="1"/>
  <c r="F644" i="1" s="1"/>
  <c r="F645" i="1" s="1"/>
  <c r="F646" i="1" s="1"/>
  <c r="F647" i="1" s="1"/>
  <c r="F648" i="1" s="1"/>
  <c r="F649" i="1" s="1"/>
  <c r="F650" i="1" s="1"/>
  <c r="F651" i="1" s="1"/>
  <c r="F652" i="1" s="1"/>
  <c r="F653" i="1" s="1"/>
  <c r="F654" i="1" s="1"/>
  <c r="F655" i="1" s="1"/>
  <c r="F656" i="1" s="1"/>
  <c r="F657" i="1" s="1"/>
  <c r="F658" i="1" s="1"/>
  <c r="F659" i="1" s="1"/>
  <c r="F660" i="1" s="1"/>
  <c r="F661" i="1" s="1"/>
  <c r="F662" i="1" s="1"/>
  <c r="F663" i="1" s="1"/>
  <c r="F664" i="1" s="1"/>
  <c r="F665" i="1" s="1"/>
  <c r="F666" i="1" s="1"/>
  <c r="F667" i="1" s="1"/>
  <c r="F668" i="1" s="1"/>
  <c r="F669" i="1" s="1"/>
  <c r="F670" i="1" s="1"/>
  <c r="F671" i="1" s="1"/>
  <c r="F672" i="1" s="1"/>
  <c r="F673" i="1" s="1"/>
  <c r="F674" i="1" s="1"/>
  <c r="F675" i="1" s="1"/>
  <c r="F676" i="1" s="1"/>
  <c r="F677" i="1" s="1"/>
  <c r="F678" i="1" s="1"/>
  <c r="F679" i="1" s="1"/>
  <c r="F680" i="1" s="1"/>
  <c r="F681" i="1" s="1"/>
  <c r="F682" i="1" s="1"/>
  <c r="F683" i="1" s="1"/>
  <c r="F684" i="1" s="1"/>
  <c r="F685" i="1" s="1"/>
  <c r="F686" i="1" s="1"/>
  <c r="F687" i="1" s="1"/>
  <c r="F688" i="1" s="1"/>
  <c r="F689" i="1" s="1"/>
  <c r="F690" i="1" s="1"/>
  <c r="F691" i="1" s="1"/>
  <c r="F692" i="1" s="1"/>
  <c r="F693" i="1" s="1"/>
  <c r="F694" i="1" s="1"/>
  <c r="F695" i="1" s="1"/>
  <c r="F696" i="1" s="1"/>
  <c r="F697" i="1" s="1"/>
  <c r="F698" i="1" s="1"/>
  <c r="F699" i="1" s="1"/>
  <c r="F700" i="1" s="1"/>
  <c r="F701" i="1" s="1"/>
  <c r="F702" i="1" s="1"/>
  <c r="F703" i="1" s="1"/>
  <c r="F704" i="1" s="1"/>
  <c r="F705" i="1" s="1"/>
  <c r="F706" i="1" s="1"/>
  <c r="F707" i="1" s="1"/>
  <c r="F708" i="1" s="1"/>
  <c r="F709" i="1" s="1"/>
  <c r="F710" i="1" s="1"/>
  <c r="F711" i="1" s="1"/>
  <c r="F712" i="1" s="1"/>
  <c r="F713" i="1" s="1"/>
  <c r="F714" i="1" s="1"/>
  <c r="F715" i="1" s="1"/>
  <c r="F716" i="1" s="1"/>
  <c r="F717" i="1" s="1"/>
  <c r="F718" i="1" s="1"/>
  <c r="F719" i="1" s="1"/>
  <c r="F720" i="1" s="1"/>
  <c r="F721" i="1" s="1"/>
  <c r="F722" i="1" s="1"/>
  <c r="F723" i="1" s="1"/>
  <c r="F724" i="1" s="1"/>
  <c r="F725" i="1" s="1"/>
  <c r="F726" i="1" s="1"/>
  <c r="F727" i="1" s="1"/>
  <c r="F728" i="1" s="1"/>
  <c r="F729" i="1" s="1"/>
  <c r="F730" i="1" s="1"/>
  <c r="F731" i="1" s="1"/>
  <c r="F732" i="1" s="1"/>
  <c r="F733" i="1" s="1"/>
  <c r="F734" i="1" s="1"/>
  <c r="F735" i="1" s="1"/>
  <c r="F736" i="1" s="1"/>
  <c r="F737" i="1" s="1"/>
  <c r="F738" i="1" s="1"/>
  <c r="F739" i="1" s="1"/>
  <c r="F740" i="1" s="1"/>
  <c r="F741" i="1" s="1"/>
  <c r="F742" i="1" s="1"/>
  <c r="F743" i="1" s="1"/>
  <c r="F744" i="1" s="1"/>
  <c r="F745" i="1" s="1"/>
  <c r="F746" i="1" s="1"/>
  <c r="F747" i="1" s="1"/>
  <c r="F748" i="1" s="1"/>
  <c r="F749" i="1" s="1"/>
  <c r="F750" i="1" s="1"/>
  <c r="F751" i="1" s="1"/>
  <c r="F752" i="1" s="1"/>
  <c r="F753" i="1" s="1"/>
  <c r="F754" i="1" s="1"/>
  <c r="F755" i="1" s="1"/>
  <c r="F756" i="1" s="1"/>
  <c r="F757" i="1" s="1"/>
  <c r="F758" i="1" s="1"/>
  <c r="F759" i="1" s="1"/>
  <c r="F760" i="1" s="1"/>
  <c r="F761" i="1" s="1"/>
  <c r="F762" i="1" s="1"/>
  <c r="F763" i="1" s="1"/>
  <c r="F764" i="1" s="1"/>
  <c r="F765" i="1" s="1"/>
  <c r="F766" i="1" s="1"/>
  <c r="F767" i="1" s="1"/>
  <c r="F768" i="1" s="1"/>
  <c r="F769" i="1" s="1"/>
  <c r="F770" i="1" s="1"/>
  <c r="F771" i="1" s="1"/>
  <c r="F772" i="1" s="1"/>
  <c r="F773" i="1" s="1"/>
  <c r="F774" i="1" s="1"/>
  <c r="F775" i="1" s="1"/>
  <c r="F776" i="1" s="1"/>
  <c r="F777" i="1" s="1"/>
  <c r="F778" i="1" s="1"/>
  <c r="F779" i="1" s="1"/>
  <c r="F780" i="1" s="1"/>
  <c r="F781" i="1" s="1"/>
  <c r="F782" i="1" s="1"/>
  <c r="F783" i="1" s="1"/>
  <c r="F784" i="1" s="1"/>
  <c r="F785" i="1" s="1"/>
  <c r="F786" i="1" s="1"/>
  <c r="F787" i="1" s="1"/>
  <c r="F788" i="1" s="1"/>
  <c r="F789" i="1" s="1"/>
  <c r="F790" i="1" s="1"/>
  <c r="F791" i="1" s="1"/>
  <c r="F792" i="1" s="1"/>
  <c r="F793" i="1" s="1"/>
  <c r="F794" i="1" s="1"/>
  <c r="F795" i="1" s="1"/>
  <c r="F796" i="1" s="1"/>
  <c r="F797" i="1" s="1"/>
  <c r="F798" i="1" s="1"/>
  <c r="F799" i="1" s="1"/>
  <c r="F800" i="1" s="1"/>
  <c r="F801" i="1" s="1"/>
  <c r="F802" i="1" s="1"/>
  <c r="F803" i="1" s="1"/>
  <c r="F804" i="1" s="1"/>
  <c r="F805" i="1" s="1"/>
  <c r="F806" i="1" s="1"/>
  <c r="F807" i="1" s="1"/>
  <c r="F808" i="1" s="1"/>
  <c r="F809" i="1" s="1"/>
  <c r="F810" i="1" s="1"/>
  <c r="F811" i="1" s="1"/>
  <c r="F812" i="1" s="1"/>
  <c r="F813" i="1" s="1"/>
  <c r="F814" i="1" s="1"/>
  <c r="F815" i="1" s="1"/>
  <c r="F816" i="1" s="1"/>
  <c r="F817" i="1" s="1"/>
  <c r="F818" i="1" s="1"/>
  <c r="F819" i="1" s="1"/>
  <c r="F820" i="1" s="1"/>
  <c r="F821" i="1" s="1"/>
  <c r="F822" i="1" s="1"/>
  <c r="F823" i="1" s="1"/>
  <c r="F824" i="1" s="1"/>
  <c r="F825" i="1" s="1"/>
  <c r="F826" i="1" s="1"/>
  <c r="F827" i="1" s="1"/>
  <c r="F828" i="1" s="1"/>
  <c r="F829" i="1" s="1"/>
  <c r="F830" i="1" s="1"/>
  <c r="F831" i="1" s="1"/>
  <c r="F832" i="1" s="1"/>
  <c r="F833" i="1" s="1"/>
  <c r="F834" i="1" s="1"/>
  <c r="F835" i="1" s="1"/>
  <c r="F836" i="1" s="1"/>
  <c r="F837" i="1" s="1"/>
  <c r="F838" i="1" s="1"/>
  <c r="F839" i="1" s="1"/>
  <c r="F840" i="1" s="1"/>
  <c r="F841" i="1" s="1"/>
  <c r="F842" i="1" s="1"/>
  <c r="F843" i="1" s="1"/>
  <c r="F844" i="1" s="1"/>
  <c r="F845" i="1" s="1"/>
  <c r="F846" i="1" s="1"/>
  <c r="F847" i="1" s="1"/>
  <c r="F848" i="1" s="1"/>
  <c r="F849" i="1" s="1"/>
  <c r="F850" i="1" s="1"/>
  <c r="F851" i="1" s="1"/>
  <c r="F852" i="1" s="1"/>
  <c r="F853" i="1" s="1"/>
  <c r="F854" i="1" s="1"/>
  <c r="F855" i="1" s="1"/>
  <c r="F856" i="1" s="1"/>
  <c r="F857" i="1" s="1"/>
  <c r="F858" i="1" s="1"/>
  <c r="F859" i="1" s="1"/>
  <c r="F860" i="1" s="1"/>
  <c r="F861" i="1" s="1"/>
  <c r="F862" i="1" s="1"/>
  <c r="F863" i="1" s="1"/>
  <c r="F864" i="1" s="1"/>
  <c r="F865" i="1" s="1"/>
  <c r="F866" i="1" s="1"/>
  <c r="F867" i="1" s="1"/>
  <c r="F868" i="1" s="1"/>
  <c r="F869" i="1" s="1"/>
  <c r="F870" i="1" s="1"/>
  <c r="F871" i="1" s="1"/>
  <c r="F872" i="1" s="1"/>
  <c r="F873" i="1" s="1"/>
  <c r="F874" i="1" s="1"/>
  <c r="F875" i="1" s="1"/>
  <c r="F876" i="1" s="1"/>
  <c r="F877" i="1" s="1"/>
  <c r="F878" i="1" s="1"/>
  <c r="F879" i="1" s="1"/>
  <c r="F880" i="1" s="1"/>
  <c r="F881" i="1" s="1"/>
  <c r="F882" i="1" s="1"/>
  <c r="F883" i="1" s="1"/>
  <c r="F884" i="1" s="1"/>
  <c r="F885" i="1" s="1"/>
  <c r="F886" i="1" s="1"/>
  <c r="F887" i="1" s="1"/>
  <c r="F888" i="1" s="1"/>
  <c r="F889" i="1" s="1"/>
  <c r="F890" i="1" s="1"/>
  <c r="F891" i="1" s="1"/>
  <c r="F892" i="1" s="1"/>
  <c r="F893" i="1" s="1"/>
  <c r="F894" i="1" s="1"/>
  <c r="F895" i="1" s="1"/>
  <c r="F896" i="1" s="1"/>
  <c r="F897" i="1" s="1"/>
  <c r="F898" i="1" s="1"/>
  <c r="F899" i="1" s="1"/>
  <c r="F900" i="1" s="1"/>
  <c r="F901" i="1" s="1"/>
  <c r="F902" i="1" s="1"/>
  <c r="F903" i="1" s="1"/>
  <c r="F904" i="1" s="1"/>
  <c r="F905" i="1" s="1"/>
  <c r="F906" i="1" s="1"/>
  <c r="F907" i="1" s="1"/>
  <c r="F908" i="1" s="1"/>
  <c r="F909" i="1" s="1"/>
  <c r="F910" i="1" s="1"/>
  <c r="F911" i="1" s="1"/>
  <c r="F912" i="1" s="1"/>
  <c r="F913" i="1" s="1"/>
  <c r="F914" i="1" s="1"/>
  <c r="F915" i="1" s="1"/>
  <c r="F916" i="1" s="1"/>
  <c r="F917" i="1" s="1"/>
  <c r="F918" i="1" s="1"/>
  <c r="F919" i="1" s="1"/>
  <c r="F920" i="1" s="1"/>
  <c r="F921" i="1" s="1"/>
  <c r="F922" i="1" s="1"/>
  <c r="F923" i="1" s="1"/>
  <c r="F924" i="1" s="1"/>
  <c r="F925" i="1" s="1"/>
  <c r="F926" i="1" s="1"/>
  <c r="F927" i="1" s="1"/>
  <c r="F928" i="1" s="1"/>
  <c r="F929" i="1" s="1"/>
  <c r="F930" i="1" s="1"/>
  <c r="F931" i="1" s="1"/>
  <c r="F932" i="1" s="1"/>
  <c r="F933" i="1" s="1"/>
  <c r="F934" i="1" s="1"/>
  <c r="F935" i="1" s="1"/>
  <c r="F936" i="1" s="1"/>
  <c r="F937" i="1" s="1"/>
  <c r="F938" i="1" s="1"/>
  <c r="F939" i="1" s="1"/>
  <c r="F940" i="1" s="1"/>
  <c r="F941" i="1" s="1"/>
  <c r="F942" i="1" s="1"/>
  <c r="F943" i="1" s="1"/>
  <c r="F944" i="1" s="1"/>
  <c r="F945" i="1" s="1"/>
  <c r="F946" i="1" s="1"/>
  <c r="F947" i="1" s="1"/>
  <c r="F948" i="1" s="1"/>
  <c r="F949" i="1" s="1"/>
  <c r="F950" i="1" s="1"/>
  <c r="F951" i="1" s="1"/>
  <c r="F952" i="1" s="1"/>
  <c r="F953" i="1" s="1"/>
  <c r="F954" i="1" s="1"/>
  <c r="F955" i="1" s="1"/>
  <c r="F956" i="1" s="1"/>
  <c r="F957" i="1" s="1"/>
  <c r="F958" i="1" s="1"/>
  <c r="F959" i="1" s="1"/>
  <c r="F960" i="1" s="1"/>
  <c r="F961" i="1" s="1"/>
  <c r="F962" i="1" s="1"/>
  <c r="F963" i="1" s="1"/>
  <c r="F964" i="1" s="1"/>
  <c r="F965" i="1" s="1"/>
  <c r="F966" i="1" s="1"/>
  <c r="F967" i="1" s="1"/>
  <c r="F968" i="1" s="1"/>
  <c r="F969" i="1" s="1"/>
  <c r="F970" i="1" s="1"/>
  <c r="F971" i="1" s="1"/>
  <c r="F972" i="1" s="1"/>
  <c r="F973" i="1" s="1"/>
  <c r="F974" i="1" s="1"/>
  <c r="F975" i="1" s="1"/>
  <c r="F976" i="1" s="1"/>
  <c r="F977" i="1" s="1"/>
  <c r="F978" i="1" s="1"/>
  <c r="F979" i="1" s="1"/>
  <c r="F980" i="1" s="1"/>
  <c r="F981" i="1" s="1"/>
  <c r="F982" i="1" s="1"/>
  <c r="F983" i="1" s="1"/>
  <c r="F984" i="1" s="1"/>
  <c r="F985" i="1" s="1"/>
  <c r="F986" i="1" s="1"/>
  <c r="F987" i="1" s="1"/>
  <c r="F988" i="1" s="1"/>
  <c r="F989" i="1" s="1"/>
  <c r="F990" i="1" s="1"/>
  <c r="F991" i="1" s="1"/>
  <c r="F992" i="1" s="1"/>
  <c r="F993" i="1" s="1"/>
  <c r="F994" i="1" s="1"/>
  <c r="F995" i="1" s="1"/>
  <c r="F996" i="1" s="1"/>
  <c r="F997" i="1" s="1"/>
  <c r="F998" i="1" s="1"/>
  <c r="F999" i="1" s="1"/>
  <c r="F1000" i="1" s="1"/>
  <c r="F1001" i="1" s="1"/>
  <c r="F1002" i="1" s="1"/>
  <c r="F1003" i="1" s="1"/>
  <c r="F1004" i="1" s="1"/>
  <c r="F1005" i="1" s="1"/>
  <c r="F1006" i="1" s="1"/>
  <c r="F1007" i="1" s="1"/>
  <c r="F1008" i="1" s="1"/>
  <c r="F1009" i="1" s="1"/>
  <c r="F1010" i="1" s="1"/>
  <c r="F1011" i="1" s="1"/>
  <c r="F1012" i="1" s="1"/>
  <c r="F1013" i="1" s="1"/>
  <c r="F1014" i="1" s="1"/>
  <c r="F1015" i="1" s="1"/>
  <c r="F1016" i="1" s="1"/>
  <c r="F1017" i="1" s="1"/>
  <c r="F1018" i="1" s="1"/>
  <c r="F1019" i="1" s="1"/>
  <c r="F1020" i="1" s="1"/>
  <c r="F1021" i="1" s="1"/>
  <c r="F1022" i="1" s="1"/>
  <c r="F1023" i="1" s="1"/>
  <c r="F1024" i="1" s="1"/>
  <c r="F1025" i="1" s="1"/>
  <c r="F1026" i="1" s="1"/>
  <c r="F1027" i="1" s="1"/>
  <c r="F1028" i="1" s="1"/>
  <c r="F1029" i="1" s="1"/>
  <c r="F1030" i="1" s="1"/>
  <c r="F1031" i="1" s="1"/>
  <c r="F1032" i="1" s="1"/>
  <c r="F1033" i="1" s="1"/>
  <c r="F1034" i="1" s="1"/>
  <c r="F1035" i="1" s="1"/>
  <c r="F1036" i="1" s="1"/>
  <c r="F1037" i="1" s="1"/>
  <c r="F1038" i="1" s="1"/>
  <c r="F1039" i="1" s="1"/>
  <c r="F1040" i="1" s="1"/>
  <c r="F1041" i="1" s="1"/>
  <c r="F1042" i="1" s="1"/>
  <c r="F1043" i="1" s="1"/>
  <c r="F1044" i="1" s="1"/>
  <c r="F1045" i="1" s="1"/>
  <c r="F1046" i="1" s="1"/>
  <c r="F1047" i="1" s="1"/>
  <c r="F1048" i="1" s="1"/>
  <c r="F1049" i="1" s="1"/>
  <c r="F1050" i="1" s="1"/>
  <c r="F1051" i="1" s="1"/>
  <c r="F1052" i="1" s="1"/>
  <c r="F1053" i="1" s="1"/>
  <c r="F1054" i="1" s="1"/>
  <c r="F1055" i="1" s="1"/>
  <c r="F1056" i="1" s="1"/>
  <c r="F1057" i="1" s="1"/>
  <c r="F1058" i="1" s="1"/>
  <c r="F1059" i="1" s="1"/>
  <c r="F1060" i="1" s="1"/>
  <c r="F1061" i="1" s="1"/>
  <c r="F1062" i="1" s="1"/>
  <c r="F1063" i="1" s="1"/>
  <c r="F1064" i="1" s="1"/>
  <c r="F1065" i="1" s="1"/>
  <c r="F1066" i="1" s="1"/>
  <c r="F1067" i="1" s="1"/>
  <c r="F1068" i="1" s="1"/>
  <c r="F1069" i="1" s="1"/>
  <c r="F1070" i="1" s="1"/>
  <c r="F1071" i="1" s="1"/>
  <c r="F1072" i="1" s="1"/>
  <c r="F1073" i="1" s="1"/>
  <c r="F1074" i="1" s="1"/>
  <c r="F1075" i="1" s="1"/>
  <c r="F1076" i="1" s="1"/>
  <c r="F1077" i="1" s="1"/>
  <c r="F1078" i="1" s="1"/>
  <c r="F1079" i="1" s="1"/>
  <c r="F1080" i="1" s="1"/>
  <c r="F1081" i="1" s="1"/>
  <c r="F1082" i="1" s="1"/>
  <c r="F1083" i="1" s="1"/>
  <c r="F1084" i="1" s="1"/>
  <c r="F1085" i="1" s="1"/>
  <c r="F1086" i="1" s="1"/>
  <c r="F1087" i="1" s="1"/>
  <c r="F1088" i="1" s="1"/>
  <c r="F1089" i="1" s="1"/>
  <c r="F1090" i="1" s="1"/>
  <c r="F1091" i="1" s="1"/>
  <c r="F1092" i="1" s="1"/>
  <c r="F1093" i="1" s="1"/>
  <c r="F1094" i="1" s="1"/>
  <c r="F1095" i="1" s="1"/>
  <c r="F1096" i="1" s="1"/>
  <c r="F1097" i="1" s="1"/>
  <c r="F1098" i="1" s="1"/>
  <c r="F1099" i="1" s="1"/>
  <c r="F1100" i="1" s="1"/>
  <c r="F1101" i="1" s="1"/>
  <c r="F1102" i="1" s="1"/>
  <c r="F1103" i="1" s="1"/>
  <c r="F1104" i="1" s="1"/>
  <c r="F1105" i="1" s="1"/>
  <c r="F1106" i="1" s="1"/>
  <c r="F1107" i="1" s="1"/>
  <c r="F1108" i="1" s="1"/>
  <c r="F1109" i="1" s="1"/>
  <c r="F1110" i="1" s="1"/>
  <c r="F1111" i="1" s="1"/>
  <c r="F1112" i="1" s="1"/>
  <c r="F1113" i="1" s="1"/>
  <c r="F1114" i="1" s="1"/>
  <c r="F1115" i="1" s="1"/>
  <c r="F1116" i="1" s="1"/>
  <c r="F1117" i="1" s="1"/>
  <c r="F1118" i="1" s="1"/>
  <c r="F1119" i="1" s="1"/>
  <c r="F1120" i="1" s="1"/>
  <c r="F1121" i="1" s="1"/>
  <c r="F1122" i="1" s="1"/>
  <c r="F1123" i="1" s="1"/>
  <c r="F1124" i="1" s="1"/>
  <c r="F1125" i="1" s="1"/>
  <c r="F1126" i="1" s="1"/>
  <c r="F1127" i="1" s="1"/>
  <c r="F1128" i="1" s="1"/>
  <c r="F1129" i="1" s="1"/>
  <c r="F1130" i="1" s="1"/>
  <c r="F1131" i="1" s="1"/>
  <c r="F1132" i="1" s="1"/>
  <c r="F1133" i="1" s="1"/>
  <c r="F1134" i="1" s="1"/>
  <c r="F1135" i="1" s="1"/>
  <c r="F1136" i="1" s="1"/>
  <c r="F1137" i="1" s="1"/>
  <c r="F1138" i="1" s="1"/>
  <c r="F1139" i="1" s="1"/>
  <c r="F1140" i="1" s="1"/>
  <c r="F1141" i="1" s="1"/>
  <c r="F1142" i="1" s="1"/>
  <c r="F1143" i="1" s="1"/>
  <c r="F1144" i="1" s="1"/>
  <c r="F1145" i="1" s="1"/>
  <c r="F1146" i="1" s="1"/>
  <c r="F1147" i="1" s="1"/>
  <c r="F1148" i="1" s="1"/>
  <c r="F1149" i="1" s="1"/>
  <c r="F1150" i="1" s="1"/>
  <c r="F1151" i="1" s="1"/>
  <c r="F1152" i="1" s="1"/>
  <c r="F1153" i="1" s="1"/>
  <c r="F1154" i="1" s="1"/>
  <c r="F1155" i="1" s="1"/>
  <c r="F1156" i="1" s="1"/>
  <c r="F1157" i="1" s="1"/>
  <c r="F1158" i="1" s="1"/>
  <c r="F1159" i="1" s="1"/>
  <c r="F1160" i="1" s="1"/>
  <c r="F1161" i="1" s="1"/>
  <c r="F1162" i="1" s="1"/>
  <c r="F1163" i="1" s="1"/>
  <c r="F1164" i="1" s="1"/>
  <c r="F1165" i="1" s="1"/>
  <c r="F1166" i="1" s="1"/>
  <c r="F1167" i="1" s="1"/>
  <c r="F1168" i="1" s="1"/>
  <c r="F1169" i="1" s="1"/>
  <c r="F1170" i="1" s="1"/>
  <c r="F1171" i="1" s="1"/>
  <c r="F1172" i="1" s="1"/>
  <c r="F1173" i="1" s="1"/>
  <c r="F1174" i="1" s="1"/>
  <c r="F1175" i="1" s="1"/>
  <c r="F1176" i="1" s="1"/>
  <c r="F1177" i="1" s="1"/>
  <c r="F1178" i="1" s="1"/>
  <c r="F1179" i="1" s="1"/>
  <c r="F1180" i="1" s="1"/>
  <c r="F1181" i="1" s="1"/>
  <c r="F1182" i="1" s="1"/>
  <c r="F1183" i="1" s="1"/>
  <c r="F1184" i="1" s="1"/>
  <c r="F1185" i="1" s="1"/>
  <c r="F1186" i="1" s="1"/>
  <c r="F1187" i="1" s="1"/>
  <c r="F1188" i="1" s="1"/>
  <c r="F1189" i="1" s="1"/>
  <c r="F1190" i="1" s="1"/>
  <c r="F1191" i="1" s="1"/>
  <c r="F1192" i="1" s="1"/>
  <c r="F1193" i="1" s="1"/>
  <c r="F1194" i="1" s="1"/>
  <c r="F1195" i="1" s="1"/>
  <c r="F1196" i="1" s="1"/>
  <c r="F1197" i="1" s="1"/>
  <c r="F1198" i="1" s="1"/>
  <c r="F1199" i="1" s="1"/>
  <c r="F1200" i="1" s="1"/>
  <c r="F1201" i="1" s="1"/>
  <c r="F1202" i="1" s="1"/>
  <c r="F1203" i="1" s="1"/>
  <c r="F1204" i="1" s="1"/>
  <c r="F1205" i="1" s="1"/>
  <c r="F1206" i="1" s="1"/>
  <c r="F1207" i="1" s="1"/>
  <c r="F1208" i="1" s="1"/>
  <c r="F1209" i="1" s="1"/>
  <c r="F1210" i="1" s="1"/>
  <c r="F1211" i="1" s="1"/>
  <c r="F1212" i="1" s="1"/>
  <c r="F1213" i="1" s="1"/>
  <c r="F1214" i="1" s="1"/>
  <c r="F1215" i="1" s="1"/>
  <c r="F1216" i="1" s="1"/>
  <c r="F1217" i="1" s="1"/>
  <c r="F1218" i="1" s="1"/>
  <c r="F1219" i="1" s="1"/>
  <c r="F1220" i="1" s="1"/>
  <c r="F1221" i="1" s="1"/>
  <c r="F1222" i="1" s="1"/>
  <c r="F1223" i="1" s="1"/>
  <c r="F1224" i="1" s="1"/>
  <c r="F1225" i="1" s="1"/>
  <c r="F1226" i="1" s="1"/>
  <c r="F1227" i="1" s="1"/>
  <c r="F1228" i="1" s="1"/>
  <c r="F1229" i="1" s="1"/>
  <c r="F1230" i="1" s="1"/>
  <c r="F1231" i="1" s="1"/>
  <c r="F1232" i="1" s="1"/>
  <c r="F1233" i="1" s="1"/>
  <c r="F1234" i="1" s="1"/>
  <c r="F1235" i="1" s="1"/>
  <c r="F1236" i="1" s="1"/>
  <c r="F1237" i="1" s="1"/>
  <c r="F1238" i="1" s="1"/>
  <c r="F1239" i="1" s="1"/>
  <c r="F1240" i="1" s="1"/>
  <c r="F1241" i="1" s="1"/>
  <c r="F1242" i="1" s="1"/>
  <c r="F1243" i="1" s="1"/>
  <c r="F1244" i="1" s="1"/>
  <c r="F1245" i="1" s="1"/>
  <c r="F1246" i="1" s="1"/>
  <c r="F1247" i="1" s="1"/>
  <c r="F1248" i="1" s="1"/>
  <c r="F1249" i="1" s="1"/>
  <c r="F1250" i="1" s="1"/>
  <c r="F1251" i="1" s="1"/>
  <c r="F1252" i="1" s="1"/>
  <c r="F1253" i="1" s="1"/>
  <c r="F1254" i="1" s="1"/>
  <c r="F1255" i="1" s="1"/>
  <c r="F1256" i="1" s="1"/>
  <c r="F1257" i="1" s="1"/>
  <c r="F1258" i="1" s="1"/>
  <c r="F1259" i="1" s="1"/>
  <c r="D513" i="1"/>
  <c r="F426" i="5"/>
  <c r="G426" i="5" s="1"/>
  <c r="D426" i="1"/>
  <c r="F299" i="5"/>
  <c r="G299" i="5" s="1"/>
  <c r="D299" i="1"/>
  <c r="I702" i="1"/>
  <c r="I658" i="1"/>
  <c r="D653" i="1"/>
  <c r="D573" i="1"/>
  <c r="D570" i="1"/>
  <c r="D549" i="1"/>
  <c r="D546" i="1"/>
  <c r="F531" i="5"/>
  <c r="G531" i="5" s="1"/>
  <c r="D531" i="1"/>
  <c r="D525" i="1"/>
  <c r="D522" i="1"/>
  <c r="F507" i="5"/>
  <c r="G507" i="5" s="1"/>
  <c r="D507" i="1"/>
  <c r="D501" i="1"/>
  <c r="D498" i="1"/>
  <c r="G464" i="1"/>
  <c r="I464" i="1"/>
  <c r="G419" i="1"/>
  <c r="I367" i="1"/>
  <c r="G353" i="1"/>
  <c r="G334" i="1"/>
  <c r="I334" i="1"/>
  <c r="I254" i="1"/>
  <c r="F232" i="5"/>
  <c r="G232" i="5" s="1"/>
  <c r="D232" i="1"/>
  <c r="I691" i="1"/>
  <c r="I669" i="1"/>
  <c r="G661" i="1"/>
  <c r="I655" i="1"/>
  <c r="I629" i="1"/>
  <c r="I473" i="1"/>
  <c r="G439" i="1"/>
  <c r="G321" i="1"/>
  <c r="G258" i="1"/>
  <c r="I258" i="1"/>
  <c r="G702" i="1"/>
  <c r="G680" i="1"/>
  <c r="I527" i="1"/>
  <c r="I503" i="1"/>
  <c r="I435" i="1"/>
  <c r="F345" i="5"/>
  <c r="G345" i="5" s="1"/>
  <c r="D345" i="1"/>
  <c r="G289" i="1"/>
  <c r="F133" i="1"/>
  <c r="G669" i="1"/>
  <c r="G655" i="1"/>
  <c r="G632" i="1"/>
  <c r="I632" i="1"/>
  <c r="I491" i="1"/>
  <c r="G488" i="1"/>
  <c r="I488" i="1"/>
  <c r="I445" i="1"/>
  <c r="G391" i="1"/>
  <c r="I357" i="1"/>
  <c r="F267" i="5"/>
  <c r="G267" i="5" s="1"/>
  <c r="D267" i="1"/>
  <c r="D661" i="1"/>
  <c r="G518" i="1"/>
  <c r="G503" i="1"/>
  <c r="D482" i="1"/>
  <c r="G425" i="1"/>
  <c r="I425" i="1"/>
  <c r="I405" i="1"/>
  <c r="F357" i="5"/>
  <c r="D357" i="1"/>
  <c r="G608" i="1"/>
  <c r="I608" i="1"/>
  <c r="G584" i="1"/>
  <c r="I584" i="1"/>
  <c r="G560" i="1"/>
  <c r="I560" i="1"/>
  <c r="G536" i="1"/>
  <c r="I536" i="1"/>
  <c r="G512" i="1"/>
  <c r="I512" i="1"/>
  <c r="G415" i="1"/>
  <c r="G352" i="1"/>
  <c r="I352" i="1"/>
  <c r="F325" i="5"/>
  <c r="G325" i="5" s="1"/>
  <c r="D325" i="1"/>
  <c r="G646" i="1"/>
  <c r="I617" i="1"/>
  <c r="I593" i="1"/>
  <c r="I569" i="1"/>
  <c r="I545" i="1"/>
  <c r="F521" i="1"/>
  <c r="F522" i="1" s="1"/>
  <c r="I521" i="1"/>
  <c r="I497" i="1"/>
  <c r="G344" i="1"/>
  <c r="I344" i="1"/>
  <c r="F333" i="5"/>
  <c r="D333" i="1"/>
  <c r="G320" i="1"/>
  <c r="I320" i="1"/>
  <c r="G257" i="1"/>
  <c r="D795" i="1"/>
  <c r="D784" i="1"/>
  <c r="D732" i="1"/>
  <c r="D721" i="1"/>
  <c r="D688" i="1"/>
  <c r="D626" i="1"/>
  <c r="D617" i="1"/>
  <c r="D593" i="1"/>
  <c r="D569" i="1"/>
  <c r="D545" i="1"/>
  <c r="D521" i="1"/>
  <c r="D497" i="1"/>
  <c r="I383" i="1"/>
  <c r="G312" i="1"/>
  <c r="I312" i="1"/>
  <c r="F293" i="5"/>
  <c r="G293" i="5" s="1"/>
  <c r="D293" i="1"/>
  <c r="F257" i="5"/>
  <c r="D257" i="1"/>
  <c r="G226" i="1"/>
  <c r="I226" i="1"/>
  <c r="F563" i="5"/>
  <c r="D563" i="1"/>
  <c r="G472" i="1"/>
  <c r="I472" i="1"/>
  <c r="F380" i="5"/>
  <c r="G380" i="5" s="1"/>
  <c r="D380" i="1"/>
  <c r="G356" i="1"/>
  <c r="I356" i="1"/>
  <c r="G348" i="1"/>
  <c r="I348" i="1"/>
  <c r="G316" i="1"/>
  <c r="I316" i="1"/>
  <c r="F266" i="5"/>
  <c r="D266" i="1"/>
  <c r="F235" i="5"/>
  <c r="G235" i="5" s="1"/>
  <c r="D235" i="1"/>
  <c r="F143" i="1"/>
  <c r="F83" i="5"/>
  <c r="G83" i="5" s="1"/>
  <c r="D83" i="1"/>
  <c r="F12" i="1"/>
  <c r="F13" i="1" s="1"/>
  <c r="F14" i="1" s="1"/>
  <c r="F15" i="1" s="1"/>
  <c r="F16" i="1" s="1"/>
  <c r="F17" i="1" s="1"/>
  <c r="F18" i="1" s="1"/>
  <c r="F19" i="1" s="1"/>
  <c r="F20" i="1" s="1"/>
  <c r="F21" i="1" s="1"/>
  <c r="F22" i="1" s="1"/>
  <c r="F23" i="1" s="1"/>
  <c r="F24" i="1" s="1"/>
  <c r="F25" i="1" s="1"/>
  <c r="G12" i="1"/>
  <c r="G1256" i="5"/>
  <c r="I1242" i="9"/>
  <c r="I1242" i="8"/>
  <c r="F1157" i="5"/>
  <c r="G1157" i="5" s="1"/>
  <c r="I420" i="1"/>
  <c r="G412" i="1"/>
  <c r="I409" i="1"/>
  <c r="G398" i="1"/>
  <c r="I395" i="1"/>
  <c r="I378" i="1"/>
  <c r="G347" i="1"/>
  <c r="I341" i="1"/>
  <c r="I335" i="1"/>
  <c r="G315" i="1"/>
  <c r="D228" i="1"/>
  <c r="D225" i="1"/>
  <c r="G159" i="1"/>
  <c r="G153" i="1"/>
  <c r="I141" i="1"/>
  <c r="F92" i="1"/>
  <c r="F93" i="1" s="1"/>
  <c r="G92" i="1"/>
  <c r="F28" i="1"/>
  <c r="G28" i="1"/>
  <c r="I14" i="1"/>
  <c r="I22" i="1"/>
  <c r="I30" i="1"/>
  <c r="I38" i="1"/>
  <c r="I46" i="1"/>
  <c r="I54" i="1"/>
  <c r="I62" i="1"/>
  <c r="I70" i="1"/>
  <c r="I78" i="1"/>
  <c r="I86" i="1"/>
  <c r="I94" i="1"/>
  <c r="I102" i="1"/>
  <c r="F2" i="1"/>
  <c r="I9" i="1"/>
  <c r="I17" i="1"/>
  <c r="I25" i="1"/>
  <c r="I33" i="1"/>
  <c r="I41" i="1"/>
  <c r="I49" i="1"/>
  <c r="I57" i="1"/>
  <c r="I65" i="1"/>
  <c r="I73" i="1"/>
  <c r="I81" i="1"/>
  <c r="I89" i="1"/>
  <c r="I97" i="1"/>
  <c r="I105" i="1"/>
  <c r="I113" i="1"/>
  <c r="I121" i="1"/>
  <c r="I129" i="1"/>
  <c r="I137" i="1"/>
  <c r="I145" i="1"/>
  <c r="I153" i="1"/>
  <c r="I161" i="1"/>
  <c r="I169" i="1"/>
  <c r="I177" i="1"/>
  <c r="I185" i="1"/>
  <c r="I193" i="1"/>
  <c r="I201" i="1"/>
  <c r="I209" i="1"/>
  <c r="I217" i="1"/>
  <c r="I225" i="1"/>
  <c r="I233" i="1"/>
  <c r="I241" i="1"/>
  <c r="I249" i="1"/>
  <c r="I257" i="1"/>
  <c r="I265" i="1"/>
  <c r="I273" i="1"/>
  <c r="I281" i="1"/>
  <c r="I289" i="1"/>
  <c r="I297" i="1"/>
  <c r="I305" i="1"/>
  <c r="I313" i="1"/>
  <c r="I321" i="1"/>
  <c r="I329" i="1"/>
  <c r="I337" i="1"/>
  <c r="I345" i="1"/>
  <c r="I353" i="1"/>
  <c r="I361" i="1"/>
  <c r="I369" i="1"/>
  <c r="I377" i="1"/>
  <c r="I385" i="1"/>
  <c r="I393" i="1"/>
  <c r="I401" i="1"/>
  <c r="G2" i="1"/>
  <c r="C17" i="3" s="1" a="1"/>
  <c r="C17" i="3" s="1"/>
  <c r="N2" i="1"/>
  <c r="I7" i="1"/>
  <c r="I15" i="1"/>
  <c r="I23" i="1"/>
  <c r="I31" i="1"/>
  <c r="I39" i="1"/>
  <c r="I47" i="1"/>
  <c r="I55" i="1"/>
  <c r="I63" i="1"/>
  <c r="I71" i="1"/>
  <c r="I79" i="1"/>
  <c r="I87" i="1"/>
  <c r="I95" i="1"/>
  <c r="I103" i="1"/>
  <c r="I111" i="1"/>
  <c r="I119" i="1"/>
  <c r="I127" i="1"/>
  <c r="I135" i="1"/>
  <c r="I143" i="1"/>
  <c r="I151" i="1"/>
  <c r="I159" i="1"/>
  <c r="I167" i="1"/>
  <c r="I175" i="1"/>
  <c r="I183" i="1"/>
  <c r="I191" i="1"/>
  <c r="I199" i="1"/>
  <c r="I207" i="1"/>
  <c r="I5" i="1"/>
  <c r="I3" i="1"/>
  <c r="I8" i="1"/>
  <c r="I16" i="1"/>
  <c r="I24" i="1"/>
  <c r="I32" i="1"/>
  <c r="I40" i="1"/>
  <c r="I48" i="1"/>
  <c r="I56" i="1"/>
  <c r="J1258" i="5"/>
  <c r="K1258" i="5" s="1"/>
  <c r="R1225" i="5"/>
  <c r="Q1225" i="5"/>
  <c r="S1225" i="5"/>
  <c r="F1183" i="5"/>
  <c r="G1183" i="5" s="1"/>
  <c r="K1149" i="5"/>
  <c r="S1004" i="5"/>
  <c r="F144" i="1"/>
  <c r="F145" i="1" s="1"/>
  <c r="F138" i="1"/>
  <c r="G138" i="1"/>
  <c r="F132" i="1"/>
  <c r="G132" i="1"/>
  <c r="D129" i="1"/>
  <c r="I104" i="1"/>
  <c r="D73" i="1"/>
  <c r="I21" i="1"/>
  <c r="M1249" i="5"/>
  <c r="N1249" i="5"/>
  <c r="O1249" i="5"/>
  <c r="S1141" i="5"/>
  <c r="O994" i="5"/>
  <c r="G210" i="1"/>
  <c r="F186" i="1"/>
  <c r="G186" i="1"/>
  <c r="F162" i="1"/>
  <c r="F163" i="1" s="1"/>
  <c r="F164" i="1" s="1"/>
  <c r="F165" i="1" s="1"/>
  <c r="F166" i="1" s="1"/>
  <c r="F167" i="1" s="1"/>
  <c r="F168" i="1" s="1"/>
  <c r="F169" i="1" s="1"/>
  <c r="F170" i="1" s="1"/>
  <c r="F171" i="1" s="1"/>
  <c r="G162" i="1"/>
  <c r="F98" i="1"/>
  <c r="F99" i="1" s="1"/>
  <c r="F100" i="1" s="1"/>
  <c r="F101" i="1" s="1"/>
  <c r="F102" i="1" s="1"/>
  <c r="F103" i="1" s="1"/>
  <c r="F104" i="1" s="1"/>
  <c r="G98" i="1"/>
  <c r="G76" i="1"/>
  <c r="G44" i="1"/>
  <c r="N1241" i="5"/>
  <c r="O1241" i="5"/>
  <c r="F1236" i="5"/>
  <c r="G1236" i="5" s="1"/>
  <c r="F1214" i="5"/>
  <c r="G1214" i="5" s="1"/>
  <c r="N1188" i="5"/>
  <c r="O1188" i="5" s="1"/>
  <c r="M1188" i="5"/>
  <c r="F1172" i="5"/>
  <c r="K1162" i="5"/>
  <c r="D412" i="1"/>
  <c r="G375" i="1"/>
  <c r="F347" i="5"/>
  <c r="G347" i="5" s="1"/>
  <c r="D347" i="1"/>
  <c r="I294" i="1"/>
  <c r="I262" i="1"/>
  <c r="I230" i="1"/>
  <c r="D210" i="1"/>
  <c r="D192" i="1"/>
  <c r="D186" i="1"/>
  <c r="D177" i="1"/>
  <c r="D168" i="1"/>
  <c r="F156" i="1"/>
  <c r="F157" i="1" s="1"/>
  <c r="D153" i="1"/>
  <c r="D144" i="1"/>
  <c r="D98" i="1"/>
  <c r="I88" i="1"/>
  <c r="I50" i="1"/>
  <c r="I37" i="1"/>
  <c r="G34" i="1"/>
  <c r="G21" i="1"/>
  <c r="I1258" i="9"/>
  <c r="I1258" i="8"/>
  <c r="I1258" i="7"/>
  <c r="S1255" i="5"/>
  <c r="Q1253" i="5"/>
  <c r="R1253" i="5"/>
  <c r="S1253" i="5" s="1"/>
  <c r="D431" i="1"/>
  <c r="I386" i="1"/>
  <c r="I355" i="1"/>
  <c r="I323" i="1"/>
  <c r="I291" i="1"/>
  <c r="I288" i="1"/>
  <c r="I259" i="1"/>
  <c r="I256" i="1"/>
  <c r="I227" i="1"/>
  <c r="I224" i="1"/>
  <c r="G113" i="1"/>
  <c r="F82" i="1"/>
  <c r="G82" i="1"/>
  <c r="G60" i="1"/>
  <c r="I11" i="1"/>
  <c r="S1257" i="5"/>
  <c r="F1217" i="5"/>
  <c r="G1177" i="5"/>
  <c r="F395" i="5"/>
  <c r="G395" i="5" s="1"/>
  <c r="D395" i="1"/>
  <c r="F341" i="5"/>
  <c r="G341" i="5" s="1"/>
  <c r="D341" i="1"/>
  <c r="F309" i="5"/>
  <c r="D309" i="1"/>
  <c r="G294" i="1"/>
  <c r="G262" i="1"/>
  <c r="F245" i="5"/>
  <c r="D245" i="1"/>
  <c r="F171" i="5"/>
  <c r="D171" i="1"/>
  <c r="I128" i="1"/>
  <c r="D104" i="1"/>
  <c r="F88" i="1"/>
  <c r="G50" i="1"/>
  <c r="I1217" i="8"/>
  <c r="K1217" i="5"/>
  <c r="S1217" i="5"/>
  <c r="I1208" i="5"/>
  <c r="J1208" i="5"/>
  <c r="K1208" i="5"/>
  <c r="F1169" i="5"/>
  <c r="F1167" i="5"/>
  <c r="I314" i="1"/>
  <c r="I282" i="1"/>
  <c r="D268" i="1"/>
  <c r="G259" i="1"/>
  <c r="I250" i="1"/>
  <c r="G227" i="1"/>
  <c r="I218" i="1"/>
  <c r="G66" i="1"/>
  <c r="E1249" i="5"/>
  <c r="F1249" i="5"/>
  <c r="G1249" i="5" s="1"/>
  <c r="Q1238" i="5"/>
  <c r="R1238" i="5"/>
  <c r="S1238" i="5"/>
  <c r="F1185" i="5"/>
  <c r="G1185" i="5" s="1"/>
  <c r="S1161" i="5"/>
  <c r="G1057" i="5"/>
  <c r="I176" i="1"/>
  <c r="I152" i="1"/>
  <c r="F128" i="1"/>
  <c r="F129" i="1" s="1"/>
  <c r="G122" i="1"/>
  <c r="G116" i="1"/>
  <c r="D113" i="1"/>
  <c r="D88" i="1"/>
  <c r="I75" i="1"/>
  <c r="D66" i="1"/>
  <c r="I43" i="1"/>
  <c r="D40" i="1"/>
  <c r="G27" i="1"/>
  <c r="G1193" i="5"/>
  <c r="I1179" i="9"/>
  <c r="K1179" i="5"/>
  <c r="D320" i="1"/>
  <c r="D294" i="1"/>
  <c r="D288" i="1"/>
  <c r="D256" i="1"/>
  <c r="D224" i="1"/>
  <c r="I173" i="1"/>
  <c r="I155" i="1"/>
  <c r="I149" i="1"/>
  <c r="G143" i="1"/>
  <c r="G134" i="1"/>
  <c r="G131" i="1"/>
  <c r="G125" i="1"/>
  <c r="F11" i="5"/>
  <c r="D11" i="1"/>
  <c r="S942" i="5"/>
  <c r="F323" i="5"/>
  <c r="G323" i="5" s="1"/>
  <c r="D323" i="1"/>
  <c r="I302" i="1"/>
  <c r="F259" i="5"/>
  <c r="D259" i="1"/>
  <c r="F152" i="1"/>
  <c r="D128" i="1"/>
  <c r="F97" i="1"/>
  <c r="D72" i="1"/>
  <c r="I59" i="1"/>
  <c r="D56" i="1"/>
  <c r="I20" i="1"/>
  <c r="G4" i="1"/>
  <c r="N4" i="1"/>
  <c r="N1257" i="5"/>
  <c r="O1257" i="5"/>
  <c r="J1253" i="5"/>
  <c r="K1253" i="5" s="1"/>
  <c r="K1224" i="5"/>
  <c r="I1224" i="5"/>
  <c r="J1224" i="5"/>
  <c r="I296" i="1"/>
  <c r="I264" i="1"/>
  <c r="I232" i="1"/>
  <c r="G203" i="1"/>
  <c r="G197" i="1"/>
  <c r="F194" i="1"/>
  <c r="G194" i="1"/>
  <c r="G179" i="1"/>
  <c r="G173" i="1"/>
  <c r="G170" i="1"/>
  <c r="G155" i="1"/>
  <c r="G149" i="1"/>
  <c r="F146" i="1"/>
  <c r="G146" i="1"/>
  <c r="F140" i="1"/>
  <c r="G140" i="1"/>
  <c r="F33" i="1"/>
  <c r="F34" i="1" s="1"/>
  <c r="F35" i="1" s="1"/>
  <c r="F36" i="1" s="1"/>
  <c r="F37" i="1" s="1"/>
  <c r="F38" i="1" s="1"/>
  <c r="F39" i="1" s="1"/>
  <c r="F40" i="1" s="1"/>
  <c r="F41" i="1" s="1"/>
  <c r="F42" i="1" s="1"/>
  <c r="F43" i="1" s="1"/>
  <c r="F44" i="1" s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64" i="1" s="1"/>
  <c r="F65" i="1" s="1"/>
  <c r="F66" i="1" s="1"/>
  <c r="F67" i="1" s="1"/>
  <c r="F68" i="1" s="1"/>
  <c r="F69" i="1" s="1"/>
  <c r="F70" i="1" s="1"/>
  <c r="F71" i="1" s="1"/>
  <c r="F72" i="1" s="1"/>
  <c r="F73" i="1" s="1"/>
  <c r="F74" i="1" s="1"/>
  <c r="F75" i="1" s="1"/>
  <c r="F76" i="1" s="1"/>
  <c r="F77" i="1" s="1"/>
  <c r="F78" i="1" s="1"/>
  <c r="F79" i="1" s="1"/>
  <c r="G23" i="1"/>
  <c r="I1257" i="5"/>
  <c r="J1257" i="5"/>
  <c r="K1257" i="5" s="1"/>
  <c r="E1253" i="5"/>
  <c r="F1253" i="5"/>
  <c r="G1253" i="5"/>
  <c r="S1243" i="5"/>
  <c r="E1233" i="5"/>
  <c r="F1233" i="5"/>
  <c r="G1233" i="5" s="1"/>
  <c r="F1161" i="5"/>
  <c r="K1138" i="5"/>
  <c r="S1021" i="5"/>
  <c r="F349" i="5"/>
  <c r="G349" i="5" s="1"/>
  <c r="D349" i="1"/>
  <c r="F317" i="5"/>
  <c r="G317" i="5" s="1"/>
  <c r="D317" i="1"/>
  <c r="G302" i="1"/>
  <c r="F285" i="5"/>
  <c r="G285" i="5" s="1"/>
  <c r="D285" i="1"/>
  <c r="G270" i="1"/>
  <c r="F253" i="5"/>
  <c r="D253" i="1"/>
  <c r="G238" i="1"/>
  <c r="F221" i="5"/>
  <c r="D221" i="1"/>
  <c r="D209" i="1"/>
  <c r="D200" i="1"/>
  <c r="D194" i="1"/>
  <c r="D185" i="1"/>
  <c r="D176" i="1"/>
  <c r="D161" i="1"/>
  <c r="D152" i="1"/>
  <c r="D146" i="1"/>
  <c r="D140" i="1"/>
  <c r="F131" i="5"/>
  <c r="D131" i="1"/>
  <c r="I112" i="1"/>
  <c r="G100" i="1"/>
  <c r="F81" i="1"/>
  <c r="G62" i="1"/>
  <c r="I36" i="1"/>
  <c r="D33" i="1"/>
  <c r="G20" i="1"/>
  <c r="I10" i="1"/>
  <c r="I371" i="1"/>
  <c r="I351" i="1"/>
  <c r="I325" i="1"/>
  <c r="I319" i="1"/>
  <c r="D308" i="1"/>
  <c r="I293" i="1"/>
  <c r="I287" i="1"/>
  <c r="I261" i="1"/>
  <c r="I255" i="1"/>
  <c r="D244" i="1"/>
  <c r="D241" i="1"/>
  <c r="I229" i="1"/>
  <c r="I223" i="1"/>
  <c r="D212" i="1"/>
  <c r="D188" i="1"/>
  <c r="D164" i="1"/>
  <c r="D81" i="1"/>
  <c r="F7" i="5"/>
  <c r="D7" i="1"/>
  <c r="F1257" i="5"/>
  <c r="G1257" i="5"/>
  <c r="Q1237" i="5"/>
  <c r="R1237" i="5"/>
  <c r="S1237" i="5" s="1"/>
  <c r="F203" i="5"/>
  <c r="G203" i="5" s="1"/>
  <c r="D203" i="1"/>
  <c r="G121" i="1"/>
  <c r="F106" i="1"/>
  <c r="G106" i="1"/>
  <c r="F84" i="1"/>
  <c r="F85" i="1" s="1"/>
  <c r="F86" i="1" s="1"/>
  <c r="F87" i="1" s="1"/>
  <c r="G84" i="1"/>
  <c r="G36" i="1"/>
  <c r="F10" i="1"/>
  <c r="F11" i="1" s="1"/>
  <c r="I1246" i="8"/>
  <c r="I1246" i="7"/>
  <c r="O1129" i="5"/>
  <c r="F419" i="5"/>
  <c r="G419" i="5" s="1"/>
  <c r="D419" i="1"/>
  <c r="I220" i="1"/>
  <c r="I136" i="1"/>
  <c r="I96" i="1"/>
  <c r="D65" i="1"/>
  <c r="I42" i="1"/>
  <c r="I29" i="1"/>
  <c r="G13" i="1"/>
  <c r="G1255" i="5"/>
  <c r="S1252" i="5"/>
  <c r="I1187" i="8"/>
  <c r="K1187" i="5"/>
  <c r="S1187" i="5"/>
  <c r="F90" i="1"/>
  <c r="G90" i="1"/>
  <c r="G68" i="1"/>
  <c r="G52" i="1"/>
  <c r="D26" i="1"/>
  <c r="I1255" i="8"/>
  <c r="I1255" i="7"/>
  <c r="R1245" i="5"/>
  <c r="S1245" i="5" s="1"/>
  <c r="J1237" i="5"/>
  <c r="K1237" i="5" s="1"/>
  <c r="G1129" i="5"/>
  <c r="O1041" i="5"/>
  <c r="I336" i="1"/>
  <c r="I304" i="1"/>
  <c r="I148" i="1"/>
  <c r="F136" i="1"/>
  <c r="F130" i="1"/>
  <c r="G130" i="1"/>
  <c r="F124" i="1"/>
  <c r="G124" i="1"/>
  <c r="F96" i="1"/>
  <c r="D90" i="1"/>
  <c r="I80" i="1"/>
  <c r="G42" i="1"/>
  <c r="Q1254" i="5"/>
  <c r="R1254" i="5"/>
  <c r="S1254" i="5"/>
  <c r="F1248" i="5"/>
  <c r="G1248" i="5" s="1"/>
  <c r="G1243" i="5"/>
  <c r="G1240" i="5"/>
  <c r="G1105" i="5"/>
  <c r="G74" i="1"/>
  <c r="D42" i="1"/>
  <c r="I1243" i="9"/>
  <c r="I1243" i="8"/>
  <c r="F1237" i="5"/>
  <c r="G1237" i="5" s="1"/>
  <c r="S1183" i="5"/>
  <c r="Q1183" i="5"/>
  <c r="R1183" i="5"/>
  <c r="M1165" i="5"/>
  <c r="N1165" i="5"/>
  <c r="O1165" i="5" s="1"/>
  <c r="F1137" i="5"/>
  <c r="K1013" i="5"/>
  <c r="I390" i="1"/>
  <c r="I333" i="1"/>
  <c r="I330" i="1"/>
  <c r="I327" i="1"/>
  <c r="I301" i="1"/>
  <c r="I298" i="1"/>
  <c r="I295" i="1"/>
  <c r="D284" i="1"/>
  <c r="I269" i="1"/>
  <c r="I266" i="1"/>
  <c r="I263" i="1"/>
  <c r="D252" i="1"/>
  <c r="I237" i="1"/>
  <c r="I234" i="1"/>
  <c r="I231" i="1"/>
  <c r="D220" i="1"/>
  <c r="D217" i="1"/>
  <c r="F202" i="1"/>
  <c r="F203" i="1" s="1"/>
  <c r="F204" i="1" s="1"/>
  <c r="F205" i="1" s="1"/>
  <c r="F206" i="1" s="1"/>
  <c r="F207" i="1" s="1"/>
  <c r="F208" i="1" s="1"/>
  <c r="F209" i="1" s="1"/>
  <c r="F210" i="1" s="1"/>
  <c r="F211" i="1" s="1"/>
  <c r="F212" i="1" s="1"/>
  <c r="F213" i="1" s="1"/>
  <c r="F214" i="1" s="1"/>
  <c r="F215" i="1" s="1"/>
  <c r="F216" i="1" s="1"/>
  <c r="F217" i="1" s="1"/>
  <c r="F218" i="1" s="1"/>
  <c r="F219" i="1" s="1"/>
  <c r="F220" i="1" s="1"/>
  <c r="F221" i="1" s="1"/>
  <c r="F222" i="1" s="1"/>
  <c r="F223" i="1" s="1"/>
  <c r="F224" i="1" s="1"/>
  <c r="F225" i="1" s="1"/>
  <c r="F226" i="1" s="1"/>
  <c r="F227" i="1" s="1"/>
  <c r="F228" i="1" s="1"/>
  <c r="F229" i="1" s="1"/>
  <c r="F230" i="1" s="1"/>
  <c r="F231" i="1" s="1"/>
  <c r="F232" i="1" s="1"/>
  <c r="F233" i="1" s="1"/>
  <c r="F234" i="1" s="1"/>
  <c r="F235" i="1" s="1"/>
  <c r="F236" i="1" s="1"/>
  <c r="F237" i="1" s="1"/>
  <c r="F238" i="1" s="1"/>
  <c r="F239" i="1" s="1"/>
  <c r="F240" i="1" s="1"/>
  <c r="F241" i="1" s="1"/>
  <c r="F242" i="1" s="1"/>
  <c r="F243" i="1" s="1"/>
  <c r="F244" i="1" s="1"/>
  <c r="F245" i="1" s="1"/>
  <c r="F246" i="1" s="1"/>
  <c r="F247" i="1" s="1"/>
  <c r="F248" i="1" s="1"/>
  <c r="F249" i="1" s="1"/>
  <c r="F250" i="1" s="1"/>
  <c r="F251" i="1" s="1"/>
  <c r="F252" i="1" s="1"/>
  <c r="F253" i="1" s="1"/>
  <c r="F254" i="1" s="1"/>
  <c r="F255" i="1" s="1"/>
  <c r="F256" i="1" s="1"/>
  <c r="F257" i="1" s="1"/>
  <c r="F258" i="1" s="1"/>
  <c r="F259" i="1" s="1"/>
  <c r="F260" i="1" s="1"/>
  <c r="F261" i="1" s="1"/>
  <c r="F262" i="1" s="1"/>
  <c r="F263" i="1" s="1"/>
  <c r="F264" i="1" s="1"/>
  <c r="F265" i="1" s="1"/>
  <c r="F266" i="1" s="1"/>
  <c r="F267" i="1" s="1"/>
  <c r="F268" i="1" s="1"/>
  <c r="F269" i="1" s="1"/>
  <c r="F270" i="1" s="1"/>
  <c r="F271" i="1" s="1"/>
  <c r="F272" i="1" s="1"/>
  <c r="F273" i="1" s="1"/>
  <c r="F274" i="1" s="1"/>
  <c r="F275" i="1" s="1"/>
  <c r="F276" i="1" s="1"/>
  <c r="F277" i="1" s="1"/>
  <c r="F278" i="1" s="1"/>
  <c r="F279" i="1" s="1"/>
  <c r="F280" i="1" s="1"/>
  <c r="F281" i="1" s="1"/>
  <c r="F282" i="1" s="1"/>
  <c r="F283" i="1" s="1"/>
  <c r="F284" i="1" s="1"/>
  <c r="F285" i="1" s="1"/>
  <c r="F286" i="1" s="1"/>
  <c r="F287" i="1" s="1"/>
  <c r="F288" i="1" s="1"/>
  <c r="F289" i="1" s="1"/>
  <c r="F290" i="1" s="1"/>
  <c r="F291" i="1" s="1"/>
  <c r="F292" i="1" s="1"/>
  <c r="F293" i="1" s="1"/>
  <c r="F294" i="1" s="1"/>
  <c r="F295" i="1" s="1"/>
  <c r="F296" i="1" s="1"/>
  <c r="F297" i="1" s="1"/>
  <c r="F298" i="1" s="1"/>
  <c r="F299" i="1" s="1"/>
  <c r="F300" i="1" s="1"/>
  <c r="F301" i="1" s="1"/>
  <c r="F302" i="1" s="1"/>
  <c r="F303" i="1" s="1"/>
  <c r="F304" i="1" s="1"/>
  <c r="F305" i="1" s="1"/>
  <c r="F306" i="1" s="1"/>
  <c r="F307" i="1" s="1"/>
  <c r="F308" i="1" s="1"/>
  <c r="F309" i="1" s="1"/>
  <c r="F310" i="1" s="1"/>
  <c r="F311" i="1" s="1"/>
  <c r="F312" i="1" s="1"/>
  <c r="F313" i="1" s="1"/>
  <c r="F314" i="1" s="1"/>
  <c r="F315" i="1" s="1"/>
  <c r="F316" i="1" s="1"/>
  <c r="F317" i="1" s="1"/>
  <c r="F318" i="1" s="1"/>
  <c r="F319" i="1" s="1"/>
  <c r="F320" i="1" s="1"/>
  <c r="F321" i="1" s="1"/>
  <c r="F322" i="1" s="1"/>
  <c r="F323" i="1" s="1"/>
  <c r="F324" i="1" s="1"/>
  <c r="F325" i="1" s="1"/>
  <c r="F326" i="1" s="1"/>
  <c r="F327" i="1" s="1"/>
  <c r="F328" i="1" s="1"/>
  <c r="F329" i="1" s="1"/>
  <c r="F330" i="1" s="1"/>
  <c r="F331" i="1" s="1"/>
  <c r="F332" i="1" s="1"/>
  <c r="F333" i="1" s="1"/>
  <c r="F334" i="1" s="1"/>
  <c r="F335" i="1" s="1"/>
  <c r="F336" i="1" s="1"/>
  <c r="F337" i="1" s="1"/>
  <c r="F338" i="1" s="1"/>
  <c r="F339" i="1" s="1"/>
  <c r="F340" i="1" s="1"/>
  <c r="F341" i="1" s="1"/>
  <c r="F342" i="1" s="1"/>
  <c r="F343" i="1" s="1"/>
  <c r="F344" i="1" s="1"/>
  <c r="F345" i="1" s="1"/>
  <c r="F346" i="1" s="1"/>
  <c r="F347" i="1" s="1"/>
  <c r="F348" i="1" s="1"/>
  <c r="F349" i="1" s="1"/>
  <c r="F350" i="1" s="1"/>
  <c r="F351" i="1" s="1"/>
  <c r="F352" i="1" s="1"/>
  <c r="F353" i="1" s="1"/>
  <c r="F354" i="1" s="1"/>
  <c r="F355" i="1" s="1"/>
  <c r="F356" i="1" s="1"/>
  <c r="F357" i="1" s="1"/>
  <c r="F358" i="1" s="1"/>
  <c r="F359" i="1" s="1"/>
  <c r="F360" i="1" s="1"/>
  <c r="F361" i="1" s="1"/>
  <c r="F362" i="1" s="1"/>
  <c r="F363" i="1" s="1"/>
  <c r="F364" i="1" s="1"/>
  <c r="F365" i="1" s="1"/>
  <c r="F366" i="1" s="1"/>
  <c r="F367" i="1" s="1"/>
  <c r="F368" i="1" s="1"/>
  <c r="F369" i="1" s="1"/>
  <c r="F370" i="1" s="1"/>
  <c r="F371" i="1" s="1"/>
  <c r="F372" i="1" s="1"/>
  <c r="F373" i="1" s="1"/>
  <c r="F374" i="1" s="1"/>
  <c r="F375" i="1" s="1"/>
  <c r="F376" i="1" s="1"/>
  <c r="F377" i="1" s="1"/>
  <c r="F378" i="1" s="1"/>
  <c r="F379" i="1" s="1"/>
  <c r="F380" i="1" s="1"/>
  <c r="F381" i="1" s="1"/>
  <c r="F382" i="1" s="1"/>
  <c r="F383" i="1" s="1"/>
  <c r="F384" i="1" s="1"/>
  <c r="F385" i="1" s="1"/>
  <c r="F386" i="1" s="1"/>
  <c r="F387" i="1" s="1"/>
  <c r="F388" i="1" s="1"/>
  <c r="F389" i="1" s="1"/>
  <c r="F390" i="1" s="1"/>
  <c r="F391" i="1" s="1"/>
  <c r="F392" i="1" s="1"/>
  <c r="F393" i="1" s="1"/>
  <c r="F394" i="1" s="1"/>
  <c r="F395" i="1" s="1"/>
  <c r="F396" i="1" s="1"/>
  <c r="F397" i="1" s="1"/>
  <c r="F398" i="1" s="1"/>
  <c r="F399" i="1" s="1"/>
  <c r="F400" i="1" s="1"/>
  <c r="F401" i="1" s="1"/>
  <c r="F402" i="1" s="1"/>
  <c r="F403" i="1" s="1"/>
  <c r="F404" i="1" s="1"/>
  <c r="F405" i="1" s="1"/>
  <c r="F406" i="1" s="1"/>
  <c r="F407" i="1" s="1"/>
  <c r="F408" i="1" s="1"/>
  <c r="F409" i="1" s="1"/>
  <c r="F410" i="1" s="1"/>
  <c r="F411" i="1" s="1"/>
  <c r="F412" i="1" s="1"/>
  <c r="F413" i="1" s="1"/>
  <c r="F414" i="1" s="1"/>
  <c r="F415" i="1" s="1"/>
  <c r="F416" i="1" s="1"/>
  <c r="F417" i="1" s="1"/>
  <c r="F418" i="1" s="1"/>
  <c r="F419" i="1" s="1"/>
  <c r="F420" i="1" s="1"/>
  <c r="F421" i="1" s="1"/>
  <c r="F422" i="1" s="1"/>
  <c r="F423" i="1" s="1"/>
  <c r="F424" i="1" s="1"/>
  <c r="F425" i="1" s="1"/>
  <c r="F426" i="1" s="1"/>
  <c r="F427" i="1" s="1"/>
  <c r="F428" i="1" s="1"/>
  <c r="F429" i="1" s="1"/>
  <c r="F430" i="1" s="1"/>
  <c r="F431" i="1" s="1"/>
  <c r="F432" i="1" s="1"/>
  <c r="F433" i="1" s="1"/>
  <c r="F434" i="1" s="1"/>
  <c r="F435" i="1" s="1"/>
  <c r="F436" i="1" s="1"/>
  <c r="F437" i="1" s="1"/>
  <c r="F438" i="1" s="1"/>
  <c r="F439" i="1" s="1"/>
  <c r="F440" i="1" s="1"/>
  <c r="F441" i="1" s="1"/>
  <c r="F442" i="1" s="1"/>
  <c r="F443" i="1" s="1"/>
  <c r="F444" i="1" s="1"/>
  <c r="F445" i="1" s="1"/>
  <c r="F446" i="1" s="1"/>
  <c r="F447" i="1" s="1"/>
  <c r="F448" i="1" s="1"/>
  <c r="F449" i="1" s="1"/>
  <c r="F450" i="1" s="1"/>
  <c r="F451" i="1" s="1"/>
  <c r="F452" i="1" s="1"/>
  <c r="F453" i="1" s="1"/>
  <c r="F454" i="1" s="1"/>
  <c r="F455" i="1" s="1"/>
  <c r="F456" i="1" s="1"/>
  <c r="F457" i="1" s="1"/>
  <c r="F458" i="1" s="1"/>
  <c r="F459" i="1" s="1"/>
  <c r="F460" i="1" s="1"/>
  <c r="F461" i="1" s="1"/>
  <c r="F462" i="1" s="1"/>
  <c r="F463" i="1" s="1"/>
  <c r="F464" i="1" s="1"/>
  <c r="F465" i="1" s="1"/>
  <c r="F466" i="1" s="1"/>
  <c r="F467" i="1" s="1"/>
  <c r="F468" i="1" s="1"/>
  <c r="F469" i="1" s="1"/>
  <c r="F470" i="1" s="1"/>
  <c r="F471" i="1" s="1"/>
  <c r="F472" i="1" s="1"/>
  <c r="F473" i="1" s="1"/>
  <c r="F474" i="1" s="1"/>
  <c r="F475" i="1" s="1"/>
  <c r="F476" i="1" s="1"/>
  <c r="F477" i="1" s="1"/>
  <c r="F478" i="1" s="1"/>
  <c r="F479" i="1" s="1"/>
  <c r="F480" i="1" s="1"/>
  <c r="F481" i="1" s="1"/>
  <c r="F482" i="1" s="1"/>
  <c r="F483" i="1" s="1"/>
  <c r="F484" i="1" s="1"/>
  <c r="F485" i="1" s="1"/>
  <c r="F486" i="1" s="1"/>
  <c r="F487" i="1" s="1"/>
  <c r="F488" i="1" s="1"/>
  <c r="F489" i="1" s="1"/>
  <c r="F490" i="1" s="1"/>
  <c r="F491" i="1" s="1"/>
  <c r="F492" i="1" s="1"/>
  <c r="F493" i="1" s="1"/>
  <c r="F494" i="1" s="1"/>
  <c r="F495" i="1" s="1"/>
  <c r="F496" i="1" s="1"/>
  <c r="F497" i="1" s="1"/>
  <c r="F498" i="1" s="1"/>
  <c r="F499" i="1" s="1"/>
  <c r="F500" i="1" s="1"/>
  <c r="F501" i="1" s="1"/>
  <c r="F502" i="1" s="1"/>
  <c r="F503" i="1" s="1"/>
  <c r="F504" i="1" s="1"/>
  <c r="F505" i="1" s="1"/>
  <c r="F506" i="1" s="1"/>
  <c r="F507" i="1" s="1"/>
  <c r="F508" i="1" s="1"/>
  <c r="F509" i="1" s="1"/>
  <c r="F510" i="1" s="1"/>
  <c r="G202" i="1"/>
  <c r="F178" i="1"/>
  <c r="F179" i="1" s="1"/>
  <c r="F180" i="1" s="1"/>
  <c r="F181" i="1" s="1"/>
  <c r="F182" i="1" s="1"/>
  <c r="F183" i="1" s="1"/>
  <c r="F184" i="1" s="1"/>
  <c r="G178" i="1"/>
  <c r="G172" i="1"/>
  <c r="F154" i="1"/>
  <c r="G154" i="1"/>
  <c r="G148" i="1"/>
  <c r="D136" i="1"/>
  <c r="D96" i="1"/>
  <c r="I83" i="1"/>
  <c r="F80" i="1"/>
  <c r="D74" i="1"/>
  <c r="I64" i="1"/>
  <c r="G58" i="1"/>
  <c r="I1245" i="5"/>
  <c r="J1245" i="5"/>
  <c r="K1245" i="5"/>
  <c r="Q1209" i="5"/>
  <c r="R1209" i="5"/>
  <c r="S1209" i="5"/>
  <c r="F196" i="1"/>
  <c r="F1212" i="5"/>
  <c r="G1212" i="5" s="1"/>
  <c r="F1192" i="5"/>
  <c r="G1192" i="5" s="1"/>
  <c r="F1155" i="5"/>
  <c r="K987" i="5"/>
  <c r="I456" i="1"/>
  <c r="F443" i="5"/>
  <c r="G443" i="5" s="1"/>
  <c r="D443" i="1"/>
  <c r="D421" i="1"/>
  <c r="I387" i="1"/>
  <c r="I370" i="1"/>
  <c r="D365" i="1"/>
  <c r="D342" i="1"/>
  <c r="D336" i="1"/>
  <c r="D272" i="1"/>
  <c r="I228" i="1"/>
  <c r="D172" i="1"/>
  <c r="D148" i="1"/>
  <c r="F139" i="5"/>
  <c r="D139" i="1"/>
  <c r="I120" i="1"/>
  <c r="I114" i="1"/>
  <c r="I108" i="1"/>
  <c r="D80" i="1"/>
  <c r="I67" i="1"/>
  <c r="I51" i="1"/>
  <c r="D48" i="1"/>
  <c r="F9" i="1"/>
  <c r="M1234" i="5"/>
  <c r="N1234" i="5"/>
  <c r="O1234" i="5"/>
  <c r="G1229" i="5"/>
  <c r="S1203" i="5"/>
  <c r="O1065" i="5"/>
  <c r="G1033" i="5"/>
  <c r="G225" i="1"/>
  <c r="F187" i="5"/>
  <c r="G187" i="5" s="1"/>
  <c r="D187" i="1"/>
  <c r="G15" i="1"/>
  <c r="I12" i="1"/>
  <c r="E1250" i="5"/>
  <c r="F1250" i="5"/>
  <c r="G1250" i="5" s="1"/>
  <c r="F1147" i="5"/>
  <c r="G1134" i="5"/>
  <c r="K1109" i="5"/>
  <c r="S949" i="5"/>
  <c r="G228" i="1"/>
  <c r="I216" i="1"/>
  <c r="F114" i="1"/>
  <c r="F115" i="1" s="1"/>
  <c r="F116" i="1" s="1"/>
  <c r="F117" i="1" s="1"/>
  <c r="F118" i="1" s="1"/>
  <c r="F119" i="1" s="1"/>
  <c r="F120" i="1" s="1"/>
  <c r="F121" i="1" s="1"/>
  <c r="F122" i="1" s="1"/>
  <c r="F123" i="1" s="1"/>
  <c r="G114" i="1"/>
  <c r="F108" i="1"/>
  <c r="F109" i="1" s="1"/>
  <c r="F110" i="1" s="1"/>
  <c r="F111" i="1" s="1"/>
  <c r="F112" i="1" s="1"/>
  <c r="G108" i="1"/>
  <c r="I92" i="1"/>
  <c r="F89" i="1"/>
  <c r="D64" i="1"/>
  <c r="G51" i="1"/>
  <c r="G41" i="1"/>
  <c r="F35" i="5"/>
  <c r="D35" i="1"/>
  <c r="I28" i="1"/>
  <c r="D25" i="1"/>
  <c r="I2" i="1"/>
  <c r="M1258" i="5"/>
  <c r="N1258" i="5"/>
  <c r="I1254" i="5"/>
  <c r="J1254" i="5"/>
  <c r="K1254" i="5" s="1"/>
  <c r="S1222" i="5"/>
  <c r="G1100" i="5"/>
  <c r="J1088" i="5"/>
  <c r="K1088" i="5"/>
  <c r="M1083" i="5"/>
  <c r="N1083" i="5"/>
  <c r="O1083" i="5"/>
  <c r="N1044" i="5"/>
  <c r="O1044" i="5" s="1"/>
  <c r="M1037" i="5"/>
  <c r="N1037" i="5"/>
  <c r="O1037" i="5"/>
  <c r="I1026" i="8"/>
  <c r="K1026" i="5"/>
  <c r="O1026" i="5"/>
  <c r="I833" i="9"/>
  <c r="I833" i="8"/>
  <c r="F738" i="5"/>
  <c r="G738" i="5" s="1"/>
  <c r="O1225" i="5"/>
  <c r="G1224" i="5"/>
  <c r="Q1222" i="5"/>
  <c r="M1212" i="5"/>
  <c r="I1185" i="5"/>
  <c r="K1185" i="5"/>
  <c r="O1180" i="5"/>
  <c r="S1175" i="5"/>
  <c r="Q1146" i="5"/>
  <c r="R1146" i="5"/>
  <c r="S1146" i="5" s="1"/>
  <c r="R1144" i="5"/>
  <c r="S1144" i="5" s="1"/>
  <c r="Q1117" i="5"/>
  <c r="R1117" i="5"/>
  <c r="S1117" i="5" s="1"/>
  <c r="I1081" i="5"/>
  <c r="J1081" i="5"/>
  <c r="K1081" i="5"/>
  <c r="I1070" i="9"/>
  <c r="K1070" i="5"/>
  <c r="M773" i="5"/>
  <c r="N773" i="5"/>
  <c r="O773" i="5" s="1"/>
  <c r="R1242" i="5"/>
  <c r="S1242" i="5" s="1"/>
  <c r="N1238" i="5"/>
  <c r="O1238" i="5" s="1"/>
  <c r="R1232" i="5"/>
  <c r="S1232" i="5" s="1"/>
  <c r="I1230" i="9"/>
  <c r="I1230" i="8"/>
  <c r="I1230" i="7"/>
  <c r="O1228" i="5"/>
  <c r="N1225" i="5"/>
  <c r="R1216" i="5"/>
  <c r="S1216" i="5" s="1"/>
  <c r="I1214" i="9"/>
  <c r="I1214" i="7"/>
  <c r="N1209" i="5"/>
  <c r="O1209" i="5" s="1"/>
  <c r="F1196" i="5"/>
  <c r="G1196" i="5" s="1"/>
  <c r="I1190" i="9"/>
  <c r="I1190" i="8"/>
  <c r="I1190" i="7"/>
  <c r="J1188" i="5"/>
  <c r="K1188" i="5" s="1"/>
  <c r="O1175" i="5"/>
  <c r="K1167" i="5"/>
  <c r="N1163" i="5"/>
  <c r="O1163" i="5" s="1"/>
  <c r="N1140" i="5"/>
  <c r="O1140" i="5"/>
  <c r="J1136" i="5"/>
  <c r="K1136" i="5" s="1"/>
  <c r="F1132" i="5"/>
  <c r="G1132" i="5"/>
  <c r="G1124" i="5"/>
  <c r="M1117" i="5"/>
  <c r="N1117" i="5"/>
  <c r="O1117" i="5"/>
  <c r="O1108" i="5"/>
  <c r="K1104" i="5"/>
  <c r="I1037" i="5"/>
  <c r="J1037" i="5"/>
  <c r="K1037" i="5" s="1"/>
  <c r="G1028" i="5"/>
  <c r="I986" i="9"/>
  <c r="I986" i="7"/>
  <c r="S986" i="5"/>
  <c r="J973" i="5"/>
  <c r="K973" i="5"/>
  <c r="I973" i="5"/>
  <c r="K938" i="5"/>
  <c r="R935" i="5"/>
  <c r="S935" i="5" s="1"/>
  <c r="Q935" i="5"/>
  <c r="I880" i="8"/>
  <c r="O880" i="5"/>
  <c r="G6" i="1"/>
  <c r="K1248" i="5"/>
  <c r="G1244" i="5"/>
  <c r="S1229" i="5"/>
  <c r="K1228" i="5"/>
  <c r="O1222" i="5"/>
  <c r="G1221" i="5"/>
  <c r="S1213" i="5"/>
  <c r="K1212" i="5"/>
  <c r="O1206" i="5"/>
  <c r="G1205" i="5"/>
  <c r="G1202" i="5"/>
  <c r="O1200" i="5"/>
  <c r="E1182" i="5"/>
  <c r="F1182" i="5"/>
  <c r="G1182" i="5" s="1"/>
  <c r="N1175" i="5"/>
  <c r="K1165" i="5"/>
  <c r="Q1159" i="5"/>
  <c r="S1159" i="5"/>
  <c r="E1081" i="5"/>
  <c r="F1081" i="5"/>
  <c r="G1081" i="5" s="1"/>
  <c r="Q1069" i="5"/>
  <c r="R1069" i="5"/>
  <c r="S1069" i="5" s="1"/>
  <c r="K1023" i="5"/>
  <c r="N1020" i="5"/>
  <c r="O1020" i="5" s="1"/>
  <c r="G1001" i="5"/>
  <c r="G973" i="5"/>
  <c r="E973" i="5"/>
  <c r="F973" i="5"/>
  <c r="I1247" i="9"/>
  <c r="I1247" i="7"/>
  <c r="I1227" i="9"/>
  <c r="I1227" i="8"/>
  <c r="O1219" i="5"/>
  <c r="I1182" i="9"/>
  <c r="I1182" i="7"/>
  <c r="I1174" i="8"/>
  <c r="I1174" i="7"/>
  <c r="E1167" i="5"/>
  <c r="G1167" i="5"/>
  <c r="Q1161" i="5"/>
  <c r="R1161" i="5"/>
  <c r="E1158" i="5"/>
  <c r="F1158" i="5"/>
  <c r="G1158" i="5" s="1"/>
  <c r="F1156" i="5"/>
  <c r="G1156" i="5" s="1"/>
  <c r="I1122" i="9"/>
  <c r="I1122" i="8"/>
  <c r="I1122" i="7"/>
  <c r="N1092" i="5"/>
  <c r="O1092" i="5"/>
  <c r="Q1087" i="5"/>
  <c r="R1087" i="5"/>
  <c r="S1087" i="5" s="1"/>
  <c r="M1085" i="5"/>
  <c r="N1085" i="5"/>
  <c r="O1085" i="5" s="1"/>
  <c r="O1051" i="5"/>
  <c r="I1013" i="5"/>
  <c r="J1013" i="5"/>
  <c r="E960" i="5"/>
  <c r="G960" i="5"/>
  <c r="F960" i="5"/>
  <c r="N897" i="5"/>
  <c r="O897" i="5" s="1"/>
  <c r="M897" i="5"/>
  <c r="K742" i="5"/>
  <c r="I1254" i="9"/>
  <c r="I1254" i="7"/>
  <c r="S1246" i="5"/>
  <c r="K1238" i="5"/>
  <c r="O1232" i="5"/>
  <c r="I1224" i="9"/>
  <c r="I1224" i="8"/>
  <c r="O1216" i="5"/>
  <c r="K1209" i="5"/>
  <c r="O1203" i="5"/>
  <c r="I1196" i="9"/>
  <c r="I1196" i="8"/>
  <c r="I1196" i="7"/>
  <c r="K1191" i="5"/>
  <c r="G1188" i="5"/>
  <c r="O1178" i="5"/>
  <c r="J1175" i="5"/>
  <c r="S1173" i="5"/>
  <c r="F1165" i="5"/>
  <c r="G1165" i="5"/>
  <c r="I1158" i="8"/>
  <c r="I1158" i="7"/>
  <c r="I1156" i="8"/>
  <c r="I1156" i="7"/>
  <c r="K1152" i="5"/>
  <c r="Q1121" i="5"/>
  <c r="R1121" i="5"/>
  <c r="S1121" i="5"/>
  <c r="R1048" i="5"/>
  <c r="S1048" i="5" s="1"/>
  <c r="F1044" i="5"/>
  <c r="G1044" i="5" s="1"/>
  <c r="F978" i="5"/>
  <c r="G978" i="5" s="1"/>
  <c r="E978" i="5"/>
  <c r="E946" i="5"/>
  <c r="F946" i="5"/>
  <c r="G946" i="5"/>
  <c r="E930" i="5"/>
  <c r="F930" i="5"/>
  <c r="G930" i="5" s="1"/>
  <c r="F803" i="5"/>
  <c r="G803" i="5" s="1"/>
  <c r="E803" i="5"/>
  <c r="G789" i="5"/>
  <c r="F1258" i="5"/>
  <c r="G1258" i="5" s="1"/>
  <c r="R1246" i="5"/>
  <c r="N1242" i="5"/>
  <c r="O1242" i="5" s="1"/>
  <c r="J1238" i="5"/>
  <c r="I1237" i="9"/>
  <c r="I1237" i="8"/>
  <c r="I1237" i="7"/>
  <c r="N1232" i="5"/>
  <c r="G1231" i="5"/>
  <c r="R1226" i="5"/>
  <c r="S1226" i="5" s="1"/>
  <c r="J1225" i="5"/>
  <c r="K1225" i="5" s="1"/>
  <c r="S1223" i="5"/>
  <c r="N1216" i="5"/>
  <c r="R1210" i="5"/>
  <c r="S1210" i="5" s="1"/>
  <c r="J1209" i="5"/>
  <c r="S1207" i="5"/>
  <c r="I1205" i="8"/>
  <c r="I1205" i="7"/>
  <c r="G1191" i="5"/>
  <c r="N1186" i="5"/>
  <c r="O1186" i="5" s="1"/>
  <c r="J1183" i="5"/>
  <c r="K1183" i="5" s="1"/>
  <c r="R1181" i="5"/>
  <c r="S1181" i="5" s="1"/>
  <c r="G1180" i="5"/>
  <c r="S1166" i="5"/>
  <c r="I1165" i="9"/>
  <c r="I1165" i="8"/>
  <c r="I1165" i="7"/>
  <c r="N1161" i="5"/>
  <c r="O1161" i="5" s="1"/>
  <c r="S1157" i="5"/>
  <c r="M1142" i="5"/>
  <c r="N1142" i="5"/>
  <c r="O1142" i="5" s="1"/>
  <c r="F1130" i="5"/>
  <c r="G1130" i="5" s="1"/>
  <c r="S1127" i="5"/>
  <c r="I1126" i="8"/>
  <c r="I1126" i="7"/>
  <c r="F1117" i="5"/>
  <c r="G1117" i="5"/>
  <c r="G1115" i="5"/>
  <c r="I1085" i="5"/>
  <c r="J1085" i="5"/>
  <c r="K1085" i="5" s="1"/>
  <c r="S1055" i="5"/>
  <c r="E993" i="5"/>
  <c r="F993" i="5"/>
  <c r="G993" i="5" s="1"/>
  <c r="G837" i="5"/>
  <c r="J776" i="5"/>
  <c r="K776" i="5"/>
  <c r="I776" i="5"/>
  <c r="F750" i="5"/>
  <c r="O1256" i="5"/>
  <c r="K1252" i="5"/>
  <c r="F1241" i="5"/>
  <c r="G1241" i="5" s="1"/>
  <c r="S1236" i="5"/>
  <c r="F1231" i="5"/>
  <c r="O1229" i="5"/>
  <c r="G1228" i="5"/>
  <c r="R1223" i="5"/>
  <c r="I1221" i="9"/>
  <c r="I1221" i="8"/>
  <c r="I1221" i="7"/>
  <c r="F1215" i="5"/>
  <c r="G1215" i="5" s="1"/>
  <c r="O1213" i="5"/>
  <c r="R1207" i="5"/>
  <c r="K1206" i="5"/>
  <c r="S1204" i="5"/>
  <c r="J1200" i="5"/>
  <c r="K1200" i="5" s="1"/>
  <c r="S1198" i="5"/>
  <c r="R1195" i="5"/>
  <c r="S1195" i="5" s="1"/>
  <c r="F1191" i="5"/>
  <c r="O1189" i="5"/>
  <c r="F1188" i="5"/>
  <c r="K1175" i="5"/>
  <c r="G1154" i="5"/>
  <c r="F1140" i="5"/>
  <c r="G1140" i="5" s="1"/>
  <c r="I1138" i="5"/>
  <c r="J1138" i="5"/>
  <c r="Q1135" i="5"/>
  <c r="S1135" i="5"/>
  <c r="E1134" i="5"/>
  <c r="F1134" i="5"/>
  <c r="M1131" i="5"/>
  <c r="O1131" i="5"/>
  <c r="I1130" i="9"/>
  <c r="I1130" i="8"/>
  <c r="I1130" i="7"/>
  <c r="F1108" i="5"/>
  <c r="G1108" i="5"/>
  <c r="O1099" i="5"/>
  <c r="F1060" i="5"/>
  <c r="G1060" i="5"/>
  <c r="F1058" i="5"/>
  <c r="G1058" i="5" s="1"/>
  <c r="Q1041" i="5"/>
  <c r="R1041" i="5"/>
  <c r="S1041" i="5" s="1"/>
  <c r="Q982" i="5"/>
  <c r="R982" i="5"/>
  <c r="S982" i="5" s="1"/>
  <c r="F925" i="5"/>
  <c r="E882" i="5"/>
  <c r="F882" i="5"/>
  <c r="G882" i="5" s="1"/>
  <c r="I1251" i="9"/>
  <c r="I1251" i="8"/>
  <c r="R1236" i="5"/>
  <c r="I1234" i="8"/>
  <c r="I1234" i="7"/>
  <c r="N1229" i="5"/>
  <c r="F1228" i="5"/>
  <c r="J1222" i="5"/>
  <c r="K1222" i="5" s="1"/>
  <c r="S1220" i="5"/>
  <c r="I1218" i="9"/>
  <c r="I1218" i="8"/>
  <c r="N1213" i="5"/>
  <c r="S1201" i="5"/>
  <c r="G1194" i="5"/>
  <c r="I1188" i="9"/>
  <c r="I1188" i="8"/>
  <c r="F1180" i="5"/>
  <c r="S1176" i="5"/>
  <c r="G1172" i="5"/>
  <c r="K1159" i="5"/>
  <c r="F1152" i="5"/>
  <c r="G1152" i="5" s="1"/>
  <c r="I1140" i="8"/>
  <c r="I1140" i="7"/>
  <c r="K1140" i="5"/>
  <c r="I1134" i="9"/>
  <c r="I1134" i="8"/>
  <c r="S1103" i="5"/>
  <c r="R1096" i="5"/>
  <c r="S1096" i="5" s="1"/>
  <c r="F1069" i="5"/>
  <c r="E1053" i="5"/>
  <c r="F1053" i="5"/>
  <c r="G1053" i="5" s="1"/>
  <c r="S1022" i="5"/>
  <c r="F1020" i="5"/>
  <c r="G1020" i="5" s="1"/>
  <c r="O956" i="5"/>
  <c r="M956" i="5"/>
  <c r="N956" i="5"/>
  <c r="I779" i="9"/>
  <c r="I779" i="8"/>
  <c r="I779" i="7"/>
  <c r="K779" i="5"/>
  <c r="O779" i="5"/>
  <c r="K1242" i="5"/>
  <c r="G1238" i="5"/>
  <c r="S1233" i="5"/>
  <c r="K1232" i="5"/>
  <c r="F1194" i="5"/>
  <c r="S1184" i="5"/>
  <c r="O1181" i="5"/>
  <c r="Q1176" i="5"/>
  <c r="I1172" i="8"/>
  <c r="I1172" i="7"/>
  <c r="F1163" i="5"/>
  <c r="G1163" i="5" s="1"/>
  <c r="I1161" i="5"/>
  <c r="K1161" i="5"/>
  <c r="J1159" i="5"/>
  <c r="M1155" i="5"/>
  <c r="O1155" i="5"/>
  <c r="F1154" i="5"/>
  <c r="F1148" i="5"/>
  <c r="R1129" i="5"/>
  <c r="S1129" i="5"/>
  <c r="J1121" i="5"/>
  <c r="K1121" i="5"/>
  <c r="J1112" i="5"/>
  <c r="K1112" i="5" s="1"/>
  <c r="F1106" i="5"/>
  <c r="G1106" i="5" s="1"/>
  <c r="F1092" i="5"/>
  <c r="G1092" i="5" s="1"/>
  <c r="I1074" i="7"/>
  <c r="K1074" i="5"/>
  <c r="O1074" i="5"/>
  <c r="G1067" i="5"/>
  <c r="M1041" i="5"/>
  <c r="N1041" i="5"/>
  <c r="R1024" i="5"/>
  <c r="S1024" i="5" s="1"/>
  <c r="Q1017" i="5"/>
  <c r="R1017" i="5"/>
  <c r="S1017" i="5"/>
  <c r="F962" i="5"/>
  <c r="G962" i="5"/>
  <c r="E962" i="5"/>
  <c r="I914" i="5"/>
  <c r="J914" i="5"/>
  <c r="K914" i="5"/>
  <c r="F889" i="5"/>
  <c r="G889" i="5" s="1"/>
  <c r="R1250" i="5"/>
  <c r="S1250" i="5" s="1"/>
  <c r="N1246" i="5"/>
  <c r="O1246" i="5" s="1"/>
  <c r="J1242" i="5"/>
  <c r="I1241" i="9"/>
  <c r="I1241" i="8"/>
  <c r="N1226" i="5"/>
  <c r="O1226" i="5" s="1"/>
  <c r="I1215" i="9"/>
  <c r="I1215" i="8"/>
  <c r="J1186" i="5"/>
  <c r="K1186" i="5" s="1"/>
  <c r="N1181" i="5"/>
  <c r="N1173" i="5"/>
  <c r="O1173" i="5" s="1"/>
  <c r="M1166" i="5"/>
  <c r="N1166" i="5"/>
  <c r="O1166" i="5" s="1"/>
  <c r="M1157" i="5"/>
  <c r="N1157" i="5"/>
  <c r="O1157" i="5" s="1"/>
  <c r="I1154" i="9"/>
  <c r="I1154" i="7"/>
  <c r="Q1133" i="5"/>
  <c r="R1133" i="5"/>
  <c r="S1133" i="5" s="1"/>
  <c r="I1127" i="5"/>
  <c r="K1127" i="5"/>
  <c r="N1125" i="5"/>
  <c r="O1125" i="5"/>
  <c r="E1101" i="5"/>
  <c r="F1101" i="5"/>
  <c r="G1101" i="5" s="1"/>
  <c r="E1099" i="5"/>
  <c r="F1099" i="5"/>
  <c r="G1099" i="5" s="1"/>
  <c r="M1094" i="5"/>
  <c r="N1094" i="5"/>
  <c r="O1094" i="5"/>
  <c r="I1092" i="7"/>
  <c r="K1092" i="5"/>
  <c r="G1076" i="5"/>
  <c r="Q942" i="5"/>
  <c r="R942" i="5"/>
  <c r="N924" i="5"/>
  <c r="O924" i="5"/>
  <c r="M924" i="5"/>
  <c r="Q899" i="5"/>
  <c r="R899" i="5"/>
  <c r="S899" i="5" s="1"/>
  <c r="F871" i="5"/>
  <c r="G871" i="5" s="1"/>
  <c r="I856" i="9"/>
  <c r="I856" i="8"/>
  <c r="I856" i="7"/>
  <c r="O856" i="5"/>
  <c r="I1228" i="8"/>
  <c r="I1228" i="7"/>
  <c r="S1214" i="5"/>
  <c r="I1212" i="9"/>
  <c r="I1212" i="8"/>
  <c r="G1148" i="5"/>
  <c r="M1133" i="5"/>
  <c r="N1133" i="5"/>
  <c r="O1133" i="5"/>
  <c r="M1129" i="5"/>
  <c r="N1129" i="5"/>
  <c r="I1125" i="5"/>
  <c r="J1125" i="5"/>
  <c r="K1125" i="5" s="1"/>
  <c r="N1116" i="5"/>
  <c r="O1116" i="5"/>
  <c r="M1107" i="5"/>
  <c r="N1107" i="5"/>
  <c r="O1107" i="5"/>
  <c r="I1103" i="5"/>
  <c r="J1103" i="5"/>
  <c r="K1103" i="5" s="1"/>
  <c r="Q1089" i="5"/>
  <c r="R1089" i="5"/>
  <c r="S1089" i="5" s="1"/>
  <c r="J1064" i="5"/>
  <c r="K1064" i="5" s="1"/>
  <c r="I1046" i="9"/>
  <c r="K1046" i="5"/>
  <c r="M1017" i="5"/>
  <c r="N1017" i="5"/>
  <c r="O1017" i="5" s="1"/>
  <c r="O942" i="5"/>
  <c r="I937" i="5"/>
  <c r="J937" i="5"/>
  <c r="K937" i="5" s="1"/>
  <c r="G914" i="5"/>
  <c r="J752" i="5"/>
  <c r="K752" i="5" s="1"/>
  <c r="I752" i="5"/>
  <c r="S1211" i="5"/>
  <c r="O1195" i="5"/>
  <c r="I1170" i="9"/>
  <c r="I1170" i="7"/>
  <c r="N1164" i="5"/>
  <c r="O1164" i="5"/>
  <c r="G1161" i="5"/>
  <c r="R1153" i="5"/>
  <c r="S1153" i="5" s="1"/>
  <c r="S1151" i="5"/>
  <c r="I1138" i="9"/>
  <c r="I1138" i="7"/>
  <c r="I1129" i="5"/>
  <c r="J1129" i="5"/>
  <c r="K1129" i="5"/>
  <c r="E1125" i="5"/>
  <c r="F1125" i="5"/>
  <c r="G1125" i="5"/>
  <c r="E1110" i="5"/>
  <c r="F1110" i="5"/>
  <c r="G1110" i="5"/>
  <c r="Q1098" i="5"/>
  <c r="R1098" i="5"/>
  <c r="S1098" i="5"/>
  <c r="I1057" i="5"/>
  <c r="J1057" i="5"/>
  <c r="K1057" i="5" s="1"/>
  <c r="F1010" i="5"/>
  <c r="G1010" i="5" s="1"/>
  <c r="F998" i="5"/>
  <c r="G998" i="5" s="1"/>
  <c r="I902" i="9"/>
  <c r="I902" i="8"/>
  <c r="F844" i="5"/>
  <c r="G844" i="5" s="1"/>
  <c r="E844" i="5"/>
  <c r="G755" i="5"/>
  <c r="E755" i="5"/>
  <c r="F755" i="5"/>
  <c r="D213" i="1"/>
  <c r="D205" i="1"/>
  <c r="D165" i="1"/>
  <c r="D157" i="1"/>
  <c r="D149" i="1"/>
  <c r="D133" i="1"/>
  <c r="D109" i="1"/>
  <c r="D101" i="1"/>
  <c r="D85" i="1"/>
  <c r="D77" i="1"/>
  <c r="D61" i="1"/>
  <c r="D53" i="1"/>
  <c r="D37" i="1"/>
  <c r="D29" i="1"/>
  <c r="G26" i="1"/>
  <c r="G18" i="1"/>
  <c r="G10" i="1"/>
  <c r="G5" i="1"/>
  <c r="F1259" i="5"/>
  <c r="R1247" i="5"/>
  <c r="S1247" i="5" s="1"/>
  <c r="N1243" i="5"/>
  <c r="O1243" i="5" s="1"/>
  <c r="J1239" i="5"/>
  <c r="K1239" i="5" s="1"/>
  <c r="I1238" i="9"/>
  <c r="I1238" i="8"/>
  <c r="I1238" i="7"/>
  <c r="F1235" i="5"/>
  <c r="G1235" i="5" s="1"/>
  <c r="R1227" i="5"/>
  <c r="S1227" i="5" s="1"/>
  <c r="I1225" i="9"/>
  <c r="I1225" i="8"/>
  <c r="N1220" i="5"/>
  <c r="O1220" i="5" s="1"/>
  <c r="F1219" i="5"/>
  <c r="G1219" i="5" s="1"/>
  <c r="O1204" i="5"/>
  <c r="K1195" i="5"/>
  <c r="S1193" i="5"/>
  <c r="F1186" i="5"/>
  <c r="G1186" i="5" s="1"/>
  <c r="J1181" i="5"/>
  <c r="K1181" i="5" s="1"/>
  <c r="N1179" i="5"/>
  <c r="S1162" i="5"/>
  <c r="S1147" i="5"/>
  <c r="Q1137" i="5"/>
  <c r="R1137" i="5"/>
  <c r="S1137" i="5" s="1"/>
  <c r="I1133" i="5"/>
  <c r="J1133" i="5"/>
  <c r="K1133" i="5" s="1"/>
  <c r="I1125" i="8"/>
  <c r="I1125" i="7"/>
  <c r="E1123" i="5"/>
  <c r="G1123" i="5"/>
  <c r="R1120" i="5"/>
  <c r="S1120" i="5"/>
  <c r="M1089" i="5"/>
  <c r="N1089" i="5"/>
  <c r="O1089" i="5" s="1"/>
  <c r="K1071" i="5"/>
  <c r="Q1045" i="5"/>
  <c r="R1045" i="5"/>
  <c r="S1045" i="5" s="1"/>
  <c r="F1034" i="5"/>
  <c r="G1034" i="5" s="1"/>
  <c r="E1029" i="5"/>
  <c r="F1029" i="5"/>
  <c r="G1029" i="5" s="1"/>
  <c r="K817" i="5"/>
  <c r="N1250" i="5"/>
  <c r="O1250" i="5" s="1"/>
  <c r="J1246" i="5"/>
  <c r="K1246" i="5" s="1"/>
  <c r="F1242" i="5"/>
  <c r="G1242" i="5" s="1"/>
  <c r="N1233" i="5"/>
  <c r="O1233" i="5" s="1"/>
  <c r="F1232" i="5"/>
  <c r="G1232" i="5" s="1"/>
  <c r="J1226" i="5"/>
  <c r="K1226" i="5" s="1"/>
  <c r="S1224" i="5"/>
  <c r="N1217" i="5"/>
  <c r="O1217" i="5" s="1"/>
  <c r="F1216" i="5"/>
  <c r="G1216" i="5" s="1"/>
  <c r="J1210" i="5"/>
  <c r="K1210" i="5" s="1"/>
  <c r="R1208" i="5"/>
  <c r="K1207" i="5"/>
  <c r="K1204" i="5"/>
  <c r="I1203" i="9"/>
  <c r="I1203" i="8"/>
  <c r="I1197" i="9"/>
  <c r="I1197" i="7"/>
  <c r="J1195" i="5"/>
  <c r="R1193" i="5"/>
  <c r="N1187" i="5"/>
  <c r="O1187" i="5" s="1"/>
  <c r="K1184" i="5"/>
  <c r="S1182" i="5"/>
  <c r="F1178" i="5"/>
  <c r="G1178" i="5" s="1"/>
  <c r="R1174" i="5"/>
  <c r="S1174" i="5" s="1"/>
  <c r="N1171" i="5"/>
  <c r="Q1169" i="5"/>
  <c r="S1169" i="5"/>
  <c r="R1160" i="5"/>
  <c r="S1160" i="5" s="1"/>
  <c r="G1155" i="5"/>
  <c r="N1153" i="5"/>
  <c r="O1153" i="5" s="1"/>
  <c r="R1149" i="5"/>
  <c r="S1149" i="5" s="1"/>
  <c r="I1146" i="9"/>
  <c r="I1146" i="7"/>
  <c r="I1142" i="9"/>
  <c r="I1142" i="7"/>
  <c r="E1133" i="5"/>
  <c r="F1133" i="5"/>
  <c r="G1133" i="5"/>
  <c r="E1129" i="5"/>
  <c r="F1129" i="5"/>
  <c r="I1127" i="9"/>
  <c r="I1127" i="7"/>
  <c r="Q1111" i="5"/>
  <c r="S1111" i="5"/>
  <c r="I1105" i="5"/>
  <c r="J1105" i="5"/>
  <c r="K1105" i="5"/>
  <c r="I1103" i="9"/>
  <c r="I1103" i="8"/>
  <c r="N1068" i="5"/>
  <c r="O1068" i="5"/>
  <c r="E1057" i="5"/>
  <c r="F1057" i="5"/>
  <c r="I1022" i="9"/>
  <c r="I1022" i="8"/>
  <c r="K1022" i="5"/>
  <c r="Q1004" i="5"/>
  <c r="R1004" i="5"/>
  <c r="F1000" i="5"/>
  <c r="G1000" i="5" s="1"/>
  <c r="I987" i="5"/>
  <c r="J987" i="5"/>
  <c r="I916" i="5"/>
  <c r="J916" i="5"/>
  <c r="K916" i="5"/>
  <c r="G810" i="5"/>
  <c r="R1224" i="5"/>
  <c r="J1223" i="5"/>
  <c r="K1223" i="5" s="1"/>
  <c r="I1222" i="9"/>
  <c r="I1222" i="7"/>
  <c r="O1214" i="5"/>
  <c r="J1207" i="5"/>
  <c r="O1190" i="5"/>
  <c r="I1184" i="5"/>
  <c r="R1182" i="5"/>
  <c r="O1179" i="5"/>
  <c r="G1173" i="5"/>
  <c r="E1157" i="5"/>
  <c r="Q1145" i="5"/>
  <c r="R1145" i="5"/>
  <c r="S1145" i="5"/>
  <c r="M1137" i="5"/>
  <c r="N1137" i="5"/>
  <c r="O1137" i="5" s="1"/>
  <c r="Q1122" i="5"/>
  <c r="R1122" i="5"/>
  <c r="S1122" i="5"/>
  <c r="I1114" i="5"/>
  <c r="J1114" i="5"/>
  <c r="K1114" i="5" s="1"/>
  <c r="M1109" i="5"/>
  <c r="N1109" i="5"/>
  <c r="O1109" i="5"/>
  <c r="M1061" i="5"/>
  <c r="N1061" i="5"/>
  <c r="O1061" i="5" s="1"/>
  <c r="S849" i="5"/>
  <c r="F841" i="5"/>
  <c r="G841" i="5" s="1"/>
  <c r="Q828" i="5"/>
  <c r="R828" i="5"/>
  <c r="S828" i="5"/>
  <c r="I1235" i="9"/>
  <c r="I1235" i="8"/>
  <c r="I1235" i="7"/>
  <c r="N1214" i="5"/>
  <c r="S1208" i="5"/>
  <c r="F1189" i="5"/>
  <c r="G1189" i="5" s="1"/>
  <c r="O1171" i="5"/>
  <c r="I1153" i="5"/>
  <c r="J1153" i="5"/>
  <c r="K1153" i="5" s="1"/>
  <c r="I1151" i="5"/>
  <c r="K1151" i="5"/>
  <c r="N1147" i="5"/>
  <c r="O1147" i="5" s="1"/>
  <c r="N1145" i="5"/>
  <c r="O1145" i="5" s="1"/>
  <c r="Q1141" i="5"/>
  <c r="R1141" i="5"/>
  <c r="I1137" i="5"/>
  <c r="J1137" i="5"/>
  <c r="K1137" i="5"/>
  <c r="O1122" i="5"/>
  <c r="M1118" i="5"/>
  <c r="N1118" i="5"/>
  <c r="O1118" i="5" s="1"/>
  <c r="F1116" i="5"/>
  <c r="G1116" i="5" s="1"/>
  <c r="E1105" i="5"/>
  <c r="F1105" i="5"/>
  <c r="I1094" i="9"/>
  <c r="I1094" i="8"/>
  <c r="I1094" i="7"/>
  <c r="K1094" i="5"/>
  <c r="F1036" i="5"/>
  <c r="G1036" i="5"/>
  <c r="Q1021" i="5"/>
  <c r="R1021" i="5"/>
  <c r="F1002" i="5"/>
  <c r="G1002" i="5" s="1"/>
  <c r="E1002" i="5"/>
  <c r="K950" i="5"/>
  <c r="S923" i="5"/>
  <c r="I916" i="8"/>
  <c r="O916" i="5"/>
  <c r="S916" i="5"/>
  <c r="R846" i="5"/>
  <c r="S846" i="5" s="1"/>
  <c r="Q846" i="5"/>
  <c r="F1213" i="5"/>
  <c r="G1213" i="5" s="1"/>
  <c r="I1189" i="8"/>
  <c r="I1189" i="7"/>
  <c r="E1181" i="5"/>
  <c r="G1181" i="5"/>
  <c r="K1176" i="5"/>
  <c r="O1169" i="5"/>
  <c r="M1141" i="5"/>
  <c r="N1141" i="5"/>
  <c r="O1141" i="5"/>
  <c r="I1116" i="9"/>
  <c r="K1116" i="5"/>
  <c r="I1109" i="5"/>
  <c r="J1109" i="5"/>
  <c r="I1061" i="5"/>
  <c r="J1061" i="5"/>
  <c r="K1061" i="5" s="1"/>
  <c r="F1012" i="5"/>
  <c r="G1012" i="5"/>
  <c r="E1012" i="5"/>
  <c r="M994" i="5"/>
  <c r="N994" i="5"/>
  <c r="F953" i="5"/>
  <c r="G953" i="5" s="1"/>
  <c r="F899" i="5"/>
  <c r="I1249" i="9"/>
  <c r="I1249" i="8"/>
  <c r="I1213" i="9"/>
  <c r="I1213" i="8"/>
  <c r="I1213" i="7"/>
  <c r="S1188" i="5"/>
  <c r="O1182" i="5"/>
  <c r="I1173" i="9"/>
  <c r="I1173" i="8"/>
  <c r="I1173" i="7"/>
  <c r="I1171" i="5"/>
  <c r="K1171" i="5"/>
  <c r="N1149" i="5"/>
  <c r="O1149" i="5"/>
  <c r="E1137" i="5"/>
  <c r="G1137" i="5"/>
  <c r="Q1093" i="5"/>
  <c r="R1093" i="5"/>
  <c r="S1093" i="5" s="1"/>
  <c r="R1072" i="5"/>
  <c r="S1072" i="5" s="1"/>
  <c r="S1070" i="5"/>
  <c r="F1045" i="5"/>
  <c r="I1033" i="5"/>
  <c r="J1033" i="5"/>
  <c r="K1033" i="5"/>
  <c r="F971" i="5"/>
  <c r="G971" i="5" s="1"/>
  <c r="M944" i="5"/>
  <c r="O944" i="5"/>
  <c r="N944" i="5"/>
  <c r="I790" i="5"/>
  <c r="J790" i="5"/>
  <c r="K790" i="5" s="1"/>
  <c r="I1256" i="9"/>
  <c r="I1256" i="7"/>
  <c r="S1248" i="5"/>
  <c r="O1244" i="5"/>
  <c r="R1241" i="5"/>
  <c r="S1241" i="5" s="1"/>
  <c r="K1240" i="5"/>
  <c r="N1237" i="5"/>
  <c r="O1237" i="5" s="1"/>
  <c r="R1231" i="5"/>
  <c r="S1231" i="5" s="1"/>
  <c r="K1230" i="5"/>
  <c r="R1215" i="5"/>
  <c r="S1215" i="5" s="1"/>
  <c r="J1214" i="5"/>
  <c r="K1214" i="5" s="1"/>
  <c r="S1212" i="5"/>
  <c r="F1207" i="5"/>
  <c r="G1207" i="5" s="1"/>
  <c r="F1204" i="5"/>
  <c r="G1204" i="5" s="1"/>
  <c r="O1199" i="5"/>
  <c r="G1195" i="5"/>
  <c r="S1191" i="5"/>
  <c r="J1190" i="5"/>
  <c r="K1190" i="5" s="1"/>
  <c r="R1177" i="5"/>
  <c r="S1177" i="5"/>
  <c r="F1176" i="5"/>
  <c r="G1176" i="5" s="1"/>
  <c r="S1172" i="5"/>
  <c r="J1169" i="5"/>
  <c r="K1169" i="5" s="1"/>
  <c r="I1166" i="9"/>
  <c r="I1166" i="7"/>
  <c r="F1164" i="5"/>
  <c r="G1164" i="5" s="1"/>
  <c r="S1154" i="5"/>
  <c r="I1141" i="5"/>
  <c r="K1141" i="5"/>
  <c r="O1126" i="5"/>
  <c r="S1079" i="5"/>
  <c r="F1068" i="5"/>
  <c r="G1068" i="5" s="1"/>
  <c r="G1043" i="5"/>
  <c r="E1009" i="5"/>
  <c r="F1009" i="5"/>
  <c r="G1009" i="5" s="1"/>
  <c r="J944" i="5"/>
  <c r="I944" i="5"/>
  <c r="K944" i="5"/>
  <c r="O1221" i="5"/>
  <c r="F1220" i="5"/>
  <c r="G1220" i="5" s="1"/>
  <c r="O1218" i="5"/>
  <c r="G1217" i="5"/>
  <c r="R1212" i="5"/>
  <c r="K1211" i="5"/>
  <c r="I1210" i="9"/>
  <c r="I1210" i="7"/>
  <c r="N1205" i="5"/>
  <c r="O1205" i="5" s="1"/>
  <c r="N1202" i="5"/>
  <c r="O1202" i="5" s="1"/>
  <c r="F1201" i="5"/>
  <c r="G1201" i="5" s="1"/>
  <c r="N1199" i="5"/>
  <c r="M1196" i="5"/>
  <c r="I1195" i="9"/>
  <c r="I1195" i="7"/>
  <c r="K1193" i="5"/>
  <c r="R1191" i="5"/>
  <c r="G1179" i="5"/>
  <c r="O1177" i="5"/>
  <c r="E1171" i="5"/>
  <c r="G1171" i="5"/>
  <c r="G1169" i="5"/>
  <c r="S1165" i="5"/>
  <c r="I1164" i="9"/>
  <c r="I1164" i="7"/>
  <c r="O1158" i="5"/>
  <c r="I1149" i="5"/>
  <c r="J1149" i="5"/>
  <c r="J1145" i="5"/>
  <c r="K1145" i="5" s="1"/>
  <c r="R1136" i="5"/>
  <c r="S1136" i="5" s="1"/>
  <c r="N1132" i="5"/>
  <c r="K1122" i="5"/>
  <c r="Q1113" i="5"/>
  <c r="R1113" i="5"/>
  <c r="S1113" i="5" s="1"/>
  <c r="F1084" i="5"/>
  <c r="G1084" i="5"/>
  <c r="F1082" i="5"/>
  <c r="G1082" i="5" s="1"/>
  <c r="I1050" i="8"/>
  <c r="K1050" i="5"/>
  <c r="O1050" i="5"/>
  <c r="E1033" i="5"/>
  <c r="F1033" i="5"/>
  <c r="J968" i="5"/>
  <c r="K968" i="5"/>
  <c r="I968" i="5"/>
  <c r="F918" i="5"/>
  <c r="G918" i="5" s="1"/>
  <c r="M1221" i="5"/>
  <c r="I1193" i="5"/>
  <c r="F1187" i="5"/>
  <c r="G1187" i="5" s="1"/>
  <c r="N1185" i="5"/>
  <c r="O1185" i="5" s="1"/>
  <c r="F1179" i="5"/>
  <c r="I1171" i="9"/>
  <c r="I1171" i="8"/>
  <c r="I1171" i="7"/>
  <c r="R1165" i="5"/>
  <c r="I1162" i="5"/>
  <c r="J1162" i="5"/>
  <c r="J1160" i="5"/>
  <c r="K1160" i="5" s="1"/>
  <c r="I1151" i="9"/>
  <c r="I1151" i="7"/>
  <c r="E1149" i="5"/>
  <c r="F1149" i="5"/>
  <c r="G1149" i="5" s="1"/>
  <c r="F1141" i="5"/>
  <c r="G1141" i="5"/>
  <c r="G1139" i="5"/>
  <c r="E1077" i="5"/>
  <c r="F1077" i="5"/>
  <c r="G1077" i="5" s="1"/>
  <c r="Q1065" i="5"/>
  <c r="R1065" i="5"/>
  <c r="S1065" i="5"/>
  <c r="G1052" i="5"/>
  <c r="J1040" i="5"/>
  <c r="K1040" i="5"/>
  <c r="F1021" i="5"/>
  <c r="G1021" i="5" s="1"/>
  <c r="G1019" i="5"/>
  <c r="Q949" i="5"/>
  <c r="R949" i="5"/>
  <c r="F893" i="5"/>
  <c r="I862" i="5"/>
  <c r="J862" i="5"/>
  <c r="K862" i="5" s="1"/>
  <c r="I1253" i="9"/>
  <c r="I1253" i="7"/>
  <c r="O1231" i="5"/>
  <c r="O1215" i="5"/>
  <c r="I1207" i="8"/>
  <c r="I1207" i="7"/>
  <c r="K1196" i="5"/>
  <c r="R1194" i="5"/>
  <c r="S1194" i="5" s="1"/>
  <c r="K1182" i="5"/>
  <c r="I1176" i="9"/>
  <c r="I1176" i="7"/>
  <c r="E1147" i="5"/>
  <c r="G1147" i="5"/>
  <c r="E1145" i="5"/>
  <c r="F1145" i="5"/>
  <c r="G1145" i="5" s="1"/>
  <c r="O1132" i="5"/>
  <c r="M1113" i="5"/>
  <c r="N1113" i="5"/>
  <c r="O1113" i="5" s="1"/>
  <c r="F941" i="5"/>
  <c r="I1236" i="9"/>
  <c r="I1236" i="8"/>
  <c r="I1236" i="7"/>
  <c r="G1230" i="5"/>
  <c r="J1199" i="5"/>
  <c r="K1199" i="5" s="1"/>
  <c r="N1180" i="5"/>
  <c r="R1175" i="5"/>
  <c r="Q1170" i="5"/>
  <c r="R1170" i="5"/>
  <c r="S1170" i="5" s="1"/>
  <c r="O1156" i="5"/>
  <c r="S1138" i="5"/>
  <c r="O1134" i="5"/>
  <c r="I1113" i="5"/>
  <c r="J1113" i="5"/>
  <c r="K1113" i="5"/>
  <c r="I1098" i="7"/>
  <c r="K1098" i="5"/>
  <c r="O1098" i="5"/>
  <c r="F1093" i="5"/>
  <c r="G1091" i="5"/>
  <c r="I1088" i="5"/>
  <c r="M1065" i="5"/>
  <c r="N1065" i="5"/>
  <c r="K1047" i="5"/>
  <c r="M1044" i="5"/>
  <c r="J1016" i="5"/>
  <c r="K1016" i="5" s="1"/>
  <c r="F997" i="5"/>
  <c r="G997" i="5" s="1"/>
  <c r="O986" i="5"/>
  <c r="N835" i="5"/>
  <c r="O835" i="5" s="1"/>
  <c r="M835" i="5"/>
  <c r="I970" i="9"/>
  <c r="I970" i="7"/>
  <c r="I950" i="9"/>
  <c r="I950" i="7"/>
  <c r="M920" i="5"/>
  <c r="N920" i="5"/>
  <c r="O920" i="5" s="1"/>
  <c r="I869" i="9"/>
  <c r="I869" i="8"/>
  <c r="G849" i="5"/>
  <c r="K831" i="5"/>
  <c r="M800" i="5"/>
  <c r="N800" i="5"/>
  <c r="O800" i="5"/>
  <c r="F774" i="5"/>
  <c r="G774" i="5" s="1"/>
  <c r="I711" i="5"/>
  <c r="R703" i="5"/>
  <c r="S703" i="5" s="1"/>
  <c r="Q703" i="5"/>
  <c r="I1132" i="9"/>
  <c r="I1132" i="8"/>
  <c r="I1084" i="9"/>
  <c r="I1084" i="8"/>
  <c r="K1068" i="5"/>
  <c r="K1044" i="5"/>
  <c r="I1036" i="9"/>
  <c r="I1036" i="7"/>
  <c r="O979" i="5"/>
  <c r="K976" i="5"/>
  <c r="F965" i="5"/>
  <c r="G965" i="5" s="1"/>
  <c r="I962" i="9"/>
  <c r="I962" i="8"/>
  <c r="K953" i="5"/>
  <c r="G948" i="5"/>
  <c r="I941" i="9"/>
  <c r="I941" i="8"/>
  <c r="I928" i="5"/>
  <c r="K928" i="5"/>
  <c r="N926" i="5"/>
  <c r="O926" i="5"/>
  <c r="J920" i="5"/>
  <c r="K920" i="5"/>
  <c r="K918" i="5"/>
  <c r="E910" i="5"/>
  <c r="F910" i="5"/>
  <c r="G910" i="5" s="1"/>
  <c r="O899" i="5"/>
  <c r="I893" i="9"/>
  <c r="I893" i="8"/>
  <c r="I844" i="5"/>
  <c r="J844" i="5"/>
  <c r="K844" i="5" s="1"/>
  <c r="I803" i="9"/>
  <c r="I803" i="8"/>
  <c r="K803" i="5"/>
  <c r="O803" i="5"/>
  <c r="J800" i="5"/>
  <c r="K800" i="5" s="1"/>
  <c r="M797" i="5"/>
  <c r="N797" i="5"/>
  <c r="O797" i="5" s="1"/>
  <c r="K766" i="5"/>
  <c r="F699" i="5"/>
  <c r="F596" i="5"/>
  <c r="G596" i="5" s="1"/>
  <c r="S1155" i="5"/>
  <c r="O1151" i="5"/>
  <c r="K1147" i="5"/>
  <c r="G1143" i="5"/>
  <c r="I1139" i="9"/>
  <c r="I1139" i="8"/>
  <c r="S1131" i="5"/>
  <c r="O1127" i="5"/>
  <c r="K1123" i="5"/>
  <c r="G1119" i="5"/>
  <c r="S1107" i="5"/>
  <c r="O1103" i="5"/>
  <c r="K1099" i="5"/>
  <c r="G1095" i="5"/>
  <c r="I1091" i="9"/>
  <c r="I1091" i="8"/>
  <c r="I1091" i="7"/>
  <c r="S1083" i="5"/>
  <c r="O1079" i="5"/>
  <c r="K1075" i="5"/>
  <c r="G1071" i="5"/>
  <c r="I1067" i="9"/>
  <c r="I1067" i="8"/>
  <c r="S1059" i="5"/>
  <c r="O1055" i="5"/>
  <c r="K1051" i="5"/>
  <c r="G1047" i="5"/>
  <c r="S1035" i="5"/>
  <c r="O1031" i="5"/>
  <c r="K1027" i="5"/>
  <c r="G1023" i="5"/>
  <c r="S1011" i="5"/>
  <c r="O1007" i="5"/>
  <c r="G996" i="5"/>
  <c r="O991" i="5"/>
  <c r="G990" i="5"/>
  <c r="S977" i="5"/>
  <c r="K971" i="5"/>
  <c r="I965" i="9"/>
  <c r="I965" i="8"/>
  <c r="I965" i="7"/>
  <c r="F916" i="5"/>
  <c r="G916" i="5"/>
  <c r="E912" i="5"/>
  <c r="F912" i="5"/>
  <c r="G912" i="5" s="1"/>
  <c r="S903" i="5"/>
  <c r="F895" i="5"/>
  <c r="G895" i="5" s="1"/>
  <c r="O890" i="5"/>
  <c r="S870" i="5"/>
  <c r="O866" i="5"/>
  <c r="S839" i="5"/>
  <c r="F833" i="5"/>
  <c r="N828" i="5"/>
  <c r="O828" i="5"/>
  <c r="G779" i="5"/>
  <c r="M725" i="5"/>
  <c r="N725" i="5"/>
  <c r="O725" i="5"/>
  <c r="I1177" i="9"/>
  <c r="I1177" i="8"/>
  <c r="G1109" i="5"/>
  <c r="S1073" i="5"/>
  <c r="O1069" i="5"/>
  <c r="I1057" i="9"/>
  <c r="I1057" i="8"/>
  <c r="S1049" i="5"/>
  <c r="O1045" i="5"/>
  <c r="K1041" i="5"/>
  <c r="I1033" i="9"/>
  <c r="I1033" i="8"/>
  <c r="O1021" i="5"/>
  <c r="K1017" i="5"/>
  <c r="G1013" i="5"/>
  <c r="F1006" i="5"/>
  <c r="G1006" i="5" s="1"/>
  <c r="G1003" i="5"/>
  <c r="K1000" i="5"/>
  <c r="S995" i="5"/>
  <c r="M974" i="5"/>
  <c r="S961" i="5"/>
  <c r="S954" i="5"/>
  <c r="I953" i="9"/>
  <c r="I953" i="8"/>
  <c r="R947" i="5"/>
  <c r="S947" i="5" s="1"/>
  <c r="G937" i="5"/>
  <c r="Q931" i="5"/>
  <c r="I844" i="8"/>
  <c r="I844" i="7"/>
  <c r="F821" i="5"/>
  <c r="G821" i="5" s="1"/>
  <c r="I755" i="9"/>
  <c r="I755" i="8"/>
  <c r="K755" i="5"/>
  <c r="O755" i="5"/>
  <c r="M749" i="5"/>
  <c r="N749" i="5"/>
  <c r="O749" i="5" s="1"/>
  <c r="G731" i="5"/>
  <c r="E731" i="5"/>
  <c r="Q693" i="5"/>
  <c r="R693" i="5"/>
  <c r="S693" i="5"/>
  <c r="I1136" i="9"/>
  <c r="I1136" i="8"/>
  <c r="I1112" i="9"/>
  <c r="I1112" i="8"/>
  <c r="F1109" i="5"/>
  <c r="R1097" i="5"/>
  <c r="S1097" i="5" s="1"/>
  <c r="N1093" i="5"/>
  <c r="O1093" i="5" s="1"/>
  <c r="J1089" i="5"/>
  <c r="K1089" i="5" s="1"/>
  <c r="I1088" i="9"/>
  <c r="I1088" i="8"/>
  <c r="F1085" i="5"/>
  <c r="G1085" i="5" s="1"/>
  <c r="R1073" i="5"/>
  <c r="N1069" i="5"/>
  <c r="J1065" i="5"/>
  <c r="K1065" i="5" s="1"/>
  <c r="I1064" i="9"/>
  <c r="I1064" i="8"/>
  <c r="F1061" i="5"/>
  <c r="G1061" i="5" s="1"/>
  <c r="R1049" i="5"/>
  <c r="N1045" i="5"/>
  <c r="J1041" i="5"/>
  <c r="F1037" i="5"/>
  <c r="G1037" i="5" s="1"/>
  <c r="R1025" i="5"/>
  <c r="S1025" i="5" s="1"/>
  <c r="N1021" i="5"/>
  <c r="J1017" i="5"/>
  <c r="I1016" i="9"/>
  <c r="I1016" i="8"/>
  <c r="F1013" i="5"/>
  <c r="F1003" i="5"/>
  <c r="R995" i="5"/>
  <c r="J994" i="5"/>
  <c r="K994" i="5" s="1"/>
  <c r="O985" i="5"/>
  <c r="G984" i="5"/>
  <c r="R972" i="5"/>
  <c r="R959" i="5"/>
  <c r="S959" i="5" s="1"/>
  <c r="S952" i="5"/>
  <c r="K951" i="5"/>
  <c r="N949" i="5"/>
  <c r="O949" i="5"/>
  <c r="S945" i="5"/>
  <c r="M942" i="5"/>
  <c r="N942" i="5"/>
  <c r="F937" i="5"/>
  <c r="K935" i="5"/>
  <c r="O933" i="5"/>
  <c r="K899" i="5"/>
  <c r="R894" i="5"/>
  <c r="S894" i="5" s="1"/>
  <c r="G851" i="5"/>
  <c r="M848" i="5"/>
  <c r="N848" i="5"/>
  <c r="O848" i="5"/>
  <c r="F846" i="5"/>
  <c r="E837" i="5"/>
  <c r="F837" i="5"/>
  <c r="R832" i="5"/>
  <c r="S832" i="5"/>
  <c r="Q825" i="5"/>
  <c r="R825" i="5"/>
  <c r="S825" i="5" s="1"/>
  <c r="N818" i="5"/>
  <c r="O818" i="5" s="1"/>
  <c r="J807" i="5"/>
  <c r="I731" i="9"/>
  <c r="I731" i="8"/>
  <c r="I731" i="7"/>
  <c r="K731" i="5"/>
  <c r="O731" i="5"/>
  <c r="O715" i="5"/>
  <c r="M715" i="5"/>
  <c r="M693" i="5"/>
  <c r="N693" i="5"/>
  <c r="O693" i="5" s="1"/>
  <c r="I1191" i="9"/>
  <c r="I1191" i="8"/>
  <c r="I1191" i="7"/>
  <c r="I1167" i="9"/>
  <c r="I1167" i="8"/>
  <c r="I1119" i="8"/>
  <c r="I1119" i="7"/>
  <c r="K1079" i="5"/>
  <c r="I1071" i="9"/>
  <c r="I1071" i="8"/>
  <c r="O1035" i="5"/>
  <c r="K1031" i="5"/>
  <c r="G1027" i="5"/>
  <c r="S1015" i="5"/>
  <c r="I1006" i="9"/>
  <c r="I1006" i="7"/>
  <c r="O1004" i="5"/>
  <c r="M985" i="5"/>
  <c r="G979" i="5"/>
  <c r="K974" i="5"/>
  <c r="S967" i="5"/>
  <c r="E958" i="5"/>
  <c r="F958" i="5"/>
  <c r="G958" i="5" s="1"/>
  <c r="Q952" i="5"/>
  <c r="R945" i="5"/>
  <c r="K942" i="5"/>
  <c r="I935" i="5"/>
  <c r="E924" i="5"/>
  <c r="G924" i="5"/>
  <c r="S911" i="5"/>
  <c r="O903" i="5"/>
  <c r="E888" i="5"/>
  <c r="F888" i="5"/>
  <c r="G888" i="5"/>
  <c r="I875" i="9"/>
  <c r="I875" i="8"/>
  <c r="E864" i="5"/>
  <c r="F864" i="5"/>
  <c r="G864" i="5" s="1"/>
  <c r="I851" i="9"/>
  <c r="I851" i="8"/>
  <c r="K851" i="5"/>
  <c r="I841" i="5"/>
  <c r="J841" i="5"/>
  <c r="K841" i="5" s="1"/>
  <c r="S820" i="5"/>
  <c r="Q804" i="5"/>
  <c r="R804" i="5"/>
  <c r="S804" i="5"/>
  <c r="F703" i="5"/>
  <c r="I1102" i="9"/>
  <c r="I1102" i="8"/>
  <c r="J1079" i="5"/>
  <c r="I1078" i="9"/>
  <c r="I1078" i="8"/>
  <c r="I1078" i="7"/>
  <c r="F1075" i="5"/>
  <c r="G1075" i="5" s="1"/>
  <c r="R1063" i="5"/>
  <c r="S1063" i="5" s="1"/>
  <c r="N1059" i="5"/>
  <c r="O1059" i="5" s="1"/>
  <c r="J1055" i="5"/>
  <c r="K1055" i="5" s="1"/>
  <c r="F1051" i="5"/>
  <c r="G1051" i="5" s="1"/>
  <c r="R1039" i="5"/>
  <c r="S1039" i="5" s="1"/>
  <c r="N1035" i="5"/>
  <c r="J1031" i="5"/>
  <c r="F1027" i="5"/>
  <c r="R1015" i="5"/>
  <c r="N1011" i="5"/>
  <c r="O1011" i="5" s="1"/>
  <c r="J1007" i="5"/>
  <c r="K1007" i="5" s="1"/>
  <c r="J991" i="5"/>
  <c r="K991" i="5" s="1"/>
  <c r="R983" i="5"/>
  <c r="N980" i="5"/>
  <c r="F979" i="5"/>
  <c r="S972" i="5"/>
  <c r="K969" i="5"/>
  <c r="R967" i="5"/>
  <c r="I958" i="8"/>
  <c r="I958" i="7"/>
  <c r="J949" i="5"/>
  <c r="K949" i="5" s="1"/>
  <c r="J942" i="5"/>
  <c r="I926" i="9"/>
  <c r="I926" i="8"/>
  <c r="I926" i="7"/>
  <c r="Q921" i="5"/>
  <c r="R921" i="5"/>
  <c r="S921" i="5" s="1"/>
  <c r="S919" i="5"/>
  <c r="J903" i="5"/>
  <c r="M872" i="5"/>
  <c r="N872" i="5"/>
  <c r="O872" i="5"/>
  <c r="I868" i="5"/>
  <c r="J868" i="5"/>
  <c r="K868" i="5" s="1"/>
  <c r="J848" i="5"/>
  <c r="K848" i="5" s="1"/>
  <c r="E816" i="5"/>
  <c r="F816" i="5"/>
  <c r="G816" i="5"/>
  <c r="N811" i="5"/>
  <c r="O811" i="5" s="1"/>
  <c r="K807" i="5"/>
  <c r="F797" i="5"/>
  <c r="J783" i="5"/>
  <c r="G757" i="5"/>
  <c r="F725" i="5"/>
  <c r="G725" i="5" s="1"/>
  <c r="F663" i="5"/>
  <c r="E663" i="5"/>
  <c r="G663" i="5"/>
  <c r="I1133" i="9"/>
  <c r="I1133" i="8"/>
  <c r="S1125" i="5"/>
  <c r="O1121" i="5"/>
  <c r="K1117" i="5"/>
  <c r="G1113" i="5"/>
  <c r="S1101" i="5"/>
  <c r="O1097" i="5"/>
  <c r="K1093" i="5"/>
  <c r="G1089" i="5"/>
  <c r="I1085" i="9"/>
  <c r="I1085" i="8"/>
  <c r="S1077" i="5"/>
  <c r="O1073" i="5"/>
  <c r="K1069" i="5"/>
  <c r="G1065" i="5"/>
  <c r="I1061" i="9"/>
  <c r="I1061" i="7"/>
  <c r="S1053" i="5"/>
  <c r="O1049" i="5"/>
  <c r="K1045" i="5"/>
  <c r="G1041" i="5"/>
  <c r="S1029" i="5"/>
  <c r="O1025" i="5"/>
  <c r="K1021" i="5"/>
  <c r="G1017" i="5"/>
  <c r="I1003" i="9"/>
  <c r="I1003" i="8"/>
  <c r="O995" i="5"/>
  <c r="G994" i="5"/>
  <c r="K985" i="5"/>
  <c r="O972" i="5"/>
  <c r="I969" i="5"/>
  <c r="J961" i="5"/>
  <c r="K961" i="5" s="1"/>
  <c r="S957" i="5"/>
  <c r="M954" i="5"/>
  <c r="N954" i="5"/>
  <c r="O954" i="5" s="1"/>
  <c r="O945" i="5"/>
  <c r="G933" i="5"/>
  <c r="O931" i="5"/>
  <c r="S925" i="5"/>
  <c r="O921" i="5"/>
  <c r="Q919" i="5"/>
  <c r="M917" i="5"/>
  <c r="N917" i="5"/>
  <c r="O917" i="5" s="1"/>
  <c r="O907" i="5"/>
  <c r="G899" i="5"/>
  <c r="K879" i="5"/>
  <c r="K855" i="5"/>
  <c r="G828" i="5"/>
  <c r="N804" i="5"/>
  <c r="O804" i="5" s="1"/>
  <c r="Q780" i="5"/>
  <c r="R780" i="5"/>
  <c r="S780" i="5"/>
  <c r="O746" i="5"/>
  <c r="I1020" i="9"/>
  <c r="I1020" i="8"/>
  <c r="S983" i="5"/>
  <c r="O980" i="5"/>
  <c r="E935" i="5"/>
  <c r="F935" i="5"/>
  <c r="G935" i="5" s="1"/>
  <c r="Q923" i="5"/>
  <c r="R923" i="5"/>
  <c r="K903" i="5"/>
  <c r="I899" i="9"/>
  <c r="I899" i="8"/>
  <c r="I899" i="7"/>
  <c r="I892" i="5"/>
  <c r="J892" i="5"/>
  <c r="K892" i="5" s="1"/>
  <c r="J872" i="5"/>
  <c r="K872" i="5" s="1"/>
  <c r="F868" i="5"/>
  <c r="G868" i="5"/>
  <c r="Q801" i="5"/>
  <c r="R801" i="5"/>
  <c r="S801" i="5" s="1"/>
  <c r="E792" i="5"/>
  <c r="F792" i="5"/>
  <c r="G792" i="5"/>
  <c r="K783" i="5"/>
  <c r="F773" i="5"/>
  <c r="G733" i="5"/>
  <c r="F705" i="5"/>
  <c r="G705" i="5" s="1"/>
  <c r="I1123" i="9"/>
  <c r="I1123" i="8"/>
  <c r="I1123" i="7"/>
  <c r="F982" i="5"/>
  <c r="G982" i="5" s="1"/>
  <c r="I951" i="9"/>
  <c r="I951" i="7"/>
  <c r="Q936" i="5"/>
  <c r="S936" i="5"/>
  <c r="I935" i="9"/>
  <c r="I935" i="8"/>
  <c r="M919" i="5"/>
  <c r="N919" i="5"/>
  <c r="O919" i="5" s="1"/>
  <c r="I913" i="5"/>
  <c r="J913" i="5"/>
  <c r="K913" i="5" s="1"/>
  <c r="S887" i="5"/>
  <c r="O883" i="5"/>
  <c r="I868" i="8"/>
  <c r="I868" i="7"/>
  <c r="S863" i="5"/>
  <c r="O859" i="5"/>
  <c r="Q852" i="5"/>
  <c r="R852" i="5"/>
  <c r="S852" i="5"/>
  <c r="M845" i="5"/>
  <c r="N845" i="5"/>
  <c r="O845" i="5" s="1"/>
  <c r="I843" i="5"/>
  <c r="J843" i="5"/>
  <c r="K843" i="5"/>
  <c r="K834" i="5"/>
  <c r="N780" i="5"/>
  <c r="O780" i="5" s="1"/>
  <c r="K759" i="5"/>
  <c r="F749" i="5"/>
  <c r="G749" i="5" s="1"/>
  <c r="J735" i="5"/>
  <c r="K735" i="5" s="1"/>
  <c r="I707" i="8"/>
  <c r="I707" i="7"/>
  <c r="K707" i="5"/>
  <c r="F685" i="5"/>
  <c r="F680" i="5"/>
  <c r="G680" i="5" s="1"/>
  <c r="K640" i="5"/>
  <c r="I640" i="5"/>
  <c r="J640" i="5"/>
  <c r="I1106" i="9"/>
  <c r="I1106" i="7"/>
  <c r="G1086" i="5"/>
  <c r="I1082" i="9"/>
  <c r="I1082" i="7"/>
  <c r="G1062" i="5"/>
  <c r="I1058" i="9"/>
  <c r="I1058" i="7"/>
  <c r="O1046" i="5"/>
  <c r="G1038" i="5"/>
  <c r="K1018" i="5"/>
  <c r="O1005" i="5"/>
  <c r="K998" i="5"/>
  <c r="I997" i="9"/>
  <c r="I997" i="8"/>
  <c r="I997" i="7"/>
  <c r="O989" i="5"/>
  <c r="G988" i="5"/>
  <c r="K977" i="5"/>
  <c r="F966" i="5"/>
  <c r="G966" i="5" s="1"/>
  <c r="I940" i="5"/>
  <c r="K940" i="5"/>
  <c r="I915" i="5"/>
  <c r="J915" i="5"/>
  <c r="K915" i="5" s="1"/>
  <c r="G913" i="5"/>
  <c r="M896" i="5"/>
  <c r="N896" i="5"/>
  <c r="O896" i="5" s="1"/>
  <c r="F892" i="5"/>
  <c r="G892" i="5" s="1"/>
  <c r="F870" i="5"/>
  <c r="F857" i="5"/>
  <c r="S815" i="5"/>
  <c r="I809" i="9"/>
  <c r="I809" i="8"/>
  <c r="O787" i="5"/>
  <c r="Q777" i="5"/>
  <c r="R777" i="5"/>
  <c r="S777" i="5" s="1"/>
  <c r="O763" i="5"/>
  <c r="N756" i="5"/>
  <c r="O756" i="5" s="1"/>
  <c r="Q753" i="5"/>
  <c r="R753" i="5"/>
  <c r="S753" i="5"/>
  <c r="S719" i="5"/>
  <c r="Q719" i="5"/>
  <c r="I1161" i="9"/>
  <c r="I1161" i="8"/>
  <c r="I1113" i="9"/>
  <c r="I1113" i="8"/>
  <c r="S1105" i="5"/>
  <c r="O1101" i="5"/>
  <c r="K1097" i="5"/>
  <c r="G1093" i="5"/>
  <c r="J1090" i="5"/>
  <c r="K1090" i="5" s="1"/>
  <c r="F1086" i="5"/>
  <c r="S1081" i="5"/>
  <c r="O1077" i="5"/>
  <c r="R1074" i="5"/>
  <c r="S1074" i="5" s="1"/>
  <c r="K1073" i="5"/>
  <c r="N1070" i="5"/>
  <c r="O1070" i="5" s="1"/>
  <c r="G1069" i="5"/>
  <c r="J1066" i="5"/>
  <c r="K1066" i="5" s="1"/>
  <c r="I1065" i="9"/>
  <c r="I1065" i="8"/>
  <c r="F1062" i="5"/>
  <c r="S1057" i="5"/>
  <c r="O1053" i="5"/>
  <c r="R1050" i="5"/>
  <c r="S1050" i="5" s="1"/>
  <c r="K1049" i="5"/>
  <c r="N1046" i="5"/>
  <c r="G1045" i="5"/>
  <c r="J1042" i="5"/>
  <c r="K1042" i="5" s="1"/>
  <c r="I1041" i="9"/>
  <c r="I1041" i="8"/>
  <c r="F1038" i="5"/>
  <c r="S1033" i="5"/>
  <c r="O1029" i="5"/>
  <c r="R1026" i="5"/>
  <c r="S1026" i="5" s="1"/>
  <c r="K1025" i="5"/>
  <c r="N1022" i="5"/>
  <c r="O1022" i="5" s="1"/>
  <c r="J1018" i="5"/>
  <c r="F1014" i="5"/>
  <c r="G1014" i="5" s="1"/>
  <c r="S1009" i="5"/>
  <c r="N1005" i="5"/>
  <c r="F1004" i="5"/>
  <c r="G1004" i="5" s="1"/>
  <c r="J998" i="5"/>
  <c r="K995" i="5"/>
  <c r="N989" i="5"/>
  <c r="F988" i="5"/>
  <c r="F985" i="5"/>
  <c r="G985" i="5" s="1"/>
  <c r="G977" i="5"/>
  <c r="N975" i="5"/>
  <c r="O975" i="5" s="1"/>
  <c r="J972" i="5"/>
  <c r="K972" i="5" s="1"/>
  <c r="N957" i="5"/>
  <c r="G954" i="5"/>
  <c r="J952" i="5"/>
  <c r="R950" i="5"/>
  <c r="S950" i="5" s="1"/>
  <c r="G949" i="5"/>
  <c r="F942" i="5"/>
  <c r="G942" i="5" s="1"/>
  <c r="Q934" i="5"/>
  <c r="R934" i="5"/>
  <c r="S934" i="5" s="1"/>
  <c r="F913" i="5"/>
  <c r="E909" i="5"/>
  <c r="F909" i="5"/>
  <c r="G909" i="5" s="1"/>
  <c r="I892" i="9"/>
  <c r="I892" i="8"/>
  <c r="Q876" i="5"/>
  <c r="R876" i="5"/>
  <c r="S876" i="5"/>
  <c r="I857" i="9"/>
  <c r="I857" i="8"/>
  <c r="N852" i="5"/>
  <c r="O852" i="5" s="1"/>
  <c r="J845" i="5"/>
  <c r="K845" i="5" s="1"/>
  <c r="I830" i="9"/>
  <c r="I830" i="8"/>
  <c r="R822" i="5"/>
  <c r="S822" i="5" s="1"/>
  <c r="I820" i="5"/>
  <c r="J820" i="5"/>
  <c r="K820" i="5"/>
  <c r="F785" i="5"/>
  <c r="S748" i="5"/>
  <c r="Q729" i="5"/>
  <c r="R729" i="5"/>
  <c r="S729" i="5"/>
  <c r="E717" i="5"/>
  <c r="F717" i="5"/>
  <c r="G717" i="5" s="1"/>
  <c r="F698" i="5"/>
  <c r="I1216" i="9"/>
  <c r="I1216" i="8"/>
  <c r="I1216" i="7"/>
  <c r="I1192" i="9"/>
  <c r="I1192" i="8"/>
  <c r="I1192" i="7"/>
  <c r="R996" i="5"/>
  <c r="S996" i="5" s="1"/>
  <c r="I974" i="9"/>
  <c r="I974" i="7"/>
  <c r="S965" i="5"/>
  <c r="K964" i="5"/>
  <c r="J959" i="5"/>
  <c r="K959" i="5" s="1"/>
  <c r="S955" i="5"/>
  <c r="F954" i="5"/>
  <c r="F947" i="5"/>
  <c r="J945" i="5"/>
  <c r="K945" i="5" s="1"/>
  <c r="O943" i="5"/>
  <c r="K929" i="5"/>
  <c r="J927" i="5"/>
  <c r="F905" i="5"/>
  <c r="J896" i="5"/>
  <c r="K896" i="5" s="1"/>
  <c r="F894" i="5"/>
  <c r="F881" i="5"/>
  <c r="G825" i="5"/>
  <c r="E813" i="5"/>
  <c r="F813" i="5"/>
  <c r="G813" i="5" s="1"/>
  <c r="R808" i="5"/>
  <c r="S808" i="5"/>
  <c r="S791" i="5"/>
  <c r="I785" i="9"/>
  <c r="I785" i="8"/>
  <c r="G761" i="5"/>
  <c r="R743" i="5"/>
  <c r="S743" i="5" s="1"/>
  <c r="O741" i="5"/>
  <c r="O739" i="5"/>
  <c r="I1079" i="9"/>
  <c r="I1079" i="7"/>
  <c r="I1055" i="9"/>
  <c r="I1055" i="8"/>
  <c r="I1055" i="7"/>
  <c r="I1031" i="9"/>
  <c r="I1031" i="8"/>
  <c r="I1031" i="7"/>
  <c r="I1007" i="9"/>
  <c r="I1007" i="8"/>
  <c r="I991" i="8"/>
  <c r="I991" i="7"/>
  <c r="F977" i="5"/>
  <c r="Q965" i="5"/>
  <c r="O957" i="5"/>
  <c r="Q955" i="5"/>
  <c r="K952" i="5"/>
  <c r="N943" i="5"/>
  <c r="F940" i="5"/>
  <c r="G940" i="5" s="1"/>
  <c r="F917" i="5"/>
  <c r="G917" i="5" s="1"/>
  <c r="E911" i="5"/>
  <c r="F911" i="5"/>
  <c r="G911" i="5" s="1"/>
  <c r="I905" i="9"/>
  <c r="I905" i="8"/>
  <c r="Q900" i="5"/>
  <c r="R900" i="5"/>
  <c r="S900" i="5"/>
  <c r="I881" i="9"/>
  <c r="I881" i="8"/>
  <c r="N876" i="5"/>
  <c r="O876" i="5" s="1"/>
  <c r="E861" i="5"/>
  <c r="F861" i="5"/>
  <c r="G861" i="5" s="1"/>
  <c r="R856" i="5"/>
  <c r="S856" i="5" s="1"/>
  <c r="M847" i="5"/>
  <c r="N847" i="5"/>
  <c r="O847" i="5"/>
  <c r="K838" i="5"/>
  <c r="F820" i="5"/>
  <c r="G820" i="5" s="1"/>
  <c r="G804" i="5"/>
  <c r="S798" i="5"/>
  <c r="S767" i="5"/>
  <c r="S1102" i="5"/>
  <c r="S1078" i="5"/>
  <c r="S1054" i="5"/>
  <c r="S1030" i="5"/>
  <c r="K1005" i="5"/>
  <c r="I988" i="8"/>
  <c r="I988" i="7"/>
  <c r="I985" i="9"/>
  <c r="I985" i="8"/>
  <c r="O950" i="5"/>
  <c r="Q948" i="5"/>
  <c r="S948" i="5"/>
  <c r="G947" i="5"/>
  <c r="I938" i="5"/>
  <c r="J938" i="5"/>
  <c r="F931" i="5"/>
  <c r="G931" i="5" s="1"/>
  <c r="F929" i="5"/>
  <c r="K927" i="5"/>
  <c r="F919" i="5"/>
  <c r="I917" i="9"/>
  <c r="I917" i="8"/>
  <c r="I917" i="7"/>
  <c r="F907" i="5"/>
  <c r="G907" i="5" s="1"/>
  <c r="Q849" i="5"/>
  <c r="R849" i="5"/>
  <c r="I820" i="9"/>
  <c r="I820" i="7"/>
  <c r="O820" i="5"/>
  <c r="I817" i="5"/>
  <c r="J817" i="5"/>
  <c r="I796" i="5"/>
  <c r="J796" i="5"/>
  <c r="K796" i="5"/>
  <c r="E789" i="5"/>
  <c r="F789" i="5"/>
  <c r="R784" i="5"/>
  <c r="S784" i="5"/>
  <c r="E765" i="5"/>
  <c r="F765" i="5"/>
  <c r="G765" i="5"/>
  <c r="G737" i="5"/>
  <c r="G1121" i="5"/>
  <c r="I1117" i="9"/>
  <c r="I1117" i="8"/>
  <c r="S1109" i="5"/>
  <c r="O1105" i="5"/>
  <c r="G1097" i="5"/>
  <c r="I1093" i="8"/>
  <c r="I1093" i="7"/>
  <c r="O1081" i="5"/>
  <c r="K1077" i="5"/>
  <c r="G1073" i="5"/>
  <c r="K1053" i="5"/>
  <c r="G1049" i="5"/>
  <c r="O996" i="5"/>
  <c r="G995" i="5"/>
  <c r="S976" i="5"/>
  <c r="O965" i="5"/>
  <c r="F964" i="5"/>
  <c r="G964" i="5" s="1"/>
  <c r="G959" i="5"/>
  <c r="M950" i="5"/>
  <c r="I929" i="9"/>
  <c r="I929" i="8"/>
  <c r="R904" i="5"/>
  <c r="S904" i="5" s="1"/>
  <c r="N900" i="5"/>
  <c r="O900" i="5" s="1"/>
  <c r="I889" i="5"/>
  <c r="J889" i="5"/>
  <c r="K889" i="5" s="1"/>
  <c r="E885" i="5"/>
  <c r="F885" i="5"/>
  <c r="G885" i="5" s="1"/>
  <c r="R880" i="5"/>
  <c r="S880" i="5" s="1"/>
  <c r="Q873" i="5"/>
  <c r="R873" i="5"/>
  <c r="S873" i="5" s="1"/>
  <c r="M869" i="5"/>
  <c r="N869" i="5"/>
  <c r="O869" i="5" s="1"/>
  <c r="I865" i="5"/>
  <c r="J865" i="5"/>
  <c r="K865" i="5" s="1"/>
  <c r="O849" i="5"/>
  <c r="F845" i="5"/>
  <c r="G845" i="5" s="1"/>
  <c r="I789" i="9"/>
  <c r="I789" i="7"/>
  <c r="G780" i="5"/>
  <c r="R760" i="5"/>
  <c r="S760" i="5"/>
  <c r="K741" i="5"/>
  <c r="F700" i="5"/>
  <c r="G700" i="5" s="1"/>
  <c r="G657" i="5"/>
  <c r="I1124" i="9"/>
  <c r="I1124" i="7"/>
  <c r="F1121" i="5"/>
  <c r="R1109" i="5"/>
  <c r="K1108" i="5"/>
  <c r="N1105" i="5"/>
  <c r="J1101" i="5"/>
  <c r="K1101" i="5" s="1"/>
  <c r="I1100" i="9"/>
  <c r="I1100" i="8"/>
  <c r="F1097" i="5"/>
  <c r="R1085" i="5"/>
  <c r="S1085" i="5" s="1"/>
  <c r="K1084" i="5"/>
  <c r="N1081" i="5"/>
  <c r="J1077" i="5"/>
  <c r="I1076" i="9"/>
  <c r="I1076" i="8"/>
  <c r="I1076" i="7"/>
  <c r="F1073" i="5"/>
  <c r="S1068" i="5"/>
  <c r="R1061" i="5"/>
  <c r="S1061" i="5" s="1"/>
  <c r="K1060" i="5"/>
  <c r="N1057" i="5"/>
  <c r="O1057" i="5" s="1"/>
  <c r="J1053" i="5"/>
  <c r="I1052" i="9"/>
  <c r="I1052" i="7"/>
  <c r="F1049" i="5"/>
  <c r="S1044" i="5"/>
  <c r="R1037" i="5"/>
  <c r="S1037" i="5" s="1"/>
  <c r="K1036" i="5"/>
  <c r="N1033" i="5"/>
  <c r="O1033" i="5" s="1"/>
  <c r="J1029" i="5"/>
  <c r="K1029" i="5" s="1"/>
  <c r="I1028" i="9"/>
  <c r="I1028" i="7"/>
  <c r="F1025" i="5"/>
  <c r="G1025" i="5" s="1"/>
  <c r="S1020" i="5"/>
  <c r="R1013" i="5"/>
  <c r="S1013" i="5" s="1"/>
  <c r="N1009" i="5"/>
  <c r="O1009" i="5" s="1"/>
  <c r="R1003" i="5"/>
  <c r="S1003" i="5" s="1"/>
  <c r="K1002" i="5"/>
  <c r="I1001" i="9"/>
  <c r="I1001" i="8"/>
  <c r="N996" i="5"/>
  <c r="F995" i="5"/>
  <c r="K975" i="5"/>
  <c r="G972" i="5"/>
  <c r="K970" i="5"/>
  <c r="I964" i="9"/>
  <c r="I964" i="8"/>
  <c r="I964" i="7"/>
  <c r="S960" i="5"/>
  <c r="J934" i="5"/>
  <c r="K934" i="5" s="1"/>
  <c r="M932" i="5"/>
  <c r="O932" i="5"/>
  <c r="S928" i="5"/>
  <c r="Q912" i="5"/>
  <c r="S912" i="5"/>
  <c r="S902" i="5"/>
  <c r="K869" i="5"/>
  <c r="G801" i="5"/>
  <c r="F796" i="5"/>
  <c r="G796" i="5" s="1"/>
  <c r="I793" i="5"/>
  <c r="J793" i="5"/>
  <c r="K793" i="5" s="1"/>
  <c r="R774" i="5"/>
  <c r="S774" i="5" s="1"/>
  <c r="G756" i="5"/>
  <c r="E741" i="5"/>
  <c r="F741" i="5"/>
  <c r="G741" i="5"/>
  <c r="F724" i="5"/>
  <c r="I721" i="5"/>
  <c r="J721" i="5"/>
  <c r="K721" i="5" s="1"/>
  <c r="I684" i="5"/>
  <c r="J684" i="5"/>
  <c r="K684" i="5" s="1"/>
  <c r="I1083" i="9"/>
  <c r="I1083" i="8"/>
  <c r="J986" i="5"/>
  <c r="K986" i="5" s="1"/>
  <c r="S984" i="5"/>
  <c r="I972" i="9"/>
  <c r="I972" i="7"/>
  <c r="I970" i="5"/>
  <c r="F957" i="5"/>
  <c r="G957" i="5" s="1"/>
  <c r="O955" i="5"/>
  <c r="R953" i="5"/>
  <c r="S953" i="5" s="1"/>
  <c r="Q946" i="5"/>
  <c r="R946" i="5"/>
  <c r="S946" i="5" s="1"/>
  <c r="G938" i="5"/>
  <c r="R930" i="5"/>
  <c r="S930" i="5" s="1"/>
  <c r="Q928" i="5"/>
  <c r="G923" i="5"/>
  <c r="M893" i="5"/>
  <c r="N893" i="5"/>
  <c r="O893" i="5" s="1"/>
  <c r="E863" i="5"/>
  <c r="F863" i="5"/>
  <c r="G863" i="5"/>
  <c r="G852" i="5"/>
  <c r="S844" i="5"/>
  <c r="F822" i="5"/>
  <c r="I806" i="9"/>
  <c r="I806" i="8"/>
  <c r="I806" i="7"/>
  <c r="I796" i="8"/>
  <c r="I796" i="7"/>
  <c r="O796" i="5"/>
  <c r="I769" i="5"/>
  <c r="J769" i="5"/>
  <c r="K769" i="5"/>
  <c r="R736" i="5"/>
  <c r="S736" i="5" s="1"/>
  <c r="I724" i="8"/>
  <c r="I724" i="7"/>
  <c r="O724" i="5"/>
  <c r="I1114" i="8"/>
  <c r="I1114" i="7"/>
  <c r="O1102" i="5"/>
  <c r="O1078" i="5"/>
  <c r="I1066" i="8"/>
  <c r="I1066" i="7"/>
  <c r="O1054" i="5"/>
  <c r="S1034" i="5"/>
  <c r="I998" i="9"/>
  <c r="I998" i="8"/>
  <c r="I998" i="7"/>
  <c r="O981" i="5"/>
  <c r="I950" i="5"/>
  <c r="J950" i="5"/>
  <c r="I938" i="9"/>
  <c r="I938" i="8"/>
  <c r="I923" i="9"/>
  <c r="I923" i="8"/>
  <c r="M908" i="5"/>
  <c r="O908" i="5"/>
  <c r="I891" i="5"/>
  <c r="J891" i="5"/>
  <c r="K891" i="5"/>
  <c r="E887" i="5"/>
  <c r="F887" i="5"/>
  <c r="G887" i="5"/>
  <c r="E876" i="5"/>
  <c r="F876" i="5"/>
  <c r="G876" i="5"/>
  <c r="M871" i="5"/>
  <c r="N871" i="5"/>
  <c r="O871" i="5" s="1"/>
  <c r="I867" i="5"/>
  <c r="J867" i="5"/>
  <c r="K867" i="5"/>
  <c r="G827" i="5"/>
  <c r="M824" i="5"/>
  <c r="N824" i="5"/>
  <c r="O824" i="5"/>
  <c r="G777" i="5"/>
  <c r="F772" i="5"/>
  <c r="G772" i="5" s="1"/>
  <c r="G753" i="5"/>
  <c r="I745" i="5"/>
  <c r="J745" i="5"/>
  <c r="K745" i="5"/>
  <c r="G732" i="5"/>
  <c r="G729" i="5"/>
  <c r="I1145" i="9"/>
  <c r="I1145" i="8"/>
  <c r="I1073" i="9"/>
  <c r="I1073" i="8"/>
  <c r="O1013" i="5"/>
  <c r="R1010" i="5"/>
  <c r="S1010" i="5" s="1"/>
  <c r="K1009" i="5"/>
  <c r="N1006" i="5"/>
  <c r="O1006" i="5" s="1"/>
  <c r="F1005" i="5"/>
  <c r="G1005" i="5" s="1"/>
  <c r="O1003" i="5"/>
  <c r="K996" i="5"/>
  <c r="N990" i="5"/>
  <c r="O990" i="5" s="1"/>
  <c r="G986" i="5"/>
  <c r="K981" i="5"/>
  <c r="R979" i="5"/>
  <c r="S979" i="5" s="1"/>
  <c r="N976" i="5"/>
  <c r="O976" i="5" s="1"/>
  <c r="R971" i="5"/>
  <c r="S971" i="5" s="1"/>
  <c r="G970" i="5"/>
  <c r="J965" i="5"/>
  <c r="K965" i="5" s="1"/>
  <c r="N953" i="5"/>
  <c r="O953" i="5" s="1"/>
  <c r="N946" i="5"/>
  <c r="O946" i="5" s="1"/>
  <c r="J941" i="5"/>
  <c r="K941" i="5" s="1"/>
  <c r="O939" i="5"/>
  <c r="E936" i="5"/>
  <c r="G936" i="5"/>
  <c r="G925" i="5"/>
  <c r="K906" i="5"/>
  <c r="Q897" i="5"/>
  <c r="R897" i="5"/>
  <c r="S897" i="5" s="1"/>
  <c r="K858" i="5"/>
  <c r="Q851" i="5"/>
  <c r="R851" i="5"/>
  <c r="S851" i="5" s="1"/>
  <c r="I827" i="9"/>
  <c r="I827" i="8"/>
  <c r="K827" i="5"/>
  <c r="I782" i="9"/>
  <c r="I782" i="8"/>
  <c r="I772" i="8"/>
  <c r="O772" i="5"/>
  <c r="I758" i="9"/>
  <c r="I758" i="8"/>
  <c r="F748" i="5"/>
  <c r="G748" i="5" s="1"/>
  <c r="O678" i="5"/>
  <c r="M678" i="5"/>
  <c r="N678" i="5"/>
  <c r="N1013" i="5"/>
  <c r="J1009" i="5"/>
  <c r="N1003" i="5"/>
  <c r="R997" i="5"/>
  <c r="S997" i="5" s="1"/>
  <c r="J996" i="5"/>
  <c r="S994" i="5"/>
  <c r="K993" i="5"/>
  <c r="F989" i="5"/>
  <c r="G989" i="5" s="1"/>
  <c r="N987" i="5"/>
  <c r="O987" i="5" s="1"/>
  <c r="F986" i="5"/>
  <c r="I981" i="5"/>
  <c r="F970" i="5"/>
  <c r="O968" i="5"/>
  <c r="Q958" i="5"/>
  <c r="R958" i="5"/>
  <c r="S958" i="5" s="1"/>
  <c r="E934" i="5"/>
  <c r="F934" i="5"/>
  <c r="G934" i="5" s="1"/>
  <c r="R926" i="5"/>
  <c r="S926" i="5" s="1"/>
  <c r="Q922" i="5"/>
  <c r="R922" i="5"/>
  <c r="S922" i="5" s="1"/>
  <c r="J910" i="5"/>
  <c r="K910" i="5" s="1"/>
  <c r="M895" i="5"/>
  <c r="N895" i="5"/>
  <c r="O895" i="5"/>
  <c r="I880" i="5"/>
  <c r="J880" i="5"/>
  <c r="K880" i="5" s="1"/>
  <c r="Q875" i="5"/>
  <c r="R875" i="5"/>
  <c r="S875" i="5" s="1"/>
  <c r="K856" i="5"/>
  <c r="I854" i="9"/>
  <c r="I854" i="8"/>
  <c r="O844" i="5"/>
  <c r="J831" i="5"/>
  <c r="J824" i="5"/>
  <c r="K824" i="5"/>
  <c r="F798" i="5"/>
  <c r="I748" i="7"/>
  <c r="O748" i="5"/>
  <c r="F726" i="5"/>
  <c r="G726" i="5" s="1"/>
  <c r="I1183" i="8"/>
  <c r="I1183" i="7"/>
  <c r="I1159" i="9"/>
  <c r="I1159" i="8"/>
  <c r="I1159" i="7"/>
  <c r="I1111" i="8"/>
  <c r="I1111" i="7"/>
  <c r="I1087" i="9"/>
  <c r="I1087" i="7"/>
  <c r="I1039" i="9"/>
  <c r="I1039" i="8"/>
  <c r="I1039" i="7"/>
  <c r="R994" i="5"/>
  <c r="I993" i="5"/>
  <c r="I989" i="9"/>
  <c r="I989" i="7"/>
  <c r="O958" i="5"/>
  <c r="F943" i="5"/>
  <c r="G943" i="5" s="1"/>
  <c r="S937" i="5"/>
  <c r="Q926" i="5"/>
  <c r="Q924" i="5"/>
  <c r="R924" i="5"/>
  <c r="S924" i="5"/>
  <c r="M918" i="5"/>
  <c r="N918" i="5"/>
  <c r="O918" i="5" s="1"/>
  <c r="I904" i="5"/>
  <c r="K904" i="5"/>
  <c r="E900" i="5"/>
  <c r="G900" i="5"/>
  <c r="Q888" i="5"/>
  <c r="R888" i="5"/>
  <c r="S888" i="5"/>
  <c r="M884" i="5"/>
  <c r="N884" i="5"/>
  <c r="O884" i="5"/>
  <c r="I878" i="9"/>
  <c r="I878" i="8"/>
  <c r="O875" i="5"/>
  <c r="F869" i="5"/>
  <c r="G869" i="5" s="1"/>
  <c r="E840" i="5"/>
  <c r="F840" i="5"/>
  <c r="G840" i="5"/>
  <c r="O833" i="5"/>
  <c r="I831" i="5"/>
  <c r="M821" i="5"/>
  <c r="N821" i="5"/>
  <c r="O821" i="5" s="1"/>
  <c r="I734" i="9"/>
  <c r="I734" i="8"/>
  <c r="J711" i="5"/>
  <c r="K711" i="5" s="1"/>
  <c r="E686" i="5"/>
  <c r="F686" i="5"/>
  <c r="G686" i="5"/>
  <c r="F702" i="5"/>
  <c r="G702" i="5" s="1"/>
  <c r="I697" i="9"/>
  <c r="I697" i="8"/>
  <c r="K674" i="5"/>
  <c r="M665" i="5"/>
  <c r="N665" i="5"/>
  <c r="O665" i="5" s="1"/>
  <c r="S648" i="5"/>
  <c r="Q648" i="5"/>
  <c r="M640" i="5"/>
  <c r="N640" i="5"/>
  <c r="O640" i="5" s="1"/>
  <c r="K678" i="5"/>
  <c r="F672" i="5"/>
  <c r="G672" i="5" s="1"/>
  <c r="F643" i="5"/>
  <c r="G643" i="5" s="1"/>
  <c r="I693" i="5"/>
  <c r="K693" i="5"/>
  <c r="Q687" i="5"/>
  <c r="S687" i="5"/>
  <c r="G674" i="5"/>
  <c r="S662" i="5"/>
  <c r="E656" i="5"/>
  <c r="F656" i="5"/>
  <c r="G656" i="5" s="1"/>
  <c r="I651" i="5"/>
  <c r="K651" i="5"/>
  <c r="G941" i="5"/>
  <c r="S929" i="5"/>
  <c r="O925" i="5"/>
  <c r="K921" i="5"/>
  <c r="I913" i="9"/>
  <c r="I913" i="8"/>
  <c r="S905" i="5"/>
  <c r="O901" i="5"/>
  <c r="R898" i="5"/>
  <c r="S898" i="5" s="1"/>
  <c r="K897" i="5"/>
  <c r="N894" i="5"/>
  <c r="O894" i="5" s="1"/>
  <c r="G893" i="5"/>
  <c r="J890" i="5"/>
  <c r="K890" i="5" s="1"/>
  <c r="F886" i="5"/>
  <c r="G886" i="5" s="1"/>
  <c r="S881" i="5"/>
  <c r="O877" i="5"/>
  <c r="R874" i="5"/>
  <c r="S874" i="5" s="1"/>
  <c r="K873" i="5"/>
  <c r="N870" i="5"/>
  <c r="O870" i="5" s="1"/>
  <c r="J866" i="5"/>
  <c r="K866" i="5" s="1"/>
  <c r="F862" i="5"/>
  <c r="G862" i="5" s="1"/>
  <c r="S857" i="5"/>
  <c r="O853" i="5"/>
  <c r="R850" i="5"/>
  <c r="S850" i="5" s="1"/>
  <c r="K849" i="5"/>
  <c r="N846" i="5"/>
  <c r="O846" i="5" s="1"/>
  <c r="J842" i="5"/>
  <c r="K842" i="5" s="1"/>
  <c r="F838" i="5"/>
  <c r="G838" i="5" s="1"/>
  <c r="S833" i="5"/>
  <c r="O829" i="5"/>
  <c r="R826" i="5"/>
  <c r="S826" i="5" s="1"/>
  <c r="K825" i="5"/>
  <c r="N822" i="5"/>
  <c r="O822" i="5" s="1"/>
  <c r="J818" i="5"/>
  <c r="K818" i="5" s="1"/>
  <c r="F814" i="5"/>
  <c r="G814" i="5" s="1"/>
  <c r="S809" i="5"/>
  <c r="O805" i="5"/>
  <c r="R802" i="5"/>
  <c r="S802" i="5" s="1"/>
  <c r="K801" i="5"/>
  <c r="N798" i="5"/>
  <c r="O798" i="5" s="1"/>
  <c r="G797" i="5"/>
  <c r="J794" i="5"/>
  <c r="K794" i="5" s="1"/>
  <c r="F790" i="5"/>
  <c r="G790" i="5" s="1"/>
  <c r="S785" i="5"/>
  <c r="O781" i="5"/>
  <c r="R778" i="5"/>
  <c r="S778" i="5" s="1"/>
  <c r="K777" i="5"/>
  <c r="N774" i="5"/>
  <c r="O774" i="5" s="1"/>
  <c r="G773" i="5"/>
  <c r="J770" i="5"/>
  <c r="K770" i="5" s="1"/>
  <c r="I769" i="9"/>
  <c r="I769" i="8"/>
  <c r="F766" i="5"/>
  <c r="G766" i="5" s="1"/>
  <c r="S761" i="5"/>
  <c r="O757" i="5"/>
  <c r="R754" i="5"/>
  <c r="S754" i="5" s="1"/>
  <c r="K753" i="5"/>
  <c r="N750" i="5"/>
  <c r="O750" i="5" s="1"/>
  <c r="J746" i="5"/>
  <c r="K746" i="5" s="1"/>
  <c r="F742" i="5"/>
  <c r="G742" i="5" s="1"/>
  <c r="S737" i="5"/>
  <c r="O733" i="5"/>
  <c r="R730" i="5"/>
  <c r="S730" i="5" s="1"/>
  <c r="K729" i="5"/>
  <c r="N726" i="5"/>
  <c r="O726" i="5" s="1"/>
  <c r="J722" i="5"/>
  <c r="K722" i="5" s="1"/>
  <c r="F718" i="5"/>
  <c r="G718" i="5" s="1"/>
  <c r="N709" i="5"/>
  <c r="O709" i="5" s="1"/>
  <c r="F708" i="5"/>
  <c r="G708" i="5" s="1"/>
  <c r="K691" i="5"/>
  <c r="I674" i="8"/>
  <c r="I674" i="7"/>
  <c r="M669" i="5"/>
  <c r="O669" i="5"/>
  <c r="Q645" i="5"/>
  <c r="R645" i="5"/>
  <c r="S645" i="5" s="1"/>
  <c r="K629" i="5"/>
  <c r="F615" i="5"/>
  <c r="G615" i="5" s="1"/>
  <c r="F575" i="5"/>
  <c r="G575" i="5" s="1"/>
  <c r="I944" i="9"/>
  <c r="I944" i="8"/>
  <c r="I920" i="9"/>
  <c r="I920" i="8"/>
  <c r="I896" i="9"/>
  <c r="I896" i="8"/>
  <c r="I872" i="9"/>
  <c r="I872" i="8"/>
  <c r="S864" i="5"/>
  <c r="I848" i="9"/>
  <c r="I848" i="8"/>
  <c r="I824" i="9"/>
  <c r="I824" i="8"/>
  <c r="I824" i="7"/>
  <c r="I800" i="9"/>
  <c r="I800" i="8"/>
  <c r="I800" i="7"/>
  <c r="I776" i="9"/>
  <c r="I776" i="8"/>
  <c r="I776" i="7"/>
  <c r="I752" i="9"/>
  <c r="I752" i="8"/>
  <c r="I752" i="7"/>
  <c r="I728" i="9"/>
  <c r="I728" i="8"/>
  <c r="I728" i="7"/>
  <c r="O701" i="5"/>
  <c r="I691" i="5"/>
  <c r="F678" i="5"/>
  <c r="G678" i="5" s="1"/>
  <c r="O634" i="5"/>
  <c r="F621" i="5"/>
  <c r="G621" i="5" s="1"/>
  <c r="F534" i="5"/>
  <c r="G534" i="5" s="1"/>
  <c r="I879" i="9"/>
  <c r="I879" i="7"/>
  <c r="R864" i="5"/>
  <c r="I831" i="9"/>
  <c r="I831" i="7"/>
  <c r="I759" i="9"/>
  <c r="I759" i="7"/>
  <c r="F693" i="5"/>
  <c r="G693" i="5" s="1"/>
  <c r="E680" i="5"/>
  <c r="I678" i="9"/>
  <c r="I678" i="7"/>
  <c r="Q673" i="5"/>
  <c r="S673" i="5"/>
  <c r="I660" i="5"/>
  <c r="K660" i="5"/>
  <c r="E632" i="5"/>
  <c r="F632" i="5"/>
  <c r="G632" i="5" s="1"/>
  <c r="G578" i="5"/>
  <c r="I934" i="9"/>
  <c r="I934" i="7"/>
  <c r="I910" i="9"/>
  <c r="I910" i="8"/>
  <c r="I910" i="7"/>
  <c r="K894" i="5"/>
  <c r="S878" i="5"/>
  <c r="O874" i="5"/>
  <c r="K870" i="5"/>
  <c r="O850" i="5"/>
  <c r="R847" i="5"/>
  <c r="S847" i="5" s="1"/>
  <c r="N843" i="5"/>
  <c r="O843" i="5" s="1"/>
  <c r="G842" i="5"/>
  <c r="J839" i="5"/>
  <c r="K839" i="5" s="1"/>
  <c r="I838" i="9"/>
  <c r="I838" i="8"/>
  <c r="F835" i="5"/>
  <c r="G835" i="5" s="1"/>
  <c r="O826" i="5"/>
  <c r="R823" i="5"/>
  <c r="S823" i="5" s="1"/>
  <c r="K822" i="5"/>
  <c r="N819" i="5"/>
  <c r="O819" i="5" s="1"/>
  <c r="G818" i="5"/>
  <c r="J815" i="5"/>
  <c r="K815" i="5" s="1"/>
  <c r="F811" i="5"/>
  <c r="G811" i="5" s="1"/>
  <c r="O802" i="5"/>
  <c r="R799" i="5"/>
  <c r="S799" i="5" s="1"/>
  <c r="N795" i="5"/>
  <c r="O795" i="5" s="1"/>
  <c r="J791" i="5"/>
  <c r="K791" i="5" s="1"/>
  <c r="I790" i="9"/>
  <c r="I790" i="7"/>
  <c r="F787" i="5"/>
  <c r="G787" i="5" s="1"/>
  <c r="S782" i="5"/>
  <c r="O778" i="5"/>
  <c r="R775" i="5"/>
  <c r="S775" i="5" s="1"/>
  <c r="N771" i="5"/>
  <c r="O771" i="5" s="1"/>
  <c r="G770" i="5"/>
  <c r="J767" i="5"/>
  <c r="K767" i="5" s="1"/>
  <c r="I766" i="9"/>
  <c r="I766" i="8"/>
  <c r="F763" i="5"/>
  <c r="G763" i="5" s="1"/>
  <c r="S758" i="5"/>
  <c r="R751" i="5"/>
  <c r="S751" i="5" s="1"/>
  <c r="N747" i="5"/>
  <c r="O747" i="5" s="1"/>
  <c r="G746" i="5"/>
  <c r="J743" i="5"/>
  <c r="K743" i="5" s="1"/>
  <c r="F739" i="5"/>
  <c r="G739" i="5" s="1"/>
  <c r="S734" i="5"/>
  <c r="R727" i="5"/>
  <c r="S727" i="5" s="1"/>
  <c r="K726" i="5"/>
  <c r="N723" i="5"/>
  <c r="O723" i="5" s="1"/>
  <c r="J719" i="5"/>
  <c r="K719" i="5" s="1"/>
  <c r="F715" i="5"/>
  <c r="G715" i="5" s="1"/>
  <c r="K703" i="5"/>
  <c r="K698" i="5"/>
  <c r="G691" i="5"/>
  <c r="K687" i="5"/>
  <c r="R683" i="5"/>
  <c r="S683" i="5" s="1"/>
  <c r="I680" i="9"/>
  <c r="I680" i="8"/>
  <c r="M671" i="5"/>
  <c r="Q620" i="5"/>
  <c r="R620" i="5"/>
  <c r="S620" i="5"/>
  <c r="S861" i="5"/>
  <c r="O857" i="5"/>
  <c r="R854" i="5"/>
  <c r="S854" i="5" s="1"/>
  <c r="N850" i="5"/>
  <c r="J846" i="5"/>
  <c r="K846" i="5" s="1"/>
  <c r="I845" i="9"/>
  <c r="I845" i="8"/>
  <c r="F842" i="5"/>
  <c r="R830" i="5"/>
  <c r="S830" i="5" s="1"/>
  <c r="N826" i="5"/>
  <c r="J822" i="5"/>
  <c r="I821" i="9"/>
  <c r="I821" i="8"/>
  <c r="F818" i="5"/>
  <c r="R806" i="5"/>
  <c r="S806" i="5" s="1"/>
  <c r="N802" i="5"/>
  <c r="J798" i="5"/>
  <c r="K798" i="5" s="1"/>
  <c r="I797" i="9"/>
  <c r="I797" i="8"/>
  <c r="I797" i="7"/>
  <c r="F794" i="5"/>
  <c r="G794" i="5" s="1"/>
  <c r="R782" i="5"/>
  <c r="N778" i="5"/>
  <c r="J774" i="5"/>
  <c r="K774" i="5" s="1"/>
  <c r="I773" i="9"/>
  <c r="I773" i="8"/>
  <c r="F770" i="5"/>
  <c r="R758" i="5"/>
  <c r="N754" i="5"/>
  <c r="O754" i="5" s="1"/>
  <c r="J750" i="5"/>
  <c r="K750" i="5" s="1"/>
  <c r="I749" i="9"/>
  <c r="I749" i="8"/>
  <c r="I749" i="7"/>
  <c r="F746" i="5"/>
  <c r="R734" i="5"/>
  <c r="N730" i="5"/>
  <c r="O730" i="5" s="1"/>
  <c r="J726" i="5"/>
  <c r="I725" i="9"/>
  <c r="I725" i="8"/>
  <c r="F722" i="5"/>
  <c r="G722" i="5" s="1"/>
  <c r="R710" i="5"/>
  <c r="S710" i="5" s="1"/>
  <c r="J709" i="5"/>
  <c r="K709" i="5" s="1"/>
  <c r="I700" i="9"/>
  <c r="I700" i="8"/>
  <c r="I700" i="7"/>
  <c r="S692" i="5"/>
  <c r="I687" i="5"/>
  <c r="S679" i="5"/>
  <c r="Q677" i="5"/>
  <c r="S677" i="5"/>
  <c r="S675" i="5"/>
  <c r="G669" i="5"/>
  <c r="F667" i="5"/>
  <c r="G667" i="5" s="1"/>
  <c r="F660" i="5"/>
  <c r="G660" i="5" s="1"/>
  <c r="O620" i="5"/>
  <c r="M620" i="5"/>
  <c r="N620" i="5"/>
  <c r="S614" i="5"/>
  <c r="I828" i="9"/>
  <c r="I828" i="7"/>
  <c r="I804" i="9"/>
  <c r="I804" i="7"/>
  <c r="I732" i="9"/>
  <c r="I732" i="7"/>
  <c r="R707" i="5"/>
  <c r="S707" i="5" s="1"/>
  <c r="F691" i="5"/>
  <c r="I689" i="5"/>
  <c r="K689" i="5"/>
  <c r="M664" i="5"/>
  <c r="O664" i="5"/>
  <c r="E662" i="5"/>
  <c r="F662" i="5"/>
  <c r="G662" i="5"/>
  <c r="M655" i="5"/>
  <c r="O655" i="5"/>
  <c r="I653" i="9"/>
  <c r="I653" i="8"/>
  <c r="I650" i="5"/>
  <c r="K650" i="5"/>
  <c r="F648" i="5"/>
  <c r="G648" i="5" s="1"/>
  <c r="I612" i="5"/>
  <c r="J612" i="5"/>
  <c r="K612" i="5"/>
  <c r="F595" i="5"/>
  <c r="G595" i="5" s="1"/>
  <c r="I859" i="9"/>
  <c r="I859" i="8"/>
  <c r="G839" i="5"/>
  <c r="S827" i="5"/>
  <c r="O799" i="5"/>
  <c r="G791" i="5"/>
  <c r="I787" i="9"/>
  <c r="I787" i="8"/>
  <c r="I787" i="7"/>
  <c r="K771" i="5"/>
  <c r="I763" i="8"/>
  <c r="I763" i="7"/>
  <c r="S755" i="5"/>
  <c r="K747" i="5"/>
  <c r="I739" i="9"/>
  <c r="I739" i="8"/>
  <c r="I739" i="7"/>
  <c r="S731" i="5"/>
  <c r="O727" i="5"/>
  <c r="K723" i="5"/>
  <c r="G719" i="5"/>
  <c r="I715" i="9"/>
  <c r="I715" i="8"/>
  <c r="G703" i="5"/>
  <c r="G698" i="5"/>
  <c r="M683" i="5"/>
  <c r="O683" i="5"/>
  <c r="I671" i="5"/>
  <c r="G645" i="5"/>
  <c r="F639" i="5"/>
  <c r="I629" i="9"/>
  <c r="I629" i="8"/>
  <c r="G612" i="5"/>
  <c r="E612" i="5"/>
  <c r="F612" i="5"/>
  <c r="K922" i="5"/>
  <c r="I914" i="9"/>
  <c r="I914" i="8"/>
  <c r="I914" i="7"/>
  <c r="S906" i="5"/>
  <c r="O902" i="5"/>
  <c r="K898" i="5"/>
  <c r="G894" i="5"/>
  <c r="I890" i="9"/>
  <c r="I890" i="8"/>
  <c r="I890" i="7"/>
  <c r="S882" i="5"/>
  <c r="O878" i="5"/>
  <c r="K874" i="5"/>
  <c r="G870" i="5"/>
  <c r="I866" i="9"/>
  <c r="I866" i="8"/>
  <c r="I866" i="7"/>
  <c r="S858" i="5"/>
  <c r="O854" i="5"/>
  <c r="K850" i="5"/>
  <c r="G846" i="5"/>
  <c r="I842" i="9"/>
  <c r="I842" i="8"/>
  <c r="F839" i="5"/>
  <c r="S834" i="5"/>
  <c r="O830" i="5"/>
  <c r="R827" i="5"/>
  <c r="K826" i="5"/>
  <c r="N823" i="5"/>
  <c r="O823" i="5" s="1"/>
  <c r="G822" i="5"/>
  <c r="J819" i="5"/>
  <c r="K819" i="5" s="1"/>
  <c r="I818" i="9"/>
  <c r="I818" i="8"/>
  <c r="F815" i="5"/>
  <c r="G815" i="5" s="1"/>
  <c r="S810" i="5"/>
  <c r="O806" i="5"/>
  <c r="R803" i="5"/>
  <c r="S803" i="5" s="1"/>
  <c r="K802" i="5"/>
  <c r="N799" i="5"/>
  <c r="G798" i="5"/>
  <c r="J795" i="5"/>
  <c r="K795" i="5" s="1"/>
  <c r="I794" i="9"/>
  <c r="I794" i="8"/>
  <c r="I794" i="7"/>
  <c r="F791" i="5"/>
  <c r="S786" i="5"/>
  <c r="O782" i="5"/>
  <c r="R779" i="5"/>
  <c r="S779" i="5" s="1"/>
  <c r="K778" i="5"/>
  <c r="N775" i="5"/>
  <c r="O775" i="5" s="1"/>
  <c r="J771" i="5"/>
  <c r="I770" i="9"/>
  <c r="I770" i="8"/>
  <c r="I770" i="7"/>
  <c r="F767" i="5"/>
  <c r="G767" i="5" s="1"/>
  <c r="S762" i="5"/>
  <c r="O758" i="5"/>
  <c r="R755" i="5"/>
  <c r="K754" i="5"/>
  <c r="N751" i="5"/>
  <c r="O751" i="5" s="1"/>
  <c r="G750" i="5"/>
  <c r="J747" i="5"/>
  <c r="I746" i="9"/>
  <c r="I746" i="8"/>
  <c r="F743" i="5"/>
  <c r="G743" i="5" s="1"/>
  <c r="S738" i="5"/>
  <c r="O734" i="5"/>
  <c r="R731" i="5"/>
  <c r="K730" i="5"/>
  <c r="N727" i="5"/>
  <c r="J723" i="5"/>
  <c r="F719" i="5"/>
  <c r="S714" i="5"/>
  <c r="O710" i="5"/>
  <c r="F709" i="5"/>
  <c r="G709" i="5" s="1"/>
  <c r="O707" i="5"/>
  <c r="I703" i="9"/>
  <c r="I703" i="7"/>
  <c r="I698" i="9"/>
  <c r="I698" i="8"/>
  <c r="I698" i="7"/>
  <c r="G696" i="5"/>
  <c r="E689" i="5"/>
  <c r="G689" i="5"/>
  <c r="O679" i="5"/>
  <c r="O675" i="5"/>
  <c r="Q668" i="5"/>
  <c r="S668" i="5"/>
  <c r="J664" i="5"/>
  <c r="K664" i="5" s="1"/>
  <c r="G626" i="5"/>
  <c r="S913" i="5"/>
  <c r="O909" i="5"/>
  <c r="K905" i="5"/>
  <c r="G901" i="5"/>
  <c r="S889" i="5"/>
  <c r="O885" i="5"/>
  <c r="K881" i="5"/>
  <c r="G877" i="5"/>
  <c r="S865" i="5"/>
  <c r="O861" i="5"/>
  <c r="K857" i="5"/>
  <c r="G853" i="5"/>
  <c r="S841" i="5"/>
  <c r="O837" i="5"/>
  <c r="K833" i="5"/>
  <c r="G829" i="5"/>
  <c r="S817" i="5"/>
  <c r="K809" i="5"/>
  <c r="G805" i="5"/>
  <c r="S793" i="5"/>
  <c r="K785" i="5"/>
  <c r="G781" i="5"/>
  <c r="S769" i="5"/>
  <c r="S745" i="5"/>
  <c r="S721" i="5"/>
  <c r="O717" i="5"/>
  <c r="K713" i="5"/>
  <c r="M710" i="5"/>
  <c r="O704" i="5"/>
  <c r="S702" i="5"/>
  <c r="K694" i="5"/>
  <c r="N692" i="5"/>
  <c r="O692" i="5" s="1"/>
  <c r="F687" i="5"/>
  <c r="G687" i="5" s="1"/>
  <c r="N679" i="5"/>
  <c r="Q659" i="5"/>
  <c r="S659" i="5"/>
  <c r="G650" i="5"/>
  <c r="Q644" i="5"/>
  <c r="R644" i="5"/>
  <c r="S644" i="5" s="1"/>
  <c r="Q600" i="5"/>
  <c r="R600" i="5"/>
  <c r="S600" i="5" s="1"/>
  <c r="F580" i="5"/>
  <c r="G580" i="5" s="1"/>
  <c r="I808" i="8"/>
  <c r="I808" i="7"/>
  <c r="I784" i="9"/>
  <c r="I784" i="8"/>
  <c r="I784" i="7"/>
  <c r="I736" i="8"/>
  <c r="I736" i="7"/>
  <c r="Q697" i="5"/>
  <c r="S697" i="5"/>
  <c r="F696" i="5"/>
  <c r="I673" i="9"/>
  <c r="I673" i="8"/>
  <c r="E671" i="5"/>
  <c r="G671" i="5"/>
  <c r="N668" i="5"/>
  <c r="O668" i="5" s="1"/>
  <c r="I650" i="9"/>
  <c r="I650" i="8"/>
  <c r="O644" i="5"/>
  <c r="M644" i="5"/>
  <c r="N644" i="5"/>
  <c r="F620" i="5"/>
  <c r="G620" i="5" s="1"/>
  <c r="F555" i="5"/>
  <c r="G555" i="5" s="1"/>
  <c r="I911" i="9"/>
  <c r="I911" i="8"/>
  <c r="I911" i="7"/>
  <c r="I887" i="9"/>
  <c r="I887" i="8"/>
  <c r="I887" i="7"/>
  <c r="I863" i="9"/>
  <c r="I863" i="8"/>
  <c r="I839" i="9"/>
  <c r="I839" i="8"/>
  <c r="I815" i="9"/>
  <c r="I815" i="8"/>
  <c r="I815" i="7"/>
  <c r="S807" i="5"/>
  <c r="I791" i="9"/>
  <c r="I791" i="8"/>
  <c r="S783" i="5"/>
  <c r="I767" i="9"/>
  <c r="I767" i="8"/>
  <c r="I767" i="7"/>
  <c r="S759" i="5"/>
  <c r="I743" i="9"/>
  <c r="I743" i="8"/>
  <c r="S735" i="5"/>
  <c r="Q688" i="5"/>
  <c r="S688" i="5"/>
  <c r="R686" i="5"/>
  <c r="S686" i="5" s="1"/>
  <c r="S672" i="5"/>
  <c r="S638" i="5"/>
  <c r="R711" i="5"/>
  <c r="S711" i="5" s="1"/>
  <c r="I706" i="9"/>
  <c r="I706" i="8"/>
  <c r="I706" i="7"/>
  <c r="M697" i="5"/>
  <c r="O697" i="5"/>
  <c r="I679" i="5"/>
  <c r="K679" i="5"/>
  <c r="I675" i="5"/>
  <c r="K675" i="5"/>
  <c r="R672" i="5"/>
  <c r="M654" i="5"/>
  <c r="O654" i="5"/>
  <c r="I636" i="5"/>
  <c r="J636" i="5"/>
  <c r="K636" i="5" s="1"/>
  <c r="F606" i="5"/>
  <c r="G606" i="5" s="1"/>
  <c r="F591" i="5"/>
  <c r="G591" i="5" s="1"/>
  <c r="F547" i="5"/>
  <c r="G533" i="5"/>
  <c r="O961" i="5"/>
  <c r="K957" i="5"/>
  <c r="S941" i="5"/>
  <c r="O937" i="5"/>
  <c r="K933" i="5"/>
  <c r="N930" i="5"/>
  <c r="O930" i="5" s="1"/>
  <c r="G929" i="5"/>
  <c r="J926" i="5"/>
  <c r="K926" i="5" s="1"/>
  <c r="I925" i="9"/>
  <c r="I925" i="7"/>
  <c r="F922" i="5"/>
  <c r="G922" i="5" s="1"/>
  <c r="S917" i="5"/>
  <c r="O913" i="5"/>
  <c r="R910" i="5"/>
  <c r="S910" i="5" s="1"/>
  <c r="K909" i="5"/>
  <c r="N906" i="5"/>
  <c r="O906" i="5" s="1"/>
  <c r="G905" i="5"/>
  <c r="J902" i="5"/>
  <c r="K902" i="5" s="1"/>
  <c r="F898" i="5"/>
  <c r="G898" i="5" s="1"/>
  <c r="S893" i="5"/>
  <c r="O889" i="5"/>
  <c r="R886" i="5"/>
  <c r="S886" i="5" s="1"/>
  <c r="K885" i="5"/>
  <c r="N882" i="5"/>
  <c r="O882" i="5" s="1"/>
  <c r="G881" i="5"/>
  <c r="J878" i="5"/>
  <c r="K878" i="5" s="1"/>
  <c r="F874" i="5"/>
  <c r="G874" i="5" s="1"/>
  <c r="S869" i="5"/>
  <c r="O865" i="5"/>
  <c r="R862" i="5"/>
  <c r="S862" i="5" s="1"/>
  <c r="K861" i="5"/>
  <c r="N858" i="5"/>
  <c r="O858" i="5" s="1"/>
  <c r="G857" i="5"/>
  <c r="J854" i="5"/>
  <c r="K854" i="5" s="1"/>
  <c r="F850" i="5"/>
  <c r="G850" i="5" s="1"/>
  <c r="S845" i="5"/>
  <c r="O841" i="5"/>
  <c r="R838" i="5"/>
  <c r="S838" i="5" s="1"/>
  <c r="K837" i="5"/>
  <c r="N834" i="5"/>
  <c r="O834" i="5" s="1"/>
  <c r="G833" i="5"/>
  <c r="J830" i="5"/>
  <c r="K830" i="5" s="1"/>
  <c r="F826" i="5"/>
  <c r="G826" i="5" s="1"/>
  <c r="R814" i="5"/>
  <c r="S814" i="5" s="1"/>
  <c r="K813" i="5"/>
  <c r="N810" i="5"/>
  <c r="O810" i="5" s="1"/>
  <c r="J806" i="5"/>
  <c r="K806" i="5" s="1"/>
  <c r="I805" i="9"/>
  <c r="I805" i="7"/>
  <c r="F802" i="5"/>
  <c r="G802" i="5" s="1"/>
  <c r="O793" i="5"/>
  <c r="R790" i="5"/>
  <c r="S790" i="5" s="1"/>
  <c r="K789" i="5"/>
  <c r="N786" i="5"/>
  <c r="O786" i="5" s="1"/>
  <c r="G785" i="5"/>
  <c r="J782" i="5"/>
  <c r="K782" i="5" s="1"/>
  <c r="F778" i="5"/>
  <c r="G778" i="5" s="1"/>
  <c r="S773" i="5"/>
  <c r="O769" i="5"/>
  <c r="R766" i="5"/>
  <c r="S766" i="5" s="1"/>
  <c r="K765" i="5"/>
  <c r="N762" i="5"/>
  <c r="O762" i="5" s="1"/>
  <c r="J758" i="5"/>
  <c r="K758" i="5" s="1"/>
  <c r="F754" i="5"/>
  <c r="G754" i="5" s="1"/>
  <c r="S749" i="5"/>
  <c r="O745" i="5"/>
  <c r="R742" i="5"/>
  <c r="S742" i="5" s="1"/>
  <c r="N738" i="5"/>
  <c r="O738" i="5" s="1"/>
  <c r="J734" i="5"/>
  <c r="K734" i="5" s="1"/>
  <c r="F730" i="5"/>
  <c r="G730" i="5" s="1"/>
  <c r="R718" i="5"/>
  <c r="S718" i="5" s="1"/>
  <c r="N714" i="5"/>
  <c r="O714" i="5" s="1"/>
  <c r="R708" i="5"/>
  <c r="S708" i="5" s="1"/>
  <c r="E685" i="5"/>
  <c r="G685" i="5"/>
  <c r="I666" i="5"/>
  <c r="J666" i="5"/>
  <c r="K666" i="5" s="1"/>
  <c r="Q663" i="5"/>
  <c r="R663" i="5"/>
  <c r="S663" i="5" s="1"/>
  <c r="G636" i="5"/>
  <c r="E636" i="5"/>
  <c r="F636" i="5"/>
  <c r="I980" i="9"/>
  <c r="I980" i="8"/>
  <c r="I932" i="9"/>
  <c r="I932" i="8"/>
  <c r="I908" i="9"/>
  <c r="I908" i="8"/>
  <c r="I908" i="7"/>
  <c r="I884" i="9"/>
  <c r="I884" i="8"/>
  <c r="I884" i="7"/>
  <c r="I860" i="9"/>
  <c r="I860" i="8"/>
  <c r="I836" i="9"/>
  <c r="I836" i="8"/>
  <c r="I836" i="7"/>
  <c r="R821" i="5"/>
  <c r="S821" i="5" s="1"/>
  <c r="N817" i="5"/>
  <c r="O817" i="5" s="1"/>
  <c r="J813" i="5"/>
  <c r="I812" i="9"/>
  <c r="I812" i="8"/>
  <c r="I812" i="7"/>
  <c r="F809" i="5"/>
  <c r="G809" i="5" s="1"/>
  <c r="R797" i="5"/>
  <c r="S797" i="5" s="1"/>
  <c r="I788" i="9"/>
  <c r="I788" i="8"/>
  <c r="I788" i="7"/>
  <c r="K772" i="5"/>
  <c r="I764" i="9"/>
  <c r="I764" i="8"/>
  <c r="I764" i="7"/>
  <c r="O752" i="5"/>
  <c r="I740" i="9"/>
  <c r="I740" i="8"/>
  <c r="O728" i="5"/>
  <c r="G720" i="5"/>
  <c r="I716" i="9"/>
  <c r="I716" i="8"/>
  <c r="I701" i="9"/>
  <c r="I701" i="8"/>
  <c r="E675" i="5"/>
  <c r="G675" i="5"/>
  <c r="E666" i="5"/>
  <c r="F666" i="5"/>
  <c r="G666" i="5" s="1"/>
  <c r="M641" i="5"/>
  <c r="N641" i="5"/>
  <c r="O641" i="5" s="1"/>
  <c r="F597" i="5"/>
  <c r="G597" i="5" s="1"/>
  <c r="O927" i="5"/>
  <c r="K923" i="5"/>
  <c r="G919" i="5"/>
  <c r="S907" i="5"/>
  <c r="O831" i="5"/>
  <c r="S811" i="5"/>
  <c r="O807" i="5"/>
  <c r="S787" i="5"/>
  <c r="N776" i="5"/>
  <c r="O776" i="5" s="1"/>
  <c r="J772" i="5"/>
  <c r="F768" i="5"/>
  <c r="G768" i="5" s="1"/>
  <c r="S763" i="5"/>
  <c r="O759" i="5"/>
  <c r="R756" i="5"/>
  <c r="S756" i="5" s="1"/>
  <c r="N752" i="5"/>
  <c r="J748" i="5"/>
  <c r="K748" i="5" s="1"/>
  <c r="F744" i="5"/>
  <c r="G744" i="5" s="1"/>
  <c r="S739" i="5"/>
  <c r="O735" i="5"/>
  <c r="R732" i="5"/>
  <c r="S732" i="5" s="1"/>
  <c r="N728" i="5"/>
  <c r="J724" i="5"/>
  <c r="K724" i="5" s="1"/>
  <c r="F720" i="5"/>
  <c r="O702" i="5"/>
  <c r="G694" i="5"/>
  <c r="J690" i="5"/>
  <c r="K690" i="5" s="1"/>
  <c r="K688" i="5"/>
  <c r="G679" i="5"/>
  <c r="M670" i="5"/>
  <c r="N670" i="5"/>
  <c r="O670" i="5"/>
  <c r="I659" i="9"/>
  <c r="I659" i="8"/>
  <c r="E657" i="5"/>
  <c r="F657" i="5"/>
  <c r="K654" i="5"/>
  <c r="F644" i="5"/>
  <c r="G644" i="5" s="1"/>
  <c r="M616" i="5"/>
  <c r="N616" i="5"/>
  <c r="O616" i="5"/>
  <c r="G588" i="5"/>
  <c r="I898" i="9"/>
  <c r="I898" i="8"/>
  <c r="I898" i="7"/>
  <c r="I850" i="8"/>
  <c r="I850" i="7"/>
  <c r="I826" i="9"/>
  <c r="I826" i="8"/>
  <c r="I826" i="7"/>
  <c r="I778" i="8"/>
  <c r="I778" i="7"/>
  <c r="I754" i="8"/>
  <c r="I754" i="7"/>
  <c r="G734" i="5"/>
  <c r="S722" i="5"/>
  <c r="O718" i="5"/>
  <c r="K714" i="5"/>
  <c r="O708" i="5"/>
  <c r="E699" i="5"/>
  <c r="G699" i="5"/>
  <c r="J688" i="5"/>
  <c r="S682" i="5"/>
  <c r="I670" i="5"/>
  <c r="J670" i="5"/>
  <c r="K670" i="5"/>
  <c r="K616" i="5"/>
  <c r="I616" i="5"/>
  <c r="J616" i="5"/>
  <c r="I761" i="9"/>
  <c r="I761" i="8"/>
  <c r="I737" i="9"/>
  <c r="I737" i="8"/>
  <c r="F692" i="5"/>
  <c r="G692" i="5" s="1"/>
  <c r="Q678" i="5"/>
  <c r="R678" i="5"/>
  <c r="S678" i="5"/>
  <c r="Q674" i="5"/>
  <c r="R674" i="5"/>
  <c r="S674" i="5" s="1"/>
  <c r="I661" i="5"/>
  <c r="J661" i="5"/>
  <c r="K661" i="5" s="1"/>
  <c r="I840" i="9"/>
  <c r="I840" i="7"/>
  <c r="I792" i="9"/>
  <c r="I792" i="7"/>
  <c r="I768" i="9"/>
  <c r="I768" i="7"/>
  <c r="O732" i="5"/>
  <c r="K728" i="5"/>
  <c r="G724" i="5"/>
  <c r="I720" i="9"/>
  <c r="I720" i="7"/>
  <c r="S712" i="5"/>
  <c r="K702" i="5"/>
  <c r="S698" i="5"/>
  <c r="I692" i="9"/>
  <c r="I692" i="8"/>
  <c r="I692" i="7"/>
  <c r="M674" i="5"/>
  <c r="N674" i="5"/>
  <c r="O674" i="5" s="1"/>
  <c r="F668" i="5"/>
  <c r="G668" i="5" s="1"/>
  <c r="S658" i="5"/>
  <c r="F654" i="5"/>
  <c r="G654" i="5" s="1"/>
  <c r="F619" i="5"/>
  <c r="G619" i="5" s="1"/>
  <c r="K605" i="5"/>
  <c r="I967" i="9"/>
  <c r="I967" i="7"/>
  <c r="I895" i="9"/>
  <c r="I895" i="8"/>
  <c r="I895" i="7"/>
  <c r="I871" i="8"/>
  <c r="I871" i="7"/>
  <c r="I799" i="8"/>
  <c r="I799" i="7"/>
  <c r="I751" i="9"/>
  <c r="I751" i="7"/>
  <c r="I727" i="8"/>
  <c r="I727" i="7"/>
  <c r="I710" i="8"/>
  <c r="I710" i="7"/>
  <c r="I704" i="8"/>
  <c r="I704" i="7"/>
  <c r="K695" i="5"/>
  <c r="G690" i="5"/>
  <c r="O682" i="5"/>
  <c r="J674" i="5"/>
  <c r="G670" i="5"/>
  <c r="I668" i="8"/>
  <c r="I668" i="7"/>
  <c r="F630" i="5"/>
  <c r="G630" i="5" s="1"/>
  <c r="Q624" i="5"/>
  <c r="R624" i="5"/>
  <c r="S624" i="5" s="1"/>
  <c r="F582" i="5"/>
  <c r="G582" i="5" s="1"/>
  <c r="I615" i="9"/>
  <c r="I615" i="8"/>
  <c r="I615" i="7"/>
  <c r="N596" i="5"/>
  <c r="O596" i="5" s="1"/>
  <c r="S570" i="5"/>
  <c r="I560" i="9"/>
  <c r="I560" i="8"/>
  <c r="I552" i="9"/>
  <c r="I552" i="8"/>
  <c r="I545" i="9"/>
  <c r="I545" i="8"/>
  <c r="F539" i="5"/>
  <c r="G539" i="5"/>
  <c r="G495" i="5"/>
  <c r="K379" i="5"/>
  <c r="I694" i="9"/>
  <c r="I694" i="8"/>
  <c r="I694" i="7"/>
  <c r="I646" i="8"/>
  <c r="I646" i="7"/>
  <c r="K606" i="5"/>
  <c r="G602" i="5"/>
  <c r="I598" i="9"/>
  <c r="I598" i="8"/>
  <c r="M596" i="5"/>
  <c r="I592" i="5"/>
  <c r="S590" i="5"/>
  <c r="E588" i="5"/>
  <c r="O586" i="5"/>
  <c r="K582" i="5"/>
  <c r="I581" i="9"/>
  <c r="I581" i="8"/>
  <c r="E578" i="5"/>
  <c r="G572" i="5"/>
  <c r="O570" i="5"/>
  <c r="M564" i="5"/>
  <c r="R556" i="5"/>
  <c r="S556" i="5" s="1"/>
  <c r="S551" i="5"/>
  <c r="M548" i="5"/>
  <c r="K465" i="5"/>
  <c r="O593" i="5"/>
  <c r="G585" i="5"/>
  <c r="O573" i="5"/>
  <c r="G566" i="5"/>
  <c r="Q544" i="5"/>
  <c r="R544" i="5"/>
  <c r="S544" i="5" s="1"/>
  <c r="F541" i="5"/>
  <c r="G541" i="5" s="1"/>
  <c r="J535" i="5"/>
  <c r="K535" i="5" s="1"/>
  <c r="O520" i="5"/>
  <c r="G518" i="5"/>
  <c r="I498" i="9"/>
  <c r="I498" i="7"/>
  <c r="J637" i="5"/>
  <c r="K637" i="5" s="1"/>
  <c r="F633" i="5"/>
  <c r="G633" i="5" s="1"/>
  <c r="R621" i="5"/>
  <c r="S621" i="5" s="1"/>
  <c r="N617" i="5"/>
  <c r="O617" i="5" s="1"/>
  <c r="J613" i="5"/>
  <c r="K613" i="5" s="1"/>
  <c r="I612" i="9"/>
  <c r="I612" i="8"/>
  <c r="F609" i="5"/>
  <c r="G609" i="5" s="1"/>
  <c r="R597" i="5"/>
  <c r="S597" i="5" s="1"/>
  <c r="N593" i="5"/>
  <c r="J589" i="5"/>
  <c r="K589" i="5" s="1"/>
  <c r="F585" i="5"/>
  <c r="R580" i="5"/>
  <c r="S580" i="5" s="1"/>
  <c r="J579" i="5"/>
  <c r="K579" i="5" s="1"/>
  <c r="I578" i="9"/>
  <c r="I578" i="8"/>
  <c r="I578" i="7"/>
  <c r="N573" i="5"/>
  <c r="K564" i="5"/>
  <c r="R562" i="5"/>
  <c r="S562" i="5" s="1"/>
  <c r="O544" i="5"/>
  <c r="R538" i="5"/>
  <c r="S538" i="5" s="1"/>
  <c r="F527" i="5"/>
  <c r="G527" i="5" s="1"/>
  <c r="Q522" i="5"/>
  <c r="R522" i="5"/>
  <c r="S522" i="5" s="1"/>
  <c r="M520" i="5"/>
  <c r="F503" i="5"/>
  <c r="O447" i="5"/>
  <c r="I667" i="9"/>
  <c r="I667" i="8"/>
  <c r="G647" i="5"/>
  <c r="S635" i="5"/>
  <c r="O631" i="5"/>
  <c r="K627" i="5"/>
  <c r="G623" i="5"/>
  <c r="I619" i="8"/>
  <c r="I619" i="7"/>
  <c r="S611" i="5"/>
  <c r="O607" i="5"/>
  <c r="K603" i="5"/>
  <c r="G599" i="5"/>
  <c r="S587" i="5"/>
  <c r="I575" i="9"/>
  <c r="I575" i="7"/>
  <c r="I564" i="5"/>
  <c r="I548" i="5"/>
  <c r="J548" i="5"/>
  <c r="K548" i="5" s="1"/>
  <c r="M544" i="5"/>
  <c r="I515" i="5"/>
  <c r="J515" i="5"/>
  <c r="K515" i="5" s="1"/>
  <c r="I626" i="9"/>
  <c r="I626" i="7"/>
  <c r="I602" i="8"/>
  <c r="I602" i="7"/>
  <c r="I572" i="9"/>
  <c r="I572" i="8"/>
  <c r="M542" i="5"/>
  <c r="O542" i="5"/>
  <c r="Q540" i="5"/>
  <c r="R540" i="5"/>
  <c r="S540" i="5" s="1"/>
  <c r="F535" i="5"/>
  <c r="G535" i="5" s="1"/>
  <c r="I533" i="5"/>
  <c r="K533" i="5"/>
  <c r="I520" i="5"/>
  <c r="J520" i="5"/>
  <c r="K520" i="5"/>
  <c r="Q517" i="5"/>
  <c r="S517" i="5"/>
  <c r="E515" i="5"/>
  <c r="F515" i="5"/>
  <c r="G515" i="5"/>
  <c r="K665" i="5"/>
  <c r="G661" i="5"/>
  <c r="S649" i="5"/>
  <c r="O645" i="5"/>
  <c r="K641" i="5"/>
  <c r="G637" i="5"/>
  <c r="S625" i="5"/>
  <c r="O621" i="5"/>
  <c r="K617" i="5"/>
  <c r="G613" i="5"/>
  <c r="S601" i="5"/>
  <c r="O597" i="5"/>
  <c r="G579" i="5"/>
  <c r="K573" i="5"/>
  <c r="S571" i="5"/>
  <c r="M559" i="5"/>
  <c r="G558" i="5"/>
  <c r="O551" i="5"/>
  <c r="K544" i="5"/>
  <c r="I508" i="9"/>
  <c r="I508" i="7"/>
  <c r="G471" i="5"/>
  <c r="O444" i="5"/>
  <c r="I640" i="9"/>
  <c r="I640" i="7"/>
  <c r="R601" i="5"/>
  <c r="N597" i="5"/>
  <c r="J593" i="5"/>
  <c r="K593" i="5" s="1"/>
  <c r="F589" i="5"/>
  <c r="G589" i="5" s="1"/>
  <c r="N580" i="5"/>
  <c r="O580" i="5" s="1"/>
  <c r="F579" i="5"/>
  <c r="J573" i="5"/>
  <c r="R571" i="5"/>
  <c r="F564" i="5"/>
  <c r="G564" i="5" s="1"/>
  <c r="N562" i="5"/>
  <c r="O562" i="5" s="1"/>
  <c r="K556" i="5"/>
  <c r="S554" i="5"/>
  <c r="K551" i="5"/>
  <c r="G548" i="5"/>
  <c r="M540" i="5"/>
  <c r="N540" i="5"/>
  <c r="O540" i="5" s="1"/>
  <c r="I537" i="9"/>
  <c r="I537" i="8"/>
  <c r="S534" i="5"/>
  <c r="E533" i="5"/>
  <c r="F533" i="5"/>
  <c r="S524" i="5"/>
  <c r="F488" i="5"/>
  <c r="I695" i="9"/>
  <c r="I695" i="8"/>
  <c r="I671" i="8"/>
  <c r="I671" i="7"/>
  <c r="O659" i="5"/>
  <c r="O635" i="5"/>
  <c r="K631" i="5"/>
  <c r="G627" i="5"/>
  <c r="I623" i="9"/>
  <c r="I623" i="8"/>
  <c r="I623" i="7"/>
  <c r="S615" i="5"/>
  <c r="S591" i="5"/>
  <c r="O587" i="5"/>
  <c r="K583" i="5"/>
  <c r="O577" i="5"/>
  <c r="G576" i="5"/>
  <c r="J556" i="5"/>
  <c r="F553" i="5"/>
  <c r="G553" i="5" s="1"/>
  <c r="J551" i="5"/>
  <c r="K540" i="5"/>
  <c r="E529" i="5"/>
  <c r="G529" i="5"/>
  <c r="Q524" i="5"/>
  <c r="K505" i="5"/>
  <c r="G494" i="5"/>
  <c r="N659" i="5"/>
  <c r="J655" i="5"/>
  <c r="K655" i="5" s="1"/>
  <c r="F651" i="5"/>
  <c r="G651" i="5" s="1"/>
  <c r="R639" i="5"/>
  <c r="S639" i="5" s="1"/>
  <c r="N635" i="5"/>
  <c r="J631" i="5"/>
  <c r="F627" i="5"/>
  <c r="R615" i="5"/>
  <c r="N611" i="5"/>
  <c r="O611" i="5" s="1"/>
  <c r="J607" i="5"/>
  <c r="K607" i="5" s="1"/>
  <c r="F603" i="5"/>
  <c r="G603" i="5" s="1"/>
  <c r="R591" i="5"/>
  <c r="N587" i="5"/>
  <c r="J583" i="5"/>
  <c r="I582" i="9"/>
  <c r="I582" i="8"/>
  <c r="N577" i="5"/>
  <c r="F576" i="5"/>
  <c r="F567" i="5"/>
  <c r="J559" i="5"/>
  <c r="K559" i="5" s="1"/>
  <c r="O549" i="5"/>
  <c r="I546" i="9"/>
  <c r="I546" i="7"/>
  <c r="I540" i="5"/>
  <c r="K522" i="5"/>
  <c r="S507" i="5"/>
  <c r="G500" i="5"/>
  <c r="F444" i="5"/>
  <c r="G444" i="5" s="1"/>
  <c r="F429" i="5"/>
  <c r="O673" i="5"/>
  <c r="K669" i="5"/>
  <c r="G665" i="5"/>
  <c r="S653" i="5"/>
  <c r="O649" i="5"/>
  <c r="K645" i="5"/>
  <c r="G641" i="5"/>
  <c r="I637" i="9"/>
  <c r="I637" i="8"/>
  <c r="S629" i="5"/>
  <c r="O625" i="5"/>
  <c r="K621" i="5"/>
  <c r="G617" i="5"/>
  <c r="S605" i="5"/>
  <c r="O601" i="5"/>
  <c r="K597" i="5"/>
  <c r="G593" i="5"/>
  <c r="I589" i="9"/>
  <c r="I589" i="8"/>
  <c r="S581" i="5"/>
  <c r="K580" i="5"/>
  <c r="G573" i="5"/>
  <c r="O571" i="5"/>
  <c r="I564" i="9"/>
  <c r="I564" i="8"/>
  <c r="I564" i="7"/>
  <c r="S560" i="5"/>
  <c r="M549" i="5"/>
  <c r="R547" i="5"/>
  <c r="S547" i="5" s="1"/>
  <c r="S536" i="5"/>
  <c r="Q532" i="5"/>
  <c r="R532" i="5"/>
  <c r="S532" i="5" s="1"/>
  <c r="G390" i="5"/>
  <c r="F378" i="5"/>
  <c r="G378" i="5" s="1"/>
  <c r="K367" i="5"/>
  <c r="I644" i="9"/>
  <c r="I644" i="8"/>
  <c r="I644" i="7"/>
  <c r="I620" i="9"/>
  <c r="I620" i="7"/>
  <c r="G567" i="5"/>
  <c r="E544" i="5"/>
  <c r="F544" i="5"/>
  <c r="G544" i="5" s="1"/>
  <c r="G542" i="5"/>
  <c r="I538" i="5"/>
  <c r="K538" i="5"/>
  <c r="R528" i="5"/>
  <c r="S528" i="5"/>
  <c r="N524" i="5"/>
  <c r="O524" i="5" s="1"/>
  <c r="N507" i="5"/>
  <c r="O507" i="5"/>
  <c r="E505" i="5"/>
  <c r="F505" i="5"/>
  <c r="G505" i="5" s="1"/>
  <c r="F464" i="5"/>
  <c r="G464" i="5" s="1"/>
  <c r="G403" i="5"/>
  <c r="I675" i="9"/>
  <c r="I675" i="7"/>
  <c r="S667" i="5"/>
  <c r="O663" i="5"/>
  <c r="K659" i="5"/>
  <c r="G655" i="5"/>
  <c r="S643" i="5"/>
  <c r="O639" i="5"/>
  <c r="K635" i="5"/>
  <c r="G631" i="5"/>
  <c r="S619" i="5"/>
  <c r="O615" i="5"/>
  <c r="K611" i="5"/>
  <c r="G607" i="5"/>
  <c r="I603" i="9"/>
  <c r="I603" i="8"/>
  <c r="I603" i="7"/>
  <c r="S595" i="5"/>
  <c r="O591" i="5"/>
  <c r="K587" i="5"/>
  <c r="G583" i="5"/>
  <c r="K577" i="5"/>
  <c r="M568" i="5"/>
  <c r="I567" i="9"/>
  <c r="I567" i="8"/>
  <c r="Q563" i="5"/>
  <c r="K562" i="5"/>
  <c r="J554" i="5"/>
  <c r="K554" i="5" s="1"/>
  <c r="K549" i="5"/>
  <c r="M547" i="5"/>
  <c r="M536" i="5"/>
  <c r="N536" i="5"/>
  <c r="O536" i="5" s="1"/>
  <c r="M519" i="5"/>
  <c r="N519" i="5"/>
  <c r="O519" i="5"/>
  <c r="G417" i="5"/>
  <c r="S650" i="5"/>
  <c r="K642" i="5"/>
  <c r="I634" i="9"/>
  <c r="I634" i="7"/>
  <c r="K618" i="5"/>
  <c r="I610" i="9"/>
  <c r="I610" i="7"/>
  <c r="S602" i="5"/>
  <c r="I586" i="9"/>
  <c r="I586" i="7"/>
  <c r="S575" i="5"/>
  <c r="S566" i="5"/>
  <c r="I556" i="9"/>
  <c r="I556" i="8"/>
  <c r="I556" i="7"/>
  <c r="F551" i="5"/>
  <c r="G551" i="5" s="1"/>
  <c r="S543" i="5"/>
  <c r="S541" i="5"/>
  <c r="O532" i="5"/>
  <c r="I519" i="5"/>
  <c r="J519" i="5"/>
  <c r="K519" i="5"/>
  <c r="F517" i="5"/>
  <c r="F512" i="5"/>
  <c r="G512" i="5" s="1"/>
  <c r="F479" i="5"/>
  <c r="F449" i="5"/>
  <c r="G449" i="5" s="1"/>
  <c r="S681" i="5"/>
  <c r="O677" i="5"/>
  <c r="K673" i="5"/>
  <c r="S657" i="5"/>
  <c r="O653" i="5"/>
  <c r="R650" i="5"/>
  <c r="K649" i="5"/>
  <c r="N646" i="5"/>
  <c r="O646" i="5" s="1"/>
  <c r="J642" i="5"/>
  <c r="F638" i="5"/>
  <c r="G638" i="5" s="1"/>
  <c r="S633" i="5"/>
  <c r="O629" i="5"/>
  <c r="R626" i="5"/>
  <c r="S626" i="5" s="1"/>
  <c r="K625" i="5"/>
  <c r="N622" i="5"/>
  <c r="O622" i="5" s="1"/>
  <c r="J618" i="5"/>
  <c r="F614" i="5"/>
  <c r="G614" i="5" s="1"/>
  <c r="S609" i="5"/>
  <c r="O605" i="5"/>
  <c r="R602" i="5"/>
  <c r="K601" i="5"/>
  <c r="N598" i="5"/>
  <c r="O598" i="5" s="1"/>
  <c r="J594" i="5"/>
  <c r="K594" i="5" s="1"/>
  <c r="F590" i="5"/>
  <c r="G590" i="5" s="1"/>
  <c r="S585" i="5"/>
  <c r="O581" i="5"/>
  <c r="R575" i="5"/>
  <c r="I573" i="9"/>
  <c r="I573" i="8"/>
  <c r="J571" i="5"/>
  <c r="K571" i="5" s="1"/>
  <c r="S569" i="5"/>
  <c r="R566" i="5"/>
  <c r="F562" i="5"/>
  <c r="G562" i="5" s="1"/>
  <c r="O560" i="5"/>
  <c r="F559" i="5"/>
  <c r="G559" i="5" s="1"/>
  <c r="I551" i="9"/>
  <c r="I551" i="8"/>
  <c r="I551" i="7"/>
  <c r="R543" i="5"/>
  <c r="R541" i="5"/>
  <c r="F538" i="5"/>
  <c r="G538" i="5" s="1"/>
  <c r="G470" i="5"/>
  <c r="O684" i="5"/>
  <c r="K680" i="5"/>
  <c r="G676" i="5"/>
  <c r="I672" i="9"/>
  <c r="I672" i="7"/>
  <c r="S664" i="5"/>
  <c r="O660" i="5"/>
  <c r="K656" i="5"/>
  <c r="G652" i="5"/>
  <c r="S640" i="5"/>
  <c r="O636" i="5"/>
  <c r="K632" i="5"/>
  <c r="G628" i="5"/>
  <c r="S616" i="5"/>
  <c r="O612" i="5"/>
  <c r="K608" i="5"/>
  <c r="G604" i="5"/>
  <c r="S592" i="5"/>
  <c r="O588" i="5"/>
  <c r="K584" i="5"/>
  <c r="S572" i="5"/>
  <c r="G565" i="5"/>
  <c r="N560" i="5"/>
  <c r="I559" i="8"/>
  <c r="I559" i="7"/>
  <c r="O552" i="5"/>
  <c r="I540" i="9"/>
  <c r="I540" i="8"/>
  <c r="I540" i="7"/>
  <c r="I532" i="5"/>
  <c r="J532" i="5"/>
  <c r="K532" i="5" s="1"/>
  <c r="F514" i="5"/>
  <c r="G514" i="5" s="1"/>
  <c r="F352" i="5"/>
  <c r="G352" i="5" s="1"/>
  <c r="F304" i="5"/>
  <c r="G304" i="5" s="1"/>
  <c r="I631" i="9"/>
  <c r="I631" i="8"/>
  <c r="I631" i="7"/>
  <c r="I607" i="9"/>
  <c r="I607" i="8"/>
  <c r="I607" i="7"/>
  <c r="K557" i="5"/>
  <c r="S555" i="5"/>
  <c r="F554" i="5"/>
  <c r="G554" i="5" s="1"/>
  <c r="K547" i="5"/>
  <c r="S537" i="5"/>
  <c r="K528" i="5"/>
  <c r="G524" i="5"/>
  <c r="G519" i="5"/>
  <c r="R511" i="5"/>
  <c r="S511" i="5"/>
  <c r="F493" i="5"/>
  <c r="G473" i="5"/>
  <c r="F683" i="5"/>
  <c r="G683" i="5" s="1"/>
  <c r="R671" i="5"/>
  <c r="S671" i="5" s="1"/>
  <c r="N667" i="5"/>
  <c r="O667" i="5" s="1"/>
  <c r="J663" i="5"/>
  <c r="K663" i="5" s="1"/>
  <c r="I662" i="9"/>
  <c r="I662" i="8"/>
  <c r="F659" i="5"/>
  <c r="G659" i="5" s="1"/>
  <c r="S654" i="5"/>
  <c r="R647" i="5"/>
  <c r="S647" i="5" s="1"/>
  <c r="K646" i="5"/>
  <c r="N643" i="5"/>
  <c r="O643" i="5" s="1"/>
  <c r="G642" i="5"/>
  <c r="J639" i="5"/>
  <c r="K639" i="5" s="1"/>
  <c r="F635" i="5"/>
  <c r="G635" i="5" s="1"/>
  <c r="O626" i="5"/>
  <c r="R623" i="5"/>
  <c r="S623" i="5" s="1"/>
  <c r="K622" i="5"/>
  <c r="N619" i="5"/>
  <c r="O619" i="5" s="1"/>
  <c r="J615" i="5"/>
  <c r="K615" i="5" s="1"/>
  <c r="F611" i="5"/>
  <c r="G611" i="5" s="1"/>
  <c r="S606" i="5"/>
  <c r="R599" i="5"/>
  <c r="S599" i="5" s="1"/>
  <c r="N595" i="5"/>
  <c r="O595" i="5" s="1"/>
  <c r="G594" i="5"/>
  <c r="J591" i="5"/>
  <c r="K591" i="5" s="1"/>
  <c r="I590" i="9"/>
  <c r="I590" i="8"/>
  <c r="F587" i="5"/>
  <c r="G587" i="5" s="1"/>
  <c r="S582" i="5"/>
  <c r="F577" i="5"/>
  <c r="G577" i="5" s="1"/>
  <c r="N575" i="5"/>
  <c r="G574" i="5"/>
  <c r="G571" i="5"/>
  <c r="N566" i="5"/>
  <c r="J557" i="5"/>
  <c r="G547" i="5"/>
  <c r="N543" i="5"/>
  <c r="O543" i="5" s="1"/>
  <c r="N541" i="5"/>
  <c r="O541" i="5" s="1"/>
  <c r="F536" i="5"/>
  <c r="G536" i="5" s="1"/>
  <c r="O469" i="5"/>
  <c r="R654" i="5"/>
  <c r="N650" i="5"/>
  <c r="O650" i="5" s="1"/>
  <c r="J646" i="5"/>
  <c r="F642" i="5"/>
  <c r="R630" i="5"/>
  <c r="S630" i="5" s="1"/>
  <c r="N626" i="5"/>
  <c r="J622" i="5"/>
  <c r="F618" i="5"/>
  <c r="G618" i="5" s="1"/>
  <c r="R606" i="5"/>
  <c r="N602" i="5"/>
  <c r="O602" i="5" s="1"/>
  <c r="J598" i="5"/>
  <c r="K598" i="5" s="1"/>
  <c r="F594" i="5"/>
  <c r="K581" i="5"/>
  <c r="F574" i="5"/>
  <c r="F571" i="5"/>
  <c r="G568" i="5"/>
  <c r="K563" i="5"/>
  <c r="J560" i="5"/>
  <c r="K560" i="5" s="1"/>
  <c r="N555" i="5"/>
  <c r="O555" i="5" s="1"/>
  <c r="N550" i="5"/>
  <c r="O550" i="5" s="1"/>
  <c r="K545" i="5"/>
  <c r="I532" i="8"/>
  <c r="I532" i="7"/>
  <c r="Q523" i="5"/>
  <c r="R523" i="5"/>
  <c r="S523" i="5" s="1"/>
  <c r="I509" i="5"/>
  <c r="K509" i="5"/>
  <c r="F446" i="5"/>
  <c r="G446" i="5" s="1"/>
  <c r="I676" i="9"/>
  <c r="I676" i="8"/>
  <c r="I676" i="7"/>
  <c r="I628" i="9"/>
  <c r="I628" i="8"/>
  <c r="G608" i="5"/>
  <c r="I604" i="8"/>
  <c r="I604" i="7"/>
  <c r="O592" i="5"/>
  <c r="K588" i="5"/>
  <c r="G584" i="5"/>
  <c r="J581" i="5"/>
  <c r="K578" i="5"/>
  <c r="O575" i="5"/>
  <c r="F568" i="5"/>
  <c r="O566" i="5"/>
  <c r="I565" i="9"/>
  <c r="I565" i="8"/>
  <c r="I563" i="5"/>
  <c r="J543" i="5"/>
  <c r="K543" i="5"/>
  <c r="E534" i="5"/>
  <c r="Q527" i="5"/>
  <c r="R527" i="5"/>
  <c r="S527" i="5"/>
  <c r="M523" i="5"/>
  <c r="N523" i="5"/>
  <c r="O523" i="5" s="1"/>
  <c r="G425" i="5"/>
  <c r="F405" i="5"/>
  <c r="G363" i="5"/>
  <c r="S651" i="5"/>
  <c r="O647" i="5"/>
  <c r="K643" i="5"/>
  <c r="G639" i="5"/>
  <c r="I635" i="8"/>
  <c r="I635" i="7"/>
  <c r="S627" i="5"/>
  <c r="O623" i="5"/>
  <c r="K619" i="5"/>
  <c r="F608" i="5"/>
  <c r="R596" i="5"/>
  <c r="S596" i="5" s="1"/>
  <c r="N592" i="5"/>
  <c r="J588" i="5"/>
  <c r="I587" i="9"/>
  <c r="I587" i="7"/>
  <c r="F584" i="5"/>
  <c r="J578" i="5"/>
  <c r="F557" i="5"/>
  <c r="G557" i="5" s="1"/>
  <c r="K552" i="5"/>
  <c r="I534" i="9"/>
  <c r="I534" i="8"/>
  <c r="J521" i="5"/>
  <c r="K521" i="5" s="1"/>
  <c r="O498" i="5"/>
  <c r="F416" i="5"/>
  <c r="G416" i="5" s="1"/>
  <c r="S388" i="5"/>
  <c r="F330" i="5"/>
  <c r="G646" i="5"/>
  <c r="I642" i="9"/>
  <c r="I642" i="7"/>
  <c r="S634" i="5"/>
  <c r="O630" i="5"/>
  <c r="K626" i="5"/>
  <c r="G622" i="5"/>
  <c r="I618" i="8"/>
  <c r="I618" i="7"/>
  <c r="S610" i="5"/>
  <c r="O606" i="5"/>
  <c r="K602" i="5"/>
  <c r="G598" i="5"/>
  <c r="I594" i="8"/>
  <c r="I594" i="7"/>
  <c r="S586" i="5"/>
  <c r="O582" i="5"/>
  <c r="G581" i="5"/>
  <c r="S579" i="5"/>
  <c r="I568" i="9"/>
  <c r="I568" i="8"/>
  <c r="R564" i="5"/>
  <c r="S564" i="5" s="1"/>
  <c r="G563" i="5"/>
  <c r="Q553" i="5"/>
  <c r="Q548" i="5"/>
  <c r="S531" i="5"/>
  <c r="M518" i="5"/>
  <c r="N518" i="5"/>
  <c r="O518" i="5"/>
  <c r="E516" i="5"/>
  <c r="F516" i="5"/>
  <c r="G516" i="5"/>
  <c r="M513" i="5"/>
  <c r="O513" i="5"/>
  <c r="I509" i="9"/>
  <c r="I509" i="8"/>
  <c r="F439" i="5"/>
  <c r="G439" i="5" s="1"/>
  <c r="F377" i="5"/>
  <c r="F354" i="5"/>
  <c r="G354" i="5" s="1"/>
  <c r="G543" i="5"/>
  <c r="J539" i="5"/>
  <c r="K539" i="5" s="1"/>
  <c r="N531" i="5"/>
  <c r="O531" i="5" s="1"/>
  <c r="Q529" i="5"/>
  <c r="O527" i="5"/>
  <c r="K523" i="5"/>
  <c r="I516" i="9"/>
  <c r="I516" i="8"/>
  <c r="I516" i="7"/>
  <c r="E511" i="5"/>
  <c r="F511" i="5"/>
  <c r="G511" i="5"/>
  <c r="F469" i="5"/>
  <c r="O371" i="5"/>
  <c r="I656" i="9"/>
  <c r="I656" i="8"/>
  <c r="I632" i="9"/>
  <c r="I632" i="8"/>
  <c r="I584" i="9"/>
  <c r="I584" i="8"/>
  <c r="J572" i="5"/>
  <c r="K572" i="5" s="1"/>
  <c r="Q570" i="5"/>
  <c r="N561" i="5"/>
  <c r="O561" i="5" s="1"/>
  <c r="F560" i="5"/>
  <c r="G560" i="5" s="1"/>
  <c r="Q546" i="5"/>
  <c r="S546" i="5"/>
  <c r="I543" i="9"/>
  <c r="I543" i="8"/>
  <c r="E539" i="5"/>
  <c r="M531" i="5"/>
  <c r="J527" i="5"/>
  <c r="K527" i="5" s="1"/>
  <c r="N525" i="5"/>
  <c r="O525" i="5"/>
  <c r="F523" i="5"/>
  <c r="G523" i="5" s="1"/>
  <c r="K498" i="5"/>
  <c r="R521" i="5"/>
  <c r="S521" i="5" s="1"/>
  <c r="N517" i="5"/>
  <c r="O517" i="5" s="1"/>
  <c r="J513" i="5"/>
  <c r="K513" i="5" s="1"/>
  <c r="I512" i="9"/>
  <c r="I512" i="8"/>
  <c r="F509" i="5"/>
  <c r="G509" i="5" s="1"/>
  <c r="R497" i="5"/>
  <c r="S497" i="5" s="1"/>
  <c r="K496" i="5"/>
  <c r="N493" i="5"/>
  <c r="O493" i="5" s="1"/>
  <c r="G492" i="5"/>
  <c r="J489" i="5"/>
  <c r="K489" i="5" s="1"/>
  <c r="I488" i="9"/>
  <c r="I488" i="8"/>
  <c r="F485" i="5"/>
  <c r="G485" i="5" s="1"/>
  <c r="R473" i="5"/>
  <c r="S473" i="5" s="1"/>
  <c r="K472" i="5"/>
  <c r="N469" i="5"/>
  <c r="Q466" i="5"/>
  <c r="J465" i="5"/>
  <c r="M462" i="5"/>
  <c r="F461" i="5"/>
  <c r="G461" i="5" s="1"/>
  <c r="I458" i="5"/>
  <c r="S456" i="5"/>
  <c r="J455" i="5"/>
  <c r="K455" i="5" s="1"/>
  <c r="Q453" i="5"/>
  <c r="N447" i="5"/>
  <c r="E446" i="5"/>
  <c r="N444" i="5"/>
  <c r="K441" i="5"/>
  <c r="R439" i="5"/>
  <c r="S439" i="5" s="1"/>
  <c r="Q436" i="5"/>
  <c r="O433" i="5"/>
  <c r="M430" i="5"/>
  <c r="I429" i="9"/>
  <c r="I429" i="8"/>
  <c r="I429" i="7"/>
  <c r="O425" i="5"/>
  <c r="F424" i="5"/>
  <c r="G424" i="5" s="1"/>
  <c r="M422" i="5"/>
  <c r="I421" i="9"/>
  <c r="I421" i="8"/>
  <c r="J419" i="5"/>
  <c r="S417" i="5"/>
  <c r="K414" i="5"/>
  <c r="S412" i="5"/>
  <c r="J411" i="5"/>
  <c r="K411" i="5" s="1"/>
  <c r="F403" i="5"/>
  <c r="M401" i="5"/>
  <c r="K398" i="5"/>
  <c r="R394" i="5"/>
  <c r="S394" i="5"/>
  <c r="R388" i="5"/>
  <c r="R378" i="5"/>
  <c r="S378" i="5" s="1"/>
  <c r="F366" i="5"/>
  <c r="G366" i="5" s="1"/>
  <c r="E355" i="5"/>
  <c r="F355" i="5"/>
  <c r="G355" i="5"/>
  <c r="E353" i="5"/>
  <c r="N350" i="5"/>
  <c r="O350" i="5" s="1"/>
  <c r="J339" i="5"/>
  <c r="K339" i="5" s="1"/>
  <c r="F125" i="5"/>
  <c r="I109" i="5"/>
  <c r="J109" i="5"/>
  <c r="K109" i="5" s="1"/>
  <c r="I101" i="5"/>
  <c r="J101" i="5"/>
  <c r="K101" i="5"/>
  <c r="I93" i="9"/>
  <c r="S93" i="5"/>
  <c r="I21" i="9"/>
  <c r="I21" i="7"/>
  <c r="S21" i="5"/>
  <c r="R504" i="5"/>
  <c r="S504" i="5" s="1"/>
  <c r="N500" i="5"/>
  <c r="O500" i="5" s="1"/>
  <c r="G499" i="5"/>
  <c r="J496" i="5"/>
  <c r="F492" i="5"/>
  <c r="S487" i="5"/>
  <c r="O483" i="5"/>
  <c r="R480" i="5"/>
  <c r="S480" i="5" s="1"/>
  <c r="N476" i="5"/>
  <c r="O476" i="5" s="1"/>
  <c r="J472" i="5"/>
  <c r="I471" i="9"/>
  <c r="I471" i="8"/>
  <c r="I471" i="7"/>
  <c r="M469" i="5"/>
  <c r="F468" i="5"/>
  <c r="G468" i="5" s="1"/>
  <c r="I465" i="5"/>
  <c r="E461" i="5"/>
  <c r="R456" i="5"/>
  <c r="I455" i="5"/>
  <c r="G452" i="5"/>
  <c r="N450" i="5"/>
  <c r="M447" i="5"/>
  <c r="M444" i="5"/>
  <c r="J441" i="5"/>
  <c r="Q439" i="5"/>
  <c r="G438" i="5"/>
  <c r="G427" i="5"/>
  <c r="E424" i="5"/>
  <c r="E416" i="5"/>
  <c r="I411" i="5"/>
  <c r="Q404" i="5"/>
  <c r="S404" i="5"/>
  <c r="E403" i="5"/>
  <c r="S399" i="5"/>
  <c r="Q390" i="5"/>
  <c r="S390" i="5"/>
  <c r="Q388" i="5"/>
  <c r="Q378" i="5"/>
  <c r="Q376" i="5"/>
  <c r="R376" i="5"/>
  <c r="S376" i="5"/>
  <c r="N370" i="5"/>
  <c r="O370" i="5" s="1"/>
  <c r="E366" i="5"/>
  <c r="E364" i="5"/>
  <c r="F364" i="5"/>
  <c r="G364" i="5"/>
  <c r="M350" i="5"/>
  <c r="M348" i="5"/>
  <c r="N348" i="5"/>
  <c r="O348" i="5"/>
  <c r="S316" i="5"/>
  <c r="Q316" i="5"/>
  <c r="J503" i="5"/>
  <c r="K503" i="5" s="1"/>
  <c r="F499" i="5"/>
  <c r="R487" i="5"/>
  <c r="N483" i="5"/>
  <c r="J479" i="5"/>
  <c r="K479" i="5" s="1"/>
  <c r="F475" i="5"/>
  <c r="G475" i="5" s="1"/>
  <c r="R463" i="5"/>
  <c r="S463" i="5" s="1"/>
  <c r="N459" i="5"/>
  <c r="O459" i="5" s="1"/>
  <c r="F452" i="5"/>
  <c r="I446" i="9"/>
  <c r="I446" i="8"/>
  <c r="R442" i="5"/>
  <c r="S442" i="5" s="1"/>
  <c r="F438" i="5"/>
  <c r="Q428" i="5"/>
  <c r="S428" i="5"/>
  <c r="F427" i="5"/>
  <c r="J422" i="5"/>
  <c r="K422" i="5" s="1"/>
  <c r="I416" i="9"/>
  <c r="I416" i="8"/>
  <c r="I416" i="7"/>
  <c r="N409" i="5"/>
  <c r="O409" i="5" s="1"/>
  <c r="N396" i="5"/>
  <c r="O396" i="5"/>
  <c r="N384" i="5"/>
  <c r="O384" i="5" s="1"/>
  <c r="R382" i="5"/>
  <c r="S382" i="5" s="1"/>
  <c r="Q352" i="5"/>
  <c r="R352" i="5"/>
  <c r="S352" i="5"/>
  <c r="F346" i="5"/>
  <c r="G346" i="5" s="1"/>
  <c r="Q343" i="5"/>
  <c r="R343" i="5"/>
  <c r="S343" i="5" s="1"/>
  <c r="N336" i="5"/>
  <c r="O336" i="5" s="1"/>
  <c r="I334" i="5"/>
  <c r="K334" i="5"/>
  <c r="N329" i="5"/>
  <c r="O329" i="5"/>
  <c r="Q326" i="5"/>
  <c r="R326" i="5"/>
  <c r="S326" i="5"/>
  <c r="F322" i="5"/>
  <c r="G322" i="5" s="1"/>
  <c r="O319" i="5"/>
  <c r="G220" i="5"/>
  <c r="K207" i="5"/>
  <c r="E199" i="5"/>
  <c r="F199" i="5"/>
  <c r="G199" i="5"/>
  <c r="G177" i="5"/>
  <c r="O450" i="5"/>
  <c r="N436" i="5"/>
  <c r="O436" i="5" s="1"/>
  <c r="F435" i="5"/>
  <c r="G435" i="5" s="1"/>
  <c r="I432" i="9"/>
  <c r="I432" i="7"/>
  <c r="J430" i="5"/>
  <c r="K430" i="5" s="1"/>
  <c r="I424" i="8"/>
  <c r="I424" i="7"/>
  <c r="I408" i="9"/>
  <c r="I408" i="8"/>
  <c r="I408" i="7"/>
  <c r="J406" i="5"/>
  <c r="K406" i="5" s="1"/>
  <c r="F398" i="5"/>
  <c r="G398" i="5" s="1"/>
  <c r="O394" i="5"/>
  <c r="N390" i="5"/>
  <c r="O390" i="5"/>
  <c r="M386" i="5"/>
  <c r="O386" i="5"/>
  <c r="M380" i="5"/>
  <c r="N380" i="5"/>
  <c r="O380" i="5" s="1"/>
  <c r="I368" i="5"/>
  <c r="J368" i="5"/>
  <c r="K368" i="5"/>
  <c r="M361" i="5"/>
  <c r="O361" i="5"/>
  <c r="I359" i="5"/>
  <c r="J359" i="5"/>
  <c r="K359" i="5"/>
  <c r="I357" i="5"/>
  <c r="K357" i="5"/>
  <c r="I346" i="9"/>
  <c r="I346" i="8"/>
  <c r="O343" i="5"/>
  <c r="S331" i="5"/>
  <c r="M324" i="5"/>
  <c r="N324" i="5"/>
  <c r="O324" i="5"/>
  <c r="M319" i="5"/>
  <c r="O95" i="5"/>
  <c r="I492" i="9"/>
  <c r="I492" i="8"/>
  <c r="I492" i="7"/>
  <c r="I468" i="9"/>
  <c r="I468" i="8"/>
  <c r="I468" i="7"/>
  <c r="I452" i="9"/>
  <c r="I452" i="7"/>
  <c r="I449" i="9"/>
  <c r="I449" i="8"/>
  <c r="I449" i="7"/>
  <c r="I444" i="5"/>
  <c r="K444" i="5"/>
  <c r="I435" i="8"/>
  <c r="I435" i="7"/>
  <c r="Q363" i="5"/>
  <c r="R363" i="5"/>
  <c r="S363" i="5" s="1"/>
  <c r="F334" i="5"/>
  <c r="K308" i="5"/>
  <c r="I308" i="5"/>
  <c r="Q302" i="5"/>
  <c r="R302" i="5"/>
  <c r="S302" i="5"/>
  <c r="F289" i="5"/>
  <c r="G289" i="5" s="1"/>
  <c r="I269" i="5"/>
  <c r="J269" i="5"/>
  <c r="K269" i="5"/>
  <c r="F230" i="5"/>
  <c r="G225" i="5"/>
  <c r="Q219" i="5"/>
  <c r="R219" i="5"/>
  <c r="S219" i="5" s="1"/>
  <c r="F180" i="5"/>
  <c r="G180" i="5" s="1"/>
  <c r="Q160" i="5"/>
  <c r="R160" i="5"/>
  <c r="S160" i="5" s="1"/>
  <c r="J95" i="5"/>
  <c r="K95" i="5"/>
  <c r="I95" i="5"/>
  <c r="I547" i="9"/>
  <c r="I547" i="8"/>
  <c r="I547" i="7"/>
  <c r="N528" i="5"/>
  <c r="O528" i="5" s="1"/>
  <c r="J524" i="5"/>
  <c r="K524" i="5" s="1"/>
  <c r="F520" i="5"/>
  <c r="G520" i="5" s="1"/>
  <c r="O511" i="5"/>
  <c r="R508" i="5"/>
  <c r="S508" i="5" s="1"/>
  <c r="K507" i="5"/>
  <c r="N504" i="5"/>
  <c r="O504" i="5" s="1"/>
  <c r="G503" i="5"/>
  <c r="J500" i="5"/>
  <c r="K500" i="5" s="1"/>
  <c r="I499" i="9"/>
  <c r="I499" i="7"/>
  <c r="F496" i="5"/>
  <c r="G496" i="5" s="1"/>
  <c r="S491" i="5"/>
  <c r="O487" i="5"/>
  <c r="R484" i="5"/>
  <c r="S484" i="5" s="1"/>
  <c r="K483" i="5"/>
  <c r="N480" i="5"/>
  <c r="O480" i="5" s="1"/>
  <c r="G479" i="5"/>
  <c r="J476" i="5"/>
  <c r="K476" i="5" s="1"/>
  <c r="I475" i="8"/>
  <c r="I475" i="7"/>
  <c r="F472" i="5"/>
  <c r="G472" i="5" s="1"/>
  <c r="S467" i="5"/>
  <c r="O463" i="5"/>
  <c r="R460" i="5"/>
  <c r="S460" i="5" s="1"/>
  <c r="K459" i="5"/>
  <c r="N456" i="5"/>
  <c r="O456" i="5" s="1"/>
  <c r="S451" i="5"/>
  <c r="J450" i="5"/>
  <c r="K450" i="5" s="1"/>
  <c r="F441" i="5"/>
  <c r="G441" i="5" s="1"/>
  <c r="J433" i="5"/>
  <c r="K433" i="5" s="1"/>
  <c r="F430" i="5"/>
  <c r="G422" i="5"/>
  <c r="F411" i="5"/>
  <c r="G411" i="5" s="1"/>
  <c r="J386" i="5"/>
  <c r="K386" i="5"/>
  <c r="I376" i="5"/>
  <c r="J376" i="5"/>
  <c r="K376" i="5" s="1"/>
  <c r="M372" i="5"/>
  <c r="N372" i="5"/>
  <c r="O372" i="5" s="1"/>
  <c r="Q365" i="5"/>
  <c r="S365" i="5"/>
  <c r="M363" i="5"/>
  <c r="N363" i="5"/>
  <c r="O363" i="5"/>
  <c r="I357" i="9"/>
  <c r="I357" i="8"/>
  <c r="I357" i="7"/>
  <c r="I348" i="8"/>
  <c r="S348" i="5"/>
  <c r="F311" i="5"/>
  <c r="G311" i="5" s="1"/>
  <c r="G286" i="5"/>
  <c r="I235" i="5"/>
  <c r="J235" i="5"/>
  <c r="K235" i="5"/>
  <c r="I196" i="9"/>
  <c r="O196" i="5"/>
  <c r="F155" i="5"/>
  <c r="F95" i="5"/>
  <c r="G95" i="5" s="1"/>
  <c r="I554" i="9"/>
  <c r="I554" i="8"/>
  <c r="I554" i="7"/>
  <c r="I530" i="8"/>
  <c r="I530" i="7"/>
  <c r="K490" i="5"/>
  <c r="G486" i="5"/>
  <c r="I482" i="9"/>
  <c r="I482" i="8"/>
  <c r="S474" i="5"/>
  <c r="K466" i="5"/>
  <c r="G462" i="5"/>
  <c r="I458" i="9"/>
  <c r="I458" i="8"/>
  <c r="S426" i="5"/>
  <c r="I419" i="8"/>
  <c r="I419" i="7"/>
  <c r="G401" i="5"/>
  <c r="F396" i="5"/>
  <c r="G396" i="5" s="1"/>
  <c r="K390" i="5"/>
  <c r="F386" i="5"/>
  <c r="G376" i="5"/>
  <c r="I368" i="9"/>
  <c r="I368" i="8"/>
  <c r="I368" i="7"/>
  <c r="K363" i="5"/>
  <c r="R333" i="5"/>
  <c r="S333" i="5" s="1"/>
  <c r="I294" i="5"/>
  <c r="J294" i="5"/>
  <c r="K294" i="5"/>
  <c r="M171" i="5"/>
  <c r="N171" i="5"/>
  <c r="O171" i="5"/>
  <c r="S163" i="5"/>
  <c r="Q126" i="5"/>
  <c r="R126" i="5"/>
  <c r="S126" i="5" s="1"/>
  <c r="F76" i="5"/>
  <c r="G517" i="5"/>
  <c r="J514" i="5"/>
  <c r="K514" i="5" s="1"/>
  <c r="F510" i="5"/>
  <c r="G510" i="5" s="1"/>
  <c r="O501" i="5"/>
  <c r="R498" i="5"/>
  <c r="S498" i="5" s="1"/>
  <c r="K497" i="5"/>
  <c r="N494" i="5"/>
  <c r="O494" i="5" s="1"/>
  <c r="G493" i="5"/>
  <c r="J490" i="5"/>
  <c r="F486" i="5"/>
  <c r="S481" i="5"/>
  <c r="O477" i="5"/>
  <c r="R474" i="5"/>
  <c r="K473" i="5"/>
  <c r="N470" i="5"/>
  <c r="O470" i="5" s="1"/>
  <c r="G469" i="5"/>
  <c r="J466" i="5"/>
  <c r="I465" i="8"/>
  <c r="I465" i="7"/>
  <c r="F462" i="5"/>
  <c r="J453" i="5"/>
  <c r="K453" i="5" s="1"/>
  <c r="G447" i="5"/>
  <c r="N445" i="5"/>
  <c r="O445" i="5" s="1"/>
  <c r="K439" i="5"/>
  <c r="R437" i="5"/>
  <c r="S437" i="5" s="1"/>
  <c r="G430" i="5"/>
  <c r="K428" i="5"/>
  <c r="R426" i="5"/>
  <c r="O423" i="5"/>
  <c r="F422" i="5"/>
  <c r="R418" i="5"/>
  <c r="S418" i="5" s="1"/>
  <c r="S410" i="5"/>
  <c r="K409" i="5"/>
  <c r="G406" i="5"/>
  <c r="J404" i="5"/>
  <c r="K404" i="5" s="1"/>
  <c r="F401" i="5"/>
  <c r="I392" i="5"/>
  <c r="J392" i="5"/>
  <c r="K392" i="5" s="1"/>
  <c r="I382" i="5"/>
  <c r="K382" i="5"/>
  <c r="F376" i="5"/>
  <c r="F370" i="5"/>
  <c r="G370" i="5" s="1"/>
  <c r="Q367" i="5"/>
  <c r="R367" i="5"/>
  <c r="S367" i="5" s="1"/>
  <c r="F361" i="5"/>
  <c r="G361" i="5" s="1"/>
  <c r="S340" i="5"/>
  <c r="I283" i="7"/>
  <c r="O283" i="5"/>
  <c r="I520" i="9"/>
  <c r="I520" i="8"/>
  <c r="R505" i="5"/>
  <c r="S505" i="5" s="1"/>
  <c r="I496" i="9"/>
  <c r="I496" i="8"/>
  <c r="K456" i="5"/>
  <c r="I439" i="5"/>
  <c r="O431" i="5"/>
  <c r="N423" i="5"/>
  <c r="Q410" i="5"/>
  <c r="O407" i="5"/>
  <c r="I396" i="9"/>
  <c r="I396" i="8"/>
  <c r="I396" i="7"/>
  <c r="G386" i="5"/>
  <c r="F374" i="5"/>
  <c r="G374" i="5" s="1"/>
  <c r="I359" i="9"/>
  <c r="I359" i="7"/>
  <c r="M338" i="5"/>
  <c r="O338" i="5"/>
  <c r="Q318" i="5"/>
  <c r="R318" i="5"/>
  <c r="S318" i="5" s="1"/>
  <c r="F297" i="5"/>
  <c r="O288" i="5"/>
  <c r="M288" i="5"/>
  <c r="G266" i="5"/>
  <c r="F201" i="5"/>
  <c r="G201" i="5" s="1"/>
  <c r="F447" i="5"/>
  <c r="I444" i="9"/>
  <c r="I444" i="8"/>
  <c r="K442" i="5"/>
  <c r="F382" i="5"/>
  <c r="G382" i="5" s="1"/>
  <c r="E378" i="5"/>
  <c r="N367" i="5"/>
  <c r="O367" i="5" s="1"/>
  <c r="K356" i="5"/>
  <c r="Q328" i="5"/>
  <c r="R328" i="5"/>
  <c r="S328" i="5" s="1"/>
  <c r="R323" i="5"/>
  <c r="S323" i="5" s="1"/>
  <c r="K255" i="5"/>
  <c r="F219" i="5"/>
  <c r="G219" i="5" s="1"/>
  <c r="M189" i="5"/>
  <c r="N189" i="5"/>
  <c r="O189" i="5" s="1"/>
  <c r="K173" i="5"/>
  <c r="I510" i="9"/>
  <c r="I510" i="8"/>
  <c r="I462" i="9"/>
  <c r="I462" i="8"/>
  <c r="S454" i="5"/>
  <c r="M448" i="5"/>
  <c r="O448" i="5"/>
  <c r="F433" i="5"/>
  <c r="G433" i="5" s="1"/>
  <c r="I420" i="5"/>
  <c r="K420" i="5"/>
  <c r="F409" i="5"/>
  <c r="G409" i="5" s="1"/>
  <c r="O402" i="5"/>
  <c r="G394" i="5"/>
  <c r="I392" i="9"/>
  <c r="I392" i="7"/>
  <c r="E388" i="5"/>
  <c r="F388" i="5"/>
  <c r="G388" i="5" s="1"/>
  <c r="I372" i="9"/>
  <c r="I372" i="8"/>
  <c r="I352" i="9"/>
  <c r="I352" i="8"/>
  <c r="F313" i="5"/>
  <c r="G313" i="5" s="1"/>
  <c r="I310" i="5"/>
  <c r="J310" i="5"/>
  <c r="K310" i="5"/>
  <c r="F163" i="5"/>
  <c r="F138" i="5"/>
  <c r="F28" i="5"/>
  <c r="I517" i="9"/>
  <c r="I517" i="8"/>
  <c r="R502" i="5"/>
  <c r="S502" i="5" s="1"/>
  <c r="J494" i="5"/>
  <c r="K494" i="5" s="1"/>
  <c r="I493" i="9"/>
  <c r="I493" i="8"/>
  <c r="F490" i="5"/>
  <c r="G490" i="5" s="1"/>
  <c r="O481" i="5"/>
  <c r="R478" i="5"/>
  <c r="S478" i="5" s="1"/>
  <c r="N474" i="5"/>
  <c r="O474" i="5" s="1"/>
  <c r="J470" i="5"/>
  <c r="K470" i="5" s="1"/>
  <c r="I469" i="8"/>
  <c r="I469" i="7"/>
  <c r="F466" i="5"/>
  <c r="G466" i="5" s="1"/>
  <c r="S461" i="5"/>
  <c r="O457" i="5"/>
  <c r="F453" i="5"/>
  <c r="G453" i="5" s="1"/>
  <c r="J445" i="5"/>
  <c r="K445" i="5" s="1"/>
  <c r="N418" i="5"/>
  <c r="O418" i="5" s="1"/>
  <c r="K415" i="5"/>
  <c r="N410" i="5"/>
  <c r="O410" i="5" s="1"/>
  <c r="S400" i="5"/>
  <c r="E363" i="5"/>
  <c r="F363" i="5"/>
  <c r="E354" i="5"/>
  <c r="I331" i="9"/>
  <c r="I331" i="8"/>
  <c r="I331" i="7"/>
  <c r="O331" i="5"/>
  <c r="I318" i="5"/>
  <c r="J318" i="5"/>
  <c r="K318" i="5"/>
  <c r="K213" i="5"/>
  <c r="I213" i="5"/>
  <c r="J213" i="5"/>
  <c r="F195" i="5"/>
  <c r="I524" i="9"/>
  <c r="I524" i="7"/>
  <c r="O512" i="5"/>
  <c r="G504" i="5"/>
  <c r="I500" i="8"/>
  <c r="I500" i="7"/>
  <c r="O488" i="5"/>
  <c r="I476" i="9"/>
  <c r="I476" i="7"/>
  <c r="S468" i="5"/>
  <c r="S449" i="5"/>
  <c r="O426" i="5"/>
  <c r="O421" i="5"/>
  <c r="I417" i="9"/>
  <c r="I417" i="7"/>
  <c r="Q400" i="5"/>
  <c r="F399" i="5"/>
  <c r="G399" i="5" s="1"/>
  <c r="K397" i="5"/>
  <c r="Q391" i="5"/>
  <c r="R389" i="5"/>
  <c r="S389" i="5" s="1"/>
  <c r="R381" i="5"/>
  <c r="S381" i="5" s="1"/>
  <c r="Q375" i="5"/>
  <c r="R375" i="5"/>
  <c r="S375" i="5" s="1"/>
  <c r="K347" i="5"/>
  <c r="F338" i="5"/>
  <c r="G338" i="5"/>
  <c r="F321" i="5"/>
  <c r="F310" i="5"/>
  <c r="I221" i="5"/>
  <c r="J221" i="5"/>
  <c r="K221" i="5"/>
  <c r="E6" i="5"/>
  <c r="F6" i="5"/>
  <c r="G6" i="5" s="1"/>
  <c r="I531" i="8"/>
  <c r="I531" i="7"/>
  <c r="F528" i="5"/>
  <c r="G528" i="5" s="1"/>
  <c r="R516" i="5"/>
  <c r="S516" i="5" s="1"/>
  <c r="N512" i="5"/>
  <c r="J508" i="5"/>
  <c r="K508" i="5" s="1"/>
  <c r="I507" i="9"/>
  <c r="I507" i="8"/>
  <c r="I507" i="7"/>
  <c r="F504" i="5"/>
  <c r="S499" i="5"/>
  <c r="O495" i="5"/>
  <c r="R492" i="5"/>
  <c r="S492" i="5" s="1"/>
  <c r="K491" i="5"/>
  <c r="N488" i="5"/>
  <c r="G487" i="5"/>
  <c r="J484" i="5"/>
  <c r="K484" i="5" s="1"/>
  <c r="F480" i="5"/>
  <c r="G480" i="5" s="1"/>
  <c r="R468" i="5"/>
  <c r="K467" i="5"/>
  <c r="N464" i="5"/>
  <c r="O464" i="5" s="1"/>
  <c r="J460" i="5"/>
  <c r="K460" i="5" s="1"/>
  <c r="K451" i="5"/>
  <c r="R449" i="5"/>
  <c r="F442" i="5"/>
  <c r="G442" i="5" s="1"/>
  <c r="N440" i="5"/>
  <c r="O440" i="5" s="1"/>
  <c r="R432" i="5"/>
  <c r="S432" i="5" s="1"/>
  <c r="O429" i="5"/>
  <c r="K426" i="5"/>
  <c r="N421" i="5"/>
  <c r="N413" i="5"/>
  <c r="O413" i="5" s="1"/>
  <c r="J410" i="5"/>
  <c r="R408" i="5"/>
  <c r="S408" i="5" s="1"/>
  <c r="I404" i="9"/>
  <c r="I404" i="7"/>
  <c r="I399" i="8"/>
  <c r="I399" i="7"/>
  <c r="Q387" i="5"/>
  <c r="R387" i="5"/>
  <c r="S387" i="5" s="1"/>
  <c r="S383" i="5"/>
  <c r="S377" i="5"/>
  <c r="I367" i="5"/>
  <c r="J367" i="5"/>
  <c r="Q342" i="5"/>
  <c r="S342" i="5"/>
  <c r="F328" i="5"/>
  <c r="G328" i="5" s="1"/>
  <c r="K323" i="5"/>
  <c r="I321" i="9"/>
  <c r="I321" i="8"/>
  <c r="I173" i="9"/>
  <c r="I173" i="7"/>
  <c r="N140" i="5"/>
  <c r="M140" i="5"/>
  <c r="O140" i="5"/>
  <c r="I562" i="9"/>
  <c r="I562" i="8"/>
  <c r="I538" i="9"/>
  <c r="I538" i="7"/>
  <c r="I514" i="9"/>
  <c r="I514" i="7"/>
  <c r="R499" i="5"/>
  <c r="N495" i="5"/>
  <c r="J491" i="5"/>
  <c r="F487" i="5"/>
  <c r="R475" i="5"/>
  <c r="S475" i="5" s="1"/>
  <c r="N471" i="5"/>
  <c r="O471" i="5" s="1"/>
  <c r="J467" i="5"/>
  <c r="I466" i="9"/>
  <c r="I466" i="7"/>
  <c r="F463" i="5"/>
  <c r="G463" i="5" s="1"/>
  <c r="I451" i="5"/>
  <c r="O443" i="5"/>
  <c r="S435" i="5"/>
  <c r="K434" i="5"/>
  <c r="I428" i="8"/>
  <c r="I428" i="7"/>
  <c r="I426" i="5"/>
  <c r="R424" i="5"/>
  <c r="S424" i="5" s="1"/>
  <c r="K418" i="5"/>
  <c r="R416" i="5"/>
  <c r="S416" i="5" s="1"/>
  <c r="G415" i="5"/>
  <c r="S403" i="5"/>
  <c r="G402" i="5"/>
  <c r="S398" i="5"/>
  <c r="O391" i="5"/>
  <c r="O387" i="5"/>
  <c r="N385" i="5"/>
  <c r="O377" i="5"/>
  <c r="S364" i="5"/>
  <c r="J349" i="5"/>
  <c r="K349" i="5" s="1"/>
  <c r="K315" i="5"/>
  <c r="O312" i="5"/>
  <c r="M312" i="5"/>
  <c r="G216" i="5"/>
  <c r="I181" i="5"/>
  <c r="J181" i="5"/>
  <c r="K181" i="5"/>
  <c r="G35" i="5"/>
  <c r="I521" i="9"/>
  <c r="I521" i="8"/>
  <c r="I473" i="9"/>
  <c r="I473" i="8"/>
  <c r="M443" i="5"/>
  <c r="Q435" i="5"/>
  <c r="I420" i="8"/>
  <c r="I420" i="7"/>
  <c r="F415" i="5"/>
  <c r="K410" i="5"/>
  <c r="R403" i="5"/>
  <c r="F402" i="5"/>
  <c r="M400" i="5"/>
  <c r="O400" i="5"/>
  <c r="M387" i="5"/>
  <c r="O373" i="5"/>
  <c r="K369" i="5"/>
  <c r="I358" i="5"/>
  <c r="K358" i="5"/>
  <c r="G333" i="5"/>
  <c r="I315" i="5"/>
  <c r="I299" i="9"/>
  <c r="I299" i="7"/>
  <c r="F265" i="5"/>
  <c r="G265" i="5" s="1"/>
  <c r="F181" i="5"/>
  <c r="E121" i="5"/>
  <c r="F121" i="5"/>
  <c r="G121" i="5" s="1"/>
  <c r="F107" i="5"/>
  <c r="G107" i="5" s="1"/>
  <c r="Q452" i="5"/>
  <c r="S452" i="5"/>
  <c r="F423" i="5"/>
  <c r="G423" i="5" s="1"/>
  <c r="O416" i="5"/>
  <c r="O385" i="5"/>
  <c r="M371" i="5"/>
  <c r="N371" i="5"/>
  <c r="M362" i="5"/>
  <c r="O362" i="5"/>
  <c r="I347" i="9"/>
  <c r="I347" i="8"/>
  <c r="I335" i="5"/>
  <c r="J335" i="5"/>
  <c r="K335" i="5" s="1"/>
  <c r="I307" i="9"/>
  <c r="I307" i="7"/>
  <c r="O307" i="5"/>
  <c r="S273" i="5"/>
  <c r="Q273" i="5"/>
  <c r="F143" i="5"/>
  <c r="F91" i="5"/>
  <c r="G91" i="5" s="1"/>
  <c r="E91" i="5"/>
  <c r="E59" i="5"/>
  <c r="F59" i="5"/>
  <c r="G59" i="5" s="1"/>
  <c r="J536" i="5"/>
  <c r="K536" i="5" s="1"/>
  <c r="I535" i="9"/>
  <c r="I535" i="8"/>
  <c r="I535" i="7"/>
  <c r="F532" i="5"/>
  <c r="G532" i="5" s="1"/>
  <c r="R520" i="5"/>
  <c r="S520" i="5" s="1"/>
  <c r="N516" i="5"/>
  <c r="O516" i="5" s="1"/>
  <c r="J512" i="5"/>
  <c r="K512" i="5" s="1"/>
  <c r="F508" i="5"/>
  <c r="G508" i="5" s="1"/>
  <c r="S503" i="5"/>
  <c r="O499" i="5"/>
  <c r="R496" i="5"/>
  <c r="S496" i="5" s="1"/>
  <c r="K495" i="5"/>
  <c r="N492" i="5"/>
  <c r="O492" i="5" s="1"/>
  <c r="G491" i="5"/>
  <c r="J488" i="5"/>
  <c r="K488" i="5" s="1"/>
  <c r="I487" i="9"/>
  <c r="I487" i="8"/>
  <c r="F484" i="5"/>
  <c r="G484" i="5" s="1"/>
  <c r="S479" i="5"/>
  <c r="R472" i="5"/>
  <c r="S472" i="5" s="1"/>
  <c r="K471" i="5"/>
  <c r="N468" i="5"/>
  <c r="O468" i="5" s="1"/>
  <c r="J464" i="5"/>
  <c r="K464" i="5" s="1"/>
  <c r="I463" i="9"/>
  <c r="I463" i="8"/>
  <c r="F460" i="5"/>
  <c r="G460" i="5" s="1"/>
  <c r="O452" i="5"/>
  <c r="F451" i="5"/>
  <c r="G451" i="5" s="1"/>
  <c r="N449" i="5"/>
  <c r="O449" i="5" s="1"/>
  <c r="K443" i="5"/>
  <c r="J440" i="5"/>
  <c r="K440" i="5" s="1"/>
  <c r="G437" i="5"/>
  <c r="N432" i="5"/>
  <c r="O432" i="5" s="1"/>
  <c r="I423" i="9"/>
  <c r="I423" i="8"/>
  <c r="J421" i="5"/>
  <c r="K421" i="5" s="1"/>
  <c r="R419" i="5"/>
  <c r="S419" i="5" s="1"/>
  <c r="I415" i="8"/>
  <c r="I415" i="7"/>
  <c r="F410" i="5"/>
  <c r="G410" i="5" s="1"/>
  <c r="N408" i="5"/>
  <c r="O408" i="5" s="1"/>
  <c r="K405" i="5"/>
  <c r="O403" i="5"/>
  <c r="K387" i="5"/>
  <c r="M383" i="5"/>
  <c r="N383" i="5"/>
  <c r="O383" i="5" s="1"/>
  <c r="F358" i="5"/>
  <c r="S355" i="5"/>
  <c r="J342" i="5"/>
  <c r="K342" i="5" s="1"/>
  <c r="I323" i="8"/>
  <c r="I323" i="7"/>
  <c r="E304" i="5"/>
  <c r="E290" i="5"/>
  <c r="F290" i="5"/>
  <c r="G290" i="5" s="1"/>
  <c r="S270" i="5"/>
  <c r="G268" i="5"/>
  <c r="G244" i="5"/>
  <c r="F218" i="5"/>
  <c r="G218" i="5" s="1"/>
  <c r="I518" i="9"/>
  <c r="I518" i="8"/>
  <c r="R503" i="5"/>
  <c r="N499" i="5"/>
  <c r="J495" i="5"/>
  <c r="F491" i="5"/>
  <c r="R479" i="5"/>
  <c r="N475" i="5"/>
  <c r="O475" i="5" s="1"/>
  <c r="J471" i="5"/>
  <c r="F467" i="5"/>
  <c r="G467" i="5" s="1"/>
  <c r="F454" i="5"/>
  <c r="G454" i="5" s="1"/>
  <c r="N452" i="5"/>
  <c r="I445" i="8"/>
  <c r="I445" i="7"/>
  <c r="J443" i="5"/>
  <c r="R441" i="5"/>
  <c r="S441" i="5" s="1"/>
  <c r="N438" i="5"/>
  <c r="O438" i="5" s="1"/>
  <c r="F437" i="5"/>
  <c r="N435" i="5"/>
  <c r="O435" i="5" s="1"/>
  <c r="J429" i="5"/>
  <c r="K429" i="5" s="1"/>
  <c r="M424" i="5"/>
  <c r="O424" i="5"/>
  <c r="F418" i="5"/>
  <c r="G418" i="5" s="1"/>
  <c r="S414" i="5"/>
  <c r="J405" i="5"/>
  <c r="K393" i="5"/>
  <c r="J387" i="5"/>
  <c r="G369" i="5"/>
  <c r="Q366" i="5"/>
  <c r="S366" i="5"/>
  <c r="O353" i="5"/>
  <c r="E340" i="5"/>
  <c r="F340" i="5"/>
  <c r="G340" i="5"/>
  <c r="F335" i="5"/>
  <c r="G335" i="5" s="1"/>
  <c r="J325" i="5"/>
  <c r="K325" i="5"/>
  <c r="M298" i="5"/>
  <c r="N298" i="5"/>
  <c r="O298" i="5"/>
  <c r="F249" i="5"/>
  <c r="G249" i="5" s="1"/>
  <c r="F170" i="5"/>
  <c r="G170" i="5" s="1"/>
  <c r="I153" i="5"/>
  <c r="J153" i="5"/>
  <c r="K153" i="5" s="1"/>
  <c r="K88" i="5"/>
  <c r="O489" i="5"/>
  <c r="S469" i="5"/>
  <c r="O465" i="5"/>
  <c r="K461" i="5"/>
  <c r="G457" i="5"/>
  <c r="I448" i="9"/>
  <c r="I448" i="8"/>
  <c r="I448" i="7"/>
  <c r="S444" i="5"/>
  <c r="I434" i="9"/>
  <c r="I434" i="8"/>
  <c r="K424" i="5"/>
  <c r="R414" i="5"/>
  <c r="G413" i="5"/>
  <c r="O411" i="5"/>
  <c r="I407" i="9"/>
  <c r="I407" i="8"/>
  <c r="I407" i="7"/>
  <c r="I391" i="5"/>
  <c r="J391" i="5"/>
  <c r="K391" i="5" s="1"/>
  <c r="J383" i="5"/>
  <c r="K383" i="5"/>
  <c r="I379" i="5"/>
  <c r="J379" i="5"/>
  <c r="E375" i="5"/>
  <c r="F375" i="5"/>
  <c r="G375" i="5" s="1"/>
  <c r="Q267" i="5"/>
  <c r="R267" i="5"/>
  <c r="S267" i="5"/>
  <c r="J194" i="5"/>
  <c r="K194" i="5" s="1"/>
  <c r="I194" i="5"/>
  <c r="S500" i="5"/>
  <c r="O496" i="5"/>
  <c r="R493" i="5"/>
  <c r="S493" i="5" s="1"/>
  <c r="K492" i="5"/>
  <c r="N489" i="5"/>
  <c r="G488" i="5"/>
  <c r="J485" i="5"/>
  <c r="K485" i="5" s="1"/>
  <c r="I484" i="9"/>
  <c r="I484" i="8"/>
  <c r="I484" i="7"/>
  <c r="F481" i="5"/>
  <c r="G481" i="5" s="1"/>
  <c r="S476" i="5"/>
  <c r="R469" i="5"/>
  <c r="N465" i="5"/>
  <c r="I460" i="8"/>
  <c r="I460" i="7"/>
  <c r="I451" i="9"/>
  <c r="I451" i="7"/>
  <c r="K449" i="5"/>
  <c r="I410" i="9"/>
  <c r="I410" i="8"/>
  <c r="K403" i="5"/>
  <c r="I397" i="9"/>
  <c r="I397" i="8"/>
  <c r="F385" i="5"/>
  <c r="G385" i="5" s="1"/>
  <c r="F362" i="5"/>
  <c r="G362" i="5" s="1"/>
  <c r="N346" i="5"/>
  <c r="O346" i="5"/>
  <c r="E330" i="5"/>
  <c r="G330" i="5"/>
  <c r="M322" i="5"/>
  <c r="N322" i="5"/>
  <c r="O322" i="5" s="1"/>
  <c r="M314" i="5"/>
  <c r="N314" i="5"/>
  <c r="O314" i="5"/>
  <c r="S292" i="5"/>
  <c r="Q292" i="5"/>
  <c r="M281" i="5"/>
  <c r="N281" i="5"/>
  <c r="O281" i="5" s="1"/>
  <c r="F246" i="5"/>
  <c r="G246" i="5" s="1"/>
  <c r="E246" i="5"/>
  <c r="M115" i="5"/>
  <c r="N115" i="5"/>
  <c r="O115" i="5" s="1"/>
  <c r="I563" i="8"/>
  <c r="I563" i="7"/>
  <c r="I539" i="8"/>
  <c r="I539" i="7"/>
  <c r="I491" i="9"/>
  <c r="I491" i="8"/>
  <c r="I467" i="9"/>
  <c r="I467" i="8"/>
  <c r="I467" i="7"/>
  <c r="S459" i="5"/>
  <c r="M455" i="5"/>
  <c r="I454" i="8"/>
  <c r="I454" i="7"/>
  <c r="K452" i="5"/>
  <c r="S450" i="5"/>
  <c r="Q447" i="5"/>
  <c r="K446" i="5"/>
  <c r="E440" i="5"/>
  <c r="G440" i="5"/>
  <c r="K438" i="5"/>
  <c r="I437" i="8"/>
  <c r="I437" i="7"/>
  <c r="K435" i="5"/>
  <c r="J432" i="5"/>
  <c r="K432" i="5" s="1"/>
  <c r="M419" i="5"/>
  <c r="I418" i="9"/>
  <c r="I418" i="8"/>
  <c r="J408" i="5"/>
  <c r="K408" i="5" s="1"/>
  <c r="F400" i="5"/>
  <c r="G400" i="5" s="1"/>
  <c r="G389" i="5"/>
  <c r="F383" i="5"/>
  <c r="G383" i="5" s="1"/>
  <c r="K381" i="5"/>
  <c r="F379" i="5"/>
  <c r="G379" i="5" s="1"/>
  <c r="R374" i="5"/>
  <c r="S374" i="5" s="1"/>
  <c r="S357" i="5"/>
  <c r="K346" i="5"/>
  <c r="J332" i="5"/>
  <c r="K332" i="5" s="1"/>
  <c r="K284" i="5"/>
  <c r="I284" i="5"/>
  <c r="N278" i="5"/>
  <c r="O278" i="5" s="1"/>
  <c r="M278" i="5"/>
  <c r="G254" i="5"/>
  <c r="S196" i="5"/>
  <c r="I123" i="9"/>
  <c r="I123" i="7"/>
  <c r="I474" i="9"/>
  <c r="I474" i="7"/>
  <c r="I440" i="9"/>
  <c r="I440" i="8"/>
  <c r="I440" i="7"/>
  <c r="S436" i="5"/>
  <c r="S430" i="5"/>
  <c r="O422" i="5"/>
  <c r="S406" i="5"/>
  <c r="E405" i="5"/>
  <c r="G405" i="5"/>
  <c r="O401" i="5"/>
  <c r="J398" i="5"/>
  <c r="I395" i="8"/>
  <c r="I395" i="7"/>
  <c r="E387" i="5"/>
  <c r="F387" i="5"/>
  <c r="G387" i="5" s="1"/>
  <c r="S384" i="5"/>
  <c r="J366" i="5"/>
  <c r="K366" i="5"/>
  <c r="S359" i="5"/>
  <c r="R350" i="5"/>
  <c r="S350" i="5" s="1"/>
  <c r="J346" i="5"/>
  <c r="I344" i="5"/>
  <c r="J344" i="5"/>
  <c r="K344" i="5" s="1"/>
  <c r="M339" i="5"/>
  <c r="N339" i="5"/>
  <c r="O339" i="5"/>
  <c r="F337" i="5"/>
  <c r="G337" i="5" s="1"/>
  <c r="G309" i="5"/>
  <c r="F287" i="5"/>
  <c r="G287" i="5" s="1"/>
  <c r="K142" i="5"/>
  <c r="I457" i="9"/>
  <c r="I457" i="7"/>
  <c r="O430" i="5"/>
  <c r="G429" i="5"/>
  <c r="I427" i="5"/>
  <c r="K419" i="5"/>
  <c r="Q417" i="5"/>
  <c r="O414" i="5"/>
  <c r="I413" i="9"/>
  <c r="I413" i="7"/>
  <c r="I398" i="5"/>
  <c r="Q394" i="5"/>
  <c r="I393" i="9"/>
  <c r="I393" i="8"/>
  <c r="I387" i="9"/>
  <c r="I387" i="8"/>
  <c r="E377" i="5"/>
  <c r="G377" i="5"/>
  <c r="F353" i="5"/>
  <c r="G353" i="5" s="1"/>
  <c r="Q341" i="5"/>
  <c r="R341" i="5"/>
  <c r="S341" i="5" s="1"/>
  <c r="E314" i="5"/>
  <c r="F314" i="5"/>
  <c r="G314" i="5" s="1"/>
  <c r="E306" i="5"/>
  <c r="F306" i="5"/>
  <c r="G306" i="5"/>
  <c r="F298" i="5"/>
  <c r="G298" i="5" s="1"/>
  <c r="O261" i="5"/>
  <c r="M261" i="5"/>
  <c r="N261" i="5"/>
  <c r="I42" i="5"/>
  <c r="J42" i="5"/>
  <c r="K42" i="5" s="1"/>
  <c r="I314" i="8"/>
  <c r="I314" i="7"/>
  <c r="I280" i="9"/>
  <c r="I280" i="8"/>
  <c r="K278" i="5"/>
  <c r="I272" i="5"/>
  <c r="Q270" i="5"/>
  <c r="E266" i="5"/>
  <c r="I260" i="9"/>
  <c r="I260" i="8"/>
  <c r="I260" i="7"/>
  <c r="Q256" i="5"/>
  <c r="I255" i="5"/>
  <c r="N247" i="5"/>
  <c r="O247" i="5" s="1"/>
  <c r="I246" i="8"/>
  <c r="I246" i="7"/>
  <c r="Q225" i="5"/>
  <c r="I224" i="5"/>
  <c r="Q222" i="5"/>
  <c r="I205" i="5"/>
  <c r="F202" i="5"/>
  <c r="M200" i="5"/>
  <c r="I199" i="9"/>
  <c r="I199" i="7"/>
  <c r="F191" i="5"/>
  <c r="G191" i="5" s="1"/>
  <c r="R187" i="5"/>
  <c r="S187" i="5" s="1"/>
  <c r="M179" i="5"/>
  <c r="O179" i="5"/>
  <c r="I176" i="5"/>
  <c r="M174" i="5"/>
  <c r="N162" i="5"/>
  <c r="O162" i="5"/>
  <c r="S151" i="5"/>
  <c r="I142" i="5"/>
  <c r="Q122" i="5"/>
  <c r="R122" i="5"/>
  <c r="S122" i="5" s="1"/>
  <c r="I103" i="9"/>
  <c r="I103" i="8"/>
  <c r="I99" i="5"/>
  <c r="K99" i="5"/>
  <c r="S88" i="5"/>
  <c r="I80" i="9"/>
  <c r="I80" i="7"/>
  <c r="S80" i="5"/>
  <c r="N77" i="5"/>
  <c r="O77" i="5"/>
  <c r="E75" i="5"/>
  <c r="F75" i="5"/>
  <c r="G75" i="5" s="1"/>
  <c r="R70" i="5"/>
  <c r="S70" i="5"/>
  <c r="M68" i="5"/>
  <c r="N68" i="5"/>
  <c r="O68" i="5"/>
  <c r="S13" i="5"/>
  <c r="R13" i="5"/>
  <c r="I263" i="9"/>
  <c r="I263" i="8"/>
  <c r="I263" i="7"/>
  <c r="I202" i="9"/>
  <c r="I202" i="8"/>
  <c r="I202" i="7"/>
  <c r="E181" i="5"/>
  <c r="G181" i="5"/>
  <c r="S177" i="5"/>
  <c r="F166" i="5"/>
  <c r="G166" i="5" s="1"/>
  <c r="I155" i="9"/>
  <c r="I155" i="8"/>
  <c r="I155" i="7"/>
  <c r="S149" i="5"/>
  <c r="G148" i="5"/>
  <c r="N138" i="5"/>
  <c r="O138" i="5" s="1"/>
  <c r="K119" i="5"/>
  <c r="F117" i="5"/>
  <c r="G117" i="5"/>
  <c r="I107" i="9"/>
  <c r="I107" i="8"/>
  <c r="E99" i="5"/>
  <c r="F99" i="5"/>
  <c r="G99" i="5"/>
  <c r="E95" i="5"/>
  <c r="R81" i="5"/>
  <c r="S81" i="5"/>
  <c r="Q72" i="5"/>
  <c r="R72" i="5"/>
  <c r="S72" i="5"/>
  <c r="M70" i="5"/>
  <c r="N70" i="5"/>
  <c r="O70" i="5" s="1"/>
  <c r="Q63" i="5"/>
  <c r="R63" i="5"/>
  <c r="S63" i="5"/>
  <c r="G52" i="5"/>
  <c r="J49" i="5"/>
  <c r="K49" i="5" s="1"/>
  <c r="I266" i="8"/>
  <c r="I266" i="7"/>
  <c r="K261" i="5"/>
  <c r="G221" i="5"/>
  <c r="M203" i="5"/>
  <c r="O203" i="5"/>
  <c r="K189" i="5"/>
  <c r="J162" i="5"/>
  <c r="K162" i="5" s="1"/>
  <c r="I138" i="5"/>
  <c r="J138" i="5"/>
  <c r="K138" i="5"/>
  <c r="I117" i="9"/>
  <c r="I117" i="7"/>
  <c r="J86" i="5"/>
  <c r="K86" i="5"/>
  <c r="Q74" i="5"/>
  <c r="R74" i="5"/>
  <c r="S74" i="5"/>
  <c r="F54" i="5"/>
  <c r="G54" i="5" s="1"/>
  <c r="I52" i="9"/>
  <c r="I52" i="8"/>
  <c r="K52" i="5"/>
  <c r="O52" i="5"/>
  <c r="S52" i="5"/>
  <c r="G28" i="5"/>
  <c r="J25" i="5"/>
  <c r="K25" i="5"/>
  <c r="I335" i="9"/>
  <c r="I335" i="8"/>
  <c r="I335" i="7"/>
  <c r="I311" i="9"/>
  <c r="I311" i="7"/>
  <c r="O253" i="5"/>
  <c r="S245" i="5"/>
  <c r="F238" i="5"/>
  <c r="G238" i="5" s="1"/>
  <c r="J233" i="5"/>
  <c r="G227" i="5"/>
  <c r="N225" i="5"/>
  <c r="O225" i="5" s="1"/>
  <c r="Q217" i="5"/>
  <c r="S217" i="5"/>
  <c r="E205" i="5"/>
  <c r="G205" i="5"/>
  <c r="K203" i="5"/>
  <c r="R201" i="5"/>
  <c r="S201" i="5" s="1"/>
  <c r="J200" i="5"/>
  <c r="K200" i="5" s="1"/>
  <c r="F197" i="5"/>
  <c r="O195" i="5"/>
  <c r="K192" i="5"/>
  <c r="S190" i="5"/>
  <c r="F189" i="5"/>
  <c r="N187" i="5"/>
  <c r="O187" i="5" s="1"/>
  <c r="I186" i="9"/>
  <c r="I186" i="7"/>
  <c r="N177" i="5"/>
  <c r="O177" i="5" s="1"/>
  <c r="J174" i="5"/>
  <c r="K174" i="5" s="1"/>
  <c r="K169" i="5"/>
  <c r="O156" i="5"/>
  <c r="N149" i="5"/>
  <c r="O149" i="5"/>
  <c r="G138" i="5"/>
  <c r="J128" i="5"/>
  <c r="K128" i="5" s="1"/>
  <c r="E119" i="5"/>
  <c r="G119" i="5"/>
  <c r="S116" i="5"/>
  <c r="F115" i="5"/>
  <c r="G113" i="5"/>
  <c r="S100" i="5"/>
  <c r="Q98" i="5"/>
  <c r="R98" i="5"/>
  <c r="S98" i="5" s="1"/>
  <c r="Q96" i="5"/>
  <c r="R96" i="5"/>
  <c r="S96" i="5" s="1"/>
  <c r="E86" i="5"/>
  <c r="F86" i="5"/>
  <c r="G86" i="5" s="1"/>
  <c r="E84" i="5"/>
  <c r="F84" i="5"/>
  <c r="G84" i="5" s="1"/>
  <c r="J56" i="5"/>
  <c r="K56" i="5" s="1"/>
  <c r="F30" i="5"/>
  <c r="G30" i="5" s="1"/>
  <c r="I28" i="9"/>
  <c r="I28" i="7"/>
  <c r="K28" i="5"/>
  <c r="O28" i="5"/>
  <c r="S28" i="5"/>
  <c r="O378" i="5"/>
  <c r="K374" i="5"/>
  <c r="S358" i="5"/>
  <c r="O354" i="5"/>
  <c r="R351" i="5"/>
  <c r="S351" i="5" s="1"/>
  <c r="K350" i="5"/>
  <c r="N347" i="5"/>
  <c r="O347" i="5" s="1"/>
  <c r="J343" i="5"/>
  <c r="K343" i="5" s="1"/>
  <c r="F339" i="5"/>
  <c r="G339" i="5" s="1"/>
  <c r="S334" i="5"/>
  <c r="O330" i="5"/>
  <c r="R327" i="5"/>
  <c r="S327" i="5" s="1"/>
  <c r="K326" i="5"/>
  <c r="N323" i="5"/>
  <c r="O323" i="5" s="1"/>
  <c r="J319" i="5"/>
  <c r="K319" i="5" s="1"/>
  <c r="F315" i="5"/>
  <c r="G315" i="5" s="1"/>
  <c r="S310" i="5"/>
  <c r="O306" i="5"/>
  <c r="R303" i="5"/>
  <c r="S303" i="5" s="1"/>
  <c r="K302" i="5"/>
  <c r="N299" i="5"/>
  <c r="O299" i="5" s="1"/>
  <c r="J295" i="5"/>
  <c r="K295" i="5" s="1"/>
  <c r="F291" i="5"/>
  <c r="G291" i="5" s="1"/>
  <c r="S286" i="5"/>
  <c r="O282" i="5"/>
  <c r="F281" i="5"/>
  <c r="O279" i="5"/>
  <c r="F278" i="5"/>
  <c r="G278" i="5" s="1"/>
  <c r="O276" i="5"/>
  <c r="F275" i="5"/>
  <c r="G275" i="5" s="1"/>
  <c r="K267" i="5"/>
  <c r="F261" i="5"/>
  <c r="G261" i="5" s="1"/>
  <c r="F258" i="5"/>
  <c r="G258" i="5" s="1"/>
  <c r="K253" i="5"/>
  <c r="I250" i="5"/>
  <c r="O245" i="5"/>
  <c r="N242" i="5"/>
  <c r="O242" i="5" s="1"/>
  <c r="N239" i="5"/>
  <c r="O239" i="5" s="1"/>
  <c r="I238" i="9"/>
  <c r="I238" i="7"/>
  <c r="R231" i="5"/>
  <c r="S231" i="5" s="1"/>
  <c r="G230" i="5"/>
  <c r="F227" i="5"/>
  <c r="K219" i="5"/>
  <c r="N217" i="5"/>
  <c r="O217" i="5" s="1"/>
  <c r="N214" i="5"/>
  <c r="O214" i="5" s="1"/>
  <c r="N195" i="5"/>
  <c r="I194" i="9"/>
  <c r="I194" i="8"/>
  <c r="I194" i="7"/>
  <c r="Q190" i="5"/>
  <c r="R185" i="5"/>
  <c r="S185" i="5" s="1"/>
  <c r="E171" i="5"/>
  <c r="G171" i="5"/>
  <c r="R165" i="5"/>
  <c r="S165" i="5" s="1"/>
  <c r="F162" i="5"/>
  <c r="G162" i="5" s="1"/>
  <c r="K160" i="5"/>
  <c r="I151" i="5"/>
  <c r="J151" i="5"/>
  <c r="K151" i="5"/>
  <c r="K149" i="5"/>
  <c r="R147" i="5"/>
  <c r="S147" i="5" s="1"/>
  <c r="F142" i="5"/>
  <c r="G142" i="5" s="1"/>
  <c r="J134" i="5"/>
  <c r="K134" i="5"/>
  <c r="O98" i="5"/>
  <c r="R94" i="5"/>
  <c r="S94" i="5" s="1"/>
  <c r="N90" i="5"/>
  <c r="O90" i="5"/>
  <c r="I86" i="9"/>
  <c r="I86" i="8"/>
  <c r="I84" i="9"/>
  <c r="I84" i="7"/>
  <c r="I79" i="5"/>
  <c r="J79" i="5"/>
  <c r="K79" i="5"/>
  <c r="J63" i="5"/>
  <c r="K63" i="5" s="1"/>
  <c r="J32" i="5"/>
  <c r="I373" i="9"/>
  <c r="I373" i="8"/>
  <c r="I349" i="9"/>
  <c r="I349" i="8"/>
  <c r="K333" i="5"/>
  <c r="G329" i="5"/>
  <c r="I325" i="9"/>
  <c r="I325" i="8"/>
  <c r="S317" i="5"/>
  <c r="O313" i="5"/>
  <c r="K309" i="5"/>
  <c r="I301" i="9"/>
  <c r="I301" i="8"/>
  <c r="S293" i="5"/>
  <c r="O289" i="5"/>
  <c r="K285" i="5"/>
  <c r="M282" i="5"/>
  <c r="K270" i="5"/>
  <c r="J267" i="5"/>
  <c r="S265" i="5"/>
  <c r="O262" i="5"/>
  <c r="I255" i="9"/>
  <c r="I255" i="8"/>
  <c r="J253" i="5"/>
  <c r="S251" i="5"/>
  <c r="G247" i="5"/>
  <c r="S237" i="5"/>
  <c r="K233" i="5"/>
  <c r="K222" i="5"/>
  <c r="J219" i="5"/>
  <c r="S204" i="5"/>
  <c r="G197" i="5"/>
  <c r="G189" i="5"/>
  <c r="F179" i="5"/>
  <c r="G179" i="5" s="1"/>
  <c r="F169" i="5"/>
  <c r="G169" i="5" s="1"/>
  <c r="O154" i="5"/>
  <c r="S152" i="5"/>
  <c r="J149" i="5"/>
  <c r="E134" i="5"/>
  <c r="F134" i="5"/>
  <c r="G134" i="5" s="1"/>
  <c r="G132" i="5"/>
  <c r="G115" i="5"/>
  <c r="R112" i="5"/>
  <c r="N98" i="5"/>
  <c r="M94" i="5"/>
  <c r="N94" i="5"/>
  <c r="O94" i="5"/>
  <c r="M92" i="5"/>
  <c r="N92" i="5"/>
  <c r="O92" i="5" s="1"/>
  <c r="I90" i="5"/>
  <c r="J90" i="5"/>
  <c r="K90" i="5"/>
  <c r="M46" i="5"/>
  <c r="N46" i="5"/>
  <c r="O46" i="5"/>
  <c r="J39" i="5"/>
  <c r="K39" i="5" s="1"/>
  <c r="N337" i="5"/>
  <c r="O337" i="5" s="1"/>
  <c r="J333" i="5"/>
  <c r="I332" i="9"/>
  <c r="I332" i="7"/>
  <c r="F329" i="5"/>
  <c r="R317" i="5"/>
  <c r="N313" i="5"/>
  <c r="J309" i="5"/>
  <c r="F305" i="5"/>
  <c r="G305" i="5" s="1"/>
  <c r="R293" i="5"/>
  <c r="N289" i="5"/>
  <c r="J285" i="5"/>
  <c r="I284" i="9"/>
  <c r="I284" i="8"/>
  <c r="G281" i="5"/>
  <c r="J273" i="5"/>
  <c r="I272" i="9"/>
  <c r="I272" i="8"/>
  <c r="I272" i="7"/>
  <c r="J270" i="5"/>
  <c r="N265" i="5"/>
  <c r="O265" i="5" s="1"/>
  <c r="N262" i="5"/>
  <c r="N259" i="5"/>
  <c r="O259" i="5" s="1"/>
  <c r="F247" i="5"/>
  <c r="S240" i="5"/>
  <c r="R237" i="5"/>
  <c r="F233" i="5"/>
  <c r="J225" i="5"/>
  <c r="K225" i="5" s="1"/>
  <c r="J222" i="5"/>
  <c r="S209" i="5"/>
  <c r="R204" i="5"/>
  <c r="M198" i="5"/>
  <c r="I197" i="9"/>
  <c r="I197" i="7"/>
  <c r="Q193" i="5"/>
  <c r="S193" i="5"/>
  <c r="K187" i="5"/>
  <c r="K182" i="5"/>
  <c r="J177" i="5"/>
  <c r="N167" i="5"/>
  <c r="O167" i="5" s="1"/>
  <c r="I164" i="9"/>
  <c r="I164" i="7"/>
  <c r="N154" i="5"/>
  <c r="N147" i="5"/>
  <c r="I134" i="9"/>
  <c r="I134" i="8"/>
  <c r="F130" i="5"/>
  <c r="G130" i="5" s="1"/>
  <c r="R118" i="5"/>
  <c r="S118" i="5"/>
  <c r="N108" i="5"/>
  <c r="K92" i="5"/>
  <c r="I88" i="5"/>
  <c r="J88" i="5"/>
  <c r="M83" i="5"/>
  <c r="N83" i="5"/>
  <c r="O83" i="5" s="1"/>
  <c r="I77" i="9"/>
  <c r="I77" i="8"/>
  <c r="I77" i="7"/>
  <c r="I68" i="9"/>
  <c r="K68" i="5"/>
  <c r="K32" i="5"/>
  <c r="M22" i="5"/>
  <c r="N22" i="5"/>
  <c r="O22" i="5" s="1"/>
  <c r="R10" i="5"/>
  <c r="S10" i="5" s="1"/>
  <c r="I291" i="8"/>
  <c r="I291" i="7"/>
  <c r="I275" i="9"/>
  <c r="I275" i="8"/>
  <c r="I275" i="7"/>
  <c r="I258" i="9"/>
  <c r="I258" i="8"/>
  <c r="I258" i="7"/>
  <c r="I227" i="8"/>
  <c r="I227" i="7"/>
  <c r="J187" i="5"/>
  <c r="I182" i="5"/>
  <c r="R170" i="5"/>
  <c r="S170" i="5" s="1"/>
  <c r="J158" i="5"/>
  <c r="K158" i="5"/>
  <c r="I151" i="9"/>
  <c r="I151" i="7"/>
  <c r="R141" i="5"/>
  <c r="S141" i="5" s="1"/>
  <c r="I138" i="9"/>
  <c r="I138" i="7"/>
  <c r="F132" i="5"/>
  <c r="M118" i="5"/>
  <c r="N118" i="5"/>
  <c r="O118" i="5"/>
  <c r="S112" i="5"/>
  <c r="I79" i="9"/>
  <c r="I79" i="7"/>
  <c r="F70" i="5"/>
  <c r="G70" i="5" s="1"/>
  <c r="J15" i="5"/>
  <c r="K15" i="5"/>
  <c r="I3" i="8"/>
  <c r="I3" i="7"/>
  <c r="S3" i="5"/>
  <c r="I322" i="9"/>
  <c r="I322" i="7"/>
  <c r="K273" i="5"/>
  <c r="S260" i="5"/>
  <c r="F250" i="5"/>
  <c r="G250" i="5" s="1"/>
  <c r="G233" i="5"/>
  <c r="I230" i="9"/>
  <c r="I230" i="8"/>
  <c r="E219" i="5"/>
  <c r="I216" i="9"/>
  <c r="I216" i="7"/>
  <c r="I179" i="9"/>
  <c r="I179" i="8"/>
  <c r="K177" i="5"/>
  <c r="F174" i="5"/>
  <c r="G174" i="5" s="1"/>
  <c r="Q163" i="5"/>
  <c r="R163" i="5"/>
  <c r="O147" i="5"/>
  <c r="J145" i="5"/>
  <c r="K145" i="5" s="1"/>
  <c r="I132" i="9"/>
  <c r="I132" i="7"/>
  <c r="O108" i="5"/>
  <c r="N53" i="5"/>
  <c r="O53" i="5"/>
  <c r="R386" i="5"/>
  <c r="S386" i="5" s="1"/>
  <c r="K385" i="5"/>
  <c r="I377" i="9"/>
  <c r="I377" i="8"/>
  <c r="O365" i="5"/>
  <c r="R362" i="5"/>
  <c r="S362" i="5" s="1"/>
  <c r="K361" i="5"/>
  <c r="G357" i="5"/>
  <c r="J354" i="5"/>
  <c r="K354" i="5" s="1"/>
  <c r="F350" i="5"/>
  <c r="G350" i="5" s="1"/>
  <c r="S345" i="5"/>
  <c r="O341" i="5"/>
  <c r="R338" i="5"/>
  <c r="S338" i="5" s="1"/>
  <c r="N334" i="5"/>
  <c r="O334" i="5" s="1"/>
  <c r="J330" i="5"/>
  <c r="K330" i="5" s="1"/>
  <c r="F326" i="5"/>
  <c r="G326" i="5" s="1"/>
  <c r="O317" i="5"/>
  <c r="R314" i="5"/>
  <c r="S314" i="5" s="1"/>
  <c r="N310" i="5"/>
  <c r="O310" i="5" s="1"/>
  <c r="J306" i="5"/>
  <c r="K306" i="5" s="1"/>
  <c r="I305" i="9"/>
  <c r="I305" i="8"/>
  <c r="F302" i="5"/>
  <c r="G302" i="5" s="1"/>
  <c r="S297" i="5"/>
  <c r="O293" i="5"/>
  <c r="R290" i="5"/>
  <c r="S290" i="5" s="1"/>
  <c r="N286" i="5"/>
  <c r="O286" i="5" s="1"/>
  <c r="R280" i="5"/>
  <c r="S280" i="5" s="1"/>
  <c r="J279" i="5"/>
  <c r="K279" i="5" s="1"/>
  <c r="Q274" i="5"/>
  <c r="G273" i="5"/>
  <c r="K265" i="5"/>
  <c r="K259" i="5"/>
  <c r="N251" i="5"/>
  <c r="O251" i="5" s="1"/>
  <c r="I250" i="9"/>
  <c r="I250" i="8"/>
  <c r="I250" i="7"/>
  <c r="I247" i="9"/>
  <c r="I247" i="7"/>
  <c r="J245" i="5"/>
  <c r="K245" i="5" s="1"/>
  <c r="M234" i="5"/>
  <c r="I233" i="9"/>
  <c r="I233" i="8"/>
  <c r="Q226" i="5"/>
  <c r="G222" i="5"/>
  <c r="S215" i="5"/>
  <c r="O212" i="5"/>
  <c r="F211" i="5"/>
  <c r="G211" i="5" s="1"/>
  <c r="J198" i="5"/>
  <c r="K198" i="5" s="1"/>
  <c r="O193" i="5"/>
  <c r="I184" i="9"/>
  <c r="I184" i="8"/>
  <c r="S178" i="5"/>
  <c r="N170" i="5"/>
  <c r="O170" i="5" s="1"/>
  <c r="S168" i="5"/>
  <c r="O163" i="5"/>
  <c r="Q161" i="5"/>
  <c r="S161" i="5"/>
  <c r="F158" i="5"/>
  <c r="G158" i="5" s="1"/>
  <c r="R150" i="5"/>
  <c r="S150" i="5" s="1"/>
  <c r="E149" i="5"/>
  <c r="G149" i="5"/>
  <c r="G145" i="5"/>
  <c r="Q137" i="5"/>
  <c r="S137" i="5"/>
  <c r="Q135" i="5"/>
  <c r="R135" i="5"/>
  <c r="S135" i="5"/>
  <c r="R129" i="5"/>
  <c r="S129" i="5" s="1"/>
  <c r="F126" i="5"/>
  <c r="G126" i="5" s="1"/>
  <c r="J118" i="5"/>
  <c r="K118" i="5" s="1"/>
  <c r="K98" i="5"/>
  <c r="S62" i="5"/>
  <c r="F58" i="5"/>
  <c r="Q50" i="5"/>
  <c r="R50" i="5"/>
  <c r="S50" i="5"/>
  <c r="N29" i="5"/>
  <c r="O29" i="5"/>
  <c r="R393" i="5"/>
  <c r="S393" i="5" s="1"/>
  <c r="N389" i="5"/>
  <c r="O389" i="5" s="1"/>
  <c r="J385" i="5"/>
  <c r="F381" i="5"/>
  <c r="G381" i="5" s="1"/>
  <c r="R369" i="5"/>
  <c r="S369" i="5" s="1"/>
  <c r="N365" i="5"/>
  <c r="J361" i="5"/>
  <c r="I360" i="9"/>
  <c r="I360" i="8"/>
  <c r="I360" i="7"/>
  <c r="R345" i="5"/>
  <c r="N341" i="5"/>
  <c r="J337" i="5"/>
  <c r="K337" i="5" s="1"/>
  <c r="I336" i="9"/>
  <c r="I336" i="8"/>
  <c r="I336" i="7"/>
  <c r="R321" i="5"/>
  <c r="S321" i="5" s="1"/>
  <c r="K320" i="5"/>
  <c r="O300" i="5"/>
  <c r="R297" i="5"/>
  <c r="K296" i="5"/>
  <c r="I288" i="9"/>
  <c r="I288" i="8"/>
  <c r="F273" i="5"/>
  <c r="I267" i="8"/>
  <c r="I267" i="7"/>
  <c r="J265" i="5"/>
  <c r="I264" i="9"/>
  <c r="I264" i="8"/>
  <c r="J259" i="5"/>
  <c r="S257" i="5"/>
  <c r="G253" i="5"/>
  <c r="S249" i="5"/>
  <c r="R243" i="5"/>
  <c r="S243" i="5" s="1"/>
  <c r="G242" i="5"/>
  <c r="O240" i="5"/>
  <c r="S232" i="5"/>
  <c r="K231" i="5"/>
  <c r="G206" i="5"/>
  <c r="I200" i="9"/>
  <c r="I200" i="8"/>
  <c r="I200" i="7"/>
  <c r="K190" i="5"/>
  <c r="Q178" i="5"/>
  <c r="Q168" i="5"/>
  <c r="K167" i="5"/>
  <c r="N163" i="5"/>
  <c r="O161" i="5"/>
  <c r="I158" i="9"/>
  <c r="I158" i="8"/>
  <c r="I149" i="9"/>
  <c r="I149" i="8"/>
  <c r="I149" i="7"/>
  <c r="I147" i="5"/>
  <c r="K147" i="5"/>
  <c r="O139" i="5"/>
  <c r="Q131" i="5"/>
  <c r="S131" i="5"/>
  <c r="O129" i="5"/>
  <c r="I128" i="9"/>
  <c r="I128" i="8"/>
  <c r="I88" i="9"/>
  <c r="I88" i="8"/>
  <c r="O60" i="5"/>
  <c r="F34" i="5"/>
  <c r="Q26" i="5"/>
  <c r="R26" i="5"/>
  <c r="S26" i="5" s="1"/>
  <c r="I391" i="9"/>
  <c r="I391" i="8"/>
  <c r="I391" i="7"/>
  <c r="I343" i="8"/>
  <c r="I343" i="7"/>
  <c r="S335" i="5"/>
  <c r="J320" i="5"/>
  <c r="F316" i="5"/>
  <c r="G316" i="5" s="1"/>
  <c r="S311" i="5"/>
  <c r="R304" i="5"/>
  <c r="S304" i="5" s="1"/>
  <c r="K303" i="5"/>
  <c r="N300" i="5"/>
  <c r="J296" i="5"/>
  <c r="F292" i="5"/>
  <c r="G292" i="5" s="1"/>
  <c r="S287" i="5"/>
  <c r="O271" i="5"/>
  <c r="F270" i="5"/>
  <c r="G270" i="5" s="1"/>
  <c r="S263" i="5"/>
  <c r="O257" i="5"/>
  <c r="R249" i="5"/>
  <c r="J248" i="5"/>
  <c r="K248" i="5" s="1"/>
  <c r="R246" i="5"/>
  <c r="S246" i="5" s="1"/>
  <c r="F242" i="5"/>
  <c r="F239" i="5"/>
  <c r="G239" i="5" s="1"/>
  <c r="O237" i="5"/>
  <c r="R232" i="5"/>
  <c r="J231" i="5"/>
  <c r="O223" i="5"/>
  <c r="F222" i="5"/>
  <c r="R218" i="5"/>
  <c r="S218" i="5" s="1"/>
  <c r="G214" i="5"/>
  <c r="Q207" i="5"/>
  <c r="S207" i="5"/>
  <c r="F206" i="5"/>
  <c r="I203" i="9"/>
  <c r="I203" i="7"/>
  <c r="S199" i="5"/>
  <c r="E195" i="5"/>
  <c r="G195" i="5"/>
  <c r="J193" i="5"/>
  <c r="K193" i="5" s="1"/>
  <c r="J190" i="5"/>
  <c r="O188" i="5"/>
  <c r="Q183" i="5"/>
  <c r="S183" i="5"/>
  <c r="F182" i="5"/>
  <c r="G182" i="5" s="1"/>
  <c r="K165" i="5"/>
  <c r="N161" i="5"/>
  <c r="I160" i="9"/>
  <c r="I160" i="8"/>
  <c r="G156" i="5"/>
  <c r="S148" i="5"/>
  <c r="E147" i="5"/>
  <c r="F147" i="5"/>
  <c r="G147" i="5" s="1"/>
  <c r="N139" i="5"/>
  <c r="M131" i="5"/>
  <c r="N131" i="5"/>
  <c r="O131" i="5"/>
  <c r="N129" i="5"/>
  <c r="R127" i="5"/>
  <c r="S127" i="5" s="1"/>
  <c r="N114" i="5"/>
  <c r="O114" i="5"/>
  <c r="K104" i="5"/>
  <c r="K100" i="5"/>
  <c r="F94" i="5"/>
  <c r="G94" i="5" s="1"/>
  <c r="Q87" i="5"/>
  <c r="R87" i="5"/>
  <c r="S87" i="5" s="1"/>
  <c r="F46" i="5"/>
  <c r="G46" i="5" s="1"/>
  <c r="O43" i="5"/>
  <c r="O36" i="5"/>
  <c r="O7" i="5"/>
  <c r="F5" i="5"/>
  <c r="G5" i="5" s="1"/>
  <c r="I374" i="9"/>
  <c r="I374" i="8"/>
  <c r="I326" i="9"/>
  <c r="I326" i="8"/>
  <c r="I302" i="9"/>
  <c r="I302" i="8"/>
  <c r="K286" i="5"/>
  <c r="O277" i="5"/>
  <c r="G276" i="5"/>
  <c r="N271" i="5"/>
  <c r="K268" i="5"/>
  <c r="O260" i="5"/>
  <c r="G259" i="5"/>
  <c r="S252" i="5"/>
  <c r="O243" i="5"/>
  <c r="G228" i="5"/>
  <c r="N223" i="5"/>
  <c r="K220" i="5"/>
  <c r="I209" i="5"/>
  <c r="K209" i="5"/>
  <c r="O207" i="5"/>
  <c r="S202" i="5"/>
  <c r="K201" i="5"/>
  <c r="I195" i="9"/>
  <c r="I195" i="7"/>
  <c r="S191" i="5"/>
  <c r="I185" i="5"/>
  <c r="K185" i="5"/>
  <c r="I182" i="9"/>
  <c r="I182" i="8"/>
  <c r="O178" i="5"/>
  <c r="N175" i="5"/>
  <c r="O175" i="5" s="1"/>
  <c r="S173" i="5"/>
  <c r="G172" i="5"/>
  <c r="F167" i="5"/>
  <c r="G167" i="5" s="1"/>
  <c r="Q159" i="5"/>
  <c r="R159" i="5"/>
  <c r="S159" i="5" s="1"/>
  <c r="I147" i="9"/>
  <c r="I147" i="7"/>
  <c r="K135" i="5"/>
  <c r="M133" i="5"/>
  <c r="O133" i="5"/>
  <c r="G124" i="5"/>
  <c r="I122" i="9"/>
  <c r="I122" i="8"/>
  <c r="I114" i="5"/>
  <c r="J114" i="5"/>
  <c r="K114" i="5"/>
  <c r="J110" i="5"/>
  <c r="K110" i="5" s="1"/>
  <c r="F106" i="5"/>
  <c r="G106" i="5"/>
  <c r="G65" i="5"/>
  <c r="R57" i="5"/>
  <c r="S57" i="5"/>
  <c r="F22" i="5"/>
  <c r="G22" i="5" s="1"/>
  <c r="I309" i="9"/>
  <c r="I309" i="8"/>
  <c r="R294" i="5"/>
  <c r="S294" i="5" s="1"/>
  <c r="N290" i="5"/>
  <c r="O290" i="5" s="1"/>
  <c r="J286" i="5"/>
  <c r="I285" i="9"/>
  <c r="I285" i="8"/>
  <c r="I285" i="7"/>
  <c r="N280" i="5"/>
  <c r="O280" i="5" s="1"/>
  <c r="F279" i="5"/>
  <c r="G279" i="5" s="1"/>
  <c r="N277" i="5"/>
  <c r="F276" i="5"/>
  <c r="R269" i="5"/>
  <c r="S269" i="5" s="1"/>
  <c r="J268" i="5"/>
  <c r="I239" i="9"/>
  <c r="I239" i="8"/>
  <c r="I239" i="7"/>
  <c r="F214" i="5"/>
  <c r="F156" i="5"/>
  <c r="F154" i="5"/>
  <c r="G154" i="5" s="1"/>
  <c r="Q146" i="5"/>
  <c r="R146" i="5"/>
  <c r="S146" i="5" s="1"/>
  <c r="S125" i="5"/>
  <c r="I124" i="9"/>
  <c r="I124" i="8"/>
  <c r="I124" i="7"/>
  <c r="I112" i="5"/>
  <c r="J112" i="5"/>
  <c r="K112" i="5" s="1"/>
  <c r="E110" i="5"/>
  <c r="F110" i="5"/>
  <c r="G110" i="5"/>
  <c r="F102" i="5"/>
  <c r="G102" i="5" s="1"/>
  <c r="I98" i="9"/>
  <c r="I98" i="8"/>
  <c r="I98" i="7"/>
  <c r="I55" i="5"/>
  <c r="J55" i="5"/>
  <c r="K55" i="5"/>
  <c r="G41" i="5"/>
  <c r="R33" i="5"/>
  <c r="S33" i="5"/>
  <c r="F10" i="5"/>
  <c r="G10" i="5" s="1"/>
  <c r="I412" i="9"/>
  <c r="I412" i="8"/>
  <c r="I412" i="7"/>
  <c r="K396" i="5"/>
  <c r="G392" i="5"/>
  <c r="I388" i="9"/>
  <c r="I388" i="8"/>
  <c r="I388" i="7"/>
  <c r="S380" i="5"/>
  <c r="O376" i="5"/>
  <c r="K372" i="5"/>
  <c r="G368" i="5"/>
  <c r="S356" i="5"/>
  <c r="O352" i="5"/>
  <c r="K348" i="5"/>
  <c r="G344" i="5"/>
  <c r="I340" i="9"/>
  <c r="I340" i="8"/>
  <c r="S332" i="5"/>
  <c r="O328" i="5"/>
  <c r="K324" i="5"/>
  <c r="G320" i="5"/>
  <c r="S308" i="5"/>
  <c r="O304" i="5"/>
  <c r="K300" i="5"/>
  <c r="G296" i="5"/>
  <c r="S284" i="5"/>
  <c r="K271" i="5"/>
  <c r="I254" i="5"/>
  <c r="O249" i="5"/>
  <c r="O246" i="5"/>
  <c r="G245" i="5"/>
  <c r="I242" i="9"/>
  <c r="I242" i="8"/>
  <c r="I242" i="7"/>
  <c r="S238" i="5"/>
  <c r="K237" i="5"/>
  <c r="G231" i="5"/>
  <c r="K223" i="5"/>
  <c r="O218" i="5"/>
  <c r="N215" i="5"/>
  <c r="O215" i="5" s="1"/>
  <c r="I206" i="9"/>
  <c r="I206" i="8"/>
  <c r="F198" i="5"/>
  <c r="G198" i="5" s="1"/>
  <c r="G193" i="5"/>
  <c r="S176" i="5"/>
  <c r="G165" i="5"/>
  <c r="J163" i="5"/>
  <c r="K163" i="5" s="1"/>
  <c r="M159" i="5"/>
  <c r="N159" i="5"/>
  <c r="O159" i="5" s="1"/>
  <c r="O146" i="5"/>
  <c r="S144" i="5"/>
  <c r="K139" i="5"/>
  <c r="J133" i="5"/>
  <c r="K133" i="5" s="1"/>
  <c r="G131" i="5"/>
  <c r="S123" i="5"/>
  <c r="F118" i="5"/>
  <c r="G118" i="5" s="1"/>
  <c r="I110" i="9"/>
  <c r="I110" i="8"/>
  <c r="E108" i="5"/>
  <c r="F108" i="5"/>
  <c r="G108" i="5" s="1"/>
  <c r="K87" i="5"/>
  <c r="S71" i="5"/>
  <c r="O19" i="5"/>
  <c r="Q16" i="5"/>
  <c r="R16" i="5"/>
  <c r="S16" i="5" s="1"/>
  <c r="I282" i="8"/>
  <c r="I282" i="7"/>
  <c r="F262" i="5"/>
  <c r="G262" i="5" s="1"/>
  <c r="I245" i="9"/>
  <c r="I245" i="8"/>
  <c r="O229" i="5"/>
  <c r="S221" i="5"/>
  <c r="G209" i="5"/>
  <c r="G185" i="5"/>
  <c r="I175" i="5"/>
  <c r="K175" i="5"/>
  <c r="O173" i="5"/>
  <c r="I165" i="9"/>
  <c r="I165" i="7"/>
  <c r="O148" i="5"/>
  <c r="K143" i="5"/>
  <c r="F141" i="5"/>
  <c r="G141" i="5"/>
  <c r="I129" i="5"/>
  <c r="K129" i="5"/>
  <c r="M127" i="5"/>
  <c r="O127" i="5"/>
  <c r="N125" i="5"/>
  <c r="O125" i="5" s="1"/>
  <c r="I118" i="9"/>
  <c r="I118" i="8"/>
  <c r="I108" i="9"/>
  <c r="I108" i="7"/>
  <c r="R105" i="5"/>
  <c r="S105" i="5" s="1"/>
  <c r="O80" i="5"/>
  <c r="F67" i="5"/>
  <c r="I55" i="9"/>
  <c r="I55" i="8"/>
  <c r="I55" i="7"/>
  <c r="S370" i="5"/>
  <c r="O366" i="5"/>
  <c r="K362" i="5"/>
  <c r="N359" i="5"/>
  <c r="O359" i="5" s="1"/>
  <c r="G358" i="5"/>
  <c r="J355" i="5"/>
  <c r="K355" i="5" s="1"/>
  <c r="F351" i="5"/>
  <c r="G351" i="5" s="1"/>
  <c r="S346" i="5"/>
  <c r="O342" i="5"/>
  <c r="R339" i="5"/>
  <c r="S339" i="5" s="1"/>
  <c r="K338" i="5"/>
  <c r="N335" i="5"/>
  <c r="O335" i="5" s="1"/>
  <c r="G334" i="5"/>
  <c r="J331" i="5"/>
  <c r="K331" i="5" s="1"/>
  <c r="I330" i="9"/>
  <c r="I330" i="7"/>
  <c r="F327" i="5"/>
  <c r="G327" i="5" s="1"/>
  <c r="S322" i="5"/>
  <c r="O318" i="5"/>
  <c r="R315" i="5"/>
  <c r="S315" i="5" s="1"/>
  <c r="K314" i="5"/>
  <c r="N311" i="5"/>
  <c r="O311" i="5" s="1"/>
  <c r="G310" i="5"/>
  <c r="J307" i="5"/>
  <c r="K307" i="5" s="1"/>
  <c r="I306" i="8"/>
  <c r="I306" i="7"/>
  <c r="F303" i="5"/>
  <c r="G303" i="5" s="1"/>
  <c r="S298" i="5"/>
  <c r="O294" i="5"/>
  <c r="R291" i="5"/>
  <c r="S291" i="5" s="1"/>
  <c r="K290" i="5"/>
  <c r="N287" i="5"/>
  <c r="O287" i="5" s="1"/>
  <c r="J283" i="5"/>
  <c r="K283" i="5" s="1"/>
  <c r="I279" i="9"/>
  <c r="I279" i="8"/>
  <c r="I274" i="5"/>
  <c r="N266" i="5"/>
  <c r="O266" i="5" s="1"/>
  <c r="N263" i="5"/>
  <c r="O263" i="5" s="1"/>
  <c r="I259" i="9"/>
  <c r="I259" i="8"/>
  <c r="I259" i="7"/>
  <c r="R255" i="5"/>
  <c r="S255" i="5" s="1"/>
  <c r="F251" i="5"/>
  <c r="G251" i="5" s="1"/>
  <c r="F237" i="5"/>
  <c r="G237" i="5" s="1"/>
  <c r="F234" i="5"/>
  <c r="G234" i="5" s="1"/>
  <c r="I226" i="5"/>
  <c r="R213" i="5"/>
  <c r="S213" i="5" s="1"/>
  <c r="O210" i="5"/>
  <c r="I209" i="9"/>
  <c r="I209" i="8"/>
  <c r="R205" i="5"/>
  <c r="S205" i="5" s="1"/>
  <c r="N202" i="5"/>
  <c r="O202" i="5" s="1"/>
  <c r="N199" i="5"/>
  <c r="O199" i="5" s="1"/>
  <c r="R197" i="5"/>
  <c r="S197" i="5" s="1"/>
  <c r="J196" i="5"/>
  <c r="K196" i="5" s="1"/>
  <c r="F190" i="5"/>
  <c r="G190" i="5" s="1"/>
  <c r="I172" i="9"/>
  <c r="I172" i="7"/>
  <c r="K168" i="5"/>
  <c r="R166" i="5"/>
  <c r="S166" i="5"/>
  <c r="M157" i="5"/>
  <c r="O157" i="5"/>
  <c r="R155" i="5"/>
  <c r="S155" i="5" s="1"/>
  <c r="G135" i="5"/>
  <c r="G129" i="5"/>
  <c r="I127" i="5"/>
  <c r="J127" i="5"/>
  <c r="K127" i="5"/>
  <c r="S117" i="5"/>
  <c r="G100" i="5"/>
  <c r="K69" i="5"/>
  <c r="S64" i="5"/>
  <c r="E62" i="5"/>
  <c r="F62" i="5"/>
  <c r="G62" i="5"/>
  <c r="J12" i="5"/>
  <c r="K12" i="5"/>
  <c r="S9" i="5"/>
  <c r="M4" i="5"/>
  <c r="N4" i="5"/>
  <c r="O4" i="5"/>
  <c r="I385" i="9"/>
  <c r="I385" i="8"/>
  <c r="I361" i="9"/>
  <c r="I361" i="8"/>
  <c r="I313" i="9"/>
  <c r="I313" i="8"/>
  <c r="I289" i="9"/>
  <c r="I289" i="8"/>
  <c r="S258" i="5"/>
  <c r="K257" i="5"/>
  <c r="J243" i="5"/>
  <c r="K243" i="5" s="1"/>
  <c r="S241" i="5"/>
  <c r="M210" i="5"/>
  <c r="N191" i="5"/>
  <c r="O191" i="5" s="1"/>
  <c r="I190" i="9"/>
  <c r="I190" i="8"/>
  <c r="E175" i="5"/>
  <c r="F175" i="5"/>
  <c r="G175" i="5" s="1"/>
  <c r="S153" i="5"/>
  <c r="E143" i="5"/>
  <c r="G143" i="5"/>
  <c r="S140" i="5"/>
  <c r="G137" i="5"/>
  <c r="O121" i="5"/>
  <c r="I116" i="9"/>
  <c r="I116" i="8"/>
  <c r="I114" i="9"/>
  <c r="I114" i="7"/>
  <c r="I112" i="9"/>
  <c r="I112" i="8"/>
  <c r="Q107" i="5"/>
  <c r="S107" i="5"/>
  <c r="S101" i="5"/>
  <c r="O73" i="5"/>
  <c r="I62" i="9"/>
  <c r="I62" i="8"/>
  <c r="F43" i="5"/>
  <c r="S40" i="5"/>
  <c r="E38" i="5"/>
  <c r="F38" i="5"/>
  <c r="G38" i="5" s="1"/>
  <c r="I344" i="9"/>
  <c r="I344" i="8"/>
  <c r="I296" i="9"/>
  <c r="I296" i="8"/>
  <c r="I296" i="7"/>
  <c r="S288" i="5"/>
  <c r="O284" i="5"/>
  <c r="I248" i="9"/>
  <c r="I248" i="8"/>
  <c r="O176" i="5"/>
  <c r="I175" i="9"/>
  <c r="I175" i="8"/>
  <c r="I175" i="7"/>
  <c r="N166" i="5"/>
  <c r="O166" i="5"/>
  <c r="G163" i="5"/>
  <c r="G161" i="5"/>
  <c r="M155" i="5"/>
  <c r="N155" i="5"/>
  <c r="O155" i="5"/>
  <c r="O153" i="5"/>
  <c r="K146" i="5"/>
  <c r="I131" i="9"/>
  <c r="I131" i="7"/>
  <c r="Q111" i="5"/>
  <c r="R111" i="5"/>
  <c r="S111" i="5"/>
  <c r="M107" i="5"/>
  <c r="N107" i="5"/>
  <c r="O107" i="5"/>
  <c r="R103" i="5"/>
  <c r="S103" i="5" s="1"/>
  <c r="E87" i="5"/>
  <c r="F87" i="5"/>
  <c r="G87" i="5"/>
  <c r="J80" i="5"/>
  <c r="K80" i="5" s="1"/>
  <c r="F78" i="5"/>
  <c r="G78" i="5" s="1"/>
  <c r="G76" i="5"/>
  <c r="F69" i="5"/>
  <c r="G69" i="5" s="1"/>
  <c r="M59" i="5"/>
  <c r="N59" i="5"/>
  <c r="O59" i="5"/>
  <c r="S47" i="5"/>
  <c r="F372" i="5"/>
  <c r="G372" i="5" s="1"/>
  <c r="R360" i="5"/>
  <c r="S360" i="5" s="1"/>
  <c r="N356" i="5"/>
  <c r="O356" i="5" s="1"/>
  <c r="J352" i="5"/>
  <c r="K352" i="5" s="1"/>
  <c r="I351" i="9"/>
  <c r="I351" i="8"/>
  <c r="F348" i="5"/>
  <c r="G348" i="5" s="1"/>
  <c r="R336" i="5"/>
  <c r="S336" i="5" s="1"/>
  <c r="N332" i="5"/>
  <c r="O332" i="5" s="1"/>
  <c r="J328" i="5"/>
  <c r="K328" i="5" s="1"/>
  <c r="I327" i="9"/>
  <c r="I327" i="8"/>
  <c r="F324" i="5"/>
  <c r="G324" i="5" s="1"/>
  <c r="O315" i="5"/>
  <c r="R312" i="5"/>
  <c r="S312" i="5" s="1"/>
  <c r="N308" i="5"/>
  <c r="O308" i="5" s="1"/>
  <c r="J304" i="5"/>
  <c r="K304" i="5" s="1"/>
  <c r="F300" i="5"/>
  <c r="G300" i="5" s="1"/>
  <c r="R288" i="5"/>
  <c r="K287" i="5"/>
  <c r="N284" i="5"/>
  <c r="G283" i="5"/>
  <c r="N272" i="5"/>
  <c r="O272" i="5" s="1"/>
  <c r="K266" i="5"/>
  <c r="R264" i="5"/>
  <c r="S264" i="5" s="1"/>
  <c r="J263" i="5"/>
  <c r="K263" i="5" s="1"/>
  <c r="N255" i="5"/>
  <c r="O255" i="5" s="1"/>
  <c r="F240" i="5"/>
  <c r="G240" i="5" s="1"/>
  <c r="I234" i="8"/>
  <c r="I234" i="7"/>
  <c r="J232" i="5"/>
  <c r="K232" i="5" s="1"/>
  <c r="R230" i="5"/>
  <c r="S230" i="5" s="1"/>
  <c r="N224" i="5"/>
  <c r="O224" i="5" s="1"/>
  <c r="N205" i="5"/>
  <c r="O205" i="5" s="1"/>
  <c r="I199" i="5"/>
  <c r="K199" i="5"/>
  <c r="G196" i="5"/>
  <c r="S192" i="5"/>
  <c r="R189" i="5"/>
  <c r="S189" i="5" s="1"/>
  <c r="G183" i="5"/>
  <c r="O181" i="5"/>
  <c r="G178" i="5"/>
  <c r="S174" i="5"/>
  <c r="I170" i="9"/>
  <c r="I170" i="8"/>
  <c r="I163" i="9"/>
  <c r="I163" i="8"/>
  <c r="I163" i="7"/>
  <c r="G159" i="5"/>
  <c r="N153" i="5"/>
  <c r="K148" i="5"/>
  <c r="G139" i="5"/>
  <c r="R136" i="5"/>
  <c r="S132" i="5"/>
  <c r="I127" i="9"/>
  <c r="I127" i="7"/>
  <c r="O123" i="5"/>
  <c r="J121" i="5"/>
  <c r="K121" i="5"/>
  <c r="N101" i="5"/>
  <c r="O101" i="5"/>
  <c r="R99" i="5"/>
  <c r="S99" i="5" s="1"/>
  <c r="N84" i="5"/>
  <c r="O84" i="5" s="1"/>
  <c r="I76" i="9"/>
  <c r="I76" i="7"/>
  <c r="O76" i="5"/>
  <c r="S76" i="5"/>
  <c r="J73" i="5"/>
  <c r="K73" i="5"/>
  <c r="I69" i="9"/>
  <c r="I69" i="8"/>
  <c r="R47" i="5"/>
  <c r="K45" i="5"/>
  <c r="F9" i="5"/>
  <c r="I382" i="9"/>
  <c r="I382" i="8"/>
  <c r="I382" i="7"/>
  <c r="F331" i="5"/>
  <c r="G331" i="5" s="1"/>
  <c r="R319" i="5"/>
  <c r="S319" i="5" s="1"/>
  <c r="N315" i="5"/>
  <c r="J311" i="5"/>
  <c r="K311" i="5" s="1"/>
  <c r="I310" i="9"/>
  <c r="I310" i="8"/>
  <c r="I310" i="7"/>
  <c r="F307" i="5"/>
  <c r="G307" i="5" s="1"/>
  <c r="R295" i="5"/>
  <c r="S295" i="5" s="1"/>
  <c r="N291" i="5"/>
  <c r="O291" i="5" s="1"/>
  <c r="J287" i="5"/>
  <c r="F283" i="5"/>
  <c r="F277" i="5"/>
  <c r="G277" i="5" s="1"/>
  <c r="F274" i="5"/>
  <c r="G274" i="5" s="1"/>
  <c r="I268" i="9"/>
  <c r="I268" i="8"/>
  <c r="I268" i="7"/>
  <c r="I266" i="5"/>
  <c r="O258" i="5"/>
  <c r="G257" i="5"/>
  <c r="S250" i="5"/>
  <c r="K249" i="5"/>
  <c r="R247" i="5"/>
  <c r="S247" i="5" s="1"/>
  <c r="F243" i="5"/>
  <c r="G243" i="5" s="1"/>
  <c r="O241" i="5"/>
  <c r="R233" i="5"/>
  <c r="S233" i="5" s="1"/>
  <c r="F229" i="5"/>
  <c r="O227" i="5"/>
  <c r="F226" i="5"/>
  <c r="G226" i="5" s="1"/>
  <c r="G215" i="5"/>
  <c r="M213" i="5"/>
  <c r="O213" i="5"/>
  <c r="J210" i="5"/>
  <c r="K210" i="5" s="1"/>
  <c r="G207" i="5"/>
  <c r="N197" i="5"/>
  <c r="O197" i="5" s="1"/>
  <c r="F196" i="5"/>
  <c r="R192" i="5"/>
  <c r="J191" i="5"/>
  <c r="K191" i="5" s="1"/>
  <c r="K186" i="5"/>
  <c r="F183" i="5"/>
  <c r="R174" i="5"/>
  <c r="F173" i="5"/>
  <c r="J166" i="5"/>
  <c r="K166" i="5" s="1"/>
  <c r="O164" i="5"/>
  <c r="F159" i="5"/>
  <c r="I155" i="5"/>
  <c r="J155" i="5"/>
  <c r="K155" i="5" s="1"/>
  <c r="R142" i="5"/>
  <c r="S142" i="5"/>
  <c r="S128" i="5"/>
  <c r="O119" i="5"/>
  <c r="M103" i="5"/>
  <c r="O103" i="5"/>
  <c r="J97" i="5"/>
  <c r="K97" i="5"/>
  <c r="K93" i="5"/>
  <c r="G89" i="5"/>
  <c r="S68" i="5"/>
  <c r="R23" i="5"/>
  <c r="S23" i="5" s="1"/>
  <c r="K21" i="5"/>
  <c r="G321" i="5"/>
  <c r="S309" i="5"/>
  <c r="O305" i="5"/>
  <c r="K301" i="5"/>
  <c r="G297" i="5"/>
  <c r="S285" i="5"/>
  <c r="N275" i="5"/>
  <c r="O275" i="5" s="1"/>
  <c r="I274" i="9"/>
  <c r="I274" i="8"/>
  <c r="I274" i="7"/>
  <c r="I271" i="8"/>
  <c r="I271" i="7"/>
  <c r="M258" i="5"/>
  <c r="S253" i="5"/>
  <c r="Q250" i="5"/>
  <c r="K241" i="5"/>
  <c r="K238" i="5"/>
  <c r="N227" i="5"/>
  <c r="I226" i="8"/>
  <c r="I226" i="7"/>
  <c r="F215" i="5"/>
  <c r="S211" i="5"/>
  <c r="F207" i="5"/>
  <c r="I204" i="9"/>
  <c r="I204" i="7"/>
  <c r="I186" i="5"/>
  <c r="R179" i="5"/>
  <c r="S179" i="5" s="1"/>
  <c r="F178" i="5"/>
  <c r="M164" i="5"/>
  <c r="G155" i="5"/>
  <c r="F150" i="5"/>
  <c r="G150" i="5" s="1"/>
  <c r="M142" i="5"/>
  <c r="N142" i="5"/>
  <c r="O142" i="5" s="1"/>
  <c r="S136" i="5"/>
  <c r="E125" i="5"/>
  <c r="G125" i="5"/>
  <c r="I123" i="5"/>
  <c r="K123" i="5"/>
  <c r="N119" i="5"/>
  <c r="N113" i="5"/>
  <c r="O113" i="5" s="1"/>
  <c r="K111" i="5"/>
  <c r="I103" i="5"/>
  <c r="J103" i="5"/>
  <c r="K103" i="5"/>
  <c r="M95" i="5"/>
  <c r="N95" i="5"/>
  <c r="I91" i="5"/>
  <c r="J91" i="5"/>
  <c r="K91" i="5" s="1"/>
  <c r="I66" i="5"/>
  <c r="J66" i="5"/>
  <c r="K66" i="5" s="1"/>
  <c r="F45" i="5"/>
  <c r="G45" i="5" s="1"/>
  <c r="G14" i="5"/>
  <c r="G9" i="5"/>
  <c r="I324" i="9"/>
  <c r="I324" i="8"/>
  <c r="I324" i="7"/>
  <c r="I300" i="9"/>
  <c r="I300" i="8"/>
  <c r="G263" i="5"/>
  <c r="I243" i="8"/>
  <c r="I243" i="7"/>
  <c r="O230" i="5"/>
  <c r="G229" i="5"/>
  <c r="S203" i="5"/>
  <c r="G202" i="5"/>
  <c r="I188" i="9"/>
  <c r="I188" i="8"/>
  <c r="I183" i="9"/>
  <c r="I183" i="7"/>
  <c r="G173" i="5"/>
  <c r="R151" i="5"/>
  <c r="N132" i="5"/>
  <c r="O132" i="5" s="1"/>
  <c r="E123" i="5"/>
  <c r="F123" i="5"/>
  <c r="G123" i="5"/>
  <c r="G105" i="5"/>
  <c r="N99" i="5"/>
  <c r="O99" i="5" s="1"/>
  <c r="F93" i="5"/>
  <c r="G93" i="5" s="1"/>
  <c r="R88" i="5"/>
  <c r="F82" i="5"/>
  <c r="G82" i="5"/>
  <c r="I45" i="9"/>
  <c r="I45" i="7"/>
  <c r="S45" i="5"/>
  <c r="F21" i="5"/>
  <c r="G21" i="5" s="1"/>
  <c r="I83" i="9"/>
  <c r="I83" i="8"/>
  <c r="O71" i="5"/>
  <c r="K67" i="5"/>
  <c r="O47" i="5"/>
  <c r="K43" i="5"/>
  <c r="G39" i="5"/>
  <c r="S27" i="5"/>
  <c r="O23" i="5"/>
  <c r="K19" i="5"/>
  <c r="I18" i="9"/>
  <c r="I18" i="8"/>
  <c r="S8" i="5"/>
  <c r="I90" i="9"/>
  <c r="I90" i="7"/>
  <c r="R75" i="5"/>
  <c r="S75" i="5" s="1"/>
  <c r="N71" i="5"/>
  <c r="J67" i="5"/>
  <c r="F63" i="5"/>
  <c r="G63" i="5" s="1"/>
  <c r="R51" i="5"/>
  <c r="S51" i="5" s="1"/>
  <c r="N47" i="5"/>
  <c r="J43" i="5"/>
  <c r="F39" i="5"/>
  <c r="R27" i="5"/>
  <c r="N23" i="5"/>
  <c r="J19" i="5"/>
  <c r="O2" i="5"/>
  <c r="I217" i="9"/>
  <c r="I217" i="8"/>
  <c r="I169" i="9"/>
  <c r="I169" i="8"/>
  <c r="I169" i="7"/>
  <c r="I145" i="9"/>
  <c r="I145" i="8"/>
  <c r="I145" i="7"/>
  <c r="S113" i="5"/>
  <c r="O109" i="5"/>
  <c r="K105" i="5"/>
  <c r="G101" i="5"/>
  <c r="I97" i="9"/>
  <c r="I97" i="8"/>
  <c r="S89" i="5"/>
  <c r="O85" i="5"/>
  <c r="K81" i="5"/>
  <c r="G77" i="5"/>
  <c r="S65" i="5"/>
  <c r="O61" i="5"/>
  <c r="K57" i="5"/>
  <c r="G53" i="5"/>
  <c r="S41" i="5"/>
  <c r="O37" i="5"/>
  <c r="K33" i="5"/>
  <c r="G29" i="5"/>
  <c r="I25" i="9"/>
  <c r="I25" i="8"/>
  <c r="I15" i="9"/>
  <c r="I15" i="7"/>
  <c r="G7" i="5"/>
  <c r="O5" i="5"/>
  <c r="M2" i="5"/>
  <c r="K64" i="5"/>
  <c r="I56" i="9"/>
  <c r="I56" i="8"/>
  <c r="O44" i="5"/>
  <c r="K40" i="5"/>
  <c r="G36" i="5"/>
  <c r="I32" i="8"/>
  <c r="I32" i="7"/>
  <c r="O20" i="5"/>
  <c r="I135" i="9"/>
  <c r="I135" i="7"/>
  <c r="I111" i="9"/>
  <c r="I111" i="7"/>
  <c r="I87" i="9"/>
  <c r="I87" i="7"/>
  <c r="S79" i="5"/>
  <c r="O75" i="5"/>
  <c r="K71" i="5"/>
  <c r="G67" i="5"/>
  <c r="J64" i="5"/>
  <c r="I63" i="9"/>
  <c r="I63" i="7"/>
  <c r="F60" i="5"/>
  <c r="G60" i="5" s="1"/>
  <c r="S55" i="5"/>
  <c r="O51" i="5"/>
  <c r="R48" i="5"/>
  <c r="S48" i="5" s="1"/>
  <c r="K47" i="5"/>
  <c r="N44" i="5"/>
  <c r="G43" i="5"/>
  <c r="J40" i="5"/>
  <c r="F36" i="5"/>
  <c r="S31" i="5"/>
  <c r="O27" i="5"/>
  <c r="R24" i="5"/>
  <c r="S24" i="5" s="1"/>
  <c r="K23" i="5"/>
  <c r="G19" i="5"/>
  <c r="Q14" i="5"/>
  <c r="K13" i="5"/>
  <c r="R11" i="5"/>
  <c r="S11" i="5" s="1"/>
  <c r="N8" i="5"/>
  <c r="O8" i="5" s="1"/>
  <c r="K2" i="5"/>
  <c r="I22" i="9"/>
  <c r="I22" i="8"/>
  <c r="F19" i="5"/>
  <c r="I53" i="9"/>
  <c r="I53" i="8"/>
  <c r="I53" i="7"/>
  <c r="I29" i="8"/>
  <c r="I29" i="7"/>
  <c r="I7" i="9"/>
  <c r="I7" i="7"/>
  <c r="I60" i="9"/>
  <c r="I60" i="7"/>
  <c r="I36" i="9"/>
  <c r="I36" i="8"/>
  <c r="O17" i="5"/>
  <c r="I139" i="9"/>
  <c r="I139" i="7"/>
  <c r="I115" i="9"/>
  <c r="I115" i="7"/>
  <c r="I91" i="9"/>
  <c r="I91" i="8"/>
  <c r="S83" i="5"/>
  <c r="O79" i="5"/>
  <c r="K75" i="5"/>
  <c r="G71" i="5"/>
  <c r="O55" i="5"/>
  <c r="G47" i="5"/>
  <c r="O31" i="5"/>
  <c r="K27" i="5"/>
  <c r="G23" i="5"/>
  <c r="S18" i="5"/>
  <c r="K17" i="5"/>
  <c r="M11" i="5"/>
  <c r="Q6" i="5"/>
  <c r="K5" i="5"/>
  <c r="R83" i="5"/>
  <c r="N79" i="5"/>
  <c r="J75" i="5"/>
  <c r="I74" i="9"/>
  <c r="I74" i="7"/>
  <c r="F71" i="5"/>
  <c r="R59" i="5"/>
  <c r="S59" i="5" s="1"/>
  <c r="N55" i="5"/>
  <c r="J51" i="5"/>
  <c r="K51" i="5" s="1"/>
  <c r="I50" i="9"/>
  <c r="I50" i="7"/>
  <c r="R35" i="5"/>
  <c r="S35" i="5" s="1"/>
  <c r="N31" i="5"/>
  <c r="J27" i="5"/>
  <c r="I16" i="9"/>
  <c r="I16" i="8"/>
  <c r="I13" i="9"/>
  <c r="I13" i="7"/>
  <c r="I273" i="9"/>
  <c r="I273" i="8"/>
  <c r="S169" i="5"/>
  <c r="O165" i="5"/>
  <c r="K161" i="5"/>
  <c r="G157" i="5"/>
  <c r="I153" i="9"/>
  <c r="I153" i="7"/>
  <c r="S145" i="5"/>
  <c r="O141" i="5"/>
  <c r="K137" i="5"/>
  <c r="G133" i="5"/>
  <c r="I129" i="9"/>
  <c r="I129" i="7"/>
  <c r="S121" i="5"/>
  <c r="O117" i="5"/>
  <c r="K113" i="5"/>
  <c r="G109" i="5"/>
  <c r="S97" i="5"/>
  <c r="O93" i="5"/>
  <c r="K89" i="5"/>
  <c r="G85" i="5"/>
  <c r="S73" i="5"/>
  <c r="O69" i="5"/>
  <c r="K65" i="5"/>
  <c r="G61" i="5"/>
  <c r="I57" i="9"/>
  <c r="I57" i="8"/>
  <c r="I57" i="7"/>
  <c r="S49" i="5"/>
  <c r="O45" i="5"/>
  <c r="K41" i="5"/>
  <c r="G37" i="5"/>
  <c r="I33" i="9"/>
  <c r="I33" i="7"/>
  <c r="S25" i="5"/>
  <c r="O21" i="5"/>
  <c r="S15" i="5"/>
  <c r="K14" i="5"/>
  <c r="S12" i="5"/>
  <c r="K11" i="5"/>
  <c r="O6" i="5"/>
  <c r="F2" i="5"/>
  <c r="I64" i="9"/>
  <c r="I64" i="7"/>
  <c r="S56" i="5"/>
  <c r="I40" i="9"/>
  <c r="I40" i="7"/>
  <c r="S32" i="5"/>
  <c r="I215" i="9"/>
  <c r="I215" i="8"/>
  <c r="I191" i="9"/>
  <c r="I191" i="8"/>
  <c r="I191" i="7"/>
  <c r="I167" i="9"/>
  <c r="I167" i="7"/>
  <c r="I143" i="9"/>
  <c r="I143" i="8"/>
  <c r="I119" i="9"/>
  <c r="I119" i="7"/>
  <c r="I95" i="9"/>
  <c r="I95" i="7"/>
  <c r="I71" i="9"/>
  <c r="I71" i="7"/>
  <c r="G51" i="5"/>
  <c r="I47" i="9"/>
  <c r="I47" i="8"/>
  <c r="I47" i="7"/>
  <c r="G27" i="5"/>
  <c r="O18" i="5"/>
  <c r="G17" i="5"/>
  <c r="O66" i="5"/>
  <c r="K62" i="5"/>
  <c r="G58" i="5"/>
  <c r="I54" i="9"/>
  <c r="I54" i="8"/>
  <c r="F51" i="5"/>
  <c r="S46" i="5"/>
  <c r="O42" i="5"/>
  <c r="R39" i="5"/>
  <c r="S39" i="5" s="1"/>
  <c r="K38" i="5"/>
  <c r="N35" i="5"/>
  <c r="O35" i="5" s="1"/>
  <c r="G34" i="5"/>
  <c r="J31" i="5"/>
  <c r="K31" i="5" s="1"/>
  <c r="I30" i="9"/>
  <c r="I30" i="8"/>
  <c r="F27" i="5"/>
  <c r="S22" i="5"/>
  <c r="N18" i="5"/>
  <c r="F17" i="5"/>
  <c r="N9" i="5"/>
  <c r="K3" i="5"/>
  <c r="I277" i="9"/>
  <c r="I277" i="8"/>
  <c r="I253" i="9"/>
  <c r="I253" i="7"/>
  <c r="I229" i="9"/>
  <c r="I229" i="7"/>
  <c r="I205" i="9"/>
  <c r="I205" i="8"/>
  <c r="I181" i="9"/>
  <c r="I181" i="8"/>
  <c r="I157" i="9"/>
  <c r="I157" i="8"/>
  <c r="I133" i="9"/>
  <c r="I133" i="8"/>
  <c r="I109" i="9"/>
  <c r="I109" i="8"/>
  <c r="I109" i="7"/>
  <c r="I85" i="9"/>
  <c r="I85" i="8"/>
  <c r="I85" i="7"/>
  <c r="I61" i="9"/>
  <c r="I61" i="7"/>
  <c r="I37" i="9"/>
  <c r="I37" i="8"/>
  <c r="G11" i="5"/>
  <c r="K6" i="5"/>
  <c r="I44" i="9"/>
  <c r="I44" i="8"/>
  <c r="I20" i="8"/>
  <c r="I20" i="7"/>
  <c r="O9" i="5"/>
  <c r="I51" i="9"/>
  <c r="I51" i="8"/>
  <c r="I27" i="9"/>
  <c r="I27" i="8"/>
  <c r="I154" i="9"/>
  <c r="I154" i="8"/>
  <c r="F151" i="5"/>
  <c r="G151" i="5" s="1"/>
  <c r="R139" i="5"/>
  <c r="S139" i="5" s="1"/>
  <c r="N135" i="5"/>
  <c r="O135" i="5" s="1"/>
  <c r="J131" i="5"/>
  <c r="K131" i="5" s="1"/>
  <c r="I130" i="9"/>
  <c r="I130" i="8"/>
  <c r="I130" i="7"/>
  <c r="F127" i="5"/>
  <c r="G127" i="5" s="1"/>
  <c r="R115" i="5"/>
  <c r="S115" i="5" s="1"/>
  <c r="N111" i="5"/>
  <c r="O111" i="5" s="1"/>
  <c r="J107" i="5"/>
  <c r="K107" i="5" s="1"/>
  <c r="F103" i="5"/>
  <c r="G103" i="5" s="1"/>
  <c r="R91" i="5"/>
  <c r="S91" i="5" s="1"/>
  <c r="N87" i="5"/>
  <c r="O87" i="5" s="1"/>
  <c r="J83" i="5"/>
  <c r="K83" i="5" s="1"/>
  <c r="I82" i="9"/>
  <c r="I82" i="8"/>
  <c r="I82" i="7"/>
  <c r="F79" i="5"/>
  <c r="G79" i="5" s="1"/>
  <c r="R67" i="5"/>
  <c r="S67" i="5" s="1"/>
  <c r="N63" i="5"/>
  <c r="O63" i="5" s="1"/>
  <c r="J59" i="5"/>
  <c r="K59" i="5" s="1"/>
  <c r="I58" i="9"/>
  <c r="I58" i="8"/>
  <c r="I58" i="7"/>
  <c r="F55" i="5"/>
  <c r="G55" i="5" s="1"/>
  <c r="R43" i="5"/>
  <c r="S43" i="5" s="1"/>
  <c r="N39" i="5"/>
  <c r="O39" i="5" s="1"/>
  <c r="J35" i="5"/>
  <c r="K35" i="5" s="1"/>
  <c r="F31" i="5"/>
  <c r="G31" i="5" s="1"/>
  <c r="R19" i="5"/>
  <c r="S19" i="5" s="1"/>
  <c r="J18" i="5"/>
  <c r="K18" i="5" s="1"/>
  <c r="J9" i="5"/>
  <c r="R7" i="5"/>
  <c r="G3" i="5"/>
  <c r="I185" i="9"/>
  <c r="I185" i="8"/>
  <c r="I185" i="7"/>
  <c r="I137" i="9"/>
  <c r="I137" i="8"/>
  <c r="I137" i="7"/>
  <c r="I113" i="9"/>
  <c r="I113" i="8"/>
  <c r="I65" i="9"/>
  <c r="I65" i="8"/>
  <c r="I41" i="9"/>
  <c r="I41" i="8"/>
  <c r="I41" i="7"/>
  <c r="I72" i="9"/>
  <c r="I72" i="8"/>
  <c r="I72" i="7"/>
  <c r="I24" i="9"/>
  <c r="I24" i="7"/>
  <c r="F3" i="5"/>
  <c r="I1099" i="7"/>
  <c r="D1232" i="7"/>
  <c r="I1232" i="7"/>
  <c r="I941" i="7"/>
  <c r="I1250" i="7"/>
  <c r="I978" i="7"/>
  <c r="I1184" i="7"/>
  <c r="G1107" i="7" a="1"/>
  <c r="G1107" i="7" s="1"/>
  <c r="I1018" i="7"/>
  <c r="I1226" i="7"/>
  <c r="G1165" i="7" a="1"/>
  <c r="G1165" i="7" s="1"/>
  <c r="I1107" i="7"/>
  <c r="G1254" i="7" a="1"/>
  <c r="G1254" i="7" s="1"/>
  <c r="I1131" i="7"/>
  <c r="D1084" i="7"/>
  <c r="I1084" i="7"/>
  <c r="I1069" i="7"/>
  <c r="I940" i="7"/>
  <c r="I1212" i="7"/>
  <c r="I1179" i="7"/>
  <c r="G1139" i="7" a="1"/>
  <c r="G1139" i="7" s="1"/>
  <c r="I1193" i="7"/>
  <c r="D1193" i="7"/>
  <c r="I1139" i="7"/>
  <c r="G1078" i="7" a="1"/>
  <c r="G1078" i="7" s="1"/>
  <c r="D1116" i="7"/>
  <c r="I1116" i="7"/>
  <c r="I1248" i="7"/>
  <c r="I1068" i="7"/>
  <c r="I1211" i="7"/>
  <c r="I1042" i="7"/>
  <c r="I1021" i="7"/>
  <c r="I981" i="7"/>
  <c r="G1229" i="7" a="1"/>
  <c r="G1229" i="7" s="1"/>
  <c r="I1101" i="7"/>
  <c r="I962" i="7"/>
  <c r="I1243" i="7"/>
  <c r="I1187" i="7"/>
  <c r="D1148" i="7"/>
  <c r="I1148" i="7"/>
  <c r="G1110" i="7" a="1"/>
  <c r="G1110" i="7" s="1"/>
  <c r="D1168" i="7"/>
  <c r="I1168" i="7"/>
  <c r="I933" i="7"/>
  <c r="I1257" i="7"/>
  <c r="D1257" i="7"/>
  <c r="I1133" i="7"/>
  <c r="I1067" i="7"/>
  <c r="I1020" i="7"/>
  <c r="G1142" i="7" a="1"/>
  <c r="G1142" i="7" s="1"/>
  <c r="I1186" i="7"/>
  <c r="I1162" i="7"/>
  <c r="I1100" i="7"/>
  <c r="I956" i="7"/>
  <c r="G1190" i="7" a="1"/>
  <c r="G1190" i="7" s="1"/>
  <c r="I1251" i="7"/>
  <c r="I1045" i="7"/>
  <c r="I1075" i="7"/>
  <c r="I946" i="7"/>
  <c r="I1218" i="7"/>
  <c r="I1132" i="7"/>
  <c r="I922" i="7"/>
  <c r="D969" i="7"/>
  <c r="I969" i="7"/>
  <c r="D953" i="7"/>
  <c r="I953" i="7"/>
  <c r="G880" i="7" a="1"/>
  <c r="G880" i="7" s="1"/>
  <c r="I394" i="7"/>
  <c r="D394" i="7"/>
  <c r="I1245" i="7"/>
  <c r="I1220" i="7"/>
  <c r="I1206" i="7"/>
  <c r="I1181" i="7"/>
  <c r="I1150" i="7"/>
  <c r="I1145" i="7"/>
  <c r="D1139" i="7"/>
  <c r="I1118" i="7"/>
  <c r="I1113" i="7"/>
  <c r="D1107" i="7"/>
  <c r="I1086" i="7"/>
  <c r="I1081" i="7"/>
  <c r="D1075" i="7"/>
  <c r="I1027" i="7"/>
  <c r="I1024" i="7"/>
  <c r="D956" i="7"/>
  <c r="I949" i="7"/>
  <c r="I930" i="7"/>
  <c r="I904" i="7"/>
  <c r="I893" i="7"/>
  <c r="I696" i="7"/>
  <c r="G1248" i="7" a="1"/>
  <c r="G1248" i="7" s="1"/>
  <c r="I1231" i="7"/>
  <c r="G1223" i="7" a="1"/>
  <c r="G1223" i="7" s="1"/>
  <c r="G1209" i="7" a="1"/>
  <c r="G1209" i="7" s="1"/>
  <c r="G1184" i="7" a="1"/>
  <c r="G1184" i="7" s="1"/>
  <c r="I1167" i="7"/>
  <c r="G1159" i="7" a="1"/>
  <c r="G1159" i="7" s="1"/>
  <c r="I1147" i="7"/>
  <c r="G1127" i="7" a="1"/>
  <c r="G1127" i="7" s="1"/>
  <c r="I1115" i="7"/>
  <c r="G1095" i="7" a="1"/>
  <c r="G1095" i="7" s="1"/>
  <c r="I1083" i="7"/>
  <c r="G1063" i="7" a="1"/>
  <c r="G1063" i="7" s="1"/>
  <c r="G1057" i="7" a="1"/>
  <c r="G1057" i="7" s="1"/>
  <c r="D1033" i="7"/>
  <c r="I1033" i="7"/>
  <c r="I1014" i="7"/>
  <c r="G993" i="7" a="1"/>
  <c r="G993" i="7" s="1"/>
  <c r="G965" i="7" a="1"/>
  <c r="G965" i="7" s="1"/>
  <c r="D937" i="7"/>
  <c r="I937" i="7"/>
  <c r="G907" i="7" a="1"/>
  <c r="G907" i="7" s="1"/>
  <c r="I880" i="7"/>
  <c r="G822" i="7" a="1"/>
  <c r="G822" i="7" s="1"/>
  <c r="D1251" i="7"/>
  <c r="I1242" i="7"/>
  <c r="D1226" i="7"/>
  <c r="D1212" i="7"/>
  <c r="I1203" i="7"/>
  <c r="I1201" i="7"/>
  <c r="D1187" i="7"/>
  <c r="I1178" i="7"/>
  <c r="D1162" i="7"/>
  <c r="I1141" i="7"/>
  <c r="I1136" i="7"/>
  <c r="D1133" i="7"/>
  <c r="I1109" i="7"/>
  <c r="I1104" i="7"/>
  <c r="D1101" i="7"/>
  <c r="I1077" i="7"/>
  <c r="I1072" i="7"/>
  <c r="D1069" i="7"/>
  <c r="D1045" i="7"/>
  <c r="D1042" i="7"/>
  <c r="I1029" i="7"/>
  <c r="I1026" i="7"/>
  <c r="I1023" i="7"/>
  <c r="D981" i="7"/>
  <c r="D978" i="7"/>
  <c r="D940" i="7"/>
  <c r="D921" i="7"/>
  <c r="I921" i="7"/>
  <c r="I861" i="7"/>
  <c r="D861" i="7"/>
  <c r="I1051" i="7"/>
  <c r="I1048" i="7"/>
  <c r="I987" i="7"/>
  <c r="I984" i="7"/>
  <c r="I907" i="7"/>
  <c r="G1259" i="7" a="1"/>
  <c r="G1259" i="7" s="1"/>
  <c r="G1256" i="7" a="1"/>
  <c r="G1256" i="7" s="1"/>
  <c r="D1248" i="7"/>
  <c r="I1239" i="7"/>
  <c r="G1231" i="7" a="1"/>
  <c r="G1231" i="7" s="1"/>
  <c r="G1217" i="7" a="1"/>
  <c r="G1217" i="7" s="1"/>
  <c r="I1200" i="7"/>
  <c r="G1192" i="7" a="1"/>
  <c r="G1192" i="7" s="1"/>
  <c r="D1184" i="7"/>
  <c r="I1175" i="7"/>
  <c r="G1167" i="7" a="1"/>
  <c r="G1167" i="7" s="1"/>
  <c r="G1144" i="7" a="1"/>
  <c r="G1144" i="7" s="1"/>
  <c r="I1135" i="7"/>
  <c r="G1112" i="7" a="1"/>
  <c r="G1112" i="7" s="1"/>
  <c r="I1103" i="7"/>
  <c r="G1080" i="7" a="1"/>
  <c r="G1080" i="7" s="1"/>
  <c r="I1071" i="7"/>
  <c r="D1057" i="7"/>
  <c r="I1057" i="7"/>
  <c r="I1038" i="7"/>
  <c r="G1017" i="7" a="1"/>
  <c r="G1017" i="7" s="1"/>
  <c r="D993" i="7"/>
  <c r="I993" i="7"/>
  <c r="G933" i="7" a="1"/>
  <c r="G933" i="7" s="1"/>
  <c r="G917" i="7" a="1"/>
  <c r="G917" i="7" s="1"/>
  <c r="G903" i="7" a="1"/>
  <c r="G903" i="7" s="1"/>
  <c r="G1242" i="7" a="1"/>
  <c r="G1242" i="7" s="1"/>
  <c r="I1209" i="7"/>
  <c r="G1203" i="7" a="1"/>
  <c r="G1203" i="7" s="1"/>
  <c r="G1178" i="7" a="1"/>
  <c r="G1178" i="7" s="1"/>
  <c r="G1141" i="7" a="1"/>
  <c r="G1141" i="7" s="1"/>
  <c r="G1109" i="7" a="1"/>
  <c r="G1109" i="7" s="1"/>
  <c r="G1077" i="7" a="1"/>
  <c r="G1077" i="7" s="1"/>
  <c r="I1053" i="7"/>
  <c r="I1050" i="7"/>
  <c r="I1047" i="7"/>
  <c r="I1044" i="7"/>
  <c r="I983" i="7"/>
  <c r="I980" i="7"/>
  <c r="G955" i="7" a="1"/>
  <c r="G955" i="7" s="1"/>
  <c r="G910" i="7" a="1"/>
  <c r="G910" i="7" s="1"/>
  <c r="G896" i="7" a="1"/>
  <c r="G896" i="7" s="1"/>
  <c r="I1153" i="7"/>
  <c r="I1121" i="7"/>
  <c r="I1089" i="7"/>
  <c r="I1011" i="7"/>
  <c r="I1008" i="7"/>
  <c r="G511" i="7" a="1"/>
  <c r="G511" i="7" s="1"/>
  <c r="D1017" i="7"/>
  <c r="I1017" i="7"/>
  <c r="G977" i="7" a="1"/>
  <c r="G977" i="7" s="1"/>
  <c r="I971" i="7"/>
  <c r="I968" i="7"/>
  <c r="I955" i="7"/>
  <c r="I952" i="7"/>
  <c r="G939" i="7" a="1"/>
  <c r="G939" i="7" s="1"/>
  <c r="I896" i="7"/>
  <c r="G883" i="7" a="1"/>
  <c r="G883" i="7" s="1"/>
  <c r="D874" i="7"/>
  <c r="I874" i="7"/>
  <c r="D865" i="7"/>
  <c r="I865" i="7"/>
  <c r="G1250" i="7" a="1"/>
  <c r="G1250" i="7" s="1"/>
  <c r="I1219" i="7"/>
  <c r="I1217" i="7"/>
  <c r="I1194" i="7"/>
  <c r="I1149" i="7"/>
  <c r="I1144" i="7"/>
  <c r="I1117" i="7"/>
  <c r="I1112" i="7"/>
  <c r="I1085" i="7"/>
  <c r="I1080" i="7"/>
  <c r="I1013" i="7"/>
  <c r="I1010" i="7"/>
  <c r="I1007" i="7"/>
  <c r="I1004" i="7"/>
  <c r="I948" i="7"/>
  <c r="G887" i="7" a="1"/>
  <c r="G887" i="7" s="1"/>
  <c r="G869" i="7" a="1"/>
  <c r="G869" i="7" s="1"/>
  <c r="I845" i="7"/>
  <c r="D845" i="7"/>
  <c r="G788" i="7" a="1"/>
  <c r="G788" i="7" s="1"/>
  <c r="I1244" i="7"/>
  <c r="I1180" i="7"/>
  <c r="I1035" i="7"/>
  <c r="I1032" i="7"/>
  <c r="I939" i="7"/>
  <c r="I936" i="7"/>
  <c r="G923" i="7" a="1"/>
  <c r="G923" i="7" s="1"/>
  <c r="D670" i="7"/>
  <c r="I670" i="7"/>
  <c r="I606" i="7"/>
  <c r="D606" i="7"/>
  <c r="D1041" i="7"/>
  <c r="I1041" i="7"/>
  <c r="I1022" i="7"/>
  <c r="D977" i="7"/>
  <c r="I977" i="7"/>
  <c r="I973" i="7"/>
  <c r="I932" i="7"/>
  <c r="I920" i="7"/>
  <c r="I916" i="7"/>
  <c r="I802" i="7"/>
  <c r="I1227" i="7"/>
  <c r="I1225" i="7"/>
  <c r="I1202" i="7"/>
  <c r="I1163" i="7"/>
  <c r="I1161" i="7"/>
  <c r="I1037" i="7"/>
  <c r="I1034" i="7"/>
  <c r="D961" i="7"/>
  <c r="I961" i="7"/>
  <c r="I938" i="7"/>
  <c r="I935" i="7"/>
  <c r="I923" i="7"/>
  <c r="G1258" i="7" a="1"/>
  <c r="G1258" i="7" s="1"/>
  <c r="I1252" i="7"/>
  <c r="G1230" i="7" a="1"/>
  <c r="G1230" i="7" s="1"/>
  <c r="G1205" i="7" a="1"/>
  <c r="G1205" i="7" s="1"/>
  <c r="I1188" i="7"/>
  <c r="G1166" i="7" a="1"/>
  <c r="G1166" i="7" s="1"/>
  <c r="G1146" i="7" a="1"/>
  <c r="G1146" i="7" s="1"/>
  <c r="I1134" i="7"/>
  <c r="I1129" i="7"/>
  <c r="G1114" i="7" a="1"/>
  <c r="G1114" i="7" s="1"/>
  <c r="I1102" i="7"/>
  <c r="I1097" i="7"/>
  <c r="G1082" i="7" a="1"/>
  <c r="G1082" i="7" s="1"/>
  <c r="I1070" i="7"/>
  <c r="I1065" i="7"/>
  <c r="I1059" i="7"/>
  <c r="I1056" i="7"/>
  <c r="I995" i="7"/>
  <c r="I992" i="7"/>
  <c r="G973" i="7" a="1"/>
  <c r="G973" i="7" s="1"/>
  <c r="D945" i="7"/>
  <c r="I945" i="7"/>
  <c r="I919" i="7"/>
  <c r="I864" i="7"/>
  <c r="G1255" i="7" a="1"/>
  <c r="G1255" i="7" s="1"/>
  <c r="G1241" i="7" a="1"/>
  <c r="G1241" i="7" s="1"/>
  <c r="I1224" i="7"/>
  <c r="G1216" i="7" a="1"/>
  <c r="G1216" i="7" s="1"/>
  <c r="I1199" i="7"/>
  <c r="G1191" i="7" a="1"/>
  <c r="G1191" i="7" s="1"/>
  <c r="G1177" i="7" a="1"/>
  <c r="G1177" i="7" s="1"/>
  <c r="I1160" i="7"/>
  <c r="G1143" i="7" a="1"/>
  <c r="G1143" i="7" s="1"/>
  <c r="G1111" i="7" a="1"/>
  <c r="G1111" i="7" s="1"/>
  <c r="G1079" i="7" a="1"/>
  <c r="G1079" i="7" s="1"/>
  <c r="I1046" i="7"/>
  <c r="D1001" i="7"/>
  <c r="I1001" i="7"/>
  <c r="I982" i="7"/>
  <c r="G754" i="7" a="1"/>
  <c r="G754" i="7" s="1"/>
  <c r="I1233" i="7"/>
  <c r="I1169" i="7"/>
  <c r="I1152" i="7"/>
  <c r="I1120" i="7"/>
  <c r="I1088" i="7"/>
  <c r="D929" i="7"/>
  <c r="I929" i="7"/>
  <c r="G882" i="7" a="1"/>
  <c r="G882" i="7" s="1"/>
  <c r="I1019" i="7"/>
  <c r="I1016" i="7"/>
  <c r="G1249" i="7" a="1"/>
  <c r="G1249" i="7" s="1"/>
  <c r="G1224" i="7" a="1"/>
  <c r="G1224" i="7" s="1"/>
  <c r="G1199" i="7" a="1"/>
  <c r="G1199" i="7" s="1"/>
  <c r="G1185" i="7" a="1"/>
  <c r="G1185" i="7" s="1"/>
  <c r="G1160" i="7" a="1"/>
  <c r="G1160" i="7" s="1"/>
  <c r="G1128" i="7" a="1"/>
  <c r="G1128" i="7" s="1"/>
  <c r="G1096" i="7" a="1"/>
  <c r="G1096" i="7" s="1"/>
  <c r="G1064" i="7" a="1"/>
  <c r="G1064" i="7" s="1"/>
  <c r="G1049" i="7" a="1"/>
  <c r="G1049" i="7" s="1"/>
  <c r="D1025" i="7"/>
  <c r="I1025" i="7"/>
  <c r="G985" i="7" a="1"/>
  <c r="G985" i="7" s="1"/>
  <c r="G898" i="7" a="1"/>
  <c r="G898" i="7" s="1"/>
  <c r="I1241" i="7"/>
  <c r="I1177" i="7"/>
  <c r="I1015" i="7"/>
  <c r="I1012" i="7"/>
  <c r="G963" i="7" a="1"/>
  <c r="G963" i="7" s="1"/>
  <c r="I877" i="7"/>
  <c r="D819" i="7"/>
  <c r="I819" i="7"/>
  <c r="G730" i="7" a="1"/>
  <c r="G730" i="7" s="1"/>
  <c r="I550" i="7"/>
  <c r="D550" i="7"/>
  <c r="I1137" i="7"/>
  <c r="I1105" i="7"/>
  <c r="I1073" i="7"/>
  <c r="I1043" i="7"/>
  <c r="I1040" i="7"/>
  <c r="I979" i="7"/>
  <c r="I976" i="7"/>
  <c r="G947" i="7" a="1"/>
  <c r="G947" i="7" s="1"/>
  <c r="I912" i="7"/>
  <c r="I894" i="7"/>
  <c r="D894" i="7"/>
  <c r="I848" i="7"/>
  <c r="I730" i="7"/>
  <c r="D730" i="7"/>
  <c r="G1257" i="7" a="1"/>
  <c r="G1257" i="7" s="1"/>
  <c r="G1232" i="7" a="1"/>
  <c r="G1232" i="7" s="1"/>
  <c r="I1215" i="7"/>
  <c r="G1207" i="7" a="1"/>
  <c r="G1207" i="7" s="1"/>
  <c r="G1193" i="7" a="1"/>
  <c r="G1193" i="7" s="1"/>
  <c r="G1168" i="7" a="1"/>
  <c r="G1168" i="7" s="1"/>
  <c r="G1151" i="7" a="1"/>
  <c r="G1151" i="7" s="1"/>
  <c r="G1119" i="7" a="1"/>
  <c r="G1119" i="7" s="1"/>
  <c r="G1087" i="7" a="1"/>
  <c r="G1087" i="7" s="1"/>
  <c r="D1049" i="7"/>
  <c r="I1049" i="7"/>
  <c r="I1030" i="7"/>
  <c r="D985" i="7"/>
  <c r="I985" i="7"/>
  <c r="I963" i="7"/>
  <c r="I960" i="7"/>
  <c r="G915" i="7" a="1"/>
  <c r="G915" i="7" s="1"/>
  <c r="I1249" i="7"/>
  <c r="I1185" i="7"/>
  <c r="I1128" i="7"/>
  <c r="I1096" i="7"/>
  <c r="I1064" i="7"/>
  <c r="G1024" i="7" a="1"/>
  <c r="G1024" i="7" s="1"/>
  <c r="G1021" i="7" a="1"/>
  <c r="G1021" i="7" s="1"/>
  <c r="G1018" i="7" a="1"/>
  <c r="G1018" i="7" s="1"/>
  <c r="G1015" i="7" a="1"/>
  <c r="G1015" i="7" s="1"/>
  <c r="I975" i="7"/>
  <c r="I947" i="7"/>
  <c r="I944" i="7"/>
  <c r="G931" i="7" a="1"/>
  <c r="G931" i="7" s="1"/>
  <c r="D881" i="7"/>
  <c r="I881" i="7"/>
  <c r="G876" i="7" a="1"/>
  <c r="G876" i="7" s="1"/>
  <c r="I560" i="7"/>
  <c r="I1003" i="7"/>
  <c r="I1000" i="7"/>
  <c r="I959" i="7"/>
  <c r="I915" i="7"/>
  <c r="D832" i="7"/>
  <c r="I832" i="7"/>
  <c r="G795" i="7" a="1"/>
  <c r="G795" i="7" s="1"/>
  <c r="I570" i="7"/>
  <c r="I1054" i="7"/>
  <c r="D1009" i="7"/>
  <c r="I1009" i="7"/>
  <c r="I990" i="7"/>
  <c r="I943" i="7"/>
  <c r="I931" i="7"/>
  <c r="I928" i="7"/>
  <c r="I897" i="7"/>
  <c r="D889" i="7"/>
  <c r="I889" i="7"/>
  <c r="I818" i="7"/>
  <c r="I892" i="7"/>
  <c r="D883" i="7"/>
  <c r="I883" i="7"/>
  <c r="I876" i="7"/>
  <c r="D867" i="7"/>
  <c r="I867" i="7"/>
  <c r="I860" i="7"/>
  <c r="D851" i="7"/>
  <c r="I851" i="7"/>
  <c r="D835" i="7"/>
  <c r="I835" i="7"/>
  <c r="G825" i="7" a="1"/>
  <c r="G825" i="7" s="1"/>
  <c r="I822" i="7"/>
  <c r="D773" i="7"/>
  <c r="I773" i="7"/>
  <c r="D750" i="7"/>
  <c r="I750" i="7"/>
  <c r="D734" i="7"/>
  <c r="I734" i="7"/>
  <c r="D583" i="7"/>
  <c r="I583" i="7"/>
  <c r="I863" i="7"/>
  <c r="I847" i="7"/>
  <c r="G841" i="7" a="1"/>
  <c r="G841" i="7" s="1"/>
  <c r="I838" i="7"/>
  <c r="D825" i="7"/>
  <c r="I825" i="7"/>
  <c r="I758" i="7"/>
  <c r="I717" i="7"/>
  <c r="I886" i="7"/>
  <c r="I870" i="7"/>
  <c r="I854" i="7"/>
  <c r="D841" i="7"/>
  <c r="I841" i="7"/>
  <c r="G818" i="7" a="1"/>
  <c r="G818" i="7" s="1"/>
  <c r="D765" i="7"/>
  <c r="I765" i="7"/>
  <c r="D725" i="7"/>
  <c r="I725" i="7"/>
  <c r="G695" i="7" a="1"/>
  <c r="G695" i="7" s="1"/>
  <c r="D873" i="7"/>
  <c r="I873" i="7"/>
  <c r="D857" i="7"/>
  <c r="I857" i="7"/>
  <c r="G801" i="7" a="1"/>
  <c r="G801" i="7" s="1"/>
  <c r="I780" i="7"/>
  <c r="D780" i="7"/>
  <c r="G772" i="7" a="1"/>
  <c r="G772" i="7" s="1"/>
  <c r="I741" i="7"/>
  <c r="I686" i="7"/>
  <c r="I480" i="7"/>
  <c r="D801" i="7"/>
  <c r="I801" i="7"/>
  <c r="I888" i="7"/>
  <c r="I872" i="7"/>
  <c r="G866" i="7" a="1"/>
  <c r="G866" i="7" s="1"/>
  <c r="G850" i="7" a="1"/>
  <c r="G850" i="7" s="1"/>
  <c r="G837" i="7" a="1"/>
  <c r="G837" i="7" s="1"/>
  <c r="G834" i="7" a="1"/>
  <c r="G834" i="7" s="1"/>
  <c r="I772" i="7"/>
  <c r="I761" i="7"/>
  <c r="I690" i="7"/>
  <c r="I664" i="7"/>
  <c r="I900" i="7"/>
  <c r="G853" i="7" a="1"/>
  <c r="G853" i="7" s="1"/>
  <c r="I807" i="7"/>
  <c r="G740" i="7" a="1"/>
  <c r="G740" i="7" s="1"/>
  <c r="I733" i="7"/>
  <c r="I712" i="7"/>
  <c r="D699" i="7"/>
  <c r="I699" i="7"/>
  <c r="I654" i="7"/>
  <c r="G609" i="7" a="1"/>
  <c r="G609" i="7" s="1"/>
  <c r="I577" i="7"/>
  <c r="D577" i="7"/>
  <c r="G563" i="7" a="1"/>
  <c r="G563" i="7" s="1"/>
  <c r="G543" i="7" a="1"/>
  <c r="G543" i="7" s="1"/>
  <c r="G779" i="7" a="1"/>
  <c r="G779" i="7" s="1"/>
  <c r="I716" i="7"/>
  <c r="D716" i="7"/>
  <c r="D543" i="7"/>
  <c r="I543" i="7"/>
  <c r="I821" i="7"/>
  <c r="D811" i="7"/>
  <c r="I811" i="7"/>
  <c r="I744" i="7"/>
  <c r="I740" i="7"/>
  <c r="I609" i="7"/>
  <c r="I529" i="7"/>
  <c r="D529" i="7"/>
  <c r="G891" i="7" a="1"/>
  <c r="G891" i="7" s="1"/>
  <c r="G875" i="7" a="1"/>
  <c r="G875" i="7" s="1"/>
  <c r="G859" i="7" a="1"/>
  <c r="G859" i="7" s="1"/>
  <c r="G843" i="7" a="1"/>
  <c r="G843" i="7" s="1"/>
  <c r="I837" i="7"/>
  <c r="G800" i="7" a="1"/>
  <c r="G800" i="7" s="1"/>
  <c r="I786" i="7"/>
  <c r="G771" i="7" a="1"/>
  <c r="G771" i="7" s="1"/>
  <c r="I658" i="7"/>
  <c r="I913" i="7"/>
  <c r="G908" i="7" a="1"/>
  <c r="G908" i="7" s="1"/>
  <c r="I905" i="7"/>
  <c r="I885" i="7"/>
  <c r="I869" i="7"/>
  <c r="I853" i="7"/>
  <c r="G817" i="7" a="1"/>
  <c r="G817" i="7" s="1"/>
  <c r="I810" i="7"/>
  <c r="G793" i="7" a="1"/>
  <c r="G793" i="7" s="1"/>
  <c r="D783" i="7"/>
  <c r="I783" i="7"/>
  <c r="G756" i="7" a="1"/>
  <c r="G756" i="7" s="1"/>
  <c r="G732" i="7" a="1"/>
  <c r="G732" i="7" s="1"/>
  <c r="I590" i="7"/>
  <c r="D590" i="7"/>
  <c r="D567" i="7"/>
  <c r="I567" i="7"/>
  <c r="D503" i="7"/>
  <c r="I503" i="7"/>
  <c r="I488" i="7"/>
  <c r="D488" i="7"/>
  <c r="I823" i="7"/>
  <c r="D817" i="7"/>
  <c r="I817" i="7"/>
  <c r="D793" i="7"/>
  <c r="I793" i="7"/>
  <c r="I622" i="7"/>
  <c r="D622" i="7"/>
  <c r="I553" i="7"/>
  <c r="D553" i="7"/>
  <c r="D446" i="7"/>
  <c r="I446" i="7"/>
  <c r="D891" i="7"/>
  <c r="I891" i="7"/>
  <c r="D875" i="7"/>
  <c r="I875" i="7"/>
  <c r="D859" i="7"/>
  <c r="I859" i="7"/>
  <c r="D843" i="7"/>
  <c r="I843" i="7"/>
  <c r="I839" i="7"/>
  <c r="D827" i="7"/>
  <c r="I827" i="7"/>
  <c r="I782" i="7"/>
  <c r="I756" i="7"/>
  <c r="G693" i="7" a="1"/>
  <c r="G693" i="7" s="1"/>
  <c r="D667" i="7"/>
  <c r="I667" i="7"/>
  <c r="I533" i="7"/>
  <c r="D533" i="7"/>
  <c r="G518" i="7" a="1"/>
  <c r="G518" i="7" s="1"/>
  <c r="G833" i="7" a="1"/>
  <c r="G833" i="7" s="1"/>
  <c r="I830" i="7"/>
  <c r="G747" i="7" a="1"/>
  <c r="G747" i="7" s="1"/>
  <c r="D743" i="7"/>
  <c r="I743" i="7"/>
  <c r="I680" i="7"/>
  <c r="I562" i="7"/>
  <c r="I878" i="7"/>
  <c r="I862" i="7"/>
  <c r="I858" i="7"/>
  <c r="I846" i="7"/>
  <c r="I842" i="7"/>
  <c r="D833" i="7"/>
  <c r="I833" i="7"/>
  <c r="G770" i="7" a="1"/>
  <c r="G770" i="7" s="1"/>
  <c r="G731" i="7" a="1"/>
  <c r="G731" i="7" s="1"/>
  <c r="D719" i="7"/>
  <c r="I719" i="7"/>
  <c r="I693" i="7"/>
  <c r="I684" i="7"/>
  <c r="D684" i="7"/>
  <c r="I557" i="7"/>
  <c r="D557" i="7"/>
  <c r="D849" i="7"/>
  <c r="I849" i="7"/>
  <c r="I747" i="7"/>
  <c r="I688" i="7"/>
  <c r="I648" i="7"/>
  <c r="G871" i="7" a="1"/>
  <c r="G871" i="7" s="1"/>
  <c r="G855" i="7" a="1"/>
  <c r="G855" i="7" s="1"/>
  <c r="G826" i="7" a="1"/>
  <c r="G826" i="7" s="1"/>
  <c r="G799" i="7" a="1"/>
  <c r="G799" i="7" s="1"/>
  <c r="G792" i="7" a="1"/>
  <c r="G792" i="7" s="1"/>
  <c r="G755" i="7" a="1"/>
  <c r="G755" i="7" s="1"/>
  <c r="D702" i="7"/>
  <c r="I702" i="7"/>
  <c r="G661" i="7" a="1"/>
  <c r="G661" i="7" s="1"/>
  <c r="D580" i="7"/>
  <c r="I580" i="7"/>
  <c r="I652" i="7"/>
  <c r="D652" i="7"/>
  <c r="G746" i="7" a="1"/>
  <c r="G746" i="7" s="1"/>
  <c r="G692" i="7" a="1"/>
  <c r="G692" i="7" s="1"/>
  <c r="I661" i="7"/>
  <c r="I656" i="7"/>
  <c r="G593" i="7" a="1"/>
  <c r="G593" i="7" s="1"/>
  <c r="I472" i="7"/>
  <c r="I902" i="7"/>
  <c r="G809" i="7" a="1"/>
  <c r="G809" i="7" s="1"/>
  <c r="G769" i="7" a="1"/>
  <c r="G769" i="7" s="1"/>
  <c r="I755" i="7"/>
  <c r="D755" i="7"/>
  <c r="I742" i="7"/>
  <c r="I722" i="7"/>
  <c r="G625" i="7" a="1"/>
  <c r="G625" i="7" s="1"/>
  <c r="G536" i="7" a="1"/>
  <c r="G536" i="7" s="1"/>
  <c r="I522" i="7"/>
  <c r="D522" i="7"/>
  <c r="I496" i="7"/>
  <c r="D809" i="7"/>
  <c r="I809" i="7"/>
  <c r="I791" i="7"/>
  <c r="G762" i="7" a="1"/>
  <c r="G762" i="7" s="1"/>
  <c r="I593" i="7"/>
  <c r="I829" i="7"/>
  <c r="I766" i="7"/>
  <c r="I701" i="7"/>
  <c r="D701" i="7"/>
  <c r="I625" i="7"/>
  <c r="G560" i="7" a="1"/>
  <c r="G560" i="7" s="1"/>
  <c r="I536" i="7"/>
  <c r="D511" i="7"/>
  <c r="I511" i="7"/>
  <c r="I433" i="7"/>
  <c r="I411" i="7"/>
  <c r="I771" i="7"/>
  <c r="I769" i="7"/>
  <c r="I746" i="7"/>
  <c r="I695" i="7"/>
  <c r="I663" i="7"/>
  <c r="I459" i="7"/>
  <c r="I441" i="7"/>
  <c r="I713" i="7"/>
  <c r="I681" i="7"/>
  <c r="I649" i="7"/>
  <c r="I627" i="7"/>
  <c r="I611" i="7"/>
  <c r="I595" i="7"/>
  <c r="I573" i="7"/>
  <c r="I518" i="7"/>
  <c r="D518" i="7"/>
  <c r="I491" i="7"/>
  <c r="I406" i="7"/>
  <c r="I777" i="7"/>
  <c r="I715" i="7"/>
  <c r="I683" i="7"/>
  <c r="G663" i="7" a="1"/>
  <c r="G663" i="7" s="1"/>
  <c r="I651" i="7"/>
  <c r="G559" i="7" a="1"/>
  <c r="G559" i="7" s="1"/>
  <c r="G535" i="7" a="1"/>
  <c r="G535" i="7" s="1"/>
  <c r="D525" i="7"/>
  <c r="I525" i="7"/>
  <c r="G510" i="7" a="1"/>
  <c r="G510" i="7" s="1"/>
  <c r="D495" i="7"/>
  <c r="I495" i="7"/>
  <c r="I483" i="7"/>
  <c r="I463" i="7"/>
  <c r="G458" i="7" a="1"/>
  <c r="G458" i="7" s="1"/>
  <c r="G440" i="7" a="1"/>
  <c r="G440" i="7" s="1"/>
  <c r="D397" i="7"/>
  <c r="I397" i="7"/>
  <c r="I726" i="7"/>
  <c r="I637" i="7"/>
  <c r="I576" i="7"/>
  <c r="I572" i="7"/>
  <c r="I566" i="7"/>
  <c r="D566" i="7"/>
  <c r="I506" i="7"/>
  <c r="G445" i="7" a="1"/>
  <c r="G445" i="7" s="1"/>
  <c r="I669" i="7"/>
  <c r="I621" i="7"/>
  <c r="I605" i="7"/>
  <c r="I589" i="7"/>
  <c r="I549" i="7"/>
  <c r="I542" i="7"/>
  <c r="D542" i="7"/>
  <c r="G502" i="7" a="1"/>
  <c r="G502" i="7" s="1"/>
  <c r="I436" i="7"/>
  <c r="I803" i="7"/>
  <c r="I795" i="7"/>
  <c r="I785" i="7"/>
  <c r="I723" i="7"/>
  <c r="I721" i="7"/>
  <c r="G715" i="7" a="1"/>
  <c r="G715" i="7" s="1"/>
  <c r="G683" i="7" a="1"/>
  <c r="G683" i="7" s="1"/>
  <c r="G651" i="7" a="1"/>
  <c r="G651" i="7" s="1"/>
  <c r="G630" i="7" a="1"/>
  <c r="G630" i="7" s="1"/>
  <c r="I624" i="7"/>
  <c r="G614" i="7" a="1"/>
  <c r="G614" i="7" s="1"/>
  <c r="I608" i="7"/>
  <c r="I592" i="7"/>
  <c r="I555" i="7"/>
  <c r="I510" i="7"/>
  <c r="D510" i="7"/>
  <c r="I423" i="7"/>
  <c r="G645" i="7" a="1"/>
  <c r="G645" i="7" s="1"/>
  <c r="I569" i="7"/>
  <c r="I552" i="7"/>
  <c r="I528" i="7"/>
  <c r="I521" i="7"/>
  <c r="I414" i="7"/>
  <c r="I689" i="7"/>
  <c r="I662" i="7"/>
  <c r="I657" i="7"/>
  <c r="I582" i="7"/>
  <c r="D582" i="7"/>
  <c r="I502" i="7"/>
  <c r="D502" i="7"/>
  <c r="I462" i="7"/>
  <c r="D462" i="7"/>
  <c r="D365" i="7"/>
  <c r="I365" i="7"/>
  <c r="I729" i="7"/>
  <c r="G723" i="7" a="1"/>
  <c r="G723" i="7" s="1"/>
  <c r="G703" i="7" a="1"/>
  <c r="G703" i="7" s="1"/>
  <c r="I691" i="7"/>
  <c r="I659" i="7"/>
  <c r="I630" i="7"/>
  <c r="D630" i="7"/>
  <c r="I614" i="7"/>
  <c r="D614" i="7"/>
  <c r="I598" i="7"/>
  <c r="D598" i="7"/>
  <c r="I545" i="7"/>
  <c r="D517" i="7"/>
  <c r="I517" i="7"/>
  <c r="I490" i="7"/>
  <c r="I470" i="7"/>
  <c r="I374" i="7"/>
  <c r="I781" i="7"/>
  <c r="I585" i="7"/>
  <c r="G558" i="7" a="1"/>
  <c r="G558" i="7" s="1"/>
  <c r="G534" i="7" a="1"/>
  <c r="G534" i="7" s="1"/>
  <c r="G527" i="7" a="1"/>
  <c r="G527" i="7" s="1"/>
  <c r="G513" i="7" a="1"/>
  <c r="G513" i="7" s="1"/>
  <c r="I494" i="7"/>
  <c r="D494" i="7"/>
  <c r="I482" i="7"/>
  <c r="D444" i="7"/>
  <c r="I444" i="7"/>
  <c r="I439" i="7"/>
  <c r="I714" i="7"/>
  <c r="I709" i="7"/>
  <c r="I682" i="7"/>
  <c r="I677" i="7"/>
  <c r="G662" i="7" a="1"/>
  <c r="G662" i="7" s="1"/>
  <c r="I650" i="7"/>
  <c r="I645" i="7"/>
  <c r="I633" i="7"/>
  <c r="I617" i="7"/>
  <c r="I601" i="7"/>
  <c r="I571" i="7"/>
  <c r="G551" i="7" a="1"/>
  <c r="G551" i="7" s="1"/>
  <c r="D422" i="7"/>
  <c r="I422" i="7"/>
  <c r="I387" i="7"/>
  <c r="I737" i="7"/>
  <c r="I711" i="7"/>
  <c r="G691" i="7" a="1"/>
  <c r="G691" i="7" s="1"/>
  <c r="I679" i="7"/>
  <c r="G659" i="7" a="1"/>
  <c r="G659" i="7" s="1"/>
  <c r="I647" i="7"/>
  <c r="I565" i="7"/>
  <c r="I513" i="7"/>
  <c r="G505" i="7" a="1"/>
  <c r="G505" i="7" s="1"/>
  <c r="I486" i="7"/>
  <c r="D486" i="7"/>
  <c r="I478" i="7"/>
  <c r="G653" i="7" a="1"/>
  <c r="G653" i="7" s="1"/>
  <c r="G629" i="7" a="1"/>
  <c r="G629" i="7" s="1"/>
  <c r="G613" i="7" a="1"/>
  <c r="G613" i="7" s="1"/>
  <c r="G597" i="7" a="1"/>
  <c r="G597" i="7" s="1"/>
  <c r="I558" i="7"/>
  <c r="D558" i="7"/>
  <c r="I541" i="7"/>
  <c r="I534" i="7"/>
  <c r="D534" i="7"/>
  <c r="D527" i="7"/>
  <c r="I527" i="7"/>
  <c r="I520" i="7"/>
  <c r="D509" i="7"/>
  <c r="I509" i="7"/>
  <c r="I461" i="7"/>
  <c r="I697" i="7"/>
  <c r="I665" i="7"/>
  <c r="I568" i="7"/>
  <c r="I505" i="7"/>
  <c r="G497" i="7" a="1"/>
  <c r="G497" i="7" s="1"/>
  <c r="D443" i="7"/>
  <c r="I443" i="7"/>
  <c r="I745" i="7"/>
  <c r="I544" i="7"/>
  <c r="D501" i="7"/>
  <c r="I501" i="7"/>
  <c r="G473" i="7" a="1"/>
  <c r="G473" i="7" s="1"/>
  <c r="G750" i="7" a="1"/>
  <c r="G750" i="7" s="1"/>
  <c r="G725" i="7" a="1"/>
  <c r="G725" i="7" s="1"/>
  <c r="G705" i="7" a="1"/>
  <c r="G705" i="7" s="1"/>
  <c r="G673" i="7" a="1"/>
  <c r="G673" i="7" s="1"/>
  <c r="G641" i="7" a="1"/>
  <c r="G641" i="7" s="1"/>
  <c r="G638" i="7" a="1"/>
  <c r="G638" i="7" s="1"/>
  <c r="G635" i="7" a="1"/>
  <c r="G635" i="7" s="1"/>
  <c r="I581" i="7"/>
  <c r="I561" i="7"/>
  <c r="G519" i="7" a="1"/>
  <c r="G519" i="7" s="1"/>
  <c r="I497" i="7"/>
  <c r="G460" i="7" a="1"/>
  <c r="G460" i="7" s="1"/>
  <c r="I685" i="7"/>
  <c r="I653" i="7"/>
  <c r="I629" i="7"/>
  <c r="I613" i="7"/>
  <c r="I597" i="7"/>
  <c r="I584" i="7"/>
  <c r="I537" i="7"/>
  <c r="G526" i="7" a="1"/>
  <c r="G526" i="7" s="1"/>
  <c r="D493" i="7"/>
  <c r="I493" i="7"/>
  <c r="G489" i="7" a="1"/>
  <c r="G489" i="7" s="1"/>
  <c r="G481" i="7" a="1"/>
  <c r="G481" i="7" s="1"/>
  <c r="I473" i="7"/>
  <c r="G442" i="7" a="1"/>
  <c r="G442" i="7" s="1"/>
  <c r="G381" i="7" a="1"/>
  <c r="G381" i="7" s="1"/>
  <c r="I753" i="7"/>
  <c r="G722" i="7" a="1"/>
  <c r="G722" i="7" s="1"/>
  <c r="G699" i="7" a="1"/>
  <c r="G699" i="7" s="1"/>
  <c r="G667" i="7" a="1"/>
  <c r="G667" i="7" s="1"/>
  <c r="I632" i="7"/>
  <c r="G622" i="7" a="1"/>
  <c r="G622" i="7" s="1"/>
  <c r="I616" i="7"/>
  <c r="G606" i="7" a="1"/>
  <c r="G606" i="7" s="1"/>
  <c r="I600" i="7"/>
  <c r="G590" i="7" a="1"/>
  <c r="G590" i="7" s="1"/>
  <c r="I574" i="7"/>
  <c r="D574" i="7"/>
  <c r="G567" i="7" a="1"/>
  <c r="G567" i="7" s="1"/>
  <c r="G550" i="7" a="1"/>
  <c r="G550" i="7" s="1"/>
  <c r="I515" i="7"/>
  <c r="I512" i="7"/>
  <c r="I403" i="7"/>
  <c r="I628" i="7"/>
  <c r="I612" i="7"/>
  <c r="I596" i="7"/>
  <c r="D519" i="7"/>
  <c r="I519" i="7"/>
  <c r="I489" i="7"/>
  <c r="D485" i="7"/>
  <c r="I485" i="7"/>
  <c r="I481" i="7"/>
  <c r="I390" i="7"/>
  <c r="I372" i="7"/>
  <c r="I705" i="7"/>
  <c r="I673" i="7"/>
  <c r="I641" i="7"/>
  <c r="I638" i="7"/>
  <c r="I526" i="7"/>
  <c r="D526" i="7"/>
  <c r="I504" i="7"/>
  <c r="G472" i="7" a="1"/>
  <c r="G472" i="7" s="1"/>
  <c r="I447" i="7"/>
  <c r="I442" i="7"/>
  <c r="I421" i="7"/>
  <c r="F409" i="7"/>
  <c r="F410" i="7" s="1"/>
  <c r="F411" i="7" s="1"/>
  <c r="F412" i="7" s="1"/>
  <c r="D403" i="7"/>
  <c r="I358" i="7"/>
  <c r="D347" i="7"/>
  <c r="I347" i="7"/>
  <c r="G331" i="7" a="1"/>
  <c r="G331" i="7" s="1"/>
  <c r="I248" i="7"/>
  <c r="I221" i="7"/>
  <c r="D478" i="7"/>
  <c r="D470" i="7"/>
  <c r="I371" i="7"/>
  <c r="I361" i="7"/>
  <c r="D361" i="7"/>
  <c r="G326" i="7" a="1"/>
  <c r="G326" i="7" s="1"/>
  <c r="F290" i="7"/>
  <c r="I159" i="7"/>
  <c r="I409" i="7"/>
  <c r="D390" i="7"/>
  <c r="I383" i="7"/>
  <c r="D374" i="7"/>
  <c r="D354" i="7"/>
  <c r="I354" i="7"/>
  <c r="I290" i="7"/>
  <c r="I281" i="7"/>
  <c r="D281" i="7"/>
  <c r="I276" i="7"/>
  <c r="I211" i="7"/>
  <c r="G464" i="7" a="1"/>
  <c r="G464" i="7" s="1"/>
  <c r="I438" i="7"/>
  <c r="I405" i="7"/>
  <c r="I326" i="7"/>
  <c r="I262" i="7"/>
  <c r="I477" i="7"/>
  <c r="I450" i="7"/>
  <c r="G441" i="7" a="1"/>
  <c r="G441" i="7" s="1"/>
  <c r="I418" i="7"/>
  <c r="I393" i="7"/>
  <c r="I377" i="7"/>
  <c r="D377" i="7"/>
  <c r="G330" i="7" a="1"/>
  <c r="G330" i="7" s="1"/>
  <c r="F405" i="7"/>
  <c r="F406" i="7" s="1"/>
  <c r="F407" i="7" s="1"/>
  <c r="F408" i="7" s="1"/>
  <c r="I389" i="7"/>
  <c r="I373" i="7"/>
  <c r="I350" i="7"/>
  <c r="G312" i="7" a="1"/>
  <c r="G312" i="7" s="1"/>
  <c r="I252" i="7"/>
  <c r="I376" i="7"/>
  <c r="D346" i="7"/>
  <c r="I346" i="7"/>
  <c r="I312" i="7"/>
  <c r="I398" i="7"/>
  <c r="I366" i="7"/>
  <c r="I353" i="7"/>
  <c r="D353" i="7"/>
  <c r="I280" i="7"/>
  <c r="I177" i="7"/>
  <c r="I402" i="7"/>
  <c r="I342" i="7"/>
  <c r="G316" i="7" a="1"/>
  <c r="G316" i="7" s="1"/>
  <c r="D294" i="7"/>
  <c r="I294" i="7"/>
  <c r="I284" i="7"/>
  <c r="I210" i="7"/>
  <c r="I458" i="7"/>
  <c r="I370" i="7"/>
  <c r="I352" i="7"/>
  <c r="I338" i="7"/>
  <c r="I334" i="7"/>
  <c r="D334" i="7"/>
  <c r="I251" i="7"/>
  <c r="I237" i="7"/>
  <c r="I487" i="7"/>
  <c r="I479" i="7"/>
  <c r="I386" i="7"/>
  <c r="I329" i="7"/>
  <c r="D329" i="7"/>
  <c r="I316" i="7"/>
  <c r="I187" i="7"/>
  <c r="G443" i="7" a="1"/>
  <c r="G443" i="7" s="1"/>
  <c r="I426" i="7"/>
  <c r="G401" i="7" a="1"/>
  <c r="G401" i="7" s="1"/>
  <c r="I349" i="7"/>
  <c r="I345" i="7"/>
  <c r="G306" i="7" a="1"/>
  <c r="G306" i="7" s="1"/>
  <c r="F293" i="7"/>
  <c r="F294" i="7" s="1"/>
  <c r="F295" i="7" s="1"/>
  <c r="F296" i="7" s="1"/>
  <c r="F297" i="7" s="1"/>
  <c r="F298" i="7" s="1"/>
  <c r="F299" i="7" s="1"/>
  <c r="F300" i="7" s="1"/>
  <c r="F301" i="7" s="1"/>
  <c r="F302" i="7" s="1"/>
  <c r="F303" i="7" s="1"/>
  <c r="F304" i="7" s="1"/>
  <c r="F305" i="7" s="1"/>
  <c r="F306" i="7" s="1"/>
  <c r="F307" i="7" s="1"/>
  <c r="F308" i="7" s="1"/>
  <c r="F309" i="7" s="1"/>
  <c r="F310" i="7" s="1"/>
  <c r="F311" i="7" s="1"/>
  <c r="F312" i="7" s="1"/>
  <c r="F313" i="7" s="1"/>
  <c r="F314" i="7" s="1"/>
  <c r="F315" i="7" s="1"/>
  <c r="F316" i="7" s="1"/>
  <c r="F317" i="7" s="1"/>
  <c r="F318" i="7" s="1"/>
  <c r="F319" i="7" s="1"/>
  <c r="F320" i="7" s="1"/>
  <c r="F321" i="7" s="1"/>
  <c r="F322" i="7" s="1"/>
  <c r="F323" i="7" s="1"/>
  <c r="F324" i="7" s="1"/>
  <c r="F325" i="7" s="1"/>
  <c r="F326" i="7" s="1"/>
  <c r="F327" i="7" s="1"/>
  <c r="F328" i="7" s="1"/>
  <c r="F329" i="7" s="1"/>
  <c r="F330" i="7" s="1"/>
  <c r="F331" i="7" s="1"/>
  <c r="F332" i="7" s="1"/>
  <c r="F333" i="7" s="1"/>
  <c r="F334" i="7" s="1"/>
  <c r="F335" i="7" s="1"/>
  <c r="F336" i="7" s="1"/>
  <c r="F337" i="7" s="1"/>
  <c r="F338" i="7" s="1"/>
  <c r="F339" i="7" s="1"/>
  <c r="F340" i="7" s="1"/>
  <c r="F341" i="7" s="1"/>
  <c r="F342" i="7" s="1"/>
  <c r="F343" i="7" s="1"/>
  <c r="F344" i="7" s="1"/>
  <c r="F345" i="7" s="1"/>
  <c r="F346" i="7" s="1"/>
  <c r="F347" i="7" s="1"/>
  <c r="F348" i="7" s="1"/>
  <c r="F349" i="7" s="1"/>
  <c r="F350" i="7" s="1"/>
  <c r="F351" i="7" s="1"/>
  <c r="F352" i="7" s="1"/>
  <c r="F353" i="7" s="1"/>
  <c r="F354" i="7" s="1"/>
  <c r="F355" i="7" s="1"/>
  <c r="F356" i="7" s="1"/>
  <c r="F357" i="7" s="1"/>
  <c r="F358" i="7" s="1"/>
  <c r="F359" i="7" s="1"/>
  <c r="F360" i="7" s="1"/>
  <c r="F361" i="7" s="1"/>
  <c r="F362" i="7" s="1"/>
  <c r="F363" i="7" s="1"/>
  <c r="F364" i="7" s="1"/>
  <c r="F365" i="7" s="1"/>
  <c r="F366" i="7" s="1"/>
  <c r="F367" i="7" s="1"/>
  <c r="F368" i="7" s="1"/>
  <c r="F369" i="7" s="1"/>
  <c r="F370" i="7" s="1"/>
  <c r="F371" i="7" s="1"/>
  <c r="F372" i="7" s="1"/>
  <c r="F373" i="7" s="1"/>
  <c r="F374" i="7" s="1"/>
  <c r="F375" i="7" s="1"/>
  <c r="F376" i="7" s="1"/>
  <c r="F377" i="7" s="1"/>
  <c r="F378" i="7" s="1"/>
  <c r="F379" i="7" s="1"/>
  <c r="F380" i="7" s="1"/>
  <c r="F381" i="7" s="1"/>
  <c r="F382" i="7" s="1"/>
  <c r="F383" i="7" s="1"/>
  <c r="F384" i="7" s="1"/>
  <c r="F385" i="7" s="1"/>
  <c r="F386" i="7" s="1"/>
  <c r="F387" i="7" s="1"/>
  <c r="F388" i="7" s="1"/>
  <c r="F389" i="7" s="1"/>
  <c r="F390" i="7" s="1"/>
  <c r="F391" i="7" s="1"/>
  <c r="F392" i="7" s="1"/>
  <c r="F393" i="7" s="1"/>
  <c r="F394" i="7" s="1"/>
  <c r="I431" i="7"/>
  <c r="G369" i="7" a="1"/>
  <c r="G369" i="7" s="1"/>
  <c r="I363" i="7"/>
  <c r="I356" i="7"/>
  <c r="D356" i="7"/>
  <c r="I270" i="7"/>
  <c r="I205" i="7"/>
  <c r="I344" i="7"/>
  <c r="D333" i="7"/>
  <c r="I333" i="7"/>
  <c r="I181" i="7"/>
  <c r="I171" i="7"/>
  <c r="I379" i="7"/>
  <c r="I341" i="7"/>
  <c r="I315" i="7"/>
  <c r="D315" i="7"/>
  <c r="F278" i="7"/>
  <c r="F279" i="7" s="1"/>
  <c r="F280" i="7" s="1"/>
  <c r="F281" i="7" s="1"/>
  <c r="F282" i="7" s="1"/>
  <c r="F283" i="7" s="1"/>
  <c r="F284" i="7" s="1"/>
  <c r="F285" i="7" s="1"/>
  <c r="G278" i="7" a="1"/>
  <c r="G278" i="7" s="1"/>
  <c r="I218" i="7"/>
  <c r="I401" i="7"/>
  <c r="I369" i="7"/>
  <c r="D369" i="7"/>
  <c r="I337" i="7"/>
  <c r="I320" i="7"/>
  <c r="I301" i="7"/>
  <c r="I236" i="7"/>
  <c r="F413" i="7"/>
  <c r="F414" i="7" s="1"/>
  <c r="F415" i="7" s="1"/>
  <c r="F416" i="7" s="1"/>
  <c r="F417" i="7" s="1"/>
  <c r="F418" i="7" s="1"/>
  <c r="F419" i="7" s="1"/>
  <c r="F420" i="7" s="1"/>
  <c r="F421" i="7" s="1"/>
  <c r="F422" i="7" s="1"/>
  <c r="F423" i="7" s="1"/>
  <c r="F424" i="7" s="1"/>
  <c r="F425" i="7" s="1"/>
  <c r="F426" i="7" s="1"/>
  <c r="F427" i="7" s="1"/>
  <c r="F428" i="7" s="1"/>
  <c r="F429" i="7" s="1"/>
  <c r="F430" i="7" s="1"/>
  <c r="F431" i="7" s="1"/>
  <c r="F432" i="7" s="1"/>
  <c r="F433" i="7" s="1"/>
  <c r="F434" i="7" s="1"/>
  <c r="F435" i="7" s="1"/>
  <c r="F436" i="7" s="1"/>
  <c r="F437" i="7" s="1"/>
  <c r="F438" i="7" s="1"/>
  <c r="F439" i="7" s="1"/>
  <c r="F440" i="7" s="1"/>
  <c r="F441" i="7" s="1"/>
  <c r="F442" i="7" s="1"/>
  <c r="F443" i="7" s="1"/>
  <c r="F444" i="7" s="1"/>
  <c r="F445" i="7" s="1"/>
  <c r="F446" i="7" s="1"/>
  <c r="F447" i="7" s="1"/>
  <c r="F448" i="7" s="1"/>
  <c r="F449" i="7" s="1"/>
  <c r="F450" i="7" s="1"/>
  <c r="F451" i="7" s="1"/>
  <c r="F452" i="7" s="1"/>
  <c r="F453" i="7" s="1"/>
  <c r="F454" i="7" s="1"/>
  <c r="F455" i="7" s="1"/>
  <c r="F456" i="7" s="1"/>
  <c r="F457" i="7" s="1"/>
  <c r="F458" i="7" s="1"/>
  <c r="F459" i="7" s="1"/>
  <c r="F460" i="7" s="1"/>
  <c r="F461" i="7" s="1"/>
  <c r="F462" i="7" s="1"/>
  <c r="F463" i="7" s="1"/>
  <c r="F464" i="7" s="1"/>
  <c r="F465" i="7" s="1"/>
  <c r="F466" i="7" s="1"/>
  <c r="F467" i="7" s="1"/>
  <c r="F468" i="7" s="1"/>
  <c r="F469" i="7" s="1"/>
  <c r="F470" i="7" s="1"/>
  <c r="F471" i="7" s="1"/>
  <c r="F472" i="7" s="1"/>
  <c r="F473" i="7" s="1"/>
  <c r="F474" i="7" s="1"/>
  <c r="F475" i="7" s="1"/>
  <c r="F476" i="7" s="1"/>
  <c r="F477" i="7" s="1"/>
  <c r="F478" i="7" s="1"/>
  <c r="F479" i="7" s="1"/>
  <c r="F480" i="7" s="1"/>
  <c r="F481" i="7" s="1"/>
  <c r="F482" i="7" s="1"/>
  <c r="F483" i="7" s="1"/>
  <c r="F484" i="7" s="1"/>
  <c r="F485" i="7" s="1"/>
  <c r="F486" i="7" s="1"/>
  <c r="F487" i="7" s="1"/>
  <c r="F488" i="7" s="1"/>
  <c r="F489" i="7" s="1"/>
  <c r="F490" i="7" s="1"/>
  <c r="F491" i="7" s="1"/>
  <c r="F492" i="7" s="1"/>
  <c r="F493" i="7" s="1"/>
  <c r="F494" i="7" s="1"/>
  <c r="F495" i="7" s="1"/>
  <c r="F496" i="7" s="1"/>
  <c r="F497" i="7" s="1"/>
  <c r="F498" i="7" s="1"/>
  <c r="F499" i="7" s="1"/>
  <c r="F500" i="7" s="1"/>
  <c r="F501" i="7" s="1"/>
  <c r="F502" i="7" s="1"/>
  <c r="F503" i="7" s="1"/>
  <c r="F504" i="7" s="1"/>
  <c r="F505" i="7" s="1"/>
  <c r="F506" i="7" s="1"/>
  <c r="F507" i="7" s="1"/>
  <c r="F508" i="7" s="1"/>
  <c r="F509" i="7" s="1"/>
  <c r="F510" i="7" s="1"/>
  <c r="F511" i="7" s="1"/>
  <c r="F512" i="7" s="1"/>
  <c r="F513" i="7" s="1"/>
  <c r="F514" i="7" s="1"/>
  <c r="F515" i="7" s="1"/>
  <c r="F516" i="7" s="1"/>
  <c r="F517" i="7" s="1"/>
  <c r="F518" i="7" s="1"/>
  <c r="F519" i="7" s="1"/>
  <c r="F520" i="7" s="1"/>
  <c r="F521" i="7" s="1"/>
  <c r="F522" i="7" s="1"/>
  <c r="F523" i="7" s="1"/>
  <c r="F524" i="7" s="1"/>
  <c r="F525" i="7" s="1"/>
  <c r="F526" i="7" s="1"/>
  <c r="F527" i="7" s="1"/>
  <c r="F528" i="7" s="1"/>
  <c r="F529" i="7" s="1"/>
  <c r="F530" i="7" s="1"/>
  <c r="F531" i="7" s="1"/>
  <c r="F532" i="7" s="1"/>
  <c r="F533" i="7" s="1"/>
  <c r="F534" i="7" s="1"/>
  <c r="F535" i="7" s="1"/>
  <c r="F536" i="7" s="1"/>
  <c r="F537" i="7" s="1"/>
  <c r="F538" i="7" s="1"/>
  <c r="F539" i="7" s="1"/>
  <c r="F540" i="7" s="1"/>
  <c r="F541" i="7" s="1"/>
  <c r="F542" i="7" s="1"/>
  <c r="F543" i="7" s="1"/>
  <c r="F544" i="7" s="1"/>
  <c r="F545" i="7" s="1"/>
  <c r="F546" i="7" s="1"/>
  <c r="F547" i="7" s="1"/>
  <c r="F548" i="7" s="1"/>
  <c r="F549" i="7" s="1"/>
  <c r="F550" i="7" s="1"/>
  <c r="F551" i="7" s="1"/>
  <c r="F552" i="7" s="1"/>
  <c r="F553" i="7" s="1"/>
  <c r="F554" i="7" s="1"/>
  <c r="F555" i="7" s="1"/>
  <c r="F556" i="7" s="1"/>
  <c r="F557" i="7" s="1"/>
  <c r="F558" i="7" s="1"/>
  <c r="F559" i="7" s="1"/>
  <c r="F560" i="7" s="1"/>
  <c r="F561" i="7" s="1"/>
  <c r="F562" i="7" s="1"/>
  <c r="F563" i="7" s="1"/>
  <c r="F564" i="7" s="1"/>
  <c r="F565" i="7" s="1"/>
  <c r="F566" i="7" s="1"/>
  <c r="F567" i="7" s="1"/>
  <c r="F568" i="7" s="1"/>
  <c r="F569" i="7" s="1"/>
  <c r="F570" i="7" s="1"/>
  <c r="F571" i="7" s="1"/>
  <c r="F572" i="7" s="1"/>
  <c r="F573" i="7" s="1"/>
  <c r="F574" i="7" s="1"/>
  <c r="F575" i="7" s="1"/>
  <c r="F576" i="7" s="1"/>
  <c r="F577" i="7" s="1"/>
  <c r="F578" i="7" s="1"/>
  <c r="F579" i="7" s="1"/>
  <c r="F580" i="7" s="1"/>
  <c r="F581" i="7" s="1"/>
  <c r="F582" i="7" s="1"/>
  <c r="F583" i="7" s="1"/>
  <c r="F584" i="7" s="1"/>
  <c r="F585" i="7" s="1"/>
  <c r="F586" i="7" s="1"/>
  <c r="F587" i="7" s="1"/>
  <c r="F588" i="7" s="1"/>
  <c r="F589" i="7" s="1"/>
  <c r="F590" i="7" s="1"/>
  <c r="F591" i="7" s="1"/>
  <c r="F592" i="7" s="1"/>
  <c r="F593" i="7" s="1"/>
  <c r="F594" i="7" s="1"/>
  <c r="F595" i="7" s="1"/>
  <c r="F596" i="7" s="1"/>
  <c r="F597" i="7" s="1"/>
  <c r="F598" i="7" s="1"/>
  <c r="F599" i="7" s="1"/>
  <c r="F600" i="7" s="1"/>
  <c r="F601" i="7" s="1"/>
  <c r="F602" i="7" s="1"/>
  <c r="F603" i="7" s="1"/>
  <c r="F604" i="7" s="1"/>
  <c r="F605" i="7" s="1"/>
  <c r="F606" i="7" s="1"/>
  <c r="F607" i="7" s="1"/>
  <c r="F608" i="7" s="1"/>
  <c r="F609" i="7" s="1"/>
  <c r="F610" i="7" s="1"/>
  <c r="F611" i="7" s="1"/>
  <c r="F612" i="7" s="1"/>
  <c r="F613" i="7" s="1"/>
  <c r="F614" i="7" s="1"/>
  <c r="F615" i="7" s="1"/>
  <c r="F616" i="7" s="1"/>
  <c r="F617" i="7" s="1"/>
  <c r="F618" i="7" s="1"/>
  <c r="F619" i="7" s="1"/>
  <c r="F620" i="7" s="1"/>
  <c r="F621" i="7" s="1"/>
  <c r="F622" i="7" s="1"/>
  <c r="F623" i="7" s="1"/>
  <c r="F624" i="7" s="1"/>
  <c r="F625" i="7" s="1"/>
  <c r="F626" i="7" s="1"/>
  <c r="F627" i="7" s="1"/>
  <c r="F628" i="7" s="1"/>
  <c r="F629" i="7" s="1"/>
  <c r="F630" i="7" s="1"/>
  <c r="F631" i="7" s="1"/>
  <c r="F632" i="7" s="1"/>
  <c r="F633" i="7" s="1"/>
  <c r="F634" i="7" s="1"/>
  <c r="F635" i="7" s="1"/>
  <c r="F636" i="7" s="1"/>
  <c r="F637" i="7" s="1"/>
  <c r="F638" i="7" s="1"/>
  <c r="F639" i="7" s="1"/>
  <c r="F640" i="7" s="1"/>
  <c r="F641" i="7" s="1"/>
  <c r="F642" i="7" s="1"/>
  <c r="F643" i="7" s="1"/>
  <c r="F644" i="7" s="1"/>
  <c r="F645" i="7" s="1"/>
  <c r="F646" i="7" s="1"/>
  <c r="F647" i="7" s="1"/>
  <c r="F648" i="7" s="1"/>
  <c r="F649" i="7" s="1"/>
  <c r="F650" i="7" s="1"/>
  <c r="F651" i="7" s="1"/>
  <c r="F652" i="7" s="1"/>
  <c r="F653" i="7" s="1"/>
  <c r="F654" i="7" s="1"/>
  <c r="F655" i="7" s="1"/>
  <c r="F656" i="7" s="1"/>
  <c r="F657" i="7" s="1"/>
  <c r="F658" i="7" s="1"/>
  <c r="F659" i="7" s="1"/>
  <c r="F660" i="7" s="1"/>
  <c r="F661" i="7" s="1"/>
  <c r="F662" i="7" s="1"/>
  <c r="F663" i="7" s="1"/>
  <c r="F664" i="7" s="1"/>
  <c r="F665" i="7" s="1"/>
  <c r="F666" i="7" s="1"/>
  <c r="F667" i="7" s="1"/>
  <c r="F668" i="7" s="1"/>
  <c r="F669" i="7" s="1"/>
  <c r="F670" i="7" s="1"/>
  <c r="F671" i="7" s="1"/>
  <c r="F672" i="7" s="1"/>
  <c r="F673" i="7" s="1"/>
  <c r="F674" i="7" s="1"/>
  <c r="F675" i="7" s="1"/>
  <c r="F676" i="7" s="1"/>
  <c r="F677" i="7" s="1"/>
  <c r="F678" i="7" s="1"/>
  <c r="F679" i="7" s="1"/>
  <c r="F680" i="7" s="1"/>
  <c r="F681" i="7" s="1"/>
  <c r="F682" i="7" s="1"/>
  <c r="F683" i="7" s="1"/>
  <c r="F684" i="7" s="1"/>
  <c r="F685" i="7" s="1"/>
  <c r="F686" i="7" s="1"/>
  <c r="F687" i="7" s="1"/>
  <c r="F688" i="7" s="1"/>
  <c r="F689" i="7" s="1"/>
  <c r="F690" i="7" s="1"/>
  <c r="F691" i="7" s="1"/>
  <c r="F692" i="7" s="1"/>
  <c r="F693" i="7" s="1"/>
  <c r="F694" i="7" s="1"/>
  <c r="F695" i="7" s="1"/>
  <c r="F696" i="7" s="1"/>
  <c r="F697" i="7" s="1"/>
  <c r="F698" i="7" s="1"/>
  <c r="F699" i="7" s="1"/>
  <c r="F700" i="7" s="1"/>
  <c r="F701" i="7" s="1"/>
  <c r="F702" i="7" s="1"/>
  <c r="F703" i="7" s="1"/>
  <c r="F704" i="7" s="1"/>
  <c r="F705" i="7" s="1"/>
  <c r="F706" i="7" s="1"/>
  <c r="F707" i="7" s="1"/>
  <c r="F708" i="7" s="1"/>
  <c r="F709" i="7" s="1"/>
  <c r="F710" i="7" s="1"/>
  <c r="F711" i="7" s="1"/>
  <c r="F712" i="7" s="1"/>
  <c r="F713" i="7" s="1"/>
  <c r="F714" i="7" s="1"/>
  <c r="F715" i="7" s="1"/>
  <c r="F716" i="7" s="1"/>
  <c r="F717" i="7" s="1"/>
  <c r="F718" i="7" s="1"/>
  <c r="F719" i="7" s="1"/>
  <c r="F720" i="7" s="1"/>
  <c r="F721" i="7" s="1"/>
  <c r="F722" i="7" s="1"/>
  <c r="F723" i="7" s="1"/>
  <c r="F724" i="7" s="1"/>
  <c r="F725" i="7" s="1"/>
  <c r="F726" i="7" s="1"/>
  <c r="F727" i="7" s="1"/>
  <c r="F728" i="7" s="1"/>
  <c r="F729" i="7" s="1"/>
  <c r="F730" i="7" s="1"/>
  <c r="F731" i="7" s="1"/>
  <c r="F732" i="7" s="1"/>
  <c r="F733" i="7" s="1"/>
  <c r="F734" i="7" s="1"/>
  <c r="F735" i="7" s="1"/>
  <c r="F736" i="7" s="1"/>
  <c r="F737" i="7" s="1"/>
  <c r="F738" i="7" s="1"/>
  <c r="F739" i="7" s="1"/>
  <c r="F740" i="7" s="1"/>
  <c r="F741" i="7" s="1"/>
  <c r="F742" i="7" s="1"/>
  <c r="F743" i="7" s="1"/>
  <c r="F744" i="7" s="1"/>
  <c r="F745" i="7" s="1"/>
  <c r="F746" i="7" s="1"/>
  <c r="F747" i="7" s="1"/>
  <c r="F748" i="7" s="1"/>
  <c r="F749" i="7" s="1"/>
  <c r="F750" i="7" s="1"/>
  <c r="F751" i="7" s="1"/>
  <c r="F752" i="7" s="1"/>
  <c r="F753" i="7" s="1"/>
  <c r="F754" i="7" s="1"/>
  <c r="F755" i="7" s="1"/>
  <c r="F756" i="7" s="1"/>
  <c r="F757" i="7" s="1"/>
  <c r="F758" i="7" s="1"/>
  <c r="F759" i="7" s="1"/>
  <c r="F760" i="7" s="1"/>
  <c r="F761" i="7" s="1"/>
  <c r="F762" i="7" s="1"/>
  <c r="F763" i="7" s="1"/>
  <c r="F764" i="7" s="1"/>
  <c r="F765" i="7" s="1"/>
  <c r="F766" i="7" s="1"/>
  <c r="F767" i="7" s="1"/>
  <c r="F768" i="7" s="1"/>
  <c r="F769" i="7" s="1"/>
  <c r="F770" i="7" s="1"/>
  <c r="F771" i="7" s="1"/>
  <c r="F772" i="7" s="1"/>
  <c r="F773" i="7" s="1"/>
  <c r="F774" i="7" s="1"/>
  <c r="F775" i="7" s="1"/>
  <c r="F776" i="7" s="1"/>
  <c r="F777" i="7" s="1"/>
  <c r="F778" i="7" s="1"/>
  <c r="F779" i="7" s="1"/>
  <c r="F780" i="7" s="1"/>
  <c r="F781" i="7" s="1"/>
  <c r="F782" i="7" s="1"/>
  <c r="F783" i="7" s="1"/>
  <c r="F784" i="7" s="1"/>
  <c r="F785" i="7" s="1"/>
  <c r="F786" i="7" s="1"/>
  <c r="F787" i="7" s="1"/>
  <c r="F788" i="7" s="1"/>
  <c r="F789" i="7" s="1"/>
  <c r="F790" i="7" s="1"/>
  <c r="F791" i="7" s="1"/>
  <c r="F792" i="7" s="1"/>
  <c r="F793" i="7" s="1"/>
  <c r="F794" i="7" s="1"/>
  <c r="F795" i="7" s="1"/>
  <c r="F796" i="7" s="1"/>
  <c r="F797" i="7" s="1"/>
  <c r="F798" i="7" s="1"/>
  <c r="F799" i="7" s="1"/>
  <c r="F800" i="7" s="1"/>
  <c r="F801" i="7" s="1"/>
  <c r="F802" i="7" s="1"/>
  <c r="F803" i="7" s="1"/>
  <c r="F804" i="7" s="1"/>
  <c r="F805" i="7" s="1"/>
  <c r="F806" i="7" s="1"/>
  <c r="F807" i="7" s="1"/>
  <c r="F808" i="7" s="1"/>
  <c r="F809" i="7" s="1"/>
  <c r="F810" i="7" s="1"/>
  <c r="F811" i="7" s="1"/>
  <c r="F812" i="7" s="1"/>
  <c r="F813" i="7" s="1"/>
  <c r="F814" i="7" s="1"/>
  <c r="F815" i="7" s="1"/>
  <c r="F816" i="7" s="1"/>
  <c r="F817" i="7" s="1"/>
  <c r="F818" i="7" s="1"/>
  <c r="F819" i="7" s="1"/>
  <c r="F820" i="7" s="1"/>
  <c r="F821" i="7" s="1"/>
  <c r="F822" i="7" s="1"/>
  <c r="F823" i="7" s="1"/>
  <c r="F824" i="7" s="1"/>
  <c r="F825" i="7" s="1"/>
  <c r="F826" i="7" s="1"/>
  <c r="F827" i="7" s="1"/>
  <c r="F828" i="7" s="1"/>
  <c r="F829" i="7" s="1"/>
  <c r="F830" i="7" s="1"/>
  <c r="F831" i="7" s="1"/>
  <c r="F832" i="7" s="1"/>
  <c r="F833" i="7" s="1"/>
  <c r="F834" i="7" s="1"/>
  <c r="F835" i="7" s="1"/>
  <c r="F836" i="7" s="1"/>
  <c r="F837" i="7" s="1"/>
  <c r="F838" i="7" s="1"/>
  <c r="F839" i="7" s="1"/>
  <c r="F840" i="7" s="1"/>
  <c r="F841" i="7" s="1"/>
  <c r="F842" i="7" s="1"/>
  <c r="F843" i="7" s="1"/>
  <c r="F844" i="7" s="1"/>
  <c r="F845" i="7" s="1"/>
  <c r="F846" i="7" s="1"/>
  <c r="F847" i="7" s="1"/>
  <c r="F848" i="7" s="1"/>
  <c r="F849" i="7" s="1"/>
  <c r="F850" i="7" s="1"/>
  <c r="F851" i="7" s="1"/>
  <c r="F852" i="7" s="1"/>
  <c r="F853" i="7" s="1"/>
  <c r="F854" i="7" s="1"/>
  <c r="F855" i="7" s="1"/>
  <c r="F856" i="7" s="1"/>
  <c r="F857" i="7" s="1"/>
  <c r="F858" i="7" s="1"/>
  <c r="F859" i="7" s="1"/>
  <c r="F860" i="7" s="1"/>
  <c r="F861" i="7" s="1"/>
  <c r="F862" i="7" s="1"/>
  <c r="F863" i="7" s="1"/>
  <c r="F864" i="7" s="1"/>
  <c r="F865" i="7" s="1"/>
  <c r="F866" i="7" s="1"/>
  <c r="F867" i="7" s="1"/>
  <c r="F868" i="7" s="1"/>
  <c r="F869" i="7" s="1"/>
  <c r="F870" i="7" s="1"/>
  <c r="F871" i="7" s="1"/>
  <c r="F872" i="7" s="1"/>
  <c r="F873" i="7" s="1"/>
  <c r="F874" i="7" s="1"/>
  <c r="F875" i="7" s="1"/>
  <c r="F876" i="7" s="1"/>
  <c r="F877" i="7" s="1"/>
  <c r="F878" i="7" s="1"/>
  <c r="F879" i="7" s="1"/>
  <c r="F880" i="7" s="1"/>
  <c r="F881" i="7" s="1"/>
  <c r="F882" i="7" s="1"/>
  <c r="F883" i="7" s="1"/>
  <c r="F884" i="7" s="1"/>
  <c r="F885" i="7" s="1"/>
  <c r="F886" i="7" s="1"/>
  <c r="F887" i="7" s="1"/>
  <c r="F888" i="7" s="1"/>
  <c r="F889" i="7" s="1"/>
  <c r="F890" i="7" s="1"/>
  <c r="F891" i="7" s="1"/>
  <c r="F892" i="7" s="1"/>
  <c r="F893" i="7" s="1"/>
  <c r="F894" i="7" s="1"/>
  <c r="F895" i="7" s="1"/>
  <c r="F896" i="7" s="1"/>
  <c r="F897" i="7" s="1"/>
  <c r="F898" i="7" s="1"/>
  <c r="F899" i="7" s="1"/>
  <c r="F900" i="7" s="1"/>
  <c r="F901" i="7" s="1"/>
  <c r="F902" i="7" s="1"/>
  <c r="F903" i="7" s="1"/>
  <c r="F904" i="7" s="1"/>
  <c r="F905" i="7" s="1"/>
  <c r="F906" i="7" s="1"/>
  <c r="F907" i="7" s="1"/>
  <c r="F908" i="7" s="1"/>
  <c r="F909" i="7" s="1"/>
  <c r="F910" i="7" s="1"/>
  <c r="F911" i="7" s="1"/>
  <c r="F912" i="7" s="1"/>
  <c r="F913" i="7" s="1"/>
  <c r="F914" i="7" s="1"/>
  <c r="F915" i="7" s="1"/>
  <c r="F916" i="7" s="1"/>
  <c r="F917" i="7" s="1"/>
  <c r="F918" i="7" s="1"/>
  <c r="F919" i="7" s="1"/>
  <c r="F920" i="7" s="1"/>
  <c r="F921" i="7" s="1"/>
  <c r="F922" i="7" s="1"/>
  <c r="F923" i="7" s="1"/>
  <c r="F924" i="7" s="1"/>
  <c r="F925" i="7" s="1"/>
  <c r="F926" i="7" s="1"/>
  <c r="F927" i="7" s="1"/>
  <c r="F928" i="7" s="1"/>
  <c r="F929" i="7" s="1"/>
  <c r="F930" i="7" s="1"/>
  <c r="F931" i="7" s="1"/>
  <c r="F932" i="7" s="1"/>
  <c r="F933" i="7" s="1"/>
  <c r="F934" i="7" s="1"/>
  <c r="F935" i="7" s="1"/>
  <c r="F936" i="7" s="1"/>
  <c r="F937" i="7" s="1"/>
  <c r="F938" i="7" s="1"/>
  <c r="F939" i="7" s="1"/>
  <c r="F940" i="7" s="1"/>
  <c r="F941" i="7" s="1"/>
  <c r="F942" i="7" s="1"/>
  <c r="F943" i="7" s="1"/>
  <c r="F944" i="7" s="1"/>
  <c r="F945" i="7" s="1"/>
  <c r="F946" i="7" s="1"/>
  <c r="F947" i="7" s="1"/>
  <c r="F948" i="7" s="1"/>
  <c r="F949" i="7" s="1"/>
  <c r="F950" i="7" s="1"/>
  <c r="F951" i="7" s="1"/>
  <c r="F952" i="7" s="1"/>
  <c r="F953" i="7" s="1"/>
  <c r="F954" i="7" s="1"/>
  <c r="F955" i="7" s="1"/>
  <c r="F956" i="7" s="1"/>
  <c r="F957" i="7" s="1"/>
  <c r="F958" i="7" s="1"/>
  <c r="F959" i="7" s="1"/>
  <c r="F960" i="7" s="1"/>
  <c r="F961" i="7" s="1"/>
  <c r="F962" i="7" s="1"/>
  <c r="F963" i="7" s="1"/>
  <c r="F964" i="7" s="1"/>
  <c r="F965" i="7" s="1"/>
  <c r="F966" i="7" s="1"/>
  <c r="F967" i="7" s="1"/>
  <c r="F968" i="7" s="1"/>
  <c r="F969" i="7" s="1"/>
  <c r="F970" i="7" s="1"/>
  <c r="F971" i="7" s="1"/>
  <c r="F972" i="7" s="1"/>
  <c r="F973" i="7" s="1"/>
  <c r="F974" i="7" s="1"/>
  <c r="F975" i="7" s="1"/>
  <c r="F976" i="7" s="1"/>
  <c r="F977" i="7" s="1"/>
  <c r="F978" i="7" s="1"/>
  <c r="F979" i="7" s="1"/>
  <c r="F980" i="7" s="1"/>
  <c r="F981" i="7" s="1"/>
  <c r="F982" i="7" s="1"/>
  <c r="F983" i="7" s="1"/>
  <c r="F984" i="7" s="1"/>
  <c r="F985" i="7" s="1"/>
  <c r="F986" i="7" s="1"/>
  <c r="F987" i="7" s="1"/>
  <c r="F988" i="7" s="1"/>
  <c r="F989" i="7" s="1"/>
  <c r="F990" i="7" s="1"/>
  <c r="F991" i="7" s="1"/>
  <c r="F992" i="7" s="1"/>
  <c r="F993" i="7" s="1"/>
  <c r="F994" i="7" s="1"/>
  <c r="F995" i="7" s="1"/>
  <c r="F996" i="7" s="1"/>
  <c r="F997" i="7" s="1"/>
  <c r="F998" i="7" s="1"/>
  <c r="F999" i="7" s="1"/>
  <c r="F1000" i="7" s="1"/>
  <c r="F1001" i="7" s="1"/>
  <c r="F1002" i="7" s="1"/>
  <c r="F1003" i="7" s="1"/>
  <c r="F1004" i="7" s="1"/>
  <c r="F1005" i="7" s="1"/>
  <c r="F1006" i="7" s="1"/>
  <c r="F1007" i="7" s="1"/>
  <c r="F1008" i="7" s="1"/>
  <c r="F1009" i="7" s="1"/>
  <c r="F1010" i="7" s="1"/>
  <c r="F1011" i="7" s="1"/>
  <c r="F1012" i="7" s="1"/>
  <c r="F1013" i="7" s="1"/>
  <c r="F1014" i="7" s="1"/>
  <c r="F1015" i="7" s="1"/>
  <c r="F1016" i="7" s="1"/>
  <c r="F1017" i="7" s="1"/>
  <c r="F1018" i="7" s="1"/>
  <c r="F1019" i="7" s="1"/>
  <c r="F1020" i="7" s="1"/>
  <c r="F1021" i="7" s="1"/>
  <c r="F1022" i="7" s="1"/>
  <c r="F1023" i="7" s="1"/>
  <c r="F1024" i="7" s="1"/>
  <c r="F1025" i="7" s="1"/>
  <c r="F1026" i="7" s="1"/>
  <c r="F1027" i="7" s="1"/>
  <c r="F1028" i="7" s="1"/>
  <c r="F1029" i="7" s="1"/>
  <c r="F1030" i="7" s="1"/>
  <c r="F1031" i="7" s="1"/>
  <c r="F1032" i="7" s="1"/>
  <c r="F1033" i="7" s="1"/>
  <c r="F1034" i="7" s="1"/>
  <c r="F1035" i="7" s="1"/>
  <c r="F1036" i="7" s="1"/>
  <c r="F1037" i="7" s="1"/>
  <c r="F1038" i="7" s="1"/>
  <c r="F1039" i="7" s="1"/>
  <c r="F1040" i="7" s="1"/>
  <c r="F1041" i="7" s="1"/>
  <c r="F1042" i="7" s="1"/>
  <c r="F1043" i="7" s="1"/>
  <c r="F1044" i="7" s="1"/>
  <c r="F1045" i="7" s="1"/>
  <c r="F1046" i="7" s="1"/>
  <c r="F1047" i="7" s="1"/>
  <c r="F1048" i="7" s="1"/>
  <c r="F1049" i="7" s="1"/>
  <c r="F1050" i="7" s="1"/>
  <c r="F1051" i="7" s="1"/>
  <c r="F1052" i="7" s="1"/>
  <c r="F1053" i="7" s="1"/>
  <c r="F1054" i="7" s="1"/>
  <c r="F1055" i="7" s="1"/>
  <c r="F1056" i="7" s="1"/>
  <c r="F1057" i="7" s="1"/>
  <c r="F1058" i="7" s="1"/>
  <c r="F1059" i="7" s="1"/>
  <c r="F1060" i="7" s="1"/>
  <c r="F1061" i="7" s="1"/>
  <c r="F1062" i="7" s="1"/>
  <c r="F1063" i="7" s="1"/>
  <c r="F1064" i="7" s="1"/>
  <c r="F1065" i="7" s="1"/>
  <c r="F1066" i="7" s="1"/>
  <c r="F1067" i="7" s="1"/>
  <c r="F1068" i="7" s="1"/>
  <c r="F1069" i="7" s="1"/>
  <c r="F1070" i="7" s="1"/>
  <c r="F1071" i="7" s="1"/>
  <c r="F1072" i="7" s="1"/>
  <c r="F1073" i="7" s="1"/>
  <c r="F1074" i="7" s="1"/>
  <c r="F1075" i="7" s="1"/>
  <c r="F1076" i="7" s="1"/>
  <c r="F1077" i="7" s="1"/>
  <c r="F1078" i="7" s="1"/>
  <c r="F1079" i="7" s="1"/>
  <c r="F1080" i="7" s="1"/>
  <c r="F1081" i="7" s="1"/>
  <c r="F1082" i="7" s="1"/>
  <c r="F1083" i="7" s="1"/>
  <c r="F1084" i="7" s="1"/>
  <c r="F1085" i="7" s="1"/>
  <c r="F1086" i="7" s="1"/>
  <c r="F1087" i="7" s="1"/>
  <c r="F1088" i="7" s="1"/>
  <c r="F1089" i="7" s="1"/>
  <c r="F1090" i="7" s="1"/>
  <c r="F1091" i="7" s="1"/>
  <c r="F1092" i="7" s="1"/>
  <c r="F1093" i="7" s="1"/>
  <c r="F1094" i="7" s="1"/>
  <c r="F1095" i="7" s="1"/>
  <c r="F1096" i="7" s="1"/>
  <c r="F1097" i="7" s="1"/>
  <c r="F1098" i="7" s="1"/>
  <c r="F1099" i="7" s="1"/>
  <c r="F1100" i="7" s="1"/>
  <c r="F1101" i="7" s="1"/>
  <c r="F1102" i="7" s="1"/>
  <c r="F1103" i="7" s="1"/>
  <c r="F1104" i="7" s="1"/>
  <c r="F1105" i="7" s="1"/>
  <c r="F1106" i="7" s="1"/>
  <c r="F1107" i="7" s="1"/>
  <c r="F1108" i="7" s="1"/>
  <c r="F1109" i="7" s="1"/>
  <c r="F1110" i="7" s="1"/>
  <c r="F1111" i="7" s="1"/>
  <c r="F1112" i="7" s="1"/>
  <c r="F1113" i="7" s="1"/>
  <c r="F1114" i="7" s="1"/>
  <c r="F1115" i="7" s="1"/>
  <c r="F1116" i="7" s="1"/>
  <c r="F1117" i="7" s="1"/>
  <c r="F1118" i="7" s="1"/>
  <c r="F1119" i="7" s="1"/>
  <c r="F1120" i="7" s="1"/>
  <c r="F1121" i="7" s="1"/>
  <c r="F1122" i="7" s="1"/>
  <c r="F1123" i="7" s="1"/>
  <c r="F1124" i="7" s="1"/>
  <c r="F1125" i="7" s="1"/>
  <c r="F1126" i="7" s="1"/>
  <c r="F1127" i="7" s="1"/>
  <c r="F1128" i="7" s="1"/>
  <c r="F1129" i="7" s="1"/>
  <c r="F1130" i="7" s="1"/>
  <c r="F1131" i="7" s="1"/>
  <c r="F1132" i="7" s="1"/>
  <c r="F1133" i="7" s="1"/>
  <c r="F1134" i="7" s="1"/>
  <c r="F1135" i="7" s="1"/>
  <c r="F1136" i="7" s="1"/>
  <c r="F1137" i="7" s="1"/>
  <c r="F1138" i="7" s="1"/>
  <c r="F1139" i="7" s="1"/>
  <c r="F1140" i="7" s="1"/>
  <c r="F1141" i="7" s="1"/>
  <c r="F1142" i="7" s="1"/>
  <c r="F1143" i="7" s="1"/>
  <c r="F1144" i="7" s="1"/>
  <c r="F1145" i="7" s="1"/>
  <c r="F1146" i="7" s="1"/>
  <c r="F1147" i="7" s="1"/>
  <c r="F1148" i="7" s="1"/>
  <c r="F1149" i="7" s="1"/>
  <c r="F1150" i="7" s="1"/>
  <c r="F1151" i="7" s="1"/>
  <c r="F1152" i="7" s="1"/>
  <c r="F1153" i="7" s="1"/>
  <c r="F1154" i="7" s="1"/>
  <c r="F1155" i="7" s="1"/>
  <c r="F1156" i="7" s="1"/>
  <c r="F1157" i="7" s="1"/>
  <c r="F1158" i="7" s="1"/>
  <c r="F1159" i="7" s="1"/>
  <c r="F1160" i="7" s="1"/>
  <c r="F1161" i="7" s="1"/>
  <c r="F1162" i="7" s="1"/>
  <c r="F1163" i="7" s="1"/>
  <c r="F1164" i="7" s="1"/>
  <c r="F1165" i="7" s="1"/>
  <c r="F1166" i="7" s="1"/>
  <c r="F1167" i="7" s="1"/>
  <c r="F1168" i="7" s="1"/>
  <c r="F1169" i="7" s="1"/>
  <c r="F1170" i="7" s="1"/>
  <c r="F1171" i="7" s="1"/>
  <c r="F1172" i="7" s="1"/>
  <c r="F1173" i="7" s="1"/>
  <c r="F1174" i="7" s="1"/>
  <c r="F1175" i="7" s="1"/>
  <c r="F1176" i="7" s="1"/>
  <c r="F1177" i="7" s="1"/>
  <c r="F1178" i="7" s="1"/>
  <c r="F1179" i="7" s="1"/>
  <c r="F1180" i="7" s="1"/>
  <c r="F1181" i="7" s="1"/>
  <c r="F1182" i="7" s="1"/>
  <c r="F1183" i="7" s="1"/>
  <c r="F1184" i="7" s="1"/>
  <c r="F1185" i="7" s="1"/>
  <c r="F1186" i="7" s="1"/>
  <c r="F1187" i="7" s="1"/>
  <c r="F1188" i="7" s="1"/>
  <c r="F1189" i="7" s="1"/>
  <c r="F1190" i="7" s="1"/>
  <c r="F1191" i="7" s="1"/>
  <c r="F1192" i="7" s="1"/>
  <c r="F1193" i="7" s="1"/>
  <c r="F1194" i="7" s="1"/>
  <c r="F1195" i="7" s="1"/>
  <c r="F1196" i="7" s="1"/>
  <c r="F1197" i="7" s="1"/>
  <c r="F1198" i="7" s="1"/>
  <c r="F1199" i="7" s="1"/>
  <c r="F1200" i="7" s="1"/>
  <c r="F1201" i="7" s="1"/>
  <c r="F1202" i="7" s="1"/>
  <c r="F1203" i="7" s="1"/>
  <c r="F1204" i="7" s="1"/>
  <c r="F1205" i="7" s="1"/>
  <c r="F1206" i="7" s="1"/>
  <c r="F1207" i="7" s="1"/>
  <c r="F1208" i="7" s="1"/>
  <c r="F1209" i="7" s="1"/>
  <c r="F1210" i="7" s="1"/>
  <c r="F1211" i="7" s="1"/>
  <c r="F1212" i="7" s="1"/>
  <c r="F1213" i="7" s="1"/>
  <c r="F1214" i="7" s="1"/>
  <c r="F1215" i="7" s="1"/>
  <c r="F1216" i="7" s="1"/>
  <c r="F1217" i="7" s="1"/>
  <c r="F1218" i="7" s="1"/>
  <c r="F1219" i="7" s="1"/>
  <c r="F1220" i="7" s="1"/>
  <c r="F1221" i="7" s="1"/>
  <c r="F1222" i="7" s="1"/>
  <c r="F1223" i="7" s="1"/>
  <c r="F1224" i="7" s="1"/>
  <c r="F1225" i="7" s="1"/>
  <c r="F1226" i="7" s="1"/>
  <c r="F1227" i="7" s="1"/>
  <c r="F1228" i="7" s="1"/>
  <c r="F1229" i="7" s="1"/>
  <c r="F1230" i="7" s="1"/>
  <c r="F1231" i="7" s="1"/>
  <c r="F1232" i="7" s="1"/>
  <c r="F1233" i="7" s="1"/>
  <c r="F1234" i="7" s="1"/>
  <c r="F1235" i="7" s="1"/>
  <c r="F1236" i="7" s="1"/>
  <c r="F1237" i="7" s="1"/>
  <c r="F1238" i="7" s="1"/>
  <c r="F1239" i="7" s="1"/>
  <c r="F1240" i="7" s="1"/>
  <c r="F1241" i="7" s="1"/>
  <c r="F1242" i="7" s="1"/>
  <c r="F1243" i="7" s="1"/>
  <c r="F1244" i="7" s="1"/>
  <c r="F1245" i="7" s="1"/>
  <c r="F1246" i="7" s="1"/>
  <c r="F1247" i="7" s="1"/>
  <c r="F1248" i="7" s="1"/>
  <c r="F1249" i="7" s="1"/>
  <c r="F1250" i="7" s="1"/>
  <c r="F1251" i="7" s="1"/>
  <c r="F1252" i="7" s="1"/>
  <c r="F1253" i="7" s="1"/>
  <c r="F1254" i="7" s="1"/>
  <c r="F1255" i="7" s="1"/>
  <c r="F1256" i="7" s="1"/>
  <c r="F1257" i="7" s="1"/>
  <c r="F1258" i="7" s="1"/>
  <c r="F1259" i="7" s="1"/>
  <c r="I351" i="7"/>
  <c r="D269" i="7"/>
  <c r="I269" i="7"/>
  <c r="I245" i="7"/>
  <c r="I385" i="7"/>
  <c r="I348" i="7"/>
  <c r="D348" i="7"/>
  <c r="I240" i="7"/>
  <c r="I434" i="7"/>
  <c r="I410" i="7"/>
  <c r="I384" i="7"/>
  <c r="I355" i="7"/>
  <c r="I340" i="7"/>
  <c r="D340" i="7"/>
  <c r="D319" i="7"/>
  <c r="I319" i="7"/>
  <c r="I456" i="7"/>
  <c r="I362" i="7"/>
  <c r="F291" i="7"/>
  <c r="G291" i="7" a="1"/>
  <c r="G291" i="7" s="1"/>
  <c r="I141" i="7"/>
  <c r="I309" i="7"/>
  <c r="D309" i="7"/>
  <c r="I300" i="7"/>
  <c r="I208" i="7"/>
  <c r="I378" i="7"/>
  <c r="D358" i="7"/>
  <c r="I304" i="7"/>
  <c r="I277" i="7"/>
  <c r="D304" i="7"/>
  <c r="I295" i="7"/>
  <c r="G287" i="7" a="1"/>
  <c r="G287" i="7" s="1"/>
  <c r="G273" i="7" a="1"/>
  <c r="G273" i="7" s="1"/>
  <c r="I256" i="7"/>
  <c r="G248" i="7" a="1"/>
  <c r="G248" i="7" s="1"/>
  <c r="D240" i="7"/>
  <c r="I217" i="7"/>
  <c r="G205" i="7" a="1"/>
  <c r="G205" i="7" s="1"/>
  <c r="D187" i="7"/>
  <c r="I184" i="7"/>
  <c r="D181" i="7"/>
  <c r="G162" i="7" a="1"/>
  <c r="G162" i="7" s="1"/>
  <c r="I134" i="7"/>
  <c r="D134" i="7"/>
  <c r="I122" i="7"/>
  <c r="I93" i="7"/>
  <c r="I88" i="7"/>
  <c r="I83" i="7"/>
  <c r="D290" i="7"/>
  <c r="D276" i="7"/>
  <c r="I265" i="7"/>
  <c r="D251" i="7"/>
  <c r="I214" i="7"/>
  <c r="D211" i="7"/>
  <c r="D159" i="7"/>
  <c r="G193" i="7" a="1"/>
  <c r="G193" i="7" s="1"/>
  <c r="I190" i="7"/>
  <c r="D190" i="7"/>
  <c r="I133" i="7"/>
  <c r="D345" i="7"/>
  <c r="I339" i="7"/>
  <c r="I328" i="7"/>
  <c r="D312" i="7"/>
  <c r="I264" i="7"/>
  <c r="D248" i="7"/>
  <c r="I213" i="7"/>
  <c r="I273" i="7"/>
  <c r="G267" i="7" a="1"/>
  <c r="G267" i="7" s="1"/>
  <c r="G242" i="7" a="1"/>
  <c r="G242" i="7" s="1"/>
  <c r="G219" i="7" a="1"/>
  <c r="G219" i="7" s="1"/>
  <c r="I193" i="7"/>
  <c r="I189" i="7"/>
  <c r="G174" i="7" a="1"/>
  <c r="G174" i="7" s="1"/>
  <c r="I162" i="7"/>
  <c r="G144" i="7" a="1"/>
  <c r="G144" i="7" s="1"/>
  <c r="D141" i="7"/>
  <c r="I11" i="7"/>
  <c r="I325" i="7"/>
  <c r="F292" i="7"/>
  <c r="I286" i="7"/>
  <c r="D270" i="7"/>
  <c r="I261" i="7"/>
  <c r="G253" i="7" a="1"/>
  <c r="G253" i="7" s="1"/>
  <c r="D245" i="7"/>
  <c r="G216" i="7" a="1"/>
  <c r="G216" i="7" s="1"/>
  <c r="I207" i="7"/>
  <c r="G186" i="7" a="1"/>
  <c r="G186" i="7" s="1"/>
  <c r="I168" i="7"/>
  <c r="G63" i="7" a="1"/>
  <c r="G63" i="7" s="1"/>
  <c r="I225" i="7"/>
  <c r="I222" i="7"/>
  <c r="I174" i="7"/>
  <c r="D174" i="7"/>
  <c r="I144" i="7"/>
  <c r="D144" i="7"/>
  <c r="G125" i="7" a="1"/>
  <c r="G125" i="7" s="1"/>
  <c r="D116" i="7"/>
  <c r="I116" i="7"/>
  <c r="G111" i="7" a="1"/>
  <c r="G111" i="7" s="1"/>
  <c r="G325" i="7" a="1"/>
  <c r="G325" i="7" s="1"/>
  <c r="I308" i="7"/>
  <c r="G286" i="7" a="1"/>
  <c r="G286" i="7" s="1"/>
  <c r="G261" i="7" a="1"/>
  <c r="G261" i="7" s="1"/>
  <c r="I244" i="7"/>
  <c r="I224" i="7"/>
  <c r="G207" i="7" a="1"/>
  <c r="G207" i="7" s="1"/>
  <c r="D180" i="7"/>
  <c r="I180" i="7"/>
  <c r="G161" i="7" a="1"/>
  <c r="G161" i="7" s="1"/>
  <c r="I158" i="7"/>
  <c r="D158" i="7"/>
  <c r="I125" i="7"/>
  <c r="D125" i="7"/>
  <c r="I255" i="7"/>
  <c r="F233" i="7"/>
  <c r="F234" i="7" s="1"/>
  <c r="F235" i="7" s="1"/>
  <c r="F236" i="7" s="1"/>
  <c r="F237" i="7" s="1"/>
  <c r="F238" i="7" s="1"/>
  <c r="F239" i="7" s="1"/>
  <c r="F240" i="7" s="1"/>
  <c r="F241" i="7" s="1"/>
  <c r="F242" i="7" s="1"/>
  <c r="F243" i="7" s="1"/>
  <c r="F244" i="7" s="1"/>
  <c r="F245" i="7" s="1"/>
  <c r="F246" i="7" s="1"/>
  <c r="F247" i="7" s="1"/>
  <c r="F248" i="7" s="1"/>
  <c r="F249" i="7" s="1"/>
  <c r="F250" i="7" s="1"/>
  <c r="F251" i="7" s="1"/>
  <c r="F252" i="7" s="1"/>
  <c r="F253" i="7" s="1"/>
  <c r="F254" i="7" s="1"/>
  <c r="F255" i="7" s="1"/>
  <c r="F256" i="7" s="1"/>
  <c r="F257" i="7" s="1"/>
  <c r="F258" i="7" s="1"/>
  <c r="F259" i="7" s="1"/>
  <c r="F260" i="7" s="1"/>
  <c r="F261" i="7" s="1"/>
  <c r="F262" i="7" s="1"/>
  <c r="F263" i="7" s="1"/>
  <c r="F264" i="7" s="1"/>
  <c r="F265" i="7" s="1"/>
  <c r="F266" i="7" s="1"/>
  <c r="F267" i="7" s="1"/>
  <c r="F268" i="7" s="1"/>
  <c r="F269" i="7" s="1"/>
  <c r="F270" i="7" s="1"/>
  <c r="F271" i="7" s="1"/>
  <c r="F272" i="7" s="1"/>
  <c r="F273" i="7" s="1"/>
  <c r="F274" i="7" s="1"/>
  <c r="F275" i="7" s="1"/>
  <c r="F276" i="7" s="1"/>
  <c r="F277" i="7" s="1"/>
  <c r="I170" i="7"/>
  <c r="I101" i="7"/>
  <c r="I289" i="7"/>
  <c r="I179" i="7"/>
  <c r="I161" i="7"/>
  <c r="G333" i="7" a="1"/>
  <c r="G333" i="7" s="1"/>
  <c r="I302" i="7"/>
  <c r="G294" i="7" a="1"/>
  <c r="G294" i="7" s="1"/>
  <c r="G269" i="7" a="1"/>
  <c r="G269" i="7" s="1"/>
  <c r="G224" i="7" a="1"/>
  <c r="G224" i="7" s="1"/>
  <c r="I215" i="7"/>
  <c r="I192" i="7"/>
  <c r="D154" i="7"/>
  <c r="I154" i="7"/>
  <c r="D140" i="7"/>
  <c r="I140" i="7"/>
  <c r="G124" i="7" a="1"/>
  <c r="G124" i="7" s="1"/>
  <c r="I81" i="7"/>
  <c r="D81" i="7"/>
  <c r="I327" i="7"/>
  <c r="G319" i="7" a="1"/>
  <c r="G319" i="7" s="1"/>
  <c r="G305" i="7" a="1"/>
  <c r="G305" i="7" s="1"/>
  <c r="I288" i="7"/>
  <c r="G280" i="7" a="1"/>
  <c r="G280" i="7" s="1"/>
  <c r="G255" i="7" a="1"/>
  <c r="G255" i="7" s="1"/>
  <c r="G241" i="7" a="1"/>
  <c r="G241" i="7" s="1"/>
  <c r="I233" i="7"/>
  <c r="G221" i="7" a="1"/>
  <c r="G221" i="7" s="1"/>
  <c r="I212" i="7"/>
  <c r="I201" i="7"/>
  <c r="I198" i="7"/>
  <c r="I188" i="7"/>
  <c r="I297" i="7"/>
  <c r="G266" i="7" a="1"/>
  <c r="G266" i="7" s="1"/>
  <c r="I230" i="7"/>
  <c r="G218" i="7" a="1"/>
  <c r="G218" i="7" s="1"/>
  <c r="G182" i="7" a="1"/>
  <c r="G182" i="7" s="1"/>
  <c r="D19" i="7"/>
  <c r="I19" i="7"/>
  <c r="I143" i="7"/>
  <c r="D143" i="7"/>
  <c r="I176" i="7"/>
  <c r="I157" i="7"/>
  <c r="G119" i="7" a="1"/>
  <c r="G119" i="7" s="1"/>
  <c r="I305" i="7"/>
  <c r="I241" i="7"/>
  <c r="I318" i="7"/>
  <c r="G310" i="7" a="1"/>
  <c r="G310" i="7" s="1"/>
  <c r="I293" i="7"/>
  <c r="G285" i="7" a="1"/>
  <c r="G285" i="7" s="1"/>
  <c r="I254" i="7"/>
  <c r="I160" i="7"/>
  <c r="I279" i="7"/>
  <c r="I220" i="7"/>
  <c r="I209" i="7"/>
  <c r="I313" i="7"/>
  <c r="I249" i="7"/>
  <c r="I206" i="7"/>
  <c r="I146" i="7"/>
  <c r="D146" i="7"/>
  <c r="G318" i="7" a="1"/>
  <c r="G318" i="7" s="1"/>
  <c r="G293" i="7" a="1"/>
  <c r="G293" i="7" s="1"/>
  <c r="G254" i="7" a="1"/>
  <c r="G254" i="7" s="1"/>
  <c r="G223" i="7" a="1"/>
  <c r="G223" i="7" s="1"/>
  <c r="G184" i="7" a="1"/>
  <c r="G184" i="7" s="1"/>
  <c r="G175" i="7" a="1"/>
  <c r="G175" i="7" s="1"/>
  <c r="G172" i="7" a="1"/>
  <c r="G172" i="7" s="1"/>
  <c r="I166" i="7"/>
  <c r="D166" i="7"/>
  <c r="I287" i="7"/>
  <c r="F220" i="7"/>
  <c r="F221" i="7" s="1"/>
  <c r="F222" i="7" s="1"/>
  <c r="F223" i="7" s="1"/>
  <c r="F224" i="7" s="1"/>
  <c r="F225" i="7" s="1"/>
  <c r="F226" i="7" s="1"/>
  <c r="F227" i="7" s="1"/>
  <c r="F228" i="7" s="1"/>
  <c r="F229" i="7" s="1"/>
  <c r="F230" i="7" s="1"/>
  <c r="F217" i="7"/>
  <c r="G103" i="7" a="1"/>
  <c r="G103" i="7" s="1"/>
  <c r="G98" i="7" a="1"/>
  <c r="G98" i="7" s="1"/>
  <c r="G65" i="7" a="1"/>
  <c r="G65" i="7" s="1"/>
  <c r="I321" i="7"/>
  <c r="G315" i="7" a="1"/>
  <c r="G315" i="7" s="1"/>
  <c r="G290" i="7" a="1"/>
  <c r="G290" i="7" s="1"/>
  <c r="I257" i="7"/>
  <c r="G251" i="7" a="1"/>
  <c r="G251" i="7" s="1"/>
  <c r="G159" i="7" a="1"/>
  <c r="G159" i="7" s="1"/>
  <c r="D156" i="7"/>
  <c r="I156" i="7"/>
  <c r="G74" i="7" a="1"/>
  <c r="G74" i="7" s="1"/>
  <c r="I231" i="7"/>
  <c r="D217" i="7"/>
  <c r="I196" i="7"/>
  <c r="D184" i="7"/>
  <c r="I178" i="7"/>
  <c r="D122" i="7"/>
  <c r="I113" i="7"/>
  <c r="D113" i="7"/>
  <c r="G93" i="7" a="1"/>
  <c r="G93" i="7" s="1"/>
  <c r="I110" i="7"/>
  <c r="D110" i="7"/>
  <c r="G76" i="7" a="1"/>
  <c r="G76" i="7" s="1"/>
  <c r="I73" i="7"/>
  <c r="I62" i="7"/>
  <c r="I31" i="7"/>
  <c r="D31" i="7"/>
  <c r="G15" i="7" a="1"/>
  <c r="G15" i="7" s="1"/>
  <c r="G1252" i="8"/>
  <c r="I1209" i="8"/>
  <c r="I1175" i="8"/>
  <c r="I152" i="7"/>
  <c r="I97" i="7"/>
  <c r="D83" i="7"/>
  <c r="I23" i="7"/>
  <c r="F7" i="7"/>
  <c r="G7" i="7" a="1"/>
  <c r="G7" i="7" s="1"/>
  <c r="I1146" i="8"/>
  <c r="G34" i="7" a="1"/>
  <c r="G34" i="7" s="1"/>
  <c r="D11" i="7"/>
  <c r="I1223" i="8"/>
  <c r="I1121" i="8"/>
  <c r="I1025" i="8"/>
  <c r="I148" i="7"/>
  <c r="I128" i="7"/>
  <c r="I99" i="7"/>
  <c r="D93" i="7"/>
  <c r="G79" i="7" a="1"/>
  <c r="G79" i="7" s="1"/>
  <c r="I75" i="7"/>
  <c r="I69" i="7"/>
  <c r="I34" i="7"/>
  <c r="I1247" i="8"/>
  <c r="I1035" i="8"/>
  <c r="G61" i="7" a="1"/>
  <c r="G61" i="7" s="1"/>
  <c r="G57" i="7" a="1"/>
  <c r="G57" i="7" s="1"/>
  <c r="I42" i="7"/>
  <c r="G22" i="7" a="1"/>
  <c r="G22" i="7" s="1"/>
  <c r="G14" i="7" a="1"/>
  <c r="G14" i="7" s="1"/>
  <c r="I1256" i="8"/>
  <c r="G1251" i="8"/>
  <c r="I1232" i="8"/>
  <c r="D1198" i="8"/>
  <c r="I1198" i="8"/>
  <c r="I1169" i="8"/>
  <c r="D1160" i="8"/>
  <c r="I1160" i="8"/>
  <c r="I86" i="7"/>
  <c r="D86" i="7"/>
  <c r="I68" i="7"/>
  <c r="I1155" i="8"/>
  <c r="G148" i="7" a="1"/>
  <c r="G148" i="7" s="1"/>
  <c r="I106" i="7"/>
  <c r="D96" i="7"/>
  <c r="I96" i="7"/>
  <c r="I37" i="7"/>
  <c r="I30" i="7"/>
  <c r="G118" i="7" a="1"/>
  <c r="G118" i="7" s="1"/>
  <c r="G102" i="7" a="1"/>
  <c r="G102" i="7" s="1"/>
  <c r="G49" i="7" a="1"/>
  <c r="G49" i="7" s="1"/>
  <c r="I25" i="7"/>
  <c r="D18" i="7"/>
  <c r="I18" i="7"/>
  <c r="I1178" i="8"/>
  <c r="D112" i="7"/>
  <c r="I112" i="7"/>
  <c r="G92" i="7" a="1"/>
  <c r="G92" i="7" s="1"/>
  <c r="I89" i="7"/>
  <c r="G41" i="7" a="1"/>
  <c r="G41" i="7" s="1"/>
  <c r="I142" i="7"/>
  <c r="D142" i="7"/>
  <c r="D92" i="7"/>
  <c r="I92" i="7"/>
  <c r="I49" i="7"/>
  <c r="D10" i="7"/>
  <c r="I10" i="7"/>
  <c r="I136" i="7"/>
  <c r="I118" i="7"/>
  <c r="D118" i="7"/>
  <c r="I102" i="7"/>
  <c r="D102" i="7"/>
  <c r="G85" i="7" a="1"/>
  <c r="G85" i="7" s="1"/>
  <c r="I52" i="7"/>
  <c r="G1226" i="8"/>
  <c r="I1197" i="8"/>
  <c r="D1129" i="8"/>
  <c r="I1129" i="8"/>
  <c r="I91" i="7"/>
  <c r="G71" i="7" a="1"/>
  <c r="G71" i="7" s="1"/>
  <c r="I121" i="7"/>
  <c r="I78" i="7"/>
  <c r="D78" i="7"/>
  <c r="I1182" i="8"/>
  <c r="I1163" i="8"/>
  <c r="I1124" i="8"/>
  <c r="I105" i="7"/>
  <c r="G81" i="7" a="1"/>
  <c r="G81" i="7" s="1"/>
  <c r="I56" i="7"/>
  <c r="D56" i="7"/>
  <c r="I17" i="7"/>
  <c r="D17" i="7"/>
  <c r="G1201" i="8"/>
  <c r="G40" i="7" a="1"/>
  <c r="G40" i="7" s="1"/>
  <c r="G36" i="7" a="1"/>
  <c r="G36" i="7" s="1"/>
  <c r="I9" i="7"/>
  <c r="D1245" i="8"/>
  <c r="I1245" i="8"/>
  <c r="I48" i="7"/>
  <c r="D36" i="7"/>
  <c r="I36" i="7"/>
  <c r="G32" i="7" a="1"/>
  <c r="G32" i="7" s="1"/>
  <c r="I1254" i="8"/>
  <c r="I1143" i="8"/>
  <c r="D1143" i="8"/>
  <c r="I182" i="7"/>
  <c r="D182" i="7"/>
  <c r="I150" i="7"/>
  <c r="D150" i="7"/>
  <c r="I107" i="7"/>
  <c r="G84" i="7" a="1"/>
  <c r="G84" i="7" s="1"/>
  <c r="D44" i="7"/>
  <c r="I44" i="7"/>
  <c r="I5" i="7"/>
  <c r="G77" i="7" a="1"/>
  <c r="G77" i="7" s="1"/>
  <c r="I67" i="7"/>
  <c r="G55" i="7" a="1"/>
  <c r="G55" i="7" s="1"/>
  <c r="I39" i="7"/>
  <c r="F28" i="7"/>
  <c r="F29" i="7" s="1"/>
  <c r="F30" i="7" s="1"/>
  <c r="F31" i="7" s="1"/>
  <c r="F32" i="7" s="1"/>
  <c r="F33" i="7" s="1"/>
  <c r="F34" i="7" s="1"/>
  <c r="F35" i="7" s="1"/>
  <c r="F36" i="7" s="1"/>
  <c r="F37" i="7" s="1"/>
  <c r="F38" i="7" s="1"/>
  <c r="F39" i="7" s="1"/>
  <c r="F40" i="7" s="1"/>
  <c r="F41" i="7" s="1"/>
  <c r="F42" i="7" s="1"/>
  <c r="F43" i="7" s="1"/>
  <c r="F44" i="7" s="1"/>
  <c r="F45" i="7" s="1"/>
  <c r="F46" i="7" s="1"/>
  <c r="F47" i="7" s="1"/>
  <c r="F48" i="7" s="1"/>
  <c r="F49" i="7" s="1"/>
  <c r="F50" i="7" s="1"/>
  <c r="F51" i="7" s="1"/>
  <c r="F52" i="7" s="1"/>
  <c r="F53" i="7" s="1"/>
  <c r="F54" i="7" s="1"/>
  <c r="F55" i="7" s="1"/>
  <c r="F56" i="7" s="1"/>
  <c r="F57" i="7" s="1"/>
  <c r="F58" i="7" s="1"/>
  <c r="F59" i="7" s="1"/>
  <c r="F60" i="7" s="1"/>
  <c r="F61" i="7" s="1"/>
  <c r="F62" i="7" s="1"/>
  <c r="F63" i="7" s="1"/>
  <c r="F64" i="7" s="1"/>
  <c r="F65" i="7" s="1"/>
  <c r="F66" i="7" s="1"/>
  <c r="F67" i="7" s="1"/>
  <c r="F68" i="7" s="1"/>
  <c r="F69" i="7" s="1"/>
  <c r="F70" i="7" s="1"/>
  <c r="F71" i="7" s="1"/>
  <c r="F72" i="7" s="1"/>
  <c r="F73" i="7" s="1"/>
  <c r="F74" i="7" s="1"/>
  <c r="F75" i="7" s="1"/>
  <c r="F76" i="7" s="1"/>
  <c r="F77" i="7" s="1"/>
  <c r="F78" i="7" s="1"/>
  <c r="F79" i="7" s="1"/>
  <c r="F80" i="7" s="1"/>
  <c r="F81" i="7" s="1"/>
  <c r="F82" i="7" s="1"/>
  <c r="F83" i="7" s="1"/>
  <c r="F84" i="7" s="1"/>
  <c r="F85" i="7" s="1"/>
  <c r="F86" i="7" s="1"/>
  <c r="F87" i="7" s="1"/>
  <c r="F88" i="7" s="1"/>
  <c r="F89" i="7" s="1"/>
  <c r="F90" i="7" s="1"/>
  <c r="F91" i="7" s="1"/>
  <c r="F92" i="7" s="1"/>
  <c r="F93" i="7" s="1"/>
  <c r="F94" i="7" s="1"/>
  <c r="F95" i="7" s="1"/>
  <c r="F96" i="7" s="1"/>
  <c r="F97" i="7" s="1"/>
  <c r="F98" i="7" s="1"/>
  <c r="F99" i="7" s="1"/>
  <c r="F100" i="7" s="1"/>
  <c r="F101" i="7" s="1"/>
  <c r="F102" i="7" s="1"/>
  <c r="F103" i="7" s="1"/>
  <c r="F104" i="7" s="1"/>
  <c r="F105" i="7" s="1"/>
  <c r="F106" i="7" s="1"/>
  <c r="F107" i="7" s="1"/>
  <c r="F108" i="7" s="1"/>
  <c r="F109" i="7" s="1"/>
  <c r="F110" i="7" s="1"/>
  <c r="F111" i="7" s="1"/>
  <c r="F112" i="7" s="1"/>
  <c r="F113" i="7" s="1"/>
  <c r="F114" i="7" s="1"/>
  <c r="F115" i="7" s="1"/>
  <c r="F116" i="7" s="1"/>
  <c r="F117" i="7" s="1"/>
  <c r="F118" i="7" s="1"/>
  <c r="F119" i="7" s="1"/>
  <c r="F120" i="7" s="1"/>
  <c r="F121" i="7" s="1"/>
  <c r="F122" i="7" s="1"/>
  <c r="F123" i="7" s="1"/>
  <c r="F124" i="7" s="1"/>
  <c r="F125" i="7" s="1"/>
  <c r="F126" i="7" s="1"/>
  <c r="F127" i="7" s="1"/>
  <c r="F128" i="7" s="1"/>
  <c r="F129" i="7" s="1"/>
  <c r="F130" i="7" s="1"/>
  <c r="F131" i="7" s="1"/>
  <c r="F132" i="7" s="1"/>
  <c r="F133" i="7" s="1"/>
  <c r="F134" i="7" s="1"/>
  <c r="F135" i="7" s="1"/>
  <c r="F136" i="7" s="1"/>
  <c r="F137" i="7" s="1"/>
  <c r="F138" i="7" s="1"/>
  <c r="F139" i="7" s="1"/>
  <c r="F140" i="7" s="1"/>
  <c r="F141" i="7" s="1"/>
  <c r="F142" i="7" s="1"/>
  <c r="F143" i="7" s="1"/>
  <c r="F144" i="7" s="1"/>
  <c r="F145" i="7" s="1"/>
  <c r="F146" i="7" s="1"/>
  <c r="F147" i="7" s="1"/>
  <c r="F148" i="7" s="1"/>
  <c r="F149" i="7" s="1"/>
  <c r="F150" i="7" s="1"/>
  <c r="F151" i="7" s="1"/>
  <c r="F152" i="7" s="1"/>
  <c r="F153" i="7" s="1"/>
  <c r="F154" i="7" s="1"/>
  <c r="F155" i="7" s="1"/>
  <c r="F156" i="7" s="1"/>
  <c r="F157" i="7" s="1"/>
  <c r="F158" i="7" s="1"/>
  <c r="F159" i="7" s="1"/>
  <c r="F160" i="7" s="1"/>
  <c r="F161" i="7" s="1"/>
  <c r="F162" i="7" s="1"/>
  <c r="F163" i="7" s="1"/>
  <c r="F164" i="7" s="1"/>
  <c r="F165" i="7" s="1"/>
  <c r="F166" i="7" s="1"/>
  <c r="F167" i="7" s="1"/>
  <c r="F168" i="7" s="1"/>
  <c r="F169" i="7" s="1"/>
  <c r="F170" i="7" s="1"/>
  <c r="F171" i="7" s="1"/>
  <c r="F172" i="7" s="1"/>
  <c r="F173" i="7" s="1"/>
  <c r="F174" i="7" s="1"/>
  <c r="F175" i="7" s="1"/>
  <c r="F176" i="7" s="1"/>
  <c r="F177" i="7" s="1"/>
  <c r="F178" i="7" s="1"/>
  <c r="F179" i="7" s="1"/>
  <c r="F180" i="7" s="1"/>
  <c r="F181" i="7" s="1"/>
  <c r="F182" i="7" s="1"/>
  <c r="F183" i="7" s="1"/>
  <c r="F184" i="7" s="1"/>
  <c r="F185" i="7" s="1"/>
  <c r="F186" i="7" s="1"/>
  <c r="F187" i="7" s="1"/>
  <c r="F188" i="7" s="1"/>
  <c r="F189" i="7" s="1"/>
  <c r="F190" i="7" s="1"/>
  <c r="F191" i="7" s="1"/>
  <c r="F192" i="7" s="1"/>
  <c r="F193" i="7" s="1"/>
  <c r="F194" i="7" s="1"/>
  <c r="F195" i="7" s="1"/>
  <c r="F196" i="7" s="1"/>
  <c r="F197" i="7" s="1"/>
  <c r="F198" i="7" s="1"/>
  <c r="F199" i="7" s="1"/>
  <c r="F200" i="7" s="1"/>
  <c r="F201" i="7" s="1"/>
  <c r="F202" i="7" s="1"/>
  <c r="F203" i="7" s="1"/>
  <c r="F204" i="7" s="1"/>
  <c r="F205" i="7" s="1"/>
  <c r="F206" i="7" s="1"/>
  <c r="F207" i="7" s="1"/>
  <c r="F208" i="7" s="1"/>
  <c r="F209" i="7" s="1"/>
  <c r="F210" i="7" s="1"/>
  <c r="F211" i="7" s="1"/>
  <c r="F212" i="7" s="1"/>
  <c r="F213" i="7" s="1"/>
  <c r="G28" i="7" a="1"/>
  <c r="G28" i="7" s="1"/>
  <c r="F20" i="7"/>
  <c r="F21" i="7" s="1"/>
  <c r="F22" i="7" s="1"/>
  <c r="F23" i="7" s="1"/>
  <c r="F24" i="7" s="1"/>
  <c r="F25" i="7" s="1"/>
  <c r="F26" i="7" s="1"/>
  <c r="G16" i="7" a="1"/>
  <c r="G16" i="7" s="1"/>
  <c r="D1220" i="8"/>
  <c r="I1220" i="8"/>
  <c r="D1176" i="8"/>
  <c r="I1176" i="8"/>
  <c r="I1157" i="8"/>
  <c r="I59" i="7"/>
  <c r="G1087" i="8"/>
  <c r="I126" i="7"/>
  <c r="D126" i="7"/>
  <c r="I120" i="7"/>
  <c r="D104" i="7"/>
  <c r="I104" i="7"/>
  <c r="I66" i="7"/>
  <c r="I16" i="7"/>
  <c r="I1200" i="8"/>
  <c r="G110" i="7" a="1"/>
  <c r="G110" i="7" s="1"/>
  <c r="I100" i="7"/>
  <c r="I94" i="7"/>
  <c r="D94" i="7"/>
  <c r="G87" i="7" a="1"/>
  <c r="G87" i="7" s="1"/>
  <c r="D51" i="7"/>
  <c r="I51" i="7"/>
  <c r="I27" i="7"/>
  <c r="I8" i="7"/>
  <c r="D1253" i="8"/>
  <c r="I1253" i="8"/>
  <c r="I1229" i="8"/>
  <c r="I103" i="7"/>
  <c r="G90" i="7" a="1"/>
  <c r="G90" i="7" s="1"/>
  <c r="G73" i="7" a="1"/>
  <c r="G73" i="7" s="1"/>
  <c r="D43" i="7"/>
  <c r="I43" i="7"/>
  <c r="I1185" i="8"/>
  <c r="I1166" i="8"/>
  <c r="D73" i="7"/>
  <c r="D62" i="7"/>
  <c r="D35" i="7"/>
  <c r="I35" i="7"/>
  <c r="D4" i="7"/>
  <c r="I23" i="3" s="1" a="1"/>
  <c r="I23" i="3" s="1"/>
  <c r="I4" i="7"/>
  <c r="I1257" i="8"/>
  <c r="I1248" i="8"/>
  <c r="I1194" i="8"/>
  <c r="I1179" i="8"/>
  <c r="I1104" i="8"/>
  <c r="D1061" i="8"/>
  <c r="I1061" i="8"/>
  <c r="I995" i="8"/>
  <c r="I1244" i="8"/>
  <c r="G1238" i="8"/>
  <c r="I1219" i="8"/>
  <c r="G1213" i="8"/>
  <c r="G1191" i="8"/>
  <c r="G1172" i="8"/>
  <c r="I1149" i="8"/>
  <c r="I1142" i="8"/>
  <c r="G1109" i="8"/>
  <c r="G1096" i="8"/>
  <c r="D1069" i="8"/>
  <c r="I1069" i="8"/>
  <c r="I1005" i="8"/>
  <c r="I70" i="7"/>
  <c r="I6" i="7"/>
  <c r="D1257" i="8"/>
  <c r="D1232" i="8"/>
  <c r="I1222" i="8"/>
  <c r="D1185" i="8"/>
  <c r="D1169" i="8"/>
  <c r="I1162" i="8"/>
  <c r="D1146" i="8"/>
  <c r="I1074" i="8"/>
  <c r="I1014" i="8"/>
  <c r="G1135" i="8"/>
  <c r="G1128" i="8"/>
  <c r="G1247" i="8"/>
  <c r="G1222" i="8"/>
  <c r="I1206" i="8"/>
  <c r="G1200" i="8"/>
  <c r="I1181" i="8"/>
  <c r="G1178" i="8"/>
  <c r="G1152" i="8"/>
  <c r="G1100" i="8"/>
  <c r="G1004" i="8"/>
  <c r="I14" i="7"/>
  <c r="G1250" i="8"/>
  <c r="I1231" i="8"/>
  <c r="I1184" i="8"/>
  <c r="I1168" i="8"/>
  <c r="I1131" i="8"/>
  <c r="G1108" i="8"/>
  <c r="G1095" i="8"/>
  <c r="G1073" i="8"/>
  <c r="I1004" i="8"/>
  <c r="I1082" i="8"/>
  <c r="I994" i="8"/>
  <c r="D1120" i="8"/>
  <c r="I1120" i="8"/>
  <c r="I1095" i="8"/>
  <c r="G1064" i="8"/>
  <c r="G1028" i="8"/>
  <c r="I22" i="7"/>
  <c r="I1240" i="8"/>
  <c r="G1234" i="8"/>
  <c r="G1212" i="8"/>
  <c r="G1187" i="8"/>
  <c r="I1152" i="8"/>
  <c r="D1108" i="8"/>
  <c r="I1108" i="8"/>
  <c r="I1049" i="8"/>
  <c r="I1028" i="8"/>
  <c r="I1023" i="8"/>
  <c r="I974" i="8"/>
  <c r="G1190" i="8"/>
  <c r="G1171" i="8"/>
  <c r="G1158" i="8"/>
  <c r="I1148" i="8"/>
  <c r="I1115" i="8"/>
  <c r="I1059" i="8"/>
  <c r="D1054" i="8"/>
  <c r="I1054" i="8"/>
  <c r="I1038" i="8"/>
  <c r="I1151" i="8"/>
  <c r="D1138" i="8"/>
  <c r="I1138" i="8"/>
  <c r="I1164" i="8"/>
  <c r="I1127" i="8"/>
  <c r="D1081" i="8"/>
  <c r="I1081" i="8"/>
  <c r="D1072" i="8"/>
  <c r="I1072" i="8"/>
  <c r="I989" i="8"/>
  <c r="I1180" i="8"/>
  <c r="I1144" i="8"/>
  <c r="I1137" i="8"/>
  <c r="G1107" i="8"/>
  <c r="I1233" i="8"/>
  <c r="I1208" i="8"/>
  <c r="I38" i="7"/>
  <c r="G1230" i="8"/>
  <c r="G1205" i="8"/>
  <c r="G1180" i="8"/>
  <c r="I1170" i="8"/>
  <c r="G1154" i="8"/>
  <c r="G1144" i="8"/>
  <c r="G1098" i="8"/>
  <c r="D1058" i="8"/>
  <c r="I1058" i="8"/>
  <c r="G962" i="8"/>
  <c r="I65" i="7"/>
  <c r="I26" i="7"/>
  <c r="I1239" i="8"/>
  <c r="I1214" i="8"/>
  <c r="I1147" i="8"/>
  <c r="G1071" i="8"/>
  <c r="G1052" i="8"/>
  <c r="I46" i="7"/>
  <c r="G1239" i="8"/>
  <c r="G1214" i="8"/>
  <c r="I1195" i="8"/>
  <c r="G1189" i="8"/>
  <c r="G1157" i="8"/>
  <c r="G1147" i="8"/>
  <c r="G1118" i="8"/>
  <c r="I1098" i="8"/>
  <c r="D1098" i="8"/>
  <c r="I1052" i="8"/>
  <c r="D1052" i="8"/>
  <c r="I1047" i="8"/>
  <c r="G982" i="8"/>
  <c r="I1154" i="8"/>
  <c r="D1106" i="8"/>
  <c r="I1106" i="8"/>
  <c r="I1011" i="8"/>
  <c r="I982" i="8"/>
  <c r="I1118" i="8"/>
  <c r="I1062" i="8"/>
  <c r="I54" i="7"/>
  <c r="G48" i="7" a="1"/>
  <c r="G48" i="7" s="1"/>
  <c r="G23" i="7" a="1"/>
  <c r="G23" i="7" s="1"/>
  <c r="G1248" i="8"/>
  <c r="G1223" i="8"/>
  <c r="I1204" i="8"/>
  <c r="G1198" i="8"/>
  <c r="G1179" i="8"/>
  <c r="G1163" i="8"/>
  <c r="I1153" i="8"/>
  <c r="D1075" i="8"/>
  <c r="I1075" i="8"/>
  <c r="G1105" i="8"/>
  <c r="I1079" i="8"/>
  <c r="D1070" i="8"/>
  <c r="I1070" i="8"/>
  <c r="D1051" i="8"/>
  <c r="I1051" i="8"/>
  <c r="I1210" i="8"/>
  <c r="I1110" i="8"/>
  <c r="D1105" i="8"/>
  <c r="I1105" i="8"/>
  <c r="D1097" i="8"/>
  <c r="I1097" i="8"/>
  <c r="D1092" i="8"/>
  <c r="I1092" i="8"/>
  <c r="I1048" i="8"/>
  <c r="D1028" i="8"/>
  <c r="I1024" i="8"/>
  <c r="D1004" i="8"/>
  <c r="D982" i="8"/>
  <c r="I978" i="8"/>
  <c r="D978" i="8"/>
  <c r="D974" i="8"/>
  <c r="G949" i="8"/>
  <c r="I966" i="8"/>
  <c r="G935" i="8"/>
  <c r="D1062" i="8"/>
  <c r="G1041" i="8"/>
  <c r="D1038" i="8"/>
  <c r="I1034" i="8"/>
  <c r="D1014" i="8"/>
  <c r="I1010" i="8"/>
  <c r="I993" i="8"/>
  <c r="G989" i="8"/>
  <c r="G930" i="8"/>
  <c r="I1027" i="8"/>
  <c r="I930" i="8"/>
  <c r="D930" i="8"/>
  <c r="G981" i="8"/>
  <c r="G953" i="8"/>
  <c r="G1044" i="8"/>
  <c r="I1037" i="8"/>
  <c r="G1020" i="8"/>
  <c r="I1013" i="8"/>
  <c r="D977" i="8"/>
  <c r="I977" i="8"/>
  <c r="G969" i="8"/>
  <c r="I1087" i="8"/>
  <c r="I1030" i="8"/>
  <c r="I1006" i="8"/>
  <c r="I961" i="8"/>
  <c r="I925" i="8"/>
  <c r="I1116" i="8"/>
  <c r="I1090" i="8"/>
  <c r="G1047" i="8"/>
  <c r="I1040" i="8"/>
  <c r="G1023" i="8"/>
  <c r="I999" i="8"/>
  <c r="I992" i="8"/>
  <c r="G984" i="8"/>
  <c r="I969" i="8"/>
  <c r="G980" i="8"/>
  <c r="D947" i="8"/>
  <c r="I947" i="8"/>
  <c r="G1080" i="8"/>
  <c r="I1043" i="8"/>
  <c r="I1019" i="8"/>
  <c r="I956" i="8"/>
  <c r="G933" i="8"/>
  <c r="G1122" i="8"/>
  <c r="G1093" i="8"/>
  <c r="I1060" i="8"/>
  <c r="I1053" i="8"/>
  <c r="I1036" i="8"/>
  <c r="I1029" i="8"/>
  <c r="I1012" i="8"/>
  <c r="I984" i="8"/>
  <c r="I946" i="8"/>
  <c r="I873" i="8"/>
  <c r="D873" i="8"/>
  <c r="I1109" i="8"/>
  <c r="I1086" i="8"/>
  <c r="G1083" i="8"/>
  <c r="I1002" i="8"/>
  <c r="I955" i="8"/>
  <c r="I942" i="8"/>
  <c r="D942" i="8"/>
  <c r="I1099" i="8"/>
  <c r="I1063" i="8"/>
  <c r="G1053" i="8"/>
  <c r="I1046" i="8"/>
  <c r="G1029" i="8"/>
  <c r="G1005" i="8"/>
  <c r="I968" i="8"/>
  <c r="I1089" i="8"/>
  <c r="I1056" i="8"/>
  <c r="I1032" i="8"/>
  <c r="I1008" i="8"/>
  <c r="G983" i="8"/>
  <c r="G937" i="8"/>
  <c r="G1112" i="8"/>
  <c r="G1089" i="8"/>
  <c r="G1056" i="8"/>
  <c r="G1001" i="8"/>
  <c r="I983" i="8"/>
  <c r="D959" i="8"/>
  <c r="I959" i="8"/>
  <c r="I937" i="8"/>
  <c r="D937" i="8"/>
  <c r="I1042" i="8"/>
  <c r="I1018" i="8"/>
  <c r="G997" i="8"/>
  <c r="I927" i="8"/>
  <c r="D927" i="8"/>
  <c r="G1092" i="8"/>
  <c r="D967" i="8"/>
  <c r="I967" i="8"/>
  <c r="G1069" i="8"/>
  <c r="I1000" i="8"/>
  <c r="I971" i="8"/>
  <c r="G950" i="8"/>
  <c r="I1045" i="8"/>
  <c r="I1021" i="8"/>
  <c r="I950" i="8"/>
  <c r="D950" i="8"/>
  <c r="I986" i="8"/>
  <c r="D986" i="8"/>
  <c r="I970" i="8"/>
  <c r="I936" i="8"/>
  <c r="D936" i="8"/>
  <c r="I996" i="8"/>
  <c r="I960" i="8"/>
  <c r="I904" i="8"/>
  <c r="I901" i="8"/>
  <c r="G893" i="8"/>
  <c r="G881" i="8"/>
  <c r="I820" i="8"/>
  <c r="I963" i="8"/>
  <c r="I912" i="8"/>
  <c r="D912" i="8"/>
  <c r="I889" i="8"/>
  <c r="I877" i="8"/>
  <c r="I949" i="8"/>
  <c r="G946" i="8"/>
  <c r="I829" i="8"/>
  <c r="I745" i="8"/>
  <c r="G851" i="8"/>
  <c r="G888" i="8"/>
  <c r="G876" i="8"/>
  <c r="I670" i="8"/>
  <c r="I661" i="8"/>
  <c r="I900" i="8"/>
  <c r="D900" i="8"/>
  <c r="G892" i="8"/>
  <c r="I888" i="8"/>
  <c r="D888" i="8"/>
  <c r="G880" i="8"/>
  <c r="I915" i="8"/>
  <c r="I805" i="8"/>
  <c r="I679" i="8"/>
  <c r="I972" i="8"/>
  <c r="G863" i="8"/>
  <c r="I823" i="8"/>
  <c r="I975" i="8"/>
  <c r="I939" i="8"/>
  <c r="I928" i="8"/>
  <c r="I903" i="8"/>
  <c r="I748" i="8"/>
  <c r="I931" i="8"/>
  <c r="G910" i="8"/>
  <c r="I781" i="8"/>
  <c r="I981" i="8"/>
  <c r="I945" i="8"/>
  <c r="G906" i="8"/>
  <c r="I891" i="8"/>
  <c r="G931" i="8"/>
  <c r="G917" i="8"/>
  <c r="G898" i="8"/>
  <c r="I757" i="8"/>
  <c r="I682" i="8"/>
  <c r="I948" i="8"/>
  <c r="I817" i="8"/>
  <c r="I870" i="8"/>
  <c r="D870" i="8"/>
  <c r="I987" i="8"/>
  <c r="I951" i="8"/>
  <c r="I733" i="8"/>
  <c r="I924" i="8"/>
  <c r="D924" i="8"/>
  <c r="D886" i="8"/>
  <c r="I886" i="8"/>
  <c r="I658" i="8"/>
  <c r="I990" i="8"/>
  <c r="I954" i="8"/>
  <c r="G916" i="8"/>
  <c r="G905" i="8"/>
  <c r="I882" i="8"/>
  <c r="D882" i="8"/>
  <c r="D874" i="8"/>
  <c r="I874" i="8"/>
  <c r="I853" i="8"/>
  <c r="I751" i="8"/>
  <c r="I934" i="8"/>
  <c r="I609" i="8"/>
  <c r="I957" i="8"/>
  <c r="I865" i="8"/>
  <c r="I709" i="8"/>
  <c r="I864" i="8"/>
  <c r="I832" i="8"/>
  <c r="G826" i="8"/>
  <c r="G804" i="8"/>
  <c r="I792" i="8"/>
  <c r="G779" i="8"/>
  <c r="I760" i="8"/>
  <c r="G754" i="8"/>
  <c r="G732" i="8"/>
  <c r="I720" i="8"/>
  <c r="G707" i="8"/>
  <c r="I688" i="8"/>
  <c r="D658" i="8"/>
  <c r="I606" i="8"/>
  <c r="I561" i="8"/>
  <c r="D561" i="8"/>
  <c r="I489" i="8"/>
  <c r="I867" i="8"/>
  <c r="D820" i="8"/>
  <c r="I795" i="8"/>
  <c r="D748" i="8"/>
  <c r="I723" i="8"/>
  <c r="G569" i="8"/>
  <c r="I528" i="8"/>
  <c r="I405" i="8"/>
  <c r="D405" i="8"/>
  <c r="D957" i="9"/>
  <c r="I957" i="9"/>
  <c r="I798" i="8"/>
  <c r="I726" i="8"/>
  <c r="I675" i="8"/>
  <c r="I651" i="8"/>
  <c r="I633" i="8"/>
  <c r="G594" i="8"/>
  <c r="D569" i="8"/>
  <c r="I569" i="8"/>
  <c r="G508" i="8"/>
  <c r="I370" i="8"/>
  <c r="I841" i="8"/>
  <c r="I801" i="8"/>
  <c r="I729" i="8"/>
  <c r="I643" i="8"/>
  <c r="I508" i="8"/>
  <c r="D311" i="8"/>
  <c r="I311" i="8"/>
  <c r="G292" i="8"/>
  <c r="I76" i="8"/>
  <c r="I876" i="8"/>
  <c r="G838" i="8"/>
  <c r="G816" i="8"/>
  <c r="I804" i="8"/>
  <c r="G791" i="8"/>
  <c r="G766" i="8"/>
  <c r="G744" i="8"/>
  <c r="I732" i="8"/>
  <c r="G719" i="8"/>
  <c r="G694" i="8"/>
  <c r="G681" i="8"/>
  <c r="G657" i="8"/>
  <c r="I586" i="8"/>
  <c r="D586" i="8"/>
  <c r="I292" i="8"/>
  <c r="I919" i="8"/>
  <c r="I879" i="8"/>
  <c r="I847" i="8"/>
  <c r="I807" i="8"/>
  <c r="I775" i="8"/>
  <c r="I735" i="8"/>
  <c r="I703" i="8"/>
  <c r="I678" i="8"/>
  <c r="I654" i="8"/>
  <c r="I613" i="8"/>
  <c r="G577" i="8"/>
  <c r="D546" i="8"/>
  <c r="I546" i="8"/>
  <c r="D527" i="8"/>
  <c r="I527" i="8"/>
  <c r="G483" i="8"/>
  <c r="I439" i="8"/>
  <c r="I345" i="8"/>
  <c r="I95" i="8"/>
  <c r="I810" i="8"/>
  <c r="I738" i="8"/>
  <c r="I636" i="8"/>
  <c r="I483" i="8"/>
  <c r="G458" i="8"/>
  <c r="I414" i="8"/>
  <c r="I885" i="8"/>
  <c r="G847" i="8"/>
  <c r="G825" i="8"/>
  <c r="I813" i="8"/>
  <c r="G800" i="8"/>
  <c r="G775" i="8"/>
  <c r="G753" i="8"/>
  <c r="I741" i="8"/>
  <c r="G728" i="8"/>
  <c r="G703" i="8"/>
  <c r="G684" i="8"/>
  <c r="I621" i="8"/>
  <c r="G585" i="8"/>
  <c r="I555" i="8"/>
  <c r="G550" i="8"/>
  <c r="I502" i="8"/>
  <c r="D502" i="8"/>
  <c r="I409" i="8"/>
  <c r="I384" i="8"/>
  <c r="G364" i="8"/>
  <c r="G244" i="8"/>
  <c r="I816" i="8"/>
  <c r="I744" i="8"/>
  <c r="I681" i="8"/>
  <c r="I657" i="8"/>
  <c r="I625" i="8"/>
  <c r="I364" i="8"/>
  <c r="I819" i="8"/>
  <c r="I747" i="8"/>
  <c r="I620" i="8"/>
  <c r="G601" i="8"/>
  <c r="I894" i="8"/>
  <c r="I862" i="8"/>
  <c r="G856" i="8"/>
  <c r="G834" i="8"/>
  <c r="I822" i="8"/>
  <c r="G809" i="8"/>
  <c r="I790" i="8"/>
  <c r="G784" i="8"/>
  <c r="G762" i="8"/>
  <c r="I750" i="8"/>
  <c r="G737" i="8"/>
  <c r="I718" i="8"/>
  <c r="G712" i="8"/>
  <c r="G690" i="8"/>
  <c r="G663" i="8"/>
  <c r="G642" i="8"/>
  <c r="I639" i="8"/>
  <c r="D605" i="8"/>
  <c r="I605" i="8"/>
  <c r="D601" i="8"/>
  <c r="I601" i="8"/>
  <c r="G576" i="8"/>
  <c r="I477" i="8"/>
  <c r="D477" i="8"/>
  <c r="G339" i="8"/>
  <c r="D196" i="8"/>
  <c r="I196" i="8"/>
  <c r="I897" i="8"/>
  <c r="I825" i="8"/>
  <c r="I753" i="8"/>
  <c r="I684" i="8"/>
  <c r="I660" i="8"/>
  <c r="G567" i="8"/>
  <c r="D383" i="8"/>
  <c r="I383" i="8"/>
  <c r="I339" i="8"/>
  <c r="I286" i="8"/>
  <c r="D286" i="8"/>
  <c r="I828" i="8"/>
  <c r="I756" i="8"/>
  <c r="G624" i="8"/>
  <c r="G314" i="8"/>
  <c r="I831" i="8"/>
  <c r="I759" i="8"/>
  <c r="I687" i="8"/>
  <c r="G612" i="8"/>
  <c r="I511" i="8"/>
  <c r="I442" i="8"/>
  <c r="I358" i="8"/>
  <c r="D358" i="8"/>
  <c r="I906" i="8"/>
  <c r="G868" i="8"/>
  <c r="G846" i="8"/>
  <c r="I834" i="8"/>
  <c r="G821" i="8"/>
  <c r="I802" i="8"/>
  <c r="G796" i="8"/>
  <c r="G774" i="8"/>
  <c r="I762" i="8"/>
  <c r="G749" i="8"/>
  <c r="I730" i="8"/>
  <c r="G724" i="8"/>
  <c r="G702" i="8"/>
  <c r="I690" i="8"/>
  <c r="I663" i="8"/>
  <c r="I652" i="8"/>
  <c r="G645" i="8"/>
  <c r="I642" i="8"/>
  <c r="I588" i="8"/>
  <c r="I580" i="8"/>
  <c r="D580" i="8"/>
  <c r="I549" i="8"/>
  <c r="G530" i="8"/>
  <c r="I295" i="8"/>
  <c r="I909" i="8"/>
  <c r="I837" i="8"/>
  <c r="I765" i="8"/>
  <c r="I693" i="8"/>
  <c r="I634" i="8"/>
  <c r="I616" i="8"/>
  <c r="I558" i="8"/>
  <c r="D544" i="8"/>
  <c r="I544" i="8"/>
  <c r="I486" i="8"/>
  <c r="I417" i="8"/>
  <c r="I333" i="8"/>
  <c r="D333" i="8"/>
  <c r="I840" i="8"/>
  <c r="G780" i="8"/>
  <c r="I768" i="8"/>
  <c r="G755" i="8"/>
  <c r="G730" i="8"/>
  <c r="G708" i="8"/>
  <c r="I696" i="8"/>
  <c r="D596" i="8"/>
  <c r="I596" i="8"/>
  <c r="I579" i="8"/>
  <c r="I481" i="8"/>
  <c r="I843" i="8"/>
  <c r="I771" i="8"/>
  <c r="I699" i="8"/>
  <c r="I666" i="8"/>
  <c r="I655" i="8"/>
  <c r="G623" i="8"/>
  <c r="I611" i="8"/>
  <c r="I600" i="8"/>
  <c r="D575" i="8"/>
  <c r="I575" i="8"/>
  <c r="D571" i="8"/>
  <c r="I571" i="8"/>
  <c r="I456" i="8"/>
  <c r="I918" i="8"/>
  <c r="G858" i="8"/>
  <c r="I846" i="8"/>
  <c r="G833" i="8"/>
  <c r="I814" i="8"/>
  <c r="G808" i="8"/>
  <c r="G786" i="8"/>
  <c r="I774" i="8"/>
  <c r="G761" i="8"/>
  <c r="I742" i="8"/>
  <c r="G736" i="8"/>
  <c r="G714" i="8"/>
  <c r="I702" i="8"/>
  <c r="G689" i="8"/>
  <c r="G648" i="8"/>
  <c r="I645" i="8"/>
  <c r="G630" i="8"/>
  <c r="I595" i="8"/>
  <c r="D566" i="8"/>
  <c r="I566" i="8"/>
  <c r="G436" i="8"/>
  <c r="I367" i="8"/>
  <c r="G223" i="8"/>
  <c r="I921" i="8"/>
  <c r="I849" i="8"/>
  <c r="I777" i="8"/>
  <c r="I705" i="8"/>
  <c r="I599" i="8"/>
  <c r="I553" i="8"/>
  <c r="I436" i="8"/>
  <c r="I852" i="8"/>
  <c r="I780" i="8"/>
  <c r="I708" i="8"/>
  <c r="I669" i="8"/>
  <c r="I626" i="8"/>
  <c r="I622" i="8"/>
  <c r="G411" i="8"/>
  <c r="G386" i="8"/>
  <c r="I342" i="8"/>
  <c r="I855" i="8"/>
  <c r="I783" i="8"/>
  <c r="I711" i="8"/>
  <c r="G599" i="8"/>
  <c r="I583" i="8"/>
  <c r="I514" i="8"/>
  <c r="D455" i="8"/>
  <c r="I455" i="8"/>
  <c r="I411" i="8"/>
  <c r="I337" i="8"/>
  <c r="I298" i="8"/>
  <c r="G870" i="8"/>
  <c r="I858" i="8"/>
  <c r="G845" i="8"/>
  <c r="G820" i="8"/>
  <c r="G798" i="8"/>
  <c r="I786" i="8"/>
  <c r="G773" i="8"/>
  <c r="G748" i="8"/>
  <c r="G726" i="8"/>
  <c r="I714" i="8"/>
  <c r="G701" i="8"/>
  <c r="G675" i="8"/>
  <c r="G651" i="8"/>
  <c r="I648" i="8"/>
  <c r="I630" i="8"/>
  <c r="I591" i="8"/>
  <c r="G587" i="8"/>
  <c r="D570" i="8"/>
  <c r="I570" i="8"/>
  <c r="G552" i="8"/>
  <c r="I303" i="8"/>
  <c r="I933" i="8"/>
  <c r="D864" i="8"/>
  <c r="I861" i="8"/>
  <c r="D792" i="8"/>
  <c r="I789" i="8"/>
  <c r="D720" i="8"/>
  <c r="I717" i="8"/>
  <c r="I672" i="8"/>
  <c r="I640" i="8"/>
  <c r="G578" i="8"/>
  <c r="I574" i="8"/>
  <c r="G542" i="8"/>
  <c r="I430" i="8"/>
  <c r="D430" i="8"/>
  <c r="I66" i="8"/>
  <c r="D555" i="8"/>
  <c r="I523" i="8"/>
  <c r="D508" i="8"/>
  <c r="I498" i="8"/>
  <c r="D483" i="8"/>
  <c r="I451" i="8"/>
  <c r="D436" i="8"/>
  <c r="I426" i="8"/>
  <c r="D411" i="8"/>
  <c r="I379" i="8"/>
  <c r="D364" i="8"/>
  <c r="I354" i="8"/>
  <c r="D339" i="8"/>
  <c r="I307" i="8"/>
  <c r="D292" i="8"/>
  <c r="D187" i="8"/>
  <c r="I187" i="8"/>
  <c r="I104" i="8"/>
  <c r="I548" i="8"/>
  <c r="G520" i="8"/>
  <c r="G495" i="8"/>
  <c r="I476" i="8"/>
  <c r="G470" i="8"/>
  <c r="G448" i="8"/>
  <c r="G423" i="8"/>
  <c r="I404" i="8"/>
  <c r="G398" i="8"/>
  <c r="G376" i="8"/>
  <c r="G351" i="8"/>
  <c r="I332" i="8"/>
  <c r="G326" i="8"/>
  <c r="G304" i="8"/>
  <c r="I253" i="8"/>
  <c r="G250" i="8"/>
  <c r="G226" i="8"/>
  <c r="I223" i="8"/>
  <c r="I165" i="8"/>
  <c r="D165" i="8"/>
  <c r="G142" i="8"/>
  <c r="G123" i="8"/>
  <c r="I576" i="8"/>
  <c r="I529" i="8"/>
  <c r="D514" i="8"/>
  <c r="I504" i="8"/>
  <c r="D489" i="8"/>
  <c r="I457" i="8"/>
  <c r="D442" i="8"/>
  <c r="I432" i="8"/>
  <c r="D417" i="8"/>
  <c r="D370" i="8"/>
  <c r="D345" i="8"/>
  <c r="D298" i="8"/>
  <c r="I211" i="8"/>
  <c r="D178" i="8"/>
  <c r="I178" i="8"/>
  <c r="I174" i="8"/>
  <c r="D174" i="8"/>
  <c r="I207" i="8"/>
  <c r="G203" i="8"/>
  <c r="G182" i="8"/>
  <c r="I142" i="8"/>
  <c r="I557" i="8"/>
  <c r="G551" i="8"/>
  <c r="G529" i="8"/>
  <c r="G504" i="8"/>
  <c r="I485" i="8"/>
  <c r="G479" i="8"/>
  <c r="G457" i="8"/>
  <c r="G432" i="8"/>
  <c r="I413" i="8"/>
  <c r="G407" i="8"/>
  <c r="G385" i="8"/>
  <c r="G360" i="8"/>
  <c r="I341" i="8"/>
  <c r="G335" i="8"/>
  <c r="G313" i="8"/>
  <c r="G266" i="8"/>
  <c r="D203" i="8"/>
  <c r="I203" i="8"/>
  <c r="I610" i="8"/>
  <c r="I585" i="8"/>
  <c r="I538" i="8"/>
  <c r="I513" i="8"/>
  <c r="I466" i="8"/>
  <c r="I441" i="8"/>
  <c r="I394" i="8"/>
  <c r="I369" i="8"/>
  <c r="I322" i="8"/>
  <c r="I297" i="8"/>
  <c r="I229" i="8"/>
  <c r="I214" i="8"/>
  <c r="I199" i="8"/>
  <c r="I195" i="8"/>
  <c r="G173" i="8"/>
  <c r="I151" i="8"/>
  <c r="G98" i="8"/>
  <c r="I222" i="8"/>
  <c r="D222" i="8"/>
  <c r="I186" i="8"/>
  <c r="D186" i="8"/>
  <c r="G560" i="8"/>
  <c r="G538" i="8"/>
  <c r="I519" i="8"/>
  <c r="G513" i="8"/>
  <c r="I494" i="8"/>
  <c r="G488" i="8"/>
  <c r="I472" i="8"/>
  <c r="G466" i="8"/>
  <c r="I447" i="8"/>
  <c r="G441" i="8"/>
  <c r="I422" i="8"/>
  <c r="G416" i="8"/>
  <c r="I400" i="8"/>
  <c r="G394" i="8"/>
  <c r="I375" i="8"/>
  <c r="G369" i="8"/>
  <c r="I350" i="8"/>
  <c r="G344" i="8"/>
  <c r="I328" i="8"/>
  <c r="G322" i="8"/>
  <c r="I278" i="8"/>
  <c r="G272" i="8"/>
  <c r="I262" i="8"/>
  <c r="G259" i="8"/>
  <c r="G214" i="8"/>
  <c r="I164" i="8"/>
  <c r="I79" i="8"/>
  <c r="I59" i="8"/>
  <c r="I497" i="8"/>
  <c r="I425" i="8"/>
  <c r="I353" i="8"/>
  <c r="I281" i="8"/>
  <c r="I232" i="8"/>
  <c r="I221" i="8"/>
  <c r="G202" i="8"/>
  <c r="I177" i="8"/>
  <c r="I117" i="8"/>
  <c r="D117" i="8"/>
  <c r="I550" i="8"/>
  <c r="I525" i="8"/>
  <c r="I478" i="8"/>
  <c r="I453" i="8"/>
  <c r="I406" i="8"/>
  <c r="I381" i="8"/>
  <c r="G350" i="8"/>
  <c r="G328" i="8"/>
  <c r="G278" i="8"/>
  <c r="G262" i="8"/>
  <c r="I173" i="8"/>
  <c r="D136" i="8"/>
  <c r="I136" i="8"/>
  <c r="I74" i="8"/>
  <c r="I1205" i="9"/>
  <c r="G547" i="8"/>
  <c r="G522" i="8"/>
  <c r="I503" i="8"/>
  <c r="G497" i="8"/>
  <c r="G475" i="8"/>
  <c r="G450" i="8"/>
  <c r="I431" i="8"/>
  <c r="G425" i="8"/>
  <c r="G403" i="8"/>
  <c r="G378" i="8"/>
  <c r="I359" i="8"/>
  <c r="G353" i="8"/>
  <c r="G331" i="8"/>
  <c r="I312" i="8"/>
  <c r="I287" i="8"/>
  <c r="G281" i="8"/>
  <c r="G232" i="8"/>
  <c r="G525" i="8"/>
  <c r="G500" i="8"/>
  <c r="G478" i="8"/>
  <c r="G453" i="8"/>
  <c r="G428" i="8"/>
  <c r="G406" i="8"/>
  <c r="G381" i="8"/>
  <c r="G356" i="8"/>
  <c r="G334" i="8"/>
  <c r="I235" i="8"/>
  <c r="I198" i="8"/>
  <c r="I63" i="8"/>
  <c r="D63" i="8"/>
  <c r="G37" i="8"/>
  <c r="I189" i="8"/>
  <c r="G180" i="8"/>
  <c r="I92" i="8"/>
  <c r="D92" i="8"/>
  <c r="I587" i="8"/>
  <c r="I515" i="8"/>
  <c r="I443" i="8"/>
  <c r="I371" i="8"/>
  <c r="I299" i="8"/>
  <c r="G293" i="8"/>
  <c r="G271" i="8"/>
  <c r="G245" i="8"/>
  <c r="I238" i="8"/>
  <c r="I213" i="8"/>
  <c r="D213" i="8"/>
  <c r="G193" i="8"/>
  <c r="I176" i="8"/>
  <c r="D176" i="8"/>
  <c r="I73" i="8"/>
  <c r="D73" i="8"/>
  <c r="I4" i="8"/>
  <c r="I228" i="8"/>
  <c r="D228" i="8"/>
  <c r="G167" i="8"/>
  <c r="G565" i="8"/>
  <c r="G540" i="8"/>
  <c r="G515" i="8"/>
  <c r="I499" i="8"/>
  <c r="G493" i="8"/>
  <c r="I474" i="8"/>
  <c r="G468" i="8"/>
  <c r="G443" i="8"/>
  <c r="I427" i="8"/>
  <c r="G421" i="8"/>
  <c r="I402" i="8"/>
  <c r="G396" i="8"/>
  <c r="G371" i="8"/>
  <c r="I355" i="8"/>
  <c r="G349" i="8"/>
  <c r="I330" i="8"/>
  <c r="G299" i="8"/>
  <c r="I283" i="8"/>
  <c r="G277" i="8"/>
  <c r="G248" i="8"/>
  <c r="D197" i="8"/>
  <c r="I197" i="8"/>
  <c r="G171" i="8"/>
  <c r="I524" i="8"/>
  <c r="I452" i="8"/>
  <c r="I380" i="8"/>
  <c r="I308" i="8"/>
  <c r="I241" i="8"/>
  <c r="I201" i="8"/>
  <c r="G184" i="8"/>
  <c r="I167" i="8"/>
  <c r="G1226" i="9"/>
  <c r="I224" i="8"/>
  <c r="G192" i="8"/>
  <c r="I139" i="8"/>
  <c r="I101" i="8"/>
  <c r="G227" i="8"/>
  <c r="I533" i="8"/>
  <c r="G527" i="8"/>
  <c r="G505" i="8"/>
  <c r="G480" i="8"/>
  <c r="I461" i="8"/>
  <c r="G455" i="8"/>
  <c r="G433" i="8"/>
  <c r="G408" i="8"/>
  <c r="I389" i="8"/>
  <c r="G383" i="8"/>
  <c r="G361" i="8"/>
  <c r="G336" i="8"/>
  <c r="I317" i="8"/>
  <c r="G311" i="8"/>
  <c r="G289" i="8"/>
  <c r="G254" i="8"/>
  <c r="I220" i="8"/>
  <c r="I216" i="8"/>
  <c r="I212" i="8"/>
  <c r="G204" i="8"/>
  <c r="I192" i="8"/>
  <c r="I608" i="8"/>
  <c r="I536" i="8"/>
  <c r="I464" i="8"/>
  <c r="I392" i="8"/>
  <c r="I320" i="8"/>
  <c r="I247" i="8"/>
  <c r="D208" i="8"/>
  <c r="I208" i="8"/>
  <c r="D161" i="8"/>
  <c r="I161" i="8"/>
  <c r="I148" i="8"/>
  <c r="F95" i="8"/>
  <c r="F96" i="8" s="1"/>
  <c r="F97" i="8" s="1"/>
  <c r="F98" i="8" s="1"/>
  <c r="F99" i="8" s="1"/>
  <c r="F100" i="8" s="1"/>
  <c r="F101" i="8" s="1"/>
  <c r="F102" i="8" s="1"/>
  <c r="F103" i="8" s="1"/>
  <c r="F104" i="8" s="1"/>
  <c r="F105" i="8" s="1"/>
  <c r="F106" i="8" s="1"/>
  <c r="F107" i="8" s="1"/>
  <c r="F108" i="8" s="1"/>
  <c r="F109" i="8" s="1"/>
  <c r="F110" i="8" s="1"/>
  <c r="F111" i="8" s="1"/>
  <c r="F112" i="8" s="1"/>
  <c r="F113" i="8" s="1"/>
  <c r="F114" i="8" s="1"/>
  <c r="F115" i="8" s="1"/>
  <c r="F116" i="8" s="1"/>
  <c r="F117" i="8" s="1"/>
  <c r="F118" i="8" s="1"/>
  <c r="F119" i="8" s="1"/>
  <c r="F120" i="8" s="1"/>
  <c r="F121" i="8" s="1"/>
  <c r="F122" i="8" s="1"/>
  <c r="F123" i="8" s="1"/>
  <c r="F124" i="8" s="1"/>
  <c r="F125" i="8" s="1"/>
  <c r="F126" i="8" s="1"/>
  <c r="F127" i="8" s="1"/>
  <c r="F128" i="8" s="1"/>
  <c r="F129" i="8" s="1"/>
  <c r="F130" i="8" s="1"/>
  <c r="F131" i="8" s="1"/>
  <c r="F132" i="8" s="1"/>
  <c r="F133" i="8" s="1"/>
  <c r="F134" i="8" s="1"/>
  <c r="F135" i="8" s="1"/>
  <c r="F136" i="8" s="1"/>
  <c r="F137" i="8" s="1"/>
  <c r="F138" i="8" s="1"/>
  <c r="F139" i="8" s="1"/>
  <c r="F140" i="8" s="1"/>
  <c r="F141" i="8" s="1"/>
  <c r="F142" i="8" s="1"/>
  <c r="F143" i="8" s="1"/>
  <c r="F144" i="8" s="1"/>
  <c r="F145" i="8" s="1"/>
  <c r="F146" i="8" s="1"/>
  <c r="F147" i="8" s="1"/>
  <c r="F148" i="8" s="1"/>
  <c r="F149" i="8" s="1"/>
  <c r="F150" i="8" s="1"/>
  <c r="F151" i="8" s="1"/>
  <c r="F152" i="8" s="1"/>
  <c r="F153" i="8" s="1"/>
  <c r="F154" i="8" s="1"/>
  <c r="F155" i="8" s="1"/>
  <c r="F156" i="8" s="1"/>
  <c r="F157" i="8" s="1"/>
  <c r="F158" i="8" s="1"/>
  <c r="F159" i="8" s="1"/>
  <c r="F160" i="8" s="1"/>
  <c r="F161" i="8" s="1"/>
  <c r="F162" i="8" s="1"/>
  <c r="F163" i="8" s="1"/>
  <c r="F164" i="8" s="1"/>
  <c r="F165" i="8" s="1"/>
  <c r="F166" i="8" s="1"/>
  <c r="F167" i="8" s="1"/>
  <c r="F168" i="8" s="1"/>
  <c r="F169" i="8" s="1"/>
  <c r="F170" i="8" s="1"/>
  <c r="F171" i="8" s="1"/>
  <c r="F172" i="8" s="1"/>
  <c r="F173" i="8" s="1"/>
  <c r="F174" i="8" s="1"/>
  <c r="F175" i="8" s="1"/>
  <c r="F176" i="8" s="1"/>
  <c r="F177" i="8" s="1"/>
  <c r="F178" i="8" s="1"/>
  <c r="F179" i="8" s="1"/>
  <c r="F180" i="8" s="1"/>
  <c r="F181" i="8" s="1"/>
  <c r="F182" i="8" s="1"/>
  <c r="F183" i="8" s="1"/>
  <c r="F184" i="8" s="1"/>
  <c r="F185" i="8" s="1"/>
  <c r="F186" i="8" s="1"/>
  <c r="F187" i="8" s="1"/>
  <c r="F188" i="8" s="1"/>
  <c r="F189" i="8" s="1"/>
  <c r="F190" i="8" s="1"/>
  <c r="F191" i="8" s="1"/>
  <c r="F192" i="8" s="1"/>
  <c r="F193" i="8" s="1"/>
  <c r="F194" i="8" s="1"/>
  <c r="F195" i="8" s="1"/>
  <c r="F196" i="8" s="1"/>
  <c r="F197" i="8" s="1"/>
  <c r="F198" i="8" s="1"/>
  <c r="F199" i="8" s="1"/>
  <c r="F200" i="8" s="1"/>
  <c r="F201" i="8" s="1"/>
  <c r="F202" i="8" s="1"/>
  <c r="F203" i="8" s="1"/>
  <c r="F204" i="8" s="1"/>
  <c r="F205" i="8" s="1"/>
  <c r="F206" i="8" s="1"/>
  <c r="F207" i="8" s="1"/>
  <c r="F208" i="8" s="1"/>
  <c r="F209" i="8" s="1"/>
  <c r="F210" i="8" s="1"/>
  <c r="F211" i="8" s="1"/>
  <c r="F212" i="8" s="1"/>
  <c r="F213" i="8" s="1"/>
  <c r="F214" i="8" s="1"/>
  <c r="F215" i="8" s="1"/>
  <c r="F216" i="8" s="1"/>
  <c r="F217" i="8" s="1"/>
  <c r="F218" i="8" s="1"/>
  <c r="F219" i="8" s="1"/>
  <c r="F220" i="8" s="1"/>
  <c r="F221" i="8" s="1"/>
  <c r="F222" i="8" s="1"/>
  <c r="F223" i="8" s="1"/>
  <c r="F224" i="8" s="1"/>
  <c r="F225" i="8" s="1"/>
  <c r="F226" i="8" s="1"/>
  <c r="F227" i="8" s="1"/>
  <c r="F228" i="8" s="1"/>
  <c r="F229" i="8" s="1"/>
  <c r="F230" i="8" s="1"/>
  <c r="F231" i="8" s="1"/>
  <c r="F232" i="8" s="1"/>
  <c r="F233" i="8" s="1"/>
  <c r="F234" i="8" s="1"/>
  <c r="F235" i="8" s="1"/>
  <c r="F236" i="8" s="1"/>
  <c r="F237" i="8" s="1"/>
  <c r="F238" i="8" s="1"/>
  <c r="F239" i="8" s="1"/>
  <c r="F240" i="8" s="1"/>
  <c r="F241" i="8" s="1"/>
  <c r="F242" i="8" s="1"/>
  <c r="F243" i="8" s="1"/>
  <c r="F244" i="8" s="1"/>
  <c r="F245" i="8" s="1"/>
  <c r="F246" i="8" s="1"/>
  <c r="F247" i="8" s="1"/>
  <c r="F248" i="8" s="1"/>
  <c r="F249" i="8" s="1"/>
  <c r="F250" i="8" s="1"/>
  <c r="F251" i="8" s="1"/>
  <c r="F252" i="8" s="1"/>
  <c r="F253" i="8" s="1"/>
  <c r="F254" i="8" s="1"/>
  <c r="F255" i="8" s="1"/>
  <c r="F256" i="8" s="1"/>
  <c r="F257" i="8" s="1"/>
  <c r="F258" i="8" s="1"/>
  <c r="F259" i="8" s="1"/>
  <c r="F260" i="8" s="1"/>
  <c r="F261" i="8" s="1"/>
  <c r="F262" i="8" s="1"/>
  <c r="F263" i="8" s="1"/>
  <c r="F264" i="8" s="1"/>
  <c r="F265" i="8" s="1"/>
  <c r="F266" i="8" s="1"/>
  <c r="F267" i="8" s="1"/>
  <c r="F268" i="8" s="1"/>
  <c r="F269" i="8" s="1"/>
  <c r="F270" i="8" s="1"/>
  <c r="F271" i="8" s="1"/>
  <c r="F272" i="8" s="1"/>
  <c r="F273" i="8" s="1"/>
  <c r="F274" i="8" s="1"/>
  <c r="F275" i="8" s="1"/>
  <c r="F276" i="8" s="1"/>
  <c r="F277" i="8" s="1"/>
  <c r="F278" i="8" s="1"/>
  <c r="F279" i="8" s="1"/>
  <c r="F280" i="8" s="1"/>
  <c r="F281" i="8" s="1"/>
  <c r="F282" i="8" s="1"/>
  <c r="F283" i="8" s="1"/>
  <c r="F284" i="8" s="1"/>
  <c r="F285" i="8" s="1"/>
  <c r="F286" i="8" s="1"/>
  <c r="F287" i="8" s="1"/>
  <c r="F288" i="8" s="1"/>
  <c r="F289" i="8" s="1"/>
  <c r="F290" i="8" s="1"/>
  <c r="F291" i="8" s="1"/>
  <c r="F292" i="8" s="1"/>
  <c r="F293" i="8" s="1"/>
  <c r="F294" i="8" s="1"/>
  <c r="F295" i="8" s="1"/>
  <c r="F296" i="8" s="1"/>
  <c r="F297" i="8" s="1"/>
  <c r="F298" i="8" s="1"/>
  <c r="F299" i="8" s="1"/>
  <c r="F300" i="8" s="1"/>
  <c r="F301" i="8" s="1"/>
  <c r="F302" i="8" s="1"/>
  <c r="F303" i="8" s="1"/>
  <c r="F304" i="8" s="1"/>
  <c r="F305" i="8" s="1"/>
  <c r="F306" i="8" s="1"/>
  <c r="F307" i="8" s="1"/>
  <c r="F308" i="8" s="1"/>
  <c r="F309" i="8" s="1"/>
  <c r="F310" i="8" s="1"/>
  <c r="F311" i="8" s="1"/>
  <c r="F312" i="8" s="1"/>
  <c r="F313" i="8" s="1"/>
  <c r="F314" i="8" s="1"/>
  <c r="F315" i="8" s="1"/>
  <c r="F316" i="8" s="1"/>
  <c r="F317" i="8" s="1"/>
  <c r="F318" i="8" s="1"/>
  <c r="F319" i="8" s="1"/>
  <c r="F320" i="8" s="1"/>
  <c r="F321" i="8" s="1"/>
  <c r="F322" i="8" s="1"/>
  <c r="F323" i="8" s="1"/>
  <c r="F324" i="8" s="1"/>
  <c r="F325" i="8" s="1"/>
  <c r="F326" i="8" s="1"/>
  <c r="F327" i="8" s="1"/>
  <c r="F328" i="8" s="1"/>
  <c r="F329" i="8" s="1"/>
  <c r="F330" i="8" s="1"/>
  <c r="F331" i="8" s="1"/>
  <c r="F332" i="8" s="1"/>
  <c r="F333" i="8" s="1"/>
  <c r="F334" i="8" s="1"/>
  <c r="F335" i="8" s="1"/>
  <c r="F336" i="8" s="1"/>
  <c r="F337" i="8" s="1"/>
  <c r="F338" i="8" s="1"/>
  <c r="F339" i="8" s="1"/>
  <c r="F340" i="8" s="1"/>
  <c r="F341" i="8" s="1"/>
  <c r="F342" i="8" s="1"/>
  <c r="F343" i="8" s="1"/>
  <c r="F344" i="8" s="1"/>
  <c r="F345" i="8" s="1"/>
  <c r="F346" i="8" s="1"/>
  <c r="F347" i="8" s="1"/>
  <c r="F348" i="8" s="1"/>
  <c r="F349" i="8" s="1"/>
  <c r="F350" i="8" s="1"/>
  <c r="F351" i="8" s="1"/>
  <c r="F352" i="8" s="1"/>
  <c r="F353" i="8" s="1"/>
  <c r="F354" i="8" s="1"/>
  <c r="F355" i="8" s="1"/>
  <c r="F356" i="8" s="1"/>
  <c r="F357" i="8" s="1"/>
  <c r="F358" i="8" s="1"/>
  <c r="F359" i="8" s="1"/>
  <c r="F360" i="8" s="1"/>
  <c r="F361" i="8" s="1"/>
  <c r="F362" i="8" s="1"/>
  <c r="F363" i="8" s="1"/>
  <c r="F364" i="8" s="1"/>
  <c r="F365" i="8" s="1"/>
  <c r="F366" i="8" s="1"/>
  <c r="F367" i="8" s="1"/>
  <c r="F368" i="8" s="1"/>
  <c r="F369" i="8" s="1"/>
  <c r="F370" i="8" s="1"/>
  <c r="F371" i="8" s="1"/>
  <c r="F372" i="8" s="1"/>
  <c r="F373" i="8" s="1"/>
  <c r="F374" i="8" s="1"/>
  <c r="F375" i="8" s="1"/>
  <c r="F376" i="8" s="1"/>
  <c r="F377" i="8" s="1"/>
  <c r="F378" i="8" s="1"/>
  <c r="F379" i="8" s="1"/>
  <c r="F380" i="8" s="1"/>
  <c r="F381" i="8" s="1"/>
  <c r="F382" i="8" s="1"/>
  <c r="F383" i="8" s="1"/>
  <c r="F384" i="8" s="1"/>
  <c r="F385" i="8" s="1"/>
  <c r="F386" i="8" s="1"/>
  <c r="F387" i="8" s="1"/>
  <c r="F388" i="8" s="1"/>
  <c r="F389" i="8" s="1"/>
  <c r="F390" i="8" s="1"/>
  <c r="F391" i="8" s="1"/>
  <c r="F392" i="8" s="1"/>
  <c r="F393" i="8" s="1"/>
  <c r="F394" i="8" s="1"/>
  <c r="F395" i="8" s="1"/>
  <c r="F396" i="8" s="1"/>
  <c r="F397" i="8" s="1"/>
  <c r="F398" i="8" s="1"/>
  <c r="F399" i="8" s="1"/>
  <c r="F400" i="8" s="1"/>
  <c r="F401" i="8" s="1"/>
  <c r="F402" i="8" s="1"/>
  <c r="F403" i="8" s="1"/>
  <c r="F404" i="8" s="1"/>
  <c r="F405" i="8" s="1"/>
  <c r="F406" i="8" s="1"/>
  <c r="F407" i="8" s="1"/>
  <c r="F408" i="8" s="1"/>
  <c r="F409" i="8" s="1"/>
  <c r="F410" i="8" s="1"/>
  <c r="F411" i="8" s="1"/>
  <c r="F412" i="8" s="1"/>
  <c r="F413" i="8" s="1"/>
  <c r="F414" i="8" s="1"/>
  <c r="F415" i="8" s="1"/>
  <c r="F416" i="8" s="1"/>
  <c r="F417" i="8" s="1"/>
  <c r="F418" i="8" s="1"/>
  <c r="F419" i="8" s="1"/>
  <c r="F420" i="8" s="1"/>
  <c r="F421" i="8" s="1"/>
  <c r="F422" i="8" s="1"/>
  <c r="F423" i="8" s="1"/>
  <c r="F424" i="8" s="1"/>
  <c r="F425" i="8" s="1"/>
  <c r="F426" i="8" s="1"/>
  <c r="F427" i="8" s="1"/>
  <c r="F428" i="8" s="1"/>
  <c r="F429" i="8" s="1"/>
  <c r="F430" i="8" s="1"/>
  <c r="F431" i="8" s="1"/>
  <c r="F432" i="8" s="1"/>
  <c r="F433" i="8" s="1"/>
  <c r="F434" i="8" s="1"/>
  <c r="F435" i="8" s="1"/>
  <c r="F436" i="8" s="1"/>
  <c r="F437" i="8" s="1"/>
  <c r="F438" i="8" s="1"/>
  <c r="F439" i="8" s="1"/>
  <c r="F440" i="8" s="1"/>
  <c r="F441" i="8" s="1"/>
  <c r="F442" i="8" s="1"/>
  <c r="F443" i="8" s="1"/>
  <c r="F444" i="8" s="1"/>
  <c r="F445" i="8" s="1"/>
  <c r="F446" i="8" s="1"/>
  <c r="F447" i="8" s="1"/>
  <c r="F448" i="8" s="1"/>
  <c r="F449" i="8" s="1"/>
  <c r="F450" i="8" s="1"/>
  <c r="F451" i="8" s="1"/>
  <c r="F452" i="8" s="1"/>
  <c r="F453" i="8" s="1"/>
  <c r="F454" i="8" s="1"/>
  <c r="F455" i="8" s="1"/>
  <c r="F456" i="8" s="1"/>
  <c r="F457" i="8" s="1"/>
  <c r="F458" i="8" s="1"/>
  <c r="F459" i="8" s="1"/>
  <c r="F460" i="8" s="1"/>
  <c r="F461" i="8" s="1"/>
  <c r="F462" i="8" s="1"/>
  <c r="F463" i="8" s="1"/>
  <c r="F464" i="8" s="1"/>
  <c r="F465" i="8" s="1"/>
  <c r="F466" i="8" s="1"/>
  <c r="F467" i="8" s="1"/>
  <c r="F468" i="8" s="1"/>
  <c r="F469" i="8" s="1"/>
  <c r="F470" i="8" s="1"/>
  <c r="F471" i="8" s="1"/>
  <c r="F472" i="8" s="1"/>
  <c r="F473" i="8" s="1"/>
  <c r="F474" i="8" s="1"/>
  <c r="F475" i="8" s="1"/>
  <c r="F476" i="8" s="1"/>
  <c r="F477" i="8" s="1"/>
  <c r="F478" i="8" s="1"/>
  <c r="F479" i="8" s="1"/>
  <c r="F480" i="8" s="1"/>
  <c r="F481" i="8" s="1"/>
  <c r="F482" i="8" s="1"/>
  <c r="F483" i="8" s="1"/>
  <c r="F484" i="8" s="1"/>
  <c r="F485" i="8" s="1"/>
  <c r="F486" i="8" s="1"/>
  <c r="F487" i="8" s="1"/>
  <c r="F488" i="8" s="1"/>
  <c r="F489" i="8" s="1"/>
  <c r="F490" i="8" s="1"/>
  <c r="F491" i="8" s="1"/>
  <c r="F492" i="8" s="1"/>
  <c r="F493" i="8" s="1"/>
  <c r="F494" i="8" s="1"/>
  <c r="F495" i="8" s="1"/>
  <c r="F496" i="8" s="1"/>
  <c r="F497" i="8" s="1"/>
  <c r="F498" i="8" s="1"/>
  <c r="F499" i="8" s="1"/>
  <c r="F500" i="8" s="1"/>
  <c r="F501" i="8" s="1"/>
  <c r="F502" i="8" s="1"/>
  <c r="F503" i="8" s="1"/>
  <c r="F504" i="8" s="1"/>
  <c r="F505" i="8" s="1"/>
  <c r="F506" i="8" s="1"/>
  <c r="F507" i="8" s="1"/>
  <c r="F508" i="8" s="1"/>
  <c r="F509" i="8" s="1"/>
  <c r="F510" i="8" s="1"/>
  <c r="F511" i="8" s="1"/>
  <c r="F512" i="8" s="1"/>
  <c r="F513" i="8" s="1"/>
  <c r="F514" i="8" s="1"/>
  <c r="F515" i="8" s="1"/>
  <c r="F516" i="8" s="1"/>
  <c r="F517" i="8" s="1"/>
  <c r="F518" i="8" s="1"/>
  <c r="F519" i="8" s="1"/>
  <c r="F520" i="8" s="1"/>
  <c r="F521" i="8" s="1"/>
  <c r="F522" i="8" s="1"/>
  <c r="F523" i="8" s="1"/>
  <c r="F524" i="8" s="1"/>
  <c r="F525" i="8" s="1"/>
  <c r="F526" i="8" s="1"/>
  <c r="F527" i="8" s="1"/>
  <c r="F528" i="8" s="1"/>
  <c r="F529" i="8" s="1"/>
  <c r="F530" i="8" s="1"/>
  <c r="F531" i="8" s="1"/>
  <c r="F532" i="8" s="1"/>
  <c r="F533" i="8" s="1"/>
  <c r="F534" i="8" s="1"/>
  <c r="F535" i="8" s="1"/>
  <c r="F536" i="8" s="1"/>
  <c r="F537" i="8" s="1"/>
  <c r="F538" i="8" s="1"/>
  <c r="F539" i="8" s="1"/>
  <c r="F540" i="8" s="1"/>
  <c r="F541" i="8" s="1"/>
  <c r="F542" i="8" s="1"/>
  <c r="F543" i="8" s="1"/>
  <c r="F544" i="8" s="1"/>
  <c r="F545" i="8" s="1"/>
  <c r="F546" i="8" s="1"/>
  <c r="F547" i="8" s="1"/>
  <c r="F548" i="8" s="1"/>
  <c r="F549" i="8" s="1"/>
  <c r="F550" i="8" s="1"/>
  <c r="F551" i="8" s="1"/>
  <c r="F552" i="8" s="1"/>
  <c r="F553" i="8" s="1"/>
  <c r="F554" i="8" s="1"/>
  <c r="F555" i="8" s="1"/>
  <c r="F556" i="8" s="1"/>
  <c r="F557" i="8" s="1"/>
  <c r="F558" i="8" s="1"/>
  <c r="F559" i="8" s="1"/>
  <c r="F560" i="8" s="1"/>
  <c r="F561" i="8" s="1"/>
  <c r="F562" i="8" s="1"/>
  <c r="F563" i="8" s="1"/>
  <c r="F564" i="8" s="1"/>
  <c r="F565" i="8" s="1"/>
  <c r="F566" i="8" s="1"/>
  <c r="F567" i="8" s="1"/>
  <c r="F568" i="8" s="1"/>
  <c r="F569" i="8" s="1"/>
  <c r="F570" i="8" s="1"/>
  <c r="F571" i="8" s="1"/>
  <c r="F572" i="8" s="1"/>
  <c r="F573" i="8" s="1"/>
  <c r="F574" i="8" s="1"/>
  <c r="F575" i="8" s="1"/>
  <c r="F576" i="8" s="1"/>
  <c r="F577" i="8" s="1"/>
  <c r="F578" i="8" s="1"/>
  <c r="F579" i="8" s="1"/>
  <c r="F580" i="8" s="1"/>
  <c r="F581" i="8" s="1"/>
  <c r="F582" i="8" s="1"/>
  <c r="F583" i="8" s="1"/>
  <c r="F584" i="8" s="1"/>
  <c r="F585" i="8" s="1"/>
  <c r="F586" i="8" s="1"/>
  <c r="F587" i="8" s="1"/>
  <c r="F588" i="8" s="1"/>
  <c r="F589" i="8" s="1"/>
  <c r="F590" i="8" s="1"/>
  <c r="F591" i="8" s="1"/>
  <c r="F592" i="8" s="1"/>
  <c r="F593" i="8" s="1"/>
  <c r="F594" i="8" s="1"/>
  <c r="F595" i="8" s="1"/>
  <c r="F596" i="8" s="1"/>
  <c r="F597" i="8" s="1"/>
  <c r="F598" i="8" s="1"/>
  <c r="F599" i="8" s="1"/>
  <c r="F600" i="8" s="1"/>
  <c r="F601" i="8" s="1"/>
  <c r="F602" i="8" s="1"/>
  <c r="F603" i="8" s="1"/>
  <c r="F604" i="8" s="1"/>
  <c r="F605" i="8" s="1"/>
  <c r="F606" i="8" s="1"/>
  <c r="F607" i="8" s="1"/>
  <c r="F608" i="8" s="1"/>
  <c r="F609" i="8" s="1"/>
  <c r="F610" i="8" s="1"/>
  <c r="F611" i="8" s="1"/>
  <c r="F612" i="8" s="1"/>
  <c r="F613" i="8" s="1"/>
  <c r="F614" i="8" s="1"/>
  <c r="F615" i="8" s="1"/>
  <c r="F616" i="8" s="1"/>
  <c r="F617" i="8" s="1"/>
  <c r="F618" i="8" s="1"/>
  <c r="F619" i="8" s="1"/>
  <c r="F620" i="8" s="1"/>
  <c r="F621" i="8" s="1"/>
  <c r="F622" i="8" s="1"/>
  <c r="F623" i="8" s="1"/>
  <c r="F624" i="8" s="1"/>
  <c r="F625" i="8" s="1"/>
  <c r="F626" i="8" s="1"/>
  <c r="F627" i="8" s="1"/>
  <c r="F628" i="8" s="1"/>
  <c r="F629" i="8" s="1"/>
  <c r="F630" i="8" s="1"/>
  <c r="F631" i="8" s="1"/>
  <c r="F632" i="8" s="1"/>
  <c r="F633" i="8" s="1"/>
  <c r="F634" i="8" s="1"/>
  <c r="F635" i="8" s="1"/>
  <c r="F636" i="8" s="1"/>
  <c r="F637" i="8" s="1"/>
  <c r="F638" i="8" s="1"/>
  <c r="F639" i="8" s="1"/>
  <c r="F640" i="8" s="1"/>
  <c r="F641" i="8" s="1"/>
  <c r="F642" i="8" s="1"/>
  <c r="F643" i="8" s="1"/>
  <c r="F644" i="8" s="1"/>
  <c r="F645" i="8" s="1"/>
  <c r="F646" i="8" s="1"/>
  <c r="F647" i="8" s="1"/>
  <c r="F648" i="8" s="1"/>
  <c r="F649" i="8" s="1"/>
  <c r="F650" i="8" s="1"/>
  <c r="F651" i="8" s="1"/>
  <c r="F652" i="8" s="1"/>
  <c r="F653" i="8" s="1"/>
  <c r="F654" i="8" s="1"/>
  <c r="F655" i="8" s="1"/>
  <c r="F656" i="8" s="1"/>
  <c r="F657" i="8" s="1"/>
  <c r="F658" i="8" s="1"/>
  <c r="F659" i="8" s="1"/>
  <c r="F660" i="8" s="1"/>
  <c r="F661" i="8" s="1"/>
  <c r="F662" i="8" s="1"/>
  <c r="F663" i="8" s="1"/>
  <c r="F664" i="8" s="1"/>
  <c r="F665" i="8" s="1"/>
  <c r="F666" i="8" s="1"/>
  <c r="F667" i="8" s="1"/>
  <c r="F668" i="8" s="1"/>
  <c r="F669" i="8" s="1"/>
  <c r="F670" i="8" s="1"/>
  <c r="F671" i="8" s="1"/>
  <c r="F672" i="8" s="1"/>
  <c r="F673" i="8" s="1"/>
  <c r="F674" i="8" s="1"/>
  <c r="F675" i="8" s="1"/>
  <c r="F676" i="8" s="1"/>
  <c r="F677" i="8" s="1"/>
  <c r="F678" i="8" s="1"/>
  <c r="F679" i="8" s="1"/>
  <c r="F680" i="8" s="1"/>
  <c r="F681" i="8" s="1"/>
  <c r="F682" i="8" s="1"/>
  <c r="F683" i="8" s="1"/>
  <c r="F684" i="8" s="1"/>
  <c r="F685" i="8" s="1"/>
  <c r="F686" i="8" s="1"/>
  <c r="F687" i="8" s="1"/>
  <c r="F688" i="8" s="1"/>
  <c r="F689" i="8" s="1"/>
  <c r="F690" i="8" s="1"/>
  <c r="F691" i="8" s="1"/>
  <c r="F692" i="8" s="1"/>
  <c r="F693" i="8" s="1"/>
  <c r="F694" i="8" s="1"/>
  <c r="F695" i="8" s="1"/>
  <c r="F696" i="8" s="1"/>
  <c r="F697" i="8" s="1"/>
  <c r="F698" i="8" s="1"/>
  <c r="F699" i="8" s="1"/>
  <c r="F700" i="8" s="1"/>
  <c r="F701" i="8" s="1"/>
  <c r="F702" i="8" s="1"/>
  <c r="F703" i="8" s="1"/>
  <c r="F704" i="8" s="1"/>
  <c r="F705" i="8" s="1"/>
  <c r="F706" i="8" s="1"/>
  <c r="F707" i="8" s="1"/>
  <c r="F708" i="8" s="1"/>
  <c r="F709" i="8" s="1"/>
  <c r="F710" i="8" s="1"/>
  <c r="F711" i="8" s="1"/>
  <c r="F712" i="8" s="1"/>
  <c r="F713" i="8" s="1"/>
  <c r="F714" i="8" s="1"/>
  <c r="F715" i="8" s="1"/>
  <c r="F716" i="8" s="1"/>
  <c r="F717" i="8" s="1"/>
  <c r="F718" i="8" s="1"/>
  <c r="F719" i="8" s="1"/>
  <c r="F720" i="8" s="1"/>
  <c r="F721" i="8" s="1"/>
  <c r="F722" i="8" s="1"/>
  <c r="F723" i="8" s="1"/>
  <c r="F724" i="8" s="1"/>
  <c r="F725" i="8" s="1"/>
  <c r="F726" i="8" s="1"/>
  <c r="F727" i="8" s="1"/>
  <c r="F728" i="8" s="1"/>
  <c r="F729" i="8" s="1"/>
  <c r="F730" i="8" s="1"/>
  <c r="F731" i="8" s="1"/>
  <c r="F732" i="8" s="1"/>
  <c r="F733" i="8" s="1"/>
  <c r="F734" i="8" s="1"/>
  <c r="F735" i="8" s="1"/>
  <c r="F736" i="8" s="1"/>
  <c r="F737" i="8" s="1"/>
  <c r="F738" i="8" s="1"/>
  <c r="F739" i="8" s="1"/>
  <c r="F740" i="8" s="1"/>
  <c r="F741" i="8" s="1"/>
  <c r="F742" i="8" s="1"/>
  <c r="F743" i="8" s="1"/>
  <c r="F744" i="8" s="1"/>
  <c r="F745" i="8" s="1"/>
  <c r="F746" i="8" s="1"/>
  <c r="F747" i="8" s="1"/>
  <c r="F748" i="8" s="1"/>
  <c r="F749" i="8" s="1"/>
  <c r="F750" i="8" s="1"/>
  <c r="F751" i="8" s="1"/>
  <c r="F752" i="8" s="1"/>
  <c r="F753" i="8" s="1"/>
  <c r="F754" i="8" s="1"/>
  <c r="F755" i="8" s="1"/>
  <c r="F756" i="8" s="1"/>
  <c r="F757" i="8" s="1"/>
  <c r="F758" i="8" s="1"/>
  <c r="F759" i="8" s="1"/>
  <c r="F760" i="8" s="1"/>
  <c r="F761" i="8" s="1"/>
  <c r="F762" i="8" s="1"/>
  <c r="F763" i="8" s="1"/>
  <c r="F764" i="8" s="1"/>
  <c r="F765" i="8" s="1"/>
  <c r="F766" i="8" s="1"/>
  <c r="F767" i="8" s="1"/>
  <c r="F768" i="8" s="1"/>
  <c r="F769" i="8" s="1"/>
  <c r="F770" i="8" s="1"/>
  <c r="F771" i="8" s="1"/>
  <c r="F772" i="8" s="1"/>
  <c r="F773" i="8" s="1"/>
  <c r="F774" i="8" s="1"/>
  <c r="F775" i="8" s="1"/>
  <c r="F776" i="8" s="1"/>
  <c r="F777" i="8" s="1"/>
  <c r="F778" i="8" s="1"/>
  <c r="F779" i="8" s="1"/>
  <c r="F780" i="8" s="1"/>
  <c r="F781" i="8" s="1"/>
  <c r="F782" i="8" s="1"/>
  <c r="F783" i="8" s="1"/>
  <c r="F784" i="8" s="1"/>
  <c r="F785" i="8" s="1"/>
  <c r="F786" i="8" s="1"/>
  <c r="F787" i="8" s="1"/>
  <c r="F788" i="8" s="1"/>
  <c r="F789" i="8" s="1"/>
  <c r="F790" i="8" s="1"/>
  <c r="F791" i="8" s="1"/>
  <c r="F792" i="8" s="1"/>
  <c r="F793" i="8" s="1"/>
  <c r="F794" i="8" s="1"/>
  <c r="F795" i="8" s="1"/>
  <c r="F796" i="8" s="1"/>
  <c r="F797" i="8" s="1"/>
  <c r="F798" i="8" s="1"/>
  <c r="F799" i="8" s="1"/>
  <c r="F800" i="8" s="1"/>
  <c r="F801" i="8" s="1"/>
  <c r="F802" i="8" s="1"/>
  <c r="F803" i="8" s="1"/>
  <c r="F804" i="8" s="1"/>
  <c r="F805" i="8" s="1"/>
  <c r="F806" i="8" s="1"/>
  <c r="F807" i="8" s="1"/>
  <c r="F808" i="8" s="1"/>
  <c r="F809" i="8" s="1"/>
  <c r="F810" i="8" s="1"/>
  <c r="F811" i="8" s="1"/>
  <c r="F812" i="8" s="1"/>
  <c r="F813" i="8" s="1"/>
  <c r="F814" i="8" s="1"/>
  <c r="F815" i="8" s="1"/>
  <c r="F816" i="8" s="1"/>
  <c r="F817" i="8" s="1"/>
  <c r="F818" i="8" s="1"/>
  <c r="F819" i="8" s="1"/>
  <c r="F820" i="8" s="1"/>
  <c r="F821" i="8" s="1"/>
  <c r="F822" i="8" s="1"/>
  <c r="F823" i="8" s="1"/>
  <c r="F824" i="8" s="1"/>
  <c r="F825" i="8" s="1"/>
  <c r="F826" i="8" s="1"/>
  <c r="F827" i="8" s="1"/>
  <c r="F828" i="8" s="1"/>
  <c r="F829" i="8" s="1"/>
  <c r="F830" i="8" s="1"/>
  <c r="F831" i="8" s="1"/>
  <c r="F832" i="8" s="1"/>
  <c r="F833" i="8" s="1"/>
  <c r="F834" i="8" s="1"/>
  <c r="F835" i="8" s="1"/>
  <c r="F836" i="8" s="1"/>
  <c r="F837" i="8" s="1"/>
  <c r="F838" i="8" s="1"/>
  <c r="F839" i="8" s="1"/>
  <c r="F840" i="8" s="1"/>
  <c r="F841" i="8" s="1"/>
  <c r="F842" i="8" s="1"/>
  <c r="F843" i="8" s="1"/>
  <c r="F844" i="8" s="1"/>
  <c r="F845" i="8" s="1"/>
  <c r="F846" i="8" s="1"/>
  <c r="F847" i="8" s="1"/>
  <c r="F848" i="8" s="1"/>
  <c r="F849" i="8" s="1"/>
  <c r="F850" i="8" s="1"/>
  <c r="F851" i="8" s="1"/>
  <c r="F852" i="8" s="1"/>
  <c r="F853" i="8" s="1"/>
  <c r="F854" i="8" s="1"/>
  <c r="F855" i="8" s="1"/>
  <c r="F856" i="8" s="1"/>
  <c r="F857" i="8" s="1"/>
  <c r="F858" i="8" s="1"/>
  <c r="F859" i="8" s="1"/>
  <c r="F860" i="8" s="1"/>
  <c r="F861" i="8" s="1"/>
  <c r="F862" i="8" s="1"/>
  <c r="F863" i="8" s="1"/>
  <c r="F864" i="8" s="1"/>
  <c r="F865" i="8" s="1"/>
  <c r="F866" i="8" s="1"/>
  <c r="F867" i="8" s="1"/>
  <c r="F868" i="8" s="1"/>
  <c r="F869" i="8" s="1"/>
  <c r="F870" i="8" s="1"/>
  <c r="F871" i="8" s="1"/>
  <c r="F872" i="8" s="1"/>
  <c r="F873" i="8" s="1"/>
  <c r="F874" i="8" s="1"/>
  <c r="F875" i="8" s="1"/>
  <c r="F876" i="8" s="1"/>
  <c r="F877" i="8" s="1"/>
  <c r="F878" i="8" s="1"/>
  <c r="F879" i="8" s="1"/>
  <c r="F880" i="8" s="1"/>
  <c r="F881" i="8" s="1"/>
  <c r="F882" i="8" s="1"/>
  <c r="F883" i="8" s="1"/>
  <c r="F884" i="8" s="1"/>
  <c r="F885" i="8" s="1"/>
  <c r="F886" i="8" s="1"/>
  <c r="F887" i="8" s="1"/>
  <c r="F888" i="8" s="1"/>
  <c r="F889" i="8" s="1"/>
  <c r="F890" i="8" s="1"/>
  <c r="F891" i="8" s="1"/>
  <c r="F892" i="8" s="1"/>
  <c r="F893" i="8" s="1"/>
  <c r="F894" i="8" s="1"/>
  <c r="F895" i="8" s="1"/>
  <c r="F896" i="8" s="1"/>
  <c r="F897" i="8" s="1"/>
  <c r="F898" i="8" s="1"/>
  <c r="F899" i="8" s="1"/>
  <c r="F900" i="8" s="1"/>
  <c r="F901" i="8" s="1"/>
  <c r="F902" i="8" s="1"/>
  <c r="F903" i="8" s="1"/>
  <c r="F904" i="8" s="1"/>
  <c r="F905" i="8" s="1"/>
  <c r="F906" i="8" s="1"/>
  <c r="F907" i="8" s="1"/>
  <c r="F908" i="8" s="1"/>
  <c r="F909" i="8" s="1"/>
  <c r="F910" i="8" s="1"/>
  <c r="F911" i="8" s="1"/>
  <c r="F912" i="8" s="1"/>
  <c r="F913" i="8" s="1"/>
  <c r="F914" i="8" s="1"/>
  <c r="F915" i="8" s="1"/>
  <c r="F916" i="8" s="1"/>
  <c r="F917" i="8" s="1"/>
  <c r="F918" i="8" s="1"/>
  <c r="F919" i="8" s="1"/>
  <c r="F920" i="8" s="1"/>
  <c r="F921" i="8" s="1"/>
  <c r="F922" i="8" s="1"/>
  <c r="F923" i="8" s="1"/>
  <c r="F924" i="8" s="1"/>
  <c r="F925" i="8" s="1"/>
  <c r="F926" i="8" s="1"/>
  <c r="F927" i="8" s="1"/>
  <c r="F928" i="8" s="1"/>
  <c r="F929" i="8" s="1"/>
  <c r="F930" i="8" s="1"/>
  <c r="F931" i="8" s="1"/>
  <c r="F932" i="8" s="1"/>
  <c r="F933" i="8" s="1"/>
  <c r="F934" i="8" s="1"/>
  <c r="F935" i="8" s="1"/>
  <c r="F936" i="8" s="1"/>
  <c r="F937" i="8" s="1"/>
  <c r="F938" i="8" s="1"/>
  <c r="F939" i="8" s="1"/>
  <c r="F940" i="8" s="1"/>
  <c r="F941" i="8" s="1"/>
  <c r="F942" i="8" s="1"/>
  <c r="F943" i="8" s="1"/>
  <c r="F944" i="8" s="1"/>
  <c r="F945" i="8" s="1"/>
  <c r="F946" i="8" s="1"/>
  <c r="F947" i="8" s="1"/>
  <c r="F948" i="8" s="1"/>
  <c r="F949" i="8" s="1"/>
  <c r="F950" i="8" s="1"/>
  <c r="F951" i="8" s="1"/>
  <c r="F952" i="8" s="1"/>
  <c r="F953" i="8" s="1"/>
  <c r="F954" i="8" s="1"/>
  <c r="F955" i="8" s="1"/>
  <c r="F956" i="8" s="1"/>
  <c r="F957" i="8" s="1"/>
  <c r="F958" i="8" s="1"/>
  <c r="F959" i="8" s="1"/>
  <c r="F960" i="8" s="1"/>
  <c r="F961" i="8" s="1"/>
  <c r="F962" i="8" s="1"/>
  <c r="F963" i="8" s="1"/>
  <c r="F964" i="8" s="1"/>
  <c r="F965" i="8" s="1"/>
  <c r="F966" i="8" s="1"/>
  <c r="F967" i="8" s="1"/>
  <c r="F968" i="8" s="1"/>
  <c r="F969" i="8" s="1"/>
  <c r="F970" i="8" s="1"/>
  <c r="F971" i="8" s="1"/>
  <c r="F972" i="8" s="1"/>
  <c r="F973" i="8" s="1"/>
  <c r="F974" i="8" s="1"/>
  <c r="F975" i="8" s="1"/>
  <c r="F976" i="8" s="1"/>
  <c r="F977" i="8" s="1"/>
  <c r="F978" i="8" s="1"/>
  <c r="F979" i="8" s="1"/>
  <c r="F980" i="8" s="1"/>
  <c r="F981" i="8" s="1"/>
  <c r="F982" i="8" s="1"/>
  <c r="F983" i="8" s="1"/>
  <c r="F984" i="8" s="1"/>
  <c r="F985" i="8" s="1"/>
  <c r="F986" i="8" s="1"/>
  <c r="F987" i="8" s="1"/>
  <c r="F988" i="8" s="1"/>
  <c r="F989" i="8" s="1"/>
  <c r="F990" i="8" s="1"/>
  <c r="F991" i="8" s="1"/>
  <c r="F992" i="8" s="1"/>
  <c r="F993" i="8" s="1"/>
  <c r="F994" i="8" s="1"/>
  <c r="F995" i="8" s="1"/>
  <c r="F996" i="8" s="1"/>
  <c r="F997" i="8" s="1"/>
  <c r="F998" i="8" s="1"/>
  <c r="F999" i="8" s="1"/>
  <c r="F1000" i="8" s="1"/>
  <c r="F1001" i="8" s="1"/>
  <c r="F1002" i="8" s="1"/>
  <c r="F1003" i="8" s="1"/>
  <c r="F1004" i="8" s="1"/>
  <c r="F1005" i="8" s="1"/>
  <c r="F1006" i="8" s="1"/>
  <c r="F1007" i="8" s="1"/>
  <c r="F1008" i="8" s="1"/>
  <c r="F1009" i="8" s="1"/>
  <c r="F1010" i="8" s="1"/>
  <c r="F1011" i="8" s="1"/>
  <c r="F1012" i="8" s="1"/>
  <c r="F1013" i="8" s="1"/>
  <c r="F1014" i="8" s="1"/>
  <c r="F1015" i="8" s="1"/>
  <c r="F1016" i="8" s="1"/>
  <c r="F1017" i="8" s="1"/>
  <c r="F1018" i="8" s="1"/>
  <c r="F1019" i="8" s="1"/>
  <c r="F1020" i="8" s="1"/>
  <c r="F1021" i="8" s="1"/>
  <c r="F1022" i="8" s="1"/>
  <c r="F1023" i="8" s="1"/>
  <c r="F1024" i="8" s="1"/>
  <c r="F1025" i="8" s="1"/>
  <c r="F1026" i="8" s="1"/>
  <c r="F1027" i="8" s="1"/>
  <c r="F1028" i="8" s="1"/>
  <c r="F1029" i="8" s="1"/>
  <c r="F1030" i="8" s="1"/>
  <c r="F1031" i="8" s="1"/>
  <c r="F1032" i="8" s="1"/>
  <c r="F1033" i="8" s="1"/>
  <c r="F1034" i="8" s="1"/>
  <c r="F1035" i="8" s="1"/>
  <c r="F1036" i="8" s="1"/>
  <c r="F1037" i="8" s="1"/>
  <c r="F1038" i="8" s="1"/>
  <c r="F1039" i="8" s="1"/>
  <c r="F1040" i="8" s="1"/>
  <c r="F1041" i="8" s="1"/>
  <c r="F1042" i="8" s="1"/>
  <c r="F1043" i="8" s="1"/>
  <c r="F1044" i="8" s="1"/>
  <c r="F1045" i="8" s="1"/>
  <c r="F1046" i="8" s="1"/>
  <c r="F1047" i="8" s="1"/>
  <c r="F1048" i="8" s="1"/>
  <c r="F1049" i="8" s="1"/>
  <c r="F1050" i="8" s="1"/>
  <c r="F1051" i="8" s="1"/>
  <c r="F1052" i="8" s="1"/>
  <c r="F1053" i="8" s="1"/>
  <c r="F1054" i="8" s="1"/>
  <c r="F1055" i="8" s="1"/>
  <c r="F1056" i="8" s="1"/>
  <c r="F1057" i="8" s="1"/>
  <c r="F1058" i="8" s="1"/>
  <c r="F1059" i="8" s="1"/>
  <c r="F1060" i="8" s="1"/>
  <c r="F1061" i="8" s="1"/>
  <c r="F1062" i="8" s="1"/>
  <c r="F1063" i="8" s="1"/>
  <c r="F1064" i="8" s="1"/>
  <c r="F1065" i="8" s="1"/>
  <c r="F1066" i="8" s="1"/>
  <c r="F1067" i="8" s="1"/>
  <c r="F1068" i="8" s="1"/>
  <c r="F1069" i="8" s="1"/>
  <c r="F1070" i="8" s="1"/>
  <c r="F1071" i="8" s="1"/>
  <c r="F1072" i="8" s="1"/>
  <c r="F1073" i="8" s="1"/>
  <c r="F1074" i="8" s="1"/>
  <c r="F1075" i="8" s="1"/>
  <c r="F1076" i="8" s="1"/>
  <c r="F1077" i="8" s="1"/>
  <c r="F1078" i="8" s="1"/>
  <c r="F1079" i="8" s="1"/>
  <c r="F1080" i="8" s="1"/>
  <c r="F1081" i="8" s="1"/>
  <c r="F1082" i="8" s="1"/>
  <c r="F1083" i="8" s="1"/>
  <c r="F1084" i="8" s="1"/>
  <c r="F1085" i="8" s="1"/>
  <c r="F1086" i="8" s="1"/>
  <c r="F1087" i="8" s="1"/>
  <c r="F1088" i="8" s="1"/>
  <c r="F1089" i="8" s="1"/>
  <c r="F1090" i="8" s="1"/>
  <c r="F1091" i="8" s="1"/>
  <c r="F1092" i="8" s="1"/>
  <c r="F1093" i="8" s="1"/>
  <c r="F1094" i="8" s="1"/>
  <c r="F1095" i="8" s="1"/>
  <c r="F1096" i="8" s="1"/>
  <c r="F1097" i="8" s="1"/>
  <c r="F1098" i="8" s="1"/>
  <c r="F1099" i="8" s="1"/>
  <c r="F1100" i="8" s="1"/>
  <c r="F1101" i="8" s="1"/>
  <c r="F1102" i="8" s="1"/>
  <c r="F1103" i="8" s="1"/>
  <c r="F1104" i="8" s="1"/>
  <c r="F1105" i="8" s="1"/>
  <c r="F1106" i="8" s="1"/>
  <c r="F1107" i="8" s="1"/>
  <c r="F1108" i="8" s="1"/>
  <c r="F1109" i="8" s="1"/>
  <c r="F1110" i="8" s="1"/>
  <c r="F1111" i="8" s="1"/>
  <c r="F1112" i="8" s="1"/>
  <c r="F1113" i="8" s="1"/>
  <c r="F1114" i="8" s="1"/>
  <c r="F1115" i="8" s="1"/>
  <c r="F1116" i="8" s="1"/>
  <c r="F1117" i="8" s="1"/>
  <c r="F1118" i="8" s="1"/>
  <c r="F1119" i="8" s="1"/>
  <c r="F1120" i="8" s="1"/>
  <c r="F1121" i="8" s="1"/>
  <c r="F1122" i="8" s="1"/>
  <c r="F1123" i="8" s="1"/>
  <c r="F1124" i="8" s="1"/>
  <c r="F1125" i="8" s="1"/>
  <c r="F1126" i="8" s="1"/>
  <c r="F1127" i="8" s="1"/>
  <c r="F1128" i="8" s="1"/>
  <c r="F1129" i="8" s="1"/>
  <c r="F1130" i="8" s="1"/>
  <c r="F1131" i="8" s="1"/>
  <c r="F1132" i="8" s="1"/>
  <c r="F1133" i="8" s="1"/>
  <c r="F1134" i="8" s="1"/>
  <c r="F1135" i="8" s="1"/>
  <c r="F1136" i="8" s="1"/>
  <c r="F1137" i="8" s="1"/>
  <c r="F1138" i="8" s="1"/>
  <c r="F1139" i="8" s="1"/>
  <c r="F1140" i="8" s="1"/>
  <c r="F1141" i="8" s="1"/>
  <c r="F1142" i="8" s="1"/>
  <c r="F1143" i="8" s="1"/>
  <c r="F1144" i="8" s="1"/>
  <c r="F1145" i="8" s="1"/>
  <c r="F1146" i="8" s="1"/>
  <c r="F1147" i="8" s="1"/>
  <c r="F1148" i="8" s="1"/>
  <c r="F1149" i="8" s="1"/>
  <c r="F1150" i="8" s="1"/>
  <c r="F1151" i="8" s="1"/>
  <c r="F1152" i="8" s="1"/>
  <c r="F1153" i="8" s="1"/>
  <c r="F1154" i="8" s="1"/>
  <c r="F1155" i="8" s="1"/>
  <c r="F1156" i="8" s="1"/>
  <c r="F1157" i="8" s="1"/>
  <c r="F1158" i="8" s="1"/>
  <c r="F1159" i="8" s="1"/>
  <c r="F1160" i="8" s="1"/>
  <c r="F1161" i="8" s="1"/>
  <c r="F1162" i="8" s="1"/>
  <c r="F1163" i="8" s="1"/>
  <c r="F1164" i="8" s="1"/>
  <c r="F1165" i="8" s="1"/>
  <c r="F1166" i="8" s="1"/>
  <c r="F1167" i="8" s="1"/>
  <c r="F1168" i="8" s="1"/>
  <c r="F1169" i="8" s="1"/>
  <c r="F1170" i="8" s="1"/>
  <c r="F1171" i="8" s="1"/>
  <c r="F1172" i="8" s="1"/>
  <c r="F1173" i="8" s="1"/>
  <c r="F1174" i="8" s="1"/>
  <c r="F1175" i="8" s="1"/>
  <c r="F1176" i="8" s="1"/>
  <c r="F1177" i="8" s="1"/>
  <c r="F1178" i="8" s="1"/>
  <c r="F1179" i="8" s="1"/>
  <c r="F1180" i="8" s="1"/>
  <c r="F1181" i="8" s="1"/>
  <c r="F1182" i="8" s="1"/>
  <c r="F1183" i="8" s="1"/>
  <c r="F1184" i="8" s="1"/>
  <c r="F1185" i="8" s="1"/>
  <c r="F1186" i="8" s="1"/>
  <c r="F1187" i="8" s="1"/>
  <c r="F1188" i="8" s="1"/>
  <c r="F1189" i="8" s="1"/>
  <c r="F1190" i="8" s="1"/>
  <c r="F1191" i="8" s="1"/>
  <c r="F1192" i="8" s="1"/>
  <c r="F1193" i="8" s="1"/>
  <c r="F1194" i="8" s="1"/>
  <c r="F1195" i="8" s="1"/>
  <c r="F1196" i="8" s="1"/>
  <c r="F1197" i="8" s="1"/>
  <c r="F1198" i="8" s="1"/>
  <c r="F1199" i="8" s="1"/>
  <c r="F1200" i="8" s="1"/>
  <c r="F1201" i="8" s="1"/>
  <c r="F1202" i="8" s="1"/>
  <c r="F1203" i="8" s="1"/>
  <c r="F1204" i="8" s="1"/>
  <c r="F1205" i="8" s="1"/>
  <c r="F1206" i="8" s="1"/>
  <c r="F1207" i="8" s="1"/>
  <c r="F1208" i="8" s="1"/>
  <c r="F1209" i="8" s="1"/>
  <c r="F1210" i="8" s="1"/>
  <c r="F1211" i="8" s="1"/>
  <c r="F1212" i="8" s="1"/>
  <c r="F1213" i="8" s="1"/>
  <c r="F1214" i="8" s="1"/>
  <c r="F1215" i="8" s="1"/>
  <c r="F1216" i="8" s="1"/>
  <c r="F1217" i="8" s="1"/>
  <c r="F1218" i="8" s="1"/>
  <c r="F1219" i="8" s="1"/>
  <c r="F1220" i="8" s="1"/>
  <c r="F1221" i="8" s="1"/>
  <c r="F1222" i="8" s="1"/>
  <c r="F1223" i="8" s="1"/>
  <c r="F1224" i="8" s="1"/>
  <c r="F1225" i="8" s="1"/>
  <c r="F1226" i="8" s="1"/>
  <c r="F1227" i="8" s="1"/>
  <c r="F1228" i="8" s="1"/>
  <c r="F1229" i="8" s="1"/>
  <c r="F1230" i="8" s="1"/>
  <c r="F1231" i="8" s="1"/>
  <c r="F1232" i="8" s="1"/>
  <c r="F1233" i="8" s="1"/>
  <c r="F1234" i="8" s="1"/>
  <c r="F1235" i="8" s="1"/>
  <c r="F1236" i="8" s="1"/>
  <c r="F1237" i="8" s="1"/>
  <c r="F1238" i="8" s="1"/>
  <c r="F1239" i="8" s="1"/>
  <c r="F1240" i="8" s="1"/>
  <c r="F1241" i="8" s="1"/>
  <c r="F1242" i="8" s="1"/>
  <c r="F1243" i="8" s="1"/>
  <c r="F1244" i="8" s="1"/>
  <c r="F1245" i="8" s="1"/>
  <c r="F1246" i="8" s="1"/>
  <c r="F1247" i="8" s="1"/>
  <c r="F1248" i="8" s="1"/>
  <c r="F1249" i="8" s="1"/>
  <c r="F1250" i="8" s="1"/>
  <c r="F1251" i="8" s="1"/>
  <c r="F1252" i="8" s="1"/>
  <c r="F1253" i="8" s="1"/>
  <c r="F1254" i="8" s="1"/>
  <c r="F1255" i="8" s="1"/>
  <c r="F1256" i="8" s="1"/>
  <c r="F1257" i="8" s="1"/>
  <c r="F1258" i="8" s="1"/>
  <c r="I114" i="8"/>
  <c r="I7" i="8"/>
  <c r="I1120" i="9"/>
  <c r="I120" i="8"/>
  <c r="I45" i="8"/>
  <c r="G1255" i="9"/>
  <c r="G157" i="8"/>
  <c r="G135" i="8"/>
  <c r="I123" i="8"/>
  <c r="G110" i="8"/>
  <c r="G85" i="8"/>
  <c r="G55" i="8"/>
  <c r="G48" i="8"/>
  <c r="D1255" i="9"/>
  <c r="I1255" i="9"/>
  <c r="I1226" i="9"/>
  <c r="D1217" i="9"/>
  <c r="I1217" i="9"/>
  <c r="I166" i="8"/>
  <c r="D151" i="8"/>
  <c r="I126" i="8"/>
  <c r="I119" i="8"/>
  <c r="D104" i="8"/>
  <c r="I94" i="8"/>
  <c r="D79" i="8"/>
  <c r="G6" i="8"/>
  <c r="F6" i="8"/>
  <c r="I1128" i="9"/>
  <c r="D1128" i="9"/>
  <c r="I129" i="8"/>
  <c r="G62" i="8"/>
  <c r="D1234" i="9"/>
  <c r="I1234" i="9"/>
  <c r="G1208" i="9"/>
  <c r="I1143" i="9"/>
  <c r="D1143" i="9"/>
  <c r="I1050" i="9"/>
  <c r="D1050" i="9"/>
  <c r="D207" i="8"/>
  <c r="I204" i="8"/>
  <c r="I172" i="8"/>
  <c r="I132" i="8"/>
  <c r="I125" i="8"/>
  <c r="I100" i="8"/>
  <c r="G44" i="8"/>
  <c r="I13" i="8"/>
  <c r="G194" i="8"/>
  <c r="G169" i="8"/>
  <c r="G147" i="8"/>
  <c r="I135" i="8"/>
  <c r="G122" i="8"/>
  <c r="G97" i="8"/>
  <c r="G75" i="8"/>
  <c r="I48" i="8"/>
  <c r="I1208" i="9"/>
  <c r="D1204" i="9"/>
  <c r="I1204" i="9"/>
  <c r="I1157" i="9"/>
  <c r="D1157" i="9"/>
  <c r="I210" i="8"/>
  <c r="G197" i="8"/>
  <c r="G172" i="8"/>
  <c r="G150" i="8"/>
  <c r="I138" i="8"/>
  <c r="I131" i="8"/>
  <c r="G125" i="8"/>
  <c r="I106" i="8"/>
  <c r="G100" i="8"/>
  <c r="G78" i="8"/>
  <c r="D40" i="8"/>
  <c r="I40" i="8"/>
  <c r="I9" i="8"/>
  <c r="G1233" i="9"/>
  <c r="G1229" i="9"/>
  <c r="I1199" i="9"/>
  <c r="I141" i="8"/>
  <c r="I68" i="8"/>
  <c r="I61" i="8"/>
  <c r="I43" i="8"/>
  <c r="G178" i="8"/>
  <c r="G156" i="8"/>
  <c r="I144" i="8"/>
  <c r="G131" i="8"/>
  <c r="G106" i="8"/>
  <c r="G84" i="8"/>
  <c r="G51" i="8"/>
  <c r="I39" i="8"/>
  <c r="I219" i="8"/>
  <c r="I147" i="8"/>
  <c r="I140" i="8"/>
  <c r="I115" i="8"/>
  <c r="I75" i="8"/>
  <c r="I71" i="8"/>
  <c r="F24" i="8"/>
  <c r="F25" i="8" s="1"/>
  <c r="F26" i="8" s="1"/>
  <c r="F27" i="8" s="1"/>
  <c r="F28" i="8" s="1"/>
  <c r="F29" i="8" s="1"/>
  <c r="G1237" i="9"/>
  <c r="D1180" i="9"/>
  <c r="I1180" i="9"/>
  <c r="G162" i="8"/>
  <c r="I150" i="8"/>
  <c r="G137" i="8"/>
  <c r="G112" i="8"/>
  <c r="G90" i="8"/>
  <c r="I78" i="8"/>
  <c r="G39" i="8"/>
  <c r="I28" i="8"/>
  <c r="I1229" i="9"/>
  <c r="D1198" i="9"/>
  <c r="I1198" i="9"/>
  <c r="I225" i="8"/>
  <c r="I218" i="8"/>
  <c r="I193" i="8"/>
  <c r="I153" i="8"/>
  <c r="I146" i="8"/>
  <c r="I121" i="8"/>
  <c r="I81" i="8"/>
  <c r="I64" i="8"/>
  <c r="G35" i="8"/>
  <c r="F35" i="8"/>
  <c r="F36" i="8" s="1"/>
  <c r="F37" i="8" s="1"/>
  <c r="F38" i="8" s="1"/>
  <c r="F39" i="8" s="1"/>
  <c r="F40" i="8" s="1"/>
  <c r="F41" i="8" s="1"/>
  <c r="F42" i="8" s="1"/>
  <c r="F43" i="8" s="1"/>
  <c r="F44" i="8" s="1"/>
  <c r="F45" i="8" s="1"/>
  <c r="F46" i="8" s="1"/>
  <c r="F47" i="8" s="1"/>
  <c r="F48" i="8" s="1"/>
  <c r="F49" i="8" s="1"/>
  <c r="F50" i="8" s="1"/>
  <c r="F51" i="8" s="1"/>
  <c r="F52" i="8" s="1"/>
  <c r="F53" i="8" s="1"/>
  <c r="F54" i="8" s="1"/>
  <c r="F55" i="8" s="1"/>
  <c r="F56" i="8" s="1"/>
  <c r="F57" i="8" s="1"/>
  <c r="F58" i="8" s="1"/>
  <c r="F59" i="8" s="1"/>
  <c r="F60" i="8" s="1"/>
  <c r="F61" i="8" s="1"/>
  <c r="F62" i="8" s="1"/>
  <c r="F63" i="8" s="1"/>
  <c r="F64" i="8" s="1"/>
  <c r="F65" i="8" s="1"/>
  <c r="F66" i="8" s="1"/>
  <c r="F67" i="8" s="1"/>
  <c r="F68" i="8" s="1"/>
  <c r="F69" i="8" s="1"/>
  <c r="F70" i="8" s="1"/>
  <c r="F71" i="8" s="1"/>
  <c r="F72" i="8" s="1"/>
  <c r="F73" i="8" s="1"/>
  <c r="F74" i="8" s="1"/>
  <c r="F75" i="8" s="1"/>
  <c r="F76" i="8" s="1"/>
  <c r="F77" i="8" s="1"/>
  <c r="F78" i="8" s="1"/>
  <c r="F79" i="8" s="1"/>
  <c r="F80" i="8" s="1"/>
  <c r="F81" i="8" s="1"/>
  <c r="F82" i="8" s="1"/>
  <c r="F83" i="8" s="1"/>
  <c r="F84" i="8" s="1"/>
  <c r="F85" i="8" s="1"/>
  <c r="F86" i="8" s="1"/>
  <c r="F87" i="8" s="1"/>
  <c r="F88" i="8" s="1"/>
  <c r="F89" i="8" s="1"/>
  <c r="I31" i="8"/>
  <c r="I24" i="8"/>
  <c r="G16" i="8"/>
  <c r="I1211" i="9"/>
  <c r="I156" i="8"/>
  <c r="I84" i="8"/>
  <c r="I12" i="8"/>
  <c r="I8" i="8"/>
  <c r="G1179" i="9"/>
  <c r="I159" i="8"/>
  <c r="I152" i="8"/>
  <c r="G146" i="8"/>
  <c r="I127" i="8"/>
  <c r="G121" i="8"/>
  <c r="G99" i="8"/>
  <c r="I87" i="8"/>
  <c r="I80" i="8"/>
  <c r="G64" i="8"/>
  <c r="G31" i="8"/>
  <c r="I19" i="8"/>
  <c r="I162" i="8"/>
  <c r="I90" i="8"/>
  <c r="I67" i="8"/>
  <c r="I60" i="8"/>
  <c r="G50" i="8"/>
  <c r="I42" i="8"/>
  <c r="I38" i="8"/>
  <c r="F12" i="8"/>
  <c r="F13" i="8" s="1"/>
  <c r="G12" i="8"/>
  <c r="F8" i="8"/>
  <c r="F9" i="8" s="1"/>
  <c r="G8" i="8"/>
  <c r="I1244" i="9"/>
  <c r="G1223" i="9"/>
  <c r="D1202" i="9"/>
  <c r="I1202" i="9"/>
  <c r="I1160" i="9"/>
  <c r="I93" i="8"/>
  <c r="D50" i="8"/>
  <c r="I50" i="8"/>
  <c r="G46" i="8"/>
  <c r="F23" i="8"/>
  <c r="G1248" i="9"/>
  <c r="I1232" i="9"/>
  <c r="I1150" i="9"/>
  <c r="D1150" i="9"/>
  <c r="I168" i="8"/>
  <c r="G155" i="8"/>
  <c r="G130" i="8"/>
  <c r="G108" i="8"/>
  <c r="I96" i="8"/>
  <c r="I89" i="8"/>
  <c r="G83" i="8"/>
  <c r="I70" i="8"/>
  <c r="G60" i="8"/>
  <c r="D23" i="8"/>
  <c r="I23" i="8"/>
  <c r="G1244" i="9"/>
  <c r="I1223" i="9"/>
  <c r="G1183" i="9"/>
  <c r="I1155" i="9"/>
  <c r="I171" i="8"/>
  <c r="G158" i="8"/>
  <c r="G133" i="8"/>
  <c r="G111" i="8"/>
  <c r="I99" i="8"/>
  <c r="G86" i="8"/>
  <c r="I49" i="8"/>
  <c r="I46" i="8"/>
  <c r="I102" i="8"/>
  <c r="I26" i="8"/>
  <c r="D1252" i="9"/>
  <c r="I1252" i="9"/>
  <c r="I105" i="8"/>
  <c r="I34" i="8"/>
  <c r="I1096" i="9"/>
  <c r="D1096" i="9"/>
  <c r="I180" i="8"/>
  <c r="G120" i="8"/>
  <c r="I108" i="8"/>
  <c r="G95" i="8"/>
  <c r="G56" i="8"/>
  <c r="G45" i="8"/>
  <c r="I15" i="8"/>
  <c r="F3" i="8"/>
  <c r="B52" i="3" s="1" a="1"/>
  <c r="B52" i="3" s="1"/>
  <c r="G3" i="8"/>
  <c r="H50" i="3" s="1" a="1"/>
  <c r="H50" i="3" s="1"/>
  <c r="I68" i="4" s="1"/>
  <c r="I183" i="8"/>
  <c r="D114" i="8"/>
  <c r="I111" i="8"/>
  <c r="I33" i="8"/>
  <c r="G18" i="8"/>
  <c r="D7" i="8"/>
  <c r="E41" i="3" s="1" a="1"/>
  <c r="E41" i="3" s="1"/>
  <c r="I1187" i="9"/>
  <c r="I1101" i="9"/>
  <c r="I1074" i="9"/>
  <c r="G1086" i="9"/>
  <c r="I1172" i="9"/>
  <c r="G1082" i="9"/>
  <c r="D1069" i="9"/>
  <c r="I1069" i="9"/>
  <c r="G1131" i="9"/>
  <c r="G1095" i="9"/>
  <c r="I10" i="8"/>
  <c r="I1250" i="9"/>
  <c r="G1219" i="9"/>
  <c r="G1197" i="9"/>
  <c r="I1178" i="9"/>
  <c r="G1172" i="9"/>
  <c r="G1149" i="9"/>
  <c r="G1142" i="9"/>
  <c r="I1108" i="9"/>
  <c r="I1023" i="9"/>
  <c r="I1228" i="9"/>
  <c r="I1131" i="9"/>
  <c r="G1203" i="9"/>
  <c r="I1184" i="9"/>
  <c r="G1178" i="9"/>
  <c r="G1138" i="9"/>
  <c r="I1162" i="9"/>
  <c r="I1156" i="9"/>
  <c r="I1111" i="9"/>
  <c r="I1038" i="9"/>
  <c r="D1038" i="9"/>
  <c r="G991" i="9"/>
  <c r="I2" i="8"/>
  <c r="I1240" i="9"/>
  <c r="I1193" i="9"/>
  <c r="I1168" i="9"/>
  <c r="D1119" i="9"/>
  <c r="I1119" i="9"/>
  <c r="D1081" i="9"/>
  <c r="I1081" i="9"/>
  <c r="G1215" i="9"/>
  <c r="G1190" i="9"/>
  <c r="G1165" i="9"/>
  <c r="D1152" i="9"/>
  <c r="I1152" i="9"/>
  <c r="I1107" i="9"/>
  <c r="G1067" i="9"/>
  <c r="I21" i="8"/>
  <c r="I1246" i="9"/>
  <c r="I1174" i="9"/>
  <c r="G1137" i="9"/>
  <c r="D1126" i="9"/>
  <c r="I1126" i="9"/>
  <c r="D1141" i="9"/>
  <c r="I1141" i="9"/>
  <c r="G1224" i="9"/>
  <c r="G1199" i="9"/>
  <c r="G1174" i="9"/>
  <c r="I1125" i="9"/>
  <c r="D1011" i="9"/>
  <c r="I1011" i="9"/>
  <c r="G1227" i="9"/>
  <c r="I1183" i="9"/>
  <c r="I1129" i="9"/>
  <c r="I1110" i="9"/>
  <c r="I1093" i="9"/>
  <c r="D1093" i="9"/>
  <c r="I1080" i="9"/>
  <c r="D1026" i="9"/>
  <c r="I1026" i="9"/>
  <c r="G995" i="9"/>
  <c r="I1186" i="9"/>
  <c r="I1189" i="9"/>
  <c r="I1158" i="9"/>
  <c r="I1147" i="9"/>
  <c r="G1110" i="9"/>
  <c r="I1114" i="9"/>
  <c r="D1114" i="9"/>
  <c r="G1056" i="9"/>
  <c r="I979" i="9"/>
  <c r="I1140" i="9"/>
  <c r="D1075" i="9"/>
  <c r="I1075" i="9"/>
  <c r="G1015" i="9"/>
  <c r="G1065" i="9"/>
  <c r="I1201" i="9"/>
  <c r="G1113" i="9"/>
  <c r="G999" i="9"/>
  <c r="G1198" i="9"/>
  <c r="G1176" i="9"/>
  <c r="G1132" i="9"/>
  <c r="G983" i="9"/>
  <c r="I1207" i="9"/>
  <c r="I1135" i="9"/>
  <c r="G1019" i="9"/>
  <c r="G978" i="9"/>
  <c r="I901" i="9"/>
  <c r="G896" i="9"/>
  <c r="I799" i="9"/>
  <c r="G789" i="9"/>
  <c r="I765" i="9"/>
  <c r="I1030" i="9"/>
  <c r="D952" i="9"/>
  <c r="I952" i="9"/>
  <c r="I943" i="9"/>
  <c r="D891" i="9"/>
  <c r="I891" i="9"/>
  <c r="D750" i="9"/>
  <c r="I750" i="9"/>
  <c r="G736" i="9"/>
  <c r="I1045" i="9"/>
  <c r="G1014" i="9"/>
  <c r="I978" i="9"/>
  <c r="G947" i="9"/>
  <c r="I774" i="9"/>
  <c r="I760" i="9"/>
  <c r="I736" i="9"/>
  <c r="D736" i="9"/>
  <c r="G1068" i="9"/>
  <c r="I1056" i="9"/>
  <c r="I1053" i="9"/>
  <c r="I1029" i="9"/>
  <c r="G1002" i="9"/>
  <c r="I969" i="9"/>
  <c r="G960" i="9"/>
  <c r="G881" i="9"/>
  <c r="I726" i="9"/>
  <c r="D1068" i="9"/>
  <c r="I1068" i="9"/>
  <c r="I1044" i="9"/>
  <c r="G1025" i="9"/>
  <c r="I1014" i="9"/>
  <c r="D990" i="9"/>
  <c r="I990" i="9"/>
  <c r="D960" i="9"/>
  <c r="I960" i="9"/>
  <c r="D924" i="9"/>
  <c r="I924" i="9"/>
  <c r="G837" i="9"/>
  <c r="D783" i="9"/>
  <c r="I783" i="9"/>
  <c r="I745" i="9"/>
  <c r="I1060" i="9"/>
  <c r="G1029" i="9"/>
  <c r="I1002" i="9"/>
  <c r="I994" i="9"/>
  <c r="I886" i="9"/>
  <c r="I798" i="9"/>
  <c r="G773" i="9"/>
  <c r="I711" i="9"/>
  <c r="D711" i="9"/>
  <c r="I696" i="9"/>
  <c r="D696" i="9"/>
  <c r="I677" i="9"/>
  <c r="D677" i="9"/>
  <c r="G1044" i="9"/>
  <c r="I973" i="9"/>
  <c r="I942" i="9"/>
  <c r="G914" i="9"/>
  <c r="I871" i="9"/>
  <c r="I847" i="9"/>
  <c r="I837" i="9"/>
  <c r="I832" i="9"/>
  <c r="G822" i="9"/>
  <c r="I793" i="9"/>
  <c r="G725" i="9"/>
  <c r="G657" i="9"/>
  <c r="G955" i="9"/>
  <c r="I933" i="9"/>
  <c r="I822" i="9"/>
  <c r="D822" i="9"/>
  <c r="I778" i="9"/>
  <c r="I1137" i="9"/>
  <c r="I1092" i="9"/>
  <c r="G1013" i="9"/>
  <c r="G909" i="9"/>
  <c r="G1059" i="9"/>
  <c r="I1009" i="9"/>
  <c r="G993" i="9"/>
  <c r="I955" i="9"/>
  <c r="I919" i="9"/>
  <c r="I904" i="9"/>
  <c r="G894" i="9"/>
  <c r="G1092" i="9"/>
  <c r="I1048" i="9"/>
  <c r="G1028" i="9"/>
  <c r="I1005" i="9"/>
  <c r="D1005" i="9"/>
  <c r="D981" i="9"/>
  <c r="I981" i="9"/>
  <c r="G963" i="9"/>
  <c r="I937" i="9"/>
  <c r="D870" i="9"/>
  <c r="I870" i="9"/>
  <c r="I729" i="9"/>
  <c r="I1063" i="9"/>
  <c r="G1032" i="9"/>
  <c r="I1017" i="9"/>
  <c r="I1008" i="9"/>
  <c r="D963" i="9"/>
  <c r="I963" i="9"/>
  <c r="G932" i="9"/>
  <c r="I894" i="9"/>
  <c r="I865" i="9"/>
  <c r="I763" i="9"/>
  <c r="G1051" i="9"/>
  <c r="D1032" i="9"/>
  <c r="I1032" i="9"/>
  <c r="I936" i="9"/>
  <c r="G927" i="9"/>
  <c r="G884" i="9"/>
  <c r="G860" i="9"/>
  <c r="D855" i="9"/>
  <c r="I855" i="9"/>
  <c r="G1066" i="9"/>
  <c r="G1047" i="9"/>
  <c r="G1008" i="9"/>
  <c r="D927" i="9"/>
  <c r="I927" i="9"/>
  <c r="G845" i="9"/>
  <c r="I811" i="9"/>
  <c r="I748" i="9"/>
  <c r="G661" i="9"/>
  <c r="D1047" i="9"/>
  <c r="I1047" i="9"/>
  <c r="I1024" i="9"/>
  <c r="I976" i="9"/>
  <c r="I801" i="9"/>
  <c r="G786" i="9"/>
  <c r="I641" i="9"/>
  <c r="D641" i="9"/>
  <c r="G996" i="9"/>
  <c r="G962" i="9"/>
  <c r="D945" i="9"/>
  <c r="I945" i="9"/>
  <c r="I796" i="9"/>
  <c r="I786" i="9"/>
  <c r="D786" i="9"/>
  <c r="I661" i="9"/>
  <c r="G1129" i="9"/>
  <c r="I1077" i="9"/>
  <c r="D1062" i="9"/>
  <c r="I1062" i="9"/>
  <c r="I1051" i="9"/>
  <c r="G1035" i="9"/>
  <c r="D996" i="9"/>
  <c r="I996" i="9"/>
  <c r="G984" i="9"/>
  <c r="I850" i="9"/>
  <c r="I835" i="9"/>
  <c r="G825" i="9"/>
  <c r="I762" i="9"/>
  <c r="I718" i="9"/>
  <c r="I1095" i="9"/>
  <c r="I1066" i="9"/>
  <c r="I1012" i="9"/>
  <c r="I988" i="9"/>
  <c r="G975" i="9"/>
  <c r="I958" i="9"/>
  <c r="G926" i="9"/>
  <c r="I922" i="9"/>
  <c r="I738" i="9"/>
  <c r="I733" i="9"/>
  <c r="I689" i="9"/>
  <c r="G645" i="9"/>
  <c r="I1035" i="9"/>
  <c r="G1023" i="9"/>
  <c r="G1007" i="9"/>
  <c r="D975" i="9"/>
  <c r="I975" i="9"/>
  <c r="G966" i="9"/>
  <c r="I940" i="9"/>
  <c r="I810" i="9"/>
  <c r="I747" i="9"/>
  <c r="G1050" i="9"/>
  <c r="I1027" i="9"/>
  <c r="I907" i="9"/>
  <c r="G873" i="9"/>
  <c r="G1011" i="9"/>
  <c r="G987" i="9"/>
  <c r="I966" i="9"/>
  <c r="I883" i="9"/>
  <c r="I868" i="9"/>
  <c r="D834" i="9"/>
  <c r="I834" i="9"/>
  <c r="D819" i="9"/>
  <c r="I819" i="9"/>
  <c r="G939" i="9"/>
  <c r="G930" i="9"/>
  <c r="I897" i="9"/>
  <c r="G858" i="9"/>
  <c r="G824" i="9"/>
  <c r="G809" i="9"/>
  <c r="I775" i="9"/>
  <c r="D999" i="9"/>
  <c r="I999" i="9"/>
  <c r="G948" i="9"/>
  <c r="I829" i="9"/>
  <c r="D722" i="9"/>
  <c r="I722" i="9"/>
  <c r="G1125" i="9"/>
  <c r="I1098" i="9"/>
  <c r="I1090" i="9"/>
  <c r="I1015" i="9"/>
  <c r="I991" i="9"/>
  <c r="I930" i="9"/>
  <c r="D906" i="9"/>
  <c r="I906" i="9"/>
  <c r="I858" i="9"/>
  <c r="G848" i="9"/>
  <c r="I814" i="9"/>
  <c r="I683" i="9"/>
  <c r="G649" i="9"/>
  <c r="I707" i="9"/>
  <c r="G680" i="9"/>
  <c r="G653" i="9"/>
  <c r="D969" i="9"/>
  <c r="I939" i="9"/>
  <c r="D933" i="9"/>
  <c r="I916" i="9"/>
  <c r="I903" i="9"/>
  <c r="D897" i="9"/>
  <c r="I880" i="9"/>
  <c r="I867" i="9"/>
  <c r="I844" i="9"/>
  <c r="I808" i="9"/>
  <c r="I772" i="9"/>
  <c r="I688" i="9"/>
  <c r="D665" i="9"/>
  <c r="I665" i="9"/>
  <c r="I649" i="9"/>
  <c r="I618" i="9"/>
  <c r="I613" i="9"/>
  <c r="I599" i="9"/>
  <c r="I594" i="9"/>
  <c r="I574" i="9"/>
  <c r="I555" i="9"/>
  <c r="G890" i="9"/>
  <c r="G854" i="9"/>
  <c r="G818" i="9"/>
  <c r="G782" i="9"/>
  <c r="G742" i="9"/>
  <c r="I735" i="9"/>
  <c r="G717" i="9"/>
  <c r="I721" i="9"/>
  <c r="D721" i="9"/>
  <c r="I687" i="9"/>
  <c r="I569" i="9"/>
  <c r="I710" i="9"/>
  <c r="I699" i="9"/>
  <c r="G644" i="9"/>
  <c r="I627" i="9"/>
  <c r="G622" i="9"/>
  <c r="G603" i="9"/>
  <c r="I583" i="9"/>
  <c r="G919" i="9"/>
  <c r="I909" i="9"/>
  <c r="G883" i="9"/>
  <c r="I873" i="9"/>
  <c r="G847" i="9"/>
  <c r="G811" i="9"/>
  <c r="G775" i="9"/>
  <c r="G745" i="9"/>
  <c r="D622" i="9"/>
  <c r="I622" i="9"/>
  <c r="I588" i="9"/>
  <c r="I691" i="9"/>
  <c r="I668" i="9"/>
  <c r="I652" i="9"/>
  <c r="D652" i="9"/>
  <c r="I530" i="9"/>
  <c r="I702" i="9"/>
  <c r="I664" i="9"/>
  <c r="I660" i="9"/>
  <c r="G621" i="9"/>
  <c r="I724" i="9"/>
  <c r="I713" i="9"/>
  <c r="G671" i="9"/>
  <c r="I639" i="9"/>
  <c r="I630" i="9"/>
  <c r="I621" i="9"/>
  <c r="D616" i="9"/>
  <c r="I616" i="9"/>
  <c r="I602" i="9"/>
  <c r="I592" i="9"/>
  <c r="I577" i="9"/>
  <c r="I558" i="9"/>
  <c r="I954" i="9"/>
  <c r="I918" i="9"/>
  <c r="I882" i="9"/>
  <c r="I846" i="9"/>
  <c r="G784" i="9"/>
  <c r="I723" i="9"/>
  <c r="I712" i="9"/>
  <c r="I671" i="9"/>
  <c r="G667" i="9"/>
  <c r="I643" i="9"/>
  <c r="D597" i="9"/>
  <c r="I597" i="9"/>
  <c r="I754" i="9"/>
  <c r="I727" i="9"/>
  <c r="I719" i="9"/>
  <c r="I708" i="9"/>
  <c r="I690" i="9"/>
  <c r="G682" i="9"/>
  <c r="I655" i="9"/>
  <c r="D647" i="9"/>
  <c r="I647" i="9"/>
  <c r="I921" i="9"/>
  <c r="I885" i="9"/>
  <c r="G859" i="9"/>
  <c r="I849" i="9"/>
  <c r="G823" i="9"/>
  <c r="I813" i="9"/>
  <c r="G787" i="9"/>
  <c r="I777" i="9"/>
  <c r="G697" i="9"/>
  <c r="I686" i="9"/>
  <c r="D638" i="9"/>
  <c r="I638" i="9"/>
  <c r="G980" i="9"/>
  <c r="G944" i="9"/>
  <c r="G908" i="9"/>
  <c r="G872" i="9"/>
  <c r="G836" i="9"/>
  <c r="G800" i="9"/>
  <c r="I704" i="9"/>
  <c r="I663" i="9"/>
  <c r="I658" i="9"/>
  <c r="I548" i="9"/>
  <c r="I888" i="9"/>
  <c r="I852" i="9"/>
  <c r="I816" i="9"/>
  <c r="I780" i="9"/>
  <c r="I757" i="9"/>
  <c r="G646" i="9"/>
  <c r="I596" i="9"/>
  <c r="G911" i="9"/>
  <c r="G875" i="9"/>
  <c r="G839" i="9"/>
  <c r="G803" i="9"/>
  <c r="G693" i="9"/>
  <c r="I674" i="9"/>
  <c r="D674" i="9"/>
  <c r="G658" i="9"/>
  <c r="I571" i="9"/>
  <c r="I646" i="9"/>
  <c r="G842" i="9"/>
  <c r="G806" i="9"/>
  <c r="G711" i="9"/>
  <c r="I693" i="9"/>
  <c r="G760" i="9"/>
  <c r="I685" i="9"/>
  <c r="I561" i="9"/>
  <c r="G718" i="9"/>
  <c r="I657" i="9"/>
  <c r="I636" i="9"/>
  <c r="I624" i="9"/>
  <c r="I619" i="9"/>
  <c r="I605" i="9"/>
  <c r="I542" i="9"/>
  <c r="G729" i="9"/>
  <c r="G707" i="9"/>
  <c r="I666" i="9"/>
  <c r="I580" i="9"/>
  <c r="I570" i="9"/>
  <c r="D596" i="9"/>
  <c r="D571" i="9"/>
  <c r="D555" i="9"/>
  <c r="G506" i="9"/>
  <c r="I459" i="9"/>
  <c r="G510" i="9"/>
  <c r="G501" i="9"/>
  <c r="D649" i="9"/>
  <c r="D624" i="9"/>
  <c r="I614" i="9"/>
  <c r="D602" i="9"/>
  <c r="D577" i="9"/>
  <c r="D561" i="9"/>
  <c r="I506" i="9"/>
  <c r="I478" i="9"/>
  <c r="I617" i="9"/>
  <c r="D530" i="9"/>
  <c r="I501" i="9"/>
  <c r="G639" i="9"/>
  <c r="G592" i="9"/>
  <c r="I398" i="9"/>
  <c r="G595" i="9"/>
  <c r="G554" i="9"/>
  <c r="G533" i="9"/>
  <c r="I526" i="9"/>
  <c r="I522" i="9"/>
  <c r="I439" i="9"/>
  <c r="I604" i="9"/>
  <c r="I579" i="9"/>
  <c r="I563" i="9"/>
  <c r="I500" i="9"/>
  <c r="D500" i="9"/>
  <c r="I453" i="9"/>
  <c r="G547" i="9"/>
  <c r="I635" i="9"/>
  <c r="G525" i="9"/>
  <c r="G521" i="9"/>
  <c r="G610" i="9"/>
  <c r="I591" i="9"/>
  <c r="G585" i="9"/>
  <c r="G543" i="9"/>
  <c r="D495" i="9"/>
  <c r="I495" i="9"/>
  <c r="I539" i="9"/>
  <c r="I532" i="9"/>
  <c r="D504" i="9"/>
  <c r="I504" i="9"/>
  <c r="I486" i="9"/>
  <c r="I481" i="9"/>
  <c r="I559" i="9"/>
  <c r="G512" i="9"/>
  <c r="G597" i="9"/>
  <c r="G556" i="9"/>
  <c r="I553" i="9"/>
  <c r="I503" i="9"/>
  <c r="I475" i="9"/>
  <c r="I528" i="9"/>
  <c r="I480" i="9"/>
  <c r="I456" i="9"/>
  <c r="I593" i="9"/>
  <c r="G531" i="9"/>
  <c r="G552" i="9"/>
  <c r="I523" i="9"/>
  <c r="G715" i="9"/>
  <c r="G690" i="9"/>
  <c r="G643" i="9"/>
  <c r="G618" i="9"/>
  <c r="G571" i="9"/>
  <c r="I541" i="9"/>
  <c r="I531" i="9"/>
  <c r="D515" i="9"/>
  <c r="I515" i="9"/>
  <c r="I450" i="9"/>
  <c r="G574" i="9"/>
  <c r="G523" i="9"/>
  <c r="I502" i="9"/>
  <c r="G558" i="9"/>
  <c r="I527" i="9"/>
  <c r="I455" i="9"/>
  <c r="I490" i="9"/>
  <c r="D475" i="9"/>
  <c r="I465" i="9"/>
  <c r="D453" i="9"/>
  <c r="I443" i="9"/>
  <c r="I430" i="9"/>
  <c r="I427" i="9"/>
  <c r="G423" i="9"/>
  <c r="I420" i="9"/>
  <c r="D398" i="9"/>
  <c r="I386" i="9"/>
  <c r="D386" i="9"/>
  <c r="G487" i="9"/>
  <c r="I433" i="9"/>
  <c r="I409" i="9"/>
  <c r="I355" i="9"/>
  <c r="I292" i="9"/>
  <c r="I282" i="9"/>
  <c r="D481" i="9"/>
  <c r="D459" i="9"/>
  <c r="G430" i="9"/>
  <c r="I426" i="9"/>
  <c r="I419" i="9"/>
  <c r="D390" i="9"/>
  <c r="I390" i="9"/>
  <c r="I381" i="9"/>
  <c r="I267" i="9"/>
  <c r="I241" i="9"/>
  <c r="I220" i="9"/>
  <c r="D405" i="9"/>
  <c r="I405" i="9"/>
  <c r="I364" i="9"/>
  <c r="D364" i="9"/>
  <c r="I317" i="9"/>
  <c r="I257" i="9"/>
  <c r="G496" i="9"/>
  <c r="I477" i="9"/>
  <c r="G426" i="9"/>
  <c r="G381" i="9"/>
  <c r="I341" i="9"/>
  <c r="I505" i="9"/>
  <c r="I415" i="9"/>
  <c r="G345" i="9"/>
  <c r="G436" i="9"/>
  <c r="I401" i="9"/>
  <c r="I306" i="9"/>
  <c r="I536" i="9"/>
  <c r="I511" i="9"/>
  <c r="G505" i="9"/>
  <c r="I464" i="9"/>
  <c r="G458" i="9"/>
  <c r="I384" i="9"/>
  <c r="D363" i="9"/>
  <c r="I363" i="9"/>
  <c r="G340" i="9"/>
  <c r="I281" i="9"/>
  <c r="I276" i="9"/>
  <c r="I436" i="9"/>
  <c r="I389" i="9"/>
  <c r="I470" i="9"/>
  <c r="I445" i="9"/>
  <c r="D380" i="9"/>
  <c r="I380" i="9"/>
  <c r="G349" i="9"/>
  <c r="I435" i="9"/>
  <c r="G362" i="9"/>
  <c r="G344" i="9"/>
  <c r="I290" i="9"/>
  <c r="I234" i="9"/>
  <c r="D400" i="9"/>
  <c r="I400" i="9"/>
  <c r="I295" i="9"/>
  <c r="I270" i="9"/>
  <c r="I265" i="9"/>
  <c r="G520" i="9"/>
  <c r="I479" i="9"/>
  <c r="G473" i="9"/>
  <c r="I454" i="9"/>
  <c r="G448" i="9"/>
  <c r="G435" i="9"/>
  <c r="I403" i="9"/>
  <c r="I367" i="9"/>
  <c r="I362" i="9"/>
  <c r="I353" i="9"/>
  <c r="I315" i="9"/>
  <c r="G476" i="9"/>
  <c r="G451" i="9"/>
  <c r="I428" i="9"/>
  <c r="I399" i="9"/>
  <c r="I339" i="9"/>
  <c r="D339" i="9"/>
  <c r="I244" i="9"/>
  <c r="I223" i="9"/>
  <c r="I485" i="9"/>
  <c r="I460" i="9"/>
  <c r="I438" i="9"/>
  <c r="I425" i="9"/>
  <c r="D375" i="9"/>
  <c r="I375" i="9"/>
  <c r="D334" i="9"/>
  <c r="I334" i="9"/>
  <c r="I414" i="9"/>
  <c r="G324" i="9"/>
  <c r="G485" i="9"/>
  <c r="G460" i="9"/>
  <c r="I424" i="9"/>
  <c r="G421" i="9"/>
  <c r="G410" i="9"/>
  <c r="G370" i="9"/>
  <c r="I348" i="9"/>
  <c r="I314" i="9"/>
  <c r="I494" i="9"/>
  <c r="I469" i="9"/>
  <c r="I356" i="9"/>
  <c r="D343" i="9"/>
  <c r="I343" i="9"/>
  <c r="D338" i="9"/>
  <c r="I338" i="9"/>
  <c r="I304" i="9"/>
  <c r="I294" i="9"/>
  <c r="I269" i="9"/>
  <c r="I249" i="9"/>
  <c r="I395" i="9"/>
  <c r="D395" i="9"/>
  <c r="I370" i="9"/>
  <c r="I366" i="9"/>
  <c r="I319" i="9"/>
  <c r="I243" i="9"/>
  <c r="I283" i="9"/>
  <c r="G406" i="9"/>
  <c r="I378" i="9"/>
  <c r="I298" i="9"/>
  <c r="G500" i="9"/>
  <c r="G475" i="9"/>
  <c r="G369" i="9"/>
  <c r="I323" i="9"/>
  <c r="I237" i="9"/>
  <c r="I437" i="9"/>
  <c r="G394" i="9"/>
  <c r="I342" i="9"/>
  <c r="I337" i="9"/>
  <c r="G386" i="9"/>
  <c r="D365" i="9"/>
  <c r="I365" i="9"/>
  <c r="G320" i="9"/>
  <c r="G273" i="9"/>
  <c r="G220" i="9"/>
  <c r="G198" i="9"/>
  <c r="G194" i="9"/>
  <c r="I376" i="9"/>
  <c r="I354" i="9"/>
  <c r="I329" i="9"/>
  <c r="G323" i="9"/>
  <c r="D314" i="9"/>
  <c r="D292" i="9"/>
  <c r="G276" i="9"/>
  <c r="D267" i="9"/>
  <c r="D241" i="9"/>
  <c r="F213" i="9"/>
  <c r="G213" i="9"/>
  <c r="D198" i="9"/>
  <c r="I198" i="9"/>
  <c r="D317" i="9"/>
  <c r="D295" i="9"/>
  <c r="D270" i="9"/>
  <c r="F209" i="9"/>
  <c r="G180" i="9"/>
  <c r="G237" i="9"/>
  <c r="G166" i="9"/>
  <c r="G357" i="9"/>
  <c r="D348" i="9"/>
  <c r="D323" i="9"/>
  <c r="I291" i="9"/>
  <c r="D276" i="9"/>
  <c r="I266" i="9"/>
  <c r="G247" i="9"/>
  <c r="D244" i="9"/>
  <c r="I240" i="9"/>
  <c r="I226" i="9"/>
  <c r="G189" i="9"/>
  <c r="G360" i="9"/>
  <c r="G335" i="9"/>
  <c r="I316" i="9"/>
  <c r="G130" i="9"/>
  <c r="G363" i="9"/>
  <c r="G338" i="9"/>
  <c r="G291" i="9"/>
  <c r="G266" i="9"/>
  <c r="G250" i="9"/>
  <c r="G240" i="9"/>
  <c r="I219" i="9"/>
  <c r="G184" i="9"/>
  <c r="I236" i="9"/>
  <c r="F212" i="9"/>
  <c r="G201" i="9"/>
  <c r="G165" i="9"/>
  <c r="I350" i="9"/>
  <c r="I303" i="9"/>
  <c r="G297" i="9"/>
  <c r="I278" i="9"/>
  <c r="G272" i="9"/>
  <c r="G208" i="9"/>
  <c r="I328" i="9"/>
  <c r="I256" i="9"/>
  <c r="I232" i="9"/>
  <c r="G174" i="9"/>
  <c r="I262" i="9"/>
  <c r="F222" i="9"/>
  <c r="G222" i="9"/>
  <c r="I211" i="9"/>
  <c r="G192" i="9"/>
  <c r="G183" i="9"/>
  <c r="G139" i="9"/>
  <c r="G356" i="9"/>
  <c r="G309" i="9"/>
  <c r="G284" i="9"/>
  <c r="G239" i="9"/>
  <c r="G232" i="9"/>
  <c r="I225" i="9"/>
  <c r="I218" i="9"/>
  <c r="I318" i="9"/>
  <c r="I293" i="9"/>
  <c r="F262" i="9"/>
  <c r="F263" i="9" s="1"/>
  <c r="F264" i="9" s="1"/>
  <c r="F265" i="9" s="1"/>
  <c r="F266" i="9" s="1"/>
  <c r="F267" i="9" s="1"/>
  <c r="F268" i="9" s="1"/>
  <c r="F269" i="9" s="1"/>
  <c r="F270" i="9" s="1"/>
  <c r="F271" i="9" s="1"/>
  <c r="F272" i="9" s="1"/>
  <c r="F273" i="9" s="1"/>
  <c r="F274" i="9" s="1"/>
  <c r="F275" i="9" s="1"/>
  <c r="F276" i="9" s="1"/>
  <c r="F277" i="9" s="1"/>
  <c r="F278" i="9" s="1"/>
  <c r="F279" i="9" s="1"/>
  <c r="F280" i="9" s="1"/>
  <c r="F281" i="9" s="1"/>
  <c r="F282" i="9" s="1"/>
  <c r="F283" i="9" s="1"/>
  <c r="F284" i="9" s="1"/>
  <c r="F285" i="9" s="1"/>
  <c r="F286" i="9" s="1"/>
  <c r="F287" i="9" s="1"/>
  <c r="F288" i="9" s="1"/>
  <c r="F289" i="9" s="1"/>
  <c r="F290" i="9" s="1"/>
  <c r="F291" i="9" s="1"/>
  <c r="F292" i="9" s="1"/>
  <c r="F293" i="9" s="1"/>
  <c r="F294" i="9" s="1"/>
  <c r="F295" i="9" s="1"/>
  <c r="F296" i="9" s="1"/>
  <c r="F297" i="9" s="1"/>
  <c r="F298" i="9" s="1"/>
  <c r="F299" i="9" s="1"/>
  <c r="F300" i="9" s="1"/>
  <c r="F301" i="9" s="1"/>
  <c r="F302" i="9" s="1"/>
  <c r="F303" i="9" s="1"/>
  <c r="F304" i="9" s="1"/>
  <c r="F305" i="9" s="1"/>
  <c r="F306" i="9" s="1"/>
  <c r="F307" i="9" s="1"/>
  <c r="F308" i="9" s="1"/>
  <c r="F309" i="9" s="1"/>
  <c r="F310" i="9" s="1"/>
  <c r="F311" i="9" s="1"/>
  <c r="F312" i="9" s="1"/>
  <c r="F313" i="9" s="1"/>
  <c r="F314" i="9" s="1"/>
  <c r="F315" i="9" s="1"/>
  <c r="F316" i="9" s="1"/>
  <c r="F317" i="9" s="1"/>
  <c r="F318" i="9" s="1"/>
  <c r="F319" i="9" s="1"/>
  <c r="F320" i="9" s="1"/>
  <c r="F321" i="9" s="1"/>
  <c r="F322" i="9" s="1"/>
  <c r="F323" i="9" s="1"/>
  <c r="F324" i="9" s="1"/>
  <c r="F325" i="9" s="1"/>
  <c r="F326" i="9" s="1"/>
  <c r="F327" i="9" s="1"/>
  <c r="F328" i="9" s="1"/>
  <c r="F329" i="9" s="1"/>
  <c r="F330" i="9" s="1"/>
  <c r="F331" i="9" s="1"/>
  <c r="F332" i="9" s="1"/>
  <c r="F333" i="9" s="1"/>
  <c r="F334" i="9" s="1"/>
  <c r="F335" i="9" s="1"/>
  <c r="F336" i="9" s="1"/>
  <c r="F337" i="9" s="1"/>
  <c r="F338" i="9" s="1"/>
  <c r="F339" i="9" s="1"/>
  <c r="F340" i="9" s="1"/>
  <c r="F341" i="9" s="1"/>
  <c r="F342" i="9" s="1"/>
  <c r="F343" i="9" s="1"/>
  <c r="F344" i="9" s="1"/>
  <c r="F345" i="9" s="1"/>
  <c r="F346" i="9" s="1"/>
  <c r="F347" i="9" s="1"/>
  <c r="F348" i="9" s="1"/>
  <c r="F349" i="9" s="1"/>
  <c r="F350" i="9" s="1"/>
  <c r="F351" i="9" s="1"/>
  <c r="F352" i="9" s="1"/>
  <c r="F353" i="9" s="1"/>
  <c r="F354" i="9" s="1"/>
  <c r="F355" i="9" s="1"/>
  <c r="F356" i="9" s="1"/>
  <c r="F357" i="9" s="1"/>
  <c r="F358" i="9" s="1"/>
  <c r="F359" i="9" s="1"/>
  <c r="F360" i="9" s="1"/>
  <c r="F361" i="9" s="1"/>
  <c r="F362" i="9" s="1"/>
  <c r="F363" i="9" s="1"/>
  <c r="F364" i="9" s="1"/>
  <c r="F365" i="9" s="1"/>
  <c r="F366" i="9" s="1"/>
  <c r="F367" i="9" s="1"/>
  <c r="F368" i="9" s="1"/>
  <c r="F369" i="9" s="1"/>
  <c r="F370" i="9" s="1"/>
  <c r="F371" i="9" s="1"/>
  <c r="F372" i="9" s="1"/>
  <c r="F373" i="9" s="1"/>
  <c r="F374" i="9" s="1"/>
  <c r="F375" i="9" s="1"/>
  <c r="F376" i="9" s="1"/>
  <c r="F377" i="9" s="1"/>
  <c r="F378" i="9" s="1"/>
  <c r="F379" i="9" s="1"/>
  <c r="F380" i="9" s="1"/>
  <c r="F381" i="9" s="1"/>
  <c r="F382" i="9" s="1"/>
  <c r="F383" i="9" s="1"/>
  <c r="F384" i="9" s="1"/>
  <c r="F385" i="9" s="1"/>
  <c r="F386" i="9" s="1"/>
  <c r="F387" i="9" s="1"/>
  <c r="F388" i="9" s="1"/>
  <c r="F389" i="9" s="1"/>
  <c r="F390" i="9" s="1"/>
  <c r="F391" i="9" s="1"/>
  <c r="F392" i="9" s="1"/>
  <c r="F393" i="9" s="1"/>
  <c r="F394" i="9" s="1"/>
  <c r="F395" i="9" s="1"/>
  <c r="F396" i="9" s="1"/>
  <c r="F397" i="9" s="1"/>
  <c r="F398" i="9" s="1"/>
  <c r="F399" i="9" s="1"/>
  <c r="F400" i="9" s="1"/>
  <c r="F401" i="9" s="1"/>
  <c r="F402" i="9" s="1"/>
  <c r="F403" i="9" s="1"/>
  <c r="F404" i="9" s="1"/>
  <c r="F405" i="9" s="1"/>
  <c r="F406" i="9" s="1"/>
  <c r="F407" i="9" s="1"/>
  <c r="F408" i="9" s="1"/>
  <c r="F409" i="9" s="1"/>
  <c r="F410" i="9" s="1"/>
  <c r="F411" i="9" s="1"/>
  <c r="F412" i="9" s="1"/>
  <c r="F413" i="9" s="1"/>
  <c r="F414" i="9" s="1"/>
  <c r="F415" i="9" s="1"/>
  <c r="F416" i="9" s="1"/>
  <c r="F417" i="9" s="1"/>
  <c r="F418" i="9" s="1"/>
  <c r="F419" i="9" s="1"/>
  <c r="F420" i="9" s="1"/>
  <c r="F421" i="9" s="1"/>
  <c r="F422" i="9" s="1"/>
  <c r="F423" i="9" s="1"/>
  <c r="F424" i="9" s="1"/>
  <c r="F425" i="9" s="1"/>
  <c r="F426" i="9" s="1"/>
  <c r="F427" i="9" s="1"/>
  <c r="F428" i="9" s="1"/>
  <c r="F429" i="9" s="1"/>
  <c r="F430" i="9" s="1"/>
  <c r="F431" i="9" s="1"/>
  <c r="F432" i="9" s="1"/>
  <c r="F433" i="9" s="1"/>
  <c r="F434" i="9" s="1"/>
  <c r="F435" i="9" s="1"/>
  <c r="F436" i="9" s="1"/>
  <c r="F437" i="9" s="1"/>
  <c r="F438" i="9" s="1"/>
  <c r="F439" i="9" s="1"/>
  <c r="F440" i="9" s="1"/>
  <c r="F441" i="9" s="1"/>
  <c r="F442" i="9" s="1"/>
  <c r="F443" i="9" s="1"/>
  <c r="F444" i="9" s="1"/>
  <c r="F445" i="9" s="1"/>
  <c r="F446" i="9" s="1"/>
  <c r="F447" i="9" s="1"/>
  <c r="F448" i="9" s="1"/>
  <c r="F449" i="9" s="1"/>
  <c r="F450" i="9" s="1"/>
  <c r="F451" i="9" s="1"/>
  <c r="F452" i="9" s="1"/>
  <c r="F453" i="9" s="1"/>
  <c r="F454" i="9" s="1"/>
  <c r="F455" i="9" s="1"/>
  <c r="F456" i="9" s="1"/>
  <c r="F457" i="9" s="1"/>
  <c r="F458" i="9" s="1"/>
  <c r="F459" i="9" s="1"/>
  <c r="F460" i="9" s="1"/>
  <c r="F461" i="9" s="1"/>
  <c r="F462" i="9" s="1"/>
  <c r="F463" i="9" s="1"/>
  <c r="F464" i="9" s="1"/>
  <c r="F465" i="9" s="1"/>
  <c r="F466" i="9" s="1"/>
  <c r="F467" i="9" s="1"/>
  <c r="F468" i="9" s="1"/>
  <c r="F469" i="9" s="1"/>
  <c r="F470" i="9" s="1"/>
  <c r="F471" i="9" s="1"/>
  <c r="F472" i="9" s="1"/>
  <c r="F473" i="9" s="1"/>
  <c r="F474" i="9" s="1"/>
  <c r="F475" i="9" s="1"/>
  <c r="F476" i="9" s="1"/>
  <c r="F477" i="9" s="1"/>
  <c r="F478" i="9" s="1"/>
  <c r="F479" i="9" s="1"/>
  <c r="F480" i="9" s="1"/>
  <c r="F481" i="9" s="1"/>
  <c r="F482" i="9" s="1"/>
  <c r="F483" i="9" s="1"/>
  <c r="F484" i="9" s="1"/>
  <c r="F485" i="9" s="1"/>
  <c r="F486" i="9" s="1"/>
  <c r="F487" i="9" s="1"/>
  <c r="F488" i="9" s="1"/>
  <c r="F489" i="9" s="1"/>
  <c r="F490" i="9" s="1"/>
  <c r="F491" i="9" s="1"/>
  <c r="F492" i="9" s="1"/>
  <c r="F493" i="9" s="1"/>
  <c r="F494" i="9" s="1"/>
  <c r="F495" i="9" s="1"/>
  <c r="F496" i="9" s="1"/>
  <c r="F497" i="9" s="1"/>
  <c r="F498" i="9" s="1"/>
  <c r="F499" i="9" s="1"/>
  <c r="F500" i="9" s="1"/>
  <c r="F501" i="9" s="1"/>
  <c r="F502" i="9" s="1"/>
  <c r="F503" i="9" s="1"/>
  <c r="F504" i="9" s="1"/>
  <c r="F505" i="9" s="1"/>
  <c r="F506" i="9" s="1"/>
  <c r="F507" i="9" s="1"/>
  <c r="F508" i="9" s="1"/>
  <c r="F509" i="9" s="1"/>
  <c r="F510" i="9" s="1"/>
  <c r="F511" i="9" s="1"/>
  <c r="F512" i="9" s="1"/>
  <c r="F513" i="9" s="1"/>
  <c r="F514" i="9" s="1"/>
  <c r="F515" i="9" s="1"/>
  <c r="F516" i="9" s="1"/>
  <c r="F517" i="9" s="1"/>
  <c r="F518" i="9" s="1"/>
  <c r="F519" i="9" s="1"/>
  <c r="F520" i="9" s="1"/>
  <c r="F521" i="9" s="1"/>
  <c r="F522" i="9" s="1"/>
  <c r="F523" i="9" s="1"/>
  <c r="F524" i="9" s="1"/>
  <c r="F525" i="9" s="1"/>
  <c r="F526" i="9" s="1"/>
  <c r="F527" i="9" s="1"/>
  <c r="F528" i="9" s="1"/>
  <c r="F529" i="9" s="1"/>
  <c r="F530" i="9" s="1"/>
  <c r="F531" i="9" s="1"/>
  <c r="F532" i="9" s="1"/>
  <c r="F533" i="9" s="1"/>
  <c r="F534" i="9" s="1"/>
  <c r="F535" i="9" s="1"/>
  <c r="F536" i="9" s="1"/>
  <c r="F537" i="9" s="1"/>
  <c r="F538" i="9" s="1"/>
  <c r="F539" i="9" s="1"/>
  <c r="F540" i="9" s="1"/>
  <c r="F541" i="9" s="1"/>
  <c r="F542" i="9" s="1"/>
  <c r="F543" i="9" s="1"/>
  <c r="F544" i="9" s="1"/>
  <c r="F545" i="9" s="1"/>
  <c r="F546" i="9" s="1"/>
  <c r="F547" i="9" s="1"/>
  <c r="F548" i="9" s="1"/>
  <c r="F549" i="9" s="1"/>
  <c r="F550" i="9" s="1"/>
  <c r="F551" i="9" s="1"/>
  <c r="F552" i="9" s="1"/>
  <c r="F553" i="9" s="1"/>
  <c r="F554" i="9" s="1"/>
  <c r="F555" i="9" s="1"/>
  <c r="F556" i="9" s="1"/>
  <c r="F557" i="9" s="1"/>
  <c r="F558" i="9" s="1"/>
  <c r="F559" i="9" s="1"/>
  <c r="F560" i="9" s="1"/>
  <c r="F561" i="9" s="1"/>
  <c r="F562" i="9" s="1"/>
  <c r="F563" i="9" s="1"/>
  <c r="F564" i="9" s="1"/>
  <c r="F565" i="9" s="1"/>
  <c r="F566" i="9" s="1"/>
  <c r="F567" i="9" s="1"/>
  <c r="F568" i="9" s="1"/>
  <c r="F569" i="9" s="1"/>
  <c r="F570" i="9" s="1"/>
  <c r="F571" i="9" s="1"/>
  <c r="F572" i="9" s="1"/>
  <c r="F573" i="9" s="1"/>
  <c r="F574" i="9" s="1"/>
  <c r="F575" i="9" s="1"/>
  <c r="F576" i="9" s="1"/>
  <c r="F577" i="9" s="1"/>
  <c r="F578" i="9" s="1"/>
  <c r="F579" i="9" s="1"/>
  <c r="F580" i="9" s="1"/>
  <c r="F581" i="9" s="1"/>
  <c r="F582" i="9" s="1"/>
  <c r="F583" i="9" s="1"/>
  <c r="F584" i="9" s="1"/>
  <c r="F585" i="9" s="1"/>
  <c r="F586" i="9" s="1"/>
  <c r="F587" i="9" s="1"/>
  <c r="F588" i="9" s="1"/>
  <c r="F589" i="9" s="1"/>
  <c r="F590" i="9" s="1"/>
  <c r="F591" i="9" s="1"/>
  <c r="F592" i="9" s="1"/>
  <c r="F593" i="9" s="1"/>
  <c r="F594" i="9" s="1"/>
  <c r="F595" i="9" s="1"/>
  <c r="F596" i="9" s="1"/>
  <c r="F597" i="9" s="1"/>
  <c r="F598" i="9" s="1"/>
  <c r="F599" i="9" s="1"/>
  <c r="F600" i="9" s="1"/>
  <c r="F601" i="9" s="1"/>
  <c r="F602" i="9" s="1"/>
  <c r="F603" i="9" s="1"/>
  <c r="F604" i="9" s="1"/>
  <c r="F605" i="9" s="1"/>
  <c r="F606" i="9" s="1"/>
  <c r="F607" i="9" s="1"/>
  <c r="F608" i="9" s="1"/>
  <c r="F609" i="9" s="1"/>
  <c r="F610" i="9" s="1"/>
  <c r="F611" i="9" s="1"/>
  <c r="F612" i="9" s="1"/>
  <c r="F613" i="9" s="1"/>
  <c r="F614" i="9" s="1"/>
  <c r="F615" i="9" s="1"/>
  <c r="F616" i="9" s="1"/>
  <c r="F617" i="9" s="1"/>
  <c r="F618" i="9" s="1"/>
  <c r="F619" i="9" s="1"/>
  <c r="F620" i="9" s="1"/>
  <c r="F621" i="9" s="1"/>
  <c r="F622" i="9" s="1"/>
  <c r="F623" i="9" s="1"/>
  <c r="F624" i="9" s="1"/>
  <c r="F625" i="9" s="1"/>
  <c r="F626" i="9" s="1"/>
  <c r="F627" i="9" s="1"/>
  <c r="F628" i="9" s="1"/>
  <c r="F629" i="9" s="1"/>
  <c r="F630" i="9" s="1"/>
  <c r="F631" i="9" s="1"/>
  <c r="F632" i="9" s="1"/>
  <c r="F633" i="9" s="1"/>
  <c r="F634" i="9" s="1"/>
  <c r="F635" i="9" s="1"/>
  <c r="F636" i="9" s="1"/>
  <c r="F637" i="9" s="1"/>
  <c r="F638" i="9" s="1"/>
  <c r="F639" i="9" s="1"/>
  <c r="F640" i="9" s="1"/>
  <c r="F641" i="9" s="1"/>
  <c r="F642" i="9" s="1"/>
  <c r="F643" i="9" s="1"/>
  <c r="F644" i="9" s="1"/>
  <c r="F645" i="9" s="1"/>
  <c r="F646" i="9" s="1"/>
  <c r="F647" i="9" s="1"/>
  <c r="F648" i="9" s="1"/>
  <c r="F649" i="9" s="1"/>
  <c r="F650" i="9" s="1"/>
  <c r="F651" i="9" s="1"/>
  <c r="F652" i="9" s="1"/>
  <c r="F653" i="9" s="1"/>
  <c r="F654" i="9" s="1"/>
  <c r="F655" i="9" s="1"/>
  <c r="F656" i="9" s="1"/>
  <c r="F657" i="9" s="1"/>
  <c r="F658" i="9" s="1"/>
  <c r="F659" i="9" s="1"/>
  <c r="F660" i="9" s="1"/>
  <c r="F661" i="9" s="1"/>
  <c r="F662" i="9" s="1"/>
  <c r="F663" i="9" s="1"/>
  <c r="F664" i="9" s="1"/>
  <c r="F665" i="9" s="1"/>
  <c r="F666" i="9" s="1"/>
  <c r="F667" i="9" s="1"/>
  <c r="F668" i="9" s="1"/>
  <c r="F669" i="9" s="1"/>
  <c r="F670" i="9" s="1"/>
  <c r="F671" i="9" s="1"/>
  <c r="F672" i="9" s="1"/>
  <c r="F673" i="9" s="1"/>
  <c r="F674" i="9" s="1"/>
  <c r="F675" i="9" s="1"/>
  <c r="F676" i="9" s="1"/>
  <c r="F677" i="9" s="1"/>
  <c r="F678" i="9" s="1"/>
  <c r="F679" i="9" s="1"/>
  <c r="F680" i="9" s="1"/>
  <c r="F681" i="9" s="1"/>
  <c r="F682" i="9" s="1"/>
  <c r="F683" i="9" s="1"/>
  <c r="F684" i="9" s="1"/>
  <c r="F685" i="9" s="1"/>
  <c r="F686" i="9" s="1"/>
  <c r="F687" i="9" s="1"/>
  <c r="F688" i="9" s="1"/>
  <c r="F689" i="9" s="1"/>
  <c r="F690" i="9" s="1"/>
  <c r="F691" i="9" s="1"/>
  <c r="F692" i="9" s="1"/>
  <c r="F693" i="9" s="1"/>
  <c r="F694" i="9" s="1"/>
  <c r="F695" i="9" s="1"/>
  <c r="F696" i="9" s="1"/>
  <c r="F697" i="9" s="1"/>
  <c r="F698" i="9" s="1"/>
  <c r="F699" i="9" s="1"/>
  <c r="F700" i="9" s="1"/>
  <c r="F701" i="9" s="1"/>
  <c r="F702" i="9" s="1"/>
  <c r="F703" i="9" s="1"/>
  <c r="F704" i="9" s="1"/>
  <c r="F705" i="9" s="1"/>
  <c r="F706" i="9" s="1"/>
  <c r="F707" i="9" s="1"/>
  <c r="F708" i="9" s="1"/>
  <c r="F709" i="9" s="1"/>
  <c r="F710" i="9" s="1"/>
  <c r="F711" i="9" s="1"/>
  <c r="F712" i="9" s="1"/>
  <c r="F713" i="9" s="1"/>
  <c r="F714" i="9" s="1"/>
  <c r="F715" i="9" s="1"/>
  <c r="F716" i="9" s="1"/>
  <c r="F717" i="9" s="1"/>
  <c r="F718" i="9" s="1"/>
  <c r="F719" i="9" s="1"/>
  <c r="F720" i="9" s="1"/>
  <c r="F721" i="9" s="1"/>
  <c r="F722" i="9" s="1"/>
  <c r="F723" i="9" s="1"/>
  <c r="F724" i="9" s="1"/>
  <c r="F725" i="9" s="1"/>
  <c r="F726" i="9" s="1"/>
  <c r="F727" i="9" s="1"/>
  <c r="F728" i="9" s="1"/>
  <c r="F729" i="9" s="1"/>
  <c r="F730" i="9" s="1"/>
  <c r="F731" i="9" s="1"/>
  <c r="F732" i="9" s="1"/>
  <c r="F733" i="9" s="1"/>
  <c r="F734" i="9" s="1"/>
  <c r="F735" i="9" s="1"/>
  <c r="F736" i="9" s="1"/>
  <c r="F737" i="9" s="1"/>
  <c r="F738" i="9" s="1"/>
  <c r="F739" i="9" s="1"/>
  <c r="F740" i="9" s="1"/>
  <c r="F741" i="9" s="1"/>
  <c r="F742" i="9" s="1"/>
  <c r="F743" i="9" s="1"/>
  <c r="F744" i="9" s="1"/>
  <c r="F745" i="9" s="1"/>
  <c r="F746" i="9" s="1"/>
  <c r="F747" i="9" s="1"/>
  <c r="F748" i="9" s="1"/>
  <c r="F749" i="9" s="1"/>
  <c r="F750" i="9" s="1"/>
  <c r="F751" i="9" s="1"/>
  <c r="F752" i="9" s="1"/>
  <c r="F753" i="9" s="1"/>
  <c r="F754" i="9" s="1"/>
  <c r="F755" i="9" s="1"/>
  <c r="F756" i="9" s="1"/>
  <c r="F757" i="9" s="1"/>
  <c r="F758" i="9" s="1"/>
  <c r="F759" i="9" s="1"/>
  <c r="F760" i="9" s="1"/>
  <c r="F761" i="9" s="1"/>
  <c r="F762" i="9" s="1"/>
  <c r="F763" i="9" s="1"/>
  <c r="F764" i="9" s="1"/>
  <c r="F765" i="9" s="1"/>
  <c r="F766" i="9" s="1"/>
  <c r="F767" i="9" s="1"/>
  <c r="F768" i="9" s="1"/>
  <c r="F769" i="9" s="1"/>
  <c r="F770" i="9" s="1"/>
  <c r="F771" i="9" s="1"/>
  <c r="F772" i="9" s="1"/>
  <c r="F773" i="9" s="1"/>
  <c r="F774" i="9" s="1"/>
  <c r="F775" i="9" s="1"/>
  <c r="F776" i="9" s="1"/>
  <c r="F777" i="9" s="1"/>
  <c r="F778" i="9" s="1"/>
  <c r="F779" i="9" s="1"/>
  <c r="F780" i="9" s="1"/>
  <c r="F781" i="9" s="1"/>
  <c r="F782" i="9" s="1"/>
  <c r="F783" i="9" s="1"/>
  <c r="F784" i="9" s="1"/>
  <c r="F785" i="9" s="1"/>
  <c r="F786" i="9" s="1"/>
  <c r="F787" i="9" s="1"/>
  <c r="F788" i="9" s="1"/>
  <c r="F789" i="9" s="1"/>
  <c r="F790" i="9" s="1"/>
  <c r="F791" i="9" s="1"/>
  <c r="F792" i="9" s="1"/>
  <c r="F793" i="9" s="1"/>
  <c r="F794" i="9" s="1"/>
  <c r="F795" i="9" s="1"/>
  <c r="F796" i="9" s="1"/>
  <c r="F797" i="9" s="1"/>
  <c r="F798" i="9" s="1"/>
  <c r="F799" i="9" s="1"/>
  <c r="F800" i="9" s="1"/>
  <c r="F801" i="9" s="1"/>
  <c r="F802" i="9" s="1"/>
  <c r="F803" i="9" s="1"/>
  <c r="F804" i="9" s="1"/>
  <c r="F805" i="9" s="1"/>
  <c r="F806" i="9" s="1"/>
  <c r="F807" i="9" s="1"/>
  <c r="F808" i="9" s="1"/>
  <c r="F809" i="9" s="1"/>
  <c r="F810" i="9" s="1"/>
  <c r="F811" i="9" s="1"/>
  <c r="F812" i="9" s="1"/>
  <c r="F813" i="9" s="1"/>
  <c r="F814" i="9" s="1"/>
  <c r="F815" i="9" s="1"/>
  <c r="F816" i="9" s="1"/>
  <c r="F817" i="9" s="1"/>
  <c r="F818" i="9" s="1"/>
  <c r="F819" i="9" s="1"/>
  <c r="F820" i="9" s="1"/>
  <c r="F821" i="9" s="1"/>
  <c r="F822" i="9" s="1"/>
  <c r="F823" i="9" s="1"/>
  <c r="F824" i="9" s="1"/>
  <c r="F825" i="9" s="1"/>
  <c r="F826" i="9" s="1"/>
  <c r="F827" i="9" s="1"/>
  <c r="F828" i="9" s="1"/>
  <c r="F829" i="9" s="1"/>
  <c r="F830" i="9" s="1"/>
  <c r="F831" i="9" s="1"/>
  <c r="F832" i="9" s="1"/>
  <c r="F833" i="9" s="1"/>
  <c r="F834" i="9" s="1"/>
  <c r="F835" i="9" s="1"/>
  <c r="F836" i="9" s="1"/>
  <c r="F837" i="9" s="1"/>
  <c r="F838" i="9" s="1"/>
  <c r="F839" i="9" s="1"/>
  <c r="F840" i="9" s="1"/>
  <c r="F841" i="9" s="1"/>
  <c r="F842" i="9" s="1"/>
  <c r="F843" i="9" s="1"/>
  <c r="F844" i="9" s="1"/>
  <c r="F845" i="9" s="1"/>
  <c r="F846" i="9" s="1"/>
  <c r="F847" i="9" s="1"/>
  <c r="F848" i="9" s="1"/>
  <c r="F849" i="9" s="1"/>
  <c r="F850" i="9" s="1"/>
  <c r="F851" i="9" s="1"/>
  <c r="F852" i="9" s="1"/>
  <c r="F853" i="9" s="1"/>
  <c r="F854" i="9" s="1"/>
  <c r="F855" i="9" s="1"/>
  <c r="F856" i="9" s="1"/>
  <c r="F857" i="9" s="1"/>
  <c r="F858" i="9" s="1"/>
  <c r="F859" i="9" s="1"/>
  <c r="F860" i="9" s="1"/>
  <c r="F861" i="9" s="1"/>
  <c r="F862" i="9" s="1"/>
  <c r="F863" i="9" s="1"/>
  <c r="F864" i="9" s="1"/>
  <c r="F865" i="9" s="1"/>
  <c r="F866" i="9" s="1"/>
  <c r="F867" i="9" s="1"/>
  <c r="F868" i="9" s="1"/>
  <c r="F869" i="9" s="1"/>
  <c r="F870" i="9" s="1"/>
  <c r="F871" i="9" s="1"/>
  <c r="F872" i="9" s="1"/>
  <c r="F873" i="9" s="1"/>
  <c r="F874" i="9" s="1"/>
  <c r="F875" i="9" s="1"/>
  <c r="F876" i="9" s="1"/>
  <c r="F877" i="9" s="1"/>
  <c r="F878" i="9" s="1"/>
  <c r="F879" i="9" s="1"/>
  <c r="F880" i="9" s="1"/>
  <c r="F881" i="9" s="1"/>
  <c r="F882" i="9" s="1"/>
  <c r="F883" i="9" s="1"/>
  <c r="F884" i="9" s="1"/>
  <c r="F885" i="9" s="1"/>
  <c r="F886" i="9" s="1"/>
  <c r="F887" i="9" s="1"/>
  <c r="F888" i="9" s="1"/>
  <c r="F889" i="9" s="1"/>
  <c r="F890" i="9" s="1"/>
  <c r="F891" i="9" s="1"/>
  <c r="F892" i="9" s="1"/>
  <c r="F893" i="9" s="1"/>
  <c r="F894" i="9" s="1"/>
  <c r="F895" i="9" s="1"/>
  <c r="F896" i="9" s="1"/>
  <c r="F897" i="9" s="1"/>
  <c r="F898" i="9" s="1"/>
  <c r="F899" i="9" s="1"/>
  <c r="F900" i="9" s="1"/>
  <c r="F901" i="9" s="1"/>
  <c r="F902" i="9" s="1"/>
  <c r="F903" i="9" s="1"/>
  <c r="F904" i="9" s="1"/>
  <c r="F905" i="9" s="1"/>
  <c r="F906" i="9" s="1"/>
  <c r="F907" i="9" s="1"/>
  <c r="F908" i="9" s="1"/>
  <c r="F909" i="9" s="1"/>
  <c r="F910" i="9" s="1"/>
  <c r="F911" i="9" s="1"/>
  <c r="F912" i="9" s="1"/>
  <c r="F913" i="9" s="1"/>
  <c r="F914" i="9" s="1"/>
  <c r="F915" i="9" s="1"/>
  <c r="F916" i="9" s="1"/>
  <c r="F917" i="9" s="1"/>
  <c r="F918" i="9" s="1"/>
  <c r="F919" i="9" s="1"/>
  <c r="F920" i="9" s="1"/>
  <c r="F921" i="9" s="1"/>
  <c r="F922" i="9" s="1"/>
  <c r="F923" i="9" s="1"/>
  <c r="F924" i="9" s="1"/>
  <c r="F925" i="9" s="1"/>
  <c r="F926" i="9" s="1"/>
  <c r="F927" i="9" s="1"/>
  <c r="F928" i="9" s="1"/>
  <c r="F929" i="9" s="1"/>
  <c r="F930" i="9" s="1"/>
  <c r="F931" i="9" s="1"/>
  <c r="F932" i="9" s="1"/>
  <c r="F933" i="9" s="1"/>
  <c r="F934" i="9" s="1"/>
  <c r="F935" i="9" s="1"/>
  <c r="F936" i="9" s="1"/>
  <c r="F937" i="9" s="1"/>
  <c r="F938" i="9" s="1"/>
  <c r="F939" i="9" s="1"/>
  <c r="F940" i="9" s="1"/>
  <c r="F941" i="9" s="1"/>
  <c r="F942" i="9" s="1"/>
  <c r="F943" i="9" s="1"/>
  <c r="F944" i="9" s="1"/>
  <c r="F945" i="9" s="1"/>
  <c r="F946" i="9" s="1"/>
  <c r="F947" i="9" s="1"/>
  <c r="F948" i="9" s="1"/>
  <c r="F949" i="9" s="1"/>
  <c r="F950" i="9" s="1"/>
  <c r="F951" i="9" s="1"/>
  <c r="F952" i="9" s="1"/>
  <c r="F953" i="9" s="1"/>
  <c r="F954" i="9" s="1"/>
  <c r="F955" i="9" s="1"/>
  <c r="F956" i="9" s="1"/>
  <c r="F957" i="9" s="1"/>
  <c r="F958" i="9" s="1"/>
  <c r="F959" i="9" s="1"/>
  <c r="F960" i="9" s="1"/>
  <c r="F961" i="9" s="1"/>
  <c r="F962" i="9" s="1"/>
  <c r="F963" i="9" s="1"/>
  <c r="F964" i="9" s="1"/>
  <c r="F965" i="9" s="1"/>
  <c r="F966" i="9" s="1"/>
  <c r="F967" i="9" s="1"/>
  <c r="F968" i="9" s="1"/>
  <c r="F969" i="9" s="1"/>
  <c r="F970" i="9" s="1"/>
  <c r="F971" i="9" s="1"/>
  <c r="F972" i="9" s="1"/>
  <c r="F973" i="9" s="1"/>
  <c r="F974" i="9" s="1"/>
  <c r="F975" i="9" s="1"/>
  <c r="F976" i="9" s="1"/>
  <c r="F977" i="9" s="1"/>
  <c r="F978" i="9" s="1"/>
  <c r="F979" i="9" s="1"/>
  <c r="F980" i="9" s="1"/>
  <c r="F981" i="9" s="1"/>
  <c r="F982" i="9" s="1"/>
  <c r="F983" i="9" s="1"/>
  <c r="F984" i="9" s="1"/>
  <c r="F985" i="9" s="1"/>
  <c r="F986" i="9" s="1"/>
  <c r="F987" i="9" s="1"/>
  <c r="F988" i="9" s="1"/>
  <c r="F989" i="9" s="1"/>
  <c r="F990" i="9" s="1"/>
  <c r="F991" i="9" s="1"/>
  <c r="F992" i="9" s="1"/>
  <c r="F993" i="9" s="1"/>
  <c r="F994" i="9" s="1"/>
  <c r="F995" i="9" s="1"/>
  <c r="F996" i="9" s="1"/>
  <c r="F997" i="9" s="1"/>
  <c r="F998" i="9" s="1"/>
  <c r="F999" i="9" s="1"/>
  <c r="F1000" i="9" s="1"/>
  <c r="F1001" i="9" s="1"/>
  <c r="F1002" i="9" s="1"/>
  <c r="F1003" i="9" s="1"/>
  <c r="F1004" i="9" s="1"/>
  <c r="F1005" i="9" s="1"/>
  <c r="F1006" i="9" s="1"/>
  <c r="F1007" i="9" s="1"/>
  <c r="F1008" i="9" s="1"/>
  <c r="F1009" i="9" s="1"/>
  <c r="F1010" i="9" s="1"/>
  <c r="F1011" i="9" s="1"/>
  <c r="F1012" i="9" s="1"/>
  <c r="F1013" i="9" s="1"/>
  <c r="F1014" i="9" s="1"/>
  <c r="F1015" i="9" s="1"/>
  <c r="F1016" i="9" s="1"/>
  <c r="F1017" i="9" s="1"/>
  <c r="F1018" i="9" s="1"/>
  <c r="F1019" i="9" s="1"/>
  <c r="F1020" i="9" s="1"/>
  <c r="F1021" i="9" s="1"/>
  <c r="F1022" i="9" s="1"/>
  <c r="F1023" i="9" s="1"/>
  <c r="F1024" i="9" s="1"/>
  <c r="F1025" i="9" s="1"/>
  <c r="F1026" i="9" s="1"/>
  <c r="F1027" i="9" s="1"/>
  <c r="F1028" i="9" s="1"/>
  <c r="F1029" i="9" s="1"/>
  <c r="F1030" i="9" s="1"/>
  <c r="F1031" i="9" s="1"/>
  <c r="F1032" i="9" s="1"/>
  <c r="F1033" i="9" s="1"/>
  <c r="F1034" i="9" s="1"/>
  <c r="F1035" i="9" s="1"/>
  <c r="F1036" i="9" s="1"/>
  <c r="F1037" i="9" s="1"/>
  <c r="F1038" i="9" s="1"/>
  <c r="F1039" i="9" s="1"/>
  <c r="F1040" i="9" s="1"/>
  <c r="F1041" i="9" s="1"/>
  <c r="F1042" i="9" s="1"/>
  <c r="F1043" i="9" s="1"/>
  <c r="F1044" i="9" s="1"/>
  <c r="F1045" i="9" s="1"/>
  <c r="F1046" i="9" s="1"/>
  <c r="F1047" i="9" s="1"/>
  <c r="F1048" i="9" s="1"/>
  <c r="F1049" i="9" s="1"/>
  <c r="F1050" i="9" s="1"/>
  <c r="F1051" i="9" s="1"/>
  <c r="F1052" i="9" s="1"/>
  <c r="F1053" i="9" s="1"/>
  <c r="F1054" i="9" s="1"/>
  <c r="F1055" i="9" s="1"/>
  <c r="F1056" i="9" s="1"/>
  <c r="F1057" i="9" s="1"/>
  <c r="F1058" i="9" s="1"/>
  <c r="F1059" i="9" s="1"/>
  <c r="F1060" i="9" s="1"/>
  <c r="F1061" i="9" s="1"/>
  <c r="F1062" i="9" s="1"/>
  <c r="F1063" i="9" s="1"/>
  <c r="F1064" i="9" s="1"/>
  <c r="F1065" i="9" s="1"/>
  <c r="F1066" i="9" s="1"/>
  <c r="F1067" i="9" s="1"/>
  <c r="F1068" i="9" s="1"/>
  <c r="F1069" i="9" s="1"/>
  <c r="F1070" i="9" s="1"/>
  <c r="F1071" i="9" s="1"/>
  <c r="F1072" i="9" s="1"/>
  <c r="F1073" i="9" s="1"/>
  <c r="F1074" i="9" s="1"/>
  <c r="F1075" i="9" s="1"/>
  <c r="F1076" i="9" s="1"/>
  <c r="F1077" i="9" s="1"/>
  <c r="F1078" i="9" s="1"/>
  <c r="F1079" i="9" s="1"/>
  <c r="F1080" i="9" s="1"/>
  <c r="F1081" i="9" s="1"/>
  <c r="F1082" i="9" s="1"/>
  <c r="F1083" i="9" s="1"/>
  <c r="F1084" i="9" s="1"/>
  <c r="F1085" i="9" s="1"/>
  <c r="F1086" i="9" s="1"/>
  <c r="F1087" i="9" s="1"/>
  <c r="F1088" i="9" s="1"/>
  <c r="F1089" i="9" s="1"/>
  <c r="F1090" i="9" s="1"/>
  <c r="F1091" i="9" s="1"/>
  <c r="F1092" i="9" s="1"/>
  <c r="F1093" i="9" s="1"/>
  <c r="F1094" i="9" s="1"/>
  <c r="F1095" i="9" s="1"/>
  <c r="F1096" i="9" s="1"/>
  <c r="F1097" i="9" s="1"/>
  <c r="F1098" i="9" s="1"/>
  <c r="F1099" i="9" s="1"/>
  <c r="F1100" i="9" s="1"/>
  <c r="F1101" i="9" s="1"/>
  <c r="F1102" i="9" s="1"/>
  <c r="F1103" i="9" s="1"/>
  <c r="F1104" i="9" s="1"/>
  <c r="F1105" i="9" s="1"/>
  <c r="F1106" i="9" s="1"/>
  <c r="F1107" i="9" s="1"/>
  <c r="F1108" i="9" s="1"/>
  <c r="F1109" i="9" s="1"/>
  <c r="F1110" i="9" s="1"/>
  <c r="F1111" i="9" s="1"/>
  <c r="F1112" i="9" s="1"/>
  <c r="F1113" i="9" s="1"/>
  <c r="F1114" i="9" s="1"/>
  <c r="F1115" i="9" s="1"/>
  <c r="F1116" i="9" s="1"/>
  <c r="F1117" i="9" s="1"/>
  <c r="F1118" i="9" s="1"/>
  <c r="F1119" i="9" s="1"/>
  <c r="F1120" i="9" s="1"/>
  <c r="F1121" i="9" s="1"/>
  <c r="F1122" i="9" s="1"/>
  <c r="F1123" i="9" s="1"/>
  <c r="F1124" i="9" s="1"/>
  <c r="F1125" i="9" s="1"/>
  <c r="F1126" i="9" s="1"/>
  <c r="F1127" i="9" s="1"/>
  <c r="F1128" i="9" s="1"/>
  <c r="F1129" i="9" s="1"/>
  <c r="F1130" i="9" s="1"/>
  <c r="F1131" i="9" s="1"/>
  <c r="F1132" i="9" s="1"/>
  <c r="F1133" i="9" s="1"/>
  <c r="F1134" i="9" s="1"/>
  <c r="F1135" i="9" s="1"/>
  <c r="F1136" i="9" s="1"/>
  <c r="F1137" i="9" s="1"/>
  <c r="F1138" i="9" s="1"/>
  <c r="F1139" i="9" s="1"/>
  <c r="F1140" i="9" s="1"/>
  <c r="F1141" i="9" s="1"/>
  <c r="F1142" i="9" s="1"/>
  <c r="F1143" i="9" s="1"/>
  <c r="F1144" i="9" s="1"/>
  <c r="F1145" i="9" s="1"/>
  <c r="F1146" i="9" s="1"/>
  <c r="F1147" i="9" s="1"/>
  <c r="F1148" i="9" s="1"/>
  <c r="F1149" i="9" s="1"/>
  <c r="F1150" i="9" s="1"/>
  <c r="F1151" i="9" s="1"/>
  <c r="F1152" i="9" s="1"/>
  <c r="F1153" i="9" s="1"/>
  <c r="F1154" i="9" s="1"/>
  <c r="F1155" i="9" s="1"/>
  <c r="F1156" i="9" s="1"/>
  <c r="F1157" i="9" s="1"/>
  <c r="F1158" i="9" s="1"/>
  <c r="F1159" i="9" s="1"/>
  <c r="F1160" i="9" s="1"/>
  <c r="F1161" i="9" s="1"/>
  <c r="F1162" i="9" s="1"/>
  <c r="F1163" i="9" s="1"/>
  <c r="F1164" i="9" s="1"/>
  <c r="F1165" i="9" s="1"/>
  <c r="F1166" i="9" s="1"/>
  <c r="F1167" i="9" s="1"/>
  <c r="F1168" i="9" s="1"/>
  <c r="F1169" i="9" s="1"/>
  <c r="F1170" i="9" s="1"/>
  <c r="F1171" i="9" s="1"/>
  <c r="F1172" i="9" s="1"/>
  <c r="F1173" i="9" s="1"/>
  <c r="F1174" i="9" s="1"/>
  <c r="F1175" i="9" s="1"/>
  <c r="F1176" i="9" s="1"/>
  <c r="F1177" i="9" s="1"/>
  <c r="F1178" i="9" s="1"/>
  <c r="F1179" i="9" s="1"/>
  <c r="F1180" i="9" s="1"/>
  <c r="F1181" i="9" s="1"/>
  <c r="F1182" i="9" s="1"/>
  <c r="F1183" i="9" s="1"/>
  <c r="F1184" i="9" s="1"/>
  <c r="F1185" i="9" s="1"/>
  <c r="F1186" i="9" s="1"/>
  <c r="F1187" i="9" s="1"/>
  <c r="F1188" i="9" s="1"/>
  <c r="F1189" i="9" s="1"/>
  <c r="F1190" i="9" s="1"/>
  <c r="F1191" i="9" s="1"/>
  <c r="F1192" i="9" s="1"/>
  <c r="F1193" i="9" s="1"/>
  <c r="F1194" i="9" s="1"/>
  <c r="F1195" i="9" s="1"/>
  <c r="F1196" i="9" s="1"/>
  <c r="F1197" i="9" s="1"/>
  <c r="F1198" i="9" s="1"/>
  <c r="F1199" i="9" s="1"/>
  <c r="F1200" i="9" s="1"/>
  <c r="F1201" i="9" s="1"/>
  <c r="F1202" i="9" s="1"/>
  <c r="F1203" i="9" s="1"/>
  <c r="F1204" i="9" s="1"/>
  <c r="F1205" i="9" s="1"/>
  <c r="F1206" i="9" s="1"/>
  <c r="F1207" i="9" s="1"/>
  <c r="F1208" i="9" s="1"/>
  <c r="F1209" i="9" s="1"/>
  <c r="F1210" i="9" s="1"/>
  <c r="F1211" i="9" s="1"/>
  <c r="F1212" i="9" s="1"/>
  <c r="F1213" i="9" s="1"/>
  <c r="F1214" i="9" s="1"/>
  <c r="F1215" i="9" s="1"/>
  <c r="F1216" i="9" s="1"/>
  <c r="F1217" i="9" s="1"/>
  <c r="F1218" i="9" s="1"/>
  <c r="F1219" i="9" s="1"/>
  <c r="F1220" i="9" s="1"/>
  <c r="F1221" i="9" s="1"/>
  <c r="F1222" i="9" s="1"/>
  <c r="F1223" i="9" s="1"/>
  <c r="F1224" i="9" s="1"/>
  <c r="F1225" i="9" s="1"/>
  <c r="F1226" i="9" s="1"/>
  <c r="F1227" i="9" s="1"/>
  <c r="F1228" i="9" s="1"/>
  <c r="F1229" i="9" s="1"/>
  <c r="F1230" i="9" s="1"/>
  <c r="F1231" i="9" s="1"/>
  <c r="F1232" i="9" s="1"/>
  <c r="F1233" i="9" s="1"/>
  <c r="F1234" i="9" s="1"/>
  <c r="F1235" i="9" s="1"/>
  <c r="F1236" i="9" s="1"/>
  <c r="F1237" i="9" s="1"/>
  <c r="F1238" i="9" s="1"/>
  <c r="F1239" i="9" s="1"/>
  <c r="F1240" i="9" s="1"/>
  <c r="F1241" i="9" s="1"/>
  <c r="F1242" i="9" s="1"/>
  <c r="F1243" i="9" s="1"/>
  <c r="F1244" i="9" s="1"/>
  <c r="F1245" i="9" s="1"/>
  <c r="F1246" i="9" s="1"/>
  <c r="F1247" i="9" s="1"/>
  <c r="F1248" i="9" s="1"/>
  <c r="F1249" i="9" s="1"/>
  <c r="F1250" i="9" s="1"/>
  <c r="F1251" i="9" s="1"/>
  <c r="F1252" i="9" s="1"/>
  <c r="F1253" i="9" s="1"/>
  <c r="F1254" i="9" s="1"/>
  <c r="F1255" i="9" s="1"/>
  <c r="F1256" i="9" s="1"/>
  <c r="F1257" i="9" s="1"/>
  <c r="F1258" i="9" s="1"/>
  <c r="I235" i="9"/>
  <c r="G211" i="9"/>
  <c r="G315" i="9"/>
  <c r="G290" i="9"/>
  <c r="I271" i="9"/>
  <c r="I252" i="9"/>
  <c r="I246" i="9"/>
  <c r="F225" i="9"/>
  <c r="F226" i="9" s="1"/>
  <c r="F227" i="9" s="1"/>
  <c r="G225" i="9"/>
  <c r="I228" i="9"/>
  <c r="I221" i="9"/>
  <c r="G173" i="9"/>
  <c r="G207" i="9"/>
  <c r="G182" i="9"/>
  <c r="G299" i="9"/>
  <c r="F228" i="9"/>
  <c r="F229" i="9" s="1"/>
  <c r="F230" i="9" s="1"/>
  <c r="G228" i="9"/>
  <c r="G221" i="9"/>
  <c r="G214" i="9"/>
  <c r="G168" i="9"/>
  <c r="G148" i="9"/>
  <c r="I333" i="9"/>
  <c r="I308" i="9"/>
  <c r="I261" i="9"/>
  <c r="I231" i="9"/>
  <c r="I224" i="9"/>
  <c r="I210" i="9"/>
  <c r="G195" i="9"/>
  <c r="G380" i="9"/>
  <c r="G333" i="9"/>
  <c r="G308" i="9"/>
  <c r="G261" i="9"/>
  <c r="F231" i="9"/>
  <c r="G231" i="9"/>
  <c r="G224" i="9"/>
  <c r="F210" i="9"/>
  <c r="G210" i="9"/>
  <c r="I251" i="9"/>
  <c r="I227" i="9"/>
  <c r="I214" i="9"/>
  <c r="G339" i="9"/>
  <c r="G314" i="9"/>
  <c r="G267" i="9"/>
  <c r="G241" i="9"/>
  <c r="I254" i="9"/>
  <c r="F234" i="9"/>
  <c r="F235" i="9" s="1"/>
  <c r="F236" i="9" s="1"/>
  <c r="F237" i="9" s="1"/>
  <c r="F238" i="9" s="1"/>
  <c r="F239" i="9" s="1"/>
  <c r="F240" i="9" s="1"/>
  <c r="F241" i="9" s="1"/>
  <c r="F242" i="9" s="1"/>
  <c r="F243" i="9" s="1"/>
  <c r="F244" i="9" s="1"/>
  <c r="F245" i="9" s="1"/>
  <c r="F246" i="9" s="1"/>
  <c r="F247" i="9" s="1"/>
  <c r="F248" i="9" s="1"/>
  <c r="F249" i="9" s="1"/>
  <c r="F250" i="9" s="1"/>
  <c r="F251" i="9" s="1"/>
  <c r="F252" i="9" s="1"/>
  <c r="F253" i="9" s="1"/>
  <c r="F254" i="9" s="1"/>
  <c r="F255" i="9" s="1"/>
  <c r="F256" i="9" s="1"/>
  <c r="F257" i="9" s="1"/>
  <c r="F258" i="9" s="1"/>
  <c r="F259" i="9" s="1"/>
  <c r="F260" i="9" s="1"/>
  <c r="F261" i="9" s="1"/>
  <c r="G234" i="9"/>
  <c r="G190" i="9"/>
  <c r="G157" i="9"/>
  <c r="G154" i="9"/>
  <c r="G145" i="9"/>
  <c r="G136" i="9"/>
  <c r="G127" i="9"/>
  <c r="G118" i="9"/>
  <c r="G109" i="9"/>
  <c r="G100" i="9"/>
  <c r="G171" i="9"/>
  <c r="G162" i="9"/>
  <c r="G153" i="9"/>
  <c r="G144" i="9"/>
  <c r="G135" i="9"/>
  <c r="G126" i="9"/>
  <c r="G117" i="9"/>
  <c r="F48" i="9"/>
  <c r="F49" i="9" s="1"/>
  <c r="F50" i="9" s="1"/>
  <c r="F51" i="9" s="1"/>
  <c r="F52" i="9" s="1"/>
  <c r="F53" i="9" s="1"/>
  <c r="F54" i="9" s="1"/>
  <c r="F55" i="9" s="1"/>
  <c r="F56" i="9" s="1"/>
  <c r="F57" i="9" s="1"/>
  <c r="F58" i="9" s="1"/>
  <c r="F59" i="9" s="1"/>
  <c r="F60" i="9" s="1"/>
  <c r="F61" i="9" s="1"/>
  <c r="F62" i="9" s="1"/>
  <c r="F63" i="9" s="1"/>
  <c r="F64" i="9" s="1"/>
  <c r="F65" i="9" s="1"/>
  <c r="F66" i="9" s="1"/>
  <c r="F67" i="9" s="1"/>
  <c r="F68" i="9" s="1"/>
  <c r="F69" i="9" s="1"/>
  <c r="F70" i="9" s="1"/>
  <c r="F71" i="9" s="1"/>
  <c r="F72" i="9" s="1"/>
  <c r="F73" i="9" s="1"/>
  <c r="F74" i="9" s="1"/>
  <c r="F75" i="9" s="1"/>
  <c r="F76" i="9" s="1"/>
  <c r="F77" i="9" s="1"/>
  <c r="F78" i="9" s="1"/>
  <c r="F79" i="9" s="1"/>
  <c r="F80" i="9" s="1"/>
  <c r="F81" i="9" s="1"/>
  <c r="F82" i="9" s="1"/>
  <c r="F83" i="9" s="1"/>
  <c r="F84" i="9" s="1"/>
  <c r="F85" i="9" s="1"/>
  <c r="F86" i="9" s="1"/>
  <c r="F87" i="9" s="1"/>
  <c r="F88" i="9" s="1"/>
  <c r="F89" i="9" s="1"/>
  <c r="F90" i="9" s="1"/>
  <c r="G121" i="9"/>
  <c r="G112" i="9"/>
  <c r="G103" i="9"/>
  <c r="F37" i="9"/>
  <c r="F38" i="9" s="1"/>
  <c r="F39" i="9" s="1"/>
  <c r="F216" i="9"/>
  <c r="F217" i="9" s="1"/>
  <c r="G216" i="9"/>
  <c r="G186" i="9"/>
  <c r="G156" i="9"/>
  <c r="G147" i="9"/>
  <c r="G138" i="9"/>
  <c r="G129" i="9"/>
  <c r="G120" i="9"/>
  <c r="G111" i="9"/>
  <c r="F93" i="9"/>
  <c r="F94" i="9" s="1"/>
  <c r="F95" i="9" s="1"/>
  <c r="F96" i="9" s="1"/>
  <c r="F97" i="9" s="1"/>
  <c r="F98" i="9" s="1"/>
  <c r="F99" i="9" s="1"/>
  <c r="F100" i="9" s="1"/>
  <c r="F101" i="9" s="1"/>
  <c r="F102" i="9" s="1"/>
  <c r="F103" i="9" s="1"/>
  <c r="F104" i="9" s="1"/>
  <c r="F105" i="9" s="1"/>
  <c r="F106" i="9" s="1"/>
  <c r="F107" i="9" s="1"/>
  <c r="F108" i="9" s="1"/>
  <c r="F109" i="9" s="1"/>
  <c r="F110" i="9" s="1"/>
  <c r="F111" i="9" s="1"/>
  <c r="F112" i="9" s="1"/>
  <c r="F113" i="9" s="1"/>
  <c r="F114" i="9" s="1"/>
  <c r="F115" i="9" s="1"/>
  <c r="F116" i="9" s="1"/>
  <c r="F117" i="9" s="1"/>
  <c r="F118" i="9" s="1"/>
  <c r="F119" i="9" s="1"/>
  <c r="F120" i="9" s="1"/>
  <c r="F121" i="9" s="1"/>
  <c r="F122" i="9" s="1"/>
  <c r="F123" i="9" s="1"/>
  <c r="F124" i="9" s="1"/>
  <c r="F125" i="9" s="1"/>
  <c r="F126" i="9" s="1"/>
  <c r="F127" i="9" s="1"/>
  <c r="F128" i="9" s="1"/>
  <c r="F129" i="9" s="1"/>
  <c r="F130" i="9" s="1"/>
  <c r="F131" i="9" s="1"/>
  <c r="F132" i="9" s="1"/>
  <c r="F133" i="9" s="1"/>
  <c r="F134" i="9" s="1"/>
  <c r="F135" i="9" s="1"/>
  <c r="F136" i="9" s="1"/>
  <c r="F137" i="9" s="1"/>
  <c r="F138" i="9" s="1"/>
  <c r="F139" i="9" s="1"/>
  <c r="F140" i="9" s="1"/>
  <c r="F141" i="9" s="1"/>
  <c r="F142" i="9" s="1"/>
  <c r="F143" i="9" s="1"/>
  <c r="F144" i="9" s="1"/>
  <c r="F145" i="9" s="1"/>
  <c r="F146" i="9" s="1"/>
  <c r="F147" i="9" s="1"/>
  <c r="F148" i="9" s="1"/>
  <c r="F149" i="9" s="1"/>
  <c r="F150" i="9" s="1"/>
  <c r="F151" i="9" s="1"/>
  <c r="F152" i="9" s="1"/>
  <c r="F153" i="9" s="1"/>
  <c r="F154" i="9" s="1"/>
  <c r="F155" i="9" s="1"/>
  <c r="F156" i="9" s="1"/>
  <c r="F157" i="9" s="1"/>
  <c r="F158" i="9" s="1"/>
  <c r="F159" i="9" s="1"/>
  <c r="F160" i="9" s="1"/>
  <c r="F161" i="9" s="1"/>
  <c r="F162" i="9" s="1"/>
  <c r="F163" i="9" s="1"/>
  <c r="F164" i="9" s="1"/>
  <c r="F165" i="9" s="1"/>
  <c r="F166" i="9" s="1"/>
  <c r="F167" i="9" s="1"/>
  <c r="F168" i="9" s="1"/>
  <c r="F169" i="9" s="1"/>
  <c r="F170" i="9" s="1"/>
  <c r="F171" i="9" s="1"/>
  <c r="F172" i="9" s="1"/>
  <c r="F173" i="9" s="1"/>
  <c r="F174" i="9" s="1"/>
  <c r="F175" i="9" s="1"/>
  <c r="F176" i="9" s="1"/>
  <c r="F177" i="9" s="1"/>
  <c r="F178" i="9" s="1"/>
  <c r="F179" i="9" s="1"/>
  <c r="F180" i="9" s="1"/>
  <c r="F181" i="9" s="1"/>
  <c r="F182" i="9" s="1"/>
  <c r="F183" i="9" s="1"/>
  <c r="F184" i="9" s="1"/>
  <c r="F185" i="9" s="1"/>
  <c r="F186" i="9" s="1"/>
  <c r="F187" i="9" s="1"/>
  <c r="F188" i="9" s="1"/>
  <c r="F189" i="9" s="1"/>
  <c r="F190" i="9" s="1"/>
  <c r="F191" i="9" s="1"/>
  <c r="F192" i="9" s="1"/>
  <c r="F193" i="9" s="1"/>
  <c r="F194" i="9" s="1"/>
  <c r="F195" i="9" s="1"/>
  <c r="F196" i="9" s="1"/>
  <c r="F197" i="9" s="1"/>
  <c r="F198" i="9" s="1"/>
  <c r="F199" i="9" s="1"/>
  <c r="F200" i="9" s="1"/>
  <c r="F201" i="9" s="1"/>
  <c r="F202" i="9" s="1"/>
  <c r="F203" i="9" s="1"/>
  <c r="F204" i="9" s="1"/>
  <c r="F205" i="9" s="1"/>
  <c r="F206" i="9" s="1"/>
  <c r="F207" i="9" s="1"/>
  <c r="G243" i="9"/>
  <c r="F219" i="9"/>
  <c r="F220" i="9" s="1"/>
  <c r="F221" i="9" s="1"/>
  <c r="G219" i="9"/>
  <c r="F25" i="9"/>
  <c r="F26" i="9" s="1"/>
  <c r="F27" i="9" s="1"/>
  <c r="F28" i="9" s="1"/>
  <c r="F29" i="9" s="1"/>
  <c r="F30" i="9" s="1"/>
  <c r="F31" i="9" s="1"/>
  <c r="F32" i="9" s="1"/>
  <c r="F33" i="9" s="1"/>
  <c r="G177" i="9"/>
  <c r="G160" i="9"/>
  <c r="G151" i="9"/>
  <c r="G142" i="9"/>
  <c r="G133" i="9"/>
  <c r="G124" i="9"/>
  <c r="G115" i="9"/>
  <c r="G106" i="9"/>
  <c r="F46" i="9"/>
  <c r="F47" i="9" s="1"/>
  <c r="F24" i="9"/>
  <c r="F45" i="9"/>
  <c r="G159" i="9"/>
  <c r="G150" i="9"/>
  <c r="G141" i="9"/>
  <c r="G132" i="9"/>
  <c r="G123" i="9"/>
  <c r="G114" i="9"/>
  <c r="G204" i="9"/>
  <c r="G97" i="9"/>
  <c r="G94" i="9"/>
  <c r="G91" i="9"/>
  <c r="G88" i="9"/>
  <c r="G85" i="9"/>
  <c r="G82" i="9"/>
  <c r="G79" i="9"/>
  <c r="G76" i="9"/>
  <c r="G73" i="9"/>
  <c r="G70" i="9"/>
  <c r="G67" i="9"/>
  <c r="G64" i="9"/>
  <c r="G61" i="9"/>
  <c r="G58" i="9"/>
  <c r="G55" i="9"/>
  <c r="G52" i="9"/>
  <c r="G49" i="9"/>
  <c r="G46" i="9"/>
  <c r="G43" i="9"/>
  <c r="G40" i="9"/>
  <c r="G37" i="9"/>
  <c r="G34" i="9"/>
  <c r="G31" i="9"/>
  <c r="G28" i="9"/>
  <c r="G25" i="9"/>
  <c r="G22" i="9"/>
  <c r="G19" i="9"/>
  <c r="G16" i="9"/>
  <c r="G13" i="9"/>
  <c r="G10" i="9"/>
  <c r="G7" i="9"/>
  <c r="G4" i="9"/>
  <c r="I12" i="9"/>
  <c r="I9" i="9"/>
  <c r="I6" i="9"/>
  <c r="I3" i="9"/>
  <c r="G108" i="9"/>
  <c r="G105" i="9"/>
  <c r="G102" i="9"/>
  <c r="G99" i="9"/>
  <c r="G96" i="9"/>
  <c r="G93" i="9"/>
  <c r="G90" i="9"/>
  <c r="G87" i="9"/>
  <c r="G84" i="9"/>
  <c r="G81" i="9"/>
  <c r="G78" i="9"/>
  <c r="G75" i="9"/>
  <c r="G72" i="9"/>
  <c r="G69" i="9"/>
  <c r="G66" i="9"/>
  <c r="G63" i="9"/>
  <c r="G60" i="9"/>
  <c r="G57" i="9"/>
  <c r="G54" i="9"/>
  <c r="G51" i="9"/>
  <c r="G48" i="9"/>
  <c r="G45" i="9"/>
  <c r="G42" i="9"/>
  <c r="G39" i="9"/>
  <c r="G36" i="9"/>
  <c r="G33" i="9"/>
  <c r="G30" i="9"/>
  <c r="G27" i="9"/>
  <c r="G24" i="9"/>
  <c r="G21" i="9"/>
  <c r="G18" i="9"/>
  <c r="G15" i="9"/>
  <c r="G12" i="9"/>
  <c r="G9" i="9"/>
  <c r="G6" i="9"/>
  <c r="G3" i="9"/>
  <c r="B68" i="3" s="1" a="1"/>
  <c r="B68" i="3" s="1"/>
  <c r="I38" i="9"/>
  <c r="I35" i="9"/>
  <c r="I32" i="9"/>
  <c r="I29" i="9"/>
  <c r="I26" i="9"/>
  <c r="I23" i="9"/>
  <c r="I20" i="9"/>
  <c r="I17" i="9"/>
  <c r="I14" i="9"/>
  <c r="I11" i="9"/>
  <c r="I8" i="9"/>
  <c r="I5" i="9"/>
  <c r="I2" i="9"/>
  <c r="D21" i="4" l="1" a="1"/>
  <c r="J23" i="3" a="1"/>
  <c r="J23" i="3" s="1"/>
  <c r="D23" i="3" a="1"/>
  <c r="D23" i="3" s="1"/>
  <c r="H23" i="3" a="1"/>
  <c r="H23" i="3" s="1"/>
  <c r="E23" i="3" a="1"/>
  <c r="E23" i="3" s="1"/>
  <c r="G23" i="3" a="1"/>
  <c r="G23" i="3" s="1"/>
  <c r="F23" i="3" a="1"/>
  <c r="F23" i="3" s="1"/>
  <c r="C23" i="3" a="1"/>
  <c r="C23" i="3" s="1"/>
  <c r="B23" i="3" a="1"/>
  <c r="B23" i="3" s="1"/>
  <c r="J57" i="3" a="1"/>
  <c r="J57" i="3" s="1"/>
  <c r="D57" i="3" a="1"/>
  <c r="D57" i="3" s="1"/>
  <c r="E57" i="3" a="1"/>
  <c r="E57" i="3" s="1"/>
  <c r="C57" i="3" a="1"/>
  <c r="C57" i="3" s="1"/>
  <c r="H57" i="3" a="1"/>
  <c r="H57" i="3" s="1"/>
  <c r="I6" i="4" s="1"/>
  <c r="I57" i="3" a="1"/>
  <c r="I57" i="3" s="1"/>
  <c r="I7" i="4" s="1"/>
  <c r="G57" i="3" a="1"/>
  <c r="G57" i="3" s="1"/>
  <c r="I5" i="4" s="1"/>
  <c r="B57" i="3" a="1"/>
  <c r="B57" i="3" s="1"/>
  <c r="F57" i="3" a="1"/>
  <c r="F57" i="3" s="1"/>
  <c r="I4" i="4" s="1"/>
  <c r="J51" i="3" a="1"/>
  <c r="J51" i="3" s="1"/>
  <c r="D51" i="3" a="1"/>
  <c r="D51" i="3" s="1"/>
  <c r="I51" i="3" a="1"/>
  <c r="I51" i="3" s="1"/>
  <c r="E39" i="4" s="1"/>
  <c r="F51" i="3" a="1"/>
  <c r="F51" i="3" s="1"/>
  <c r="E36" i="4" s="1"/>
  <c r="H51" i="3" a="1"/>
  <c r="H51" i="3" s="1"/>
  <c r="E38" i="4" s="1"/>
  <c r="B51" i="3" a="1"/>
  <c r="B51" i="3" s="1"/>
  <c r="E51" i="3" a="1"/>
  <c r="E51" i="3" s="1"/>
  <c r="C51" i="3" a="1"/>
  <c r="C51" i="3" s="1"/>
  <c r="G51" i="3" a="1"/>
  <c r="G51" i="3" s="1"/>
  <c r="E37" i="4" s="1"/>
  <c r="J21" i="3" a="1"/>
  <c r="J21" i="3" s="1"/>
  <c r="I21" i="3" a="1"/>
  <c r="I21" i="3" s="1"/>
  <c r="E7" i="4" s="1"/>
  <c r="D21" i="3" a="1"/>
  <c r="D21" i="3" s="1"/>
  <c r="F21" i="3" a="1"/>
  <c r="F21" i="3" s="1"/>
  <c r="E4" i="4" s="1"/>
  <c r="H21" i="3" a="1"/>
  <c r="H21" i="3" s="1"/>
  <c r="E6" i="4" s="1"/>
  <c r="E21" i="3" a="1"/>
  <c r="E21" i="3" s="1"/>
  <c r="C21" i="3" a="1"/>
  <c r="C21" i="3" s="1"/>
  <c r="G21" i="3" a="1"/>
  <c r="G21" i="3" s="1"/>
  <c r="E5" i="4" s="1"/>
  <c r="B21" i="3" a="1"/>
  <c r="B21" i="3" s="1"/>
  <c r="B16" i="3" a="1"/>
  <c r="B16" i="3" s="1"/>
  <c r="F14" i="3" a="1"/>
  <c r="F14" i="3" s="1"/>
  <c r="G66" i="4" s="1"/>
  <c r="J35" i="3" a="1"/>
  <c r="J35" i="3" s="1"/>
  <c r="D73" i="4" s="1"/>
  <c r="F32" i="3" a="1"/>
  <c r="F32" i="3" s="1"/>
  <c r="H66" i="4" s="1"/>
  <c r="J32" i="3" a="1"/>
  <c r="J32" i="3" s="1"/>
  <c r="E32" i="3" a="1"/>
  <c r="E32" i="3" s="1"/>
  <c r="C32" i="3" a="1"/>
  <c r="C32" i="3" s="1"/>
  <c r="F35" i="3" a="1"/>
  <c r="F35" i="3" s="1"/>
  <c r="B32" i="3" a="1"/>
  <c r="B32" i="3" s="1"/>
  <c r="I32" i="3" a="1"/>
  <c r="I32" i="3" s="1"/>
  <c r="H69" i="4" s="1"/>
  <c r="C35" i="3" a="1"/>
  <c r="C35" i="3" s="1"/>
  <c r="G32" i="3" a="1"/>
  <c r="G32" i="3" s="1"/>
  <c r="H67" i="4" s="1"/>
  <c r="H35" i="3" a="1"/>
  <c r="H35" i="3" s="1"/>
  <c r="E35" i="3" a="1"/>
  <c r="E35" i="3" s="1"/>
  <c r="D32" i="3" a="1"/>
  <c r="D32" i="3" s="1"/>
  <c r="G35" i="3" a="1"/>
  <c r="G35" i="3" s="1"/>
  <c r="H32" i="3" a="1"/>
  <c r="H32" i="3" s="1"/>
  <c r="H68" i="4" s="1"/>
  <c r="D35" i="3" a="1"/>
  <c r="D35" i="3" s="1"/>
  <c r="B35" i="3" a="1"/>
  <c r="B35" i="3" s="1"/>
  <c r="J34" i="3" a="1"/>
  <c r="J34" i="3" s="1"/>
  <c r="H73" i="4" s="1"/>
  <c r="H34" i="3" a="1"/>
  <c r="H34" i="3" s="1"/>
  <c r="C34" i="3" a="1"/>
  <c r="C34" i="3" s="1"/>
  <c r="D34" i="3" a="1"/>
  <c r="D34" i="3" s="1"/>
  <c r="F34" i="3" a="1"/>
  <c r="F34" i="3" s="1"/>
  <c r="G34" i="3" a="1"/>
  <c r="G34" i="3" s="1"/>
  <c r="E34" i="3" a="1"/>
  <c r="E34" i="3" s="1"/>
  <c r="B34" i="3" a="1"/>
  <c r="B34" i="3" s="1"/>
  <c r="F8" i="7"/>
  <c r="F9" i="7" s="1"/>
  <c r="F10" i="7" s="1"/>
  <c r="F11" i="7" s="1"/>
  <c r="F12" i="7" s="1"/>
  <c r="F13" i="7" s="1"/>
  <c r="F14" i="7" s="1"/>
  <c r="F15" i="7" s="1"/>
  <c r="F16" i="7" s="1"/>
  <c r="I34" i="3" a="1"/>
  <c r="I34" i="3" s="1"/>
  <c r="I35" i="3" a="1"/>
  <c r="I35" i="3" s="1"/>
  <c r="J41" i="3" a="1"/>
  <c r="J41" i="3" s="1"/>
  <c r="C41" i="3" a="1"/>
  <c r="C41" i="3" s="1"/>
  <c r="H41" i="3" a="1"/>
  <c r="H41" i="3" s="1"/>
  <c r="B41" i="3" a="1"/>
  <c r="B41" i="3" s="1"/>
  <c r="I41" i="3" a="1"/>
  <c r="I41" i="3" s="1"/>
  <c r="G41" i="3" a="1"/>
  <c r="G41" i="3" s="1"/>
  <c r="F41" i="3" a="1"/>
  <c r="F41" i="3" s="1"/>
  <c r="D41" i="3" a="1"/>
  <c r="D41" i="3" s="1"/>
  <c r="E69" i="3" a="1"/>
  <c r="E69" i="3" s="1"/>
  <c r="K9" i="5"/>
  <c r="I33" i="3" a="1"/>
  <c r="I33" i="3" s="1"/>
  <c r="D39" i="4" s="1"/>
  <c r="J33" i="3" a="1"/>
  <c r="J33" i="3" s="1"/>
  <c r="H33" i="3" a="1"/>
  <c r="H33" i="3" s="1"/>
  <c r="D38" i="4" s="1"/>
  <c r="F33" i="3" a="1"/>
  <c r="F33" i="3" s="1"/>
  <c r="D36" i="4" s="1"/>
  <c r="E33" i="3" a="1"/>
  <c r="E33" i="3" s="1"/>
  <c r="C33" i="3" a="1"/>
  <c r="C33" i="3" s="1"/>
  <c r="D33" i="3" a="1"/>
  <c r="D33" i="3" s="1"/>
  <c r="B33" i="3" a="1"/>
  <c r="B33" i="3" s="1"/>
  <c r="G33" i="3" a="1"/>
  <c r="G33" i="3" s="1"/>
  <c r="D37" i="4" s="1"/>
  <c r="C39" i="3" a="1"/>
  <c r="C39" i="3" s="1"/>
  <c r="F39" i="3" a="1"/>
  <c r="F39" i="3" s="1"/>
  <c r="G4" i="4" s="1"/>
  <c r="I39" i="3" a="1"/>
  <c r="I39" i="3" s="1"/>
  <c r="G7" i="4" s="1"/>
  <c r="J39" i="3" a="1"/>
  <c r="J39" i="3" s="1"/>
  <c r="H39" i="3" a="1"/>
  <c r="H39" i="3" s="1"/>
  <c r="G6" i="4" s="1"/>
  <c r="E39" i="3" a="1"/>
  <c r="E39" i="3" s="1"/>
  <c r="D39" i="3" a="1"/>
  <c r="D39" i="3" s="1"/>
  <c r="B39" i="3" a="1"/>
  <c r="B39" i="3" s="1"/>
  <c r="G39" i="3" a="1"/>
  <c r="G39" i="3" s="1"/>
  <c r="G5" i="4" s="1"/>
  <c r="G2" i="5"/>
  <c r="I15" i="3" s="1" a="1"/>
  <c r="I15" i="3" s="1"/>
  <c r="C39" i="4" s="1"/>
  <c r="J15" i="3" a="1"/>
  <c r="J15" i="3" s="1"/>
  <c r="C15" i="3" a="1"/>
  <c r="C15" i="3" s="1"/>
  <c r="G15" i="3" a="1"/>
  <c r="G15" i="3" s="1"/>
  <c r="C37" i="4" s="1"/>
  <c r="D15" i="3" a="1"/>
  <c r="D15" i="3" s="1"/>
  <c r="F15" i="3" a="1"/>
  <c r="F15" i="3" s="1"/>
  <c r="C36" i="4" s="1"/>
  <c r="H15" i="3" a="1"/>
  <c r="H15" i="3" s="1"/>
  <c r="C38" i="4" s="1"/>
  <c r="E15" i="3" a="1"/>
  <c r="E15" i="3" s="1"/>
  <c r="B15" i="3" a="1"/>
  <c r="B15" i="3" s="1"/>
  <c r="J5" i="3" a="1"/>
  <c r="J5" i="3" s="1"/>
  <c r="D5" i="3" a="1"/>
  <c r="D5" i="3" s="1"/>
  <c r="E5" i="3" a="1"/>
  <c r="E5" i="3" s="1"/>
  <c r="F5" i="3" a="1"/>
  <c r="F5" i="3" s="1"/>
  <c r="B5" i="3" a="1"/>
  <c r="B5" i="3" s="1"/>
  <c r="I5" i="3" a="1"/>
  <c r="I5" i="3" s="1"/>
  <c r="G5" i="3" a="1"/>
  <c r="G5" i="3" s="1"/>
  <c r="H5" i="3" a="1"/>
  <c r="H5" i="3" s="1"/>
  <c r="C5" i="3" a="1"/>
  <c r="C5" i="3" s="1"/>
  <c r="E59" i="3" a="1"/>
  <c r="E59" i="3" s="1"/>
  <c r="F59" i="3" a="1"/>
  <c r="F59" i="3" s="1"/>
  <c r="J59" i="3" a="1"/>
  <c r="J59" i="3" s="1"/>
  <c r="I59" i="3" a="1"/>
  <c r="I59" i="3" s="1"/>
  <c r="G59" i="3" a="1"/>
  <c r="G59" i="3" s="1"/>
  <c r="C59" i="3" a="1"/>
  <c r="C59" i="3" s="1"/>
  <c r="D59" i="3" a="1"/>
  <c r="D59" i="3" s="1"/>
  <c r="B59" i="3" a="1"/>
  <c r="B59" i="3" s="1"/>
  <c r="H59" i="3" a="1"/>
  <c r="H59" i="3" s="1"/>
  <c r="J50" i="3" a="1"/>
  <c r="J50" i="3" s="1"/>
  <c r="J53" i="3" a="1"/>
  <c r="J53" i="3" s="1"/>
  <c r="E73" i="4" s="1"/>
  <c r="B53" i="3" a="1"/>
  <c r="B53" i="3" s="1"/>
  <c r="D53" i="3" a="1"/>
  <c r="D53" i="3" s="1"/>
  <c r="E50" i="3" a="1"/>
  <c r="E50" i="3" s="1"/>
  <c r="G50" i="3" a="1"/>
  <c r="G50" i="3" s="1"/>
  <c r="I67" i="4" s="1"/>
  <c r="C53" i="3" a="1"/>
  <c r="C53" i="3" s="1"/>
  <c r="F50" i="3" a="1"/>
  <c r="F50" i="3" s="1"/>
  <c r="I66" i="4" s="1"/>
  <c r="C50" i="3" a="1"/>
  <c r="C50" i="3" s="1"/>
  <c r="H53" i="3" a="1"/>
  <c r="H53" i="3" s="1"/>
  <c r="I53" i="3" a="1"/>
  <c r="I53" i="3" s="1"/>
  <c r="B50" i="3" a="1"/>
  <c r="B50" i="3" s="1"/>
  <c r="F53" i="3" a="1"/>
  <c r="F53" i="3" s="1"/>
  <c r="G53" i="3" a="1"/>
  <c r="G53" i="3" s="1"/>
  <c r="I50" i="3" a="1"/>
  <c r="I50" i="3" s="1"/>
  <c r="I69" i="4" s="1"/>
  <c r="E53" i="3" a="1"/>
  <c r="E53" i="3" s="1"/>
  <c r="D50" i="3" a="1"/>
  <c r="D50" i="3" s="1"/>
  <c r="G52" i="3" a="1"/>
  <c r="G52" i="3" s="1"/>
  <c r="J52" i="3" a="1"/>
  <c r="J52" i="3" s="1"/>
  <c r="I73" i="4" s="1"/>
  <c r="I52" i="3" a="1"/>
  <c r="I52" i="3" s="1"/>
  <c r="E52" i="3" a="1"/>
  <c r="E52" i="3" s="1"/>
  <c r="H52" i="3" a="1"/>
  <c r="H52" i="3" s="1"/>
  <c r="F52" i="3" a="1"/>
  <c r="F52" i="3" s="1"/>
  <c r="C52" i="3" a="1"/>
  <c r="C52" i="3" s="1"/>
  <c r="D52" i="3" a="1"/>
  <c r="D52" i="3" s="1"/>
  <c r="H70" i="3" a="1"/>
  <c r="H70" i="3" s="1"/>
  <c r="J3" i="3" a="1"/>
  <c r="J3" i="3" s="1"/>
  <c r="I3" i="3" a="1"/>
  <c r="I3" i="3" s="1"/>
  <c r="C7" i="4" s="1"/>
  <c r="E3" i="3" a="1"/>
  <c r="E3" i="3" s="1"/>
  <c r="B3" i="3" a="1"/>
  <c r="B3" i="3" s="1"/>
  <c r="F3" i="3" a="1"/>
  <c r="F3" i="3" s="1"/>
  <c r="C4" i="4" s="1"/>
  <c r="G3" i="3" a="1"/>
  <c r="G3" i="3" s="1"/>
  <c r="C5" i="4" s="1"/>
  <c r="C3" i="3" a="1"/>
  <c r="C3" i="3" s="1"/>
  <c r="H3" i="3" a="1"/>
  <c r="H3" i="3" s="1"/>
  <c r="C6" i="4" s="1"/>
  <c r="F17" i="3" a="1"/>
  <c r="F17" i="3" s="1"/>
  <c r="I14" i="3" a="1"/>
  <c r="I14" i="3" s="1"/>
  <c r="G69" i="4" s="1"/>
  <c r="J14" i="3" a="1"/>
  <c r="J14" i="3" s="1"/>
  <c r="I17" i="3" a="1"/>
  <c r="I17" i="3" s="1"/>
  <c r="J17" i="3" a="1"/>
  <c r="J17" i="3" s="1"/>
  <c r="C73" i="4" s="1"/>
  <c r="D14" i="3" a="1"/>
  <c r="D14" i="3" s="1"/>
  <c r="C14" i="3" a="1"/>
  <c r="C14" i="3" s="1"/>
  <c r="B17" i="3" a="1"/>
  <c r="B17" i="3" s="1"/>
  <c r="E14" i="3" a="1"/>
  <c r="E14" i="3" s="1"/>
  <c r="B14" i="3" a="1"/>
  <c r="B14" i="3" s="1"/>
  <c r="H17" i="3" a="1"/>
  <c r="H17" i="3" s="1"/>
  <c r="G17" i="3" a="1"/>
  <c r="G17" i="3" s="1"/>
  <c r="D17" i="3" a="1"/>
  <c r="D17" i="3" s="1"/>
  <c r="G14" i="3" a="1"/>
  <c r="G14" i="3" s="1"/>
  <c r="G67" i="4" s="1"/>
  <c r="E17" i="3" a="1"/>
  <c r="E17" i="3" s="1"/>
  <c r="H14" i="3" a="1"/>
  <c r="H14" i="3" s="1"/>
  <c r="G68" i="4" s="1"/>
  <c r="D3" i="3" a="1"/>
  <c r="D3" i="3" s="1"/>
  <c r="E71" i="3" a="1"/>
  <c r="E71" i="3" s="1"/>
  <c r="C71" i="3" a="1"/>
  <c r="C71" i="3" s="1"/>
  <c r="H68" i="3" a="1"/>
  <c r="H68" i="3" s="1"/>
  <c r="J68" i="4" s="1"/>
  <c r="F68" i="3" a="1"/>
  <c r="F68" i="3" s="1"/>
  <c r="F71" i="3" a="1"/>
  <c r="F71" i="3" s="1"/>
  <c r="I68" i="3" a="1"/>
  <c r="I68" i="3" s="1"/>
  <c r="J68" i="3" a="1"/>
  <c r="J68" i="3" s="1"/>
  <c r="H71" i="3" a="1"/>
  <c r="H71" i="3" s="1"/>
  <c r="I71" i="3" a="1"/>
  <c r="I71" i="3" s="1"/>
  <c r="J71" i="3" a="1"/>
  <c r="J71" i="3" s="1"/>
  <c r="F73" i="4" s="1"/>
  <c r="D71" i="3" a="1"/>
  <c r="D71" i="3" s="1"/>
  <c r="B71" i="3" a="1"/>
  <c r="B71" i="3" s="1"/>
  <c r="G68" i="3" a="1"/>
  <c r="G68" i="3" s="1"/>
  <c r="J67" i="4" s="1"/>
  <c r="E68" i="3" a="1"/>
  <c r="E68" i="3" s="1"/>
  <c r="D68" i="3" a="1"/>
  <c r="D68" i="3" s="1"/>
  <c r="C68" i="3" a="1"/>
  <c r="C68" i="3" s="1"/>
  <c r="G71" i="3" a="1"/>
  <c r="G71" i="3" s="1"/>
  <c r="I70" i="3" a="1"/>
  <c r="I70" i="3" s="1"/>
  <c r="J70" i="3" a="1"/>
  <c r="J70" i="3" s="1"/>
  <c r="J73" i="4" s="1"/>
  <c r="B70" i="3" a="1"/>
  <c r="B70" i="3" s="1"/>
  <c r="E70" i="3" a="1"/>
  <c r="E70" i="3" s="1"/>
  <c r="F70" i="3" a="1"/>
  <c r="F70" i="3" s="1"/>
  <c r="C70" i="3" a="1"/>
  <c r="C70" i="3" s="1"/>
  <c r="G70" i="3" a="1"/>
  <c r="G70" i="3" s="1"/>
  <c r="D70" i="3" a="1"/>
  <c r="D70" i="3" s="1"/>
  <c r="I16" i="3" a="1"/>
  <c r="I16" i="3" s="1"/>
  <c r="B26" i="3" a="1"/>
  <c r="B26" i="3" s="1"/>
  <c r="D69" i="3" a="1"/>
  <c r="D69" i="3" s="1"/>
  <c r="D30" i="4"/>
  <c r="H38" i="4" s="1"/>
  <c r="D31" i="4"/>
  <c r="H39" i="4" s="1"/>
  <c r="D21" i="4"/>
  <c r="D28" i="4" s="1"/>
  <c r="H36" i="4" s="1"/>
  <c r="D29" i="4"/>
  <c r="H37" i="4" s="1"/>
  <c r="D16" i="3" a="1"/>
  <c r="D16" i="3" s="1"/>
  <c r="E16" i="3" a="1"/>
  <c r="E16" i="3" s="1"/>
  <c r="F30" i="4"/>
  <c r="J38" i="4" s="1"/>
  <c r="F31" i="4"/>
  <c r="J39" i="4" s="1"/>
  <c r="F21" i="4"/>
  <c r="F28" i="4" s="1"/>
  <c r="J36" i="4" s="1"/>
  <c r="F29" i="4"/>
  <c r="J37" i="4" s="1"/>
  <c r="S7" i="5"/>
  <c r="F69" i="3" a="1"/>
  <c r="F69" i="3" s="1"/>
  <c r="F36" i="4" s="1"/>
  <c r="I69" i="3" a="1"/>
  <c r="I69" i="3" s="1"/>
  <c r="F39" i="4" s="1"/>
  <c r="J69" i="3" a="1"/>
  <c r="J69" i="3" s="1"/>
  <c r="B69" i="3" a="1"/>
  <c r="B69" i="3" s="1"/>
  <c r="C69" i="3" a="1"/>
  <c r="C69" i="3" s="1"/>
  <c r="G69" i="3" a="1"/>
  <c r="G69" i="3" s="1"/>
  <c r="F37" i="4" s="1"/>
  <c r="E30" i="4"/>
  <c r="I38" i="4" s="1"/>
  <c r="E31" i="4"/>
  <c r="I39" i="4" s="1"/>
  <c r="E21" i="4"/>
  <c r="E28" i="4" s="1"/>
  <c r="I36" i="4" s="1"/>
  <c r="E29" i="4"/>
  <c r="I37" i="4" s="1"/>
  <c r="H16" i="3" a="1"/>
  <c r="H16" i="3" s="1"/>
  <c r="B44" i="3" a="1"/>
  <c r="B44" i="3" s="1"/>
  <c r="H69" i="3" a="1"/>
  <c r="H69" i="3" s="1"/>
  <c r="F38" i="4" s="1"/>
  <c r="C21" i="4" a="1"/>
  <c r="B8" i="3" a="1"/>
  <c r="B8" i="3" s="1"/>
  <c r="C16" i="3" a="1"/>
  <c r="C16" i="3" s="1"/>
  <c r="F16" i="3" a="1"/>
  <c r="F16" i="3" s="1"/>
  <c r="J16" i="3" a="1"/>
  <c r="J16" i="3" s="1"/>
  <c r="G73" i="4" s="1"/>
  <c r="G16" i="3" a="1"/>
  <c r="G16" i="3" s="1"/>
  <c r="J66" i="4" l="1"/>
  <c r="J69" i="4"/>
  <c r="C30" i="4"/>
  <c r="G38" i="4" s="1"/>
  <c r="C31" i="4"/>
  <c r="G39" i="4" s="1"/>
  <c r="C21" i="4"/>
  <c r="C28" i="4" s="1"/>
  <c r="G36" i="4" s="1"/>
  <c r="C29" i="4"/>
  <c r="G37" i="4" s="1"/>
  <c r="N16" i="1"/>
  <c r="N14" i="1"/>
  <c r="N12" i="1"/>
  <c r="N17" i="1"/>
  <c r="N10" i="1"/>
  <c r="N19" i="1"/>
  <c r="N15" i="1"/>
  <c r="N11" i="1"/>
  <c r="N13" i="1"/>
  <c r="N18" i="1"/>
  <c r="N8" i="1"/>
  <c r="N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B1" authorId="0" shapeId="0" xr:uid="{C551FDA4-8C9B-2847-ACCA-C6A66627EF97}">
      <text>
        <r>
          <rPr>
            <b/>
            <sz val="10"/>
            <color rgb="FF000000"/>
            <rFont val="Tahoma"/>
            <family val="2"/>
          </rPr>
          <t>Microsoft Office User: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our company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B1" authorId="0" shapeId="0" xr:uid="{96FA6458-D468-F14C-AA09-8B4008279BEF}">
      <text>
        <r>
          <rPr>
            <b/>
            <sz val="10"/>
            <color rgb="FF000000"/>
            <rFont val="Tahoma"/>
            <family val="2"/>
          </rPr>
          <t>Microsoft Office User: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Download the target price from online. Only change columns A and B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<sst xmlns="http://schemas.openxmlformats.org/spreadsheetml/2006/main" count="267" uniqueCount="124">
  <si>
    <t>Main Target</t>
  </si>
  <si>
    <t>Update Main Target</t>
  </si>
  <si>
    <t>Update Benchmark #1</t>
  </si>
  <si>
    <t>Comparable #1</t>
  </si>
  <si>
    <t>Comparable #2</t>
  </si>
  <si>
    <t>Comparable #3</t>
  </si>
  <si>
    <t>Benchmark #1</t>
  </si>
  <si>
    <t>Update Comparable #1</t>
  </si>
  <si>
    <t>Update Benchmark #2</t>
  </si>
  <si>
    <t>Benchmark #2</t>
  </si>
  <si>
    <t>Date Marker</t>
  </si>
  <si>
    <t>Date Value</t>
  </si>
  <si>
    <t>Annualized Value</t>
  </si>
  <si>
    <t>Date of Data Extract</t>
  </si>
  <si>
    <t>Update Comparable #2</t>
  </si>
  <si>
    <t>Update All Extracts</t>
  </si>
  <si>
    <t>YTD Marker</t>
  </si>
  <si>
    <t>1 Month</t>
  </si>
  <si>
    <t>3 Month</t>
  </si>
  <si>
    <t>6 Month</t>
  </si>
  <si>
    <t>Update Comparable #3</t>
  </si>
  <si>
    <t>1 Year</t>
  </si>
  <si>
    <t>2 Year</t>
  </si>
  <si>
    <t>3 Year</t>
  </si>
  <si>
    <t>5 Year</t>
  </si>
  <si>
    <t>Period</t>
  </si>
  <si>
    <t>Cumulative</t>
  </si>
  <si>
    <t>Standard Deviation</t>
  </si>
  <si>
    <t>Average Returns</t>
  </si>
  <si>
    <t>Sharpe Ratio</t>
    <phoneticPr fontId="8" type="noConversion"/>
  </si>
  <si>
    <t>RF</t>
    <phoneticPr fontId="8" type="noConversion"/>
  </si>
  <si>
    <t>Kurtosis</t>
  </si>
  <si>
    <t>Skewness</t>
  </si>
  <si>
    <t>Average Drawdown Per Share</t>
  </si>
  <si>
    <t>Average Drawdown By Percentage</t>
    <phoneticPr fontId="8" type="noConversion"/>
  </si>
  <si>
    <t>Max Drawdown</t>
    <phoneticPr fontId="8" type="noConversion"/>
  </si>
  <si>
    <t>Drawdown Recovery in Days</t>
  </si>
  <si>
    <t>Since Inception</t>
  </si>
  <si>
    <t>MFC</t>
  </si>
  <si>
    <t>SLF</t>
  </si>
  <si>
    <t>NA</t>
  </si>
  <si>
    <t>GWO</t>
  </si>
  <si>
    <t>Target Dates</t>
  </si>
  <si>
    <t>Target Output</t>
  </si>
  <si>
    <t>Metric</t>
  </si>
  <si>
    <t>YTD</t>
  </si>
  <si>
    <t>Geometric Mean of Fund Return (Annualized)</t>
  </si>
  <si>
    <t>Median Fund Return</t>
  </si>
  <si>
    <t>Cumulative Returns (Fund)</t>
  </si>
  <si>
    <t>Standard Deviation (Annualized)</t>
  </si>
  <si>
    <t>Minimum</t>
  </si>
  <si>
    <t>Maximum</t>
  </si>
  <si>
    <t xml:space="preserve">Average Drawdown Per Share </t>
  </si>
  <si>
    <t>Average Drawdown by Percentage</t>
  </si>
  <si>
    <t>Information Ratio</t>
  </si>
  <si>
    <t>Length of Drawdown</t>
  </si>
  <si>
    <t>Maximum Drawdown</t>
  </si>
  <si>
    <t>Comparable #1 Output</t>
  </si>
  <si>
    <t>Comparable #2 Output</t>
  </si>
  <si>
    <t>Comparable #3 Output</t>
  </si>
  <si>
    <t>Target Price</t>
  </si>
  <si>
    <t>Target Return</t>
  </si>
  <si>
    <t>Target Geodummy</t>
  </si>
  <si>
    <t>Target Drawdown</t>
  </si>
  <si>
    <t>Taget Drawdown Recovery Length</t>
  </si>
  <si>
    <t>Target Drawdown Recovery</t>
  </si>
  <si>
    <t>Target Date Check</t>
  </si>
  <si>
    <t>Column2</t>
  </si>
  <si>
    <t xml:space="preserve">Target </t>
    <phoneticPr fontId="1" type="noConversion"/>
  </si>
  <si>
    <t>Benchmark #1 Dates</t>
  </si>
  <si>
    <t>Benchmark #1 Price</t>
  </si>
  <si>
    <t>Benchmark #1 Return</t>
  </si>
  <si>
    <t>Difference of Target and Benchmark #1 Returns</t>
  </si>
  <si>
    <t>Comparable #1 Date Check</t>
  </si>
  <si>
    <t>Comparable #1 Price</t>
  </si>
  <si>
    <t>Comparable #1 Return</t>
  </si>
  <si>
    <t>Difference of Comparable #1 and Benchmark #1 Returns</t>
  </si>
  <si>
    <t>Comparable #2 Date Check</t>
  </si>
  <si>
    <t>Comparable #2 Price</t>
  </si>
  <si>
    <t>Comparable #2 Return</t>
  </si>
  <si>
    <t>Difference of Comparable #2 and Benchmark #1 Returns</t>
  </si>
  <si>
    <t>Comparable #3 Date Check</t>
  </si>
  <si>
    <t>Comparable #3 Price</t>
  </si>
  <si>
    <t>Comparable #3 Return</t>
  </si>
  <si>
    <t>Difference of Comparable #3 and Benchmark #1 Returns</t>
  </si>
  <si>
    <t>Benchmark #2 Dates</t>
  </si>
  <si>
    <t>Benchmark #2 Price</t>
  </si>
  <si>
    <t>Benchmark #2 Return</t>
  </si>
  <si>
    <t>Comparable #1 Dates</t>
  </si>
  <si>
    <t>Comparable #1 Geodummy</t>
  </si>
  <si>
    <t>Comparable #1 Drawdown</t>
  </si>
  <si>
    <t>Comparable #1 Drawdown Recovery Length</t>
  </si>
  <si>
    <t>Comparable #1 Drawdown Recovery2</t>
  </si>
  <si>
    <t>Comp 1</t>
    <phoneticPr fontId="8" type="noConversion"/>
  </si>
  <si>
    <t>Comparable #2 Dates</t>
  </si>
  <si>
    <t>Comparable #2 Geodummy</t>
  </si>
  <si>
    <t>Comparable #2 Drawdown</t>
  </si>
  <si>
    <t>Comparable #2 Drawdown Recovery Length</t>
  </si>
  <si>
    <t>Comparable #2 Drawdown Recovery2</t>
  </si>
  <si>
    <t>Comp 2</t>
    <phoneticPr fontId="8" type="noConversion"/>
  </si>
  <si>
    <t>Comparable #3 Dates</t>
  </si>
  <si>
    <t>Comparable #3 Geodummy</t>
  </si>
  <si>
    <t>Comparable #3 Drawdown</t>
  </si>
  <si>
    <t>Comparable #3 Drawdown Recovery Length</t>
  </si>
  <si>
    <t>Comparable #3 Drawdown Recovery2</t>
  </si>
  <si>
    <t>Comp 3</t>
    <phoneticPr fontId="8" type="noConversion"/>
  </si>
  <si>
    <t xml:space="preserve">Stride, Inc.  </t>
  </si>
  <si>
    <t>LRN</t>
  </si>
  <si>
    <t>S&amp;P 500</t>
  </si>
  <si>
    <t xml:space="preserve">Strategic Education, Inc. </t>
  </si>
  <si>
    <t>STRA</t>
  </si>
  <si>
    <t>^GSPC</t>
  </si>
  <si>
    <t xml:space="preserve">Adtalem Global Education Inc. </t>
  </si>
  <si>
    <t>ATGE</t>
  </si>
  <si>
    <t xml:space="preserve">Laureate Education, Inc. </t>
  </si>
  <si>
    <t>NasdaqGS:LAUR</t>
  </si>
  <si>
    <t xml:space="preserve">NYSE Composite Index </t>
  </si>
  <si>
    <t xml:space="preserve">(^NYA) </t>
  </si>
  <si>
    <t>3 comparables ad 2 benchmarks</t>
  </si>
  <si>
    <t>similar market size in the same region</t>
  </si>
  <si>
    <t>D/E ratio similarity</t>
  </si>
  <si>
    <t>market related index. Should reflect the trend of the market</t>
  </si>
  <si>
    <t>should reflect the industry.</t>
  </si>
  <si>
    <t>= todays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</si>
</sst>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0">
    <numFmt numFmtId="8" formatCode="&quot;$&quot;#,##0.00;[Red]\-&quot;$&quot;#,##0.00"/>
    <numFmt numFmtId="44" formatCode="_-&quot;$&quot;* #,##0.00_-;\-&quot;$&quot;* #,##0.00_-;_-&quot;$&quot;* &quot;-&quot;??_-;_-@_-"/>
    <numFmt numFmtId="164" formatCode="&quot;$&quot;#,##0.00_);[Red]\(&quot;$&quot;#,##0.00\)"/>
    <numFmt numFmtId="165" formatCode="_(&quot;$&quot;* #,##0.00_);_(&quot;$&quot;* \(#,##0.00\);_(&quot;$&quot;* &quot;-&quot;??_);_(@_)"/>
    <numFmt numFmtId="166" formatCode="0.000%"/>
    <numFmt numFmtId="167" formatCode="0.000"/>
    <numFmt numFmtId="168" formatCode="[$-409]mmm\-dd\-yyyy;@"/>
    <numFmt numFmtId="169" formatCode="0.00_);[Red]\(0.00\)"/>
    <numFmt numFmtId="170" formatCode="&quot;$&quot;#,##0.00"/>
    <numFmt numFmtId="171" formatCode="0_);[Red]\(0\)"/>
  </numFmts>
  <fonts count="14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0"/>
      <name val="Calibri Light"/>
      <family val="2"/>
      <scheme val="major"/>
    </font>
    <font>
      <b/>
      <sz val="12"/>
      <color theme="0"/>
      <name val="Calibri Light"/>
      <family val="2"/>
      <scheme val="major"/>
    </font>
    <font>
      <sz val="9"/>
      <name val="Calibri"/>
      <family val="3"/>
      <charset val="136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sz val="11"/>
      <color rgb="FF000000"/>
      <name val="Roboto Light"/>
    </font>
  </fonts>
  <fills count="9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89999084444715716"/>
        <bgColor indexed="64"/>
      </patternFill>
    </fill>
    <fill>
      <patternFill patternType="solid">
        <fgColor theme="1" tint="0.749992370372631"/>
        <bgColor indexed="64"/>
      </patternFill>
    </fill>
    <fill>
      <patternFill patternType="solid">
        <fgColor rgb="FFFFFF00"/>
        <bgColor indexed="64"/>
      </patternFill>
    </fill>
  </fills>
  <borders count="39">
    <border>
      <left/>
      <right/>
      <top/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thin">
        <color theme="1" tint="0.749961851863155"/>
      </right>
      <top style="medium">
        <color theme="1"/>
      </top>
      <bottom style="thin">
        <color theme="1" tint="0.749961851863155"/>
      </bottom>
      <diagonal/>
    </border>
    <border>
      <left style="thin">
        <color theme="1" tint="0.749961851863155"/>
      </left>
      <right style="thin">
        <color theme="1" tint="0.749961851863155"/>
      </right>
      <top style="medium">
        <color theme="1"/>
      </top>
      <bottom style="thin">
        <color theme="1" tint="0.749961851863155"/>
      </bottom>
      <diagonal/>
    </border>
    <border>
      <left style="thin">
        <color theme="1" tint="0.749961851863155"/>
      </left>
      <right style="medium">
        <color theme="1"/>
      </right>
      <top style="medium">
        <color theme="1"/>
      </top>
      <bottom style="thin">
        <color theme="1" tint="0.749961851863155"/>
      </bottom>
      <diagonal/>
    </border>
    <border>
      <left style="medium">
        <color theme="1"/>
      </left>
      <right style="thin">
        <color theme="1" tint="0.749961851863155"/>
      </right>
      <top style="thin">
        <color theme="1" tint="0.749961851863155"/>
      </top>
      <bottom style="thin">
        <color theme="1" tint="0.749961851863155"/>
      </bottom>
      <diagonal/>
    </border>
    <border>
      <left style="thin">
        <color theme="1" tint="0.749961851863155"/>
      </left>
      <right style="thin">
        <color theme="1" tint="0.749961851863155"/>
      </right>
      <top style="thin">
        <color theme="1" tint="0.749961851863155"/>
      </top>
      <bottom style="thin">
        <color theme="1" tint="0.749961851863155"/>
      </bottom>
      <diagonal/>
    </border>
    <border>
      <left style="thin">
        <color theme="1" tint="0.749961851863155"/>
      </left>
      <right style="medium">
        <color theme="1"/>
      </right>
      <top style="thin">
        <color theme="1" tint="0.749961851863155"/>
      </top>
      <bottom style="thin">
        <color theme="1" tint="0.749961851863155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thin">
        <color theme="1" tint="0.749961851863155"/>
      </bottom>
      <diagonal/>
    </border>
    <border>
      <left style="medium">
        <color theme="1"/>
      </left>
      <right style="medium">
        <color theme="1"/>
      </right>
      <top style="thin">
        <color theme="1" tint="0.749961851863155"/>
      </top>
      <bottom style="thin">
        <color theme="1" tint="0.749961851863155"/>
      </bottom>
      <diagonal/>
    </border>
    <border>
      <left style="thin">
        <color theme="1" tint="0.89996032593768116"/>
      </left>
      <right style="thin">
        <color theme="1" tint="0.89996032593768116"/>
      </right>
      <top style="thin">
        <color theme="1" tint="0.89996032593768116"/>
      </top>
      <bottom style="thin">
        <color theme="1" tint="0.89996032593768116"/>
      </bottom>
      <diagonal/>
    </border>
    <border>
      <left style="thin">
        <color theme="1"/>
      </left>
      <right style="thin">
        <color theme="1" tint="0.89996032593768116"/>
      </right>
      <top style="thin">
        <color theme="1"/>
      </top>
      <bottom style="thin">
        <color theme="1" tint="0.89996032593768116"/>
      </bottom>
      <diagonal/>
    </border>
    <border>
      <left style="thin">
        <color theme="1" tint="0.89996032593768116"/>
      </left>
      <right style="thin">
        <color theme="1" tint="0.89996032593768116"/>
      </right>
      <top style="thin">
        <color theme="1"/>
      </top>
      <bottom style="thin">
        <color theme="1" tint="0.89996032593768116"/>
      </bottom>
      <diagonal/>
    </border>
    <border>
      <left style="thin">
        <color theme="1" tint="0.89996032593768116"/>
      </left>
      <right style="thin">
        <color theme="1"/>
      </right>
      <top style="thin">
        <color theme="1"/>
      </top>
      <bottom style="thin">
        <color theme="1" tint="0.89996032593768116"/>
      </bottom>
      <diagonal/>
    </border>
    <border>
      <left style="thin">
        <color theme="1"/>
      </left>
      <right style="thin">
        <color theme="1" tint="0.89996032593768116"/>
      </right>
      <top style="thin">
        <color theme="1" tint="0.89996032593768116"/>
      </top>
      <bottom style="thin">
        <color theme="1" tint="0.89996032593768116"/>
      </bottom>
      <diagonal/>
    </border>
    <border>
      <left style="thin">
        <color theme="1" tint="0.89996032593768116"/>
      </left>
      <right style="thin">
        <color theme="1"/>
      </right>
      <top style="thin">
        <color theme="1" tint="0.89996032593768116"/>
      </top>
      <bottom style="thin">
        <color theme="1" tint="0.89996032593768116"/>
      </bottom>
      <diagonal/>
    </border>
    <border>
      <left style="thin">
        <color theme="1"/>
      </left>
      <right style="thin">
        <color theme="1" tint="0.89996032593768116"/>
      </right>
      <top style="thin">
        <color theme="1" tint="0.89996032593768116"/>
      </top>
      <bottom style="thin">
        <color theme="1"/>
      </bottom>
      <diagonal/>
    </border>
    <border>
      <left style="thin">
        <color theme="1" tint="0.89996032593768116"/>
      </left>
      <right style="thin">
        <color theme="1" tint="0.89996032593768116"/>
      </right>
      <top style="thin">
        <color theme="1" tint="0.89996032593768116"/>
      </top>
      <bottom style="thin">
        <color theme="1"/>
      </bottom>
      <diagonal/>
    </border>
    <border>
      <left style="thin">
        <color theme="1" tint="0.89996032593768116"/>
      </left>
      <right style="thin">
        <color theme="1"/>
      </right>
      <top style="thin">
        <color theme="1" tint="0.89996032593768116"/>
      </top>
      <bottom style="thin">
        <color theme="1"/>
      </bottom>
      <diagonal/>
    </border>
    <border>
      <left/>
      <right style="thin">
        <color theme="1" tint="0.89996032593768116"/>
      </right>
      <top style="thin">
        <color theme="1"/>
      </top>
      <bottom style="thin">
        <color theme="1" tint="0.89996032593768116"/>
      </bottom>
      <diagonal/>
    </border>
    <border>
      <left style="thin">
        <color theme="3" tint="0.59996337778862885"/>
      </left>
      <right style="thin">
        <color theme="3" tint="0.59996337778862885"/>
      </right>
      <top style="thin">
        <color theme="3" tint="0.59996337778862885"/>
      </top>
      <bottom style="thin">
        <color theme="3" tint="0.59996337778862885"/>
      </bottom>
      <diagonal/>
    </border>
    <border>
      <left/>
      <right style="thin">
        <color theme="1" tint="0.89996032593768116"/>
      </right>
      <top style="thin">
        <color theme="1" tint="0.89996032593768116"/>
      </top>
      <bottom style="thin">
        <color theme="1" tint="0.89996032593768116"/>
      </bottom>
      <diagonal/>
    </border>
    <border>
      <left/>
      <right style="thin">
        <color theme="1" tint="0.89996032593768116"/>
      </right>
      <top style="thin">
        <color theme="1" tint="0.89996032593768116"/>
      </top>
      <bottom style="thin">
        <color theme="1"/>
      </bottom>
      <diagonal/>
    </border>
    <border>
      <left style="thin">
        <color theme="1" tint="0.89996032593768116"/>
      </left>
      <right style="thin">
        <color theme="1" tint="0.89992980742820516"/>
      </right>
      <top style="thin">
        <color theme="1"/>
      </top>
      <bottom style="thin">
        <color theme="1" tint="0.89996032593768116"/>
      </bottom>
      <diagonal/>
    </border>
    <border>
      <left style="thin">
        <color theme="1" tint="0.89996032593768116"/>
      </left>
      <right style="thin">
        <color theme="1" tint="0.89992980742820516"/>
      </right>
      <top style="thin">
        <color theme="1" tint="0.89996032593768116"/>
      </top>
      <bottom style="thin">
        <color theme="1" tint="0.89996032593768116"/>
      </bottom>
      <diagonal/>
    </border>
    <border>
      <left style="thin">
        <color theme="1" tint="0.89996032593768116"/>
      </left>
      <right style="thin">
        <color theme="1" tint="0.89992980742820516"/>
      </right>
      <top style="thin">
        <color theme="1" tint="0.89996032593768116"/>
      </top>
      <bottom style="thin">
        <color theme="1"/>
      </bottom>
      <diagonal/>
    </border>
    <border>
      <left style="thin">
        <color theme="1" tint="0.89996032593768116"/>
      </left>
      <right/>
      <top/>
      <bottom style="thin">
        <color theme="1" tint="0.89996032593768116"/>
      </bottom>
      <diagonal/>
    </border>
    <border>
      <left/>
      <right/>
      <top/>
      <bottom style="thin">
        <color theme="1" tint="0.89996032593768116"/>
      </bottom>
      <diagonal/>
    </border>
    <border>
      <left/>
      <right style="thin">
        <color theme="1" tint="0.89996032593768116"/>
      </right>
      <top/>
      <bottom style="thin">
        <color theme="1" tint="0.89996032593768116"/>
      </bottom>
      <diagonal/>
    </border>
    <border>
      <left/>
      <right style="thin">
        <color theme="1"/>
      </right>
      <top style="thin">
        <color theme="1" tint="0.89996032593768116"/>
      </top>
      <bottom style="thin">
        <color theme="1" tint="0.89996032593768116"/>
      </bottom>
      <diagonal/>
    </border>
    <border>
      <left/>
      <right style="thin">
        <color theme="1"/>
      </right>
      <top style="thin">
        <color theme="1" tint="0.89996032593768116"/>
      </top>
      <bottom style="thin">
        <color theme="1"/>
      </bottom>
      <diagonal/>
    </border>
    <border>
      <left style="thin">
        <color theme="1" tint="0.89996032593768116"/>
      </left>
      <right/>
      <top/>
      <bottom/>
      <diagonal/>
    </border>
    <border>
      <left style="thin">
        <color theme="0"/>
      </left>
      <right/>
      <top/>
      <bottom style="thin">
        <color theme="1" tint="0.89996032593768116"/>
      </bottom>
      <diagonal/>
    </border>
    <border>
      <left style="thin">
        <color theme="0"/>
      </left>
      <right style="thin">
        <color theme="1" tint="0.89996032593768116"/>
      </right>
      <top style="thin">
        <color theme="1" tint="0.89996032593768116"/>
      </top>
      <bottom style="thin">
        <color theme="1" tint="0.89996032593768116"/>
      </bottom>
      <diagonal/>
    </border>
    <border>
      <left style="thin">
        <color theme="1" tint="0.89996032593768116"/>
      </left>
      <right/>
      <top style="thin">
        <color theme="1" tint="0.89996032593768116"/>
      </top>
      <bottom style="thin">
        <color theme="1" tint="0.89996032593768116"/>
      </bottom>
      <diagonal/>
    </border>
    <border>
      <left style="thin">
        <color theme="1" tint="0.89996032593768116"/>
      </left>
      <right style="thin">
        <color theme="0"/>
      </right>
      <top style="thin">
        <color theme="1" tint="0.89996032593768116"/>
      </top>
      <bottom style="thin">
        <color theme="1" tint="0.89996032593768116"/>
      </bottom>
      <diagonal/>
    </border>
    <border>
      <left style="thin">
        <color theme="5"/>
      </left>
      <right style="thin">
        <color theme="5"/>
      </right>
      <top style="thin">
        <color theme="5"/>
      </top>
      <bottom style="medium">
        <color theme="5"/>
      </bottom>
      <diagonal/>
    </border>
    <border>
      <left style="thin">
        <color theme="1" tint="0.89996032593768116"/>
      </left>
      <right/>
      <top style="thin">
        <color theme="1" tint="0.89996032593768116"/>
      </top>
      <bottom/>
      <diagonal/>
    </border>
    <border>
      <left style="thin">
        <color theme="1" tint="0.89996032593768116"/>
      </left>
      <right style="thin">
        <color theme="1" tint="0.89996032593768116"/>
      </right>
      <top style="thin">
        <color theme="1" tint="0.89996032593768116"/>
      </top>
      <bottom/>
      <diagonal/>
    </border>
  </borders>
  <cellStyleXfs count="4">
    <xf numFmtId="0" fontId="0" fillId="0" borderId="0"/>
    <xf numFmtId="165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10" fillId="0" borderId="0">
      <alignment vertical="center"/>
    </xf>
  </cellStyleXfs>
  <cellXfs count="12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166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8" fontId="0" fillId="0" borderId="0" xfId="0" applyNumberFormat="1" applyAlignment="1">
      <alignment horizontal="center"/>
    </xf>
    <xf numFmtId="0" fontId="3" fillId="4" borderId="0" xfId="0" applyFont="1" applyFill="1" applyAlignment="1">
      <alignment horizontal="center" vertical="center" wrapText="1"/>
    </xf>
    <xf numFmtId="14" fontId="3" fillId="4" borderId="0" xfId="0" applyNumberFormat="1" applyFont="1" applyFill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6" borderId="5" xfId="0" applyFill="1" applyBorder="1"/>
    <xf numFmtId="0" fontId="0" fillId="6" borderId="6" xfId="0" applyFill="1" applyBorder="1"/>
    <xf numFmtId="0" fontId="0" fillId="6" borderId="7" xfId="0" applyFill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6" borderId="9" xfId="0" applyFill="1" applyBorder="1"/>
    <xf numFmtId="0" fontId="0" fillId="0" borderId="9" xfId="0" applyBorder="1"/>
    <xf numFmtId="10" fontId="0" fillId="0" borderId="0" xfId="0" applyNumberFormat="1" applyAlignment="1">
      <alignment horizontal="center"/>
    </xf>
    <xf numFmtId="0" fontId="0" fillId="0" borderId="0" xfId="0" applyAlignment="1">
      <alignment vertical="center"/>
    </xf>
    <xf numFmtId="0" fontId="2" fillId="4" borderId="10" xfId="0" applyFont="1" applyFill="1" applyBorder="1" applyAlignment="1">
      <alignment horizontal="center" vertical="center"/>
    </xf>
    <xf numFmtId="167" fontId="0" fillId="0" borderId="10" xfId="0" applyNumberFormat="1" applyBorder="1" applyAlignment="1">
      <alignment horizontal="center"/>
    </xf>
    <xf numFmtId="0" fontId="2" fillId="4" borderId="15" xfId="0" applyFont="1" applyFill="1" applyBorder="1" applyAlignment="1">
      <alignment horizontal="center" vertical="center"/>
    </xf>
    <xf numFmtId="0" fontId="2" fillId="5" borderId="14" xfId="0" applyFont="1" applyFill="1" applyBorder="1" applyAlignment="1">
      <alignment horizontal="center"/>
    </xf>
    <xf numFmtId="167" fontId="0" fillId="0" borderId="15" xfId="0" applyNumberFormat="1" applyBorder="1" applyAlignment="1">
      <alignment horizontal="center"/>
    </xf>
    <xf numFmtId="0" fontId="2" fillId="5" borderId="16" xfId="0" applyFont="1" applyFill="1" applyBorder="1" applyAlignment="1">
      <alignment horizontal="center"/>
    </xf>
    <xf numFmtId="167" fontId="0" fillId="7" borderId="10" xfId="0" applyNumberFormat="1" applyFill="1" applyBorder="1" applyAlignment="1">
      <alignment horizontal="center"/>
    </xf>
    <xf numFmtId="167" fontId="0" fillId="7" borderId="15" xfId="0" applyNumberFormat="1" applyFill="1" applyBorder="1" applyAlignment="1">
      <alignment horizontal="center"/>
    </xf>
    <xf numFmtId="167" fontId="0" fillId="7" borderId="17" xfId="0" applyNumberFormat="1" applyFill="1" applyBorder="1" applyAlignment="1">
      <alignment horizontal="center"/>
    </xf>
    <xf numFmtId="167" fontId="0" fillId="7" borderId="18" xfId="0" applyNumberFormat="1" applyFill="1" applyBorder="1" applyAlignment="1">
      <alignment horizontal="center"/>
    </xf>
    <xf numFmtId="10" fontId="0" fillId="0" borderId="10" xfId="0" applyNumberFormat="1" applyBorder="1" applyAlignment="1">
      <alignment horizontal="center"/>
    </xf>
    <xf numFmtId="10" fontId="0" fillId="7" borderId="10" xfId="0" applyNumberFormat="1" applyFill="1" applyBorder="1" applyAlignment="1">
      <alignment horizontal="center"/>
    </xf>
    <xf numFmtId="10" fontId="0" fillId="7" borderId="17" xfId="0" applyNumberFormat="1" applyFill="1" applyBorder="1" applyAlignment="1">
      <alignment horizontal="center"/>
    </xf>
    <xf numFmtId="0" fontId="0" fillId="0" borderId="0" xfId="0" quotePrefix="1"/>
    <xf numFmtId="10" fontId="0" fillId="0" borderId="10" xfId="0" quotePrefix="1" applyNumberFormat="1" applyBorder="1" applyAlignment="1">
      <alignment horizontal="center"/>
    </xf>
    <xf numFmtId="167" fontId="0" fillId="0" borderId="10" xfId="0" quotePrefix="1" applyNumberFormat="1" applyBorder="1" applyAlignment="1">
      <alignment horizontal="center"/>
    </xf>
    <xf numFmtId="0" fontId="3" fillId="3" borderId="20" xfId="0" applyFont="1" applyFill="1" applyBorder="1"/>
    <xf numFmtId="0" fontId="0" fillId="0" borderId="20" xfId="0" applyBorder="1"/>
    <xf numFmtId="14" fontId="0" fillId="0" borderId="20" xfId="0" applyNumberFormat="1" applyBorder="1"/>
    <xf numFmtId="0" fontId="6" fillId="5" borderId="1" xfId="0" applyFont="1" applyFill="1" applyBorder="1" applyAlignment="1">
      <alignment horizontal="center" vertical="center" wrapText="1"/>
    </xf>
    <xf numFmtId="0" fontId="7" fillId="5" borderId="1" xfId="0" applyFont="1" applyFill="1" applyBorder="1" applyAlignment="1">
      <alignment horizontal="center" vertical="center" wrapText="1"/>
    </xf>
    <xf numFmtId="0" fontId="0" fillId="0" borderId="5" xfId="0" quotePrefix="1" applyBorder="1"/>
    <xf numFmtId="14" fontId="0" fillId="0" borderId="0" xfId="0" applyNumberFormat="1"/>
    <xf numFmtId="0" fontId="2" fillId="4" borderId="21" xfId="0" applyFont="1" applyFill="1" applyBorder="1" applyAlignment="1">
      <alignment horizontal="center" vertical="center"/>
    </xf>
    <xf numFmtId="167" fontId="0" fillId="0" borderId="21" xfId="0" applyNumberFormat="1" applyBorder="1" applyAlignment="1">
      <alignment horizontal="center"/>
    </xf>
    <xf numFmtId="167" fontId="0" fillId="7" borderId="21" xfId="0" applyNumberFormat="1" applyFill="1" applyBorder="1" applyAlignment="1">
      <alignment horizontal="center"/>
    </xf>
    <xf numFmtId="167" fontId="0" fillId="7" borderId="22" xfId="0" applyNumberFormat="1" applyFill="1" applyBorder="1" applyAlignment="1">
      <alignment horizontal="center"/>
    </xf>
    <xf numFmtId="0" fontId="2" fillId="4" borderId="24" xfId="0" applyFont="1" applyFill="1" applyBorder="1" applyAlignment="1">
      <alignment horizontal="center" vertical="center"/>
    </xf>
    <xf numFmtId="167" fontId="0" fillId="0" borderId="24" xfId="0" applyNumberFormat="1" applyBorder="1" applyAlignment="1">
      <alignment horizontal="center"/>
    </xf>
    <xf numFmtId="167" fontId="0" fillId="7" borderId="24" xfId="0" applyNumberFormat="1" applyFill="1" applyBorder="1" applyAlignment="1">
      <alignment horizontal="center"/>
    </xf>
    <xf numFmtId="167" fontId="0" fillId="7" borderId="25" xfId="0" applyNumberFormat="1" applyFill="1" applyBorder="1" applyAlignment="1">
      <alignment horizontal="center"/>
    </xf>
    <xf numFmtId="0" fontId="2" fillId="4" borderId="29" xfId="0" applyFont="1" applyFill="1" applyBorder="1" applyAlignment="1">
      <alignment horizontal="center" vertical="center"/>
    </xf>
    <xf numFmtId="10" fontId="0" fillId="0" borderId="29" xfId="0" applyNumberFormat="1" applyBorder="1" applyAlignment="1">
      <alignment horizontal="center"/>
    </xf>
    <xf numFmtId="10" fontId="0" fillId="7" borderId="29" xfId="0" applyNumberFormat="1" applyFill="1" applyBorder="1" applyAlignment="1">
      <alignment horizontal="center"/>
    </xf>
    <xf numFmtId="10" fontId="0" fillId="7" borderId="30" xfId="0" applyNumberFormat="1" applyFill="1" applyBorder="1" applyAlignment="1">
      <alignment horizontal="center"/>
    </xf>
    <xf numFmtId="10" fontId="0" fillId="0" borderId="24" xfId="0" applyNumberFormat="1" applyBorder="1" applyAlignment="1">
      <alignment horizontal="center"/>
    </xf>
    <xf numFmtId="10" fontId="0" fillId="7" borderId="24" xfId="0" applyNumberFormat="1" applyFill="1" applyBorder="1" applyAlignment="1">
      <alignment horizontal="center"/>
    </xf>
    <xf numFmtId="10" fontId="0" fillId="7" borderId="25" xfId="0" applyNumberFormat="1" applyFill="1" applyBorder="1" applyAlignment="1">
      <alignment horizontal="center"/>
    </xf>
    <xf numFmtId="167" fontId="0" fillId="0" borderId="29" xfId="0" applyNumberFormat="1" applyBorder="1" applyAlignment="1">
      <alignment horizontal="center"/>
    </xf>
    <xf numFmtId="167" fontId="0" fillId="7" borderId="29" xfId="0" applyNumberFormat="1" applyFill="1" applyBorder="1" applyAlignment="1">
      <alignment horizontal="center"/>
    </xf>
    <xf numFmtId="167" fontId="0" fillId="7" borderId="30" xfId="0" applyNumberFormat="1" applyFill="1" applyBorder="1" applyAlignment="1">
      <alignment horizontal="center"/>
    </xf>
    <xf numFmtId="0" fontId="2" fillId="4" borderId="34" xfId="0" applyFont="1" applyFill="1" applyBorder="1" applyAlignment="1">
      <alignment horizontal="center" vertical="center"/>
    </xf>
    <xf numFmtId="0" fontId="2" fillId="4" borderId="33" xfId="0" applyFont="1" applyFill="1" applyBorder="1" applyAlignment="1">
      <alignment horizontal="center" vertical="center"/>
    </xf>
    <xf numFmtId="10" fontId="0" fillId="0" borderId="34" xfId="0" applyNumberFormat="1" applyBorder="1" applyAlignment="1">
      <alignment horizontal="center"/>
    </xf>
    <xf numFmtId="10" fontId="0" fillId="7" borderId="34" xfId="0" applyNumberFormat="1" applyFill="1" applyBorder="1" applyAlignment="1">
      <alignment horizontal="center"/>
    </xf>
    <xf numFmtId="10" fontId="0" fillId="0" borderId="35" xfId="0" applyNumberFormat="1" applyBorder="1" applyAlignment="1">
      <alignment horizontal="center"/>
    </xf>
    <xf numFmtId="0" fontId="2" fillId="5" borderId="0" xfId="0" applyFont="1" applyFill="1" applyAlignment="1">
      <alignment horizontal="center"/>
    </xf>
    <xf numFmtId="169" fontId="0" fillId="0" borderId="20" xfId="1" applyNumberFormat="1" applyFont="1" applyBorder="1" applyAlignment="1"/>
    <xf numFmtId="2" fontId="0" fillId="0" borderId="0" xfId="0" applyNumberFormat="1"/>
    <xf numFmtId="14" fontId="5" fillId="0" borderId="36" xfId="0" applyNumberFormat="1" applyFont="1" applyBorder="1" applyAlignment="1">
      <alignment horizontal="center" vertical="center" wrapText="1"/>
    </xf>
    <xf numFmtId="169" fontId="0" fillId="0" borderId="0" xfId="2" applyNumberFormat="1" applyFont="1" applyAlignment="1"/>
    <xf numFmtId="9" fontId="0" fillId="0" borderId="0" xfId="2" applyFont="1" applyAlignment="1"/>
    <xf numFmtId="9" fontId="3" fillId="4" borderId="0" xfId="2" applyFont="1" applyFill="1" applyAlignment="1">
      <alignment horizontal="center" vertical="center" wrapText="1"/>
    </xf>
    <xf numFmtId="9" fontId="0" fillId="0" borderId="0" xfId="2" applyFont="1" applyAlignment="1">
      <alignment horizontal="center"/>
    </xf>
    <xf numFmtId="164" fontId="0" fillId="0" borderId="0" xfId="0" applyNumberFormat="1" applyAlignment="1">
      <alignment horizontal="center"/>
    </xf>
    <xf numFmtId="1" fontId="3" fillId="4" borderId="0" xfId="0" applyNumberFormat="1" applyFont="1" applyFill="1" applyAlignment="1">
      <alignment horizontal="center" vertical="center" wrapText="1"/>
    </xf>
    <xf numFmtId="1" fontId="0" fillId="0" borderId="0" xfId="0" applyNumberFormat="1" applyAlignment="1">
      <alignment horizontal="center"/>
    </xf>
    <xf numFmtId="1" fontId="3" fillId="4" borderId="0" xfId="2" applyNumberFormat="1" applyFont="1" applyFill="1" applyAlignment="1">
      <alignment horizontal="center" vertical="center" wrapText="1"/>
    </xf>
    <xf numFmtId="1" fontId="0" fillId="0" borderId="0" xfId="0" applyNumberFormat="1"/>
    <xf numFmtId="9" fontId="0" fillId="0" borderId="5" xfId="2" quotePrefix="1" applyFont="1" applyBorder="1" applyAlignment="1"/>
    <xf numFmtId="9" fontId="0" fillId="0" borderId="6" xfId="2" applyFont="1" applyBorder="1" applyAlignment="1"/>
    <xf numFmtId="9" fontId="0" fillId="0" borderId="7" xfId="2" applyFont="1" applyBorder="1" applyAlignment="1"/>
    <xf numFmtId="170" fontId="0" fillId="0" borderId="10" xfId="1" applyNumberFormat="1" applyFont="1" applyBorder="1" applyAlignment="1">
      <alignment horizontal="center"/>
    </xf>
    <xf numFmtId="170" fontId="0" fillId="7" borderId="10" xfId="1" applyNumberFormat="1" applyFont="1" applyFill="1" applyBorder="1" applyAlignment="1">
      <alignment horizontal="center"/>
    </xf>
    <xf numFmtId="170" fontId="0" fillId="7" borderId="17" xfId="1" applyNumberFormat="1" applyFont="1" applyFill="1" applyBorder="1" applyAlignment="1">
      <alignment horizontal="center"/>
    </xf>
    <xf numFmtId="9" fontId="0" fillId="6" borderId="5" xfId="2" applyFont="1" applyFill="1" applyBorder="1" applyAlignment="1"/>
    <xf numFmtId="9" fontId="0" fillId="6" borderId="6" xfId="2" applyFont="1" applyFill="1" applyBorder="1" applyAlignment="1"/>
    <xf numFmtId="9" fontId="0" fillId="6" borderId="7" xfId="2" applyFont="1" applyFill="1" applyBorder="1" applyAlignment="1"/>
    <xf numFmtId="9" fontId="0" fillId="0" borderId="17" xfId="2" applyFont="1" applyFill="1" applyBorder="1" applyAlignment="1">
      <alignment horizontal="center"/>
    </xf>
    <xf numFmtId="171" fontId="0" fillId="0" borderId="17" xfId="0" applyNumberFormat="1" applyBorder="1" applyAlignment="1">
      <alignment horizontal="center"/>
    </xf>
    <xf numFmtId="171" fontId="0" fillId="0" borderId="25" xfId="0" applyNumberFormat="1" applyBorder="1" applyAlignment="1">
      <alignment horizontal="center"/>
    </xf>
    <xf numFmtId="171" fontId="0" fillId="0" borderId="30" xfId="0" applyNumberFormat="1" applyBorder="1" applyAlignment="1">
      <alignment horizontal="center"/>
    </xf>
    <xf numFmtId="168" fontId="10" fillId="0" borderId="0" xfId="3" applyNumberFormat="1">
      <alignment vertical="center"/>
    </xf>
    <xf numFmtId="10" fontId="0" fillId="7" borderId="37" xfId="0" applyNumberFormat="1" applyFill="1" applyBorder="1" applyAlignment="1">
      <alignment horizontal="center"/>
    </xf>
    <xf numFmtId="10" fontId="0" fillId="7" borderId="38" xfId="0" applyNumberFormat="1" applyFill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2" fontId="10" fillId="0" borderId="0" xfId="3" applyNumberFormat="1">
      <alignment vertical="center"/>
    </xf>
    <xf numFmtId="10" fontId="0" fillId="8" borderId="0" xfId="0" applyNumberFormat="1" applyFill="1"/>
    <xf numFmtId="168" fontId="0" fillId="0" borderId="0" xfId="0" applyNumberFormat="1" applyAlignment="1">
      <alignment vertical="center"/>
    </xf>
    <xf numFmtId="2" fontId="0" fillId="0" borderId="0" xfId="0" applyNumberFormat="1" applyAlignment="1">
      <alignment vertical="center"/>
    </xf>
    <xf numFmtId="0" fontId="2" fillId="2" borderId="20" xfId="0" applyFont="1" applyFill="1" applyBorder="1" applyAlignment="1">
      <alignment horizontal="center" vertical="center" wrapText="1"/>
    </xf>
    <xf numFmtId="0" fontId="2" fillId="0" borderId="20" xfId="0" applyFont="1" applyBorder="1" applyAlignment="1">
      <alignment horizontal="center" vertical="center" wrapText="1"/>
    </xf>
    <xf numFmtId="9" fontId="4" fillId="0" borderId="20" xfId="0" applyNumberFormat="1" applyFont="1" applyBorder="1" applyAlignment="1">
      <alignment horizontal="center" vertical="center" wrapText="1"/>
    </xf>
    <xf numFmtId="0" fontId="2" fillId="5" borderId="11" xfId="0" applyFont="1" applyFill="1" applyBorder="1" applyAlignment="1">
      <alignment horizontal="center" vertical="center"/>
    </xf>
    <xf numFmtId="0" fontId="2" fillId="5" borderId="14" xfId="0" applyFont="1" applyFill="1" applyBorder="1" applyAlignment="1">
      <alignment horizontal="center" vertical="center"/>
    </xf>
    <xf numFmtId="0" fontId="2" fillId="4" borderId="31" xfId="0" quotePrefix="1" applyFont="1" applyFill="1" applyBorder="1" applyAlignment="1">
      <alignment horizontal="center" vertical="center"/>
    </xf>
    <xf numFmtId="0" fontId="2" fillId="4" borderId="0" xfId="0" quotePrefix="1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quotePrefix="1" applyFont="1" applyAlignment="1">
      <alignment horizontal="center" vertical="center"/>
    </xf>
    <xf numFmtId="0" fontId="2" fillId="4" borderId="19" xfId="0" applyFont="1" applyFill="1" applyBorder="1" applyAlignment="1">
      <alignment horizontal="center" vertical="center"/>
    </xf>
    <xf numFmtId="0" fontId="2" fillId="4" borderId="13" xfId="0" applyFont="1" applyFill="1" applyBorder="1" applyAlignment="1">
      <alignment horizontal="center" vertical="center"/>
    </xf>
    <xf numFmtId="0" fontId="2" fillId="4" borderId="26" xfId="0" quotePrefix="1" applyFont="1" applyFill="1" applyBorder="1" applyAlignment="1">
      <alignment horizontal="center" vertical="center"/>
    </xf>
    <xf numFmtId="0" fontId="2" fillId="4" borderId="27" xfId="0" quotePrefix="1" applyFont="1" applyFill="1" applyBorder="1" applyAlignment="1">
      <alignment horizontal="center" vertical="center"/>
    </xf>
    <xf numFmtId="0" fontId="2" fillId="4" borderId="28" xfId="0" quotePrefix="1" applyFont="1" applyFill="1" applyBorder="1" applyAlignment="1">
      <alignment horizontal="center" vertical="center"/>
    </xf>
    <xf numFmtId="0" fontId="2" fillId="4" borderId="12" xfId="0" quotePrefix="1" applyFont="1" applyFill="1" applyBorder="1" applyAlignment="1">
      <alignment horizontal="center" vertical="center"/>
    </xf>
    <xf numFmtId="0" fontId="2" fillId="4" borderId="12" xfId="0" applyFont="1" applyFill="1" applyBorder="1" applyAlignment="1">
      <alignment horizontal="center" vertical="center"/>
    </xf>
    <xf numFmtId="0" fontId="2" fillId="4" borderId="23" xfId="0" applyFont="1" applyFill="1" applyBorder="1" applyAlignment="1">
      <alignment horizontal="center" vertical="center"/>
    </xf>
    <xf numFmtId="0" fontId="2" fillId="4" borderId="32" xfId="0" quotePrefix="1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 wrapText="1"/>
    </xf>
  </cellXfs>
  <cellStyles count="4">
    <cellStyle name="Currency" xfId="1" builtinId="4"/>
    <cellStyle name="Normal" xfId="0" builtinId="0"/>
    <cellStyle name="Normal 2" xfId="3" xr:uid="{880113E0-C085-42A5-9CD6-2D861B27251F}"/>
    <cellStyle name="Percent" xfId="2" builtinId="5"/>
  </cellStyles>
  <dxfs count="78">
    <dxf>
      <numFmt numFmtId="0" formatCode="General"/>
      <alignment horizontal="center" textRotation="0" indent="0" justifyLastLine="0" shrinkToFit="0" readingOrder="0"/>
    </dxf>
    <dxf>
      <numFmt numFmtId="0" formatCode="General"/>
      <alignment horizontal="center" textRotation="0" indent="0" justifyLastLine="0" shrinkToFit="0" readingOrder="0"/>
    </dxf>
    <dxf>
      <numFmt numFmtId="12" formatCode="&quot;$&quot;#,##0.00;[Red]\-&quot;$&quot;#,##0.00"/>
      <alignment horizontal="center" textRotation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2" formatCode="&quot;$&quot;#,##0.00;[Red]\-&quot;$&quot;#,##0.00"/>
      <alignment horizontal="center" textRotation="0" indent="0" justifyLastLine="0" shrinkToFit="0" readingOrder="0"/>
    </dxf>
    <dxf>
      <numFmt numFmtId="0" formatCode="General"/>
      <alignment horizontal="center" textRotation="0" indent="0" justifyLastLine="0" shrinkToFit="0" readingOrder="0"/>
    </dxf>
    <dxf>
      <numFmt numFmtId="0" formatCode="General"/>
      <alignment horizontal="center" textRotation="0" indent="0" justifyLastLine="0" shrinkToFit="0" readingOrder="0"/>
    </dxf>
    <dxf>
      <numFmt numFmtId="2" formatCode="0.00"/>
      <alignment horizontal="general" vertical="center" textRotation="0" wrapText="0" indent="0" justifyLastLine="0" shrinkToFit="0" readingOrder="0"/>
    </dxf>
    <dxf>
      <numFmt numFmtId="168" formatCode="[$-409]mmm\-dd\-yyyy;@"/>
      <alignment horizontal="general" vertical="center" textRotation="0" wrapText="0" indent="0" justifyLastLine="0" shrinkToFit="0" readingOrder="0"/>
    </dxf>
    <dxf>
      <alignment horizontal="center" textRotation="0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0" formatCode="General"/>
      <alignment horizontal="center" textRotation="0" indent="0" justifyLastLine="0" shrinkToFit="0" readingOrder="0"/>
    </dxf>
    <dxf>
      <numFmt numFmtId="0" formatCode="General"/>
      <alignment horizontal="center" textRotation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2" formatCode="&quot;$&quot;#,##0.00;[Red]\-&quot;$&quot;#,##0.0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66" formatCode="0.000%"/>
      <alignment horizontal="center" vertical="bottom" textRotation="0" wrapText="0" indent="0" justifyLastLine="0" shrinkToFit="0" readingOrder="0"/>
    </dxf>
    <dxf>
      <numFmt numFmtId="2" formatCode="0.00"/>
      <alignment horizontal="general" vertical="center" textRotation="0" wrapText="0" indent="0" justifyLastLine="0" shrinkToFit="0" readingOrder="0"/>
    </dxf>
    <dxf>
      <numFmt numFmtId="168" formatCode="[$-409]mmm\-dd\-yyyy;@"/>
      <alignment horizontal="general" vertical="center" textRotation="0" wrapText="0" indent="0" justifyLastLine="0" shrinkToFit="0" readingOrder="0"/>
    </dxf>
    <dxf>
      <alignment horizontal="center" textRotation="0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0" formatCode="General"/>
      <alignment horizontal="center" textRotation="0" indent="0" justifyLastLine="0" shrinkToFit="0" readingOrder="0"/>
    </dxf>
    <dxf>
      <numFmt numFmtId="0" formatCode="General"/>
      <alignment horizontal="center" textRotation="0" indent="0" justifyLastLine="0" shrinkToFit="0" readingOrder="0"/>
    </dxf>
    <dxf>
      <numFmt numFmtId="14" formatCode="0.00%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2" formatCode="&quot;$&quot;#,##0.00;[Red]\-&quot;$&quot;#,##0.0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66" formatCode="0.000%"/>
      <alignment horizontal="center" vertical="bottom" textRotation="0" wrapText="0" indent="0" justifyLastLine="0" shrinkToFit="0" readingOrder="0"/>
    </dxf>
    <dxf>
      <numFmt numFmtId="2" formatCode="0.00"/>
      <alignment horizontal="general" vertical="center" textRotation="0" wrapText="0" indent="0" justifyLastLine="0" shrinkToFit="0" readingOrder="0"/>
    </dxf>
    <dxf>
      <font>
        <sz val="10"/>
        <color auto="1"/>
        <name val="Arial"/>
        <family val="2"/>
        <scheme val="none"/>
      </font>
      <numFmt numFmtId="168" formatCode="[$-409]mmm\-dd\-yyyy;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alignment horizontal="center" textRotation="0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2" formatCode="&quot;$&quot;#,##0.00;[Red]\-&quot;$&quot;#,##0.00"/>
      <alignment horizontal="center" textRotation="0" indent="0" justifyLastLine="0" shrinkToFit="0" readingOrder="0"/>
    </dxf>
    <dxf>
      <numFmt numFmtId="0" formatCode="General"/>
      <alignment horizontal="center" textRotation="0" indent="0" justifyLastLine="0" shrinkToFit="0" readingOrder="0"/>
    </dxf>
    <dxf>
      <numFmt numFmtId="12" formatCode="&quot;$&quot;#,##0.00;[Red]\-&quot;$&quot;#,##0.00"/>
      <alignment horizontal="center" textRotation="0" indent="0" justifyLastLine="0" shrinkToFit="0" readingOrder="0"/>
    </dxf>
    <dxf>
      <numFmt numFmtId="0" formatCode="General"/>
      <alignment horizontal="center" textRotation="0" indent="0" justifyLastLine="0" shrinkToFit="0" readingOrder="0"/>
    </dxf>
    <dxf>
      <numFmt numFmtId="12" formatCode="&quot;$&quot;#,##0.00;[Red]\-&quot;$&quot;#,##0.00"/>
      <alignment horizontal="center" textRotation="0" indent="0" justifyLastLine="0" shrinkToFit="0" readingOrder="0"/>
    </dxf>
    <dxf>
      <numFmt numFmtId="0" formatCode="General"/>
      <alignment horizontal="center" textRotation="0" indent="0" justifyLastLine="0" shrinkToFit="0" readingOrder="0"/>
    </dxf>
    <dxf>
      <numFmt numFmtId="12" formatCode="&quot;$&quot;#,##0.00;[Red]\-&quot;$&quot;#,##0.00"/>
      <alignment horizontal="center" vertical="bottom" textRotation="0" wrapText="0" indent="0" justifyLastLine="0" shrinkToFit="0" readingOrder="0"/>
    </dxf>
    <dxf>
      <numFmt numFmtId="0" formatCode="General"/>
      <alignment horizontal="center" textRotation="0" indent="0" justifyLastLine="0" shrinkToFit="0" readingOrder="0"/>
    </dxf>
    <dxf>
      <numFmt numFmtId="166" formatCode="0.000%"/>
      <alignment horizontal="center" vertical="bottom" textRotation="0" wrapText="0" indent="0" justifyLastLine="0" shrinkToFit="0" readingOrder="0"/>
    </dxf>
    <dxf>
      <numFmt numFmtId="2" formatCode="0.00"/>
      <alignment horizontal="general" vertical="center" textRotation="0" wrapText="0" indent="0" justifyLastLine="0" shrinkToFit="0" readingOrder="0"/>
    </dxf>
    <dxf>
      <numFmt numFmtId="168" formatCode="[$-409]mmm\-dd\-yyyy;@"/>
      <alignment horizontal="general" vertical="center" textRotation="0" wrapText="0" indent="0" justifyLastLine="0" shrinkToFit="0" readingOrder="0"/>
    </dxf>
    <dxf>
      <alignment horizontal="center" textRotation="0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4" formatCode="0.00%"/>
      <alignment horizontal="center" vertical="bottom" textRotation="0" wrapText="0" indent="0" justifyLastLine="0" shrinkToFit="0" readingOrder="0"/>
    </dxf>
    <dxf>
      <numFmt numFmtId="12" formatCode="&quot;$&quot;#,##0.00;[Red]\-&quot;$&quot;#,##0.00"/>
      <alignment horizontal="center" textRotation="0" indent="0" justifyLastLine="0" shrinkToFit="0" readingOrder="0"/>
    </dxf>
    <dxf>
      <numFmt numFmtId="0" formatCode="General"/>
      <alignment horizontal="center" textRotation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4" formatCode="0.00%"/>
      <alignment horizontal="center" vertical="bottom" textRotation="0" wrapText="0" indent="0" justifyLastLine="0" shrinkToFit="0" readingOrder="0"/>
    </dxf>
    <dxf>
      <numFmt numFmtId="12" formatCode="&quot;$&quot;#,##0.00;[Red]\-&quot;$&quot;#,##0.00"/>
      <alignment horizontal="center" vertical="bottom" textRotation="0" wrapText="0" indent="0" justifyLastLine="0" shrinkToFit="0" readingOrder="0"/>
    </dxf>
    <dxf>
      <numFmt numFmtId="0" formatCode="General"/>
      <alignment horizontal="center" textRotation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4" formatCode="0.00%"/>
      <alignment horizontal="center" vertical="bottom" textRotation="0" wrapText="0" indent="0" justifyLastLine="0" shrinkToFit="0" readingOrder="0"/>
    </dxf>
    <dxf>
      <numFmt numFmtId="12" formatCode="&quot;$&quot;#,##0.00;[Red]\-&quot;$&quot;#,##0.00"/>
      <alignment horizontal="center" vertical="bottom" textRotation="0" wrapText="0" indent="0" justifyLastLine="0" shrinkToFit="0" readingOrder="0"/>
    </dxf>
    <dxf>
      <numFmt numFmtId="0" formatCode="General"/>
      <alignment horizontal="center" textRotation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4" formatCode="0.00%"/>
      <alignment horizontal="center" vertical="bottom" textRotation="0" wrapText="0" indent="0" justifyLastLine="0" shrinkToFit="0" readingOrder="0"/>
    </dxf>
    <dxf>
      <numFmt numFmtId="12" formatCode="&quot;$&quot;#,##0.00;[Red]\-&quot;$&quot;#,##0.00"/>
      <alignment horizontal="center" vertical="bottom" textRotation="0" wrapText="0" indent="0" justifyLastLine="0" shrinkToFit="0" readingOrder="0"/>
    </dxf>
    <dxf>
      <numFmt numFmtId="0" formatCode="General"/>
      <alignment horizontal="center" textRotation="0" indent="0" justifyLastLine="0" shrinkToFit="0" readingOrder="0"/>
    </dxf>
    <dxf>
      <numFmt numFmtId="166" formatCode="0.000%"/>
      <alignment horizontal="center" textRotation="0" indent="0" justifyLastLine="0" shrinkToFit="0" readingOrder="0"/>
    </dxf>
    <dxf>
      <numFmt numFmtId="2" formatCode="0.00"/>
      <alignment horizontal="general" vertical="center" textRotation="0" wrapText="0" indent="0" justifyLastLine="0" shrinkToFit="0" readingOrder="0"/>
    </dxf>
    <dxf>
      <numFmt numFmtId="168" formatCode="[$-409]mmm\-dd\-yyyy;@"/>
      <alignment horizontal="general" vertical="center" textRotation="0" wrapText="0" indent="0" justifyLastLine="0" shrinkToFit="0" readingOrder="0"/>
    </dxf>
    <dxf>
      <alignment horizontal="center" textRotation="0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64" formatCode="&quot;$&quot;#,##0.00_);[Red]\(&quot;$&quot;#,##0.00\)"/>
      <alignment horizontal="center" textRotation="0" indent="0" justifyLastLine="0" shrinkToFit="0" readingOrder="0"/>
    </dxf>
    <dxf>
      <numFmt numFmtId="0" formatCode="General"/>
      <alignment horizontal="center" textRotation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2" formatCode="&quot;$&quot;#,##0.00;[Red]\-&quot;$&quot;#,##0.00"/>
      <alignment horizontal="center" vertical="bottom" textRotation="0" wrapText="0" indent="0" justifyLastLine="0" shrinkToFit="0" readingOrder="0"/>
    </dxf>
    <dxf>
      <numFmt numFmtId="166" formatCode="0.000%"/>
      <alignment horizontal="center" vertical="bottom" textRotation="0" wrapText="0" indent="0" justifyLastLine="0" shrinkToFit="0" readingOrder="0"/>
    </dxf>
    <dxf>
      <numFmt numFmtId="166" formatCode="0.000%"/>
      <alignment horizontal="center" textRotation="0" indent="0" justifyLastLine="0" shrinkToFit="0" readingOrder="0"/>
    </dxf>
    <dxf>
      <numFmt numFmtId="2" formatCode="0.00"/>
      <alignment horizontal="general" vertical="center" textRotation="0" wrapText="0" indent="0" justifyLastLine="0" shrinkToFit="0" readingOrder="0"/>
    </dxf>
    <dxf>
      <numFmt numFmtId="168" formatCode="[$-409]mmm\-dd\-yyyy;@"/>
      <alignment horizontal="general" vertical="center" textRotation="0" wrapText="0" indent="0" justifyLastLine="0" shrinkToFit="0" readingOrder="0"/>
    </dxf>
    <dxf>
      <alignment horizontal="center" textRotation="0" indent="0" justifyLastLine="0" shrinkToFit="0" readingOrder="0"/>
    </dxf>
    <dxf>
      <alignment horizontal="center" vertical="center" textRotation="0" wrapText="1" indent="0" justifyLastLine="0" shrinkToFit="0" readingOrder="0"/>
    </dxf>
  </dxfs>
  <tableStyles count="1" defaultTableStyle="TableStyleMedium2" defaultPivotStyle="PivotStyleLight16">
    <tableStyle name="Invisible" pivot="0" table="0" count="0" xr9:uid="{EB16E763-82B0-4606-8125-722D06C8E50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 b="1"/>
              <a:t>Correlation - S&amp;P/TSX Composite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'Graphing Values'!$C$3</c:f>
              <c:strCache>
                <c:ptCount val="1"/>
                <c:pt idx="0">
                  <c:v>LRN - S&amp;P 500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'Graphing Values'!$B$4:$B$7</c:f>
              <c:strCache>
                <c:ptCount val="4"/>
                <c:pt idx="0">
                  <c:v>1 Year</c:v>
                </c:pt>
                <c:pt idx="1">
                  <c:v>2 Year</c:v>
                </c:pt>
                <c:pt idx="2">
                  <c:v>3 Year</c:v>
                </c:pt>
                <c:pt idx="3">
                  <c:v>5 Year</c:v>
                </c:pt>
              </c:strCache>
            </c:strRef>
          </c:cat>
          <c:val>
            <c:numRef>
              <c:f>'Graphing Values'!$C$4:$C$7</c:f>
              <c:numCache>
                <c:formatCode>0.000</c:formatCode>
                <c:ptCount val="4"/>
                <c:pt idx="0">
                  <c:v>0</c:v>
                </c:pt>
                <c:pt idx="1">
                  <c:v>-7.3999816878913854E-2</c:v>
                </c:pt>
                <c:pt idx="2">
                  <c:v>-0.25603044143823939</c:v>
                </c:pt>
                <c:pt idx="3">
                  <c:v>0.43500010957604385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95-4F74-8F03-4E03505F546B}"/>
            </c:ext>
          </c:extLst>
        </c:ser>
        <c:ser>
          <c:idx val="1"/>
          <c:order val="1"/>
          <c:tx>
            <c:strRef>
              <c:f>'Graphing Values'!$E$3</c:f>
              <c:strCache>
                <c:ptCount val="1"/>
                <c:pt idx="0">
                  <c:v>NasdaqGS:LAUR - S&amp;P 500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'Graphing Values'!$B$4:$B$7</c:f>
              <c:strCache>
                <c:ptCount val="4"/>
                <c:pt idx="0">
                  <c:v>1 Year</c:v>
                </c:pt>
                <c:pt idx="1">
                  <c:v>2 Year</c:v>
                </c:pt>
                <c:pt idx="2">
                  <c:v>3 Year</c:v>
                </c:pt>
                <c:pt idx="3">
                  <c:v>5 Year</c:v>
                </c:pt>
              </c:strCache>
            </c:strRef>
          </c:cat>
          <c:val>
            <c:numRef>
              <c:f>'Graphing Values'!$E$4:$E$7</c:f>
              <c:numCache>
                <c:formatCode>0.000</c:formatCode>
                <c:ptCount val="4"/>
                <c:pt idx="0">
                  <c:v>0</c:v>
                </c:pt>
                <c:pt idx="1">
                  <c:v>0.37759032068396903</c:v>
                </c:pt>
                <c:pt idx="2">
                  <c:v>0.47545565838123871</c:v>
                </c:pt>
                <c:pt idx="3">
                  <c:v>0.12956592092053207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95-4F74-8F03-4E03505F546B}"/>
            </c:ext>
          </c:extLst>
        </c:ser>
        <c:ser>
          <c:idx val="2"/>
          <c:order val="2"/>
          <c:tx>
            <c:strRef>
              <c:f>'Graphing Values'!$G$3</c:f>
              <c:strCache>
                <c:ptCount val="1"/>
                <c:pt idx="0">
                  <c:v>ATGE - S&amp;P 500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'Graphing Values'!$B$4:$B$7</c:f>
              <c:strCache>
                <c:ptCount val="4"/>
                <c:pt idx="0">
                  <c:v>1 Year</c:v>
                </c:pt>
                <c:pt idx="1">
                  <c:v>2 Year</c:v>
                </c:pt>
                <c:pt idx="2">
                  <c:v>3 Year</c:v>
                </c:pt>
                <c:pt idx="3">
                  <c:v>5 Year</c:v>
                </c:pt>
              </c:strCache>
            </c:strRef>
          </c:cat>
          <c:val>
            <c:numRef>
              <c:f>'Graphing Values'!$G$4:$G$7</c:f>
              <c:numCache>
                <c:formatCode>0.000</c:formatCode>
                <c:ptCount val="4"/>
                <c:pt idx="0">
                  <c:v>0</c:v>
                </c:pt>
                <c:pt idx="1">
                  <c:v>4.817677217806806E-2</c:v>
                </c:pt>
                <c:pt idx="2">
                  <c:v>-0.45384745362689516</c:v>
                </c:pt>
                <c:pt idx="3">
                  <c:v>0.26716796963352918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995-4F74-8F03-4E03505F546B}"/>
            </c:ext>
          </c:extLst>
        </c:ser>
        <c:ser>
          <c:idx val="3"/>
          <c:order val="3"/>
          <c:tx>
            <c:strRef>
              <c:f>'Graphing Values'!$I$3</c:f>
              <c:strCache>
                <c:ptCount val="1"/>
                <c:pt idx="0">
                  <c:v>STRA - S&amp;P 500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'Graphing Values'!$B$4:$B$7</c:f>
              <c:strCache>
                <c:ptCount val="4"/>
                <c:pt idx="0">
                  <c:v>1 Year</c:v>
                </c:pt>
                <c:pt idx="1">
                  <c:v>2 Year</c:v>
                </c:pt>
                <c:pt idx="2">
                  <c:v>3 Year</c:v>
                </c:pt>
                <c:pt idx="3">
                  <c:v>5 Year</c:v>
                </c:pt>
              </c:strCache>
            </c:strRef>
          </c:cat>
          <c:val>
            <c:numRef>
              <c:f>'Graphing Values'!$I$4:$I$7</c:f>
              <c:numCache>
                <c:formatCode>0.000</c:formatCode>
                <c:ptCount val="4"/>
                <c:pt idx="0">
                  <c:v>0</c:v>
                </c:pt>
                <c:pt idx="1">
                  <c:v>-0.62745912845723006</c:v>
                </c:pt>
                <c:pt idx="2">
                  <c:v>-0.15261781303067662</c:v>
                </c:pt>
                <c:pt idx="3">
                  <c:v>-0.80107643712715049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FF-452B-9246-C53EC25ACE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04304096"/>
        <c:axId val="1204295776"/>
      </c:lineChart>
      <c:catAx>
        <c:axId val="1204304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4295776"/>
        <c:crosses val="autoZero"/>
        <c:auto val="1"/>
        <c:lblAlgn val="ctr"/>
        <c:lblOffset val="100"/>
        <c:noMultiLvlLbl val="0"/>
      </c:catAx>
      <c:valAx>
        <c:axId val="1204295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4304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 b="1"/>
              <a:t>Correlation - NYSE Composite Index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'Graphing Values'!$D$3</c:f>
              <c:strCache>
                <c:ptCount val="1"/>
                <c:pt idx="0">
                  <c:v>LRN - NYSE Composite Index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'Graphing Values'!$B$4:$B$7</c:f>
              <c:strCache>
                <c:ptCount val="4"/>
                <c:pt idx="0">
                  <c:v>1 Year</c:v>
                </c:pt>
                <c:pt idx="1">
                  <c:v>2 Year</c:v>
                </c:pt>
                <c:pt idx="2">
                  <c:v>3 Year</c:v>
                </c:pt>
                <c:pt idx="3">
                  <c:v>5 Year</c:v>
                </c:pt>
              </c:strCache>
            </c:strRef>
          </c:cat>
          <c:val>
            <c:numRef>
              <c:f>'Graphing Values'!$D$4:$D$7</c:f>
              <c:numCache>
                <c:formatCode>0.000</c:formatCode>
                <c:ptCount val="4"/>
                <c:pt idx="0">
                  <c:v>0</c:v>
                </c:pt>
                <c:pt idx="1">
                  <c:v>6.4750331686558596E-2</c:v>
                </c:pt>
                <c:pt idx="2">
                  <c:v>-0.41637891372574892</c:v>
                </c:pt>
                <c:pt idx="3">
                  <c:v>0.34125372989989344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232-4749-9400-BF9279F52769}"/>
            </c:ext>
          </c:extLst>
        </c:ser>
        <c:ser>
          <c:idx val="1"/>
          <c:order val="1"/>
          <c:tx>
            <c:strRef>
              <c:f>'Graphing Values'!$F$3</c:f>
              <c:strCache>
                <c:ptCount val="1"/>
                <c:pt idx="0">
                  <c:v>NasdaqGS:LAUR - NYSE Composite Index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'Graphing Values'!$B$4:$B$7</c:f>
              <c:strCache>
                <c:ptCount val="4"/>
                <c:pt idx="0">
                  <c:v>1 Year</c:v>
                </c:pt>
                <c:pt idx="1">
                  <c:v>2 Year</c:v>
                </c:pt>
                <c:pt idx="2">
                  <c:v>3 Year</c:v>
                </c:pt>
                <c:pt idx="3">
                  <c:v>5 Year</c:v>
                </c:pt>
              </c:strCache>
            </c:strRef>
          </c:cat>
          <c:val>
            <c:numRef>
              <c:f>'Graphing Values'!$F$4:$F$7</c:f>
              <c:numCache>
                <c:formatCode>0.000</c:formatCode>
                <c:ptCount val="4"/>
                <c:pt idx="0">
                  <c:v>0</c:v>
                </c:pt>
                <c:pt idx="1">
                  <c:v>-0.39931319041253044</c:v>
                </c:pt>
                <c:pt idx="2">
                  <c:v>0.2937908285370055</c:v>
                </c:pt>
                <c:pt idx="3">
                  <c:v>0.23978464272016323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232-4749-9400-BF9279F52769}"/>
            </c:ext>
          </c:extLst>
        </c:ser>
        <c:ser>
          <c:idx val="2"/>
          <c:order val="2"/>
          <c:tx>
            <c:strRef>
              <c:f>'Graphing Values'!$H$3</c:f>
              <c:strCache>
                <c:ptCount val="1"/>
                <c:pt idx="0">
                  <c:v>ATGE - NYSE Composite Index 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'Graphing Values'!$B$4:$B$7</c:f>
              <c:strCache>
                <c:ptCount val="4"/>
                <c:pt idx="0">
                  <c:v>1 Year</c:v>
                </c:pt>
                <c:pt idx="1">
                  <c:v>2 Year</c:v>
                </c:pt>
                <c:pt idx="2">
                  <c:v>3 Year</c:v>
                </c:pt>
                <c:pt idx="3">
                  <c:v>5 Year</c:v>
                </c:pt>
              </c:strCache>
            </c:strRef>
          </c:cat>
          <c:val>
            <c:numRef>
              <c:f>'Graphing Values'!$H$4:$H$7</c:f>
              <c:numCache>
                <c:formatCode>0.000</c:formatCode>
                <c:ptCount val="4"/>
                <c:pt idx="0">
                  <c:v>0</c:v>
                </c:pt>
                <c:pt idx="1">
                  <c:v>6.0503685575780412E-4</c:v>
                </c:pt>
                <c:pt idx="2">
                  <c:v>-0.48648330362089198</c:v>
                </c:pt>
                <c:pt idx="3">
                  <c:v>0.32455202025166324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232-4749-9400-BF9279F52769}"/>
            </c:ext>
          </c:extLst>
        </c:ser>
        <c:ser>
          <c:idx val="3"/>
          <c:order val="3"/>
          <c:tx>
            <c:strRef>
              <c:f>'Graphing Values'!$J$3</c:f>
              <c:strCache>
                <c:ptCount val="1"/>
                <c:pt idx="0">
                  <c:v>STRA - NYSE Composite Index 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'Graphing Values'!$B$4:$B$7</c:f>
              <c:strCache>
                <c:ptCount val="4"/>
                <c:pt idx="0">
                  <c:v>1 Year</c:v>
                </c:pt>
                <c:pt idx="1">
                  <c:v>2 Year</c:v>
                </c:pt>
                <c:pt idx="2">
                  <c:v>3 Year</c:v>
                </c:pt>
                <c:pt idx="3">
                  <c:v>5 Year</c:v>
                </c:pt>
              </c:strCache>
            </c:strRef>
          </c:cat>
          <c:val>
            <c:numRef>
              <c:f>'Graphing Values'!$J$4:$J$7</c:f>
              <c:numCache>
                <c:formatCode>0.000</c:formatCode>
                <c:ptCount val="4"/>
                <c:pt idx="0">
                  <c:v>0</c:v>
                </c:pt>
                <c:pt idx="1">
                  <c:v>0.23739915302738374</c:v>
                </c:pt>
                <c:pt idx="2">
                  <c:v>2.4709308085686518E-3</c:v>
                </c:pt>
                <c:pt idx="3">
                  <c:v>-0.7498584280424232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C-458C-B749-6193775E9B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49164544"/>
        <c:axId val="1149164960"/>
      </c:lineChart>
      <c:catAx>
        <c:axId val="1149164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9164960"/>
        <c:crosses val="autoZero"/>
        <c:auto val="1"/>
        <c:lblAlgn val="ctr"/>
        <c:lblOffset val="100"/>
        <c:noMultiLvlLbl val="0"/>
      </c:catAx>
      <c:valAx>
        <c:axId val="1149164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9164544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 b="1"/>
              <a:t>Standard Deviation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'Graphing Values'!$G$20</c:f>
              <c:strCache>
                <c:ptCount val="1"/>
                <c:pt idx="0">
                  <c:v>LRN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'Graphing Values'!$B$21:$B$24</c:f>
              <c:strCache>
                <c:ptCount val="4"/>
                <c:pt idx="0">
                  <c:v>1 Year</c:v>
                </c:pt>
                <c:pt idx="1">
                  <c:v>2 Year</c:v>
                </c:pt>
                <c:pt idx="2">
                  <c:v>3 Year</c:v>
                </c:pt>
                <c:pt idx="3">
                  <c:v>5 Year</c:v>
                </c:pt>
              </c:strCache>
            </c:strRef>
          </c:cat>
          <c:val>
            <c:numRef>
              <c:f>'Graphing Values'!$G$21:$G$24</c:f>
              <c:numCache>
                <c:formatCode>0.00%</c:formatCode>
                <c:ptCount val="4"/>
                <c:pt idx="0">
                  <c:v>0</c:v>
                </c:pt>
                <c:pt idx="1">
                  <c:v>0.47067533583858839</c:v>
                </c:pt>
                <c:pt idx="2">
                  <c:v>0.53767404235167593</c:v>
                </c:pt>
                <c:pt idx="3">
                  <c:v>0.56598737202333471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4F-4EF3-BF68-1F1252F2D549}"/>
            </c:ext>
          </c:extLst>
        </c:ser>
        <c:ser>
          <c:idx val="1"/>
          <c:order val="1"/>
          <c:tx>
            <c:strRef>
              <c:f>'Graphing Values'!$H$20</c:f>
              <c:strCache>
                <c:ptCount val="1"/>
                <c:pt idx="0">
                  <c:v>NasdaqGS:LAUR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'Graphing Values'!$B$21:$B$24</c:f>
              <c:strCache>
                <c:ptCount val="4"/>
                <c:pt idx="0">
                  <c:v>1 Year</c:v>
                </c:pt>
                <c:pt idx="1">
                  <c:v>2 Year</c:v>
                </c:pt>
                <c:pt idx="2">
                  <c:v>3 Year</c:v>
                </c:pt>
                <c:pt idx="3">
                  <c:v>5 Year</c:v>
                </c:pt>
              </c:strCache>
            </c:strRef>
          </c:cat>
          <c:val>
            <c:numRef>
              <c:f>'Graphing Values'!$H$21:$H$24</c:f>
              <c:numCache>
                <c:formatCode>0.00%</c:formatCode>
                <c:ptCount val="4"/>
                <c:pt idx="0">
                  <c:v>0</c:v>
                </c:pt>
                <c:pt idx="1">
                  <c:v>0.32166964648151358</c:v>
                </c:pt>
                <c:pt idx="2">
                  <c:v>0.36722288406288206</c:v>
                </c:pt>
                <c:pt idx="3">
                  <c:v>0.58887355559643118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4F-4EF3-BF68-1F1252F2D549}"/>
            </c:ext>
          </c:extLst>
        </c:ser>
        <c:ser>
          <c:idx val="2"/>
          <c:order val="2"/>
          <c:tx>
            <c:strRef>
              <c:f>'Graphing Values'!$I$20</c:f>
              <c:strCache>
                <c:ptCount val="1"/>
                <c:pt idx="0">
                  <c:v>ATGE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'Graphing Values'!$B$21:$B$24</c:f>
              <c:strCache>
                <c:ptCount val="4"/>
                <c:pt idx="0">
                  <c:v>1 Year</c:v>
                </c:pt>
                <c:pt idx="1">
                  <c:v>2 Year</c:v>
                </c:pt>
                <c:pt idx="2">
                  <c:v>3 Year</c:v>
                </c:pt>
                <c:pt idx="3">
                  <c:v>5 Year</c:v>
                </c:pt>
              </c:strCache>
            </c:strRef>
          </c:cat>
          <c:val>
            <c:numRef>
              <c:f>'Graphing Values'!$I$21:$I$24</c:f>
              <c:numCache>
                <c:formatCode>0.00%</c:formatCode>
                <c:ptCount val="4"/>
                <c:pt idx="0">
                  <c:v>0</c:v>
                </c:pt>
                <c:pt idx="1">
                  <c:v>0.38523005582970321</c:v>
                </c:pt>
                <c:pt idx="2">
                  <c:v>0.40930832361719083</c:v>
                </c:pt>
                <c:pt idx="3">
                  <c:v>0.43560217098493886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4F-4EF3-BF68-1F1252F2D549}"/>
            </c:ext>
          </c:extLst>
        </c:ser>
        <c:ser>
          <c:idx val="3"/>
          <c:order val="3"/>
          <c:tx>
            <c:strRef>
              <c:f>'Graphing Values'!$J$20</c:f>
              <c:strCache>
                <c:ptCount val="1"/>
                <c:pt idx="0">
                  <c:v>STRA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'Graphing Values'!$B$21:$B$24</c:f>
              <c:strCache>
                <c:ptCount val="4"/>
                <c:pt idx="0">
                  <c:v>1 Year</c:v>
                </c:pt>
                <c:pt idx="1">
                  <c:v>2 Year</c:v>
                </c:pt>
                <c:pt idx="2">
                  <c:v>3 Year</c:v>
                </c:pt>
                <c:pt idx="3">
                  <c:v>5 Year</c:v>
                </c:pt>
              </c:strCache>
            </c:strRef>
          </c:cat>
          <c:val>
            <c:numRef>
              <c:f>'Graphing Values'!$J$21:$J$24</c:f>
              <c:numCache>
                <c:formatCode>0.00%</c:formatCode>
                <c:ptCount val="4"/>
                <c:pt idx="0">
                  <c:v>0</c:v>
                </c:pt>
                <c:pt idx="1">
                  <c:v>0.28886060275666181</c:v>
                </c:pt>
                <c:pt idx="2">
                  <c:v>0.35503776005339788</c:v>
                </c:pt>
                <c:pt idx="3">
                  <c:v>0.4430627839782233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69-44D5-8DCE-34EB089F00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44826096"/>
        <c:axId val="1144829424"/>
      </c:barChart>
      <c:catAx>
        <c:axId val="1144826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4829424"/>
        <c:crosses val="autoZero"/>
        <c:auto val="1"/>
        <c:lblAlgn val="ctr"/>
        <c:lblOffset val="100"/>
        <c:noMultiLvlLbl val="0"/>
      </c:catAx>
      <c:valAx>
        <c:axId val="1144829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4826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 b="1"/>
              <a:t>Information</a:t>
            </a:r>
            <a:r>
              <a:rPr lang="en-CA" b="1" baseline="0"/>
              <a:t> Ratio (Benchmark - </a:t>
            </a:r>
            <a:r>
              <a:rPr lang="en-CA" sz="1400" b="1" i="0" u="none" strike="noStrike" baseline="0">
                <a:effectLst/>
              </a:rPr>
              <a:t>S&amp;P 500/TSX Composite</a:t>
            </a:r>
            <a:r>
              <a:rPr lang="en-CA" b="1" baseline="0"/>
              <a:t>)</a:t>
            </a:r>
            <a:endParaRPr lang="en-CA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A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'Graphing Values'!$C$35</c:f>
              <c:strCache>
                <c:ptCount val="1"/>
                <c:pt idx="0">
                  <c:v>LRN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'Graphing Values'!$B$36:$B$39</c:f>
              <c:strCache>
                <c:ptCount val="4"/>
                <c:pt idx="0">
                  <c:v>1 Year</c:v>
                </c:pt>
                <c:pt idx="1">
                  <c:v>2 Year</c:v>
                </c:pt>
                <c:pt idx="2">
                  <c:v>3 Year</c:v>
                </c:pt>
                <c:pt idx="3">
                  <c:v>5 Year</c:v>
                </c:pt>
              </c:strCache>
            </c:strRef>
          </c:cat>
          <c:val>
            <c:numRef>
              <c:f>'Graphing Values'!$C$36:$C$39</c:f>
              <c:numCache>
                <c:formatCode>0.00%</c:formatCode>
                <c:ptCount val="4"/>
                <c:pt idx="0">
                  <c:v>0</c:v>
                </c:pt>
                <c:pt idx="1">
                  <c:v>9.6962536455029447E-3</c:v>
                </c:pt>
                <c:pt idx="2">
                  <c:v>2.1215713290698889E-2</c:v>
                </c:pt>
                <c:pt idx="3">
                  <c:v>9.250737181161069E-3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58-495E-946E-DD0380A7CB83}"/>
            </c:ext>
          </c:extLst>
        </c:ser>
        <c:ser>
          <c:idx val="1"/>
          <c:order val="1"/>
          <c:tx>
            <c:strRef>
              <c:f>'Graphing Values'!$D$35</c:f>
              <c:strCache>
                <c:ptCount val="1"/>
                <c:pt idx="0">
                  <c:v>NasdaqGS:LAUR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'Graphing Values'!$B$36:$B$39</c:f>
              <c:strCache>
                <c:ptCount val="4"/>
                <c:pt idx="0">
                  <c:v>1 Year</c:v>
                </c:pt>
                <c:pt idx="1">
                  <c:v>2 Year</c:v>
                </c:pt>
                <c:pt idx="2">
                  <c:v>3 Year</c:v>
                </c:pt>
                <c:pt idx="3">
                  <c:v>5 Year</c:v>
                </c:pt>
              </c:strCache>
            </c:strRef>
          </c:cat>
          <c:val>
            <c:numRef>
              <c:f>'Graphing Values'!$D$36:$D$39</c:f>
              <c:numCache>
                <c:formatCode>0.00%</c:formatCode>
                <c:ptCount val="4"/>
                <c:pt idx="0">
                  <c:v>0</c:v>
                </c:pt>
                <c:pt idx="1">
                  <c:v>1.7217177144804769E-2</c:v>
                </c:pt>
                <c:pt idx="2">
                  <c:v>8.0394308132164961E-3</c:v>
                </c:pt>
                <c:pt idx="3">
                  <c:v>-2.3489210447832816E-2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58-495E-946E-DD0380A7CB83}"/>
            </c:ext>
          </c:extLst>
        </c:ser>
        <c:ser>
          <c:idx val="2"/>
          <c:order val="2"/>
          <c:tx>
            <c:strRef>
              <c:f>'Graphing Values'!$E$35</c:f>
              <c:strCache>
                <c:ptCount val="1"/>
                <c:pt idx="0">
                  <c:v>ATGE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'Graphing Values'!$B$36:$B$39</c:f>
              <c:strCache>
                <c:ptCount val="4"/>
                <c:pt idx="0">
                  <c:v>1 Year</c:v>
                </c:pt>
                <c:pt idx="1">
                  <c:v>2 Year</c:v>
                </c:pt>
                <c:pt idx="2">
                  <c:v>3 Year</c:v>
                </c:pt>
                <c:pt idx="3">
                  <c:v>5 Year</c:v>
                </c:pt>
              </c:strCache>
            </c:strRef>
          </c:cat>
          <c:val>
            <c:numRef>
              <c:f>'Graphing Values'!$E$36:$E$39</c:f>
              <c:numCache>
                <c:formatCode>0.00%</c:formatCode>
                <c:ptCount val="4"/>
                <c:pt idx="0">
                  <c:v>0</c:v>
                </c:pt>
                <c:pt idx="1">
                  <c:v>-6.4515510001905488E-2</c:v>
                </c:pt>
                <c:pt idx="2">
                  <c:v>2.061932766068228E-2</c:v>
                </c:pt>
                <c:pt idx="3">
                  <c:v>-1.5812788403398156E-2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58-495E-946E-DD0380A7CB83}"/>
            </c:ext>
          </c:extLst>
        </c:ser>
        <c:ser>
          <c:idx val="3"/>
          <c:order val="3"/>
          <c:tx>
            <c:strRef>
              <c:f>'Graphing Values'!$F$35</c:f>
              <c:strCache>
                <c:ptCount val="1"/>
                <c:pt idx="0">
                  <c:v>STRA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'Graphing Values'!$B$36:$B$39</c:f>
              <c:strCache>
                <c:ptCount val="4"/>
                <c:pt idx="0">
                  <c:v>1 Year</c:v>
                </c:pt>
                <c:pt idx="1">
                  <c:v>2 Year</c:v>
                </c:pt>
                <c:pt idx="2">
                  <c:v>3 Year</c:v>
                </c:pt>
                <c:pt idx="3">
                  <c:v>5 Year</c:v>
                </c:pt>
              </c:strCache>
            </c:strRef>
          </c:cat>
          <c:val>
            <c:numRef>
              <c:f>'Graphing Values'!$F$36:$F$39</c:f>
              <c:numCache>
                <c:formatCode>0.00%</c:formatCode>
                <c:ptCount val="4"/>
                <c:pt idx="0">
                  <c:v>0</c:v>
                </c:pt>
                <c:pt idx="1">
                  <c:v>-0.17509801080780427</c:v>
                </c:pt>
                <c:pt idx="2">
                  <c:v>2.3812766318116227E-2</c:v>
                </c:pt>
                <c:pt idx="3">
                  <c:v>-5.3787279887240406E-2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E-43A0-8B87-80057754E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44826096"/>
        <c:axId val="1144829424"/>
      </c:barChart>
      <c:catAx>
        <c:axId val="1144826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4829424"/>
        <c:crosses val="autoZero"/>
        <c:auto val="1"/>
        <c:lblAlgn val="ctr"/>
        <c:lblOffset val="100"/>
        <c:noMultiLvlLbl val="0"/>
      </c:catAx>
      <c:valAx>
        <c:axId val="1144829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4826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 b="1"/>
              <a:t>Kurtosis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'Graphing Values'!$C$50</c:f>
              <c:strCache>
                <c:ptCount val="1"/>
                <c:pt idx="0">
                  <c:v>LRN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'Graphing Values'!$B$51:$B$54</c:f>
              <c:strCache>
                <c:ptCount val="4"/>
                <c:pt idx="0">
                  <c:v>1 Year</c:v>
                </c:pt>
                <c:pt idx="1">
                  <c:v>2 Year</c:v>
                </c:pt>
                <c:pt idx="2">
                  <c:v>3 Year</c:v>
                </c:pt>
                <c:pt idx="3">
                  <c:v>5 Year</c:v>
                </c:pt>
              </c:strCache>
            </c:strRef>
          </c:cat>
          <c:val>
            <c:numRef>
              <c:f>'Graphing Values'!$C$51:$C$54</c:f>
              <c:numCache>
                <c:formatCode>0.000</c:formatCode>
                <c:ptCount val="4"/>
                <c:pt idx="0">
                  <c:v>0</c:v>
                </c:pt>
                <c:pt idx="1">
                  <c:v>42.182647521106993</c:v>
                </c:pt>
                <c:pt idx="2">
                  <c:v>43.439587263499895</c:v>
                </c:pt>
                <c:pt idx="3">
                  <c:v>17.440665984199164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A6-4878-B387-A9AA40819AE8}"/>
            </c:ext>
          </c:extLst>
        </c:ser>
        <c:ser>
          <c:idx val="1"/>
          <c:order val="1"/>
          <c:tx>
            <c:strRef>
              <c:f>'Graphing Values'!$D$50</c:f>
              <c:strCache>
                <c:ptCount val="1"/>
                <c:pt idx="0">
                  <c:v>NasdaqGS:LAUR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'Graphing Values'!$B$51:$B$54</c:f>
              <c:strCache>
                <c:ptCount val="4"/>
                <c:pt idx="0">
                  <c:v>1 Year</c:v>
                </c:pt>
                <c:pt idx="1">
                  <c:v>2 Year</c:v>
                </c:pt>
                <c:pt idx="2">
                  <c:v>3 Year</c:v>
                </c:pt>
                <c:pt idx="3">
                  <c:v>5 Year</c:v>
                </c:pt>
              </c:strCache>
            </c:strRef>
          </c:cat>
          <c:val>
            <c:numRef>
              <c:f>'Graphing Values'!$D$51:$D$54</c:f>
              <c:numCache>
                <c:formatCode>0.000</c:formatCode>
                <c:ptCount val="4"/>
                <c:pt idx="0">
                  <c:v>0</c:v>
                </c:pt>
                <c:pt idx="1">
                  <c:v>21.019305865633562</c:v>
                </c:pt>
                <c:pt idx="2">
                  <c:v>7.5092122061177839</c:v>
                </c:pt>
                <c:pt idx="3">
                  <c:v>62.804956374247467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A6-4878-B387-A9AA40819AE8}"/>
            </c:ext>
          </c:extLst>
        </c:ser>
        <c:ser>
          <c:idx val="2"/>
          <c:order val="2"/>
          <c:tx>
            <c:strRef>
              <c:f>'Graphing Values'!$E$50</c:f>
              <c:strCache>
                <c:ptCount val="1"/>
                <c:pt idx="0">
                  <c:v>ATGE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'Graphing Values'!$B$51:$B$54</c:f>
              <c:strCache>
                <c:ptCount val="4"/>
                <c:pt idx="0">
                  <c:v>1 Year</c:v>
                </c:pt>
                <c:pt idx="1">
                  <c:v>2 Year</c:v>
                </c:pt>
                <c:pt idx="2">
                  <c:v>3 Year</c:v>
                </c:pt>
                <c:pt idx="3">
                  <c:v>5 Year</c:v>
                </c:pt>
              </c:strCache>
            </c:strRef>
          </c:cat>
          <c:val>
            <c:numRef>
              <c:f>'Graphing Values'!$E$51:$E$54</c:f>
              <c:numCache>
                <c:formatCode>0.000</c:formatCode>
                <c:ptCount val="4"/>
                <c:pt idx="0">
                  <c:v>0</c:v>
                </c:pt>
                <c:pt idx="1">
                  <c:v>9.1307801142117526</c:v>
                </c:pt>
                <c:pt idx="2">
                  <c:v>7.2986609777175815</c:v>
                </c:pt>
                <c:pt idx="3">
                  <c:v>7.242027345974881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A6-4878-B387-A9AA40819AE8}"/>
            </c:ext>
          </c:extLst>
        </c:ser>
        <c:ser>
          <c:idx val="3"/>
          <c:order val="3"/>
          <c:tx>
            <c:strRef>
              <c:f>'Graphing Values'!$F$50</c:f>
              <c:strCache>
                <c:ptCount val="1"/>
                <c:pt idx="0">
                  <c:v>STRA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'Graphing Values'!$B$51:$B$54</c:f>
              <c:strCache>
                <c:ptCount val="4"/>
                <c:pt idx="0">
                  <c:v>1 Year</c:v>
                </c:pt>
                <c:pt idx="1">
                  <c:v>2 Year</c:v>
                </c:pt>
                <c:pt idx="2">
                  <c:v>3 Year</c:v>
                </c:pt>
                <c:pt idx="3">
                  <c:v>5 Year</c:v>
                </c:pt>
              </c:strCache>
            </c:strRef>
          </c:cat>
          <c:val>
            <c:numRef>
              <c:f>'Graphing Values'!$F$51:$F$54</c:f>
              <c:numCache>
                <c:formatCode>0.000</c:formatCode>
                <c:ptCount val="4"/>
                <c:pt idx="0">
                  <c:v>0</c:v>
                </c:pt>
                <c:pt idx="1">
                  <c:v>4.1606159907137865</c:v>
                </c:pt>
                <c:pt idx="2">
                  <c:v>16.19691045166612</c:v>
                </c:pt>
                <c:pt idx="3">
                  <c:v>10.06455804776841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3C-420F-AE8F-8D77407D9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44826096"/>
        <c:axId val="1144829424"/>
      </c:barChart>
      <c:catAx>
        <c:axId val="1144826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4829424"/>
        <c:crosses val="autoZero"/>
        <c:auto val="1"/>
        <c:lblAlgn val="ctr"/>
        <c:lblOffset val="100"/>
        <c:noMultiLvlLbl val="0"/>
      </c:catAx>
      <c:valAx>
        <c:axId val="1144829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4826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 b="1"/>
              <a:t>Skewness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'Graphing Values'!$G$50</c:f>
              <c:strCache>
                <c:ptCount val="1"/>
                <c:pt idx="0">
                  <c:v>LRN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'Graphing Values'!$B$51:$B$54</c:f>
              <c:strCache>
                <c:ptCount val="4"/>
                <c:pt idx="0">
                  <c:v>1 Year</c:v>
                </c:pt>
                <c:pt idx="1">
                  <c:v>2 Year</c:v>
                </c:pt>
                <c:pt idx="2">
                  <c:v>3 Year</c:v>
                </c:pt>
                <c:pt idx="3">
                  <c:v>5 Year</c:v>
                </c:pt>
              </c:strCache>
            </c:strRef>
          </c:cat>
          <c:val>
            <c:numRef>
              <c:f>'Graphing Values'!$G$51:$G$54</c:f>
              <c:numCache>
                <c:formatCode>0.000</c:formatCode>
                <c:ptCount val="4"/>
                <c:pt idx="0">
                  <c:v>0</c:v>
                </c:pt>
                <c:pt idx="1">
                  <c:v>5.382058386998148</c:v>
                </c:pt>
                <c:pt idx="2">
                  <c:v>-1.0472131995331322</c:v>
                </c:pt>
                <c:pt idx="3">
                  <c:v>-0.40184078392066008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D5-4DB5-B9E8-32954FEE8B65}"/>
            </c:ext>
          </c:extLst>
        </c:ser>
        <c:ser>
          <c:idx val="1"/>
          <c:order val="1"/>
          <c:tx>
            <c:strRef>
              <c:f>'Graphing Values'!$H$50</c:f>
              <c:strCache>
                <c:ptCount val="1"/>
                <c:pt idx="0">
                  <c:v>NasdaqGS:LAUR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'Graphing Values'!$B$51:$B$54</c:f>
              <c:strCache>
                <c:ptCount val="4"/>
                <c:pt idx="0">
                  <c:v>1 Year</c:v>
                </c:pt>
                <c:pt idx="1">
                  <c:v>2 Year</c:v>
                </c:pt>
                <c:pt idx="2">
                  <c:v>3 Year</c:v>
                </c:pt>
                <c:pt idx="3">
                  <c:v>5 Year</c:v>
                </c:pt>
              </c:strCache>
            </c:strRef>
          </c:cat>
          <c:val>
            <c:numRef>
              <c:f>'Graphing Values'!$H$51:$H$54</c:f>
              <c:numCache>
                <c:formatCode>0.000</c:formatCode>
                <c:ptCount val="4"/>
                <c:pt idx="0">
                  <c:v>0</c:v>
                </c:pt>
                <c:pt idx="1">
                  <c:v>2.9763996477873014</c:v>
                </c:pt>
                <c:pt idx="2">
                  <c:v>0.19164652137626664</c:v>
                </c:pt>
                <c:pt idx="3">
                  <c:v>-3.68538746408912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BD5-4DB5-B9E8-32954FEE8B65}"/>
            </c:ext>
          </c:extLst>
        </c:ser>
        <c:ser>
          <c:idx val="2"/>
          <c:order val="2"/>
          <c:tx>
            <c:strRef>
              <c:f>'Graphing Values'!$I$50</c:f>
              <c:strCache>
                <c:ptCount val="1"/>
                <c:pt idx="0">
                  <c:v>ATGE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'Graphing Values'!$B$51:$B$54</c:f>
              <c:strCache>
                <c:ptCount val="4"/>
                <c:pt idx="0">
                  <c:v>1 Year</c:v>
                </c:pt>
                <c:pt idx="1">
                  <c:v>2 Year</c:v>
                </c:pt>
                <c:pt idx="2">
                  <c:v>3 Year</c:v>
                </c:pt>
                <c:pt idx="3">
                  <c:v>5 Year</c:v>
                </c:pt>
              </c:strCache>
            </c:strRef>
          </c:cat>
          <c:val>
            <c:numRef>
              <c:f>'Graphing Values'!$I$51:$I$54</c:f>
              <c:numCache>
                <c:formatCode>0.000</c:formatCode>
                <c:ptCount val="4"/>
                <c:pt idx="0">
                  <c:v>0</c:v>
                </c:pt>
                <c:pt idx="1">
                  <c:v>1.5488227976671958</c:v>
                </c:pt>
                <c:pt idx="2">
                  <c:v>0.24509606482210802</c:v>
                </c:pt>
                <c:pt idx="3">
                  <c:v>-0.63793684082269864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BD5-4DB5-B9E8-32954FEE8B65}"/>
            </c:ext>
          </c:extLst>
        </c:ser>
        <c:ser>
          <c:idx val="3"/>
          <c:order val="3"/>
          <c:tx>
            <c:strRef>
              <c:f>'Graphing Values'!$J$50</c:f>
              <c:strCache>
                <c:ptCount val="1"/>
                <c:pt idx="0">
                  <c:v>STRA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'Graphing Values'!$B$51:$B$54</c:f>
              <c:strCache>
                <c:ptCount val="4"/>
                <c:pt idx="0">
                  <c:v>1 Year</c:v>
                </c:pt>
                <c:pt idx="1">
                  <c:v>2 Year</c:v>
                </c:pt>
                <c:pt idx="2">
                  <c:v>3 Year</c:v>
                </c:pt>
                <c:pt idx="3">
                  <c:v>5 Year</c:v>
                </c:pt>
              </c:strCache>
            </c:strRef>
          </c:cat>
          <c:val>
            <c:numRef>
              <c:f>'Graphing Values'!$J$51:$J$54</c:f>
              <c:numCache>
                <c:formatCode>0.000</c:formatCode>
                <c:ptCount val="4"/>
                <c:pt idx="0">
                  <c:v>0</c:v>
                </c:pt>
                <c:pt idx="1">
                  <c:v>-1.3344372478757525</c:v>
                </c:pt>
                <c:pt idx="2">
                  <c:v>1.7032506402411691</c:v>
                </c:pt>
                <c:pt idx="3">
                  <c:v>-0.13184497529142278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69-4CD1-8C17-CDAE4EF219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44826096"/>
        <c:axId val="1144829424"/>
      </c:barChart>
      <c:catAx>
        <c:axId val="1144826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4829424"/>
        <c:crosses val="autoZero"/>
        <c:auto val="1"/>
        <c:lblAlgn val="ctr"/>
        <c:lblOffset val="100"/>
        <c:noMultiLvlLbl val="0"/>
      </c:catAx>
      <c:valAx>
        <c:axId val="1144829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4826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 b="1" baseline="0"/>
              <a:t>Average Drawdown Per Share</a:t>
            </a:r>
            <a:endParaRPr lang="en-CA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A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'Graphing Values'!$C$65</c:f>
              <c:strCache>
                <c:ptCount val="1"/>
                <c:pt idx="0">
                  <c:v>LRN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'Graphing Values'!$B$66:$B$69</c:f>
              <c:strCache>
                <c:ptCount val="4"/>
                <c:pt idx="0">
                  <c:v>1 Year</c:v>
                </c:pt>
                <c:pt idx="1">
                  <c:v>2 Year</c:v>
                </c:pt>
                <c:pt idx="2">
                  <c:v>3 Year</c:v>
                </c:pt>
                <c:pt idx="3">
                  <c:v>5 Year</c:v>
                </c:pt>
              </c:strCache>
            </c:strRef>
          </c:cat>
          <c:val>
            <c:numRef>
              <c:f>'Graphing Values'!$C$66:$C$69</c:f>
              <c:numCache>
                <c:formatCode>"$"#,##0.00</c:formatCode>
                <c:ptCount val="4"/>
                <c:pt idx="0">
                  <c:v>0</c:v>
                </c:pt>
                <c:pt idx="1">
                  <c:v>-11.322543859649123</c:v>
                </c:pt>
                <c:pt idx="2">
                  <c:v>-13.654657534246574</c:v>
                </c:pt>
                <c:pt idx="3">
                  <c:v>-16.769044879171464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B7-40F5-9C7D-9CE8DA1A4BAD}"/>
            </c:ext>
          </c:extLst>
        </c:ser>
        <c:ser>
          <c:idx val="1"/>
          <c:order val="1"/>
          <c:tx>
            <c:strRef>
              <c:f>'Graphing Values'!$D$65</c:f>
              <c:strCache>
                <c:ptCount val="1"/>
                <c:pt idx="0">
                  <c:v>NasdaqGS:LAUR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'Graphing Values'!$B$66:$B$69</c:f>
              <c:strCache>
                <c:ptCount val="4"/>
                <c:pt idx="0">
                  <c:v>1 Year</c:v>
                </c:pt>
                <c:pt idx="1">
                  <c:v>2 Year</c:v>
                </c:pt>
                <c:pt idx="2">
                  <c:v>3 Year</c:v>
                </c:pt>
                <c:pt idx="3">
                  <c:v>5 Year</c:v>
                </c:pt>
              </c:strCache>
            </c:strRef>
          </c:cat>
          <c:val>
            <c:numRef>
              <c:f>'Graphing Values'!$D$66:$D$69</c:f>
              <c:numCache>
                <c:formatCode>"$"#,##0.00</c:formatCode>
                <c:ptCount val="4"/>
                <c:pt idx="0">
                  <c:v>0</c:v>
                </c:pt>
                <c:pt idx="1">
                  <c:v>-9.9607391304347885</c:v>
                </c:pt>
                <c:pt idx="2">
                  <c:v>-10.11445355191257</c:v>
                </c:pt>
                <c:pt idx="3">
                  <c:v>-8.8703908045977009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B7-40F5-9C7D-9CE8DA1A4BAD}"/>
            </c:ext>
          </c:extLst>
        </c:ser>
        <c:ser>
          <c:idx val="2"/>
          <c:order val="2"/>
          <c:tx>
            <c:strRef>
              <c:f>'Graphing Values'!$E$65</c:f>
              <c:strCache>
                <c:ptCount val="1"/>
                <c:pt idx="0">
                  <c:v>ATGE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'Graphing Values'!$B$66:$B$69</c:f>
              <c:strCache>
                <c:ptCount val="4"/>
                <c:pt idx="0">
                  <c:v>1 Year</c:v>
                </c:pt>
                <c:pt idx="1">
                  <c:v>2 Year</c:v>
                </c:pt>
                <c:pt idx="2">
                  <c:v>3 Year</c:v>
                </c:pt>
                <c:pt idx="3">
                  <c:v>5 Year</c:v>
                </c:pt>
              </c:strCache>
            </c:strRef>
          </c:cat>
          <c:val>
            <c:numRef>
              <c:f>'Graphing Values'!$E$66:$E$69</c:f>
              <c:numCache>
                <c:formatCode>"$"#,##0.00</c:formatCode>
                <c:ptCount val="4"/>
                <c:pt idx="0">
                  <c:v>0</c:v>
                </c:pt>
                <c:pt idx="1">
                  <c:v>-18.813596491228061</c:v>
                </c:pt>
                <c:pt idx="2">
                  <c:v>-22.329397260273961</c:v>
                </c:pt>
                <c:pt idx="3">
                  <c:v>-23.591852704257757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9B7-40F5-9C7D-9CE8DA1A4BAD}"/>
            </c:ext>
          </c:extLst>
        </c:ser>
        <c:ser>
          <c:idx val="3"/>
          <c:order val="3"/>
          <c:tx>
            <c:strRef>
              <c:f>'Graphing Values'!$F$65</c:f>
              <c:strCache>
                <c:ptCount val="1"/>
                <c:pt idx="0">
                  <c:v>STRA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'Graphing Values'!$B$66:$B$69</c:f>
              <c:strCache>
                <c:ptCount val="4"/>
                <c:pt idx="0">
                  <c:v>1 Year</c:v>
                </c:pt>
                <c:pt idx="1">
                  <c:v>2 Year</c:v>
                </c:pt>
                <c:pt idx="2">
                  <c:v>3 Year</c:v>
                </c:pt>
                <c:pt idx="3">
                  <c:v>5 Year</c:v>
                </c:pt>
              </c:strCache>
            </c:strRef>
          </c:cat>
          <c:val>
            <c:numRef>
              <c:f>'Graphing Values'!$F$66:$F$69</c:f>
              <c:numCache>
                <c:formatCode>"$"#,##0.00</c:formatCode>
                <c:ptCount val="4"/>
                <c:pt idx="0">
                  <c:v>0</c:v>
                </c:pt>
                <c:pt idx="1">
                  <c:v>-103.10561403508777</c:v>
                </c:pt>
                <c:pt idx="2">
                  <c:v>-114.88731506849325</c:v>
                </c:pt>
                <c:pt idx="3">
                  <c:v>-98.612186421173874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E4-4EC1-9996-9481FAE4CB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44826096"/>
        <c:axId val="1144829424"/>
      </c:barChart>
      <c:catAx>
        <c:axId val="1144826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4829424"/>
        <c:crosses val="autoZero"/>
        <c:auto val="1"/>
        <c:lblAlgn val="ctr"/>
        <c:lblOffset val="100"/>
        <c:noMultiLvlLbl val="0"/>
      </c:catAx>
      <c:valAx>
        <c:axId val="1144829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4826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 b="1"/>
              <a:t>Average Drawdown By Percentage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'Graphing Values'!$G$65</c:f>
              <c:strCache>
                <c:ptCount val="1"/>
                <c:pt idx="0">
                  <c:v>LRN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'Graphing Values'!$B$66:$B$69</c:f>
              <c:strCache>
                <c:ptCount val="4"/>
                <c:pt idx="0">
                  <c:v>1 Year</c:v>
                </c:pt>
                <c:pt idx="1">
                  <c:v>2 Year</c:v>
                </c:pt>
                <c:pt idx="2">
                  <c:v>3 Year</c:v>
                </c:pt>
                <c:pt idx="3">
                  <c:v>5 Year</c:v>
                </c:pt>
              </c:strCache>
            </c:strRef>
          </c:cat>
          <c:val>
            <c:numRef>
              <c:f>'Graphing Values'!$G$66:$G$69</c:f>
              <c:numCache>
                <c:formatCode>0.00%</c:formatCode>
                <c:ptCount val="4"/>
                <c:pt idx="0">
                  <c:v>0</c:v>
                </c:pt>
                <c:pt idx="1">
                  <c:v>-0.21942914456684348</c:v>
                </c:pt>
                <c:pt idx="2">
                  <c:v>-0.26462514601253051</c:v>
                </c:pt>
                <c:pt idx="3">
                  <c:v>-0.34087288916473485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9-4CE1-8B07-BA7260A9E548}"/>
            </c:ext>
          </c:extLst>
        </c:ser>
        <c:ser>
          <c:idx val="1"/>
          <c:order val="1"/>
          <c:tx>
            <c:strRef>
              <c:f>'Graphing Values'!$H$65</c:f>
              <c:strCache>
                <c:ptCount val="1"/>
                <c:pt idx="0">
                  <c:v>NasdaqGS:LAUR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'Graphing Values'!$B$66:$B$69</c:f>
              <c:strCache>
                <c:ptCount val="4"/>
                <c:pt idx="0">
                  <c:v>1 Year</c:v>
                </c:pt>
                <c:pt idx="1">
                  <c:v>2 Year</c:v>
                </c:pt>
                <c:pt idx="2">
                  <c:v>3 Year</c:v>
                </c:pt>
                <c:pt idx="3">
                  <c:v>5 Year</c:v>
                </c:pt>
              </c:strCache>
            </c:strRef>
          </c:cat>
          <c:val>
            <c:numRef>
              <c:f>'Graphing Values'!$H$66:$H$69</c:f>
              <c:numCache>
                <c:formatCode>0.00%</c:formatCode>
                <c:ptCount val="4"/>
                <c:pt idx="0">
                  <c:v>0</c:v>
                </c:pt>
                <c:pt idx="1">
                  <c:v>-0.46071873868801022</c:v>
                </c:pt>
                <c:pt idx="2">
                  <c:v>-0.46782856391825017</c:v>
                </c:pt>
                <c:pt idx="3">
                  <c:v>-0.41031568550672126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B9-4CE1-8B07-BA7260A9E548}"/>
            </c:ext>
          </c:extLst>
        </c:ser>
        <c:ser>
          <c:idx val="2"/>
          <c:order val="2"/>
          <c:tx>
            <c:strRef>
              <c:f>'Graphing Values'!$I$65</c:f>
              <c:strCache>
                <c:ptCount val="1"/>
                <c:pt idx="0">
                  <c:v>ATGE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'Graphing Values'!$B$66:$B$69</c:f>
              <c:strCache>
                <c:ptCount val="4"/>
                <c:pt idx="0">
                  <c:v>1 Year</c:v>
                </c:pt>
                <c:pt idx="1">
                  <c:v>2 Year</c:v>
                </c:pt>
                <c:pt idx="2">
                  <c:v>3 Year</c:v>
                </c:pt>
                <c:pt idx="3">
                  <c:v>5 Year</c:v>
                </c:pt>
              </c:strCache>
            </c:strRef>
          </c:cat>
          <c:val>
            <c:numRef>
              <c:f>'Graphing Values'!$I$66:$I$69</c:f>
              <c:numCache>
                <c:formatCode>0.00%</c:formatCode>
                <c:ptCount val="4"/>
                <c:pt idx="0">
                  <c:v>0</c:v>
                </c:pt>
                <c:pt idx="1">
                  <c:v>-0.32347999469099142</c:v>
                </c:pt>
                <c:pt idx="2">
                  <c:v>-0.38393048934446267</c:v>
                </c:pt>
                <c:pt idx="3">
                  <c:v>-0.40563708226027845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B9-4CE1-8B07-BA7260A9E548}"/>
            </c:ext>
          </c:extLst>
        </c:ser>
        <c:ser>
          <c:idx val="3"/>
          <c:order val="3"/>
          <c:tx>
            <c:strRef>
              <c:f>'Graphing Values'!$J$65</c:f>
              <c:strCache>
                <c:ptCount val="1"/>
                <c:pt idx="0">
                  <c:v>STRA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'Graphing Values'!$B$66:$B$69</c:f>
              <c:strCache>
                <c:ptCount val="4"/>
                <c:pt idx="0">
                  <c:v>1 Year</c:v>
                </c:pt>
                <c:pt idx="1">
                  <c:v>2 Year</c:v>
                </c:pt>
                <c:pt idx="2">
                  <c:v>3 Year</c:v>
                </c:pt>
                <c:pt idx="3">
                  <c:v>5 Year</c:v>
                </c:pt>
              </c:strCache>
            </c:strRef>
          </c:cat>
          <c:val>
            <c:numRef>
              <c:f>'Graphing Values'!$J$66:$J$69</c:f>
              <c:numCache>
                <c:formatCode>0.00%</c:formatCode>
                <c:ptCount val="4"/>
                <c:pt idx="0">
                  <c:v>-0.52442132748975645</c:v>
                </c:pt>
                <c:pt idx="1">
                  <c:v>-0.5483174539198451</c:v>
                </c:pt>
                <c:pt idx="2">
                  <c:v>-0.61097274552485181</c:v>
                </c:pt>
                <c:pt idx="3">
                  <c:v>-0.52442132748975645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E7-47BE-A716-A3F63337E7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44826096"/>
        <c:axId val="1144829424"/>
      </c:barChart>
      <c:catAx>
        <c:axId val="1144826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4829424"/>
        <c:crosses val="autoZero"/>
        <c:auto val="1"/>
        <c:lblAlgn val="ctr"/>
        <c:lblOffset val="100"/>
        <c:noMultiLvlLbl val="0"/>
      </c:catAx>
      <c:valAx>
        <c:axId val="1144829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4826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 b="1"/>
              <a:t>Sharpe</a:t>
            </a:r>
            <a:r>
              <a:rPr lang="en-CA" b="1" baseline="0"/>
              <a:t> Ratio</a:t>
            </a:r>
            <a:endParaRPr lang="en-CA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A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'Graphing Values'!$G$34:$G$35</c:f>
              <c:strCache>
                <c:ptCount val="2"/>
                <c:pt idx="0">
                  <c:v>Sharpe Ratio</c:v>
                </c:pt>
                <c:pt idx="1">
                  <c:v>LRN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'Graphing Values'!$B$36:$B$39</c:f>
              <c:strCache>
                <c:ptCount val="4"/>
                <c:pt idx="0">
                  <c:v>1 Year</c:v>
                </c:pt>
                <c:pt idx="1">
                  <c:v>2 Year</c:v>
                </c:pt>
                <c:pt idx="2">
                  <c:v>3 Year</c:v>
                </c:pt>
                <c:pt idx="3">
                  <c:v>5 Year</c:v>
                </c:pt>
              </c:strCache>
            </c:strRef>
          </c:cat>
          <c:val>
            <c:numRef>
              <c:f>'Graphing Values'!$G$36:$G$39</c:f>
              <c:numCache>
                <c:formatCode>0.00%</c:formatCode>
                <c:ptCount val="4"/>
                <c:pt idx="0">
                  <c:v>0</c:v>
                </c:pt>
                <c:pt idx="1">
                  <c:v>5.3362461501019323E-2</c:v>
                </c:pt>
                <c:pt idx="2">
                  <c:v>5.7598602990981816E-2</c:v>
                </c:pt>
                <c:pt idx="3">
                  <c:v>7.2877829589984885E-2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71-40F0-999D-9F364111BDB2}"/>
            </c:ext>
          </c:extLst>
        </c:ser>
        <c:ser>
          <c:idx val="1"/>
          <c:order val="1"/>
          <c:tx>
            <c:strRef>
              <c:f>'Graphing Values'!$H$34:$H$35</c:f>
              <c:strCache>
                <c:ptCount val="2"/>
                <c:pt idx="0">
                  <c:v>Sharpe Ratio</c:v>
                </c:pt>
                <c:pt idx="1">
                  <c:v>NasdaqGS:LAUR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'Graphing Values'!$B$36:$B$39</c:f>
              <c:strCache>
                <c:ptCount val="4"/>
                <c:pt idx="0">
                  <c:v>1 Year</c:v>
                </c:pt>
                <c:pt idx="1">
                  <c:v>2 Year</c:v>
                </c:pt>
                <c:pt idx="2">
                  <c:v>3 Year</c:v>
                </c:pt>
                <c:pt idx="3">
                  <c:v>5 Year</c:v>
                </c:pt>
              </c:strCache>
            </c:strRef>
          </c:cat>
          <c:val>
            <c:numRef>
              <c:f>'Graphing Values'!$H$36:$H$39</c:f>
              <c:numCache>
                <c:formatCode>0.00%</c:formatCode>
                <c:ptCount val="4"/>
                <c:pt idx="0">
                  <c:v>0</c:v>
                </c:pt>
                <c:pt idx="1">
                  <c:v>9.5358581502887674E-2</c:v>
                </c:pt>
                <c:pt idx="2">
                  <c:v>-7.5148253059541911E-2</c:v>
                </c:pt>
                <c:pt idx="3">
                  <c:v>-0.31392208779052733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371-40F0-999D-9F364111BDB2}"/>
            </c:ext>
          </c:extLst>
        </c:ser>
        <c:ser>
          <c:idx val="2"/>
          <c:order val="2"/>
          <c:tx>
            <c:strRef>
              <c:f>'Graphing Values'!$I$34:$I$35</c:f>
              <c:strCache>
                <c:ptCount val="2"/>
                <c:pt idx="0">
                  <c:v>Sharpe Ratio</c:v>
                </c:pt>
                <c:pt idx="1">
                  <c:v>ATGE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'Graphing Values'!$B$36:$B$39</c:f>
              <c:strCache>
                <c:ptCount val="4"/>
                <c:pt idx="0">
                  <c:v>1 Year</c:v>
                </c:pt>
                <c:pt idx="1">
                  <c:v>2 Year</c:v>
                </c:pt>
                <c:pt idx="2">
                  <c:v>3 Year</c:v>
                </c:pt>
                <c:pt idx="3">
                  <c:v>5 Year</c:v>
                </c:pt>
              </c:strCache>
            </c:strRef>
          </c:cat>
          <c:val>
            <c:numRef>
              <c:f>'Graphing Values'!$I$36:$I$39</c:f>
              <c:numCache>
                <c:formatCode>0.00%</c:formatCode>
                <c:ptCount val="4"/>
                <c:pt idx="0">
                  <c:v>0</c:v>
                </c:pt>
                <c:pt idx="1">
                  <c:v>-0.19894910220965156</c:v>
                </c:pt>
                <c:pt idx="2">
                  <c:v>3.7015015016369383E-2</c:v>
                </c:pt>
                <c:pt idx="3">
                  <c:v>-0.10805902099198919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371-40F0-999D-9F364111BDB2}"/>
            </c:ext>
          </c:extLst>
        </c:ser>
        <c:ser>
          <c:idx val="3"/>
          <c:order val="3"/>
          <c:tx>
            <c:strRef>
              <c:f>'Graphing Values'!$J$34:$J$35</c:f>
              <c:strCache>
                <c:ptCount val="2"/>
                <c:pt idx="0">
                  <c:v>Sharpe Ratio</c:v>
                </c:pt>
                <c:pt idx="1">
                  <c:v>STRA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'Graphing Values'!$B$36:$B$39</c:f>
              <c:strCache>
                <c:ptCount val="4"/>
                <c:pt idx="0">
                  <c:v>1 Year</c:v>
                </c:pt>
                <c:pt idx="1">
                  <c:v>2 Year</c:v>
                </c:pt>
                <c:pt idx="2">
                  <c:v>3 Year</c:v>
                </c:pt>
                <c:pt idx="3">
                  <c:v>5 Year</c:v>
                </c:pt>
              </c:strCache>
            </c:strRef>
          </c:cat>
          <c:val>
            <c:numRef>
              <c:f>'Graphing Values'!$J$36:$J$39</c:f>
              <c:numCache>
                <c:formatCode>0.00%</c:formatCode>
                <c:ptCount val="4"/>
                <c:pt idx="0">
                  <c:v>0</c:v>
                </c:pt>
                <c:pt idx="1">
                  <c:v>-0.68044904641860537</c:v>
                </c:pt>
                <c:pt idx="2">
                  <c:v>5.237915735390309E-2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371-40F0-999D-9F364111B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44826096"/>
        <c:axId val="1144829424"/>
      </c:barChart>
      <c:catAx>
        <c:axId val="1144826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4829424"/>
        <c:crosses val="autoZero"/>
        <c:auto val="1"/>
        <c:lblAlgn val="ctr"/>
        <c:lblOffset val="100"/>
        <c:noMultiLvlLbl val="0"/>
      </c:catAx>
      <c:valAx>
        <c:axId val="1144829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4826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 b="1"/>
              <a:t>Average </a:t>
            </a:r>
            <a:r>
              <a:rPr lang="en-CA" b="1" baseline="0"/>
              <a:t>Drawdown Per Share</a:t>
            </a:r>
            <a:endParaRPr lang="en-CA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A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'Graphing Values'!#REF!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3F-45A0-9C30-948D7F4ECAE2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'Graphing Values'!#REF!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43F-45A0-9C30-948D7F4ECAE2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'Graphing Values'!#REF!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43F-45A0-9C30-948D7F4ECAE2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'Graphing Values'!#REF!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43F-45A0-9C30-948D7F4EC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44826096"/>
        <c:axId val="1144829424"/>
      </c:lineChart>
      <c:catAx>
        <c:axId val="1144826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4829424"/>
        <c:crosses val="autoZero"/>
        <c:auto val="1"/>
        <c:lblAlgn val="ctr"/>
        <c:lblOffset val="100"/>
        <c:noMultiLvlLbl val="0"/>
      </c:catAx>
      <c:valAx>
        <c:axId val="1144829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4826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 b="1" i="0"/>
              <a:t>Average</a:t>
            </a:r>
            <a:r>
              <a:rPr lang="en-CA" b="1" i="0" baseline="0"/>
              <a:t> Return</a:t>
            </a:r>
            <a:endParaRPr lang="en-CA" b="1" i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A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'Graphing Values'!$C$26:$C$27</c:f>
              <c:strCache>
                <c:ptCount val="2"/>
                <c:pt idx="0">
                  <c:v>Average Returns</c:v>
                </c:pt>
                <c:pt idx="1">
                  <c:v>LRN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'Graphing Values'!$B$28:$B$31</c:f>
              <c:strCache>
                <c:ptCount val="4"/>
                <c:pt idx="0">
                  <c:v>1 Year</c:v>
                </c:pt>
                <c:pt idx="1">
                  <c:v>2 Year</c:v>
                </c:pt>
                <c:pt idx="2">
                  <c:v>3 Year</c:v>
                </c:pt>
                <c:pt idx="3">
                  <c:v>5 Year</c:v>
                </c:pt>
              </c:strCache>
            </c:strRef>
          </c:cat>
          <c:val>
            <c:numRef>
              <c:f>'Graphing Values'!$C$28:$C$31</c:f>
              <c:numCache>
                <c:formatCode>0.00%</c:formatCode>
                <c:ptCount val="4"/>
                <c:pt idx="0">
                  <c:v>0</c:v>
                </c:pt>
                <c:pt idx="1">
                  <c:v>6.9816394488166011E-2</c:v>
                </c:pt>
                <c:pt idx="2">
                  <c:v>7.0169273703970525E-2</c:v>
                </c:pt>
                <c:pt idx="3">
                  <c:v>7.7647931248399971E-2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A5-4584-A2AD-54532BAA2C9B}"/>
            </c:ext>
          </c:extLst>
        </c:ser>
        <c:ser>
          <c:idx val="1"/>
          <c:order val="1"/>
          <c:tx>
            <c:strRef>
              <c:f>'Graphing Values'!$D$26:$D$27</c:f>
              <c:strCache>
                <c:ptCount val="2"/>
                <c:pt idx="0">
                  <c:v>Average Returns</c:v>
                </c:pt>
                <c:pt idx="1">
                  <c:v>NasdaqGS:LAUR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'Graphing Values'!$B$28:$B$31</c:f>
              <c:strCache>
                <c:ptCount val="4"/>
                <c:pt idx="0">
                  <c:v>1 Year</c:v>
                </c:pt>
                <c:pt idx="1">
                  <c:v>2 Year</c:v>
                </c:pt>
                <c:pt idx="2">
                  <c:v>3 Year</c:v>
                </c:pt>
                <c:pt idx="3">
                  <c:v>5 Year</c:v>
                </c:pt>
              </c:strCache>
            </c:strRef>
          </c:cat>
          <c:val>
            <c:numRef>
              <c:f>'Graphing Values'!$D$28:$D$31</c:f>
              <c:numCache>
                <c:formatCode>0.00%</c:formatCode>
                <c:ptCount val="4"/>
                <c:pt idx="0">
                  <c:v>0</c:v>
                </c:pt>
                <c:pt idx="1">
                  <c:v>7.5373961201012474E-2</c:v>
                </c:pt>
                <c:pt idx="2">
                  <c:v>1.1603841779187718E-2</c:v>
                </c:pt>
                <c:pt idx="3">
                  <c:v>-0.14846041601746285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A5-4584-A2AD-54532BAA2C9B}"/>
            </c:ext>
          </c:extLst>
        </c:ser>
        <c:ser>
          <c:idx val="2"/>
          <c:order val="2"/>
          <c:tx>
            <c:strRef>
              <c:f>'Graphing Values'!$E$26:$E$27</c:f>
              <c:strCache>
                <c:ptCount val="2"/>
                <c:pt idx="0">
                  <c:v>Average Returns</c:v>
                </c:pt>
                <c:pt idx="1">
                  <c:v>ATGE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'Graphing Values'!$B$28:$B$31</c:f>
              <c:strCache>
                <c:ptCount val="4"/>
                <c:pt idx="0">
                  <c:v>1 Year</c:v>
                </c:pt>
                <c:pt idx="1">
                  <c:v>2 Year</c:v>
                </c:pt>
                <c:pt idx="2">
                  <c:v>3 Year</c:v>
                </c:pt>
                <c:pt idx="3">
                  <c:v>5 Year</c:v>
                </c:pt>
              </c:strCache>
            </c:strRef>
          </c:cat>
          <c:val>
            <c:numRef>
              <c:f>'Graphing Values'!$E$28:$E$31</c:f>
              <c:numCache>
                <c:formatCode>0.00%</c:formatCode>
                <c:ptCount val="4"/>
                <c:pt idx="0">
                  <c:v>0</c:v>
                </c:pt>
                <c:pt idx="1">
                  <c:v>-3.1941173751493412E-2</c:v>
                </c:pt>
                <c:pt idx="2">
                  <c:v>5.4350553745015295E-2</c:v>
                </c:pt>
                <c:pt idx="3">
                  <c:v>-1.0670744138617572E-2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A5-4584-A2AD-54532BAA2C9B}"/>
            </c:ext>
          </c:extLst>
        </c:ser>
        <c:ser>
          <c:idx val="3"/>
          <c:order val="3"/>
          <c:tx>
            <c:strRef>
              <c:f>'Graphing Values'!$F$26:$F$27</c:f>
              <c:strCache>
                <c:ptCount val="2"/>
                <c:pt idx="0">
                  <c:v>Average Returns</c:v>
                </c:pt>
                <c:pt idx="1">
                  <c:v>STRA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'Graphing Values'!$B$28:$B$31</c:f>
              <c:strCache>
                <c:ptCount val="4"/>
                <c:pt idx="0">
                  <c:v>1 Year</c:v>
                </c:pt>
                <c:pt idx="1">
                  <c:v>2 Year</c:v>
                </c:pt>
                <c:pt idx="2">
                  <c:v>3 Year</c:v>
                </c:pt>
                <c:pt idx="3">
                  <c:v>5 Year</c:v>
                </c:pt>
              </c:strCache>
            </c:strRef>
          </c:cat>
          <c:val>
            <c:numRef>
              <c:f>'Graphing Values'!$F$28:$F$31</c:f>
              <c:numCache>
                <c:formatCode>0.00%</c:formatCode>
                <c:ptCount val="4"/>
                <c:pt idx="0">
                  <c:v>0</c:v>
                </c:pt>
                <c:pt idx="1">
                  <c:v>-0.15185492169367409</c:v>
                </c:pt>
                <c:pt idx="2">
                  <c:v>5.7796578700414214E-2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A5-4584-A2AD-54532BAA2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95759312"/>
        <c:axId val="895754064"/>
      </c:barChart>
      <c:catAx>
        <c:axId val="895759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5754064"/>
        <c:crosses val="autoZero"/>
        <c:auto val="1"/>
        <c:lblAlgn val="ctr"/>
        <c:lblOffset val="100"/>
        <c:noMultiLvlLbl val="0"/>
      </c:catAx>
      <c:valAx>
        <c:axId val="89575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5759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Scaled</a:t>
            </a:r>
            <a:r>
              <a:rPr lang="en-US" altLang="zh-TW" baseline="0"/>
              <a:t> Stock Chart</a:t>
            </a:r>
            <a:endParaRPr lang="en-US" altLang="zh-TW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 altLang="zh-TW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'Stock Chart'!$B$1</c:f>
              <c:strCache>
                <c:ptCount val="1"/>
                <c:pt idx="0">
                  <c:v>LRN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'Stock Chart'!$A$2:$A$1256</c:f>
              <c:numCache>
                <c:formatCode>[$-409]mmm\-dd\-yyyy;@</c:formatCode>
                <c:ptCount val="1255"/>
                <c:pt idx="0">
                  <c:v>43286</c:v>
                </c:pt>
                <c:pt idx="1">
                  <c:v>43287</c:v>
                </c:pt>
                <c:pt idx="2">
                  <c:v>43290</c:v>
                </c:pt>
                <c:pt idx="3">
                  <c:v>43291</c:v>
                </c:pt>
                <c:pt idx="4">
                  <c:v>43292</c:v>
                </c:pt>
                <c:pt idx="5">
                  <c:v>43293</c:v>
                </c:pt>
                <c:pt idx="6">
                  <c:v>43294</c:v>
                </c:pt>
                <c:pt idx="7">
                  <c:v>43297</c:v>
                </c:pt>
                <c:pt idx="8">
                  <c:v>43298</c:v>
                </c:pt>
                <c:pt idx="9">
                  <c:v>43299</c:v>
                </c:pt>
                <c:pt idx="10">
                  <c:v>43300</c:v>
                </c:pt>
                <c:pt idx="11">
                  <c:v>43301</c:v>
                </c:pt>
                <c:pt idx="12">
                  <c:v>43304</c:v>
                </c:pt>
                <c:pt idx="13">
                  <c:v>43305</c:v>
                </c:pt>
                <c:pt idx="14">
                  <c:v>43306</c:v>
                </c:pt>
                <c:pt idx="15">
                  <c:v>43307</c:v>
                </c:pt>
                <c:pt idx="16">
                  <c:v>43308</c:v>
                </c:pt>
                <c:pt idx="17">
                  <c:v>43311</c:v>
                </c:pt>
                <c:pt idx="18">
                  <c:v>43312</c:v>
                </c:pt>
                <c:pt idx="19">
                  <c:v>43313</c:v>
                </c:pt>
                <c:pt idx="20">
                  <c:v>43314</c:v>
                </c:pt>
                <c:pt idx="21">
                  <c:v>43315</c:v>
                </c:pt>
                <c:pt idx="22">
                  <c:v>43318</c:v>
                </c:pt>
                <c:pt idx="23">
                  <c:v>43319</c:v>
                </c:pt>
                <c:pt idx="24">
                  <c:v>43320</c:v>
                </c:pt>
                <c:pt idx="25">
                  <c:v>43321</c:v>
                </c:pt>
                <c:pt idx="26">
                  <c:v>43322</c:v>
                </c:pt>
                <c:pt idx="27">
                  <c:v>43325</c:v>
                </c:pt>
                <c:pt idx="28">
                  <c:v>43326</c:v>
                </c:pt>
                <c:pt idx="29">
                  <c:v>43327</c:v>
                </c:pt>
                <c:pt idx="30">
                  <c:v>43328</c:v>
                </c:pt>
                <c:pt idx="31">
                  <c:v>43329</c:v>
                </c:pt>
                <c:pt idx="32">
                  <c:v>43332</c:v>
                </c:pt>
                <c:pt idx="33">
                  <c:v>43333</c:v>
                </c:pt>
                <c:pt idx="34">
                  <c:v>43334</c:v>
                </c:pt>
                <c:pt idx="35">
                  <c:v>43335</c:v>
                </c:pt>
                <c:pt idx="36">
                  <c:v>43336</c:v>
                </c:pt>
                <c:pt idx="37">
                  <c:v>43339</c:v>
                </c:pt>
                <c:pt idx="38">
                  <c:v>43340</c:v>
                </c:pt>
                <c:pt idx="39">
                  <c:v>43341</c:v>
                </c:pt>
                <c:pt idx="40">
                  <c:v>43342</c:v>
                </c:pt>
                <c:pt idx="41">
                  <c:v>43343</c:v>
                </c:pt>
                <c:pt idx="42">
                  <c:v>43347</c:v>
                </c:pt>
                <c:pt idx="43">
                  <c:v>43348</c:v>
                </c:pt>
                <c:pt idx="44">
                  <c:v>43349</c:v>
                </c:pt>
                <c:pt idx="45">
                  <c:v>43350</c:v>
                </c:pt>
                <c:pt idx="46">
                  <c:v>43353</c:v>
                </c:pt>
                <c:pt idx="47">
                  <c:v>43354</c:v>
                </c:pt>
                <c:pt idx="48">
                  <c:v>43355</c:v>
                </c:pt>
                <c:pt idx="49">
                  <c:v>43356</c:v>
                </c:pt>
                <c:pt idx="50">
                  <c:v>43357</c:v>
                </c:pt>
                <c:pt idx="51">
                  <c:v>43360</c:v>
                </c:pt>
                <c:pt idx="52">
                  <c:v>43361</c:v>
                </c:pt>
                <c:pt idx="53">
                  <c:v>43362</c:v>
                </c:pt>
                <c:pt idx="54">
                  <c:v>43363</c:v>
                </c:pt>
                <c:pt idx="55">
                  <c:v>43364</c:v>
                </c:pt>
                <c:pt idx="56">
                  <c:v>43367</c:v>
                </c:pt>
                <c:pt idx="57">
                  <c:v>43368</c:v>
                </c:pt>
                <c:pt idx="58">
                  <c:v>43369</c:v>
                </c:pt>
                <c:pt idx="59">
                  <c:v>43370</c:v>
                </c:pt>
                <c:pt idx="60">
                  <c:v>43371</c:v>
                </c:pt>
                <c:pt idx="61">
                  <c:v>43374</c:v>
                </c:pt>
                <c:pt idx="62">
                  <c:v>43375</c:v>
                </c:pt>
                <c:pt idx="63">
                  <c:v>43376</c:v>
                </c:pt>
                <c:pt idx="64">
                  <c:v>43377</c:v>
                </c:pt>
                <c:pt idx="65">
                  <c:v>43378</c:v>
                </c:pt>
                <c:pt idx="66">
                  <c:v>43381</c:v>
                </c:pt>
                <c:pt idx="67">
                  <c:v>43382</c:v>
                </c:pt>
                <c:pt idx="68">
                  <c:v>43383</c:v>
                </c:pt>
                <c:pt idx="69">
                  <c:v>43384</c:v>
                </c:pt>
                <c:pt idx="70">
                  <c:v>43385</c:v>
                </c:pt>
                <c:pt idx="71">
                  <c:v>43388</c:v>
                </c:pt>
                <c:pt idx="72">
                  <c:v>43389</c:v>
                </c:pt>
                <c:pt idx="73">
                  <c:v>43390</c:v>
                </c:pt>
                <c:pt idx="74">
                  <c:v>43391</c:v>
                </c:pt>
                <c:pt idx="75">
                  <c:v>43392</c:v>
                </c:pt>
                <c:pt idx="76">
                  <c:v>43395</c:v>
                </c:pt>
                <c:pt idx="77">
                  <c:v>43396</c:v>
                </c:pt>
                <c:pt idx="78">
                  <c:v>43397</c:v>
                </c:pt>
                <c:pt idx="79">
                  <c:v>43398</c:v>
                </c:pt>
                <c:pt idx="80">
                  <c:v>43399</c:v>
                </c:pt>
                <c:pt idx="81">
                  <c:v>43402</c:v>
                </c:pt>
                <c:pt idx="82">
                  <c:v>43403</c:v>
                </c:pt>
                <c:pt idx="83">
                  <c:v>43404</c:v>
                </c:pt>
                <c:pt idx="84">
                  <c:v>43405</c:v>
                </c:pt>
                <c:pt idx="85">
                  <c:v>43406</c:v>
                </c:pt>
                <c:pt idx="86">
                  <c:v>43409</c:v>
                </c:pt>
                <c:pt idx="87">
                  <c:v>43410</c:v>
                </c:pt>
                <c:pt idx="88">
                  <c:v>43411</c:v>
                </c:pt>
                <c:pt idx="89">
                  <c:v>43412</c:v>
                </c:pt>
                <c:pt idx="90">
                  <c:v>43413</c:v>
                </c:pt>
                <c:pt idx="91">
                  <c:v>43416</c:v>
                </c:pt>
                <c:pt idx="92">
                  <c:v>43417</c:v>
                </c:pt>
                <c:pt idx="93">
                  <c:v>43418</c:v>
                </c:pt>
                <c:pt idx="94">
                  <c:v>43419</c:v>
                </c:pt>
                <c:pt idx="95">
                  <c:v>43420</c:v>
                </c:pt>
                <c:pt idx="96">
                  <c:v>43423</c:v>
                </c:pt>
                <c:pt idx="97">
                  <c:v>43424</c:v>
                </c:pt>
                <c:pt idx="98">
                  <c:v>43425</c:v>
                </c:pt>
                <c:pt idx="99">
                  <c:v>43427</c:v>
                </c:pt>
                <c:pt idx="100">
                  <c:v>43430</c:v>
                </c:pt>
                <c:pt idx="101">
                  <c:v>43431</c:v>
                </c:pt>
                <c:pt idx="102">
                  <c:v>43432</c:v>
                </c:pt>
                <c:pt idx="103">
                  <c:v>43433</c:v>
                </c:pt>
                <c:pt idx="104">
                  <c:v>43434</c:v>
                </c:pt>
                <c:pt idx="105">
                  <c:v>43437</c:v>
                </c:pt>
                <c:pt idx="106">
                  <c:v>43438</c:v>
                </c:pt>
                <c:pt idx="107">
                  <c:v>43440</c:v>
                </c:pt>
                <c:pt idx="108">
                  <c:v>43441</c:v>
                </c:pt>
                <c:pt idx="109">
                  <c:v>43444</c:v>
                </c:pt>
                <c:pt idx="110">
                  <c:v>43445</c:v>
                </c:pt>
                <c:pt idx="111">
                  <c:v>43446</c:v>
                </c:pt>
                <c:pt idx="112">
                  <c:v>43447</c:v>
                </c:pt>
                <c:pt idx="113">
                  <c:v>43448</c:v>
                </c:pt>
                <c:pt idx="114">
                  <c:v>43451</c:v>
                </c:pt>
                <c:pt idx="115">
                  <c:v>43452</c:v>
                </c:pt>
                <c:pt idx="116">
                  <c:v>43453</c:v>
                </c:pt>
                <c:pt idx="117">
                  <c:v>43454</c:v>
                </c:pt>
                <c:pt idx="118">
                  <c:v>43455</c:v>
                </c:pt>
                <c:pt idx="119">
                  <c:v>43458</c:v>
                </c:pt>
                <c:pt idx="120">
                  <c:v>43460</c:v>
                </c:pt>
                <c:pt idx="121">
                  <c:v>43461</c:v>
                </c:pt>
                <c:pt idx="122">
                  <c:v>43462</c:v>
                </c:pt>
                <c:pt idx="123">
                  <c:v>43465</c:v>
                </c:pt>
                <c:pt idx="124">
                  <c:v>43467</c:v>
                </c:pt>
                <c:pt idx="125">
                  <c:v>43468</c:v>
                </c:pt>
                <c:pt idx="126">
                  <c:v>43469</c:v>
                </c:pt>
                <c:pt idx="127">
                  <c:v>43472</c:v>
                </c:pt>
                <c:pt idx="128">
                  <c:v>43473</c:v>
                </c:pt>
                <c:pt idx="129">
                  <c:v>43474</c:v>
                </c:pt>
                <c:pt idx="130">
                  <c:v>43475</c:v>
                </c:pt>
                <c:pt idx="131">
                  <c:v>43476</c:v>
                </c:pt>
                <c:pt idx="132">
                  <c:v>43479</c:v>
                </c:pt>
                <c:pt idx="133">
                  <c:v>43480</c:v>
                </c:pt>
                <c:pt idx="134">
                  <c:v>43481</c:v>
                </c:pt>
                <c:pt idx="135">
                  <c:v>43482</c:v>
                </c:pt>
                <c:pt idx="136">
                  <c:v>43483</c:v>
                </c:pt>
                <c:pt idx="137">
                  <c:v>43487</c:v>
                </c:pt>
                <c:pt idx="138">
                  <c:v>43488</c:v>
                </c:pt>
                <c:pt idx="139">
                  <c:v>43489</c:v>
                </c:pt>
                <c:pt idx="140">
                  <c:v>43490</c:v>
                </c:pt>
                <c:pt idx="141">
                  <c:v>43493</c:v>
                </c:pt>
                <c:pt idx="142">
                  <c:v>43494</c:v>
                </c:pt>
                <c:pt idx="143">
                  <c:v>43495</c:v>
                </c:pt>
                <c:pt idx="144">
                  <c:v>43496</c:v>
                </c:pt>
                <c:pt idx="145">
                  <c:v>43497</c:v>
                </c:pt>
                <c:pt idx="146">
                  <c:v>43500</c:v>
                </c:pt>
                <c:pt idx="147">
                  <c:v>43501</c:v>
                </c:pt>
                <c:pt idx="148">
                  <c:v>43502</c:v>
                </c:pt>
                <c:pt idx="149">
                  <c:v>43503</c:v>
                </c:pt>
                <c:pt idx="150">
                  <c:v>43504</c:v>
                </c:pt>
                <c:pt idx="151">
                  <c:v>43507</c:v>
                </c:pt>
                <c:pt idx="152">
                  <c:v>43508</c:v>
                </c:pt>
                <c:pt idx="153">
                  <c:v>43509</c:v>
                </c:pt>
                <c:pt idx="154">
                  <c:v>43510</c:v>
                </c:pt>
                <c:pt idx="155">
                  <c:v>43511</c:v>
                </c:pt>
                <c:pt idx="156">
                  <c:v>43515</c:v>
                </c:pt>
                <c:pt idx="157">
                  <c:v>43516</c:v>
                </c:pt>
                <c:pt idx="158">
                  <c:v>43517</c:v>
                </c:pt>
                <c:pt idx="159">
                  <c:v>43518</c:v>
                </c:pt>
                <c:pt idx="160">
                  <c:v>43521</c:v>
                </c:pt>
                <c:pt idx="161">
                  <c:v>43522</c:v>
                </c:pt>
                <c:pt idx="162">
                  <c:v>43523</c:v>
                </c:pt>
                <c:pt idx="163">
                  <c:v>43524</c:v>
                </c:pt>
                <c:pt idx="164">
                  <c:v>43525</c:v>
                </c:pt>
                <c:pt idx="165">
                  <c:v>43528</c:v>
                </c:pt>
                <c:pt idx="166">
                  <c:v>43529</c:v>
                </c:pt>
                <c:pt idx="167">
                  <c:v>43530</c:v>
                </c:pt>
                <c:pt idx="168">
                  <c:v>43531</c:v>
                </c:pt>
                <c:pt idx="169">
                  <c:v>43532</c:v>
                </c:pt>
                <c:pt idx="170">
                  <c:v>43535</c:v>
                </c:pt>
                <c:pt idx="171">
                  <c:v>43536</c:v>
                </c:pt>
                <c:pt idx="172">
                  <c:v>43537</c:v>
                </c:pt>
                <c:pt idx="173">
                  <c:v>43538</c:v>
                </c:pt>
                <c:pt idx="174">
                  <c:v>43539</c:v>
                </c:pt>
                <c:pt idx="175">
                  <c:v>43542</c:v>
                </c:pt>
                <c:pt idx="176">
                  <c:v>43543</c:v>
                </c:pt>
                <c:pt idx="177">
                  <c:v>43544</c:v>
                </c:pt>
                <c:pt idx="178">
                  <c:v>43545</c:v>
                </c:pt>
                <c:pt idx="179">
                  <c:v>43546</c:v>
                </c:pt>
                <c:pt idx="180">
                  <c:v>43549</c:v>
                </c:pt>
                <c:pt idx="181">
                  <c:v>43550</c:v>
                </c:pt>
                <c:pt idx="182">
                  <c:v>43551</c:v>
                </c:pt>
                <c:pt idx="183">
                  <c:v>43552</c:v>
                </c:pt>
                <c:pt idx="184">
                  <c:v>43553</c:v>
                </c:pt>
                <c:pt idx="185">
                  <c:v>43556</c:v>
                </c:pt>
                <c:pt idx="186">
                  <c:v>43557</c:v>
                </c:pt>
                <c:pt idx="187">
                  <c:v>43558</c:v>
                </c:pt>
                <c:pt idx="188">
                  <c:v>43559</c:v>
                </c:pt>
                <c:pt idx="189">
                  <c:v>43560</c:v>
                </c:pt>
                <c:pt idx="190">
                  <c:v>43563</c:v>
                </c:pt>
                <c:pt idx="191">
                  <c:v>43564</c:v>
                </c:pt>
                <c:pt idx="192">
                  <c:v>43565</c:v>
                </c:pt>
                <c:pt idx="193">
                  <c:v>43566</c:v>
                </c:pt>
                <c:pt idx="194">
                  <c:v>43567</c:v>
                </c:pt>
                <c:pt idx="195">
                  <c:v>43570</c:v>
                </c:pt>
                <c:pt idx="196">
                  <c:v>43571</c:v>
                </c:pt>
                <c:pt idx="197">
                  <c:v>43572</c:v>
                </c:pt>
                <c:pt idx="198">
                  <c:v>43573</c:v>
                </c:pt>
                <c:pt idx="199">
                  <c:v>43577</c:v>
                </c:pt>
                <c:pt idx="200">
                  <c:v>43578</c:v>
                </c:pt>
                <c:pt idx="201">
                  <c:v>43579</c:v>
                </c:pt>
                <c:pt idx="202">
                  <c:v>43580</c:v>
                </c:pt>
                <c:pt idx="203">
                  <c:v>43581</c:v>
                </c:pt>
                <c:pt idx="204">
                  <c:v>43584</c:v>
                </c:pt>
                <c:pt idx="205">
                  <c:v>43585</c:v>
                </c:pt>
                <c:pt idx="206">
                  <c:v>43586</c:v>
                </c:pt>
                <c:pt idx="207">
                  <c:v>43587</c:v>
                </c:pt>
                <c:pt idx="208">
                  <c:v>43588</c:v>
                </c:pt>
                <c:pt idx="209">
                  <c:v>43591</c:v>
                </c:pt>
                <c:pt idx="210">
                  <c:v>43592</c:v>
                </c:pt>
                <c:pt idx="211">
                  <c:v>43593</c:v>
                </c:pt>
                <c:pt idx="212">
                  <c:v>43594</c:v>
                </c:pt>
                <c:pt idx="213">
                  <c:v>43595</c:v>
                </c:pt>
                <c:pt idx="214">
                  <c:v>43598</c:v>
                </c:pt>
                <c:pt idx="215">
                  <c:v>43599</c:v>
                </c:pt>
                <c:pt idx="216">
                  <c:v>43600</c:v>
                </c:pt>
                <c:pt idx="217">
                  <c:v>43601</c:v>
                </c:pt>
                <c:pt idx="218">
                  <c:v>43602</c:v>
                </c:pt>
                <c:pt idx="219">
                  <c:v>43605</c:v>
                </c:pt>
                <c:pt idx="220">
                  <c:v>43606</c:v>
                </c:pt>
                <c:pt idx="221">
                  <c:v>43607</c:v>
                </c:pt>
                <c:pt idx="222">
                  <c:v>43608</c:v>
                </c:pt>
                <c:pt idx="223">
                  <c:v>43609</c:v>
                </c:pt>
                <c:pt idx="224">
                  <c:v>43613</c:v>
                </c:pt>
                <c:pt idx="225">
                  <c:v>43614</c:v>
                </c:pt>
                <c:pt idx="226">
                  <c:v>43615</c:v>
                </c:pt>
                <c:pt idx="227">
                  <c:v>43616</c:v>
                </c:pt>
                <c:pt idx="228">
                  <c:v>43619</c:v>
                </c:pt>
                <c:pt idx="229">
                  <c:v>43620</c:v>
                </c:pt>
                <c:pt idx="230">
                  <c:v>43621</c:v>
                </c:pt>
                <c:pt idx="231">
                  <c:v>43622</c:v>
                </c:pt>
                <c:pt idx="232">
                  <c:v>43623</c:v>
                </c:pt>
                <c:pt idx="233">
                  <c:v>43626</c:v>
                </c:pt>
                <c:pt idx="234">
                  <c:v>43627</c:v>
                </c:pt>
                <c:pt idx="235">
                  <c:v>43628</c:v>
                </c:pt>
                <c:pt idx="236">
                  <c:v>43629</c:v>
                </c:pt>
                <c:pt idx="237">
                  <c:v>43630</c:v>
                </c:pt>
                <c:pt idx="238">
                  <c:v>43633</c:v>
                </c:pt>
                <c:pt idx="239">
                  <c:v>43634</c:v>
                </c:pt>
                <c:pt idx="240">
                  <c:v>43635</c:v>
                </c:pt>
                <c:pt idx="241">
                  <c:v>43636</c:v>
                </c:pt>
                <c:pt idx="242">
                  <c:v>43637</c:v>
                </c:pt>
                <c:pt idx="243">
                  <c:v>43640</c:v>
                </c:pt>
                <c:pt idx="244">
                  <c:v>43641</c:v>
                </c:pt>
                <c:pt idx="245">
                  <c:v>43642</c:v>
                </c:pt>
                <c:pt idx="246">
                  <c:v>43643</c:v>
                </c:pt>
                <c:pt idx="247">
                  <c:v>43644</c:v>
                </c:pt>
                <c:pt idx="248">
                  <c:v>43647</c:v>
                </c:pt>
                <c:pt idx="249">
                  <c:v>43648</c:v>
                </c:pt>
                <c:pt idx="250">
                  <c:v>43649</c:v>
                </c:pt>
                <c:pt idx="251">
                  <c:v>43651</c:v>
                </c:pt>
                <c:pt idx="252">
                  <c:v>43654</c:v>
                </c:pt>
                <c:pt idx="253">
                  <c:v>43655</c:v>
                </c:pt>
                <c:pt idx="254">
                  <c:v>43656</c:v>
                </c:pt>
                <c:pt idx="255">
                  <c:v>43657</c:v>
                </c:pt>
                <c:pt idx="256">
                  <c:v>43658</c:v>
                </c:pt>
                <c:pt idx="257">
                  <c:v>43661</c:v>
                </c:pt>
                <c:pt idx="258">
                  <c:v>43662</c:v>
                </c:pt>
                <c:pt idx="259">
                  <c:v>43663</c:v>
                </c:pt>
                <c:pt idx="260">
                  <c:v>43664</c:v>
                </c:pt>
                <c:pt idx="261">
                  <c:v>43665</c:v>
                </c:pt>
                <c:pt idx="262">
                  <c:v>43668</c:v>
                </c:pt>
                <c:pt idx="263">
                  <c:v>43669</c:v>
                </c:pt>
                <c:pt idx="264">
                  <c:v>43670</c:v>
                </c:pt>
                <c:pt idx="265">
                  <c:v>43671</c:v>
                </c:pt>
                <c:pt idx="266">
                  <c:v>43672</c:v>
                </c:pt>
                <c:pt idx="267">
                  <c:v>43675</c:v>
                </c:pt>
                <c:pt idx="268">
                  <c:v>43676</c:v>
                </c:pt>
                <c:pt idx="269">
                  <c:v>43677</c:v>
                </c:pt>
                <c:pt idx="270">
                  <c:v>43678</c:v>
                </c:pt>
                <c:pt idx="271">
                  <c:v>43679</c:v>
                </c:pt>
                <c:pt idx="272">
                  <c:v>43682</c:v>
                </c:pt>
                <c:pt idx="273">
                  <c:v>43683</c:v>
                </c:pt>
                <c:pt idx="274">
                  <c:v>43684</c:v>
                </c:pt>
                <c:pt idx="275">
                  <c:v>43685</c:v>
                </c:pt>
                <c:pt idx="276">
                  <c:v>43686</c:v>
                </c:pt>
                <c:pt idx="277">
                  <c:v>43689</c:v>
                </c:pt>
                <c:pt idx="278">
                  <c:v>43690</c:v>
                </c:pt>
                <c:pt idx="279">
                  <c:v>43691</c:v>
                </c:pt>
                <c:pt idx="280">
                  <c:v>43692</c:v>
                </c:pt>
                <c:pt idx="281">
                  <c:v>43693</c:v>
                </c:pt>
                <c:pt idx="282">
                  <c:v>43696</c:v>
                </c:pt>
                <c:pt idx="283">
                  <c:v>43697</c:v>
                </c:pt>
                <c:pt idx="284">
                  <c:v>43698</c:v>
                </c:pt>
                <c:pt idx="285">
                  <c:v>43699</c:v>
                </c:pt>
                <c:pt idx="286">
                  <c:v>43700</c:v>
                </c:pt>
                <c:pt idx="287">
                  <c:v>43703</c:v>
                </c:pt>
                <c:pt idx="288">
                  <c:v>43704</c:v>
                </c:pt>
                <c:pt idx="289">
                  <c:v>43705</c:v>
                </c:pt>
                <c:pt idx="290">
                  <c:v>43706</c:v>
                </c:pt>
                <c:pt idx="291">
                  <c:v>43707</c:v>
                </c:pt>
                <c:pt idx="292">
                  <c:v>43711</c:v>
                </c:pt>
                <c:pt idx="293">
                  <c:v>43712</c:v>
                </c:pt>
                <c:pt idx="294">
                  <c:v>43713</c:v>
                </c:pt>
                <c:pt idx="295">
                  <c:v>43714</c:v>
                </c:pt>
                <c:pt idx="296">
                  <c:v>43717</c:v>
                </c:pt>
                <c:pt idx="297">
                  <c:v>43718</c:v>
                </c:pt>
                <c:pt idx="298">
                  <c:v>43719</c:v>
                </c:pt>
                <c:pt idx="299">
                  <c:v>43720</c:v>
                </c:pt>
                <c:pt idx="300">
                  <c:v>43721</c:v>
                </c:pt>
                <c:pt idx="301">
                  <c:v>43724</c:v>
                </c:pt>
                <c:pt idx="302">
                  <c:v>43725</c:v>
                </c:pt>
                <c:pt idx="303">
                  <c:v>43726</c:v>
                </c:pt>
                <c:pt idx="304">
                  <c:v>43727</c:v>
                </c:pt>
                <c:pt idx="305">
                  <c:v>43728</c:v>
                </c:pt>
                <c:pt idx="306">
                  <c:v>43731</c:v>
                </c:pt>
                <c:pt idx="307">
                  <c:v>43732</c:v>
                </c:pt>
                <c:pt idx="308">
                  <c:v>43733</c:v>
                </c:pt>
                <c:pt idx="309">
                  <c:v>43734</c:v>
                </c:pt>
                <c:pt idx="310">
                  <c:v>43735</c:v>
                </c:pt>
                <c:pt idx="311">
                  <c:v>43738</c:v>
                </c:pt>
                <c:pt idx="312">
                  <c:v>43739</c:v>
                </c:pt>
                <c:pt idx="313">
                  <c:v>43740</c:v>
                </c:pt>
                <c:pt idx="314">
                  <c:v>43741</c:v>
                </c:pt>
                <c:pt idx="315">
                  <c:v>43742</c:v>
                </c:pt>
                <c:pt idx="316">
                  <c:v>43745</c:v>
                </c:pt>
                <c:pt idx="317">
                  <c:v>43746</c:v>
                </c:pt>
                <c:pt idx="318">
                  <c:v>43747</c:v>
                </c:pt>
                <c:pt idx="319">
                  <c:v>43748</c:v>
                </c:pt>
                <c:pt idx="320">
                  <c:v>43749</c:v>
                </c:pt>
                <c:pt idx="321">
                  <c:v>43752</c:v>
                </c:pt>
                <c:pt idx="322">
                  <c:v>43753</c:v>
                </c:pt>
                <c:pt idx="323">
                  <c:v>43754</c:v>
                </c:pt>
                <c:pt idx="324">
                  <c:v>43755</c:v>
                </c:pt>
                <c:pt idx="325">
                  <c:v>43756</c:v>
                </c:pt>
                <c:pt idx="326">
                  <c:v>43759</c:v>
                </c:pt>
                <c:pt idx="327">
                  <c:v>43760</c:v>
                </c:pt>
                <c:pt idx="328">
                  <c:v>43761</c:v>
                </c:pt>
                <c:pt idx="329">
                  <c:v>43762</c:v>
                </c:pt>
                <c:pt idx="330">
                  <c:v>43763</c:v>
                </c:pt>
                <c:pt idx="331">
                  <c:v>43766</c:v>
                </c:pt>
                <c:pt idx="332">
                  <c:v>43767</c:v>
                </c:pt>
                <c:pt idx="333">
                  <c:v>43768</c:v>
                </c:pt>
                <c:pt idx="334">
                  <c:v>43769</c:v>
                </c:pt>
                <c:pt idx="335">
                  <c:v>43770</c:v>
                </c:pt>
                <c:pt idx="336">
                  <c:v>43773</c:v>
                </c:pt>
                <c:pt idx="337">
                  <c:v>43774</c:v>
                </c:pt>
                <c:pt idx="338">
                  <c:v>43775</c:v>
                </c:pt>
                <c:pt idx="339">
                  <c:v>43776</c:v>
                </c:pt>
                <c:pt idx="340">
                  <c:v>43777</c:v>
                </c:pt>
                <c:pt idx="341">
                  <c:v>43780</c:v>
                </c:pt>
                <c:pt idx="342">
                  <c:v>43781</c:v>
                </c:pt>
                <c:pt idx="343">
                  <c:v>43782</c:v>
                </c:pt>
                <c:pt idx="344">
                  <c:v>43783</c:v>
                </c:pt>
                <c:pt idx="345">
                  <c:v>43784</c:v>
                </c:pt>
                <c:pt idx="346">
                  <c:v>43787</c:v>
                </c:pt>
                <c:pt idx="347">
                  <c:v>43788</c:v>
                </c:pt>
                <c:pt idx="348">
                  <c:v>43789</c:v>
                </c:pt>
                <c:pt idx="349">
                  <c:v>43790</c:v>
                </c:pt>
                <c:pt idx="350">
                  <c:v>43791</c:v>
                </c:pt>
                <c:pt idx="351">
                  <c:v>43794</c:v>
                </c:pt>
                <c:pt idx="352">
                  <c:v>43795</c:v>
                </c:pt>
                <c:pt idx="353">
                  <c:v>43796</c:v>
                </c:pt>
                <c:pt idx="354">
                  <c:v>43798</c:v>
                </c:pt>
                <c:pt idx="355">
                  <c:v>43801</c:v>
                </c:pt>
                <c:pt idx="356">
                  <c:v>43802</c:v>
                </c:pt>
                <c:pt idx="357">
                  <c:v>43803</c:v>
                </c:pt>
                <c:pt idx="358">
                  <c:v>43804</c:v>
                </c:pt>
                <c:pt idx="359">
                  <c:v>43805</c:v>
                </c:pt>
                <c:pt idx="360">
                  <c:v>43808</c:v>
                </c:pt>
                <c:pt idx="361">
                  <c:v>43809</c:v>
                </c:pt>
                <c:pt idx="362">
                  <c:v>43810</c:v>
                </c:pt>
                <c:pt idx="363">
                  <c:v>43811</c:v>
                </c:pt>
                <c:pt idx="364">
                  <c:v>43812</c:v>
                </c:pt>
                <c:pt idx="365">
                  <c:v>43815</c:v>
                </c:pt>
                <c:pt idx="366">
                  <c:v>43816</c:v>
                </c:pt>
                <c:pt idx="367">
                  <c:v>43817</c:v>
                </c:pt>
                <c:pt idx="368">
                  <c:v>43818</c:v>
                </c:pt>
                <c:pt idx="369">
                  <c:v>43819</c:v>
                </c:pt>
                <c:pt idx="370">
                  <c:v>43822</c:v>
                </c:pt>
                <c:pt idx="371">
                  <c:v>43823</c:v>
                </c:pt>
                <c:pt idx="372">
                  <c:v>43825</c:v>
                </c:pt>
                <c:pt idx="373">
                  <c:v>43826</c:v>
                </c:pt>
                <c:pt idx="374">
                  <c:v>43829</c:v>
                </c:pt>
                <c:pt idx="375">
                  <c:v>43830</c:v>
                </c:pt>
                <c:pt idx="376">
                  <c:v>43832</c:v>
                </c:pt>
                <c:pt idx="377">
                  <c:v>43833</c:v>
                </c:pt>
                <c:pt idx="378">
                  <c:v>43836</c:v>
                </c:pt>
                <c:pt idx="379">
                  <c:v>43837</c:v>
                </c:pt>
                <c:pt idx="380">
                  <c:v>43838</c:v>
                </c:pt>
                <c:pt idx="381">
                  <c:v>43839</c:v>
                </c:pt>
                <c:pt idx="382">
                  <c:v>43840</c:v>
                </c:pt>
                <c:pt idx="383">
                  <c:v>43843</c:v>
                </c:pt>
                <c:pt idx="384">
                  <c:v>43844</c:v>
                </c:pt>
                <c:pt idx="385">
                  <c:v>43845</c:v>
                </c:pt>
                <c:pt idx="386">
                  <c:v>43846</c:v>
                </c:pt>
                <c:pt idx="387">
                  <c:v>43847</c:v>
                </c:pt>
                <c:pt idx="388">
                  <c:v>43851</c:v>
                </c:pt>
                <c:pt idx="389">
                  <c:v>43852</c:v>
                </c:pt>
                <c:pt idx="390">
                  <c:v>43853</c:v>
                </c:pt>
                <c:pt idx="391">
                  <c:v>43854</c:v>
                </c:pt>
                <c:pt idx="392">
                  <c:v>43857</c:v>
                </c:pt>
                <c:pt idx="393">
                  <c:v>43858</c:v>
                </c:pt>
                <c:pt idx="394">
                  <c:v>43859</c:v>
                </c:pt>
                <c:pt idx="395">
                  <c:v>43860</c:v>
                </c:pt>
                <c:pt idx="396">
                  <c:v>43861</c:v>
                </c:pt>
                <c:pt idx="397">
                  <c:v>43864</c:v>
                </c:pt>
                <c:pt idx="398">
                  <c:v>43865</c:v>
                </c:pt>
                <c:pt idx="399">
                  <c:v>43866</c:v>
                </c:pt>
                <c:pt idx="400">
                  <c:v>43867</c:v>
                </c:pt>
                <c:pt idx="401">
                  <c:v>43868</c:v>
                </c:pt>
                <c:pt idx="402">
                  <c:v>43871</c:v>
                </c:pt>
                <c:pt idx="403">
                  <c:v>43872</c:v>
                </c:pt>
                <c:pt idx="404">
                  <c:v>43873</c:v>
                </c:pt>
                <c:pt idx="405">
                  <c:v>43874</c:v>
                </c:pt>
                <c:pt idx="406">
                  <c:v>43875</c:v>
                </c:pt>
                <c:pt idx="407">
                  <c:v>43879</c:v>
                </c:pt>
                <c:pt idx="408">
                  <c:v>43880</c:v>
                </c:pt>
                <c:pt idx="409">
                  <c:v>43881</c:v>
                </c:pt>
                <c:pt idx="410">
                  <c:v>43882</c:v>
                </c:pt>
                <c:pt idx="411">
                  <c:v>43885</c:v>
                </c:pt>
                <c:pt idx="412">
                  <c:v>43886</c:v>
                </c:pt>
                <c:pt idx="413">
                  <c:v>43887</c:v>
                </c:pt>
                <c:pt idx="414">
                  <c:v>43888</c:v>
                </c:pt>
                <c:pt idx="415">
                  <c:v>43889</c:v>
                </c:pt>
                <c:pt idx="416">
                  <c:v>43892</c:v>
                </c:pt>
                <c:pt idx="417">
                  <c:v>43893</c:v>
                </c:pt>
                <c:pt idx="418">
                  <c:v>43894</c:v>
                </c:pt>
                <c:pt idx="419">
                  <c:v>43895</c:v>
                </c:pt>
                <c:pt idx="420">
                  <c:v>43896</c:v>
                </c:pt>
                <c:pt idx="421">
                  <c:v>43899</c:v>
                </c:pt>
                <c:pt idx="422">
                  <c:v>43900</c:v>
                </c:pt>
                <c:pt idx="423">
                  <c:v>43901</c:v>
                </c:pt>
                <c:pt idx="424">
                  <c:v>43902</c:v>
                </c:pt>
                <c:pt idx="425">
                  <c:v>43903</c:v>
                </c:pt>
                <c:pt idx="426">
                  <c:v>43906</c:v>
                </c:pt>
                <c:pt idx="427">
                  <c:v>43907</c:v>
                </c:pt>
                <c:pt idx="428">
                  <c:v>43908</c:v>
                </c:pt>
                <c:pt idx="429">
                  <c:v>43909</c:v>
                </c:pt>
                <c:pt idx="430">
                  <c:v>43910</c:v>
                </c:pt>
                <c:pt idx="431">
                  <c:v>43913</c:v>
                </c:pt>
                <c:pt idx="432">
                  <c:v>43914</c:v>
                </c:pt>
                <c:pt idx="433">
                  <c:v>43915</c:v>
                </c:pt>
                <c:pt idx="434">
                  <c:v>43916</c:v>
                </c:pt>
                <c:pt idx="435">
                  <c:v>43917</c:v>
                </c:pt>
                <c:pt idx="436">
                  <c:v>43920</c:v>
                </c:pt>
                <c:pt idx="437">
                  <c:v>43921</c:v>
                </c:pt>
                <c:pt idx="438">
                  <c:v>43922</c:v>
                </c:pt>
                <c:pt idx="439">
                  <c:v>43923</c:v>
                </c:pt>
                <c:pt idx="440">
                  <c:v>43924</c:v>
                </c:pt>
                <c:pt idx="441">
                  <c:v>43927</c:v>
                </c:pt>
                <c:pt idx="442">
                  <c:v>43928</c:v>
                </c:pt>
                <c:pt idx="443">
                  <c:v>43929</c:v>
                </c:pt>
                <c:pt idx="444">
                  <c:v>43930</c:v>
                </c:pt>
                <c:pt idx="445">
                  <c:v>43934</c:v>
                </c:pt>
                <c:pt idx="446">
                  <c:v>43935</c:v>
                </c:pt>
                <c:pt idx="447">
                  <c:v>43936</c:v>
                </c:pt>
                <c:pt idx="448">
                  <c:v>43937</c:v>
                </c:pt>
                <c:pt idx="449">
                  <c:v>43938</c:v>
                </c:pt>
                <c:pt idx="450">
                  <c:v>43941</c:v>
                </c:pt>
                <c:pt idx="451">
                  <c:v>43942</c:v>
                </c:pt>
                <c:pt idx="452">
                  <c:v>43943</c:v>
                </c:pt>
                <c:pt idx="453">
                  <c:v>43944</c:v>
                </c:pt>
                <c:pt idx="454">
                  <c:v>43945</c:v>
                </c:pt>
                <c:pt idx="455">
                  <c:v>43948</c:v>
                </c:pt>
                <c:pt idx="456">
                  <c:v>43949</c:v>
                </c:pt>
                <c:pt idx="457">
                  <c:v>43950</c:v>
                </c:pt>
                <c:pt idx="458">
                  <c:v>43951</c:v>
                </c:pt>
                <c:pt idx="459">
                  <c:v>43952</c:v>
                </c:pt>
                <c:pt idx="460">
                  <c:v>43955</c:v>
                </c:pt>
                <c:pt idx="461">
                  <c:v>43956</c:v>
                </c:pt>
                <c:pt idx="462">
                  <c:v>43957</c:v>
                </c:pt>
                <c:pt idx="463">
                  <c:v>43958</c:v>
                </c:pt>
                <c:pt idx="464">
                  <c:v>43959</c:v>
                </c:pt>
                <c:pt idx="465">
                  <c:v>43962</c:v>
                </c:pt>
                <c:pt idx="466">
                  <c:v>43963</c:v>
                </c:pt>
                <c:pt idx="467">
                  <c:v>43964</c:v>
                </c:pt>
                <c:pt idx="468">
                  <c:v>43965</c:v>
                </c:pt>
                <c:pt idx="469">
                  <c:v>43966</c:v>
                </c:pt>
                <c:pt idx="470">
                  <c:v>43969</c:v>
                </c:pt>
                <c:pt idx="471">
                  <c:v>43970</c:v>
                </c:pt>
                <c:pt idx="472">
                  <c:v>43971</c:v>
                </c:pt>
                <c:pt idx="473">
                  <c:v>43972</c:v>
                </c:pt>
                <c:pt idx="474">
                  <c:v>43973</c:v>
                </c:pt>
                <c:pt idx="475">
                  <c:v>43977</c:v>
                </c:pt>
                <c:pt idx="476">
                  <c:v>43978</c:v>
                </c:pt>
                <c:pt idx="477">
                  <c:v>43979</c:v>
                </c:pt>
                <c:pt idx="478">
                  <c:v>43980</c:v>
                </c:pt>
                <c:pt idx="479">
                  <c:v>43983</c:v>
                </c:pt>
                <c:pt idx="480">
                  <c:v>43984</c:v>
                </c:pt>
                <c:pt idx="481">
                  <c:v>43985</c:v>
                </c:pt>
                <c:pt idx="482">
                  <c:v>43986</c:v>
                </c:pt>
                <c:pt idx="483">
                  <c:v>43987</c:v>
                </c:pt>
                <c:pt idx="484">
                  <c:v>43990</c:v>
                </c:pt>
                <c:pt idx="485">
                  <c:v>43991</c:v>
                </c:pt>
                <c:pt idx="486">
                  <c:v>43992</c:v>
                </c:pt>
                <c:pt idx="487">
                  <c:v>43993</c:v>
                </c:pt>
                <c:pt idx="488">
                  <c:v>43994</c:v>
                </c:pt>
                <c:pt idx="489">
                  <c:v>43997</c:v>
                </c:pt>
                <c:pt idx="490">
                  <c:v>43998</c:v>
                </c:pt>
                <c:pt idx="491">
                  <c:v>43999</c:v>
                </c:pt>
                <c:pt idx="492">
                  <c:v>44000</c:v>
                </c:pt>
                <c:pt idx="493">
                  <c:v>44001</c:v>
                </c:pt>
                <c:pt idx="494">
                  <c:v>44004</c:v>
                </c:pt>
                <c:pt idx="495">
                  <c:v>44005</c:v>
                </c:pt>
                <c:pt idx="496">
                  <c:v>44006</c:v>
                </c:pt>
                <c:pt idx="497">
                  <c:v>44007</c:v>
                </c:pt>
                <c:pt idx="498">
                  <c:v>44008</c:v>
                </c:pt>
                <c:pt idx="499">
                  <c:v>44011</c:v>
                </c:pt>
                <c:pt idx="500">
                  <c:v>44012</c:v>
                </c:pt>
                <c:pt idx="501">
                  <c:v>44013</c:v>
                </c:pt>
                <c:pt idx="502">
                  <c:v>44014</c:v>
                </c:pt>
                <c:pt idx="503">
                  <c:v>44018</c:v>
                </c:pt>
                <c:pt idx="504">
                  <c:v>44019</c:v>
                </c:pt>
                <c:pt idx="505">
                  <c:v>44020</c:v>
                </c:pt>
                <c:pt idx="506">
                  <c:v>44021</c:v>
                </c:pt>
                <c:pt idx="507">
                  <c:v>44022</c:v>
                </c:pt>
                <c:pt idx="508">
                  <c:v>44025</c:v>
                </c:pt>
                <c:pt idx="509">
                  <c:v>44026</c:v>
                </c:pt>
                <c:pt idx="510">
                  <c:v>44027</c:v>
                </c:pt>
                <c:pt idx="511">
                  <c:v>44028</c:v>
                </c:pt>
                <c:pt idx="512">
                  <c:v>44029</c:v>
                </c:pt>
                <c:pt idx="513">
                  <c:v>44032</c:v>
                </c:pt>
                <c:pt idx="514">
                  <c:v>44033</c:v>
                </c:pt>
                <c:pt idx="515">
                  <c:v>44034</c:v>
                </c:pt>
                <c:pt idx="516">
                  <c:v>44035</c:v>
                </c:pt>
                <c:pt idx="517">
                  <c:v>44036</c:v>
                </c:pt>
                <c:pt idx="518">
                  <c:v>44039</c:v>
                </c:pt>
                <c:pt idx="519">
                  <c:v>44040</c:v>
                </c:pt>
                <c:pt idx="520">
                  <c:v>44041</c:v>
                </c:pt>
                <c:pt idx="521">
                  <c:v>44042</c:v>
                </c:pt>
                <c:pt idx="522">
                  <c:v>44043</c:v>
                </c:pt>
                <c:pt idx="523">
                  <c:v>44046</c:v>
                </c:pt>
                <c:pt idx="524">
                  <c:v>44047</c:v>
                </c:pt>
                <c:pt idx="525">
                  <c:v>44048</c:v>
                </c:pt>
                <c:pt idx="526">
                  <c:v>44049</c:v>
                </c:pt>
                <c:pt idx="527">
                  <c:v>44050</c:v>
                </c:pt>
                <c:pt idx="528">
                  <c:v>44053</c:v>
                </c:pt>
                <c:pt idx="529">
                  <c:v>44054</c:v>
                </c:pt>
                <c:pt idx="530">
                  <c:v>44055</c:v>
                </c:pt>
                <c:pt idx="531">
                  <c:v>44056</c:v>
                </c:pt>
                <c:pt idx="532">
                  <c:v>44057</c:v>
                </c:pt>
                <c:pt idx="533">
                  <c:v>44060</c:v>
                </c:pt>
                <c:pt idx="534">
                  <c:v>44061</c:v>
                </c:pt>
                <c:pt idx="535">
                  <c:v>44062</c:v>
                </c:pt>
                <c:pt idx="536">
                  <c:v>44063</c:v>
                </c:pt>
                <c:pt idx="537">
                  <c:v>44064</c:v>
                </c:pt>
                <c:pt idx="538">
                  <c:v>44067</c:v>
                </c:pt>
                <c:pt idx="539">
                  <c:v>44068</c:v>
                </c:pt>
                <c:pt idx="540">
                  <c:v>44069</c:v>
                </c:pt>
                <c:pt idx="541">
                  <c:v>44070</c:v>
                </c:pt>
                <c:pt idx="542">
                  <c:v>44071</c:v>
                </c:pt>
                <c:pt idx="543">
                  <c:v>44074</c:v>
                </c:pt>
                <c:pt idx="544">
                  <c:v>44075</c:v>
                </c:pt>
                <c:pt idx="545">
                  <c:v>44076</c:v>
                </c:pt>
                <c:pt idx="546">
                  <c:v>44077</c:v>
                </c:pt>
                <c:pt idx="547">
                  <c:v>44078</c:v>
                </c:pt>
                <c:pt idx="548">
                  <c:v>44082</c:v>
                </c:pt>
                <c:pt idx="549">
                  <c:v>44083</c:v>
                </c:pt>
                <c:pt idx="550">
                  <c:v>44084</c:v>
                </c:pt>
                <c:pt idx="551">
                  <c:v>44085</c:v>
                </c:pt>
                <c:pt idx="552">
                  <c:v>44088</c:v>
                </c:pt>
                <c:pt idx="553">
                  <c:v>44089</c:v>
                </c:pt>
                <c:pt idx="554">
                  <c:v>44090</c:v>
                </c:pt>
                <c:pt idx="555">
                  <c:v>44091</c:v>
                </c:pt>
                <c:pt idx="556">
                  <c:v>44092</c:v>
                </c:pt>
                <c:pt idx="557">
                  <c:v>44095</c:v>
                </c:pt>
                <c:pt idx="558">
                  <c:v>44096</c:v>
                </c:pt>
                <c:pt idx="559">
                  <c:v>44097</c:v>
                </c:pt>
                <c:pt idx="560">
                  <c:v>44098</c:v>
                </c:pt>
                <c:pt idx="561">
                  <c:v>44099</c:v>
                </c:pt>
                <c:pt idx="562">
                  <c:v>44102</c:v>
                </c:pt>
                <c:pt idx="563">
                  <c:v>44103</c:v>
                </c:pt>
                <c:pt idx="564">
                  <c:v>44104</c:v>
                </c:pt>
                <c:pt idx="565">
                  <c:v>44105</c:v>
                </c:pt>
                <c:pt idx="566">
                  <c:v>44106</c:v>
                </c:pt>
                <c:pt idx="567">
                  <c:v>44109</c:v>
                </c:pt>
                <c:pt idx="568">
                  <c:v>44110</c:v>
                </c:pt>
                <c:pt idx="569">
                  <c:v>44111</c:v>
                </c:pt>
                <c:pt idx="570">
                  <c:v>44112</c:v>
                </c:pt>
                <c:pt idx="571">
                  <c:v>44113</c:v>
                </c:pt>
                <c:pt idx="572">
                  <c:v>44116</c:v>
                </c:pt>
                <c:pt idx="573">
                  <c:v>44117</c:v>
                </c:pt>
                <c:pt idx="574">
                  <c:v>44118</c:v>
                </c:pt>
                <c:pt idx="575">
                  <c:v>44119</c:v>
                </c:pt>
                <c:pt idx="576">
                  <c:v>44120</c:v>
                </c:pt>
                <c:pt idx="577">
                  <c:v>44123</c:v>
                </c:pt>
                <c:pt idx="578">
                  <c:v>44124</c:v>
                </c:pt>
                <c:pt idx="579">
                  <c:v>44125</c:v>
                </c:pt>
                <c:pt idx="580">
                  <c:v>44126</c:v>
                </c:pt>
                <c:pt idx="581">
                  <c:v>44127</c:v>
                </c:pt>
                <c:pt idx="582">
                  <c:v>44130</c:v>
                </c:pt>
                <c:pt idx="583">
                  <c:v>44131</c:v>
                </c:pt>
                <c:pt idx="584">
                  <c:v>44132</c:v>
                </c:pt>
                <c:pt idx="585">
                  <c:v>44133</c:v>
                </c:pt>
                <c:pt idx="586">
                  <c:v>44134</c:v>
                </c:pt>
                <c:pt idx="587">
                  <c:v>44137</c:v>
                </c:pt>
                <c:pt idx="588">
                  <c:v>44138</c:v>
                </c:pt>
                <c:pt idx="589">
                  <c:v>44139</c:v>
                </c:pt>
                <c:pt idx="590">
                  <c:v>44140</c:v>
                </c:pt>
                <c:pt idx="591">
                  <c:v>44141</c:v>
                </c:pt>
                <c:pt idx="592">
                  <c:v>44144</c:v>
                </c:pt>
                <c:pt idx="593">
                  <c:v>44145</c:v>
                </c:pt>
                <c:pt idx="594">
                  <c:v>44146</c:v>
                </c:pt>
                <c:pt idx="595">
                  <c:v>44147</c:v>
                </c:pt>
                <c:pt idx="596">
                  <c:v>44148</c:v>
                </c:pt>
                <c:pt idx="597">
                  <c:v>44151</c:v>
                </c:pt>
                <c:pt idx="598">
                  <c:v>44152</c:v>
                </c:pt>
                <c:pt idx="599">
                  <c:v>44153</c:v>
                </c:pt>
                <c:pt idx="600">
                  <c:v>44154</c:v>
                </c:pt>
                <c:pt idx="601">
                  <c:v>44155</c:v>
                </c:pt>
                <c:pt idx="602">
                  <c:v>44158</c:v>
                </c:pt>
                <c:pt idx="603">
                  <c:v>44159</c:v>
                </c:pt>
                <c:pt idx="604">
                  <c:v>44160</c:v>
                </c:pt>
                <c:pt idx="605">
                  <c:v>44162</c:v>
                </c:pt>
                <c:pt idx="606">
                  <c:v>44165</c:v>
                </c:pt>
                <c:pt idx="607">
                  <c:v>44166</c:v>
                </c:pt>
                <c:pt idx="608">
                  <c:v>44167</c:v>
                </c:pt>
                <c:pt idx="609">
                  <c:v>44168</c:v>
                </c:pt>
                <c:pt idx="610">
                  <c:v>44169</c:v>
                </c:pt>
                <c:pt idx="611">
                  <c:v>44172</c:v>
                </c:pt>
                <c:pt idx="612">
                  <c:v>44173</c:v>
                </c:pt>
                <c:pt idx="613">
                  <c:v>44174</c:v>
                </c:pt>
                <c:pt idx="614">
                  <c:v>44175</c:v>
                </c:pt>
                <c:pt idx="615">
                  <c:v>44176</c:v>
                </c:pt>
                <c:pt idx="616">
                  <c:v>44179</c:v>
                </c:pt>
                <c:pt idx="617">
                  <c:v>44180</c:v>
                </c:pt>
                <c:pt idx="618">
                  <c:v>44181</c:v>
                </c:pt>
                <c:pt idx="619">
                  <c:v>44182</c:v>
                </c:pt>
                <c:pt idx="620">
                  <c:v>44183</c:v>
                </c:pt>
                <c:pt idx="621">
                  <c:v>44186</c:v>
                </c:pt>
                <c:pt idx="622">
                  <c:v>44187</c:v>
                </c:pt>
                <c:pt idx="623">
                  <c:v>44188</c:v>
                </c:pt>
                <c:pt idx="624">
                  <c:v>44189</c:v>
                </c:pt>
                <c:pt idx="625">
                  <c:v>44193</c:v>
                </c:pt>
                <c:pt idx="626">
                  <c:v>44194</c:v>
                </c:pt>
                <c:pt idx="627">
                  <c:v>44195</c:v>
                </c:pt>
                <c:pt idx="628">
                  <c:v>44196</c:v>
                </c:pt>
                <c:pt idx="629">
                  <c:v>44200</c:v>
                </c:pt>
                <c:pt idx="630">
                  <c:v>44201</c:v>
                </c:pt>
                <c:pt idx="631">
                  <c:v>44202</c:v>
                </c:pt>
                <c:pt idx="632">
                  <c:v>44203</c:v>
                </c:pt>
                <c:pt idx="633">
                  <c:v>44204</c:v>
                </c:pt>
                <c:pt idx="634">
                  <c:v>44207</c:v>
                </c:pt>
                <c:pt idx="635">
                  <c:v>44208</c:v>
                </c:pt>
                <c:pt idx="636">
                  <c:v>44209</c:v>
                </c:pt>
                <c:pt idx="637">
                  <c:v>44210</c:v>
                </c:pt>
                <c:pt idx="638">
                  <c:v>44211</c:v>
                </c:pt>
                <c:pt idx="639">
                  <c:v>44215</c:v>
                </c:pt>
                <c:pt idx="640">
                  <c:v>44216</c:v>
                </c:pt>
                <c:pt idx="641">
                  <c:v>44217</c:v>
                </c:pt>
                <c:pt idx="642">
                  <c:v>44218</c:v>
                </c:pt>
                <c:pt idx="643">
                  <c:v>44221</c:v>
                </c:pt>
                <c:pt idx="644">
                  <c:v>44222</c:v>
                </c:pt>
                <c:pt idx="645">
                  <c:v>44223</c:v>
                </c:pt>
                <c:pt idx="646">
                  <c:v>44224</c:v>
                </c:pt>
                <c:pt idx="647">
                  <c:v>44225</c:v>
                </c:pt>
                <c:pt idx="648">
                  <c:v>44228</c:v>
                </c:pt>
                <c:pt idx="649">
                  <c:v>44229</c:v>
                </c:pt>
                <c:pt idx="650">
                  <c:v>44230</c:v>
                </c:pt>
                <c:pt idx="651">
                  <c:v>44231</c:v>
                </c:pt>
                <c:pt idx="652">
                  <c:v>44232</c:v>
                </c:pt>
                <c:pt idx="653">
                  <c:v>44235</c:v>
                </c:pt>
                <c:pt idx="654">
                  <c:v>44236</c:v>
                </c:pt>
                <c:pt idx="655">
                  <c:v>44237</c:v>
                </c:pt>
                <c:pt idx="656">
                  <c:v>44238</c:v>
                </c:pt>
                <c:pt idx="657">
                  <c:v>44239</c:v>
                </c:pt>
                <c:pt idx="658">
                  <c:v>44243</c:v>
                </c:pt>
                <c:pt idx="659">
                  <c:v>44244</c:v>
                </c:pt>
                <c:pt idx="660">
                  <c:v>44245</c:v>
                </c:pt>
                <c:pt idx="661">
                  <c:v>44246</c:v>
                </c:pt>
                <c:pt idx="662">
                  <c:v>44249</c:v>
                </c:pt>
                <c:pt idx="663">
                  <c:v>44250</c:v>
                </c:pt>
                <c:pt idx="664">
                  <c:v>44251</c:v>
                </c:pt>
                <c:pt idx="665">
                  <c:v>44252</c:v>
                </c:pt>
                <c:pt idx="666">
                  <c:v>44253</c:v>
                </c:pt>
                <c:pt idx="667">
                  <c:v>44256</c:v>
                </c:pt>
                <c:pt idx="668">
                  <c:v>44257</c:v>
                </c:pt>
                <c:pt idx="669">
                  <c:v>44258</c:v>
                </c:pt>
                <c:pt idx="670">
                  <c:v>44259</c:v>
                </c:pt>
                <c:pt idx="671">
                  <c:v>44260</c:v>
                </c:pt>
                <c:pt idx="672">
                  <c:v>44263</c:v>
                </c:pt>
                <c:pt idx="673">
                  <c:v>44264</c:v>
                </c:pt>
                <c:pt idx="674">
                  <c:v>44265</c:v>
                </c:pt>
                <c:pt idx="675">
                  <c:v>44266</c:v>
                </c:pt>
                <c:pt idx="676">
                  <c:v>44267</c:v>
                </c:pt>
                <c:pt idx="677">
                  <c:v>44270</c:v>
                </c:pt>
                <c:pt idx="678">
                  <c:v>44271</c:v>
                </c:pt>
                <c:pt idx="679">
                  <c:v>44272</c:v>
                </c:pt>
                <c:pt idx="680">
                  <c:v>44273</c:v>
                </c:pt>
                <c:pt idx="681">
                  <c:v>44274</c:v>
                </c:pt>
                <c:pt idx="682">
                  <c:v>44277</c:v>
                </c:pt>
                <c:pt idx="683">
                  <c:v>44278</c:v>
                </c:pt>
                <c:pt idx="684">
                  <c:v>44279</c:v>
                </c:pt>
                <c:pt idx="685">
                  <c:v>44280</c:v>
                </c:pt>
                <c:pt idx="686">
                  <c:v>44281</c:v>
                </c:pt>
                <c:pt idx="687">
                  <c:v>44284</c:v>
                </c:pt>
                <c:pt idx="688">
                  <c:v>44285</c:v>
                </c:pt>
                <c:pt idx="689">
                  <c:v>44286</c:v>
                </c:pt>
                <c:pt idx="690">
                  <c:v>44287</c:v>
                </c:pt>
                <c:pt idx="691">
                  <c:v>44291</c:v>
                </c:pt>
                <c:pt idx="692">
                  <c:v>44292</c:v>
                </c:pt>
                <c:pt idx="693">
                  <c:v>44293</c:v>
                </c:pt>
                <c:pt idx="694">
                  <c:v>44294</c:v>
                </c:pt>
                <c:pt idx="695">
                  <c:v>44295</c:v>
                </c:pt>
                <c:pt idx="696">
                  <c:v>44298</c:v>
                </c:pt>
                <c:pt idx="697">
                  <c:v>44299</c:v>
                </c:pt>
                <c:pt idx="698">
                  <c:v>44300</c:v>
                </c:pt>
                <c:pt idx="699">
                  <c:v>44301</c:v>
                </c:pt>
                <c:pt idx="700">
                  <c:v>44302</c:v>
                </c:pt>
                <c:pt idx="701">
                  <c:v>44305</c:v>
                </c:pt>
                <c:pt idx="702">
                  <c:v>44306</c:v>
                </c:pt>
                <c:pt idx="703">
                  <c:v>44307</c:v>
                </c:pt>
                <c:pt idx="704">
                  <c:v>44308</c:v>
                </c:pt>
                <c:pt idx="705">
                  <c:v>44309</c:v>
                </c:pt>
                <c:pt idx="706">
                  <c:v>44312</c:v>
                </c:pt>
                <c:pt idx="707">
                  <c:v>44313</c:v>
                </c:pt>
                <c:pt idx="708">
                  <c:v>44314</c:v>
                </c:pt>
                <c:pt idx="709">
                  <c:v>44315</c:v>
                </c:pt>
                <c:pt idx="710">
                  <c:v>44316</c:v>
                </c:pt>
                <c:pt idx="711">
                  <c:v>44319</c:v>
                </c:pt>
                <c:pt idx="712">
                  <c:v>44320</c:v>
                </c:pt>
                <c:pt idx="713">
                  <c:v>44321</c:v>
                </c:pt>
                <c:pt idx="714">
                  <c:v>44322</c:v>
                </c:pt>
                <c:pt idx="715">
                  <c:v>44323</c:v>
                </c:pt>
                <c:pt idx="716">
                  <c:v>44326</c:v>
                </c:pt>
                <c:pt idx="717">
                  <c:v>44327</c:v>
                </c:pt>
                <c:pt idx="718">
                  <c:v>44328</c:v>
                </c:pt>
                <c:pt idx="719">
                  <c:v>44329</c:v>
                </c:pt>
                <c:pt idx="720">
                  <c:v>44330</c:v>
                </c:pt>
                <c:pt idx="721">
                  <c:v>44333</c:v>
                </c:pt>
                <c:pt idx="722">
                  <c:v>44334</c:v>
                </c:pt>
                <c:pt idx="723">
                  <c:v>44335</c:v>
                </c:pt>
                <c:pt idx="724">
                  <c:v>44336</c:v>
                </c:pt>
                <c:pt idx="725">
                  <c:v>44337</c:v>
                </c:pt>
                <c:pt idx="726">
                  <c:v>44340</c:v>
                </c:pt>
                <c:pt idx="727">
                  <c:v>44341</c:v>
                </c:pt>
                <c:pt idx="728">
                  <c:v>44342</c:v>
                </c:pt>
                <c:pt idx="729">
                  <c:v>44343</c:v>
                </c:pt>
                <c:pt idx="730">
                  <c:v>44344</c:v>
                </c:pt>
                <c:pt idx="731">
                  <c:v>44348</c:v>
                </c:pt>
                <c:pt idx="732">
                  <c:v>44349</c:v>
                </c:pt>
                <c:pt idx="733">
                  <c:v>44350</c:v>
                </c:pt>
                <c:pt idx="734">
                  <c:v>44351</c:v>
                </c:pt>
                <c:pt idx="735">
                  <c:v>44354</c:v>
                </c:pt>
                <c:pt idx="736">
                  <c:v>44355</c:v>
                </c:pt>
                <c:pt idx="737">
                  <c:v>44356</c:v>
                </c:pt>
                <c:pt idx="738">
                  <c:v>44357</c:v>
                </c:pt>
                <c:pt idx="739">
                  <c:v>44358</c:v>
                </c:pt>
                <c:pt idx="740">
                  <c:v>44361</c:v>
                </c:pt>
                <c:pt idx="741">
                  <c:v>44362</c:v>
                </c:pt>
                <c:pt idx="742">
                  <c:v>44363</c:v>
                </c:pt>
                <c:pt idx="743">
                  <c:v>44364</c:v>
                </c:pt>
                <c:pt idx="744">
                  <c:v>44365</c:v>
                </c:pt>
                <c:pt idx="745">
                  <c:v>44368</c:v>
                </c:pt>
                <c:pt idx="746">
                  <c:v>44369</c:v>
                </c:pt>
                <c:pt idx="747">
                  <c:v>44370</c:v>
                </c:pt>
                <c:pt idx="748">
                  <c:v>44371</c:v>
                </c:pt>
                <c:pt idx="749">
                  <c:v>44372</c:v>
                </c:pt>
                <c:pt idx="750">
                  <c:v>44375</c:v>
                </c:pt>
                <c:pt idx="751">
                  <c:v>44376</c:v>
                </c:pt>
                <c:pt idx="752">
                  <c:v>44377</c:v>
                </c:pt>
                <c:pt idx="753">
                  <c:v>44378</c:v>
                </c:pt>
                <c:pt idx="754">
                  <c:v>44379</c:v>
                </c:pt>
                <c:pt idx="755">
                  <c:v>44383</c:v>
                </c:pt>
                <c:pt idx="756">
                  <c:v>44384</c:v>
                </c:pt>
                <c:pt idx="757">
                  <c:v>44385</c:v>
                </c:pt>
                <c:pt idx="758">
                  <c:v>44386</c:v>
                </c:pt>
                <c:pt idx="759">
                  <c:v>44389</c:v>
                </c:pt>
                <c:pt idx="760">
                  <c:v>44390</c:v>
                </c:pt>
                <c:pt idx="761">
                  <c:v>44391</c:v>
                </c:pt>
                <c:pt idx="762">
                  <c:v>44392</c:v>
                </c:pt>
                <c:pt idx="763">
                  <c:v>44393</c:v>
                </c:pt>
                <c:pt idx="764">
                  <c:v>44396</c:v>
                </c:pt>
                <c:pt idx="765">
                  <c:v>44397</c:v>
                </c:pt>
                <c:pt idx="766">
                  <c:v>44398</c:v>
                </c:pt>
                <c:pt idx="767">
                  <c:v>44399</c:v>
                </c:pt>
                <c:pt idx="768">
                  <c:v>44400</c:v>
                </c:pt>
                <c:pt idx="769">
                  <c:v>44403</c:v>
                </c:pt>
                <c:pt idx="770">
                  <c:v>44404</c:v>
                </c:pt>
                <c:pt idx="771">
                  <c:v>44405</c:v>
                </c:pt>
                <c:pt idx="772">
                  <c:v>44406</c:v>
                </c:pt>
                <c:pt idx="773">
                  <c:v>44407</c:v>
                </c:pt>
                <c:pt idx="774">
                  <c:v>44410</c:v>
                </c:pt>
                <c:pt idx="775">
                  <c:v>44411</c:v>
                </c:pt>
                <c:pt idx="776">
                  <c:v>44412</c:v>
                </c:pt>
                <c:pt idx="777">
                  <c:v>44413</c:v>
                </c:pt>
                <c:pt idx="778">
                  <c:v>44414</c:v>
                </c:pt>
                <c:pt idx="779">
                  <c:v>44417</c:v>
                </c:pt>
                <c:pt idx="780">
                  <c:v>44418</c:v>
                </c:pt>
                <c:pt idx="781">
                  <c:v>44419</c:v>
                </c:pt>
                <c:pt idx="782">
                  <c:v>44420</c:v>
                </c:pt>
                <c:pt idx="783">
                  <c:v>44421</c:v>
                </c:pt>
                <c:pt idx="784">
                  <c:v>44424</c:v>
                </c:pt>
                <c:pt idx="785">
                  <c:v>44425</c:v>
                </c:pt>
                <c:pt idx="786">
                  <c:v>44426</c:v>
                </c:pt>
                <c:pt idx="787">
                  <c:v>44427</c:v>
                </c:pt>
                <c:pt idx="788">
                  <c:v>44428</c:v>
                </c:pt>
                <c:pt idx="789">
                  <c:v>44431</c:v>
                </c:pt>
                <c:pt idx="790">
                  <c:v>44432</c:v>
                </c:pt>
                <c:pt idx="791">
                  <c:v>44433</c:v>
                </c:pt>
                <c:pt idx="792">
                  <c:v>44434</c:v>
                </c:pt>
                <c:pt idx="793">
                  <c:v>44435</c:v>
                </c:pt>
                <c:pt idx="794">
                  <c:v>44438</c:v>
                </c:pt>
                <c:pt idx="795">
                  <c:v>44439</c:v>
                </c:pt>
                <c:pt idx="796">
                  <c:v>44440</c:v>
                </c:pt>
                <c:pt idx="797">
                  <c:v>44441</c:v>
                </c:pt>
                <c:pt idx="798">
                  <c:v>44442</c:v>
                </c:pt>
                <c:pt idx="799">
                  <c:v>44446</c:v>
                </c:pt>
                <c:pt idx="800">
                  <c:v>44447</c:v>
                </c:pt>
                <c:pt idx="801">
                  <c:v>44448</c:v>
                </c:pt>
                <c:pt idx="802">
                  <c:v>44449</c:v>
                </c:pt>
                <c:pt idx="803">
                  <c:v>44452</c:v>
                </c:pt>
                <c:pt idx="804">
                  <c:v>44453</c:v>
                </c:pt>
                <c:pt idx="805">
                  <c:v>44454</c:v>
                </c:pt>
                <c:pt idx="806">
                  <c:v>44455</c:v>
                </c:pt>
                <c:pt idx="807">
                  <c:v>44456</c:v>
                </c:pt>
                <c:pt idx="808">
                  <c:v>44459</c:v>
                </c:pt>
                <c:pt idx="809">
                  <c:v>44460</c:v>
                </c:pt>
                <c:pt idx="810">
                  <c:v>44461</c:v>
                </c:pt>
                <c:pt idx="811">
                  <c:v>44462</c:v>
                </c:pt>
                <c:pt idx="812">
                  <c:v>44463</c:v>
                </c:pt>
                <c:pt idx="813">
                  <c:v>44466</c:v>
                </c:pt>
                <c:pt idx="814">
                  <c:v>44467</c:v>
                </c:pt>
                <c:pt idx="815">
                  <c:v>44468</c:v>
                </c:pt>
                <c:pt idx="816">
                  <c:v>44469</c:v>
                </c:pt>
                <c:pt idx="817">
                  <c:v>44470</c:v>
                </c:pt>
                <c:pt idx="818">
                  <c:v>44473</c:v>
                </c:pt>
                <c:pt idx="819">
                  <c:v>44474</c:v>
                </c:pt>
                <c:pt idx="820">
                  <c:v>44475</c:v>
                </c:pt>
                <c:pt idx="821">
                  <c:v>44476</c:v>
                </c:pt>
                <c:pt idx="822">
                  <c:v>44477</c:v>
                </c:pt>
                <c:pt idx="823">
                  <c:v>44480</c:v>
                </c:pt>
                <c:pt idx="824">
                  <c:v>44481</c:v>
                </c:pt>
                <c:pt idx="825">
                  <c:v>44482</c:v>
                </c:pt>
                <c:pt idx="826">
                  <c:v>44483</c:v>
                </c:pt>
                <c:pt idx="827">
                  <c:v>44484</c:v>
                </c:pt>
                <c:pt idx="828">
                  <c:v>44487</c:v>
                </c:pt>
                <c:pt idx="829">
                  <c:v>44488</c:v>
                </c:pt>
                <c:pt idx="830">
                  <c:v>44489</c:v>
                </c:pt>
                <c:pt idx="831">
                  <c:v>44490</c:v>
                </c:pt>
                <c:pt idx="832">
                  <c:v>44491</c:v>
                </c:pt>
                <c:pt idx="833">
                  <c:v>44494</c:v>
                </c:pt>
                <c:pt idx="834">
                  <c:v>44495</c:v>
                </c:pt>
                <c:pt idx="835">
                  <c:v>44496</c:v>
                </c:pt>
                <c:pt idx="836">
                  <c:v>44497</c:v>
                </c:pt>
                <c:pt idx="837">
                  <c:v>44498</c:v>
                </c:pt>
                <c:pt idx="838">
                  <c:v>44501</c:v>
                </c:pt>
                <c:pt idx="839">
                  <c:v>44502</c:v>
                </c:pt>
                <c:pt idx="840">
                  <c:v>44503</c:v>
                </c:pt>
                <c:pt idx="841">
                  <c:v>44504</c:v>
                </c:pt>
                <c:pt idx="842">
                  <c:v>44505</c:v>
                </c:pt>
                <c:pt idx="843">
                  <c:v>44508</c:v>
                </c:pt>
                <c:pt idx="844">
                  <c:v>44509</c:v>
                </c:pt>
                <c:pt idx="845">
                  <c:v>44510</c:v>
                </c:pt>
                <c:pt idx="846">
                  <c:v>44511</c:v>
                </c:pt>
                <c:pt idx="847">
                  <c:v>44512</c:v>
                </c:pt>
                <c:pt idx="848">
                  <c:v>44515</c:v>
                </c:pt>
                <c:pt idx="849">
                  <c:v>44516</c:v>
                </c:pt>
                <c:pt idx="850">
                  <c:v>44517</c:v>
                </c:pt>
                <c:pt idx="851">
                  <c:v>44518</c:v>
                </c:pt>
                <c:pt idx="852">
                  <c:v>44519</c:v>
                </c:pt>
                <c:pt idx="853">
                  <c:v>44522</c:v>
                </c:pt>
                <c:pt idx="854">
                  <c:v>44523</c:v>
                </c:pt>
                <c:pt idx="855">
                  <c:v>44524</c:v>
                </c:pt>
                <c:pt idx="856">
                  <c:v>44526</c:v>
                </c:pt>
                <c:pt idx="857">
                  <c:v>44529</c:v>
                </c:pt>
                <c:pt idx="858">
                  <c:v>44530</c:v>
                </c:pt>
                <c:pt idx="859">
                  <c:v>44531</c:v>
                </c:pt>
                <c:pt idx="860">
                  <c:v>44532</c:v>
                </c:pt>
                <c:pt idx="861">
                  <c:v>44533</c:v>
                </c:pt>
                <c:pt idx="862">
                  <c:v>44536</c:v>
                </c:pt>
                <c:pt idx="863">
                  <c:v>44537</c:v>
                </c:pt>
                <c:pt idx="864">
                  <c:v>44538</c:v>
                </c:pt>
                <c:pt idx="865">
                  <c:v>44539</c:v>
                </c:pt>
                <c:pt idx="866">
                  <c:v>44540</c:v>
                </c:pt>
                <c:pt idx="867">
                  <c:v>44543</c:v>
                </c:pt>
                <c:pt idx="868">
                  <c:v>44544</c:v>
                </c:pt>
                <c:pt idx="869">
                  <c:v>44545</c:v>
                </c:pt>
                <c:pt idx="870">
                  <c:v>44546</c:v>
                </c:pt>
                <c:pt idx="871">
                  <c:v>44547</c:v>
                </c:pt>
                <c:pt idx="872">
                  <c:v>44550</c:v>
                </c:pt>
                <c:pt idx="873">
                  <c:v>44551</c:v>
                </c:pt>
                <c:pt idx="874">
                  <c:v>44552</c:v>
                </c:pt>
                <c:pt idx="875">
                  <c:v>44553</c:v>
                </c:pt>
                <c:pt idx="876">
                  <c:v>44557</c:v>
                </c:pt>
                <c:pt idx="877">
                  <c:v>44558</c:v>
                </c:pt>
                <c:pt idx="878">
                  <c:v>44559</c:v>
                </c:pt>
                <c:pt idx="879">
                  <c:v>44560</c:v>
                </c:pt>
                <c:pt idx="880">
                  <c:v>44561</c:v>
                </c:pt>
                <c:pt idx="881">
                  <c:v>44564</c:v>
                </c:pt>
                <c:pt idx="882">
                  <c:v>44565</c:v>
                </c:pt>
                <c:pt idx="883">
                  <c:v>44566</c:v>
                </c:pt>
                <c:pt idx="884">
                  <c:v>44567</c:v>
                </c:pt>
                <c:pt idx="885">
                  <c:v>44568</c:v>
                </c:pt>
                <c:pt idx="886">
                  <c:v>44571</c:v>
                </c:pt>
                <c:pt idx="887">
                  <c:v>44572</c:v>
                </c:pt>
                <c:pt idx="888">
                  <c:v>44573</c:v>
                </c:pt>
                <c:pt idx="889">
                  <c:v>44574</c:v>
                </c:pt>
                <c:pt idx="890">
                  <c:v>44575</c:v>
                </c:pt>
                <c:pt idx="891">
                  <c:v>44579</c:v>
                </c:pt>
                <c:pt idx="892">
                  <c:v>44580</c:v>
                </c:pt>
                <c:pt idx="893">
                  <c:v>44581</c:v>
                </c:pt>
                <c:pt idx="894">
                  <c:v>44582</c:v>
                </c:pt>
                <c:pt idx="895">
                  <c:v>44585</c:v>
                </c:pt>
                <c:pt idx="896">
                  <c:v>44586</c:v>
                </c:pt>
                <c:pt idx="897">
                  <c:v>44587</c:v>
                </c:pt>
                <c:pt idx="898">
                  <c:v>44588</c:v>
                </c:pt>
                <c:pt idx="899">
                  <c:v>44589</c:v>
                </c:pt>
                <c:pt idx="900">
                  <c:v>44592</c:v>
                </c:pt>
                <c:pt idx="901">
                  <c:v>44593</c:v>
                </c:pt>
                <c:pt idx="902">
                  <c:v>44594</c:v>
                </c:pt>
                <c:pt idx="903">
                  <c:v>44595</c:v>
                </c:pt>
                <c:pt idx="904">
                  <c:v>44596</c:v>
                </c:pt>
                <c:pt idx="905">
                  <c:v>44599</c:v>
                </c:pt>
                <c:pt idx="906">
                  <c:v>44600</c:v>
                </c:pt>
                <c:pt idx="907">
                  <c:v>44601</c:v>
                </c:pt>
                <c:pt idx="908">
                  <c:v>44602</c:v>
                </c:pt>
                <c:pt idx="909">
                  <c:v>44603</c:v>
                </c:pt>
                <c:pt idx="910">
                  <c:v>44606</c:v>
                </c:pt>
                <c:pt idx="911">
                  <c:v>44607</c:v>
                </c:pt>
                <c:pt idx="912">
                  <c:v>44608</c:v>
                </c:pt>
                <c:pt idx="913">
                  <c:v>44609</c:v>
                </c:pt>
                <c:pt idx="914">
                  <c:v>44610</c:v>
                </c:pt>
                <c:pt idx="915">
                  <c:v>44614</c:v>
                </c:pt>
                <c:pt idx="916">
                  <c:v>44615</c:v>
                </c:pt>
                <c:pt idx="917">
                  <c:v>44616</c:v>
                </c:pt>
                <c:pt idx="918">
                  <c:v>44617</c:v>
                </c:pt>
                <c:pt idx="919">
                  <c:v>44620</c:v>
                </c:pt>
                <c:pt idx="920">
                  <c:v>44621</c:v>
                </c:pt>
                <c:pt idx="921">
                  <c:v>44622</c:v>
                </c:pt>
                <c:pt idx="922">
                  <c:v>44623</c:v>
                </c:pt>
                <c:pt idx="923">
                  <c:v>44624</c:v>
                </c:pt>
                <c:pt idx="924">
                  <c:v>44627</c:v>
                </c:pt>
                <c:pt idx="925">
                  <c:v>44628</c:v>
                </c:pt>
                <c:pt idx="926">
                  <c:v>44629</c:v>
                </c:pt>
                <c:pt idx="927">
                  <c:v>44630</c:v>
                </c:pt>
                <c:pt idx="928">
                  <c:v>44631</c:v>
                </c:pt>
                <c:pt idx="929">
                  <c:v>44634</c:v>
                </c:pt>
                <c:pt idx="930">
                  <c:v>44635</c:v>
                </c:pt>
                <c:pt idx="931">
                  <c:v>44636</c:v>
                </c:pt>
                <c:pt idx="932">
                  <c:v>44637</c:v>
                </c:pt>
                <c:pt idx="933">
                  <c:v>44638</c:v>
                </c:pt>
                <c:pt idx="934">
                  <c:v>44641</c:v>
                </c:pt>
                <c:pt idx="935">
                  <c:v>44642</c:v>
                </c:pt>
                <c:pt idx="936">
                  <c:v>44643</c:v>
                </c:pt>
                <c:pt idx="937">
                  <c:v>44644</c:v>
                </c:pt>
                <c:pt idx="938">
                  <c:v>44645</c:v>
                </c:pt>
                <c:pt idx="939">
                  <c:v>44648</c:v>
                </c:pt>
                <c:pt idx="940">
                  <c:v>44649</c:v>
                </c:pt>
                <c:pt idx="941">
                  <c:v>44650</c:v>
                </c:pt>
                <c:pt idx="942">
                  <c:v>44651</c:v>
                </c:pt>
                <c:pt idx="943">
                  <c:v>44652</c:v>
                </c:pt>
                <c:pt idx="944">
                  <c:v>44655</c:v>
                </c:pt>
                <c:pt idx="945">
                  <c:v>44656</c:v>
                </c:pt>
                <c:pt idx="946">
                  <c:v>44657</c:v>
                </c:pt>
                <c:pt idx="947">
                  <c:v>44658</c:v>
                </c:pt>
                <c:pt idx="948">
                  <c:v>44659</c:v>
                </c:pt>
                <c:pt idx="949">
                  <c:v>44662</c:v>
                </c:pt>
                <c:pt idx="950">
                  <c:v>44663</c:v>
                </c:pt>
                <c:pt idx="951">
                  <c:v>44664</c:v>
                </c:pt>
                <c:pt idx="952">
                  <c:v>44665</c:v>
                </c:pt>
                <c:pt idx="953">
                  <c:v>44669</c:v>
                </c:pt>
                <c:pt idx="954">
                  <c:v>44670</c:v>
                </c:pt>
                <c:pt idx="955">
                  <c:v>44671</c:v>
                </c:pt>
                <c:pt idx="956">
                  <c:v>44672</c:v>
                </c:pt>
                <c:pt idx="957">
                  <c:v>44673</c:v>
                </c:pt>
                <c:pt idx="958">
                  <c:v>44676</c:v>
                </c:pt>
                <c:pt idx="959">
                  <c:v>44677</c:v>
                </c:pt>
                <c:pt idx="960">
                  <c:v>44678</c:v>
                </c:pt>
                <c:pt idx="961">
                  <c:v>44679</c:v>
                </c:pt>
                <c:pt idx="962">
                  <c:v>44680</c:v>
                </c:pt>
                <c:pt idx="963">
                  <c:v>44683</c:v>
                </c:pt>
                <c:pt idx="964">
                  <c:v>44684</c:v>
                </c:pt>
                <c:pt idx="965">
                  <c:v>44685</c:v>
                </c:pt>
                <c:pt idx="966">
                  <c:v>44686</c:v>
                </c:pt>
                <c:pt idx="967">
                  <c:v>44687</c:v>
                </c:pt>
                <c:pt idx="968">
                  <c:v>44690</c:v>
                </c:pt>
                <c:pt idx="969">
                  <c:v>44691</c:v>
                </c:pt>
                <c:pt idx="970">
                  <c:v>44692</c:v>
                </c:pt>
                <c:pt idx="971">
                  <c:v>44693</c:v>
                </c:pt>
                <c:pt idx="972">
                  <c:v>44694</c:v>
                </c:pt>
                <c:pt idx="973">
                  <c:v>44697</c:v>
                </c:pt>
                <c:pt idx="974">
                  <c:v>44698</c:v>
                </c:pt>
                <c:pt idx="975">
                  <c:v>44699</c:v>
                </c:pt>
                <c:pt idx="976">
                  <c:v>44700</c:v>
                </c:pt>
                <c:pt idx="977">
                  <c:v>44701</c:v>
                </c:pt>
                <c:pt idx="978">
                  <c:v>44704</c:v>
                </c:pt>
                <c:pt idx="979">
                  <c:v>44705</c:v>
                </c:pt>
                <c:pt idx="980">
                  <c:v>44706</c:v>
                </c:pt>
                <c:pt idx="981">
                  <c:v>44707</c:v>
                </c:pt>
                <c:pt idx="982">
                  <c:v>44708</c:v>
                </c:pt>
                <c:pt idx="983">
                  <c:v>44712</c:v>
                </c:pt>
                <c:pt idx="984">
                  <c:v>44713</c:v>
                </c:pt>
                <c:pt idx="985">
                  <c:v>44714</c:v>
                </c:pt>
                <c:pt idx="986">
                  <c:v>44715</c:v>
                </c:pt>
                <c:pt idx="987">
                  <c:v>44718</c:v>
                </c:pt>
                <c:pt idx="988">
                  <c:v>44719</c:v>
                </c:pt>
                <c:pt idx="989">
                  <c:v>44720</c:v>
                </c:pt>
                <c:pt idx="990">
                  <c:v>44721</c:v>
                </c:pt>
                <c:pt idx="991">
                  <c:v>44722</c:v>
                </c:pt>
                <c:pt idx="992">
                  <c:v>44725</c:v>
                </c:pt>
                <c:pt idx="993">
                  <c:v>44726</c:v>
                </c:pt>
                <c:pt idx="994">
                  <c:v>44727</c:v>
                </c:pt>
                <c:pt idx="995">
                  <c:v>44728</c:v>
                </c:pt>
                <c:pt idx="996">
                  <c:v>44729</c:v>
                </c:pt>
                <c:pt idx="997">
                  <c:v>44733</c:v>
                </c:pt>
                <c:pt idx="998">
                  <c:v>44734</c:v>
                </c:pt>
                <c:pt idx="999">
                  <c:v>44735</c:v>
                </c:pt>
                <c:pt idx="1000">
                  <c:v>44736</c:v>
                </c:pt>
                <c:pt idx="1001">
                  <c:v>44739</c:v>
                </c:pt>
                <c:pt idx="1002">
                  <c:v>44740</c:v>
                </c:pt>
                <c:pt idx="1003">
                  <c:v>44741</c:v>
                </c:pt>
                <c:pt idx="1004">
                  <c:v>44742</c:v>
                </c:pt>
                <c:pt idx="1005">
                  <c:v>44743</c:v>
                </c:pt>
                <c:pt idx="1006">
                  <c:v>44747</c:v>
                </c:pt>
                <c:pt idx="1007">
                  <c:v>44748</c:v>
                </c:pt>
                <c:pt idx="1008">
                  <c:v>44749</c:v>
                </c:pt>
                <c:pt idx="1009">
                  <c:v>44750</c:v>
                </c:pt>
                <c:pt idx="1010">
                  <c:v>44753</c:v>
                </c:pt>
                <c:pt idx="1011">
                  <c:v>44754</c:v>
                </c:pt>
                <c:pt idx="1012">
                  <c:v>44755</c:v>
                </c:pt>
                <c:pt idx="1013">
                  <c:v>44756</c:v>
                </c:pt>
                <c:pt idx="1014">
                  <c:v>44757</c:v>
                </c:pt>
                <c:pt idx="1015">
                  <c:v>44760</c:v>
                </c:pt>
                <c:pt idx="1016">
                  <c:v>44761</c:v>
                </c:pt>
                <c:pt idx="1017">
                  <c:v>44762</c:v>
                </c:pt>
                <c:pt idx="1018">
                  <c:v>44763</c:v>
                </c:pt>
                <c:pt idx="1019">
                  <c:v>44764</c:v>
                </c:pt>
                <c:pt idx="1020">
                  <c:v>44767</c:v>
                </c:pt>
                <c:pt idx="1021">
                  <c:v>44768</c:v>
                </c:pt>
                <c:pt idx="1022">
                  <c:v>44769</c:v>
                </c:pt>
                <c:pt idx="1023">
                  <c:v>44770</c:v>
                </c:pt>
                <c:pt idx="1024">
                  <c:v>44771</c:v>
                </c:pt>
                <c:pt idx="1025">
                  <c:v>44774</c:v>
                </c:pt>
                <c:pt idx="1026">
                  <c:v>44775</c:v>
                </c:pt>
                <c:pt idx="1027">
                  <c:v>44776</c:v>
                </c:pt>
                <c:pt idx="1028">
                  <c:v>44777</c:v>
                </c:pt>
                <c:pt idx="1029">
                  <c:v>44778</c:v>
                </c:pt>
                <c:pt idx="1030">
                  <c:v>44781</c:v>
                </c:pt>
                <c:pt idx="1031">
                  <c:v>44782</c:v>
                </c:pt>
                <c:pt idx="1032">
                  <c:v>44783</c:v>
                </c:pt>
                <c:pt idx="1033">
                  <c:v>44784</c:v>
                </c:pt>
                <c:pt idx="1034">
                  <c:v>44785</c:v>
                </c:pt>
                <c:pt idx="1035">
                  <c:v>44788</c:v>
                </c:pt>
                <c:pt idx="1036">
                  <c:v>44789</c:v>
                </c:pt>
                <c:pt idx="1037">
                  <c:v>44790</c:v>
                </c:pt>
                <c:pt idx="1038">
                  <c:v>44791</c:v>
                </c:pt>
                <c:pt idx="1039">
                  <c:v>44792</c:v>
                </c:pt>
                <c:pt idx="1040">
                  <c:v>44795</c:v>
                </c:pt>
                <c:pt idx="1041">
                  <c:v>44796</c:v>
                </c:pt>
                <c:pt idx="1042">
                  <c:v>44797</c:v>
                </c:pt>
                <c:pt idx="1043">
                  <c:v>44798</c:v>
                </c:pt>
                <c:pt idx="1044">
                  <c:v>44799</c:v>
                </c:pt>
                <c:pt idx="1045">
                  <c:v>44802</c:v>
                </c:pt>
                <c:pt idx="1046">
                  <c:v>44803</c:v>
                </c:pt>
                <c:pt idx="1047">
                  <c:v>44804</c:v>
                </c:pt>
                <c:pt idx="1048">
                  <c:v>44805</c:v>
                </c:pt>
                <c:pt idx="1049">
                  <c:v>44806</c:v>
                </c:pt>
                <c:pt idx="1050">
                  <c:v>44810</c:v>
                </c:pt>
                <c:pt idx="1051">
                  <c:v>44811</c:v>
                </c:pt>
                <c:pt idx="1052">
                  <c:v>44812</c:v>
                </c:pt>
                <c:pt idx="1053">
                  <c:v>44813</c:v>
                </c:pt>
                <c:pt idx="1054">
                  <c:v>44816</c:v>
                </c:pt>
                <c:pt idx="1055">
                  <c:v>44817</c:v>
                </c:pt>
                <c:pt idx="1056">
                  <c:v>44818</c:v>
                </c:pt>
                <c:pt idx="1057">
                  <c:v>44819</c:v>
                </c:pt>
                <c:pt idx="1058">
                  <c:v>44820</c:v>
                </c:pt>
                <c:pt idx="1059">
                  <c:v>44823</c:v>
                </c:pt>
                <c:pt idx="1060">
                  <c:v>44824</c:v>
                </c:pt>
                <c:pt idx="1061">
                  <c:v>44825</c:v>
                </c:pt>
                <c:pt idx="1062">
                  <c:v>44826</c:v>
                </c:pt>
                <c:pt idx="1063">
                  <c:v>44827</c:v>
                </c:pt>
                <c:pt idx="1064">
                  <c:v>44830</c:v>
                </c:pt>
                <c:pt idx="1065">
                  <c:v>44831</c:v>
                </c:pt>
                <c:pt idx="1066">
                  <c:v>44832</c:v>
                </c:pt>
                <c:pt idx="1067">
                  <c:v>44833</c:v>
                </c:pt>
                <c:pt idx="1068">
                  <c:v>44834</c:v>
                </c:pt>
                <c:pt idx="1069">
                  <c:v>44837</c:v>
                </c:pt>
                <c:pt idx="1070">
                  <c:v>44838</c:v>
                </c:pt>
                <c:pt idx="1071">
                  <c:v>44839</c:v>
                </c:pt>
                <c:pt idx="1072">
                  <c:v>44840</c:v>
                </c:pt>
                <c:pt idx="1073">
                  <c:v>44841</c:v>
                </c:pt>
                <c:pt idx="1074">
                  <c:v>44844</c:v>
                </c:pt>
                <c:pt idx="1075">
                  <c:v>44845</c:v>
                </c:pt>
                <c:pt idx="1076">
                  <c:v>44846</c:v>
                </c:pt>
                <c:pt idx="1077">
                  <c:v>44847</c:v>
                </c:pt>
                <c:pt idx="1078">
                  <c:v>44848</c:v>
                </c:pt>
                <c:pt idx="1079">
                  <c:v>44851</c:v>
                </c:pt>
                <c:pt idx="1080">
                  <c:v>44852</c:v>
                </c:pt>
                <c:pt idx="1081">
                  <c:v>44853</c:v>
                </c:pt>
                <c:pt idx="1082">
                  <c:v>44854</c:v>
                </c:pt>
                <c:pt idx="1083">
                  <c:v>44855</c:v>
                </c:pt>
                <c:pt idx="1084">
                  <c:v>44858</c:v>
                </c:pt>
                <c:pt idx="1085">
                  <c:v>44859</c:v>
                </c:pt>
                <c:pt idx="1086">
                  <c:v>44860</c:v>
                </c:pt>
                <c:pt idx="1087">
                  <c:v>44861</c:v>
                </c:pt>
                <c:pt idx="1088">
                  <c:v>44862</c:v>
                </c:pt>
                <c:pt idx="1089">
                  <c:v>44865</c:v>
                </c:pt>
                <c:pt idx="1090">
                  <c:v>44866</c:v>
                </c:pt>
                <c:pt idx="1091">
                  <c:v>44867</c:v>
                </c:pt>
                <c:pt idx="1092">
                  <c:v>44868</c:v>
                </c:pt>
                <c:pt idx="1093">
                  <c:v>44869</c:v>
                </c:pt>
                <c:pt idx="1094">
                  <c:v>44872</c:v>
                </c:pt>
                <c:pt idx="1095">
                  <c:v>44873</c:v>
                </c:pt>
                <c:pt idx="1096">
                  <c:v>44874</c:v>
                </c:pt>
                <c:pt idx="1097">
                  <c:v>44875</c:v>
                </c:pt>
                <c:pt idx="1098">
                  <c:v>44876</c:v>
                </c:pt>
                <c:pt idx="1099">
                  <c:v>44879</c:v>
                </c:pt>
                <c:pt idx="1100">
                  <c:v>44880</c:v>
                </c:pt>
                <c:pt idx="1101">
                  <c:v>44881</c:v>
                </c:pt>
                <c:pt idx="1102">
                  <c:v>44882</c:v>
                </c:pt>
                <c:pt idx="1103">
                  <c:v>44883</c:v>
                </c:pt>
                <c:pt idx="1104">
                  <c:v>44886</c:v>
                </c:pt>
                <c:pt idx="1105">
                  <c:v>44887</c:v>
                </c:pt>
                <c:pt idx="1106">
                  <c:v>44888</c:v>
                </c:pt>
                <c:pt idx="1107">
                  <c:v>44890</c:v>
                </c:pt>
                <c:pt idx="1108">
                  <c:v>44893</c:v>
                </c:pt>
                <c:pt idx="1109">
                  <c:v>44894</c:v>
                </c:pt>
                <c:pt idx="1110">
                  <c:v>44895</c:v>
                </c:pt>
                <c:pt idx="1111">
                  <c:v>44896</c:v>
                </c:pt>
                <c:pt idx="1112">
                  <c:v>44897</c:v>
                </c:pt>
                <c:pt idx="1113">
                  <c:v>44900</c:v>
                </c:pt>
                <c:pt idx="1114">
                  <c:v>44901</c:v>
                </c:pt>
                <c:pt idx="1115">
                  <c:v>44902</c:v>
                </c:pt>
                <c:pt idx="1116">
                  <c:v>44903</c:v>
                </c:pt>
                <c:pt idx="1117">
                  <c:v>44904</c:v>
                </c:pt>
                <c:pt idx="1118">
                  <c:v>44907</c:v>
                </c:pt>
                <c:pt idx="1119">
                  <c:v>44908</c:v>
                </c:pt>
                <c:pt idx="1120">
                  <c:v>44909</c:v>
                </c:pt>
                <c:pt idx="1121">
                  <c:v>44910</c:v>
                </c:pt>
                <c:pt idx="1122">
                  <c:v>44911</c:v>
                </c:pt>
                <c:pt idx="1123">
                  <c:v>44914</c:v>
                </c:pt>
                <c:pt idx="1124">
                  <c:v>44915</c:v>
                </c:pt>
                <c:pt idx="1125">
                  <c:v>44916</c:v>
                </c:pt>
                <c:pt idx="1126">
                  <c:v>44917</c:v>
                </c:pt>
                <c:pt idx="1127">
                  <c:v>44918</c:v>
                </c:pt>
                <c:pt idx="1128">
                  <c:v>44922</c:v>
                </c:pt>
                <c:pt idx="1129">
                  <c:v>44923</c:v>
                </c:pt>
                <c:pt idx="1130">
                  <c:v>44924</c:v>
                </c:pt>
                <c:pt idx="1131">
                  <c:v>44925</c:v>
                </c:pt>
                <c:pt idx="1132">
                  <c:v>44929</c:v>
                </c:pt>
                <c:pt idx="1133">
                  <c:v>44930</c:v>
                </c:pt>
                <c:pt idx="1134">
                  <c:v>44931</c:v>
                </c:pt>
                <c:pt idx="1135">
                  <c:v>44932</c:v>
                </c:pt>
                <c:pt idx="1136">
                  <c:v>44935</c:v>
                </c:pt>
                <c:pt idx="1137">
                  <c:v>44936</c:v>
                </c:pt>
                <c:pt idx="1138">
                  <c:v>44937</c:v>
                </c:pt>
                <c:pt idx="1139">
                  <c:v>44938</c:v>
                </c:pt>
                <c:pt idx="1140">
                  <c:v>44939</c:v>
                </c:pt>
                <c:pt idx="1141">
                  <c:v>44943</c:v>
                </c:pt>
                <c:pt idx="1142">
                  <c:v>44944</c:v>
                </c:pt>
                <c:pt idx="1143">
                  <c:v>44945</c:v>
                </c:pt>
                <c:pt idx="1144">
                  <c:v>44946</c:v>
                </c:pt>
                <c:pt idx="1145">
                  <c:v>44949</c:v>
                </c:pt>
                <c:pt idx="1146">
                  <c:v>44950</c:v>
                </c:pt>
                <c:pt idx="1147">
                  <c:v>44951</c:v>
                </c:pt>
                <c:pt idx="1148">
                  <c:v>44952</c:v>
                </c:pt>
                <c:pt idx="1149">
                  <c:v>44953</c:v>
                </c:pt>
                <c:pt idx="1150">
                  <c:v>44956</c:v>
                </c:pt>
                <c:pt idx="1151">
                  <c:v>44957</c:v>
                </c:pt>
                <c:pt idx="1152">
                  <c:v>44958</c:v>
                </c:pt>
                <c:pt idx="1153">
                  <c:v>44959</c:v>
                </c:pt>
                <c:pt idx="1154">
                  <c:v>44960</c:v>
                </c:pt>
                <c:pt idx="1155">
                  <c:v>44963</c:v>
                </c:pt>
                <c:pt idx="1156">
                  <c:v>44964</c:v>
                </c:pt>
                <c:pt idx="1157">
                  <c:v>44965</c:v>
                </c:pt>
                <c:pt idx="1158">
                  <c:v>44966</c:v>
                </c:pt>
                <c:pt idx="1159">
                  <c:v>44967</c:v>
                </c:pt>
                <c:pt idx="1160">
                  <c:v>44970</c:v>
                </c:pt>
                <c:pt idx="1161">
                  <c:v>44971</c:v>
                </c:pt>
                <c:pt idx="1162">
                  <c:v>44972</c:v>
                </c:pt>
                <c:pt idx="1163">
                  <c:v>44973</c:v>
                </c:pt>
                <c:pt idx="1164">
                  <c:v>44974</c:v>
                </c:pt>
                <c:pt idx="1165">
                  <c:v>44978</c:v>
                </c:pt>
                <c:pt idx="1166">
                  <c:v>44979</c:v>
                </c:pt>
                <c:pt idx="1167">
                  <c:v>44980</c:v>
                </c:pt>
                <c:pt idx="1168">
                  <c:v>44981</c:v>
                </c:pt>
                <c:pt idx="1169">
                  <c:v>44984</c:v>
                </c:pt>
                <c:pt idx="1170">
                  <c:v>44985</c:v>
                </c:pt>
                <c:pt idx="1171">
                  <c:v>44986</c:v>
                </c:pt>
                <c:pt idx="1172">
                  <c:v>44987</c:v>
                </c:pt>
                <c:pt idx="1173">
                  <c:v>44988</c:v>
                </c:pt>
                <c:pt idx="1174">
                  <c:v>44991</c:v>
                </c:pt>
                <c:pt idx="1175">
                  <c:v>44992</c:v>
                </c:pt>
                <c:pt idx="1176">
                  <c:v>44993</c:v>
                </c:pt>
                <c:pt idx="1177">
                  <c:v>44994</c:v>
                </c:pt>
                <c:pt idx="1178">
                  <c:v>44995</c:v>
                </c:pt>
                <c:pt idx="1179">
                  <c:v>44998</c:v>
                </c:pt>
                <c:pt idx="1180">
                  <c:v>44999</c:v>
                </c:pt>
                <c:pt idx="1181">
                  <c:v>45000</c:v>
                </c:pt>
                <c:pt idx="1182">
                  <c:v>45001</c:v>
                </c:pt>
                <c:pt idx="1183">
                  <c:v>45002</c:v>
                </c:pt>
                <c:pt idx="1184">
                  <c:v>45005</c:v>
                </c:pt>
                <c:pt idx="1185">
                  <c:v>45006</c:v>
                </c:pt>
                <c:pt idx="1186">
                  <c:v>45007</c:v>
                </c:pt>
                <c:pt idx="1187">
                  <c:v>45008</c:v>
                </c:pt>
                <c:pt idx="1188">
                  <c:v>45009</c:v>
                </c:pt>
                <c:pt idx="1189">
                  <c:v>45012</c:v>
                </c:pt>
                <c:pt idx="1190">
                  <c:v>45013</c:v>
                </c:pt>
                <c:pt idx="1191">
                  <c:v>45014</c:v>
                </c:pt>
                <c:pt idx="1192">
                  <c:v>45015</c:v>
                </c:pt>
                <c:pt idx="1193">
                  <c:v>45016</c:v>
                </c:pt>
                <c:pt idx="1194">
                  <c:v>45019</c:v>
                </c:pt>
                <c:pt idx="1195">
                  <c:v>45020</c:v>
                </c:pt>
                <c:pt idx="1196">
                  <c:v>45021</c:v>
                </c:pt>
                <c:pt idx="1197">
                  <c:v>45022</c:v>
                </c:pt>
                <c:pt idx="1198">
                  <c:v>45026</c:v>
                </c:pt>
                <c:pt idx="1199">
                  <c:v>45027</c:v>
                </c:pt>
                <c:pt idx="1200">
                  <c:v>45028</c:v>
                </c:pt>
                <c:pt idx="1201">
                  <c:v>45029</c:v>
                </c:pt>
                <c:pt idx="1202">
                  <c:v>45030</c:v>
                </c:pt>
                <c:pt idx="1203">
                  <c:v>45033</c:v>
                </c:pt>
                <c:pt idx="1204">
                  <c:v>45034</c:v>
                </c:pt>
                <c:pt idx="1205">
                  <c:v>45035</c:v>
                </c:pt>
                <c:pt idx="1206">
                  <c:v>45036</c:v>
                </c:pt>
                <c:pt idx="1207">
                  <c:v>45037</c:v>
                </c:pt>
                <c:pt idx="1208">
                  <c:v>45040</c:v>
                </c:pt>
                <c:pt idx="1209">
                  <c:v>45041</c:v>
                </c:pt>
                <c:pt idx="1210">
                  <c:v>45042</c:v>
                </c:pt>
                <c:pt idx="1211">
                  <c:v>45043</c:v>
                </c:pt>
                <c:pt idx="1212">
                  <c:v>45044</c:v>
                </c:pt>
                <c:pt idx="1213">
                  <c:v>45047</c:v>
                </c:pt>
                <c:pt idx="1214">
                  <c:v>45048</c:v>
                </c:pt>
                <c:pt idx="1215">
                  <c:v>45049</c:v>
                </c:pt>
                <c:pt idx="1216">
                  <c:v>45050</c:v>
                </c:pt>
                <c:pt idx="1217">
                  <c:v>45051</c:v>
                </c:pt>
                <c:pt idx="1218">
                  <c:v>45054</c:v>
                </c:pt>
                <c:pt idx="1219">
                  <c:v>45055</c:v>
                </c:pt>
                <c:pt idx="1220">
                  <c:v>45056</c:v>
                </c:pt>
                <c:pt idx="1221">
                  <c:v>45057</c:v>
                </c:pt>
                <c:pt idx="1222">
                  <c:v>45058</c:v>
                </c:pt>
                <c:pt idx="1223">
                  <c:v>45061</c:v>
                </c:pt>
                <c:pt idx="1224">
                  <c:v>45062</c:v>
                </c:pt>
                <c:pt idx="1225">
                  <c:v>45063</c:v>
                </c:pt>
                <c:pt idx="1226">
                  <c:v>45064</c:v>
                </c:pt>
                <c:pt idx="1227">
                  <c:v>45065</c:v>
                </c:pt>
                <c:pt idx="1228">
                  <c:v>45068</c:v>
                </c:pt>
                <c:pt idx="1229">
                  <c:v>45069</c:v>
                </c:pt>
                <c:pt idx="1230">
                  <c:v>45070</c:v>
                </c:pt>
                <c:pt idx="1231">
                  <c:v>45071</c:v>
                </c:pt>
                <c:pt idx="1232">
                  <c:v>45072</c:v>
                </c:pt>
                <c:pt idx="1233">
                  <c:v>45076</c:v>
                </c:pt>
                <c:pt idx="1234">
                  <c:v>45077</c:v>
                </c:pt>
                <c:pt idx="1235">
                  <c:v>45078</c:v>
                </c:pt>
                <c:pt idx="1236">
                  <c:v>45079</c:v>
                </c:pt>
                <c:pt idx="1237">
                  <c:v>45082</c:v>
                </c:pt>
                <c:pt idx="1238">
                  <c:v>45083</c:v>
                </c:pt>
                <c:pt idx="1239">
                  <c:v>45084</c:v>
                </c:pt>
                <c:pt idx="1240">
                  <c:v>45085</c:v>
                </c:pt>
                <c:pt idx="1241">
                  <c:v>45086</c:v>
                </c:pt>
                <c:pt idx="1242">
                  <c:v>45089</c:v>
                </c:pt>
                <c:pt idx="1243">
                  <c:v>45090</c:v>
                </c:pt>
                <c:pt idx="1244">
                  <c:v>45091</c:v>
                </c:pt>
                <c:pt idx="1245">
                  <c:v>45092</c:v>
                </c:pt>
                <c:pt idx="1246">
                  <c:v>45093</c:v>
                </c:pt>
                <c:pt idx="1247">
                  <c:v>45097</c:v>
                </c:pt>
                <c:pt idx="1248">
                  <c:v>45098</c:v>
                </c:pt>
                <c:pt idx="1249">
                  <c:v>45099</c:v>
                </c:pt>
                <c:pt idx="1250">
                  <c:v>45100</c:v>
                </c:pt>
                <c:pt idx="1251">
                  <c:v>45103</c:v>
                </c:pt>
                <c:pt idx="1252">
                  <c:v>45104</c:v>
                </c:pt>
                <c:pt idx="1253">
                  <c:v>45105</c:v>
                </c:pt>
                <c:pt idx="1254">
                  <c:v>45106</c:v>
                </c:pt>
              </c:numCache>
            </c:numRef>
          </c:cat>
          <c:val>
            <c:numRef>
              <c:f>'Stock Chart'!$B$2:$B$1256</c:f>
              <c:numCache>
                <c:formatCode>0.00_);[Red]\(0.00\)</c:formatCode>
                <c:ptCount val="1255"/>
                <c:pt idx="0">
                  <c:v>100</c:v>
                </c:pt>
                <c:pt idx="1">
                  <c:v>101.10529377545083</c:v>
                </c:pt>
                <c:pt idx="2">
                  <c:v>103.89761489237928</c:v>
                </c:pt>
                <c:pt idx="3">
                  <c:v>103.95578824898197</c:v>
                </c:pt>
                <c:pt idx="4">
                  <c:v>104.42117510180336</c:v>
                </c:pt>
                <c:pt idx="5">
                  <c:v>104.5956951716114</c:v>
                </c:pt>
                <c:pt idx="6">
                  <c:v>102.79232111692845</c:v>
                </c:pt>
                <c:pt idx="7">
                  <c:v>102.21058755090169</c:v>
                </c:pt>
                <c:pt idx="8">
                  <c:v>100.05817335660268</c:v>
                </c:pt>
                <c:pt idx="9">
                  <c:v>99.011052937754499</c:v>
                </c:pt>
                <c:pt idx="10">
                  <c:v>99.592786503781269</c:v>
                </c:pt>
                <c:pt idx="11">
                  <c:v>98.429319371727757</c:v>
                </c:pt>
                <c:pt idx="12">
                  <c:v>98.487492728330423</c:v>
                </c:pt>
                <c:pt idx="13">
                  <c:v>96.742292030250127</c:v>
                </c:pt>
                <c:pt idx="14">
                  <c:v>96.393251890634076</c:v>
                </c:pt>
                <c:pt idx="15">
                  <c:v>97.498545666084937</c:v>
                </c:pt>
                <c:pt idx="16">
                  <c:v>96.742292030250127</c:v>
                </c:pt>
                <c:pt idx="17">
                  <c:v>95.753344968004654</c:v>
                </c:pt>
                <c:pt idx="18">
                  <c:v>95.171611401977884</c:v>
                </c:pt>
                <c:pt idx="19">
                  <c:v>95.346131471785924</c:v>
                </c:pt>
                <c:pt idx="20">
                  <c:v>94.938917975567179</c:v>
                </c:pt>
                <c:pt idx="21">
                  <c:v>94.299011052937757</c:v>
                </c:pt>
                <c:pt idx="22">
                  <c:v>94.066317626527052</c:v>
                </c:pt>
                <c:pt idx="23">
                  <c:v>94.182664339732398</c:v>
                </c:pt>
                <c:pt idx="24">
                  <c:v>104.88656195462478</c:v>
                </c:pt>
                <c:pt idx="25">
                  <c:v>102.90866783013379</c:v>
                </c:pt>
                <c:pt idx="26">
                  <c:v>101.86154741128564</c:v>
                </c:pt>
                <c:pt idx="27">
                  <c:v>100</c:v>
                </c:pt>
                <c:pt idx="28">
                  <c:v>98.196625945317024</c:v>
                </c:pt>
                <c:pt idx="29">
                  <c:v>98.662012798138448</c:v>
                </c:pt>
                <c:pt idx="30">
                  <c:v>100.23269342641071</c:v>
                </c:pt>
                <c:pt idx="31">
                  <c:v>99.36009307737055</c:v>
                </c:pt>
                <c:pt idx="32">
                  <c:v>98.952879581151834</c:v>
                </c:pt>
                <c:pt idx="33">
                  <c:v>99.592786503781269</c:v>
                </c:pt>
                <c:pt idx="34">
                  <c:v>100.52356020942408</c:v>
                </c:pt>
                <c:pt idx="35">
                  <c:v>101.33798720186155</c:v>
                </c:pt>
                <c:pt idx="36">
                  <c:v>101.62885398487491</c:v>
                </c:pt>
                <c:pt idx="37">
                  <c:v>98.312972658522384</c:v>
                </c:pt>
                <c:pt idx="38">
                  <c:v>96.97498545666086</c:v>
                </c:pt>
                <c:pt idx="39">
                  <c:v>96.684118673647461</c:v>
                </c:pt>
                <c:pt idx="40">
                  <c:v>95.636998254799295</c:v>
                </c:pt>
                <c:pt idx="41">
                  <c:v>96.33507853403141</c:v>
                </c:pt>
                <c:pt idx="42">
                  <c:v>95.636998254799295</c:v>
                </c:pt>
                <c:pt idx="43">
                  <c:v>96.916812100058166</c:v>
                </c:pt>
                <c:pt idx="44">
                  <c:v>98.603839441535769</c:v>
                </c:pt>
                <c:pt idx="45">
                  <c:v>98.429319371727757</c:v>
                </c:pt>
                <c:pt idx="46">
                  <c:v>96.916812100058166</c:v>
                </c:pt>
                <c:pt idx="47">
                  <c:v>96.97498545666086</c:v>
                </c:pt>
                <c:pt idx="48">
                  <c:v>95.986038394415345</c:v>
                </c:pt>
                <c:pt idx="49">
                  <c:v>98.429319371727757</c:v>
                </c:pt>
                <c:pt idx="50">
                  <c:v>99.883653286794654</c:v>
                </c:pt>
                <c:pt idx="51">
                  <c:v>98.89470622454914</c:v>
                </c:pt>
                <c:pt idx="52">
                  <c:v>100.58173356602676</c:v>
                </c:pt>
                <c:pt idx="53">
                  <c:v>102.15241419429898</c:v>
                </c:pt>
                <c:pt idx="54">
                  <c:v>102.61780104712042</c:v>
                </c:pt>
                <c:pt idx="55">
                  <c:v>102.15241419429898</c:v>
                </c:pt>
                <c:pt idx="56">
                  <c:v>102.44328097731238</c:v>
                </c:pt>
                <c:pt idx="57">
                  <c:v>104.24665503199535</c:v>
                </c:pt>
                <c:pt idx="58">
                  <c:v>104.8283885980221</c:v>
                </c:pt>
                <c:pt idx="59">
                  <c:v>102.96684118673647</c:v>
                </c:pt>
                <c:pt idx="60">
                  <c:v>102.96684118673647</c:v>
                </c:pt>
                <c:pt idx="61">
                  <c:v>102.79232111692845</c:v>
                </c:pt>
                <c:pt idx="62">
                  <c:v>102.73414776032577</c:v>
                </c:pt>
                <c:pt idx="63">
                  <c:v>101.16346713205351</c:v>
                </c:pt>
                <c:pt idx="64">
                  <c:v>98.254799301919718</c:v>
                </c:pt>
                <c:pt idx="65">
                  <c:v>100.17452006980801</c:v>
                </c:pt>
                <c:pt idx="66">
                  <c:v>100.52356020942408</c:v>
                </c:pt>
                <c:pt idx="67">
                  <c:v>100.81442699243746</c:v>
                </c:pt>
                <c:pt idx="68">
                  <c:v>99.36009307737055</c:v>
                </c:pt>
                <c:pt idx="69">
                  <c:v>96.916812100058166</c:v>
                </c:pt>
                <c:pt idx="70">
                  <c:v>95.28795811518323</c:v>
                </c:pt>
                <c:pt idx="71">
                  <c:v>97.324025596276897</c:v>
                </c:pt>
                <c:pt idx="72">
                  <c:v>99.650959860383935</c:v>
                </c:pt>
                <c:pt idx="73">
                  <c:v>98.720186154741114</c:v>
                </c:pt>
                <c:pt idx="74">
                  <c:v>98.545666084933103</c:v>
                </c:pt>
                <c:pt idx="75">
                  <c:v>99.592786503781269</c:v>
                </c:pt>
                <c:pt idx="76">
                  <c:v>98.662012798138448</c:v>
                </c:pt>
                <c:pt idx="77">
                  <c:v>100.81442699243746</c:v>
                </c:pt>
                <c:pt idx="78">
                  <c:v>120.82606166375798</c:v>
                </c:pt>
                <c:pt idx="79">
                  <c:v>120.70971495055265</c:v>
                </c:pt>
                <c:pt idx="80">
                  <c:v>126.75974403723093</c:v>
                </c:pt>
                <c:pt idx="81">
                  <c:v>130.36649214659687</c:v>
                </c:pt>
                <c:pt idx="82">
                  <c:v>127.86503781268179</c:v>
                </c:pt>
                <c:pt idx="83">
                  <c:v>124.54915648632925</c:v>
                </c:pt>
                <c:pt idx="84">
                  <c:v>126.93426410703896</c:v>
                </c:pt>
                <c:pt idx="85">
                  <c:v>128.67946480511924</c:v>
                </c:pt>
                <c:pt idx="86">
                  <c:v>126.87609075043629</c:v>
                </c:pt>
                <c:pt idx="87">
                  <c:v>129.02850494473529</c:v>
                </c:pt>
                <c:pt idx="88">
                  <c:v>134.55497382198951</c:v>
                </c:pt>
                <c:pt idx="89">
                  <c:v>135.02036067481095</c:v>
                </c:pt>
                <c:pt idx="90">
                  <c:v>134.90401396160559</c:v>
                </c:pt>
                <c:pt idx="91">
                  <c:v>134.55497382198951</c:v>
                </c:pt>
                <c:pt idx="92">
                  <c:v>135.02036067481095</c:v>
                </c:pt>
                <c:pt idx="93">
                  <c:v>134.96218731820824</c:v>
                </c:pt>
                <c:pt idx="94">
                  <c:v>133.85689354275743</c:v>
                </c:pt>
                <c:pt idx="95">
                  <c:v>132.05351948807444</c:v>
                </c:pt>
                <c:pt idx="96">
                  <c:v>132.80977312390922</c:v>
                </c:pt>
                <c:pt idx="97">
                  <c:v>133.1588132635253</c:v>
                </c:pt>
                <c:pt idx="98">
                  <c:v>134.55497382198951</c:v>
                </c:pt>
                <c:pt idx="99">
                  <c:v>133.79872018615472</c:v>
                </c:pt>
                <c:pt idx="100">
                  <c:v>133.44968004653867</c:v>
                </c:pt>
                <c:pt idx="101">
                  <c:v>133.74054682955204</c:v>
                </c:pt>
                <c:pt idx="102">
                  <c:v>134.03141361256544</c:v>
                </c:pt>
                <c:pt idx="103">
                  <c:v>139.38336242001162</c:v>
                </c:pt>
                <c:pt idx="104">
                  <c:v>138.80162885398485</c:v>
                </c:pt>
                <c:pt idx="105">
                  <c:v>140.48865619546248</c:v>
                </c:pt>
                <c:pt idx="106">
                  <c:v>138.80162885398485</c:v>
                </c:pt>
                <c:pt idx="107">
                  <c:v>135.95113438045374</c:v>
                </c:pt>
                <c:pt idx="108">
                  <c:v>133.74054682955204</c:v>
                </c:pt>
                <c:pt idx="109">
                  <c:v>132.05351948807444</c:v>
                </c:pt>
                <c:pt idx="110">
                  <c:v>135.0785340314136</c:v>
                </c:pt>
                <c:pt idx="111">
                  <c:v>134.96218731820824</c:v>
                </c:pt>
                <c:pt idx="112">
                  <c:v>132.92611983711458</c:v>
                </c:pt>
                <c:pt idx="113">
                  <c:v>132.22803955788248</c:v>
                </c:pt>
                <c:pt idx="114">
                  <c:v>132.22803955788248</c:v>
                </c:pt>
                <c:pt idx="115">
                  <c:v>133.85689354275743</c:v>
                </c:pt>
                <c:pt idx="116">
                  <c:v>132.92611983711458</c:v>
                </c:pt>
                <c:pt idx="117">
                  <c:v>134.67132053519487</c:v>
                </c:pt>
                <c:pt idx="118">
                  <c:v>131.76265270506107</c:v>
                </c:pt>
                <c:pt idx="119">
                  <c:v>131.58813263525303</c:v>
                </c:pt>
                <c:pt idx="120">
                  <c:v>136.82373472949388</c:v>
                </c:pt>
                <c:pt idx="121">
                  <c:v>139.09249563699825</c:v>
                </c:pt>
                <c:pt idx="122">
                  <c:v>142.05933682373472</c:v>
                </c:pt>
                <c:pt idx="123">
                  <c:v>144.21175101803371</c:v>
                </c:pt>
                <c:pt idx="124">
                  <c:v>139.4415357766143</c:v>
                </c:pt>
                <c:pt idx="125">
                  <c:v>139.20884235020358</c:v>
                </c:pt>
                <c:pt idx="126">
                  <c:v>140.19778941244908</c:v>
                </c:pt>
                <c:pt idx="127">
                  <c:v>141.12856311809193</c:v>
                </c:pt>
                <c:pt idx="128">
                  <c:v>141.24490983129726</c:v>
                </c:pt>
                <c:pt idx="129">
                  <c:v>145.54973821989529</c:v>
                </c:pt>
                <c:pt idx="130">
                  <c:v>145.08435136707388</c:v>
                </c:pt>
                <c:pt idx="131">
                  <c:v>142.99011052937755</c:v>
                </c:pt>
                <c:pt idx="132">
                  <c:v>140.83769633507853</c:v>
                </c:pt>
                <c:pt idx="133">
                  <c:v>144.7353112274578</c:v>
                </c:pt>
                <c:pt idx="134">
                  <c:v>144.79348458406051</c:v>
                </c:pt>
                <c:pt idx="135">
                  <c:v>146.36416521233272</c:v>
                </c:pt>
                <c:pt idx="136">
                  <c:v>148.86561954624779</c:v>
                </c:pt>
                <c:pt idx="137">
                  <c:v>150.43630017452006</c:v>
                </c:pt>
                <c:pt idx="138">
                  <c:v>172.42582897033159</c:v>
                </c:pt>
                <c:pt idx="139">
                  <c:v>175.68353694008144</c:v>
                </c:pt>
                <c:pt idx="140">
                  <c:v>171.02966841186736</c:v>
                </c:pt>
                <c:pt idx="141">
                  <c:v>171.49505526468874</c:v>
                </c:pt>
                <c:pt idx="142">
                  <c:v>173.93833624200116</c:v>
                </c:pt>
                <c:pt idx="143">
                  <c:v>174.11285631180917</c:v>
                </c:pt>
                <c:pt idx="144">
                  <c:v>183.30424665503199</c:v>
                </c:pt>
                <c:pt idx="145">
                  <c:v>184.00232693426409</c:v>
                </c:pt>
                <c:pt idx="146">
                  <c:v>185.1657940663176</c:v>
                </c:pt>
                <c:pt idx="147">
                  <c:v>185.68935427574172</c:v>
                </c:pt>
                <c:pt idx="148">
                  <c:v>181.15183246073298</c:v>
                </c:pt>
                <c:pt idx="149">
                  <c:v>180.97731239092494</c:v>
                </c:pt>
                <c:pt idx="150">
                  <c:v>181.38452588714367</c:v>
                </c:pt>
                <c:pt idx="151">
                  <c:v>185.86387434554973</c:v>
                </c:pt>
                <c:pt idx="152">
                  <c:v>186.1547411285631</c:v>
                </c:pt>
                <c:pt idx="153">
                  <c:v>187.0855148342059</c:v>
                </c:pt>
                <c:pt idx="154">
                  <c:v>186.03839441535774</c:v>
                </c:pt>
                <c:pt idx="155">
                  <c:v>186.50378126817918</c:v>
                </c:pt>
                <c:pt idx="156">
                  <c:v>187.49272833042463</c:v>
                </c:pt>
                <c:pt idx="157">
                  <c:v>186.1547411285631</c:v>
                </c:pt>
                <c:pt idx="158">
                  <c:v>189.99418266433969</c:v>
                </c:pt>
                <c:pt idx="159">
                  <c:v>191.0413030831879</c:v>
                </c:pt>
                <c:pt idx="160">
                  <c:v>190.05235602094243</c:v>
                </c:pt>
                <c:pt idx="161">
                  <c:v>188.53984874927281</c:v>
                </c:pt>
                <c:pt idx="162">
                  <c:v>187.49272833042463</c:v>
                </c:pt>
                <c:pt idx="163">
                  <c:v>186.38743455497379</c:v>
                </c:pt>
                <c:pt idx="164">
                  <c:v>189.761489237929</c:v>
                </c:pt>
                <c:pt idx="165">
                  <c:v>188.1326352530541</c:v>
                </c:pt>
                <c:pt idx="166">
                  <c:v>188.42350203606748</c:v>
                </c:pt>
                <c:pt idx="167">
                  <c:v>188.71436881908085</c:v>
                </c:pt>
                <c:pt idx="168">
                  <c:v>188.71436881908085</c:v>
                </c:pt>
                <c:pt idx="169">
                  <c:v>189.41244909831298</c:v>
                </c:pt>
                <c:pt idx="170">
                  <c:v>194.18266433973241</c:v>
                </c:pt>
                <c:pt idx="171">
                  <c:v>194.70622454915647</c:v>
                </c:pt>
                <c:pt idx="172">
                  <c:v>196.10238510762071</c:v>
                </c:pt>
                <c:pt idx="173">
                  <c:v>195.57882489819661</c:v>
                </c:pt>
                <c:pt idx="174">
                  <c:v>196.50959860383944</c:v>
                </c:pt>
                <c:pt idx="175">
                  <c:v>193.60093077370564</c:v>
                </c:pt>
                <c:pt idx="176">
                  <c:v>193.71727748691097</c:v>
                </c:pt>
                <c:pt idx="177">
                  <c:v>191.33216986620127</c:v>
                </c:pt>
                <c:pt idx="178">
                  <c:v>193.31006399069224</c:v>
                </c:pt>
                <c:pt idx="179">
                  <c:v>189.64514252472367</c:v>
                </c:pt>
                <c:pt idx="180">
                  <c:v>193.13554392088423</c:v>
                </c:pt>
                <c:pt idx="181">
                  <c:v>193.31006399069224</c:v>
                </c:pt>
                <c:pt idx="182">
                  <c:v>194.93891797556716</c:v>
                </c:pt>
                <c:pt idx="183">
                  <c:v>197.96393251890635</c:v>
                </c:pt>
                <c:pt idx="184">
                  <c:v>198.54566608493309</c:v>
                </c:pt>
                <c:pt idx="185">
                  <c:v>198.83653286794646</c:v>
                </c:pt>
                <c:pt idx="186">
                  <c:v>199.24374636416519</c:v>
                </c:pt>
                <c:pt idx="187">
                  <c:v>204.18848167539267</c:v>
                </c:pt>
                <c:pt idx="188">
                  <c:v>208.14426992437464</c:v>
                </c:pt>
                <c:pt idx="189">
                  <c:v>209.83129726585221</c:v>
                </c:pt>
                <c:pt idx="190">
                  <c:v>207.32984293193715</c:v>
                </c:pt>
                <c:pt idx="191">
                  <c:v>210.70389761489236</c:v>
                </c:pt>
                <c:pt idx="192">
                  <c:v>212.79813845258869</c:v>
                </c:pt>
                <c:pt idx="193">
                  <c:v>214.36881908086093</c:v>
                </c:pt>
                <c:pt idx="194">
                  <c:v>212.10005817335659</c:v>
                </c:pt>
                <c:pt idx="195">
                  <c:v>214.95055264688773</c:v>
                </c:pt>
                <c:pt idx="196">
                  <c:v>215.2414194299011</c:v>
                </c:pt>
                <c:pt idx="197">
                  <c:v>209.24956369982544</c:v>
                </c:pt>
                <c:pt idx="198">
                  <c:v>206.05002908667828</c:v>
                </c:pt>
                <c:pt idx="199">
                  <c:v>205.93368237347295</c:v>
                </c:pt>
                <c:pt idx="200">
                  <c:v>210.70389761489236</c:v>
                </c:pt>
                <c:pt idx="201">
                  <c:v>182.37347294938917</c:v>
                </c:pt>
                <c:pt idx="202">
                  <c:v>178.41768470040722</c:v>
                </c:pt>
                <c:pt idx="203">
                  <c:v>182.0826061663758</c:v>
                </c:pt>
                <c:pt idx="204">
                  <c:v>177.8941244909831</c:v>
                </c:pt>
                <c:pt idx="205">
                  <c:v>175.21815008726003</c:v>
                </c:pt>
                <c:pt idx="206">
                  <c:v>175.68353694008144</c:v>
                </c:pt>
                <c:pt idx="207">
                  <c:v>174.75276323443859</c:v>
                </c:pt>
                <c:pt idx="208">
                  <c:v>176.43979057591622</c:v>
                </c:pt>
                <c:pt idx="209">
                  <c:v>179.98836532867946</c:v>
                </c:pt>
                <c:pt idx="210">
                  <c:v>180.27923211169283</c:v>
                </c:pt>
                <c:pt idx="211">
                  <c:v>177.25421756835368</c:v>
                </c:pt>
                <c:pt idx="212">
                  <c:v>180.33740546829551</c:v>
                </c:pt>
                <c:pt idx="213">
                  <c:v>184.4677137870855</c:v>
                </c:pt>
                <c:pt idx="214">
                  <c:v>182.48981966259453</c:v>
                </c:pt>
                <c:pt idx="215">
                  <c:v>184.29319371727749</c:v>
                </c:pt>
                <c:pt idx="216">
                  <c:v>187.02734147760322</c:v>
                </c:pt>
                <c:pt idx="217">
                  <c:v>188.19080860965678</c:v>
                </c:pt>
                <c:pt idx="218">
                  <c:v>184.87492728330423</c:v>
                </c:pt>
                <c:pt idx="219">
                  <c:v>183.12972658522395</c:v>
                </c:pt>
                <c:pt idx="220">
                  <c:v>185.68935427574172</c:v>
                </c:pt>
                <c:pt idx="221">
                  <c:v>185.1657940663176</c:v>
                </c:pt>
                <c:pt idx="222">
                  <c:v>184.58406050029086</c:v>
                </c:pt>
                <c:pt idx="223">
                  <c:v>186.03839441535774</c:v>
                </c:pt>
                <c:pt idx="224">
                  <c:v>182.7806864456079</c:v>
                </c:pt>
                <c:pt idx="225">
                  <c:v>178.01047120418846</c:v>
                </c:pt>
                <c:pt idx="226">
                  <c:v>178.47585805700987</c:v>
                </c:pt>
                <c:pt idx="227">
                  <c:v>177.83595113438045</c:v>
                </c:pt>
                <c:pt idx="228">
                  <c:v>184.00232693426409</c:v>
                </c:pt>
                <c:pt idx="229">
                  <c:v>190.16870273414776</c:v>
                </c:pt>
                <c:pt idx="230">
                  <c:v>185.63118091913901</c:v>
                </c:pt>
                <c:pt idx="231">
                  <c:v>183.88598022105873</c:v>
                </c:pt>
                <c:pt idx="232">
                  <c:v>184.11867364746942</c:v>
                </c:pt>
                <c:pt idx="233">
                  <c:v>184.11867364746942</c:v>
                </c:pt>
                <c:pt idx="234">
                  <c:v>179.63932518906338</c:v>
                </c:pt>
                <c:pt idx="235">
                  <c:v>181.03548574752762</c:v>
                </c:pt>
                <c:pt idx="236">
                  <c:v>181.21000581733563</c:v>
                </c:pt>
                <c:pt idx="237">
                  <c:v>178.94124490983131</c:v>
                </c:pt>
                <c:pt idx="238">
                  <c:v>177.77777777777777</c:v>
                </c:pt>
                <c:pt idx="239">
                  <c:v>172.77486910994764</c:v>
                </c:pt>
                <c:pt idx="240">
                  <c:v>177.66143106457241</c:v>
                </c:pt>
                <c:pt idx="241">
                  <c:v>175.62536358347876</c:v>
                </c:pt>
                <c:pt idx="242">
                  <c:v>171.08784176847001</c:v>
                </c:pt>
                <c:pt idx="243">
                  <c:v>170.33158813263526</c:v>
                </c:pt>
                <c:pt idx="244">
                  <c:v>165.03781268179173</c:v>
                </c:pt>
                <c:pt idx="245">
                  <c:v>167.36474694589876</c:v>
                </c:pt>
                <c:pt idx="246">
                  <c:v>171.66957533449681</c:v>
                </c:pt>
                <c:pt idx="247">
                  <c:v>176.90517742873763</c:v>
                </c:pt>
                <c:pt idx="248">
                  <c:v>174.40372309482257</c:v>
                </c:pt>
                <c:pt idx="249">
                  <c:v>175.62536358347876</c:v>
                </c:pt>
                <c:pt idx="250">
                  <c:v>179.23211169284465</c:v>
                </c:pt>
                <c:pt idx="251">
                  <c:v>183.53694008144268</c:v>
                </c:pt>
                <c:pt idx="252">
                  <c:v>179.52297847585803</c:v>
                </c:pt>
                <c:pt idx="253">
                  <c:v>176.67248400232694</c:v>
                </c:pt>
                <c:pt idx="254">
                  <c:v>175.39267015706804</c:v>
                </c:pt>
                <c:pt idx="255">
                  <c:v>179.75567190226874</c:v>
                </c:pt>
                <c:pt idx="256">
                  <c:v>181.79173938336243</c:v>
                </c:pt>
                <c:pt idx="257">
                  <c:v>182.43164630599185</c:v>
                </c:pt>
                <c:pt idx="258">
                  <c:v>178.47585805700987</c:v>
                </c:pt>
                <c:pt idx="259">
                  <c:v>179.05759162303664</c:v>
                </c:pt>
                <c:pt idx="260">
                  <c:v>180.80279232111693</c:v>
                </c:pt>
                <c:pt idx="261">
                  <c:v>175.68353694008144</c:v>
                </c:pt>
                <c:pt idx="262">
                  <c:v>173.00756253635831</c:v>
                </c:pt>
                <c:pt idx="263">
                  <c:v>175.68353694008144</c:v>
                </c:pt>
                <c:pt idx="264">
                  <c:v>178.76672484002324</c:v>
                </c:pt>
                <c:pt idx="265">
                  <c:v>174.46189645142522</c:v>
                </c:pt>
                <c:pt idx="266">
                  <c:v>178.06864456079114</c:v>
                </c:pt>
                <c:pt idx="267">
                  <c:v>177.02152414194296</c:v>
                </c:pt>
                <c:pt idx="268">
                  <c:v>179.46480511925537</c:v>
                </c:pt>
                <c:pt idx="269">
                  <c:v>173.64746945898776</c:v>
                </c:pt>
                <c:pt idx="270">
                  <c:v>173.35660267597439</c:v>
                </c:pt>
                <c:pt idx="271">
                  <c:v>165.61954624781848</c:v>
                </c:pt>
                <c:pt idx="272">
                  <c:v>170.2152414194299</c:v>
                </c:pt>
                <c:pt idx="273">
                  <c:v>165.8522396742292</c:v>
                </c:pt>
                <c:pt idx="274">
                  <c:v>158.69691681210006</c:v>
                </c:pt>
                <c:pt idx="275">
                  <c:v>167.01570680628271</c:v>
                </c:pt>
                <c:pt idx="276">
                  <c:v>168.41186736474694</c:v>
                </c:pt>
                <c:pt idx="277">
                  <c:v>166.2594531704479</c:v>
                </c:pt>
                <c:pt idx="278">
                  <c:v>162.53635834787667</c:v>
                </c:pt>
                <c:pt idx="279">
                  <c:v>162.65270506108203</c:v>
                </c:pt>
                <c:pt idx="280">
                  <c:v>162.36183827806863</c:v>
                </c:pt>
                <c:pt idx="281">
                  <c:v>161.31471785922048</c:v>
                </c:pt>
                <c:pt idx="282">
                  <c:v>166.95753344968003</c:v>
                </c:pt>
                <c:pt idx="283">
                  <c:v>166.37579988365329</c:v>
                </c:pt>
                <c:pt idx="284">
                  <c:v>172.77486910994764</c:v>
                </c:pt>
                <c:pt idx="285">
                  <c:v>165.61954624781848</c:v>
                </c:pt>
                <c:pt idx="286">
                  <c:v>160.32577079697495</c:v>
                </c:pt>
                <c:pt idx="287">
                  <c:v>160.90750436300175</c:v>
                </c:pt>
                <c:pt idx="288">
                  <c:v>155.61372891215822</c:v>
                </c:pt>
                <c:pt idx="289">
                  <c:v>156.13728912158231</c:v>
                </c:pt>
                <c:pt idx="290">
                  <c:v>155.38103548574753</c:v>
                </c:pt>
                <c:pt idx="291">
                  <c:v>153.2867946480512</c:v>
                </c:pt>
                <c:pt idx="292">
                  <c:v>152.12332751599766</c:v>
                </c:pt>
                <c:pt idx="293">
                  <c:v>151.25072716695755</c:v>
                </c:pt>
                <c:pt idx="294">
                  <c:v>156.60267597440372</c:v>
                </c:pt>
                <c:pt idx="295">
                  <c:v>158.5805700988947</c:v>
                </c:pt>
                <c:pt idx="296">
                  <c:v>159.2786503781268</c:v>
                </c:pt>
                <c:pt idx="297">
                  <c:v>156.48632926119834</c:v>
                </c:pt>
                <c:pt idx="298">
                  <c:v>165.61954624781848</c:v>
                </c:pt>
                <c:pt idx="299">
                  <c:v>165.96858638743456</c:v>
                </c:pt>
                <c:pt idx="300">
                  <c:v>167.01570680628271</c:v>
                </c:pt>
                <c:pt idx="301">
                  <c:v>170.2152414194299</c:v>
                </c:pt>
                <c:pt idx="302">
                  <c:v>166.95753344968003</c:v>
                </c:pt>
                <c:pt idx="303">
                  <c:v>165.56137289121583</c:v>
                </c:pt>
                <c:pt idx="304">
                  <c:v>163.87434554973822</c:v>
                </c:pt>
                <c:pt idx="305">
                  <c:v>151.65794066317625</c:v>
                </c:pt>
                <c:pt idx="306">
                  <c:v>157.3589296102385</c:v>
                </c:pt>
                <c:pt idx="307">
                  <c:v>157.6497963932519</c:v>
                </c:pt>
                <c:pt idx="308">
                  <c:v>156.42815590459568</c:v>
                </c:pt>
                <c:pt idx="309">
                  <c:v>153.69400814426993</c:v>
                </c:pt>
                <c:pt idx="310">
                  <c:v>154.04304828388598</c:v>
                </c:pt>
                <c:pt idx="311">
                  <c:v>153.57766143106454</c:v>
                </c:pt>
                <c:pt idx="312">
                  <c:v>153.81035485747526</c:v>
                </c:pt>
                <c:pt idx="313">
                  <c:v>153.75218150087261</c:v>
                </c:pt>
                <c:pt idx="314">
                  <c:v>151.83246073298429</c:v>
                </c:pt>
                <c:pt idx="315">
                  <c:v>152.70506108202443</c:v>
                </c:pt>
                <c:pt idx="316">
                  <c:v>152.35602094240838</c:v>
                </c:pt>
                <c:pt idx="317">
                  <c:v>149.3891797556719</c:v>
                </c:pt>
                <c:pt idx="318">
                  <c:v>148.80744618964513</c:v>
                </c:pt>
                <c:pt idx="319">
                  <c:v>147.17859220477021</c:v>
                </c:pt>
                <c:pt idx="320">
                  <c:v>149.50552646887724</c:v>
                </c:pt>
                <c:pt idx="321">
                  <c:v>148.69109947643977</c:v>
                </c:pt>
                <c:pt idx="322">
                  <c:v>146.48051192553808</c:v>
                </c:pt>
                <c:pt idx="323">
                  <c:v>145.84060500290866</c:v>
                </c:pt>
                <c:pt idx="324">
                  <c:v>145.89877835951134</c:v>
                </c:pt>
                <c:pt idx="325">
                  <c:v>143.97905759162302</c:v>
                </c:pt>
                <c:pt idx="326">
                  <c:v>147.46945898778358</c:v>
                </c:pt>
                <c:pt idx="327">
                  <c:v>144.61896451425247</c:v>
                </c:pt>
                <c:pt idx="328">
                  <c:v>122.68760907504361</c:v>
                </c:pt>
                <c:pt idx="329">
                  <c:v>116.69575334496798</c:v>
                </c:pt>
                <c:pt idx="330">
                  <c:v>124.95636998254798</c:v>
                </c:pt>
                <c:pt idx="331">
                  <c:v>123.32751599767305</c:v>
                </c:pt>
                <c:pt idx="332">
                  <c:v>121.29144851657941</c:v>
                </c:pt>
                <c:pt idx="333">
                  <c:v>117.21931355439207</c:v>
                </c:pt>
                <c:pt idx="334">
                  <c:v>115.12507271669574</c:v>
                </c:pt>
                <c:pt idx="335">
                  <c:v>115.47411285631182</c:v>
                </c:pt>
                <c:pt idx="336">
                  <c:v>116.17219313554389</c:v>
                </c:pt>
                <c:pt idx="337">
                  <c:v>117.04479348458405</c:v>
                </c:pt>
                <c:pt idx="338">
                  <c:v>116.98662012798138</c:v>
                </c:pt>
                <c:pt idx="339">
                  <c:v>115.18324607329842</c:v>
                </c:pt>
                <c:pt idx="340">
                  <c:v>115.47411285631182</c:v>
                </c:pt>
                <c:pt idx="341">
                  <c:v>115.82315299592784</c:v>
                </c:pt>
                <c:pt idx="342">
                  <c:v>116.17219313554389</c:v>
                </c:pt>
                <c:pt idx="343">
                  <c:v>115.35776614310645</c:v>
                </c:pt>
                <c:pt idx="344">
                  <c:v>116.63757998836533</c:v>
                </c:pt>
                <c:pt idx="345">
                  <c:v>117.33566026759745</c:v>
                </c:pt>
                <c:pt idx="346">
                  <c:v>117.10296684118673</c:v>
                </c:pt>
                <c:pt idx="347">
                  <c:v>114.36881908086096</c:v>
                </c:pt>
                <c:pt idx="348">
                  <c:v>114.83420593368237</c:v>
                </c:pt>
                <c:pt idx="349">
                  <c:v>117.91739383362419</c:v>
                </c:pt>
                <c:pt idx="350">
                  <c:v>115.82315299592784</c:v>
                </c:pt>
                <c:pt idx="351">
                  <c:v>117.21931355439207</c:v>
                </c:pt>
                <c:pt idx="352">
                  <c:v>113.20535194880745</c:v>
                </c:pt>
                <c:pt idx="353">
                  <c:v>115.47411285631182</c:v>
                </c:pt>
                <c:pt idx="354">
                  <c:v>114.31064572425826</c:v>
                </c:pt>
                <c:pt idx="355">
                  <c:v>112.27457824316463</c:v>
                </c:pt>
                <c:pt idx="356">
                  <c:v>112.97265852239676</c:v>
                </c:pt>
                <c:pt idx="357">
                  <c:v>112.62361838278068</c:v>
                </c:pt>
                <c:pt idx="358">
                  <c:v>110.29668411867364</c:v>
                </c:pt>
                <c:pt idx="359">
                  <c:v>111.8091913903432</c:v>
                </c:pt>
                <c:pt idx="360">
                  <c:v>113.37987201861546</c:v>
                </c:pt>
                <c:pt idx="361">
                  <c:v>113.72891215823154</c:v>
                </c:pt>
                <c:pt idx="362">
                  <c:v>114.25247236765561</c:v>
                </c:pt>
                <c:pt idx="363">
                  <c:v>114.77603257707969</c:v>
                </c:pt>
                <c:pt idx="364">
                  <c:v>113.84525887143688</c:v>
                </c:pt>
                <c:pt idx="365">
                  <c:v>115.12507271669574</c:v>
                </c:pt>
                <c:pt idx="366">
                  <c:v>118.6154741128563</c:v>
                </c:pt>
                <c:pt idx="367">
                  <c:v>116.69575334496798</c:v>
                </c:pt>
                <c:pt idx="368">
                  <c:v>115.00872600349039</c:v>
                </c:pt>
                <c:pt idx="369">
                  <c:v>116.52123327515997</c:v>
                </c:pt>
                <c:pt idx="370">
                  <c:v>115.82315299592784</c:v>
                </c:pt>
                <c:pt idx="371">
                  <c:v>116.63757998836533</c:v>
                </c:pt>
                <c:pt idx="372">
                  <c:v>115.9976730657359</c:v>
                </c:pt>
                <c:pt idx="373">
                  <c:v>115.53228621291447</c:v>
                </c:pt>
                <c:pt idx="374">
                  <c:v>115.47411285631182</c:v>
                </c:pt>
                <c:pt idx="375">
                  <c:v>118.38278068644561</c:v>
                </c:pt>
                <c:pt idx="376">
                  <c:v>117.10296684118673</c:v>
                </c:pt>
                <c:pt idx="377">
                  <c:v>118.32460732984291</c:v>
                </c:pt>
                <c:pt idx="378">
                  <c:v>119.25538103548574</c:v>
                </c:pt>
                <c:pt idx="379">
                  <c:v>120.41884816753925</c:v>
                </c:pt>
                <c:pt idx="380">
                  <c:v>119.77894124490982</c:v>
                </c:pt>
                <c:pt idx="381">
                  <c:v>118.55730075625361</c:v>
                </c:pt>
                <c:pt idx="382">
                  <c:v>117.33566026759745</c:v>
                </c:pt>
                <c:pt idx="383">
                  <c:v>120.0698080279232</c:v>
                </c:pt>
                <c:pt idx="384">
                  <c:v>117.51018033740546</c:v>
                </c:pt>
                <c:pt idx="385">
                  <c:v>119.31355439208842</c:v>
                </c:pt>
                <c:pt idx="386">
                  <c:v>121.69866201279814</c:v>
                </c:pt>
                <c:pt idx="387">
                  <c:v>121.05875509016867</c:v>
                </c:pt>
                <c:pt idx="388">
                  <c:v>118.38278068644561</c:v>
                </c:pt>
                <c:pt idx="389">
                  <c:v>118.09191390343223</c:v>
                </c:pt>
                <c:pt idx="390">
                  <c:v>116.57940663176265</c:v>
                </c:pt>
                <c:pt idx="391">
                  <c:v>114.60151250727166</c:v>
                </c:pt>
                <c:pt idx="392">
                  <c:v>113.90343222803953</c:v>
                </c:pt>
                <c:pt idx="393">
                  <c:v>96.684118673647461</c:v>
                </c:pt>
                <c:pt idx="394">
                  <c:v>94.822571262361834</c:v>
                </c:pt>
                <c:pt idx="395">
                  <c:v>94.938917975567179</c:v>
                </c:pt>
                <c:pt idx="396">
                  <c:v>93.891797556719013</c:v>
                </c:pt>
                <c:pt idx="397">
                  <c:v>93.019197207678872</c:v>
                </c:pt>
                <c:pt idx="398">
                  <c:v>95.113438045375219</c:v>
                </c:pt>
                <c:pt idx="399">
                  <c:v>98.836532867946474</c:v>
                </c:pt>
                <c:pt idx="400">
                  <c:v>96.916812100058166</c:v>
                </c:pt>
                <c:pt idx="401">
                  <c:v>93.251890634089591</c:v>
                </c:pt>
                <c:pt idx="402">
                  <c:v>92.262943571844076</c:v>
                </c:pt>
                <c:pt idx="403">
                  <c:v>93.775450843513681</c:v>
                </c:pt>
                <c:pt idx="404">
                  <c:v>97.440372309482242</c:v>
                </c:pt>
                <c:pt idx="405">
                  <c:v>99.592786503781269</c:v>
                </c:pt>
                <c:pt idx="406">
                  <c:v>99.82547993019196</c:v>
                </c:pt>
                <c:pt idx="407">
                  <c:v>98.138452588714358</c:v>
                </c:pt>
                <c:pt idx="408">
                  <c:v>100.11634671320535</c:v>
                </c:pt>
                <c:pt idx="409">
                  <c:v>98.196625945317024</c:v>
                </c:pt>
                <c:pt idx="410">
                  <c:v>97.498545666084937</c:v>
                </c:pt>
                <c:pt idx="411">
                  <c:v>93.891797556719013</c:v>
                </c:pt>
                <c:pt idx="412">
                  <c:v>93.484584060500282</c:v>
                </c:pt>
                <c:pt idx="413">
                  <c:v>95.113438045375219</c:v>
                </c:pt>
                <c:pt idx="414">
                  <c:v>107.62070971495055</c:v>
                </c:pt>
                <c:pt idx="415">
                  <c:v>115.64863292611982</c:v>
                </c:pt>
                <c:pt idx="416">
                  <c:v>112.33275159976731</c:v>
                </c:pt>
                <c:pt idx="417">
                  <c:v>118.26643397324024</c:v>
                </c:pt>
                <c:pt idx="418">
                  <c:v>118.32460732984291</c:v>
                </c:pt>
                <c:pt idx="419">
                  <c:v>120.70971495055265</c:v>
                </c:pt>
                <c:pt idx="420">
                  <c:v>119.25538103548574</c:v>
                </c:pt>
                <c:pt idx="421">
                  <c:v>113.0890052356021</c:v>
                </c:pt>
                <c:pt idx="422">
                  <c:v>106.51541593949969</c:v>
                </c:pt>
                <c:pt idx="423">
                  <c:v>99.82547993019196</c:v>
                </c:pt>
                <c:pt idx="424">
                  <c:v>120.59336823734729</c:v>
                </c:pt>
                <c:pt idx="425">
                  <c:v>139.26701570680629</c:v>
                </c:pt>
                <c:pt idx="426">
                  <c:v>124.49098312972657</c:v>
                </c:pt>
                <c:pt idx="427">
                  <c:v>108.26061663757997</c:v>
                </c:pt>
                <c:pt idx="428">
                  <c:v>96.276905177428745</c:v>
                </c:pt>
                <c:pt idx="429">
                  <c:v>101.27981384525886</c:v>
                </c:pt>
                <c:pt idx="430">
                  <c:v>94.299011052937757</c:v>
                </c:pt>
                <c:pt idx="431">
                  <c:v>97.731239092495642</c:v>
                </c:pt>
                <c:pt idx="432">
                  <c:v>95.055264688772539</c:v>
                </c:pt>
                <c:pt idx="433">
                  <c:v>98.778359511343808</c:v>
                </c:pt>
                <c:pt idx="434">
                  <c:v>97.382198952879563</c:v>
                </c:pt>
                <c:pt idx="435">
                  <c:v>101.80337405468293</c:v>
                </c:pt>
                <c:pt idx="436">
                  <c:v>108.02792321116928</c:v>
                </c:pt>
                <c:pt idx="437">
                  <c:v>109.71495055264688</c:v>
                </c:pt>
                <c:pt idx="438">
                  <c:v>103.83944153577661</c:v>
                </c:pt>
                <c:pt idx="439">
                  <c:v>119.08086096567772</c:v>
                </c:pt>
                <c:pt idx="440">
                  <c:v>120.65154159394996</c:v>
                </c:pt>
                <c:pt idx="441">
                  <c:v>126.52705061082024</c:v>
                </c:pt>
                <c:pt idx="442">
                  <c:v>126.75974403723093</c:v>
                </c:pt>
                <c:pt idx="443">
                  <c:v>135.19488074461893</c:v>
                </c:pt>
                <c:pt idx="444">
                  <c:v>129.72658522396742</c:v>
                </c:pt>
                <c:pt idx="445">
                  <c:v>133.79872018615472</c:v>
                </c:pt>
                <c:pt idx="446">
                  <c:v>126.35253054101221</c:v>
                </c:pt>
                <c:pt idx="447">
                  <c:v>133.33333333333331</c:v>
                </c:pt>
                <c:pt idx="448">
                  <c:v>137.23094822571261</c:v>
                </c:pt>
                <c:pt idx="449">
                  <c:v>140.95404304828386</c:v>
                </c:pt>
                <c:pt idx="450">
                  <c:v>137.98720186154739</c:v>
                </c:pt>
                <c:pt idx="451">
                  <c:v>140.54682955206513</c:v>
                </c:pt>
                <c:pt idx="452">
                  <c:v>141.30308318789992</c:v>
                </c:pt>
                <c:pt idx="453">
                  <c:v>136.70738801628852</c:v>
                </c:pt>
                <c:pt idx="454">
                  <c:v>143.10645724258288</c:v>
                </c:pt>
                <c:pt idx="455">
                  <c:v>145.66608493310062</c:v>
                </c:pt>
                <c:pt idx="456">
                  <c:v>128.03955788248982</c:v>
                </c:pt>
                <c:pt idx="457">
                  <c:v>124.6655031995346</c:v>
                </c:pt>
                <c:pt idx="458">
                  <c:v>132.11169284467715</c:v>
                </c:pt>
                <c:pt idx="459">
                  <c:v>133.62420011634671</c:v>
                </c:pt>
                <c:pt idx="460">
                  <c:v>131.93717277486908</c:v>
                </c:pt>
                <c:pt idx="461">
                  <c:v>134.0895869691681</c:v>
                </c:pt>
                <c:pt idx="462">
                  <c:v>131.35543920884234</c:v>
                </c:pt>
                <c:pt idx="463">
                  <c:v>128.56311809191391</c:v>
                </c:pt>
                <c:pt idx="464">
                  <c:v>133.62420011634671</c:v>
                </c:pt>
                <c:pt idx="465">
                  <c:v>136.99825479930192</c:v>
                </c:pt>
                <c:pt idx="466">
                  <c:v>136.18382780686446</c:v>
                </c:pt>
                <c:pt idx="467">
                  <c:v>136.18382780686446</c:v>
                </c:pt>
                <c:pt idx="468">
                  <c:v>132.11169284467715</c:v>
                </c:pt>
                <c:pt idx="469">
                  <c:v>138.04537521815007</c:v>
                </c:pt>
                <c:pt idx="470">
                  <c:v>136.00930773705642</c:v>
                </c:pt>
                <c:pt idx="471">
                  <c:v>133.79872018615472</c:v>
                </c:pt>
                <c:pt idx="472">
                  <c:v>137.23094822571261</c:v>
                </c:pt>
                <c:pt idx="473">
                  <c:v>139.90692262943571</c:v>
                </c:pt>
                <c:pt idx="474">
                  <c:v>142.00116346713205</c:v>
                </c:pt>
                <c:pt idx="475">
                  <c:v>141.53577661431063</c:v>
                </c:pt>
                <c:pt idx="476">
                  <c:v>140.89586969168118</c:v>
                </c:pt>
                <c:pt idx="477">
                  <c:v>140.72134962187317</c:v>
                </c:pt>
                <c:pt idx="478">
                  <c:v>143.22280395578824</c:v>
                </c:pt>
                <c:pt idx="479">
                  <c:v>146.94589877835952</c:v>
                </c:pt>
                <c:pt idx="480">
                  <c:v>150.90168702734147</c:v>
                </c:pt>
                <c:pt idx="481">
                  <c:v>151.42524723676556</c:v>
                </c:pt>
                <c:pt idx="482">
                  <c:v>155.03199534613145</c:v>
                </c:pt>
                <c:pt idx="483">
                  <c:v>157.3589296102385</c:v>
                </c:pt>
                <c:pt idx="484">
                  <c:v>162.76905177428739</c:v>
                </c:pt>
                <c:pt idx="485">
                  <c:v>156.13728912158231</c:v>
                </c:pt>
                <c:pt idx="486">
                  <c:v>155.43920884235018</c:v>
                </c:pt>
                <c:pt idx="487">
                  <c:v>142.69924374636415</c:v>
                </c:pt>
                <c:pt idx="488">
                  <c:v>140.89586969168118</c:v>
                </c:pt>
                <c:pt idx="489">
                  <c:v>142.6410703897615</c:v>
                </c:pt>
                <c:pt idx="490">
                  <c:v>145.25887143688189</c:v>
                </c:pt>
                <c:pt idx="491">
                  <c:v>142.93193717277487</c:v>
                </c:pt>
                <c:pt idx="492">
                  <c:v>145.84060500290866</c:v>
                </c:pt>
                <c:pt idx="493">
                  <c:v>152.58871436881907</c:v>
                </c:pt>
                <c:pt idx="494">
                  <c:v>154.21756835369399</c:v>
                </c:pt>
                <c:pt idx="495">
                  <c:v>150.84351367073879</c:v>
                </c:pt>
                <c:pt idx="496">
                  <c:v>149.44735311227458</c:v>
                </c:pt>
                <c:pt idx="497">
                  <c:v>152.87958115183247</c:v>
                </c:pt>
                <c:pt idx="498">
                  <c:v>153.63583478766725</c:v>
                </c:pt>
                <c:pt idx="499">
                  <c:v>155.43920884235018</c:v>
                </c:pt>
                <c:pt idx="500">
                  <c:v>158.46422338568934</c:v>
                </c:pt>
                <c:pt idx="501">
                  <c:v>168.17917393833625</c:v>
                </c:pt>
                <c:pt idx="502">
                  <c:v>182.25712623618381</c:v>
                </c:pt>
                <c:pt idx="503">
                  <c:v>188.94706224549154</c:v>
                </c:pt>
                <c:pt idx="504">
                  <c:v>190.57591623036646</c:v>
                </c:pt>
                <c:pt idx="505">
                  <c:v>200</c:v>
                </c:pt>
                <c:pt idx="506">
                  <c:v>188.71436881908085</c:v>
                </c:pt>
                <c:pt idx="507">
                  <c:v>197.38219895287955</c:v>
                </c:pt>
                <c:pt idx="508">
                  <c:v>204.07213496218728</c:v>
                </c:pt>
                <c:pt idx="509">
                  <c:v>228.56311809191388</c:v>
                </c:pt>
                <c:pt idx="510">
                  <c:v>250.72716695753346</c:v>
                </c:pt>
                <c:pt idx="511">
                  <c:v>278.8830715532286</c:v>
                </c:pt>
                <c:pt idx="512">
                  <c:v>271.08784176847001</c:v>
                </c:pt>
                <c:pt idx="513">
                  <c:v>264.3397324025596</c:v>
                </c:pt>
                <c:pt idx="514">
                  <c:v>272.48400232693427</c:v>
                </c:pt>
                <c:pt idx="515">
                  <c:v>287.31820826061664</c:v>
                </c:pt>
                <c:pt idx="516">
                  <c:v>269.51716114019774</c:v>
                </c:pt>
                <c:pt idx="517">
                  <c:v>276.73065735892959</c:v>
                </c:pt>
                <c:pt idx="518">
                  <c:v>272.25130890052355</c:v>
                </c:pt>
                <c:pt idx="519">
                  <c:v>273.29842931937168</c:v>
                </c:pt>
                <c:pt idx="520">
                  <c:v>282.72251308900519</c:v>
                </c:pt>
                <c:pt idx="521">
                  <c:v>277.77777777777777</c:v>
                </c:pt>
                <c:pt idx="522">
                  <c:v>266.37579988365326</c:v>
                </c:pt>
                <c:pt idx="523">
                  <c:v>270.73880162885399</c:v>
                </c:pt>
                <c:pt idx="524">
                  <c:v>273.88016288539848</c:v>
                </c:pt>
                <c:pt idx="525">
                  <c:v>300.17452006980801</c:v>
                </c:pt>
                <c:pt idx="526">
                  <c:v>287.14368819080858</c:v>
                </c:pt>
                <c:pt idx="527">
                  <c:v>288.36532867946477</c:v>
                </c:pt>
                <c:pt idx="528">
                  <c:v>279.23211169284468</c:v>
                </c:pt>
                <c:pt idx="529">
                  <c:v>273.82198952879577</c:v>
                </c:pt>
                <c:pt idx="530">
                  <c:v>262.07097149505523</c:v>
                </c:pt>
                <c:pt idx="531">
                  <c:v>264.63059918557298</c:v>
                </c:pt>
                <c:pt idx="532">
                  <c:v>266.14310645724254</c:v>
                </c:pt>
                <c:pt idx="533">
                  <c:v>263.0599185573007</c:v>
                </c:pt>
                <c:pt idx="534">
                  <c:v>257.64979639325185</c:v>
                </c:pt>
                <c:pt idx="535">
                  <c:v>249.56369982547989</c:v>
                </c:pt>
                <c:pt idx="536">
                  <c:v>249.73821989528795</c:v>
                </c:pt>
                <c:pt idx="537">
                  <c:v>242.87376381617216</c:v>
                </c:pt>
                <c:pt idx="538">
                  <c:v>236.30017452006976</c:v>
                </c:pt>
                <c:pt idx="539">
                  <c:v>253.46131471785921</c:v>
                </c:pt>
                <c:pt idx="540">
                  <c:v>227.86503781268178</c:v>
                </c:pt>
                <c:pt idx="541">
                  <c:v>219.31355439208841</c:v>
                </c:pt>
                <c:pt idx="542">
                  <c:v>212.62361838278062</c:v>
                </c:pt>
                <c:pt idx="543">
                  <c:v>216.46305991855729</c:v>
                </c:pt>
                <c:pt idx="544">
                  <c:v>226.00349040139616</c:v>
                </c:pt>
                <c:pt idx="545">
                  <c:v>218.44095404304827</c:v>
                </c:pt>
                <c:pt idx="546">
                  <c:v>202.96684118673647</c:v>
                </c:pt>
                <c:pt idx="547">
                  <c:v>199.41826643397323</c:v>
                </c:pt>
                <c:pt idx="548">
                  <c:v>197.09133216986621</c:v>
                </c:pt>
                <c:pt idx="549">
                  <c:v>196.39325189063405</c:v>
                </c:pt>
                <c:pt idx="550">
                  <c:v>177.71960442117509</c:v>
                </c:pt>
                <c:pt idx="551">
                  <c:v>179.52297847585803</c:v>
                </c:pt>
                <c:pt idx="552">
                  <c:v>181.03548574752762</c:v>
                </c:pt>
                <c:pt idx="553">
                  <c:v>179.8720186154741</c:v>
                </c:pt>
                <c:pt idx="554">
                  <c:v>172.30948225712623</c:v>
                </c:pt>
                <c:pt idx="555">
                  <c:v>164.63059918557298</c:v>
                </c:pt>
                <c:pt idx="556">
                  <c:v>158.28970331588133</c:v>
                </c:pt>
                <c:pt idx="557">
                  <c:v>162.59453170447932</c:v>
                </c:pt>
                <c:pt idx="558">
                  <c:v>158.5805700988947</c:v>
                </c:pt>
                <c:pt idx="559">
                  <c:v>157.5916230366492</c:v>
                </c:pt>
                <c:pt idx="560">
                  <c:v>153.2867946480512</c:v>
                </c:pt>
                <c:pt idx="561">
                  <c:v>154.21756835369399</c:v>
                </c:pt>
                <c:pt idx="562">
                  <c:v>159.86038394415357</c:v>
                </c:pt>
                <c:pt idx="563">
                  <c:v>157.53344968004652</c:v>
                </c:pt>
                <c:pt idx="564">
                  <c:v>153.22862129144849</c:v>
                </c:pt>
                <c:pt idx="565">
                  <c:v>157.3589296102385</c:v>
                </c:pt>
                <c:pt idx="566">
                  <c:v>155.55555555555554</c:v>
                </c:pt>
                <c:pt idx="567">
                  <c:v>168.35369400814426</c:v>
                </c:pt>
                <c:pt idx="568">
                  <c:v>168.935427574171</c:v>
                </c:pt>
                <c:pt idx="569">
                  <c:v>173.53112274578243</c:v>
                </c:pt>
                <c:pt idx="570">
                  <c:v>172.01861547411283</c:v>
                </c:pt>
                <c:pt idx="571">
                  <c:v>177.07969749854567</c:v>
                </c:pt>
                <c:pt idx="572">
                  <c:v>177.196044211751</c:v>
                </c:pt>
                <c:pt idx="573">
                  <c:v>180.27923211169283</c:v>
                </c:pt>
                <c:pt idx="574">
                  <c:v>175.68353694008144</c:v>
                </c:pt>
                <c:pt idx="575">
                  <c:v>175.04363001745199</c:v>
                </c:pt>
                <c:pt idx="576">
                  <c:v>170.79697498545664</c:v>
                </c:pt>
                <c:pt idx="577">
                  <c:v>168.76090750436299</c:v>
                </c:pt>
                <c:pt idx="578">
                  <c:v>169.57533449680045</c:v>
                </c:pt>
                <c:pt idx="579">
                  <c:v>165.61954624781848</c:v>
                </c:pt>
                <c:pt idx="580">
                  <c:v>168.29552065154158</c:v>
                </c:pt>
                <c:pt idx="581">
                  <c:v>166.95753344968003</c:v>
                </c:pt>
                <c:pt idx="582">
                  <c:v>164.22338568935427</c:v>
                </c:pt>
                <c:pt idx="583">
                  <c:v>168.29552065154158</c:v>
                </c:pt>
                <c:pt idx="584">
                  <c:v>157.53344968004652</c:v>
                </c:pt>
                <c:pt idx="585">
                  <c:v>146.48051192553808</c:v>
                </c:pt>
                <c:pt idx="586">
                  <c:v>138.85980221058756</c:v>
                </c:pt>
                <c:pt idx="587">
                  <c:v>137.28912158231529</c:v>
                </c:pt>
                <c:pt idx="588">
                  <c:v>141.41942990110527</c:v>
                </c:pt>
                <c:pt idx="589">
                  <c:v>149.04013961605585</c:v>
                </c:pt>
                <c:pt idx="590">
                  <c:v>146.24781849912739</c:v>
                </c:pt>
                <c:pt idx="591">
                  <c:v>145.60791157649794</c:v>
                </c:pt>
                <c:pt idx="592">
                  <c:v>125.6544502617801</c:v>
                </c:pt>
                <c:pt idx="593">
                  <c:v>122.45491564863291</c:v>
                </c:pt>
                <c:pt idx="594">
                  <c:v>125.47993019197207</c:v>
                </c:pt>
                <c:pt idx="595">
                  <c:v>126.58522396742291</c:v>
                </c:pt>
                <c:pt idx="596">
                  <c:v>134.32228039557882</c:v>
                </c:pt>
                <c:pt idx="597">
                  <c:v>131.70447934845839</c:v>
                </c:pt>
                <c:pt idx="598">
                  <c:v>129.08667830133797</c:v>
                </c:pt>
                <c:pt idx="599">
                  <c:v>139.15066899360093</c:v>
                </c:pt>
                <c:pt idx="600">
                  <c:v>140.48865619546248</c:v>
                </c:pt>
                <c:pt idx="601">
                  <c:v>138.51076207097148</c:v>
                </c:pt>
                <c:pt idx="602">
                  <c:v>137.05642815590457</c:v>
                </c:pt>
                <c:pt idx="603">
                  <c:v>132.80977312390922</c:v>
                </c:pt>
                <c:pt idx="604">
                  <c:v>133.97324025596276</c:v>
                </c:pt>
                <c:pt idx="605">
                  <c:v>138.16172193135543</c:v>
                </c:pt>
                <c:pt idx="606">
                  <c:v>135.71844095404302</c:v>
                </c:pt>
                <c:pt idx="607">
                  <c:v>135.48574752763233</c:v>
                </c:pt>
                <c:pt idx="608">
                  <c:v>129.31937172774869</c:v>
                </c:pt>
                <c:pt idx="609">
                  <c:v>127.86503781268179</c:v>
                </c:pt>
                <c:pt idx="610">
                  <c:v>129.90110529377543</c:v>
                </c:pt>
                <c:pt idx="611">
                  <c:v>128.7958115183246</c:v>
                </c:pt>
                <c:pt idx="612">
                  <c:v>128.67946480511924</c:v>
                </c:pt>
                <c:pt idx="613">
                  <c:v>127.92321116928444</c:v>
                </c:pt>
                <c:pt idx="614">
                  <c:v>131.76265270506107</c:v>
                </c:pt>
                <c:pt idx="615">
                  <c:v>132.1698662012798</c:v>
                </c:pt>
                <c:pt idx="616">
                  <c:v>136.47469458987783</c:v>
                </c:pt>
                <c:pt idx="617">
                  <c:v>138.68528214077952</c:v>
                </c:pt>
                <c:pt idx="618">
                  <c:v>134.67132053519487</c:v>
                </c:pt>
                <c:pt idx="619">
                  <c:v>133.50785340314135</c:v>
                </c:pt>
                <c:pt idx="620">
                  <c:v>132.80977312390922</c:v>
                </c:pt>
                <c:pt idx="621">
                  <c:v>132.1698662012798</c:v>
                </c:pt>
                <c:pt idx="622">
                  <c:v>130.83187899941825</c:v>
                </c:pt>
                <c:pt idx="623">
                  <c:v>129.31937172774869</c:v>
                </c:pt>
                <c:pt idx="624">
                  <c:v>129.43571844095402</c:v>
                </c:pt>
                <c:pt idx="625">
                  <c:v>126.52705061082024</c:v>
                </c:pt>
                <c:pt idx="626">
                  <c:v>122.51308900523559</c:v>
                </c:pt>
                <c:pt idx="627">
                  <c:v>125.53810354857472</c:v>
                </c:pt>
                <c:pt idx="628">
                  <c:v>123.50203606748109</c:v>
                </c:pt>
                <c:pt idx="629">
                  <c:v>122.22222222222223</c:v>
                </c:pt>
                <c:pt idx="630">
                  <c:v>125.82897033158811</c:v>
                </c:pt>
                <c:pt idx="631">
                  <c:v>121.5241419429901</c:v>
                </c:pt>
                <c:pt idx="632">
                  <c:v>126.23618382780685</c:v>
                </c:pt>
                <c:pt idx="633">
                  <c:v>127.45782431646305</c:v>
                </c:pt>
                <c:pt idx="634">
                  <c:v>130.07562536358347</c:v>
                </c:pt>
                <c:pt idx="635">
                  <c:v>132.05351948807444</c:v>
                </c:pt>
                <c:pt idx="636">
                  <c:v>135.25305410122164</c:v>
                </c:pt>
                <c:pt idx="637">
                  <c:v>137.87085514834206</c:v>
                </c:pt>
                <c:pt idx="638">
                  <c:v>138.68528214077952</c:v>
                </c:pt>
                <c:pt idx="639">
                  <c:v>145.89877835951134</c:v>
                </c:pt>
                <c:pt idx="640">
                  <c:v>142.00116346713205</c:v>
                </c:pt>
                <c:pt idx="641">
                  <c:v>143.80453752181498</c:v>
                </c:pt>
                <c:pt idx="642">
                  <c:v>143.68819080860965</c:v>
                </c:pt>
                <c:pt idx="643">
                  <c:v>147.35311227457822</c:v>
                </c:pt>
                <c:pt idx="644">
                  <c:v>151.19255381035484</c:v>
                </c:pt>
                <c:pt idx="645">
                  <c:v>144.67713787085515</c:v>
                </c:pt>
                <c:pt idx="646">
                  <c:v>139.79057591623035</c:v>
                </c:pt>
                <c:pt idx="647">
                  <c:v>149.79639325189063</c:v>
                </c:pt>
                <c:pt idx="648">
                  <c:v>157.99883653286793</c:v>
                </c:pt>
                <c:pt idx="649">
                  <c:v>158.92961023851075</c:v>
                </c:pt>
                <c:pt idx="650">
                  <c:v>161.2565445026178</c:v>
                </c:pt>
                <c:pt idx="651">
                  <c:v>158.40605002908669</c:v>
                </c:pt>
                <c:pt idx="652">
                  <c:v>158.34787667248398</c:v>
                </c:pt>
                <c:pt idx="653">
                  <c:v>161.08202443280976</c:v>
                </c:pt>
                <c:pt idx="654">
                  <c:v>163.81617219313554</c:v>
                </c:pt>
                <c:pt idx="655">
                  <c:v>166.20127981384525</c:v>
                </c:pt>
                <c:pt idx="656">
                  <c:v>165.50319953461312</c:v>
                </c:pt>
                <c:pt idx="657">
                  <c:v>164.45607911576496</c:v>
                </c:pt>
                <c:pt idx="658">
                  <c:v>159.22047702152412</c:v>
                </c:pt>
                <c:pt idx="659">
                  <c:v>152.64688772542175</c:v>
                </c:pt>
                <c:pt idx="660">
                  <c:v>153.2867946480512</c:v>
                </c:pt>
                <c:pt idx="661">
                  <c:v>148.69109947643977</c:v>
                </c:pt>
                <c:pt idx="662">
                  <c:v>145.84060500290866</c:v>
                </c:pt>
                <c:pt idx="663">
                  <c:v>143.80453752181498</c:v>
                </c:pt>
                <c:pt idx="664">
                  <c:v>146.53868528214079</c:v>
                </c:pt>
                <c:pt idx="665">
                  <c:v>145.95695171611399</c:v>
                </c:pt>
                <c:pt idx="666">
                  <c:v>139.90692262943571</c:v>
                </c:pt>
                <c:pt idx="667">
                  <c:v>147.35311227457822</c:v>
                </c:pt>
                <c:pt idx="668">
                  <c:v>140.37230948225712</c:v>
                </c:pt>
                <c:pt idx="669">
                  <c:v>140.48865619546248</c:v>
                </c:pt>
                <c:pt idx="670">
                  <c:v>141.71029668411865</c:v>
                </c:pt>
                <c:pt idx="671">
                  <c:v>144.21175101803371</c:v>
                </c:pt>
                <c:pt idx="672">
                  <c:v>137.28912158231529</c:v>
                </c:pt>
                <c:pt idx="673">
                  <c:v>141.18673647469458</c:v>
                </c:pt>
                <c:pt idx="674">
                  <c:v>144.50261780104711</c:v>
                </c:pt>
                <c:pt idx="675">
                  <c:v>157.53344968004652</c:v>
                </c:pt>
                <c:pt idx="676">
                  <c:v>167.13205351948807</c:v>
                </c:pt>
                <c:pt idx="677">
                  <c:v>164.28155904595693</c:v>
                </c:pt>
                <c:pt idx="678">
                  <c:v>166.14310645724257</c:v>
                </c:pt>
                <c:pt idx="679">
                  <c:v>163.81617219313554</c:v>
                </c:pt>
                <c:pt idx="680">
                  <c:v>161.08202443280976</c:v>
                </c:pt>
                <c:pt idx="681">
                  <c:v>164.04886561954623</c:v>
                </c:pt>
                <c:pt idx="682">
                  <c:v>167.36474694589876</c:v>
                </c:pt>
                <c:pt idx="683">
                  <c:v>165.15415939499709</c:v>
                </c:pt>
                <c:pt idx="684">
                  <c:v>164.22338568935427</c:v>
                </c:pt>
                <c:pt idx="685">
                  <c:v>179.75567190226874</c:v>
                </c:pt>
                <c:pt idx="686">
                  <c:v>181.50087260034903</c:v>
                </c:pt>
                <c:pt idx="687">
                  <c:v>168.99360093077368</c:v>
                </c:pt>
                <c:pt idx="688">
                  <c:v>172.19313554392087</c:v>
                </c:pt>
                <c:pt idx="689">
                  <c:v>175.15997673065735</c:v>
                </c:pt>
                <c:pt idx="690">
                  <c:v>184.70040721349622</c:v>
                </c:pt>
                <c:pt idx="691">
                  <c:v>188.42350203606748</c:v>
                </c:pt>
                <c:pt idx="692">
                  <c:v>191.56486329261199</c:v>
                </c:pt>
                <c:pt idx="693">
                  <c:v>190.51774287376381</c:v>
                </c:pt>
                <c:pt idx="694">
                  <c:v>200.34904013961602</c:v>
                </c:pt>
                <c:pt idx="695">
                  <c:v>191.50668993600931</c:v>
                </c:pt>
                <c:pt idx="696">
                  <c:v>188.59802210587551</c:v>
                </c:pt>
                <c:pt idx="697">
                  <c:v>188.01628853984874</c:v>
                </c:pt>
                <c:pt idx="698">
                  <c:v>184.17684700407213</c:v>
                </c:pt>
                <c:pt idx="699">
                  <c:v>182.7806864456079</c:v>
                </c:pt>
                <c:pt idx="700">
                  <c:v>188.1326352530541</c:v>
                </c:pt>
                <c:pt idx="701">
                  <c:v>178.12681791739382</c:v>
                </c:pt>
                <c:pt idx="702">
                  <c:v>177.4869109947644</c:v>
                </c:pt>
                <c:pt idx="703">
                  <c:v>174.5200698080279</c:v>
                </c:pt>
                <c:pt idx="704">
                  <c:v>180.51192553810353</c:v>
                </c:pt>
                <c:pt idx="705">
                  <c:v>182.60616637579986</c:v>
                </c:pt>
                <c:pt idx="706">
                  <c:v>181.03548574752762</c:v>
                </c:pt>
                <c:pt idx="707">
                  <c:v>176.67248400232694</c:v>
                </c:pt>
                <c:pt idx="708">
                  <c:v>171.02966841186736</c:v>
                </c:pt>
                <c:pt idx="709">
                  <c:v>169.28446771378708</c:v>
                </c:pt>
                <c:pt idx="710">
                  <c:v>166.5503199534613</c:v>
                </c:pt>
                <c:pt idx="711">
                  <c:v>165.79406631762652</c:v>
                </c:pt>
                <c:pt idx="712">
                  <c:v>162.47818499127396</c:v>
                </c:pt>
                <c:pt idx="713">
                  <c:v>163.00174520069805</c:v>
                </c:pt>
                <c:pt idx="714">
                  <c:v>159.51134380453752</c:v>
                </c:pt>
                <c:pt idx="715">
                  <c:v>165.09598603839439</c:v>
                </c:pt>
                <c:pt idx="716">
                  <c:v>159.9767306573589</c:v>
                </c:pt>
                <c:pt idx="717">
                  <c:v>157.5916230366492</c:v>
                </c:pt>
                <c:pt idx="718">
                  <c:v>155.03199534613145</c:v>
                </c:pt>
                <c:pt idx="719">
                  <c:v>155.73007562536355</c:v>
                </c:pt>
                <c:pt idx="720">
                  <c:v>160.38394415357766</c:v>
                </c:pt>
                <c:pt idx="721">
                  <c:v>165.44502617801047</c:v>
                </c:pt>
                <c:pt idx="722">
                  <c:v>167.36474694589876</c:v>
                </c:pt>
                <c:pt idx="723">
                  <c:v>161.19837114601512</c:v>
                </c:pt>
                <c:pt idx="724">
                  <c:v>162.76905177428739</c:v>
                </c:pt>
                <c:pt idx="725">
                  <c:v>162.59453170447932</c:v>
                </c:pt>
                <c:pt idx="726">
                  <c:v>160.79115764979639</c:v>
                </c:pt>
                <c:pt idx="727">
                  <c:v>157.47527632344384</c:v>
                </c:pt>
                <c:pt idx="728">
                  <c:v>153.22862129144849</c:v>
                </c:pt>
                <c:pt idx="729">
                  <c:v>156.6608493310064</c:v>
                </c:pt>
                <c:pt idx="730">
                  <c:v>156.369982547993</c:v>
                </c:pt>
                <c:pt idx="731">
                  <c:v>160.38394415357766</c:v>
                </c:pt>
                <c:pt idx="732">
                  <c:v>160.84933100639904</c:v>
                </c:pt>
                <c:pt idx="733">
                  <c:v>164.16521233275159</c:v>
                </c:pt>
                <c:pt idx="734">
                  <c:v>167.42292030250147</c:v>
                </c:pt>
                <c:pt idx="735">
                  <c:v>170.27341477603258</c:v>
                </c:pt>
                <c:pt idx="736">
                  <c:v>173.58929610238511</c:v>
                </c:pt>
                <c:pt idx="737">
                  <c:v>172.77486910994764</c:v>
                </c:pt>
                <c:pt idx="738">
                  <c:v>175.56719022687608</c:v>
                </c:pt>
                <c:pt idx="739">
                  <c:v>177.07969749854567</c:v>
                </c:pt>
                <c:pt idx="740">
                  <c:v>175.5090168702734</c:v>
                </c:pt>
                <c:pt idx="741">
                  <c:v>176.09075043630017</c:v>
                </c:pt>
                <c:pt idx="742">
                  <c:v>175.68353694008144</c:v>
                </c:pt>
                <c:pt idx="743">
                  <c:v>172.48400232693425</c:v>
                </c:pt>
                <c:pt idx="744">
                  <c:v>169.69168121000581</c:v>
                </c:pt>
                <c:pt idx="745">
                  <c:v>176.14892379290282</c:v>
                </c:pt>
                <c:pt idx="746">
                  <c:v>177.71960442117509</c:v>
                </c:pt>
                <c:pt idx="747">
                  <c:v>184.06050029086677</c:v>
                </c:pt>
                <c:pt idx="748">
                  <c:v>193.31006399069224</c:v>
                </c:pt>
                <c:pt idx="749">
                  <c:v>188.42350203606748</c:v>
                </c:pt>
                <c:pt idx="750">
                  <c:v>191.91390343222804</c:v>
                </c:pt>
                <c:pt idx="751">
                  <c:v>189.81966259453171</c:v>
                </c:pt>
                <c:pt idx="752">
                  <c:v>186.91099476439788</c:v>
                </c:pt>
                <c:pt idx="753">
                  <c:v>190.69226294357185</c:v>
                </c:pt>
                <c:pt idx="754">
                  <c:v>189.58696916812102</c:v>
                </c:pt>
                <c:pt idx="755">
                  <c:v>166.5503199534613</c:v>
                </c:pt>
                <c:pt idx="756">
                  <c:v>171.72774869109946</c:v>
                </c:pt>
                <c:pt idx="757">
                  <c:v>166.84118673647467</c:v>
                </c:pt>
                <c:pt idx="758">
                  <c:v>173.70564281559044</c:v>
                </c:pt>
                <c:pt idx="759">
                  <c:v>179.52297847585803</c:v>
                </c:pt>
                <c:pt idx="760">
                  <c:v>183.47876672484</c:v>
                </c:pt>
                <c:pt idx="761">
                  <c:v>179.8720186154741</c:v>
                </c:pt>
                <c:pt idx="762">
                  <c:v>181.15183246073298</c:v>
                </c:pt>
                <c:pt idx="763">
                  <c:v>184.00232693426409</c:v>
                </c:pt>
                <c:pt idx="764">
                  <c:v>195.17161140197788</c:v>
                </c:pt>
                <c:pt idx="765">
                  <c:v>186.1547411285631</c:v>
                </c:pt>
                <c:pt idx="766">
                  <c:v>187.20186154741128</c:v>
                </c:pt>
                <c:pt idx="767">
                  <c:v>182.19895287958116</c:v>
                </c:pt>
                <c:pt idx="768">
                  <c:v>180.22105875509016</c:v>
                </c:pt>
                <c:pt idx="769">
                  <c:v>176.14892379290282</c:v>
                </c:pt>
                <c:pt idx="770">
                  <c:v>170.33158813263526</c:v>
                </c:pt>
                <c:pt idx="771">
                  <c:v>175.5090168702734</c:v>
                </c:pt>
                <c:pt idx="772">
                  <c:v>177.71960442117509</c:v>
                </c:pt>
                <c:pt idx="773">
                  <c:v>178.35951134380451</c:v>
                </c:pt>
                <c:pt idx="774">
                  <c:v>178.65037812681791</c:v>
                </c:pt>
                <c:pt idx="775">
                  <c:v>181.84991273996508</c:v>
                </c:pt>
                <c:pt idx="776">
                  <c:v>176.09075043630017</c:v>
                </c:pt>
                <c:pt idx="777">
                  <c:v>176.96335078534031</c:v>
                </c:pt>
                <c:pt idx="778">
                  <c:v>174.69458987783594</c:v>
                </c:pt>
                <c:pt idx="779">
                  <c:v>178.8830715532286</c:v>
                </c:pt>
                <c:pt idx="780">
                  <c:v>178.59220477021523</c:v>
                </c:pt>
                <c:pt idx="781">
                  <c:v>192.49563699825481</c:v>
                </c:pt>
                <c:pt idx="782">
                  <c:v>194.24083769633506</c:v>
                </c:pt>
                <c:pt idx="783">
                  <c:v>207.21349621873179</c:v>
                </c:pt>
                <c:pt idx="784">
                  <c:v>203.95578824898197</c:v>
                </c:pt>
                <c:pt idx="785">
                  <c:v>197.55671902268762</c:v>
                </c:pt>
                <c:pt idx="786">
                  <c:v>193.13554392088423</c:v>
                </c:pt>
                <c:pt idx="787">
                  <c:v>197.96393251890635</c:v>
                </c:pt>
                <c:pt idx="788">
                  <c:v>198.37114601512508</c:v>
                </c:pt>
                <c:pt idx="789">
                  <c:v>200.05817335660265</c:v>
                </c:pt>
                <c:pt idx="790">
                  <c:v>195.3461314717859</c:v>
                </c:pt>
                <c:pt idx="791">
                  <c:v>201.1052937754508</c:v>
                </c:pt>
                <c:pt idx="792">
                  <c:v>200.6980802792321</c:v>
                </c:pt>
                <c:pt idx="793">
                  <c:v>200.17452006980801</c:v>
                </c:pt>
                <c:pt idx="794">
                  <c:v>200.6980802792321</c:v>
                </c:pt>
                <c:pt idx="795">
                  <c:v>199.18557300756254</c:v>
                </c:pt>
                <c:pt idx="796">
                  <c:v>200.46538685282141</c:v>
                </c:pt>
                <c:pt idx="797">
                  <c:v>200.23269342641069</c:v>
                </c:pt>
                <c:pt idx="798">
                  <c:v>198.08027923211168</c:v>
                </c:pt>
                <c:pt idx="799">
                  <c:v>194.06631762652705</c:v>
                </c:pt>
                <c:pt idx="800">
                  <c:v>193.31006399069224</c:v>
                </c:pt>
                <c:pt idx="801">
                  <c:v>197.09133216986621</c:v>
                </c:pt>
                <c:pt idx="802">
                  <c:v>194.58987783595114</c:v>
                </c:pt>
                <c:pt idx="803">
                  <c:v>193.65910413030829</c:v>
                </c:pt>
                <c:pt idx="804">
                  <c:v>196.56777196044212</c:v>
                </c:pt>
                <c:pt idx="805">
                  <c:v>202.3851076207097</c:v>
                </c:pt>
                <c:pt idx="806">
                  <c:v>203.19953461314716</c:v>
                </c:pt>
                <c:pt idx="807">
                  <c:v>207.56253635834784</c:v>
                </c:pt>
                <c:pt idx="808">
                  <c:v>190.63408958696917</c:v>
                </c:pt>
                <c:pt idx="809">
                  <c:v>195.46247818499128</c:v>
                </c:pt>
                <c:pt idx="810">
                  <c:v>199.12739965095983</c:v>
                </c:pt>
                <c:pt idx="811">
                  <c:v>203.78126817917394</c:v>
                </c:pt>
                <c:pt idx="812">
                  <c:v>209.54043048283887</c:v>
                </c:pt>
                <c:pt idx="813">
                  <c:v>211.57649796393247</c:v>
                </c:pt>
                <c:pt idx="814">
                  <c:v>205.52646887725419</c:v>
                </c:pt>
                <c:pt idx="815">
                  <c:v>204.01396160558463</c:v>
                </c:pt>
                <c:pt idx="816">
                  <c:v>209.0750436300174</c:v>
                </c:pt>
                <c:pt idx="817">
                  <c:v>207.79522978475856</c:v>
                </c:pt>
                <c:pt idx="818">
                  <c:v>209.24956369982544</c:v>
                </c:pt>
                <c:pt idx="819">
                  <c:v>211.63467132053518</c:v>
                </c:pt>
                <c:pt idx="820">
                  <c:v>212.27457824316463</c:v>
                </c:pt>
                <c:pt idx="821">
                  <c:v>213.2635253054101</c:v>
                </c:pt>
                <c:pt idx="822">
                  <c:v>214.95055264688773</c:v>
                </c:pt>
                <c:pt idx="823">
                  <c:v>205.17742873763817</c:v>
                </c:pt>
                <c:pt idx="824">
                  <c:v>200.75625363583475</c:v>
                </c:pt>
                <c:pt idx="825">
                  <c:v>196.50959860383944</c:v>
                </c:pt>
                <c:pt idx="826">
                  <c:v>201.04712041884815</c:v>
                </c:pt>
                <c:pt idx="827">
                  <c:v>199.47643979057591</c:v>
                </c:pt>
                <c:pt idx="828">
                  <c:v>192.96102385107622</c:v>
                </c:pt>
                <c:pt idx="829">
                  <c:v>198.89470622454911</c:v>
                </c:pt>
                <c:pt idx="830">
                  <c:v>205.00290866783013</c:v>
                </c:pt>
                <c:pt idx="831">
                  <c:v>199.65095986038392</c:v>
                </c:pt>
                <c:pt idx="832">
                  <c:v>194.1244909831297</c:v>
                </c:pt>
                <c:pt idx="833">
                  <c:v>196.62594531704477</c:v>
                </c:pt>
                <c:pt idx="834">
                  <c:v>199.0110529377545</c:v>
                </c:pt>
                <c:pt idx="835">
                  <c:v>196.91681210005817</c:v>
                </c:pt>
                <c:pt idx="836">
                  <c:v>197.55671902268762</c:v>
                </c:pt>
                <c:pt idx="837">
                  <c:v>206.51541593949969</c:v>
                </c:pt>
                <c:pt idx="838">
                  <c:v>219.31355439208841</c:v>
                </c:pt>
                <c:pt idx="839">
                  <c:v>210.99476439790575</c:v>
                </c:pt>
                <c:pt idx="840">
                  <c:v>215.2414194299011</c:v>
                </c:pt>
                <c:pt idx="841">
                  <c:v>212.15823152995927</c:v>
                </c:pt>
                <c:pt idx="842">
                  <c:v>210.6457242582897</c:v>
                </c:pt>
                <c:pt idx="843">
                  <c:v>208.90052356020939</c:v>
                </c:pt>
                <c:pt idx="844">
                  <c:v>207.44618964514251</c:v>
                </c:pt>
                <c:pt idx="845">
                  <c:v>207.9697498545666</c:v>
                </c:pt>
                <c:pt idx="846">
                  <c:v>207.73705642815591</c:v>
                </c:pt>
                <c:pt idx="847">
                  <c:v>210.70389761489236</c:v>
                </c:pt>
                <c:pt idx="848">
                  <c:v>209.54043048283887</c:v>
                </c:pt>
                <c:pt idx="849">
                  <c:v>211.11111111111109</c:v>
                </c:pt>
                <c:pt idx="850">
                  <c:v>209.77312390924956</c:v>
                </c:pt>
                <c:pt idx="851">
                  <c:v>214.13612565445024</c:v>
                </c:pt>
                <c:pt idx="852">
                  <c:v>215.82315299592784</c:v>
                </c:pt>
                <c:pt idx="853">
                  <c:v>211.69284467713788</c:v>
                </c:pt>
                <c:pt idx="854">
                  <c:v>206.51541593949969</c:v>
                </c:pt>
                <c:pt idx="855">
                  <c:v>206.92262943571845</c:v>
                </c:pt>
                <c:pt idx="856">
                  <c:v>211.51832460732982</c:v>
                </c:pt>
                <c:pt idx="857">
                  <c:v>200.29086678301334</c:v>
                </c:pt>
                <c:pt idx="858">
                  <c:v>198.54566608493309</c:v>
                </c:pt>
                <c:pt idx="859">
                  <c:v>193.25189063408956</c:v>
                </c:pt>
                <c:pt idx="860">
                  <c:v>194.76439790575913</c:v>
                </c:pt>
                <c:pt idx="861">
                  <c:v>189.64514252472367</c:v>
                </c:pt>
                <c:pt idx="862">
                  <c:v>189.81966259453171</c:v>
                </c:pt>
                <c:pt idx="863">
                  <c:v>194.1244909831297</c:v>
                </c:pt>
                <c:pt idx="864">
                  <c:v>198.31297265852243</c:v>
                </c:pt>
                <c:pt idx="865">
                  <c:v>183.59511343804536</c:v>
                </c:pt>
                <c:pt idx="866">
                  <c:v>184.70040721349622</c:v>
                </c:pt>
                <c:pt idx="867">
                  <c:v>184.70040721349622</c:v>
                </c:pt>
                <c:pt idx="868">
                  <c:v>184.11867364746942</c:v>
                </c:pt>
                <c:pt idx="869">
                  <c:v>186.67830133798722</c:v>
                </c:pt>
                <c:pt idx="870">
                  <c:v>184.29319371727749</c:v>
                </c:pt>
                <c:pt idx="871">
                  <c:v>185.22396742292028</c:v>
                </c:pt>
                <c:pt idx="872">
                  <c:v>185.98022105875506</c:v>
                </c:pt>
                <c:pt idx="873">
                  <c:v>191.4485165794066</c:v>
                </c:pt>
                <c:pt idx="874">
                  <c:v>191.79755671902268</c:v>
                </c:pt>
                <c:pt idx="875">
                  <c:v>195.57882489819661</c:v>
                </c:pt>
                <c:pt idx="876">
                  <c:v>196.21873182082604</c:v>
                </c:pt>
                <c:pt idx="877">
                  <c:v>193.36823734729492</c:v>
                </c:pt>
                <c:pt idx="878">
                  <c:v>191.39034322280392</c:v>
                </c:pt>
                <c:pt idx="879">
                  <c:v>192.61198371146014</c:v>
                </c:pt>
                <c:pt idx="880">
                  <c:v>193.89179755671898</c:v>
                </c:pt>
                <c:pt idx="881">
                  <c:v>193.36823734729492</c:v>
                </c:pt>
                <c:pt idx="882">
                  <c:v>193.13554392088423</c:v>
                </c:pt>
                <c:pt idx="883">
                  <c:v>183.01337987201859</c:v>
                </c:pt>
                <c:pt idx="884">
                  <c:v>185.86387434554973</c:v>
                </c:pt>
                <c:pt idx="885">
                  <c:v>183.53694008144268</c:v>
                </c:pt>
                <c:pt idx="886">
                  <c:v>183.59511343804536</c:v>
                </c:pt>
                <c:pt idx="887">
                  <c:v>184.93310063990691</c:v>
                </c:pt>
                <c:pt idx="888">
                  <c:v>181.90808609656776</c:v>
                </c:pt>
                <c:pt idx="889">
                  <c:v>175.5090168702734</c:v>
                </c:pt>
                <c:pt idx="890">
                  <c:v>175.97440372309481</c:v>
                </c:pt>
                <c:pt idx="891">
                  <c:v>171.78592204770214</c:v>
                </c:pt>
                <c:pt idx="892">
                  <c:v>167.71378708551481</c:v>
                </c:pt>
                <c:pt idx="893">
                  <c:v>161.78010471204186</c:v>
                </c:pt>
                <c:pt idx="894">
                  <c:v>156.25363583478767</c:v>
                </c:pt>
                <c:pt idx="895">
                  <c:v>160.32577079697495</c:v>
                </c:pt>
                <c:pt idx="896">
                  <c:v>157.06806282722511</c:v>
                </c:pt>
                <c:pt idx="897">
                  <c:v>196.39325189063405</c:v>
                </c:pt>
                <c:pt idx="898">
                  <c:v>197.49854566608494</c:v>
                </c:pt>
                <c:pt idx="899">
                  <c:v>200.34904013961602</c:v>
                </c:pt>
                <c:pt idx="900">
                  <c:v>204.01396160558463</c:v>
                </c:pt>
                <c:pt idx="901">
                  <c:v>209.77312390924956</c:v>
                </c:pt>
                <c:pt idx="902">
                  <c:v>210.70389761489236</c:v>
                </c:pt>
                <c:pt idx="903">
                  <c:v>204.94473531122742</c:v>
                </c:pt>
                <c:pt idx="904">
                  <c:v>203.54857475276322</c:v>
                </c:pt>
                <c:pt idx="905">
                  <c:v>202.55962769051771</c:v>
                </c:pt>
                <c:pt idx="906">
                  <c:v>209.54043048283887</c:v>
                </c:pt>
                <c:pt idx="907">
                  <c:v>206.57358929610234</c:v>
                </c:pt>
                <c:pt idx="908">
                  <c:v>200.46538685282141</c:v>
                </c:pt>
                <c:pt idx="909">
                  <c:v>196.85863874345551</c:v>
                </c:pt>
                <c:pt idx="910">
                  <c:v>196.85863874345551</c:v>
                </c:pt>
                <c:pt idx="911">
                  <c:v>199.12739965095983</c:v>
                </c:pt>
                <c:pt idx="912">
                  <c:v>199.94182664339729</c:v>
                </c:pt>
                <c:pt idx="913">
                  <c:v>195.81151832460731</c:v>
                </c:pt>
                <c:pt idx="914">
                  <c:v>197.73123909249563</c:v>
                </c:pt>
                <c:pt idx="915">
                  <c:v>192.61198371146014</c:v>
                </c:pt>
                <c:pt idx="916">
                  <c:v>191.15764979639323</c:v>
                </c:pt>
                <c:pt idx="917">
                  <c:v>194.18266433973241</c:v>
                </c:pt>
                <c:pt idx="918">
                  <c:v>201.97789412449097</c:v>
                </c:pt>
                <c:pt idx="919">
                  <c:v>195.3461314717859</c:v>
                </c:pt>
                <c:pt idx="920">
                  <c:v>195.57882489819661</c:v>
                </c:pt>
                <c:pt idx="921">
                  <c:v>197.14950552646886</c:v>
                </c:pt>
                <c:pt idx="922">
                  <c:v>192.20477021524141</c:v>
                </c:pt>
                <c:pt idx="923">
                  <c:v>188.42350203606748</c:v>
                </c:pt>
                <c:pt idx="924">
                  <c:v>182.83885980221058</c:v>
                </c:pt>
                <c:pt idx="925">
                  <c:v>185.34031413612564</c:v>
                </c:pt>
                <c:pt idx="926">
                  <c:v>188.48167539267013</c:v>
                </c:pt>
                <c:pt idx="927">
                  <c:v>190.51774287376381</c:v>
                </c:pt>
                <c:pt idx="928">
                  <c:v>187.84176847004071</c:v>
                </c:pt>
                <c:pt idx="929">
                  <c:v>186.21291448516578</c:v>
                </c:pt>
                <c:pt idx="930">
                  <c:v>189.23792902850494</c:v>
                </c:pt>
                <c:pt idx="931">
                  <c:v>197.0331588132635</c:v>
                </c:pt>
                <c:pt idx="932">
                  <c:v>200.40721349621876</c:v>
                </c:pt>
                <c:pt idx="933">
                  <c:v>200.75625363583475</c:v>
                </c:pt>
                <c:pt idx="934">
                  <c:v>199.82547993019196</c:v>
                </c:pt>
                <c:pt idx="935">
                  <c:v>203.83944153577659</c:v>
                </c:pt>
                <c:pt idx="936">
                  <c:v>200.63990692262945</c:v>
                </c:pt>
                <c:pt idx="937">
                  <c:v>208.3769633507853</c:v>
                </c:pt>
                <c:pt idx="938">
                  <c:v>213.37987201861543</c:v>
                </c:pt>
                <c:pt idx="939">
                  <c:v>207.67888307155323</c:v>
                </c:pt>
                <c:pt idx="940">
                  <c:v>211.40197789412451</c:v>
                </c:pt>
                <c:pt idx="941">
                  <c:v>208.08609656777196</c:v>
                </c:pt>
                <c:pt idx="942">
                  <c:v>211.34380453752178</c:v>
                </c:pt>
                <c:pt idx="943">
                  <c:v>214.13612565445024</c:v>
                </c:pt>
                <c:pt idx="944">
                  <c:v>213.67073880162883</c:v>
                </c:pt>
                <c:pt idx="945">
                  <c:v>209.59860383944152</c:v>
                </c:pt>
                <c:pt idx="946">
                  <c:v>207.9697498545666</c:v>
                </c:pt>
                <c:pt idx="947">
                  <c:v>203.02501454333913</c:v>
                </c:pt>
                <c:pt idx="948">
                  <c:v>200.46538685282141</c:v>
                </c:pt>
                <c:pt idx="949">
                  <c:v>194.64805119255379</c:v>
                </c:pt>
                <c:pt idx="950">
                  <c:v>199.0110529377545</c:v>
                </c:pt>
                <c:pt idx="951">
                  <c:v>204.13030831878999</c:v>
                </c:pt>
                <c:pt idx="952">
                  <c:v>200.93077370564282</c:v>
                </c:pt>
                <c:pt idx="953">
                  <c:v>202.79232111692841</c:v>
                </c:pt>
                <c:pt idx="954">
                  <c:v>205.9918557300756</c:v>
                </c:pt>
                <c:pt idx="955">
                  <c:v>236.18382780686446</c:v>
                </c:pt>
                <c:pt idx="956">
                  <c:v>216.46305991855729</c:v>
                </c:pt>
                <c:pt idx="957">
                  <c:v>214.36881908086093</c:v>
                </c:pt>
                <c:pt idx="958">
                  <c:v>215.82315299592784</c:v>
                </c:pt>
                <c:pt idx="959">
                  <c:v>214.65968586387433</c:v>
                </c:pt>
                <c:pt idx="960">
                  <c:v>219.08086096567766</c:v>
                </c:pt>
                <c:pt idx="961">
                  <c:v>226.64339732402556</c:v>
                </c:pt>
                <c:pt idx="962">
                  <c:v>228.62129144851653</c:v>
                </c:pt>
                <c:pt idx="963">
                  <c:v>225.65445026178011</c:v>
                </c:pt>
                <c:pt idx="964">
                  <c:v>221.69866201279814</c:v>
                </c:pt>
                <c:pt idx="965">
                  <c:v>224.54915648632925</c:v>
                </c:pt>
                <c:pt idx="966">
                  <c:v>218.78999418266432</c:v>
                </c:pt>
                <c:pt idx="967">
                  <c:v>218.20826061663757</c:v>
                </c:pt>
                <c:pt idx="968">
                  <c:v>212.97265852239673</c:v>
                </c:pt>
                <c:pt idx="969">
                  <c:v>209.9476439790576</c:v>
                </c:pt>
                <c:pt idx="970">
                  <c:v>207.09714950552643</c:v>
                </c:pt>
                <c:pt idx="971">
                  <c:v>210.29668411867362</c:v>
                </c:pt>
                <c:pt idx="972">
                  <c:v>212.79813845258869</c:v>
                </c:pt>
                <c:pt idx="973">
                  <c:v>215.9394997091332</c:v>
                </c:pt>
                <c:pt idx="974">
                  <c:v>222.39674229203024</c:v>
                </c:pt>
                <c:pt idx="975">
                  <c:v>216.46305991855729</c:v>
                </c:pt>
                <c:pt idx="976">
                  <c:v>211.11111111111109</c:v>
                </c:pt>
                <c:pt idx="977">
                  <c:v>214.95055264688773</c:v>
                </c:pt>
                <c:pt idx="978">
                  <c:v>214.60151250727165</c:v>
                </c:pt>
                <c:pt idx="979">
                  <c:v>216.69575334496801</c:v>
                </c:pt>
                <c:pt idx="980">
                  <c:v>230.77370564281557</c:v>
                </c:pt>
                <c:pt idx="981">
                  <c:v>226.81791739383362</c:v>
                </c:pt>
                <c:pt idx="982">
                  <c:v>229.78475858057007</c:v>
                </c:pt>
                <c:pt idx="983">
                  <c:v>227.51599767306573</c:v>
                </c:pt>
                <c:pt idx="984">
                  <c:v>228.44677137870858</c:v>
                </c:pt>
                <c:pt idx="985">
                  <c:v>231.4717859220477</c:v>
                </c:pt>
                <c:pt idx="986">
                  <c:v>231.82082606166375</c:v>
                </c:pt>
                <c:pt idx="987">
                  <c:v>233.50785340314135</c:v>
                </c:pt>
                <c:pt idx="988">
                  <c:v>235.31122745782432</c:v>
                </c:pt>
                <c:pt idx="989">
                  <c:v>218.03374054682951</c:v>
                </c:pt>
                <c:pt idx="990">
                  <c:v>212.50727166957532</c:v>
                </c:pt>
                <c:pt idx="991">
                  <c:v>206.51541593949969</c:v>
                </c:pt>
                <c:pt idx="992">
                  <c:v>196.21873182082604</c:v>
                </c:pt>
                <c:pt idx="993">
                  <c:v>201.27981384525887</c:v>
                </c:pt>
                <c:pt idx="994">
                  <c:v>201.16346713205351</c:v>
                </c:pt>
                <c:pt idx="995">
                  <c:v>196.50959860383944</c:v>
                </c:pt>
                <c:pt idx="996">
                  <c:v>204.65386852821408</c:v>
                </c:pt>
                <c:pt idx="997">
                  <c:v>204.30482838859797</c:v>
                </c:pt>
                <c:pt idx="998">
                  <c:v>205.00290866783013</c:v>
                </c:pt>
                <c:pt idx="999">
                  <c:v>200.6980802792321</c:v>
                </c:pt>
                <c:pt idx="1000">
                  <c:v>215.18324607329845</c:v>
                </c:pt>
                <c:pt idx="1001">
                  <c:v>218.78999418266432</c:v>
                </c:pt>
                <c:pt idx="1002">
                  <c:v>219.72076788830717</c:v>
                </c:pt>
                <c:pt idx="1003">
                  <c:v>240.31413612565444</c:v>
                </c:pt>
                <c:pt idx="1004">
                  <c:v>237.28912158231529</c:v>
                </c:pt>
                <c:pt idx="1005">
                  <c:v>240.37230948225709</c:v>
                </c:pt>
                <c:pt idx="1006">
                  <c:v>234.32228039557882</c:v>
                </c:pt>
                <c:pt idx="1007">
                  <c:v>239.67422920302505</c:v>
                </c:pt>
                <c:pt idx="1008">
                  <c:v>240.48865619546248</c:v>
                </c:pt>
                <c:pt idx="1009">
                  <c:v>242.46655031995346</c:v>
                </c:pt>
                <c:pt idx="1010">
                  <c:v>237.87085514834203</c:v>
                </c:pt>
                <c:pt idx="1011">
                  <c:v>237.81268179173938</c:v>
                </c:pt>
                <c:pt idx="1012">
                  <c:v>235.71844095404307</c:v>
                </c:pt>
                <c:pt idx="1013">
                  <c:v>234.43862710878415</c:v>
                </c:pt>
                <c:pt idx="1014">
                  <c:v>242.93193717277487</c:v>
                </c:pt>
                <c:pt idx="1015">
                  <c:v>244.15357766143103</c:v>
                </c:pt>
                <c:pt idx="1016">
                  <c:v>251.07620709714945</c:v>
                </c:pt>
                <c:pt idx="1017">
                  <c:v>256.9517161140198</c:v>
                </c:pt>
                <c:pt idx="1018">
                  <c:v>254.04304828388598</c:v>
                </c:pt>
                <c:pt idx="1019">
                  <c:v>245.25887143688186</c:v>
                </c:pt>
                <c:pt idx="1020">
                  <c:v>250.20360674810937</c:v>
                </c:pt>
                <c:pt idx="1021">
                  <c:v>248.98196625945315</c:v>
                </c:pt>
                <c:pt idx="1022">
                  <c:v>251.89063408958691</c:v>
                </c:pt>
                <c:pt idx="1023">
                  <c:v>256.42815590459566</c:v>
                </c:pt>
                <c:pt idx="1024">
                  <c:v>259.91855730075622</c:v>
                </c:pt>
                <c:pt idx="1025">
                  <c:v>257.64979639325185</c:v>
                </c:pt>
                <c:pt idx="1026">
                  <c:v>257.06806282722511</c:v>
                </c:pt>
                <c:pt idx="1027">
                  <c:v>256.19546247818499</c:v>
                </c:pt>
                <c:pt idx="1028">
                  <c:v>254.39208842350197</c:v>
                </c:pt>
                <c:pt idx="1029">
                  <c:v>252.82140779522976</c:v>
                </c:pt>
                <c:pt idx="1030">
                  <c:v>248.74927283304245</c:v>
                </c:pt>
                <c:pt idx="1031">
                  <c:v>248.28388598022104</c:v>
                </c:pt>
                <c:pt idx="1032">
                  <c:v>217.10296684118671</c:v>
                </c:pt>
                <c:pt idx="1033">
                  <c:v>211.28563118091913</c:v>
                </c:pt>
                <c:pt idx="1034">
                  <c:v>209.19139034322279</c:v>
                </c:pt>
                <c:pt idx="1035">
                  <c:v>209.01687027341475</c:v>
                </c:pt>
                <c:pt idx="1036">
                  <c:v>208.02792321116925</c:v>
                </c:pt>
                <c:pt idx="1037">
                  <c:v>204.47934845840604</c:v>
                </c:pt>
                <c:pt idx="1038">
                  <c:v>208.02792321116925</c:v>
                </c:pt>
                <c:pt idx="1039">
                  <c:v>211.69284467713788</c:v>
                </c:pt>
                <c:pt idx="1040">
                  <c:v>210.06399069226291</c:v>
                </c:pt>
                <c:pt idx="1041">
                  <c:v>208.60965677719599</c:v>
                </c:pt>
                <c:pt idx="1042">
                  <c:v>206.63176265270505</c:v>
                </c:pt>
                <c:pt idx="1043">
                  <c:v>220.01163467132051</c:v>
                </c:pt>
                <c:pt idx="1044">
                  <c:v>220.06980802792319</c:v>
                </c:pt>
                <c:pt idx="1045">
                  <c:v>221.81500872600347</c:v>
                </c:pt>
                <c:pt idx="1046">
                  <c:v>221.40779522978477</c:v>
                </c:pt>
                <c:pt idx="1047">
                  <c:v>221.87318208260615</c:v>
                </c:pt>
                <c:pt idx="1048">
                  <c:v>221.29144851657938</c:v>
                </c:pt>
                <c:pt idx="1049">
                  <c:v>221.40779522978477</c:v>
                </c:pt>
                <c:pt idx="1050">
                  <c:v>225.53810354857475</c:v>
                </c:pt>
                <c:pt idx="1051">
                  <c:v>223.5020360674811</c:v>
                </c:pt>
                <c:pt idx="1052">
                  <c:v>227.74869109947642</c:v>
                </c:pt>
                <c:pt idx="1053">
                  <c:v>228.09773123909247</c:v>
                </c:pt>
                <c:pt idx="1054">
                  <c:v>230.71553228621289</c:v>
                </c:pt>
                <c:pt idx="1055">
                  <c:v>230.19197207678883</c:v>
                </c:pt>
                <c:pt idx="1056">
                  <c:v>232.4607329842932</c:v>
                </c:pt>
                <c:pt idx="1057">
                  <c:v>231.58813263525303</c:v>
                </c:pt>
                <c:pt idx="1058">
                  <c:v>233.33333333333331</c:v>
                </c:pt>
                <c:pt idx="1059">
                  <c:v>234.67132053519489</c:v>
                </c:pt>
                <c:pt idx="1060">
                  <c:v>239.49970913321698</c:v>
                </c:pt>
                <c:pt idx="1061">
                  <c:v>238.80162885398482</c:v>
                </c:pt>
                <c:pt idx="1062">
                  <c:v>236.94008144269924</c:v>
                </c:pt>
                <c:pt idx="1063">
                  <c:v>238.56893542757413</c:v>
                </c:pt>
                <c:pt idx="1064">
                  <c:v>237.17277486910996</c:v>
                </c:pt>
                <c:pt idx="1065">
                  <c:v>242.40837696335075</c:v>
                </c:pt>
                <c:pt idx="1066">
                  <c:v>247.23676556137289</c:v>
                </c:pt>
                <c:pt idx="1067">
                  <c:v>246.48051192553808</c:v>
                </c:pt>
                <c:pt idx="1068">
                  <c:v>244.50261780104711</c:v>
                </c:pt>
                <c:pt idx="1069">
                  <c:v>239.848749272833</c:v>
                </c:pt>
                <c:pt idx="1070">
                  <c:v>254.45026178010471</c:v>
                </c:pt>
                <c:pt idx="1071">
                  <c:v>254.74112856311808</c:v>
                </c:pt>
                <c:pt idx="1072">
                  <c:v>260.3839441535776</c:v>
                </c:pt>
                <c:pt idx="1073">
                  <c:v>254.85747527632344</c:v>
                </c:pt>
                <c:pt idx="1074">
                  <c:v>257.64979639325185</c:v>
                </c:pt>
                <c:pt idx="1075">
                  <c:v>257.47527632344384</c:v>
                </c:pt>
                <c:pt idx="1076">
                  <c:v>262.71087841768468</c:v>
                </c:pt>
                <c:pt idx="1077">
                  <c:v>263.00174520069805</c:v>
                </c:pt>
                <c:pt idx="1078">
                  <c:v>259.27865037812683</c:v>
                </c:pt>
                <c:pt idx="1079">
                  <c:v>264.80511925538104</c:v>
                </c:pt>
                <c:pt idx="1080">
                  <c:v>268.41186736474691</c:v>
                </c:pt>
                <c:pt idx="1081">
                  <c:v>270.38976148923786</c:v>
                </c:pt>
                <c:pt idx="1082">
                  <c:v>270.09889470622454</c:v>
                </c:pt>
                <c:pt idx="1083">
                  <c:v>270.85514834205935</c:v>
                </c:pt>
                <c:pt idx="1084">
                  <c:v>269.51716114019774</c:v>
                </c:pt>
                <c:pt idx="1085">
                  <c:v>270.56428155904592</c:v>
                </c:pt>
                <c:pt idx="1086">
                  <c:v>191.15764979639323</c:v>
                </c:pt>
                <c:pt idx="1087">
                  <c:v>189.17975567190229</c:v>
                </c:pt>
                <c:pt idx="1088">
                  <c:v>192.90285049447348</c:v>
                </c:pt>
                <c:pt idx="1089">
                  <c:v>194.93891797556716</c:v>
                </c:pt>
                <c:pt idx="1090">
                  <c:v>197.3240255962769</c:v>
                </c:pt>
                <c:pt idx="1091">
                  <c:v>196.16055846422336</c:v>
                </c:pt>
                <c:pt idx="1092">
                  <c:v>198.42931937172773</c:v>
                </c:pt>
                <c:pt idx="1093">
                  <c:v>197.84758580570096</c:v>
                </c:pt>
                <c:pt idx="1094">
                  <c:v>200.46538685282141</c:v>
                </c:pt>
                <c:pt idx="1095">
                  <c:v>197.78941244909828</c:v>
                </c:pt>
                <c:pt idx="1096">
                  <c:v>193.83362420011633</c:v>
                </c:pt>
                <c:pt idx="1097">
                  <c:v>199.65095986038392</c:v>
                </c:pt>
                <c:pt idx="1098">
                  <c:v>197.78941244909828</c:v>
                </c:pt>
                <c:pt idx="1099">
                  <c:v>203.89761489237927</c:v>
                </c:pt>
                <c:pt idx="1100">
                  <c:v>208.20244328097729</c:v>
                </c:pt>
                <c:pt idx="1101">
                  <c:v>204.24665503199532</c:v>
                </c:pt>
                <c:pt idx="1102">
                  <c:v>204.65386852821408</c:v>
                </c:pt>
                <c:pt idx="1103">
                  <c:v>207.38801628853986</c:v>
                </c:pt>
                <c:pt idx="1104">
                  <c:v>208.78417684700406</c:v>
                </c:pt>
                <c:pt idx="1105">
                  <c:v>207.44618964514251</c:v>
                </c:pt>
                <c:pt idx="1106">
                  <c:v>207.44618964514251</c:v>
                </c:pt>
                <c:pt idx="1107">
                  <c:v>207.62070971495049</c:v>
                </c:pt>
                <c:pt idx="1108">
                  <c:v>209.24956369982544</c:v>
                </c:pt>
                <c:pt idx="1109">
                  <c:v>208.26061663757994</c:v>
                </c:pt>
                <c:pt idx="1110">
                  <c:v>205.9918557300756</c:v>
                </c:pt>
                <c:pt idx="1111">
                  <c:v>201.04712041884815</c:v>
                </c:pt>
                <c:pt idx="1112">
                  <c:v>200.17452006980801</c:v>
                </c:pt>
                <c:pt idx="1113">
                  <c:v>193.25189063408956</c:v>
                </c:pt>
                <c:pt idx="1114">
                  <c:v>194.29901105293774</c:v>
                </c:pt>
                <c:pt idx="1115">
                  <c:v>192.26294357184406</c:v>
                </c:pt>
                <c:pt idx="1116">
                  <c:v>191.62303664921464</c:v>
                </c:pt>
                <c:pt idx="1117">
                  <c:v>188.53984874927281</c:v>
                </c:pt>
                <c:pt idx="1118">
                  <c:v>189.41244909831298</c:v>
                </c:pt>
                <c:pt idx="1119">
                  <c:v>187.89994182664336</c:v>
                </c:pt>
                <c:pt idx="1120">
                  <c:v>188.24898196625944</c:v>
                </c:pt>
                <c:pt idx="1121">
                  <c:v>191.56486329261199</c:v>
                </c:pt>
                <c:pt idx="1122">
                  <c:v>189.93600930773704</c:v>
                </c:pt>
                <c:pt idx="1123">
                  <c:v>183.07155322862127</c:v>
                </c:pt>
                <c:pt idx="1124">
                  <c:v>184.87492728330423</c:v>
                </c:pt>
                <c:pt idx="1125">
                  <c:v>189.0634089586969</c:v>
                </c:pt>
                <c:pt idx="1126">
                  <c:v>186.91099476439788</c:v>
                </c:pt>
                <c:pt idx="1127">
                  <c:v>187.60907504363001</c:v>
                </c:pt>
                <c:pt idx="1128">
                  <c:v>186.1547411285631</c:v>
                </c:pt>
                <c:pt idx="1129">
                  <c:v>184.70040721349622</c:v>
                </c:pt>
                <c:pt idx="1130">
                  <c:v>182.43164630599185</c:v>
                </c:pt>
                <c:pt idx="1131">
                  <c:v>181.96625945317044</c:v>
                </c:pt>
                <c:pt idx="1132">
                  <c:v>192.61198371146014</c:v>
                </c:pt>
                <c:pt idx="1133">
                  <c:v>187.84176847004071</c:v>
                </c:pt>
                <c:pt idx="1134">
                  <c:v>191.4485165794066</c:v>
                </c:pt>
                <c:pt idx="1135">
                  <c:v>187.84176847004071</c:v>
                </c:pt>
                <c:pt idx="1136">
                  <c:v>190.34322280395577</c:v>
                </c:pt>
                <c:pt idx="1137">
                  <c:v>191.21582315299591</c:v>
                </c:pt>
                <c:pt idx="1138">
                  <c:v>192.14659685863873</c:v>
                </c:pt>
                <c:pt idx="1139">
                  <c:v>192.20477021524141</c:v>
                </c:pt>
                <c:pt idx="1140">
                  <c:v>192.32111692844677</c:v>
                </c:pt>
                <c:pt idx="1141">
                  <c:v>186.44560791157647</c:v>
                </c:pt>
                <c:pt idx="1142">
                  <c:v>184.81675392670155</c:v>
                </c:pt>
                <c:pt idx="1143">
                  <c:v>185.28214077952296</c:v>
                </c:pt>
                <c:pt idx="1144">
                  <c:v>186.62012798138448</c:v>
                </c:pt>
                <c:pt idx="1145">
                  <c:v>189.29610238510762</c:v>
                </c:pt>
                <c:pt idx="1146">
                  <c:v>186.1547411285631</c:v>
                </c:pt>
                <c:pt idx="1147">
                  <c:v>237.69633507853402</c:v>
                </c:pt>
                <c:pt idx="1148">
                  <c:v>233.33333333333331</c:v>
                </c:pt>
                <c:pt idx="1149">
                  <c:v>238.51076207097148</c:v>
                </c:pt>
                <c:pt idx="1150">
                  <c:v>242.29203025014542</c:v>
                </c:pt>
                <c:pt idx="1151">
                  <c:v>249.73821989528795</c:v>
                </c:pt>
                <c:pt idx="1152">
                  <c:v>251.59976730657357</c:v>
                </c:pt>
                <c:pt idx="1153">
                  <c:v>247.52763234438623</c:v>
                </c:pt>
                <c:pt idx="1154">
                  <c:v>249.27283304246654</c:v>
                </c:pt>
                <c:pt idx="1155">
                  <c:v>242.7574171029668</c:v>
                </c:pt>
                <c:pt idx="1156">
                  <c:v>243.16463059918556</c:v>
                </c:pt>
                <c:pt idx="1157">
                  <c:v>236.99825479930192</c:v>
                </c:pt>
                <c:pt idx="1158">
                  <c:v>240.77952297847585</c:v>
                </c:pt>
                <c:pt idx="1159">
                  <c:v>242.00116346713205</c:v>
                </c:pt>
                <c:pt idx="1160">
                  <c:v>248.16753926701566</c:v>
                </c:pt>
                <c:pt idx="1161">
                  <c:v>249.3310063990692</c:v>
                </c:pt>
                <c:pt idx="1162">
                  <c:v>252.47236765561371</c:v>
                </c:pt>
                <c:pt idx="1163">
                  <c:v>254.91564863292609</c:v>
                </c:pt>
                <c:pt idx="1164">
                  <c:v>255.32286212914482</c:v>
                </c:pt>
                <c:pt idx="1165">
                  <c:v>252.06515415939498</c:v>
                </c:pt>
                <c:pt idx="1166">
                  <c:v>252.18150087260031</c:v>
                </c:pt>
                <c:pt idx="1167">
                  <c:v>251.59976730657357</c:v>
                </c:pt>
                <c:pt idx="1168">
                  <c:v>252.29784758580567</c:v>
                </c:pt>
                <c:pt idx="1169">
                  <c:v>249.15648632926116</c:v>
                </c:pt>
                <c:pt idx="1170">
                  <c:v>247.06224549156482</c:v>
                </c:pt>
                <c:pt idx="1171">
                  <c:v>245.54973821989529</c:v>
                </c:pt>
                <c:pt idx="1172">
                  <c:v>246.94589877835952</c:v>
                </c:pt>
                <c:pt idx="1173">
                  <c:v>248.74927283304245</c:v>
                </c:pt>
                <c:pt idx="1174">
                  <c:v>249.44735311227458</c:v>
                </c:pt>
                <c:pt idx="1175">
                  <c:v>256.42815590459566</c:v>
                </c:pt>
                <c:pt idx="1176">
                  <c:v>254.91564863292609</c:v>
                </c:pt>
                <c:pt idx="1177">
                  <c:v>250.84351367073876</c:v>
                </c:pt>
                <c:pt idx="1178">
                  <c:v>233.21698662012801</c:v>
                </c:pt>
                <c:pt idx="1179">
                  <c:v>230.13379872018612</c:v>
                </c:pt>
                <c:pt idx="1180">
                  <c:v>234.67132053519489</c:v>
                </c:pt>
                <c:pt idx="1181">
                  <c:v>229.84293193717272</c:v>
                </c:pt>
                <c:pt idx="1182">
                  <c:v>230.19197207678883</c:v>
                </c:pt>
                <c:pt idx="1183">
                  <c:v>224.8981966259453</c:v>
                </c:pt>
                <c:pt idx="1184">
                  <c:v>225.01454333915066</c:v>
                </c:pt>
                <c:pt idx="1185">
                  <c:v>226.41070389761489</c:v>
                </c:pt>
                <c:pt idx="1186">
                  <c:v>221.23327515997673</c:v>
                </c:pt>
                <c:pt idx="1187">
                  <c:v>221.81500872600347</c:v>
                </c:pt>
                <c:pt idx="1188">
                  <c:v>225.01454333915066</c:v>
                </c:pt>
                <c:pt idx="1189">
                  <c:v>229.95927865037814</c:v>
                </c:pt>
                <c:pt idx="1190">
                  <c:v>229.90110529377543</c:v>
                </c:pt>
                <c:pt idx="1191">
                  <c:v>225.53810354857475</c:v>
                </c:pt>
                <c:pt idx="1192">
                  <c:v>227.05061082024432</c:v>
                </c:pt>
                <c:pt idx="1193">
                  <c:v>228.33042466550319</c:v>
                </c:pt>
                <c:pt idx="1194">
                  <c:v>227.51599767306573</c:v>
                </c:pt>
                <c:pt idx="1195">
                  <c:v>223.67655613728914</c:v>
                </c:pt>
                <c:pt idx="1196">
                  <c:v>219.89528795811518</c:v>
                </c:pt>
                <c:pt idx="1197">
                  <c:v>220.41884816753927</c:v>
                </c:pt>
                <c:pt idx="1198">
                  <c:v>222.39674229203024</c:v>
                </c:pt>
                <c:pt idx="1199">
                  <c:v>224.66550319953461</c:v>
                </c:pt>
                <c:pt idx="1200">
                  <c:v>219.89528795811518</c:v>
                </c:pt>
                <c:pt idx="1201">
                  <c:v>224.4909831297266</c:v>
                </c:pt>
                <c:pt idx="1202">
                  <c:v>222.86212914485165</c:v>
                </c:pt>
                <c:pt idx="1203">
                  <c:v>222.68760907504364</c:v>
                </c:pt>
                <c:pt idx="1204">
                  <c:v>221.40779522978477</c:v>
                </c:pt>
                <c:pt idx="1205">
                  <c:v>222.74578243164629</c:v>
                </c:pt>
                <c:pt idx="1206">
                  <c:v>221.11692844677134</c:v>
                </c:pt>
                <c:pt idx="1207">
                  <c:v>219.89528795811518</c:v>
                </c:pt>
                <c:pt idx="1208">
                  <c:v>221.64048865619543</c:v>
                </c:pt>
                <c:pt idx="1209">
                  <c:v>219.83711460151247</c:v>
                </c:pt>
                <c:pt idx="1210">
                  <c:v>248.63292611983709</c:v>
                </c:pt>
                <c:pt idx="1211">
                  <c:v>247.35311227457822</c:v>
                </c:pt>
                <c:pt idx="1212">
                  <c:v>249.91273996509597</c:v>
                </c:pt>
                <c:pt idx="1213">
                  <c:v>249.15648632926116</c:v>
                </c:pt>
                <c:pt idx="1214">
                  <c:v>240.19778941244908</c:v>
                </c:pt>
                <c:pt idx="1215">
                  <c:v>240.31413612565444</c:v>
                </c:pt>
                <c:pt idx="1216">
                  <c:v>236.88190808609653</c:v>
                </c:pt>
                <c:pt idx="1217">
                  <c:v>239.55788248981963</c:v>
                </c:pt>
                <c:pt idx="1218">
                  <c:v>240.02326934264104</c:v>
                </c:pt>
                <c:pt idx="1219">
                  <c:v>240.08144269924375</c:v>
                </c:pt>
                <c:pt idx="1220">
                  <c:v>241.59394997091331</c:v>
                </c:pt>
                <c:pt idx="1221">
                  <c:v>244.96800465386852</c:v>
                </c:pt>
                <c:pt idx="1222">
                  <c:v>243.74636416521233</c:v>
                </c:pt>
                <c:pt idx="1223">
                  <c:v>246.01512507271667</c:v>
                </c:pt>
                <c:pt idx="1224">
                  <c:v>243.80453752181498</c:v>
                </c:pt>
                <c:pt idx="1225">
                  <c:v>242.23385689354276</c:v>
                </c:pt>
                <c:pt idx="1226">
                  <c:v>242.40837696335075</c:v>
                </c:pt>
                <c:pt idx="1227">
                  <c:v>242.87376381617216</c:v>
                </c:pt>
                <c:pt idx="1228">
                  <c:v>242.64107038976147</c:v>
                </c:pt>
                <c:pt idx="1229">
                  <c:v>240.95404304828389</c:v>
                </c:pt>
                <c:pt idx="1230">
                  <c:v>239.55788248981963</c:v>
                </c:pt>
                <c:pt idx="1231">
                  <c:v>234.32228039557882</c:v>
                </c:pt>
                <c:pt idx="1232">
                  <c:v>233.39150668993597</c:v>
                </c:pt>
                <c:pt idx="1233">
                  <c:v>233.27515997673066</c:v>
                </c:pt>
                <c:pt idx="1234">
                  <c:v>235.07853403141357</c:v>
                </c:pt>
                <c:pt idx="1235">
                  <c:v>238.21989528795814</c:v>
                </c:pt>
                <c:pt idx="1236">
                  <c:v>243.68819080860965</c:v>
                </c:pt>
                <c:pt idx="1237">
                  <c:v>241.59394997091331</c:v>
                </c:pt>
                <c:pt idx="1238">
                  <c:v>244.67713787085512</c:v>
                </c:pt>
                <c:pt idx="1239">
                  <c:v>243.10645724258285</c:v>
                </c:pt>
                <c:pt idx="1240">
                  <c:v>241.76847004072135</c:v>
                </c:pt>
                <c:pt idx="1241">
                  <c:v>240.02326934264104</c:v>
                </c:pt>
                <c:pt idx="1242">
                  <c:v>238.74345549738217</c:v>
                </c:pt>
                <c:pt idx="1243">
                  <c:v>236.76556137289123</c:v>
                </c:pt>
                <c:pt idx="1244">
                  <c:v>233.21698662012801</c:v>
                </c:pt>
                <c:pt idx="1245">
                  <c:v>226.1780104712042</c:v>
                </c:pt>
                <c:pt idx="1246">
                  <c:v>231.52995927865035</c:v>
                </c:pt>
                <c:pt idx="1247">
                  <c:v>227.80686445607907</c:v>
                </c:pt>
                <c:pt idx="1248">
                  <c:v>223.2111692844677</c:v>
                </c:pt>
                <c:pt idx="1249">
                  <c:v>223.44386271087839</c:v>
                </c:pt>
                <c:pt idx="1250">
                  <c:v>218.38278068644556</c:v>
                </c:pt>
                <c:pt idx="1251">
                  <c:v>216.69575334496801</c:v>
                </c:pt>
                <c:pt idx="1252">
                  <c:v>216.75392670157066</c:v>
                </c:pt>
                <c:pt idx="1253">
                  <c:v>217.3356602675974</c:v>
                </c:pt>
                <c:pt idx="1254">
                  <c:v>216.9284467713787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9F-4DF1-B627-6FAF5784323E}"/>
            </c:ext>
          </c:extLst>
        </c:ser>
        <c:ser>
          <c:idx val="1"/>
          <c:order val="1"/>
          <c:tx>
            <c:strRef>
              <c:f>'Stock Chart'!$C$1</c:f>
              <c:strCache>
                <c:ptCount val="1"/>
                <c:pt idx="0">
                  <c:v>NasdaqGS:LAUR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'Stock Chart'!$A$2:$A$1256</c:f>
              <c:numCache>
                <c:formatCode>[$-409]mmm\-dd\-yyyy;@</c:formatCode>
                <c:ptCount val="1255"/>
                <c:pt idx="0">
                  <c:v>43286</c:v>
                </c:pt>
                <c:pt idx="1">
                  <c:v>43287</c:v>
                </c:pt>
                <c:pt idx="2">
                  <c:v>43290</c:v>
                </c:pt>
                <c:pt idx="3">
                  <c:v>43291</c:v>
                </c:pt>
                <c:pt idx="4">
                  <c:v>43292</c:v>
                </c:pt>
                <c:pt idx="5">
                  <c:v>43293</c:v>
                </c:pt>
                <c:pt idx="6">
                  <c:v>43294</c:v>
                </c:pt>
                <c:pt idx="7">
                  <c:v>43297</c:v>
                </c:pt>
                <c:pt idx="8">
                  <c:v>43298</c:v>
                </c:pt>
                <c:pt idx="9">
                  <c:v>43299</c:v>
                </c:pt>
                <c:pt idx="10">
                  <c:v>43300</c:v>
                </c:pt>
                <c:pt idx="11">
                  <c:v>43301</c:v>
                </c:pt>
                <c:pt idx="12">
                  <c:v>43304</c:v>
                </c:pt>
                <c:pt idx="13">
                  <c:v>43305</c:v>
                </c:pt>
                <c:pt idx="14">
                  <c:v>43306</c:v>
                </c:pt>
                <c:pt idx="15">
                  <c:v>43307</c:v>
                </c:pt>
                <c:pt idx="16">
                  <c:v>43308</c:v>
                </c:pt>
                <c:pt idx="17">
                  <c:v>43311</c:v>
                </c:pt>
                <c:pt idx="18">
                  <c:v>43312</c:v>
                </c:pt>
                <c:pt idx="19">
                  <c:v>43313</c:v>
                </c:pt>
                <c:pt idx="20">
                  <c:v>43314</c:v>
                </c:pt>
                <c:pt idx="21">
                  <c:v>43315</c:v>
                </c:pt>
                <c:pt idx="22">
                  <c:v>43318</c:v>
                </c:pt>
                <c:pt idx="23">
                  <c:v>43319</c:v>
                </c:pt>
                <c:pt idx="24">
                  <c:v>43320</c:v>
                </c:pt>
                <c:pt idx="25">
                  <c:v>43321</c:v>
                </c:pt>
                <c:pt idx="26">
                  <c:v>43322</c:v>
                </c:pt>
                <c:pt idx="27">
                  <c:v>43325</c:v>
                </c:pt>
                <c:pt idx="28">
                  <c:v>43326</c:v>
                </c:pt>
                <c:pt idx="29">
                  <c:v>43327</c:v>
                </c:pt>
                <c:pt idx="30">
                  <c:v>43328</c:v>
                </c:pt>
                <c:pt idx="31">
                  <c:v>43329</c:v>
                </c:pt>
                <c:pt idx="32">
                  <c:v>43332</c:v>
                </c:pt>
                <c:pt idx="33">
                  <c:v>43333</c:v>
                </c:pt>
                <c:pt idx="34">
                  <c:v>43334</c:v>
                </c:pt>
                <c:pt idx="35">
                  <c:v>43335</c:v>
                </c:pt>
                <c:pt idx="36">
                  <c:v>43336</c:v>
                </c:pt>
                <c:pt idx="37">
                  <c:v>43339</c:v>
                </c:pt>
                <c:pt idx="38">
                  <c:v>43340</c:v>
                </c:pt>
                <c:pt idx="39">
                  <c:v>43341</c:v>
                </c:pt>
                <c:pt idx="40">
                  <c:v>43342</c:v>
                </c:pt>
                <c:pt idx="41">
                  <c:v>43343</c:v>
                </c:pt>
                <c:pt idx="42">
                  <c:v>43347</c:v>
                </c:pt>
                <c:pt idx="43">
                  <c:v>43348</c:v>
                </c:pt>
                <c:pt idx="44">
                  <c:v>43349</c:v>
                </c:pt>
                <c:pt idx="45">
                  <c:v>43350</c:v>
                </c:pt>
                <c:pt idx="46">
                  <c:v>43353</c:v>
                </c:pt>
                <c:pt idx="47">
                  <c:v>43354</c:v>
                </c:pt>
                <c:pt idx="48">
                  <c:v>43355</c:v>
                </c:pt>
                <c:pt idx="49">
                  <c:v>43356</c:v>
                </c:pt>
                <c:pt idx="50">
                  <c:v>43357</c:v>
                </c:pt>
                <c:pt idx="51">
                  <c:v>43360</c:v>
                </c:pt>
                <c:pt idx="52">
                  <c:v>43361</c:v>
                </c:pt>
                <c:pt idx="53">
                  <c:v>43362</c:v>
                </c:pt>
                <c:pt idx="54">
                  <c:v>43363</c:v>
                </c:pt>
                <c:pt idx="55">
                  <c:v>43364</c:v>
                </c:pt>
                <c:pt idx="56">
                  <c:v>43367</c:v>
                </c:pt>
                <c:pt idx="57">
                  <c:v>43368</c:v>
                </c:pt>
                <c:pt idx="58">
                  <c:v>43369</c:v>
                </c:pt>
                <c:pt idx="59">
                  <c:v>43370</c:v>
                </c:pt>
                <c:pt idx="60">
                  <c:v>43371</c:v>
                </c:pt>
                <c:pt idx="61">
                  <c:v>43374</c:v>
                </c:pt>
                <c:pt idx="62">
                  <c:v>43375</c:v>
                </c:pt>
                <c:pt idx="63">
                  <c:v>43376</c:v>
                </c:pt>
                <c:pt idx="64">
                  <c:v>43377</c:v>
                </c:pt>
                <c:pt idx="65">
                  <c:v>43378</c:v>
                </c:pt>
                <c:pt idx="66">
                  <c:v>43381</c:v>
                </c:pt>
                <c:pt idx="67">
                  <c:v>43382</c:v>
                </c:pt>
                <c:pt idx="68">
                  <c:v>43383</c:v>
                </c:pt>
                <c:pt idx="69">
                  <c:v>43384</c:v>
                </c:pt>
                <c:pt idx="70">
                  <c:v>43385</c:v>
                </c:pt>
                <c:pt idx="71">
                  <c:v>43388</c:v>
                </c:pt>
                <c:pt idx="72">
                  <c:v>43389</c:v>
                </c:pt>
                <c:pt idx="73">
                  <c:v>43390</c:v>
                </c:pt>
                <c:pt idx="74">
                  <c:v>43391</c:v>
                </c:pt>
                <c:pt idx="75">
                  <c:v>43392</c:v>
                </c:pt>
                <c:pt idx="76">
                  <c:v>43395</c:v>
                </c:pt>
                <c:pt idx="77">
                  <c:v>43396</c:v>
                </c:pt>
                <c:pt idx="78">
                  <c:v>43397</c:v>
                </c:pt>
                <c:pt idx="79">
                  <c:v>43398</c:v>
                </c:pt>
                <c:pt idx="80">
                  <c:v>43399</c:v>
                </c:pt>
                <c:pt idx="81">
                  <c:v>43402</c:v>
                </c:pt>
                <c:pt idx="82">
                  <c:v>43403</c:v>
                </c:pt>
                <c:pt idx="83">
                  <c:v>43404</c:v>
                </c:pt>
                <c:pt idx="84">
                  <c:v>43405</c:v>
                </c:pt>
                <c:pt idx="85">
                  <c:v>43406</c:v>
                </c:pt>
                <c:pt idx="86">
                  <c:v>43409</c:v>
                </c:pt>
                <c:pt idx="87">
                  <c:v>43410</c:v>
                </c:pt>
                <c:pt idx="88">
                  <c:v>43411</c:v>
                </c:pt>
                <c:pt idx="89">
                  <c:v>43412</c:v>
                </c:pt>
                <c:pt idx="90">
                  <c:v>43413</c:v>
                </c:pt>
                <c:pt idx="91">
                  <c:v>43416</c:v>
                </c:pt>
                <c:pt idx="92">
                  <c:v>43417</c:v>
                </c:pt>
                <c:pt idx="93">
                  <c:v>43418</c:v>
                </c:pt>
                <c:pt idx="94">
                  <c:v>43419</c:v>
                </c:pt>
                <c:pt idx="95">
                  <c:v>43420</c:v>
                </c:pt>
                <c:pt idx="96">
                  <c:v>43423</c:v>
                </c:pt>
                <c:pt idx="97">
                  <c:v>43424</c:v>
                </c:pt>
                <c:pt idx="98">
                  <c:v>43425</c:v>
                </c:pt>
                <c:pt idx="99">
                  <c:v>43427</c:v>
                </c:pt>
                <c:pt idx="100">
                  <c:v>43430</c:v>
                </c:pt>
                <c:pt idx="101">
                  <c:v>43431</c:v>
                </c:pt>
                <c:pt idx="102">
                  <c:v>43432</c:v>
                </c:pt>
                <c:pt idx="103">
                  <c:v>43433</c:v>
                </c:pt>
                <c:pt idx="104">
                  <c:v>43434</c:v>
                </c:pt>
                <c:pt idx="105">
                  <c:v>43437</c:v>
                </c:pt>
                <c:pt idx="106">
                  <c:v>43438</c:v>
                </c:pt>
                <c:pt idx="107">
                  <c:v>43440</c:v>
                </c:pt>
                <c:pt idx="108">
                  <c:v>43441</c:v>
                </c:pt>
                <c:pt idx="109">
                  <c:v>43444</c:v>
                </c:pt>
                <c:pt idx="110">
                  <c:v>43445</c:v>
                </c:pt>
                <c:pt idx="111">
                  <c:v>43446</c:v>
                </c:pt>
                <c:pt idx="112">
                  <c:v>43447</c:v>
                </c:pt>
                <c:pt idx="113">
                  <c:v>43448</c:v>
                </c:pt>
                <c:pt idx="114">
                  <c:v>43451</c:v>
                </c:pt>
                <c:pt idx="115">
                  <c:v>43452</c:v>
                </c:pt>
                <c:pt idx="116">
                  <c:v>43453</c:v>
                </c:pt>
                <c:pt idx="117">
                  <c:v>43454</c:v>
                </c:pt>
                <c:pt idx="118">
                  <c:v>43455</c:v>
                </c:pt>
                <c:pt idx="119">
                  <c:v>43458</c:v>
                </c:pt>
                <c:pt idx="120">
                  <c:v>43460</c:v>
                </c:pt>
                <c:pt idx="121">
                  <c:v>43461</c:v>
                </c:pt>
                <c:pt idx="122">
                  <c:v>43462</c:v>
                </c:pt>
                <c:pt idx="123">
                  <c:v>43465</c:v>
                </c:pt>
                <c:pt idx="124">
                  <c:v>43467</c:v>
                </c:pt>
                <c:pt idx="125">
                  <c:v>43468</c:v>
                </c:pt>
                <c:pt idx="126">
                  <c:v>43469</c:v>
                </c:pt>
                <c:pt idx="127">
                  <c:v>43472</c:v>
                </c:pt>
                <c:pt idx="128">
                  <c:v>43473</c:v>
                </c:pt>
                <c:pt idx="129">
                  <c:v>43474</c:v>
                </c:pt>
                <c:pt idx="130">
                  <c:v>43475</c:v>
                </c:pt>
                <c:pt idx="131">
                  <c:v>43476</c:v>
                </c:pt>
                <c:pt idx="132">
                  <c:v>43479</c:v>
                </c:pt>
                <c:pt idx="133">
                  <c:v>43480</c:v>
                </c:pt>
                <c:pt idx="134">
                  <c:v>43481</c:v>
                </c:pt>
                <c:pt idx="135">
                  <c:v>43482</c:v>
                </c:pt>
                <c:pt idx="136">
                  <c:v>43483</c:v>
                </c:pt>
                <c:pt idx="137">
                  <c:v>43487</c:v>
                </c:pt>
                <c:pt idx="138">
                  <c:v>43488</c:v>
                </c:pt>
                <c:pt idx="139">
                  <c:v>43489</c:v>
                </c:pt>
                <c:pt idx="140">
                  <c:v>43490</c:v>
                </c:pt>
                <c:pt idx="141">
                  <c:v>43493</c:v>
                </c:pt>
                <c:pt idx="142">
                  <c:v>43494</c:v>
                </c:pt>
                <c:pt idx="143">
                  <c:v>43495</c:v>
                </c:pt>
                <c:pt idx="144">
                  <c:v>43496</c:v>
                </c:pt>
                <c:pt idx="145">
                  <c:v>43497</c:v>
                </c:pt>
                <c:pt idx="146">
                  <c:v>43500</c:v>
                </c:pt>
                <c:pt idx="147">
                  <c:v>43501</c:v>
                </c:pt>
                <c:pt idx="148">
                  <c:v>43502</c:v>
                </c:pt>
                <c:pt idx="149">
                  <c:v>43503</c:v>
                </c:pt>
                <c:pt idx="150">
                  <c:v>43504</c:v>
                </c:pt>
                <c:pt idx="151">
                  <c:v>43507</c:v>
                </c:pt>
                <c:pt idx="152">
                  <c:v>43508</c:v>
                </c:pt>
                <c:pt idx="153">
                  <c:v>43509</c:v>
                </c:pt>
                <c:pt idx="154">
                  <c:v>43510</c:v>
                </c:pt>
                <c:pt idx="155">
                  <c:v>43511</c:v>
                </c:pt>
                <c:pt idx="156">
                  <c:v>43515</c:v>
                </c:pt>
                <c:pt idx="157">
                  <c:v>43516</c:v>
                </c:pt>
                <c:pt idx="158">
                  <c:v>43517</c:v>
                </c:pt>
                <c:pt idx="159">
                  <c:v>43518</c:v>
                </c:pt>
                <c:pt idx="160">
                  <c:v>43521</c:v>
                </c:pt>
                <c:pt idx="161">
                  <c:v>43522</c:v>
                </c:pt>
                <c:pt idx="162">
                  <c:v>43523</c:v>
                </c:pt>
                <c:pt idx="163">
                  <c:v>43524</c:v>
                </c:pt>
                <c:pt idx="164">
                  <c:v>43525</c:v>
                </c:pt>
                <c:pt idx="165">
                  <c:v>43528</c:v>
                </c:pt>
                <c:pt idx="166">
                  <c:v>43529</c:v>
                </c:pt>
                <c:pt idx="167">
                  <c:v>43530</c:v>
                </c:pt>
                <c:pt idx="168">
                  <c:v>43531</c:v>
                </c:pt>
                <c:pt idx="169">
                  <c:v>43532</c:v>
                </c:pt>
                <c:pt idx="170">
                  <c:v>43535</c:v>
                </c:pt>
                <c:pt idx="171">
                  <c:v>43536</c:v>
                </c:pt>
                <c:pt idx="172">
                  <c:v>43537</c:v>
                </c:pt>
                <c:pt idx="173">
                  <c:v>43538</c:v>
                </c:pt>
                <c:pt idx="174">
                  <c:v>43539</c:v>
                </c:pt>
                <c:pt idx="175">
                  <c:v>43542</c:v>
                </c:pt>
                <c:pt idx="176">
                  <c:v>43543</c:v>
                </c:pt>
                <c:pt idx="177">
                  <c:v>43544</c:v>
                </c:pt>
                <c:pt idx="178">
                  <c:v>43545</c:v>
                </c:pt>
                <c:pt idx="179">
                  <c:v>43546</c:v>
                </c:pt>
                <c:pt idx="180">
                  <c:v>43549</c:v>
                </c:pt>
                <c:pt idx="181">
                  <c:v>43550</c:v>
                </c:pt>
                <c:pt idx="182">
                  <c:v>43551</c:v>
                </c:pt>
                <c:pt idx="183">
                  <c:v>43552</c:v>
                </c:pt>
                <c:pt idx="184">
                  <c:v>43553</c:v>
                </c:pt>
                <c:pt idx="185">
                  <c:v>43556</c:v>
                </c:pt>
                <c:pt idx="186">
                  <c:v>43557</c:v>
                </c:pt>
                <c:pt idx="187">
                  <c:v>43558</c:v>
                </c:pt>
                <c:pt idx="188">
                  <c:v>43559</c:v>
                </c:pt>
                <c:pt idx="189">
                  <c:v>43560</c:v>
                </c:pt>
                <c:pt idx="190">
                  <c:v>43563</c:v>
                </c:pt>
                <c:pt idx="191">
                  <c:v>43564</c:v>
                </c:pt>
                <c:pt idx="192">
                  <c:v>43565</c:v>
                </c:pt>
                <c:pt idx="193">
                  <c:v>43566</c:v>
                </c:pt>
                <c:pt idx="194">
                  <c:v>43567</c:v>
                </c:pt>
                <c:pt idx="195">
                  <c:v>43570</c:v>
                </c:pt>
                <c:pt idx="196">
                  <c:v>43571</c:v>
                </c:pt>
                <c:pt idx="197">
                  <c:v>43572</c:v>
                </c:pt>
                <c:pt idx="198">
                  <c:v>43573</c:v>
                </c:pt>
                <c:pt idx="199">
                  <c:v>43577</c:v>
                </c:pt>
                <c:pt idx="200">
                  <c:v>43578</c:v>
                </c:pt>
                <c:pt idx="201">
                  <c:v>43579</c:v>
                </c:pt>
                <c:pt idx="202">
                  <c:v>43580</c:v>
                </c:pt>
                <c:pt idx="203">
                  <c:v>43581</c:v>
                </c:pt>
                <c:pt idx="204">
                  <c:v>43584</c:v>
                </c:pt>
                <c:pt idx="205">
                  <c:v>43585</c:v>
                </c:pt>
                <c:pt idx="206">
                  <c:v>43586</c:v>
                </c:pt>
                <c:pt idx="207">
                  <c:v>43587</c:v>
                </c:pt>
                <c:pt idx="208">
                  <c:v>43588</c:v>
                </c:pt>
                <c:pt idx="209">
                  <c:v>43591</c:v>
                </c:pt>
                <c:pt idx="210">
                  <c:v>43592</c:v>
                </c:pt>
                <c:pt idx="211">
                  <c:v>43593</c:v>
                </c:pt>
                <c:pt idx="212">
                  <c:v>43594</c:v>
                </c:pt>
                <c:pt idx="213">
                  <c:v>43595</c:v>
                </c:pt>
                <c:pt idx="214">
                  <c:v>43598</c:v>
                </c:pt>
                <c:pt idx="215">
                  <c:v>43599</c:v>
                </c:pt>
                <c:pt idx="216">
                  <c:v>43600</c:v>
                </c:pt>
                <c:pt idx="217">
                  <c:v>43601</c:v>
                </c:pt>
                <c:pt idx="218">
                  <c:v>43602</c:v>
                </c:pt>
                <c:pt idx="219">
                  <c:v>43605</c:v>
                </c:pt>
                <c:pt idx="220">
                  <c:v>43606</c:v>
                </c:pt>
                <c:pt idx="221">
                  <c:v>43607</c:v>
                </c:pt>
                <c:pt idx="222">
                  <c:v>43608</c:v>
                </c:pt>
                <c:pt idx="223">
                  <c:v>43609</c:v>
                </c:pt>
                <c:pt idx="224">
                  <c:v>43613</c:v>
                </c:pt>
                <c:pt idx="225">
                  <c:v>43614</c:v>
                </c:pt>
                <c:pt idx="226">
                  <c:v>43615</c:v>
                </c:pt>
                <c:pt idx="227">
                  <c:v>43616</c:v>
                </c:pt>
                <c:pt idx="228">
                  <c:v>43619</c:v>
                </c:pt>
                <c:pt idx="229">
                  <c:v>43620</c:v>
                </c:pt>
                <c:pt idx="230">
                  <c:v>43621</c:v>
                </c:pt>
                <c:pt idx="231">
                  <c:v>43622</c:v>
                </c:pt>
                <c:pt idx="232">
                  <c:v>43623</c:v>
                </c:pt>
                <c:pt idx="233">
                  <c:v>43626</c:v>
                </c:pt>
                <c:pt idx="234">
                  <c:v>43627</c:v>
                </c:pt>
                <c:pt idx="235">
                  <c:v>43628</c:v>
                </c:pt>
                <c:pt idx="236">
                  <c:v>43629</c:v>
                </c:pt>
                <c:pt idx="237">
                  <c:v>43630</c:v>
                </c:pt>
                <c:pt idx="238">
                  <c:v>43633</c:v>
                </c:pt>
                <c:pt idx="239">
                  <c:v>43634</c:v>
                </c:pt>
                <c:pt idx="240">
                  <c:v>43635</c:v>
                </c:pt>
                <c:pt idx="241">
                  <c:v>43636</c:v>
                </c:pt>
                <c:pt idx="242">
                  <c:v>43637</c:v>
                </c:pt>
                <c:pt idx="243">
                  <c:v>43640</c:v>
                </c:pt>
                <c:pt idx="244">
                  <c:v>43641</c:v>
                </c:pt>
                <c:pt idx="245">
                  <c:v>43642</c:v>
                </c:pt>
                <c:pt idx="246">
                  <c:v>43643</c:v>
                </c:pt>
                <c:pt idx="247">
                  <c:v>43644</c:v>
                </c:pt>
                <c:pt idx="248">
                  <c:v>43647</c:v>
                </c:pt>
                <c:pt idx="249">
                  <c:v>43648</c:v>
                </c:pt>
                <c:pt idx="250">
                  <c:v>43649</c:v>
                </c:pt>
                <c:pt idx="251">
                  <c:v>43651</c:v>
                </c:pt>
                <c:pt idx="252">
                  <c:v>43654</c:v>
                </c:pt>
                <c:pt idx="253">
                  <c:v>43655</c:v>
                </c:pt>
                <c:pt idx="254">
                  <c:v>43656</c:v>
                </c:pt>
                <c:pt idx="255">
                  <c:v>43657</c:v>
                </c:pt>
                <c:pt idx="256">
                  <c:v>43658</c:v>
                </c:pt>
                <c:pt idx="257">
                  <c:v>43661</c:v>
                </c:pt>
                <c:pt idx="258">
                  <c:v>43662</c:v>
                </c:pt>
                <c:pt idx="259">
                  <c:v>43663</c:v>
                </c:pt>
                <c:pt idx="260">
                  <c:v>43664</c:v>
                </c:pt>
                <c:pt idx="261">
                  <c:v>43665</c:v>
                </c:pt>
                <c:pt idx="262">
                  <c:v>43668</c:v>
                </c:pt>
                <c:pt idx="263">
                  <c:v>43669</c:v>
                </c:pt>
                <c:pt idx="264">
                  <c:v>43670</c:v>
                </c:pt>
                <c:pt idx="265">
                  <c:v>43671</c:v>
                </c:pt>
                <c:pt idx="266">
                  <c:v>43672</c:v>
                </c:pt>
                <c:pt idx="267">
                  <c:v>43675</c:v>
                </c:pt>
                <c:pt idx="268">
                  <c:v>43676</c:v>
                </c:pt>
                <c:pt idx="269">
                  <c:v>43677</c:v>
                </c:pt>
                <c:pt idx="270">
                  <c:v>43678</c:v>
                </c:pt>
                <c:pt idx="271">
                  <c:v>43679</c:v>
                </c:pt>
                <c:pt idx="272">
                  <c:v>43682</c:v>
                </c:pt>
                <c:pt idx="273">
                  <c:v>43683</c:v>
                </c:pt>
                <c:pt idx="274">
                  <c:v>43684</c:v>
                </c:pt>
                <c:pt idx="275">
                  <c:v>43685</c:v>
                </c:pt>
                <c:pt idx="276">
                  <c:v>43686</c:v>
                </c:pt>
                <c:pt idx="277">
                  <c:v>43689</c:v>
                </c:pt>
                <c:pt idx="278">
                  <c:v>43690</c:v>
                </c:pt>
                <c:pt idx="279">
                  <c:v>43691</c:v>
                </c:pt>
                <c:pt idx="280">
                  <c:v>43692</c:v>
                </c:pt>
                <c:pt idx="281">
                  <c:v>43693</c:v>
                </c:pt>
                <c:pt idx="282">
                  <c:v>43696</c:v>
                </c:pt>
                <c:pt idx="283">
                  <c:v>43697</c:v>
                </c:pt>
                <c:pt idx="284">
                  <c:v>43698</c:v>
                </c:pt>
                <c:pt idx="285">
                  <c:v>43699</c:v>
                </c:pt>
                <c:pt idx="286">
                  <c:v>43700</c:v>
                </c:pt>
                <c:pt idx="287">
                  <c:v>43703</c:v>
                </c:pt>
                <c:pt idx="288">
                  <c:v>43704</c:v>
                </c:pt>
                <c:pt idx="289">
                  <c:v>43705</c:v>
                </c:pt>
                <c:pt idx="290">
                  <c:v>43706</c:v>
                </c:pt>
                <c:pt idx="291">
                  <c:v>43707</c:v>
                </c:pt>
                <c:pt idx="292">
                  <c:v>43711</c:v>
                </c:pt>
                <c:pt idx="293">
                  <c:v>43712</c:v>
                </c:pt>
                <c:pt idx="294">
                  <c:v>43713</c:v>
                </c:pt>
                <c:pt idx="295">
                  <c:v>43714</c:v>
                </c:pt>
                <c:pt idx="296">
                  <c:v>43717</c:v>
                </c:pt>
                <c:pt idx="297">
                  <c:v>43718</c:v>
                </c:pt>
                <c:pt idx="298">
                  <c:v>43719</c:v>
                </c:pt>
                <c:pt idx="299">
                  <c:v>43720</c:v>
                </c:pt>
                <c:pt idx="300">
                  <c:v>43721</c:v>
                </c:pt>
                <c:pt idx="301">
                  <c:v>43724</c:v>
                </c:pt>
                <c:pt idx="302">
                  <c:v>43725</c:v>
                </c:pt>
                <c:pt idx="303">
                  <c:v>43726</c:v>
                </c:pt>
                <c:pt idx="304">
                  <c:v>43727</c:v>
                </c:pt>
                <c:pt idx="305">
                  <c:v>43728</c:v>
                </c:pt>
                <c:pt idx="306">
                  <c:v>43731</c:v>
                </c:pt>
                <c:pt idx="307">
                  <c:v>43732</c:v>
                </c:pt>
                <c:pt idx="308">
                  <c:v>43733</c:v>
                </c:pt>
                <c:pt idx="309">
                  <c:v>43734</c:v>
                </c:pt>
                <c:pt idx="310">
                  <c:v>43735</c:v>
                </c:pt>
                <c:pt idx="311">
                  <c:v>43738</c:v>
                </c:pt>
                <c:pt idx="312">
                  <c:v>43739</c:v>
                </c:pt>
                <c:pt idx="313">
                  <c:v>43740</c:v>
                </c:pt>
                <c:pt idx="314">
                  <c:v>43741</c:v>
                </c:pt>
                <c:pt idx="315">
                  <c:v>43742</c:v>
                </c:pt>
                <c:pt idx="316">
                  <c:v>43745</c:v>
                </c:pt>
                <c:pt idx="317">
                  <c:v>43746</c:v>
                </c:pt>
                <c:pt idx="318">
                  <c:v>43747</c:v>
                </c:pt>
                <c:pt idx="319">
                  <c:v>43748</c:v>
                </c:pt>
                <c:pt idx="320">
                  <c:v>43749</c:v>
                </c:pt>
                <c:pt idx="321">
                  <c:v>43752</c:v>
                </c:pt>
                <c:pt idx="322">
                  <c:v>43753</c:v>
                </c:pt>
                <c:pt idx="323">
                  <c:v>43754</c:v>
                </c:pt>
                <c:pt idx="324">
                  <c:v>43755</c:v>
                </c:pt>
                <c:pt idx="325">
                  <c:v>43756</c:v>
                </c:pt>
                <c:pt idx="326">
                  <c:v>43759</c:v>
                </c:pt>
                <c:pt idx="327">
                  <c:v>43760</c:v>
                </c:pt>
                <c:pt idx="328">
                  <c:v>43761</c:v>
                </c:pt>
                <c:pt idx="329">
                  <c:v>43762</c:v>
                </c:pt>
                <c:pt idx="330">
                  <c:v>43763</c:v>
                </c:pt>
                <c:pt idx="331">
                  <c:v>43766</c:v>
                </c:pt>
                <c:pt idx="332">
                  <c:v>43767</c:v>
                </c:pt>
                <c:pt idx="333">
                  <c:v>43768</c:v>
                </c:pt>
                <c:pt idx="334">
                  <c:v>43769</c:v>
                </c:pt>
                <c:pt idx="335">
                  <c:v>43770</c:v>
                </c:pt>
                <c:pt idx="336">
                  <c:v>43773</c:v>
                </c:pt>
                <c:pt idx="337">
                  <c:v>43774</c:v>
                </c:pt>
                <c:pt idx="338">
                  <c:v>43775</c:v>
                </c:pt>
                <c:pt idx="339">
                  <c:v>43776</c:v>
                </c:pt>
                <c:pt idx="340">
                  <c:v>43777</c:v>
                </c:pt>
                <c:pt idx="341">
                  <c:v>43780</c:v>
                </c:pt>
                <c:pt idx="342">
                  <c:v>43781</c:v>
                </c:pt>
                <c:pt idx="343">
                  <c:v>43782</c:v>
                </c:pt>
                <c:pt idx="344">
                  <c:v>43783</c:v>
                </c:pt>
                <c:pt idx="345">
                  <c:v>43784</c:v>
                </c:pt>
                <c:pt idx="346">
                  <c:v>43787</c:v>
                </c:pt>
                <c:pt idx="347">
                  <c:v>43788</c:v>
                </c:pt>
                <c:pt idx="348">
                  <c:v>43789</c:v>
                </c:pt>
                <c:pt idx="349">
                  <c:v>43790</c:v>
                </c:pt>
                <c:pt idx="350">
                  <c:v>43791</c:v>
                </c:pt>
                <c:pt idx="351">
                  <c:v>43794</c:v>
                </c:pt>
                <c:pt idx="352">
                  <c:v>43795</c:v>
                </c:pt>
                <c:pt idx="353">
                  <c:v>43796</c:v>
                </c:pt>
                <c:pt idx="354">
                  <c:v>43798</c:v>
                </c:pt>
                <c:pt idx="355">
                  <c:v>43801</c:v>
                </c:pt>
                <c:pt idx="356">
                  <c:v>43802</c:v>
                </c:pt>
                <c:pt idx="357">
                  <c:v>43803</c:v>
                </c:pt>
                <c:pt idx="358">
                  <c:v>43804</c:v>
                </c:pt>
                <c:pt idx="359">
                  <c:v>43805</c:v>
                </c:pt>
                <c:pt idx="360">
                  <c:v>43808</c:v>
                </c:pt>
                <c:pt idx="361">
                  <c:v>43809</c:v>
                </c:pt>
                <c:pt idx="362">
                  <c:v>43810</c:v>
                </c:pt>
                <c:pt idx="363">
                  <c:v>43811</c:v>
                </c:pt>
                <c:pt idx="364">
                  <c:v>43812</c:v>
                </c:pt>
                <c:pt idx="365">
                  <c:v>43815</c:v>
                </c:pt>
                <c:pt idx="366">
                  <c:v>43816</c:v>
                </c:pt>
                <c:pt idx="367">
                  <c:v>43817</c:v>
                </c:pt>
                <c:pt idx="368">
                  <c:v>43818</c:v>
                </c:pt>
                <c:pt idx="369">
                  <c:v>43819</c:v>
                </c:pt>
                <c:pt idx="370">
                  <c:v>43822</c:v>
                </c:pt>
                <c:pt idx="371">
                  <c:v>43823</c:v>
                </c:pt>
                <c:pt idx="372">
                  <c:v>43825</c:v>
                </c:pt>
                <c:pt idx="373">
                  <c:v>43826</c:v>
                </c:pt>
                <c:pt idx="374">
                  <c:v>43829</c:v>
                </c:pt>
                <c:pt idx="375">
                  <c:v>43830</c:v>
                </c:pt>
                <c:pt idx="376">
                  <c:v>43832</c:v>
                </c:pt>
                <c:pt idx="377">
                  <c:v>43833</c:v>
                </c:pt>
                <c:pt idx="378">
                  <c:v>43836</c:v>
                </c:pt>
                <c:pt idx="379">
                  <c:v>43837</c:v>
                </c:pt>
                <c:pt idx="380">
                  <c:v>43838</c:v>
                </c:pt>
                <c:pt idx="381">
                  <c:v>43839</c:v>
                </c:pt>
                <c:pt idx="382">
                  <c:v>43840</c:v>
                </c:pt>
                <c:pt idx="383">
                  <c:v>43843</c:v>
                </c:pt>
                <c:pt idx="384">
                  <c:v>43844</c:v>
                </c:pt>
                <c:pt idx="385">
                  <c:v>43845</c:v>
                </c:pt>
                <c:pt idx="386">
                  <c:v>43846</c:v>
                </c:pt>
                <c:pt idx="387">
                  <c:v>43847</c:v>
                </c:pt>
                <c:pt idx="388">
                  <c:v>43851</c:v>
                </c:pt>
                <c:pt idx="389">
                  <c:v>43852</c:v>
                </c:pt>
                <c:pt idx="390">
                  <c:v>43853</c:v>
                </c:pt>
                <c:pt idx="391">
                  <c:v>43854</c:v>
                </c:pt>
                <c:pt idx="392">
                  <c:v>43857</c:v>
                </c:pt>
                <c:pt idx="393">
                  <c:v>43858</c:v>
                </c:pt>
                <c:pt idx="394">
                  <c:v>43859</c:v>
                </c:pt>
                <c:pt idx="395">
                  <c:v>43860</c:v>
                </c:pt>
                <c:pt idx="396">
                  <c:v>43861</c:v>
                </c:pt>
                <c:pt idx="397">
                  <c:v>43864</c:v>
                </c:pt>
                <c:pt idx="398">
                  <c:v>43865</c:v>
                </c:pt>
                <c:pt idx="399">
                  <c:v>43866</c:v>
                </c:pt>
                <c:pt idx="400">
                  <c:v>43867</c:v>
                </c:pt>
                <c:pt idx="401">
                  <c:v>43868</c:v>
                </c:pt>
                <c:pt idx="402">
                  <c:v>43871</c:v>
                </c:pt>
                <c:pt idx="403">
                  <c:v>43872</c:v>
                </c:pt>
                <c:pt idx="404">
                  <c:v>43873</c:v>
                </c:pt>
                <c:pt idx="405">
                  <c:v>43874</c:v>
                </c:pt>
                <c:pt idx="406">
                  <c:v>43875</c:v>
                </c:pt>
                <c:pt idx="407">
                  <c:v>43879</c:v>
                </c:pt>
                <c:pt idx="408">
                  <c:v>43880</c:v>
                </c:pt>
                <c:pt idx="409">
                  <c:v>43881</c:v>
                </c:pt>
                <c:pt idx="410">
                  <c:v>43882</c:v>
                </c:pt>
                <c:pt idx="411">
                  <c:v>43885</c:v>
                </c:pt>
                <c:pt idx="412">
                  <c:v>43886</c:v>
                </c:pt>
                <c:pt idx="413">
                  <c:v>43887</c:v>
                </c:pt>
                <c:pt idx="414">
                  <c:v>43888</c:v>
                </c:pt>
                <c:pt idx="415">
                  <c:v>43889</c:v>
                </c:pt>
                <c:pt idx="416">
                  <c:v>43892</c:v>
                </c:pt>
                <c:pt idx="417">
                  <c:v>43893</c:v>
                </c:pt>
                <c:pt idx="418">
                  <c:v>43894</c:v>
                </c:pt>
                <c:pt idx="419">
                  <c:v>43895</c:v>
                </c:pt>
                <c:pt idx="420">
                  <c:v>43896</c:v>
                </c:pt>
                <c:pt idx="421">
                  <c:v>43899</c:v>
                </c:pt>
                <c:pt idx="422">
                  <c:v>43900</c:v>
                </c:pt>
                <c:pt idx="423">
                  <c:v>43901</c:v>
                </c:pt>
                <c:pt idx="424">
                  <c:v>43902</c:v>
                </c:pt>
                <c:pt idx="425">
                  <c:v>43903</c:v>
                </c:pt>
                <c:pt idx="426">
                  <c:v>43906</c:v>
                </c:pt>
                <c:pt idx="427">
                  <c:v>43907</c:v>
                </c:pt>
                <c:pt idx="428">
                  <c:v>43908</c:v>
                </c:pt>
                <c:pt idx="429">
                  <c:v>43909</c:v>
                </c:pt>
                <c:pt idx="430">
                  <c:v>43910</c:v>
                </c:pt>
                <c:pt idx="431">
                  <c:v>43913</c:v>
                </c:pt>
                <c:pt idx="432">
                  <c:v>43914</c:v>
                </c:pt>
                <c:pt idx="433">
                  <c:v>43915</c:v>
                </c:pt>
                <c:pt idx="434">
                  <c:v>43916</c:v>
                </c:pt>
                <c:pt idx="435">
                  <c:v>43917</c:v>
                </c:pt>
                <c:pt idx="436">
                  <c:v>43920</c:v>
                </c:pt>
                <c:pt idx="437">
                  <c:v>43921</c:v>
                </c:pt>
                <c:pt idx="438">
                  <c:v>43922</c:v>
                </c:pt>
                <c:pt idx="439">
                  <c:v>43923</c:v>
                </c:pt>
                <c:pt idx="440">
                  <c:v>43924</c:v>
                </c:pt>
                <c:pt idx="441">
                  <c:v>43927</c:v>
                </c:pt>
                <c:pt idx="442">
                  <c:v>43928</c:v>
                </c:pt>
                <c:pt idx="443">
                  <c:v>43929</c:v>
                </c:pt>
                <c:pt idx="444">
                  <c:v>43930</c:v>
                </c:pt>
                <c:pt idx="445">
                  <c:v>43934</c:v>
                </c:pt>
                <c:pt idx="446">
                  <c:v>43935</c:v>
                </c:pt>
                <c:pt idx="447">
                  <c:v>43936</c:v>
                </c:pt>
                <c:pt idx="448">
                  <c:v>43937</c:v>
                </c:pt>
                <c:pt idx="449">
                  <c:v>43938</c:v>
                </c:pt>
                <c:pt idx="450">
                  <c:v>43941</c:v>
                </c:pt>
                <c:pt idx="451">
                  <c:v>43942</c:v>
                </c:pt>
                <c:pt idx="452">
                  <c:v>43943</c:v>
                </c:pt>
                <c:pt idx="453">
                  <c:v>43944</c:v>
                </c:pt>
                <c:pt idx="454">
                  <c:v>43945</c:v>
                </c:pt>
                <c:pt idx="455">
                  <c:v>43948</c:v>
                </c:pt>
                <c:pt idx="456">
                  <c:v>43949</c:v>
                </c:pt>
                <c:pt idx="457">
                  <c:v>43950</c:v>
                </c:pt>
                <c:pt idx="458">
                  <c:v>43951</c:v>
                </c:pt>
                <c:pt idx="459">
                  <c:v>43952</c:v>
                </c:pt>
                <c:pt idx="460">
                  <c:v>43955</c:v>
                </c:pt>
                <c:pt idx="461">
                  <c:v>43956</c:v>
                </c:pt>
                <c:pt idx="462">
                  <c:v>43957</c:v>
                </c:pt>
                <c:pt idx="463">
                  <c:v>43958</c:v>
                </c:pt>
                <c:pt idx="464">
                  <c:v>43959</c:v>
                </c:pt>
                <c:pt idx="465">
                  <c:v>43962</c:v>
                </c:pt>
                <c:pt idx="466">
                  <c:v>43963</c:v>
                </c:pt>
                <c:pt idx="467">
                  <c:v>43964</c:v>
                </c:pt>
                <c:pt idx="468">
                  <c:v>43965</c:v>
                </c:pt>
                <c:pt idx="469">
                  <c:v>43966</c:v>
                </c:pt>
                <c:pt idx="470">
                  <c:v>43969</c:v>
                </c:pt>
                <c:pt idx="471">
                  <c:v>43970</c:v>
                </c:pt>
                <c:pt idx="472">
                  <c:v>43971</c:v>
                </c:pt>
                <c:pt idx="473">
                  <c:v>43972</c:v>
                </c:pt>
                <c:pt idx="474">
                  <c:v>43973</c:v>
                </c:pt>
                <c:pt idx="475">
                  <c:v>43977</c:v>
                </c:pt>
                <c:pt idx="476">
                  <c:v>43978</c:v>
                </c:pt>
                <c:pt idx="477">
                  <c:v>43979</c:v>
                </c:pt>
                <c:pt idx="478">
                  <c:v>43980</c:v>
                </c:pt>
                <c:pt idx="479">
                  <c:v>43983</c:v>
                </c:pt>
                <c:pt idx="480">
                  <c:v>43984</c:v>
                </c:pt>
                <c:pt idx="481">
                  <c:v>43985</c:v>
                </c:pt>
                <c:pt idx="482">
                  <c:v>43986</c:v>
                </c:pt>
                <c:pt idx="483">
                  <c:v>43987</c:v>
                </c:pt>
                <c:pt idx="484">
                  <c:v>43990</c:v>
                </c:pt>
                <c:pt idx="485">
                  <c:v>43991</c:v>
                </c:pt>
                <c:pt idx="486">
                  <c:v>43992</c:v>
                </c:pt>
                <c:pt idx="487">
                  <c:v>43993</c:v>
                </c:pt>
                <c:pt idx="488">
                  <c:v>43994</c:v>
                </c:pt>
                <c:pt idx="489">
                  <c:v>43997</c:v>
                </c:pt>
                <c:pt idx="490">
                  <c:v>43998</c:v>
                </c:pt>
                <c:pt idx="491">
                  <c:v>43999</c:v>
                </c:pt>
                <c:pt idx="492">
                  <c:v>44000</c:v>
                </c:pt>
                <c:pt idx="493">
                  <c:v>44001</c:v>
                </c:pt>
                <c:pt idx="494">
                  <c:v>44004</c:v>
                </c:pt>
                <c:pt idx="495">
                  <c:v>44005</c:v>
                </c:pt>
                <c:pt idx="496">
                  <c:v>44006</c:v>
                </c:pt>
                <c:pt idx="497">
                  <c:v>44007</c:v>
                </c:pt>
                <c:pt idx="498">
                  <c:v>44008</c:v>
                </c:pt>
                <c:pt idx="499">
                  <c:v>44011</c:v>
                </c:pt>
                <c:pt idx="500">
                  <c:v>44012</c:v>
                </c:pt>
                <c:pt idx="501">
                  <c:v>44013</c:v>
                </c:pt>
                <c:pt idx="502">
                  <c:v>44014</c:v>
                </c:pt>
                <c:pt idx="503">
                  <c:v>44018</c:v>
                </c:pt>
                <c:pt idx="504">
                  <c:v>44019</c:v>
                </c:pt>
                <c:pt idx="505">
                  <c:v>44020</c:v>
                </c:pt>
                <c:pt idx="506">
                  <c:v>44021</c:v>
                </c:pt>
                <c:pt idx="507">
                  <c:v>44022</c:v>
                </c:pt>
                <c:pt idx="508">
                  <c:v>44025</c:v>
                </c:pt>
                <c:pt idx="509">
                  <c:v>44026</c:v>
                </c:pt>
                <c:pt idx="510">
                  <c:v>44027</c:v>
                </c:pt>
                <c:pt idx="511">
                  <c:v>44028</c:v>
                </c:pt>
                <c:pt idx="512">
                  <c:v>44029</c:v>
                </c:pt>
                <c:pt idx="513">
                  <c:v>44032</c:v>
                </c:pt>
                <c:pt idx="514">
                  <c:v>44033</c:v>
                </c:pt>
                <c:pt idx="515">
                  <c:v>44034</c:v>
                </c:pt>
                <c:pt idx="516">
                  <c:v>44035</c:v>
                </c:pt>
                <c:pt idx="517">
                  <c:v>44036</c:v>
                </c:pt>
                <c:pt idx="518">
                  <c:v>44039</c:v>
                </c:pt>
                <c:pt idx="519">
                  <c:v>44040</c:v>
                </c:pt>
                <c:pt idx="520">
                  <c:v>44041</c:v>
                </c:pt>
                <c:pt idx="521">
                  <c:v>44042</c:v>
                </c:pt>
                <c:pt idx="522">
                  <c:v>44043</c:v>
                </c:pt>
                <c:pt idx="523">
                  <c:v>44046</c:v>
                </c:pt>
                <c:pt idx="524">
                  <c:v>44047</c:v>
                </c:pt>
                <c:pt idx="525">
                  <c:v>44048</c:v>
                </c:pt>
                <c:pt idx="526">
                  <c:v>44049</c:v>
                </c:pt>
                <c:pt idx="527">
                  <c:v>44050</c:v>
                </c:pt>
                <c:pt idx="528">
                  <c:v>44053</c:v>
                </c:pt>
                <c:pt idx="529">
                  <c:v>44054</c:v>
                </c:pt>
                <c:pt idx="530">
                  <c:v>44055</c:v>
                </c:pt>
                <c:pt idx="531">
                  <c:v>44056</c:v>
                </c:pt>
                <c:pt idx="532">
                  <c:v>44057</c:v>
                </c:pt>
                <c:pt idx="533">
                  <c:v>44060</c:v>
                </c:pt>
                <c:pt idx="534">
                  <c:v>44061</c:v>
                </c:pt>
                <c:pt idx="535">
                  <c:v>44062</c:v>
                </c:pt>
                <c:pt idx="536">
                  <c:v>44063</c:v>
                </c:pt>
                <c:pt idx="537">
                  <c:v>44064</c:v>
                </c:pt>
                <c:pt idx="538">
                  <c:v>44067</c:v>
                </c:pt>
                <c:pt idx="539">
                  <c:v>44068</c:v>
                </c:pt>
                <c:pt idx="540">
                  <c:v>44069</c:v>
                </c:pt>
                <c:pt idx="541">
                  <c:v>44070</c:v>
                </c:pt>
                <c:pt idx="542">
                  <c:v>44071</c:v>
                </c:pt>
                <c:pt idx="543">
                  <c:v>44074</c:v>
                </c:pt>
                <c:pt idx="544">
                  <c:v>44075</c:v>
                </c:pt>
                <c:pt idx="545">
                  <c:v>44076</c:v>
                </c:pt>
                <c:pt idx="546">
                  <c:v>44077</c:v>
                </c:pt>
                <c:pt idx="547">
                  <c:v>44078</c:v>
                </c:pt>
                <c:pt idx="548">
                  <c:v>44082</c:v>
                </c:pt>
                <c:pt idx="549">
                  <c:v>44083</c:v>
                </c:pt>
                <c:pt idx="550">
                  <c:v>44084</c:v>
                </c:pt>
                <c:pt idx="551">
                  <c:v>44085</c:v>
                </c:pt>
                <c:pt idx="552">
                  <c:v>44088</c:v>
                </c:pt>
                <c:pt idx="553">
                  <c:v>44089</c:v>
                </c:pt>
                <c:pt idx="554">
                  <c:v>44090</c:v>
                </c:pt>
                <c:pt idx="555">
                  <c:v>44091</c:v>
                </c:pt>
                <c:pt idx="556">
                  <c:v>44092</c:v>
                </c:pt>
                <c:pt idx="557">
                  <c:v>44095</c:v>
                </c:pt>
                <c:pt idx="558">
                  <c:v>44096</c:v>
                </c:pt>
                <c:pt idx="559">
                  <c:v>44097</c:v>
                </c:pt>
                <c:pt idx="560">
                  <c:v>44098</c:v>
                </c:pt>
                <c:pt idx="561">
                  <c:v>44099</c:v>
                </c:pt>
                <c:pt idx="562">
                  <c:v>44102</c:v>
                </c:pt>
                <c:pt idx="563">
                  <c:v>44103</c:v>
                </c:pt>
                <c:pt idx="564">
                  <c:v>44104</c:v>
                </c:pt>
                <c:pt idx="565">
                  <c:v>44105</c:v>
                </c:pt>
                <c:pt idx="566">
                  <c:v>44106</c:v>
                </c:pt>
                <c:pt idx="567">
                  <c:v>44109</c:v>
                </c:pt>
                <c:pt idx="568">
                  <c:v>44110</c:v>
                </c:pt>
                <c:pt idx="569">
                  <c:v>44111</c:v>
                </c:pt>
                <c:pt idx="570">
                  <c:v>44112</c:v>
                </c:pt>
                <c:pt idx="571">
                  <c:v>44113</c:v>
                </c:pt>
                <c:pt idx="572">
                  <c:v>44116</c:v>
                </c:pt>
                <c:pt idx="573">
                  <c:v>44117</c:v>
                </c:pt>
                <c:pt idx="574">
                  <c:v>44118</c:v>
                </c:pt>
                <c:pt idx="575">
                  <c:v>44119</c:v>
                </c:pt>
                <c:pt idx="576">
                  <c:v>44120</c:v>
                </c:pt>
                <c:pt idx="577">
                  <c:v>44123</c:v>
                </c:pt>
                <c:pt idx="578">
                  <c:v>44124</c:v>
                </c:pt>
                <c:pt idx="579">
                  <c:v>44125</c:v>
                </c:pt>
                <c:pt idx="580">
                  <c:v>44126</c:v>
                </c:pt>
                <c:pt idx="581">
                  <c:v>44127</c:v>
                </c:pt>
                <c:pt idx="582">
                  <c:v>44130</c:v>
                </c:pt>
                <c:pt idx="583">
                  <c:v>44131</c:v>
                </c:pt>
                <c:pt idx="584">
                  <c:v>44132</c:v>
                </c:pt>
                <c:pt idx="585">
                  <c:v>44133</c:v>
                </c:pt>
                <c:pt idx="586">
                  <c:v>44134</c:v>
                </c:pt>
                <c:pt idx="587">
                  <c:v>44137</c:v>
                </c:pt>
                <c:pt idx="588">
                  <c:v>44138</c:v>
                </c:pt>
                <c:pt idx="589">
                  <c:v>44139</c:v>
                </c:pt>
                <c:pt idx="590">
                  <c:v>44140</c:v>
                </c:pt>
                <c:pt idx="591">
                  <c:v>44141</c:v>
                </c:pt>
                <c:pt idx="592">
                  <c:v>44144</c:v>
                </c:pt>
                <c:pt idx="593">
                  <c:v>44145</c:v>
                </c:pt>
                <c:pt idx="594">
                  <c:v>44146</c:v>
                </c:pt>
                <c:pt idx="595">
                  <c:v>44147</c:v>
                </c:pt>
                <c:pt idx="596">
                  <c:v>44148</c:v>
                </c:pt>
                <c:pt idx="597">
                  <c:v>44151</c:v>
                </c:pt>
                <c:pt idx="598">
                  <c:v>44152</c:v>
                </c:pt>
                <c:pt idx="599">
                  <c:v>44153</c:v>
                </c:pt>
                <c:pt idx="600">
                  <c:v>44154</c:v>
                </c:pt>
                <c:pt idx="601">
                  <c:v>44155</c:v>
                </c:pt>
                <c:pt idx="602">
                  <c:v>44158</c:v>
                </c:pt>
                <c:pt idx="603">
                  <c:v>44159</c:v>
                </c:pt>
                <c:pt idx="604">
                  <c:v>44160</c:v>
                </c:pt>
                <c:pt idx="605">
                  <c:v>44162</c:v>
                </c:pt>
                <c:pt idx="606">
                  <c:v>44165</c:v>
                </c:pt>
                <c:pt idx="607">
                  <c:v>44166</c:v>
                </c:pt>
                <c:pt idx="608">
                  <c:v>44167</c:v>
                </c:pt>
                <c:pt idx="609">
                  <c:v>44168</c:v>
                </c:pt>
                <c:pt idx="610">
                  <c:v>44169</c:v>
                </c:pt>
                <c:pt idx="611">
                  <c:v>44172</c:v>
                </c:pt>
                <c:pt idx="612">
                  <c:v>44173</c:v>
                </c:pt>
                <c:pt idx="613">
                  <c:v>44174</c:v>
                </c:pt>
                <c:pt idx="614">
                  <c:v>44175</c:v>
                </c:pt>
                <c:pt idx="615">
                  <c:v>44176</c:v>
                </c:pt>
                <c:pt idx="616">
                  <c:v>44179</c:v>
                </c:pt>
                <c:pt idx="617">
                  <c:v>44180</c:v>
                </c:pt>
                <c:pt idx="618">
                  <c:v>44181</c:v>
                </c:pt>
                <c:pt idx="619">
                  <c:v>44182</c:v>
                </c:pt>
                <c:pt idx="620">
                  <c:v>44183</c:v>
                </c:pt>
                <c:pt idx="621">
                  <c:v>44186</c:v>
                </c:pt>
                <c:pt idx="622">
                  <c:v>44187</c:v>
                </c:pt>
                <c:pt idx="623">
                  <c:v>44188</c:v>
                </c:pt>
                <c:pt idx="624">
                  <c:v>44189</c:v>
                </c:pt>
                <c:pt idx="625">
                  <c:v>44193</c:v>
                </c:pt>
                <c:pt idx="626">
                  <c:v>44194</c:v>
                </c:pt>
                <c:pt idx="627">
                  <c:v>44195</c:v>
                </c:pt>
                <c:pt idx="628">
                  <c:v>44196</c:v>
                </c:pt>
                <c:pt idx="629">
                  <c:v>44200</c:v>
                </c:pt>
                <c:pt idx="630">
                  <c:v>44201</c:v>
                </c:pt>
                <c:pt idx="631">
                  <c:v>44202</c:v>
                </c:pt>
                <c:pt idx="632">
                  <c:v>44203</c:v>
                </c:pt>
                <c:pt idx="633">
                  <c:v>44204</c:v>
                </c:pt>
                <c:pt idx="634">
                  <c:v>44207</c:v>
                </c:pt>
                <c:pt idx="635">
                  <c:v>44208</c:v>
                </c:pt>
                <c:pt idx="636">
                  <c:v>44209</c:v>
                </c:pt>
                <c:pt idx="637">
                  <c:v>44210</c:v>
                </c:pt>
                <c:pt idx="638">
                  <c:v>44211</c:v>
                </c:pt>
                <c:pt idx="639">
                  <c:v>44215</c:v>
                </c:pt>
                <c:pt idx="640">
                  <c:v>44216</c:v>
                </c:pt>
                <c:pt idx="641">
                  <c:v>44217</c:v>
                </c:pt>
                <c:pt idx="642">
                  <c:v>44218</c:v>
                </c:pt>
                <c:pt idx="643">
                  <c:v>44221</c:v>
                </c:pt>
                <c:pt idx="644">
                  <c:v>44222</c:v>
                </c:pt>
                <c:pt idx="645">
                  <c:v>44223</c:v>
                </c:pt>
                <c:pt idx="646">
                  <c:v>44224</c:v>
                </c:pt>
                <c:pt idx="647">
                  <c:v>44225</c:v>
                </c:pt>
                <c:pt idx="648">
                  <c:v>44228</c:v>
                </c:pt>
                <c:pt idx="649">
                  <c:v>44229</c:v>
                </c:pt>
                <c:pt idx="650">
                  <c:v>44230</c:v>
                </c:pt>
                <c:pt idx="651">
                  <c:v>44231</c:v>
                </c:pt>
                <c:pt idx="652">
                  <c:v>44232</c:v>
                </c:pt>
                <c:pt idx="653">
                  <c:v>44235</c:v>
                </c:pt>
                <c:pt idx="654">
                  <c:v>44236</c:v>
                </c:pt>
                <c:pt idx="655">
                  <c:v>44237</c:v>
                </c:pt>
                <c:pt idx="656">
                  <c:v>44238</c:v>
                </c:pt>
                <c:pt idx="657">
                  <c:v>44239</c:v>
                </c:pt>
                <c:pt idx="658">
                  <c:v>44243</c:v>
                </c:pt>
                <c:pt idx="659">
                  <c:v>44244</c:v>
                </c:pt>
                <c:pt idx="660">
                  <c:v>44245</c:v>
                </c:pt>
                <c:pt idx="661">
                  <c:v>44246</c:v>
                </c:pt>
                <c:pt idx="662">
                  <c:v>44249</c:v>
                </c:pt>
                <c:pt idx="663">
                  <c:v>44250</c:v>
                </c:pt>
                <c:pt idx="664">
                  <c:v>44251</c:v>
                </c:pt>
                <c:pt idx="665">
                  <c:v>44252</c:v>
                </c:pt>
                <c:pt idx="666">
                  <c:v>44253</c:v>
                </c:pt>
                <c:pt idx="667">
                  <c:v>44256</c:v>
                </c:pt>
                <c:pt idx="668">
                  <c:v>44257</c:v>
                </c:pt>
                <c:pt idx="669">
                  <c:v>44258</c:v>
                </c:pt>
                <c:pt idx="670">
                  <c:v>44259</c:v>
                </c:pt>
                <c:pt idx="671">
                  <c:v>44260</c:v>
                </c:pt>
                <c:pt idx="672">
                  <c:v>44263</c:v>
                </c:pt>
                <c:pt idx="673">
                  <c:v>44264</c:v>
                </c:pt>
                <c:pt idx="674">
                  <c:v>44265</c:v>
                </c:pt>
                <c:pt idx="675">
                  <c:v>44266</c:v>
                </c:pt>
                <c:pt idx="676">
                  <c:v>44267</c:v>
                </c:pt>
                <c:pt idx="677">
                  <c:v>44270</c:v>
                </c:pt>
                <c:pt idx="678">
                  <c:v>44271</c:v>
                </c:pt>
                <c:pt idx="679">
                  <c:v>44272</c:v>
                </c:pt>
                <c:pt idx="680">
                  <c:v>44273</c:v>
                </c:pt>
                <c:pt idx="681">
                  <c:v>44274</c:v>
                </c:pt>
                <c:pt idx="682">
                  <c:v>44277</c:v>
                </c:pt>
                <c:pt idx="683">
                  <c:v>44278</c:v>
                </c:pt>
                <c:pt idx="684">
                  <c:v>44279</c:v>
                </c:pt>
                <c:pt idx="685">
                  <c:v>44280</c:v>
                </c:pt>
                <c:pt idx="686">
                  <c:v>44281</c:v>
                </c:pt>
                <c:pt idx="687">
                  <c:v>44284</c:v>
                </c:pt>
                <c:pt idx="688">
                  <c:v>44285</c:v>
                </c:pt>
                <c:pt idx="689">
                  <c:v>44286</c:v>
                </c:pt>
                <c:pt idx="690">
                  <c:v>44287</c:v>
                </c:pt>
                <c:pt idx="691">
                  <c:v>44291</c:v>
                </c:pt>
                <c:pt idx="692">
                  <c:v>44292</c:v>
                </c:pt>
                <c:pt idx="693">
                  <c:v>44293</c:v>
                </c:pt>
                <c:pt idx="694">
                  <c:v>44294</c:v>
                </c:pt>
                <c:pt idx="695">
                  <c:v>44295</c:v>
                </c:pt>
                <c:pt idx="696">
                  <c:v>44298</c:v>
                </c:pt>
                <c:pt idx="697">
                  <c:v>44299</c:v>
                </c:pt>
                <c:pt idx="698">
                  <c:v>44300</c:v>
                </c:pt>
                <c:pt idx="699">
                  <c:v>44301</c:v>
                </c:pt>
                <c:pt idx="700">
                  <c:v>44302</c:v>
                </c:pt>
                <c:pt idx="701">
                  <c:v>44305</c:v>
                </c:pt>
                <c:pt idx="702">
                  <c:v>44306</c:v>
                </c:pt>
                <c:pt idx="703">
                  <c:v>44307</c:v>
                </c:pt>
                <c:pt idx="704">
                  <c:v>44308</c:v>
                </c:pt>
                <c:pt idx="705">
                  <c:v>44309</c:v>
                </c:pt>
                <c:pt idx="706">
                  <c:v>44312</c:v>
                </c:pt>
                <c:pt idx="707">
                  <c:v>44313</c:v>
                </c:pt>
                <c:pt idx="708">
                  <c:v>44314</c:v>
                </c:pt>
                <c:pt idx="709">
                  <c:v>44315</c:v>
                </c:pt>
                <c:pt idx="710">
                  <c:v>44316</c:v>
                </c:pt>
                <c:pt idx="711">
                  <c:v>44319</c:v>
                </c:pt>
                <c:pt idx="712">
                  <c:v>44320</c:v>
                </c:pt>
                <c:pt idx="713">
                  <c:v>44321</c:v>
                </c:pt>
                <c:pt idx="714">
                  <c:v>44322</c:v>
                </c:pt>
                <c:pt idx="715">
                  <c:v>44323</c:v>
                </c:pt>
                <c:pt idx="716">
                  <c:v>44326</c:v>
                </c:pt>
                <c:pt idx="717">
                  <c:v>44327</c:v>
                </c:pt>
                <c:pt idx="718">
                  <c:v>44328</c:v>
                </c:pt>
                <c:pt idx="719">
                  <c:v>44329</c:v>
                </c:pt>
                <c:pt idx="720">
                  <c:v>44330</c:v>
                </c:pt>
                <c:pt idx="721">
                  <c:v>44333</c:v>
                </c:pt>
                <c:pt idx="722">
                  <c:v>44334</c:v>
                </c:pt>
                <c:pt idx="723">
                  <c:v>44335</c:v>
                </c:pt>
                <c:pt idx="724">
                  <c:v>44336</c:v>
                </c:pt>
                <c:pt idx="725">
                  <c:v>44337</c:v>
                </c:pt>
                <c:pt idx="726">
                  <c:v>44340</c:v>
                </c:pt>
                <c:pt idx="727">
                  <c:v>44341</c:v>
                </c:pt>
                <c:pt idx="728">
                  <c:v>44342</c:v>
                </c:pt>
                <c:pt idx="729">
                  <c:v>44343</c:v>
                </c:pt>
                <c:pt idx="730">
                  <c:v>44344</c:v>
                </c:pt>
                <c:pt idx="731">
                  <c:v>44348</c:v>
                </c:pt>
                <c:pt idx="732">
                  <c:v>44349</c:v>
                </c:pt>
                <c:pt idx="733">
                  <c:v>44350</c:v>
                </c:pt>
                <c:pt idx="734">
                  <c:v>44351</c:v>
                </c:pt>
                <c:pt idx="735">
                  <c:v>44354</c:v>
                </c:pt>
                <c:pt idx="736">
                  <c:v>44355</c:v>
                </c:pt>
                <c:pt idx="737">
                  <c:v>44356</c:v>
                </c:pt>
                <c:pt idx="738">
                  <c:v>44357</c:v>
                </c:pt>
                <c:pt idx="739">
                  <c:v>44358</c:v>
                </c:pt>
                <c:pt idx="740">
                  <c:v>44361</c:v>
                </c:pt>
                <c:pt idx="741">
                  <c:v>44362</c:v>
                </c:pt>
                <c:pt idx="742">
                  <c:v>44363</c:v>
                </c:pt>
                <c:pt idx="743">
                  <c:v>44364</c:v>
                </c:pt>
                <c:pt idx="744">
                  <c:v>44365</c:v>
                </c:pt>
                <c:pt idx="745">
                  <c:v>44368</c:v>
                </c:pt>
                <c:pt idx="746">
                  <c:v>44369</c:v>
                </c:pt>
                <c:pt idx="747">
                  <c:v>44370</c:v>
                </c:pt>
                <c:pt idx="748">
                  <c:v>44371</c:v>
                </c:pt>
                <c:pt idx="749">
                  <c:v>44372</c:v>
                </c:pt>
                <c:pt idx="750">
                  <c:v>44375</c:v>
                </c:pt>
                <c:pt idx="751">
                  <c:v>44376</c:v>
                </c:pt>
                <c:pt idx="752">
                  <c:v>44377</c:v>
                </c:pt>
                <c:pt idx="753">
                  <c:v>44378</c:v>
                </c:pt>
                <c:pt idx="754">
                  <c:v>44379</c:v>
                </c:pt>
                <c:pt idx="755">
                  <c:v>44383</c:v>
                </c:pt>
                <c:pt idx="756">
                  <c:v>44384</c:v>
                </c:pt>
                <c:pt idx="757">
                  <c:v>44385</c:v>
                </c:pt>
                <c:pt idx="758">
                  <c:v>44386</c:v>
                </c:pt>
                <c:pt idx="759">
                  <c:v>44389</c:v>
                </c:pt>
                <c:pt idx="760">
                  <c:v>44390</c:v>
                </c:pt>
                <c:pt idx="761">
                  <c:v>44391</c:v>
                </c:pt>
                <c:pt idx="762">
                  <c:v>44392</c:v>
                </c:pt>
                <c:pt idx="763">
                  <c:v>44393</c:v>
                </c:pt>
                <c:pt idx="764">
                  <c:v>44396</c:v>
                </c:pt>
                <c:pt idx="765">
                  <c:v>44397</c:v>
                </c:pt>
                <c:pt idx="766">
                  <c:v>44398</c:v>
                </c:pt>
                <c:pt idx="767">
                  <c:v>44399</c:v>
                </c:pt>
                <c:pt idx="768">
                  <c:v>44400</c:v>
                </c:pt>
                <c:pt idx="769">
                  <c:v>44403</c:v>
                </c:pt>
                <c:pt idx="770">
                  <c:v>44404</c:v>
                </c:pt>
                <c:pt idx="771">
                  <c:v>44405</c:v>
                </c:pt>
                <c:pt idx="772">
                  <c:v>44406</c:v>
                </c:pt>
                <c:pt idx="773">
                  <c:v>44407</c:v>
                </c:pt>
                <c:pt idx="774">
                  <c:v>44410</c:v>
                </c:pt>
                <c:pt idx="775">
                  <c:v>44411</c:v>
                </c:pt>
                <c:pt idx="776">
                  <c:v>44412</c:v>
                </c:pt>
                <c:pt idx="777">
                  <c:v>44413</c:v>
                </c:pt>
                <c:pt idx="778">
                  <c:v>44414</c:v>
                </c:pt>
                <c:pt idx="779">
                  <c:v>44417</c:v>
                </c:pt>
                <c:pt idx="780">
                  <c:v>44418</c:v>
                </c:pt>
                <c:pt idx="781">
                  <c:v>44419</c:v>
                </c:pt>
                <c:pt idx="782">
                  <c:v>44420</c:v>
                </c:pt>
                <c:pt idx="783">
                  <c:v>44421</c:v>
                </c:pt>
                <c:pt idx="784">
                  <c:v>44424</c:v>
                </c:pt>
                <c:pt idx="785">
                  <c:v>44425</c:v>
                </c:pt>
                <c:pt idx="786">
                  <c:v>44426</c:v>
                </c:pt>
                <c:pt idx="787">
                  <c:v>44427</c:v>
                </c:pt>
                <c:pt idx="788">
                  <c:v>44428</c:v>
                </c:pt>
                <c:pt idx="789">
                  <c:v>44431</c:v>
                </c:pt>
                <c:pt idx="790">
                  <c:v>44432</c:v>
                </c:pt>
                <c:pt idx="791">
                  <c:v>44433</c:v>
                </c:pt>
                <c:pt idx="792">
                  <c:v>44434</c:v>
                </c:pt>
                <c:pt idx="793">
                  <c:v>44435</c:v>
                </c:pt>
                <c:pt idx="794">
                  <c:v>44438</c:v>
                </c:pt>
                <c:pt idx="795">
                  <c:v>44439</c:v>
                </c:pt>
                <c:pt idx="796">
                  <c:v>44440</c:v>
                </c:pt>
                <c:pt idx="797">
                  <c:v>44441</c:v>
                </c:pt>
                <c:pt idx="798">
                  <c:v>44442</c:v>
                </c:pt>
                <c:pt idx="799">
                  <c:v>44446</c:v>
                </c:pt>
                <c:pt idx="800">
                  <c:v>44447</c:v>
                </c:pt>
                <c:pt idx="801">
                  <c:v>44448</c:v>
                </c:pt>
                <c:pt idx="802">
                  <c:v>44449</c:v>
                </c:pt>
                <c:pt idx="803">
                  <c:v>44452</c:v>
                </c:pt>
                <c:pt idx="804">
                  <c:v>44453</c:v>
                </c:pt>
                <c:pt idx="805">
                  <c:v>44454</c:v>
                </c:pt>
                <c:pt idx="806">
                  <c:v>44455</c:v>
                </c:pt>
                <c:pt idx="807">
                  <c:v>44456</c:v>
                </c:pt>
                <c:pt idx="808">
                  <c:v>44459</c:v>
                </c:pt>
                <c:pt idx="809">
                  <c:v>44460</c:v>
                </c:pt>
                <c:pt idx="810">
                  <c:v>44461</c:v>
                </c:pt>
                <c:pt idx="811">
                  <c:v>44462</c:v>
                </c:pt>
                <c:pt idx="812">
                  <c:v>44463</c:v>
                </c:pt>
                <c:pt idx="813">
                  <c:v>44466</c:v>
                </c:pt>
                <c:pt idx="814">
                  <c:v>44467</c:v>
                </c:pt>
                <c:pt idx="815">
                  <c:v>44468</c:v>
                </c:pt>
                <c:pt idx="816">
                  <c:v>44469</c:v>
                </c:pt>
                <c:pt idx="817">
                  <c:v>44470</c:v>
                </c:pt>
                <c:pt idx="818">
                  <c:v>44473</c:v>
                </c:pt>
                <c:pt idx="819">
                  <c:v>44474</c:v>
                </c:pt>
                <c:pt idx="820">
                  <c:v>44475</c:v>
                </c:pt>
                <c:pt idx="821">
                  <c:v>44476</c:v>
                </c:pt>
                <c:pt idx="822">
                  <c:v>44477</c:v>
                </c:pt>
                <c:pt idx="823">
                  <c:v>44480</c:v>
                </c:pt>
                <c:pt idx="824">
                  <c:v>44481</c:v>
                </c:pt>
                <c:pt idx="825">
                  <c:v>44482</c:v>
                </c:pt>
                <c:pt idx="826">
                  <c:v>44483</c:v>
                </c:pt>
                <c:pt idx="827">
                  <c:v>44484</c:v>
                </c:pt>
                <c:pt idx="828">
                  <c:v>44487</c:v>
                </c:pt>
                <c:pt idx="829">
                  <c:v>44488</c:v>
                </c:pt>
                <c:pt idx="830">
                  <c:v>44489</c:v>
                </c:pt>
                <c:pt idx="831">
                  <c:v>44490</c:v>
                </c:pt>
                <c:pt idx="832">
                  <c:v>44491</c:v>
                </c:pt>
                <c:pt idx="833">
                  <c:v>44494</c:v>
                </c:pt>
                <c:pt idx="834">
                  <c:v>44495</c:v>
                </c:pt>
                <c:pt idx="835">
                  <c:v>44496</c:v>
                </c:pt>
                <c:pt idx="836">
                  <c:v>44497</c:v>
                </c:pt>
                <c:pt idx="837">
                  <c:v>44498</c:v>
                </c:pt>
                <c:pt idx="838">
                  <c:v>44501</c:v>
                </c:pt>
                <c:pt idx="839">
                  <c:v>44502</c:v>
                </c:pt>
                <c:pt idx="840">
                  <c:v>44503</c:v>
                </c:pt>
                <c:pt idx="841">
                  <c:v>44504</c:v>
                </c:pt>
                <c:pt idx="842">
                  <c:v>44505</c:v>
                </c:pt>
                <c:pt idx="843">
                  <c:v>44508</c:v>
                </c:pt>
                <c:pt idx="844">
                  <c:v>44509</c:v>
                </c:pt>
                <c:pt idx="845">
                  <c:v>44510</c:v>
                </c:pt>
                <c:pt idx="846">
                  <c:v>44511</c:v>
                </c:pt>
                <c:pt idx="847">
                  <c:v>44512</c:v>
                </c:pt>
                <c:pt idx="848">
                  <c:v>44515</c:v>
                </c:pt>
                <c:pt idx="849">
                  <c:v>44516</c:v>
                </c:pt>
                <c:pt idx="850">
                  <c:v>44517</c:v>
                </c:pt>
                <c:pt idx="851">
                  <c:v>44518</c:v>
                </c:pt>
                <c:pt idx="852">
                  <c:v>44519</c:v>
                </c:pt>
                <c:pt idx="853">
                  <c:v>44522</c:v>
                </c:pt>
                <c:pt idx="854">
                  <c:v>44523</c:v>
                </c:pt>
                <c:pt idx="855">
                  <c:v>44524</c:v>
                </c:pt>
                <c:pt idx="856">
                  <c:v>44526</c:v>
                </c:pt>
                <c:pt idx="857">
                  <c:v>44529</c:v>
                </c:pt>
                <c:pt idx="858">
                  <c:v>44530</c:v>
                </c:pt>
                <c:pt idx="859">
                  <c:v>44531</c:v>
                </c:pt>
                <c:pt idx="860">
                  <c:v>44532</c:v>
                </c:pt>
                <c:pt idx="861">
                  <c:v>44533</c:v>
                </c:pt>
                <c:pt idx="862">
                  <c:v>44536</c:v>
                </c:pt>
                <c:pt idx="863">
                  <c:v>44537</c:v>
                </c:pt>
                <c:pt idx="864">
                  <c:v>44538</c:v>
                </c:pt>
                <c:pt idx="865">
                  <c:v>44539</c:v>
                </c:pt>
                <c:pt idx="866">
                  <c:v>44540</c:v>
                </c:pt>
                <c:pt idx="867">
                  <c:v>44543</c:v>
                </c:pt>
                <c:pt idx="868">
                  <c:v>44544</c:v>
                </c:pt>
                <c:pt idx="869">
                  <c:v>44545</c:v>
                </c:pt>
                <c:pt idx="870">
                  <c:v>44546</c:v>
                </c:pt>
                <c:pt idx="871">
                  <c:v>44547</c:v>
                </c:pt>
                <c:pt idx="872">
                  <c:v>44550</c:v>
                </c:pt>
                <c:pt idx="873">
                  <c:v>44551</c:v>
                </c:pt>
                <c:pt idx="874">
                  <c:v>44552</c:v>
                </c:pt>
                <c:pt idx="875">
                  <c:v>44553</c:v>
                </c:pt>
                <c:pt idx="876">
                  <c:v>44557</c:v>
                </c:pt>
                <c:pt idx="877">
                  <c:v>44558</c:v>
                </c:pt>
                <c:pt idx="878">
                  <c:v>44559</c:v>
                </c:pt>
                <c:pt idx="879">
                  <c:v>44560</c:v>
                </c:pt>
                <c:pt idx="880">
                  <c:v>44561</c:v>
                </c:pt>
                <c:pt idx="881">
                  <c:v>44564</c:v>
                </c:pt>
                <c:pt idx="882">
                  <c:v>44565</c:v>
                </c:pt>
                <c:pt idx="883">
                  <c:v>44566</c:v>
                </c:pt>
                <c:pt idx="884">
                  <c:v>44567</c:v>
                </c:pt>
                <c:pt idx="885">
                  <c:v>44568</c:v>
                </c:pt>
                <c:pt idx="886">
                  <c:v>44571</c:v>
                </c:pt>
                <c:pt idx="887">
                  <c:v>44572</c:v>
                </c:pt>
                <c:pt idx="888">
                  <c:v>44573</c:v>
                </c:pt>
                <c:pt idx="889">
                  <c:v>44574</c:v>
                </c:pt>
                <c:pt idx="890">
                  <c:v>44575</c:v>
                </c:pt>
                <c:pt idx="891">
                  <c:v>44579</c:v>
                </c:pt>
                <c:pt idx="892">
                  <c:v>44580</c:v>
                </c:pt>
                <c:pt idx="893">
                  <c:v>44581</c:v>
                </c:pt>
                <c:pt idx="894">
                  <c:v>44582</c:v>
                </c:pt>
                <c:pt idx="895">
                  <c:v>44585</c:v>
                </c:pt>
                <c:pt idx="896">
                  <c:v>44586</c:v>
                </c:pt>
                <c:pt idx="897">
                  <c:v>44587</c:v>
                </c:pt>
                <c:pt idx="898">
                  <c:v>44588</c:v>
                </c:pt>
                <c:pt idx="899">
                  <c:v>44589</c:v>
                </c:pt>
                <c:pt idx="900">
                  <c:v>44592</c:v>
                </c:pt>
                <c:pt idx="901">
                  <c:v>44593</c:v>
                </c:pt>
                <c:pt idx="902">
                  <c:v>44594</c:v>
                </c:pt>
                <c:pt idx="903">
                  <c:v>44595</c:v>
                </c:pt>
                <c:pt idx="904">
                  <c:v>44596</c:v>
                </c:pt>
                <c:pt idx="905">
                  <c:v>44599</c:v>
                </c:pt>
                <c:pt idx="906">
                  <c:v>44600</c:v>
                </c:pt>
                <c:pt idx="907">
                  <c:v>44601</c:v>
                </c:pt>
                <c:pt idx="908">
                  <c:v>44602</c:v>
                </c:pt>
                <c:pt idx="909">
                  <c:v>44603</c:v>
                </c:pt>
                <c:pt idx="910">
                  <c:v>44606</c:v>
                </c:pt>
                <c:pt idx="911">
                  <c:v>44607</c:v>
                </c:pt>
                <c:pt idx="912">
                  <c:v>44608</c:v>
                </c:pt>
                <c:pt idx="913">
                  <c:v>44609</c:v>
                </c:pt>
                <c:pt idx="914">
                  <c:v>44610</c:v>
                </c:pt>
                <c:pt idx="915">
                  <c:v>44614</c:v>
                </c:pt>
                <c:pt idx="916">
                  <c:v>44615</c:v>
                </c:pt>
                <c:pt idx="917">
                  <c:v>44616</c:v>
                </c:pt>
                <c:pt idx="918">
                  <c:v>44617</c:v>
                </c:pt>
                <c:pt idx="919">
                  <c:v>44620</c:v>
                </c:pt>
                <c:pt idx="920">
                  <c:v>44621</c:v>
                </c:pt>
                <c:pt idx="921">
                  <c:v>44622</c:v>
                </c:pt>
                <c:pt idx="922">
                  <c:v>44623</c:v>
                </c:pt>
                <c:pt idx="923">
                  <c:v>44624</c:v>
                </c:pt>
                <c:pt idx="924">
                  <c:v>44627</c:v>
                </c:pt>
                <c:pt idx="925">
                  <c:v>44628</c:v>
                </c:pt>
                <c:pt idx="926">
                  <c:v>44629</c:v>
                </c:pt>
                <c:pt idx="927">
                  <c:v>44630</c:v>
                </c:pt>
                <c:pt idx="928">
                  <c:v>44631</c:v>
                </c:pt>
                <c:pt idx="929">
                  <c:v>44634</c:v>
                </c:pt>
                <c:pt idx="930">
                  <c:v>44635</c:v>
                </c:pt>
                <c:pt idx="931">
                  <c:v>44636</c:v>
                </c:pt>
                <c:pt idx="932">
                  <c:v>44637</c:v>
                </c:pt>
                <c:pt idx="933">
                  <c:v>44638</c:v>
                </c:pt>
                <c:pt idx="934">
                  <c:v>44641</c:v>
                </c:pt>
                <c:pt idx="935">
                  <c:v>44642</c:v>
                </c:pt>
                <c:pt idx="936">
                  <c:v>44643</c:v>
                </c:pt>
                <c:pt idx="937">
                  <c:v>44644</c:v>
                </c:pt>
                <c:pt idx="938">
                  <c:v>44645</c:v>
                </c:pt>
                <c:pt idx="939">
                  <c:v>44648</c:v>
                </c:pt>
                <c:pt idx="940">
                  <c:v>44649</c:v>
                </c:pt>
                <c:pt idx="941">
                  <c:v>44650</c:v>
                </c:pt>
                <c:pt idx="942">
                  <c:v>44651</c:v>
                </c:pt>
                <c:pt idx="943">
                  <c:v>44652</c:v>
                </c:pt>
                <c:pt idx="944">
                  <c:v>44655</c:v>
                </c:pt>
                <c:pt idx="945">
                  <c:v>44656</c:v>
                </c:pt>
                <c:pt idx="946">
                  <c:v>44657</c:v>
                </c:pt>
                <c:pt idx="947">
                  <c:v>44658</c:v>
                </c:pt>
                <c:pt idx="948">
                  <c:v>44659</c:v>
                </c:pt>
                <c:pt idx="949">
                  <c:v>44662</c:v>
                </c:pt>
                <c:pt idx="950">
                  <c:v>44663</c:v>
                </c:pt>
                <c:pt idx="951">
                  <c:v>44664</c:v>
                </c:pt>
                <c:pt idx="952">
                  <c:v>44665</c:v>
                </c:pt>
                <c:pt idx="953">
                  <c:v>44669</c:v>
                </c:pt>
                <c:pt idx="954">
                  <c:v>44670</c:v>
                </c:pt>
                <c:pt idx="955">
                  <c:v>44671</c:v>
                </c:pt>
                <c:pt idx="956">
                  <c:v>44672</c:v>
                </c:pt>
                <c:pt idx="957">
                  <c:v>44673</c:v>
                </c:pt>
                <c:pt idx="958">
                  <c:v>44676</c:v>
                </c:pt>
                <c:pt idx="959">
                  <c:v>44677</c:v>
                </c:pt>
                <c:pt idx="960">
                  <c:v>44678</c:v>
                </c:pt>
                <c:pt idx="961">
                  <c:v>44679</c:v>
                </c:pt>
                <c:pt idx="962">
                  <c:v>44680</c:v>
                </c:pt>
                <c:pt idx="963">
                  <c:v>44683</c:v>
                </c:pt>
                <c:pt idx="964">
                  <c:v>44684</c:v>
                </c:pt>
                <c:pt idx="965">
                  <c:v>44685</c:v>
                </c:pt>
                <c:pt idx="966">
                  <c:v>44686</c:v>
                </c:pt>
                <c:pt idx="967">
                  <c:v>44687</c:v>
                </c:pt>
                <c:pt idx="968">
                  <c:v>44690</c:v>
                </c:pt>
                <c:pt idx="969">
                  <c:v>44691</c:v>
                </c:pt>
                <c:pt idx="970">
                  <c:v>44692</c:v>
                </c:pt>
                <c:pt idx="971">
                  <c:v>44693</c:v>
                </c:pt>
                <c:pt idx="972">
                  <c:v>44694</c:v>
                </c:pt>
                <c:pt idx="973">
                  <c:v>44697</c:v>
                </c:pt>
                <c:pt idx="974">
                  <c:v>44698</c:v>
                </c:pt>
                <c:pt idx="975">
                  <c:v>44699</c:v>
                </c:pt>
                <c:pt idx="976">
                  <c:v>44700</c:v>
                </c:pt>
                <c:pt idx="977">
                  <c:v>44701</c:v>
                </c:pt>
                <c:pt idx="978">
                  <c:v>44704</c:v>
                </c:pt>
                <c:pt idx="979">
                  <c:v>44705</c:v>
                </c:pt>
                <c:pt idx="980">
                  <c:v>44706</c:v>
                </c:pt>
                <c:pt idx="981">
                  <c:v>44707</c:v>
                </c:pt>
                <c:pt idx="982">
                  <c:v>44708</c:v>
                </c:pt>
                <c:pt idx="983">
                  <c:v>44712</c:v>
                </c:pt>
                <c:pt idx="984">
                  <c:v>44713</c:v>
                </c:pt>
                <c:pt idx="985">
                  <c:v>44714</c:v>
                </c:pt>
                <c:pt idx="986">
                  <c:v>44715</c:v>
                </c:pt>
                <c:pt idx="987">
                  <c:v>44718</c:v>
                </c:pt>
                <c:pt idx="988">
                  <c:v>44719</c:v>
                </c:pt>
                <c:pt idx="989">
                  <c:v>44720</c:v>
                </c:pt>
                <c:pt idx="990">
                  <c:v>44721</c:v>
                </c:pt>
                <c:pt idx="991">
                  <c:v>44722</c:v>
                </c:pt>
                <c:pt idx="992">
                  <c:v>44725</c:v>
                </c:pt>
                <c:pt idx="993">
                  <c:v>44726</c:v>
                </c:pt>
                <c:pt idx="994">
                  <c:v>44727</c:v>
                </c:pt>
                <c:pt idx="995">
                  <c:v>44728</c:v>
                </c:pt>
                <c:pt idx="996">
                  <c:v>44729</c:v>
                </c:pt>
                <c:pt idx="997">
                  <c:v>44733</c:v>
                </c:pt>
                <c:pt idx="998">
                  <c:v>44734</c:v>
                </c:pt>
                <c:pt idx="999">
                  <c:v>44735</c:v>
                </c:pt>
                <c:pt idx="1000">
                  <c:v>44736</c:v>
                </c:pt>
                <c:pt idx="1001">
                  <c:v>44739</c:v>
                </c:pt>
                <c:pt idx="1002">
                  <c:v>44740</c:v>
                </c:pt>
                <c:pt idx="1003">
                  <c:v>44741</c:v>
                </c:pt>
                <c:pt idx="1004">
                  <c:v>44742</c:v>
                </c:pt>
                <c:pt idx="1005">
                  <c:v>44743</c:v>
                </c:pt>
                <c:pt idx="1006">
                  <c:v>44747</c:v>
                </c:pt>
                <c:pt idx="1007">
                  <c:v>44748</c:v>
                </c:pt>
                <c:pt idx="1008">
                  <c:v>44749</c:v>
                </c:pt>
                <c:pt idx="1009">
                  <c:v>44750</c:v>
                </c:pt>
                <c:pt idx="1010">
                  <c:v>44753</c:v>
                </c:pt>
                <c:pt idx="1011">
                  <c:v>44754</c:v>
                </c:pt>
                <c:pt idx="1012">
                  <c:v>44755</c:v>
                </c:pt>
                <c:pt idx="1013">
                  <c:v>44756</c:v>
                </c:pt>
                <c:pt idx="1014">
                  <c:v>44757</c:v>
                </c:pt>
                <c:pt idx="1015">
                  <c:v>44760</c:v>
                </c:pt>
                <c:pt idx="1016">
                  <c:v>44761</c:v>
                </c:pt>
                <c:pt idx="1017">
                  <c:v>44762</c:v>
                </c:pt>
                <c:pt idx="1018">
                  <c:v>44763</c:v>
                </c:pt>
                <c:pt idx="1019">
                  <c:v>44764</c:v>
                </c:pt>
                <c:pt idx="1020">
                  <c:v>44767</c:v>
                </c:pt>
                <c:pt idx="1021">
                  <c:v>44768</c:v>
                </c:pt>
                <c:pt idx="1022">
                  <c:v>44769</c:v>
                </c:pt>
                <c:pt idx="1023">
                  <c:v>44770</c:v>
                </c:pt>
                <c:pt idx="1024">
                  <c:v>44771</c:v>
                </c:pt>
                <c:pt idx="1025">
                  <c:v>44774</c:v>
                </c:pt>
                <c:pt idx="1026">
                  <c:v>44775</c:v>
                </c:pt>
                <c:pt idx="1027">
                  <c:v>44776</c:v>
                </c:pt>
                <c:pt idx="1028">
                  <c:v>44777</c:v>
                </c:pt>
                <c:pt idx="1029">
                  <c:v>44778</c:v>
                </c:pt>
                <c:pt idx="1030">
                  <c:v>44781</c:v>
                </c:pt>
                <c:pt idx="1031">
                  <c:v>44782</c:v>
                </c:pt>
                <c:pt idx="1032">
                  <c:v>44783</c:v>
                </c:pt>
                <c:pt idx="1033">
                  <c:v>44784</c:v>
                </c:pt>
                <c:pt idx="1034">
                  <c:v>44785</c:v>
                </c:pt>
                <c:pt idx="1035">
                  <c:v>44788</c:v>
                </c:pt>
                <c:pt idx="1036">
                  <c:v>44789</c:v>
                </c:pt>
                <c:pt idx="1037">
                  <c:v>44790</c:v>
                </c:pt>
                <c:pt idx="1038">
                  <c:v>44791</c:v>
                </c:pt>
                <c:pt idx="1039">
                  <c:v>44792</c:v>
                </c:pt>
                <c:pt idx="1040">
                  <c:v>44795</c:v>
                </c:pt>
                <c:pt idx="1041">
                  <c:v>44796</c:v>
                </c:pt>
                <c:pt idx="1042">
                  <c:v>44797</c:v>
                </c:pt>
                <c:pt idx="1043">
                  <c:v>44798</c:v>
                </c:pt>
                <c:pt idx="1044">
                  <c:v>44799</c:v>
                </c:pt>
                <c:pt idx="1045">
                  <c:v>44802</c:v>
                </c:pt>
                <c:pt idx="1046">
                  <c:v>44803</c:v>
                </c:pt>
                <c:pt idx="1047">
                  <c:v>44804</c:v>
                </c:pt>
                <c:pt idx="1048">
                  <c:v>44805</c:v>
                </c:pt>
                <c:pt idx="1049">
                  <c:v>44806</c:v>
                </c:pt>
                <c:pt idx="1050">
                  <c:v>44810</c:v>
                </c:pt>
                <c:pt idx="1051">
                  <c:v>44811</c:v>
                </c:pt>
                <c:pt idx="1052">
                  <c:v>44812</c:v>
                </c:pt>
                <c:pt idx="1053">
                  <c:v>44813</c:v>
                </c:pt>
                <c:pt idx="1054">
                  <c:v>44816</c:v>
                </c:pt>
                <c:pt idx="1055">
                  <c:v>44817</c:v>
                </c:pt>
                <c:pt idx="1056">
                  <c:v>44818</c:v>
                </c:pt>
                <c:pt idx="1057">
                  <c:v>44819</c:v>
                </c:pt>
                <c:pt idx="1058">
                  <c:v>44820</c:v>
                </c:pt>
                <c:pt idx="1059">
                  <c:v>44823</c:v>
                </c:pt>
                <c:pt idx="1060">
                  <c:v>44824</c:v>
                </c:pt>
                <c:pt idx="1061">
                  <c:v>44825</c:v>
                </c:pt>
                <c:pt idx="1062">
                  <c:v>44826</c:v>
                </c:pt>
                <c:pt idx="1063">
                  <c:v>44827</c:v>
                </c:pt>
                <c:pt idx="1064">
                  <c:v>44830</c:v>
                </c:pt>
                <c:pt idx="1065">
                  <c:v>44831</c:v>
                </c:pt>
                <c:pt idx="1066">
                  <c:v>44832</c:v>
                </c:pt>
                <c:pt idx="1067">
                  <c:v>44833</c:v>
                </c:pt>
                <c:pt idx="1068">
                  <c:v>44834</c:v>
                </c:pt>
                <c:pt idx="1069">
                  <c:v>44837</c:v>
                </c:pt>
                <c:pt idx="1070">
                  <c:v>44838</c:v>
                </c:pt>
                <c:pt idx="1071">
                  <c:v>44839</c:v>
                </c:pt>
                <c:pt idx="1072">
                  <c:v>44840</c:v>
                </c:pt>
                <c:pt idx="1073">
                  <c:v>44841</c:v>
                </c:pt>
                <c:pt idx="1074">
                  <c:v>44844</c:v>
                </c:pt>
                <c:pt idx="1075">
                  <c:v>44845</c:v>
                </c:pt>
                <c:pt idx="1076">
                  <c:v>44846</c:v>
                </c:pt>
                <c:pt idx="1077">
                  <c:v>44847</c:v>
                </c:pt>
                <c:pt idx="1078">
                  <c:v>44848</c:v>
                </c:pt>
                <c:pt idx="1079">
                  <c:v>44851</c:v>
                </c:pt>
                <c:pt idx="1080">
                  <c:v>44852</c:v>
                </c:pt>
                <c:pt idx="1081">
                  <c:v>44853</c:v>
                </c:pt>
                <c:pt idx="1082">
                  <c:v>44854</c:v>
                </c:pt>
                <c:pt idx="1083">
                  <c:v>44855</c:v>
                </c:pt>
                <c:pt idx="1084">
                  <c:v>44858</c:v>
                </c:pt>
                <c:pt idx="1085">
                  <c:v>44859</c:v>
                </c:pt>
                <c:pt idx="1086">
                  <c:v>44860</c:v>
                </c:pt>
                <c:pt idx="1087">
                  <c:v>44861</c:v>
                </c:pt>
                <c:pt idx="1088">
                  <c:v>44862</c:v>
                </c:pt>
                <c:pt idx="1089">
                  <c:v>44865</c:v>
                </c:pt>
                <c:pt idx="1090">
                  <c:v>44866</c:v>
                </c:pt>
                <c:pt idx="1091">
                  <c:v>44867</c:v>
                </c:pt>
                <c:pt idx="1092">
                  <c:v>44868</c:v>
                </c:pt>
                <c:pt idx="1093">
                  <c:v>44869</c:v>
                </c:pt>
                <c:pt idx="1094">
                  <c:v>44872</c:v>
                </c:pt>
                <c:pt idx="1095">
                  <c:v>44873</c:v>
                </c:pt>
                <c:pt idx="1096">
                  <c:v>44874</c:v>
                </c:pt>
                <c:pt idx="1097">
                  <c:v>44875</c:v>
                </c:pt>
                <c:pt idx="1098">
                  <c:v>44876</c:v>
                </c:pt>
                <c:pt idx="1099">
                  <c:v>44879</c:v>
                </c:pt>
                <c:pt idx="1100">
                  <c:v>44880</c:v>
                </c:pt>
                <c:pt idx="1101">
                  <c:v>44881</c:v>
                </c:pt>
                <c:pt idx="1102">
                  <c:v>44882</c:v>
                </c:pt>
                <c:pt idx="1103">
                  <c:v>44883</c:v>
                </c:pt>
                <c:pt idx="1104">
                  <c:v>44886</c:v>
                </c:pt>
                <c:pt idx="1105">
                  <c:v>44887</c:v>
                </c:pt>
                <c:pt idx="1106">
                  <c:v>44888</c:v>
                </c:pt>
                <c:pt idx="1107">
                  <c:v>44890</c:v>
                </c:pt>
                <c:pt idx="1108">
                  <c:v>44893</c:v>
                </c:pt>
                <c:pt idx="1109">
                  <c:v>44894</c:v>
                </c:pt>
                <c:pt idx="1110">
                  <c:v>44895</c:v>
                </c:pt>
                <c:pt idx="1111">
                  <c:v>44896</c:v>
                </c:pt>
                <c:pt idx="1112">
                  <c:v>44897</c:v>
                </c:pt>
                <c:pt idx="1113">
                  <c:v>44900</c:v>
                </c:pt>
                <c:pt idx="1114">
                  <c:v>44901</c:v>
                </c:pt>
                <c:pt idx="1115">
                  <c:v>44902</c:v>
                </c:pt>
                <c:pt idx="1116">
                  <c:v>44903</c:v>
                </c:pt>
                <c:pt idx="1117">
                  <c:v>44904</c:v>
                </c:pt>
                <c:pt idx="1118">
                  <c:v>44907</c:v>
                </c:pt>
                <c:pt idx="1119">
                  <c:v>44908</c:v>
                </c:pt>
                <c:pt idx="1120">
                  <c:v>44909</c:v>
                </c:pt>
                <c:pt idx="1121">
                  <c:v>44910</c:v>
                </c:pt>
                <c:pt idx="1122">
                  <c:v>44911</c:v>
                </c:pt>
                <c:pt idx="1123">
                  <c:v>44914</c:v>
                </c:pt>
                <c:pt idx="1124">
                  <c:v>44915</c:v>
                </c:pt>
                <c:pt idx="1125">
                  <c:v>44916</c:v>
                </c:pt>
                <c:pt idx="1126">
                  <c:v>44917</c:v>
                </c:pt>
                <c:pt idx="1127">
                  <c:v>44918</c:v>
                </c:pt>
                <c:pt idx="1128">
                  <c:v>44922</c:v>
                </c:pt>
                <c:pt idx="1129">
                  <c:v>44923</c:v>
                </c:pt>
                <c:pt idx="1130">
                  <c:v>44924</c:v>
                </c:pt>
                <c:pt idx="1131">
                  <c:v>44925</c:v>
                </c:pt>
                <c:pt idx="1132">
                  <c:v>44929</c:v>
                </c:pt>
                <c:pt idx="1133">
                  <c:v>44930</c:v>
                </c:pt>
                <c:pt idx="1134">
                  <c:v>44931</c:v>
                </c:pt>
                <c:pt idx="1135">
                  <c:v>44932</c:v>
                </c:pt>
                <c:pt idx="1136">
                  <c:v>44935</c:v>
                </c:pt>
                <c:pt idx="1137">
                  <c:v>44936</c:v>
                </c:pt>
                <c:pt idx="1138">
                  <c:v>44937</c:v>
                </c:pt>
                <c:pt idx="1139">
                  <c:v>44938</c:v>
                </c:pt>
                <c:pt idx="1140">
                  <c:v>44939</c:v>
                </c:pt>
                <c:pt idx="1141">
                  <c:v>44943</c:v>
                </c:pt>
                <c:pt idx="1142">
                  <c:v>44944</c:v>
                </c:pt>
                <c:pt idx="1143">
                  <c:v>44945</c:v>
                </c:pt>
                <c:pt idx="1144">
                  <c:v>44946</c:v>
                </c:pt>
                <c:pt idx="1145">
                  <c:v>44949</c:v>
                </c:pt>
                <c:pt idx="1146">
                  <c:v>44950</c:v>
                </c:pt>
                <c:pt idx="1147">
                  <c:v>44951</c:v>
                </c:pt>
                <c:pt idx="1148">
                  <c:v>44952</c:v>
                </c:pt>
                <c:pt idx="1149">
                  <c:v>44953</c:v>
                </c:pt>
                <c:pt idx="1150">
                  <c:v>44956</c:v>
                </c:pt>
                <c:pt idx="1151">
                  <c:v>44957</c:v>
                </c:pt>
                <c:pt idx="1152">
                  <c:v>44958</c:v>
                </c:pt>
                <c:pt idx="1153">
                  <c:v>44959</c:v>
                </c:pt>
                <c:pt idx="1154">
                  <c:v>44960</c:v>
                </c:pt>
                <c:pt idx="1155">
                  <c:v>44963</c:v>
                </c:pt>
                <c:pt idx="1156">
                  <c:v>44964</c:v>
                </c:pt>
                <c:pt idx="1157">
                  <c:v>44965</c:v>
                </c:pt>
                <c:pt idx="1158">
                  <c:v>44966</c:v>
                </c:pt>
                <c:pt idx="1159">
                  <c:v>44967</c:v>
                </c:pt>
                <c:pt idx="1160">
                  <c:v>44970</c:v>
                </c:pt>
                <c:pt idx="1161">
                  <c:v>44971</c:v>
                </c:pt>
                <c:pt idx="1162">
                  <c:v>44972</c:v>
                </c:pt>
                <c:pt idx="1163">
                  <c:v>44973</c:v>
                </c:pt>
                <c:pt idx="1164">
                  <c:v>44974</c:v>
                </c:pt>
                <c:pt idx="1165">
                  <c:v>44978</c:v>
                </c:pt>
                <c:pt idx="1166">
                  <c:v>44979</c:v>
                </c:pt>
                <c:pt idx="1167">
                  <c:v>44980</c:v>
                </c:pt>
                <c:pt idx="1168">
                  <c:v>44981</c:v>
                </c:pt>
                <c:pt idx="1169">
                  <c:v>44984</c:v>
                </c:pt>
                <c:pt idx="1170">
                  <c:v>44985</c:v>
                </c:pt>
                <c:pt idx="1171">
                  <c:v>44986</c:v>
                </c:pt>
                <c:pt idx="1172">
                  <c:v>44987</c:v>
                </c:pt>
                <c:pt idx="1173">
                  <c:v>44988</c:v>
                </c:pt>
                <c:pt idx="1174">
                  <c:v>44991</c:v>
                </c:pt>
                <c:pt idx="1175">
                  <c:v>44992</c:v>
                </c:pt>
                <c:pt idx="1176">
                  <c:v>44993</c:v>
                </c:pt>
                <c:pt idx="1177">
                  <c:v>44994</c:v>
                </c:pt>
                <c:pt idx="1178">
                  <c:v>44995</c:v>
                </c:pt>
                <c:pt idx="1179">
                  <c:v>44998</c:v>
                </c:pt>
                <c:pt idx="1180">
                  <c:v>44999</c:v>
                </c:pt>
                <c:pt idx="1181">
                  <c:v>45000</c:v>
                </c:pt>
                <c:pt idx="1182">
                  <c:v>45001</c:v>
                </c:pt>
                <c:pt idx="1183">
                  <c:v>45002</c:v>
                </c:pt>
                <c:pt idx="1184">
                  <c:v>45005</c:v>
                </c:pt>
                <c:pt idx="1185">
                  <c:v>45006</c:v>
                </c:pt>
                <c:pt idx="1186">
                  <c:v>45007</c:v>
                </c:pt>
                <c:pt idx="1187">
                  <c:v>45008</c:v>
                </c:pt>
                <c:pt idx="1188">
                  <c:v>45009</c:v>
                </c:pt>
                <c:pt idx="1189">
                  <c:v>45012</c:v>
                </c:pt>
                <c:pt idx="1190">
                  <c:v>45013</c:v>
                </c:pt>
                <c:pt idx="1191">
                  <c:v>45014</c:v>
                </c:pt>
                <c:pt idx="1192">
                  <c:v>45015</c:v>
                </c:pt>
                <c:pt idx="1193">
                  <c:v>45016</c:v>
                </c:pt>
                <c:pt idx="1194">
                  <c:v>45019</c:v>
                </c:pt>
                <c:pt idx="1195">
                  <c:v>45020</c:v>
                </c:pt>
                <c:pt idx="1196">
                  <c:v>45021</c:v>
                </c:pt>
                <c:pt idx="1197">
                  <c:v>45022</c:v>
                </c:pt>
                <c:pt idx="1198">
                  <c:v>45026</c:v>
                </c:pt>
                <c:pt idx="1199">
                  <c:v>45027</c:v>
                </c:pt>
                <c:pt idx="1200">
                  <c:v>45028</c:v>
                </c:pt>
                <c:pt idx="1201">
                  <c:v>45029</c:v>
                </c:pt>
                <c:pt idx="1202">
                  <c:v>45030</c:v>
                </c:pt>
                <c:pt idx="1203">
                  <c:v>45033</c:v>
                </c:pt>
                <c:pt idx="1204">
                  <c:v>45034</c:v>
                </c:pt>
                <c:pt idx="1205">
                  <c:v>45035</c:v>
                </c:pt>
                <c:pt idx="1206">
                  <c:v>45036</c:v>
                </c:pt>
                <c:pt idx="1207">
                  <c:v>45037</c:v>
                </c:pt>
                <c:pt idx="1208">
                  <c:v>45040</c:v>
                </c:pt>
                <c:pt idx="1209">
                  <c:v>45041</c:v>
                </c:pt>
                <c:pt idx="1210">
                  <c:v>45042</c:v>
                </c:pt>
                <c:pt idx="1211">
                  <c:v>45043</c:v>
                </c:pt>
                <c:pt idx="1212">
                  <c:v>45044</c:v>
                </c:pt>
                <c:pt idx="1213">
                  <c:v>45047</c:v>
                </c:pt>
                <c:pt idx="1214">
                  <c:v>45048</c:v>
                </c:pt>
                <c:pt idx="1215">
                  <c:v>45049</c:v>
                </c:pt>
                <c:pt idx="1216">
                  <c:v>45050</c:v>
                </c:pt>
                <c:pt idx="1217">
                  <c:v>45051</c:v>
                </c:pt>
                <c:pt idx="1218">
                  <c:v>45054</c:v>
                </c:pt>
                <c:pt idx="1219">
                  <c:v>45055</c:v>
                </c:pt>
                <c:pt idx="1220">
                  <c:v>45056</c:v>
                </c:pt>
                <c:pt idx="1221">
                  <c:v>45057</c:v>
                </c:pt>
                <c:pt idx="1222">
                  <c:v>45058</c:v>
                </c:pt>
                <c:pt idx="1223">
                  <c:v>45061</c:v>
                </c:pt>
                <c:pt idx="1224">
                  <c:v>45062</c:v>
                </c:pt>
                <c:pt idx="1225">
                  <c:v>45063</c:v>
                </c:pt>
                <c:pt idx="1226">
                  <c:v>45064</c:v>
                </c:pt>
                <c:pt idx="1227">
                  <c:v>45065</c:v>
                </c:pt>
                <c:pt idx="1228">
                  <c:v>45068</c:v>
                </c:pt>
                <c:pt idx="1229">
                  <c:v>45069</c:v>
                </c:pt>
                <c:pt idx="1230">
                  <c:v>45070</c:v>
                </c:pt>
                <c:pt idx="1231">
                  <c:v>45071</c:v>
                </c:pt>
                <c:pt idx="1232">
                  <c:v>45072</c:v>
                </c:pt>
                <c:pt idx="1233">
                  <c:v>45076</c:v>
                </c:pt>
                <c:pt idx="1234">
                  <c:v>45077</c:v>
                </c:pt>
                <c:pt idx="1235">
                  <c:v>45078</c:v>
                </c:pt>
                <c:pt idx="1236">
                  <c:v>45079</c:v>
                </c:pt>
                <c:pt idx="1237">
                  <c:v>45082</c:v>
                </c:pt>
                <c:pt idx="1238">
                  <c:v>45083</c:v>
                </c:pt>
                <c:pt idx="1239">
                  <c:v>45084</c:v>
                </c:pt>
                <c:pt idx="1240">
                  <c:v>45085</c:v>
                </c:pt>
                <c:pt idx="1241">
                  <c:v>45086</c:v>
                </c:pt>
                <c:pt idx="1242">
                  <c:v>45089</c:v>
                </c:pt>
                <c:pt idx="1243">
                  <c:v>45090</c:v>
                </c:pt>
                <c:pt idx="1244">
                  <c:v>45091</c:v>
                </c:pt>
                <c:pt idx="1245">
                  <c:v>45092</c:v>
                </c:pt>
                <c:pt idx="1246">
                  <c:v>45093</c:v>
                </c:pt>
                <c:pt idx="1247">
                  <c:v>45097</c:v>
                </c:pt>
                <c:pt idx="1248">
                  <c:v>45098</c:v>
                </c:pt>
                <c:pt idx="1249">
                  <c:v>45099</c:v>
                </c:pt>
                <c:pt idx="1250">
                  <c:v>45100</c:v>
                </c:pt>
                <c:pt idx="1251">
                  <c:v>45103</c:v>
                </c:pt>
                <c:pt idx="1252">
                  <c:v>45104</c:v>
                </c:pt>
                <c:pt idx="1253">
                  <c:v>45105</c:v>
                </c:pt>
                <c:pt idx="1254">
                  <c:v>45106</c:v>
                </c:pt>
              </c:numCache>
            </c:numRef>
          </c:cat>
          <c:val>
            <c:numRef>
              <c:f>'Stock Chart'!$C$2:$C$1256</c:f>
              <c:numCache>
                <c:formatCode>0.00_);[Red]\(0.00\)</c:formatCode>
                <c:ptCount val="1255"/>
                <c:pt idx="0">
                  <c:v>100</c:v>
                </c:pt>
                <c:pt idx="1">
                  <c:v>101.71115674195757</c:v>
                </c:pt>
                <c:pt idx="2">
                  <c:v>103.96988364134154</c:v>
                </c:pt>
                <c:pt idx="3">
                  <c:v>104.85968514715948</c:v>
                </c:pt>
                <c:pt idx="4">
                  <c:v>104.51745379876797</c:v>
                </c:pt>
                <c:pt idx="5">
                  <c:v>103.96988364134154</c:v>
                </c:pt>
                <c:pt idx="6">
                  <c:v>103.35386721423683</c:v>
                </c:pt>
                <c:pt idx="7">
                  <c:v>103.28542094455852</c:v>
                </c:pt>
                <c:pt idx="8">
                  <c:v>103.42231348391513</c:v>
                </c:pt>
                <c:pt idx="9">
                  <c:v>104.24366872005477</c:v>
                </c:pt>
                <c:pt idx="10">
                  <c:v>102.39561943874061</c:v>
                </c:pt>
                <c:pt idx="11">
                  <c:v>103.49075975359344</c:v>
                </c:pt>
                <c:pt idx="12">
                  <c:v>103.08008213552363</c:v>
                </c:pt>
                <c:pt idx="13">
                  <c:v>102.60095824777551</c:v>
                </c:pt>
                <c:pt idx="14">
                  <c:v>103.08008213552363</c:v>
                </c:pt>
                <c:pt idx="15">
                  <c:v>105.20191649555099</c:v>
                </c:pt>
                <c:pt idx="16">
                  <c:v>104.51745379876797</c:v>
                </c:pt>
                <c:pt idx="17">
                  <c:v>98.083504449007535</c:v>
                </c:pt>
                <c:pt idx="18">
                  <c:v>101.36892539356606</c:v>
                </c:pt>
                <c:pt idx="19">
                  <c:v>102.73785078713212</c:v>
                </c:pt>
                <c:pt idx="20">
                  <c:v>101.91649555099247</c:v>
                </c:pt>
                <c:pt idx="21">
                  <c:v>100.47912388774812</c:v>
                </c:pt>
                <c:pt idx="22">
                  <c:v>100.61601642710471</c:v>
                </c:pt>
                <c:pt idx="23">
                  <c:v>100.61601642710471</c:v>
                </c:pt>
                <c:pt idx="24">
                  <c:v>101.16358658453115</c:v>
                </c:pt>
                <c:pt idx="25">
                  <c:v>112.11498973305956</c:v>
                </c:pt>
                <c:pt idx="26">
                  <c:v>109.51403148528405</c:v>
                </c:pt>
                <c:pt idx="27">
                  <c:v>110.13004791238879</c:v>
                </c:pt>
                <c:pt idx="28">
                  <c:v>110.67761806981522</c:v>
                </c:pt>
                <c:pt idx="29">
                  <c:v>109.37713894592744</c:v>
                </c:pt>
                <c:pt idx="30">
                  <c:v>110.19849418206708</c:v>
                </c:pt>
                <c:pt idx="31">
                  <c:v>108.48733744010953</c:v>
                </c:pt>
                <c:pt idx="32">
                  <c:v>109.78781656399725</c:v>
                </c:pt>
                <c:pt idx="33">
                  <c:v>109.51403148528405</c:v>
                </c:pt>
                <c:pt idx="34">
                  <c:v>109.30869267624917</c:v>
                </c:pt>
                <c:pt idx="35">
                  <c:v>106.77618069815196</c:v>
                </c:pt>
                <c:pt idx="36">
                  <c:v>106.70773442847366</c:v>
                </c:pt>
                <c:pt idx="37">
                  <c:v>109.58247775496237</c:v>
                </c:pt>
                <c:pt idx="38">
                  <c:v>109.51403148528405</c:v>
                </c:pt>
                <c:pt idx="39">
                  <c:v>109.51403148528405</c:v>
                </c:pt>
                <c:pt idx="40">
                  <c:v>108.48733744010953</c:v>
                </c:pt>
                <c:pt idx="41">
                  <c:v>109.30869267624917</c:v>
                </c:pt>
                <c:pt idx="42">
                  <c:v>107.52908966461329</c:v>
                </c:pt>
                <c:pt idx="43">
                  <c:v>104.85968514715948</c:v>
                </c:pt>
                <c:pt idx="44">
                  <c:v>104.17522245037647</c:v>
                </c:pt>
                <c:pt idx="45">
                  <c:v>105.06502395619439</c:v>
                </c:pt>
                <c:pt idx="46">
                  <c:v>103.49075975359344</c:v>
                </c:pt>
                <c:pt idx="47">
                  <c:v>104.79123887748119</c:v>
                </c:pt>
                <c:pt idx="48">
                  <c:v>106.36550308008212</c:v>
                </c:pt>
                <c:pt idx="49">
                  <c:v>105.27036276522929</c:v>
                </c:pt>
                <c:pt idx="50">
                  <c:v>104.99657768651609</c:v>
                </c:pt>
                <c:pt idx="51">
                  <c:v>106.43394934976045</c:v>
                </c:pt>
                <c:pt idx="52">
                  <c:v>107.5975359342916</c:v>
                </c:pt>
                <c:pt idx="53">
                  <c:v>108.21355236139631</c:v>
                </c:pt>
                <c:pt idx="54">
                  <c:v>109.37713894592744</c:v>
                </c:pt>
                <c:pt idx="55">
                  <c:v>109.44558521560575</c:v>
                </c:pt>
                <c:pt idx="56">
                  <c:v>105.74948665297741</c:v>
                </c:pt>
                <c:pt idx="57">
                  <c:v>105.54414784394251</c:v>
                </c:pt>
                <c:pt idx="58">
                  <c:v>104.10677618069816</c:v>
                </c:pt>
                <c:pt idx="59">
                  <c:v>103.90143737166323</c:v>
                </c:pt>
                <c:pt idx="60">
                  <c:v>105.68104038329911</c:v>
                </c:pt>
                <c:pt idx="61">
                  <c:v>103.69609856262834</c:v>
                </c:pt>
                <c:pt idx="62">
                  <c:v>103.35386721423683</c:v>
                </c:pt>
                <c:pt idx="63">
                  <c:v>103.90143737166323</c:v>
                </c:pt>
                <c:pt idx="64">
                  <c:v>102.05338809034907</c:v>
                </c:pt>
                <c:pt idx="65">
                  <c:v>102.60095824777551</c:v>
                </c:pt>
                <c:pt idx="66">
                  <c:v>102.05338809034907</c:v>
                </c:pt>
                <c:pt idx="67">
                  <c:v>101.43737166324436</c:v>
                </c:pt>
                <c:pt idx="68">
                  <c:v>101.98494182067077</c:v>
                </c:pt>
                <c:pt idx="69">
                  <c:v>102.66940451745381</c:v>
                </c:pt>
                <c:pt idx="70">
                  <c:v>103.14852840520192</c:v>
                </c:pt>
                <c:pt idx="71">
                  <c:v>105.68104038329911</c:v>
                </c:pt>
                <c:pt idx="72">
                  <c:v>108.07665982203969</c:v>
                </c:pt>
                <c:pt idx="73">
                  <c:v>106.02327173169064</c:v>
                </c:pt>
                <c:pt idx="74">
                  <c:v>104.92813141683779</c:v>
                </c:pt>
                <c:pt idx="75">
                  <c:v>103.90143737166323</c:v>
                </c:pt>
                <c:pt idx="76">
                  <c:v>105.20191649555099</c:v>
                </c:pt>
                <c:pt idx="77">
                  <c:v>104.44900752908967</c:v>
                </c:pt>
                <c:pt idx="78">
                  <c:v>100.88980150581794</c:v>
                </c:pt>
                <c:pt idx="79">
                  <c:v>104.24366872005477</c:v>
                </c:pt>
                <c:pt idx="80">
                  <c:v>101.71115674195757</c:v>
                </c:pt>
                <c:pt idx="81">
                  <c:v>98.973305954825477</c:v>
                </c:pt>
                <c:pt idx="82">
                  <c:v>101.98494182067077</c:v>
                </c:pt>
                <c:pt idx="83">
                  <c:v>101.91649555099247</c:v>
                </c:pt>
                <c:pt idx="84">
                  <c:v>104.10677618069816</c:v>
                </c:pt>
                <c:pt idx="85">
                  <c:v>103.14852840520192</c:v>
                </c:pt>
                <c:pt idx="86">
                  <c:v>104.38056125941138</c:v>
                </c:pt>
                <c:pt idx="87">
                  <c:v>104.99657768651609</c:v>
                </c:pt>
                <c:pt idx="88">
                  <c:v>109.17180013689254</c:v>
                </c:pt>
                <c:pt idx="89">
                  <c:v>108.48733744010953</c:v>
                </c:pt>
                <c:pt idx="90">
                  <c:v>108.82956878850104</c:v>
                </c:pt>
                <c:pt idx="91">
                  <c:v>109.03490759753593</c:v>
                </c:pt>
                <c:pt idx="92">
                  <c:v>106.29705681040382</c:v>
                </c:pt>
                <c:pt idx="93">
                  <c:v>96.748802190280642</c:v>
                </c:pt>
                <c:pt idx="94">
                  <c:v>98.973305954825477</c:v>
                </c:pt>
                <c:pt idx="95">
                  <c:v>101.84804928131416</c:v>
                </c:pt>
                <c:pt idx="96">
                  <c:v>102.60095824777551</c:v>
                </c:pt>
                <c:pt idx="97">
                  <c:v>99.726214921286797</c:v>
                </c:pt>
                <c:pt idx="98">
                  <c:v>99.24709103353868</c:v>
                </c:pt>
                <c:pt idx="99">
                  <c:v>99.178644763860376</c:v>
                </c:pt>
                <c:pt idx="100">
                  <c:v>101.64271047227926</c:v>
                </c:pt>
                <c:pt idx="101">
                  <c:v>99.863107460643391</c:v>
                </c:pt>
                <c:pt idx="102">
                  <c:v>99.520876112251884</c:v>
                </c:pt>
                <c:pt idx="103">
                  <c:v>102.39561943874061</c:v>
                </c:pt>
                <c:pt idx="104">
                  <c:v>100.95824777549625</c:v>
                </c:pt>
                <c:pt idx="105">
                  <c:v>105.78370978781658</c:v>
                </c:pt>
                <c:pt idx="106">
                  <c:v>103.14852840520192</c:v>
                </c:pt>
                <c:pt idx="107">
                  <c:v>102.4640657084189</c:v>
                </c:pt>
                <c:pt idx="108">
                  <c:v>100.54757015742641</c:v>
                </c:pt>
                <c:pt idx="109">
                  <c:v>99.863107460643391</c:v>
                </c:pt>
                <c:pt idx="110">
                  <c:v>100.54757015742641</c:v>
                </c:pt>
                <c:pt idx="111">
                  <c:v>105.4072553045859</c:v>
                </c:pt>
                <c:pt idx="112">
                  <c:v>102.4640657084189</c:v>
                </c:pt>
                <c:pt idx="113">
                  <c:v>102.39561943874061</c:v>
                </c:pt>
                <c:pt idx="114">
                  <c:v>100.2053388090349</c:v>
                </c:pt>
                <c:pt idx="115">
                  <c:v>101.16358658453115</c:v>
                </c:pt>
                <c:pt idx="116">
                  <c:v>99.657768651608492</c:v>
                </c:pt>
                <c:pt idx="117">
                  <c:v>98.69952087611226</c:v>
                </c:pt>
                <c:pt idx="118">
                  <c:v>95.140314852840518</c:v>
                </c:pt>
                <c:pt idx="119">
                  <c:v>95.687885010266953</c:v>
                </c:pt>
                <c:pt idx="120">
                  <c:v>99.520876112251884</c:v>
                </c:pt>
                <c:pt idx="121">
                  <c:v>100.47912388774812</c:v>
                </c:pt>
                <c:pt idx="122">
                  <c:v>101.43737166324436</c:v>
                </c:pt>
                <c:pt idx="123">
                  <c:v>104.31211498973308</c:v>
                </c:pt>
                <c:pt idx="124">
                  <c:v>105.1334702258727</c:v>
                </c:pt>
                <c:pt idx="125">
                  <c:v>99.726214921286797</c:v>
                </c:pt>
                <c:pt idx="126">
                  <c:v>103.08008213552363</c:v>
                </c:pt>
                <c:pt idx="127">
                  <c:v>102.60095824777551</c:v>
                </c:pt>
                <c:pt idx="128">
                  <c:v>101.43737166324436</c:v>
                </c:pt>
                <c:pt idx="129">
                  <c:v>104.10677618069816</c:v>
                </c:pt>
                <c:pt idx="130">
                  <c:v>104.31211498973308</c:v>
                </c:pt>
                <c:pt idx="131">
                  <c:v>103.35386721423683</c:v>
                </c:pt>
                <c:pt idx="132">
                  <c:v>103.01163586584532</c:v>
                </c:pt>
                <c:pt idx="133">
                  <c:v>103.96988364134154</c:v>
                </c:pt>
                <c:pt idx="134">
                  <c:v>104.38056125941138</c:v>
                </c:pt>
                <c:pt idx="135">
                  <c:v>104.44900752908967</c:v>
                </c:pt>
                <c:pt idx="136">
                  <c:v>104.58590006844628</c:v>
                </c:pt>
                <c:pt idx="137">
                  <c:v>106.50239561943874</c:v>
                </c:pt>
                <c:pt idx="138">
                  <c:v>106.91307323750856</c:v>
                </c:pt>
                <c:pt idx="139">
                  <c:v>107.52908966461329</c:v>
                </c:pt>
                <c:pt idx="140">
                  <c:v>108.41889117043122</c:v>
                </c:pt>
                <c:pt idx="141">
                  <c:v>108.96646132785763</c:v>
                </c:pt>
                <c:pt idx="142">
                  <c:v>107.73442847364821</c:v>
                </c:pt>
                <c:pt idx="143">
                  <c:v>107.46064339493498</c:v>
                </c:pt>
                <c:pt idx="144">
                  <c:v>109.51403148528405</c:v>
                </c:pt>
                <c:pt idx="145">
                  <c:v>107.46064339493498</c:v>
                </c:pt>
                <c:pt idx="146">
                  <c:v>108.55578370978782</c:v>
                </c:pt>
                <c:pt idx="147">
                  <c:v>108.55578370978782</c:v>
                </c:pt>
                <c:pt idx="148">
                  <c:v>103.35386721423683</c:v>
                </c:pt>
                <c:pt idx="149">
                  <c:v>101.71115674195757</c:v>
                </c:pt>
                <c:pt idx="150">
                  <c:v>102.39561943874061</c:v>
                </c:pt>
                <c:pt idx="151">
                  <c:v>103.21697467488022</c:v>
                </c:pt>
                <c:pt idx="152">
                  <c:v>103.01163586584532</c:v>
                </c:pt>
                <c:pt idx="153">
                  <c:v>103.42231348391513</c:v>
                </c:pt>
                <c:pt idx="154">
                  <c:v>102.32717316906228</c:v>
                </c:pt>
                <c:pt idx="155">
                  <c:v>102.4640657084189</c:v>
                </c:pt>
                <c:pt idx="156">
                  <c:v>101.30047912388775</c:v>
                </c:pt>
                <c:pt idx="157">
                  <c:v>101.16358658453115</c:v>
                </c:pt>
                <c:pt idx="158">
                  <c:v>103.28542094455852</c:v>
                </c:pt>
                <c:pt idx="159">
                  <c:v>101.77960301163587</c:v>
                </c:pt>
                <c:pt idx="160">
                  <c:v>102.87474332648871</c:v>
                </c:pt>
                <c:pt idx="161">
                  <c:v>100.2053388090349</c:v>
                </c:pt>
                <c:pt idx="162">
                  <c:v>100.68446269678304</c:v>
                </c:pt>
                <c:pt idx="163">
                  <c:v>104.65434633812455</c:v>
                </c:pt>
                <c:pt idx="164">
                  <c:v>104.72279260780289</c:v>
                </c:pt>
                <c:pt idx="165">
                  <c:v>103.28542094455852</c:v>
                </c:pt>
                <c:pt idx="166">
                  <c:v>103.35386721423683</c:v>
                </c:pt>
                <c:pt idx="167">
                  <c:v>101.98494182067077</c:v>
                </c:pt>
                <c:pt idx="168">
                  <c:v>100.2053388090349</c:v>
                </c:pt>
                <c:pt idx="169">
                  <c:v>99.315537303216971</c:v>
                </c:pt>
                <c:pt idx="170">
                  <c:v>101.09514031485286</c:v>
                </c:pt>
                <c:pt idx="171">
                  <c:v>101.98494182067077</c:v>
                </c:pt>
                <c:pt idx="172">
                  <c:v>104.44900752908967</c:v>
                </c:pt>
                <c:pt idx="173">
                  <c:v>102.4640657084189</c:v>
                </c:pt>
                <c:pt idx="174">
                  <c:v>103.28542094455852</c:v>
                </c:pt>
                <c:pt idx="175">
                  <c:v>104.38056125941138</c:v>
                </c:pt>
                <c:pt idx="176">
                  <c:v>103.42231348391513</c:v>
                </c:pt>
                <c:pt idx="177">
                  <c:v>104.65434633812455</c:v>
                </c:pt>
                <c:pt idx="178">
                  <c:v>106.22861054072553</c:v>
                </c:pt>
                <c:pt idx="179">
                  <c:v>103.55920602327173</c:v>
                </c:pt>
                <c:pt idx="180">
                  <c:v>101.02669404517455</c:v>
                </c:pt>
                <c:pt idx="181">
                  <c:v>100.88980150581794</c:v>
                </c:pt>
                <c:pt idx="182">
                  <c:v>100.2737850787132</c:v>
                </c:pt>
                <c:pt idx="183">
                  <c:v>101.50581793292265</c:v>
                </c:pt>
                <c:pt idx="184">
                  <c:v>102.4640657084189</c:v>
                </c:pt>
                <c:pt idx="185">
                  <c:v>102.32717316906228</c:v>
                </c:pt>
                <c:pt idx="186">
                  <c:v>103.96988364134154</c:v>
                </c:pt>
                <c:pt idx="187">
                  <c:v>104.38056125941138</c:v>
                </c:pt>
                <c:pt idx="188">
                  <c:v>105.47570157426421</c:v>
                </c:pt>
                <c:pt idx="189">
                  <c:v>106.22861054072553</c:v>
                </c:pt>
                <c:pt idx="190">
                  <c:v>106.84462696783027</c:v>
                </c:pt>
                <c:pt idx="191">
                  <c:v>107.04996577686516</c:v>
                </c:pt>
                <c:pt idx="192">
                  <c:v>107.87132101300479</c:v>
                </c:pt>
                <c:pt idx="193">
                  <c:v>107.46064339493498</c:v>
                </c:pt>
                <c:pt idx="194">
                  <c:v>107.32375085557837</c:v>
                </c:pt>
                <c:pt idx="195">
                  <c:v>106.16016427104724</c:v>
                </c:pt>
                <c:pt idx="196">
                  <c:v>106.09171800136895</c:v>
                </c:pt>
                <c:pt idx="197">
                  <c:v>106.29705681040382</c:v>
                </c:pt>
                <c:pt idx="198">
                  <c:v>107.80287474332648</c:v>
                </c:pt>
                <c:pt idx="199">
                  <c:v>106.63928815879535</c:v>
                </c:pt>
                <c:pt idx="200">
                  <c:v>108.55578370978782</c:v>
                </c:pt>
                <c:pt idx="201">
                  <c:v>107.32375085557837</c:v>
                </c:pt>
                <c:pt idx="202">
                  <c:v>107.18685831622177</c:v>
                </c:pt>
                <c:pt idx="203">
                  <c:v>108.14510609171802</c:v>
                </c:pt>
                <c:pt idx="204">
                  <c:v>107.80287474332648</c:v>
                </c:pt>
                <c:pt idx="205">
                  <c:v>107.73442847364821</c:v>
                </c:pt>
                <c:pt idx="206">
                  <c:v>107.87132101300479</c:v>
                </c:pt>
                <c:pt idx="207">
                  <c:v>109.03490759753593</c:v>
                </c:pt>
                <c:pt idx="208">
                  <c:v>109.17180013689254</c:v>
                </c:pt>
                <c:pt idx="209">
                  <c:v>109.17180013689254</c:v>
                </c:pt>
                <c:pt idx="210">
                  <c:v>108.14510609171802</c:v>
                </c:pt>
                <c:pt idx="211">
                  <c:v>106.84462696783027</c:v>
                </c:pt>
                <c:pt idx="212">
                  <c:v>112.25188227241614</c:v>
                </c:pt>
                <c:pt idx="213">
                  <c:v>112.18343600273786</c:v>
                </c:pt>
                <c:pt idx="214">
                  <c:v>109.44558521560575</c:v>
                </c:pt>
                <c:pt idx="215">
                  <c:v>113.27857631759071</c:v>
                </c:pt>
                <c:pt idx="216">
                  <c:v>115.05817932922655</c:v>
                </c:pt>
                <c:pt idx="217">
                  <c:v>113.55236139630391</c:v>
                </c:pt>
                <c:pt idx="218">
                  <c:v>112.79945242984257</c:v>
                </c:pt>
                <c:pt idx="219">
                  <c:v>111.90965092402465</c:v>
                </c:pt>
                <c:pt idx="220">
                  <c:v>112.93634496919918</c:v>
                </c:pt>
                <c:pt idx="221">
                  <c:v>112.93634496919918</c:v>
                </c:pt>
                <c:pt idx="222">
                  <c:v>112.79945242984257</c:v>
                </c:pt>
                <c:pt idx="223">
                  <c:v>112.86789869952088</c:v>
                </c:pt>
                <c:pt idx="224">
                  <c:v>112.73100616016427</c:v>
                </c:pt>
                <c:pt idx="225">
                  <c:v>113.1416837782341</c:v>
                </c:pt>
                <c:pt idx="226">
                  <c:v>112.93634496919918</c:v>
                </c:pt>
                <c:pt idx="227">
                  <c:v>109.92470910335386</c:v>
                </c:pt>
                <c:pt idx="228">
                  <c:v>112.59411362080766</c:v>
                </c:pt>
                <c:pt idx="229">
                  <c:v>115.19507186858316</c:v>
                </c:pt>
                <c:pt idx="230">
                  <c:v>116.42710472279263</c:v>
                </c:pt>
                <c:pt idx="231">
                  <c:v>116.42710472279263</c:v>
                </c:pt>
                <c:pt idx="232">
                  <c:v>113.41546885694731</c:v>
                </c:pt>
                <c:pt idx="233">
                  <c:v>112.79945242984257</c:v>
                </c:pt>
                <c:pt idx="234">
                  <c:v>111.77275838466802</c:v>
                </c:pt>
                <c:pt idx="235">
                  <c:v>111.43052703627654</c:v>
                </c:pt>
                <c:pt idx="236">
                  <c:v>108.21355236139631</c:v>
                </c:pt>
                <c:pt idx="237">
                  <c:v>108.69267624914443</c:v>
                </c:pt>
                <c:pt idx="238">
                  <c:v>106.77618069815196</c:v>
                </c:pt>
                <c:pt idx="239">
                  <c:v>106.12594113620808</c:v>
                </c:pt>
                <c:pt idx="240">
                  <c:v>107.6659822039699</c:v>
                </c:pt>
                <c:pt idx="241">
                  <c:v>106.22861054072553</c:v>
                </c:pt>
                <c:pt idx="242">
                  <c:v>105.1334702258727</c:v>
                </c:pt>
                <c:pt idx="243">
                  <c:v>102.66940451745381</c:v>
                </c:pt>
                <c:pt idx="244">
                  <c:v>101.91649555099247</c:v>
                </c:pt>
                <c:pt idx="245">
                  <c:v>102.5325119780972</c:v>
                </c:pt>
                <c:pt idx="246">
                  <c:v>104.79123887748119</c:v>
                </c:pt>
                <c:pt idx="247">
                  <c:v>107.52908966461329</c:v>
                </c:pt>
                <c:pt idx="248">
                  <c:v>108.21355236139631</c:v>
                </c:pt>
                <c:pt idx="249">
                  <c:v>108.41889117043122</c:v>
                </c:pt>
                <c:pt idx="250">
                  <c:v>109.51403148528405</c:v>
                </c:pt>
                <c:pt idx="251">
                  <c:v>108.96646132785763</c:v>
                </c:pt>
                <c:pt idx="252">
                  <c:v>108.00821355236138</c:v>
                </c:pt>
                <c:pt idx="253">
                  <c:v>106.70773442847366</c:v>
                </c:pt>
                <c:pt idx="254">
                  <c:v>107.04996577686516</c:v>
                </c:pt>
                <c:pt idx="255">
                  <c:v>108.14510609171802</c:v>
                </c:pt>
                <c:pt idx="256">
                  <c:v>109.92470910335386</c:v>
                </c:pt>
                <c:pt idx="257">
                  <c:v>110.81451060917182</c:v>
                </c:pt>
                <c:pt idx="258">
                  <c:v>111.0198494182067</c:v>
                </c:pt>
                <c:pt idx="259">
                  <c:v>111.43052703627654</c:v>
                </c:pt>
                <c:pt idx="260">
                  <c:v>112.93634496919918</c:v>
                </c:pt>
                <c:pt idx="261">
                  <c:v>112.79945242984257</c:v>
                </c:pt>
                <c:pt idx="262">
                  <c:v>111.36208076659821</c:v>
                </c:pt>
                <c:pt idx="263">
                  <c:v>111.97809719370295</c:v>
                </c:pt>
                <c:pt idx="264">
                  <c:v>112.25188227241614</c:v>
                </c:pt>
                <c:pt idx="265">
                  <c:v>111.36208076659821</c:v>
                </c:pt>
                <c:pt idx="266">
                  <c:v>112.86789869952088</c:v>
                </c:pt>
                <c:pt idx="267">
                  <c:v>112.11498973305956</c:v>
                </c:pt>
                <c:pt idx="268">
                  <c:v>113.27857631759071</c:v>
                </c:pt>
                <c:pt idx="269">
                  <c:v>112.18343600273786</c:v>
                </c:pt>
                <c:pt idx="270">
                  <c:v>112.25188227241614</c:v>
                </c:pt>
                <c:pt idx="271">
                  <c:v>109.44558521560575</c:v>
                </c:pt>
                <c:pt idx="272">
                  <c:v>107.32375085557837</c:v>
                </c:pt>
                <c:pt idx="273">
                  <c:v>106.22861054072553</c:v>
                </c:pt>
                <c:pt idx="274">
                  <c:v>105.68104038329911</c:v>
                </c:pt>
                <c:pt idx="275">
                  <c:v>116.1533196440794</c:v>
                </c:pt>
                <c:pt idx="276">
                  <c:v>121.97125256673512</c:v>
                </c:pt>
                <c:pt idx="277">
                  <c:v>118.75427789185491</c:v>
                </c:pt>
                <c:pt idx="278">
                  <c:v>115.53730321697466</c:v>
                </c:pt>
                <c:pt idx="279">
                  <c:v>113.41546885694731</c:v>
                </c:pt>
                <c:pt idx="280">
                  <c:v>114.03148528405202</c:v>
                </c:pt>
                <c:pt idx="281">
                  <c:v>116.49555099247091</c:v>
                </c:pt>
                <c:pt idx="282">
                  <c:v>117.45379876796716</c:v>
                </c:pt>
                <c:pt idx="283">
                  <c:v>119.98631074606436</c:v>
                </c:pt>
                <c:pt idx="284">
                  <c:v>122.17659137577004</c:v>
                </c:pt>
                <c:pt idx="285">
                  <c:v>122.72416153319645</c:v>
                </c:pt>
                <c:pt idx="286">
                  <c:v>120.05475701574264</c:v>
                </c:pt>
                <c:pt idx="287">
                  <c:v>119.50718685831623</c:v>
                </c:pt>
                <c:pt idx="288">
                  <c:v>118.68583162217658</c:v>
                </c:pt>
                <c:pt idx="289">
                  <c:v>122.51882272416152</c:v>
                </c:pt>
                <c:pt idx="290">
                  <c:v>126.00958247775498</c:v>
                </c:pt>
                <c:pt idx="291">
                  <c:v>125.25667351129364</c:v>
                </c:pt>
                <c:pt idx="292">
                  <c:v>124.43531827515402</c:v>
                </c:pt>
                <c:pt idx="293">
                  <c:v>122.92950034223136</c:v>
                </c:pt>
                <c:pt idx="294">
                  <c:v>123.06639288158796</c:v>
                </c:pt>
                <c:pt idx="295">
                  <c:v>121.01300479123888</c:v>
                </c:pt>
                <c:pt idx="296">
                  <c:v>120.12320328542094</c:v>
                </c:pt>
                <c:pt idx="297">
                  <c:v>112.11498973305956</c:v>
                </c:pt>
                <c:pt idx="298">
                  <c:v>114.23682409308694</c:v>
                </c:pt>
                <c:pt idx="299">
                  <c:v>114.78439425051334</c:v>
                </c:pt>
                <c:pt idx="300">
                  <c:v>115.19507186858316</c:v>
                </c:pt>
                <c:pt idx="301">
                  <c:v>115.94798083504449</c:v>
                </c:pt>
                <c:pt idx="302">
                  <c:v>117.11156741957562</c:v>
                </c:pt>
                <c:pt idx="303">
                  <c:v>119.98631074606436</c:v>
                </c:pt>
                <c:pt idx="304">
                  <c:v>119.78097193702943</c:v>
                </c:pt>
                <c:pt idx="305">
                  <c:v>119.02806297056812</c:v>
                </c:pt>
                <c:pt idx="306">
                  <c:v>117.18001368925395</c:v>
                </c:pt>
                <c:pt idx="307">
                  <c:v>120.12320328542094</c:v>
                </c:pt>
                <c:pt idx="308">
                  <c:v>116.01642710472279</c:v>
                </c:pt>
                <c:pt idx="309">
                  <c:v>114.37371663244353</c:v>
                </c:pt>
                <c:pt idx="310">
                  <c:v>113.75770020533882</c:v>
                </c:pt>
                <c:pt idx="311">
                  <c:v>113.44969199178645</c:v>
                </c:pt>
                <c:pt idx="312">
                  <c:v>112.25188227241614</c:v>
                </c:pt>
                <c:pt idx="313">
                  <c:v>111.97809719370295</c:v>
                </c:pt>
                <c:pt idx="314">
                  <c:v>112.45722108145107</c:v>
                </c:pt>
                <c:pt idx="315">
                  <c:v>111.49897330595482</c:v>
                </c:pt>
                <c:pt idx="316">
                  <c:v>111.84120465434634</c:v>
                </c:pt>
                <c:pt idx="317">
                  <c:v>106.16016427104724</c:v>
                </c:pt>
                <c:pt idx="318">
                  <c:v>104.68856947296372</c:v>
                </c:pt>
                <c:pt idx="319">
                  <c:v>104.38056125941138</c:v>
                </c:pt>
                <c:pt idx="320">
                  <c:v>106.87885010266942</c:v>
                </c:pt>
                <c:pt idx="321">
                  <c:v>105.74948665297741</c:v>
                </c:pt>
                <c:pt idx="322">
                  <c:v>106.29705681040382</c:v>
                </c:pt>
                <c:pt idx="323">
                  <c:v>106.70773442847366</c:v>
                </c:pt>
                <c:pt idx="324">
                  <c:v>107.52908966461329</c:v>
                </c:pt>
                <c:pt idx="325">
                  <c:v>106.43394934976045</c:v>
                </c:pt>
                <c:pt idx="326">
                  <c:v>107.46064339493498</c:v>
                </c:pt>
                <c:pt idx="327">
                  <c:v>106.12594113620808</c:v>
                </c:pt>
                <c:pt idx="328">
                  <c:v>108.69267624914443</c:v>
                </c:pt>
                <c:pt idx="329">
                  <c:v>107.11841204654347</c:v>
                </c:pt>
                <c:pt idx="330">
                  <c:v>108.00821355236138</c:v>
                </c:pt>
                <c:pt idx="331">
                  <c:v>108.07665982203969</c:v>
                </c:pt>
                <c:pt idx="332">
                  <c:v>108.69267624914443</c:v>
                </c:pt>
                <c:pt idx="333">
                  <c:v>106.09171800136895</c:v>
                </c:pt>
                <c:pt idx="334">
                  <c:v>105.78370978781658</c:v>
                </c:pt>
                <c:pt idx="335">
                  <c:v>106.77618069815196</c:v>
                </c:pt>
                <c:pt idx="336">
                  <c:v>109.17180013689254</c:v>
                </c:pt>
                <c:pt idx="337">
                  <c:v>108.82956878850104</c:v>
                </c:pt>
                <c:pt idx="338">
                  <c:v>110.9514031485284</c:v>
                </c:pt>
                <c:pt idx="339">
                  <c:v>115.33196440793978</c:v>
                </c:pt>
                <c:pt idx="340">
                  <c:v>114.09993155373033</c:v>
                </c:pt>
                <c:pt idx="341">
                  <c:v>114.51060917180014</c:v>
                </c:pt>
                <c:pt idx="342">
                  <c:v>114.92128678986995</c:v>
                </c:pt>
                <c:pt idx="343">
                  <c:v>115.26351813826147</c:v>
                </c:pt>
                <c:pt idx="344">
                  <c:v>115.05817932922655</c:v>
                </c:pt>
                <c:pt idx="345">
                  <c:v>114.85284052019166</c:v>
                </c:pt>
                <c:pt idx="346">
                  <c:v>115.05817932922655</c:v>
                </c:pt>
                <c:pt idx="347">
                  <c:v>113.75770020533882</c:v>
                </c:pt>
                <c:pt idx="348">
                  <c:v>113.1416837782341</c:v>
                </c:pt>
                <c:pt idx="349">
                  <c:v>112.11498973305956</c:v>
                </c:pt>
                <c:pt idx="350">
                  <c:v>112.93634496919918</c:v>
                </c:pt>
                <c:pt idx="351">
                  <c:v>115.57152635181384</c:v>
                </c:pt>
                <c:pt idx="352">
                  <c:v>118.06981519507187</c:v>
                </c:pt>
                <c:pt idx="353">
                  <c:v>118.30937713894593</c:v>
                </c:pt>
                <c:pt idx="354">
                  <c:v>118.75427789185491</c:v>
                </c:pt>
                <c:pt idx="355">
                  <c:v>115.74264202600959</c:v>
                </c:pt>
                <c:pt idx="356">
                  <c:v>113.1416837782341</c:v>
                </c:pt>
                <c:pt idx="357">
                  <c:v>113.41546885694731</c:v>
                </c:pt>
                <c:pt idx="358">
                  <c:v>112.73100616016427</c:v>
                </c:pt>
                <c:pt idx="359">
                  <c:v>113.96303901437371</c:v>
                </c:pt>
                <c:pt idx="360">
                  <c:v>111.29363449691994</c:v>
                </c:pt>
                <c:pt idx="361">
                  <c:v>112.38877481177279</c:v>
                </c:pt>
                <c:pt idx="362">
                  <c:v>113.48391512662559</c:v>
                </c:pt>
                <c:pt idx="363">
                  <c:v>115.05817932922655</c:v>
                </c:pt>
                <c:pt idx="364">
                  <c:v>117.31690622861055</c:v>
                </c:pt>
                <c:pt idx="365">
                  <c:v>116.76933607118411</c:v>
                </c:pt>
                <c:pt idx="366">
                  <c:v>118.75427789185491</c:v>
                </c:pt>
                <c:pt idx="367">
                  <c:v>119.64407939767283</c:v>
                </c:pt>
                <c:pt idx="368">
                  <c:v>119.09650924024639</c:v>
                </c:pt>
                <c:pt idx="369">
                  <c:v>119.78097193702943</c:v>
                </c:pt>
                <c:pt idx="370">
                  <c:v>121.7659137577002</c:v>
                </c:pt>
                <c:pt idx="371">
                  <c:v>121.56057494866532</c:v>
                </c:pt>
                <c:pt idx="372">
                  <c:v>122.86105407255306</c:v>
                </c:pt>
                <c:pt idx="373">
                  <c:v>121.62902121834361</c:v>
                </c:pt>
                <c:pt idx="374">
                  <c:v>118.17248459958934</c:v>
                </c:pt>
                <c:pt idx="375">
                  <c:v>120.53388090349075</c:v>
                </c:pt>
                <c:pt idx="376">
                  <c:v>122.03969883641341</c:v>
                </c:pt>
                <c:pt idx="377">
                  <c:v>122.62149212867899</c:v>
                </c:pt>
                <c:pt idx="378">
                  <c:v>123.68240930869267</c:v>
                </c:pt>
                <c:pt idx="379">
                  <c:v>124.36687200547571</c:v>
                </c:pt>
                <c:pt idx="380">
                  <c:v>125.25667351129364</c:v>
                </c:pt>
                <c:pt idx="381">
                  <c:v>124.22997946611909</c:v>
                </c:pt>
                <c:pt idx="382">
                  <c:v>121.90280629705681</c:v>
                </c:pt>
                <c:pt idx="383">
                  <c:v>122.79260780287476</c:v>
                </c:pt>
                <c:pt idx="384">
                  <c:v>122.92950034223136</c:v>
                </c:pt>
                <c:pt idx="385">
                  <c:v>122.51882272416152</c:v>
                </c:pt>
                <c:pt idx="386">
                  <c:v>124.22997946611909</c:v>
                </c:pt>
                <c:pt idx="387">
                  <c:v>124.57221081451063</c:v>
                </c:pt>
                <c:pt idx="388">
                  <c:v>123.20328542094457</c:v>
                </c:pt>
                <c:pt idx="389">
                  <c:v>121.83436002737851</c:v>
                </c:pt>
                <c:pt idx="390">
                  <c:v>121.38945927446953</c:v>
                </c:pt>
                <c:pt idx="391">
                  <c:v>120.80766598220396</c:v>
                </c:pt>
                <c:pt idx="392">
                  <c:v>121.14989733059549</c:v>
                </c:pt>
                <c:pt idx="393">
                  <c:v>140.17796030116358</c:v>
                </c:pt>
                <c:pt idx="394">
                  <c:v>144.69541409993155</c:v>
                </c:pt>
                <c:pt idx="395">
                  <c:v>147.98083504449008</c:v>
                </c:pt>
                <c:pt idx="396">
                  <c:v>142.64202600958248</c:v>
                </c:pt>
                <c:pt idx="397">
                  <c:v>139.52772073921972</c:v>
                </c:pt>
                <c:pt idx="398">
                  <c:v>138.26146475017111</c:v>
                </c:pt>
                <c:pt idx="399">
                  <c:v>137.37166324435319</c:v>
                </c:pt>
                <c:pt idx="400">
                  <c:v>137.71389459274471</c:v>
                </c:pt>
                <c:pt idx="401">
                  <c:v>135.38672142368242</c:v>
                </c:pt>
                <c:pt idx="402">
                  <c:v>135.04449007529092</c:v>
                </c:pt>
                <c:pt idx="403">
                  <c:v>139.83572895277209</c:v>
                </c:pt>
                <c:pt idx="404">
                  <c:v>142.5051334702259</c:v>
                </c:pt>
                <c:pt idx="405">
                  <c:v>142.9158110882957</c:v>
                </c:pt>
                <c:pt idx="406">
                  <c:v>145.44832306639287</c:v>
                </c:pt>
                <c:pt idx="407">
                  <c:v>144.21629021218345</c:v>
                </c:pt>
                <c:pt idx="408">
                  <c:v>145.927446954141</c:v>
                </c:pt>
                <c:pt idx="409">
                  <c:v>145.99589322381931</c:v>
                </c:pt>
                <c:pt idx="410">
                  <c:v>144.35318275154006</c:v>
                </c:pt>
                <c:pt idx="411">
                  <c:v>142.29979466119096</c:v>
                </c:pt>
                <c:pt idx="412">
                  <c:v>142.77891854893909</c:v>
                </c:pt>
                <c:pt idx="413">
                  <c:v>136.68720054757014</c:v>
                </c:pt>
                <c:pt idx="414">
                  <c:v>129.15811088295689</c:v>
                </c:pt>
                <c:pt idx="415">
                  <c:v>127.99452429842573</c:v>
                </c:pt>
                <c:pt idx="416">
                  <c:v>133.19644079397673</c:v>
                </c:pt>
                <c:pt idx="417">
                  <c:v>130.93771389459275</c:v>
                </c:pt>
                <c:pt idx="418">
                  <c:v>135.76317590691309</c:v>
                </c:pt>
                <c:pt idx="419">
                  <c:v>126.48870636550309</c:v>
                </c:pt>
                <c:pt idx="420">
                  <c:v>125.18822724161534</c:v>
                </c:pt>
                <c:pt idx="421">
                  <c:v>114.85284052019166</c:v>
                </c:pt>
                <c:pt idx="422">
                  <c:v>118.4120465434634</c:v>
                </c:pt>
                <c:pt idx="423">
                  <c:v>113.34702258726898</c:v>
                </c:pt>
                <c:pt idx="424">
                  <c:v>94.592744695414112</c:v>
                </c:pt>
                <c:pt idx="425">
                  <c:v>101.64271047227926</c:v>
                </c:pt>
                <c:pt idx="426">
                  <c:v>81.108829568788494</c:v>
                </c:pt>
                <c:pt idx="427">
                  <c:v>73.100616016427097</c:v>
                </c:pt>
                <c:pt idx="428">
                  <c:v>54.620123203285431</c:v>
                </c:pt>
                <c:pt idx="429">
                  <c:v>73.169062286105401</c:v>
                </c:pt>
                <c:pt idx="430">
                  <c:v>61.601642710472284</c:v>
                </c:pt>
                <c:pt idx="431">
                  <c:v>60.78028747433266</c:v>
                </c:pt>
                <c:pt idx="432">
                  <c:v>68.240930869267629</c:v>
                </c:pt>
                <c:pt idx="433">
                  <c:v>70.362765229294993</c:v>
                </c:pt>
                <c:pt idx="434">
                  <c:v>73.648186173853531</c:v>
                </c:pt>
                <c:pt idx="435">
                  <c:v>71.047227926078037</c:v>
                </c:pt>
                <c:pt idx="436">
                  <c:v>72.758384668035603</c:v>
                </c:pt>
                <c:pt idx="437">
                  <c:v>71.937029431895965</c:v>
                </c:pt>
                <c:pt idx="438">
                  <c:v>69.815195071868587</c:v>
                </c:pt>
                <c:pt idx="439">
                  <c:v>67.145790554414788</c:v>
                </c:pt>
                <c:pt idx="440">
                  <c:v>63.244353182751546</c:v>
                </c:pt>
                <c:pt idx="441">
                  <c:v>67.898699520876121</c:v>
                </c:pt>
                <c:pt idx="442">
                  <c:v>72.963723477070502</c:v>
                </c:pt>
                <c:pt idx="443">
                  <c:v>67.830253251197817</c:v>
                </c:pt>
                <c:pt idx="444">
                  <c:v>71.115674195756341</c:v>
                </c:pt>
                <c:pt idx="445">
                  <c:v>69.267624914442166</c:v>
                </c:pt>
                <c:pt idx="446">
                  <c:v>71.526351813826139</c:v>
                </c:pt>
                <c:pt idx="447">
                  <c:v>65.913757700205338</c:v>
                </c:pt>
                <c:pt idx="448">
                  <c:v>63.244353182751546</c:v>
                </c:pt>
                <c:pt idx="449">
                  <c:v>63.586584531143053</c:v>
                </c:pt>
                <c:pt idx="450">
                  <c:v>59.685147159479811</c:v>
                </c:pt>
                <c:pt idx="451">
                  <c:v>57.802874743326491</c:v>
                </c:pt>
                <c:pt idx="452">
                  <c:v>57.56331279945244</c:v>
                </c:pt>
                <c:pt idx="453">
                  <c:v>57.015742642026012</c:v>
                </c:pt>
                <c:pt idx="454">
                  <c:v>57.631759069130737</c:v>
                </c:pt>
                <c:pt idx="455">
                  <c:v>61.533196440793979</c:v>
                </c:pt>
                <c:pt idx="456">
                  <c:v>65.845311430527033</c:v>
                </c:pt>
                <c:pt idx="457">
                  <c:v>66.461327857631773</c:v>
                </c:pt>
                <c:pt idx="458">
                  <c:v>64.81861738535251</c:v>
                </c:pt>
                <c:pt idx="459">
                  <c:v>63.03901437371664</c:v>
                </c:pt>
                <c:pt idx="460">
                  <c:v>64.099931553730329</c:v>
                </c:pt>
                <c:pt idx="461">
                  <c:v>65.708418891170425</c:v>
                </c:pt>
                <c:pt idx="462">
                  <c:v>63.997262149212865</c:v>
                </c:pt>
                <c:pt idx="463">
                  <c:v>60.232717316906239</c:v>
                </c:pt>
                <c:pt idx="464">
                  <c:v>62.354551676933603</c:v>
                </c:pt>
                <c:pt idx="465">
                  <c:v>58.521560574948673</c:v>
                </c:pt>
                <c:pt idx="466">
                  <c:v>56.536618754277889</c:v>
                </c:pt>
                <c:pt idx="467">
                  <c:v>52.498288843258045</c:v>
                </c:pt>
                <c:pt idx="468">
                  <c:v>57.015742642026012</c:v>
                </c:pt>
                <c:pt idx="469">
                  <c:v>58.247775496235455</c:v>
                </c:pt>
                <c:pt idx="470">
                  <c:v>61.396303901437378</c:v>
                </c:pt>
                <c:pt idx="471">
                  <c:v>59.685147159479811</c:v>
                </c:pt>
                <c:pt idx="472">
                  <c:v>61.12251882272416</c:v>
                </c:pt>
                <c:pt idx="473">
                  <c:v>62.491444216290212</c:v>
                </c:pt>
                <c:pt idx="474">
                  <c:v>62.012320328542103</c:v>
                </c:pt>
                <c:pt idx="475">
                  <c:v>66.427104722792606</c:v>
                </c:pt>
                <c:pt idx="476">
                  <c:v>69.746748802190282</c:v>
                </c:pt>
                <c:pt idx="477">
                  <c:v>68.035592060232716</c:v>
                </c:pt>
                <c:pt idx="478">
                  <c:v>66.598220396988367</c:v>
                </c:pt>
                <c:pt idx="479">
                  <c:v>68.514715947980832</c:v>
                </c:pt>
                <c:pt idx="480">
                  <c:v>69.33607118412047</c:v>
                </c:pt>
                <c:pt idx="481">
                  <c:v>74.264202600958257</c:v>
                </c:pt>
                <c:pt idx="482">
                  <c:v>75.667351129363453</c:v>
                </c:pt>
                <c:pt idx="483">
                  <c:v>78.37097878165639</c:v>
                </c:pt>
                <c:pt idx="484">
                  <c:v>81.998631074606436</c:v>
                </c:pt>
                <c:pt idx="485">
                  <c:v>79.842573579739906</c:v>
                </c:pt>
                <c:pt idx="486">
                  <c:v>76.796714579055447</c:v>
                </c:pt>
                <c:pt idx="487">
                  <c:v>70.08898015058179</c:v>
                </c:pt>
                <c:pt idx="488">
                  <c:v>71.047227926078037</c:v>
                </c:pt>
                <c:pt idx="489">
                  <c:v>69.472963723477079</c:v>
                </c:pt>
                <c:pt idx="490">
                  <c:v>70.499657768651616</c:v>
                </c:pt>
                <c:pt idx="491">
                  <c:v>70.157426420260094</c:v>
                </c:pt>
                <c:pt idx="492">
                  <c:v>68.993839835728949</c:v>
                </c:pt>
                <c:pt idx="493">
                  <c:v>69.541409993155384</c:v>
                </c:pt>
                <c:pt idx="494">
                  <c:v>69.746748802190282</c:v>
                </c:pt>
                <c:pt idx="495">
                  <c:v>70.431211498973298</c:v>
                </c:pt>
                <c:pt idx="496">
                  <c:v>66.735112936344976</c:v>
                </c:pt>
                <c:pt idx="497">
                  <c:v>67.077344284736483</c:v>
                </c:pt>
                <c:pt idx="498">
                  <c:v>66.392881587953454</c:v>
                </c:pt>
                <c:pt idx="499">
                  <c:v>67.864476386036955</c:v>
                </c:pt>
                <c:pt idx="500">
                  <c:v>68.206707734428477</c:v>
                </c:pt>
                <c:pt idx="501">
                  <c:v>67.898699520876121</c:v>
                </c:pt>
                <c:pt idx="502">
                  <c:v>69.472963723477079</c:v>
                </c:pt>
                <c:pt idx="503">
                  <c:v>70.636550308008211</c:v>
                </c:pt>
                <c:pt idx="504">
                  <c:v>66.940451745379875</c:v>
                </c:pt>
                <c:pt idx="505">
                  <c:v>65.503080082135526</c:v>
                </c:pt>
                <c:pt idx="506">
                  <c:v>63.175906913073241</c:v>
                </c:pt>
                <c:pt idx="507">
                  <c:v>65.160848733744018</c:v>
                </c:pt>
                <c:pt idx="508">
                  <c:v>64.271047227926076</c:v>
                </c:pt>
                <c:pt idx="509">
                  <c:v>63.655030800821365</c:v>
                </c:pt>
                <c:pt idx="510">
                  <c:v>69.096509240246419</c:v>
                </c:pt>
                <c:pt idx="511">
                  <c:v>68.446269678302542</c:v>
                </c:pt>
                <c:pt idx="512">
                  <c:v>69.33607118412047</c:v>
                </c:pt>
                <c:pt idx="513">
                  <c:v>73.134839151266263</c:v>
                </c:pt>
                <c:pt idx="514">
                  <c:v>75.46201232032854</c:v>
                </c:pt>
                <c:pt idx="515">
                  <c:v>77.92607802874744</c:v>
                </c:pt>
                <c:pt idx="516">
                  <c:v>77.173169062286107</c:v>
                </c:pt>
                <c:pt idx="517">
                  <c:v>75.564681724845997</c:v>
                </c:pt>
                <c:pt idx="518">
                  <c:v>75.427789185489388</c:v>
                </c:pt>
                <c:pt idx="519">
                  <c:v>74.332648870636547</c:v>
                </c:pt>
                <c:pt idx="520">
                  <c:v>87.782340862422998</c:v>
                </c:pt>
                <c:pt idx="521">
                  <c:v>85.900068446269685</c:v>
                </c:pt>
                <c:pt idx="522">
                  <c:v>86.789869952087614</c:v>
                </c:pt>
                <c:pt idx="523">
                  <c:v>83.367556468172495</c:v>
                </c:pt>
                <c:pt idx="524">
                  <c:v>82.340862422997944</c:v>
                </c:pt>
                <c:pt idx="525">
                  <c:v>82.683093771389466</c:v>
                </c:pt>
                <c:pt idx="526">
                  <c:v>87.063655030800817</c:v>
                </c:pt>
                <c:pt idx="527">
                  <c:v>88.295687885010281</c:v>
                </c:pt>
                <c:pt idx="528">
                  <c:v>91.238877481177283</c:v>
                </c:pt>
                <c:pt idx="529">
                  <c:v>91.101984941820675</c:v>
                </c:pt>
                <c:pt idx="530">
                  <c:v>89.527720739219717</c:v>
                </c:pt>
                <c:pt idx="531">
                  <c:v>89.390828199863108</c:v>
                </c:pt>
                <c:pt idx="532">
                  <c:v>89.664613278576326</c:v>
                </c:pt>
                <c:pt idx="533">
                  <c:v>88.021902806297064</c:v>
                </c:pt>
                <c:pt idx="534">
                  <c:v>87.542778918548933</c:v>
                </c:pt>
                <c:pt idx="535">
                  <c:v>88.227241615331977</c:v>
                </c:pt>
                <c:pt idx="536">
                  <c:v>86.995208761122527</c:v>
                </c:pt>
                <c:pt idx="537">
                  <c:v>86.481861738535244</c:v>
                </c:pt>
                <c:pt idx="538">
                  <c:v>88.090349075975354</c:v>
                </c:pt>
                <c:pt idx="539">
                  <c:v>86.310746064339497</c:v>
                </c:pt>
                <c:pt idx="540">
                  <c:v>85.420944558521569</c:v>
                </c:pt>
                <c:pt idx="541">
                  <c:v>85.557837097878163</c:v>
                </c:pt>
                <c:pt idx="542">
                  <c:v>87.679671457905556</c:v>
                </c:pt>
                <c:pt idx="543">
                  <c:v>85.694729637234772</c:v>
                </c:pt>
                <c:pt idx="544">
                  <c:v>89.2539356605065</c:v>
                </c:pt>
                <c:pt idx="545">
                  <c:v>88.295687885010281</c:v>
                </c:pt>
                <c:pt idx="546">
                  <c:v>85.831622176591367</c:v>
                </c:pt>
                <c:pt idx="547">
                  <c:v>84.257357973990423</c:v>
                </c:pt>
                <c:pt idx="548">
                  <c:v>84.188911704312119</c:v>
                </c:pt>
                <c:pt idx="549">
                  <c:v>85.352498288843265</c:v>
                </c:pt>
                <c:pt idx="550">
                  <c:v>83.299110198494191</c:v>
                </c:pt>
                <c:pt idx="551">
                  <c:v>90.965092402464066</c:v>
                </c:pt>
                <c:pt idx="552">
                  <c:v>89.869952087611239</c:v>
                </c:pt>
                <c:pt idx="553">
                  <c:v>86.379192334017802</c:v>
                </c:pt>
                <c:pt idx="554">
                  <c:v>88.980150581793296</c:v>
                </c:pt>
                <c:pt idx="555">
                  <c:v>90.075290896646138</c:v>
                </c:pt>
                <c:pt idx="556">
                  <c:v>88.911704312114992</c:v>
                </c:pt>
                <c:pt idx="557">
                  <c:v>86.413415468856954</c:v>
                </c:pt>
                <c:pt idx="558">
                  <c:v>86.721423682409309</c:v>
                </c:pt>
                <c:pt idx="559">
                  <c:v>84.394250513347018</c:v>
                </c:pt>
                <c:pt idx="560">
                  <c:v>86.926762491444208</c:v>
                </c:pt>
                <c:pt idx="561">
                  <c:v>88.501026694045166</c:v>
                </c:pt>
                <c:pt idx="562">
                  <c:v>88.911704312114992</c:v>
                </c:pt>
                <c:pt idx="563">
                  <c:v>89.185489390828195</c:v>
                </c:pt>
                <c:pt idx="564">
                  <c:v>90.896646132785762</c:v>
                </c:pt>
                <c:pt idx="565">
                  <c:v>92.881587953456545</c:v>
                </c:pt>
                <c:pt idx="566">
                  <c:v>92.197125256673516</c:v>
                </c:pt>
                <c:pt idx="567">
                  <c:v>90.622861054072558</c:v>
                </c:pt>
                <c:pt idx="568">
                  <c:v>89.938398357289543</c:v>
                </c:pt>
                <c:pt idx="569">
                  <c:v>88.911704312114992</c:v>
                </c:pt>
                <c:pt idx="570">
                  <c:v>91.307323750855588</c:v>
                </c:pt>
                <c:pt idx="571">
                  <c:v>93.223819301848039</c:v>
                </c:pt>
                <c:pt idx="572">
                  <c:v>93.839835728952778</c:v>
                </c:pt>
                <c:pt idx="573">
                  <c:v>92.128678986995212</c:v>
                </c:pt>
                <c:pt idx="574">
                  <c:v>93.566050650239561</c:v>
                </c:pt>
                <c:pt idx="575">
                  <c:v>93.223819301848039</c:v>
                </c:pt>
                <c:pt idx="576">
                  <c:v>93.018480492813154</c:v>
                </c:pt>
                <c:pt idx="577">
                  <c:v>93.155373032169734</c:v>
                </c:pt>
                <c:pt idx="578">
                  <c:v>94.045174537987691</c:v>
                </c:pt>
                <c:pt idx="579">
                  <c:v>94.661190965092416</c:v>
                </c:pt>
                <c:pt idx="580">
                  <c:v>94.25051334702259</c:v>
                </c:pt>
                <c:pt idx="581">
                  <c:v>94.524298425735807</c:v>
                </c:pt>
                <c:pt idx="582">
                  <c:v>92.128678986995212</c:v>
                </c:pt>
                <c:pt idx="583">
                  <c:v>90.417522245037645</c:v>
                </c:pt>
                <c:pt idx="584">
                  <c:v>86.926762491444208</c:v>
                </c:pt>
                <c:pt idx="585">
                  <c:v>87.337440109514034</c:v>
                </c:pt>
                <c:pt idx="586">
                  <c:v>88.980150581793296</c:v>
                </c:pt>
                <c:pt idx="587">
                  <c:v>89.459274469541413</c:v>
                </c:pt>
                <c:pt idx="588">
                  <c:v>90.006844626967847</c:v>
                </c:pt>
                <c:pt idx="589">
                  <c:v>88.980150581793296</c:v>
                </c:pt>
                <c:pt idx="590">
                  <c:v>97.39904175222452</c:v>
                </c:pt>
                <c:pt idx="591">
                  <c:v>96.030116358658461</c:v>
                </c:pt>
                <c:pt idx="592">
                  <c:v>96.988364134154693</c:v>
                </c:pt>
                <c:pt idx="593">
                  <c:v>95.687885010266953</c:v>
                </c:pt>
                <c:pt idx="594">
                  <c:v>95.687885010266953</c:v>
                </c:pt>
                <c:pt idx="595">
                  <c:v>95.893223819301852</c:v>
                </c:pt>
                <c:pt idx="596">
                  <c:v>97.330595482546215</c:v>
                </c:pt>
                <c:pt idx="597">
                  <c:v>97.878165639972622</c:v>
                </c:pt>
                <c:pt idx="598">
                  <c:v>96.646132785763172</c:v>
                </c:pt>
                <c:pt idx="599">
                  <c:v>97.056810403832998</c:v>
                </c:pt>
                <c:pt idx="600">
                  <c:v>96.988364134154693</c:v>
                </c:pt>
                <c:pt idx="601">
                  <c:v>96.71457905544149</c:v>
                </c:pt>
                <c:pt idx="602">
                  <c:v>97.262149212867911</c:v>
                </c:pt>
                <c:pt idx="603">
                  <c:v>101.23203285420945</c:v>
                </c:pt>
                <c:pt idx="604">
                  <c:v>101.23203285420945</c:v>
                </c:pt>
                <c:pt idx="605">
                  <c:v>99.726214921286797</c:v>
                </c:pt>
                <c:pt idx="606">
                  <c:v>97.193702943189592</c:v>
                </c:pt>
                <c:pt idx="607">
                  <c:v>98.904859685147159</c:v>
                </c:pt>
                <c:pt idx="608">
                  <c:v>98.767967145790564</c:v>
                </c:pt>
                <c:pt idx="609">
                  <c:v>99.418206707734441</c:v>
                </c:pt>
                <c:pt idx="610">
                  <c:v>100.2053388090349</c:v>
                </c:pt>
                <c:pt idx="611">
                  <c:v>99.657768651608492</c:v>
                </c:pt>
                <c:pt idx="612">
                  <c:v>100.34223134839151</c:v>
                </c:pt>
                <c:pt idx="613">
                  <c:v>100.88980150581794</c:v>
                </c:pt>
                <c:pt idx="614">
                  <c:v>102.4640657084189</c:v>
                </c:pt>
                <c:pt idx="615">
                  <c:v>104.03832991101984</c:v>
                </c:pt>
                <c:pt idx="616">
                  <c:v>103.42231348391513</c:v>
                </c:pt>
                <c:pt idx="617">
                  <c:v>105.1334702258727</c:v>
                </c:pt>
                <c:pt idx="618">
                  <c:v>103.79876796714581</c:v>
                </c:pt>
                <c:pt idx="619">
                  <c:v>103.62765229295003</c:v>
                </c:pt>
                <c:pt idx="620">
                  <c:v>103.08008213552363</c:v>
                </c:pt>
                <c:pt idx="621">
                  <c:v>102.87474332648871</c:v>
                </c:pt>
                <c:pt idx="622">
                  <c:v>101.98494182067077</c:v>
                </c:pt>
                <c:pt idx="623">
                  <c:v>102.66940451745381</c:v>
                </c:pt>
                <c:pt idx="624">
                  <c:v>102.39561943874061</c:v>
                </c:pt>
                <c:pt idx="625">
                  <c:v>103.14852840520192</c:v>
                </c:pt>
                <c:pt idx="626">
                  <c:v>101.57426420260096</c:v>
                </c:pt>
                <c:pt idx="627">
                  <c:v>100.88980150581794</c:v>
                </c:pt>
                <c:pt idx="628">
                  <c:v>99.657768651608492</c:v>
                </c:pt>
                <c:pt idx="629">
                  <c:v>97.946611909650926</c:v>
                </c:pt>
                <c:pt idx="630">
                  <c:v>97.672826830937723</c:v>
                </c:pt>
                <c:pt idx="631">
                  <c:v>98.288843258042434</c:v>
                </c:pt>
                <c:pt idx="632">
                  <c:v>97.501711156741948</c:v>
                </c:pt>
                <c:pt idx="633">
                  <c:v>98.357289527720738</c:v>
                </c:pt>
                <c:pt idx="634">
                  <c:v>97.912388774811774</c:v>
                </c:pt>
                <c:pt idx="635">
                  <c:v>98.083504449007535</c:v>
                </c:pt>
                <c:pt idx="636">
                  <c:v>97.296372347707049</c:v>
                </c:pt>
                <c:pt idx="637">
                  <c:v>97.604380561259418</c:v>
                </c:pt>
                <c:pt idx="638">
                  <c:v>97.262149212867911</c:v>
                </c:pt>
                <c:pt idx="639">
                  <c:v>100.0684462696783</c:v>
                </c:pt>
                <c:pt idx="640">
                  <c:v>102.05338809034907</c:v>
                </c:pt>
                <c:pt idx="641">
                  <c:v>98.049281314168383</c:v>
                </c:pt>
                <c:pt idx="642">
                  <c:v>94.729637234770706</c:v>
                </c:pt>
                <c:pt idx="643">
                  <c:v>91.923340177960299</c:v>
                </c:pt>
                <c:pt idx="644">
                  <c:v>94.045174537987691</c:v>
                </c:pt>
                <c:pt idx="645">
                  <c:v>91.444216290212182</c:v>
                </c:pt>
                <c:pt idx="646">
                  <c:v>90.691307323750863</c:v>
                </c:pt>
                <c:pt idx="647">
                  <c:v>89.048596851471601</c:v>
                </c:pt>
                <c:pt idx="648">
                  <c:v>93.018480492813154</c:v>
                </c:pt>
                <c:pt idx="649">
                  <c:v>93.223819301848039</c:v>
                </c:pt>
                <c:pt idx="650">
                  <c:v>96.030116358658461</c:v>
                </c:pt>
                <c:pt idx="651">
                  <c:v>95.824777549623548</c:v>
                </c:pt>
                <c:pt idx="652">
                  <c:v>95.687885010266953</c:v>
                </c:pt>
                <c:pt idx="653">
                  <c:v>99.452429842573579</c:v>
                </c:pt>
                <c:pt idx="654">
                  <c:v>99.589322381930188</c:v>
                </c:pt>
                <c:pt idx="655">
                  <c:v>99.383983572895275</c:v>
                </c:pt>
                <c:pt idx="656">
                  <c:v>100.10266940451746</c:v>
                </c:pt>
                <c:pt idx="657">
                  <c:v>99.657768651608492</c:v>
                </c:pt>
                <c:pt idx="658">
                  <c:v>98.904859685147159</c:v>
                </c:pt>
                <c:pt idx="659">
                  <c:v>98.562628336755651</c:v>
                </c:pt>
                <c:pt idx="660">
                  <c:v>99.24709103353868</c:v>
                </c:pt>
                <c:pt idx="661">
                  <c:v>99.931553730321696</c:v>
                </c:pt>
                <c:pt idx="662">
                  <c:v>98.220396988364129</c:v>
                </c:pt>
                <c:pt idx="663">
                  <c:v>98.220396988364129</c:v>
                </c:pt>
                <c:pt idx="664">
                  <c:v>101.43737166324436</c:v>
                </c:pt>
                <c:pt idx="665">
                  <c:v>94.045174537987691</c:v>
                </c:pt>
                <c:pt idx="666">
                  <c:v>94.113620807665981</c:v>
                </c:pt>
                <c:pt idx="667">
                  <c:v>92.813141683778241</c:v>
                </c:pt>
                <c:pt idx="668">
                  <c:v>94.182067077344286</c:v>
                </c:pt>
                <c:pt idx="669">
                  <c:v>89.80150581793292</c:v>
                </c:pt>
                <c:pt idx="670">
                  <c:v>93.018480492813154</c:v>
                </c:pt>
                <c:pt idx="671">
                  <c:v>95.345653661875431</c:v>
                </c:pt>
                <c:pt idx="672">
                  <c:v>94.592744695414112</c:v>
                </c:pt>
                <c:pt idx="673">
                  <c:v>94.387405886379199</c:v>
                </c:pt>
                <c:pt idx="674">
                  <c:v>95.277207392197127</c:v>
                </c:pt>
                <c:pt idx="675">
                  <c:v>98.220396988364129</c:v>
                </c:pt>
                <c:pt idx="676">
                  <c:v>99.657768651608492</c:v>
                </c:pt>
                <c:pt idx="677">
                  <c:v>98.631074606433955</c:v>
                </c:pt>
                <c:pt idx="678">
                  <c:v>97.125256673511302</c:v>
                </c:pt>
                <c:pt idx="679">
                  <c:v>97.056810403832998</c:v>
                </c:pt>
                <c:pt idx="680">
                  <c:v>97.330595482546215</c:v>
                </c:pt>
                <c:pt idx="681">
                  <c:v>96.885694729637237</c:v>
                </c:pt>
                <c:pt idx="682">
                  <c:v>96.440793976728273</c:v>
                </c:pt>
                <c:pt idx="683">
                  <c:v>93.976728268309387</c:v>
                </c:pt>
                <c:pt idx="684">
                  <c:v>93.292265571526357</c:v>
                </c:pt>
                <c:pt idx="685">
                  <c:v>93.018480492813154</c:v>
                </c:pt>
                <c:pt idx="686">
                  <c:v>95.550992470910344</c:v>
                </c:pt>
                <c:pt idx="687">
                  <c:v>93.292265571526357</c:v>
                </c:pt>
                <c:pt idx="688">
                  <c:v>93.634496919917865</c:v>
                </c:pt>
                <c:pt idx="689">
                  <c:v>93.018480492813154</c:v>
                </c:pt>
                <c:pt idx="690">
                  <c:v>95.550992470910344</c:v>
                </c:pt>
                <c:pt idx="691">
                  <c:v>95.824777549623548</c:v>
                </c:pt>
                <c:pt idx="692">
                  <c:v>95.140314852840518</c:v>
                </c:pt>
                <c:pt idx="693">
                  <c:v>91.238877481177283</c:v>
                </c:pt>
                <c:pt idx="694">
                  <c:v>90.828199863107457</c:v>
                </c:pt>
                <c:pt idx="695">
                  <c:v>90.212183436002732</c:v>
                </c:pt>
                <c:pt idx="696">
                  <c:v>90.554414784394254</c:v>
                </c:pt>
                <c:pt idx="697">
                  <c:v>89.2539356605065</c:v>
                </c:pt>
                <c:pt idx="698">
                  <c:v>89.527720739219717</c:v>
                </c:pt>
                <c:pt idx="699">
                  <c:v>91.307323750855588</c:v>
                </c:pt>
                <c:pt idx="700">
                  <c:v>91.854893908281994</c:v>
                </c:pt>
                <c:pt idx="701">
                  <c:v>89.390828199863108</c:v>
                </c:pt>
                <c:pt idx="702">
                  <c:v>88.021902806297064</c:v>
                </c:pt>
                <c:pt idx="703">
                  <c:v>87.953456536618759</c:v>
                </c:pt>
                <c:pt idx="704">
                  <c:v>83.230663928815886</c:v>
                </c:pt>
                <c:pt idx="705">
                  <c:v>85.352498288843265</c:v>
                </c:pt>
                <c:pt idx="706">
                  <c:v>85.010266940451757</c:v>
                </c:pt>
                <c:pt idx="707">
                  <c:v>82.135523613963045</c:v>
                </c:pt>
                <c:pt idx="708">
                  <c:v>82.956878850102669</c:v>
                </c:pt>
                <c:pt idx="709">
                  <c:v>81.245722108145102</c:v>
                </c:pt>
                <c:pt idx="710">
                  <c:v>94.113620807665981</c:v>
                </c:pt>
                <c:pt idx="711">
                  <c:v>93.155373032169734</c:v>
                </c:pt>
                <c:pt idx="712">
                  <c:v>92.573579739904176</c:v>
                </c:pt>
                <c:pt idx="713">
                  <c:v>91.649555099247095</c:v>
                </c:pt>
                <c:pt idx="714">
                  <c:v>93.771389459274474</c:v>
                </c:pt>
                <c:pt idx="715">
                  <c:v>95.619438740588649</c:v>
                </c:pt>
                <c:pt idx="716">
                  <c:v>96.78302532511978</c:v>
                </c:pt>
                <c:pt idx="717">
                  <c:v>98.904859685147159</c:v>
                </c:pt>
                <c:pt idx="718">
                  <c:v>97.672826830937723</c:v>
                </c:pt>
                <c:pt idx="719">
                  <c:v>97.535934291581114</c:v>
                </c:pt>
                <c:pt idx="720">
                  <c:v>99.657768651608492</c:v>
                </c:pt>
                <c:pt idx="721">
                  <c:v>99.794661190965101</c:v>
                </c:pt>
                <c:pt idx="722">
                  <c:v>99.452429842573579</c:v>
                </c:pt>
                <c:pt idx="723">
                  <c:v>99.110198494182072</c:v>
                </c:pt>
                <c:pt idx="724">
                  <c:v>100.0684462696783</c:v>
                </c:pt>
                <c:pt idx="725">
                  <c:v>98.01505817932923</c:v>
                </c:pt>
                <c:pt idx="726">
                  <c:v>97.604380561259418</c:v>
                </c:pt>
                <c:pt idx="727">
                  <c:v>97.262149212867911</c:v>
                </c:pt>
                <c:pt idx="728">
                  <c:v>98.69952087611226</c:v>
                </c:pt>
                <c:pt idx="729">
                  <c:v>99.452429842573579</c:v>
                </c:pt>
                <c:pt idx="730">
                  <c:v>100</c:v>
                </c:pt>
                <c:pt idx="731">
                  <c:v>103.76454483230664</c:v>
                </c:pt>
                <c:pt idx="732">
                  <c:v>106.02327173169064</c:v>
                </c:pt>
                <c:pt idx="733">
                  <c:v>104.10677618069816</c:v>
                </c:pt>
                <c:pt idx="734">
                  <c:v>104.79123887748119</c:v>
                </c:pt>
                <c:pt idx="735">
                  <c:v>104.99657768651609</c:v>
                </c:pt>
                <c:pt idx="736">
                  <c:v>104.58590006844628</c:v>
                </c:pt>
                <c:pt idx="737">
                  <c:v>104.03832991101984</c:v>
                </c:pt>
                <c:pt idx="738">
                  <c:v>105.88637919233403</c:v>
                </c:pt>
                <c:pt idx="739">
                  <c:v>105.6125941136208</c:v>
                </c:pt>
                <c:pt idx="740">
                  <c:v>105.6125941136208</c:v>
                </c:pt>
                <c:pt idx="741">
                  <c:v>105.88637919233403</c:v>
                </c:pt>
                <c:pt idx="742">
                  <c:v>105.27036276522929</c:v>
                </c:pt>
                <c:pt idx="743">
                  <c:v>104.03832991101984</c:v>
                </c:pt>
                <c:pt idx="744">
                  <c:v>101.91649555099247</c:v>
                </c:pt>
                <c:pt idx="745">
                  <c:v>103.21697467488022</c:v>
                </c:pt>
                <c:pt idx="746">
                  <c:v>101.84804928131416</c:v>
                </c:pt>
                <c:pt idx="747">
                  <c:v>101.91649555099247</c:v>
                </c:pt>
                <c:pt idx="748">
                  <c:v>103.01163586584532</c:v>
                </c:pt>
                <c:pt idx="749">
                  <c:v>102.66940451745381</c:v>
                </c:pt>
                <c:pt idx="750">
                  <c:v>99.931553730321696</c:v>
                </c:pt>
                <c:pt idx="751">
                  <c:v>99.110198494182072</c:v>
                </c:pt>
                <c:pt idx="752">
                  <c:v>99.315537303216971</c:v>
                </c:pt>
                <c:pt idx="753">
                  <c:v>101.02669404517455</c:v>
                </c:pt>
                <c:pt idx="754">
                  <c:v>101.23203285420945</c:v>
                </c:pt>
                <c:pt idx="755">
                  <c:v>101.71115674195757</c:v>
                </c:pt>
                <c:pt idx="756">
                  <c:v>101.77960301163587</c:v>
                </c:pt>
                <c:pt idx="757">
                  <c:v>99.178644763860376</c:v>
                </c:pt>
                <c:pt idx="758">
                  <c:v>100.0684462696783</c:v>
                </c:pt>
                <c:pt idx="759">
                  <c:v>100.95824777549625</c:v>
                </c:pt>
                <c:pt idx="760">
                  <c:v>100.0684462696783</c:v>
                </c:pt>
                <c:pt idx="761">
                  <c:v>99.863107460643391</c:v>
                </c:pt>
                <c:pt idx="762">
                  <c:v>99.726214921286797</c:v>
                </c:pt>
                <c:pt idx="763">
                  <c:v>99.110198494182072</c:v>
                </c:pt>
                <c:pt idx="764">
                  <c:v>99.24709103353868</c:v>
                </c:pt>
                <c:pt idx="765">
                  <c:v>100.95824777549625</c:v>
                </c:pt>
                <c:pt idx="766">
                  <c:v>100.41067761806981</c:v>
                </c:pt>
                <c:pt idx="767">
                  <c:v>98.973305954825477</c:v>
                </c:pt>
                <c:pt idx="768">
                  <c:v>99.452429842573579</c:v>
                </c:pt>
                <c:pt idx="769">
                  <c:v>99.178644763860376</c:v>
                </c:pt>
                <c:pt idx="770">
                  <c:v>98.836413415468854</c:v>
                </c:pt>
                <c:pt idx="771">
                  <c:v>100.88980150581794</c:v>
                </c:pt>
                <c:pt idx="772">
                  <c:v>102.80629705681041</c:v>
                </c:pt>
                <c:pt idx="773">
                  <c:v>101.36892539356606</c:v>
                </c:pt>
                <c:pt idx="774">
                  <c:v>101.98494182067077</c:v>
                </c:pt>
                <c:pt idx="775">
                  <c:v>103.55920602327173</c:v>
                </c:pt>
                <c:pt idx="776">
                  <c:v>102.66940451745381</c:v>
                </c:pt>
                <c:pt idx="777">
                  <c:v>105.74948665297741</c:v>
                </c:pt>
                <c:pt idx="778">
                  <c:v>106.91307323750856</c:v>
                </c:pt>
                <c:pt idx="779">
                  <c:v>105.1334702258727</c:v>
                </c:pt>
                <c:pt idx="780">
                  <c:v>104.85968514715948</c:v>
                </c:pt>
                <c:pt idx="781">
                  <c:v>105.20191649555099</c:v>
                </c:pt>
                <c:pt idx="782">
                  <c:v>107.11841204654347</c:v>
                </c:pt>
                <c:pt idx="783">
                  <c:v>110.19849418206708</c:v>
                </c:pt>
                <c:pt idx="784">
                  <c:v>109.24024640657086</c:v>
                </c:pt>
                <c:pt idx="785">
                  <c:v>107.32375085557837</c:v>
                </c:pt>
                <c:pt idx="786">
                  <c:v>106.70773442847366</c:v>
                </c:pt>
                <c:pt idx="787">
                  <c:v>105.06502395619439</c:v>
                </c:pt>
                <c:pt idx="788">
                  <c:v>106.91307323750856</c:v>
                </c:pt>
                <c:pt idx="789">
                  <c:v>108.00821355236138</c:v>
                </c:pt>
                <c:pt idx="790">
                  <c:v>109.58247775496237</c:v>
                </c:pt>
                <c:pt idx="791">
                  <c:v>109.47980835044491</c:v>
                </c:pt>
                <c:pt idx="792">
                  <c:v>108.55578370978782</c:v>
                </c:pt>
                <c:pt idx="793">
                  <c:v>109.44558521560575</c:v>
                </c:pt>
                <c:pt idx="794">
                  <c:v>109.10335386721424</c:v>
                </c:pt>
                <c:pt idx="795">
                  <c:v>109.03490759753593</c:v>
                </c:pt>
                <c:pt idx="796">
                  <c:v>108.89801505817933</c:v>
                </c:pt>
                <c:pt idx="797">
                  <c:v>108.55578370978782</c:v>
                </c:pt>
                <c:pt idx="798">
                  <c:v>106.84462696783027</c:v>
                </c:pt>
                <c:pt idx="799">
                  <c:v>109.65092402464064</c:v>
                </c:pt>
                <c:pt idx="800">
                  <c:v>111.29363449691994</c:v>
                </c:pt>
                <c:pt idx="801">
                  <c:v>111.77275838466802</c:v>
                </c:pt>
                <c:pt idx="802">
                  <c:v>114.98973305954827</c:v>
                </c:pt>
                <c:pt idx="803">
                  <c:v>116.3586584531143</c:v>
                </c:pt>
                <c:pt idx="804">
                  <c:v>116.0848733744011</c:v>
                </c:pt>
                <c:pt idx="805">
                  <c:v>116.0848733744011</c:v>
                </c:pt>
                <c:pt idx="806">
                  <c:v>119.78097193702943</c:v>
                </c:pt>
                <c:pt idx="807">
                  <c:v>119.71252566735113</c:v>
                </c:pt>
                <c:pt idx="808">
                  <c:v>117.65913757700206</c:v>
                </c:pt>
                <c:pt idx="809">
                  <c:v>117.52224503764546</c:v>
                </c:pt>
                <c:pt idx="810">
                  <c:v>117.38535249828882</c:v>
                </c:pt>
                <c:pt idx="811">
                  <c:v>120.05475701574264</c:v>
                </c:pt>
                <c:pt idx="812">
                  <c:v>118.00136892539356</c:v>
                </c:pt>
                <c:pt idx="813">
                  <c:v>121.4236824093087</c:v>
                </c:pt>
                <c:pt idx="814">
                  <c:v>119.91786447638604</c:v>
                </c:pt>
                <c:pt idx="815">
                  <c:v>117.52224503764546</c:v>
                </c:pt>
                <c:pt idx="816">
                  <c:v>116.290212183436</c:v>
                </c:pt>
                <c:pt idx="817">
                  <c:v>123.13483915126623</c:v>
                </c:pt>
                <c:pt idx="818">
                  <c:v>122.10814510609171</c:v>
                </c:pt>
                <c:pt idx="819">
                  <c:v>124.36687200547571</c:v>
                </c:pt>
                <c:pt idx="820">
                  <c:v>119.64407939767283</c:v>
                </c:pt>
                <c:pt idx="821">
                  <c:v>120.32854209445586</c:v>
                </c:pt>
                <c:pt idx="822">
                  <c:v>119.09650924024639</c:v>
                </c:pt>
                <c:pt idx="823">
                  <c:v>118.4120465434634</c:v>
                </c:pt>
                <c:pt idx="824">
                  <c:v>117.38535249828882</c:v>
                </c:pt>
                <c:pt idx="825">
                  <c:v>118.34360027378507</c:v>
                </c:pt>
                <c:pt idx="826">
                  <c:v>118.75427789185491</c:v>
                </c:pt>
                <c:pt idx="827">
                  <c:v>118.4120465434634</c:v>
                </c:pt>
                <c:pt idx="828">
                  <c:v>117.24845995893223</c:v>
                </c:pt>
                <c:pt idx="829">
                  <c:v>118.68583162217658</c:v>
                </c:pt>
                <c:pt idx="830">
                  <c:v>116.76933607118411</c:v>
                </c:pt>
                <c:pt idx="831">
                  <c:v>118.82272416153319</c:v>
                </c:pt>
                <c:pt idx="832">
                  <c:v>118.61738535249829</c:v>
                </c:pt>
                <c:pt idx="833">
                  <c:v>117.18001368925395</c:v>
                </c:pt>
                <c:pt idx="834">
                  <c:v>116.56399726214923</c:v>
                </c:pt>
                <c:pt idx="835">
                  <c:v>113.62080766598221</c:v>
                </c:pt>
                <c:pt idx="836">
                  <c:v>115.12662559890488</c:v>
                </c:pt>
                <c:pt idx="837">
                  <c:v>118.54893908281998</c:v>
                </c:pt>
                <c:pt idx="838">
                  <c:v>69.130732375085557</c:v>
                </c:pt>
                <c:pt idx="839">
                  <c:v>65.845311430527033</c:v>
                </c:pt>
                <c:pt idx="840">
                  <c:v>69.678302532511978</c:v>
                </c:pt>
                <c:pt idx="841">
                  <c:v>77.07049965776865</c:v>
                </c:pt>
                <c:pt idx="842">
                  <c:v>80.971937029431899</c:v>
                </c:pt>
                <c:pt idx="843">
                  <c:v>83.025325119780973</c:v>
                </c:pt>
                <c:pt idx="844">
                  <c:v>82.203969883641349</c:v>
                </c:pt>
                <c:pt idx="845">
                  <c:v>80.629705681040392</c:v>
                </c:pt>
                <c:pt idx="846">
                  <c:v>77.138945927446954</c:v>
                </c:pt>
                <c:pt idx="847">
                  <c:v>76.454483230663925</c:v>
                </c:pt>
                <c:pt idx="848">
                  <c:v>75.154004106776185</c:v>
                </c:pt>
                <c:pt idx="849">
                  <c:v>76.317590691307331</c:v>
                </c:pt>
                <c:pt idx="850">
                  <c:v>75.975359342915823</c:v>
                </c:pt>
                <c:pt idx="851">
                  <c:v>74.058863791923343</c:v>
                </c:pt>
                <c:pt idx="852">
                  <c:v>75.290896646132794</c:v>
                </c:pt>
                <c:pt idx="853">
                  <c:v>74.811772758384663</c:v>
                </c:pt>
                <c:pt idx="854">
                  <c:v>76.249144421629026</c:v>
                </c:pt>
                <c:pt idx="855">
                  <c:v>75.838466803559214</c:v>
                </c:pt>
                <c:pt idx="856">
                  <c:v>73.921971252566749</c:v>
                </c:pt>
                <c:pt idx="857">
                  <c:v>72.142368240930864</c:v>
                </c:pt>
                <c:pt idx="858">
                  <c:v>68.446269678302542</c:v>
                </c:pt>
                <c:pt idx="859">
                  <c:v>66.735112936344976</c:v>
                </c:pt>
                <c:pt idx="860">
                  <c:v>69.541409993155384</c:v>
                </c:pt>
                <c:pt idx="861">
                  <c:v>69.130732375085557</c:v>
                </c:pt>
                <c:pt idx="862">
                  <c:v>71.663244353182748</c:v>
                </c:pt>
                <c:pt idx="863">
                  <c:v>72.210814510609183</c:v>
                </c:pt>
                <c:pt idx="864">
                  <c:v>74.948665297741272</c:v>
                </c:pt>
                <c:pt idx="865">
                  <c:v>71.937029431895965</c:v>
                </c:pt>
                <c:pt idx="866">
                  <c:v>71.731690622861052</c:v>
                </c:pt>
                <c:pt idx="867">
                  <c:v>69.404517453798775</c:v>
                </c:pt>
                <c:pt idx="868">
                  <c:v>69.541409993155384</c:v>
                </c:pt>
                <c:pt idx="869">
                  <c:v>71.047227926078037</c:v>
                </c:pt>
                <c:pt idx="870">
                  <c:v>72.826830937713908</c:v>
                </c:pt>
                <c:pt idx="871">
                  <c:v>76.454483230663925</c:v>
                </c:pt>
                <c:pt idx="872">
                  <c:v>78.439425051334709</c:v>
                </c:pt>
                <c:pt idx="873">
                  <c:v>84.73648186173854</c:v>
                </c:pt>
                <c:pt idx="874">
                  <c:v>82.067077344284741</c:v>
                </c:pt>
                <c:pt idx="875">
                  <c:v>83.367556468172495</c:v>
                </c:pt>
                <c:pt idx="876">
                  <c:v>82.477754962354553</c:v>
                </c:pt>
                <c:pt idx="877">
                  <c:v>81.998631074606436</c:v>
                </c:pt>
                <c:pt idx="878">
                  <c:v>82.409308692676248</c:v>
                </c:pt>
                <c:pt idx="879">
                  <c:v>82.888432580424364</c:v>
                </c:pt>
                <c:pt idx="880">
                  <c:v>83.778234086242307</c:v>
                </c:pt>
                <c:pt idx="881">
                  <c:v>82.203969883641349</c:v>
                </c:pt>
                <c:pt idx="882">
                  <c:v>82.203969883641349</c:v>
                </c:pt>
                <c:pt idx="883">
                  <c:v>81.656399726214929</c:v>
                </c:pt>
                <c:pt idx="884">
                  <c:v>82.614647501711161</c:v>
                </c:pt>
                <c:pt idx="885">
                  <c:v>83.093771389459278</c:v>
                </c:pt>
                <c:pt idx="886">
                  <c:v>82.546201232032857</c:v>
                </c:pt>
                <c:pt idx="887">
                  <c:v>82.81998631074606</c:v>
                </c:pt>
                <c:pt idx="888">
                  <c:v>82.135523613963045</c:v>
                </c:pt>
                <c:pt idx="889">
                  <c:v>81.108829568788494</c:v>
                </c:pt>
                <c:pt idx="890">
                  <c:v>81.51950718685832</c:v>
                </c:pt>
                <c:pt idx="891">
                  <c:v>80.492813141683783</c:v>
                </c:pt>
                <c:pt idx="892">
                  <c:v>80.629705681040392</c:v>
                </c:pt>
                <c:pt idx="893">
                  <c:v>80.835044490075305</c:v>
                </c:pt>
                <c:pt idx="894">
                  <c:v>80.150581793292275</c:v>
                </c:pt>
                <c:pt idx="895">
                  <c:v>80.835044490075305</c:v>
                </c:pt>
                <c:pt idx="896">
                  <c:v>80.424366872005479</c:v>
                </c:pt>
                <c:pt idx="897">
                  <c:v>80.698151950718682</c:v>
                </c:pt>
                <c:pt idx="898">
                  <c:v>78.918548939082825</c:v>
                </c:pt>
                <c:pt idx="899">
                  <c:v>82.614647501711161</c:v>
                </c:pt>
                <c:pt idx="900">
                  <c:v>86.584531143052715</c:v>
                </c:pt>
                <c:pt idx="901">
                  <c:v>83.846680355920611</c:v>
                </c:pt>
                <c:pt idx="902">
                  <c:v>84.668035592060235</c:v>
                </c:pt>
                <c:pt idx="903">
                  <c:v>83.846680355920611</c:v>
                </c:pt>
                <c:pt idx="904">
                  <c:v>85.900068446269685</c:v>
                </c:pt>
                <c:pt idx="905">
                  <c:v>84.462696783025322</c:v>
                </c:pt>
                <c:pt idx="906">
                  <c:v>85.489390828199859</c:v>
                </c:pt>
                <c:pt idx="907">
                  <c:v>89.185489390828195</c:v>
                </c:pt>
                <c:pt idx="908">
                  <c:v>86.036960985626294</c:v>
                </c:pt>
                <c:pt idx="909">
                  <c:v>83.983572895277206</c:v>
                </c:pt>
                <c:pt idx="910">
                  <c:v>85.489390828199859</c:v>
                </c:pt>
                <c:pt idx="911">
                  <c:v>85.215605749486656</c:v>
                </c:pt>
                <c:pt idx="912">
                  <c:v>86.036960985626294</c:v>
                </c:pt>
                <c:pt idx="913">
                  <c:v>83.641341546885712</c:v>
                </c:pt>
                <c:pt idx="914">
                  <c:v>82.409308692676248</c:v>
                </c:pt>
                <c:pt idx="915">
                  <c:v>81.793292265571523</c:v>
                </c:pt>
                <c:pt idx="916">
                  <c:v>81.587953456536624</c:v>
                </c:pt>
                <c:pt idx="917">
                  <c:v>80.21902806297058</c:v>
                </c:pt>
                <c:pt idx="918">
                  <c:v>77.618069815195085</c:v>
                </c:pt>
                <c:pt idx="919">
                  <c:v>74.195756331279952</c:v>
                </c:pt>
                <c:pt idx="920">
                  <c:v>77.618069815195085</c:v>
                </c:pt>
                <c:pt idx="921">
                  <c:v>77.618069815195085</c:v>
                </c:pt>
                <c:pt idx="922">
                  <c:v>78.37097878165639</c:v>
                </c:pt>
                <c:pt idx="923">
                  <c:v>77.754962354551665</c:v>
                </c:pt>
                <c:pt idx="924">
                  <c:v>79.260780287474347</c:v>
                </c:pt>
                <c:pt idx="925">
                  <c:v>80.561259411362087</c:v>
                </c:pt>
                <c:pt idx="926">
                  <c:v>81.793292265571523</c:v>
                </c:pt>
                <c:pt idx="927">
                  <c:v>83.230663928815886</c:v>
                </c:pt>
                <c:pt idx="928">
                  <c:v>83.162217659137582</c:v>
                </c:pt>
                <c:pt idx="929">
                  <c:v>81.998631074606436</c:v>
                </c:pt>
                <c:pt idx="930">
                  <c:v>86.789869952087614</c:v>
                </c:pt>
                <c:pt idx="931">
                  <c:v>86.789869952087614</c:v>
                </c:pt>
                <c:pt idx="932">
                  <c:v>85.694729637234772</c:v>
                </c:pt>
                <c:pt idx="933">
                  <c:v>85.489390828199859</c:v>
                </c:pt>
                <c:pt idx="934">
                  <c:v>86.858316221765918</c:v>
                </c:pt>
                <c:pt idx="935">
                  <c:v>86.926762491444208</c:v>
                </c:pt>
                <c:pt idx="936">
                  <c:v>87.474332648870629</c:v>
                </c:pt>
                <c:pt idx="937">
                  <c:v>88.843258042436688</c:v>
                </c:pt>
                <c:pt idx="938">
                  <c:v>89.73305954825463</c:v>
                </c:pt>
                <c:pt idx="939">
                  <c:v>89.2539356605065</c:v>
                </c:pt>
                <c:pt idx="940">
                  <c:v>87.748117727583846</c:v>
                </c:pt>
                <c:pt idx="941">
                  <c:v>83.709787816564003</c:v>
                </c:pt>
                <c:pt idx="942">
                  <c:v>81.108829568788494</c:v>
                </c:pt>
                <c:pt idx="943">
                  <c:v>81.793292265571523</c:v>
                </c:pt>
                <c:pt idx="944">
                  <c:v>80.561259411362087</c:v>
                </c:pt>
                <c:pt idx="945">
                  <c:v>79.055441478439434</c:v>
                </c:pt>
                <c:pt idx="946">
                  <c:v>77.754962354551665</c:v>
                </c:pt>
                <c:pt idx="947">
                  <c:v>78.37097878165639</c:v>
                </c:pt>
                <c:pt idx="948">
                  <c:v>79.329226557152637</c:v>
                </c:pt>
                <c:pt idx="949">
                  <c:v>78.918548939082825</c:v>
                </c:pt>
                <c:pt idx="950">
                  <c:v>79.466119096509232</c:v>
                </c:pt>
                <c:pt idx="951">
                  <c:v>81.51950718685832</c:v>
                </c:pt>
                <c:pt idx="952">
                  <c:v>82.477754962354553</c:v>
                </c:pt>
                <c:pt idx="953">
                  <c:v>82.546201232032857</c:v>
                </c:pt>
                <c:pt idx="954">
                  <c:v>79.123887748117738</c:v>
                </c:pt>
                <c:pt idx="955">
                  <c:v>80.21902806297058</c:v>
                </c:pt>
                <c:pt idx="956">
                  <c:v>79.397672826830927</c:v>
                </c:pt>
                <c:pt idx="957">
                  <c:v>77.686516084873375</c:v>
                </c:pt>
                <c:pt idx="958">
                  <c:v>79.671457905544145</c:v>
                </c:pt>
                <c:pt idx="959">
                  <c:v>79.603011635865855</c:v>
                </c:pt>
                <c:pt idx="960">
                  <c:v>79.945242984257362</c:v>
                </c:pt>
                <c:pt idx="961">
                  <c:v>79.260780287474347</c:v>
                </c:pt>
                <c:pt idx="962">
                  <c:v>77.549623545516781</c:v>
                </c:pt>
                <c:pt idx="963">
                  <c:v>77.481177275838476</c:v>
                </c:pt>
                <c:pt idx="964">
                  <c:v>77.549623545516781</c:v>
                </c:pt>
                <c:pt idx="965">
                  <c:v>77.754962354551665</c:v>
                </c:pt>
                <c:pt idx="966">
                  <c:v>81.930184804928146</c:v>
                </c:pt>
                <c:pt idx="967">
                  <c:v>80.013689253935667</c:v>
                </c:pt>
                <c:pt idx="968">
                  <c:v>78.576317590691318</c:v>
                </c:pt>
                <c:pt idx="969">
                  <c:v>78.644763860369622</c:v>
                </c:pt>
                <c:pt idx="970">
                  <c:v>77.275838466803563</c:v>
                </c:pt>
                <c:pt idx="971">
                  <c:v>78.781656399726216</c:v>
                </c:pt>
                <c:pt idx="972">
                  <c:v>78.644763860369622</c:v>
                </c:pt>
                <c:pt idx="973">
                  <c:v>80.013689253935667</c:v>
                </c:pt>
                <c:pt idx="974">
                  <c:v>83.436002737850785</c:v>
                </c:pt>
                <c:pt idx="975">
                  <c:v>83.093771389459278</c:v>
                </c:pt>
                <c:pt idx="976">
                  <c:v>84.873374401095148</c:v>
                </c:pt>
                <c:pt idx="977">
                  <c:v>85.831622176591367</c:v>
                </c:pt>
                <c:pt idx="978">
                  <c:v>86.036960985626294</c:v>
                </c:pt>
                <c:pt idx="979">
                  <c:v>86.173853524982889</c:v>
                </c:pt>
                <c:pt idx="980">
                  <c:v>88.56947296372347</c:v>
                </c:pt>
                <c:pt idx="981">
                  <c:v>89.117043121149891</c:v>
                </c:pt>
                <c:pt idx="982">
                  <c:v>91.170431211498979</c:v>
                </c:pt>
                <c:pt idx="983">
                  <c:v>87.132101300479121</c:v>
                </c:pt>
                <c:pt idx="984">
                  <c:v>87.748117727583846</c:v>
                </c:pt>
                <c:pt idx="985">
                  <c:v>89.938398357289543</c:v>
                </c:pt>
                <c:pt idx="986">
                  <c:v>90.006844626967847</c:v>
                </c:pt>
                <c:pt idx="987">
                  <c:v>88.774811772758383</c:v>
                </c:pt>
                <c:pt idx="988">
                  <c:v>88.843258042436688</c:v>
                </c:pt>
                <c:pt idx="989">
                  <c:v>85.078713210130047</c:v>
                </c:pt>
                <c:pt idx="990">
                  <c:v>84.05201916495551</c:v>
                </c:pt>
                <c:pt idx="991">
                  <c:v>82.135523613963045</c:v>
                </c:pt>
                <c:pt idx="992">
                  <c:v>79.192334017796043</c:v>
                </c:pt>
                <c:pt idx="993">
                  <c:v>77.960301163586593</c:v>
                </c:pt>
                <c:pt idx="994">
                  <c:v>78.097193702943187</c:v>
                </c:pt>
                <c:pt idx="995">
                  <c:v>76.180698151950736</c:v>
                </c:pt>
                <c:pt idx="996">
                  <c:v>78.028747433264883</c:v>
                </c:pt>
                <c:pt idx="997">
                  <c:v>78.37097878165639</c:v>
                </c:pt>
                <c:pt idx="998">
                  <c:v>73.921971252566749</c:v>
                </c:pt>
                <c:pt idx="999">
                  <c:v>74.948665297741272</c:v>
                </c:pt>
                <c:pt idx="1000">
                  <c:v>77.686516084873375</c:v>
                </c:pt>
                <c:pt idx="1001">
                  <c:v>78.507871321013013</c:v>
                </c:pt>
                <c:pt idx="1002">
                  <c:v>77.549623545516781</c:v>
                </c:pt>
                <c:pt idx="1003">
                  <c:v>77.002053388090346</c:v>
                </c:pt>
                <c:pt idx="1004">
                  <c:v>79.192334017796043</c:v>
                </c:pt>
                <c:pt idx="1005">
                  <c:v>80.21902806297058</c:v>
                </c:pt>
                <c:pt idx="1006">
                  <c:v>77.618069815195085</c:v>
                </c:pt>
                <c:pt idx="1007">
                  <c:v>77.549623545516781</c:v>
                </c:pt>
                <c:pt idx="1008">
                  <c:v>77.82340862422997</c:v>
                </c:pt>
                <c:pt idx="1009">
                  <c:v>78.507871321013013</c:v>
                </c:pt>
                <c:pt idx="1010">
                  <c:v>78.165639972621491</c:v>
                </c:pt>
                <c:pt idx="1011">
                  <c:v>76.317590691307331</c:v>
                </c:pt>
                <c:pt idx="1012">
                  <c:v>77.481177275838476</c:v>
                </c:pt>
                <c:pt idx="1013">
                  <c:v>75.564681724845997</c:v>
                </c:pt>
                <c:pt idx="1014">
                  <c:v>78.165639972621491</c:v>
                </c:pt>
                <c:pt idx="1015">
                  <c:v>78.713210130047912</c:v>
                </c:pt>
                <c:pt idx="1016">
                  <c:v>80.835044490075305</c:v>
                </c:pt>
                <c:pt idx="1017">
                  <c:v>80.971937029431899</c:v>
                </c:pt>
                <c:pt idx="1018">
                  <c:v>80.424366872005479</c:v>
                </c:pt>
                <c:pt idx="1019">
                  <c:v>79.603011635865855</c:v>
                </c:pt>
                <c:pt idx="1020">
                  <c:v>80.150581793292275</c:v>
                </c:pt>
                <c:pt idx="1021">
                  <c:v>80.082135523613957</c:v>
                </c:pt>
                <c:pt idx="1022">
                  <c:v>80.698151950718682</c:v>
                </c:pt>
                <c:pt idx="1023">
                  <c:v>81.793292265571523</c:v>
                </c:pt>
                <c:pt idx="1024">
                  <c:v>81.040383299110204</c:v>
                </c:pt>
                <c:pt idx="1025">
                  <c:v>79.123887748117738</c:v>
                </c:pt>
                <c:pt idx="1026">
                  <c:v>78.781656399726216</c:v>
                </c:pt>
                <c:pt idx="1027">
                  <c:v>78.850102669404521</c:v>
                </c:pt>
                <c:pt idx="1028">
                  <c:v>81.451060917180016</c:v>
                </c:pt>
                <c:pt idx="1029">
                  <c:v>76.522929500342229</c:v>
                </c:pt>
                <c:pt idx="1030">
                  <c:v>76.522929500342229</c:v>
                </c:pt>
                <c:pt idx="1031">
                  <c:v>76.865160848733751</c:v>
                </c:pt>
                <c:pt idx="1032">
                  <c:v>78.028747433264883</c:v>
                </c:pt>
                <c:pt idx="1033">
                  <c:v>77.07049965776865</c:v>
                </c:pt>
                <c:pt idx="1034">
                  <c:v>77.686516084873375</c:v>
                </c:pt>
                <c:pt idx="1035">
                  <c:v>78.98699520876113</c:v>
                </c:pt>
                <c:pt idx="1036">
                  <c:v>78.507871321013013</c:v>
                </c:pt>
                <c:pt idx="1037">
                  <c:v>77.754962354551665</c:v>
                </c:pt>
                <c:pt idx="1038">
                  <c:v>77.754962354551665</c:v>
                </c:pt>
                <c:pt idx="1039">
                  <c:v>78.097193702943187</c:v>
                </c:pt>
                <c:pt idx="1040">
                  <c:v>77.549623545516781</c:v>
                </c:pt>
                <c:pt idx="1041">
                  <c:v>77.002053388090346</c:v>
                </c:pt>
                <c:pt idx="1042">
                  <c:v>76.180698151950736</c:v>
                </c:pt>
                <c:pt idx="1043">
                  <c:v>76.522929500342229</c:v>
                </c:pt>
                <c:pt idx="1044">
                  <c:v>74.127310061601648</c:v>
                </c:pt>
                <c:pt idx="1045">
                  <c:v>75.290896646132794</c:v>
                </c:pt>
                <c:pt idx="1046">
                  <c:v>75.359342915811084</c:v>
                </c:pt>
                <c:pt idx="1047">
                  <c:v>75.427789185489388</c:v>
                </c:pt>
                <c:pt idx="1048">
                  <c:v>75.564681724845997</c:v>
                </c:pt>
                <c:pt idx="1049">
                  <c:v>74.811772758384663</c:v>
                </c:pt>
                <c:pt idx="1050">
                  <c:v>75.154004106776185</c:v>
                </c:pt>
                <c:pt idx="1051">
                  <c:v>75.975359342915823</c:v>
                </c:pt>
                <c:pt idx="1052">
                  <c:v>75.564681724845997</c:v>
                </c:pt>
                <c:pt idx="1053">
                  <c:v>76.317590691307331</c:v>
                </c:pt>
                <c:pt idx="1054">
                  <c:v>79.055441478439434</c:v>
                </c:pt>
                <c:pt idx="1055">
                  <c:v>78.028747433264883</c:v>
                </c:pt>
                <c:pt idx="1056">
                  <c:v>77.207392197125259</c:v>
                </c:pt>
                <c:pt idx="1057">
                  <c:v>79.192334017796043</c:v>
                </c:pt>
                <c:pt idx="1058">
                  <c:v>78.781656399726216</c:v>
                </c:pt>
                <c:pt idx="1059">
                  <c:v>79.808350444900753</c:v>
                </c:pt>
                <c:pt idx="1060">
                  <c:v>81.656399726214929</c:v>
                </c:pt>
                <c:pt idx="1061">
                  <c:v>81.177275838466798</c:v>
                </c:pt>
                <c:pt idx="1062">
                  <c:v>79.055441478439434</c:v>
                </c:pt>
                <c:pt idx="1063">
                  <c:v>77.207392197125259</c:v>
                </c:pt>
                <c:pt idx="1064">
                  <c:v>75.290896646132794</c:v>
                </c:pt>
                <c:pt idx="1065">
                  <c:v>68.583162217659137</c:v>
                </c:pt>
                <c:pt idx="1066">
                  <c:v>71.389459274469544</c:v>
                </c:pt>
                <c:pt idx="1067">
                  <c:v>72.689938398357285</c:v>
                </c:pt>
                <c:pt idx="1068">
                  <c:v>72.210814510609183</c:v>
                </c:pt>
                <c:pt idx="1069">
                  <c:v>72.210814510609183</c:v>
                </c:pt>
                <c:pt idx="1070">
                  <c:v>75.359342915811084</c:v>
                </c:pt>
                <c:pt idx="1071">
                  <c:v>75.633127994524301</c:v>
                </c:pt>
                <c:pt idx="1072">
                  <c:v>77.686516084873375</c:v>
                </c:pt>
                <c:pt idx="1073">
                  <c:v>72.55304585900069</c:v>
                </c:pt>
                <c:pt idx="1074">
                  <c:v>73.237508555783705</c:v>
                </c:pt>
                <c:pt idx="1075">
                  <c:v>72.416153319644081</c:v>
                </c:pt>
                <c:pt idx="1076">
                  <c:v>74.058863791923343</c:v>
                </c:pt>
                <c:pt idx="1077">
                  <c:v>74.332648870636547</c:v>
                </c:pt>
                <c:pt idx="1078">
                  <c:v>71.184120465434646</c:v>
                </c:pt>
                <c:pt idx="1079">
                  <c:v>73.85352498288843</c:v>
                </c:pt>
                <c:pt idx="1080">
                  <c:v>75.08555783709788</c:v>
                </c:pt>
                <c:pt idx="1081">
                  <c:v>73.990417522245039</c:v>
                </c:pt>
                <c:pt idx="1082">
                  <c:v>73.442847364818618</c:v>
                </c:pt>
                <c:pt idx="1083">
                  <c:v>74.880219028062967</c:v>
                </c:pt>
                <c:pt idx="1084">
                  <c:v>75.290896646132794</c:v>
                </c:pt>
                <c:pt idx="1085">
                  <c:v>84.1204654346338</c:v>
                </c:pt>
                <c:pt idx="1086">
                  <c:v>85.557837097878163</c:v>
                </c:pt>
                <c:pt idx="1087">
                  <c:v>87.26899383983573</c:v>
                </c:pt>
                <c:pt idx="1088">
                  <c:v>87.474332648870629</c:v>
                </c:pt>
                <c:pt idx="1089">
                  <c:v>86.51608487337441</c:v>
                </c:pt>
                <c:pt idx="1090">
                  <c:v>86.584531143052715</c:v>
                </c:pt>
                <c:pt idx="1091">
                  <c:v>81.861738535249842</c:v>
                </c:pt>
                <c:pt idx="1092">
                  <c:v>85.523613963039011</c:v>
                </c:pt>
                <c:pt idx="1093">
                  <c:v>83.641341546885712</c:v>
                </c:pt>
                <c:pt idx="1094">
                  <c:v>83.504449007529089</c:v>
                </c:pt>
                <c:pt idx="1095">
                  <c:v>80.766598220397</c:v>
                </c:pt>
                <c:pt idx="1096">
                  <c:v>83.504449007529089</c:v>
                </c:pt>
                <c:pt idx="1097">
                  <c:v>84.257357973990423</c:v>
                </c:pt>
                <c:pt idx="1098">
                  <c:v>82.546201232032857</c:v>
                </c:pt>
                <c:pt idx="1099">
                  <c:v>82.888432580424364</c:v>
                </c:pt>
                <c:pt idx="1100">
                  <c:v>83.162217659137582</c:v>
                </c:pt>
                <c:pt idx="1101">
                  <c:v>73.785078713210126</c:v>
                </c:pt>
                <c:pt idx="1102">
                  <c:v>68.78850102669405</c:v>
                </c:pt>
                <c:pt idx="1103">
                  <c:v>69.883641341546905</c:v>
                </c:pt>
                <c:pt idx="1104">
                  <c:v>71.594798083504458</c:v>
                </c:pt>
                <c:pt idx="1105">
                  <c:v>71.800136892539356</c:v>
                </c:pt>
                <c:pt idx="1106">
                  <c:v>69.815195071868587</c:v>
                </c:pt>
                <c:pt idx="1107">
                  <c:v>70.568104038329921</c:v>
                </c:pt>
                <c:pt idx="1108">
                  <c:v>70.225872689938399</c:v>
                </c:pt>
                <c:pt idx="1109">
                  <c:v>69.952087611225195</c:v>
                </c:pt>
                <c:pt idx="1110">
                  <c:v>71.731690622861052</c:v>
                </c:pt>
                <c:pt idx="1111">
                  <c:v>70.499657768651616</c:v>
                </c:pt>
                <c:pt idx="1112">
                  <c:v>70.0205338809035</c:v>
                </c:pt>
                <c:pt idx="1113">
                  <c:v>69.472963723477079</c:v>
                </c:pt>
                <c:pt idx="1114">
                  <c:v>69.541409993155384</c:v>
                </c:pt>
                <c:pt idx="1115">
                  <c:v>68.993839835728949</c:v>
                </c:pt>
                <c:pt idx="1116">
                  <c:v>66.735112936344976</c:v>
                </c:pt>
                <c:pt idx="1117">
                  <c:v>67.761806981519513</c:v>
                </c:pt>
                <c:pt idx="1118">
                  <c:v>68.446269678302542</c:v>
                </c:pt>
                <c:pt idx="1119">
                  <c:v>69.267624914442166</c:v>
                </c:pt>
                <c:pt idx="1120">
                  <c:v>68.446269678302542</c:v>
                </c:pt>
                <c:pt idx="1121">
                  <c:v>68.035592060232716</c:v>
                </c:pt>
                <c:pt idx="1122">
                  <c:v>64.955509924709105</c:v>
                </c:pt>
                <c:pt idx="1123">
                  <c:v>63.860369609856271</c:v>
                </c:pt>
                <c:pt idx="1124">
                  <c:v>64.407939767282684</c:v>
                </c:pt>
                <c:pt idx="1125">
                  <c:v>66.255989048596859</c:v>
                </c:pt>
                <c:pt idx="1126">
                  <c:v>66.32443531827515</c:v>
                </c:pt>
                <c:pt idx="1127">
                  <c:v>66.255989048596859</c:v>
                </c:pt>
                <c:pt idx="1128">
                  <c:v>66.940451745379875</c:v>
                </c:pt>
                <c:pt idx="1129">
                  <c:v>66.187542778918555</c:v>
                </c:pt>
                <c:pt idx="1130">
                  <c:v>67.008898015058165</c:v>
                </c:pt>
                <c:pt idx="1131">
                  <c:v>65.845311430527033</c:v>
                </c:pt>
                <c:pt idx="1132">
                  <c:v>67.282683093771396</c:v>
                </c:pt>
                <c:pt idx="1133">
                  <c:v>67.077344284736483</c:v>
                </c:pt>
                <c:pt idx="1134">
                  <c:v>66.80355920602328</c:v>
                </c:pt>
                <c:pt idx="1135">
                  <c:v>66.735112936344976</c:v>
                </c:pt>
                <c:pt idx="1136">
                  <c:v>65.776865160848729</c:v>
                </c:pt>
                <c:pt idx="1137">
                  <c:v>67.761806981519513</c:v>
                </c:pt>
                <c:pt idx="1138">
                  <c:v>67.145790554414788</c:v>
                </c:pt>
                <c:pt idx="1139">
                  <c:v>68.035592060232716</c:v>
                </c:pt>
                <c:pt idx="1140">
                  <c:v>68.856947296372354</c:v>
                </c:pt>
                <c:pt idx="1141">
                  <c:v>70.568104038329921</c:v>
                </c:pt>
                <c:pt idx="1142">
                  <c:v>71.115674195756341</c:v>
                </c:pt>
                <c:pt idx="1143">
                  <c:v>70.499657768651616</c:v>
                </c:pt>
                <c:pt idx="1144">
                  <c:v>73.237508555783705</c:v>
                </c:pt>
                <c:pt idx="1145">
                  <c:v>72.689938398357285</c:v>
                </c:pt>
                <c:pt idx="1146">
                  <c:v>74.195756331279952</c:v>
                </c:pt>
                <c:pt idx="1147">
                  <c:v>75.154004106776185</c:v>
                </c:pt>
                <c:pt idx="1148">
                  <c:v>75.290896646132794</c:v>
                </c:pt>
                <c:pt idx="1149">
                  <c:v>75.290896646132794</c:v>
                </c:pt>
                <c:pt idx="1150">
                  <c:v>74.743326488706359</c:v>
                </c:pt>
                <c:pt idx="1151">
                  <c:v>75.154004106776185</c:v>
                </c:pt>
                <c:pt idx="1152">
                  <c:v>77.207392197125259</c:v>
                </c:pt>
                <c:pt idx="1153">
                  <c:v>76.522929500342229</c:v>
                </c:pt>
                <c:pt idx="1154">
                  <c:v>76.933607118412056</c:v>
                </c:pt>
                <c:pt idx="1155">
                  <c:v>73.100616016427097</c:v>
                </c:pt>
                <c:pt idx="1156">
                  <c:v>72.963723477070502</c:v>
                </c:pt>
                <c:pt idx="1157">
                  <c:v>71.594798083504458</c:v>
                </c:pt>
                <c:pt idx="1158">
                  <c:v>72.07392197125256</c:v>
                </c:pt>
                <c:pt idx="1159">
                  <c:v>72.07392197125256</c:v>
                </c:pt>
                <c:pt idx="1160">
                  <c:v>73.169062286105401</c:v>
                </c:pt>
                <c:pt idx="1161">
                  <c:v>72.347707049965777</c:v>
                </c:pt>
                <c:pt idx="1162">
                  <c:v>72.826830937713908</c:v>
                </c:pt>
                <c:pt idx="1163">
                  <c:v>73.169062286105401</c:v>
                </c:pt>
                <c:pt idx="1164">
                  <c:v>73.648186173853531</c:v>
                </c:pt>
                <c:pt idx="1165">
                  <c:v>72.142368240930864</c:v>
                </c:pt>
                <c:pt idx="1166">
                  <c:v>71.115674195756341</c:v>
                </c:pt>
                <c:pt idx="1167">
                  <c:v>82.135523613963045</c:v>
                </c:pt>
                <c:pt idx="1168">
                  <c:v>81.930184804928146</c:v>
                </c:pt>
                <c:pt idx="1169">
                  <c:v>81.245722108145102</c:v>
                </c:pt>
                <c:pt idx="1170">
                  <c:v>81.177275838466798</c:v>
                </c:pt>
                <c:pt idx="1171">
                  <c:v>79.055441478439434</c:v>
                </c:pt>
                <c:pt idx="1172">
                  <c:v>80.21902806297058</c:v>
                </c:pt>
                <c:pt idx="1173">
                  <c:v>81.51950718685832</c:v>
                </c:pt>
                <c:pt idx="1174">
                  <c:v>81.177275838466798</c:v>
                </c:pt>
                <c:pt idx="1175">
                  <c:v>81.177275838466798</c:v>
                </c:pt>
                <c:pt idx="1176">
                  <c:v>81.451060917180016</c:v>
                </c:pt>
                <c:pt idx="1177">
                  <c:v>80.21902806297058</c:v>
                </c:pt>
                <c:pt idx="1178">
                  <c:v>78.98699520876113</c:v>
                </c:pt>
                <c:pt idx="1179">
                  <c:v>78.234086242299796</c:v>
                </c:pt>
                <c:pt idx="1180">
                  <c:v>80.150581793292275</c:v>
                </c:pt>
                <c:pt idx="1181">
                  <c:v>79.397672826830927</c:v>
                </c:pt>
                <c:pt idx="1182">
                  <c:v>79.739904175222449</c:v>
                </c:pt>
                <c:pt idx="1183">
                  <c:v>78.644763860369622</c:v>
                </c:pt>
                <c:pt idx="1184">
                  <c:v>78.507871321013013</c:v>
                </c:pt>
                <c:pt idx="1185">
                  <c:v>78.37097878165639</c:v>
                </c:pt>
                <c:pt idx="1186">
                  <c:v>77.138945927446954</c:v>
                </c:pt>
                <c:pt idx="1187">
                  <c:v>77.754962354551665</c:v>
                </c:pt>
                <c:pt idx="1188">
                  <c:v>78.781656399726216</c:v>
                </c:pt>
                <c:pt idx="1189">
                  <c:v>80.013689253935667</c:v>
                </c:pt>
                <c:pt idx="1190">
                  <c:v>79.603011635865855</c:v>
                </c:pt>
                <c:pt idx="1191">
                  <c:v>79.055441478439434</c:v>
                </c:pt>
                <c:pt idx="1192">
                  <c:v>79.534565366187536</c:v>
                </c:pt>
                <c:pt idx="1193">
                  <c:v>80.492813141683783</c:v>
                </c:pt>
                <c:pt idx="1194">
                  <c:v>78.781656399726216</c:v>
                </c:pt>
                <c:pt idx="1195">
                  <c:v>77.891854893908288</c:v>
                </c:pt>
                <c:pt idx="1196">
                  <c:v>78.028747433264883</c:v>
                </c:pt>
                <c:pt idx="1197">
                  <c:v>77.275838466803563</c:v>
                </c:pt>
                <c:pt idx="1198">
                  <c:v>77.82340862422997</c:v>
                </c:pt>
                <c:pt idx="1199">
                  <c:v>78.918548939082825</c:v>
                </c:pt>
                <c:pt idx="1200">
                  <c:v>79.192334017796043</c:v>
                </c:pt>
                <c:pt idx="1201">
                  <c:v>81.451060917180016</c:v>
                </c:pt>
                <c:pt idx="1202">
                  <c:v>82.409308692676248</c:v>
                </c:pt>
                <c:pt idx="1203">
                  <c:v>82.272416153319654</c:v>
                </c:pt>
                <c:pt idx="1204">
                  <c:v>81.930184804928146</c:v>
                </c:pt>
                <c:pt idx="1205">
                  <c:v>80.766598220397</c:v>
                </c:pt>
                <c:pt idx="1206">
                  <c:v>81.451060917180016</c:v>
                </c:pt>
                <c:pt idx="1207">
                  <c:v>82.067077344284741</c:v>
                </c:pt>
                <c:pt idx="1208">
                  <c:v>82.135523613963045</c:v>
                </c:pt>
                <c:pt idx="1209">
                  <c:v>83.367556468172495</c:v>
                </c:pt>
                <c:pt idx="1210">
                  <c:v>83.230663928815886</c:v>
                </c:pt>
                <c:pt idx="1211">
                  <c:v>84.05201916495551</c:v>
                </c:pt>
                <c:pt idx="1212">
                  <c:v>84.804928131416844</c:v>
                </c:pt>
                <c:pt idx="1213">
                  <c:v>84.941820670773453</c:v>
                </c:pt>
                <c:pt idx="1214">
                  <c:v>81.930184804928146</c:v>
                </c:pt>
                <c:pt idx="1215">
                  <c:v>81.382614647501711</c:v>
                </c:pt>
                <c:pt idx="1216">
                  <c:v>80.903490759753595</c:v>
                </c:pt>
                <c:pt idx="1217">
                  <c:v>84.325804243668728</c:v>
                </c:pt>
                <c:pt idx="1218">
                  <c:v>81.793292265571523</c:v>
                </c:pt>
                <c:pt idx="1219">
                  <c:v>81.656399726214929</c:v>
                </c:pt>
                <c:pt idx="1220">
                  <c:v>82.135523613963045</c:v>
                </c:pt>
                <c:pt idx="1221">
                  <c:v>82.067077344284741</c:v>
                </c:pt>
                <c:pt idx="1222">
                  <c:v>82.203969883641349</c:v>
                </c:pt>
                <c:pt idx="1223">
                  <c:v>82.067077344284741</c:v>
                </c:pt>
                <c:pt idx="1224">
                  <c:v>81.793292265571523</c:v>
                </c:pt>
                <c:pt idx="1225">
                  <c:v>82.203969883641349</c:v>
                </c:pt>
                <c:pt idx="1226">
                  <c:v>84.188911704312119</c:v>
                </c:pt>
                <c:pt idx="1227">
                  <c:v>84.188911704312119</c:v>
                </c:pt>
                <c:pt idx="1228">
                  <c:v>83.915126625598901</c:v>
                </c:pt>
                <c:pt idx="1229">
                  <c:v>84.325804243668728</c:v>
                </c:pt>
                <c:pt idx="1230">
                  <c:v>84.1204654346338</c:v>
                </c:pt>
                <c:pt idx="1231">
                  <c:v>84.804928131416844</c:v>
                </c:pt>
                <c:pt idx="1232">
                  <c:v>84.804928131416844</c:v>
                </c:pt>
                <c:pt idx="1233">
                  <c:v>83.641341546885712</c:v>
                </c:pt>
                <c:pt idx="1234">
                  <c:v>82.81998631074606</c:v>
                </c:pt>
                <c:pt idx="1235">
                  <c:v>83.709787816564003</c:v>
                </c:pt>
                <c:pt idx="1236">
                  <c:v>85.249828884325808</c:v>
                </c:pt>
                <c:pt idx="1237">
                  <c:v>84.462696783025322</c:v>
                </c:pt>
                <c:pt idx="1238">
                  <c:v>85.284052019164974</c:v>
                </c:pt>
                <c:pt idx="1239">
                  <c:v>85.96851471594799</c:v>
                </c:pt>
                <c:pt idx="1240">
                  <c:v>84.599589322381931</c:v>
                </c:pt>
                <c:pt idx="1241">
                  <c:v>83.709787816564003</c:v>
                </c:pt>
                <c:pt idx="1242">
                  <c:v>82.546201232032857</c:v>
                </c:pt>
                <c:pt idx="1243">
                  <c:v>81.587953456536624</c:v>
                </c:pt>
                <c:pt idx="1244">
                  <c:v>79.808350444900753</c:v>
                </c:pt>
                <c:pt idx="1245">
                  <c:v>80.287474332648884</c:v>
                </c:pt>
                <c:pt idx="1246">
                  <c:v>80.492813141683783</c:v>
                </c:pt>
                <c:pt idx="1247">
                  <c:v>80.287474332648884</c:v>
                </c:pt>
                <c:pt idx="1248">
                  <c:v>83.230663928815886</c:v>
                </c:pt>
                <c:pt idx="1249">
                  <c:v>82.477754962354553</c:v>
                </c:pt>
                <c:pt idx="1250">
                  <c:v>79.534565366187536</c:v>
                </c:pt>
                <c:pt idx="1251">
                  <c:v>80.355920602327174</c:v>
                </c:pt>
                <c:pt idx="1252">
                  <c:v>79.945242984257362</c:v>
                </c:pt>
                <c:pt idx="1253">
                  <c:v>77.754962354551665</c:v>
                </c:pt>
                <c:pt idx="1254">
                  <c:v>80.355920602327174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19F-4DF1-B627-6FAF5784323E}"/>
            </c:ext>
          </c:extLst>
        </c:ser>
        <c:ser>
          <c:idx val="2"/>
          <c:order val="2"/>
          <c:tx>
            <c:strRef>
              <c:f>'Stock Chart'!$D$1</c:f>
              <c:strCache>
                <c:ptCount val="1"/>
                <c:pt idx="0">
                  <c:v>ATGE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'Stock Chart'!$A$2:$A$1256</c:f>
              <c:numCache>
                <c:formatCode>[$-409]mmm\-dd\-yyyy;@</c:formatCode>
                <c:ptCount val="1255"/>
                <c:pt idx="0">
                  <c:v>43286</c:v>
                </c:pt>
                <c:pt idx="1">
                  <c:v>43287</c:v>
                </c:pt>
                <c:pt idx="2">
                  <c:v>43290</c:v>
                </c:pt>
                <c:pt idx="3">
                  <c:v>43291</c:v>
                </c:pt>
                <c:pt idx="4">
                  <c:v>43292</c:v>
                </c:pt>
                <c:pt idx="5">
                  <c:v>43293</c:v>
                </c:pt>
                <c:pt idx="6">
                  <c:v>43294</c:v>
                </c:pt>
                <c:pt idx="7">
                  <c:v>43297</c:v>
                </c:pt>
                <c:pt idx="8">
                  <c:v>43298</c:v>
                </c:pt>
                <c:pt idx="9">
                  <c:v>43299</c:v>
                </c:pt>
                <c:pt idx="10">
                  <c:v>43300</c:v>
                </c:pt>
                <c:pt idx="11">
                  <c:v>43301</c:v>
                </c:pt>
                <c:pt idx="12">
                  <c:v>43304</c:v>
                </c:pt>
                <c:pt idx="13">
                  <c:v>43305</c:v>
                </c:pt>
                <c:pt idx="14">
                  <c:v>43306</c:v>
                </c:pt>
                <c:pt idx="15">
                  <c:v>43307</c:v>
                </c:pt>
                <c:pt idx="16">
                  <c:v>43308</c:v>
                </c:pt>
                <c:pt idx="17">
                  <c:v>43311</c:v>
                </c:pt>
                <c:pt idx="18">
                  <c:v>43312</c:v>
                </c:pt>
                <c:pt idx="19">
                  <c:v>43313</c:v>
                </c:pt>
                <c:pt idx="20">
                  <c:v>43314</c:v>
                </c:pt>
                <c:pt idx="21">
                  <c:v>43315</c:v>
                </c:pt>
                <c:pt idx="22">
                  <c:v>43318</c:v>
                </c:pt>
                <c:pt idx="23">
                  <c:v>43319</c:v>
                </c:pt>
                <c:pt idx="24">
                  <c:v>43320</c:v>
                </c:pt>
                <c:pt idx="25">
                  <c:v>43321</c:v>
                </c:pt>
                <c:pt idx="26">
                  <c:v>43322</c:v>
                </c:pt>
                <c:pt idx="27">
                  <c:v>43325</c:v>
                </c:pt>
                <c:pt idx="28">
                  <c:v>43326</c:v>
                </c:pt>
                <c:pt idx="29">
                  <c:v>43327</c:v>
                </c:pt>
                <c:pt idx="30">
                  <c:v>43328</c:v>
                </c:pt>
                <c:pt idx="31">
                  <c:v>43329</c:v>
                </c:pt>
                <c:pt idx="32">
                  <c:v>43332</c:v>
                </c:pt>
                <c:pt idx="33">
                  <c:v>43333</c:v>
                </c:pt>
                <c:pt idx="34">
                  <c:v>43334</c:v>
                </c:pt>
                <c:pt idx="35">
                  <c:v>43335</c:v>
                </c:pt>
                <c:pt idx="36">
                  <c:v>43336</c:v>
                </c:pt>
                <c:pt idx="37">
                  <c:v>43339</c:v>
                </c:pt>
                <c:pt idx="38">
                  <c:v>43340</c:v>
                </c:pt>
                <c:pt idx="39">
                  <c:v>43341</c:v>
                </c:pt>
                <c:pt idx="40">
                  <c:v>43342</c:v>
                </c:pt>
                <c:pt idx="41">
                  <c:v>43343</c:v>
                </c:pt>
                <c:pt idx="42">
                  <c:v>43347</c:v>
                </c:pt>
                <c:pt idx="43">
                  <c:v>43348</c:v>
                </c:pt>
                <c:pt idx="44">
                  <c:v>43349</c:v>
                </c:pt>
                <c:pt idx="45">
                  <c:v>43350</c:v>
                </c:pt>
                <c:pt idx="46">
                  <c:v>43353</c:v>
                </c:pt>
                <c:pt idx="47">
                  <c:v>43354</c:v>
                </c:pt>
                <c:pt idx="48">
                  <c:v>43355</c:v>
                </c:pt>
                <c:pt idx="49">
                  <c:v>43356</c:v>
                </c:pt>
                <c:pt idx="50">
                  <c:v>43357</c:v>
                </c:pt>
                <c:pt idx="51">
                  <c:v>43360</c:v>
                </c:pt>
                <c:pt idx="52">
                  <c:v>43361</c:v>
                </c:pt>
                <c:pt idx="53">
                  <c:v>43362</c:v>
                </c:pt>
                <c:pt idx="54">
                  <c:v>43363</c:v>
                </c:pt>
                <c:pt idx="55">
                  <c:v>43364</c:v>
                </c:pt>
                <c:pt idx="56">
                  <c:v>43367</c:v>
                </c:pt>
                <c:pt idx="57">
                  <c:v>43368</c:v>
                </c:pt>
                <c:pt idx="58">
                  <c:v>43369</c:v>
                </c:pt>
                <c:pt idx="59">
                  <c:v>43370</c:v>
                </c:pt>
                <c:pt idx="60">
                  <c:v>43371</c:v>
                </c:pt>
                <c:pt idx="61">
                  <c:v>43374</c:v>
                </c:pt>
                <c:pt idx="62">
                  <c:v>43375</c:v>
                </c:pt>
                <c:pt idx="63">
                  <c:v>43376</c:v>
                </c:pt>
                <c:pt idx="64">
                  <c:v>43377</c:v>
                </c:pt>
                <c:pt idx="65">
                  <c:v>43378</c:v>
                </c:pt>
                <c:pt idx="66">
                  <c:v>43381</c:v>
                </c:pt>
                <c:pt idx="67">
                  <c:v>43382</c:v>
                </c:pt>
                <c:pt idx="68">
                  <c:v>43383</c:v>
                </c:pt>
                <c:pt idx="69">
                  <c:v>43384</c:v>
                </c:pt>
                <c:pt idx="70">
                  <c:v>43385</c:v>
                </c:pt>
                <c:pt idx="71">
                  <c:v>43388</c:v>
                </c:pt>
                <c:pt idx="72">
                  <c:v>43389</c:v>
                </c:pt>
                <c:pt idx="73">
                  <c:v>43390</c:v>
                </c:pt>
                <c:pt idx="74">
                  <c:v>43391</c:v>
                </c:pt>
                <c:pt idx="75">
                  <c:v>43392</c:v>
                </c:pt>
                <c:pt idx="76">
                  <c:v>43395</c:v>
                </c:pt>
                <c:pt idx="77">
                  <c:v>43396</c:v>
                </c:pt>
                <c:pt idx="78">
                  <c:v>43397</c:v>
                </c:pt>
                <c:pt idx="79">
                  <c:v>43398</c:v>
                </c:pt>
                <c:pt idx="80">
                  <c:v>43399</c:v>
                </c:pt>
                <c:pt idx="81">
                  <c:v>43402</c:v>
                </c:pt>
                <c:pt idx="82">
                  <c:v>43403</c:v>
                </c:pt>
                <c:pt idx="83">
                  <c:v>43404</c:v>
                </c:pt>
                <c:pt idx="84">
                  <c:v>43405</c:v>
                </c:pt>
                <c:pt idx="85">
                  <c:v>43406</c:v>
                </c:pt>
                <c:pt idx="86">
                  <c:v>43409</c:v>
                </c:pt>
                <c:pt idx="87">
                  <c:v>43410</c:v>
                </c:pt>
                <c:pt idx="88">
                  <c:v>43411</c:v>
                </c:pt>
                <c:pt idx="89">
                  <c:v>43412</c:v>
                </c:pt>
                <c:pt idx="90">
                  <c:v>43413</c:v>
                </c:pt>
                <c:pt idx="91">
                  <c:v>43416</c:v>
                </c:pt>
                <c:pt idx="92">
                  <c:v>43417</c:v>
                </c:pt>
                <c:pt idx="93">
                  <c:v>43418</c:v>
                </c:pt>
                <c:pt idx="94">
                  <c:v>43419</c:v>
                </c:pt>
                <c:pt idx="95">
                  <c:v>43420</c:v>
                </c:pt>
                <c:pt idx="96">
                  <c:v>43423</c:v>
                </c:pt>
                <c:pt idx="97">
                  <c:v>43424</c:v>
                </c:pt>
                <c:pt idx="98">
                  <c:v>43425</c:v>
                </c:pt>
                <c:pt idx="99">
                  <c:v>43427</c:v>
                </c:pt>
                <c:pt idx="100">
                  <c:v>43430</c:v>
                </c:pt>
                <c:pt idx="101">
                  <c:v>43431</c:v>
                </c:pt>
                <c:pt idx="102">
                  <c:v>43432</c:v>
                </c:pt>
                <c:pt idx="103">
                  <c:v>43433</c:v>
                </c:pt>
                <c:pt idx="104">
                  <c:v>43434</c:v>
                </c:pt>
                <c:pt idx="105">
                  <c:v>43437</c:v>
                </c:pt>
                <c:pt idx="106">
                  <c:v>43438</c:v>
                </c:pt>
                <c:pt idx="107">
                  <c:v>43440</c:v>
                </c:pt>
                <c:pt idx="108">
                  <c:v>43441</c:v>
                </c:pt>
                <c:pt idx="109">
                  <c:v>43444</c:v>
                </c:pt>
                <c:pt idx="110">
                  <c:v>43445</c:v>
                </c:pt>
                <c:pt idx="111">
                  <c:v>43446</c:v>
                </c:pt>
                <c:pt idx="112">
                  <c:v>43447</c:v>
                </c:pt>
                <c:pt idx="113">
                  <c:v>43448</c:v>
                </c:pt>
                <c:pt idx="114">
                  <c:v>43451</c:v>
                </c:pt>
                <c:pt idx="115">
                  <c:v>43452</c:v>
                </c:pt>
                <c:pt idx="116">
                  <c:v>43453</c:v>
                </c:pt>
                <c:pt idx="117">
                  <c:v>43454</c:v>
                </c:pt>
                <c:pt idx="118">
                  <c:v>43455</c:v>
                </c:pt>
                <c:pt idx="119">
                  <c:v>43458</c:v>
                </c:pt>
                <c:pt idx="120">
                  <c:v>43460</c:v>
                </c:pt>
                <c:pt idx="121">
                  <c:v>43461</c:v>
                </c:pt>
                <c:pt idx="122">
                  <c:v>43462</c:v>
                </c:pt>
                <c:pt idx="123">
                  <c:v>43465</c:v>
                </c:pt>
                <c:pt idx="124">
                  <c:v>43467</c:v>
                </c:pt>
                <c:pt idx="125">
                  <c:v>43468</c:v>
                </c:pt>
                <c:pt idx="126">
                  <c:v>43469</c:v>
                </c:pt>
                <c:pt idx="127">
                  <c:v>43472</c:v>
                </c:pt>
                <c:pt idx="128">
                  <c:v>43473</c:v>
                </c:pt>
                <c:pt idx="129">
                  <c:v>43474</c:v>
                </c:pt>
                <c:pt idx="130">
                  <c:v>43475</c:v>
                </c:pt>
                <c:pt idx="131">
                  <c:v>43476</c:v>
                </c:pt>
                <c:pt idx="132">
                  <c:v>43479</c:v>
                </c:pt>
                <c:pt idx="133">
                  <c:v>43480</c:v>
                </c:pt>
                <c:pt idx="134">
                  <c:v>43481</c:v>
                </c:pt>
                <c:pt idx="135">
                  <c:v>43482</c:v>
                </c:pt>
                <c:pt idx="136">
                  <c:v>43483</c:v>
                </c:pt>
                <c:pt idx="137">
                  <c:v>43487</c:v>
                </c:pt>
                <c:pt idx="138">
                  <c:v>43488</c:v>
                </c:pt>
                <c:pt idx="139">
                  <c:v>43489</c:v>
                </c:pt>
                <c:pt idx="140">
                  <c:v>43490</c:v>
                </c:pt>
                <c:pt idx="141">
                  <c:v>43493</c:v>
                </c:pt>
                <c:pt idx="142">
                  <c:v>43494</c:v>
                </c:pt>
                <c:pt idx="143">
                  <c:v>43495</c:v>
                </c:pt>
                <c:pt idx="144">
                  <c:v>43496</c:v>
                </c:pt>
                <c:pt idx="145">
                  <c:v>43497</c:v>
                </c:pt>
                <c:pt idx="146">
                  <c:v>43500</c:v>
                </c:pt>
                <c:pt idx="147">
                  <c:v>43501</c:v>
                </c:pt>
                <c:pt idx="148">
                  <c:v>43502</c:v>
                </c:pt>
                <c:pt idx="149">
                  <c:v>43503</c:v>
                </c:pt>
                <c:pt idx="150">
                  <c:v>43504</c:v>
                </c:pt>
                <c:pt idx="151">
                  <c:v>43507</c:v>
                </c:pt>
                <c:pt idx="152">
                  <c:v>43508</c:v>
                </c:pt>
                <c:pt idx="153">
                  <c:v>43509</c:v>
                </c:pt>
                <c:pt idx="154">
                  <c:v>43510</c:v>
                </c:pt>
                <c:pt idx="155">
                  <c:v>43511</c:v>
                </c:pt>
                <c:pt idx="156">
                  <c:v>43515</c:v>
                </c:pt>
                <c:pt idx="157">
                  <c:v>43516</c:v>
                </c:pt>
                <c:pt idx="158">
                  <c:v>43517</c:v>
                </c:pt>
                <c:pt idx="159">
                  <c:v>43518</c:v>
                </c:pt>
                <c:pt idx="160">
                  <c:v>43521</c:v>
                </c:pt>
                <c:pt idx="161">
                  <c:v>43522</c:v>
                </c:pt>
                <c:pt idx="162">
                  <c:v>43523</c:v>
                </c:pt>
                <c:pt idx="163">
                  <c:v>43524</c:v>
                </c:pt>
                <c:pt idx="164">
                  <c:v>43525</c:v>
                </c:pt>
                <c:pt idx="165">
                  <c:v>43528</c:v>
                </c:pt>
                <c:pt idx="166">
                  <c:v>43529</c:v>
                </c:pt>
                <c:pt idx="167">
                  <c:v>43530</c:v>
                </c:pt>
                <c:pt idx="168">
                  <c:v>43531</c:v>
                </c:pt>
                <c:pt idx="169">
                  <c:v>43532</c:v>
                </c:pt>
                <c:pt idx="170">
                  <c:v>43535</c:v>
                </c:pt>
                <c:pt idx="171">
                  <c:v>43536</c:v>
                </c:pt>
                <c:pt idx="172">
                  <c:v>43537</c:v>
                </c:pt>
                <c:pt idx="173">
                  <c:v>43538</c:v>
                </c:pt>
                <c:pt idx="174">
                  <c:v>43539</c:v>
                </c:pt>
                <c:pt idx="175">
                  <c:v>43542</c:v>
                </c:pt>
                <c:pt idx="176">
                  <c:v>43543</c:v>
                </c:pt>
                <c:pt idx="177">
                  <c:v>43544</c:v>
                </c:pt>
                <c:pt idx="178">
                  <c:v>43545</c:v>
                </c:pt>
                <c:pt idx="179">
                  <c:v>43546</c:v>
                </c:pt>
                <c:pt idx="180">
                  <c:v>43549</c:v>
                </c:pt>
                <c:pt idx="181">
                  <c:v>43550</c:v>
                </c:pt>
                <c:pt idx="182">
                  <c:v>43551</c:v>
                </c:pt>
                <c:pt idx="183">
                  <c:v>43552</c:v>
                </c:pt>
                <c:pt idx="184">
                  <c:v>43553</c:v>
                </c:pt>
                <c:pt idx="185">
                  <c:v>43556</c:v>
                </c:pt>
                <c:pt idx="186">
                  <c:v>43557</c:v>
                </c:pt>
                <c:pt idx="187">
                  <c:v>43558</c:v>
                </c:pt>
                <c:pt idx="188">
                  <c:v>43559</c:v>
                </c:pt>
                <c:pt idx="189">
                  <c:v>43560</c:v>
                </c:pt>
                <c:pt idx="190">
                  <c:v>43563</c:v>
                </c:pt>
                <c:pt idx="191">
                  <c:v>43564</c:v>
                </c:pt>
                <c:pt idx="192">
                  <c:v>43565</c:v>
                </c:pt>
                <c:pt idx="193">
                  <c:v>43566</c:v>
                </c:pt>
                <c:pt idx="194">
                  <c:v>43567</c:v>
                </c:pt>
                <c:pt idx="195">
                  <c:v>43570</c:v>
                </c:pt>
                <c:pt idx="196">
                  <c:v>43571</c:v>
                </c:pt>
                <c:pt idx="197">
                  <c:v>43572</c:v>
                </c:pt>
                <c:pt idx="198">
                  <c:v>43573</c:v>
                </c:pt>
                <c:pt idx="199">
                  <c:v>43577</c:v>
                </c:pt>
                <c:pt idx="200">
                  <c:v>43578</c:v>
                </c:pt>
                <c:pt idx="201">
                  <c:v>43579</c:v>
                </c:pt>
                <c:pt idx="202">
                  <c:v>43580</c:v>
                </c:pt>
                <c:pt idx="203">
                  <c:v>43581</c:v>
                </c:pt>
                <c:pt idx="204">
                  <c:v>43584</c:v>
                </c:pt>
                <c:pt idx="205">
                  <c:v>43585</c:v>
                </c:pt>
                <c:pt idx="206">
                  <c:v>43586</c:v>
                </c:pt>
                <c:pt idx="207">
                  <c:v>43587</c:v>
                </c:pt>
                <c:pt idx="208">
                  <c:v>43588</c:v>
                </c:pt>
                <c:pt idx="209">
                  <c:v>43591</c:v>
                </c:pt>
                <c:pt idx="210">
                  <c:v>43592</c:v>
                </c:pt>
                <c:pt idx="211">
                  <c:v>43593</c:v>
                </c:pt>
                <c:pt idx="212">
                  <c:v>43594</c:v>
                </c:pt>
                <c:pt idx="213">
                  <c:v>43595</c:v>
                </c:pt>
                <c:pt idx="214">
                  <c:v>43598</c:v>
                </c:pt>
                <c:pt idx="215">
                  <c:v>43599</c:v>
                </c:pt>
                <c:pt idx="216">
                  <c:v>43600</c:v>
                </c:pt>
                <c:pt idx="217">
                  <c:v>43601</c:v>
                </c:pt>
                <c:pt idx="218">
                  <c:v>43602</c:v>
                </c:pt>
                <c:pt idx="219">
                  <c:v>43605</c:v>
                </c:pt>
                <c:pt idx="220">
                  <c:v>43606</c:v>
                </c:pt>
                <c:pt idx="221">
                  <c:v>43607</c:v>
                </c:pt>
                <c:pt idx="222">
                  <c:v>43608</c:v>
                </c:pt>
                <c:pt idx="223">
                  <c:v>43609</c:v>
                </c:pt>
                <c:pt idx="224">
                  <c:v>43613</c:v>
                </c:pt>
                <c:pt idx="225">
                  <c:v>43614</c:v>
                </c:pt>
                <c:pt idx="226">
                  <c:v>43615</c:v>
                </c:pt>
                <c:pt idx="227">
                  <c:v>43616</c:v>
                </c:pt>
                <c:pt idx="228">
                  <c:v>43619</c:v>
                </c:pt>
                <c:pt idx="229">
                  <c:v>43620</c:v>
                </c:pt>
                <c:pt idx="230">
                  <c:v>43621</c:v>
                </c:pt>
                <c:pt idx="231">
                  <c:v>43622</c:v>
                </c:pt>
                <c:pt idx="232">
                  <c:v>43623</c:v>
                </c:pt>
                <c:pt idx="233">
                  <c:v>43626</c:v>
                </c:pt>
                <c:pt idx="234">
                  <c:v>43627</c:v>
                </c:pt>
                <c:pt idx="235">
                  <c:v>43628</c:v>
                </c:pt>
                <c:pt idx="236">
                  <c:v>43629</c:v>
                </c:pt>
                <c:pt idx="237">
                  <c:v>43630</c:v>
                </c:pt>
                <c:pt idx="238">
                  <c:v>43633</c:v>
                </c:pt>
                <c:pt idx="239">
                  <c:v>43634</c:v>
                </c:pt>
                <c:pt idx="240">
                  <c:v>43635</c:v>
                </c:pt>
                <c:pt idx="241">
                  <c:v>43636</c:v>
                </c:pt>
                <c:pt idx="242">
                  <c:v>43637</c:v>
                </c:pt>
                <c:pt idx="243">
                  <c:v>43640</c:v>
                </c:pt>
                <c:pt idx="244">
                  <c:v>43641</c:v>
                </c:pt>
                <c:pt idx="245">
                  <c:v>43642</c:v>
                </c:pt>
                <c:pt idx="246">
                  <c:v>43643</c:v>
                </c:pt>
                <c:pt idx="247">
                  <c:v>43644</c:v>
                </c:pt>
                <c:pt idx="248">
                  <c:v>43647</c:v>
                </c:pt>
                <c:pt idx="249">
                  <c:v>43648</c:v>
                </c:pt>
                <c:pt idx="250">
                  <c:v>43649</c:v>
                </c:pt>
                <c:pt idx="251">
                  <c:v>43651</c:v>
                </c:pt>
                <c:pt idx="252">
                  <c:v>43654</c:v>
                </c:pt>
                <c:pt idx="253">
                  <c:v>43655</c:v>
                </c:pt>
                <c:pt idx="254">
                  <c:v>43656</c:v>
                </c:pt>
                <c:pt idx="255">
                  <c:v>43657</c:v>
                </c:pt>
                <c:pt idx="256">
                  <c:v>43658</c:v>
                </c:pt>
                <c:pt idx="257">
                  <c:v>43661</c:v>
                </c:pt>
                <c:pt idx="258">
                  <c:v>43662</c:v>
                </c:pt>
                <c:pt idx="259">
                  <c:v>43663</c:v>
                </c:pt>
                <c:pt idx="260">
                  <c:v>43664</c:v>
                </c:pt>
                <c:pt idx="261">
                  <c:v>43665</c:v>
                </c:pt>
                <c:pt idx="262">
                  <c:v>43668</c:v>
                </c:pt>
                <c:pt idx="263">
                  <c:v>43669</c:v>
                </c:pt>
                <c:pt idx="264">
                  <c:v>43670</c:v>
                </c:pt>
                <c:pt idx="265">
                  <c:v>43671</c:v>
                </c:pt>
                <c:pt idx="266">
                  <c:v>43672</c:v>
                </c:pt>
                <c:pt idx="267">
                  <c:v>43675</c:v>
                </c:pt>
                <c:pt idx="268">
                  <c:v>43676</c:v>
                </c:pt>
                <c:pt idx="269">
                  <c:v>43677</c:v>
                </c:pt>
                <c:pt idx="270">
                  <c:v>43678</c:v>
                </c:pt>
                <c:pt idx="271">
                  <c:v>43679</c:v>
                </c:pt>
                <c:pt idx="272">
                  <c:v>43682</c:v>
                </c:pt>
                <c:pt idx="273">
                  <c:v>43683</c:v>
                </c:pt>
                <c:pt idx="274">
                  <c:v>43684</c:v>
                </c:pt>
                <c:pt idx="275">
                  <c:v>43685</c:v>
                </c:pt>
                <c:pt idx="276">
                  <c:v>43686</c:v>
                </c:pt>
                <c:pt idx="277">
                  <c:v>43689</c:v>
                </c:pt>
                <c:pt idx="278">
                  <c:v>43690</c:v>
                </c:pt>
                <c:pt idx="279">
                  <c:v>43691</c:v>
                </c:pt>
                <c:pt idx="280">
                  <c:v>43692</c:v>
                </c:pt>
                <c:pt idx="281">
                  <c:v>43693</c:v>
                </c:pt>
                <c:pt idx="282">
                  <c:v>43696</c:v>
                </c:pt>
                <c:pt idx="283">
                  <c:v>43697</c:v>
                </c:pt>
                <c:pt idx="284">
                  <c:v>43698</c:v>
                </c:pt>
                <c:pt idx="285">
                  <c:v>43699</c:v>
                </c:pt>
                <c:pt idx="286">
                  <c:v>43700</c:v>
                </c:pt>
                <c:pt idx="287">
                  <c:v>43703</c:v>
                </c:pt>
                <c:pt idx="288">
                  <c:v>43704</c:v>
                </c:pt>
                <c:pt idx="289">
                  <c:v>43705</c:v>
                </c:pt>
                <c:pt idx="290">
                  <c:v>43706</c:v>
                </c:pt>
                <c:pt idx="291">
                  <c:v>43707</c:v>
                </c:pt>
                <c:pt idx="292">
                  <c:v>43711</c:v>
                </c:pt>
                <c:pt idx="293">
                  <c:v>43712</c:v>
                </c:pt>
                <c:pt idx="294">
                  <c:v>43713</c:v>
                </c:pt>
                <c:pt idx="295">
                  <c:v>43714</c:v>
                </c:pt>
                <c:pt idx="296">
                  <c:v>43717</c:v>
                </c:pt>
                <c:pt idx="297">
                  <c:v>43718</c:v>
                </c:pt>
                <c:pt idx="298">
                  <c:v>43719</c:v>
                </c:pt>
                <c:pt idx="299">
                  <c:v>43720</c:v>
                </c:pt>
                <c:pt idx="300">
                  <c:v>43721</c:v>
                </c:pt>
                <c:pt idx="301">
                  <c:v>43724</c:v>
                </c:pt>
                <c:pt idx="302">
                  <c:v>43725</c:v>
                </c:pt>
                <c:pt idx="303">
                  <c:v>43726</c:v>
                </c:pt>
                <c:pt idx="304">
                  <c:v>43727</c:v>
                </c:pt>
                <c:pt idx="305">
                  <c:v>43728</c:v>
                </c:pt>
                <c:pt idx="306">
                  <c:v>43731</c:v>
                </c:pt>
                <c:pt idx="307">
                  <c:v>43732</c:v>
                </c:pt>
                <c:pt idx="308">
                  <c:v>43733</c:v>
                </c:pt>
                <c:pt idx="309">
                  <c:v>43734</c:v>
                </c:pt>
                <c:pt idx="310">
                  <c:v>43735</c:v>
                </c:pt>
                <c:pt idx="311">
                  <c:v>43738</c:v>
                </c:pt>
                <c:pt idx="312">
                  <c:v>43739</c:v>
                </c:pt>
                <c:pt idx="313">
                  <c:v>43740</c:v>
                </c:pt>
                <c:pt idx="314">
                  <c:v>43741</c:v>
                </c:pt>
                <c:pt idx="315">
                  <c:v>43742</c:v>
                </c:pt>
                <c:pt idx="316">
                  <c:v>43745</c:v>
                </c:pt>
                <c:pt idx="317">
                  <c:v>43746</c:v>
                </c:pt>
                <c:pt idx="318">
                  <c:v>43747</c:v>
                </c:pt>
                <c:pt idx="319">
                  <c:v>43748</c:v>
                </c:pt>
                <c:pt idx="320">
                  <c:v>43749</c:v>
                </c:pt>
                <c:pt idx="321">
                  <c:v>43752</c:v>
                </c:pt>
                <c:pt idx="322">
                  <c:v>43753</c:v>
                </c:pt>
                <c:pt idx="323">
                  <c:v>43754</c:v>
                </c:pt>
                <c:pt idx="324">
                  <c:v>43755</c:v>
                </c:pt>
                <c:pt idx="325">
                  <c:v>43756</c:v>
                </c:pt>
                <c:pt idx="326">
                  <c:v>43759</c:v>
                </c:pt>
                <c:pt idx="327">
                  <c:v>43760</c:v>
                </c:pt>
                <c:pt idx="328">
                  <c:v>43761</c:v>
                </c:pt>
                <c:pt idx="329">
                  <c:v>43762</c:v>
                </c:pt>
                <c:pt idx="330">
                  <c:v>43763</c:v>
                </c:pt>
                <c:pt idx="331">
                  <c:v>43766</c:v>
                </c:pt>
                <c:pt idx="332">
                  <c:v>43767</c:v>
                </c:pt>
                <c:pt idx="333">
                  <c:v>43768</c:v>
                </c:pt>
                <c:pt idx="334">
                  <c:v>43769</c:v>
                </c:pt>
                <c:pt idx="335">
                  <c:v>43770</c:v>
                </c:pt>
                <c:pt idx="336">
                  <c:v>43773</c:v>
                </c:pt>
                <c:pt idx="337">
                  <c:v>43774</c:v>
                </c:pt>
                <c:pt idx="338">
                  <c:v>43775</c:v>
                </c:pt>
                <c:pt idx="339">
                  <c:v>43776</c:v>
                </c:pt>
                <c:pt idx="340">
                  <c:v>43777</c:v>
                </c:pt>
                <c:pt idx="341">
                  <c:v>43780</c:v>
                </c:pt>
                <c:pt idx="342">
                  <c:v>43781</c:v>
                </c:pt>
                <c:pt idx="343">
                  <c:v>43782</c:v>
                </c:pt>
                <c:pt idx="344">
                  <c:v>43783</c:v>
                </c:pt>
                <c:pt idx="345">
                  <c:v>43784</c:v>
                </c:pt>
                <c:pt idx="346">
                  <c:v>43787</c:v>
                </c:pt>
                <c:pt idx="347">
                  <c:v>43788</c:v>
                </c:pt>
                <c:pt idx="348">
                  <c:v>43789</c:v>
                </c:pt>
                <c:pt idx="349">
                  <c:v>43790</c:v>
                </c:pt>
                <c:pt idx="350">
                  <c:v>43791</c:v>
                </c:pt>
                <c:pt idx="351">
                  <c:v>43794</c:v>
                </c:pt>
                <c:pt idx="352">
                  <c:v>43795</c:v>
                </c:pt>
                <c:pt idx="353">
                  <c:v>43796</c:v>
                </c:pt>
                <c:pt idx="354">
                  <c:v>43798</c:v>
                </c:pt>
                <c:pt idx="355">
                  <c:v>43801</c:v>
                </c:pt>
                <c:pt idx="356">
                  <c:v>43802</c:v>
                </c:pt>
                <c:pt idx="357">
                  <c:v>43803</c:v>
                </c:pt>
                <c:pt idx="358">
                  <c:v>43804</c:v>
                </c:pt>
                <c:pt idx="359">
                  <c:v>43805</c:v>
                </c:pt>
                <c:pt idx="360">
                  <c:v>43808</c:v>
                </c:pt>
                <c:pt idx="361">
                  <c:v>43809</c:v>
                </c:pt>
                <c:pt idx="362">
                  <c:v>43810</c:v>
                </c:pt>
                <c:pt idx="363">
                  <c:v>43811</c:v>
                </c:pt>
                <c:pt idx="364">
                  <c:v>43812</c:v>
                </c:pt>
                <c:pt idx="365">
                  <c:v>43815</c:v>
                </c:pt>
                <c:pt idx="366">
                  <c:v>43816</c:v>
                </c:pt>
                <c:pt idx="367">
                  <c:v>43817</c:v>
                </c:pt>
                <c:pt idx="368">
                  <c:v>43818</c:v>
                </c:pt>
                <c:pt idx="369">
                  <c:v>43819</c:v>
                </c:pt>
                <c:pt idx="370">
                  <c:v>43822</c:v>
                </c:pt>
                <c:pt idx="371">
                  <c:v>43823</c:v>
                </c:pt>
                <c:pt idx="372">
                  <c:v>43825</c:v>
                </c:pt>
                <c:pt idx="373">
                  <c:v>43826</c:v>
                </c:pt>
                <c:pt idx="374">
                  <c:v>43829</c:v>
                </c:pt>
                <c:pt idx="375">
                  <c:v>43830</c:v>
                </c:pt>
                <c:pt idx="376">
                  <c:v>43832</c:v>
                </c:pt>
                <c:pt idx="377">
                  <c:v>43833</c:v>
                </c:pt>
                <c:pt idx="378">
                  <c:v>43836</c:v>
                </c:pt>
                <c:pt idx="379">
                  <c:v>43837</c:v>
                </c:pt>
                <c:pt idx="380">
                  <c:v>43838</c:v>
                </c:pt>
                <c:pt idx="381">
                  <c:v>43839</c:v>
                </c:pt>
                <c:pt idx="382">
                  <c:v>43840</c:v>
                </c:pt>
                <c:pt idx="383">
                  <c:v>43843</c:v>
                </c:pt>
                <c:pt idx="384">
                  <c:v>43844</c:v>
                </c:pt>
                <c:pt idx="385">
                  <c:v>43845</c:v>
                </c:pt>
                <c:pt idx="386">
                  <c:v>43846</c:v>
                </c:pt>
                <c:pt idx="387">
                  <c:v>43847</c:v>
                </c:pt>
                <c:pt idx="388">
                  <c:v>43851</c:v>
                </c:pt>
                <c:pt idx="389">
                  <c:v>43852</c:v>
                </c:pt>
                <c:pt idx="390">
                  <c:v>43853</c:v>
                </c:pt>
                <c:pt idx="391">
                  <c:v>43854</c:v>
                </c:pt>
                <c:pt idx="392">
                  <c:v>43857</c:v>
                </c:pt>
                <c:pt idx="393">
                  <c:v>43858</c:v>
                </c:pt>
                <c:pt idx="394">
                  <c:v>43859</c:v>
                </c:pt>
                <c:pt idx="395">
                  <c:v>43860</c:v>
                </c:pt>
                <c:pt idx="396">
                  <c:v>43861</c:v>
                </c:pt>
                <c:pt idx="397">
                  <c:v>43864</c:v>
                </c:pt>
                <c:pt idx="398">
                  <c:v>43865</c:v>
                </c:pt>
                <c:pt idx="399">
                  <c:v>43866</c:v>
                </c:pt>
                <c:pt idx="400">
                  <c:v>43867</c:v>
                </c:pt>
                <c:pt idx="401">
                  <c:v>43868</c:v>
                </c:pt>
                <c:pt idx="402">
                  <c:v>43871</c:v>
                </c:pt>
                <c:pt idx="403">
                  <c:v>43872</c:v>
                </c:pt>
                <c:pt idx="404">
                  <c:v>43873</c:v>
                </c:pt>
                <c:pt idx="405">
                  <c:v>43874</c:v>
                </c:pt>
                <c:pt idx="406">
                  <c:v>43875</c:v>
                </c:pt>
                <c:pt idx="407">
                  <c:v>43879</c:v>
                </c:pt>
                <c:pt idx="408">
                  <c:v>43880</c:v>
                </c:pt>
                <c:pt idx="409">
                  <c:v>43881</c:v>
                </c:pt>
                <c:pt idx="410">
                  <c:v>43882</c:v>
                </c:pt>
                <c:pt idx="411">
                  <c:v>43885</c:v>
                </c:pt>
                <c:pt idx="412">
                  <c:v>43886</c:v>
                </c:pt>
                <c:pt idx="413">
                  <c:v>43887</c:v>
                </c:pt>
                <c:pt idx="414">
                  <c:v>43888</c:v>
                </c:pt>
                <c:pt idx="415">
                  <c:v>43889</c:v>
                </c:pt>
                <c:pt idx="416">
                  <c:v>43892</c:v>
                </c:pt>
                <c:pt idx="417">
                  <c:v>43893</c:v>
                </c:pt>
                <c:pt idx="418">
                  <c:v>43894</c:v>
                </c:pt>
                <c:pt idx="419">
                  <c:v>43895</c:v>
                </c:pt>
                <c:pt idx="420">
                  <c:v>43896</c:v>
                </c:pt>
                <c:pt idx="421">
                  <c:v>43899</c:v>
                </c:pt>
                <c:pt idx="422">
                  <c:v>43900</c:v>
                </c:pt>
                <c:pt idx="423">
                  <c:v>43901</c:v>
                </c:pt>
                <c:pt idx="424">
                  <c:v>43902</c:v>
                </c:pt>
                <c:pt idx="425">
                  <c:v>43903</c:v>
                </c:pt>
                <c:pt idx="426">
                  <c:v>43906</c:v>
                </c:pt>
                <c:pt idx="427">
                  <c:v>43907</c:v>
                </c:pt>
                <c:pt idx="428">
                  <c:v>43908</c:v>
                </c:pt>
                <c:pt idx="429">
                  <c:v>43909</c:v>
                </c:pt>
                <c:pt idx="430">
                  <c:v>43910</c:v>
                </c:pt>
                <c:pt idx="431">
                  <c:v>43913</c:v>
                </c:pt>
                <c:pt idx="432">
                  <c:v>43914</c:v>
                </c:pt>
                <c:pt idx="433">
                  <c:v>43915</c:v>
                </c:pt>
                <c:pt idx="434">
                  <c:v>43916</c:v>
                </c:pt>
                <c:pt idx="435">
                  <c:v>43917</c:v>
                </c:pt>
                <c:pt idx="436">
                  <c:v>43920</c:v>
                </c:pt>
                <c:pt idx="437">
                  <c:v>43921</c:v>
                </c:pt>
                <c:pt idx="438">
                  <c:v>43922</c:v>
                </c:pt>
                <c:pt idx="439">
                  <c:v>43923</c:v>
                </c:pt>
                <c:pt idx="440">
                  <c:v>43924</c:v>
                </c:pt>
                <c:pt idx="441">
                  <c:v>43927</c:v>
                </c:pt>
                <c:pt idx="442">
                  <c:v>43928</c:v>
                </c:pt>
                <c:pt idx="443">
                  <c:v>43929</c:v>
                </c:pt>
                <c:pt idx="444">
                  <c:v>43930</c:v>
                </c:pt>
                <c:pt idx="445">
                  <c:v>43934</c:v>
                </c:pt>
                <c:pt idx="446">
                  <c:v>43935</c:v>
                </c:pt>
                <c:pt idx="447">
                  <c:v>43936</c:v>
                </c:pt>
                <c:pt idx="448">
                  <c:v>43937</c:v>
                </c:pt>
                <c:pt idx="449">
                  <c:v>43938</c:v>
                </c:pt>
                <c:pt idx="450">
                  <c:v>43941</c:v>
                </c:pt>
                <c:pt idx="451">
                  <c:v>43942</c:v>
                </c:pt>
                <c:pt idx="452">
                  <c:v>43943</c:v>
                </c:pt>
                <c:pt idx="453">
                  <c:v>43944</c:v>
                </c:pt>
                <c:pt idx="454">
                  <c:v>43945</c:v>
                </c:pt>
                <c:pt idx="455">
                  <c:v>43948</c:v>
                </c:pt>
                <c:pt idx="456">
                  <c:v>43949</c:v>
                </c:pt>
                <c:pt idx="457">
                  <c:v>43950</c:v>
                </c:pt>
                <c:pt idx="458">
                  <c:v>43951</c:v>
                </c:pt>
                <c:pt idx="459">
                  <c:v>43952</c:v>
                </c:pt>
                <c:pt idx="460">
                  <c:v>43955</c:v>
                </c:pt>
                <c:pt idx="461">
                  <c:v>43956</c:v>
                </c:pt>
                <c:pt idx="462">
                  <c:v>43957</c:v>
                </c:pt>
                <c:pt idx="463">
                  <c:v>43958</c:v>
                </c:pt>
                <c:pt idx="464">
                  <c:v>43959</c:v>
                </c:pt>
                <c:pt idx="465">
                  <c:v>43962</c:v>
                </c:pt>
                <c:pt idx="466">
                  <c:v>43963</c:v>
                </c:pt>
                <c:pt idx="467">
                  <c:v>43964</c:v>
                </c:pt>
                <c:pt idx="468">
                  <c:v>43965</c:v>
                </c:pt>
                <c:pt idx="469">
                  <c:v>43966</c:v>
                </c:pt>
                <c:pt idx="470">
                  <c:v>43969</c:v>
                </c:pt>
                <c:pt idx="471">
                  <c:v>43970</c:v>
                </c:pt>
                <c:pt idx="472">
                  <c:v>43971</c:v>
                </c:pt>
                <c:pt idx="473">
                  <c:v>43972</c:v>
                </c:pt>
                <c:pt idx="474">
                  <c:v>43973</c:v>
                </c:pt>
                <c:pt idx="475">
                  <c:v>43977</c:v>
                </c:pt>
                <c:pt idx="476">
                  <c:v>43978</c:v>
                </c:pt>
                <c:pt idx="477">
                  <c:v>43979</c:v>
                </c:pt>
                <c:pt idx="478">
                  <c:v>43980</c:v>
                </c:pt>
                <c:pt idx="479">
                  <c:v>43983</c:v>
                </c:pt>
                <c:pt idx="480">
                  <c:v>43984</c:v>
                </c:pt>
                <c:pt idx="481">
                  <c:v>43985</c:v>
                </c:pt>
                <c:pt idx="482">
                  <c:v>43986</c:v>
                </c:pt>
                <c:pt idx="483">
                  <c:v>43987</c:v>
                </c:pt>
                <c:pt idx="484">
                  <c:v>43990</c:v>
                </c:pt>
                <c:pt idx="485">
                  <c:v>43991</c:v>
                </c:pt>
                <c:pt idx="486">
                  <c:v>43992</c:v>
                </c:pt>
                <c:pt idx="487">
                  <c:v>43993</c:v>
                </c:pt>
                <c:pt idx="488">
                  <c:v>43994</c:v>
                </c:pt>
                <c:pt idx="489">
                  <c:v>43997</c:v>
                </c:pt>
                <c:pt idx="490">
                  <c:v>43998</c:v>
                </c:pt>
                <c:pt idx="491">
                  <c:v>43999</c:v>
                </c:pt>
                <c:pt idx="492">
                  <c:v>44000</c:v>
                </c:pt>
                <c:pt idx="493">
                  <c:v>44001</c:v>
                </c:pt>
                <c:pt idx="494">
                  <c:v>44004</c:v>
                </c:pt>
                <c:pt idx="495">
                  <c:v>44005</c:v>
                </c:pt>
                <c:pt idx="496">
                  <c:v>44006</c:v>
                </c:pt>
                <c:pt idx="497">
                  <c:v>44007</c:v>
                </c:pt>
                <c:pt idx="498">
                  <c:v>44008</c:v>
                </c:pt>
                <c:pt idx="499">
                  <c:v>44011</c:v>
                </c:pt>
                <c:pt idx="500">
                  <c:v>44012</c:v>
                </c:pt>
                <c:pt idx="501">
                  <c:v>44013</c:v>
                </c:pt>
                <c:pt idx="502">
                  <c:v>44014</c:v>
                </c:pt>
                <c:pt idx="503">
                  <c:v>44018</c:v>
                </c:pt>
                <c:pt idx="504">
                  <c:v>44019</c:v>
                </c:pt>
                <c:pt idx="505">
                  <c:v>44020</c:v>
                </c:pt>
                <c:pt idx="506">
                  <c:v>44021</c:v>
                </c:pt>
                <c:pt idx="507">
                  <c:v>44022</c:v>
                </c:pt>
                <c:pt idx="508">
                  <c:v>44025</c:v>
                </c:pt>
                <c:pt idx="509">
                  <c:v>44026</c:v>
                </c:pt>
                <c:pt idx="510">
                  <c:v>44027</c:v>
                </c:pt>
                <c:pt idx="511">
                  <c:v>44028</c:v>
                </c:pt>
                <c:pt idx="512">
                  <c:v>44029</c:v>
                </c:pt>
                <c:pt idx="513">
                  <c:v>44032</c:v>
                </c:pt>
                <c:pt idx="514">
                  <c:v>44033</c:v>
                </c:pt>
                <c:pt idx="515">
                  <c:v>44034</c:v>
                </c:pt>
                <c:pt idx="516">
                  <c:v>44035</c:v>
                </c:pt>
                <c:pt idx="517">
                  <c:v>44036</c:v>
                </c:pt>
                <c:pt idx="518">
                  <c:v>44039</c:v>
                </c:pt>
                <c:pt idx="519">
                  <c:v>44040</c:v>
                </c:pt>
                <c:pt idx="520">
                  <c:v>44041</c:v>
                </c:pt>
                <c:pt idx="521">
                  <c:v>44042</c:v>
                </c:pt>
                <c:pt idx="522">
                  <c:v>44043</c:v>
                </c:pt>
                <c:pt idx="523">
                  <c:v>44046</c:v>
                </c:pt>
                <c:pt idx="524">
                  <c:v>44047</c:v>
                </c:pt>
                <c:pt idx="525">
                  <c:v>44048</c:v>
                </c:pt>
                <c:pt idx="526">
                  <c:v>44049</c:v>
                </c:pt>
                <c:pt idx="527">
                  <c:v>44050</c:v>
                </c:pt>
                <c:pt idx="528">
                  <c:v>44053</c:v>
                </c:pt>
                <c:pt idx="529">
                  <c:v>44054</c:v>
                </c:pt>
                <c:pt idx="530">
                  <c:v>44055</c:v>
                </c:pt>
                <c:pt idx="531">
                  <c:v>44056</c:v>
                </c:pt>
                <c:pt idx="532">
                  <c:v>44057</c:v>
                </c:pt>
                <c:pt idx="533">
                  <c:v>44060</c:v>
                </c:pt>
                <c:pt idx="534">
                  <c:v>44061</c:v>
                </c:pt>
                <c:pt idx="535">
                  <c:v>44062</c:v>
                </c:pt>
                <c:pt idx="536">
                  <c:v>44063</c:v>
                </c:pt>
                <c:pt idx="537">
                  <c:v>44064</c:v>
                </c:pt>
                <c:pt idx="538">
                  <c:v>44067</c:v>
                </c:pt>
                <c:pt idx="539">
                  <c:v>44068</c:v>
                </c:pt>
                <c:pt idx="540">
                  <c:v>44069</c:v>
                </c:pt>
                <c:pt idx="541">
                  <c:v>44070</c:v>
                </c:pt>
                <c:pt idx="542">
                  <c:v>44071</c:v>
                </c:pt>
                <c:pt idx="543">
                  <c:v>44074</c:v>
                </c:pt>
                <c:pt idx="544">
                  <c:v>44075</c:v>
                </c:pt>
                <c:pt idx="545">
                  <c:v>44076</c:v>
                </c:pt>
                <c:pt idx="546">
                  <c:v>44077</c:v>
                </c:pt>
                <c:pt idx="547">
                  <c:v>44078</c:v>
                </c:pt>
                <c:pt idx="548">
                  <c:v>44082</c:v>
                </c:pt>
                <c:pt idx="549">
                  <c:v>44083</c:v>
                </c:pt>
                <c:pt idx="550">
                  <c:v>44084</c:v>
                </c:pt>
                <c:pt idx="551">
                  <c:v>44085</c:v>
                </c:pt>
                <c:pt idx="552">
                  <c:v>44088</c:v>
                </c:pt>
                <c:pt idx="553">
                  <c:v>44089</c:v>
                </c:pt>
                <c:pt idx="554">
                  <c:v>44090</c:v>
                </c:pt>
                <c:pt idx="555">
                  <c:v>44091</c:v>
                </c:pt>
                <c:pt idx="556">
                  <c:v>44092</c:v>
                </c:pt>
                <c:pt idx="557">
                  <c:v>44095</c:v>
                </c:pt>
                <c:pt idx="558">
                  <c:v>44096</c:v>
                </c:pt>
                <c:pt idx="559">
                  <c:v>44097</c:v>
                </c:pt>
                <c:pt idx="560">
                  <c:v>44098</c:v>
                </c:pt>
                <c:pt idx="561">
                  <c:v>44099</c:v>
                </c:pt>
                <c:pt idx="562">
                  <c:v>44102</c:v>
                </c:pt>
                <c:pt idx="563">
                  <c:v>44103</c:v>
                </c:pt>
                <c:pt idx="564">
                  <c:v>44104</c:v>
                </c:pt>
                <c:pt idx="565">
                  <c:v>44105</c:v>
                </c:pt>
                <c:pt idx="566">
                  <c:v>44106</c:v>
                </c:pt>
                <c:pt idx="567">
                  <c:v>44109</c:v>
                </c:pt>
                <c:pt idx="568">
                  <c:v>44110</c:v>
                </c:pt>
                <c:pt idx="569">
                  <c:v>44111</c:v>
                </c:pt>
                <c:pt idx="570">
                  <c:v>44112</c:v>
                </c:pt>
                <c:pt idx="571">
                  <c:v>44113</c:v>
                </c:pt>
                <c:pt idx="572">
                  <c:v>44116</c:v>
                </c:pt>
                <c:pt idx="573">
                  <c:v>44117</c:v>
                </c:pt>
                <c:pt idx="574">
                  <c:v>44118</c:v>
                </c:pt>
                <c:pt idx="575">
                  <c:v>44119</c:v>
                </c:pt>
                <c:pt idx="576">
                  <c:v>44120</c:v>
                </c:pt>
                <c:pt idx="577">
                  <c:v>44123</c:v>
                </c:pt>
                <c:pt idx="578">
                  <c:v>44124</c:v>
                </c:pt>
                <c:pt idx="579">
                  <c:v>44125</c:v>
                </c:pt>
                <c:pt idx="580">
                  <c:v>44126</c:v>
                </c:pt>
                <c:pt idx="581">
                  <c:v>44127</c:v>
                </c:pt>
                <c:pt idx="582">
                  <c:v>44130</c:v>
                </c:pt>
                <c:pt idx="583">
                  <c:v>44131</c:v>
                </c:pt>
                <c:pt idx="584">
                  <c:v>44132</c:v>
                </c:pt>
                <c:pt idx="585">
                  <c:v>44133</c:v>
                </c:pt>
                <c:pt idx="586">
                  <c:v>44134</c:v>
                </c:pt>
                <c:pt idx="587">
                  <c:v>44137</c:v>
                </c:pt>
                <c:pt idx="588">
                  <c:v>44138</c:v>
                </c:pt>
                <c:pt idx="589">
                  <c:v>44139</c:v>
                </c:pt>
                <c:pt idx="590">
                  <c:v>44140</c:v>
                </c:pt>
                <c:pt idx="591">
                  <c:v>44141</c:v>
                </c:pt>
                <c:pt idx="592">
                  <c:v>44144</c:v>
                </c:pt>
                <c:pt idx="593">
                  <c:v>44145</c:v>
                </c:pt>
                <c:pt idx="594">
                  <c:v>44146</c:v>
                </c:pt>
                <c:pt idx="595">
                  <c:v>44147</c:v>
                </c:pt>
                <c:pt idx="596">
                  <c:v>44148</c:v>
                </c:pt>
                <c:pt idx="597">
                  <c:v>44151</c:v>
                </c:pt>
                <c:pt idx="598">
                  <c:v>44152</c:v>
                </c:pt>
                <c:pt idx="599">
                  <c:v>44153</c:v>
                </c:pt>
                <c:pt idx="600">
                  <c:v>44154</c:v>
                </c:pt>
                <c:pt idx="601">
                  <c:v>44155</c:v>
                </c:pt>
                <c:pt idx="602">
                  <c:v>44158</c:v>
                </c:pt>
                <c:pt idx="603">
                  <c:v>44159</c:v>
                </c:pt>
                <c:pt idx="604">
                  <c:v>44160</c:v>
                </c:pt>
                <c:pt idx="605">
                  <c:v>44162</c:v>
                </c:pt>
                <c:pt idx="606">
                  <c:v>44165</c:v>
                </c:pt>
                <c:pt idx="607">
                  <c:v>44166</c:v>
                </c:pt>
                <c:pt idx="608">
                  <c:v>44167</c:v>
                </c:pt>
                <c:pt idx="609">
                  <c:v>44168</c:v>
                </c:pt>
                <c:pt idx="610">
                  <c:v>44169</c:v>
                </c:pt>
                <c:pt idx="611">
                  <c:v>44172</c:v>
                </c:pt>
                <c:pt idx="612">
                  <c:v>44173</c:v>
                </c:pt>
                <c:pt idx="613">
                  <c:v>44174</c:v>
                </c:pt>
                <c:pt idx="614">
                  <c:v>44175</c:v>
                </c:pt>
                <c:pt idx="615">
                  <c:v>44176</c:v>
                </c:pt>
                <c:pt idx="616">
                  <c:v>44179</c:v>
                </c:pt>
                <c:pt idx="617">
                  <c:v>44180</c:v>
                </c:pt>
                <c:pt idx="618">
                  <c:v>44181</c:v>
                </c:pt>
                <c:pt idx="619">
                  <c:v>44182</c:v>
                </c:pt>
                <c:pt idx="620">
                  <c:v>44183</c:v>
                </c:pt>
                <c:pt idx="621">
                  <c:v>44186</c:v>
                </c:pt>
                <c:pt idx="622">
                  <c:v>44187</c:v>
                </c:pt>
                <c:pt idx="623">
                  <c:v>44188</c:v>
                </c:pt>
                <c:pt idx="624">
                  <c:v>44189</c:v>
                </c:pt>
                <c:pt idx="625">
                  <c:v>44193</c:v>
                </c:pt>
                <c:pt idx="626">
                  <c:v>44194</c:v>
                </c:pt>
                <c:pt idx="627">
                  <c:v>44195</c:v>
                </c:pt>
                <c:pt idx="628">
                  <c:v>44196</c:v>
                </c:pt>
                <c:pt idx="629">
                  <c:v>44200</c:v>
                </c:pt>
                <c:pt idx="630">
                  <c:v>44201</c:v>
                </c:pt>
                <c:pt idx="631">
                  <c:v>44202</c:v>
                </c:pt>
                <c:pt idx="632">
                  <c:v>44203</c:v>
                </c:pt>
                <c:pt idx="633">
                  <c:v>44204</c:v>
                </c:pt>
                <c:pt idx="634">
                  <c:v>44207</c:v>
                </c:pt>
                <c:pt idx="635">
                  <c:v>44208</c:v>
                </c:pt>
                <c:pt idx="636">
                  <c:v>44209</c:v>
                </c:pt>
                <c:pt idx="637">
                  <c:v>44210</c:v>
                </c:pt>
                <c:pt idx="638">
                  <c:v>44211</c:v>
                </c:pt>
                <c:pt idx="639">
                  <c:v>44215</c:v>
                </c:pt>
                <c:pt idx="640">
                  <c:v>44216</c:v>
                </c:pt>
                <c:pt idx="641">
                  <c:v>44217</c:v>
                </c:pt>
                <c:pt idx="642">
                  <c:v>44218</c:v>
                </c:pt>
                <c:pt idx="643">
                  <c:v>44221</c:v>
                </c:pt>
                <c:pt idx="644">
                  <c:v>44222</c:v>
                </c:pt>
                <c:pt idx="645">
                  <c:v>44223</c:v>
                </c:pt>
                <c:pt idx="646">
                  <c:v>44224</c:v>
                </c:pt>
                <c:pt idx="647">
                  <c:v>44225</c:v>
                </c:pt>
                <c:pt idx="648">
                  <c:v>44228</c:v>
                </c:pt>
                <c:pt idx="649">
                  <c:v>44229</c:v>
                </c:pt>
                <c:pt idx="650">
                  <c:v>44230</c:v>
                </c:pt>
                <c:pt idx="651">
                  <c:v>44231</c:v>
                </c:pt>
                <c:pt idx="652">
                  <c:v>44232</c:v>
                </c:pt>
                <c:pt idx="653">
                  <c:v>44235</c:v>
                </c:pt>
                <c:pt idx="654">
                  <c:v>44236</c:v>
                </c:pt>
                <c:pt idx="655">
                  <c:v>44237</c:v>
                </c:pt>
                <c:pt idx="656">
                  <c:v>44238</c:v>
                </c:pt>
                <c:pt idx="657">
                  <c:v>44239</c:v>
                </c:pt>
                <c:pt idx="658">
                  <c:v>44243</c:v>
                </c:pt>
                <c:pt idx="659">
                  <c:v>44244</c:v>
                </c:pt>
                <c:pt idx="660">
                  <c:v>44245</c:v>
                </c:pt>
                <c:pt idx="661">
                  <c:v>44246</c:v>
                </c:pt>
                <c:pt idx="662">
                  <c:v>44249</c:v>
                </c:pt>
                <c:pt idx="663">
                  <c:v>44250</c:v>
                </c:pt>
                <c:pt idx="664">
                  <c:v>44251</c:v>
                </c:pt>
                <c:pt idx="665">
                  <c:v>44252</c:v>
                </c:pt>
                <c:pt idx="666">
                  <c:v>44253</c:v>
                </c:pt>
                <c:pt idx="667">
                  <c:v>44256</c:v>
                </c:pt>
                <c:pt idx="668">
                  <c:v>44257</c:v>
                </c:pt>
                <c:pt idx="669">
                  <c:v>44258</c:v>
                </c:pt>
                <c:pt idx="670">
                  <c:v>44259</c:v>
                </c:pt>
                <c:pt idx="671">
                  <c:v>44260</c:v>
                </c:pt>
                <c:pt idx="672">
                  <c:v>44263</c:v>
                </c:pt>
                <c:pt idx="673">
                  <c:v>44264</c:v>
                </c:pt>
                <c:pt idx="674">
                  <c:v>44265</c:v>
                </c:pt>
                <c:pt idx="675">
                  <c:v>44266</c:v>
                </c:pt>
                <c:pt idx="676">
                  <c:v>44267</c:v>
                </c:pt>
                <c:pt idx="677">
                  <c:v>44270</c:v>
                </c:pt>
                <c:pt idx="678">
                  <c:v>44271</c:v>
                </c:pt>
                <c:pt idx="679">
                  <c:v>44272</c:v>
                </c:pt>
                <c:pt idx="680">
                  <c:v>44273</c:v>
                </c:pt>
                <c:pt idx="681">
                  <c:v>44274</c:v>
                </c:pt>
                <c:pt idx="682">
                  <c:v>44277</c:v>
                </c:pt>
                <c:pt idx="683">
                  <c:v>44278</c:v>
                </c:pt>
                <c:pt idx="684">
                  <c:v>44279</c:v>
                </c:pt>
                <c:pt idx="685">
                  <c:v>44280</c:v>
                </c:pt>
                <c:pt idx="686">
                  <c:v>44281</c:v>
                </c:pt>
                <c:pt idx="687">
                  <c:v>44284</c:v>
                </c:pt>
                <c:pt idx="688">
                  <c:v>44285</c:v>
                </c:pt>
                <c:pt idx="689">
                  <c:v>44286</c:v>
                </c:pt>
                <c:pt idx="690">
                  <c:v>44287</c:v>
                </c:pt>
                <c:pt idx="691">
                  <c:v>44291</c:v>
                </c:pt>
                <c:pt idx="692">
                  <c:v>44292</c:v>
                </c:pt>
                <c:pt idx="693">
                  <c:v>44293</c:v>
                </c:pt>
                <c:pt idx="694">
                  <c:v>44294</c:v>
                </c:pt>
                <c:pt idx="695">
                  <c:v>44295</c:v>
                </c:pt>
                <c:pt idx="696">
                  <c:v>44298</c:v>
                </c:pt>
                <c:pt idx="697">
                  <c:v>44299</c:v>
                </c:pt>
                <c:pt idx="698">
                  <c:v>44300</c:v>
                </c:pt>
                <c:pt idx="699">
                  <c:v>44301</c:v>
                </c:pt>
                <c:pt idx="700">
                  <c:v>44302</c:v>
                </c:pt>
                <c:pt idx="701">
                  <c:v>44305</c:v>
                </c:pt>
                <c:pt idx="702">
                  <c:v>44306</c:v>
                </c:pt>
                <c:pt idx="703">
                  <c:v>44307</c:v>
                </c:pt>
                <c:pt idx="704">
                  <c:v>44308</c:v>
                </c:pt>
                <c:pt idx="705">
                  <c:v>44309</c:v>
                </c:pt>
                <c:pt idx="706">
                  <c:v>44312</c:v>
                </c:pt>
                <c:pt idx="707">
                  <c:v>44313</c:v>
                </c:pt>
                <c:pt idx="708">
                  <c:v>44314</c:v>
                </c:pt>
                <c:pt idx="709">
                  <c:v>44315</c:v>
                </c:pt>
                <c:pt idx="710">
                  <c:v>44316</c:v>
                </c:pt>
                <c:pt idx="711">
                  <c:v>44319</c:v>
                </c:pt>
                <c:pt idx="712">
                  <c:v>44320</c:v>
                </c:pt>
                <c:pt idx="713">
                  <c:v>44321</c:v>
                </c:pt>
                <c:pt idx="714">
                  <c:v>44322</c:v>
                </c:pt>
                <c:pt idx="715">
                  <c:v>44323</c:v>
                </c:pt>
                <c:pt idx="716">
                  <c:v>44326</c:v>
                </c:pt>
                <c:pt idx="717">
                  <c:v>44327</c:v>
                </c:pt>
                <c:pt idx="718">
                  <c:v>44328</c:v>
                </c:pt>
                <c:pt idx="719">
                  <c:v>44329</c:v>
                </c:pt>
                <c:pt idx="720">
                  <c:v>44330</c:v>
                </c:pt>
                <c:pt idx="721">
                  <c:v>44333</c:v>
                </c:pt>
                <c:pt idx="722">
                  <c:v>44334</c:v>
                </c:pt>
                <c:pt idx="723">
                  <c:v>44335</c:v>
                </c:pt>
                <c:pt idx="724">
                  <c:v>44336</c:v>
                </c:pt>
                <c:pt idx="725">
                  <c:v>44337</c:v>
                </c:pt>
                <c:pt idx="726">
                  <c:v>44340</c:v>
                </c:pt>
                <c:pt idx="727">
                  <c:v>44341</c:v>
                </c:pt>
                <c:pt idx="728">
                  <c:v>44342</c:v>
                </c:pt>
                <c:pt idx="729">
                  <c:v>44343</c:v>
                </c:pt>
                <c:pt idx="730">
                  <c:v>44344</c:v>
                </c:pt>
                <c:pt idx="731">
                  <c:v>44348</c:v>
                </c:pt>
                <c:pt idx="732">
                  <c:v>44349</c:v>
                </c:pt>
                <c:pt idx="733">
                  <c:v>44350</c:v>
                </c:pt>
                <c:pt idx="734">
                  <c:v>44351</c:v>
                </c:pt>
                <c:pt idx="735">
                  <c:v>44354</c:v>
                </c:pt>
                <c:pt idx="736">
                  <c:v>44355</c:v>
                </c:pt>
                <c:pt idx="737">
                  <c:v>44356</c:v>
                </c:pt>
                <c:pt idx="738">
                  <c:v>44357</c:v>
                </c:pt>
                <c:pt idx="739">
                  <c:v>44358</c:v>
                </c:pt>
                <c:pt idx="740">
                  <c:v>44361</c:v>
                </c:pt>
                <c:pt idx="741">
                  <c:v>44362</c:v>
                </c:pt>
                <c:pt idx="742">
                  <c:v>44363</c:v>
                </c:pt>
                <c:pt idx="743">
                  <c:v>44364</c:v>
                </c:pt>
                <c:pt idx="744">
                  <c:v>44365</c:v>
                </c:pt>
                <c:pt idx="745">
                  <c:v>44368</c:v>
                </c:pt>
                <c:pt idx="746">
                  <c:v>44369</c:v>
                </c:pt>
                <c:pt idx="747">
                  <c:v>44370</c:v>
                </c:pt>
                <c:pt idx="748">
                  <c:v>44371</c:v>
                </c:pt>
                <c:pt idx="749">
                  <c:v>44372</c:v>
                </c:pt>
                <c:pt idx="750">
                  <c:v>44375</c:v>
                </c:pt>
                <c:pt idx="751">
                  <c:v>44376</c:v>
                </c:pt>
                <c:pt idx="752">
                  <c:v>44377</c:v>
                </c:pt>
                <c:pt idx="753">
                  <c:v>44378</c:v>
                </c:pt>
                <c:pt idx="754">
                  <c:v>44379</c:v>
                </c:pt>
                <c:pt idx="755">
                  <c:v>44383</c:v>
                </c:pt>
                <c:pt idx="756">
                  <c:v>44384</c:v>
                </c:pt>
                <c:pt idx="757">
                  <c:v>44385</c:v>
                </c:pt>
                <c:pt idx="758">
                  <c:v>44386</c:v>
                </c:pt>
                <c:pt idx="759">
                  <c:v>44389</c:v>
                </c:pt>
                <c:pt idx="760">
                  <c:v>44390</c:v>
                </c:pt>
                <c:pt idx="761">
                  <c:v>44391</c:v>
                </c:pt>
                <c:pt idx="762">
                  <c:v>44392</c:v>
                </c:pt>
                <c:pt idx="763">
                  <c:v>44393</c:v>
                </c:pt>
                <c:pt idx="764">
                  <c:v>44396</c:v>
                </c:pt>
                <c:pt idx="765">
                  <c:v>44397</c:v>
                </c:pt>
                <c:pt idx="766">
                  <c:v>44398</c:v>
                </c:pt>
                <c:pt idx="767">
                  <c:v>44399</c:v>
                </c:pt>
                <c:pt idx="768">
                  <c:v>44400</c:v>
                </c:pt>
                <c:pt idx="769">
                  <c:v>44403</c:v>
                </c:pt>
                <c:pt idx="770">
                  <c:v>44404</c:v>
                </c:pt>
                <c:pt idx="771">
                  <c:v>44405</c:v>
                </c:pt>
                <c:pt idx="772">
                  <c:v>44406</c:v>
                </c:pt>
                <c:pt idx="773">
                  <c:v>44407</c:v>
                </c:pt>
                <c:pt idx="774">
                  <c:v>44410</c:v>
                </c:pt>
                <c:pt idx="775">
                  <c:v>44411</c:v>
                </c:pt>
                <c:pt idx="776">
                  <c:v>44412</c:v>
                </c:pt>
                <c:pt idx="777">
                  <c:v>44413</c:v>
                </c:pt>
                <c:pt idx="778">
                  <c:v>44414</c:v>
                </c:pt>
                <c:pt idx="779">
                  <c:v>44417</c:v>
                </c:pt>
                <c:pt idx="780">
                  <c:v>44418</c:v>
                </c:pt>
                <c:pt idx="781">
                  <c:v>44419</c:v>
                </c:pt>
                <c:pt idx="782">
                  <c:v>44420</c:v>
                </c:pt>
                <c:pt idx="783">
                  <c:v>44421</c:v>
                </c:pt>
                <c:pt idx="784">
                  <c:v>44424</c:v>
                </c:pt>
                <c:pt idx="785">
                  <c:v>44425</c:v>
                </c:pt>
                <c:pt idx="786">
                  <c:v>44426</c:v>
                </c:pt>
                <c:pt idx="787">
                  <c:v>44427</c:v>
                </c:pt>
                <c:pt idx="788">
                  <c:v>44428</c:v>
                </c:pt>
                <c:pt idx="789">
                  <c:v>44431</c:v>
                </c:pt>
                <c:pt idx="790">
                  <c:v>44432</c:v>
                </c:pt>
                <c:pt idx="791">
                  <c:v>44433</c:v>
                </c:pt>
                <c:pt idx="792">
                  <c:v>44434</c:v>
                </c:pt>
                <c:pt idx="793">
                  <c:v>44435</c:v>
                </c:pt>
                <c:pt idx="794">
                  <c:v>44438</c:v>
                </c:pt>
                <c:pt idx="795">
                  <c:v>44439</c:v>
                </c:pt>
                <c:pt idx="796">
                  <c:v>44440</c:v>
                </c:pt>
                <c:pt idx="797">
                  <c:v>44441</c:v>
                </c:pt>
                <c:pt idx="798">
                  <c:v>44442</c:v>
                </c:pt>
                <c:pt idx="799">
                  <c:v>44446</c:v>
                </c:pt>
                <c:pt idx="800">
                  <c:v>44447</c:v>
                </c:pt>
                <c:pt idx="801">
                  <c:v>44448</c:v>
                </c:pt>
                <c:pt idx="802">
                  <c:v>44449</c:v>
                </c:pt>
                <c:pt idx="803">
                  <c:v>44452</c:v>
                </c:pt>
                <c:pt idx="804">
                  <c:v>44453</c:v>
                </c:pt>
                <c:pt idx="805">
                  <c:v>44454</c:v>
                </c:pt>
                <c:pt idx="806">
                  <c:v>44455</c:v>
                </c:pt>
                <c:pt idx="807">
                  <c:v>44456</c:v>
                </c:pt>
                <c:pt idx="808">
                  <c:v>44459</c:v>
                </c:pt>
                <c:pt idx="809">
                  <c:v>44460</c:v>
                </c:pt>
                <c:pt idx="810">
                  <c:v>44461</c:v>
                </c:pt>
                <c:pt idx="811">
                  <c:v>44462</c:v>
                </c:pt>
                <c:pt idx="812">
                  <c:v>44463</c:v>
                </c:pt>
                <c:pt idx="813">
                  <c:v>44466</c:v>
                </c:pt>
                <c:pt idx="814">
                  <c:v>44467</c:v>
                </c:pt>
                <c:pt idx="815">
                  <c:v>44468</c:v>
                </c:pt>
                <c:pt idx="816">
                  <c:v>44469</c:v>
                </c:pt>
                <c:pt idx="817">
                  <c:v>44470</c:v>
                </c:pt>
                <c:pt idx="818">
                  <c:v>44473</c:v>
                </c:pt>
                <c:pt idx="819">
                  <c:v>44474</c:v>
                </c:pt>
                <c:pt idx="820">
                  <c:v>44475</c:v>
                </c:pt>
                <c:pt idx="821">
                  <c:v>44476</c:v>
                </c:pt>
                <c:pt idx="822">
                  <c:v>44477</c:v>
                </c:pt>
                <c:pt idx="823">
                  <c:v>44480</c:v>
                </c:pt>
                <c:pt idx="824">
                  <c:v>44481</c:v>
                </c:pt>
                <c:pt idx="825">
                  <c:v>44482</c:v>
                </c:pt>
                <c:pt idx="826">
                  <c:v>44483</c:v>
                </c:pt>
                <c:pt idx="827">
                  <c:v>44484</c:v>
                </c:pt>
                <c:pt idx="828">
                  <c:v>44487</c:v>
                </c:pt>
                <c:pt idx="829">
                  <c:v>44488</c:v>
                </c:pt>
                <c:pt idx="830">
                  <c:v>44489</c:v>
                </c:pt>
                <c:pt idx="831">
                  <c:v>44490</c:v>
                </c:pt>
                <c:pt idx="832">
                  <c:v>44491</c:v>
                </c:pt>
                <c:pt idx="833">
                  <c:v>44494</c:v>
                </c:pt>
                <c:pt idx="834">
                  <c:v>44495</c:v>
                </c:pt>
                <c:pt idx="835">
                  <c:v>44496</c:v>
                </c:pt>
                <c:pt idx="836">
                  <c:v>44497</c:v>
                </c:pt>
                <c:pt idx="837">
                  <c:v>44498</c:v>
                </c:pt>
                <c:pt idx="838">
                  <c:v>44501</c:v>
                </c:pt>
                <c:pt idx="839">
                  <c:v>44502</c:v>
                </c:pt>
                <c:pt idx="840">
                  <c:v>44503</c:v>
                </c:pt>
                <c:pt idx="841">
                  <c:v>44504</c:v>
                </c:pt>
                <c:pt idx="842">
                  <c:v>44505</c:v>
                </c:pt>
                <c:pt idx="843">
                  <c:v>44508</c:v>
                </c:pt>
                <c:pt idx="844">
                  <c:v>44509</c:v>
                </c:pt>
                <c:pt idx="845">
                  <c:v>44510</c:v>
                </c:pt>
                <c:pt idx="846">
                  <c:v>44511</c:v>
                </c:pt>
                <c:pt idx="847">
                  <c:v>44512</c:v>
                </c:pt>
                <c:pt idx="848">
                  <c:v>44515</c:v>
                </c:pt>
                <c:pt idx="849">
                  <c:v>44516</c:v>
                </c:pt>
                <c:pt idx="850">
                  <c:v>44517</c:v>
                </c:pt>
                <c:pt idx="851">
                  <c:v>44518</c:v>
                </c:pt>
                <c:pt idx="852">
                  <c:v>44519</c:v>
                </c:pt>
                <c:pt idx="853">
                  <c:v>44522</c:v>
                </c:pt>
                <c:pt idx="854">
                  <c:v>44523</c:v>
                </c:pt>
                <c:pt idx="855">
                  <c:v>44524</c:v>
                </c:pt>
                <c:pt idx="856">
                  <c:v>44526</c:v>
                </c:pt>
                <c:pt idx="857">
                  <c:v>44529</c:v>
                </c:pt>
                <c:pt idx="858">
                  <c:v>44530</c:v>
                </c:pt>
                <c:pt idx="859">
                  <c:v>44531</c:v>
                </c:pt>
                <c:pt idx="860">
                  <c:v>44532</c:v>
                </c:pt>
                <c:pt idx="861">
                  <c:v>44533</c:v>
                </c:pt>
                <c:pt idx="862">
                  <c:v>44536</c:v>
                </c:pt>
                <c:pt idx="863">
                  <c:v>44537</c:v>
                </c:pt>
                <c:pt idx="864">
                  <c:v>44538</c:v>
                </c:pt>
                <c:pt idx="865">
                  <c:v>44539</c:v>
                </c:pt>
                <c:pt idx="866">
                  <c:v>44540</c:v>
                </c:pt>
                <c:pt idx="867">
                  <c:v>44543</c:v>
                </c:pt>
                <c:pt idx="868">
                  <c:v>44544</c:v>
                </c:pt>
                <c:pt idx="869">
                  <c:v>44545</c:v>
                </c:pt>
                <c:pt idx="870">
                  <c:v>44546</c:v>
                </c:pt>
                <c:pt idx="871">
                  <c:v>44547</c:v>
                </c:pt>
                <c:pt idx="872">
                  <c:v>44550</c:v>
                </c:pt>
                <c:pt idx="873">
                  <c:v>44551</c:v>
                </c:pt>
                <c:pt idx="874">
                  <c:v>44552</c:v>
                </c:pt>
                <c:pt idx="875">
                  <c:v>44553</c:v>
                </c:pt>
                <c:pt idx="876">
                  <c:v>44557</c:v>
                </c:pt>
                <c:pt idx="877">
                  <c:v>44558</c:v>
                </c:pt>
                <c:pt idx="878">
                  <c:v>44559</c:v>
                </c:pt>
                <c:pt idx="879">
                  <c:v>44560</c:v>
                </c:pt>
                <c:pt idx="880">
                  <c:v>44561</c:v>
                </c:pt>
                <c:pt idx="881">
                  <c:v>44564</c:v>
                </c:pt>
                <c:pt idx="882">
                  <c:v>44565</c:v>
                </c:pt>
                <c:pt idx="883">
                  <c:v>44566</c:v>
                </c:pt>
                <c:pt idx="884">
                  <c:v>44567</c:v>
                </c:pt>
                <c:pt idx="885">
                  <c:v>44568</c:v>
                </c:pt>
                <c:pt idx="886">
                  <c:v>44571</c:v>
                </c:pt>
                <c:pt idx="887">
                  <c:v>44572</c:v>
                </c:pt>
                <c:pt idx="888">
                  <c:v>44573</c:v>
                </c:pt>
                <c:pt idx="889">
                  <c:v>44574</c:v>
                </c:pt>
                <c:pt idx="890">
                  <c:v>44575</c:v>
                </c:pt>
                <c:pt idx="891">
                  <c:v>44579</c:v>
                </c:pt>
                <c:pt idx="892">
                  <c:v>44580</c:v>
                </c:pt>
                <c:pt idx="893">
                  <c:v>44581</c:v>
                </c:pt>
                <c:pt idx="894">
                  <c:v>44582</c:v>
                </c:pt>
                <c:pt idx="895">
                  <c:v>44585</c:v>
                </c:pt>
                <c:pt idx="896">
                  <c:v>44586</c:v>
                </c:pt>
                <c:pt idx="897">
                  <c:v>44587</c:v>
                </c:pt>
                <c:pt idx="898">
                  <c:v>44588</c:v>
                </c:pt>
                <c:pt idx="899">
                  <c:v>44589</c:v>
                </c:pt>
                <c:pt idx="900">
                  <c:v>44592</c:v>
                </c:pt>
                <c:pt idx="901">
                  <c:v>44593</c:v>
                </c:pt>
                <c:pt idx="902">
                  <c:v>44594</c:v>
                </c:pt>
                <c:pt idx="903">
                  <c:v>44595</c:v>
                </c:pt>
                <c:pt idx="904">
                  <c:v>44596</c:v>
                </c:pt>
                <c:pt idx="905">
                  <c:v>44599</c:v>
                </c:pt>
                <c:pt idx="906">
                  <c:v>44600</c:v>
                </c:pt>
                <c:pt idx="907">
                  <c:v>44601</c:v>
                </c:pt>
                <c:pt idx="908">
                  <c:v>44602</c:v>
                </c:pt>
                <c:pt idx="909">
                  <c:v>44603</c:v>
                </c:pt>
                <c:pt idx="910">
                  <c:v>44606</c:v>
                </c:pt>
                <c:pt idx="911">
                  <c:v>44607</c:v>
                </c:pt>
                <c:pt idx="912">
                  <c:v>44608</c:v>
                </c:pt>
                <c:pt idx="913">
                  <c:v>44609</c:v>
                </c:pt>
                <c:pt idx="914">
                  <c:v>44610</c:v>
                </c:pt>
                <c:pt idx="915">
                  <c:v>44614</c:v>
                </c:pt>
                <c:pt idx="916">
                  <c:v>44615</c:v>
                </c:pt>
                <c:pt idx="917">
                  <c:v>44616</c:v>
                </c:pt>
                <c:pt idx="918">
                  <c:v>44617</c:v>
                </c:pt>
                <c:pt idx="919">
                  <c:v>44620</c:v>
                </c:pt>
                <c:pt idx="920">
                  <c:v>44621</c:v>
                </c:pt>
                <c:pt idx="921">
                  <c:v>44622</c:v>
                </c:pt>
                <c:pt idx="922">
                  <c:v>44623</c:v>
                </c:pt>
                <c:pt idx="923">
                  <c:v>44624</c:v>
                </c:pt>
                <c:pt idx="924">
                  <c:v>44627</c:v>
                </c:pt>
                <c:pt idx="925">
                  <c:v>44628</c:v>
                </c:pt>
                <c:pt idx="926">
                  <c:v>44629</c:v>
                </c:pt>
                <c:pt idx="927">
                  <c:v>44630</c:v>
                </c:pt>
                <c:pt idx="928">
                  <c:v>44631</c:v>
                </c:pt>
                <c:pt idx="929">
                  <c:v>44634</c:v>
                </c:pt>
                <c:pt idx="930">
                  <c:v>44635</c:v>
                </c:pt>
                <c:pt idx="931">
                  <c:v>44636</c:v>
                </c:pt>
                <c:pt idx="932">
                  <c:v>44637</c:v>
                </c:pt>
                <c:pt idx="933">
                  <c:v>44638</c:v>
                </c:pt>
                <c:pt idx="934">
                  <c:v>44641</c:v>
                </c:pt>
                <c:pt idx="935">
                  <c:v>44642</c:v>
                </c:pt>
                <c:pt idx="936">
                  <c:v>44643</c:v>
                </c:pt>
                <c:pt idx="937">
                  <c:v>44644</c:v>
                </c:pt>
                <c:pt idx="938">
                  <c:v>44645</c:v>
                </c:pt>
                <c:pt idx="939">
                  <c:v>44648</c:v>
                </c:pt>
                <c:pt idx="940">
                  <c:v>44649</c:v>
                </c:pt>
                <c:pt idx="941">
                  <c:v>44650</c:v>
                </c:pt>
                <c:pt idx="942">
                  <c:v>44651</c:v>
                </c:pt>
                <c:pt idx="943">
                  <c:v>44652</c:v>
                </c:pt>
                <c:pt idx="944">
                  <c:v>44655</c:v>
                </c:pt>
                <c:pt idx="945">
                  <c:v>44656</c:v>
                </c:pt>
                <c:pt idx="946">
                  <c:v>44657</c:v>
                </c:pt>
                <c:pt idx="947">
                  <c:v>44658</c:v>
                </c:pt>
                <c:pt idx="948">
                  <c:v>44659</c:v>
                </c:pt>
                <c:pt idx="949">
                  <c:v>44662</c:v>
                </c:pt>
                <c:pt idx="950">
                  <c:v>44663</c:v>
                </c:pt>
                <c:pt idx="951">
                  <c:v>44664</c:v>
                </c:pt>
                <c:pt idx="952">
                  <c:v>44665</c:v>
                </c:pt>
                <c:pt idx="953">
                  <c:v>44669</c:v>
                </c:pt>
                <c:pt idx="954">
                  <c:v>44670</c:v>
                </c:pt>
                <c:pt idx="955">
                  <c:v>44671</c:v>
                </c:pt>
                <c:pt idx="956">
                  <c:v>44672</c:v>
                </c:pt>
                <c:pt idx="957">
                  <c:v>44673</c:v>
                </c:pt>
                <c:pt idx="958">
                  <c:v>44676</c:v>
                </c:pt>
                <c:pt idx="959">
                  <c:v>44677</c:v>
                </c:pt>
                <c:pt idx="960">
                  <c:v>44678</c:v>
                </c:pt>
                <c:pt idx="961">
                  <c:v>44679</c:v>
                </c:pt>
                <c:pt idx="962">
                  <c:v>44680</c:v>
                </c:pt>
                <c:pt idx="963">
                  <c:v>44683</c:v>
                </c:pt>
                <c:pt idx="964">
                  <c:v>44684</c:v>
                </c:pt>
                <c:pt idx="965">
                  <c:v>44685</c:v>
                </c:pt>
                <c:pt idx="966">
                  <c:v>44686</c:v>
                </c:pt>
                <c:pt idx="967">
                  <c:v>44687</c:v>
                </c:pt>
                <c:pt idx="968">
                  <c:v>44690</c:v>
                </c:pt>
                <c:pt idx="969">
                  <c:v>44691</c:v>
                </c:pt>
                <c:pt idx="970">
                  <c:v>44692</c:v>
                </c:pt>
                <c:pt idx="971">
                  <c:v>44693</c:v>
                </c:pt>
                <c:pt idx="972">
                  <c:v>44694</c:v>
                </c:pt>
                <c:pt idx="973">
                  <c:v>44697</c:v>
                </c:pt>
                <c:pt idx="974">
                  <c:v>44698</c:v>
                </c:pt>
                <c:pt idx="975">
                  <c:v>44699</c:v>
                </c:pt>
                <c:pt idx="976">
                  <c:v>44700</c:v>
                </c:pt>
                <c:pt idx="977">
                  <c:v>44701</c:v>
                </c:pt>
                <c:pt idx="978">
                  <c:v>44704</c:v>
                </c:pt>
                <c:pt idx="979">
                  <c:v>44705</c:v>
                </c:pt>
                <c:pt idx="980">
                  <c:v>44706</c:v>
                </c:pt>
                <c:pt idx="981">
                  <c:v>44707</c:v>
                </c:pt>
                <c:pt idx="982">
                  <c:v>44708</c:v>
                </c:pt>
                <c:pt idx="983">
                  <c:v>44712</c:v>
                </c:pt>
                <c:pt idx="984">
                  <c:v>44713</c:v>
                </c:pt>
                <c:pt idx="985">
                  <c:v>44714</c:v>
                </c:pt>
                <c:pt idx="986">
                  <c:v>44715</c:v>
                </c:pt>
                <c:pt idx="987">
                  <c:v>44718</c:v>
                </c:pt>
                <c:pt idx="988">
                  <c:v>44719</c:v>
                </c:pt>
                <c:pt idx="989">
                  <c:v>44720</c:v>
                </c:pt>
                <c:pt idx="990">
                  <c:v>44721</c:v>
                </c:pt>
                <c:pt idx="991">
                  <c:v>44722</c:v>
                </c:pt>
                <c:pt idx="992">
                  <c:v>44725</c:v>
                </c:pt>
                <c:pt idx="993">
                  <c:v>44726</c:v>
                </c:pt>
                <c:pt idx="994">
                  <c:v>44727</c:v>
                </c:pt>
                <c:pt idx="995">
                  <c:v>44728</c:v>
                </c:pt>
                <c:pt idx="996">
                  <c:v>44729</c:v>
                </c:pt>
                <c:pt idx="997">
                  <c:v>44733</c:v>
                </c:pt>
                <c:pt idx="998">
                  <c:v>44734</c:v>
                </c:pt>
                <c:pt idx="999">
                  <c:v>44735</c:v>
                </c:pt>
                <c:pt idx="1000">
                  <c:v>44736</c:v>
                </c:pt>
                <c:pt idx="1001">
                  <c:v>44739</c:v>
                </c:pt>
                <c:pt idx="1002">
                  <c:v>44740</c:v>
                </c:pt>
                <c:pt idx="1003">
                  <c:v>44741</c:v>
                </c:pt>
                <c:pt idx="1004">
                  <c:v>44742</c:v>
                </c:pt>
                <c:pt idx="1005">
                  <c:v>44743</c:v>
                </c:pt>
                <c:pt idx="1006">
                  <c:v>44747</c:v>
                </c:pt>
                <c:pt idx="1007">
                  <c:v>44748</c:v>
                </c:pt>
                <c:pt idx="1008">
                  <c:v>44749</c:v>
                </c:pt>
                <c:pt idx="1009">
                  <c:v>44750</c:v>
                </c:pt>
                <c:pt idx="1010">
                  <c:v>44753</c:v>
                </c:pt>
                <c:pt idx="1011">
                  <c:v>44754</c:v>
                </c:pt>
                <c:pt idx="1012">
                  <c:v>44755</c:v>
                </c:pt>
                <c:pt idx="1013">
                  <c:v>44756</c:v>
                </c:pt>
                <c:pt idx="1014">
                  <c:v>44757</c:v>
                </c:pt>
                <c:pt idx="1015">
                  <c:v>44760</c:v>
                </c:pt>
                <c:pt idx="1016">
                  <c:v>44761</c:v>
                </c:pt>
                <c:pt idx="1017">
                  <c:v>44762</c:v>
                </c:pt>
                <c:pt idx="1018">
                  <c:v>44763</c:v>
                </c:pt>
                <c:pt idx="1019">
                  <c:v>44764</c:v>
                </c:pt>
                <c:pt idx="1020">
                  <c:v>44767</c:v>
                </c:pt>
                <c:pt idx="1021">
                  <c:v>44768</c:v>
                </c:pt>
                <c:pt idx="1022">
                  <c:v>44769</c:v>
                </c:pt>
                <c:pt idx="1023">
                  <c:v>44770</c:v>
                </c:pt>
                <c:pt idx="1024">
                  <c:v>44771</c:v>
                </c:pt>
                <c:pt idx="1025">
                  <c:v>44774</c:v>
                </c:pt>
                <c:pt idx="1026">
                  <c:v>44775</c:v>
                </c:pt>
                <c:pt idx="1027">
                  <c:v>44776</c:v>
                </c:pt>
                <c:pt idx="1028">
                  <c:v>44777</c:v>
                </c:pt>
                <c:pt idx="1029">
                  <c:v>44778</c:v>
                </c:pt>
                <c:pt idx="1030">
                  <c:v>44781</c:v>
                </c:pt>
                <c:pt idx="1031">
                  <c:v>44782</c:v>
                </c:pt>
                <c:pt idx="1032">
                  <c:v>44783</c:v>
                </c:pt>
                <c:pt idx="1033">
                  <c:v>44784</c:v>
                </c:pt>
                <c:pt idx="1034">
                  <c:v>44785</c:v>
                </c:pt>
                <c:pt idx="1035">
                  <c:v>44788</c:v>
                </c:pt>
                <c:pt idx="1036">
                  <c:v>44789</c:v>
                </c:pt>
                <c:pt idx="1037">
                  <c:v>44790</c:v>
                </c:pt>
                <c:pt idx="1038">
                  <c:v>44791</c:v>
                </c:pt>
                <c:pt idx="1039">
                  <c:v>44792</c:v>
                </c:pt>
                <c:pt idx="1040">
                  <c:v>44795</c:v>
                </c:pt>
                <c:pt idx="1041">
                  <c:v>44796</c:v>
                </c:pt>
                <c:pt idx="1042">
                  <c:v>44797</c:v>
                </c:pt>
                <c:pt idx="1043">
                  <c:v>44798</c:v>
                </c:pt>
                <c:pt idx="1044">
                  <c:v>44799</c:v>
                </c:pt>
                <c:pt idx="1045">
                  <c:v>44802</c:v>
                </c:pt>
                <c:pt idx="1046">
                  <c:v>44803</c:v>
                </c:pt>
                <c:pt idx="1047">
                  <c:v>44804</c:v>
                </c:pt>
                <c:pt idx="1048">
                  <c:v>44805</c:v>
                </c:pt>
                <c:pt idx="1049">
                  <c:v>44806</c:v>
                </c:pt>
                <c:pt idx="1050">
                  <c:v>44810</c:v>
                </c:pt>
                <c:pt idx="1051">
                  <c:v>44811</c:v>
                </c:pt>
                <c:pt idx="1052">
                  <c:v>44812</c:v>
                </c:pt>
                <c:pt idx="1053">
                  <c:v>44813</c:v>
                </c:pt>
                <c:pt idx="1054">
                  <c:v>44816</c:v>
                </c:pt>
                <c:pt idx="1055">
                  <c:v>44817</c:v>
                </c:pt>
                <c:pt idx="1056">
                  <c:v>44818</c:v>
                </c:pt>
                <c:pt idx="1057">
                  <c:v>44819</c:v>
                </c:pt>
                <c:pt idx="1058">
                  <c:v>44820</c:v>
                </c:pt>
                <c:pt idx="1059">
                  <c:v>44823</c:v>
                </c:pt>
                <c:pt idx="1060">
                  <c:v>44824</c:v>
                </c:pt>
                <c:pt idx="1061">
                  <c:v>44825</c:v>
                </c:pt>
                <c:pt idx="1062">
                  <c:v>44826</c:v>
                </c:pt>
                <c:pt idx="1063">
                  <c:v>44827</c:v>
                </c:pt>
                <c:pt idx="1064">
                  <c:v>44830</c:v>
                </c:pt>
                <c:pt idx="1065">
                  <c:v>44831</c:v>
                </c:pt>
                <c:pt idx="1066">
                  <c:v>44832</c:v>
                </c:pt>
                <c:pt idx="1067">
                  <c:v>44833</c:v>
                </c:pt>
                <c:pt idx="1068">
                  <c:v>44834</c:v>
                </c:pt>
                <c:pt idx="1069">
                  <c:v>44837</c:v>
                </c:pt>
                <c:pt idx="1070">
                  <c:v>44838</c:v>
                </c:pt>
                <c:pt idx="1071">
                  <c:v>44839</c:v>
                </c:pt>
                <c:pt idx="1072">
                  <c:v>44840</c:v>
                </c:pt>
                <c:pt idx="1073">
                  <c:v>44841</c:v>
                </c:pt>
                <c:pt idx="1074">
                  <c:v>44844</c:v>
                </c:pt>
                <c:pt idx="1075">
                  <c:v>44845</c:v>
                </c:pt>
                <c:pt idx="1076">
                  <c:v>44846</c:v>
                </c:pt>
                <c:pt idx="1077">
                  <c:v>44847</c:v>
                </c:pt>
                <c:pt idx="1078">
                  <c:v>44848</c:v>
                </c:pt>
                <c:pt idx="1079">
                  <c:v>44851</c:v>
                </c:pt>
                <c:pt idx="1080">
                  <c:v>44852</c:v>
                </c:pt>
                <c:pt idx="1081">
                  <c:v>44853</c:v>
                </c:pt>
                <c:pt idx="1082">
                  <c:v>44854</c:v>
                </c:pt>
                <c:pt idx="1083">
                  <c:v>44855</c:v>
                </c:pt>
                <c:pt idx="1084">
                  <c:v>44858</c:v>
                </c:pt>
                <c:pt idx="1085">
                  <c:v>44859</c:v>
                </c:pt>
                <c:pt idx="1086">
                  <c:v>44860</c:v>
                </c:pt>
                <c:pt idx="1087">
                  <c:v>44861</c:v>
                </c:pt>
                <c:pt idx="1088">
                  <c:v>44862</c:v>
                </c:pt>
                <c:pt idx="1089">
                  <c:v>44865</c:v>
                </c:pt>
                <c:pt idx="1090">
                  <c:v>44866</c:v>
                </c:pt>
                <c:pt idx="1091">
                  <c:v>44867</c:v>
                </c:pt>
                <c:pt idx="1092">
                  <c:v>44868</c:v>
                </c:pt>
                <c:pt idx="1093">
                  <c:v>44869</c:v>
                </c:pt>
                <c:pt idx="1094">
                  <c:v>44872</c:v>
                </c:pt>
                <c:pt idx="1095">
                  <c:v>44873</c:v>
                </c:pt>
                <c:pt idx="1096">
                  <c:v>44874</c:v>
                </c:pt>
                <c:pt idx="1097">
                  <c:v>44875</c:v>
                </c:pt>
                <c:pt idx="1098">
                  <c:v>44876</c:v>
                </c:pt>
                <c:pt idx="1099">
                  <c:v>44879</c:v>
                </c:pt>
                <c:pt idx="1100">
                  <c:v>44880</c:v>
                </c:pt>
                <c:pt idx="1101">
                  <c:v>44881</c:v>
                </c:pt>
                <c:pt idx="1102">
                  <c:v>44882</c:v>
                </c:pt>
                <c:pt idx="1103">
                  <c:v>44883</c:v>
                </c:pt>
                <c:pt idx="1104">
                  <c:v>44886</c:v>
                </c:pt>
                <c:pt idx="1105">
                  <c:v>44887</c:v>
                </c:pt>
                <c:pt idx="1106">
                  <c:v>44888</c:v>
                </c:pt>
                <c:pt idx="1107">
                  <c:v>44890</c:v>
                </c:pt>
                <c:pt idx="1108">
                  <c:v>44893</c:v>
                </c:pt>
                <c:pt idx="1109">
                  <c:v>44894</c:v>
                </c:pt>
                <c:pt idx="1110">
                  <c:v>44895</c:v>
                </c:pt>
                <c:pt idx="1111">
                  <c:v>44896</c:v>
                </c:pt>
                <c:pt idx="1112">
                  <c:v>44897</c:v>
                </c:pt>
                <c:pt idx="1113">
                  <c:v>44900</c:v>
                </c:pt>
                <c:pt idx="1114">
                  <c:v>44901</c:v>
                </c:pt>
                <c:pt idx="1115">
                  <c:v>44902</c:v>
                </c:pt>
                <c:pt idx="1116">
                  <c:v>44903</c:v>
                </c:pt>
                <c:pt idx="1117">
                  <c:v>44904</c:v>
                </c:pt>
                <c:pt idx="1118">
                  <c:v>44907</c:v>
                </c:pt>
                <c:pt idx="1119">
                  <c:v>44908</c:v>
                </c:pt>
                <c:pt idx="1120">
                  <c:v>44909</c:v>
                </c:pt>
                <c:pt idx="1121">
                  <c:v>44910</c:v>
                </c:pt>
                <c:pt idx="1122">
                  <c:v>44911</c:v>
                </c:pt>
                <c:pt idx="1123">
                  <c:v>44914</c:v>
                </c:pt>
                <c:pt idx="1124">
                  <c:v>44915</c:v>
                </c:pt>
                <c:pt idx="1125">
                  <c:v>44916</c:v>
                </c:pt>
                <c:pt idx="1126">
                  <c:v>44917</c:v>
                </c:pt>
                <c:pt idx="1127">
                  <c:v>44918</c:v>
                </c:pt>
                <c:pt idx="1128">
                  <c:v>44922</c:v>
                </c:pt>
                <c:pt idx="1129">
                  <c:v>44923</c:v>
                </c:pt>
                <c:pt idx="1130">
                  <c:v>44924</c:v>
                </c:pt>
                <c:pt idx="1131">
                  <c:v>44925</c:v>
                </c:pt>
                <c:pt idx="1132">
                  <c:v>44929</c:v>
                </c:pt>
                <c:pt idx="1133">
                  <c:v>44930</c:v>
                </c:pt>
                <c:pt idx="1134">
                  <c:v>44931</c:v>
                </c:pt>
                <c:pt idx="1135">
                  <c:v>44932</c:v>
                </c:pt>
                <c:pt idx="1136">
                  <c:v>44935</c:v>
                </c:pt>
                <c:pt idx="1137">
                  <c:v>44936</c:v>
                </c:pt>
                <c:pt idx="1138">
                  <c:v>44937</c:v>
                </c:pt>
                <c:pt idx="1139">
                  <c:v>44938</c:v>
                </c:pt>
                <c:pt idx="1140">
                  <c:v>44939</c:v>
                </c:pt>
                <c:pt idx="1141">
                  <c:v>44943</c:v>
                </c:pt>
                <c:pt idx="1142">
                  <c:v>44944</c:v>
                </c:pt>
                <c:pt idx="1143">
                  <c:v>44945</c:v>
                </c:pt>
                <c:pt idx="1144">
                  <c:v>44946</c:v>
                </c:pt>
                <c:pt idx="1145">
                  <c:v>44949</c:v>
                </c:pt>
                <c:pt idx="1146">
                  <c:v>44950</c:v>
                </c:pt>
                <c:pt idx="1147">
                  <c:v>44951</c:v>
                </c:pt>
                <c:pt idx="1148">
                  <c:v>44952</c:v>
                </c:pt>
                <c:pt idx="1149">
                  <c:v>44953</c:v>
                </c:pt>
                <c:pt idx="1150">
                  <c:v>44956</c:v>
                </c:pt>
                <c:pt idx="1151">
                  <c:v>44957</c:v>
                </c:pt>
                <c:pt idx="1152">
                  <c:v>44958</c:v>
                </c:pt>
                <c:pt idx="1153">
                  <c:v>44959</c:v>
                </c:pt>
                <c:pt idx="1154">
                  <c:v>44960</c:v>
                </c:pt>
                <c:pt idx="1155">
                  <c:v>44963</c:v>
                </c:pt>
                <c:pt idx="1156">
                  <c:v>44964</c:v>
                </c:pt>
                <c:pt idx="1157">
                  <c:v>44965</c:v>
                </c:pt>
                <c:pt idx="1158">
                  <c:v>44966</c:v>
                </c:pt>
                <c:pt idx="1159">
                  <c:v>44967</c:v>
                </c:pt>
                <c:pt idx="1160">
                  <c:v>44970</c:v>
                </c:pt>
                <c:pt idx="1161">
                  <c:v>44971</c:v>
                </c:pt>
                <c:pt idx="1162">
                  <c:v>44972</c:v>
                </c:pt>
                <c:pt idx="1163">
                  <c:v>44973</c:v>
                </c:pt>
                <c:pt idx="1164">
                  <c:v>44974</c:v>
                </c:pt>
                <c:pt idx="1165">
                  <c:v>44978</c:v>
                </c:pt>
                <c:pt idx="1166">
                  <c:v>44979</c:v>
                </c:pt>
                <c:pt idx="1167">
                  <c:v>44980</c:v>
                </c:pt>
                <c:pt idx="1168">
                  <c:v>44981</c:v>
                </c:pt>
                <c:pt idx="1169">
                  <c:v>44984</c:v>
                </c:pt>
                <c:pt idx="1170">
                  <c:v>44985</c:v>
                </c:pt>
                <c:pt idx="1171">
                  <c:v>44986</c:v>
                </c:pt>
                <c:pt idx="1172">
                  <c:v>44987</c:v>
                </c:pt>
                <c:pt idx="1173">
                  <c:v>44988</c:v>
                </c:pt>
                <c:pt idx="1174">
                  <c:v>44991</c:v>
                </c:pt>
                <c:pt idx="1175">
                  <c:v>44992</c:v>
                </c:pt>
                <c:pt idx="1176">
                  <c:v>44993</c:v>
                </c:pt>
                <c:pt idx="1177">
                  <c:v>44994</c:v>
                </c:pt>
                <c:pt idx="1178">
                  <c:v>44995</c:v>
                </c:pt>
                <c:pt idx="1179">
                  <c:v>44998</c:v>
                </c:pt>
                <c:pt idx="1180">
                  <c:v>44999</c:v>
                </c:pt>
                <c:pt idx="1181">
                  <c:v>45000</c:v>
                </c:pt>
                <c:pt idx="1182">
                  <c:v>45001</c:v>
                </c:pt>
                <c:pt idx="1183">
                  <c:v>45002</c:v>
                </c:pt>
                <c:pt idx="1184">
                  <c:v>45005</c:v>
                </c:pt>
                <c:pt idx="1185">
                  <c:v>45006</c:v>
                </c:pt>
                <c:pt idx="1186">
                  <c:v>45007</c:v>
                </c:pt>
                <c:pt idx="1187">
                  <c:v>45008</c:v>
                </c:pt>
                <c:pt idx="1188">
                  <c:v>45009</c:v>
                </c:pt>
                <c:pt idx="1189">
                  <c:v>45012</c:v>
                </c:pt>
                <c:pt idx="1190">
                  <c:v>45013</c:v>
                </c:pt>
                <c:pt idx="1191">
                  <c:v>45014</c:v>
                </c:pt>
                <c:pt idx="1192">
                  <c:v>45015</c:v>
                </c:pt>
                <c:pt idx="1193">
                  <c:v>45016</c:v>
                </c:pt>
                <c:pt idx="1194">
                  <c:v>45019</c:v>
                </c:pt>
                <c:pt idx="1195">
                  <c:v>45020</c:v>
                </c:pt>
                <c:pt idx="1196">
                  <c:v>45021</c:v>
                </c:pt>
                <c:pt idx="1197">
                  <c:v>45022</c:v>
                </c:pt>
                <c:pt idx="1198">
                  <c:v>45026</c:v>
                </c:pt>
                <c:pt idx="1199">
                  <c:v>45027</c:v>
                </c:pt>
                <c:pt idx="1200">
                  <c:v>45028</c:v>
                </c:pt>
                <c:pt idx="1201">
                  <c:v>45029</c:v>
                </c:pt>
                <c:pt idx="1202">
                  <c:v>45030</c:v>
                </c:pt>
                <c:pt idx="1203">
                  <c:v>45033</c:v>
                </c:pt>
                <c:pt idx="1204">
                  <c:v>45034</c:v>
                </c:pt>
                <c:pt idx="1205">
                  <c:v>45035</c:v>
                </c:pt>
                <c:pt idx="1206">
                  <c:v>45036</c:v>
                </c:pt>
                <c:pt idx="1207">
                  <c:v>45037</c:v>
                </c:pt>
                <c:pt idx="1208">
                  <c:v>45040</c:v>
                </c:pt>
                <c:pt idx="1209">
                  <c:v>45041</c:v>
                </c:pt>
                <c:pt idx="1210">
                  <c:v>45042</c:v>
                </c:pt>
                <c:pt idx="1211">
                  <c:v>45043</c:v>
                </c:pt>
                <c:pt idx="1212">
                  <c:v>45044</c:v>
                </c:pt>
                <c:pt idx="1213">
                  <c:v>45047</c:v>
                </c:pt>
                <c:pt idx="1214">
                  <c:v>45048</c:v>
                </c:pt>
                <c:pt idx="1215">
                  <c:v>45049</c:v>
                </c:pt>
                <c:pt idx="1216">
                  <c:v>45050</c:v>
                </c:pt>
                <c:pt idx="1217">
                  <c:v>45051</c:v>
                </c:pt>
                <c:pt idx="1218">
                  <c:v>45054</c:v>
                </c:pt>
                <c:pt idx="1219">
                  <c:v>45055</c:v>
                </c:pt>
                <c:pt idx="1220">
                  <c:v>45056</c:v>
                </c:pt>
                <c:pt idx="1221">
                  <c:v>45057</c:v>
                </c:pt>
                <c:pt idx="1222">
                  <c:v>45058</c:v>
                </c:pt>
                <c:pt idx="1223">
                  <c:v>45061</c:v>
                </c:pt>
                <c:pt idx="1224">
                  <c:v>45062</c:v>
                </c:pt>
                <c:pt idx="1225">
                  <c:v>45063</c:v>
                </c:pt>
                <c:pt idx="1226">
                  <c:v>45064</c:v>
                </c:pt>
                <c:pt idx="1227">
                  <c:v>45065</c:v>
                </c:pt>
                <c:pt idx="1228">
                  <c:v>45068</c:v>
                </c:pt>
                <c:pt idx="1229">
                  <c:v>45069</c:v>
                </c:pt>
                <c:pt idx="1230">
                  <c:v>45070</c:v>
                </c:pt>
                <c:pt idx="1231">
                  <c:v>45071</c:v>
                </c:pt>
                <c:pt idx="1232">
                  <c:v>45072</c:v>
                </c:pt>
                <c:pt idx="1233">
                  <c:v>45076</c:v>
                </c:pt>
                <c:pt idx="1234">
                  <c:v>45077</c:v>
                </c:pt>
                <c:pt idx="1235">
                  <c:v>45078</c:v>
                </c:pt>
                <c:pt idx="1236">
                  <c:v>45079</c:v>
                </c:pt>
                <c:pt idx="1237">
                  <c:v>45082</c:v>
                </c:pt>
                <c:pt idx="1238">
                  <c:v>45083</c:v>
                </c:pt>
                <c:pt idx="1239">
                  <c:v>45084</c:v>
                </c:pt>
                <c:pt idx="1240">
                  <c:v>45085</c:v>
                </c:pt>
                <c:pt idx="1241">
                  <c:v>45086</c:v>
                </c:pt>
                <c:pt idx="1242">
                  <c:v>45089</c:v>
                </c:pt>
                <c:pt idx="1243">
                  <c:v>45090</c:v>
                </c:pt>
                <c:pt idx="1244">
                  <c:v>45091</c:v>
                </c:pt>
                <c:pt idx="1245">
                  <c:v>45092</c:v>
                </c:pt>
                <c:pt idx="1246">
                  <c:v>45093</c:v>
                </c:pt>
                <c:pt idx="1247">
                  <c:v>45097</c:v>
                </c:pt>
                <c:pt idx="1248">
                  <c:v>45098</c:v>
                </c:pt>
                <c:pt idx="1249">
                  <c:v>45099</c:v>
                </c:pt>
                <c:pt idx="1250">
                  <c:v>45100</c:v>
                </c:pt>
                <c:pt idx="1251">
                  <c:v>45103</c:v>
                </c:pt>
                <c:pt idx="1252">
                  <c:v>45104</c:v>
                </c:pt>
                <c:pt idx="1253">
                  <c:v>45105</c:v>
                </c:pt>
                <c:pt idx="1254">
                  <c:v>45106</c:v>
                </c:pt>
              </c:numCache>
            </c:numRef>
          </c:cat>
          <c:val>
            <c:numRef>
              <c:f>'Stock Chart'!$D$2:$D$1256</c:f>
              <c:numCache>
                <c:formatCode>0.00_);[Red]\(0.00\)</c:formatCode>
                <c:ptCount val="1255"/>
                <c:pt idx="0">
                  <c:v>100</c:v>
                </c:pt>
                <c:pt idx="1">
                  <c:v>101.91146881287725</c:v>
                </c:pt>
                <c:pt idx="2">
                  <c:v>103.62173038229376</c:v>
                </c:pt>
                <c:pt idx="3">
                  <c:v>104.42655935613681</c:v>
                </c:pt>
                <c:pt idx="4">
                  <c:v>105.63380281690141</c:v>
                </c:pt>
                <c:pt idx="5">
                  <c:v>105.93561368209254</c:v>
                </c:pt>
                <c:pt idx="6">
                  <c:v>105.13078470824948</c:v>
                </c:pt>
                <c:pt idx="7">
                  <c:v>104.82897384305834</c:v>
                </c:pt>
                <c:pt idx="8">
                  <c:v>106.03621730382294</c:v>
                </c:pt>
                <c:pt idx="9">
                  <c:v>107.04225352112675</c:v>
                </c:pt>
                <c:pt idx="10">
                  <c:v>106.03621730382294</c:v>
                </c:pt>
                <c:pt idx="11">
                  <c:v>106.33802816901408</c:v>
                </c:pt>
                <c:pt idx="12">
                  <c:v>107.74647887323943</c:v>
                </c:pt>
                <c:pt idx="13">
                  <c:v>108.95372233400403</c:v>
                </c:pt>
                <c:pt idx="14">
                  <c:v>110.06036217303823</c:v>
                </c:pt>
                <c:pt idx="15">
                  <c:v>110.7645875251509</c:v>
                </c:pt>
                <c:pt idx="16">
                  <c:v>110.26156941649899</c:v>
                </c:pt>
                <c:pt idx="17">
                  <c:v>110.1609657947686</c:v>
                </c:pt>
                <c:pt idx="18">
                  <c:v>109.75855130784706</c:v>
                </c:pt>
                <c:pt idx="19">
                  <c:v>111.77062374245472</c:v>
                </c:pt>
                <c:pt idx="20">
                  <c:v>111.67002012072433</c:v>
                </c:pt>
                <c:pt idx="21">
                  <c:v>111.06639839034204</c:v>
                </c:pt>
                <c:pt idx="22">
                  <c:v>111.16700201207243</c:v>
                </c:pt>
                <c:pt idx="23">
                  <c:v>110.7645875251509</c:v>
                </c:pt>
                <c:pt idx="24">
                  <c:v>111.16700201207243</c:v>
                </c:pt>
                <c:pt idx="25">
                  <c:v>111.16700201207243</c:v>
                </c:pt>
                <c:pt idx="26">
                  <c:v>111.56941649899397</c:v>
                </c:pt>
                <c:pt idx="27">
                  <c:v>110.1609657947686</c:v>
                </c:pt>
                <c:pt idx="28">
                  <c:v>112.17303822937626</c:v>
                </c:pt>
                <c:pt idx="29">
                  <c:v>112.77665995975855</c:v>
                </c:pt>
                <c:pt idx="30">
                  <c:v>112.17303822937626</c:v>
                </c:pt>
                <c:pt idx="31">
                  <c:v>94.969818913480879</c:v>
                </c:pt>
                <c:pt idx="32">
                  <c:v>97.384305835010053</c:v>
                </c:pt>
                <c:pt idx="33">
                  <c:v>97.585513078470825</c:v>
                </c:pt>
                <c:pt idx="34">
                  <c:v>98.692152917505013</c:v>
                </c:pt>
                <c:pt idx="35">
                  <c:v>98.088531187122726</c:v>
                </c:pt>
                <c:pt idx="36">
                  <c:v>97.987927565392354</c:v>
                </c:pt>
                <c:pt idx="37">
                  <c:v>97.384305835010053</c:v>
                </c:pt>
                <c:pt idx="38">
                  <c:v>95.975855130784709</c:v>
                </c:pt>
                <c:pt idx="39">
                  <c:v>95.975855130784709</c:v>
                </c:pt>
                <c:pt idx="40">
                  <c:v>96.177062374245452</c:v>
                </c:pt>
                <c:pt idx="41">
                  <c:v>96.277665995975852</c:v>
                </c:pt>
                <c:pt idx="42">
                  <c:v>96.07645875251508</c:v>
                </c:pt>
                <c:pt idx="43">
                  <c:v>96.07645875251508</c:v>
                </c:pt>
                <c:pt idx="44">
                  <c:v>93.661971830985905</c:v>
                </c:pt>
                <c:pt idx="45">
                  <c:v>92.555331991951704</c:v>
                </c:pt>
                <c:pt idx="46">
                  <c:v>91.046277665995973</c:v>
                </c:pt>
                <c:pt idx="47">
                  <c:v>91.146881287726345</c:v>
                </c:pt>
                <c:pt idx="48">
                  <c:v>89.537223340040242</c:v>
                </c:pt>
                <c:pt idx="49">
                  <c:v>90.241448692152915</c:v>
                </c:pt>
                <c:pt idx="50">
                  <c:v>90.241448692152915</c:v>
                </c:pt>
                <c:pt idx="51">
                  <c:v>89.839034205231385</c:v>
                </c:pt>
                <c:pt idx="52">
                  <c:v>90.241448692152915</c:v>
                </c:pt>
                <c:pt idx="53">
                  <c:v>90.64386317907443</c:v>
                </c:pt>
                <c:pt idx="54">
                  <c:v>91.448692152917516</c:v>
                </c:pt>
                <c:pt idx="55">
                  <c:v>91.24748490945673</c:v>
                </c:pt>
                <c:pt idx="56">
                  <c:v>92.65593561368209</c:v>
                </c:pt>
                <c:pt idx="57">
                  <c:v>94.869215291750493</c:v>
                </c:pt>
                <c:pt idx="58">
                  <c:v>95.271629778672036</c:v>
                </c:pt>
                <c:pt idx="59">
                  <c:v>95.573440643863165</c:v>
                </c:pt>
                <c:pt idx="60">
                  <c:v>96.981891348088539</c:v>
                </c:pt>
                <c:pt idx="61">
                  <c:v>96.338028169014095</c:v>
                </c:pt>
                <c:pt idx="62">
                  <c:v>93.118712273641847</c:v>
                </c:pt>
                <c:pt idx="63">
                  <c:v>94.044265593561377</c:v>
                </c:pt>
                <c:pt idx="64">
                  <c:v>91.569416498993945</c:v>
                </c:pt>
                <c:pt idx="65">
                  <c:v>92.65593561368209</c:v>
                </c:pt>
                <c:pt idx="66">
                  <c:v>91.529175050301816</c:v>
                </c:pt>
                <c:pt idx="67">
                  <c:v>94.728370221327964</c:v>
                </c:pt>
                <c:pt idx="68">
                  <c:v>95.311871227364179</c:v>
                </c:pt>
                <c:pt idx="69">
                  <c:v>93.219315895372219</c:v>
                </c:pt>
                <c:pt idx="70">
                  <c:v>92.132796780684103</c:v>
                </c:pt>
                <c:pt idx="71">
                  <c:v>93.661971830985905</c:v>
                </c:pt>
                <c:pt idx="72">
                  <c:v>97.585513078470825</c:v>
                </c:pt>
                <c:pt idx="73">
                  <c:v>97.82696177062374</c:v>
                </c:pt>
                <c:pt idx="74">
                  <c:v>95.694164989939637</c:v>
                </c:pt>
                <c:pt idx="75">
                  <c:v>95.593561368209251</c:v>
                </c:pt>
                <c:pt idx="76">
                  <c:v>95.774647887323937</c:v>
                </c:pt>
                <c:pt idx="77">
                  <c:v>94.285714285714278</c:v>
                </c:pt>
                <c:pt idx="78">
                  <c:v>92.132796780684103</c:v>
                </c:pt>
                <c:pt idx="79">
                  <c:v>96.65995975855131</c:v>
                </c:pt>
                <c:pt idx="80">
                  <c:v>97.08249496981891</c:v>
                </c:pt>
                <c:pt idx="81">
                  <c:v>96.881287726358138</c:v>
                </c:pt>
                <c:pt idx="82">
                  <c:v>99.698189134808842</c:v>
                </c:pt>
                <c:pt idx="83">
                  <c:v>101.8712273641851</c:v>
                </c:pt>
                <c:pt idx="84">
                  <c:v>100.60362173038229</c:v>
                </c:pt>
                <c:pt idx="85">
                  <c:v>106.21730382293761</c:v>
                </c:pt>
                <c:pt idx="86">
                  <c:v>110.06036217303823</c:v>
                </c:pt>
                <c:pt idx="87">
                  <c:v>112.75653923541246</c:v>
                </c:pt>
                <c:pt idx="88">
                  <c:v>116.47887323943662</c:v>
                </c:pt>
                <c:pt idx="89">
                  <c:v>116.43863179074445</c:v>
                </c:pt>
                <c:pt idx="90">
                  <c:v>116.70020120724345</c:v>
                </c:pt>
                <c:pt idx="91">
                  <c:v>117.02213279678067</c:v>
                </c:pt>
                <c:pt idx="92">
                  <c:v>116.17706237424548</c:v>
                </c:pt>
                <c:pt idx="93">
                  <c:v>114.72837022132796</c:v>
                </c:pt>
                <c:pt idx="94">
                  <c:v>116.11670020120724</c:v>
                </c:pt>
                <c:pt idx="95">
                  <c:v>115.77464788732395</c:v>
                </c:pt>
                <c:pt idx="96">
                  <c:v>113.158953722334</c:v>
                </c:pt>
                <c:pt idx="97">
                  <c:v>110.96579476861166</c:v>
                </c:pt>
                <c:pt idx="98">
                  <c:v>112.39436619718307</c:v>
                </c:pt>
                <c:pt idx="99">
                  <c:v>112.71629778672032</c:v>
                </c:pt>
                <c:pt idx="100">
                  <c:v>112.53521126760562</c:v>
                </c:pt>
                <c:pt idx="101">
                  <c:v>110.96579476861166</c:v>
                </c:pt>
                <c:pt idx="102">
                  <c:v>113.60160965794768</c:v>
                </c:pt>
                <c:pt idx="103">
                  <c:v>115.53319919517102</c:v>
                </c:pt>
                <c:pt idx="104">
                  <c:v>116.17706237424548</c:v>
                </c:pt>
                <c:pt idx="105">
                  <c:v>113.42052313883299</c:v>
                </c:pt>
                <c:pt idx="106">
                  <c:v>109.9195171026157</c:v>
                </c:pt>
                <c:pt idx="107">
                  <c:v>109.6579476861167</c:v>
                </c:pt>
                <c:pt idx="108">
                  <c:v>106.15694164989939</c:v>
                </c:pt>
                <c:pt idx="109">
                  <c:v>104.70824949698188</c:v>
                </c:pt>
                <c:pt idx="110">
                  <c:v>104.68812877263581</c:v>
                </c:pt>
                <c:pt idx="111">
                  <c:v>106.74044265593561</c:v>
                </c:pt>
                <c:pt idx="112">
                  <c:v>105.13078470824948</c:v>
                </c:pt>
                <c:pt idx="113">
                  <c:v>102.87726358148895</c:v>
                </c:pt>
                <c:pt idx="114">
                  <c:v>100.58350100603622</c:v>
                </c:pt>
                <c:pt idx="115">
                  <c:v>99.839034205231385</c:v>
                </c:pt>
                <c:pt idx="116">
                  <c:v>97.404426559356125</c:v>
                </c:pt>
                <c:pt idx="117">
                  <c:v>95.895372233400394</c:v>
                </c:pt>
                <c:pt idx="118">
                  <c:v>91.609657947686117</c:v>
                </c:pt>
                <c:pt idx="119">
                  <c:v>89.678068410462771</c:v>
                </c:pt>
                <c:pt idx="120">
                  <c:v>93.742454728370234</c:v>
                </c:pt>
                <c:pt idx="121">
                  <c:v>93.621730382293748</c:v>
                </c:pt>
                <c:pt idx="122">
                  <c:v>94.426559356136821</c:v>
                </c:pt>
                <c:pt idx="123">
                  <c:v>95.211267605633793</c:v>
                </c:pt>
                <c:pt idx="124">
                  <c:v>95.311871227364179</c:v>
                </c:pt>
                <c:pt idx="125">
                  <c:v>94.547283702213278</c:v>
                </c:pt>
                <c:pt idx="126">
                  <c:v>97.00201207243461</c:v>
                </c:pt>
                <c:pt idx="127">
                  <c:v>96.116700201207237</c:v>
                </c:pt>
                <c:pt idx="128">
                  <c:v>95.573440643863165</c:v>
                </c:pt>
                <c:pt idx="129">
                  <c:v>95.311871227364179</c:v>
                </c:pt>
                <c:pt idx="130">
                  <c:v>95.331991951710265</c:v>
                </c:pt>
                <c:pt idx="131">
                  <c:v>95.311871227364179</c:v>
                </c:pt>
                <c:pt idx="132">
                  <c:v>94.969818913480879</c:v>
                </c:pt>
                <c:pt idx="133">
                  <c:v>96.277665995975852</c:v>
                </c:pt>
                <c:pt idx="134">
                  <c:v>96.559356136820924</c:v>
                </c:pt>
                <c:pt idx="135">
                  <c:v>96.438631790744452</c:v>
                </c:pt>
                <c:pt idx="136">
                  <c:v>98.350100603621726</c:v>
                </c:pt>
                <c:pt idx="137">
                  <c:v>97.987927565392354</c:v>
                </c:pt>
                <c:pt idx="138">
                  <c:v>98.893360160965784</c:v>
                </c:pt>
                <c:pt idx="139">
                  <c:v>98.73239436619717</c:v>
                </c:pt>
                <c:pt idx="140">
                  <c:v>99.919517102615686</c:v>
                </c:pt>
                <c:pt idx="141">
                  <c:v>99.034205231388313</c:v>
                </c:pt>
                <c:pt idx="142">
                  <c:v>98.189134808853112</c:v>
                </c:pt>
                <c:pt idx="143">
                  <c:v>99.074446680080484</c:v>
                </c:pt>
                <c:pt idx="144">
                  <c:v>98.390342052313869</c:v>
                </c:pt>
                <c:pt idx="145">
                  <c:v>99.114688128772627</c:v>
                </c:pt>
                <c:pt idx="146">
                  <c:v>99.899396378269614</c:v>
                </c:pt>
                <c:pt idx="147">
                  <c:v>99.718309859154928</c:v>
                </c:pt>
                <c:pt idx="148">
                  <c:v>99.416498993963771</c:v>
                </c:pt>
                <c:pt idx="149">
                  <c:v>98.591549295774641</c:v>
                </c:pt>
                <c:pt idx="150">
                  <c:v>96.15694164989938</c:v>
                </c:pt>
                <c:pt idx="151">
                  <c:v>96.116700201207237</c:v>
                </c:pt>
                <c:pt idx="152">
                  <c:v>95.855130784708237</c:v>
                </c:pt>
                <c:pt idx="153">
                  <c:v>97.062374245472839</c:v>
                </c:pt>
                <c:pt idx="154">
                  <c:v>96.881287726358138</c:v>
                </c:pt>
                <c:pt idx="155">
                  <c:v>97.525150905432582</c:v>
                </c:pt>
                <c:pt idx="156">
                  <c:v>98.65191146881287</c:v>
                </c:pt>
                <c:pt idx="157">
                  <c:v>96.881287726358138</c:v>
                </c:pt>
                <c:pt idx="158">
                  <c:v>99.074446680080484</c:v>
                </c:pt>
                <c:pt idx="159">
                  <c:v>99.074446680080484</c:v>
                </c:pt>
                <c:pt idx="160">
                  <c:v>98.511066398390341</c:v>
                </c:pt>
                <c:pt idx="161">
                  <c:v>97.243460764587525</c:v>
                </c:pt>
                <c:pt idx="162">
                  <c:v>96.619718309859167</c:v>
                </c:pt>
                <c:pt idx="163">
                  <c:v>96.981891348088539</c:v>
                </c:pt>
                <c:pt idx="164">
                  <c:v>99.114688128772627</c:v>
                </c:pt>
                <c:pt idx="165">
                  <c:v>96.720321931589538</c:v>
                </c:pt>
                <c:pt idx="166">
                  <c:v>96.760563380281695</c:v>
                </c:pt>
                <c:pt idx="167">
                  <c:v>96.116700201207237</c:v>
                </c:pt>
                <c:pt idx="168">
                  <c:v>95.110663983903422</c:v>
                </c:pt>
                <c:pt idx="169">
                  <c:v>95.372233400402408</c:v>
                </c:pt>
                <c:pt idx="170">
                  <c:v>96.981891348088539</c:v>
                </c:pt>
                <c:pt idx="171">
                  <c:v>96.639839034205238</c:v>
                </c:pt>
                <c:pt idx="172">
                  <c:v>97.927565392354126</c:v>
                </c:pt>
                <c:pt idx="173">
                  <c:v>97.223340040241453</c:v>
                </c:pt>
                <c:pt idx="174">
                  <c:v>98.269617706237426</c:v>
                </c:pt>
                <c:pt idx="175">
                  <c:v>98.24949698189134</c:v>
                </c:pt>
                <c:pt idx="176">
                  <c:v>97.223340040241453</c:v>
                </c:pt>
                <c:pt idx="177">
                  <c:v>95.171026156941636</c:v>
                </c:pt>
                <c:pt idx="178">
                  <c:v>96.378269617706223</c:v>
                </c:pt>
                <c:pt idx="179">
                  <c:v>92.494969818913475</c:v>
                </c:pt>
                <c:pt idx="180">
                  <c:v>91.609657947686117</c:v>
                </c:pt>
                <c:pt idx="181">
                  <c:v>91.891348088531188</c:v>
                </c:pt>
                <c:pt idx="182">
                  <c:v>91.388329979879273</c:v>
                </c:pt>
                <c:pt idx="183">
                  <c:v>92.65593561368209</c:v>
                </c:pt>
                <c:pt idx="184">
                  <c:v>93.199195171026147</c:v>
                </c:pt>
                <c:pt idx="185">
                  <c:v>94.426559356136821</c:v>
                </c:pt>
                <c:pt idx="186">
                  <c:v>93.521126760563362</c:v>
                </c:pt>
                <c:pt idx="187">
                  <c:v>95.533199195171008</c:v>
                </c:pt>
                <c:pt idx="188">
                  <c:v>96.317907444667995</c:v>
                </c:pt>
                <c:pt idx="189">
                  <c:v>96.25754527162978</c:v>
                </c:pt>
                <c:pt idx="190">
                  <c:v>96.478873239436624</c:v>
                </c:pt>
                <c:pt idx="191">
                  <c:v>95.895372233400394</c:v>
                </c:pt>
                <c:pt idx="192">
                  <c:v>97.303822937625753</c:v>
                </c:pt>
                <c:pt idx="193">
                  <c:v>97.243460764587525</c:v>
                </c:pt>
                <c:pt idx="194">
                  <c:v>97.746478873239425</c:v>
                </c:pt>
                <c:pt idx="195">
                  <c:v>98.631790744466798</c:v>
                </c:pt>
                <c:pt idx="196">
                  <c:v>98.953722334004013</c:v>
                </c:pt>
                <c:pt idx="197">
                  <c:v>97.726358148893354</c:v>
                </c:pt>
                <c:pt idx="198">
                  <c:v>96.579476861166995</c:v>
                </c:pt>
                <c:pt idx="199">
                  <c:v>95.91549295774648</c:v>
                </c:pt>
                <c:pt idx="200">
                  <c:v>98.490945674044255</c:v>
                </c:pt>
                <c:pt idx="201">
                  <c:v>98.269617706237426</c:v>
                </c:pt>
                <c:pt idx="202">
                  <c:v>98.068410462776654</c:v>
                </c:pt>
                <c:pt idx="203">
                  <c:v>100.12072434607644</c:v>
                </c:pt>
                <c:pt idx="204">
                  <c:v>100.16096579476861</c:v>
                </c:pt>
                <c:pt idx="205">
                  <c:v>99.235412474849099</c:v>
                </c:pt>
                <c:pt idx="206">
                  <c:v>99.818913480885314</c:v>
                </c:pt>
                <c:pt idx="207">
                  <c:v>100.64386317907446</c:v>
                </c:pt>
                <c:pt idx="208">
                  <c:v>92.273641851106632</c:v>
                </c:pt>
                <c:pt idx="209">
                  <c:v>93.15895372233399</c:v>
                </c:pt>
                <c:pt idx="210">
                  <c:v>90.804828973843058</c:v>
                </c:pt>
                <c:pt idx="211">
                  <c:v>89.25553319919517</c:v>
                </c:pt>
                <c:pt idx="212">
                  <c:v>89.778672032193157</c:v>
                </c:pt>
                <c:pt idx="213">
                  <c:v>91.468812877263588</c:v>
                </c:pt>
                <c:pt idx="214">
                  <c:v>88.611670020120712</c:v>
                </c:pt>
                <c:pt idx="215">
                  <c:v>87.364185110663982</c:v>
                </c:pt>
                <c:pt idx="216">
                  <c:v>87.98792756539234</c:v>
                </c:pt>
                <c:pt idx="217">
                  <c:v>87.90744466800804</c:v>
                </c:pt>
                <c:pt idx="218">
                  <c:v>86.478873239436609</c:v>
                </c:pt>
                <c:pt idx="219">
                  <c:v>86.317907444667995</c:v>
                </c:pt>
                <c:pt idx="220">
                  <c:v>87.042253521126753</c:v>
                </c:pt>
                <c:pt idx="221">
                  <c:v>87.042253521126753</c:v>
                </c:pt>
                <c:pt idx="222">
                  <c:v>87.00201207243461</c:v>
                </c:pt>
                <c:pt idx="223">
                  <c:v>87.726358148893354</c:v>
                </c:pt>
                <c:pt idx="224">
                  <c:v>87.404426559356125</c:v>
                </c:pt>
                <c:pt idx="225">
                  <c:v>88.088531187122726</c:v>
                </c:pt>
                <c:pt idx="226">
                  <c:v>88.571428571428569</c:v>
                </c:pt>
                <c:pt idx="227">
                  <c:v>88.450704225352112</c:v>
                </c:pt>
                <c:pt idx="228">
                  <c:v>88.933601609657956</c:v>
                </c:pt>
                <c:pt idx="229">
                  <c:v>90.945674044265587</c:v>
                </c:pt>
                <c:pt idx="230">
                  <c:v>90.724346076458744</c:v>
                </c:pt>
                <c:pt idx="231">
                  <c:v>89.577464788732399</c:v>
                </c:pt>
                <c:pt idx="232">
                  <c:v>90.160965794768615</c:v>
                </c:pt>
                <c:pt idx="233">
                  <c:v>88.893360160965784</c:v>
                </c:pt>
                <c:pt idx="234">
                  <c:v>88.390342052313869</c:v>
                </c:pt>
                <c:pt idx="235">
                  <c:v>88.893360160965784</c:v>
                </c:pt>
                <c:pt idx="236">
                  <c:v>89.034205231388327</c:v>
                </c:pt>
                <c:pt idx="237">
                  <c:v>89.899396378269614</c:v>
                </c:pt>
                <c:pt idx="238">
                  <c:v>90.90543259557343</c:v>
                </c:pt>
                <c:pt idx="239">
                  <c:v>90.764587525150901</c:v>
                </c:pt>
                <c:pt idx="240">
                  <c:v>91.710261569416502</c:v>
                </c:pt>
                <c:pt idx="241">
                  <c:v>92.313883299798789</c:v>
                </c:pt>
                <c:pt idx="242">
                  <c:v>90.623742454728358</c:v>
                </c:pt>
                <c:pt idx="243">
                  <c:v>88.672032193158941</c:v>
                </c:pt>
                <c:pt idx="244">
                  <c:v>90.261569416498986</c:v>
                </c:pt>
                <c:pt idx="245">
                  <c:v>89.839034205231385</c:v>
                </c:pt>
                <c:pt idx="246">
                  <c:v>90.804828973843058</c:v>
                </c:pt>
                <c:pt idx="247">
                  <c:v>90.64386317907443</c:v>
                </c:pt>
                <c:pt idx="248">
                  <c:v>90.583501006036215</c:v>
                </c:pt>
                <c:pt idx="249">
                  <c:v>91.348088531187116</c:v>
                </c:pt>
                <c:pt idx="250">
                  <c:v>91.589537223340045</c:v>
                </c:pt>
                <c:pt idx="251">
                  <c:v>91.629778672032188</c:v>
                </c:pt>
                <c:pt idx="252">
                  <c:v>90.885311871227358</c:v>
                </c:pt>
                <c:pt idx="253">
                  <c:v>90.74446680080483</c:v>
                </c:pt>
                <c:pt idx="254">
                  <c:v>91.106639839034202</c:v>
                </c:pt>
                <c:pt idx="255">
                  <c:v>91.227364185110673</c:v>
                </c:pt>
                <c:pt idx="256">
                  <c:v>92.213279678068403</c:v>
                </c:pt>
                <c:pt idx="257">
                  <c:v>92.615694164989932</c:v>
                </c:pt>
                <c:pt idx="258">
                  <c:v>93.319919517102619</c:v>
                </c:pt>
                <c:pt idx="259">
                  <c:v>93.782696177062363</c:v>
                </c:pt>
                <c:pt idx="260">
                  <c:v>95.150905432595565</c:v>
                </c:pt>
                <c:pt idx="261">
                  <c:v>95.392354124748479</c:v>
                </c:pt>
                <c:pt idx="262">
                  <c:v>95.372233400402408</c:v>
                </c:pt>
                <c:pt idx="263">
                  <c:v>96.720321931589538</c:v>
                </c:pt>
                <c:pt idx="264">
                  <c:v>98.350100603621726</c:v>
                </c:pt>
                <c:pt idx="265">
                  <c:v>96.297786720321923</c:v>
                </c:pt>
                <c:pt idx="266">
                  <c:v>97.90744466800804</c:v>
                </c:pt>
                <c:pt idx="267">
                  <c:v>97.00201207243461</c:v>
                </c:pt>
                <c:pt idx="268">
                  <c:v>98.531187122736412</c:v>
                </c:pt>
                <c:pt idx="269">
                  <c:v>95.311871227364179</c:v>
                </c:pt>
                <c:pt idx="270">
                  <c:v>95.130784708249493</c:v>
                </c:pt>
                <c:pt idx="271">
                  <c:v>93.34004024144869</c:v>
                </c:pt>
                <c:pt idx="272">
                  <c:v>89.376257545271628</c:v>
                </c:pt>
                <c:pt idx="273">
                  <c:v>93.279678068410448</c:v>
                </c:pt>
                <c:pt idx="274">
                  <c:v>93.259557344064376</c:v>
                </c:pt>
                <c:pt idx="275">
                  <c:v>96.941649899396381</c:v>
                </c:pt>
                <c:pt idx="276">
                  <c:v>96.760563380281695</c:v>
                </c:pt>
                <c:pt idx="277">
                  <c:v>96.016096579476852</c:v>
                </c:pt>
                <c:pt idx="278">
                  <c:v>96.800804828973838</c:v>
                </c:pt>
                <c:pt idx="279">
                  <c:v>95.975855130784709</c:v>
                </c:pt>
                <c:pt idx="280">
                  <c:v>95.91549295774648</c:v>
                </c:pt>
                <c:pt idx="281">
                  <c:v>98.209255533199197</c:v>
                </c:pt>
                <c:pt idx="282">
                  <c:v>100.62374245472836</c:v>
                </c:pt>
                <c:pt idx="283">
                  <c:v>101.00603621730382</c:v>
                </c:pt>
                <c:pt idx="284">
                  <c:v>103.38028169014083</c:v>
                </c:pt>
                <c:pt idx="285">
                  <c:v>102.53521126760563</c:v>
                </c:pt>
                <c:pt idx="286">
                  <c:v>90.422535211267601</c:v>
                </c:pt>
                <c:pt idx="287">
                  <c:v>91.64989939637826</c:v>
                </c:pt>
                <c:pt idx="288">
                  <c:v>88.24949698189134</c:v>
                </c:pt>
                <c:pt idx="289">
                  <c:v>87.303822937625753</c:v>
                </c:pt>
                <c:pt idx="290">
                  <c:v>85.714285714285708</c:v>
                </c:pt>
                <c:pt idx="291">
                  <c:v>85.955734406438623</c:v>
                </c:pt>
                <c:pt idx="292">
                  <c:v>83.661971830985905</c:v>
                </c:pt>
                <c:pt idx="293">
                  <c:v>82.535211267605632</c:v>
                </c:pt>
                <c:pt idx="294">
                  <c:v>83.561368209255534</c:v>
                </c:pt>
                <c:pt idx="295">
                  <c:v>82.17303822937626</c:v>
                </c:pt>
                <c:pt idx="296">
                  <c:v>82.494969818913475</c:v>
                </c:pt>
                <c:pt idx="297">
                  <c:v>82.132796780684103</c:v>
                </c:pt>
                <c:pt idx="298">
                  <c:v>81.629778672032188</c:v>
                </c:pt>
                <c:pt idx="299">
                  <c:v>83.903420523138834</c:v>
                </c:pt>
                <c:pt idx="300">
                  <c:v>82.977867203219319</c:v>
                </c:pt>
                <c:pt idx="301">
                  <c:v>83.480885311871219</c:v>
                </c:pt>
                <c:pt idx="302">
                  <c:v>84.08450704225352</c:v>
                </c:pt>
                <c:pt idx="303">
                  <c:v>84.507042253521121</c:v>
                </c:pt>
                <c:pt idx="304">
                  <c:v>85.070422535211264</c:v>
                </c:pt>
                <c:pt idx="305">
                  <c:v>81.81086519114686</c:v>
                </c:pt>
                <c:pt idx="306">
                  <c:v>82.877263581488918</c:v>
                </c:pt>
                <c:pt idx="307">
                  <c:v>82.756539235412475</c:v>
                </c:pt>
                <c:pt idx="308">
                  <c:v>77.927565392354111</c:v>
                </c:pt>
                <c:pt idx="309">
                  <c:v>76.861167002012081</c:v>
                </c:pt>
                <c:pt idx="310">
                  <c:v>76.498993963782709</c:v>
                </c:pt>
                <c:pt idx="311">
                  <c:v>76.639839034205238</c:v>
                </c:pt>
                <c:pt idx="312">
                  <c:v>76.358148893360166</c:v>
                </c:pt>
                <c:pt idx="313">
                  <c:v>76.016096579476852</c:v>
                </c:pt>
                <c:pt idx="314">
                  <c:v>75.835010060362166</c:v>
                </c:pt>
                <c:pt idx="315">
                  <c:v>73.963782696177049</c:v>
                </c:pt>
                <c:pt idx="316">
                  <c:v>74.205231388329977</c:v>
                </c:pt>
                <c:pt idx="317">
                  <c:v>71.388329979879259</c:v>
                </c:pt>
                <c:pt idx="318">
                  <c:v>71.770623742454731</c:v>
                </c:pt>
                <c:pt idx="319">
                  <c:v>71.267605633802816</c:v>
                </c:pt>
                <c:pt idx="320">
                  <c:v>72.394366197183089</c:v>
                </c:pt>
                <c:pt idx="321">
                  <c:v>72.112676056338032</c:v>
                </c:pt>
                <c:pt idx="322">
                  <c:v>73.82293762575452</c:v>
                </c:pt>
                <c:pt idx="323">
                  <c:v>73.440643863179062</c:v>
                </c:pt>
                <c:pt idx="324">
                  <c:v>73.018108651911461</c:v>
                </c:pt>
                <c:pt idx="325">
                  <c:v>72.132796780684103</c:v>
                </c:pt>
                <c:pt idx="326">
                  <c:v>72.937625754527161</c:v>
                </c:pt>
                <c:pt idx="327">
                  <c:v>73.098591549295762</c:v>
                </c:pt>
                <c:pt idx="328">
                  <c:v>73.380281690140833</c:v>
                </c:pt>
                <c:pt idx="329">
                  <c:v>72.696177062374247</c:v>
                </c:pt>
                <c:pt idx="330">
                  <c:v>73.380281690140833</c:v>
                </c:pt>
                <c:pt idx="331">
                  <c:v>73.943661971830977</c:v>
                </c:pt>
                <c:pt idx="332">
                  <c:v>73.521126760563376</c:v>
                </c:pt>
                <c:pt idx="333">
                  <c:v>59.758551307847071</c:v>
                </c:pt>
                <c:pt idx="334">
                  <c:v>59.919517102615693</c:v>
                </c:pt>
                <c:pt idx="335">
                  <c:v>61.488933601609652</c:v>
                </c:pt>
                <c:pt idx="336">
                  <c:v>62.012072434607646</c:v>
                </c:pt>
                <c:pt idx="337">
                  <c:v>63.078470824949697</c:v>
                </c:pt>
                <c:pt idx="338">
                  <c:v>63.863179074446677</c:v>
                </c:pt>
                <c:pt idx="339">
                  <c:v>64.024144869215291</c:v>
                </c:pt>
                <c:pt idx="340">
                  <c:v>63.943661971830991</c:v>
                </c:pt>
                <c:pt idx="341">
                  <c:v>64.366197183098578</c:v>
                </c:pt>
                <c:pt idx="342">
                  <c:v>65.472837022132794</c:v>
                </c:pt>
                <c:pt idx="343">
                  <c:v>65.150905432595579</c:v>
                </c:pt>
                <c:pt idx="344">
                  <c:v>66.639839034205224</c:v>
                </c:pt>
                <c:pt idx="345">
                  <c:v>67.605633802816897</c:v>
                </c:pt>
                <c:pt idx="346">
                  <c:v>68.490945674044255</c:v>
                </c:pt>
                <c:pt idx="347">
                  <c:v>69.134808853118713</c:v>
                </c:pt>
                <c:pt idx="348">
                  <c:v>69.456740442655942</c:v>
                </c:pt>
                <c:pt idx="349">
                  <c:v>68.108651911468812</c:v>
                </c:pt>
                <c:pt idx="350">
                  <c:v>68.470824949698184</c:v>
                </c:pt>
                <c:pt idx="351">
                  <c:v>70.90543259557343</c:v>
                </c:pt>
                <c:pt idx="352">
                  <c:v>69.899396378269614</c:v>
                </c:pt>
                <c:pt idx="353">
                  <c:v>68.189134808853112</c:v>
                </c:pt>
                <c:pt idx="354">
                  <c:v>67.867203219315883</c:v>
                </c:pt>
                <c:pt idx="355">
                  <c:v>67.867203219315883</c:v>
                </c:pt>
                <c:pt idx="356">
                  <c:v>66.639839034205224</c:v>
                </c:pt>
                <c:pt idx="357">
                  <c:v>66.720321931589524</c:v>
                </c:pt>
                <c:pt idx="358">
                  <c:v>65.955734406438623</c:v>
                </c:pt>
                <c:pt idx="359">
                  <c:v>67.726358148893354</c:v>
                </c:pt>
                <c:pt idx="360">
                  <c:v>67.323943661971825</c:v>
                </c:pt>
                <c:pt idx="361">
                  <c:v>67.927565392354111</c:v>
                </c:pt>
                <c:pt idx="362">
                  <c:v>68.048289738430583</c:v>
                </c:pt>
                <c:pt idx="363">
                  <c:v>70.382293762575443</c:v>
                </c:pt>
                <c:pt idx="364">
                  <c:v>69.899396378269614</c:v>
                </c:pt>
                <c:pt idx="365">
                  <c:v>68.832997987927556</c:v>
                </c:pt>
                <c:pt idx="366">
                  <c:v>68.913480885311856</c:v>
                </c:pt>
                <c:pt idx="367">
                  <c:v>69.195171026156942</c:v>
                </c:pt>
                <c:pt idx="368">
                  <c:v>68.99396378269617</c:v>
                </c:pt>
                <c:pt idx="369">
                  <c:v>70.462776659959758</c:v>
                </c:pt>
                <c:pt idx="370">
                  <c:v>69.517102615694156</c:v>
                </c:pt>
                <c:pt idx="371">
                  <c:v>69.275653923541242</c:v>
                </c:pt>
                <c:pt idx="372">
                  <c:v>70.663983903420515</c:v>
                </c:pt>
                <c:pt idx="373">
                  <c:v>70.503018108651901</c:v>
                </c:pt>
                <c:pt idx="374">
                  <c:v>69.798792756539228</c:v>
                </c:pt>
                <c:pt idx="375">
                  <c:v>70.362173038229372</c:v>
                </c:pt>
                <c:pt idx="376">
                  <c:v>69.798792756539228</c:v>
                </c:pt>
                <c:pt idx="377">
                  <c:v>69.557344064386314</c:v>
                </c:pt>
                <c:pt idx="378">
                  <c:v>70.684104627766601</c:v>
                </c:pt>
                <c:pt idx="379">
                  <c:v>71.408450704225359</c:v>
                </c:pt>
                <c:pt idx="380">
                  <c:v>71.670020120724331</c:v>
                </c:pt>
                <c:pt idx="381">
                  <c:v>72.313883299798789</c:v>
                </c:pt>
                <c:pt idx="382">
                  <c:v>71.388329979879259</c:v>
                </c:pt>
                <c:pt idx="383">
                  <c:v>72.313883299798789</c:v>
                </c:pt>
                <c:pt idx="384">
                  <c:v>72.837022132796776</c:v>
                </c:pt>
                <c:pt idx="385">
                  <c:v>73.440643863179062</c:v>
                </c:pt>
                <c:pt idx="386">
                  <c:v>74.185110663983892</c:v>
                </c:pt>
                <c:pt idx="387">
                  <c:v>73.460764587525134</c:v>
                </c:pt>
                <c:pt idx="388">
                  <c:v>72.374245472837018</c:v>
                </c:pt>
                <c:pt idx="389">
                  <c:v>72.25352112676056</c:v>
                </c:pt>
                <c:pt idx="390">
                  <c:v>72.776659959758547</c:v>
                </c:pt>
                <c:pt idx="391">
                  <c:v>70.503018108651901</c:v>
                </c:pt>
                <c:pt idx="392">
                  <c:v>71.609657947686117</c:v>
                </c:pt>
                <c:pt idx="393">
                  <c:v>71.83098591549296</c:v>
                </c:pt>
                <c:pt idx="394">
                  <c:v>71.126760563380273</c:v>
                </c:pt>
                <c:pt idx="395">
                  <c:v>71.327967806841059</c:v>
                </c:pt>
                <c:pt idx="396">
                  <c:v>69.436619718309856</c:v>
                </c:pt>
                <c:pt idx="397">
                  <c:v>70.563380281690129</c:v>
                </c:pt>
                <c:pt idx="398">
                  <c:v>70.523138832997972</c:v>
                </c:pt>
                <c:pt idx="399">
                  <c:v>72.756539235412461</c:v>
                </c:pt>
                <c:pt idx="400">
                  <c:v>71.891348088531188</c:v>
                </c:pt>
                <c:pt idx="401">
                  <c:v>68.450704225352112</c:v>
                </c:pt>
                <c:pt idx="402">
                  <c:v>65.513078470824951</c:v>
                </c:pt>
                <c:pt idx="403">
                  <c:v>66.700201207243452</c:v>
                </c:pt>
                <c:pt idx="404">
                  <c:v>68.853118712273627</c:v>
                </c:pt>
                <c:pt idx="405">
                  <c:v>69.6579476861167</c:v>
                </c:pt>
                <c:pt idx="406">
                  <c:v>71.046277665995973</c:v>
                </c:pt>
                <c:pt idx="407">
                  <c:v>69.114688128772642</c:v>
                </c:pt>
                <c:pt idx="408">
                  <c:v>69.114688128772642</c:v>
                </c:pt>
                <c:pt idx="409">
                  <c:v>69.718309859154928</c:v>
                </c:pt>
                <c:pt idx="410">
                  <c:v>69.416498993963785</c:v>
                </c:pt>
                <c:pt idx="411">
                  <c:v>67.263581488933596</c:v>
                </c:pt>
                <c:pt idx="412">
                  <c:v>67.042253521126753</c:v>
                </c:pt>
                <c:pt idx="413">
                  <c:v>64.305835010060363</c:v>
                </c:pt>
                <c:pt idx="414">
                  <c:v>61.227364185110659</c:v>
                </c:pt>
                <c:pt idx="415">
                  <c:v>62.112676056338024</c:v>
                </c:pt>
                <c:pt idx="416">
                  <c:v>62.193158953722325</c:v>
                </c:pt>
                <c:pt idx="417">
                  <c:v>60.100603621730386</c:v>
                </c:pt>
                <c:pt idx="418">
                  <c:v>63.018108651911461</c:v>
                </c:pt>
                <c:pt idx="419">
                  <c:v>60.0804828973843</c:v>
                </c:pt>
                <c:pt idx="420">
                  <c:v>62.112676056338024</c:v>
                </c:pt>
                <c:pt idx="421">
                  <c:v>58.611670020120719</c:v>
                </c:pt>
                <c:pt idx="422">
                  <c:v>57.122736418511067</c:v>
                </c:pt>
                <c:pt idx="423">
                  <c:v>54.446680080482892</c:v>
                </c:pt>
                <c:pt idx="424">
                  <c:v>51.006036217303816</c:v>
                </c:pt>
                <c:pt idx="425">
                  <c:v>54.04426559356137</c:v>
                </c:pt>
                <c:pt idx="426">
                  <c:v>48.269617706237419</c:v>
                </c:pt>
                <c:pt idx="427">
                  <c:v>52.273641851106632</c:v>
                </c:pt>
                <c:pt idx="428">
                  <c:v>43.179074446680083</c:v>
                </c:pt>
                <c:pt idx="429">
                  <c:v>44.768611670020121</c:v>
                </c:pt>
                <c:pt idx="430">
                  <c:v>45.372233400402415</c:v>
                </c:pt>
                <c:pt idx="431">
                  <c:v>47.243460764587525</c:v>
                </c:pt>
                <c:pt idx="432">
                  <c:v>48.95372233400402</c:v>
                </c:pt>
                <c:pt idx="433">
                  <c:v>50.583501006036215</c:v>
                </c:pt>
                <c:pt idx="434">
                  <c:v>51.87122736418511</c:v>
                </c:pt>
                <c:pt idx="435">
                  <c:v>49.899396378269614</c:v>
                </c:pt>
                <c:pt idx="436">
                  <c:v>52.454728370221325</c:v>
                </c:pt>
                <c:pt idx="437">
                  <c:v>53.90342052313882</c:v>
                </c:pt>
                <c:pt idx="438">
                  <c:v>52.716297786720311</c:v>
                </c:pt>
                <c:pt idx="439">
                  <c:v>50.241448692152915</c:v>
                </c:pt>
                <c:pt idx="440">
                  <c:v>47.424547283702211</c:v>
                </c:pt>
                <c:pt idx="441">
                  <c:v>50.764587525150908</c:v>
                </c:pt>
                <c:pt idx="442">
                  <c:v>50.422535211267608</c:v>
                </c:pt>
                <c:pt idx="443">
                  <c:v>52.756539235412468</c:v>
                </c:pt>
                <c:pt idx="444">
                  <c:v>53.400402414486912</c:v>
                </c:pt>
                <c:pt idx="445">
                  <c:v>52.776659959758554</c:v>
                </c:pt>
                <c:pt idx="446">
                  <c:v>54.084507042253513</c:v>
                </c:pt>
                <c:pt idx="447">
                  <c:v>52.535211267605632</c:v>
                </c:pt>
                <c:pt idx="448">
                  <c:v>51.730382293762581</c:v>
                </c:pt>
                <c:pt idx="449">
                  <c:v>55.975855130784701</c:v>
                </c:pt>
                <c:pt idx="450">
                  <c:v>54.084507042253513</c:v>
                </c:pt>
                <c:pt idx="451">
                  <c:v>53.460764587525148</c:v>
                </c:pt>
                <c:pt idx="452">
                  <c:v>55.412474849094565</c:v>
                </c:pt>
                <c:pt idx="453">
                  <c:v>55.975855130784701</c:v>
                </c:pt>
                <c:pt idx="454">
                  <c:v>56.519114688128766</c:v>
                </c:pt>
                <c:pt idx="455">
                  <c:v>60.74446680080483</c:v>
                </c:pt>
                <c:pt idx="456">
                  <c:v>63.098591549295769</c:v>
                </c:pt>
                <c:pt idx="457">
                  <c:v>66.780684104627767</c:v>
                </c:pt>
                <c:pt idx="458">
                  <c:v>63.923541247484906</c:v>
                </c:pt>
                <c:pt idx="459">
                  <c:v>63.641851106639834</c:v>
                </c:pt>
                <c:pt idx="460">
                  <c:v>63.521126760563376</c:v>
                </c:pt>
                <c:pt idx="461">
                  <c:v>63.480885311871226</c:v>
                </c:pt>
                <c:pt idx="462">
                  <c:v>65.895372233400394</c:v>
                </c:pt>
                <c:pt idx="463">
                  <c:v>68.893360160965798</c:v>
                </c:pt>
                <c:pt idx="464">
                  <c:v>69.718309859154928</c:v>
                </c:pt>
                <c:pt idx="465">
                  <c:v>67.74647887323944</c:v>
                </c:pt>
                <c:pt idx="466">
                  <c:v>63.923541247484906</c:v>
                </c:pt>
                <c:pt idx="467">
                  <c:v>63.843058350100598</c:v>
                </c:pt>
                <c:pt idx="468">
                  <c:v>64.144869215291749</c:v>
                </c:pt>
                <c:pt idx="469">
                  <c:v>64.205231388329977</c:v>
                </c:pt>
                <c:pt idx="470">
                  <c:v>66.257545271629766</c:v>
                </c:pt>
                <c:pt idx="471">
                  <c:v>64.225352112676063</c:v>
                </c:pt>
                <c:pt idx="472">
                  <c:v>65.714285714285708</c:v>
                </c:pt>
                <c:pt idx="473">
                  <c:v>65.835010060362166</c:v>
                </c:pt>
                <c:pt idx="474">
                  <c:v>66.317907444667995</c:v>
                </c:pt>
                <c:pt idx="475">
                  <c:v>66.700201207243452</c:v>
                </c:pt>
                <c:pt idx="476">
                  <c:v>67.806841046277668</c:v>
                </c:pt>
                <c:pt idx="477">
                  <c:v>67.484909456740439</c:v>
                </c:pt>
                <c:pt idx="478">
                  <c:v>67.323943661971825</c:v>
                </c:pt>
                <c:pt idx="479">
                  <c:v>68.470824949698184</c:v>
                </c:pt>
                <c:pt idx="480">
                  <c:v>68.99396378269617</c:v>
                </c:pt>
                <c:pt idx="481">
                  <c:v>70.845070422535201</c:v>
                </c:pt>
                <c:pt idx="482">
                  <c:v>70.804828973843044</c:v>
                </c:pt>
                <c:pt idx="483">
                  <c:v>72.213279678068403</c:v>
                </c:pt>
                <c:pt idx="484">
                  <c:v>72.112676056338032</c:v>
                </c:pt>
                <c:pt idx="485">
                  <c:v>73.239436619718305</c:v>
                </c:pt>
                <c:pt idx="486">
                  <c:v>70.804828973843044</c:v>
                </c:pt>
                <c:pt idx="487">
                  <c:v>68.16901408450704</c:v>
                </c:pt>
                <c:pt idx="488">
                  <c:v>67.847082494969811</c:v>
                </c:pt>
                <c:pt idx="489">
                  <c:v>67.967806841046269</c:v>
                </c:pt>
                <c:pt idx="490">
                  <c:v>66.599597585513081</c:v>
                </c:pt>
                <c:pt idx="491">
                  <c:v>65.895372233400394</c:v>
                </c:pt>
                <c:pt idx="492">
                  <c:v>65.694164989939623</c:v>
                </c:pt>
                <c:pt idx="493">
                  <c:v>65.694164989939623</c:v>
                </c:pt>
                <c:pt idx="494">
                  <c:v>66.921529175050296</c:v>
                </c:pt>
                <c:pt idx="495">
                  <c:v>66.458752515090552</c:v>
                </c:pt>
                <c:pt idx="496">
                  <c:v>65.010060362173036</c:v>
                </c:pt>
                <c:pt idx="497">
                  <c:v>62.575452716297789</c:v>
                </c:pt>
                <c:pt idx="498">
                  <c:v>61.629778672032188</c:v>
                </c:pt>
                <c:pt idx="499">
                  <c:v>63.219315895372233</c:v>
                </c:pt>
                <c:pt idx="500">
                  <c:v>62.676056338028161</c:v>
                </c:pt>
                <c:pt idx="501">
                  <c:v>62.635814889336004</c:v>
                </c:pt>
                <c:pt idx="502">
                  <c:v>63.380281690140841</c:v>
                </c:pt>
                <c:pt idx="503">
                  <c:v>64.305835010060363</c:v>
                </c:pt>
                <c:pt idx="504">
                  <c:v>63.380281690140841</c:v>
                </c:pt>
                <c:pt idx="505">
                  <c:v>63.82293762575452</c:v>
                </c:pt>
                <c:pt idx="506">
                  <c:v>62.354124748490932</c:v>
                </c:pt>
                <c:pt idx="507">
                  <c:v>63.742454728370213</c:v>
                </c:pt>
                <c:pt idx="508">
                  <c:v>64.004024144869206</c:v>
                </c:pt>
                <c:pt idx="509">
                  <c:v>64.929577464788736</c:v>
                </c:pt>
                <c:pt idx="510">
                  <c:v>70.3420523138833</c:v>
                </c:pt>
                <c:pt idx="511">
                  <c:v>69.959758551307843</c:v>
                </c:pt>
                <c:pt idx="512">
                  <c:v>70.845070422535201</c:v>
                </c:pt>
                <c:pt idx="513">
                  <c:v>71.388329979879259</c:v>
                </c:pt>
                <c:pt idx="514">
                  <c:v>73.07847082494969</c:v>
                </c:pt>
                <c:pt idx="515">
                  <c:v>73.138832997987919</c:v>
                </c:pt>
                <c:pt idx="516">
                  <c:v>73.380281690140833</c:v>
                </c:pt>
                <c:pt idx="517">
                  <c:v>73.380281690140833</c:v>
                </c:pt>
                <c:pt idx="518">
                  <c:v>74.426559356136821</c:v>
                </c:pt>
                <c:pt idx="519">
                  <c:v>73.843058350100605</c:v>
                </c:pt>
                <c:pt idx="520">
                  <c:v>71.629778672032202</c:v>
                </c:pt>
                <c:pt idx="521">
                  <c:v>69.959758551307843</c:v>
                </c:pt>
                <c:pt idx="522">
                  <c:v>69.09456740442657</c:v>
                </c:pt>
                <c:pt idx="523">
                  <c:v>68.289738430583498</c:v>
                </c:pt>
                <c:pt idx="524">
                  <c:v>69.738430583501</c:v>
                </c:pt>
                <c:pt idx="525">
                  <c:v>71.670020120724331</c:v>
                </c:pt>
                <c:pt idx="526">
                  <c:v>71.991951710261574</c:v>
                </c:pt>
                <c:pt idx="527">
                  <c:v>72.454728370221318</c:v>
                </c:pt>
                <c:pt idx="528">
                  <c:v>74.527162977867206</c:v>
                </c:pt>
                <c:pt idx="529">
                  <c:v>75.492957746478879</c:v>
                </c:pt>
                <c:pt idx="530">
                  <c:v>72.515090543259547</c:v>
                </c:pt>
                <c:pt idx="531">
                  <c:v>71.750503018108631</c:v>
                </c:pt>
                <c:pt idx="532">
                  <c:v>71.931589537223346</c:v>
                </c:pt>
                <c:pt idx="533">
                  <c:v>71.368209255533188</c:v>
                </c:pt>
                <c:pt idx="534">
                  <c:v>72.374245472837018</c:v>
                </c:pt>
                <c:pt idx="535">
                  <c:v>68.209255533199183</c:v>
                </c:pt>
                <c:pt idx="536">
                  <c:v>66.700201207243452</c:v>
                </c:pt>
                <c:pt idx="537">
                  <c:v>66.720321931589524</c:v>
                </c:pt>
                <c:pt idx="538">
                  <c:v>66.780684104627767</c:v>
                </c:pt>
                <c:pt idx="539">
                  <c:v>65.875251509054323</c:v>
                </c:pt>
                <c:pt idx="540">
                  <c:v>64.446680080482892</c:v>
                </c:pt>
                <c:pt idx="541">
                  <c:v>65.754527162977865</c:v>
                </c:pt>
                <c:pt idx="542">
                  <c:v>67.223340040241439</c:v>
                </c:pt>
                <c:pt idx="543">
                  <c:v>66.800804828973853</c:v>
                </c:pt>
                <c:pt idx="544">
                  <c:v>69.496981891348085</c:v>
                </c:pt>
                <c:pt idx="545">
                  <c:v>69.6579476861167</c:v>
                </c:pt>
                <c:pt idx="546">
                  <c:v>68.430583501006026</c:v>
                </c:pt>
                <c:pt idx="547">
                  <c:v>66.559356136820909</c:v>
                </c:pt>
                <c:pt idx="548">
                  <c:v>64.446680080482892</c:v>
                </c:pt>
                <c:pt idx="549">
                  <c:v>62.91750503018109</c:v>
                </c:pt>
                <c:pt idx="550">
                  <c:v>62.977867203219319</c:v>
                </c:pt>
                <c:pt idx="551">
                  <c:v>58.430583501006026</c:v>
                </c:pt>
                <c:pt idx="552">
                  <c:v>55.25150905432595</c:v>
                </c:pt>
                <c:pt idx="553">
                  <c:v>52.615694164989932</c:v>
                </c:pt>
                <c:pt idx="554">
                  <c:v>53.400402414486912</c:v>
                </c:pt>
                <c:pt idx="555">
                  <c:v>52.897384305835004</c:v>
                </c:pt>
                <c:pt idx="556">
                  <c:v>51.931589537223331</c:v>
                </c:pt>
                <c:pt idx="557">
                  <c:v>50.301810865191143</c:v>
                </c:pt>
                <c:pt idx="558">
                  <c:v>50.382293762575451</c:v>
                </c:pt>
                <c:pt idx="559">
                  <c:v>48.591549295774641</c:v>
                </c:pt>
                <c:pt idx="560">
                  <c:v>48.752515090543255</c:v>
                </c:pt>
                <c:pt idx="561">
                  <c:v>49.537223340040242</c:v>
                </c:pt>
                <c:pt idx="562">
                  <c:v>50.764587525150908</c:v>
                </c:pt>
                <c:pt idx="563">
                  <c:v>49.919517102615693</c:v>
                </c:pt>
                <c:pt idx="564">
                  <c:v>49.376257545271621</c:v>
                </c:pt>
                <c:pt idx="565">
                  <c:v>49.436619718309856</c:v>
                </c:pt>
                <c:pt idx="566">
                  <c:v>49.456740442655928</c:v>
                </c:pt>
                <c:pt idx="567">
                  <c:v>50.885311871227358</c:v>
                </c:pt>
                <c:pt idx="568">
                  <c:v>52.494969818913475</c:v>
                </c:pt>
                <c:pt idx="569">
                  <c:v>52.696177062374247</c:v>
                </c:pt>
                <c:pt idx="570">
                  <c:v>54.164989939637834</c:v>
                </c:pt>
                <c:pt idx="571">
                  <c:v>53.581488933601605</c:v>
                </c:pt>
                <c:pt idx="572">
                  <c:v>53.098591549295769</c:v>
                </c:pt>
                <c:pt idx="573">
                  <c:v>53.219315895372233</c:v>
                </c:pt>
                <c:pt idx="574">
                  <c:v>54.185110663983906</c:v>
                </c:pt>
                <c:pt idx="575">
                  <c:v>55.130784708249493</c:v>
                </c:pt>
                <c:pt idx="576">
                  <c:v>53.521126760563376</c:v>
                </c:pt>
                <c:pt idx="577">
                  <c:v>52.957746478873233</c:v>
                </c:pt>
                <c:pt idx="578">
                  <c:v>53.983903420523127</c:v>
                </c:pt>
                <c:pt idx="579">
                  <c:v>54.064386317907442</c:v>
                </c:pt>
                <c:pt idx="580">
                  <c:v>54.808853118712264</c:v>
                </c:pt>
                <c:pt idx="581">
                  <c:v>54.185110663983906</c:v>
                </c:pt>
                <c:pt idx="582">
                  <c:v>53.521126760563376</c:v>
                </c:pt>
                <c:pt idx="583">
                  <c:v>50.804828973843051</c:v>
                </c:pt>
                <c:pt idx="584">
                  <c:v>47.505030181086518</c:v>
                </c:pt>
                <c:pt idx="585">
                  <c:v>48.088531187122726</c:v>
                </c:pt>
                <c:pt idx="586">
                  <c:v>47.162977867203217</c:v>
                </c:pt>
                <c:pt idx="587">
                  <c:v>47.263581488933596</c:v>
                </c:pt>
                <c:pt idx="588">
                  <c:v>48.752515090543255</c:v>
                </c:pt>
                <c:pt idx="589">
                  <c:v>50.503018108651908</c:v>
                </c:pt>
                <c:pt idx="590">
                  <c:v>48.651911468812877</c:v>
                </c:pt>
                <c:pt idx="591">
                  <c:v>52.374245472837025</c:v>
                </c:pt>
                <c:pt idx="592">
                  <c:v>53.863179074446677</c:v>
                </c:pt>
                <c:pt idx="593">
                  <c:v>56.03621730382293</c:v>
                </c:pt>
                <c:pt idx="594">
                  <c:v>56.217303822937623</c:v>
                </c:pt>
                <c:pt idx="595">
                  <c:v>55.95573440643863</c:v>
                </c:pt>
                <c:pt idx="596">
                  <c:v>57.484909456740439</c:v>
                </c:pt>
                <c:pt idx="597">
                  <c:v>57.947686116700204</c:v>
                </c:pt>
                <c:pt idx="598">
                  <c:v>57.565392354124747</c:v>
                </c:pt>
                <c:pt idx="599">
                  <c:v>56.921529175050303</c:v>
                </c:pt>
                <c:pt idx="600">
                  <c:v>56.478873239436624</c:v>
                </c:pt>
                <c:pt idx="601">
                  <c:v>56.197183098591537</c:v>
                </c:pt>
                <c:pt idx="602">
                  <c:v>57.08249496981891</c:v>
                </c:pt>
                <c:pt idx="603">
                  <c:v>58.490945674044262</c:v>
                </c:pt>
                <c:pt idx="604">
                  <c:v>58.87323943661972</c:v>
                </c:pt>
                <c:pt idx="605">
                  <c:v>60.181086519114693</c:v>
                </c:pt>
                <c:pt idx="606">
                  <c:v>57.605633802816889</c:v>
                </c:pt>
                <c:pt idx="607">
                  <c:v>57.625754527162975</c:v>
                </c:pt>
                <c:pt idx="608">
                  <c:v>57.565392354124747</c:v>
                </c:pt>
                <c:pt idx="609">
                  <c:v>58.20925553319919</c:v>
                </c:pt>
                <c:pt idx="610">
                  <c:v>58.87323943661972</c:v>
                </c:pt>
                <c:pt idx="611">
                  <c:v>58.792756539235405</c:v>
                </c:pt>
                <c:pt idx="612">
                  <c:v>60.965794768611673</c:v>
                </c:pt>
                <c:pt idx="613">
                  <c:v>63.380281690140841</c:v>
                </c:pt>
                <c:pt idx="614">
                  <c:v>63.702213279678062</c:v>
                </c:pt>
                <c:pt idx="615">
                  <c:v>63.299798792756533</c:v>
                </c:pt>
                <c:pt idx="616">
                  <c:v>64.647887323943664</c:v>
                </c:pt>
                <c:pt idx="617">
                  <c:v>67.686116700201211</c:v>
                </c:pt>
                <c:pt idx="618">
                  <c:v>66.599597585513081</c:v>
                </c:pt>
                <c:pt idx="619">
                  <c:v>67.263581488933596</c:v>
                </c:pt>
                <c:pt idx="620">
                  <c:v>68.269617706237412</c:v>
                </c:pt>
                <c:pt idx="621">
                  <c:v>68.269617706237412</c:v>
                </c:pt>
                <c:pt idx="622">
                  <c:v>66.941649899396381</c:v>
                </c:pt>
                <c:pt idx="623">
                  <c:v>67.424547283702211</c:v>
                </c:pt>
                <c:pt idx="624">
                  <c:v>69.25553319919517</c:v>
                </c:pt>
                <c:pt idx="625">
                  <c:v>68.511066398390327</c:v>
                </c:pt>
                <c:pt idx="626">
                  <c:v>66.177062374245466</c:v>
                </c:pt>
                <c:pt idx="627">
                  <c:v>66.217303822937609</c:v>
                </c:pt>
                <c:pt idx="628">
                  <c:v>68.309859154929569</c:v>
                </c:pt>
                <c:pt idx="629">
                  <c:v>64.446680080482892</c:v>
                </c:pt>
                <c:pt idx="630">
                  <c:v>65.573440643863179</c:v>
                </c:pt>
                <c:pt idx="631">
                  <c:v>66.720321931589524</c:v>
                </c:pt>
                <c:pt idx="632">
                  <c:v>66.760563380281695</c:v>
                </c:pt>
                <c:pt idx="633">
                  <c:v>68.873239436619698</c:v>
                </c:pt>
                <c:pt idx="634">
                  <c:v>72.112676056338032</c:v>
                </c:pt>
                <c:pt idx="635">
                  <c:v>73.098591549295762</c:v>
                </c:pt>
                <c:pt idx="636">
                  <c:v>74.225352112676063</c:v>
                </c:pt>
                <c:pt idx="637">
                  <c:v>76.519114688128781</c:v>
                </c:pt>
                <c:pt idx="638">
                  <c:v>74.245472837022135</c:v>
                </c:pt>
                <c:pt idx="639">
                  <c:v>77.82696177062374</c:v>
                </c:pt>
                <c:pt idx="640">
                  <c:v>77.203219315895367</c:v>
                </c:pt>
                <c:pt idx="641">
                  <c:v>77.585513078470825</c:v>
                </c:pt>
                <c:pt idx="642">
                  <c:v>77.967806841046269</c:v>
                </c:pt>
                <c:pt idx="643">
                  <c:v>78.470824949698184</c:v>
                </c:pt>
                <c:pt idx="644">
                  <c:v>79.637826961770614</c:v>
                </c:pt>
                <c:pt idx="645">
                  <c:v>79.376257545271628</c:v>
                </c:pt>
                <c:pt idx="646">
                  <c:v>78.148893360160969</c:v>
                </c:pt>
                <c:pt idx="647">
                  <c:v>77.645875251509054</c:v>
                </c:pt>
                <c:pt idx="648">
                  <c:v>78.732394366197184</c:v>
                </c:pt>
                <c:pt idx="649">
                  <c:v>81.307847082494959</c:v>
                </c:pt>
                <c:pt idx="650">
                  <c:v>78.792756539235398</c:v>
                </c:pt>
                <c:pt idx="651">
                  <c:v>79.557344064386314</c:v>
                </c:pt>
                <c:pt idx="652">
                  <c:v>79.476861167002014</c:v>
                </c:pt>
                <c:pt idx="653">
                  <c:v>83.581488933601605</c:v>
                </c:pt>
                <c:pt idx="654">
                  <c:v>83.098591549295762</c:v>
                </c:pt>
                <c:pt idx="655">
                  <c:v>82.676056338028175</c:v>
                </c:pt>
                <c:pt idx="656">
                  <c:v>82.092555331991946</c:v>
                </c:pt>
                <c:pt idx="657">
                  <c:v>81.81086519114686</c:v>
                </c:pt>
                <c:pt idx="658">
                  <c:v>78.370221327967798</c:v>
                </c:pt>
                <c:pt idx="659">
                  <c:v>79.979879275653914</c:v>
                </c:pt>
                <c:pt idx="660">
                  <c:v>81.75050301810866</c:v>
                </c:pt>
                <c:pt idx="661">
                  <c:v>83.15895372233399</c:v>
                </c:pt>
                <c:pt idx="662">
                  <c:v>82.696177062374247</c:v>
                </c:pt>
                <c:pt idx="663">
                  <c:v>81.73038229376256</c:v>
                </c:pt>
                <c:pt idx="664">
                  <c:v>83.15895372233399</c:v>
                </c:pt>
                <c:pt idx="665">
                  <c:v>79.818913480885314</c:v>
                </c:pt>
                <c:pt idx="666">
                  <c:v>79.07444668008047</c:v>
                </c:pt>
                <c:pt idx="667">
                  <c:v>78.450704225352112</c:v>
                </c:pt>
                <c:pt idx="668">
                  <c:v>77.162977867203224</c:v>
                </c:pt>
                <c:pt idx="669">
                  <c:v>77.062374245472824</c:v>
                </c:pt>
                <c:pt idx="670">
                  <c:v>76.498993963782709</c:v>
                </c:pt>
                <c:pt idx="671">
                  <c:v>78.068410462776654</c:v>
                </c:pt>
                <c:pt idx="672">
                  <c:v>77.162977867203224</c:v>
                </c:pt>
                <c:pt idx="673">
                  <c:v>79.496981891348085</c:v>
                </c:pt>
                <c:pt idx="674">
                  <c:v>78.913480885311856</c:v>
                </c:pt>
                <c:pt idx="675">
                  <c:v>80.724346076458744</c:v>
                </c:pt>
                <c:pt idx="676">
                  <c:v>83.883299798792748</c:v>
                </c:pt>
                <c:pt idx="677">
                  <c:v>83.038229376257547</c:v>
                </c:pt>
                <c:pt idx="678">
                  <c:v>81.368209255533188</c:v>
                </c:pt>
                <c:pt idx="679">
                  <c:v>82.434607645875246</c:v>
                </c:pt>
                <c:pt idx="680">
                  <c:v>82.25352112676056</c:v>
                </c:pt>
                <c:pt idx="681">
                  <c:v>83.360160965794762</c:v>
                </c:pt>
                <c:pt idx="682">
                  <c:v>82.535211267605632</c:v>
                </c:pt>
                <c:pt idx="683">
                  <c:v>77.927565392354111</c:v>
                </c:pt>
                <c:pt idx="684">
                  <c:v>77.545271629778668</c:v>
                </c:pt>
                <c:pt idx="685">
                  <c:v>80.603621730382287</c:v>
                </c:pt>
                <c:pt idx="686">
                  <c:v>82.334004024144875</c:v>
                </c:pt>
                <c:pt idx="687">
                  <c:v>79.315895372233399</c:v>
                </c:pt>
                <c:pt idx="688">
                  <c:v>78.712273641851098</c:v>
                </c:pt>
                <c:pt idx="689">
                  <c:v>79.557344064386314</c:v>
                </c:pt>
                <c:pt idx="690">
                  <c:v>80.684104627766601</c:v>
                </c:pt>
                <c:pt idx="691">
                  <c:v>81.167002012072444</c:v>
                </c:pt>
                <c:pt idx="692">
                  <c:v>81.006036217303816</c:v>
                </c:pt>
                <c:pt idx="693">
                  <c:v>79.396378269617713</c:v>
                </c:pt>
                <c:pt idx="694">
                  <c:v>80.241448692152915</c:v>
                </c:pt>
                <c:pt idx="695">
                  <c:v>79.195171026156942</c:v>
                </c:pt>
                <c:pt idx="696">
                  <c:v>79.215291750502999</c:v>
                </c:pt>
                <c:pt idx="697">
                  <c:v>78.16901408450704</c:v>
                </c:pt>
                <c:pt idx="698">
                  <c:v>78.812877263581498</c:v>
                </c:pt>
                <c:pt idx="699">
                  <c:v>80.482897384305829</c:v>
                </c:pt>
                <c:pt idx="700">
                  <c:v>80.523138832997986</c:v>
                </c:pt>
                <c:pt idx="701">
                  <c:v>80.181086519114686</c:v>
                </c:pt>
                <c:pt idx="702">
                  <c:v>78.350100603621726</c:v>
                </c:pt>
                <c:pt idx="703">
                  <c:v>77.686116700201197</c:v>
                </c:pt>
                <c:pt idx="704">
                  <c:v>78.068410462776654</c:v>
                </c:pt>
                <c:pt idx="705">
                  <c:v>77.847082494969811</c:v>
                </c:pt>
                <c:pt idx="706">
                  <c:v>78.148893360160969</c:v>
                </c:pt>
                <c:pt idx="707">
                  <c:v>76.338028169014066</c:v>
                </c:pt>
                <c:pt idx="708">
                  <c:v>74.185110663983892</c:v>
                </c:pt>
                <c:pt idx="709">
                  <c:v>74.34607645875252</c:v>
                </c:pt>
                <c:pt idx="710">
                  <c:v>69.034205231388341</c:v>
                </c:pt>
                <c:pt idx="711">
                  <c:v>69.939637826961771</c:v>
                </c:pt>
                <c:pt idx="712">
                  <c:v>68.008048289738426</c:v>
                </c:pt>
                <c:pt idx="713">
                  <c:v>67.90744466800804</c:v>
                </c:pt>
                <c:pt idx="714">
                  <c:v>67.303822937625753</c:v>
                </c:pt>
                <c:pt idx="715">
                  <c:v>74.225352112676063</c:v>
                </c:pt>
                <c:pt idx="716">
                  <c:v>75.010060362173036</c:v>
                </c:pt>
                <c:pt idx="717">
                  <c:v>74.325955734406435</c:v>
                </c:pt>
                <c:pt idx="718">
                  <c:v>74.024144869215277</c:v>
                </c:pt>
                <c:pt idx="719">
                  <c:v>73.82293762575452</c:v>
                </c:pt>
                <c:pt idx="720">
                  <c:v>76.559356136820909</c:v>
                </c:pt>
                <c:pt idx="721">
                  <c:v>76.378269617706223</c:v>
                </c:pt>
                <c:pt idx="722">
                  <c:v>76.720321931589538</c:v>
                </c:pt>
                <c:pt idx="723">
                  <c:v>74.989939637826964</c:v>
                </c:pt>
                <c:pt idx="724">
                  <c:v>76.177062374245466</c:v>
                </c:pt>
                <c:pt idx="725">
                  <c:v>76.217303822937637</c:v>
                </c:pt>
                <c:pt idx="726">
                  <c:v>72.73641851106639</c:v>
                </c:pt>
                <c:pt idx="727">
                  <c:v>71.730382293762574</c:v>
                </c:pt>
                <c:pt idx="728">
                  <c:v>72.052313883299803</c:v>
                </c:pt>
                <c:pt idx="729">
                  <c:v>74.305835010060363</c:v>
                </c:pt>
                <c:pt idx="730">
                  <c:v>73.199195171026162</c:v>
                </c:pt>
                <c:pt idx="731">
                  <c:v>75.714285714285708</c:v>
                </c:pt>
                <c:pt idx="732">
                  <c:v>75.17102615694165</c:v>
                </c:pt>
                <c:pt idx="733">
                  <c:v>74.446680080482892</c:v>
                </c:pt>
                <c:pt idx="734">
                  <c:v>74.708249496981892</c:v>
                </c:pt>
                <c:pt idx="735">
                  <c:v>75.955734406438623</c:v>
                </c:pt>
                <c:pt idx="736">
                  <c:v>77.243460764587525</c:v>
                </c:pt>
                <c:pt idx="737">
                  <c:v>76.338028169014066</c:v>
                </c:pt>
                <c:pt idx="738">
                  <c:v>78.189134808853112</c:v>
                </c:pt>
                <c:pt idx="739">
                  <c:v>78.893360160965798</c:v>
                </c:pt>
                <c:pt idx="740">
                  <c:v>77.525150905432596</c:v>
                </c:pt>
                <c:pt idx="741">
                  <c:v>77.565392354124739</c:v>
                </c:pt>
                <c:pt idx="742">
                  <c:v>75.835010060362166</c:v>
                </c:pt>
                <c:pt idx="743">
                  <c:v>75.211267605633807</c:v>
                </c:pt>
                <c:pt idx="744">
                  <c:v>73.641851106639834</c:v>
                </c:pt>
                <c:pt idx="745">
                  <c:v>74.527162977867206</c:v>
                </c:pt>
                <c:pt idx="746">
                  <c:v>72.334004024144875</c:v>
                </c:pt>
                <c:pt idx="747">
                  <c:v>72.193158953722332</c:v>
                </c:pt>
                <c:pt idx="748">
                  <c:v>74.205231388329977</c:v>
                </c:pt>
                <c:pt idx="749">
                  <c:v>72.99798792756539</c:v>
                </c:pt>
                <c:pt idx="750">
                  <c:v>71.991951710261574</c:v>
                </c:pt>
                <c:pt idx="751">
                  <c:v>71.971830985915503</c:v>
                </c:pt>
                <c:pt idx="752">
                  <c:v>71.710261569416502</c:v>
                </c:pt>
                <c:pt idx="753">
                  <c:v>73.82293762575452</c:v>
                </c:pt>
                <c:pt idx="754">
                  <c:v>79.698189134808857</c:v>
                </c:pt>
                <c:pt idx="755">
                  <c:v>77.686116700201197</c:v>
                </c:pt>
                <c:pt idx="756">
                  <c:v>75.714285714285708</c:v>
                </c:pt>
                <c:pt idx="757">
                  <c:v>74.325955734406435</c:v>
                </c:pt>
                <c:pt idx="758">
                  <c:v>75.432595573440636</c:v>
                </c:pt>
                <c:pt idx="759">
                  <c:v>76.317907444667995</c:v>
                </c:pt>
                <c:pt idx="760">
                  <c:v>75.573440643863179</c:v>
                </c:pt>
                <c:pt idx="761">
                  <c:v>73.742454728370205</c:v>
                </c:pt>
                <c:pt idx="762">
                  <c:v>72.092555331991946</c:v>
                </c:pt>
                <c:pt idx="763">
                  <c:v>70.90543259557343</c:v>
                </c:pt>
                <c:pt idx="764">
                  <c:v>70.442655935613672</c:v>
                </c:pt>
                <c:pt idx="765">
                  <c:v>72.494969818913475</c:v>
                </c:pt>
                <c:pt idx="766">
                  <c:v>73.239436619718305</c:v>
                </c:pt>
                <c:pt idx="767">
                  <c:v>70.563380281690129</c:v>
                </c:pt>
                <c:pt idx="768">
                  <c:v>71.468812877263588</c:v>
                </c:pt>
                <c:pt idx="769">
                  <c:v>71.167002012072416</c:v>
                </c:pt>
                <c:pt idx="770">
                  <c:v>70.865191146881273</c:v>
                </c:pt>
                <c:pt idx="771">
                  <c:v>73.400402414486905</c:v>
                </c:pt>
                <c:pt idx="772">
                  <c:v>73.179074446680076</c:v>
                </c:pt>
                <c:pt idx="773">
                  <c:v>73.118712273641847</c:v>
                </c:pt>
                <c:pt idx="774">
                  <c:v>73.722334004024134</c:v>
                </c:pt>
                <c:pt idx="775">
                  <c:v>75.573440643863179</c:v>
                </c:pt>
                <c:pt idx="776">
                  <c:v>74.406438631790735</c:v>
                </c:pt>
                <c:pt idx="777">
                  <c:v>75.110663983903407</c:v>
                </c:pt>
                <c:pt idx="778">
                  <c:v>73.82293762575452</c:v>
                </c:pt>
                <c:pt idx="779">
                  <c:v>73.138832997987919</c:v>
                </c:pt>
                <c:pt idx="780">
                  <c:v>73.299798792756533</c:v>
                </c:pt>
                <c:pt idx="781">
                  <c:v>74.82897384305835</c:v>
                </c:pt>
                <c:pt idx="782">
                  <c:v>75.593561368209251</c:v>
                </c:pt>
                <c:pt idx="783">
                  <c:v>75.935613682092551</c:v>
                </c:pt>
                <c:pt idx="784">
                  <c:v>74.024144869215277</c:v>
                </c:pt>
                <c:pt idx="785">
                  <c:v>72.454728370221318</c:v>
                </c:pt>
                <c:pt idx="786">
                  <c:v>71.368209255533188</c:v>
                </c:pt>
                <c:pt idx="787">
                  <c:v>69.617706237424542</c:v>
                </c:pt>
                <c:pt idx="788">
                  <c:v>72.313883299798789</c:v>
                </c:pt>
                <c:pt idx="789">
                  <c:v>74.144869215291749</c:v>
                </c:pt>
                <c:pt idx="790">
                  <c:v>71.589537223340031</c:v>
                </c:pt>
                <c:pt idx="791">
                  <c:v>73.360160965794762</c:v>
                </c:pt>
                <c:pt idx="792">
                  <c:v>74.08450704225352</c:v>
                </c:pt>
                <c:pt idx="793">
                  <c:v>75.613682092555322</c:v>
                </c:pt>
                <c:pt idx="794">
                  <c:v>73.943661971830977</c:v>
                </c:pt>
                <c:pt idx="795">
                  <c:v>74.446680080482892</c:v>
                </c:pt>
                <c:pt idx="796">
                  <c:v>74.627766599597592</c:v>
                </c:pt>
                <c:pt idx="797">
                  <c:v>75.191146881287722</c:v>
                </c:pt>
                <c:pt idx="798">
                  <c:v>74.647887323943664</c:v>
                </c:pt>
                <c:pt idx="799">
                  <c:v>74.849094567404421</c:v>
                </c:pt>
                <c:pt idx="800">
                  <c:v>76.036217303822923</c:v>
                </c:pt>
                <c:pt idx="801">
                  <c:v>76.941649899396381</c:v>
                </c:pt>
                <c:pt idx="802">
                  <c:v>75.331991951710251</c:v>
                </c:pt>
                <c:pt idx="803">
                  <c:v>76.961770623742453</c:v>
                </c:pt>
                <c:pt idx="804">
                  <c:v>76.478873239436609</c:v>
                </c:pt>
                <c:pt idx="805">
                  <c:v>76.881287726358153</c:v>
                </c:pt>
                <c:pt idx="806">
                  <c:v>76.65995975855131</c:v>
                </c:pt>
                <c:pt idx="807">
                  <c:v>79.798792756539228</c:v>
                </c:pt>
                <c:pt idx="808">
                  <c:v>77.585513078470825</c:v>
                </c:pt>
                <c:pt idx="809">
                  <c:v>76.800804828973838</c:v>
                </c:pt>
                <c:pt idx="810">
                  <c:v>76.941649899396381</c:v>
                </c:pt>
                <c:pt idx="811">
                  <c:v>77.464788732394368</c:v>
                </c:pt>
                <c:pt idx="812">
                  <c:v>77.82696177062374</c:v>
                </c:pt>
                <c:pt idx="813">
                  <c:v>78.390342052313883</c:v>
                </c:pt>
                <c:pt idx="814">
                  <c:v>78.551307847082484</c:v>
                </c:pt>
                <c:pt idx="815">
                  <c:v>77.08249496981891</c:v>
                </c:pt>
                <c:pt idx="816">
                  <c:v>76.07645875251508</c:v>
                </c:pt>
                <c:pt idx="817">
                  <c:v>75.533199195171022</c:v>
                </c:pt>
                <c:pt idx="818">
                  <c:v>76.961770623742453</c:v>
                </c:pt>
                <c:pt idx="819">
                  <c:v>78.611670020120712</c:v>
                </c:pt>
                <c:pt idx="820">
                  <c:v>77.867203219315897</c:v>
                </c:pt>
                <c:pt idx="821">
                  <c:v>76.820925553319924</c:v>
                </c:pt>
                <c:pt idx="822">
                  <c:v>75.975855130784694</c:v>
                </c:pt>
                <c:pt idx="823">
                  <c:v>75.432595573440636</c:v>
                </c:pt>
                <c:pt idx="824">
                  <c:v>70.643863179074444</c:v>
                </c:pt>
                <c:pt idx="825">
                  <c:v>71.649899396378274</c:v>
                </c:pt>
                <c:pt idx="826">
                  <c:v>73.460764587525134</c:v>
                </c:pt>
                <c:pt idx="827">
                  <c:v>73.259557344064376</c:v>
                </c:pt>
                <c:pt idx="828">
                  <c:v>73.541247484909448</c:v>
                </c:pt>
                <c:pt idx="829">
                  <c:v>73.07847082494969</c:v>
                </c:pt>
                <c:pt idx="830">
                  <c:v>72.032193158953717</c:v>
                </c:pt>
                <c:pt idx="831">
                  <c:v>73.90342052313882</c:v>
                </c:pt>
                <c:pt idx="832">
                  <c:v>74.044265593561349</c:v>
                </c:pt>
                <c:pt idx="833">
                  <c:v>75.513078470824951</c:v>
                </c:pt>
                <c:pt idx="834">
                  <c:v>74.82897384305835</c:v>
                </c:pt>
                <c:pt idx="835">
                  <c:v>75.070422535211264</c:v>
                </c:pt>
                <c:pt idx="836">
                  <c:v>76.519114688128781</c:v>
                </c:pt>
                <c:pt idx="837">
                  <c:v>74.305835010060363</c:v>
                </c:pt>
                <c:pt idx="838">
                  <c:v>78.209255533199183</c:v>
                </c:pt>
                <c:pt idx="839">
                  <c:v>70.241448692152915</c:v>
                </c:pt>
                <c:pt idx="840">
                  <c:v>72.91750503018109</c:v>
                </c:pt>
                <c:pt idx="841">
                  <c:v>61.20724346076458</c:v>
                </c:pt>
                <c:pt idx="842">
                  <c:v>64.104627766599592</c:v>
                </c:pt>
                <c:pt idx="843">
                  <c:v>66.036217303822937</c:v>
                </c:pt>
                <c:pt idx="844">
                  <c:v>67.444668008048296</c:v>
                </c:pt>
                <c:pt idx="845">
                  <c:v>68.08853118712274</c:v>
                </c:pt>
                <c:pt idx="846">
                  <c:v>67.082494969818924</c:v>
                </c:pt>
                <c:pt idx="847">
                  <c:v>66.197183098591537</c:v>
                </c:pt>
                <c:pt idx="848">
                  <c:v>65.754527162977865</c:v>
                </c:pt>
                <c:pt idx="849">
                  <c:v>65.010060362173036</c:v>
                </c:pt>
                <c:pt idx="850">
                  <c:v>63.843058350100598</c:v>
                </c:pt>
                <c:pt idx="851">
                  <c:v>61.327967806841045</c:v>
                </c:pt>
                <c:pt idx="852">
                  <c:v>61.589537223340038</c:v>
                </c:pt>
                <c:pt idx="853">
                  <c:v>61.931589537223338</c:v>
                </c:pt>
                <c:pt idx="854">
                  <c:v>62.394366197183096</c:v>
                </c:pt>
                <c:pt idx="855">
                  <c:v>63.82293762575452</c:v>
                </c:pt>
                <c:pt idx="856">
                  <c:v>61.690140845070417</c:v>
                </c:pt>
                <c:pt idx="857">
                  <c:v>60.040241448692143</c:v>
                </c:pt>
                <c:pt idx="858">
                  <c:v>59.698189134808857</c:v>
                </c:pt>
                <c:pt idx="859">
                  <c:v>58.008048289738426</c:v>
                </c:pt>
                <c:pt idx="860">
                  <c:v>57.464788732394354</c:v>
                </c:pt>
                <c:pt idx="861">
                  <c:v>58.591549295774648</c:v>
                </c:pt>
                <c:pt idx="862">
                  <c:v>61.066398390342044</c:v>
                </c:pt>
                <c:pt idx="863">
                  <c:v>62.515090543259554</c:v>
                </c:pt>
                <c:pt idx="864">
                  <c:v>63.78269617706237</c:v>
                </c:pt>
                <c:pt idx="865">
                  <c:v>61.146881287726352</c:v>
                </c:pt>
                <c:pt idx="866">
                  <c:v>60.663983903420515</c:v>
                </c:pt>
                <c:pt idx="867">
                  <c:v>60.241448692152922</c:v>
                </c:pt>
                <c:pt idx="868">
                  <c:v>58.853118712273634</c:v>
                </c:pt>
                <c:pt idx="869">
                  <c:v>58.490945674044262</c:v>
                </c:pt>
                <c:pt idx="870">
                  <c:v>56.800804828973838</c:v>
                </c:pt>
                <c:pt idx="871">
                  <c:v>56.760563380281695</c:v>
                </c:pt>
                <c:pt idx="872">
                  <c:v>55.472837022132794</c:v>
                </c:pt>
                <c:pt idx="873">
                  <c:v>58.692152917505027</c:v>
                </c:pt>
                <c:pt idx="874">
                  <c:v>59.134808853118713</c:v>
                </c:pt>
                <c:pt idx="875">
                  <c:v>60.402414486921529</c:v>
                </c:pt>
                <c:pt idx="876">
                  <c:v>61.167002012072423</c:v>
                </c:pt>
                <c:pt idx="877">
                  <c:v>60</c:v>
                </c:pt>
                <c:pt idx="878">
                  <c:v>58.672032193158955</c:v>
                </c:pt>
                <c:pt idx="879">
                  <c:v>59.617706237424542</c:v>
                </c:pt>
                <c:pt idx="880">
                  <c:v>59.476861167002006</c:v>
                </c:pt>
                <c:pt idx="881">
                  <c:v>61.670020120724345</c:v>
                </c:pt>
                <c:pt idx="882">
                  <c:v>63.380281690140841</c:v>
                </c:pt>
                <c:pt idx="883">
                  <c:v>61.649899396378274</c:v>
                </c:pt>
                <c:pt idx="884">
                  <c:v>61.529175050301802</c:v>
                </c:pt>
                <c:pt idx="885">
                  <c:v>60.724346076458744</c:v>
                </c:pt>
                <c:pt idx="886">
                  <c:v>60.78470824949698</c:v>
                </c:pt>
                <c:pt idx="887">
                  <c:v>61.428571428571431</c:v>
                </c:pt>
                <c:pt idx="888">
                  <c:v>59.336016096579471</c:v>
                </c:pt>
                <c:pt idx="889">
                  <c:v>59.195171026156942</c:v>
                </c:pt>
                <c:pt idx="890">
                  <c:v>59.758551307847071</c:v>
                </c:pt>
                <c:pt idx="891">
                  <c:v>59.094567404426556</c:v>
                </c:pt>
                <c:pt idx="892">
                  <c:v>57.505030181086511</c:v>
                </c:pt>
                <c:pt idx="893">
                  <c:v>56.921529175050303</c:v>
                </c:pt>
                <c:pt idx="894">
                  <c:v>56.136820925553309</c:v>
                </c:pt>
                <c:pt idx="895">
                  <c:v>63.802816901408441</c:v>
                </c:pt>
                <c:pt idx="896">
                  <c:v>61.368209255533188</c:v>
                </c:pt>
                <c:pt idx="897">
                  <c:v>59.678068410462771</c:v>
                </c:pt>
                <c:pt idx="898">
                  <c:v>57.444668008048282</c:v>
                </c:pt>
                <c:pt idx="899">
                  <c:v>57.303822937625746</c:v>
                </c:pt>
                <c:pt idx="900">
                  <c:v>59.195171026156942</c:v>
                </c:pt>
                <c:pt idx="901">
                  <c:v>59.094567404426556</c:v>
                </c:pt>
                <c:pt idx="902">
                  <c:v>57.505030181086511</c:v>
                </c:pt>
                <c:pt idx="903">
                  <c:v>56.29778672032193</c:v>
                </c:pt>
                <c:pt idx="904">
                  <c:v>56.780684104627767</c:v>
                </c:pt>
                <c:pt idx="905">
                  <c:v>56.941649899396374</c:v>
                </c:pt>
                <c:pt idx="906">
                  <c:v>57.847082494969811</c:v>
                </c:pt>
                <c:pt idx="907">
                  <c:v>49.69818913480885</c:v>
                </c:pt>
                <c:pt idx="908">
                  <c:v>45.814889336016094</c:v>
                </c:pt>
                <c:pt idx="909">
                  <c:v>47.806841046277668</c:v>
                </c:pt>
                <c:pt idx="910">
                  <c:v>47.263581488933596</c:v>
                </c:pt>
                <c:pt idx="911">
                  <c:v>47.665995975855132</c:v>
                </c:pt>
                <c:pt idx="912">
                  <c:v>46.478873239436616</c:v>
                </c:pt>
                <c:pt idx="913">
                  <c:v>42.454728370221332</c:v>
                </c:pt>
                <c:pt idx="914">
                  <c:v>41.911468812877253</c:v>
                </c:pt>
                <c:pt idx="915">
                  <c:v>41.106639839034202</c:v>
                </c:pt>
                <c:pt idx="916">
                  <c:v>39.718309859154928</c:v>
                </c:pt>
                <c:pt idx="917">
                  <c:v>40.482897384305829</c:v>
                </c:pt>
                <c:pt idx="918">
                  <c:v>41.790744466800803</c:v>
                </c:pt>
                <c:pt idx="919">
                  <c:v>41.810865191146881</c:v>
                </c:pt>
                <c:pt idx="920">
                  <c:v>45.130784708249493</c:v>
                </c:pt>
                <c:pt idx="921">
                  <c:v>46.458752515090538</c:v>
                </c:pt>
                <c:pt idx="922">
                  <c:v>45.774647887323944</c:v>
                </c:pt>
                <c:pt idx="923">
                  <c:v>45.352112676056336</c:v>
                </c:pt>
                <c:pt idx="924">
                  <c:v>45.99597585513078</c:v>
                </c:pt>
                <c:pt idx="925">
                  <c:v>47.062374245472839</c:v>
                </c:pt>
                <c:pt idx="926">
                  <c:v>48.088531187122726</c:v>
                </c:pt>
                <c:pt idx="927">
                  <c:v>48.309859154929583</c:v>
                </c:pt>
                <c:pt idx="928">
                  <c:v>48.591549295774641</c:v>
                </c:pt>
                <c:pt idx="929">
                  <c:v>51.267605633802816</c:v>
                </c:pt>
                <c:pt idx="930">
                  <c:v>54.024144869215299</c:v>
                </c:pt>
                <c:pt idx="931">
                  <c:v>55.573440643863179</c:v>
                </c:pt>
                <c:pt idx="932">
                  <c:v>57.605633802816889</c:v>
                </c:pt>
                <c:pt idx="933">
                  <c:v>58.853118712273634</c:v>
                </c:pt>
                <c:pt idx="934">
                  <c:v>59.21529175050302</c:v>
                </c:pt>
                <c:pt idx="935">
                  <c:v>58.048289738430583</c:v>
                </c:pt>
                <c:pt idx="936">
                  <c:v>57.625754527162975</c:v>
                </c:pt>
                <c:pt idx="937">
                  <c:v>60.060362173038229</c:v>
                </c:pt>
                <c:pt idx="938">
                  <c:v>60.523138832997979</c:v>
                </c:pt>
                <c:pt idx="939">
                  <c:v>60.503018108651908</c:v>
                </c:pt>
                <c:pt idx="940">
                  <c:v>60.563380281690137</c:v>
                </c:pt>
                <c:pt idx="941">
                  <c:v>60.845070422535208</c:v>
                </c:pt>
                <c:pt idx="942">
                  <c:v>59.778672032193157</c:v>
                </c:pt>
                <c:pt idx="943">
                  <c:v>62.374245472837018</c:v>
                </c:pt>
                <c:pt idx="944">
                  <c:v>61.066398390342044</c:v>
                </c:pt>
                <c:pt idx="945">
                  <c:v>59.114688128772627</c:v>
                </c:pt>
                <c:pt idx="946">
                  <c:v>58.511066398390334</c:v>
                </c:pt>
                <c:pt idx="947">
                  <c:v>58.430583501006026</c:v>
                </c:pt>
                <c:pt idx="948">
                  <c:v>58.309859154929576</c:v>
                </c:pt>
                <c:pt idx="949">
                  <c:v>57.766599597585511</c:v>
                </c:pt>
                <c:pt idx="950">
                  <c:v>58.712273641851098</c:v>
                </c:pt>
                <c:pt idx="951">
                  <c:v>58.993963782696177</c:v>
                </c:pt>
                <c:pt idx="952">
                  <c:v>59.698189134808857</c:v>
                </c:pt>
                <c:pt idx="953">
                  <c:v>60.86519114688128</c:v>
                </c:pt>
                <c:pt idx="954">
                  <c:v>61.609657947686117</c:v>
                </c:pt>
                <c:pt idx="955">
                  <c:v>62.152917505030182</c:v>
                </c:pt>
                <c:pt idx="956">
                  <c:v>60.86519114688128</c:v>
                </c:pt>
                <c:pt idx="957">
                  <c:v>60.12072434607645</c:v>
                </c:pt>
                <c:pt idx="958">
                  <c:v>60.503018108651908</c:v>
                </c:pt>
                <c:pt idx="959">
                  <c:v>60.603621730382294</c:v>
                </c:pt>
                <c:pt idx="960">
                  <c:v>59.979879275653914</c:v>
                </c:pt>
                <c:pt idx="961">
                  <c:v>60.623742454728372</c:v>
                </c:pt>
                <c:pt idx="962">
                  <c:v>58.973843058350099</c:v>
                </c:pt>
                <c:pt idx="963">
                  <c:v>59.698189134808857</c:v>
                </c:pt>
                <c:pt idx="964">
                  <c:v>58.189134808853119</c:v>
                </c:pt>
                <c:pt idx="965">
                  <c:v>58.390342052313883</c:v>
                </c:pt>
                <c:pt idx="966">
                  <c:v>56.780684104627767</c:v>
                </c:pt>
                <c:pt idx="967">
                  <c:v>62.112676056338024</c:v>
                </c:pt>
                <c:pt idx="968">
                  <c:v>63.319919517102605</c:v>
                </c:pt>
                <c:pt idx="969">
                  <c:v>64.748490945674035</c:v>
                </c:pt>
                <c:pt idx="970">
                  <c:v>61.851106639839024</c:v>
                </c:pt>
                <c:pt idx="971">
                  <c:v>61.951710261569417</c:v>
                </c:pt>
                <c:pt idx="972">
                  <c:v>61.227364185110659</c:v>
                </c:pt>
                <c:pt idx="973">
                  <c:v>61.146881287726352</c:v>
                </c:pt>
                <c:pt idx="974">
                  <c:v>62.716297786720318</c:v>
                </c:pt>
                <c:pt idx="975">
                  <c:v>63.78269617706237</c:v>
                </c:pt>
                <c:pt idx="976">
                  <c:v>64.366197183098578</c:v>
                </c:pt>
                <c:pt idx="977">
                  <c:v>64.08450704225352</c:v>
                </c:pt>
                <c:pt idx="978">
                  <c:v>63.581488933601605</c:v>
                </c:pt>
                <c:pt idx="979">
                  <c:v>63.34004024144869</c:v>
                </c:pt>
                <c:pt idx="980">
                  <c:v>64.144869215291749</c:v>
                </c:pt>
                <c:pt idx="981">
                  <c:v>63.661971830985905</c:v>
                </c:pt>
                <c:pt idx="982">
                  <c:v>65.633802816901394</c:v>
                </c:pt>
                <c:pt idx="983">
                  <c:v>65.633802816901394</c:v>
                </c:pt>
                <c:pt idx="984">
                  <c:v>66.599597585513081</c:v>
                </c:pt>
                <c:pt idx="985">
                  <c:v>67.625754527162968</c:v>
                </c:pt>
                <c:pt idx="986">
                  <c:v>68.591549295774641</c:v>
                </c:pt>
                <c:pt idx="987">
                  <c:v>69.577464788732385</c:v>
                </c:pt>
                <c:pt idx="988">
                  <c:v>71.126760563380273</c:v>
                </c:pt>
                <c:pt idx="989">
                  <c:v>68.390342052313883</c:v>
                </c:pt>
                <c:pt idx="990">
                  <c:v>66.981891348088524</c:v>
                </c:pt>
                <c:pt idx="991">
                  <c:v>64.386317907444663</c:v>
                </c:pt>
                <c:pt idx="992">
                  <c:v>62.977867203219319</c:v>
                </c:pt>
                <c:pt idx="993">
                  <c:v>63.762575452716298</c:v>
                </c:pt>
                <c:pt idx="994">
                  <c:v>63.963782696177049</c:v>
                </c:pt>
                <c:pt idx="995">
                  <c:v>62.615694164989947</c:v>
                </c:pt>
                <c:pt idx="996">
                  <c:v>63.863179074446677</c:v>
                </c:pt>
                <c:pt idx="997">
                  <c:v>64.446680080482892</c:v>
                </c:pt>
                <c:pt idx="998">
                  <c:v>66.016096579476852</c:v>
                </c:pt>
                <c:pt idx="999">
                  <c:v>67.806841046277668</c:v>
                </c:pt>
                <c:pt idx="1000">
                  <c:v>73.722334004024134</c:v>
                </c:pt>
                <c:pt idx="1001">
                  <c:v>73.199195171026162</c:v>
                </c:pt>
                <c:pt idx="1002">
                  <c:v>71.066398390342044</c:v>
                </c:pt>
                <c:pt idx="1003">
                  <c:v>71.750503018108631</c:v>
                </c:pt>
                <c:pt idx="1004">
                  <c:v>72.374245472837018</c:v>
                </c:pt>
                <c:pt idx="1005">
                  <c:v>73.480885311871219</c:v>
                </c:pt>
                <c:pt idx="1006">
                  <c:v>75.352112676056336</c:v>
                </c:pt>
                <c:pt idx="1007">
                  <c:v>74.104627766599577</c:v>
                </c:pt>
                <c:pt idx="1008">
                  <c:v>74.325955734406435</c:v>
                </c:pt>
                <c:pt idx="1009">
                  <c:v>76.700201207243452</c:v>
                </c:pt>
                <c:pt idx="1010">
                  <c:v>74.305835010060363</c:v>
                </c:pt>
                <c:pt idx="1011">
                  <c:v>74.446680080482892</c:v>
                </c:pt>
                <c:pt idx="1012">
                  <c:v>75.814889336016094</c:v>
                </c:pt>
                <c:pt idx="1013">
                  <c:v>74.889336016096578</c:v>
                </c:pt>
                <c:pt idx="1014">
                  <c:v>77.665995975855125</c:v>
                </c:pt>
                <c:pt idx="1015">
                  <c:v>78.008048289738426</c:v>
                </c:pt>
                <c:pt idx="1016">
                  <c:v>79.738430583501014</c:v>
                </c:pt>
                <c:pt idx="1017">
                  <c:v>79.778672032193157</c:v>
                </c:pt>
                <c:pt idx="1018">
                  <c:v>78.631790744466784</c:v>
                </c:pt>
                <c:pt idx="1019">
                  <c:v>78.692152917505027</c:v>
                </c:pt>
                <c:pt idx="1020">
                  <c:v>78.853118712273627</c:v>
                </c:pt>
                <c:pt idx="1021">
                  <c:v>80</c:v>
                </c:pt>
                <c:pt idx="1022">
                  <c:v>80.925553319919501</c:v>
                </c:pt>
                <c:pt idx="1023">
                  <c:v>80</c:v>
                </c:pt>
                <c:pt idx="1024">
                  <c:v>80.684104627766601</c:v>
                </c:pt>
                <c:pt idx="1025">
                  <c:v>80.362173038229372</c:v>
                </c:pt>
                <c:pt idx="1026">
                  <c:v>80.221327967806829</c:v>
                </c:pt>
                <c:pt idx="1027">
                  <c:v>80.301810865191143</c:v>
                </c:pt>
                <c:pt idx="1028">
                  <c:v>78.913480885311856</c:v>
                </c:pt>
                <c:pt idx="1029">
                  <c:v>76.981891348088524</c:v>
                </c:pt>
                <c:pt idx="1030">
                  <c:v>77.464788732394368</c:v>
                </c:pt>
                <c:pt idx="1031">
                  <c:v>78.551307847082484</c:v>
                </c:pt>
                <c:pt idx="1032">
                  <c:v>77.98792756539234</c:v>
                </c:pt>
                <c:pt idx="1033">
                  <c:v>75.935613682092551</c:v>
                </c:pt>
                <c:pt idx="1034">
                  <c:v>75.593561368209251</c:v>
                </c:pt>
                <c:pt idx="1035">
                  <c:v>76.358148893360166</c:v>
                </c:pt>
                <c:pt idx="1036">
                  <c:v>75.935613682092551</c:v>
                </c:pt>
                <c:pt idx="1037">
                  <c:v>76.74044265593561</c:v>
                </c:pt>
                <c:pt idx="1038">
                  <c:v>77.162977867203224</c:v>
                </c:pt>
                <c:pt idx="1039">
                  <c:v>79.295774647887313</c:v>
                </c:pt>
                <c:pt idx="1040">
                  <c:v>78.24949698189134</c:v>
                </c:pt>
                <c:pt idx="1041">
                  <c:v>78.893360160965798</c:v>
                </c:pt>
                <c:pt idx="1042">
                  <c:v>79.959758551307843</c:v>
                </c:pt>
                <c:pt idx="1043">
                  <c:v>82.73641851106639</c:v>
                </c:pt>
                <c:pt idx="1044">
                  <c:v>79.979879275653914</c:v>
                </c:pt>
                <c:pt idx="1045">
                  <c:v>77.726358148893354</c:v>
                </c:pt>
                <c:pt idx="1046">
                  <c:v>76.780684104627753</c:v>
                </c:pt>
                <c:pt idx="1047">
                  <c:v>75.835010060362166</c:v>
                </c:pt>
                <c:pt idx="1048">
                  <c:v>76.519114688128781</c:v>
                </c:pt>
                <c:pt idx="1049">
                  <c:v>74.245472837022135</c:v>
                </c:pt>
                <c:pt idx="1050">
                  <c:v>74.82897384305835</c:v>
                </c:pt>
                <c:pt idx="1051">
                  <c:v>76.398390342052309</c:v>
                </c:pt>
                <c:pt idx="1052">
                  <c:v>75.533199195171022</c:v>
                </c:pt>
                <c:pt idx="1053">
                  <c:v>75.774647887323937</c:v>
                </c:pt>
                <c:pt idx="1054">
                  <c:v>79.154929577464799</c:v>
                </c:pt>
                <c:pt idx="1055">
                  <c:v>75.99597585513078</c:v>
                </c:pt>
                <c:pt idx="1056">
                  <c:v>76.760563380281681</c:v>
                </c:pt>
                <c:pt idx="1057">
                  <c:v>77.162977867203224</c:v>
                </c:pt>
                <c:pt idx="1058">
                  <c:v>74.989939637826964</c:v>
                </c:pt>
                <c:pt idx="1059">
                  <c:v>74.808853118712264</c:v>
                </c:pt>
                <c:pt idx="1060">
                  <c:v>74.90945674044265</c:v>
                </c:pt>
                <c:pt idx="1061">
                  <c:v>74.185110663983892</c:v>
                </c:pt>
                <c:pt idx="1062">
                  <c:v>72.354124748490946</c:v>
                </c:pt>
                <c:pt idx="1063">
                  <c:v>71.368209255533188</c:v>
                </c:pt>
                <c:pt idx="1064">
                  <c:v>71.086519114688116</c:v>
                </c:pt>
                <c:pt idx="1065">
                  <c:v>71.368209255533188</c:v>
                </c:pt>
                <c:pt idx="1066">
                  <c:v>75.694164989939623</c:v>
                </c:pt>
                <c:pt idx="1067">
                  <c:v>74.486921529175049</c:v>
                </c:pt>
                <c:pt idx="1068">
                  <c:v>73.34004024144869</c:v>
                </c:pt>
                <c:pt idx="1069">
                  <c:v>73.199195171026162</c:v>
                </c:pt>
                <c:pt idx="1070">
                  <c:v>75.955734406438623</c:v>
                </c:pt>
                <c:pt idx="1071">
                  <c:v>74.768611670020107</c:v>
                </c:pt>
                <c:pt idx="1072">
                  <c:v>75.412474849094551</c:v>
                </c:pt>
                <c:pt idx="1073">
                  <c:v>73.92354124748492</c:v>
                </c:pt>
                <c:pt idx="1074">
                  <c:v>75.110663983903407</c:v>
                </c:pt>
                <c:pt idx="1075">
                  <c:v>75.150905432595579</c:v>
                </c:pt>
                <c:pt idx="1076">
                  <c:v>76.861167002012081</c:v>
                </c:pt>
                <c:pt idx="1077">
                  <c:v>76.438631790744466</c:v>
                </c:pt>
                <c:pt idx="1078">
                  <c:v>73.07847082494969</c:v>
                </c:pt>
                <c:pt idx="1079">
                  <c:v>74.889336016096578</c:v>
                </c:pt>
                <c:pt idx="1080">
                  <c:v>77.786720321931583</c:v>
                </c:pt>
                <c:pt idx="1081">
                  <c:v>76.277665995975838</c:v>
                </c:pt>
                <c:pt idx="1082">
                  <c:v>76.217303822937637</c:v>
                </c:pt>
                <c:pt idx="1083">
                  <c:v>76.74044265593561</c:v>
                </c:pt>
                <c:pt idx="1084">
                  <c:v>77.645875251509054</c:v>
                </c:pt>
                <c:pt idx="1085">
                  <c:v>82.354124748490946</c:v>
                </c:pt>
                <c:pt idx="1086">
                  <c:v>81.428571428571416</c:v>
                </c:pt>
                <c:pt idx="1087">
                  <c:v>81.609657947686117</c:v>
                </c:pt>
                <c:pt idx="1088">
                  <c:v>84.124748490945677</c:v>
                </c:pt>
                <c:pt idx="1089">
                  <c:v>83.903420523138834</c:v>
                </c:pt>
                <c:pt idx="1090">
                  <c:v>83.822937625754506</c:v>
                </c:pt>
                <c:pt idx="1091">
                  <c:v>83.07847082494969</c:v>
                </c:pt>
                <c:pt idx="1092">
                  <c:v>84.225352112676049</c:v>
                </c:pt>
                <c:pt idx="1093">
                  <c:v>85.050301810865193</c:v>
                </c:pt>
                <c:pt idx="1094">
                  <c:v>86.519114688128766</c:v>
                </c:pt>
                <c:pt idx="1095">
                  <c:v>88.772635814889327</c:v>
                </c:pt>
                <c:pt idx="1096">
                  <c:v>85.895372233400394</c:v>
                </c:pt>
                <c:pt idx="1097">
                  <c:v>86.338028169014066</c:v>
                </c:pt>
                <c:pt idx="1098">
                  <c:v>81.589537223340031</c:v>
                </c:pt>
                <c:pt idx="1099">
                  <c:v>79.919517102615686</c:v>
                </c:pt>
                <c:pt idx="1100">
                  <c:v>79.939637826961757</c:v>
                </c:pt>
                <c:pt idx="1101">
                  <c:v>82.193158953722332</c:v>
                </c:pt>
                <c:pt idx="1102">
                  <c:v>81.549295774647888</c:v>
                </c:pt>
                <c:pt idx="1103">
                  <c:v>82.152917505030175</c:v>
                </c:pt>
                <c:pt idx="1104">
                  <c:v>81.267605633802802</c:v>
                </c:pt>
                <c:pt idx="1105">
                  <c:v>82.334004024144875</c:v>
                </c:pt>
                <c:pt idx="1106">
                  <c:v>81.428571428571416</c:v>
                </c:pt>
                <c:pt idx="1107">
                  <c:v>81.167002012072444</c:v>
                </c:pt>
                <c:pt idx="1108">
                  <c:v>81.851106639839031</c:v>
                </c:pt>
                <c:pt idx="1109">
                  <c:v>81.91146881287726</c:v>
                </c:pt>
                <c:pt idx="1110">
                  <c:v>83.702213279678062</c:v>
                </c:pt>
                <c:pt idx="1111">
                  <c:v>82.977867203219319</c:v>
                </c:pt>
                <c:pt idx="1112">
                  <c:v>81.348088531187116</c:v>
                </c:pt>
                <c:pt idx="1113">
                  <c:v>79.396378269617713</c:v>
                </c:pt>
                <c:pt idx="1114">
                  <c:v>79.416498993963785</c:v>
                </c:pt>
                <c:pt idx="1115">
                  <c:v>78.370221327967798</c:v>
                </c:pt>
                <c:pt idx="1116">
                  <c:v>77.947686116700197</c:v>
                </c:pt>
                <c:pt idx="1117">
                  <c:v>75.613682092555322</c:v>
                </c:pt>
                <c:pt idx="1118">
                  <c:v>75.513078470824951</c:v>
                </c:pt>
                <c:pt idx="1119">
                  <c:v>74.486921529175049</c:v>
                </c:pt>
                <c:pt idx="1120">
                  <c:v>74.08450704225352</c:v>
                </c:pt>
                <c:pt idx="1121">
                  <c:v>74.607645875251507</c:v>
                </c:pt>
                <c:pt idx="1122">
                  <c:v>72.454728370221318</c:v>
                </c:pt>
                <c:pt idx="1123">
                  <c:v>72.65593561368209</c:v>
                </c:pt>
                <c:pt idx="1124">
                  <c:v>73.118712273641847</c:v>
                </c:pt>
                <c:pt idx="1125">
                  <c:v>75.050301810865179</c:v>
                </c:pt>
                <c:pt idx="1126">
                  <c:v>74.446680080482892</c:v>
                </c:pt>
                <c:pt idx="1127">
                  <c:v>72.776659959758547</c:v>
                </c:pt>
                <c:pt idx="1128">
                  <c:v>72.696177062374247</c:v>
                </c:pt>
                <c:pt idx="1129">
                  <c:v>71.730382293762574</c:v>
                </c:pt>
                <c:pt idx="1130">
                  <c:v>71.589537223340031</c:v>
                </c:pt>
                <c:pt idx="1131">
                  <c:v>71.428571428571416</c:v>
                </c:pt>
                <c:pt idx="1132">
                  <c:v>71.649899396378274</c:v>
                </c:pt>
                <c:pt idx="1133">
                  <c:v>72.555331991951704</c:v>
                </c:pt>
                <c:pt idx="1134">
                  <c:v>73.219315895372233</c:v>
                </c:pt>
                <c:pt idx="1135">
                  <c:v>75.191146881287722</c:v>
                </c:pt>
                <c:pt idx="1136">
                  <c:v>72.555331991951704</c:v>
                </c:pt>
                <c:pt idx="1137">
                  <c:v>74.446680080482892</c:v>
                </c:pt>
                <c:pt idx="1138">
                  <c:v>74.225352112676063</c:v>
                </c:pt>
                <c:pt idx="1139">
                  <c:v>74.386317907444663</c:v>
                </c:pt>
                <c:pt idx="1140">
                  <c:v>75.090543259557336</c:v>
                </c:pt>
                <c:pt idx="1141">
                  <c:v>74.285714285714292</c:v>
                </c:pt>
                <c:pt idx="1142">
                  <c:v>73.299798792756533</c:v>
                </c:pt>
                <c:pt idx="1143">
                  <c:v>73.82293762575452</c:v>
                </c:pt>
                <c:pt idx="1144">
                  <c:v>75.774647887323937</c:v>
                </c:pt>
                <c:pt idx="1145">
                  <c:v>76.639839034205238</c:v>
                </c:pt>
                <c:pt idx="1146">
                  <c:v>77.384305835010053</c:v>
                </c:pt>
                <c:pt idx="1147">
                  <c:v>77.74647887323944</c:v>
                </c:pt>
                <c:pt idx="1148">
                  <c:v>78.048289738430583</c:v>
                </c:pt>
                <c:pt idx="1149">
                  <c:v>76.961770623742453</c:v>
                </c:pt>
                <c:pt idx="1150">
                  <c:v>75.694164989939623</c:v>
                </c:pt>
                <c:pt idx="1151">
                  <c:v>76.820925553319924</c:v>
                </c:pt>
                <c:pt idx="1152">
                  <c:v>77.545271629778668</c:v>
                </c:pt>
                <c:pt idx="1153">
                  <c:v>77.74647887323944</c:v>
                </c:pt>
                <c:pt idx="1154">
                  <c:v>88.189134808853112</c:v>
                </c:pt>
                <c:pt idx="1155">
                  <c:v>81.931589537223331</c:v>
                </c:pt>
                <c:pt idx="1156">
                  <c:v>79.939637826961757</c:v>
                </c:pt>
                <c:pt idx="1157">
                  <c:v>78.068410462776654</c:v>
                </c:pt>
                <c:pt idx="1158">
                  <c:v>79.215291750502999</c:v>
                </c:pt>
                <c:pt idx="1159">
                  <c:v>80.704225352112672</c:v>
                </c:pt>
                <c:pt idx="1160">
                  <c:v>83.038229376257547</c:v>
                </c:pt>
                <c:pt idx="1161">
                  <c:v>80.845070422535201</c:v>
                </c:pt>
                <c:pt idx="1162">
                  <c:v>81.348088531187116</c:v>
                </c:pt>
                <c:pt idx="1163">
                  <c:v>81.91146881287726</c:v>
                </c:pt>
                <c:pt idx="1164">
                  <c:v>82.414486921529175</c:v>
                </c:pt>
                <c:pt idx="1165">
                  <c:v>82.414486921529175</c:v>
                </c:pt>
                <c:pt idx="1166">
                  <c:v>80.804828973843044</c:v>
                </c:pt>
                <c:pt idx="1167">
                  <c:v>80.503018108651901</c:v>
                </c:pt>
                <c:pt idx="1168">
                  <c:v>80.060362173038229</c:v>
                </c:pt>
                <c:pt idx="1169">
                  <c:v>78.853118712273627</c:v>
                </c:pt>
                <c:pt idx="1170">
                  <c:v>78.712273641851098</c:v>
                </c:pt>
                <c:pt idx="1171">
                  <c:v>77.505030181086525</c:v>
                </c:pt>
                <c:pt idx="1172">
                  <c:v>78.16901408450704</c:v>
                </c:pt>
                <c:pt idx="1173">
                  <c:v>79.235412474849099</c:v>
                </c:pt>
                <c:pt idx="1174">
                  <c:v>77.90744466800804</c:v>
                </c:pt>
                <c:pt idx="1175">
                  <c:v>77.90744466800804</c:v>
                </c:pt>
                <c:pt idx="1176">
                  <c:v>76.599597585513081</c:v>
                </c:pt>
                <c:pt idx="1177">
                  <c:v>77.686116700201197</c:v>
                </c:pt>
                <c:pt idx="1178">
                  <c:v>76.036217303822923</c:v>
                </c:pt>
                <c:pt idx="1179">
                  <c:v>73.963782696177049</c:v>
                </c:pt>
                <c:pt idx="1180">
                  <c:v>75.291750503018108</c:v>
                </c:pt>
                <c:pt idx="1181">
                  <c:v>74.225352112676063</c:v>
                </c:pt>
                <c:pt idx="1182">
                  <c:v>74.708249496981892</c:v>
                </c:pt>
                <c:pt idx="1183">
                  <c:v>73.259557344064376</c:v>
                </c:pt>
                <c:pt idx="1184">
                  <c:v>75.030181086519107</c:v>
                </c:pt>
                <c:pt idx="1185">
                  <c:v>75.915492957746466</c:v>
                </c:pt>
                <c:pt idx="1186">
                  <c:v>73.621730382293777</c:v>
                </c:pt>
                <c:pt idx="1187">
                  <c:v>72.776659959758547</c:v>
                </c:pt>
                <c:pt idx="1188">
                  <c:v>73.561368209255534</c:v>
                </c:pt>
                <c:pt idx="1189">
                  <c:v>75.814889336016094</c:v>
                </c:pt>
                <c:pt idx="1190">
                  <c:v>75.372233400402408</c:v>
                </c:pt>
                <c:pt idx="1191">
                  <c:v>74.044265593561349</c:v>
                </c:pt>
                <c:pt idx="1192">
                  <c:v>75.090543259557336</c:v>
                </c:pt>
                <c:pt idx="1193">
                  <c:v>77.706237424547282</c:v>
                </c:pt>
                <c:pt idx="1194">
                  <c:v>77.484909456740439</c:v>
                </c:pt>
                <c:pt idx="1195">
                  <c:v>76.016096579476852</c:v>
                </c:pt>
                <c:pt idx="1196">
                  <c:v>76.639839034205238</c:v>
                </c:pt>
                <c:pt idx="1197">
                  <c:v>76.277665995975838</c:v>
                </c:pt>
                <c:pt idx="1198">
                  <c:v>76.881287726358153</c:v>
                </c:pt>
                <c:pt idx="1199">
                  <c:v>77.706237424547282</c:v>
                </c:pt>
                <c:pt idx="1200">
                  <c:v>78.873239436619727</c:v>
                </c:pt>
                <c:pt idx="1201">
                  <c:v>80.442655935613672</c:v>
                </c:pt>
                <c:pt idx="1202">
                  <c:v>80.281690140845058</c:v>
                </c:pt>
                <c:pt idx="1203">
                  <c:v>79.25553319919517</c:v>
                </c:pt>
                <c:pt idx="1204">
                  <c:v>79.476861167002014</c:v>
                </c:pt>
                <c:pt idx="1205">
                  <c:v>78.611670020120712</c:v>
                </c:pt>
                <c:pt idx="1206">
                  <c:v>79.758551307847085</c:v>
                </c:pt>
                <c:pt idx="1207">
                  <c:v>81.770623742454731</c:v>
                </c:pt>
                <c:pt idx="1208">
                  <c:v>81.609657947686117</c:v>
                </c:pt>
                <c:pt idx="1209">
                  <c:v>81.64989939637826</c:v>
                </c:pt>
                <c:pt idx="1210">
                  <c:v>82.193158953722332</c:v>
                </c:pt>
                <c:pt idx="1211">
                  <c:v>81.75050301810866</c:v>
                </c:pt>
                <c:pt idx="1212">
                  <c:v>81.629778672032188</c:v>
                </c:pt>
                <c:pt idx="1213">
                  <c:v>82.132796780684103</c:v>
                </c:pt>
                <c:pt idx="1214">
                  <c:v>77.142857142857153</c:v>
                </c:pt>
                <c:pt idx="1215">
                  <c:v>85.794768611670008</c:v>
                </c:pt>
                <c:pt idx="1216">
                  <c:v>84.708249496981892</c:v>
                </c:pt>
                <c:pt idx="1217">
                  <c:v>83.802816901408434</c:v>
                </c:pt>
                <c:pt idx="1218">
                  <c:v>83.501006036217291</c:v>
                </c:pt>
                <c:pt idx="1219">
                  <c:v>83.118712273641847</c:v>
                </c:pt>
                <c:pt idx="1220">
                  <c:v>83.883299798792748</c:v>
                </c:pt>
                <c:pt idx="1221">
                  <c:v>82.957746478873233</c:v>
                </c:pt>
                <c:pt idx="1222">
                  <c:v>82.796780684104618</c:v>
                </c:pt>
                <c:pt idx="1223">
                  <c:v>81.488933601609659</c:v>
                </c:pt>
                <c:pt idx="1224">
                  <c:v>83.34004024144869</c:v>
                </c:pt>
                <c:pt idx="1225">
                  <c:v>85.432595573440636</c:v>
                </c:pt>
                <c:pt idx="1226">
                  <c:v>86.478873239436609</c:v>
                </c:pt>
                <c:pt idx="1227">
                  <c:v>87.525150905432596</c:v>
                </c:pt>
                <c:pt idx="1228">
                  <c:v>86.338028169014066</c:v>
                </c:pt>
                <c:pt idx="1229">
                  <c:v>85.110663983903407</c:v>
                </c:pt>
                <c:pt idx="1230">
                  <c:v>86.096579476861152</c:v>
                </c:pt>
                <c:pt idx="1231">
                  <c:v>85.573440643863179</c:v>
                </c:pt>
                <c:pt idx="1232">
                  <c:v>85.090543259557336</c:v>
                </c:pt>
                <c:pt idx="1233">
                  <c:v>84.265593561368206</c:v>
                </c:pt>
                <c:pt idx="1234">
                  <c:v>83.501006036217291</c:v>
                </c:pt>
                <c:pt idx="1235">
                  <c:v>84.104627766599577</c:v>
                </c:pt>
                <c:pt idx="1236">
                  <c:v>87.384305835010053</c:v>
                </c:pt>
                <c:pt idx="1237">
                  <c:v>83.018108651911461</c:v>
                </c:pt>
                <c:pt idx="1238">
                  <c:v>84.768611670020121</c:v>
                </c:pt>
                <c:pt idx="1239">
                  <c:v>85.472837022132779</c:v>
                </c:pt>
                <c:pt idx="1240">
                  <c:v>84.768611670020121</c:v>
                </c:pt>
                <c:pt idx="1241">
                  <c:v>84.386317907444663</c:v>
                </c:pt>
                <c:pt idx="1242">
                  <c:v>82.515090543259547</c:v>
                </c:pt>
                <c:pt idx="1243">
                  <c:v>81.64989939637826</c:v>
                </c:pt>
                <c:pt idx="1244">
                  <c:v>79.235412474849099</c:v>
                </c:pt>
                <c:pt idx="1245">
                  <c:v>77.98792756539234</c:v>
                </c:pt>
                <c:pt idx="1246">
                  <c:v>78.148893360160969</c:v>
                </c:pt>
                <c:pt idx="1247">
                  <c:v>77.525150905432596</c:v>
                </c:pt>
                <c:pt idx="1248">
                  <c:v>74.486921529175049</c:v>
                </c:pt>
                <c:pt idx="1249">
                  <c:v>72.756539235412461</c:v>
                </c:pt>
                <c:pt idx="1250">
                  <c:v>70.321931589537229</c:v>
                </c:pt>
                <c:pt idx="1251">
                  <c:v>68.933601609657941</c:v>
                </c:pt>
                <c:pt idx="1252">
                  <c:v>68.812877263581498</c:v>
                </c:pt>
                <c:pt idx="1253">
                  <c:v>68.028169014084511</c:v>
                </c:pt>
                <c:pt idx="1254">
                  <c:v>69.315895372233399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19F-4DF1-B627-6FAF5784323E}"/>
            </c:ext>
          </c:extLst>
        </c:ser>
        <c:ser>
          <c:idx val="3"/>
          <c:order val="3"/>
          <c:tx>
            <c:strRef>
              <c:f>'Stock Chart'!$E$1</c:f>
              <c:strCache>
                <c:ptCount val="1"/>
                <c:pt idx="0">
                  <c:v>STRA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'Stock Chart'!$A$2:$A$1256</c:f>
              <c:numCache>
                <c:formatCode>[$-409]mmm\-dd\-yyyy;@</c:formatCode>
                <c:ptCount val="1255"/>
                <c:pt idx="0">
                  <c:v>43286</c:v>
                </c:pt>
                <c:pt idx="1">
                  <c:v>43287</c:v>
                </c:pt>
                <c:pt idx="2">
                  <c:v>43290</c:v>
                </c:pt>
                <c:pt idx="3">
                  <c:v>43291</c:v>
                </c:pt>
                <c:pt idx="4">
                  <c:v>43292</c:v>
                </c:pt>
                <c:pt idx="5">
                  <c:v>43293</c:v>
                </c:pt>
                <c:pt idx="6">
                  <c:v>43294</c:v>
                </c:pt>
                <c:pt idx="7">
                  <c:v>43297</c:v>
                </c:pt>
                <c:pt idx="8">
                  <c:v>43298</c:v>
                </c:pt>
                <c:pt idx="9">
                  <c:v>43299</c:v>
                </c:pt>
                <c:pt idx="10">
                  <c:v>43300</c:v>
                </c:pt>
                <c:pt idx="11">
                  <c:v>43301</c:v>
                </c:pt>
                <c:pt idx="12">
                  <c:v>43304</c:v>
                </c:pt>
                <c:pt idx="13">
                  <c:v>43305</c:v>
                </c:pt>
                <c:pt idx="14">
                  <c:v>43306</c:v>
                </c:pt>
                <c:pt idx="15">
                  <c:v>43307</c:v>
                </c:pt>
                <c:pt idx="16">
                  <c:v>43308</c:v>
                </c:pt>
                <c:pt idx="17">
                  <c:v>43311</c:v>
                </c:pt>
                <c:pt idx="18">
                  <c:v>43312</c:v>
                </c:pt>
                <c:pt idx="19">
                  <c:v>43313</c:v>
                </c:pt>
                <c:pt idx="20">
                  <c:v>43314</c:v>
                </c:pt>
                <c:pt idx="21">
                  <c:v>43315</c:v>
                </c:pt>
                <c:pt idx="22">
                  <c:v>43318</c:v>
                </c:pt>
                <c:pt idx="23">
                  <c:v>43319</c:v>
                </c:pt>
                <c:pt idx="24">
                  <c:v>43320</c:v>
                </c:pt>
                <c:pt idx="25">
                  <c:v>43321</c:v>
                </c:pt>
                <c:pt idx="26">
                  <c:v>43322</c:v>
                </c:pt>
                <c:pt idx="27">
                  <c:v>43325</c:v>
                </c:pt>
                <c:pt idx="28">
                  <c:v>43326</c:v>
                </c:pt>
                <c:pt idx="29">
                  <c:v>43327</c:v>
                </c:pt>
                <c:pt idx="30">
                  <c:v>43328</c:v>
                </c:pt>
                <c:pt idx="31">
                  <c:v>43329</c:v>
                </c:pt>
                <c:pt idx="32">
                  <c:v>43332</c:v>
                </c:pt>
                <c:pt idx="33">
                  <c:v>43333</c:v>
                </c:pt>
                <c:pt idx="34">
                  <c:v>43334</c:v>
                </c:pt>
                <c:pt idx="35">
                  <c:v>43335</c:v>
                </c:pt>
                <c:pt idx="36">
                  <c:v>43336</c:v>
                </c:pt>
                <c:pt idx="37">
                  <c:v>43339</c:v>
                </c:pt>
                <c:pt idx="38">
                  <c:v>43340</c:v>
                </c:pt>
                <c:pt idx="39">
                  <c:v>43341</c:v>
                </c:pt>
                <c:pt idx="40">
                  <c:v>43342</c:v>
                </c:pt>
                <c:pt idx="41">
                  <c:v>43343</c:v>
                </c:pt>
                <c:pt idx="42">
                  <c:v>43347</c:v>
                </c:pt>
                <c:pt idx="43">
                  <c:v>43348</c:v>
                </c:pt>
                <c:pt idx="44">
                  <c:v>43349</c:v>
                </c:pt>
                <c:pt idx="45">
                  <c:v>43350</c:v>
                </c:pt>
                <c:pt idx="46">
                  <c:v>43353</c:v>
                </c:pt>
                <c:pt idx="47">
                  <c:v>43354</c:v>
                </c:pt>
                <c:pt idx="48">
                  <c:v>43355</c:v>
                </c:pt>
                <c:pt idx="49">
                  <c:v>43356</c:v>
                </c:pt>
                <c:pt idx="50">
                  <c:v>43357</c:v>
                </c:pt>
                <c:pt idx="51">
                  <c:v>43360</c:v>
                </c:pt>
                <c:pt idx="52">
                  <c:v>43361</c:v>
                </c:pt>
                <c:pt idx="53">
                  <c:v>43362</c:v>
                </c:pt>
                <c:pt idx="54">
                  <c:v>43363</c:v>
                </c:pt>
                <c:pt idx="55">
                  <c:v>43364</c:v>
                </c:pt>
                <c:pt idx="56">
                  <c:v>43367</c:v>
                </c:pt>
                <c:pt idx="57">
                  <c:v>43368</c:v>
                </c:pt>
                <c:pt idx="58">
                  <c:v>43369</c:v>
                </c:pt>
                <c:pt idx="59">
                  <c:v>43370</c:v>
                </c:pt>
                <c:pt idx="60">
                  <c:v>43371</c:v>
                </c:pt>
                <c:pt idx="61">
                  <c:v>43374</c:v>
                </c:pt>
                <c:pt idx="62">
                  <c:v>43375</c:v>
                </c:pt>
                <c:pt idx="63">
                  <c:v>43376</c:v>
                </c:pt>
                <c:pt idx="64">
                  <c:v>43377</c:v>
                </c:pt>
                <c:pt idx="65">
                  <c:v>43378</c:v>
                </c:pt>
                <c:pt idx="66">
                  <c:v>43381</c:v>
                </c:pt>
                <c:pt idx="67">
                  <c:v>43382</c:v>
                </c:pt>
                <c:pt idx="68">
                  <c:v>43383</c:v>
                </c:pt>
                <c:pt idx="69">
                  <c:v>43384</c:v>
                </c:pt>
                <c:pt idx="70">
                  <c:v>43385</c:v>
                </c:pt>
                <c:pt idx="71">
                  <c:v>43388</c:v>
                </c:pt>
                <c:pt idx="72">
                  <c:v>43389</c:v>
                </c:pt>
                <c:pt idx="73">
                  <c:v>43390</c:v>
                </c:pt>
                <c:pt idx="74">
                  <c:v>43391</c:v>
                </c:pt>
                <c:pt idx="75">
                  <c:v>43392</c:v>
                </c:pt>
                <c:pt idx="76">
                  <c:v>43395</c:v>
                </c:pt>
                <c:pt idx="77">
                  <c:v>43396</c:v>
                </c:pt>
                <c:pt idx="78">
                  <c:v>43397</c:v>
                </c:pt>
                <c:pt idx="79">
                  <c:v>43398</c:v>
                </c:pt>
                <c:pt idx="80">
                  <c:v>43399</c:v>
                </c:pt>
                <c:pt idx="81">
                  <c:v>43402</c:v>
                </c:pt>
                <c:pt idx="82">
                  <c:v>43403</c:v>
                </c:pt>
                <c:pt idx="83">
                  <c:v>43404</c:v>
                </c:pt>
                <c:pt idx="84">
                  <c:v>43405</c:v>
                </c:pt>
                <c:pt idx="85">
                  <c:v>43406</c:v>
                </c:pt>
                <c:pt idx="86">
                  <c:v>43409</c:v>
                </c:pt>
                <c:pt idx="87">
                  <c:v>43410</c:v>
                </c:pt>
                <c:pt idx="88">
                  <c:v>43411</c:v>
                </c:pt>
                <c:pt idx="89">
                  <c:v>43412</c:v>
                </c:pt>
                <c:pt idx="90">
                  <c:v>43413</c:v>
                </c:pt>
                <c:pt idx="91">
                  <c:v>43416</c:v>
                </c:pt>
                <c:pt idx="92">
                  <c:v>43417</c:v>
                </c:pt>
                <c:pt idx="93">
                  <c:v>43418</c:v>
                </c:pt>
                <c:pt idx="94">
                  <c:v>43419</c:v>
                </c:pt>
                <c:pt idx="95">
                  <c:v>43420</c:v>
                </c:pt>
                <c:pt idx="96">
                  <c:v>43423</c:v>
                </c:pt>
                <c:pt idx="97">
                  <c:v>43424</c:v>
                </c:pt>
                <c:pt idx="98">
                  <c:v>43425</c:v>
                </c:pt>
                <c:pt idx="99">
                  <c:v>43427</c:v>
                </c:pt>
                <c:pt idx="100">
                  <c:v>43430</c:v>
                </c:pt>
                <c:pt idx="101">
                  <c:v>43431</c:v>
                </c:pt>
                <c:pt idx="102">
                  <c:v>43432</c:v>
                </c:pt>
                <c:pt idx="103">
                  <c:v>43433</c:v>
                </c:pt>
                <c:pt idx="104">
                  <c:v>43434</c:v>
                </c:pt>
                <c:pt idx="105">
                  <c:v>43437</c:v>
                </c:pt>
                <c:pt idx="106">
                  <c:v>43438</c:v>
                </c:pt>
                <c:pt idx="107">
                  <c:v>43440</c:v>
                </c:pt>
                <c:pt idx="108">
                  <c:v>43441</c:v>
                </c:pt>
                <c:pt idx="109">
                  <c:v>43444</c:v>
                </c:pt>
                <c:pt idx="110">
                  <c:v>43445</c:v>
                </c:pt>
                <c:pt idx="111">
                  <c:v>43446</c:v>
                </c:pt>
                <c:pt idx="112">
                  <c:v>43447</c:v>
                </c:pt>
                <c:pt idx="113">
                  <c:v>43448</c:v>
                </c:pt>
                <c:pt idx="114">
                  <c:v>43451</c:v>
                </c:pt>
                <c:pt idx="115">
                  <c:v>43452</c:v>
                </c:pt>
                <c:pt idx="116">
                  <c:v>43453</c:v>
                </c:pt>
                <c:pt idx="117">
                  <c:v>43454</c:v>
                </c:pt>
                <c:pt idx="118">
                  <c:v>43455</c:v>
                </c:pt>
                <c:pt idx="119">
                  <c:v>43458</c:v>
                </c:pt>
                <c:pt idx="120">
                  <c:v>43460</c:v>
                </c:pt>
                <c:pt idx="121">
                  <c:v>43461</c:v>
                </c:pt>
                <c:pt idx="122">
                  <c:v>43462</c:v>
                </c:pt>
                <c:pt idx="123">
                  <c:v>43465</c:v>
                </c:pt>
                <c:pt idx="124">
                  <c:v>43467</c:v>
                </c:pt>
                <c:pt idx="125">
                  <c:v>43468</c:v>
                </c:pt>
                <c:pt idx="126">
                  <c:v>43469</c:v>
                </c:pt>
                <c:pt idx="127">
                  <c:v>43472</c:v>
                </c:pt>
                <c:pt idx="128">
                  <c:v>43473</c:v>
                </c:pt>
                <c:pt idx="129">
                  <c:v>43474</c:v>
                </c:pt>
                <c:pt idx="130">
                  <c:v>43475</c:v>
                </c:pt>
                <c:pt idx="131">
                  <c:v>43476</c:v>
                </c:pt>
                <c:pt idx="132">
                  <c:v>43479</c:v>
                </c:pt>
                <c:pt idx="133">
                  <c:v>43480</c:v>
                </c:pt>
                <c:pt idx="134">
                  <c:v>43481</c:v>
                </c:pt>
                <c:pt idx="135">
                  <c:v>43482</c:v>
                </c:pt>
                <c:pt idx="136">
                  <c:v>43483</c:v>
                </c:pt>
                <c:pt idx="137">
                  <c:v>43487</c:v>
                </c:pt>
                <c:pt idx="138">
                  <c:v>43488</c:v>
                </c:pt>
                <c:pt idx="139">
                  <c:v>43489</c:v>
                </c:pt>
                <c:pt idx="140">
                  <c:v>43490</c:v>
                </c:pt>
                <c:pt idx="141">
                  <c:v>43493</c:v>
                </c:pt>
                <c:pt idx="142">
                  <c:v>43494</c:v>
                </c:pt>
                <c:pt idx="143">
                  <c:v>43495</c:v>
                </c:pt>
                <c:pt idx="144">
                  <c:v>43496</c:v>
                </c:pt>
                <c:pt idx="145">
                  <c:v>43497</c:v>
                </c:pt>
                <c:pt idx="146">
                  <c:v>43500</c:v>
                </c:pt>
                <c:pt idx="147">
                  <c:v>43501</c:v>
                </c:pt>
                <c:pt idx="148">
                  <c:v>43502</c:v>
                </c:pt>
                <c:pt idx="149">
                  <c:v>43503</c:v>
                </c:pt>
                <c:pt idx="150">
                  <c:v>43504</c:v>
                </c:pt>
                <c:pt idx="151">
                  <c:v>43507</c:v>
                </c:pt>
                <c:pt idx="152">
                  <c:v>43508</c:v>
                </c:pt>
                <c:pt idx="153">
                  <c:v>43509</c:v>
                </c:pt>
                <c:pt idx="154">
                  <c:v>43510</c:v>
                </c:pt>
                <c:pt idx="155">
                  <c:v>43511</c:v>
                </c:pt>
                <c:pt idx="156">
                  <c:v>43515</c:v>
                </c:pt>
                <c:pt idx="157">
                  <c:v>43516</c:v>
                </c:pt>
                <c:pt idx="158">
                  <c:v>43517</c:v>
                </c:pt>
                <c:pt idx="159">
                  <c:v>43518</c:v>
                </c:pt>
                <c:pt idx="160">
                  <c:v>43521</c:v>
                </c:pt>
                <c:pt idx="161">
                  <c:v>43522</c:v>
                </c:pt>
                <c:pt idx="162">
                  <c:v>43523</c:v>
                </c:pt>
                <c:pt idx="163">
                  <c:v>43524</c:v>
                </c:pt>
                <c:pt idx="164">
                  <c:v>43525</c:v>
                </c:pt>
                <c:pt idx="165">
                  <c:v>43528</c:v>
                </c:pt>
                <c:pt idx="166">
                  <c:v>43529</c:v>
                </c:pt>
                <c:pt idx="167">
                  <c:v>43530</c:v>
                </c:pt>
                <c:pt idx="168">
                  <c:v>43531</c:v>
                </c:pt>
                <c:pt idx="169">
                  <c:v>43532</c:v>
                </c:pt>
                <c:pt idx="170">
                  <c:v>43535</c:v>
                </c:pt>
                <c:pt idx="171">
                  <c:v>43536</c:v>
                </c:pt>
                <c:pt idx="172">
                  <c:v>43537</c:v>
                </c:pt>
                <c:pt idx="173">
                  <c:v>43538</c:v>
                </c:pt>
                <c:pt idx="174">
                  <c:v>43539</c:v>
                </c:pt>
                <c:pt idx="175">
                  <c:v>43542</c:v>
                </c:pt>
                <c:pt idx="176">
                  <c:v>43543</c:v>
                </c:pt>
                <c:pt idx="177">
                  <c:v>43544</c:v>
                </c:pt>
                <c:pt idx="178">
                  <c:v>43545</c:v>
                </c:pt>
                <c:pt idx="179">
                  <c:v>43546</c:v>
                </c:pt>
                <c:pt idx="180">
                  <c:v>43549</c:v>
                </c:pt>
                <c:pt idx="181">
                  <c:v>43550</c:v>
                </c:pt>
                <c:pt idx="182">
                  <c:v>43551</c:v>
                </c:pt>
                <c:pt idx="183">
                  <c:v>43552</c:v>
                </c:pt>
                <c:pt idx="184">
                  <c:v>43553</c:v>
                </c:pt>
                <c:pt idx="185">
                  <c:v>43556</c:v>
                </c:pt>
                <c:pt idx="186">
                  <c:v>43557</c:v>
                </c:pt>
                <c:pt idx="187">
                  <c:v>43558</c:v>
                </c:pt>
                <c:pt idx="188">
                  <c:v>43559</c:v>
                </c:pt>
                <c:pt idx="189">
                  <c:v>43560</c:v>
                </c:pt>
                <c:pt idx="190">
                  <c:v>43563</c:v>
                </c:pt>
                <c:pt idx="191">
                  <c:v>43564</c:v>
                </c:pt>
                <c:pt idx="192">
                  <c:v>43565</c:v>
                </c:pt>
                <c:pt idx="193">
                  <c:v>43566</c:v>
                </c:pt>
                <c:pt idx="194">
                  <c:v>43567</c:v>
                </c:pt>
                <c:pt idx="195">
                  <c:v>43570</c:v>
                </c:pt>
                <c:pt idx="196">
                  <c:v>43571</c:v>
                </c:pt>
                <c:pt idx="197">
                  <c:v>43572</c:v>
                </c:pt>
                <c:pt idx="198">
                  <c:v>43573</c:v>
                </c:pt>
                <c:pt idx="199">
                  <c:v>43577</c:v>
                </c:pt>
                <c:pt idx="200">
                  <c:v>43578</c:v>
                </c:pt>
                <c:pt idx="201">
                  <c:v>43579</c:v>
                </c:pt>
                <c:pt idx="202">
                  <c:v>43580</c:v>
                </c:pt>
                <c:pt idx="203">
                  <c:v>43581</c:v>
                </c:pt>
                <c:pt idx="204">
                  <c:v>43584</c:v>
                </c:pt>
                <c:pt idx="205">
                  <c:v>43585</c:v>
                </c:pt>
                <c:pt idx="206">
                  <c:v>43586</c:v>
                </c:pt>
                <c:pt idx="207">
                  <c:v>43587</c:v>
                </c:pt>
                <c:pt idx="208">
                  <c:v>43588</c:v>
                </c:pt>
                <c:pt idx="209">
                  <c:v>43591</c:v>
                </c:pt>
                <c:pt idx="210">
                  <c:v>43592</c:v>
                </c:pt>
                <c:pt idx="211">
                  <c:v>43593</c:v>
                </c:pt>
                <c:pt idx="212">
                  <c:v>43594</c:v>
                </c:pt>
                <c:pt idx="213">
                  <c:v>43595</c:v>
                </c:pt>
                <c:pt idx="214">
                  <c:v>43598</c:v>
                </c:pt>
                <c:pt idx="215">
                  <c:v>43599</c:v>
                </c:pt>
                <c:pt idx="216">
                  <c:v>43600</c:v>
                </c:pt>
                <c:pt idx="217">
                  <c:v>43601</c:v>
                </c:pt>
                <c:pt idx="218">
                  <c:v>43602</c:v>
                </c:pt>
                <c:pt idx="219">
                  <c:v>43605</c:v>
                </c:pt>
                <c:pt idx="220">
                  <c:v>43606</c:v>
                </c:pt>
                <c:pt idx="221">
                  <c:v>43607</c:v>
                </c:pt>
                <c:pt idx="222">
                  <c:v>43608</c:v>
                </c:pt>
                <c:pt idx="223">
                  <c:v>43609</c:v>
                </c:pt>
                <c:pt idx="224">
                  <c:v>43613</c:v>
                </c:pt>
                <c:pt idx="225">
                  <c:v>43614</c:v>
                </c:pt>
                <c:pt idx="226">
                  <c:v>43615</c:v>
                </c:pt>
                <c:pt idx="227">
                  <c:v>43616</c:v>
                </c:pt>
                <c:pt idx="228">
                  <c:v>43619</c:v>
                </c:pt>
                <c:pt idx="229">
                  <c:v>43620</c:v>
                </c:pt>
                <c:pt idx="230">
                  <c:v>43621</c:v>
                </c:pt>
                <c:pt idx="231">
                  <c:v>43622</c:v>
                </c:pt>
                <c:pt idx="232">
                  <c:v>43623</c:v>
                </c:pt>
                <c:pt idx="233">
                  <c:v>43626</c:v>
                </c:pt>
                <c:pt idx="234">
                  <c:v>43627</c:v>
                </c:pt>
                <c:pt idx="235">
                  <c:v>43628</c:v>
                </c:pt>
                <c:pt idx="236">
                  <c:v>43629</c:v>
                </c:pt>
                <c:pt idx="237">
                  <c:v>43630</c:v>
                </c:pt>
                <c:pt idx="238">
                  <c:v>43633</c:v>
                </c:pt>
                <c:pt idx="239">
                  <c:v>43634</c:v>
                </c:pt>
                <c:pt idx="240">
                  <c:v>43635</c:v>
                </c:pt>
                <c:pt idx="241">
                  <c:v>43636</c:v>
                </c:pt>
                <c:pt idx="242">
                  <c:v>43637</c:v>
                </c:pt>
                <c:pt idx="243">
                  <c:v>43640</c:v>
                </c:pt>
                <c:pt idx="244">
                  <c:v>43641</c:v>
                </c:pt>
                <c:pt idx="245">
                  <c:v>43642</c:v>
                </c:pt>
                <c:pt idx="246">
                  <c:v>43643</c:v>
                </c:pt>
                <c:pt idx="247">
                  <c:v>43644</c:v>
                </c:pt>
                <c:pt idx="248">
                  <c:v>43647</c:v>
                </c:pt>
                <c:pt idx="249">
                  <c:v>43648</c:v>
                </c:pt>
                <c:pt idx="250">
                  <c:v>43649</c:v>
                </c:pt>
                <c:pt idx="251">
                  <c:v>43651</c:v>
                </c:pt>
                <c:pt idx="252">
                  <c:v>43654</c:v>
                </c:pt>
                <c:pt idx="253">
                  <c:v>43655</c:v>
                </c:pt>
                <c:pt idx="254">
                  <c:v>43656</c:v>
                </c:pt>
                <c:pt idx="255">
                  <c:v>43657</c:v>
                </c:pt>
                <c:pt idx="256">
                  <c:v>43658</c:v>
                </c:pt>
                <c:pt idx="257">
                  <c:v>43661</c:v>
                </c:pt>
                <c:pt idx="258">
                  <c:v>43662</c:v>
                </c:pt>
                <c:pt idx="259">
                  <c:v>43663</c:v>
                </c:pt>
                <c:pt idx="260">
                  <c:v>43664</c:v>
                </c:pt>
                <c:pt idx="261">
                  <c:v>43665</c:v>
                </c:pt>
                <c:pt idx="262">
                  <c:v>43668</c:v>
                </c:pt>
                <c:pt idx="263">
                  <c:v>43669</c:v>
                </c:pt>
                <c:pt idx="264">
                  <c:v>43670</c:v>
                </c:pt>
                <c:pt idx="265">
                  <c:v>43671</c:v>
                </c:pt>
                <c:pt idx="266">
                  <c:v>43672</c:v>
                </c:pt>
                <c:pt idx="267">
                  <c:v>43675</c:v>
                </c:pt>
                <c:pt idx="268">
                  <c:v>43676</c:v>
                </c:pt>
                <c:pt idx="269">
                  <c:v>43677</c:v>
                </c:pt>
                <c:pt idx="270">
                  <c:v>43678</c:v>
                </c:pt>
                <c:pt idx="271">
                  <c:v>43679</c:v>
                </c:pt>
                <c:pt idx="272">
                  <c:v>43682</c:v>
                </c:pt>
                <c:pt idx="273">
                  <c:v>43683</c:v>
                </c:pt>
                <c:pt idx="274">
                  <c:v>43684</c:v>
                </c:pt>
                <c:pt idx="275">
                  <c:v>43685</c:v>
                </c:pt>
                <c:pt idx="276">
                  <c:v>43686</c:v>
                </c:pt>
                <c:pt idx="277">
                  <c:v>43689</c:v>
                </c:pt>
                <c:pt idx="278">
                  <c:v>43690</c:v>
                </c:pt>
                <c:pt idx="279">
                  <c:v>43691</c:v>
                </c:pt>
                <c:pt idx="280">
                  <c:v>43692</c:v>
                </c:pt>
                <c:pt idx="281">
                  <c:v>43693</c:v>
                </c:pt>
                <c:pt idx="282">
                  <c:v>43696</c:v>
                </c:pt>
                <c:pt idx="283">
                  <c:v>43697</c:v>
                </c:pt>
                <c:pt idx="284">
                  <c:v>43698</c:v>
                </c:pt>
                <c:pt idx="285">
                  <c:v>43699</c:v>
                </c:pt>
                <c:pt idx="286">
                  <c:v>43700</c:v>
                </c:pt>
                <c:pt idx="287">
                  <c:v>43703</c:v>
                </c:pt>
                <c:pt idx="288">
                  <c:v>43704</c:v>
                </c:pt>
                <c:pt idx="289">
                  <c:v>43705</c:v>
                </c:pt>
                <c:pt idx="290">
                  <c:v>43706</c:v>
                </c:pt>
                <c:pt idx="291">
                  <c:v>43707</c:v>
                </c:pt>
                <c:pt idx="292">
                  <c:v>43711</c:v>
                </c:pt>
                <c:pt idx="293">
                  <c:v>43712</c:v>
                </c:pt>
                <c:pt idx="294">
                  <c:v>43713</c:v>
                </c:pt>
                <c:pt idx="295">
                  <c:v>43714</c:v>
                </c:pt>
                <c:pt idx="296">
                  <c:v>43717</c:v>
                </c:pt>
                <c:pt idx="297">
                  <c:v>43718</c:v>
                </c:pt>
                <c:pt idx="298">
                  <c:v>43719</c:v>
                </c:pt>
                <c:pt idx="299">
                  <c:v>43720</c:v>
                </c:pt>
                <c:pt idx="300">
                  <c:v>43721</c:v>
                </c:pt>
                <c:pt idx="301">
                  <c:v>43724</c:v>
                </c:pt>
                <c:pt idx="302">
                  <c:v>43725</c:v>
                </c:pt>
                <c:pt idx="303">
                  <c:v>43726</c:v>
                </c:pt>
                <c:pt idx="304">
                  <c:v>43727</c:v>
                </c:pt>
                <c:pt idx="305">
                  <c:v>43728</c:v>
                </c:pt>
                <c:pt idx="306">
                  <c:v>43731</c:v>
                </c:pt>
                <c:pt idx="307">
                  <c:v>43732</c:v>
                </c:pt>
                <c:pt idx="308">
                  <c:v>43733</c:v>
                </c:pt>
                <c:pt idx="309">
                  <c:v>43734</c:v>
                </c:pt>
                <c:pt idx="310">
                  <c:v>43735</c:v>
                </c:pt>
                <c:pt idx="311">
                  <c:v>43738</c:v>
                </c:pt>
                <c:pt idx="312">
                  <c:v>43739</c:v>
                </c:pt>
                <c:pt idx="313">
                  <c:v>43740</c:v>
                </c:pt>
                <c:pt idx="314">
                  <c:v>43741</c:v>
                </c:pt>
                <c:pt idx="315">
                  <c:v>43742</c:v>
                </c:pt>
                <c:pt idx="316">
                  <c:v>43745</c:v>
                </c:pt>
                <c:pt idx="317">
                  <c:v>43746</c:v>
                </c:pt>
                <c:pt idx="318">
                  <c:v>43747</c:v>
                </c:pt>
                <c:pt idx="319">
                  <c:v>43748</c:v>
                </c:pt>
                <c:pt idx="320">
                  <c:v>43749</c:v>
                </c:pt>
                <c:pt idx="321">
                  <c:v>43752</c:v>
                </c:pt>
                <c:pt idx="322">
                  <c:v>43753</c:v>
                </c:pt>
                <c:pt idx="323">
                  <c:v>43754</c:v>
                </c:pt>
                <c:pt idx="324">
                  <c:v>43755</c:v>
                </c:pt>
                <c:pt idx="325">
                  <c:v>43756</c:v>
                </c:pt>
                <c:pt idx="326">
                  <c:v>43759</c:v>
                </c:pt>
                <c:pt idx="327">
                  <c:v>43760</c:v>
                </c:pt>
                <c:pt idx="328">
                  <c:v>43761</c:v>
                </c:pt>
                <c:pt idx="329">
                  <c:v>43762</c:v>
                </c:pt>
                <c:pt idx="330">
                  <c:v>43763</c:v>
                </c:pt>
                <c:pt idx="331">
                  <c:v>43766</c:v>
                </c:pt>
                <c:pt idx="332">
                  <c:v>43767</c:v>
                </c:pt>
                <c:pt idx="333">
                  <c:v>43768</c:v>
                </c:pt>
                <c:pt idx="334">
                  <c:v>43769</c:v>
                </c:pt>
                <c:pt idx="335">
                  <c:v>43770</c:v>
                </c:pt>
                <c:pt idx="336">
                  <c:v>43773</c:v>
                </c:pt>
                <c:pt idx="337">
                  <c:v>43774</c:v>
                </c:pt>
                <c:pt idx="338">
                  <c:v>43775</c:v>
                </c:pt>
                <c:pt idx="339">
                  <c:v>43776</c:v>
                </c:pt>
                <c:pt idx="340">
                  <c:v>43777</c:v>
                </c:pt>
                <c:pt idx="341">
                  <c:v>43780</c:v>
                </c:pt>
                <c:pt idx="342">
                  <c:v>43781</c:v>
                </c:pt>
                <c:pt idx="343">
                  <c:v>43782</c:v>
                </c:pt>
                <c:pt idx="344">
                  <c:v>43783</c:v>
                </c:pt>
                <c:pt idx="345">
                  <c:v>43784</c:v>
                </c:pt>
                <c:pt idx="346">
                  <c:v>43787</c:v>
                </c:pt>
                <c:pt idx="347">
                  <c:v>43788</c:v>
                </c:pt>
                <c:pt idx="348">
                  <c:v>43789</c:v>
                </c:pt>
                <c:pt idx="349">
                  <c:v>43790</c:v>
                </c:pt>
                <c:pt idx="350">
                  <c:v>43791</c:v>
                </c:pt>
                <c:pt idx="351">
                  <c:v>43794</c:v>
                </c:pt>
                <c:pt idx="352">
                  <c:v>43795</c:v>
                </c:pt>
                <c:pt idx="353">
                  <c:v>43796</c:v>
                </c:pt>
                <c:pt idx="354">
                  <c:v>43798</c:v>
                </c:pt>
                <c:pt idx="355">
                  <c:v>43801</c:v>
                </c:pt>
                <c:pt idx="356">
                  <c:v>43802</c:v>
                </c:pt>
                <c:pt idx="357">
                  <c:v>43803</c:v>
                </c:pt>
                <c:pt idx="358">
                  <c:v>43804</c:v>
                </c:pt>
                <c:pt idx="359">
                  <c:v>43805</c:v>
                </c:pt>
                <c:pt idx="360">
                  <c:v>43808</c:v>
                </c:pt>
                <c:pt idx="361">
                  <c:v>43809</c:v>
                </c:pt>
                <c:pt idx="362">
                  <c:v>43810</c:v>
                </c:pt>
                <c:pt idx="363">
                  <c:v>43811</c:v>
                </c:pt>
                <c:pt idx="364">
                  <c:v>43812</c:v>
                </c:pt>
                <c:pt idx="365">
                  <c:v>43815</c:v>
                </c:pt>
                <c:pt idx="366">
                  <c:v>43816</c:v>
                </c:pt>
                <c:pt idx="367">
                  <c:v>43817</c:v>
                </c:pt>
                <c:pt idx="368">
                  <c:v>43818</c:v>
                </c:pt>
                <c:pt idx="369">
                  <c:v>43819</c:v>
                </c:pt>
                <c:pt idx="370">
                  <c:v>43822</c:v>
                </c:pt>
                <c:pt idx="371">
                  <c:v>43823</c:v>
                </c:pt>
                <c:pt idx="372">
                  <c:v>43825</c:v>
                </c:pt>
                <c:pt idx="373">
                  <c:v>43826</c:v>
                </c:pt>
                <c:pt idx="374">
                  <c:v>43829</c:v>
                </c:pt>
                <c:pt idx="375">
                  <c:v>43830</c:v>
                </c:pt>
                <c:pt idx="376">
                  <c:v>43832</c:v>
                </c:pt>
                <c:pt idx="377">
                  <c:v>43833</c:v>
                </c:pt>
                <c:pt idx="378">
                  <c:v>43836</c:v>
                </c:pt>
                <c:pt idx="379">
                  <c:v>43837</c:v>
                </c:pt>
                <c:pt idx="380">
                  <c:v>43838</c:v>
                </c:pt>
                <c:pt idx="381">
                  <c:v>43839</c:v>
                </c:pt>
                <c:pt idx="382">
                  <c:v>43840</c:v>
                </c:pt>
                <c:pt idx="383">
                  <c:v>43843</c:v>
                </c:pt>
                <c:pt idx="384">
                  <c:v>43844</c:v>
                </c:pt>
                <c:pt idx="385">
                  <c:v>43845</c:v>
                </c:pt>
                <c:pt idx="386">
                  <c:v>43846</c:v>
                </c:pt>
                <c:pt idx="387">
                  <c:v>43847</c:v>
                </c:pt>
                <c:pt idx="388">
                  <c:v>43851</c:v>
                </c:pt>
                <c:pt idx="389">
                  <c:v>43852</c:v>
                </c:pt>
                <c:pt idx="390">
                  <c:v>43853</c:v>
                </c:pt>
                <c:pt idx="391">
                  <c:v>43854</c:v>
                </c:pt>
                <c:pt idx="392">
                  <c:v>43857</c:v>
                </c:pt>
                <c:pt idx="393">
                  <c:v>43858</c:v>
                </c:pt>
                <c:pt idx="394">
                  <c:v>43859</c:v>
                </c:pt>
                <c:pt idx="395">
                  <c:v>43860</c:v>
                </c:pt>
                <c:pt idx="396">
                  <c:v>43861</c:v>
                </c:pt>
                <c:pt idx="397">
                  <c:v>43864</c:v>
                </c:pt>
                <c:pt idx="398">
                  <c:v>43865</c:v>
                </c:pt>
                <c:pt idx="399">
                  <c:v>43866</c:v>
                </c:pt>
                <c:pt idx="400">
                  <c:v>43867</c:v>
                </c:pt>
                <c:pt idx="401">
                  <c:v>43868</c:v>
                </c:pt>
                <c:pt idx="402">
                  <c:v>43871</c:v>
                </c:pt>
                <c:pt idx="403">
                  <c:v>43872</c:v>
                </c:pt>
                <c:pt idx="404">
                  <c:v>43873</c:v>
                </c:pt>
                <c:pt idx="405">
                  <c:v>43874</c:v>
                </c:pt>
                <c:pt idx="406">
                  <c:v>43875</c:v>
                </c:pt>
                <c:pt idx="407">
                  <c:v>43879</c:v>
                </c:pt>
                <c:pt idx="408">
                  <c:v>43880</c:v>
                </c:pt>
                <c:pt idx="409">
                  <c:v>43881</c:v>
                </c:pt>
                <c:pt idx="410">
                  <c:v>43882</c:v>
                </c:pt>
                <c:pt idx="411">
                  <c:v>43885</c:v>
                </c:pt>
                <c:pt idx="412">
                  <c:v>43886</c:v>
                </c:pt>
                <c:pt idx="413">
                  <c:v>43887</c:v>
                </c:pt>
                <c:pt idx="414">
                  <c:v>43888</c:v>
                </c:pt>
                <c:pt idx="415">
                  <c:v>43889</c:v>
                </c:pt>
                <c:pt idx="416">
                  <c:v>43892</c:v>
                </c:pt>
                <c:pt idx="417">
                  <c:v>43893</c:v>
                </c:pt>
                <c:pt idx="418">
                  <c:v>43894</c:v>
                </c:pt>
                <c:pt idx="419">
                  <c:v>43895</c:v>
                </c:pt>
                <c:pt idx="420">
                  <c:v>43896</c:v>
                </c:pt>
                <c:pt idx="421">
                  <c:v>43899</c:v>
                </c:pt>
                <c:pt idx="422">
                  <c:v>43900</c:v>
                </c:pt>
                <c:pt idx="423">
                  <c:v>43901</c:v>
                </c:pt>
                <c:pt idx="424">
                  <c:v>43902</c:v>
                </c:pt>
                <c:pt idx="425">
                  <c:v>43903</c:v>
                </c:pt>
                <c:pt idx="426">
                  <c:v>43906</c:v>
                </c:pt>
                <c:pt idx="427">
                  <c:v>43907</c:v>
                </c:pt>
                <c:pt idx="428">
                  <c:v>43908</c:v>
                </c:pt>
                <c:pt idx="429">
                  <c:v>43909</c:v>
                </c:pt>
                <c:pt idx="430">
                  <c:v>43910</c:v>
                </c:pt>
                <c:pt idx="431">
                  <c:v>43913</c:v>
                </c:pt>
                <c:pt idx="432">
                  <c:v>43914</c:v>
                </c:pt>
                <c:pt idx="433">
                  <c:v>43915</c:v>
                </c:pt>
                <c:pt idx="434">
                  <c:v>43916</c:v>
                </c:pt>
                <c:pt idx="435">
                  <c:v>43917</c:v>
                </c:pt>
                <c:pt idx="436">
                  <c:v>43920</c:v>
                </c:pt>
                <c:pt idx="437">
                  <c:v>43921</c:v>
                </c:pt>
                <c:pt idx="438">
                  <c:v>43922</c:v>
                </c:pt>
                <c:pt idx="439">
                  <c:v>43923</c:v>
                </c:pt>
                <c:pt idx="440">
                  <c:v>43924</c:v>
                </c:pt>
                <c:pt idx="441">
                  <c:v>43927</c:v>
                </c:pt>
                <c:pt idx="442">
                  <c:v>43928</c:v>
                </c:pt>
                <c:pt idx="443">
                  <c:v>43929</c:v>
                </c:pt>
                <c:pt idx="444">
                  <c:v>43930</c:v>
                </c:pt>
                <c:pt idx="445">
                  <c:v>43934</c:v>
                </c:pt>
                <c:pt idx="446">
                  <c:v>43935</c:v>
                </c:pt>
                <c:pt idx="447">
                  <c:v>43936</c:v>
                </c:pt>
                <c:pt idx="448">
                  <c:v>43937</c:v>
                </c:pt>
                <c:pt idx="449">
                  <c:v>43938</c:v>
                </c:pt>
                <c:pt idx="450">
                  <c:v>43941</c:v>
                </c:pt>
                <c:pt idx="451">
                  <c:v>43942</c:v>
                </c:pt>
                <c:pt idx="452">
                  <c:v>43943</c:v>
                </c:pt>
                <c:pt idx="453">
                  <c:v>43944</c:v>
                </c:pt>
                <c:pt idx="454">
                  <c:v>43945</c:v>
                </c:pt>
                <c:pt idx="455">
                  <c:v>43948</c:v>
                </c:pt>
                <c:pt idx="456">
                  <c:v>43949</c:v>
                </c:pt>
                <c:pt idx="457">
                  <c:v>43950</c:v>
                </c:pt>
                <c:pt idx="458">
                  <c:v>43951</c:v>
                </c:pt>
                <c:pt idx="459">
                  <c:v>43952</c:v>
                </c:pt>
                <c:pt idx="460">
                  <c:v>43955</c:v>
                </c:pt>
                <c:pt idx="461">
                  <c:v>43956</c:v>
                </c:pt>
                <c:pt idx="462">
                  <c:v>43957</c:v>
                </c:pt>
                <c:pt idx="463">
                  <c:v>43958</c:v>
                </c:pt>
                <c:pt idx="464">
                  <c:v>43959</c:v>
                </c:pt>
                <c:pt idx="465">
                  <c:v>43962</c:v>
                </c:pt>
                <c:pt idx="466">
                  <c:v>43963</c:v>
                </c:pt>
                <c:pt idx="467">
                  <c:v>43964</c:v>
                </c:pt>
                <c:pt idx="468">
                  <c:v>43965</c:v>
                </c:pt>
                <c:pt idx="469">
                  <c:v>43966</c:v>
                </c:pt>
                <c:pt idx="470">
                  <c:v>43969</c:v>
                </c:pt>
                <c:pt idx="471">
                  <c:v>43970</c:v>
                </c:pt>
                <c:pt idx="472">
                  <c:v>43971</c:v>
                </c:pt>
                <c:pt idx="473">
                  <c:v>43972</c:v>
                </c:pt>
                <c:pt idx="474">
                  <c:v>43973</c:v>
                </c:pt>
                <c:pt idx="475">
                  <c:v>43977</c:v>
                </c:pt>
                <c:pt idx="476">
                  <c:v>43978</c:v>
                </c:pt>
                <c:pt idx="477">
                  <c:v>43979</c:v>
                </c:pt>
                <c:pt idx="478">
                  <c:v>43980</c:v>
                </c:pt>
                <c:pt idx="479">
                  <c:v>43983</c:v>
                </c:pt>
                <c:pt idx="480">
                  <c:v>43984</c:v>
                </c:pt>
                <c:pt idx="481">
                  <c:v>43985</c:v>
                </c:pt>
                <c:pt idx="482">
                  <c:v>43986</c:v>
                </c:pt>
                <c:pt idx="483">
                  <c:v>43987</c:v>
                </c:pt>
                <c:pt idx="484">
                  <c:v>43990</c:v>
                </c:pt>
                <c:pt idx="485">
                  <c:v>43991</c:v>
                </c:pt>
                <c:pt idx="486">
                  <c:v>43992</c:v>
                </c:pt>
                <c:pt idx="487">
                  <c:v>43993</c:v>
                </c:pt>
                <c:pt idx="488">
                  <c:v>43994</c:v>
                </c:pt>
                <c:pt idx="489">
                  <c:v>43997</c:v>
                </c:pt>
                <c:pt idx="490">
                  <c:v>43998</c:v>
                </c:pt>
                <c:pt idx="491">
                  <c:v>43999</c:v>
                </c:pt>
                <c:pt idx="492">
                  <c:v>44000</c:v>
                </c:pt>
                <c:pt idx="493">
                  <c:v>44001</c:v>
                </c:pt>
                <c:pt idx="494">
                  <c:v>44004</c:v>
                </c:pt>
                <c:pt idx="495">
                  <c:v>44005</c:v>
                </c:pt>
                <c:pt idx="496">
                  <c:v>44006</c:v>
                </c:pt>
                <c:pt idx="497">
                  <c:v>44007</c:v>
                </c:pt>
                <c:pt idx="498">
                  <c:v>44008</c:v>
                </c:pt>
                <c:pt idx="499">
                  <c:v>44011</c:v>
                </c:pt>
                <c:pt idx="500">
                  <c:v>44012</c:v>
                </c:pt>
                <c:pt idx="501">
                  <c:v>44013</c:v>
                </c:pt>
                <c:pt idx="502">
                  <c:v>44014</c:v>
                </c:pt>
                <c:pt idx="503">
                  <c:v>44018</c:v>
                </c:pt>
                <c:pt idx="504">
                  <c:v>44019</c:v>
                </c:pt>
                <c:pt idx="505">
                  <c:v>44020</c:v>
                </c:pt>
                <c:pt idx="506">
                  <c:v>44021</c:v>
                </c:pt>
                <c:pt idx="507">
                  <c:v>44022</c:v>
                </c:pt>
                <c:pt idx="508">
                  <c:v>44025</c:v>
                </c:pt>
                <c:pt idx="509">
                  <c:v>44026</c:v>
                </c:pt>
                <c:pt idx="510">
                  <c:v>44027</c:v>
                </c:pt>
                <c:pt idx="511">
                  <c:v>44028</c:v>
                </c:pt>
                <c:pt idx="512">
                  <c:v>44029</c:v>
                </c:pt>
                <c:pt idx="513">
                  <c:v>44032</c:v>
                </c:pt>
                <c:pt idx="514">
                  <c:v>44033</c:v>
                </c:pt>
                <c:pt idx="515">
                  <c:v>44034</c:v>
                </c:pt>
                <c:pt idx="516">
                  <c:v>44035</c:v>
                </c:pt>
                <c:pt idx="517">
                  <c:v>44036</c:v>
                </c:pt>
                <c:pt idx="518">
                  <c:v>44039</c:v>
                </c:pt>
                <c:pt idx="519">
                  <c:v>44040</c:v>
                </c:pt>
                <c:pt idx="520">
                  <c:v>44041</c:v>
                </c:pt>
                <c:pt idx="521">
                  <c:v>44042</c:v>
                </c:pt>
                <c:pt idx="522">
                  <c:v>44043</c:v>
                </c:pt>
                <c:pt idx="523">
                  <c:v>44046</c:v>
                </c:pt>
                <c:pt idx="524">
                  <c:v>44047</c:v>
                </c:pt>
                <c:pt idx="525">
                  <c:v>44048</c:v>
                </c:pt>
                <c:pt idx="526">
                  <c:v>44049</c:v>
                </c:pt>
                <c:pt idx="527">
                  <c:v>44050</c:v>
                </c:pt>
                <c:pt idx="528">
                  <c:v>44053</c:v>
                </c:pt>
                <c:pt idx="529">
                  <c:v>44054</c:v>
                </c:pt>
                <c:pt idx="530">
                  <c:v>44055</c:v>
                </c:pt>
                <c:pt idx="531">
                  <c:v>44056</c:v>
                </c:pt>
                <c:pt idx="532">
                  <c:v>44057</c:v>
                </c:pt>
                <c:pt idx="533">
                  <c:v>44060</c:v>
                </c:pt>
                <c:pt idx="534">
                  <c:v>44061</c:v>
                </c:pt>
                <c:pt idx="535">
                  <c:v>44062</c:v>
                </c:pt>
                <c:pt idx="536">
                  <c:v>44063</c:v>
                </c:pt>
                <c:pt idx="537">
                  <c:v>44064</c:v>
                </c:pt>
                <c:pt idx="538">
                  <c:v>44067</c:v>
                </c:pt>
                <c:pt idx="539">
                  <c:v>44068</c:v>
                </c:pt>
                <c:pt idx="540">
                  <c:v>44069</c:v>
                </c:pt>
                <c:pt idx="541">
                  <c:v>44070</c:v>
                </c:pt>
                <c:pt idx="542">
                  <c:v>44071</c:v>
                </c:pt>
                <c:pt idx="543">
                  <c:v>44074</c:v>
                </c:pt>
                <c:pt idx="544">
                  <c:v>44075</c:v>
                </c:pt>
                <c:pt idx="545">
                  <c:v>44076</c:v>
                </c:pt>
                <c:pt idx="546">
                  <c:v>44077</c:v>
                </c:pt>
                <c:pt idx="547">
                  <c:v>44078</c:v>
                </c:pt>
                <c:pt idx="548">
                  <c:v>44082</c:v>
                </c:pt>
                <c:pt idx="549">
                  <c:v>44083</c:v>
                </c:pt>
                <c:pt idx="550">
                  <c:v>44084</c:v>
                </c:pt>
                <c:pt idx="551">
                  <c:v>44085</c:v>
                </c:pt>
                <c:pt idx="552">
                  <c:v>44088</c:v>
                </c:pt>
                <c:pt idx="553">
                  <c:v>44089</c:v>
                </c:pt>
                <c:pt idx="554">
                  <c:v>44090</c:v>
                </c:pt>
                <c:pt idx="555">
                  <c:v>44091</c:v>
                </c:pt>
                <c:pt idx="556">
                  <c:v>44092</c:v>
                </c:pt>
                <c:pt idx="557">
                  <c:v>44095</c:v>
                </c:pt>
                <c:pt idx="558">
                  <c:v>44096</c:v>
                </c:pt>
                <c:pt idx="559">
                  <c:v>44097</c:v>
                </c:pt>
                <c:pt idx="560">
                  <c:v>44098</c:v>
                </c:pt>
                <c:pt idx="561">
                  <c:v>44099</c:v>
                </c:pt>
                <c:pt idx="562">
                  <c:v>44102</c:v>
                </c:pt>
                <c:pt idx="563">
                  <c:v>44103</c:v>
                </c:pt>
                <c:pt idx="564">
                  <c:v>44104</c:v>
                </c:pt>
                <c:pt idx="565">
                  <c:v>44105</c:v>
                </c:pt>
                <c:pt idx="566">
                  <c:v>44106</c:v>
                </c:pt>
                <c:pt idx="567">
                  <c:v>44109</c:v>
                </c:pt>
                <c:pt idx="568">
                  <c:v>44110</c:v>
                </c:pt>
                <c:pt idx="569">
                  <c:v>44111</c:v>
                </c:pt>
                <c:pt idx="570">
                  <c:v>44112</c:v>
                </c:pt>
                <c:pt idx="571">
                  <c:v>44113</c:v>
                </c:pt>
                <c:pt idx="572">
                  <c:v>44116</c:v>
                </c:pt>
                <c:pt idx="573">
                  <c:v>44117</c:v>
                </c:pt>
                <c:pt idx="574">
                  <c:v>44118</c:v>
                </c:pt>
                <c:pt idx="575">
                  <c:v>44119</c:v>
                </c:pt>
                <c:pt idx="576">
                  <c:v>44120</c:v>
                </c:pt>
                <c:pt idx="577">
                  <c:v>44123</c:v>
                </c:pt>
                <c:pt idx="578">
                  <c:v>44124</c:v>
                </c:pt>
                <c:pt idx="579">
                  <c:v>44125</c:v>
                </c:pt>
                <c:pt idx="580">
                  <c:v>44126</c:v>
                </c:pt>
                <c:pt idx="581">
                  <c:v>44127</c:v>
                </c:pt>
                <c:pt idx="582">
                  <c:v>44130</c:v>
                </c:pt>
                <c:pt idx="583">
                  <c:v>44131</c:v>
                </c:pt>
                <c:pt idx="584">
                  <c:v>44132</c:v>
                </c:pt>
                <c:pt idx="585">
                  <c:v>44133</c:v>
                </c:pt>
                <c:pt idx="586">
                  <c:v>44134</c:v>
                </c:pt>
                <c:pt idx="587">
                  <c:v>44137</c:v>
                </c:pt>
                <c:pt idx="588">
                  <c:v>44138</c:v>
                </c:pt>
                <c:pt idx="589">
                  <c:v>44139</c:v>
                </c:pt>
                <c:pt idx="590">
                  <c:v>44140</c:v>
                </c:pt>
                <c:pt idx="591">
                  <c:v>44141</c:v>
                </c:pt>
                <c:pt idx="592">
                  <c:v>44144</c:v>
                </c:pt>
                <c:pt idx="593">
                  <c:v>44145</c:v>
                </c:pt>
                <c:pt idx="594">
                  <c:v>44146</c:v>
                </c:pt>
                <c:pt idx="595">
                  <c:v>44147</c:v>
                </c:pt>
                <c:pt idx="596">
                  <c:v>44148</c:v>
                </c:pt>
                <c:pt idx="597">
                  <c:v>44151</c:v>
                </c:pt>
                <c:pt idx="598">
                  <c:v>44152</c:v>
                </c:pt>
                <c:pt idx="599">
                  <c:v>44153</c:v>
                </c:pt>
                <c:pt idx="600">
                  <c:v>44154</c:v>
                </c:pt>
                <c:pt idx="601">
                  <c:v>44155</c:v>
                </c:pt>
                <c:pt idx="602">
                  <c:v>44158</c:v>
                </c:pt>
                <c:pt idx="603">
                  <c:v>44159</c:v>
                </c:pt>
                <c:pt idx="604">
                  <c:v>44160</c:v>
                </c:pt>
                <c:pt idx="605">
                  <c:v>44162</c:v>
                </c:pt>
                <c:pt idx="606">
                  <c:v>44165</c:v>
                </c:pt>
                <c:pt idx="607">
                  <c:v>44166</c:v>
                </c:pt>
                <c:pt idx="608">
                  <c:v>44167</c:v>
                </c:pt>
                <c:pt idx="609">
                  <c:v>44168</c:v>
                </c:pt>
                <c:pt idx="610">
                  <c:v>44169</c:v>
                </c:pt>
                <c:pt idx="611">
                  <c:v>44172</c:v>
                </c:pt>
                <c:pt idx="612">
                  <c:v>44173</c:v>
                </c:pt>
                <c:pt idx="613">
                  <c:v>44174</c:v>
                </c:pt>
                <c:pt idx="614">
                  <c:v>44175</c:v>
                </c:pt>
                <c:pt idx="615">
                  <c:v>44176</c:v>
                </c:pt>
                <c:pt idx="616">
                  <c:v>44179</c:v>
                </c:pt>
                <c:pt idx="617">
                  <c:v>44180</c:v>
                </c:pt>
                <c:pt idx="618">
                  <c:v>44181</c:v>
                </c:pt>
                <c:pt idx="619">
                  <c:v>44182</c:v>
                </c:pt>
                <c:pt idx="620">
                  <c:v>44183</c:v>
                </c:pt>
                <c:pt idx="621">
                  <c:v>44186</c:v>
                </c:pt>
                <c:pt idx="622">
                  <c:v>44187</c:v>
                </c:pt>
                <c:pt idx="623">
                  <c:v>44188</c:v>
                </c:pt>
                <c:pt idx="624">
                  <c:v>44189</c:v>
                </c:pt>
                <c:pt idx="625">
                  <c:v>44193</c:v>
                </c:pt>
                <c:pt idx="626">
                  <c:v>44194</c:v>
                </c:pt>
                <c:pt idx="627">
                  <c:v>44195</c:v>
                </c:pt>
                <c:pt idx="628">
                  <c:v>44196</c:v>
                </c:pt>
                <c:pt idx="629">
                  <c:v>44200</c:v>
                </c:pt>
                <c:pt idx="630">
                  <c:v>44201</c:v>
                </c:pt>
                <c:pt idx="631">
                  <c:v>44202</c:v>
                </c:pt>
                <c:pt idx="632">
                  <c:v>44203</c:v>
                </c:pt>
                <c:pt idx="633">
                  <c:v>44204</c:v>
                </c:pt>
                <c:pt idx="634">
                  <c:v>44207</c:v>
                </c:pt>
                <c:pt idx="635">
                  <c:v>44208</c:v>
                </c:pt>
                <c:pt idx="636">
                  <c:v>44209</c:v>
                </c:pt>
                <c:pt idx="637">
                  <c:v>44210</c:v>
                </c:pt>
                <c:pt idx="638">
                  <c:v>44211</c:v>
                </c:pt>
                <c:pt idx="639">
                  <c:v>44215</c:v>
                </c:pt>
                <c:pt idx="640">
                  <c:v>44216</c:v>
                </c:pt>
                <c:pt idx="641">
                  <c:v>44217</c:v>
                </c:pt>
                <c:pt idx="642">
                  <c:v>44218</c:v>
                </c:pt>
                <c:pt idx="643">
                  <c:v>44221</c:v>
                </c:pt>
                <c:pt idx="644">
                  <c:v>44222</c:v>
                </c:pt>
                <c:pt idx="645">
                  <c:v>44223</c:v>
                </c:pt>
                <c:pt idx="646">
                  <c:v>44224</c:v>
                </c:pt>
                <c:pt idx="647">
                  <c:v>44225</c:v>
                </c:pt>
                <c:pt idx="648">
                  <c:v>44228</c:v>
                </c:pt>
                <c:pt idx="649">
                  <c:v>44229</c:v>
                </c:pt>
                <c:pt idx="650">
                  <c:v>44230</c:v>
                </c:pt>
                <c:pt idx="651">
                  <c:v>44231</c:v>
                </c:pt>
                <c:pt idx="652">
                  <c:v>44232</c:v>
                </c:pt>
                <c:pt idx="653">
                  <c:v>44235</c:v>
                </c:pt>
                <c:pt idx="654">
                  <c:v>44236</c:v>
                </c:pt>
                <c:pt idx="655">
                  <c:v>44237</c:v>
                </c:pt>
                <c:pt idx="656">
                  <c:v>44238</c:v>
                </c:pt>
                <c:pt idx="657">
                  <c:v>44239</c:v>
                </c:pt>
                <c:pt idx="658">
                  <c:v>44243</c:v>
                </c:pt>
                <c:pt idx="659">
                  <c:v>44244</c:v>
                </c:pt>
                <c:pt idx="660">
                  <c:v>44245</c:v>
                </c:pt>
                <c:pt idx="661">
                  <c:v>44246</c:v>
                </c:pt>
                <c:pt idx="662">
                  <c:v>44249</c:v>
                </c:pt>
                <c:pt idx="663">
                  <c:v>44250</c:v>
                </c:pt>
                <c:pt idx="664">
                  <c:v>44251</c:v>
                </c:pt>
                <c:pt idx="665">
                  <c:v>44252</c:v>
                </c:pt>
                <c:pt idx="666">
                  <c:v>44253</c:v>
                </c:pt>
                <c:pt idx="667">
                  <c:v>44256</c:v>
                </c:pt>
                <c:pt idx="668">
                  <c:v>44257</c:v>
                </c:pt>
                <c:pt idx="669">
                  <c:v>44258</c:v>
                </c:pt>
                <c:pt idx="670">
                  <c:v>44259</c:v>
                </c:pt>
                <c:pt idx="671">
                  <c:v>44260</c:v>
                </c:pt>
                <c:pt idx="672">
                  <c:v>44263</c:v>
                </c:pt>
                <c:pt idx="673">
                  <c:v>44264</c:v>
                </c:pt>
                <c:pt idx="674">
                  <c:v>44265</c:v>
                </c:pt>
                <c:pt idx="675">
                  <c:v>44266</c:v>
                </c:pt>
                <c:pt idx="676">
                  <c:v>44267</c:v>
                </c:pt>
                <c:pt idx="677">
                  <c:v>44270</c:v>
                </c:pt>
                <c:pt idx="678">
                  <c:v>44271</c:v>
                </c:pt>
                <c:pt idx="679">
                  <c:v>44272</c:v>
                </c:pt>
                <c:pt idx="680">
                  <c:v>44273</c:v>
                </c:pt>
                <c:pt idx="681">
                  <c:v>44274</c:v>
                </c:pt>
                <c:pt idx="682">
                  <c:v>44277</c:v>
                </c:pt>
                <c:pt idx="683">
                  <c:v>44278</c:v>
                </c:pt>
                <c:pt idx="684">
                  <c:v>44279</c:v>
                </c:pt>
                <c:pt idx="685">
                  <c:v>44280</c:v>
                </c:pt>
                <c:pt idx="686">
                  <c:v>44281</c:v>
                </c:pt>
                <c:pt idx="687">
                  <c:v>44284</c:v>
                </c:pt>
                <c:pt idx="688">
                  <c:v>44285</c:v>
                </c:pt>
                <c:pt idx="689">
                  <c:v>44286</c:v>
                </c:pt>
                <c:pt idx="690">
                  <c:v>44287</c:v>
                </c:pt>
                <c:pt idx="691">
                  <c:v>44291</c:v>
                </c:pt>
                <c:pt idx="692">
                  <c:v>44292</c:v>
                </c:pt>
                <c:pt idx="693">
                  <c:v>44293</c:v>
                </c:pt>
                <c:pt idx="694">
                  <c:v>44294</c:v>
                </c:pt>
                <c:pt idx="695">
                  <c:v>44295</c:v>
                </c:pt>
                <c:pt idx="696">
                  <c:v>44298</c:v>
                </c:pt>
                <c:pt idx="697">
                  <c:v>44299</c:v>
                </c:pt>
                <c:pt idx="698">
                  <c:v>44300</c:v>
                </c:pt>
                <c:pt idx="699">
                  <c:v>44301</c:v>
                </c:pt>
                <c:pt idx="700">
                  <c:v>44302</c:v>
                </c:pt>
                <c:pt idx="701">
                  <c:v>44305</c:v>
                </c:pt>
                <c:pt idx="702">
                  <c:v>44306</c:v>
                </c:pt>
                <c:pt idx="703">
                  <c:v>44307</c:v>
                </c:pt>
                <c:pt idx="704">
                  <c:v>44308</c:v>
                </c:pt>
                <c:pt idx="705">
                  <c:v>44309</c:v>
                </c:pt>
                <c:pt idx="706">
                  <c:v>44312</c:v>
                </c:pt>
                <c:pt idx="707">
                  <c:v>44313</c:v>
                </c:pt>
                <c:pt idx="708">
                  <c:v>44314</c:v>
                </c:pt>
                <c:pt idx="709">
                  <c:v>44315</c:v>
                </c:pt>
                <c:pt idx="710">
                  <c:v>44316</c:v>
                </c:pt>
                <c:pt idx="711">
                  <c:v>44319</c:v>
                </c:pt>
                <c:pt idx="712">
                  <c:v>44320</c:v>
                </c:pt>
                <c:pt idx="713">
                  <c:v>44321</c:v>
                </c:pt>
                <c:pt idx="714">
                  <c:v>44322</c:v>
                </c:pt>
                <c:pt idx="715">
                  <c:v>44323</c:v>
                </c:pt>
                <c:pt idx="716">
                  <c:v>44326</c:v>
                </c:pt>
                <c:pt idx="717">
                  <c:v>44327</c:v>
                </c:pt>
                <c:pt idx="718">
                  <c:v>44328</c:v>
                </c:pt>
                <c:pt idx="719">
                  <c:v>44329</c:v>
                </c:pt>
                <c:pt idx="720">
                  <c:v>44330</c:v>
                </c:pt>
                <c:pt idx="721">
                  <c:v>44333</c:v>
                </c:pt>
                <c:pt idx="722">
                  <c:v>44334</c:v>
                </c:pt>
                <c:pt idx="723">
                  <c:v>44335</c:v>
                </c:pt>
                <c:pt idx="724">
                  <c:v>44336</c:v>
                </c:pt>
                <c:pt idx="725">
                  <c:v>44337</c:v>
                </c:pt>
                <c:pt idx="726">
                  <c:v>44340</c:v>
                </c:pt>
                <c:pt idx="727">
                  <c:v>44341</c:v>
                </c:pt>
                <c:pt idx="728">
                  <c:v>44342</c:v>
                </c:pt>
                <c:pt idx="729">
                  <c:v>44343</c:v>
                </c:pt>
                <c:pt idx="730">
                  <c:v>44344</c:v>
                </c:pt>
                <c:pt idx="731">
                  <c:v>44348</c:v>
                </c:pt>
                <c:pt idx="732">
                  <c:v>44349</c:v>
                </c:pt>
                <c:pt idx="733">
                  <c:v>44350</c:v>
                </c:pt>
                <c:pt idx="734">
                  <c:v>44351</c:v>
                </c:pt>
                <c:pt idx="735">
                  <c:v>44354</c:v>
                </c:pt>
                <c:pt idx="736">
                  <c:v>44355</c:v>
                </c:pt>
                <c:pt idx="737">
                  <c:v>44356</c:v>
                </c:pt>
                <c:pt idx="738">
                  <c:v>44357</c:v>
                </c:pt>
                <c:pt idx="739">
                  <c:v>44358</c:v>
                </c:pt>
                <c:pt idx="740">
                  <c:v>44361</c:v>
                </c:pt>
                <c:pt idx="741">
                  <c:v>44362</c:v>
                </c:pt>
                <c:pt idx="742">
                  <c:v>44363</c:v>
                </c:pt>
                <c:pt idx="743">
                  <c:v>44364</c:v>
                </c:pt>
                <c:pt idx="744">
                  <c:v>44365</c:v>
                </c:pt>
                <c:pt idx="745">
                  <c:v>44368</c:v>
                </c:pt>
                <c:pt idx="746">
                  <c:v>44369</c:v>
                </c:pt>
                <c:pt idx="747">
                  <c:v>44370</c:v>
                </c:pt>
                <c:pt idx="748">
                  <c:v>44371</c:v>
                </c:pt>
                <c:pt idx="749">
                  <c:v>44372</c:v>
                </c:pt>
                <c:pt idx="750">
                  <c:v>44375</c:v>
                </c:pt>
                <c:pt idx="751">
                  <c:v>44376</c:v>
                </c:pt>
                <c:pt idx="752">
                  <c:v>44377</c:v>
                </c:pt>
                <c:pt idx="753">
                  <c:v>44378</c:v>
                </c:pt>
                <c:pt idx="754">
                  <c:v>44379</c:v>
                </c:pt>
                <c:pt idx="755">
                  <c:v>44383</c:v>
                </c:pt>
                <c:pt idx="756">
                  <c:v>44384</c:v>
                </c:pt>
                <c:pt idx="757">
                  <c:v>44385</c:v>
                </c:pt>
                <c:pt idx="758">
                  <c:v>44386</c:v>
                </c:pt>
                <c:pt idx="759">
                  <c:v>44389</c:v>
                </c:pt>
                <c:pt idx="760">
                  <c:v>44390</c:v>
                </c:pt>
                <c:pt idx="761">
                  <c:v>44391</c:v>
                </c:pt>
                <c:pt idx="762">
                  <c:v>44392</c:v>
                </c:pt>
                <c:pt idx="763">
                  <c:v>44393</c:v>
                </c:pt>
                <c:pt idx="764">
                  <c:v>44396</c:v>
                </c:pt>
                <c:pt idx="765">
                  <c:v>44397</c:v>
                </c:pt>
                <c:pt idx="766">
                  <c:v>44398</c:v>
                </c:pt>
                <c:pt idx="767">
                  <c:v>44399</c:v>
                </c:pt>
                <c:pt idx="768">
                  <c:v>44400</c:v>
                </c:pt>
                <c:pt idx="769">
                  <c:v>44403</c:v>
                </c:pt>
                <c:pt idx="770">
                  <c:v>44404</c:v>
                </c:pt>
                <c:pt idx="771">
                  <c:v>44405</c:v>
                </c:pt>
                <c:pt idx="772">
                  <c:v>44406</c:v>
                </c:pt>
                <c:pt idx="773">
                  <c:v>44407</c:v>
                </c:pt>
                <c:pt idx="774">
                  <c:v>44410</c:v>
                </c:pt>
                <c:pt idx="775">
                  <c:v>44411</c:v>
                </c:pt>
                <c:pt idx="776">
                  <c:v>44412</c:v>
                </c:pt>
                <c:pt idx="777">
                  <c:v>44413</c:v>
                </c:pt>
                <c:pt idx="778">
                  <c:v>44414</c:v>
                </c:pt>
                <c:pt idx="779">
                  <c:v>44417</c:v>
                </c:pt>
                <c:pt idx="780">
                  <c:v>44418</c:v>
                </c:pt>
                <c:pt idx="781">
                  <c:v>44419</c:v>
                </c:pt>
                <c:pt idx="782">
                  <c:v>44420</c:v>
                </c:pt>
                <c:pt idx="783">
                  <c:v>44421</c:v>
                </c:pt>
                <c:pt idx="784">
                  <c:v>44424</c:v>
                </c:pt>
                <c:pt idx="785">
                  <c:v>44425</c:v>
                </c:pt>
                <c:pt idx="786">
                  <c:v>44426</c:v>
                </c:pt>
                <c:pt idx="787">
                  <c:v>44427</c:v>
                </c:pt>
                <c:pt idx="788">
                  <c:v>44428</c:v>
                </c:pt>
                <c:pt idx="789">
                  <c:v>44431</c:v>
                </c:pt>
                <c:pt idx="790">
                  <c:v>44432</c:v>
                </c:pt>
                <c:pt idx="791">
                  <c:v>44433</c:v>
                </c:pt>
                <c:pt idx="792">
                  <c:v>44434</c:v>
                </c:pt>
                <c:pt idx="793">
                  <c:v>44435</c:v>
                </c:pt>
                <c:pt idx="794">
                  <c:v>44438</c:v>
                </c:pt>
                <c:pt idx="795">
                  <c:v>44439</c:v>
                </c:pt>
                <c:pt idx="796">
                  <c:v>44440</c:v>
                </c:pt>
                <c:pt idx="797">
                  <c:v>44441</c:v>
                </c:pt>
                <c:pt idx="798">
                  <c:v>44442</c:v>
                </c:pt>
                <c:pt idx="799">
                  <c:v>44446</c:v>
                </c:pt>
                <c:pt idx="800">
                  <c:v>44447</c:v>
                </c:pt>
                <c:pt idx="801">
                  <c:v>44448</c:v>
                </c:pt>
                <c:pt idx="802">
                  <c:v>44449</c:v>
                </c:pt>
                <c:pt idx="803">
                  <c:v>44452</c:v>
                </c:pt>
                <c:pt idx="804">
                  <c:v>44453</c:v>
                </c:pt>
                <c:pt idx="805">
                  <c:v>44454</c:v>
                </c:pt>
                <c:pt idx="806">
                  <c:v>44455</c:v>
                </c:pt>
                <c:pt idx="807">
                  <c:v>44456</c:v>
                </c:pt>
                <c:pt idx="808">
                  <c:v>44459</c:v>
                </c:pt>
                <c:pt idx="809">
                  <c:v>44460</c:v>
                </c:pt>
                <c:pt idx="810">
                  <c:v>44461</c:v>
                </c:pt>
                <c:pt idx="811">
                  <c:v>44462</c:v>
                </c:pt>
                <c:pt idx="812">
                  <c:v>44463</c:v>
                </c:pt>
                <c:pt idx="813">
                  <c:v>44466</c:v>
                </c:pt>
                <c:pt idx="814">
                  <c:v>44467</c:v>
                </c:pt>
                <c:pt idx="815">
                  <c:v>44468</c:v>
                </c:pt>
                <c:pt idx="816">
                  <c:v>44469</c:v>
                </c:pt>
                <c:pt idx="817">
                  <c:v>44470</c:v>
                </c:pt>
                <c:pt idx="818">
                  <c:v>44473</c:v>
                </c:pt>
                <c:pt idx="819">
                  <c:v>44474</c:v>
                </c:pt>
                <c:pt idx="820">
                  <c:v>44475</c:v>
                </c:pt>
                <c:pt idx="821">
                  <c:v>44476</c:v>
                </c:pt>
                <c:pt idx="822">
                  <c:v>44477</c:v>
                </c:pt>
                <c:pt idx="823">
                  <c:v>44480</c:v>
                </c:pt>
                <c:pt idx="824">
                  <c:v>44481</c:v>
                </c:pt>
                <c:pt idx="825">
                  <c:v>44482</c:v>
                </c:pt>
                <c:pt idx="826">
                  <c:v>44483</c:v>
                </c:pt>
                <c:pt idx="827">
                  <c:v>44484</c:v>
                </c:pt>
                <c:pt idx="828">
                  <c:v>44487</c:v>
                </c:pt>
                <c:pt idx="829">
                  <c:v>44488</c:v>
                </c:pt>
                <c:pt idx="830">
                  <c:v>44489</c:v>
                </c:pt>
                <c:pt idx="831">
                  <c:v>44490</c:v>
                </c:pt>
                <c:pt idx="832">
                  <c:v>44491</c:v>
                </c:pt>
                <c:pt idx="833">
                  <c:v>44494</c:v>
                </c:pt>
                <c:pt idx="834">
                  <c:v>44495</c:v>
                </c:pt>
                <c:pt idx="835">
                  <c:v>44496</c:v>
                </c:pt>
                <c:pt idx="836">
                  <c:v>44497</c:v>
                </c:pt>
                <c:pt idx="837">
                  <c:v>44498</c:v>
                </c:pt>
                <c:pt idx="838">
                  <c:v>44501</c:v>
                </c:pt>
                <c:pt idx="839">
                  <c:v>44502</c:v>
                </c:pt>
                <c:pt idx="840">
                  <c:v>44503</c:v>
                </c:pt>
                <c:pt idx="841">
                  <c:v>44504</c:v>
                </c:pt>
                <c:pt idx="842">
                  <c:v>44505</c:v>
                </c:pt>
                <c:pt idx="843">
                  <c:v>44508</c:v>
                </c:pt>
                <c:pt idx="844">
                  <c:v>44509</c:v>
                </c:pt>
                <c:pt idx="845">
                  <c:v>44510</c:v>
                </c:pt>
                <c:pt idx="846">
                  <c:v>44511</c:v>
                </c:pt>
                <c:pt idx="847">
                  <c:v>44512</c:v>
                </c:pt>
                <c:pt idx="848">
                  <c:v>44515</c:v>
                </c:pt>
                <c:pt idx="849">
                  <c:v>44516</c:v>
                </c:pt>
                <c:pt idx="850">
                  <c:v>44517</c:v>
                </c:pt>
                <c:pt idx="851">
                  <c:v>44518</c:v>
                </c:pt>
                <c:pt idx="852">
                  <c:v>44519</c:v>
                </c:pt>
                <c:pt idx="853">
                  <c:v>44522</c:v>
                </c:pt>
                <c:pt idx="854">
                  <c:v>44523</c:v>
                </c:pt>
                <c:pt idx="855">
                  <c:v>44524</c:v>
                </c:pt>
                <c:pt idx="856">
                  <c:v>44526</c:v>
                </c:pt>
                <c:pt idx="857">
                  <c:v>44529</c:v>
                </c:pt>
                <c:pt idx="858">
                  <c:v>44530</c:v>
                </c:pt>
                <c:pt idx="859">
                  <c:v>44531</c:v>
                </c:pt>
                <c:pt idx="860">
                  <c:v>44532</c:v>
                </c:pt>
                <c:pt idx="861">
                  <c:v>44533</c:v>
                </c:pt>
                <c:pt idx="862">
                  <c:v>44536</c:v>
                </c:pt>
                <c:pt idx="863">
                  <c:v>44537</c:v>
                </c:pt>
                <c:pt idx="864">
                  <c:v>44538</c:v>
                </c:pt>
                <c:pt idx="865">
                  <c:v>44539</c:v>
                </c:pt>
                <c:pt idx="866">
                  <c:v>44540</c:v>
                </c:pt>
                <c:pt idx="867">
                  <c:v>44543</c:v>
                </c:pt>
                <c:pt idx="868">
                  <c:v>44544</c:v>
                </c:pt>
                <c:pt idx="869">
                  <c:v>44545</c:v>
                </c:pt>
                <c:pt idx="870">
                  <c:v>44546</c:v>
                </c:pt>
                <c:pt idx="871">
                  <c:v>44547</c:v>
                </c:pt>
                <c:pt idx="872">
                  <c:v>44550</c:v>
                </c:pt>
                <c:pt idx="873">
                  <c:v>44551</c:v>
                </c:pt>
                <c:pt idx="874">
                  <c:v>44552</c:v>
                </c:pt>
                <c:pt idx="875">
                  <c:v>44553</c:v>
                </c:pt>
                <c:pt idx="876">
                  <c:v>44557</c:v>
                </c:pt>
                <c:pt idx="877">
                  <c:v>44558</c:v>
                </c:pt>
                <c:pt idx="878">
                  <c:v>44559</c:v>
                </c:pt>
                <c:pt idx="879">
                  <c:v>44560</c:v>
                </c:pt>
                <c:pt idx="880">
                  <c:v>44561</c:v>
                </c:pt>
                <c:pt idx="881">
                  <c:v>44564</c:v>
                </c:pt>
                <c:pt idx="882">
                  <c:v>44565</c:v>
                </c:pt>
                <c:pt idx="883">
                  <c:v>44566</c:v>
                </c:pt>
                <c:pt idx="884">
                  <c:v>44567</c:v>
                </c:pt>
                <c:pt idx="885">
                  <c:v>44568</c:v>
                </c:pt>
                <c:pt idx="886">
                  <c:v>44571</c:v>
                </c:pt>
                <c:pt idx="887">
                  <c:v>44572</c:v>
                </c:pt>
                <c:pt idx="888">
                  <c:v>44573</c:v>
                </c:pt>
                <c:pt idx="889">
                  <c:v>44574</c:v>
                </c:pt>
                <c:pt idx="890">
                  <c:v>44575</c:v>
                </c:pt>
                <c:pt idx="891">
                  <c:v>44579</c:v>
                </c:pt>
                <c:pt idx="892">
                  <c:v>44580</c:v>
                </c:pt>
                <c:pt idx="893">
                  <c:v>44581</c:v>
                </c:pt>
                <c:pt idx="894">
                  <c:v>44582</c:v>
                </c:pt>
                <c:pt idx="895">
                  <c:v>44585</c:v>
                </c:pt>
                <c:pt idx="896">
                  <c:v>44586</c:v>
                </c:pt>
                <c:pt idx="897">
                  <c:v>44587</c:v>
                </c:pt>
                <c:pt idx="898">
                  <c:v>44588</c:v>
                </c:pt>
                <c:pt idx="899">
                  <c:v>44589</c:v>
                </c:pt>
                <c:pt idx="900">
                  <c:v>44592</c:v>
                </c:pt>
                <c:pt idx="901">
                  <c:v>44593</c:v>
                </c:pt>
                <c:pt idx="902">
                  <c:v>44594</c:v>
                </c:pt>
                <c:pt idx="903">
                  <c:v>44595</c:v>
                </c:pt>
                <c:pt idx="904">
                  <c:v>44596</c:v>
                </c:pt>
                <c:pt idx="905">
                  <c:v>44599</c:v>
                </c:pt>
                <c:pt idx="906">
                  <c:v>44600</c:v>
                </c:pt>
                <c:pt idx="907">
                  <c:v>44601</c:v>
                </c:pt>
                <c:pt idx="908">
                  <c:v>44602</c:v>
                </c:pt>
                <c:pt idx="909">
                  <c:v>44603</c:v>
                </c:pt>
                <c:pt idx="910">
                  <c:v>44606</c:v>
                </c:pt>
                <c:pt idx="911">
                  <c:v>44607</c:v>
                </c:pt>
                <c:pt idx="912">
                  <c:v>44608</c:v>
                </c:pt>
                <c:pt idx="913">
                  <c:v>44609</c:v>
                </c:pt>
                <c:pt idx="914">
                  <c:v>44610</c:v>
                </c:pt>
                <c:pt idx="915">
                  <c:v>44614</c:v>
                </c:pt>
                <c:pt idx="916">
                  <c:v>44615</c:v>
                </c:pt>
                <c:pt idx="917">
                  <c:v>44616</c:v>
                </c:pt>
                <c:pt idx="918">
                  <c:v>44617</c:v>
                </c:pt>
                <c:pt idx="919">
                  <c:v>44620</c:v>
                </c:pt>
                <c:pt idx="920">
                  <c:v>44621</c:v>
                </c:pt>
                <c:pt idx="921">
                  <c:v>44622</c:v>
                </c:pt>
                <c:pt idx="922">
                  <c:v>44623</c:v>
                </c:pt>
                <c:pt idx="923">
                  <c:v>44624</c:v>
                </c:pt>
                <c:pt idx="924">
                  <c:v>44627</c:v>
                </c:pt>
                <c:pt idx="925">
                  <c:v>44628</c:v>
                </c:pt>
                <c:pt idx="926">
                  <c:v>44629</c:v>
                </c:pt>
                <c:pt idx="927">
                  <c:v>44630</c:v>
                </c:pt>
                <c:pt idx="928">
                  <c:v>44631</c:v>
                </c:pt>
                <c:pt idx="929">
                  <c:v>44634</c:v>
                </c:pt>
                <c:pt idx="930">
                  <c:v>44635</c:v>
                </c:pt>
                <c:pt idx="931">
                  <c:v>44636</c:v>
                </c:pt>
                <c:pt idx="932">
                  <c:v>44637</c:v>
                </c:pt>
                <c:pt idx="933">
                  <c:v>44638</c:v>
                </c:pt>
                <c:pt idx="934">
                  <c:v>44641</c:v>
                </c:pt>
                <c:pt idx="935">
                  <c:v>44642</c:v>
                </c:pt>
                <c:pt idx="936">
                  <c:v>44643</c:v>
                </c:pt>
                <c:pt idx="937">
                  <c:v>44644</c:v>
                </c:pt>
                <c:pt idx="938">
                  <c:v>44645</c:v>
                </c:pt>
                <c:pt idx="939">
                  <c:v>44648</c:v>
                </c:pt>
                <c:pt idx="940">
                  <c:v>44649</c:v>
                </c:pt>
                <c:pt idx="941">
                  <c:v>44650</c:v>
                </c:pt>
                <c:pt idx="942">
                  <c:v>44651</c:v>
                </c:pt>
                <c:pt idx="943">
                  <c:v>44652</c:v>
                </c:pt>
                <c:pt idx="944">
                  <c:v>44655</c:v>
                </c:pt>
                <c:pt idx="945">
                  <c:v>44656</c:v>
                </c:pt>
                <c:pt idx="946">
                  <c:v>44657</c:v>
                </c:pt>
                <c:pt idx="947">
                  <c:v>44658</c:v>
                </c:pt>
                <c:pt idx="948">
                  <c:v>44659</c:v>
                </c:pt>
                <c:pt idx="949">
                  <c:v>44662</c:v>
                </c:pt>
                <c:pt idx="950">
                  <c:v>44663</c:v>
                </c:pt>
                <c:pt idx="951">
                  <c:v>44664</c:v>
                </c:pt>
                <c:pt idx="952">
                  <c:v>44665</c:v>
                </c:pt>
                <c:pt idx="953">
                  <c:v>44669</c:v>
                </c:pt>
                <c:pt idx="954">
                  <c:v>44670</c:v>
                </c:pt>
                <c:pt idx="955">
                  <c:v>44671</c:v>
                </c:pt>
                <c:pt idx="956">
                  <c:v>44672</c:v>
                </c:pt>
                <c:pt idx="957">
                  <c:v>44673</c:v>
                </c:pt>
                <c:pt idx="958">
                  <c:v>44676</c:v>
                </c:pt>
                <c:pt idx="959">
                  <c:v>44677</c:v>
                </c:pt>
                <c:pt idx="960">
                  <c:v>44678</c:v>
                </c:pt>
                <c:pt idx="961">
                  <c:v>44679</c:v>
                </c:pt>
                <c:pt idx="962">
                  <c:v>44680</c:v>
                </c:pt>
                <c:pt idx="963">
                  <c:v>44683</c:v>
                </c:pt>
                <c:pt idx="964">
                  <c:v>44684</c:v>
                </c:pt>
                <c:pt idx="965">
                  <c:v>44685</c:v>
                </c:pt>
                <c:pt idx="966">
                  <c:v>44686</c:v>
                </c:pt>
                <c:pt idx="967">
                  <c:v>44687</c:v>
                </c:pt>
                <c:pt idx="968">
                  <c:v>44690</c:v>
                </c:pt>
                <c:pt idx="969">
                  <c:v>44691</c:v>
                </c:pt>
                <c:pt idx="970">
                  <c:v>44692</c:v>
                </c:pt>
                <c:pt idx="971">
                  <c:v>44693</c:v>
                </c:pt>
                <c:pt idx="972">
                  <c:v>44694</c:v>
                </c:pt>
                <c:pt idx="973">
                  <c:v>44697</c:v>
                </c:pt>
                <c:pt idx="974">
                  <c:v>44698</c:v>
                </c:pt>
                <c:pt idx="975">
                  <c:v>44699</c:v>
                </c:pt>
                <c:pt idx="976">
                  <c:v>44700</c:v>
                </c:pt>
                <c:pt idx="977">
                  <c:v>44701</c:v>
                </c:pt>
                <c:pt idx="978">
                  <c:v>44704</c:v>
                </c:pt>
                <c:pt idx="979">
                  <c:v>44705</c:v>
                </c:pt>
                <c:pt idx="980">
                  <c:v>44706</c:v>
                </c:pt>
                <c:pt idx="981">
                  <c:v>44707</c:v>
                </c:pt>
                <c:pt idx="982">
                  <c:v>44708</c:v>
                </c:pt>
                <c:pt idx="983">
                  <c:v>44712</c:v>
                </c:pt>
                <c:pt idx="984">
                  <c:v>44713</c:v>
                </c:pt>
                <c:pt idx="985">
                  <c:v>44714</c:v>
                </c:pt>
                <c:pt idx="986">
                  <c:v>44715</c:v>
                </c:pt>
                <c:pt idx="987">
                  <c:v>44718</c:v>
                </c:pt>
                <c:pt idx="988">
                  <c:v>44719</c:v>
                </c:pt>
                <c:pt idx="989">
                  <c:v>44720</c:v>
                </c:pt>
                <c:pt idx="990">
                  <c:v>44721</c:v>
                </c:pt>
                <c:pt idx="991">
                  <c:v>44722</c:v>
                </c:pt>
                <c:pt idx="992">
                  <c:v>44725</c:v>
                </c:pt>
                <c:pt idx="993">
                  <c:v>44726</c:v>
                </c:pt>
                <c:pt idx="994">
                  <c:v>44727</c:v>
                </c:pt>
                <c:pt idx="995">
                  <c:v>44728</c:v>
                </c:pt>
                <c:pt idx="996">
                  <c:v>44729</c:v>
                </c:pt>
                <c:pt idx="997">
                  <c:v>44733</c:v>
                </c:pt>
                <c:pt idx="998">
                  <c:v>44734</c:v>
                </c:pt>
                <c:pt idx="999">
                  <c:v>44735</c:v>
                </c:pt>
                <c:pt idx="1000">
                  <c:v>44736</c:v>
                </c:pt>
                <c:pt idx="1001">
                  <c:v>44739</c:v>
                </c:pt>
                <c:pt idx="1002">
                  <c:v>44740</c:v>
                </c:pt>
                <c:pt idx="1003">
                  <c:v>44741</c:v>
                </c:pt>
                <c:pt idx="1004">
                  <c:v>44742</c:v>
                </c:pt>
                <c:pt idx="1005">
                  <c:v>44743</c:v>
                </c:pt>
                <c:pt idx="1006">
                  <c:v>44747</c:v>
                </c:pt>
                <c:pt idx="1007">
                  <c:v>44748</c:v>
                </c:pt>
                <c:pt idx="1008">
                  <c:v>44749</c:v>
                </c:pt>
                <c:pt idx="1009">
                  <c:v>44750</c:v>
                </c:pt>
                <c:pt idx="1010">
                  <c:v>44753</c:v>
                </c:pt>
                <c:pt idx="1011">
                  <c:v>44754</c:v>
                </c:pt>
                <c:pt idx="1012">
                  <c:v>44755</c:v>
                </c:pt>
                <c:pt idx="1013">
                  <c:v>44756</c:v>
                </c:pt>
                <c:pt idx="1014">
                  <c:v>44757</c:v>
                </c:pt>
                <c:pt idx="1015">
                  <c:v>44760</c:v>
                </c:pt>
                <c:pt idx="1016">
                  <c:v>44761</c:v>
                </c:pt>
                <c:pt idx="1017">
                  <c:v>44762</c:v>
                </c:pt>
                <c:pt idx="1018">
                  <c:v>44763</c:v>
                </c:pt>
                <c:pt idx="1019">
                  <c:v>44764</c:v>
                </c:pt>
                <c:pt idx="1020">
                  <c:v>44767</c:v>
                </c:pt>
                <c:pt idx="1021">
                  <c:v>44768</c:v>
                </c:pt>
                <c:pt idx="1022">
                  <c:v>44769</c:v>
                </c:pt>
                <c:pt idx="1023">
                  <c:v>44770</c:v>
                </c:pt>
                <c:pt idx="1024">
                  <c:v>44771</c:v>
                </c:pt>
                <c:pt idx="1025">
                  <c:v>44774</c:v>
                </c:pt>
                <c:pt idx="1026">
                  <c:v>44775</c:v>
                </c:pt>
                <c:pt idx="1027">
                  <c:v>44776</c:v>
                </c:pt>
                <c:pt idx="1028">
                  <c:v>44777</c:v>
                </c:pt>
                <c:pt idx="1029">
                  <c:v>44778</c:v>
                </c:pt>
                <c:pt idx="1030">
                  <c:v>44781</c:v>
                </c:pt>
                <c:pt idx="1031">
                  <c:v>44782</c:v>
                </c:pt>
                <c:pt idx="1032">
                  <c:v>44783</c:v>
                </c:pt>
                <c:pt idx="1033">
                  <c:v>44784</c:v>
                </c:pt>
                <c:pt idx="1034">
                  <c:v>44785</c:v>
                </c:pt>
                <c:pt idx="1035">
                  <c:v>44788</c:v>
                </c:pt>
                <c:pt idx="1036">
                  <c:v>44789</c:v>
                </c:pt>
                <c:pt idx="1037">
                  <c:v>44790</c:v>
                </c:pt>
                <c:pt idx="1038">
                  <c:v>44791</c:v>
                </c:pt>
                <c:pt idx="1039">
                  <c:v>44792</c:v>
                </c:pt>
                <c:pt idx="1040">
                  <c:v>44795</c:v>
                </c:pt>
                <c:pt idx="1041">
                  <c:v>44796</c:v>
                </c:pt>
                <c:pt idx="1042">
                  <c:v>44797</c:v>
                </c:pt>
                <c:pt idx="1043">
                  <c:v>44798</c:v>
                </c:pt>
                <c:pt idx="1044">
                  <c:v>44799</c:v>
                </c:pt>
                <c:pt idx="1045">
                  <c:v>44802</c:v>
                </c:pt>
                <c:pt idx="1046">
                  <c:v>44803</c:v>
                </c:pt>
                <c:pt idx="1047">
                  <c:v>44804</c:v>
                </c:pt>
                <c:pt idx="1048">
                  <c:v>44805</c:v>
                </c:pt>
                <c:pt idx="1049">
                  <c:v>44806</c:v>
                </c:pt>
                <c:pt idx="1050">
                  <c:v>44810</c:v>
                </c:pt>
                <c:pt idx="1051">
                  <c:v>44811</c:v>
                </c:pt>
                <c:pt idx="1052">
                  <c:v>44812</c:v>
                </c:pt>
                <c:pt idx="1053">
                  <c:v>44813</c:v>
                </c:pt>
                <c:pt idx="1054">
                  <c:v>44816</c:v>
                </c:pt>
                <c:pt idx="1055">
                  <c:v>44817</c:v>
                </c:pt>
                <c:pt idx="1056">
                  <c:v>44818</c:v>
                </c:pt>
                <c:pt idx="1057">
                  <c:v>44819</c:v>
                </c:pt>
                <c:pt idx="1058">
                  <c:v>44820</c:v>
                </c:pt>
                <c:pt idx="1059">
                  <c:v>44823</c:v>
                </c:pt>
                <c:pt idx="1060">
                  <c:v>44824</c:v>
                </c:pt>
                <c:pt idx="1061">
                  <c:v>44825</c:v>
                </c:pt>
                <c:pt idx="1062">
                  <c:v>44826</c:v>
                </c:pt>
                <c:pt idx="1063">
                  <c:v>44827</c:v>
                </c:pt>
                <c:pt idx="1064">
                  <c:v>44830</c:v>
                </c:pt>
                <c:pt idx="1065">
                  <c:v>44831</c:v>
                </c:pt>
                <c:pt idx="1066">
                  <c:v>44832</c:v>
                </c:pt>
                <c:pt idx="1067">
                  <c:v>44833</c:v>
                </c:pt>
                <c:pt idx="1068">
                  <c:v>44834</c:v>
                </c:pt>
                <c:pt idx="1069">
                  <c:v>44837</c:v>
                </c:pt>
                <c:pt idx="1070">
                  <c:v>44838</c:v>
                </c:pt>
                <c:pt idx="1071">
                  <c:v>44839</c:v>
                </c:pt>
                <c:pt idx="1072">
                  <c:v>44840</c:v>
                </c:pt>
                <c:pt idx="1073">
                  <c:v>44841</c:v>
                </c:pt>
                <c:pt idx="1074">
                  <c:v>44844</c:v>
                </c:pt>
                <c:pt idx="1075">
                  <c:v>44845</c:v>
                </c:pt>
                <c:pt idx="1076">
                  <c:v>44846</c:v>
                </c:pt>
                <c:pt idx="1077">
                  <c:v>44847</c:v>
                </c:pt>
                <c:pt idx="1078">
                  <c:v>44848</c:v>
                </c:pt>
                <c:pt idx="1079">
                  <c:v>44851</c:v>
                </c:pt>
                <c:pt idx="1080">
                  <c:v>44852</c:v>
                </c:pt>
                <c:pt idx="1081">
                  <c:v>44853</c:v>
                </c:pt>
                <c:pt idx="1082">
                  <c:v>44854</c:v>
                </c:pt>
                <c:pt idx="1083">
                  <c:v>44855</c:v>
                </c:pt>
                <c:pt idx="1084">
                  <c:v>44858</c:v>
                </c:pt>
                <c:pt idx="1085">
                  <c:v>44859</c:v>
                </c:pt>
                <c:pt idx="1086">
                  <c:v>44860</c:v>
                </c:pt>
                <c:pt idx="1087">
                  <c:v>44861</c:v>
                </c:pt>
                <c:pt idx="1088">
                  <c:v>44862</c:v>
                </c:pt>
                <c:pt idx="1089">
                  <c:v>44865</c:v>
                </c:pt>
                <c:pt idx="1090">
                  <c:v>44866</c:v>
                </c:pt>
                <c:pt idx="1091">
                  <c:v>44867</c:v>
                </c:pt>
                <c:pt idx="1092">
                  <c:v>44868</c:v>
                </c:pt>
                <c:pt idx="1093">
                  <c:v>44869</c:v>
                </c:pt>
                <c:pt idx="1094">
                  <c:v>44872</c:v>
                </c:pt>
                <c:pt idx="1095">
                  <c:v>44873</c:v>
                </c:pt>
                <c:pt idx="1096">
                  <c:v>44874</c:v>
                </c:pt>
                <c:pt idx="1097">
                  <c:v>44875</c:v>
                </c:pt>
                <c:pt idx="1098">
                  <c:v>44876</c:v>
                </c:pt>
                <c:pt idx="1099">
                  <c:v>44879</c:v>
                </c:pt>
                <c:pt idx="1100">
                  <c:v>44880</c:v>
                </c:pt>
                <c:pt idx="1101">
                  <c:v>44881</c:v>
                </c:pt>
                <c:pt idx="1102">
                  <c:v>44882</c:v>
                </c:pt>
                <c:pt idx="1103">
                  <c:v>44883</c:v>
                </c:pt>
                <c:pt idx="1104">
                  <c:v>44886</c:v>
                </c:pt>
                <c:pt idx="1105">
                  <c:v>44887</c:v>
                </c:pt>
                <c:pt idx="1106">
                  <c:v>44888</c:v>
                </c:pt>
                <c:pt idx="1107">
                  <c:v>44890</c:v>
                </c:pt>
                <c:pt idx="1108">
                  <c:v>44893</c:v>
                </c:pt>
                <c:pt idx="1109">
                  <c:v>44894</c:v>
                </c:pt>
                <c:pt idx="1110">
                  <c:v>44895</c:v>
                </c:pt>
                <c:pt idx="1111">
                  <c:v>44896</c:v>
                </c:pt>
                <c:pt idx="1112">
                  <c:v>44897</c:v>
                </c:pt>
                <c:pt idx="1113">
                  <c:v>44900</c:v>
                </c:pt>
                <c:pt idx="1114">
                  <c:v>44901</c:v>
                </c:pt>
                <c:pt idx="1115">
                  <c:v>44902</c:v>
                </c:pt>
                <c:pt idx="1116">
                  <c:v>44903</c:v>
                </c:pt>
                <c:pt idx="1117">
                  <c:v>44904</c:v>
                </c:pt>
                <c:pt idx="1118">
                  <c:v>44907</c:v>
                </c:pt>
                <c:pt idx="1119">
                  <c:v>44908</c:v>
                </c:pt>
                <c:pt idx="1120">
                  <c:v>44909</c:v>
                </c:pt>
                <c:pt idx="1121">
                  <c:v>44910</c:v>
                </c:pt>
                <c:pt idx="1122">
                  <c:v>44911</c:v>
                </c:pt>
                <c:pt idx="1123">
                  <c:v>44914</c:v>
                </c:pt>
                <c:pt idx="1124">
                  <c:v>44915</c:v>
                </c:pt>
                <c:pt idx="1125">
                  <c:v>44916</c:v>
                </c:pt>
                <c:pt idx="1126">
                  <c:v>44917</c:v>
                </c:pt>
                <c:pt idx="1127">
                  <c:v>44918</c:v>
                </c:pt>
                <c:pt idx="1128">
                  <c:v>44922</c:v>
                </c:pt>
                <c:pt idx="1129">
                  <c:v>44923</c:v>
                </c:pt>
                <c:pt idx="1130">
                  <c:v>44924</c:v>
                </c:pt>
                <c:pt idx="1131">
                  <c:v>44925</c:v>
                </c:pt>
                <c:pt idx="1132">
                  <c:v>44929</c:v>
                </c:pt>
                <c:pt idx="1133">
                  <c:v>44930</c:v>
                </c:pt>
                <c:pt idx="1134">
                  <c:v>44931</c:v>
                </c:pt>
                <c:pt idx="1135">
                  <c:v>44932</c:v>
                </c:pt>
                <c:pt idx="1136">
                  <c:v>44935</c:v>
                </c:pt>
                <c:pt idx="1137">
                  <c:v>44936</c:v>
                </c:pt>
                <c:pt idx="1138">
                  <c:v>44937</c:v>
                </c:pt>
                <c:pt idx="1139">
                  <c:v>44938</c:v>
                </c:pt>
                <c:pt idx="1140">
                  <c:v>44939</c:v>
                </c:pt>
                <c:pt idx="1141">
                  <c:v>44943</c:v>
                </c:pt>
                <c:pt idx="1142">
                  <c:v>44944</c:v>
                </c:pt>
                <c:pt idx="1143">
                  <c:v>44945</c:v>
                </c:pt>
                <c:pt idx="1144">
                  <c:v>44946</c:v>
                </c:pt>
                <c:pt idx="1145">
                  <c:v>44949</c:v>
                </c:pt>
                <c:pt idx="1146">
                  <c:v>44950</c:v>
                </c:pt>
                <c:pt idx="1147">
                  <c:v>44951</c:v>
                </c:pt>
                <c:pt idx="1148">
                  <c:v>44952</c:v>
                </c:pt>
                <c:pt idx="1149">
                  <c:v>44953</c:v>
                </c:pt>
                <c:pt idx="1150">
                  <c:v>44956</c:v>
                </c:pt>
                <c:pt idx="1151">
                  <c:v>44957</c:v>
                </c:pt>
                <c:pt idx="1152">
                  <c:v>44958</c:v>
                </c:pt>
                <c:pt idx="1153">
                  <c:v>44959</c:v>
                </c:pt>
                <c:pt idx="1154">
                  <c:v>44960</c:v>
                </c:pt>
                <c:pt idx="1155">
                  <c:v>44963</c:v>
                </c:pt>
                <c:pt idx="1156">
                  <c:v>44964</c:v>
                </c:pt>
                <c:pt idx="1157">
                  <c:v>44965</c:v>
                </c:pt>
                <c:pt idx="1158">
                  <c:v>44966</c:v>
                </c:pt>
                <c:pt idx="1159">
                  <c:v>44967</c:v>
                </c:pt>
                <c:pt idx="1160">
                  <c:v>44970</c:v>
                </c:pt>
                <c:pt idx="1161">
                  <c:v>44971</c:v>
                </c:pt>
                <c:pt idx="1162">
                  <c:v>44972</c:v>
                </c:pt>
                <c:pt idx="1163">
                  <c:v>44973</c:v>
                </c:pt>
                <c:pt idx="1164">
                  <c:v>44974</c:v>
                </c:pt>
                <c:pt idx="1165">
                  <c:v>44978</c:v>
                </c:pt>
                <c:pt idx="1166">
                  <c:v>44979</c:v>
                </c:pt>
                <c:pt idx="1167">
                  <c:v>44980</c:v>
                </c:pt>
                <c:pt idx="1168">
                  <c:v>44981</c:v>
                </c:pt>
                <c:pt idx="1169">
                  <c:v>44984</c:v>
                </c:pt>
                <c:pt idx="1170">
                  <c:v>44985</c:v>
                </c:pt>
                <c:pt idx="1171">
                  <c:v>44986</c:v>
                </c:pt>
                <c:pt idx="1172">
                  <c:v>44987</c:v>
                </c:pt>
                <c:pt idx="1173">
                  <c:v>44988</c:v>
                </c:pt>
                <c:pt idx="1174">
                  <c:v>44991</c:v>
                </c:pt>
                <c:pt idx="1175">
                  <c:v>44992</c:v>
                </c:pt>
                <c:pt idx="1176">
                  <c:v>44993</c:v>
                </c:pt>
                <c:pt idx="1177">
                  <c:v>44994</c:v>
                </c:pt>
                <c:pt idx="1178">
                  <c:v>44995</c:v>
                </c:pt>
                <c:pt idx="1179">
                  <c:v>44998</c:v>
                </c:pt>
                <c:pt idx="1180">
                  <c:v>44999</c:v>
                </c:pt>
                <c:pt idx="1181">
                  <c:v>45000</c:v>
                </c:pt>
                <c:pt idx="1182">
                  <c:v>45001</c:v>
                </c:pt>
                <c:pt idx="1183">
                  <c:v>45002</c:v>
                </c:pt>
                <c:pt idx="1184">
                  <c:v>45005</c:v>
                </c:pt>
                <c:pt idx="1185">
                  <c:v>45006</c:v>
                </c:pt>
                <c:pt idx="1186">
                  <c:v>45007</c:v>
                </c:pt>
                <c:pt idx="1187">
                  <c:v>45008</c:v>
                </c:pt>
                <c:pt idx="1188">
                  <c:v>45009</c:v>
                </c:pt>
                <c:pt idx="1189">
                  <c:v>45012</c:v>
                </c:pt>
                <c:pt idx="1190">
                  <c:v>45013</c:v>
                </c:pt>
                <c:pt idx="1191">
                  <c:v>45014</c:v>
                </c:pt>
                <c:pt idx="1192">
                  <c:v>45015</c:v>
                </c:pt>
                <c:pt idx="1193">
                  <c:v>45016</c:v>
                </c:pt>
                <c:pt idx="1194">
                  <c:v>45019</c:v>
                </c:pt>
                <c:pt idx="1195">
                  <c:v>45020</c:v>
                </c:pt>
                <c:pt idx="1196">
                  <c:v>45021</c:v>
                </c:pt>
                <c:pt idx="1197">
                  <c:v>45022</c:v>
                </c:pt>
                <c:pt idx="1198">
                  <c:v>45026</c:v>
                </c:pt>
                <c:pt idx="1199">
                  <c:v>45027</c:v>
                </c:pt>
                <c:pt idx="1200">
                  <c:v>45028</c:v>
                </c:pt>
                <c:pt idx="1201">
                  <c:v>45029</c:v>
                </c:pt>
                <c:pt idx="1202">
                  <c:v>45030</c:v>
                </c:pt>
                <c:pt idx="1203">
                  <c:v>45033</c:v>
                </c:pt>
                <c:pt idx="1204">
                  <c:v>45034</c:v>
                </c:pt>
                <c:pt idx="1205">
                  <c:v>45035</c:v>
                </c:pt>
                <c:pt idx="1206">
                  <c:v>45036</c:v>
                </c:pt>
                <c:pt idx="1207">
                  <c:v>45037</c:v>
                </c:pt>
                <c:pt idx="1208">
                  <c:v>45040</c:v>
                </c:pt>
                <c:pt idx="1209">
                  <c:v>45041</c:v>
                </c:pt>
                <c:pt idx="1210">
                  <c:v>45042</c:v>
                </c:pt>
                <c:pt idx="1211">
                  <c:v>45043</c:v>
                </c:pt>
                <c:pt idx="1212">
                  <c:v>45044</c:v>
                </c:pt>
                <c:pt idx="1213">
                  <c:v>45047</c:v>
                </c:pt>
                <c:pt idx="1214">
                  <c:v>45048</c:v>
                </c:pt>
                <c:pt idx="1215">
                  <c:v>45049</c:v>
                </c:pt>
                <c:pt idx="1216">
                  <c:v>45050</c:v>
                </c:pt>
                <c:pt idx="1217">
                  <c:v>45051</c:v>
                </c:pt>
                <c:pt idx="1218">
                  <c:v>45054</c:v>
                </c:pt>
                <c:pt idx="1219">
                  <c:v>45055</c:v>
                </c:pt>
                <c:pt idx="1220">
                  <c:v>45056</c:v>
                </c:pt>
                <c:pt idx="1221">
                  <c:v>45057</c:v>
                </c:pt>
                <c:pt idx="1222">
                  <c:v>45058</c:v>
                </c:pt>
                <c:pt idx="1223">
                  <c:v>45061</c:v>
                </c:pt>
                <c:pt idx="1224">
                  <c:v>45062</c:v>
                </c:pt>
                <c:pt idx="1225">
                  <c:v>45063</c:v>
                </c:pt>
                <c:pt idx="1226">
                  <c:v>45064</c:v>
                </c:pt>
                <c:pt idx="1227">
                  <c:v>45065</c:v>
                </c:pt>
                <c:pt idx="1228">
                  <c:v>45068</c:v>
                </c:pt>
                <c:pt idx="1229">
                  <c:v>45069</c:v>
                </c:pt>
                <c:pt idx="1230">
                  <c:v>45070</c:v>
                </c:pt>
                <c:pt idx="1231">
                  <c:v>45071</c:v>
                </c:pt>
                <c:pt idx="1232">
                  <c:v>45072</c:v>
                </c:pt>
                <c:pt idx="1233">
                  <c:v>45076</c:v>
                </c:pt>
                <c:pt idx="1234">
                  <c:v>45077</c:v>
                </c:pt>
                <c:pt idx="1235">
                  <c:v>45078</c:v>
                </c:pt>
                <c:pt idx="1236">
                  <c:v>45079</c:v>
                </c:pt>
                <c:pt idx="1237">
                  <c:v>45082</c:v>
                </c:pt>
                <c:pt idx="1238">
                  <c:v>45083</c:v>
                </c:pt>
                <c:pt idx="1239">
                  <c:v>45084</c:v>
                </c:pt>
                <c:pt idx="1240">
                  <c:v>45085</c:v>
                </c:pt>
                <c:pt idx="1241">
                  <c:v>45086</c:v>
                </c:pt>
                <c:pt idx="1242">
                  <c:v>45089</c:v>
                </c:pt>
                <c:pt idx="1243">
                  <c:v>45090</c:v>
                </c:pt>
                <c:pt idx="1244">
                  <c:v>45091</c:v>
                </c:pt>
                <c:pt idx="1245">
                  <c:v>45092</c:v>
                </c:pt>
                <c:pt idx="1246">
                  <c:v>45093</c:v>
                </c:pt>
                <c:pt idx="1247">
                  <c:v>45097</c:v>
                </c:pt>
                <c:pt idx="1248">
                  <c:v>45098</c:v>
                </c:pt>
                <c:pt idx="1249">
                  <c:v>45099</c:v>
                </c:pt>
                <c:pt idx="1250">
                  <c:v>45100</c:v>
                </c:pt>
                <c:pt idx="1251">
                  <c:v>45103</c:v>
                </c:pt>
                <c:pt idx="1252">
                  <c:v>45104</c:v>
                </c:pt>
                <c:pt idx="1253">
                  <c:v>45105</c:v>
                </c:pt>
                <c:pt idx="1254">
                  <c:v>45106</c:v>
                </c:pt>
              </c:numCache>
            </c:numRef>
          </c:cat>
          <c:val>
            <c:numRef>
              <c:f>'Stock Chart'!$E$2:$E$1256</c:f>
              <c:numCache>
                <c:formatCode>0.00_);[Red]\(0.00\)</c:formatCode>
                <c:ptCount val="1255"/>
                <c:pt idx="0">
                  <c:v>100</c:v>
                </c:pt>
                <c:pt idx="1">
                  <c:v>101.01527173449365</c:v>
                </c:pt>
                <c:pt idx="2">
                  <c:v>100.95554986775872</c:v>
                </c:pt>
                <c:pt idx="3">
                  <c:v>101.7319341353127</c:v>
                </c:pt>
                <c:pt idx="4">
                  <c:v>102.1073287262179</c:v>
                </c:pt>
                <c:pt idx="5">
                  <c:v>102.20970906919204</c:v>
                </c:pt>
                <c:pt idx="6">
                  <c:v>101.96228990700453</c:v>
                </c:pt>
                <c:pt idx="7">
                  <c:v>101.60395870659499</c:v>
                </c:pt>
                <c:pt idx="8">
                  <c:v>101.1176520774678</c:v>
                </c:pt>
                <c:pt idx="9">
                  <c:v>101.80018769729544</c:v>
                </c:pt>
                <c:pt idx="10">
                  <c:v>102.3120894121662</c:v>
                </c:pt>
                <c:pt idx="11">
                  <c:v>102.38887466939681</c:v>
                </c:pt>
                <c:pt idx="12">
                  <c:v>102.72161078406282</c:v>
                </c:pt>
                <c:pt idx="13">
                  <c:v>101.68074396382562</c:v>
                </c:pt>
                <c:pt idx="14">
                  <c:v>102.34621619315757</c:v>
                </c:pt>
                <c:pt idx="15">
                  <c:v>103.1140687654637</c:v>
                </c:pt>
                <c:pt idx="16">
                  <c:v>102.00494838324377</c:v>
                </c:pt>
                <c:pt idx="17">
                  <c:v>101.55276853510793</c:v>
                </c:pt>
                <c:pt idx="18">
                  <c:v>100.53749680061431</c:v>
                </c:pt>
                <c:pt idx="19">
                  <c:v>112.24298268065867</c:v>
                </c:pt>
                <c:pt idx="20">
                  <c:v>107.85769132326595</c:v>
                </c:pt>
                <c:pt idx="21">
                  <c:v>104.61564712908455</c:v>
                </c:pt>
                <c:pt idx="22">
                  <c:v>105.10195375821176</c:v>
                </c:pt>
                <c:pt idx="23">
                  <c:v>106.23666922617525</c:v>
                </c:pt>
                <c:pt idx="24">
                  <c:v>105.61385547308251</c:v>
                </c:pt>
                <c:pt idx="25">
                  <c:v>108.4805050763587</c:v>
                </c:pt>
                <c:pt idx="26">
                  <c:v>108.04538861871855</c:v>
                </c:pt>
                <c:pt idx="27">
                  <c:v>105.13608053920316</c:v>
                </c:pt>
                <c:pt idx="28">
                  <c:v>105.72476751130451</c:v>
                </c:pt>
                <c:pt idx="29">
                  <c:v>109.17157239143418</c:v>
                </c:pt>
                <c:pt idx="30">
                  <c:v>110.05886869721013</c:v>
                </c:pt>
                <c:pt idx="31">
                  <c:v>110.16124904018429</c:v>
                </c:pt>
                <c:pt idx="32">
                  <c:v>114.53800870232915</c:v>
                </c:pt>
                <c:pt idx="33">
                  <c:v>117.53263373432301</c:v>
                </c:pt>
                <c:pt idx="34">
                  <c:v>116.65386912379489</c:v>
                </c:pt>
                <c:pt idx="35">
                  <c:v>115.18641754116543</c:v>
                </c:pt>
                <c:pt idx="36">
                  <c:v>116.03958706595002</c:v>
                </c:pt>
                <c:pt idx="37">
                  <c:v>117.39612661035747</c:v>
                </c:pt>
                <c:pt idx="38">
                  <c:v>118.06159883968945</c:v>
                </c:pt>
                <c:pt idx="39">
                  <c:v>117.21696101015272</c:v>
                </c:pt>
                <c:pt idx="40">
                  <c:v>116.91835167647811</c:v>
                </c:pt>
                <c:pt idx="41">
                  <c:v>118.39433495435546</c:v>
                </c:pt>
                <c:pt idx="42">
                  <c:v>115.83482638000173</c:v>
                </c:pt>
                <c:pt idx="43">
                  <c:v>116.56002047606862</c:v>
                </c:pt>
                <c:pt idx="44">
                  <c:v>114.67451582629468</c:v>
                </c:pt>
                <c:pt idx="45">
                  <c:v>113.42888832010919</c:v>
                </c:pt>
                <c:pt idx="46">
                  <c:v>115.39970992236157</c:v>
                </c:pt>
                <c:pt idx="47">
                  <c:v>115.12669567443052</c:v>
                </c:pt>
                <c:pt idx="48">
                  <c:v>115.16082245542189</c:v>
                </c:pt>
                <c:pt idx="49">
                  <c:v>116.51736199982936</c:v>
                </c:pt>
                <c:pt idx="50">
                  <c:v>117.92509171572392</c:v>
                </c:pt>
                <c:pt idx="51">
                  <c:v>116.62827403805136</c:v>
                </c:pt>
                <c:pt idx="52">
                  <c:v>115.06697380769559</c:v>
                </c:pt>
                <c:pt idx="53">
                  <c:v>114.93046668373006</c:v>
                </c:pt>
                <c:pt idx="54">
                  <c:v>115.87748485624094</c:v>
                </c:pt>
                <c:pt idx="55">
                  <c:v>116.77331285726476</c:v>
                </c:pt>
                <c:pt idx="56">
                  <c:v>117.29374626738334</c:v>
                </c:pt>
                <c:pt idx="57">
                  <c:v>117.33640474362257</c:v>
                </c:pt>
                <c:pt idx="58">
                  <c:v>115.60447060830987</c:v>
                </c:pt>
                <c:pt idx="59">
                  <c:v>115.79216790376248</c:v>
                </c:pt>
                <c:pt idx="60">
                  <c:v>116.90981998123027</c:v>
                </c:pt>
                <c:pt idx="61">
                  <c:v>116.17609418991552</c:v>
                </c:pt>
                <c:pt idx="62">
                  <c:v>112.79754287176864</c:v>
                </c:pt>
                <c:pt idx="63">
                  <c:v>115.16935415066976</c:v>
                </c:pt>
                <c:pt idx="64">
                  <c:v>112.11500725194097</c:v>
                </c:pt>
                <c:pt idx="65">
                  <c:v>111.69695418479651</c:v>
                </c:pt>
                <c:pt idx="66">
                  <c:v>109.15450900093848</c:v>
                </c:pt>
                <c:pt idx="67">
                  <c:v>110.5366436310895</c:v>
                </c:pt>
                <c:pt idx="68">
                  <c:v>108.70232915280266</c:v>
                </c:pt>
                <c:pt idx="69">
                  <c:v>104.57298865284532</c:v>
                </c:pt>
                <c:pt idx="70">
                  <c:v>104.75215425305009</c:v>
                </c:pt>
                <c:pt idx="71">
                  <c:v>106.9533316269943</c:v>
                </c:pt>
                <c:pt idx="72">
                  <c:v>113.77015613002304</c:v>
                </c:pt>
                <c:pt idx="73">
                  <c:v>112.19179250917158</c:v>
                </c:pt>
                <c:pt idx="74">
                  <c:v>108.9497483149902</c:v>
                </c:pt>
                <c:pt idx="75">
                  <c:v>109.46165002986095</c:v>
                </c:pt>
                <c:pt idx="76">
                  <c:v>109.00093848647727</c:v>
                </c:pt>
                <c:pt idx="77">
                  <c:v>105.62238716833035</c:v>
                </c:pt>
                <c:pt idx="78">
                  <c:v>104.51326678611042</c:v>
                </c:pt>
                <c:pt idx="79">
                  <c:v>107.26047265591674</c:v>
                </c:pt>
                <c:pt idx="80">
                  <c:v>107.32019452265166</c:v>
                </c:pt>
                <c:pt idx="81">
                  <c:v>105.98925006398771</c:v>
                </c:pt>
                <c:pt idx="82">
                  <c:v>105.91246480675711</c:v>
                </c:pt>
                <c:pt idx="83">
                  <c:v>107.34578960839518</c:v>
                </c:pt>
                <c:pt idx="84">
                  <c:v>107.34578960839518</c:v>
                </c:pt>
                <c:pt idx="85">
                  <c:v>109.70053749680062</c:v>
                </c:pt>
                <c:pt idx="86">
                  <c:v>112.27710946165004</c:v>
                </c:pt>
                <c:pt idx="87">
                  <c:v>113.38622984386998</c:v>
                </c:pt>
                <c:pt idx="88">
                  <c:v>114.56360378807268</c:v>
                </c:pt>
                <c:pt idx="89">
                  <c:v>128.15459431789097</c:v>
                </c:pt>
                <c:pt idx="90">
                  <c:v>119.72527941301938</c:v>
                </c:pt>
                <c:pt idx="91">
                  <c:v>122.93319682620938</c:v>
                </c:pt>
                <c:pt idx="92">
                  <c:v>121.62784745328898</c:v>
                </c:pt>
                <c:pt idx="93">
                  <c:v>117.64354577254498</c:v>
                </c:pt>
                <c:pt idx="94">
                  <c:v>118.43699343059467</c:v>
                </c:pt>
                <c:pt idx="95">
                  <c:v>114.47828683559425</c:v>
                </c:pt>
                <c:pt idx="96">
                  <c:v>110.2039075164235</c:v>
                </c:pt>
                <c:pt idx="97">
                  <c:v>109.66641071580922</c:v>
                </c:pt>
                <c:pt idx="98">
                  <c:v>111.11679890794302</c:v>
                </c:pt>
                <c:pt idx="99">
                  <c:v>109.47018172510879</c:v>
                </c:pt>
                <c:pt idx="100">
                  <c:v>112.33683132838495</c:v>
                </c:pt>
                <c:pt idx="101">
                  <c:v>110.77553109802918</c:v>
                </c:pt>
                <c:pt idx="102">
                  <c:v>113.77868782527089</c:v>
                </c:pt>
                <c:pt idx="103">
                  <c:v>115.52768535107927</c:v>
                </c:pt>
                <c:pt idx="104">
                  <c:v>116.44910843784662</c:v>
                </c:pt>
                <c:pt idx="105">
                  <c:v>116.21022097090695</c:v>
                </c:pt>
                <c:pt idx="106">
                  <c:v>109.74319597303986</c:v>
                </c:pt>
                <c:pt idx="107">
                  <c:v>107.0301168842249</c:v>
                </c:pt>
                <c:pt idx="108">
                  <c:v>102.0305434689873</c:v>
                </c:pt>
                <c:pt idx="109">
                  <c:v>102.06467024997868</c:v>
                </c:pt>
                <c:pt idx="110">
                  <c:v>102.86664960327616</c:v>
                </c:pt>
                <c:pt idx="111">
                  <c:v>106.11722549270539</c:v>
                </c:pt>
                <c:pt idx="112">
                  <c:v>108.3354662571453</c:v>
                </c:pt>
                <c:pt idx="113">
                  <c:v>109.63228393481785</c:v>
                </c:pt>
                <c:pt idx="114">
                  <c:v>106.85948297926799</c:v>
                </c:pt>
                <c:pt idx="115">
                  <c:v>102.55950857435371</c:v>
                </c:pt>
                <c:pt idx="116">
                  <c:v>97.670847197338119</c:v>
                </c:pt>
                <c:pt idx="117">
                  <c:v>95.572050166368058</c:v>
                </c:pt>
                <c:pt idx="118">
                  <c:v>92.048460029007771</c:v>
                </c:pt>
                <c:pt idx="119">
                  <c:v>89.096493473253147</c:v>
                </c:pt>
                <c:pt idx="120">
                  <c:v>93.251429058954017</c:v>
                </c:pt>
                <c:pt idx="121">
                  <c:v>94.753007422574882</c:v>
                </c:pt>
                <c:pt idx="122">
                  <c:v>96.775019196314318</c:v>
                </c:pt>
                <c:pt idx="123">
                  <c:v>96.766487501066464</c:v>
                </c:pt>
                <c:pt idx="124">
                  <c:v>95.537923385376672</c:v>
                </c:pt>
                <c:pt idx="125">
                  <c:v>93.123453630236341</c:v>
                </c:pt>
                <c:pt idx="126">
                  <c:v>96.67263885334016</c:v>
                </c:pt>
                <c:pt idx="127">
                  <c:v>94.147257059977818</c:v>
                </c:pt>
                <c:pt idx="128">
                  <c:v>93.439126354406625</c:v>
                </c:pt>
                <c:pt idx="129">
                  <c:v>93.00400989676649</c:v>
                </c:pt>
                <c:pt idx="130">
                  <c:v>93.294087535193242</c:v>
                </c:pt>
                <c:pt idx="131">
                  <c:v>94.266700793447654</c:v>
                </c:pt>
                <c:pt idx="132">
                  <c:v>92.074055114751303</c:v>
                </c:pt>
                <c:pt idx="133">
                  <c:v>92.611551915365581</c:v>
                </c:pt>
                <c:pt idx="134">
                  <c:v>91.835167647811616</c:v>
                </c:pt>
                <c:pt idx="135">
                  <c:v>92.986946506270797</c:v>
                </c:pt>
                <c:pt idx="136">
                  <c:v>94.923641327531797</c:v>
                </c:pt>
                <c:pt idx="137">
                  <c:v>92.773654125074657</c:v>
                </c:pt>
                <c:pt idx="138">
                  <c:v>93.95955976452521</c:v>
                </c:pt>
                <c:pt idx="139">
                  <c:v>94.710348946335642</c:v>
                </c:pt>
                <c:pt idx="140">
                  <c:v>96.920058015527687</c:v>
                </c:pt>
                <c:pt idx="141">
                  <c:v>94.855387765549025</c:v>
                </c:pt>
                <c:pt idx="142">
                  <c:v>93.285555839945403</c:v>
                </c:pt>
                <c:pt idx="143">
                  <c:v>92.543298353382824</c:v>
                </c:pt>
                <c:pt idx="144">
                  <c:v>93.336746011432481</c:v>
                </c:pt>
                <c:pt idx="145">
                  <c:v>93.353809401928174</c:v>
                </c:pt>
                <c:pt idx="146">
                  <c:v>96.783550891562157</c:v>
                </c:pt>
                <c:pt idx="147">
                  <c:v>97.687910587833798</c:v>
                </c:pt>
                <c:pt idx="148">
                  <c:v>95.333162699428371</c:v>
                </c:pt>
                <c:pt idx="149">
                  <c:v>94.334954355430426</c:v>
                </c:pt>
                <c:pt idx="150">
                  <c:v>94.701817251087789</c:v>
                </c:pt>
                <c:pt idx="151">
                  <c:v>96.809145977305704</c:v>
                </c:pt>
                <c:pt idx="152">
                  <c:v>98.029178397747643</c:v>
                </c:pt>
                <c:pt idx="153">
                  <c:v>100.90435969627165</c:v>
                </c:pt>
                <c:pt idx="154">
                  <c:v>101.31388106816826</c:v>
                </c:pt>
                <c:pt idx="155">
                  <c:v>101.6210220970907</c:v>
                </c:pt>
                <c:pt idx="156">
                  <c:v>102.20970906919204</c:v>
                </c:pt>
                <c:pt idx="157">
                  <c:v>102.54244518385805</c:v>
                </c:pt>
                <c:pt idx="158">
                  <c:v>108.28427608565822</c:v>
                </c:pt>
                <c:pt idx="159">
                  <c:v>108.6340755908199</c:v>
                </c:pt>
                <c:pt idx="160">
                  <c:v>107.71265250405256</c:v>
                </c:pt>
                <c:pt idx="161">
                  <c:v>107.24340926542104</c:v>
                </c:pt>
                <c:pt idx="162">
                  <c:v>108.40371981912807</c:v>
                </c:pt>
                <c:pt idx="163">
                  <c:v>111.57751045132669</c:v>
                </c:pt>
                <c:pt idx="164">
                  <c:v>123.37684497909736</c:v>
                </c:pt>
                <c:pt idx="165">
                  <c:v>121.27804794812731</c:v>
                </c:pt>
                <c:pt idx="166">
                  <c:v>120.99650200494838</c:v>
                </c:pt>
                <c:pt idx="167">
                  <c:v>118.81238802149987</c:v>
                </c:pt>
                <c:pt idx="168">
                  <c:v>116.18462588516338</c:v>
                </c:pt>
                <c:pt idx="169">
                  <c:v>114.14555072092824</c:v>
                </c:pt>
                <c:pt idx="170">
                  <c:v>117.42172169610102</c:v>
                </c:pt>
                <c:pt idx="171">
                  <c:v>118.39433495435546</c:v>
                </c:pt>
                <c:pt idx="172">
                  <c:v>118.43699343059467</c:v>
                </c:pt>
                <c:pt idx="173">
                  <c:v>117.1913659244092</c:v>
                </c:pt>
                <c:pt idx="174">
                  <c:v>117.98481358245883</c:v>
                </c:pt>
                <c:pt idx="175">
                  <c:v>116.45764013309446</c:v>
                </c:pt>
                <c:pt idx="176">
                  <c:v>116.03958706595002</c:v>
                </c:pt>
                <c:pt idx="177">
                  <c:v>113.94932173022781</c:v>
                </c:pt>
                <c:pt idx="178">
                  <c:v>116.52589369507722</c:v>
                </c:pt>
                <c:pt idx="179">
                  <c:v>113.07908881494753</c:v>
                </c:pt>
                <c:pt idx="180">
                  <c:v>112.44774336660697</c:v>
                </c:pt>
                <c:pt idx="181">
                  <c:v>113.20706424366523</c:v>
                </c:pt>
                <c:pt idx="182">
                  <c:v>110.75846770753348</c:v>
                </c:pt>
                <c:pt idx="183">
                  <c:v>114.17967750191964</c:v>
                </c:pt>
                <c:pt idx="184">
                  <c:v>112.0296902994625</c:v>
                </c:pt>
                <c:pt idx="185">
                  <c:v>112.68663083354664</c:v>
                </c:pt>
                <c:pt idx="186">
                  <c:v>113.81281460626226</c:v>
                </c:pt>
                <c:pt idx="187">
                  <c:v>115.3485197508745</c:v>
                </c:pt>
                <c:pt idx="188">
                  <c:v>117.75445781076701</c:v>
                </c:pt>
                <c:pt idx="189">
                  <c:v>118.8721098882348</c:v>
                </c:pt>
                <c:pt idx="190">
                  <c:v>119.11952905042233</c:v>
                </c:pt>
                <c:pt idx="191">
                  <c:v>118.65881750703866</c:v>
                </c:pt>
                <c:pt idx="192">
                  <c:v>120.61257571879534</c:v>
                </c:pt>
                <c:pt idx="193">
                  <c:v>118.84651480249127</c:v>
                </c:pt>
                <c:pt idx="194">
                  <c:v>119.40960668884908</c:v>
                </c:pt>
                <c:pt idx="195">
                  <c:v>120.00682535619829</c:v>
                </c:pt>
                <c:pt idx="196">
                  <c:v>120.05801552768536</c:v>
                </c:pt>
                <c:pt idx="197">
                  <c:v>121.29511133862299</c:v>
                </c:pt>
                <c:pt idx="198">
                  <c:v>118.8721098882348</c:v>
                </c:pt>
                <c:pt idx="199">
                  <c:v>119.03421209794386</c:v>
                </c:pt>
                <c:pt idx="200">
                  <c:v>122.80522139749168</c:v>
                </c:pt>
                <c:pt idx="201">
                  <c:v>121.67050592952822</c:v>
                </c:pt>
                <c:pt idx="202">
                  <c:v>120.38221994710349</c:v>
                </c:pt>
                <c:pt idx="203">
                  <c:v>123.5560105793021</c:v>
                </c:pt>
                <c:pt idx="204">
                  <c:v>122.83081648323521</c:v>
                </c:pt>
                <c:pt idx="205">
                  <c:v>122.30185137786877</c:v>
                </c:pt>
                <c:pt idx="206">
                  <c:v>135.2785598498422</c:v>
                </c:pt>
                <c:pt idx="207">
                  <c:v>138.63151608224555</c:v>
                </c:pt>
                <c:pt idx="208">
                  <c:v>140.61940107499359</c:v>
                </c:pt>
                <c:pt idx="209">
                  <c:v>142.53050081051106</c:v>
                </c:pt>
                <c:pt idx="210">
                  <c:v>141.1227710946165</c:v>
                </c:pt>
                <c:pt idx="211">
                  <c:v>143.74200153570513</c:v>
                </c:pt>
                <c:pt idx="212">
                  <c:v>146.54039757699854</c:v>
                </c:pt>
                <c:pt idx="213">
                  <c:v>147.28265506356112</c:v>
                </c:pt>
                <c:pt idx="214">
                  <c:v>143.75906492620086</c:v>
                </c:pt>
                <c:pt idx="215">
                  <c:v>145.54218923300061</c:v>
                </c:pt>
                <c:pt idx="216">
                  <c:v>147.29971845405683</c:v>
                </c:pt>
                <c:pt idx="217">
                  <c:v>150.14077297158946</c:v>
                </c:pt>
                <c:pt idx="218">
                  <c:v>148.97193072263462</c:v>
                </c:pt>
                <c:pt idx="219">
                  <c:v>148.95486733213889</c:v>
                </c:pt>
                <c:pt idx="220">
                  <c:v>150.20902653357223</c:v>
                </c:pt>
                <c:pt idx="221">
                  <c:v>150.90009384864774</c:v>
                </c:pt>
                <c:pt idx="222">
                  <c:v>150.77211841993005</c:v>
                </c:pt>
                <c:pt idx="223">
                  <c:v>153.7667434519239</c:v>
                </c:pt>
                <c:pt idx="224">
                  <c:v>152.2907601740466</c:v>
                </c:pt>
                <c:pt idx="225">
                  <c:v>150.72945994369081</c:v>
                </c:pt>
                <c:pt idx="226">
                  <c:v>152.1201262690897</c:v>
                </c:pt>
                <c:pt idx="227">
                  <c:v>150.14930466683731</c:v>
                </c:pt>
                <c:pt idx="228">
                  <c:v>152.25663339305521</c:v>
                </c:pt>
                <c:pt idx="229">
                  <c:v>154.71376162443477</c:v>
                </c:pt>
                <c:pt idx="230">
                  <c:v>157.65719648494155</c:v>
                </c:pt>
                <c:pt idx="231">
                  <c:v>156.94053408412253</c:v>
                </c:pt>
                <c:pt idx="232">
                  <c:v>155.99351591161167</c:v>
                </c:pt>
                <c:pt idx="233">
                  <c:v>153.03301766060918</c:v>
                </c:pt>
                <c:pt idx="234">
                  <c:v>152.64909137445611</c:v>
                </c:pt>
                <c:pt idx="235">
                  <c:v>154.46634246224727</c:v>
                </c:pt>
                <c:pt idx="236">
                  <c:v>154.28717686204249</c:v>
                </c:pt>
                <c:pt idx="237">
                  <c:v>154.4919375479908</c:v>
                </c:pt>
                <c:pt idx="238">
                  <c:v>153.86912379489806</c:v>
                </c:pt>
                <c:pt idx="239">
                  <c:v>150.70386485794728</c:v>
                </c:pt>
                <c:pt idx="240">
                  <c:v>153.63023632795836</c:v>
                </c:pt>
                <c:pt idx="241">
                  <c:v>153.25484173705314</c:v>
                </c:pt>
                <c:pt idx="242">
                  <c:v>153.92884566163298</c:v>
                </c:pt>
                <c:pt idx="243">
                  <c:v>151.39493217302277</c:v>
                </c:pt>
                <c:pt idx="244">
                  <c:v>149.09990615135226</c:v>
                </c:pt>
                <c:pt idx="245">
                  <c:v>150.66973807695589</c:v>
                </c:pt>
                <c:pt idx="246">
                  <c:v>153.93737735688083</c:v>
                </c:pt>
                <c:pt idx="247">
                  <c:v>151.86417541165432</c:v>
                </c:pt>
                <c:pt idx="248">
                  <c:v>154.21039160481189</c:v>
                </c:pt>
                <c:pt idx="249">
                  <c:v>153.73261667093252</c:v>
                </c:pt>
                <c:pt idx="250">
                  <c:v>155.06356112959645</c:v>
                </c:pt>
                <c:pt idx="251">
                  <c:v>154.60284958621281</c:v>
                </c:pt>
                <c:pt idx="252">
                  <c:v>153.57051446122344</c:v>
                </c:pt>
                <c:pt idx="253">
                  <c:v>154.58578619571711</c:v>
                </c:pt>
                <c:pt idx="254">
                  <c:v>154.3298353382817</c:v>
                </c:pt>
                <c:pt idx="255">
                  <c:v>155.64371640644998</c:v>
                </c:pt>
                <c:pt idx="256">
                  <c:v>154.4151522907602</c:v>
                </c:pt>
                <c:pt idx="257">
                  <c:v>156.62486135995223</c:v>
                </c:pt>
                <c:pt idx="258">
                  <c:v>155.14034638682708</c:v>
                </c:pt>
                <c:pt idx="259">
                  <c:v>153.66436310894977</c:v>
                </c:pt>
                <c:pt idx="260">
                  <c:v>160.42999744049143</c:v>
                </c:pt>
                <c:pt idx="261">
                  <c:v>158.55302448596538</c:v>
                </c:pt>
                <c:pt idx="262">
                  <c:v>158.7833802576572</c:v>
                </c:pt>
                <c:pt idx="263">
                  <c:v>159.26115519153657</c:v>
                </c:pt>
                <c:pt idx="264">
                  <c:v>160.20817336404744</c:v>
                </c:pt>
                <c:pt idx="265">
                  <c:v>159.02226772459687</c:v>
                </c:pt>
                <c:pt idx="266">
                  <c:v>160.05460284958622</c:v>
                </c:pt>
                <c:pt idx="267">
                  <c:v>158.12643972357307</c:v>
                </c:pt>
                <c:pt idx="268">
                  <c:v>155.2939169012883</c:v>
                </c:pt>
                <c:pt idx="269">
                  <c:v>151.85564371640646</c:v>
                </c:pt>
                <c:pt idx="270">
                  <c:v>150.97687910587837</c:v>
                </c:pt>
                <c:pt idx="271">
                  <c:v>149.5520859994881</c:v>
                </c:pt>
                <c:pt idx="272">
                  <c:v>142.70966641071584</c:v>
                </c:pt>
                <c:pt idx="273">
                  <c:v>146.20766146233257</c:v>
                </c:pt>
                <c:pt idx="274">
                  <c:v>147.23146489207406</c:v>
                </c:pt>
                <c:pt idx="275">
                  <c:v>149.91894889514549</c:v>
                </c:pt>
                <c:pt idx="276">
                  <c:v>148.46002900776384</c:v>
                </c:pt>
                <c:pt idx="277">
                  <c:v>145.7213548332054</c:v>
                </c:pt>
                <c:pt idx="278">
                  <c:v>147.97372237863664</c:v>
                </c:pt>
                <c:pt idx="279">
                  <c:v>145.63603788072689</c:v>
                </c:pt>
                <c:pt idx="280">
                  <c:v>147.57273270198789</c:v>
                </c:pt>
                <c:pt idx="281">
                  <c:v>149.44970565651394</c:v>
                </c:pt>
                <c:pt idx="282">
                  <c:v>152.69174985069535</c:v>
                </c:pt>
                <c:pt idx="283">
                  <c:v>151.5655660779797</c:v>
                </c:pt>
                <c:pt idx="284">
                  <c:v>151.0024741916219</c:v>
                </c:pt>
                <c:pt idx="285">
                  <c:v>150.21755822882005</c:v>
                </c:pt>
                <c:pt idx="286">
                  <c:v>142.96561726815119</c:v>
                </c:pt>
                <c:pt idx="287">
                  <c:v>145.92611551915365</c:v>
                </c:pt>
                <c:pt idx="288">
                  <c:v>144.88524869891648</c:v>
                </c:pt>
                <c:pt idx="289">
                  <c:v>145.03881921337771</c:v>
                </c:pt>
                <c:pt idx="290">
                  <c:v>145.70429144270966</c:v>
                </c:pt>
                <c:pt idx="291">
                  <c:v>144.38187867929358</c:v>
                </c:pt>
                <c:pt idx="292">
                  <c:v>143.04240252538182</c:v>
                </c:pt>
                <c:pt idx="293">
                  <c:v>138.22199471034895</c:v>
                </c:pt>
                <c:pt idx="294">
                  <c:v>140.91801040866821</c:v>
                </c:pt>
                <c:pt idx="295">
                  <c:v>138.86187185393737</c:v>
                </c:pt>
                <c:pt idx="296">
                  <c:v>138.10255097687912</c:v>
                </c:pt>
                <c:pt idx="297">
                  <c:v>134.63015101100589</c:v>
                </c:pt>
                <c:pt idx="298">
                  <c:v>135.96109546966983</c:v>
                </c:pt>
                <c:pt idx="299">
                  <c:v>136.78013821346303</c:v>
                </c:pt>
                <c:pt idx="300">
                  <c:v>133.09444586639364</c:v>
                </c:pt>
                <c:pt idx="301">
                  <c:v>133.4357136763075</c:v>
                </c:pt>
                <c:pt idx="302">
                  <c:v>134.57896083951883</c:v>
                </c:pt>
                <c:pt idx="303">
                  <c:v>133.87936182919546</c:v>
                </c:pt>
                <c:pt idx="304">
                  <c:v>135.43213036430339</c:v>
                </c:pt>
                <c:pt idx="305">
                  <c:v>125.42445183858032</c:v>
                </c:pt>
                <c:pt idx="306">
                  <c:v>126.41412848733043</c:v>
                </c:pt>
                <c:pt idx="307">
                  <c:v>127.76213633649007</c:v>
                </c:pt>
                <c:pt idx="308">
                  <c:v>122.03736882518557</c:v>
                </c:pt>
                <c:pt idx="309">
                  <c:v>119.1536558314137</c:v>
                </c:pt>
                <c:pt idx="310">
                  <c:v>115.4594317890965</c:v>
                </c:pt>
                <c:pt idx="311">
                  <c:v>115.92867502772802</c:v>
                </c:pt>
                <c:pt idx="312">
                  <c:v>113.6336490060575</c:v>
                </c:pt>
                <c:pt idx="313">
                  <c:v>115.22907601740467</c:v>
                </c:pt>
                <c:pt idx="314">
                  <c:v>113.94932173022781</c:v>
                </c:pt>
                <c:pt idx="315">
                  <c:v>114.0772971589455</c:v>
                </c:pt>
                <c:pt idx="316">
                  <c:v>114.29058954014164</c:v>
                </c:pt>
                <c:pt idx="317">
                  <c:v>113.07908881494753</c:v>
                </c:pt>
                <c:pt idx="318">
                  <c:v>115.77510451326678</c:v>
                </c:pt>
                <c:pt idx="319">
                  <c:v>116.19315758041122</c:v>
                </c:pt>
                <c:pt idx="320">
                  <c:v>118.73560276426926</c:v>
                </c:pt>
                <c:pt idx="321">
                  <c:v>116.00546028495862</c:v>
                </c:pt>
                <c:pt idx="322">
                  <c:v>114.48681853084209</c:v>
                </c:pt>
                <c:pt idx="323">
                  <c:v>112.88285982424708</c:v>
                </c:pt>
                <c:pt idx="324">
                  <c:v>112.85726473850355</c:v>
                </c:pt>
                <c:pt idx="325">
                  <c:v>110.77553109802918</c:v>
                </c:pt>
                <c:pt idx="326">
                  <c:v>110.30628785939767</c:v>
                </c:pt>
                <c:pt idx="327">
                  <c:v>109.15450900093848</c:v>
                </c:pt>
                <c:pt idx="328">
                  <c:v>107.50789181810427</c:v>
                </c:pt>
                <c:pt idx="329">
                  <c:v>109.90529818274892</c:v>
                </c:pt>
                <c:pt idx="330">
                  <c:v>111.9529050422319</c:v>
                </c:pt>
                <c:pt idx="331">
                  <c:v>109.77732275403123</c:v>
                </c:pt>
                <c:pt idx="332">
                  <c:v>109.74319597303986</c:v>
                </c:pt>
                <c:pt idx="333">
                  <c:v>108.4463782953673</c:v>
                </c:pt>
                <c:pt idx="334">
                  <c:v>104.96544663424623</c:v>
                </c:pt>
                <c:pt idx="335">
                  <c:v>105.38349970139068</c:v>
                </c:pt>
                <c:pt idx="336">
                  <c:v>104.89719307226346</c:v>
                </c:pt>
                <c:pt idx="337">
                  <c:v>105.27258766316866</c:v>
                </c:pt>
                <c:pt idx="338">
                  <c:v>104.16346728094874</c:v>
                </c:pt>
                <c:pt idx="339">
                  <c:v>112.72075761453802</c:v>
                </c:pt>
                <c:pt idx="340">
                  <c:v>114.22233597815887</c:v>
                </c:pt>
                <c:pt idx="341">
                  <c:v>118.19810596365498</c:v>
                </c:pt>
                <c:pt idx="342">
                  <c:v>117.96775019196315</c:v>
                </c:pt>
                <c:pt idx="343">
                  <c:v>115.54474874157496</c:v>
                </c:pt>
                <c:pt idx="344">
                  <c:v>116.35525979012029</c:v>
                </c:pt>
                <c:pt idx="345">
                  <c:v>118.19810596365498</c:v>
                </c:pt>
                <c:pt idx="346">
                  <c:v>117.57529221056224</c:v>
                </c:pt>
                <c:pt idx="347">
                  <c:v>118.26635952563775</c:v>
                </c:pt>
                <c:pt idx="348">
                  <c:v>118.12132070642436</c:v>
                </c:pt>
                <c:pt idx="349">
                  <c:v>117.2852145721355</c:v>
                </c:pt>
                <c:pt idx="350">
                  <c:v>117.60088729630579</c:v>
                </c:pt>
                <c:pt idx="351">
                  <c:v>121.44868185308422</c:v>
                </c:pt>
                <c:pt idx="352">
                  <c:v>123.02704547393566</c:v>
                </c:pt>
                <c:pt idx="353">
                  <c:v>121.55106219605835</c:v>
                </c:pt>
                <c:pt idx="354">
                  <c:v>120.92824844296564</c:v>
                </c:pt>
                <c:pt idx="355">
                  <c:v>121.58518897704973</c:v>
                </c:pt>
                <c:pt idx="356">
                  <c:v>121.81554474874159</c:v>
                </c:pt>
                <c:pt idx="357">
                  <c:v>123.72664448425903</c:v>
                </c:pt>
                <c:pt idx="358">
                  <c:v>122.02030543468989</c:v>
                </c:pt>
                <c:pt idx="359">
                  <c:v>124.33239484685608</c:v>
                </c:pt>
                <c:pt idx="360">
                  <c:v>124.92961351420529</c:v>
                </c:pt>
                <c:pt idx="361">
                  <c:v>126.30321644910845</c:v>
                </c:pt>
                <c:pt idx="362">
                  <c:v>124.34945823735177</c:v>
                </c:pt>
                <c:pt idx="363">
                  <c:v>126.66154764951798</c:v>
                </c:pt>
                <c:pt idx="364">
                  <c:v>126.03873389642521</c:v>
                </c:pt>
                <c:pt idx="365">
                  <c:v>126.64448425902228</c:v>
                </c:pt>
                <c:pt idx="366">
                  <c:v>128.56411568978757</c:v>
                </c:pt>
                <c:pt idx="367">
                  <c:v>131.11509256889343</c:v>
                </c:pt>
                <c:pt idx="368">
                  <c:v>130.44108864431362</c:v>
                </c:pt>
                <c:pt idx="369">
                  <c:v>130.59465915877485</c:v>
                </c:pt>
                <c:pt idx="370">
                  <c:v>131.31985325484172</c:v>
                </c:pt>
                <c:pt idx="371">
                  <c:v>131.8146915792168</c:v>
                </c:pt>
                <c:pt idx="372">
                  <c:v>133.31626994283766</c:v>
                </c:pt>
                <c:pt idx="373">
                  <c:v>133.41011859056394</c:v>
                </c:pt>
                <c:pt idx="374">
                  <c:v>134.47658049654467</c:v>
                </c:pt>
                <c:pt idx="375">
                  <c:v>135.56863748826893</c:v>
                </c:pt>
                <c:pt idx="376">
                  <c:v>136.54125074652333</c:v>
                </c:pt>
                <c:pt idx="377">
                  <c:v>136.14879276512244</c:v>
                </c:pt>
                <c:pt idx="378">
                  <c:v>135.91843699343059</c:v>
                </c:pt>
                <c:pt idx="379">
                  <c:v>136.25117310809657</c:v>
                </c:pt>
                <c:pt idx="380">
                  <c:v>135.06526746864603</c:v>
                </c:pt>
                <c:pt idx="381">
                  <c:v>136.09760259363537</c:v>
                </c:pt>
                <c:pt idx="382">
                  <c:v>135.43213036430339</c:v>
                </c:pt>
                <c:pt idx="383">
                  <c:v>136.59244091801042</c:v>
                </c:pt>
                <c:pt idx="384">
                  <c:v>137.24938145209453</c:v>
                </c:pt>
                <c:pt idx="385">
                  <c:v>137.18965958535964</c:v>
                </c:pt>
                <c:pt idx="386">
                  <c:v>138.21346301510113</c:v>
                </c:pt>
                <c:pt idx="387">
                  <c:v>138.938657111168</c:v>
                </c:pt>
                <c:pt idx="388">
                  <c:v>139.13488610186846</c:v>
                </c:pt>
                <c:pt idx="389">
                  <c:v>139.8344851121918</c:v>
                </c:pt>
                <c:pt idx="390">
                  <c:v>140.74737650371131</c:v>
                </c:pt>
                <c:pt idx="391">
                  <c:v>137.67596621448683</c:v>
                </c:pt>
                <c:pt idx="392">
                  <c:v>139.95392884566164</c:v>
                </c:pt>
                <c:pt idx="393">
                  <c:v>141.11423939936867</c:v>
                </c:pt>
                <c:pt idx="394">
                  <c:v>142.72672980121149</c:v>
                </c:pt>
                <c:pt idx="395">
                  <c:v>142.39399368654551</c:v>
                </c:pt>
                <c:pt idx="396">
                  <c:v>138.46088217728862</c:v>
                </c:pt>
                <c:pt idx="397">
                  <c:v>136.8313283849501</c:v>
                </c:pt>
                <c:pt idx="398">
                  <c:v>135.12498933538095</c:v>
                </c:pt>
                <c:pt idx="399">
                  <c:v>136.78013821346303</c:v>
                </c:pt>
                <c:pt idx="400">
                  <c:v>138.46941387253648</c:v>
                </c:pt>
                <c:pt idx="401">
                  <c:v>136.37914853681428</c:v>
                </c:pt>
                <c:pt idx="402">
                  <c:v>139.28845661632968</c:v>
                </c:pt>
                <c:pt idx="403">
                  <c:v>140.30372835082329</c:v>
                </c:pt>
                <c:pt idx="404">
                  <c:v>142.59022267724598</c:v>
                </c:pt>
                <c:pt idx="405">
                  <c:v>143.81878679293575</c:v>
                </c:pt>
                <c:pt idx="406">
                  <c:v>143.27275829707364</c:v>
                </c:pt>
                <c:pt idx="407">
                  <c:v>143.61402610698747</c:v>
                </c:pt>
                <c:pt idx="408">
                  <c:v>148.66478969371215</c:v>
                </c:pt>
                <c:pt idx="409">
                  <c:v>143.26422660182578</c:v>
                </c:pt>
                <c:pt idx="410">
                  <c:v>141.3872536472997</c:v>
                </c:pt>
                <c:pt idx="411">
                  <c:v>135.06526746864603</c:v>
                </c:pt>
                <c:pt idx="412">
                  <c:v>131.5928675027728</c:v>
                </c:pt>
                <c:pt idx="413">
                  <c:v>128.36788669908711</c:v>
                </c:pt>
                <c:pt idx="414">
                  <c:v>124.75044791400052</c:v>
                </c:pt>
                <c:pt idx="415">
                  <c:v>125.74012456275061</c:v>
                </c:pt>
                <c:pt idx="416">
                  <c:v>127.27582970736286</c:v>
                </c:pt>
                <c:pt idx="417">
                  <c:v>122.89907004521801</c:v>
                </c:pt>
                <c:pt idx="418">
                  <c:v>132.46310041805307</c:v>
                </c:pt>
                <c:pt idx="419">
                  <c:v>129.17839774763246</c:v>
                </c:pt>
                <c:pt idx="420">
                  <c:v>128.29110144185651</c:v>
                </c:pt>
                <c:pt idx="421">
                  <c:v>121.55959389130619</c:v>
                </c:pt>
                <c:pt idx="422">
                  <c:v>122.42982680658648</c:v>
                </c:pt>
                <c:pt idx="423">
                  <c:v>125.38179336234111</c:v>
                </c:pt>
                <c:pt idx="424">
                  <c:v>120.9794386144527</c:v>
                </c:pt>
                <c:pt idx="425">
                  <c:v>134.87757017319342</c:v>
                </c:pt>
                <c:pt idx="426">
                  <c:v>110.05886869721013</c:v>
                </c:pt>
                <c:pt idx="427">
                  <c:v>106.10016210220972</c:v>
                </c:pt>
                <c:pt idx="428">
                  <c:v>100.05972186673493</c:v>
                </c:pt>
                <c:pt idx="429">
                  <c:v>113.30091289139152</c:v>
                </c:pt>
                <c:pt idx="430">
                  <c:v>98.225407388448076</c:v>
                </c:pt>
                <c:pt idx="431">
                  <c:v>102.39740636464465</c:v>
                </c:pt>
                <c:pt idx="432">
                  <c:v>109.40192816312602</c:v>
                </c:pt>
                <c:pt idx="433">
                  <c:v>99.923214742769389</c:v>
                </c:pt>
                <c:pt idx="434">
                  <c:v>111.21064755566931</c:v>
                </c:pt>
                <c:pt idx="435">
                  <c:v>107.80650115177886</c:v>
                </c:pt>
                <c:pt idx="436">
                  <c:v>119.53758211756677</c:v>
                </c:pt>
                <c:pt idx="437">
                  <c:v>119.23897278389215</c:v>
                </c:pt>
                <c:pt idx="438">
                  <c:v>105.17873901544237</c:v>
                </c:pt>
                <c:pt idx="439">
                  <c:v>101.88550464977394</c:v>
                </c:pt>
                <c:pt idx="440">
                  <c:v>99.530756761368494</c:v>
                </c:pt>
                <c:pt idx="441">
                  <c:v>108.29280778090609</c:v>
                </c:pt>
                <c:pt idx="442">
                  <c:v>108.55729033358929</c:v>
                </c:pt>
                <c:pt idx="443">
                  <c:v>111.8590563945056</c:v>
                </c:pt>
                <c:pt idx="444">
                  <c:v>115.05844211244775</c:v>
                </c:pt>
                <c:pt idx="445">
                  <c:v>118.50524699257743</c:v>
                </c:pt>
                <c:pt idx="446">
                  <c:v>128.44467195631773</c:v>
                </c:pt>
                <c:pt idx="447">
                  <c:v>123.47069362682366</c:v>
                </c:pt>
                <c:pt idx="448">
                  <c:v>125.20262776213636</c:v>
                </c:pt>
                <c:pt idx="449">
                  <c:v>127.00281545943182</c:v>
                </c:pt>
                <c:pt idx="450">
                  <c:v>125.05758894292298</c:v>
                </c:pt>
                <c:pt idx="451">
                  <c:v>124.87842334271821</c:v>
                </c:pt>
                <c:pt idx="452">
                  <c:v>124.61394079003499</c:v>
                </c:pt>
                <c:pt idx="453">
                  <c:v>122.3615732446037</c:v>
                </c:pt>
                <c:pt idx="454">
                  <c:v>122.04590052043342</c:v>
                </c:pt>
                <c:pt idx="455">
                  <c:v>125.4159201433325</c:v>
                </c:pt>
                <c:pt idx="456">
                  <c:v>128.1034041464039</c:v>
                </c:pt>
                <c:pt idx="457">
                  <c:v>143.48605067826978</c:v>
                </c:pt>
                <c:pt idx="458">
                  <c:v>135.90990529818276</c:v>
                </c:pt>
                <c:pt idx="459">
                  <c:v>128.16312601313882</c:v>
                </c:pt>
                <c:pt idx="460">
                  <c:v>127.46352700281547</c:v>
                </c:pt>
                <c:pt idx="461">
                  <c:v>134.20356624861364</c:v>
                </c:pt>
                <c:pt idx="462">
                  <c:v>138.09401928163126</c:v>
                </c:pt>
                <c:pt idx="463">
                  <c:v>142.05272587663168</c:v>
                </c:pt>
                <c:pt idx="464">
                  <c:v>145.52512584250491</c:v>
                </c:pt>
                <c:pt idx="465">
                  <c:v>143.48605067826978</c:v>
                </c:pt>
                <c:pt idx="466">
                  <c:v>140.08190427437933</c:v>
                </c:pt>
                <c:pt idx="467">
                  <c:v>139.81742172169612</c:v>
                </c:pt>
                <c:pt idx="468">
                  <c:v>138.99837897790292</c:v>
                </c:pt>
                <c:pt idx="469">
                  <c:v>140.46583056053237</c:v>
                </c:pt>
                <c:pt idx="470">
                  <c:v>144.57810766999404</c:v>
                </c:pt>
                <c:pt idx="471">
                  <c:v>142.28308164832353</c:v>
                </c:pt>
                <c:pt idx="472">
                  <c:v>143.45192389727839</c:v>
                </c:pt>
                <c:pt idx="473">
                  <c:v>144.35628359355005</c:v>
                </c:pt>
                <c:pt idx="474">
                  <c:v>144.70608309871173</c:v>
                </c:pt>
                <c:pt idx="475">
                  <c:v>145.87492534766656</c:v>
                </c:pt>
                <c:pt idx="476">
                  <c:v>150.34553365753774</c:v>
                </c:pt>
                <c:pt idx="477">
                  <c:v>145.44834058527428</c:v>
                </c:pt>
                <c:pt idx="478">
                  <c:v>144.72314648920741</c:v>
                </c:pt>
                <c:pt idx="479">
                  <c:v>147.20586980633053</c:v>
                </c:pt>
                <c:pt idx="480">
                  <c:v>146.60865113898132</c:v>
                </c:pt>
                <c:pt idx="481">
                  <c:v>149.54355430424027</c:v>
                </c:pt>
                <c:pt idx="482">
                  <c:v>152.7770668031738</c:v>
                </c:pt>
                <c:pt idx="483">
                  <c:v>156.64192475044791</c:v>
                </c:pt>
                <c:pt idx="484">
                  <c:v>157.39271393225835</c:v>
                </c:pt>
                <c:pt idx="485">
                  <c:v>153.51079259448855</c:v>
                </c:pt>
                <c:pt idx="486">
                  <c:v>150.05545601911101</c:v>
                </c:pt>
                <c:pt idx="487">
                  <c:v>140.44023547478886</c:v>
                </c:pt>
                <c:pt idx="488">
                  <c:v>137.88072690043515</c:v>
                </c:pt>
                <c:pt idx="489">
                  <c:v>126.38000170633904</c:v>
                </c:pt>
                <c:pt idx="490">
                  <c:v>132.55694906577938</c:v>
                </c:pt>
                <c:pt idx="491">
                  <c:v>128.18018940363453</c:v>
                </c:pt>
                <c:pt idx="492">
                  <c:v>126.70847197338111</c:v>
                </c:pt>
                <c:pt idx="493">
                  <c:v>124.50302875181301</c:v>
                </c:pt>
                <c:pt idx="494">
                  <c:v>130.78235645422745</c:v>
                </c:pt>
                <c:pt idx="495">
                  <c:v>129.63910929101613</c:v>
                </c:pt>
                <c:pt idx="496">
                  <c:v>126.50797713505675</c:v>
                </c:pt>
                <c:pt idx="497">
                  <c:v>126.30321644910845</c:v>
                </c:pt>
                <c:pt idx="498">
                  <c:v>126.08139237266445</c:v>
                </c:pt>
                <c:pt idx="499">
                  <c:v>131.10656087364558</c:v>
                </c:pt>
                <c:pt idx="500">
                  <c:v>131.0894974831499</c:v>
                </c:pt>
                <c:pt idx="501">
                  <c:v>135.30415493558573</c:v>
                </c:pt>
                <c:pt idx="502">
                  <c:v>135.24443306885078</c:v>
                </c:pt>
                <c:pt idx="503">
                  <c:v>137.42001535705143</c:v>
                </c:pt>
                <c:pt idx="504">
                  <c:v>134.7410630492279</c:v>
                </c:pt>
                <c:pt idx="505">
                  <c:v>133.81963996246054</c:v>
                </c:pt>
                <c:pt idx="506">
                  <c:v>128.93951028069276</c:v>
                </c:pt>
                <c:pt idx="507">
                  <c:v>130.49227881580069</c:v>
                </c:pt>
                <c:pt idx="508">
                  <c:v>130.0230355771692</c:v>
                </c:pt>
                <c:pt idx="509">
                  <c:v>130.79941984472316</c:v>
                </c:pt>
                <c:pt idx="510">
                  <c:v>139.2031396638512</c:v>
                </c:pt>
                <c:pt idx="511">
                  <c:v>139.29698831157754</c:v>
                </c:pt>
                <c:pt idx="512">
                  <c:v>140.31226004607115</c:v>
                </c:pt>
                <c:pt idx="513">
                  <c:v>141.26780991382989</c:v>
                </c:pt>
                <c:pt idx="514">
                  <c:v>143.86997696442282</c:v>
                </c:pt>
                <c:pt idx="515">
                  <c:v>143.07652930637317</c:v>
                </c:pt>
                <c:pt idx="516">
                  <c:v>142.41105707704119</c:v>
                </c:pt>
                <c:pt idx="517">
                  <c:v>139.77476324545691</c:v>
                </c:pt>
                <c:pt idx="518">
                  <c:v>141.06304922788161</c:v>
                </c:pt>
                <c:pt idx="519">
                  <c:v>139.62972442624351</c:v>
                </c:pt>
                <c:pt idx="520">
                  <c:v>119.02568040269601</c:v>
                </c:pt>
                <c:pt idx="521">
                  <c:v>114.66598413104686</c:v>
                </c:pt>
                <c:pt idx="522">
                  <c:v>107.67852572306118</c:v>
                </c:pt>
                <c:pt idx="523">
                  <c:v>102.79839604129342</c:v>
                </c:pt>
                <c:pt idx="524">
                  <c:v>100.53749680061431</c:v>
                </c:pt>
                <c:pt idx="525">
                  <c:v>97.559935159116122</c:v>
                </c:pt>
                <c:pt idx="526">
                  <c:v>102.69601569831927</c:v>
                </c:pt>
                <c:pt idx="527">
                  <c:v>99.274805903933114</c:v>
                </c:pt>
                <c:pt idx="528">
                  <c:v>103.3956147086426</c:v>
                </c:pt>
                <c:pt idx="529">
                  <c:v>103.67716065182151</c:v>
                </c:pt>
                <c:pt idx="530">
                  <c:v>99.940278133265082</c:v>
                </c:pt>
                <c:pt idx="531">
                  <c:v>99.880556266530164</c:v>
                </c:pt>
                <c:pt idx="532">
                  <c:v>100.38392628615307</c:v>
                </c:pt>
                <c:pt idx="533">
                  <c:v>99.027386741745588</c:v>
                </c:pt>
                <c:pt idx="534">
                  <c:v>96.885931234536301</c:v>
                </c:pt>
                <c:pt idx="535">
                  <c:v>92.432386315160826</c:v>
                </c:pt>
                <c:pt idx="536">
                  <c:v>89.881409436054952</c:v>
                </c:pt>
                <c:pt idx="537">
                  <c:v>89.81315587407218</c:v>
                </c:pt>
                <c:pt idx="538">
                  <c:v>87.108608480505083</c:v>
                </c:pt>
                <c:pt idx="539">
                  <c:v>87.663168671615054</c:v>
                </c:pt>
                <c:pt idx="540">
                  <c:v>87.424281204675367</c:v>
                </c:pt>
                <c:pt idx="541">
                  <c:v>88.277450729459943</c:v>
                </c:pt>
                <c:pt idx="542">
                  <c:v>88.465148024912551</c:v>
                </c:pt>
                <c:pt idx="543">
                  <c:v>87.509598157153818</c:v>
                </c:pt>
                <c:pt idx="544">
                  <c:v>87.535193242897364</c:v>
                </c:pt>
                <c:pt idx="545">
                  <c:v>87.031823223274472</c:v>
                </c:pt>
                <c:pt idx="546">
                  <c:v>82.015186417541159</c:v>
                </c:pt>
                <c:pt idx="547">
                  <c:v>80.957256206808296</c:v>
                </c:pt>
                <c:pt idx="548">
                  <c:v>80.735432130364302</c:v>
                </c:pt>
                <c:pt idx="549">
                  <c:v>79.080283252282229</c:v>
                </c:pt>
                <c:pt idx="550">
                  <c:v>76.990017916560021</c:v>
                </c:pt>
                <c:pt idx="551">
                  <c:v>75.531098029178395</c:v>
                </c:pt>
                <c:pt idx="552">
                  <c:v>76.529306373176354</c:v>
                </c:pt>
                <c:pt idx="553">
                  <c:v>76.793788925859573</c:v>
                </c:pt>
                <c:pt idx="554">
                  <c:v>79.344765804965462</c:v>
                </c:pt>
                <c:pt idx="555">
                  <c:v>80.027301424793109</c:v>
                </c:pt>
                <c:pt idx="556">
                  <c:v>77.902909308079529</c:v>
                </c:pt>
                <c:pt idx="557">
                  <c:v>77.152120126269097</c:v>
                </c:pt>
                <c:pt idx="558">
                  <c:v>80.35150584421126</c:v>
                </c:pt>
                <c:pt idx="559">
                  <c:v>80.547734834911694</c:v>
                </c:pt>
                <c:pt idx="560">
                  <c:v>80.018769729545269</c:v>
                </c:pt>
                <c:pt idx="561">
                  <c:v>81.025509768791053</c:v>
                </c:pt>
                <c:pt idx="562">
                  <c:v>80.948724511560442</c:v>
                </c:pt>
                <c:pt idx="563">
                  <c:v>80.31737906321986</c:v>
                </c:pt>
                <c:pt idx="564">
                  <c:v>78.039416432045044</c:v>
                </c:pt>
                <c:pt idx="565">
                  <c:v>78.056479822540737</c:v>
                </c:pt>
                <c:pt idx="566">
                  <c:v>77.732275403122614</c:v>
                </c:pt>
                <c:pt idx="567">
                  <c:v>78.457469499189486</c:v>
                </c:pt>
                <c:pt idx="568">
                  <c:v>79.899325996075433</c:v>
                </c:pt>
                <c:pt idx="569">
                  <c:v>80.18940363450217</c:v>
                </c:pt>
                <c:pt idx="570">
                  <c:v>81.486221312174735</c:v>
                </c:pt>
                <c:pt idx="571">
                  <c:v>82.271137274976553</c:v>
                </c:pt>
                <c:pt idx="572">
                  <c:v>83.209623752239565</c:v>
                </c:pt>
                <c:pt idx="573">
                  <c:v>81.818957426840726</c:v>
                </c:pt>
                <c:pt idx="574">
                  <c:v>82.032249808036866</c:v>
                </c:pt>
                <c:pt idx="575">
                  <c:v>82.450302875181308</c:v>
                </c:pt>
                <c:pt idx="576">
                  <c:v>82.527088132411919</c:v>
                </c:pt>
                <c:pt idx="577">
                  <c:v>83.516764781162024</c:v>
                </c:pt>
                <c:pt idx="578">
                  <c:v>82.885419332821442</c:v>
                </c:pt>
                <c:pt idx="579">
                  <c:v>81.946932855558401</c:v>
                </c:pt>
                <c:pt idx="580">
                  <c:v>81.725108779114422</c:v>
                </c:pt>
                <c:pt idx="581">
                  <c:v>82.040781503284705</c:v>
                </c:pt>
                <c:pt idx="582">
                  <c:v>80.078491596280188</c:v>
                </c:pt>
                <c:pt idx="583">
                  <c:v>76.77672553536388</c:v>
                </c:pt>
                <c:pt idx="584">
                  <c:v>71.128743281289999</c:v>
                </c:pt>
                <c:pt idx="585">
                  <c:v>71.930722634587497</c:v>
                </c:pt>
                <c:pt idx="586">
                  <c:v>70.86426072860678</c:v>
                </c:pt>
                <c:pt idx="587">
                  <c:v>71.871000767852564</c:v>
                </c:pt>
                <c:pt idx="588">
                  <c:v>74.05511475130109</c:v>
                </c:pt>
                <c:pt idx="589">
                  <c:v>85.31695247845748</c:v>
                </c:pt>
                <c:pt idx="590">
                  <c:v>76.751130449620348</c:v>
                </c:pt>
                <c:pt idx="591">
                  <c:v>74.694991894889512</c:v>
                </c:pt>
                <c:pt idx="592">
                  <c:v>76.78525723061172</c:v>
                </c:pt>
                <c:pt idx="593">
                  <c:v>76.78525723061172</c:v>
                </c:pt>
                <c:pt idx="594">
                  <c:v>74.18309018001878</c:v>
                </c:pt>
                <c:pt idx="595">
                  <c:v>73.509086255438959</c:v>
                </c:pt>
                <c:pt idx="596">
                  <c:v>75.01066461905981</c:v>
                </c:pt>
                <c:pt idx="597">
                  <c:v>76.77672553536388</c:v>
                </c:pt>
                <c:pt idx="598">
                  <c:v>77.211841993004015</c:v>
                </c:pt>
                <c:pt idx="599">
                  <c:v>75.573756505417634</c:v>
                </c:pt>
                <c:pt idx="600">
                  <c:v>75.437249381452105</c:v>
                </c:pt>
                <c:pt idx="601">
                  <c:v>76.034468048801301</c:v>
                </c:pt>
                <c:pt idx="602">
                  <c:v>76.913232659329424</c:v>
                </c:pt>
                <c:pt idx="603">
                  <c:v>79.054688166538682</c:v>
                </c:pt>
                <c:pt idx="604">
                  <c:v>77.971162870062287</c:v>
                </c:pt>
                <c:pt idx="605">
                  <c:v>79.49833631942667</c:v>
                </c:pt>
                <c:pt idx="606">
                  <c:v>80.10408668202372</c:v>
                </c:pt>
                <c:pt idx="607">
                  <c:v>80.411227710946164</c:v>
                </c:pt>
                <c:pt idx="608">
                  <c:v>77.352614964593471</c:v>
                </c:pt>
                <c:pt idx="609">
                  <c:v>79.489804624178831</c:v>
                </c:pt>
                <c:pt idx="610">
                  <c:v>79.515399709922363</c:v>
                </c:pt>
                <c:pt idx="611">
                  <c:v>79.49833631942667</c:v>
                </c:pt>
                <c:pt idx="612">
                  <c:v>79.600716662400814</c:v>
                </c:pt>
                <c:pt idx="613">
                  <c:v>78.798737309103316</c:v>
                </c:pt>
                <c:pt idx="614">
                  <c:v>82.117566760515317</c:v>
                </c:pt>
                <c:pt idx="615">
                  <c:v>80.863407559081992</c:v>
                </c:pt>
                <c:pt idx="616">
                  <c:v>80.001706339049576</c:v>
                </c:pt>
                <c:pt idx="617">
                  <c:v>84.113983448511235</c:v>
                </c:pt>
                <c:pt idx="618">
                  <c:v>81.486221312174735</c:v>
                </c:pt>
                <c:pt idx="619">
                  <c:v>82.032249808036866</c:v>
                </c:pt>
                <c:pt idx="620">
                  <c:v>83.252282228478805</c:v>
                </c:pt>
                <c:pt idx="621">
                  <c:v>82.066376589028238</c:v>
                </c:pt>
                <c:pt idx="622">
                  <c:v>79.447146147939605</c:v>
                </c:pt>
                <c:pt idx="623">
                  <c:v>83.619145124136168</c:v>
                </c:pt>
                <c:pt idx="624">
                  <c:v>82.834229161334363</c:v>
                </c:pt>
                <c:pt idx="625">
                  <c:v>82.876887637573589</c:v>
                </c:pt>
                <c:pt idx="626">
                  <c:v>80.035833120040962</c:v>
                </c:pt>
                <c:pt idx="627">
                  <c:v>81.904274379319176</c:v>
                </c:pt>
                <c:pt idx="628">
                  <c:v>81.332650797713512</c:v>
                </c:pt>
                <c:pt idx="629">
                  <c:v>78.355089156215357</c:v>
                </c:pt>
                <c:pt idx="630">
                  <c:v>80.889002644825538</c:v>
                </c:pt>
                <c:pt idx="631">
                  <c:v>78.235645422745506</c:v>
                </c:pt>
                <c:pt idx="632">
                  <c:v>76.43545772545005</c:v>
                </c:pt>
                <c:pt idx="633">
                  <c:v>77.425134374200155</c:v>
                </c:pt>
                <c:pt idx="634">
                  <c:v>79.558058186161588</c:v>
                </c:pt>
                <c:pt idx="635">
                  <c:v>77.681085231635521</c:v>
                </c:pt>
                <c:pt idx="636">
                  <c:v>76.290418906236681</c:v>
                </c:pt>
                <c:pt idx="637">
                  <c:v>78.227113727497652</c:v>
                </c:pt>
                <c:pt idx="638">
                  <c:v>79.387424281204673</c:v>
                </c:pt>
                <c:pt idx="639">
                  <c:v>78.602508318402869</c:v>
                </c:pt>
                <c:pt idx="640">
                  <c:v>76.529306373176354</c:v>
                </c:pt>
                <c:pt idx="641">
                  <c:v>77.25450046924324</c:v>
                </c:pt>
                <c:pt idx="642">
                  <c:v>75.804112277109454</c:v>
                </c:pt>
                <c:pt idx="643">
                  <c:v>77.629895060148442</c:v>
                </c:pt>
                <c:pt idx="644">
                  <c:v>75.855302448596547</c:v>
                </c:pt>
                <c:pt idx="645">
                  <c:v>75.991809572562062</c:v>
                </c:pt>
                <c:pt idx="646">
                  <c:v>73.901544236839868</c:v>
                </c:pt>
                <c:pt idx="647">
                  <c:v>75.39459090521288</c:v>
                </c:pt>
                <c:pt idx="648">
                  <c:v>77.0412080880471</c:v>
                </c:pt>
                <c:pt idx="649">
                  <c:v>78.235645422745506</c:v>
                </c:pt>
                <c:pt idx="650">
                  <c:v>75.863834143844386</c:v>
                </c:pt>
                <c:pt idx="651">
                  <c:v>76.870574183090184</c:v>
                </c:pt>
                <c:pt idx="652">
                  <c:v>77.135056735773404</c:v>
                </c:pt>
                <c:pt idx="653">
                  <c:v>80.445354491937564</c:v>
                </c:pt>
                <c:pt idx="654">
                  <c:v>80.325910758467714</c:v>
                </c:pt>
                <c:pt idx="655">
                  <c:v>81.255865540482901</c:v>
                </c:pt>
                <c:pt idx="656">
                  <c:v>82.091971674771784</c:v>
                </c:pt>
                <c:pt idx="657">
                  <c:v>80.547734834911694</c:v>
                </c:pt>
                <c:pt idx="658">
                  <c:v>79.447146147939605</c:v>
                </c:pt>
                <c:pt idx="659">
                  <c:v>78.849927480590395</c:v>
                </c:pt>
                <c:pt idx="660">
                  <c:v>80.829280778090606</c:v>
                </c:pt>
                <c:pt idx="661">
                  <c:v>80.385632625202632</c:v>
                </c:pt>
                <c:pt idx="662">
                  <c:v>77.356880812217383</c:v>
                </c:pt>
                <c:pt idx="663">
                  <c:v>79.233853766743451</c:v>
                </c:pt>
                <c:pt idx="664">
                  <c:v>80.138213463015106</c:v>
                </c:pt>
                <c:pt idx="665">
                  <c:v>77.186246907260482</c:v>
                </c:pt>
                <c:pt idx="666">
                  <c:v>77.570173193413538</c:v>
                </c:pt>
                <c:pt idx="667">
                  <c:v>73.790632198617871</c:v>
                </c:pt>
                <c:pt idx="668">
                  <c:v>68.006142820578447</c:v>
                </c:pt>
                <c:pt idx="669">
                  <c:v>67.451582629468476</c:v>
                </c:pt>
                <c:pt idx="670">
                  <c:v>68.833717259619505</c:v>
                </c:pt>
                <c:pt idx="671">
                  <c:v>68.765463697636719</c:v>
                </c:pt>
                <c:pt idx="672">
                  <c:v>71.24818701475985</c:v>
                </c:pt>
                <c:pt idx="673">
                  <c:v>70.73628529988909</c:v>
                </c:pt>
                <c:pt idx="674">
                  <c:v>71.512669567443041</c:v>
                </c:pt>
                <c:pt idx="675">
                  <c:v>74.558484770923982</c:v>
                </c:pt>
                <c:pt idx="676">
                  <c:v>75.795580581861628</c:v>
                </c:pt>
                <c:pt idx="677">
                  <c:v>74.950942752324892</c:v>
                </c:pt>
                <c:pt idx="678">
                  <c:v>73.773568808122178</c:v>
                </c:pt>
                <c:pt idx="679">
                  <c:v>74.822967323607202</c:v>
                </c:pt>
                <c:pt idx="680">
                  <c:v>74.370787475471374</c:v>
                </c:pt>
                <c:pt idx="681">
                  <c:v>74.669396809145979</c:v>
                </c:pt>
                <c:pt idx="682">
                  <c:v>73.031311321559585</c:v>
                </c:pt>
                <c:pt idx="683">
                  <c:v>74.737650371128737</c:v>
                </c:pt>
                <c:pt idx="684">
                  <c:v>76.102721610784073</c:v>
                </c:pt>
                <c:pt idx="685">
                  <c:v>78.67929357563348</c:v>
                </c:pt>
                <c:pt idx="686">
                  <c:v>79.438614452691752</c:v>
                </c:pt>
                <c:pt idx="687">
                  <c:v>76.78525723061172</c:v>
                </c:pt>
                <c:pt idx="688">
                  <c:v>77.646958450644149</c:v>
                </c:pt>
                <c:pt idx="689">
                  <c:v>78.414811022950261</c:v>
                </c:pt>
                <c:pt idx="690">
                  <c:v>79.250917157239158</c:v>
                </c:pt>
                <c:pt idx="691">
                  <c:v>78.866990871086088</c:v>
                </c:pt>
                <c:pt idx="692">
                  <c:v>77.996757955805833</c:v>
                </c:pt>
                <c:pt idx="693">
                  <c:v>78.372152546711035</c:v>
                </c:pt>
                <c:pt idx="694">
                  <c:v>78.858459175838249</c:v>
                </c:pt>
                <c:pt idx="695">
                  <c:v>77.211841993004015</c:v>
                </c:pt>
                <c:pt idx="696">
                  <c:v>74.05511475130109</c:v>
                </c:pt>
                <c:pt idx="697">
                  <c:v>74.396382561214921</c:v>
                </c:pt>
                <c:pt idx="698">
                  <c:v>73.005716235816053</c:v>
                </c:pt>
                <c:pt idx="699">
                  <c:v>74.131900008531701</c:v>
                </c:pt>
                <c:pt idx="700">
                  <c:v>76.153911782271138</c:v>
                </c:pt>
                <c:pt idx="701">
                  <c:v>73.304325569490658</c:v>
                </c:pt>
                <c:pt idx="702">
                  <c:v>73.577339817421716</c:v>
                </c:pt>
                <c:pt idx="703">
                  <c:v>71.964849415578882</c:v>
                </c:pt>
                <c:pt idx="704">
                  <c:v>72.399965873219003</c:v>
                </c:pt>
                <c:pt idx="705">
                  <c:v>72.88627250234623</c:v>
                </c:pt>
                <c:pt idx="706">
                  <c:v>73.304325569490658</c:v>
                </c:pt>
                <c:pt idx="707">
                  <c:v>69.772203736882517</c:v>
                </c:pt>
                <c:pt idx="708">
                  <c:v>70.599778175923561</c:v>
                </c:pt>
                <c:pt idx="709">
                  <c:v>66.632539885675286</c:v>
                </c:pt>
                <c:pt idx="710">
                  <c:v>64.038904530330186</c:v>
                </c:pt>
                <c:pt idx="711">
                  <c:v>65.659926627420859</c:v>
                </c:pt>
                <c:pt idx="712">
                  <c:v>66.12063817080454</c:v>
                </c:pt>
                <c:pt idx="713">
                  <c:v>64.994454398088905</c:v>
                </c:pt>
                <c:pt idx="714">
                  <c:v>64.644654892927221</c:v>
                </c:pt>
                <c:pt idx="715">
                  <c:v>65.958535961095478</c:v>
                </c:pt>
                <c:pt idx="716">
                  <c:v>67.562494667690473</c:v>
                </c:pt>
                <c:pt idx="717">
                  <c:v>66.58988140943606</c:v>
                </c:pt>
                <c:pt idx="718">
                  <c:v>66.828768876375733</c:v>
                </c:pt>
                <c:pt idx="719">
                  <c:v>66.606944799931739</c:v>
                </c:pt>
                <c:pt idx="720">
                  <c:v>65.361317293746268</c:v>
                </c:pt>
                <c:pt idx="721">
                  <c:v>65.651394932173019</c:v>
                </c:pt>
                <c:pt idx="722">
                  <c:v>65.20774677928506</c:v>
                </c:pt>
                <c:pt idx="723">
                  <c:v>64.960327617097519</c:v>
                </c:pt>
                <c:pt idx="724">
                  <c:v>65.241873560276431</c:v>
                </c:pt>
                <c:pt idx="725">
                  <c:v>63.219861786536981</c:v>
                </c:pt>
                <c:pt idx="726">
                  <c:v>62.67383329067485</c:v>
                </c:pt>
                <c:pt idx="727">
                  <c:v>62.469072604726563</c:v>
                </c:pt>
                <c:pt idx="728">
                  <c:v>62.912720757614537</c:v>
                </c:pt>
                <c:pt idx="729">
                  <c:v>63.731763501407734</c:v>
                </c:pt>
                <c:pt idx="730">
                  <c:v>60.43852913573928</c:v>
                </c:pt>
                <c:pt idx="731">
                  <c:v>62.639706509683478</c:v>
                </c:pt>
                <c:pt idx="732">
                  <c:v>61.470864260728611</c:v>
                </c:pt>
                <c:pt idx="733">
                  <c:v>61.940107499360117</c:v>
                </c:pt>
                <c:pt idx="734">
                  <c:v>62.221653442539036</c:v>
                </c:pt>
                <c:pt idx="735">
                  <c:v>62.59704803344426</c:v>
                </c:pt>
                <c:pt idx="736">
                  <c:v>62.878593976623165</c:v>
                </c:pt>
                <c:pt idx="737">
                  <c:v>64.559337940448771</c:v>
                </c:pt>
                <c:pt idx="738">
                  <c:v>66.692261752410204</c:v>
                </c:pt>
                <c:pt idx="739">
                  <c:v>67.775787048886613</c:v>
                </c:pt>
                <c:pt idx="740">
                  <c:v>66.837300571623587</c:v>
                </c:pt>
                <c:pt idx="741">
                  <c:v>66.777578704888668</c:v>
                </c:pt>
                <c:pt idx="742">
                  <c:v>67.323607200750786</c:v>
                </c:pt>
                <c:pt idx="743">
                  <c:v>67.357733981742172</c:v>
                </c:pt>
                <c:pt idx="744">
                  <c:v>66.897022438358505</c:v>
                </c:pt>
                <c:pt idx="745">
                  <c:v>69.115263202798403</c:v>
                </c:pt>
                <c:pt idx="746">
                  <c:v>65.711116798907938</c:v>
                </c:pt>
                <c:pt idx="747">
                  <c:v>66.180360037539458</c:v>
                </c:pt>
                <c:pt idx="748">
                  <c:v>68.833717259619505</c:v>
                </c:pt>
                <c:pt idx="749">
                  <c:v>67.40892415322925</c:v>
                </c:pt>
                <c:pt idx="750">
                  <c:v>64.619059807183689</c:v>
                </c:pt>
                <c:pt idx="751">
                  <c:v>64.712908454909993</c:v>
                </c:pt>
                <c:pt idx="752">
                  <c:v>64.892074055114762</c:v>
                </c:pt>
                <c:pt idx="753">
                  <c:v>65.830560532377774</c:v>
                </c:pt>
                <c:pt idx="754">
                  <c:v>64.968859312345373</c:v>
                </c:pt>
                <c:pt idx="755">
                  <c:v>64.82382049313199</c:v>
                </c:pt>
                <c:pt idx="756">
                  <c:v>63.296647043767592</c:v>
                </c:pt>
                <c:pt idx="757">
                  <c:v>61.095469669823402</c:v>
                </c:pt>
                <c:pt idx="758">
                  <c:v>62.247248528282576</c:v>
                </c:pt>
                <c:pt idx="759">
                  <c:v>62.230185137786876</c:v>
                </c:pt>
                <c:pt idx="760">
                  <c:v>61.50499104171999</c:v>
                </c:pt>
                <c:pt idx="761">
                  <c:v>61.479395955976457</c:v>
                </c:pt>
                <c:pt idx="762">
                  <c:v>60.788328640900943</c:v>
                </c:pt>
                <c:pt idx="763">
                  <c:v>60.310553707021583</c:v>
                </c:pt>
                <c:pt idx="764">
                  <c:v>60.336148792765123</c:v>
                </c:pt>
                <c:pt idx="765">
                  <c:v>60.873645593379401</c:v>
                </c:pt>
                <c:pt idx="766">
                  <c:v>60.882177288627247</c:v>
                </c:pt>
                <c:pt idx="767">
                  <c:v>60.498251002474191</c:v>
                </c:pt>
                <c:pt idx="768">
                  <c:v>60.412934049995734</c:v>
                </c:pt>
                <c:pt idx="769">
                  <c:v>60.455592526234966</c:v>
                </c:pt>
                <c:pt idx="770">
                  <c:v>61.658561556181212</c:v>
                </c:pt>
                <c:pt idx="771">
                  <c:v>66.572818018940367</c:v>
                </c:pt>
                <c:pt idx="772">
                  <c:v>68.518044535449192</c:v>
                </c:pt>
                <c:pt idx="773">
                  <c:v>67.647811620168937</c:v>
                </c:pt>
                <c:pt idx="774">
                  <c:v>67.366265676990011</c:v>
                </c:pt>
                <c:pt idx="775">
                  <c:v>67.400392457981411</c:v>
                </c:pt>
                <c:pt idx="776">
                  <c:v>66.965276000341262</c:v>
                </c:pt>
                <c:pt idx="777">
                  <c:v>67.374797372237865</c:v>
                </c:pt>
                <c:pt idx="778">
                  <c:v>64.960327617097519</c:v>
                </c:pt>
                <c:pt idx="779">
                  <c:v>65.045644569575984</c:v>
                </c:pt>
                <c:pt idx="780">
                  <c:v>64.13275317805649</c:v>
                </c:pt>
                <c:pt idx="781">
                  <c:v>64.431362511731081</c:v>
                </c:pt>
                <c:pt idx="782">
                  <c:v>64.311918778261244</c:v>
                </c:pt>
                <c:pt idx="783">
                  <c:v>65.062707960071677</c:v>
                </c:pt>
                <c:pt idx="784">
                  <c:v>64.081563006569411</c:v>
                </c:pt>
                <c:pt idx="785">
                  <c:v>63.936524187356028</c:v>
                </c:pt>
                <c:pt idx="786">
                  <c:v>62.434945823735191</c:v>
                </c:pt>
                <c:pt idx="787">
                  <c:v>62.605579728692092</c:v>
                </c:pt>
                <c:pt idx="788">
                  <c:v>65.045644569575984</c:v>
                </c:pt>
                <c:pt idx="789">
                  <c:v>65.898814094360546</c:v>
                </c:pt>
                <c:pt idx="790">
                  <c:v>66.385120723487773</c:v>
                </c:pt>
                <c:pt idx="791">
                  <c:v>65.847623922873481</c:v>
                </c:pt>
                <c:pt idx="792">
                  <c:v>64.533742854705238</c:v>
                </c:pt>
                <c:pt idx="793">
                  <c:v>65.617268151181634</c:v>
                </c:pt>
                <c:pt idx="794">
                  <c:v>66.496032761709756</c:v>
                </c:pt>
                <c:pt idx="795">
                  <c:v>66.786110400136508</c:v>
                </c:pt>
                <c:pt idx="796">
                  <c:v>66.410715809231306</c:v>
                </c:pt>
                <c:pt idx="797">
                  <c:v>66.035321218326089</c:v>
                </c:pt>
                <c:pt idx="798">
                  <c:v>65.907345789608399</c:v>
                </c:pt>
                <c:pt idx="799">
                  <c:v>65.847623922873481</c:v>
                </c:pt>
                <c:pt idx="800">
                  <c:v>67.272417029263707</c:v>
                </c:pt>
                <c:pt idx="801">
                  <c:v>66.376589028239906</c:v>
                </c:pt>
                <c:pt idx="802">
                  <c:v>64.371640644996162</c:v>
                </c:pt>
                <c:pt idx="803">
                  <c:v>62.67383329067485</c:v>
                </c:pt>
                <c:pt idx="804">
                  <c:v>62.827403805136086</c:v>
                </c:pt>
                <c:pt idx="805">
                  <c:v>61.044279498336316</c:v>
                </c:pt>
                <c:pt idx="806">
                  <c:v>60.856582202883715</c:v>
                </c:pt>
                <c:pt idx="807">
                  <c:v>60.481187611978505</c:v>
                </c:pt>
                <c:pt idx="808">
                  <c:v>60.336148792765123</c:v>
                </c:pt>
                <c:pt idx="809">
                  <c:v>59.534169439467618</c:v>
                </c:pt>
                <c:pt idx="810">
                  <c:v>59.576827915706851</c:v>
                </c:pt>
                <c:pt idx="811">
                  <c:v>60.873645593379401</c:v>
                </c:pt>
                <c:pt idx="812">
                  <c:v>61.325825441515228</c:v>
                </c:pt>
                <c:pt idx="813">
                  <c:v>62.068082928077814</c:v>
                </c:pt>
                <c:pt idx="814">
                  <c:v>61.010152717344944</c:v>
                </c:pt>
                <c:pt idx="815">
                  <c:v>61.155191536558327</c:v>
                </c:pt>
                <c:pt idx="816">
                  <c:v>60.148451497312514</c:v>
                </c:pt>
                <c:pt idx="817">
                  <c:v>61.385547308250153</c:v>
                </c:pt>
                <c:pt idx="818">
                  <c:v>62.21312174729119</c:v>
                </c:pt>
                <c:pt idx="819">
                  <c:v>61.675624946676912</c:v>
                </c:pt>
                <c:pt idx="820">
                  <c:v>61.394079003497993</c:v>
                </c:pt>
                <c:pt idx="821">
                  <c:v>61.615903079941994</c:v>
                </c:pt>
                <c:pt idx="822">
                  <c:v>61.266103574780317</c:v>
                </c:pt>
                <c:pt idx="823">
                  <c:v>59.022267724596887</c:v>
                </c:pt>
                <c:pt idx="824">
                  <c:v>59.192901629553795</c:v>
                </c:pt>
                <c:pt idx="825">
                  <c:v>58.826038733896432</c:v>
                </c:pt>
                <c:pt idx="826">
                  <c:v>59.935159116116374</c:v>
                </c:pt>
                <c:pt idx="827">
                  <c:v>60.788328640900943</c:v>
                </c:pt>
                <c:pt idx="828">
                  <c:v>59.534169439467618</c:v>
                </c:pt>
                <c:pt idx="829">
                  <c:v>60.600631345448342</c:v>
                </c:pt>
                <c:pt idx="830">
                  <c:v>60.293490316525897</c:v>
                </c:pt>
                <c:pt idx="831">
                  <c:v>61.300230355771689</c:v>
                </c:pt>
                <c:pt idx="832">
                  <c:v>60.651821516935421</c:v>
                </c:pt>
                <c:pt idx="833">
                  <c:v>61.206381708045384</c:v>
                </c:pt>
                <c:pt idx="834">
                  <c:v>60.08872963057761</c:v>
                </c:pt>
                <c:pt idx="835">
                  <c:v>59.073457896083944</c:v>
                </c:pt>
                <c:pt idx="836">
                  <c:v>59.508574353724086</c:v>
                </c:pt>
                <c:pt idx="837">
                  <c:v>58.194693285555843</c:v>
                </c:pt>
                <c:pt idx="838">
                  <c:v>60.984557631601412</c:v>
                </c:pt>
                <c:pt idx="839">
                  <c:v>57.546284446719568</c:v>
                </c:pt>
                <c:pt idx="840">
                  <c:v>59.721866734920241</c:v>
                </c:pt>
                <c:pt idx="841">
                  <c:v>55.140346386827069</c:v>
                </c:pt>
                <c:pt idx="842">
                  <c:v>54.807610272161078</c:v>
                </c:pt>
                <c:pt idx="843">
                  <c:v>52.768535107925949</c:v>
                </c:pt>
                <c:pt idx="844">
                  <c:v>52.597901202969034</c:v>
                </c:pt>
                <c:pt idx="845">
                  <c:v>51.958024059380605</c:v>
                </c:pt>
                <c:pt idx="846">
                  <c:v>51.514375906492624</c:v>
                </c:pt>
                <c:pt idx="847">
                  <c:v>52.299291869294429</c:v>
                </c:pt>
                <c:pt idx="848">
                  <c:v>51.642351335210314</c:v>
                </c:pt>
                <c:pt idx="849">
                  <c:v>51.667946420953847</c:v>
                </c:pt>
                <c:pt idx="850">
                  <c:v>50.541762648238212</c:v>
                </c:pt>
                <c:pt idx="851">
                  <c:v>49.313198532548419</c:v>
                </c:pt>
                <c:pt idx="852">
                  <c:v>49.185223103830737</c:v>
                </c:pt>
                <c:pt idx="853">
                  <c:v>50.669738076955895</c:v>
                </c:pt>
                <c:pt idx="854">
                  <c:v>50.379660438529136</c:v>
                </c:pt>
                <c:pt idx="855">
                  <c:v>50.857435372408503</c:v>
                </c:pt>
                <c:pt idx="856">
                  <c:v>49.279071751557034</c:v>
                </c:pt>
                <c:pt idx="857">
                  <c:v>47.419162187526666</c:v>
                </c:pt>
                <c:pt idx="858">
                  <c:v>45.644569575974749</c:v>
                </c:pt>
                <c:pt idx="859">
                  <c:v>45.090009384864778</c:v>
                </c:pt>
                <c:pt idx="860">
                  <c:v>46.071154338367037</c:v>
                </c:pt>
                <c:pt idx="861">
                  <c:v>45.98583738588858</c:v>
                </c:pt>
                <c:pt idx="862">
                  <c:v>46.924323863151614</c:v>
                </c:pt>
                <c:pt idx="863">
                  <c:v>46.369763672041636</c:v>
                </c:pt>
                <c:pt idx="864">
                  <c:v>47.77749338793619</c:v>
                </c:pt>
                <c:pt idx="865">
                  <c:v>46.915792167903767</c:v>
                </c:pt>
                <c:pt idx="866">
                  <c:v>47.222933196826212</c:v>
                </c:pt>
                <c:pt idx="867">
                  <c:v>47.461820663765899</c:v>
                </c:pt>
                <c:pt idx="868">
                  <c:v>47.948127292893098</c:v>
                </c:pt>
                <c:pt idx="869">
                  <c:v>48.912208855899671</c:v>
                </c:pt>
                <c:pt idx="870">
                  <c:v>48.656257998464298</c:v>
                </c:pt>
                <c:pt idx="871">
                  <c:v>49.7397832949407</c:v>
                </c:pt>
                <c:pt idx="872">
                  <c:v>48.630662912720766</c:v>
                </c:pt>
                <c:pt idx="873">
                  <c:v>50.132241276341603</c:v>
                </c:pt>
                <c:pt idx="874">
                  <c:v>49.799505161675626</c:v>
                </c:pt>
                <c:pt idx="875">
                  <c:v>49.961607371384694</c:v>
                </c:pt>
                <c:pt idx="876">
                  <c:v>49.611807866223018</c:v>
                </c:pt>
                <c:pt idx="877">
                  <c:v>49.594744475727332</c:v>
                </c:pt>
                <c:pt idx="878">
                  <c:v>49.338793618291952</c:v>
                </c:pt>
                <c:pt idx="879">
                  <c:v>49.7568466854364</c:v>
                </c:pt>
                <c:pt idx="880">
                  <c:v>49.347325313539805</c:v>
                </c:pt>
                <c:pt idx="881">
                  <c:v>50.02132923811962</c:v>
                </c:pt>
                <c:pt idx="882">
                  <c:v>51.096322839348183</c:v>
                </c:pt>
                <c:pt idx="883">
                  <c:v>49.637402951966557</c:v>
                </c:pt>
                <c:pt idx="884">
                  <c:v>49.850695333162705</c:v>
                </c:pt>
                <c:pt idx="885">
                  <c:v>50.004265847623927</c:v>
                </c:pt>
                <c:pt idx="886">
                  <c:v>51.471717430253392</c:v>
                </c:pt>
                <c:pt idx="887">
                  <c:v>51.335210306287863</c:v>
                </c:pt>
                <c:pt idx="888">
                  <c:v>49.876290418906237</c:v>
                </c:pt>
                <c:pt idx="889">
                  <c:v>48.391775445781079</c:v>
                </c:pt>
                <c:pt idx="890">
                  <c:v>49.500895828001028</c:v>
                </c:pt>
                <c:pt idx="891">
                  <c:v>49.449705656513956</c:v>
                </c:pt>
                <c:pt idx="892">
                  <c:v>47.154679634843447</c:v>
                </c:pt>
                <c:pt idx="893">
                  <c:v>46.779285043938231</c:v>
                </c:pt>
                <c:pt idx="894">
                  <c:v>46.864601996416688</c:v>
                </c:pt>
                <c:pt idx="895">
                  <c:v>48.3576486647897</c:v>
                </c:pt>
                <c:pt idx="896">
                  <c:v>48.451497312516004</c:v>
                </c:pt>
                <c:pt idx="897">
                  <c:v>48.44296561726815</c:v>
                </c:pt>
                <c:pt idx="898">
                  <c:v>48.886613770156131</c:v>
                </c:pt>
                <c:pt idx="899">
                  <c:v>51.258425049057244</c:v>
                </c:pt>
                <c:pt idx="900">
                  <c:v>50.900093848647721</c:v>
                </c:pt>
                <c:pt idx="901">
                  <c:v>51.42905895401416</c:v>
                </c:pt>
                <c:pt idx="902">
                  <c:v>50.285811790802839</c:v>
                </c:pt>
                <c:pt idx="903">
                  <c:v>49.407047180274724</c:v>
                </c:pt>
                <c:pt idx="904">
                  <c:v>50.848903677160649</c:v>
                </c:pt>
                <c:pt idx="905">
                  <c:v>50.976879105878339</c:v>
                </c:pt>
                <c:pt idx="906">
                  <c:v>51.156044706083101</c:v>
                </c:pt>
                <c:pt idx="907">
                  <c:v>48.511219179250922</c:v>
                </c:pt>
                <c:pt idx="908">
                  <c:v>45.090009384864778</c:v>
                </c:pt>
                <c:pt idx="909">
                  <c:v>46.216193157580413</c:v>
                </c:pt>
                <c:pt idx="910">
                  <c:v>45.798140090435972</c:v>
                </c:pt>
                <c:pt idx="911">
                  <c:v>46.548929272246397</c:v>
                </c:pt>
                <c:pt idx="912">
                  <c:v>46.56599266274209</c:v>
                </c:pt>
                <c:pt idx="913">
                  <c:v>43.71640644996161</c:v>
                </c:pt>
                <c:pt idx="914">
                  <c:v>44.151522907601745</c:v>
                </c:pt>
                <c:pt idx="915">
                  <c:v>44.08326934561898</c:v>
                </c:pt>
                <c:pt idx="916">
                  <c:v>42.487842334271818</c:v>
                </c:pt>
                <c:pt idx="917">
                  <c:v>42.701134715467965</c:v>
                </c:pt>
                <c:pt idx="918">
                  <c:v>51.821516935415069</c:v>
                </c:pt>
                <c:pt idx="919">
                  <c:v>50.354065352785604</c:v>
                </c:pt>
                <c:pt idx="920">
                  <c:v>50.251685009811453</c:v>
                </c:pt>
                <c:pt idx="921">
                  <c:v>51.574097773227543</c:v>
                </c:pt>
                <c:pt idx="922">
                  <c:v>50.166368057332988</c:v>
                </c:pt>
                <c:pt idx="923">
                  <c:v>49.722719904445015</c:v>
                </c:pt>
                <c:pt idx="924">
                  <c:v>48.878082074908285</c:v>
                </c:pt>
                <c:pt idx="925">
                  <c:v>48.255268321815549</c:v>
                </c:pt>
                <c:pt idx="926">
                  <c:v>48.733043255694909</c:v>
                </c:pt>
                <c:pt idx="927">
                  <c:v>49.936012285641162</c:v>
                </c:pt>
                <c:pt idx="928">
                  <c:v>50.584421124477444</c:v>
                </c:pt>
                <c:pt idx="929">
                  <c:v>49.833631942667004</c:v>
                </c:pt>
                <c:pt idx="930">
                  <c:v>52.444330688507812</c:v>
                </c:pt>
                <c:pt idx="931">
                  <c:v>51.898302192645687</c:v>
                </c:pt>
                <c:pt idx="932">
                  <c:v>52.50405255524273</c:v>
                </c:pt>
                <c:pt idx="933">
                  <c:v>54.176264823820496</c:v>
                </c:pt>
                <c:pt idx="934">
                  <c:v>55.524272672980125</c:v>
                </c:pt>
                <c:pt idx="935">
                  <c:v>54.790546881665392</c:v>
                </c:pt>
                <c:pt idx="936">
                  <c:v>53.715553280436822</c:v>
                </c:pt>
                <c:pt idx="937">
                  <c:v>55.916730654381027</c:v>
                </c:pt>
                <c:pt idx="938">
                  <c:v>57.580411227710947</c:v>
                </c:pt>
                <c:pt idx="939">
                  <c:v>56.872280522139754</c:v>
                </c:pt>
                <c:pt idx="940">
                  <c:v>58.356795495264912</c:v>
                </c:pt>
                <c:pt idx="941">
                  <c:v>57.44390410374541</c:v>
                </c:pt>
                <c:pt idx="942">
                  <c:v>56.633393055200067</c:v>
                </c:pt>
                <c:pt idx="943">
                  <c:v>57.85342547564202</c:v>
                </c:pt>
                <c:pt idx="944">
                  <c:v>58.621278047948124</c:v>
                </c:pt>
                <c:pt idx="945">
                  <c:v>58.382390581008458</c:v>
                </c:pt>
                <c:pt idx="946">
                  <c:v>58.51889770497398</c:v>
                </c:pt>
                <c:pt idx="947">
                  <c:v>59.423257401245635</c:v>
                </c:pt>
                <c:pt idx="948">
                  <c:v>59.542701134715479</c:v>
                </c:pt>
                <c:pt idx="949">
                  <c:v>58.962545857861961</c:v>
                </c:pt>
                <c:pt idx="950">
                  <c:v>59.619486391946076</c:v>
                </c:pt>
                <c:pt idx="951">
                  <c:v>61.121064755566934</c:v>
                </c:pt>
                <c:pt idx="952">
                  <c:v>61.684156641924744</c:v>
                </c:pt>
                <c:pt idx="953">
                  <c:v>61.24050848903677</c:v>
                </c:pt>
                <c:pt idx="954">
                  <c:v>61.581776298950608</c:v>
                </c:pt>
                <c:pt idx="955">
                  <c:v>61.820663765890281</c:v>
                </c:pt>
                <c:pt idx="956">
                  <c:v>60.626226431191888</c:v>
                </c:pt>
                <c:pt idx="957">
                  <c:v>59.593891306202536</c:v>
                </c:pt>
                <c:pt idx="958">
                  <c:v>60.626226431191888</c:v>
                </c:pt>
                <c:pt idx="959">
                  <c:v>59.704803344424541</c:v>
                </c:pt>
                <c:pt idx="960">
                  <c:v>59.628018087193922</c:v>
                </c:pt>
                <c:pt idx="961">
                  <c:v>57.042914427096669</c:v>
                </c:pt>
                <c:pt idx="962">
                  <c:v>55.114751301083523</c:v>
                </c:pt>
                <c:pt idx="963">
                  <c:v>57.068509512840201</c:v>
                </c:pt>
                <c:pt idx="964">
                  <c:v>55.32804368227967</c:v>
                </c:pt>
                <c:pt idx="965">
                  <c:v>55.82288200665473</c:v>
                </c:pt>
                <c:pt idx="966">
                  <c:v>55.012370958109379</c:v>
                </c:pt>
                <c:pt idx="967">
                  <c:v>54.184796519068342</c:v>
                </c:pt>
                <c:pt idx="968">
                  <c:v>53.869123794898059</c:v>
                </c:pt>
                <c:pt idx="969">
                  <c:v>53.647299718454065</c:v>
                </c:pt>
                <c:pt idx="970">
                  <c:v>52.63202798396042</c:v>
                </c:pt>
                <c:pt idx="971">
                  <c:v>53.195119870318244</c:v>
                </c:pt>
                <c:pt idx="972">
                  <c:v>53.323095299035913</c:v>
                </c:pt>
                <c:pt idx="973">
                  <c:v>54.116542957085578</c:v>
                </c:pt>
                <c:pt idx="974">
                  <c:v>55.34510707277537</c:v>
                </c:pt>
                <c:pt idx="975">
                  <c:v>54.986775872365847</c:v>
                </c:pt>
                <c:pt idx="976">
                  <c:v>54.125074652333417</c:v>
                </c:pt>
                <c:pt idx="977">
                  <c:v>54.713761624434774</c:v>
                </c:pt>
                <c:pt idx="978">
                  <c:v>53.783806842419594</c:v>
                </c:pt>
                <c:pt idx="979">
                  <c:v>54.901458919887382</c:v>
                </c:pt>
                <c:pt idx="980">
                  <c:v>56.130023035577182</c:v>
                </c:pt>
                <c:pt idx="981">
                  <c:v>55.720501663680579</c:v>
                </c:pt>
                <c:pt idx="982">
                  <c:v>57.128231379575126</c:v>
                </c:pt>
                <c:pt idx="983">
                  <c:v>56.155618121320707</c:v>
                </c:pt>
                <c:pt idx="984">
                  <c:v>55.58399453971505</c:v>
                </c:pt>
                <c:pt idx="985">
                  <c:v>56.036174387850878</c:v>
                </c:pt>
                <c:pt idx="986">
                  <c:v>55.882603873389648</c:v>
                </c:pt>
                <c:pt idx="987">
                  <c:v>56.454227454995312</c:v>
                </c:pt>
                <c:pt idx="988">
                  <c:v>56.317720331029783</c:v>
                </c:pt>
                <c:pt idx="989">
                  <c:v>55.976452521115952</c:v>
                </c:pt>
                <c:pt idx="990">
                  <c:v>55.080624520092144</c:v>
                </c:pt>
                <c:pt idx="991">
                  <c:v>54.082416176094192</c:v>
                </c:pt>
                <c:pt idx="992">
                  <c:v>52.401672212268579</c:v>
                </c:pt>
                <c:pt idx="993">
                  <c:v>52.495520859994883</c:v>
                </c:pt>
                <c:pt idx="994">
                  <c:v>52.649091374456106</c:v>
                </c:pt>
                <c:pt idx="995">
                  <c:v>51.190171487074487</c:v>
                </c:pt>
                <c:pt idx="996">
                  <c:v>51.488780820749092</c:v>
                </c:pt>
                <c:pt idx="997">
                  <c:v>51.812985240167222</c:v>
                </c:pt>
                <c:pt idx="998">
                  <c:v>52.785598498421635</c:v>
                </c:pt>
                <c:pt idx="999">
                  <c:v>56.121491340329335</c:v>
                </c:pt>
                <c:pt idx="1000">
                  <c:v>60.822455421892343</c:v>
                </c:pt>
                <c:pt idx="1001">
                  <c:v>61.957170889855817</c:v>
                </c:pt>
                <c:pt idx="1002">
                  <c:v>60.1655148878082</c:v>
                </c:pt>
                <c:pt idx="1003">
                  <c:v>58.041122771094621</c:v>
                </c:pt>
                <c:pt idx="1004">
                  <c:v>60.216705059295286</c:v>
                </c:pt>
                <c:pt idx="1005">
                  <c:v>59.4744475727327</c:v>
                </c:pt>
                <c:pt idx="1006">
                  <c:v>58.7833802576572</c:v>
                </c:pt>
                <c:pt idx="1007">
                  <c:v>57.674259875437251</c:v>
                </c:pt>
                <c:pt idx="1008">
                  <c:v>56.8808122173876</c:v>
                </c:pt>
                <c:pt idx="1009">
                  <c:v>57.44390410374541</c:v>
                </c:pt>
                <c:pt idx="1010">
                  <c:v>56.701646617182831</c:v>
                </c:pt>
                <c:pt idx="1011">
                  <c:v>56.872280522139754</c:v>
                </c:pt>
                <c:pt idx="1012">
                  <c:v>56.914938998378972</c:v>
                </c:pt>
                <c:pt idx="1013">
                  <c:v>56.838153741148375</c:v>
                </c:pt>
                <c:pt idx="1014">
                  <c:v>58.382390581008458</c:v>
                </c:pt>
                <c:pt idx="1015">
                  <c:v>58.041122771094621</c:v>
                </c:pt>
                <c:pt idx="1016">
                  <c:v>58.954014162614108</c:v>
                </c:pt>
                <c:pt idx="1017">
                  <c:v>60.609163040696188</c:v>
                </c:pt>
                <c:pt idx="1018">
                  <c:v>60.029007763842678</c:v>
                </c:pt>
                <c:pt idx="1019">
                  <c:v>59.4744475727327</c:v>
                </c:pt>
                <c:pt idx="1020">
                  <c:v>59.090521286579659</c:v>
                </c:pt>
                <c:pt idx="1021">
                  <c:v>59.696271649176694</c:v>
                </c:pt>
                <c:pt idx="1022">
                  <c:v>61.692688337172598</c:v>
                </c:pt>
                <c:pt idx="1023">
                  <c:v>62.554389557205013</c:v>
                </c:pt>
                <c:pt idx="1024">
                  <c:v>61.283166965276003</c:v>
                </c:pt>
                <c:pt idx="1025">
                  <c:v>61.573244603702761</c:v>
                </c:pt>
                <c:pt idx="1026">
                  <c:v>60.779796945653096</c:v>
                </c:pt>
                <c:pt idx="1027">
                  <c:v>61.061342888832002</c:v>
                </c:pt>
                <c:pt idx="1028">
                  <c:v>60.489719307226352</c:v>
                </c:pt>
                <c:pt idx="1029">
                  <c:v>59.636549782441783</c:v>
                </c:pt>
                <c:pt idx="1030">
                  <c:v>59.943690811364227</c:v>
                </c:pt>
                <c:pt idx="1031">
                  <c:v>59.576827915706851</c:v>
                </c:pt>
                <c:pt idx="1032">
                  <c:v>59.406194010749935</c:v>
                </c:pt>
                <c:pt idx="1033">
                  <c:v>57.85342547564202</c:v>
                </c:pt>
                <c:pt idx="1034">
                  <c:v>59.337940448767171</c:v>
                </c:pt>
                <c:pt idx="1035">
                  <c:v>60.489719307226352</c:v>
                </c:pt>
                <c:pt idx="1036">
                  <c:v>60.46412422148282</c:v>
                </c:pt>
                <c:pt idx="1037">
                  <c:v>59.95222250661206</c:v>
                </c:pt>
                <c:pt idx="1038">
                  <c:v>60.472655916730659</c:v>
                </c:pt>
                <c:pt idx="1039">
                  <c:v>60.592099650200495</c:v>
                </c:pt>
                <c:pt idx="1040">
                  <c:v>58.868697210135657</c:v>
                </c:pt>
                <c:pt idx="1041">
                  <c:v>58.510366009726134</c:v>
                </c:pt>
                <c:pt idx="1042">
                  <c:v>57.844893780394166</c:v>
                </c:pt>
                <c:pt idx="1043">
                  <c:v>59.192901629553795</c:v>
                </c:pt>
                <c:pt idx="1044">
                  <c:v>57.768108523163555</c:v>
                </c:pt>
                <c:pt idx="1045">
                  <c:v>56.795495264909135</c:v>
                </c:pt>
                <c:pt idx="1046">
                  <c:v>55.797286920911191</c:v>
                </c:pt>
                <c:pt idx="1047">
                  <c:v>55.200068253561987</c:v>
                </c:pt>
                <c:pt idx="1048">
                  <c:v>53.732616670932508</c:v>
                </c:pt>
                <c:pt idx="1049">
                  <c:v>53.399880556266531</c:v>
                </c:pt>
                <c:pt idx="1050">
                  <c:v>53.220714956061776</c:v>
                </c:pt>
                <c:pt idx="1051">
                  <c:v>53.937377356880809</c:v>
                </c:pt>
                <c:pt idx="1052">
                  <c:v>54.014162614111427</c:v>
                </c:pt>
                <c:pt idx="1053">
                  <c:v>54.935585700878761</c:v>
                </c:pt>
                <c:pt idx="1054">
                  <c:v>56.249466769047018</c:v>
                </c:pt>
                <c:pt idx="1055">
                  <c:v>54.619912976708477</c:v>
                </c:pt>
                <c:pt idx="1056">
                  <c:v>54.696698233939088</c:v>
                </c:pt>
                <c:pt idx="1057">
                  <c:v>55.60958962545859</c:v>
                </c:pt>
                <c:pt idx="1058">
                  <c:v>54.210391604811882</c:v>
                </c:pt>
                <c:pt idx="1059">
                  <c:v>54.321303643033879</c:v>
                </c:pt>
                <c:pt idx="1060">
                  <c:v>54.176264823820496</c:v>
                </c:pt>
                <c:pt idx="1061">
                  <c:v>53.834997013906673</c:v>
                </c:pt>
                <c:pt idx="1062">
                  <c:v>53.075676136848394</c:v>
                </c:pt>
                <c:pt idx="1063">
                  <c:v>53.143929698831158</c:v>
                </c:pt>
                <c:pt idx="1064">
                  <c:v>52.359013736029347</c:v>
                </c:pt>
                <c:pt idx="1065">
                  <c:v>52.794130193669488</c:v>
                </c:pt>
                <c:pt idx="1066">
                  <c:v>54.355430424025251</c:v>
                </c:pt>
                <c:pt idx="1067">
                  <c:v>53.647299718454065</c:v>
                </c:pt>
                <c:pt idx="1068">
                  <c:v>52.393140517020733</c:v>
                </c:pt>
                <c:pt idx="1069">
                  <c:v>52.777066803173788</c:v>
                </c:pt>
                <c:pt idx="1070">
                  <c:v>53.766743451923901</c:v>
                </c:pt>
                <c:pt idx="1071">
                  <c:v>53.08420783209624</c:v>
                </c:pt>
                <c:pt idx="1072">
                  <c:v>53.451070727753603</c:v>
                </c:pt>
                <c:pt idx="1073">
                  <c:v>52.299291869294429</c:v>
                </c:pt>
                <c:pt idx="1074">
                  <c:v>52.25663339305521</c:v>
                </c:pt>
                <c:pt idx="1075">
                  <c:v>53.118334613087626</c:v>
                </c:pt>
                <c:pt idx="1076">
                  <c:v>54.022694309359274</c:v>
                </c:pt>
                <c:pt idx="1077">
                  <c:v>54.483405852742941</c:v>
                </c:pt>
                <c:pt idx="1078">
                  <c:v>53.621704632710518</c:v>
                </c:pt>
                <c:pt idx="1079">
                  <c:v>54.671103148195542</c:v>
                </c:pt>
                <c:pt idx="1080">
                  <c:v>55.669311492193508</c:v>
                </c:pt>
                <c:pt idx="1081">
                  <c:v>54.961180786622307</c:v>
                </c:pt>
                <c:pt idx="1082">
                  <c:v>54.551659414725705</c:v>
                </c:pt>
                <c:pt idx="1083">
                  <c:v>54.892927224639543</c:v>
                </c:pt>
                <c:pt idx="1084">
                  <c:v>55.353638768023202</c:v>
                </c:pt>
                <c:pt idx="1085">
                  <c:v>56.974660865113904</c:v>
                </c:pt>
                <c:pt idx="1086">
                  <c:v>56.66751983619146</c:v>
                </c:pt>
                <c:pt idx="1087">
                  <c:v>56.658988140943599</c:v>
                </c:pt>
                <c:pt idx="1088">
                  <c:v>59.636549782441783</c:v>
                </c:pt>
                <c:pt idx="1089">
                  <c:v>58.868697210135657</c:v>
                </c:pt>
                <c:pt idx="1090">
                  <c:v>58.64687313369167</c:v>
                </c:pt>
                <c:pt idx="1091">
                  <c:v>57.452435798993264</c:v>
                </c:pt>
                <c:pt idx="1092">
                  <c:v>62.554389557205013</c:v>
                </c:pt>
                <c:pt idx="1093">
                  <c:v>64.277791997269858</c:v>
                </c:pt>
                <c:pt idx="1094">
                  <c:v>66.58988140943606</c:v>
                </c:pt>
                <c:pt idx="1095">
                  <c:v>67.263885334015868</c:v>
                </c:pt>
                <c:pt idx="1096">
                  <c:v>67.024997867076195</c:v>
                </c:pt>
                <c:pt idx="1097">
                  <c:v>67.519836191451247</c:v>
                </c:pt>
                <c:pt idx="1098">
                  <c:v>66.845832266871426</c:v>
                </c:pt>
                <c:pt idx="1099">
                  <c:v>66.265676990017923</c:v>
                </c:pt>
                <c:pt idx="1100">
                  <c:v>67.477177715212022</c:v>
                </c:pt>
                <c:pt idx="1101">
                  <c:v>67.801382134630146</c:v>
                </c:pt>
                <c:pt idx="1102">
                  <c:v>67.954952649091382</c:v>
                </c:pt>
                <c:pt idx="1103">
                  <c:v>68.099991468304751</c:v>
                </c:pt>
                <c:pt idx="1104">
                  <c:v>68.586298097431964</c:v>
                </c:pt>
                <c:pt idx="1105">
                  <c:v>69.661291698660534</c:v>
                </c:pt>
                <c:pt idx="1106">
                  <c:v>69.209111850524707</c:v>
                </c:pt>
                <c:pt idx="1107">
                  <c:v>68.799590478628105</c:v>
                </c:pt>
                <c:pt idx="1108">
                  <c:v>68.219435201774587</c:v>
                </c:pt>
                <c:pt idx="1109">
                  <c:v>68.509512840201353</c:v>
                </c:pt>
                <c:pt idx="1110">
                  <c:v>69.78926712737821</c:v>
                </c:pt>
                <c:pt idx="1111">
                  <c:v>68.7057418309018</c:v>
                </c:pt>
                <c:pt idx="1112">
                  <c:v>69.2261752410204</c:v>
                </c:pt>
                <c:pt idx="1113">
                  <c:v>67.980547734834914</c:v>
                </c:pt>
                <c:pt idx="1114">
                  <c:v>67.750191963143081</c:v>
                </c:pt>
                <c:pt idx="1115">
                  <c:v>67.741660267895242</c:v>
                </c:pt>
                <c:pt idx="1116">
                  <c:v>67.835508915621546</c:v>
                </c:pt>
                <c:pt idx="1117">
                  <c:v>67.707533486903841</c:v>
                </c:pt>
                <c:pt idx="1118">
                  <c:v>67.332138895998639</c:v>
                </c:pt>
                <c:pt idx="1119">
                  <c:v>67.92935756334785</c:v>
                </c:pt>
                <c:pt idx="1120">
                  <c:v>69.166453374285467</c:v>
                </c:pt>
                <c:pt idx="1121">
                  <c:v>68.407132497227209</c:v>
                </c:pt>
                <c:pt idx="1122">
                  <c:v>68.270625373261666</c:v>
                </c:pt>
                <c:pt idx="1123">
                  <c:v>66.794642095384361</c:v>
                </c:pt>
                <c:pt idx="1124">
                  <c:v>68.219435201774587</c:v>
                </c:pt>
                <c:pt idx="1125">
                  <c:v>69.029946250319938</c:v>
                </c:pt>
                <c:pt idx="1126">
                  <c:v>69.405340841225154</c:v>
                </c:pt>
                <c:pt idx="1127">
                  <c:v>69.490657793703619</c:v>
                </c:pt>
                <c:pt idx="1128">
                  <c:v>69.32002388874669</c:v>
                </c:pt>
                <c:pt idx="1129">
                  <c:v>68.381537411483677</c:v>
                </c:pt>
                <c:pt idx="1130">
                  <c:v>69.029946250319938</c:v>
                </c:pt>
                <c:pt idx="1131">
                  <c:v>66.820237181127879</c:v>
                </c:pt>
                <c:pt idx="1132">
                  <c:v>67.690470096408163</c:v>
                </c:pt>
                <c:pt idx="1133">
                  <c:v>68.099991468304751</c:v>
                </c:pt>
                <c:pt idx="1134">
                  <c:v>69.072604726559163</c:v>
                </c:pt>
                <c:pt idx="1135">
                  <c:v>72.664448425902222</c:v>
                </c:pt>
                <c:pt idx="1136">
                  <c:v>72.41702926371471</c:v>
                </c:pt>
                <c:pt idx="1137">
                  <c:v>73.96979779882264</c:v>
                </c:pt>
                <c:pt idx="1138">
                  <c:v>74.06364644654893</c:v>
                </c:pt>
                <c:pt idx="1139">
                  <c:v>74.797372237863669</c:v>
                </c:pt>
                <c:pt idx="1140">
                  <c:v>76.529306373176354</c:v>
                </c:pt>
                <c:pt idx="1141">
                  <c:v>74.891220885589973</c:v>
                </c:pt>
                <c:pt idx="1142">
                  <c:v>74.114836618036009</c:v>
                </c:pt>
                <c:pt idx="1143">
                  <c:v>73.96979779882264</c:v>
                </c:pt>
                <c:pt idx="1144">
                  <c:v>75.966214486818544</c:v>
                </c:pt>
                <c:pt idx="1145">
                  <c:v>76.5549014589199</c:v>
                </c:pt>
                <c:pt idx="1146">
                  <c:v>77.937036089070901</c:v>
                </c:pt>
                <c:pt idx="1147">
                  <c:v>79.293575633478369</c:v>
                </c:pt>
                <c:pt idx="1148">
                  <c:v>79.285043938230544</c:v>
                </c:pt>
                <c:pt idx="1149">
                  <c:v>79.182663595256386</c:v>
                </c:pt>
                <c:pt idx="1150">
                  <c:v>79.165600204760693</c:v>
                </c:pt>
                <c:pt idx="1151">
                  <c:v>79.643375138640053</c:v>
                </c:pt>
                <c:pt idx="1152">
                  <c:v>80.334442453715553</c:v>
                </c:pt>
                <c:pt idx="1153">
                  <c:v>81.963996246054094</c:v>
                </c:pt>
                <c:pt idx="1154">
                  <c:v>83.439979523931413</c:v>
                </c:pt>
                <c:pt idx="1155">
                  <c:v>80.044364815288787</c:v>
                </c:pt>
                <c:pt idx="1156">
                  <c:v>79.566589881409442</c:v>
                </c:pt>
                <c:pt idx="1157">
                  <c:v>78.935244433068846</c:v>
                </c:pt>
                <c:pt idx="1158">
                  <c:v>79.506868014674509</c:v>
                </c:pt>
                <c:pt idx="1159">
                  <c:v>79.344765804965462</c:v>
                </c:pt>
                <c:pt idx="1160">
                  <c:v>80.539203139663869</c:v>
                </c:pt>
                <c:pt idx="1161">
                  <c:v>79.140005119017161</c:v>
                </c:pt>
                <c:pt idx="1162">
                  <c:v>79.558058186161588</c:v>
                </c:pt>
                <c:pt idx="1163">
                  <c:v>79.737223786366357</c:v>
                </c:pt>
                <c:pt idx="1164">
                  <c:v>80.342974148963407</c:v>
                </c:pt>
                <c:pt idx="1165">
                  <c:v>80.300315672724182</c:v>
                </c:pt>
                <c:pt idx="1166">
                  <c:v>78.491596280180872</c:v>
                </c:pt>
                <c:pt idx="1167">
                  <c:v>73.568808122173877</c:v>
                </c:pt>
                <c:pt idx="1168">
                  <c:v>75.300742257486576</c:v>
                </c:pt>
                <c:pt idx="1169">
                  <c:v>74.396382561214921</c:v>
                </c:pt>
                <c:pt idx="1170">
                  <c:v>72.732701987884994</c:v>
                </c:pt>
                <c:pt idx="1171">
                  <c:v>71.043426328811535</c:v>
                </c:pt>
                <c:pt idx="1172">
                  <c:v>71.21406023376845</c:v>
                </c:pt>
                <c:pt idx="1173">
                  <c:v>71.657708386656424</c:v>
                </c:pt>
                <c:pt idx="1174">
                  <c:v>70.685095128402011</c:v>
                </c:pt>
                <c:pt idx="1175">
                  <c:v>72.732701987884994</c:v>
                </c:pt>
                <c:pt idx="1176">
                  <c:v>73.398174217216962</c:v>
                </c:pt>
                <c:pt idx="1177">
                  <c:v>73.099564883542371</c:v>
                </c:pt>
                <c:pt idx="1178">
                  <c:v>72.715638597389315</c:v>
                </c:pt>
                <c:pt idx="1179">
                  <c:v>71.307908881494754</c:v>
                </c:pt>
                <c:pt idx="1180">
                  <c:v>72.399965873219003</c:v>
                </c:pt>
                <c:pt idx="1181">
                  <c:v>72.41702926371471</c:v>
                </c:pt>
                <c:pt idx="1182">
                  <c:v>73.816227284361403</c:v>
                </c:pt>
                <c:pt idx="1183">
                  <c:v>72.246395358757795</c:v>
                </c:pt>
                <c:pt idx="1184">
                  <c:v>73.295793874242804</c:v>
                </c:pt>
                <c:pt idx="1185">
                  <c:v>74.950942752324892</c:v>
                </c:pt>
                <c:pt idx="1186">
                  <c:v>73.637061684156649</c:v>
                </c:pt>
                <c:pt idx="1187">
                  <c:v>73.338452350482044</c:v>
                </c:pt>
                <c:pt idx="1188">
                  <c:v>74.643801723402433</c:v>
                </c:pt>
                <c:pt idx="1189">
                  <c:v>75.565224810169781</c:v>
                </c:pt>
                <c:pt idx="1190">
                  <c:v>74.524357989932597</c:v>
                </c:pt>
                <c:pt idx="1191">
                  <c:v>73.841822370104936</c:v>
                </c:pt>
                <c:pt idx="1192">
                  <c:v>75.283678866990869</c:v>
                </c:pt>
                <c:pt idx="1193">
                  <c:v>76.640218411398337</c:v>
                </c:pt>
                <c:pt idx="1194">
                  <c:v>76.580496544663433</c:v>
                </c:pt>
                <c:pt idx="1195">
                  <c:v>76.068594829792673</c:v>
                </c:pt>
                <c:pt idx="1196">
                  <c:v>77.117993345277711</c:v>
                </c:pt>
                <c:pt idx="1197">
                  <c:v>77.083866564286325</c:v>
                </c:pt>
                <c:pt idx="1198">
                  <c:v>78.568381537411497</c:v>
                </c:pt>
                <c:pt idx="1199">
                  <c:v>79.882262605579726</c:v>
                </c:pt>
                <c:pt idx="1200">
                  <c:v>80.342974148963407</c:v>
                </c:pt>
                <c:pt idx="1201">
                  <c:v>80.633051787390158</c:v>
                </c:pt>
                <c:pt idx="1202">
                  <c:v>80.044364815288787</c:v>
                </c:pt>
                <c:pt idx="1203">
                  <c:v>79.199726985752079</c:v>
                </c:pt>
                <c:pt idx="1204">
                  <c:v>78.338025765719649</c:v>
                </c:pt>
                <c:pt idx="1205">
                  <c:v>78.312430679976117</c:v>
                </c:pt>
                <c:pt idx="1206">
                  <c:v>78.909649347325313</c:v>
                </c:pt>
                <c:pt idx="1207">
                  <c:v>79.27651224298269</c:v>
                </c:pt>
                <c:pt idx="1208">
                  <c:v>79.216790376247758</c:v>
                </c:pt>
                <c:pt idx="1209">
                  <c:v>78.286835594232585</c:v>
                </c:pt>
                <c:pt idx="1210">
                  <c:v>78.832864090094716</c:v>
                </c:pt>
                <c:pt idx="1211">
                  <c:v>76.768193840116041</c:v>
                </c:pt>
                <c:pt idx="1212">
                  <c:v>75.078918181042582</c:v>
                </c:pt>
                <c:pt idx="1213">
                  <c:v>76.844979097346638</c:v>
                </c:pt>
                <c:pt idx="1214">
                  <c:v>70.454739356710178</c:v>
                </c:pt>
                <c:pt idx="1215">
                  <c:v>70.352359013736034</c:v>
                </c:pt>
                <c:pt idx="1216">
                  <c:v>69.857520689360967</c:v>
                </c:pt>
                <c:pt idx="1217">
                  <c:v>70.053749680061429</c:v>
                </c:pt>
                <c:pt idx="1218">
                  <c:v>70.906919204846005</c:v>
                </c:pt>
                <c:pt idx="1219">
                  <c:v>69.371214060233783</c:v>
                </c:pt>
                <c:pt idx="1220">
                  <c:v>67.349202286494318</c:v>
                </c:pt>
                <c:pt idx="1221">
                  <c:v>68.355942325740131</c:v>
                </c:pt>
                <c:pt idx="1222">
                  <c:v>68.526576230697032</c:v>
                </c:pt>
                <c:pt idx="1223">
                  <c:v>68.893439126354409</c:v>
                </c:pt>
                <c:pt idx="1224">
                  <c:v>67.989079430082754</c:v>
                </c:pt>
                <c:pt idx="1225">
                  <c:v>66.845832266871426</c:v>
                </c:pt>
                <c:pt idx="1226">
                  <c:v>66.803173790632201</c:v>
                </c:pt>
                <c:pt idx="1227">
                  <c:v>66.564286323692528</c:v>
                </c:pt>
                <c:pt idx="1228">
                  <c:v>67.579558058186166</c:v>
                </c:pt>
                <c:pt idx="1229">
                  <c:v>67.042061257571888</c:v>
                </c:pt>
                <c:pt idx="1230">
                  <c:v>67.835508915621546</c:v>
                </c:pt>
                <c:pt idx="1231">
                  <c:v>66.862895657367133</c:v>
                </c:pt>
                <c:pt idx="1232">
                  <c:v>67.733128572647388</c:v>
                </c:pt>
                <c:pt idx="1233">
                  <c:v>66.709325142905897</c:v>
                </c:pt>
                <c:pt idx="1234">
                  <c:v>67.323607200750786</c:v>
                </c:pt>
                <c:pt idx="1235">
                  <c:v>66.624008190427446</c:v>
                </c:pt>
                <c:pt idx="1236">
                  <c:v>66.914085828854198</c:v>
                </c:pt>
                <c:pt idx="1237">
                  <c:v>63.63791485368143</c:v>
                </c:pt>
                <c:pt idx="1238">
                  <c:v>65.608736455933808</c:v>
                </c:pt>
                <c:pt idx="1239">
                  <c:v>67.340670591246493</c:v>
                </c:pt>
                <c:pt idx="1240">
                  <c:v>66.129169866052393</c:v>
                </c:pt>
                <c:pt idx="1241">
                  <c:v>64.934732531353973</c:v>
                </c:pt>
                <c:pt idx="1242">
                  <c:v>64.499616073713852</c:v>
                </c:pt>
                <c:pt idx="1243">
                  <c:v>64.670249978670753</c:v>
                </c:pt>
                <c:pt idx="1244">
                  <c:v>64.755566931149218</c:v>
                </c:pt>
                <c:pt idx="1245">
                  <c:v>63.885334015868956</c:v>
                </c:pt>
                <c:pt idx="1246">
                  <c:v>63.962119273099574</c:v>
                </c:pt>
                <c:pt idx="1247">
                  <c:v>62.861530586127465</c:v>
                </c:pt>
                <c:pt idx="1248">
                  <c:v>62.230185137786876</c:v>
                </c:pt>
                <c:pt idx="1249">
                  <c:v>61.001621022097098</c:v>
                </c:pt>
                <c:pt idx="1250">
                  <c:v>59.721866734920241</c:v>
                </c:pt>
                <c:pt idx="1251">
                  <c:v>59.935159116116374</c:v>
                </c:pt>
                <c:pt idx="1252">
                  <c:v>59.576827915706851</c:v>
                </c:pt>
                <c:pt idx="1253">
                  <c:v>57.674259875437251</c:v>
                </c:pt>
                <c:pt idx="1254">
                  <c:v>57.733981742172169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19F-4DF1-B627-6FAF578432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4116976"/>
        <c:axId val="654117304"/>
      </c:lineChart>
      <c:dateAx>
        <c:axId val="654116976"/>
        <c:scaling>
          <c:orientation val="minMax"/>
        </c:scaling>
        <c:delete val="0"/>
        <c:axPos val="b"/>
        <c:numFmt formatCode="[$-409]mmm\-dd\-yy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117304"/>
        <c:crosses val="autoZero"/>
        <c:auto val="0"/>
        <c:lblOffset val="100"/>
        <c:baseTimeUnit val="days"/>
      </c:dateAx>
      <c:valAx>
        <c:axId val="654117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116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4</xdr:row>
          <xdr:rowOff>9525</xdr:rowOff>
        </xdr:from>
        <xdr:to>
          <xdr:col>8</xdr:col>
          <xdr:colOff>1419225</xdr:colOff>
          <xdr:row>7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Roboto Light"/>
                  <a:ea typeface="Roboto Light"/>
                  <a:cs typeface="Roboto Light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8</xdr:row>
          <xdr:rowOff>9525</xdr:rowOff>
        </xdr:from>
        <xdr:to>
          <xdr:col>6</xdr:col>
          <xdr:colOff>1419225</xdr:colOff>
          <xdr:row>11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Roboto Light"/>
                  <a:ea typeface="Roboto Light"/>
                  <a:cs typeface="Roboto Light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4</xdr:row>
          <xdr:rowOff>9525</xdr:rowOff>
        </xdr:from>
        <xdr:to>
          <xdr:col>6</xdr:col>
          <xdr:colOff>1419225</xdr:colOff>
          <xdr:row>7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Roboto Light"/>
                  <a:ea typeface="Roboto Light"/>
                  <a:cs typeface="Roboto Light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1419225</xdr:colOff>
          <xdr:row>3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Roboto Light"/>
                  <a:ea typeface="Roboto Light"/>
                  <a:cs typeface="Roboto Light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8</xdr:row>
          <xdr:rowOff>9525</xdr:rowOff>
        </xdr:from>
        <xdr:to>
          <xdr:col>9</xdr:col>
          <xdr:colOff>0</xdr:colOff>
          <xdr:row>11</xdr:row>
          <xdr:rowOff>180975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Roboto Light"/>
                  <a:ea typeface="Roboto Light"/>
                  <a:cs typeface="Roboto Light"/>
                </a:rPr>
                <a:t>Execute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0</xdr:row>
          <xdr:rowOff>28575</xdr:rowOff>
        </xdr:from>
        <xdr:to>
          <xdr:col>9</xdr:col>
          <xdr:colOff>0</xdr:colOff>
          <xdr:row>3</xdr:row>
          <xdr:rowOff>180975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Roboto Light"/>
                  <a:ea typeface="Roboto Light"/>
                  <a:cs typeface="Roboto Light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12</xdr:row>
          <xdr:rowOff>9525</xdr:rowOff>
        </xdr:from>
        <xdr:to>
          <xdr:col>6</xdr:col>
          <xdr:colOff>1419225</xdr:colOff>
          <xdr:row>15</xdr:row>
          <xdr:rowOff>180975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Roboto Light"/>
                  <a:ea typeface="Roboto Light"/>
                  <a:cs typeface="Roboto Light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59054</xdr:colOff>
      <xdr:row>1</xdr:row>
      <xdr:rowOff>23811</xdr:rowOff>
    </xdr:from>
    <xdr:to>
      <xdr:col>19</xdr:col>
      <xdr:colOff>601979</xdr:colOff>
      <xdr:row>17</xdr:row>
      <xdr:rowOff>123824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68580</xdr:colOff>
      <xdr:row>1</xdr:row>
      <xdr:rowOff>42862</xdr:rowOff>
    </xdr:from>
    <xdr:to>
      <xdr:col>30</xdr:col>
      <xdr:colOff>11430</xdr:colOff>
      <xdr:row>17</xdr:row>
      <xdr:rowOff>123825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78105</xdr:colOff>
      <xdr:row>18</xdr:row>
      <xdr:rowOff>19050</xdr:rowOff>
    </xdr:from>
    <xdr:to>
      <xdr:col>29</xdr:col>
      <xdr:colOff>592455</xdr:colOff>
      <xdr:row>32</xdr:row>
      <xdr:rowOff>147638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97155</xdr:colOff>
      <xdr:row>32</xdr:row>
      <xdr:rowOff>171450</xdr:rowOff>
    </xdr:from>
    <xdr:to>
      <xdr:col>20</xdr:col>
      <xdr:colOff>1905</xdr:colOff>
      <xdr:row>47</xdr:row>
      <xdr:rowOff>109538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87630</xdr:colOff>
      <xdr:row>47</xdr:row>
      <xdr:rowOff>180975</xdr:rowOff>
    </xdr:from>
    <xdr:to>
      <xdr:col>19</xdr:col>
      <xdr:colOff>601980</xdr:colOff>
      <xdr:row>62</xdr:row>
      <xdr:rowOff>119063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78105</xdr:colOff>
      <xdr:row>47</xdr:row>
      <xdr:rowOff>180975</xdr:rowOff>
    </xdr:from>
    <xdr:to>
      <xdr:col>29</xdr:col>
      <xdr:colOff>592455</xdr:colOff>
      <xdr:row>62</xdr:row>
      <xdr:rowOff>119063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106680</xdr:colOff>
      <xdr:row>63</xdr:row>
      <xdr:rowOff>19050</xdr:rowOff>
    </xdr:from>
    <xdr:to>
      <xdr:col>20</xdr:col>
      <xdr:colOff>11430</xdr:colOff>
      <xdr:row>76</xdr:row>
      <xdr:rowOff>147638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20</xdr:col>
      <xdr:colOff>97155</xdr:colOff>
      <xdr:row>63</xdr:row>
      <xdr:rowOff>19050</xdr:rowOff>
    </xdr:from>
    <xdr:to>
      <xdr:col>30</xdr:col>
      <xdr:colOff>1905</xdr:colOff>
      <xdr:row>76</xdr:row>
      <xdr:rowOff>147638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20</xdr:col>
      <xdr:colOff>76200</xdr:colOff>
      <xdr:row>32</xdr:row>
      <xdr:rowOff>171450</xdr:rowOff>
    </xdr:from>
    <xdr:to>
      <xdr:col>29</xdr:col>
      <xdr:colOff>590550</xdr:colOff>
      <xdr:row>47</xdr:row>
      <xdr:rowOff>109538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133350</xdr:colOff>
      <xdr:row>77</xdr:row>
      <xdr:rowOff>190500</xdr:rowOff>
    </xdr:from>
    <xdr:to>
      <xdr:col>20</xdr:col>
      <xdr:colOff>38100</xdr:colOff>
      <xdr:row>78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10</xdr:col>
      <xdr:colOff>74295</xdr:colOff>
      <xdr:row>17</xdr:row>
      <xdr:rowOff>168591</xdr:rowOff>
    </xdr:from>
    <xdr:to>
      <xdr:col>19</xdr:col>
      <xdr:colOff>600075</xdr:colOff>
      <xdr:row>32</xdr:row>
      <xdr:rowOff>114299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2</xdr:row>
      <xdr:rowOff>180975</xdr:rowOff>
    </xdr:from>
    <xdr:to>
      <xdr:col>13</xdr:col>
      <xdr:colOff>257175</xdr:colOff>
      <xdr:row>18</xdr:row>
      <xdr:rowOff>57150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68BCF5F-CCF9-4E21-9AEF-A85308456E86}" name="Target1" displayName="Target1" ref="A1:I1259" totalsRowShown="0" headerRowDxfId="77" dataDxfId="76">
  <autoFilter ref="A1:I1259" xr:uid="{268BCF5F-CCF9-4E21-9AEF-A85308456E86}"/>
  <tableColumns count="9">
    <tableColumn id="6" xr3:uid="{BEAFAAC0-563A-4959-A56D-E7F1FB175C5F}" name="Target Dates" dataDxfId="75"/>
    <tableColumn id="5" xr3:uid="{4011330C-F699-486C-8B78-F721CC339A5D}" name="Target Price" dataDxfId="74"/>
    <tableColumn id="4" xr3:uid="{D89E5763-3816-463C-9998-93DA35F88EF6}" name="Target Return" dataDxfId="73">
      <calculatedColumnFormula>IFERROR(IF(B2="","-",LN(B2/B1)),"-")</calculatedColumnFormula>
    </tableColumn>
    <tableColumn id="7" xr3:uid="{D500A337-B609-46DF-A6CC-7C03F7EC8CE4}" name="Target Geodummy" dataDxfId="72">
      <calculatedColumnFormula>IFERROR(Target1[[#This Row],[Target Return]]+1,"-")</calculatedColumnFormula>
    </tableColumn>
    <tableColumn id="8" xr3:uid="{CDF89D97-D1A3-4896-8A15-97BBA873D6B3}" name="Target Drawdown" dataDxfId="71">
      <calculatedColumnFormula>B2-MAX($B$2:B2)</calculatedColumnFormula>
    </tableColumn>
    <tableColumn id="1" xr3:uid="{90E0F532-9EF2-404A-BBF3-629377296B1A}" name="Taget Drawdown Recovery Length" dataDxfId="70">
      <calculatedColumnFormula>IF(E2=0,0,F1+1)</calculatedColumnFormula>
    </tableColumn>
    <tableColumn id="10" xr3:uid="{52F0BF79-5A40-4678-83FE-98E595060D41}" name="Target Drawdown Recovery" dataDxfId="69">
      <calculatedColumnFormula>Target1[[#This Row],[Target Drawdown]]/MAX($B$2:B2)</calculatedColumnFormula>
    </tableColumn>
    <tableColumn id="9" xr3:uid="{BC620CBA-016E-4940-8629-611C6EEF5D56}" name="Target Date Check" dataDxfId="68">
      <calculatedColumnFormula>IF(SUM(COUNTIF(Benchmark1[Benchmark '#1 Dates],Target1[[#This Row],[Target Dates]]),COUNTIF(Benchmark2[Benchmark '#2 Dates],Target1[[#This Row],[Target Dates]]))=2,"Pass","Fail")</calculatedColumnFormula>
    </tableColumn>
    <tableColumn id="2" xr3:uid="{2E4CBB3F-D70D-4DF5-A2DE-83DB123826D5}" name="Column2" dataDxfId="67">
      <calculatedColumnFormula>$E$2+E2</calculatedColumnFormula>
    </tableColumn>
  </tableColumns>
  <tableStyleInfo name="TableStyleLight1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7F14A4-4893-4B0B-8C3F-C20884092DF7}" name="Benchmark1" displayName="Benchmark1" ref="A1:S1259" totalsRowShown="0" headerRowDxfId="66" dataDxfId="65">
  <autoFilter ref="A1:S1259" xr:uid="{268BCF5F-CCF9-4E21-9AEF-A85308456E86}"/>
  <tableColumns count="19">
    <tableColumn id="1" xr3:uid="{53E0E9ED-26A1-4C73-AF9E-234B8A1D1512}" name="Benchmark #1 Dates" dataDxfId="64"/>
    <tableColumn id="2" xr3:uid="{69CC8295-BFB2-4C9C-BD43-0B9E150D465F}" name="Benchmark #1 Price" dataDxfId="63"/>
    <tableColumn id="3" xr3:uid="{B3F3AF73-F0D4-4017-B308-B068AFF6340A}" name="Benchmark #1 Return" dataDxfId="62">
      <calculatedColumnFormula>IFERROR(IF(B2="","-",LN(B2/B1)),"-")</calculatedColumnFormula>
    </tableColumn>
    <tableColumn id="5" xr3:uid="{30BE1852-39DA-4812-ADCF-278C9E12D1C3}" name="Target Date Check" dataDxfId="61">
      <calculatedColumnFormula>IF(COUNTIF(Target1[Target Dates],Benchmark1[[#This Row],[Benchmark '#1 Dates]])=1,"Pass","Fail")</calculatedColumnFormula>
    </tableColumn>
    <tableColumn id="4" xr3:uid="{558FEEAA-1BD0-4BA7-A8DA-BBCE18F60139}" name="Target Price" dataDxfId="60">
      <calculatedColumnFormula>IF(Benchmark1[[#This Row],[Target Date Check]]="Pass",INDEX(Target1[Target Price],MATCH(Benchmark1[[#This Row],[Benchmark '#1 Dates]],Target1[Target Dates],0)),"-")</calculatedColumnFormula>
    </tableColumn>
    <tableColumn id="13" xr3:uid="{2238C109-A703-42BB-9178-BF9DAD85A846}" name="Target Return" dataDxfId="59">
      <calculatedColumnFormula>IF(Benchmark1[[#This Row],[Target Date Check]]="Pass",INDEX(Target1[Target Return],MATCH(Benchmark1[[#This Row],[Benchmark '#1 Dates]],Target1[Target Dates],0)),"-")</calculatedColumnFormula>
    </tableColumn>
    <tableColumn id="12" xr3:uid="{E1B64109-9751-4018-BDF0-49E3612FA293}" name="Difference of Target and Benchmark #1 Returns" dataDxfId="58">
      <calculatedColumnFormula>IFERROR(IF(Benchmark1[[#This Row],[Target Date Check]]="Pass",Benchmark1[[#This Row],[Target Return]]-Benchmark1[[#This Row],[Benchmark '#1 Return]],"-"),"-")</calculatedColumnFormula>
    </tableColumn>
    <tableColumn id="6" xr3:uid="{4C8082EE-A580-42D2-8A1A-12DB7EA8ED71}" name="Comparable #1 Date Check" dataDxfId="57">
      <calculatedColumnFormula>IF(COUNTIF(Comp1[Comparable '#1 Dates],Benchmark1[[#This Row],[Benchmark '#1 Dates]])=1,"Pass","Fail")</calculatedColumnFormula>
    </tableColumn>
    <tableColumn id="9" xr3:uid="{42E2E937-0B26-4968-AEFD-258BC1047437}" name="Comparable #1 Price" dataDxfId="56">
      <calculatedColumnFormula>IF(Benchmark1[[#This Row],[Comparable '#1 Date Check]]="Pass",INDEX(Comp1[Comparable '#1 Price],MATCH(Benchmark1[[#This Row],[Benchmark '#1 Dates]],Comp1[Comparable '#1 Dates],0)),"-")</calculatedColumnFormula>
    </tableColumn>
    <tableColumn id="14" xr3:uid="{33590B13-DA6E-40FC-ADDB-C267E8D3D50B}" name="Comparable #1 Return" dataDxfId="55">
      <calculatedColumnFormula>IF(Benchmark1[[#This Row],[Comparable '#1 Date Check]]="Pass",INDEX(Comp1[Comparable '#1 Return],MATCH(Benchmark1[[#This Row],[Benchmark '#1 Dates]],Comp1[Comparable '#1 Dates],0)),"-")</calculatedColumnFormula>
    </tableColumn>
    <tableColumn id="15" xr3:uid="{7997E829-68AF-48F6-A256-BE4DCA6C7BB2}" name="Difference of Comparable #1 and Benchmark #1 Returns" dataDxfId="54">
      <calculatedColumnFormula>IFERROR(IF(Benchmark1[[#This Row],[Comparable '#1 Date Check]]="Pass",Benchmark1[[#This Row],[Comparable '#1 Return]]-Benchmark1[[#This Row],[Benchmark '#1 Return]],"-"),"-")</calculatedColumnFormula>
    </tableColumn>
    <tableColumn id="7" xr3:uid="{8AEDFACA-02D9-4325-82BB-8E9929CDAA89}" name="Comparable #2 Date Check" dataDxfId="53">
      <calculatedColumnFormula>IF(COUNTIF(Comp2[Comparable '#2 Dates],Benchmark1[[#This Row],[Benchmark '#1 Dates]])=1,"Pass","Fail")</calculatedColumnFormula>
    </tableColumn>
    <tableColumn id="10" xr3:uid="{EA751A71-7E26-4E5E-BEBA-17CDAFA2CA09}" name="Comparable #2 Price" dataDxfId="52">
      <calculatedColumnFormula>IF(Benchmark1[[#This Row],[Comparable '#2 Date Check]]="Pass",INDEX(Comp2[Comparable '#2 Price],MATCH(Benchmark1[[#This Row],[Benchmark '#1 Dates]],Comp2[Comparable '#2 Dates],0)),"-")</calculatedColumnFormula>
    </tableColumn>
    <tableColumn id="16" xr3:uid="{FA6ABC3B-0D68-495D-B2DB-BD7106F23AC6}" name="Comparable #2 Return" dataDxfId="51">
      <calculatedColumnFormula>IF(Benchmark1[[#This Row],[Comparable '#2 Date Check]]="Pass",INDEX(Comp2[Comparable '#2 Return],MATCH(Benchmark1[[#This Row],[Benchmark '#1 Dates]],Comp2[Comparable '#2 Dates],0)),"-")</calculatedColumnFormula>
    </tableColumn>
    <tableColumn id="17" xr3:uid="{868C5FEA-99A9-4771-B9E9-8EE5A5F1387B}" name="Difference of Comparable #2 and Benchmark #1 Returns" dataDxfId="50">
      <calculatedColumnFormula>IFERROR(IF(Benchmark1[[#This Row],[Comparable '#2 Date Check]]="Pass",Benchmark1[[#This Row],[Comparable '#2 Return]]-Benchmark1[[#This Row],[Benchmark '#1 Return]],"-"),"-")</calculatedColumnFormula>
    </tableColumn>
    <tableColumn id="8" xr3:uid="{964CAA4A-5EA6-444A-B4FB-9BE02B4C7971}" name="Comparable #3 Date Check" dataDxfId="49">
      <calculatedColumnFormula>IF(COUNTIF(Comp3[Comparable '#3 Dates],Benchmark1[[#This Row],[Benchmark '#1 Dates]])=1,"Pass","Fail")</calculatedColumnFormula>
    </tableColumn>
    <tableColumn id="11" xr3:uid="{0E30019F-770A-45D6-8BEF-E0F591B5B892}" name="Comparable #3 Price" dataDxfId="48">
      <calculatedColumnFormula>IF(Benchmark1[[#This Row],[Comparable '#3 Date Check]]="Pass",INDEX(Comp3[Comparable '#3 Price],MATCH(Benchmark1[[#This Row],[Benchmark '#1 Dates]],Comp3[Comparable '#3 Dates],0)),"-")</calculatedColumnFormula>
    </tableColumn>
    <tableColumn id="18" xr3:uid="{DC610A23-9AC4-4599-8387-22B6068A4043}" name="Comparable #3 Return" dataDxfId="47">
      <calculatedColumnFormula>IF(Benchmark1[[#This Row],[Comparable '#3 Date Check]]="Pass",INDEX(Comp3[Comparable '#3 Return],MATCH(Benchmark1[[#This Row],[Benchmark '#1 Dates]],Comp3[Comparable '#3 Dates],0)),"-")</calculatedColumnFormula>
    </tableColumn>
    <tableColumn id="19" xr3:uid="{AAFF7FD4-CE6D-4631-8CCC-5D582BB0C3DC}" name="Difference of Comparable #3 and Benchmark #1 Returns" dataDxfId="46">
      <calculatedColumnFormula>IFERROR(IF(Benchmark1[[#This Row],[Comparable '#3 Date Check]]="Pass",Benchmark1[[#This Row],[Comparable '#3 Return]]-Benchmark1[[#This Row],[Benchmark '#1 Return]],"-"),"-")</calculatedColumnFormula>
    </tableColumn>
  </tableColumns>
  <tableStyleInfo name="TableStyleLight1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22D26EA-C598-4260-AD20-8952C7B95693}" name="Benchmark2" displayName="Benchmark2" ref="A1:K1259" totalsRowShown="0" headerRowDxfId="45" dataDxfId="44">
  <autoFilter ref="A1:K1259" xr:uid="{268BCF5F-CCF9-4E21-9AEF-A85308456E86}"/>
  <tableColumns count="11">
    <tableColumn id="12" xr3:uid="{F8D9BDC3-6B7A-4411-9B88-C3B1F3E17AB6}" name="Benchmark #2 Dates" dataDxfId="43"/>
    <tableColumn id="13" xr3:uid="{6B45CAB2-38B4-4550-B106-3995C39378D1}" name="Benchmark #2 Price" dataDxfId="42"/>
    <tableColumn id="14" xr3:uid="{D21F181C-0656-47ED-96B2-D57B02F7D4BC}" name="Benchmark #2 Return" dataDxfId="41">
      <calculatedColumnFormula>IFERROR(IF(B2="",NA(),LN(B2/B1)),"-")</calculatedColumnFormula>
    </tableColumn>
    <tableColumn id="2" xr3:uid="{A23DAC1F-6F25-474C-910D-45D7A8301745}" name="Target Date Check" dataDxfId="40">
      <calculatedColumnFormula>IF(COUNTIF(Target1[Target Dates],Benchmark2[[#This Row],[Benchmark '#2 Dates]])=1,"Pass","Fail")</calculatedColumnFormula>
    </tableColumn>
    <tableColumn id="1" xr3:uid="{FABF4D88-D15E-443C-A1CB-894C9CCB561E}" name="Target Price" dataDxfId="39">
      <calculatedColumnFormula>IF(Benchmark2[[#This Row],[Target Date Check]]="Pass",INDEX(Target1[Target Price],MATCH(Benchmark2[[#This Row],[Benchmark '#2 Dates]],Target1[Target Dates],0)),"-")</calculatedColumnFormula>
    </tableColumn>
    <tableColumn id="3" xr3:uid="{46644961-C4BE-4C19-9F9E-75322548C591}" name="Comparable #1 Date Check" dataDxfId="38">
      <calculatedColumnFormula>IF(COUNTIF(Comp1[Comparable '#1 Dates],Benchmark2[[#This Row],[Benchmark '#2 Dates]])=1,"Pass","Fail")</calculatedColumnFormula>
    </tableColumn>
    <tableColumn id="4" xr3:uid="{327A0296-A2D0-4F95-BC11-79596ABDBF7C}" name="Comparable #1 Price" dataDxfId="37">
      <calculatedColumnFormula>IF(Benchmark2[[#This Row],[Comparable '#1 Date Check]]="Pass",INDEX(Comp1[Comparable '#1 Price],MATCH(Benchmark2[[#This Row],[Benchmark '#2 Dates]],Comp1[Comparable '#1 Dates],0)),"-")</calculatedColumnFormula>
    </tableColumn>
    <tableColumn id="5" xr3:uid="{132D6433-3B7D-48E9-97A9-FDA0DCD3EFC1}" name="Comparable #2 Date Check" dataDxfId="36">
      <calculatedColumnFormula>IF(COUNTIF(Comp2[Comparable '#2 Dates],Benchmark2[[#This Row],[Benchmark '#2 Dates]])=1,"Pass","Fail")</calculatedColumnFormula>
    </tableColumn>
    <tableColumn id="6" xr3:uid="{482E74AD-EAA6-48CF-9572-45E9B5F2D48F}" name="Comparable #2 Price" dataDxfId="35">
      <calculatedColumnFormula>IF(Benchmark2[[#This Row],[Comparable '#2 Date Check]]="Pass",INDEX(Comp2[Comparable '#2 Price],MATCH(Benchmark2[[#This Row],[Benchmark '#2 Dates]],Comp2[Comparable '#2 Dates],0)),"-")</calculatedColumnFormula>
    </tableColumn>
    <tableColumn id="7" xr3:uid="{B0D02FC5-5ED9-4A64-B68F-74C44D7F6F87}" name="Comparable #3 Date Check" dataDxfId="34">
      <calculatedColumnFormula>IF(COUNTIF(Comp3[Comparable '#3 Dates],Benchmark2[[#This Row],[Benchmark '#2 Dates]])=1,"Pass","Fail")</calculatedColumnFormula>
    </tableColumn>
    <tableColumn id="8" xr3:uid="{B6ED79FB-D9BE-4653-8CCF-26D6DF0FAC73}" name="Comparable #3 Price" dataDxfId="33">
      <calculatedColumnFormula>IF(Benchmark2[[#This Row],[Comparable '#3 Date Check]]="Pass",INDEX(Comp3[Comparable '#3 Price],MATCH(Benchmark2[[#This Row],[Benchmark '#2 Dates]],Comp3[Comparable '#3 Dates],0)),"-")</calculatedColumnFormula>
    </tableColumn>
  </tableColumns>
  <tableStyleInfo name="TableStyleLight1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8BD0EB3-4993-41D1-96FF-7CC09D8F11DA}" name="Comp1" displayName="Comp1" ref="A1:I1259" totalsRowShown="0" headerRowDxfId="32" dataDxfId="31">
  <autoFilter ref="A1:I1259" xr:uid="{268BCF5F-CCF9-4E21-9AEF-A85308456E86}"/>
  <tableColumns count="9">
    <tableColumn id="15" xr3:uid="{BF223C2C-ADD8-40A7-9BCF-3D97F966D294}" name="Comparable #1 Dates" dataDxfId="30"/>
    <tableColumn id="16" xr3:uid="{1D7821BA-77A0-415A-A0A3-529F6DEAE533}" name="Comparable #1 Price" dataDxfId="29"/>
    <tableColumn id="17" xr3:uid="{8DB91115-339F-4AEC-8A80-AE49A90B00CC}" name="Comparable #1 Return" dataDxfId="28">
      <calculatedColumnFormula>IFERROR(IF(B2="","-",LN(B2/B1)),"-")</calculatedColumnFormula>
    </tableColumn>
    <tableColumn id="18" xr3:uid="{6DB1E208-FECF-45DB-8D2A-2E6E1C5D76CC}" name="Comparable #1 Geodummy" dataDxfId="27">
      <calculatedColumnFormula>IFERROR(Comp1[[#This Row],[Comparable '#1 Return]]+1,"-")</calculatedColumnFormula>
    </tableColumn>
    <tableColumn id="19" xr3:uid="{3AFA5F50-E838-40B8-B0A5-A358E203170A}" name="Comparable #1 Drawdown" dataDxfId="26">
      <calculatedColumnFormula>B2-MAX($B$2:B2)</calculatedColumnFormula>
    </tableColumn>
    <tableColumn id="2" xr3:uid="{38E756DD-0BDA-463F-849F-ABC711872772}" name="Comparable #1 Drawdown Recovery Length" dataDxfId="25">
      <calculatedColumnFormula>IF(E2=0,0,F1+1)</calculatedColumnFormula>
    </tableColumn>
    <tableColumn id="20" xr3:uid="{DD666636-ACA0-416D-B569-1B0D93A13B42}" name="Comparable #1 Drawdown Recovery2" dataDxfId="24">
      <calculatedColumnFormula array="1">Comp1[[#This Row],[Comparable '#1 Drawdown]]/MAX($B$2:B2)</calculatedColumnFormula>
    </tableColumn>
    <tableColumn id="21" xr3:uid="{6B3A805E-E6F5-4E21-9B19-140B3A94CD8D}" name="Comparable #1 Date Check" dataDxfId="23">
      <calculatedColumnFormula>IF(SUM(COUNTIF(Benchmark1[Benchmark '#1 Dates],Comp1[[#This Row],[Comparable '#1 Dates]]),COUNTIF(Benchmark2[Benchmark '#2 Dates],Comp1[[#This Row],[Comparable '#1 Dates]]))=2,"Pass","Fail")</calculatedColumnFormula>
    </tableColumn>
    <tableColumn id="1" xr3:uid="{701D0ADD-0DCB-40A7-8179-09F66156A9FF}" name="Difference of Comparable #1 and Benchmark #1 Returns" dataDxfId="22">
      <calculatedColumnFormula>IFERROR(Comp1[[#This Row],[Comparable '#1 Return]]-INDEX(Benchmark1[Benchmark '#1 Return],MATCH(Comp1[[#This Row],[Comparable '#1 Dates]],Benchmark1[Benchmark '#1 Dates],0)),"-")</calculatedColumnFormula>
    </tableColumn>
  </tableColumns>
  <tableStyleInfo name="TableStyleLight1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28703F5-7AA8-4AA9-A97A-54D5209B2EE8}" name="Comp2" displayName="Comp2" ref="A1:I1258" totalsRowShown="0" headerRowDxfId="21" dataDxfId="20">
  <autoFilter ref="A1:I1258" xr:uid="{268BCF5F-CCF9-4E21-9AEF-A85308456E86}"/>
  <tableColumns count="9">
    <tableColumn id="22" xr3:uid="{840595B3-59F1-4202-8B42-875F8C37701E}" name="Comparable #2 Dates" dataDxfId="19"/>
    <tableColumn id="23" xr3:uid="{59120FB6-CDB7-481B-95C2-AC2DFA92A580}" name="Comparable #2 Price" dataDxfId="18"/>
    <tableColumn id="24" xr3:uid="{87ED3ABC-F2C4-4FA4-A26F-B9599FB6ECEB}" name="Comparable #2 Return" dataDxfId="17">
      <calculatedColumnFormula>IFERROR(IF(B2="","-",LN(B2/B1)),"-")</calculatedColumnFormula>
    </tableColumn>
    <tableColumn id="25" xr3:uid="{D147906B-A7E1-43EC-B065-C931C281C606}" name="Comparable #2 Geodummy" dataDxfId="16">
      <calculatedColumnFormula>IFERROR(Comp2[[#This Row],[Comparable '#2 Return]]+1,"-")</calculatedColumnFormula>
    </tableColumn>
    <tableColumn id="26" xr3:uid="{E8186B63-7E16-4A6B-AEF5-287933B2990F}" name="Comparable #2 Drawdown" dataDxfId="15">
      <calculatedColumnFormula>B2-MAX($B$2:B2)</calculatedColumnFormula>
    </tableColumn>
    <tableColumn id="2" xr3:uid="{B570001D-BCB8-4024-B749-CF4FB8AEA61D}" name="Comparable #2 Drawdown Recovery Length" dataDxfId="14">
      <calculatedColumnFormula>IF(E2=0,0,F1+1)</calculatedColumnFormula>
    </tableColumn>
    <tableColumn id="27" xr3:uid="{4E7F8539-B5A0-4C0C-8AEA-64171CF06F85}" name="Comparable #2 Drawdown Recovery2" dataDxfId="13">
      <calculatedColumnFormula>Comp2[[#This Row],[Comparable '#2 Drawdown]]/MAX($B$2:B2)</calculatedColumnFormula>
    </tableColumn>
    <tableColumn id="28" xr3:uid="{B39FD960-86B6-4CF7-A135-0D5050AE8906}" name="Comparable #2 Date Check" dataDxfId="12">
      <calculatedColumnFormula>IF(SUM(COUNTIF(Benchmark1[Benchmark '#1 Dates],Comp2[[#This Row],[Comparable '#2 Dates]]),COUNTIF(Benchmark2[Benchmark '#2 Dates],Comp2[[#This Row],[Comparable '#2 Dates]]))=2,"Pass","Fail")</calculatedColumnFormula>
    </tableColumn>
    <tableColumn id="1" xr3:uid="{2F9FDEB9-715E-425B-A9BF-B2B23E38C56C}" name="Difference of Comparable #2 and Benchmark #1 Returns" dataDxfId="11">
      <calculatedColumnFormula>IFERROR(Comp2[[#This Row],[Comparable '#2 Return]]-INDEX(Benchmark1[Benchmark '#1 Return],MATCH(Comp2[[#This Row],[Comparable '#2 Dates]],Benchmark1[Benchmark '#1 Dates],0)),"-")</calculatedColumnFormula>
    </tableColumn>
  </tableColumns>
  <tableStyleInfo name="TableStyleLight1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23976E2-EB09-4191-8E01-5301EFA9813B}" name="Comp3" displayName="Comp3" ref="A1:I1258" totalsRowShown="0" headerRowDxfId="10" dataDxfId="9">
  <autoFilter ref="A1:I1258" xr:uid="{268BCF5F-CCF9-4E21-9AEF-A85308456E86}"/>
  <tableColumns count="9">
    <tableColumn id="29" xr3:uid="{20A7E760-8573-4A64-87DF-DC70D51F0BAC}" name="Comparable #3 Dates" dataDxfId="8"/>
    <tableColumn id="30" xr3:uid="{8C1AB676-7E8B-41B2-B2A3-197034C8EE36}" name="Comparable #3 Price" dataDxfId="7"/>
    <tableColumn id="31" xr3:uid="{E53D4C1B-BF01-43F3-A267-3583C2495457}" name="Comparable #3 Return" dataDxfId="6">
      <calculatedColumnFormula>IFERROR(IF(B2="","-",LN(B2/B1)),"-")</calculatedColumnFormula>
    </tableColumn>
    <tableColumn id="32" xr3:uid="{835DF907-A66C-4EC7-A71A-2111B6D365CC}" name="Comparable #3 Geodummy" dataDxfId="5">
      <calculatedColumnFormula>IFERROR(Comp3[[#This Row],[Comparable '#3 Return]]+1,"-")</calculatedColumnFormula>
    </tableColumn>
    <tableColumn id="33" xr3:uid="{2382A40C-0D18-492D-91D5-AE292C8A3F89}" name="Comparable #3 Drawdown" dataDxfId="4">
      <calculatedColumnFormula>B2-MAX($B$2:B2)</calculatedColumnFormula>
    </tableColumn>
    <tableColumn id="2" xr3:uid="{96816DC7-EB76-4E6A-9EC4-4D28ED88E995}" name="Comparable #3 Drawdown Recovery Length" dataDxfId="3">
      <calculatedColumnFormula>IF(E2=0,0,F1+1)</calculatedColumnFormula>
    </tableColumn>
    <tableColumn id="34" xr3:uid="{9DAE7B22-8417-41EC-8FF3-A00C7BD4EECE}" name="Comparable #3 Drawdown Recovery2" dataDxfId="2">
      <calculatedColumnFormula>IFERROR(Comp3[[#This Row],[Comparable '#3 Drawdown]]/MAX($B$2:B2),"-")</calculatedColumnFormula>
    </tableColumn>
    <tableColumn id="35" xr3:uid="{F71F8C5F-CF8D-4454-8E18-A5CD841DCEC8}" name="Comparable #3 Date Check" dataDxfId="1">
      <calculatedColumnFormula>IF(SUM(COUNTIF(Benchmark1[Benchmark '#1 Dates],Comp3[[#This Row],[Comparable '#3 Dates]]),COUNTIF(Benchmark2[Benchmark '#2 Dates],Comp3[[#This Row],[Comparable '#3 Dates]]))=2,"Pass","Fail")</calculatedColumnFormula>
    </tableColumn>
    <tableColumn id="1" xr3:uid="{1C30922B-8C6C-4EAB-9A56-EB7AEFCAA139}" name="Difference of Comparable #3 and Benchmark #1 Returns" dataDxfId="0">
      <calculatedColumnFormula>IFERROR(Comp3[[#This Row],[Comparable '#3 Return]]-INDEX(Benchmark1[Benchmark '#1 Return],MATCH(Comp3[[#This Row],[Comparable '#3 Dates]],Benchmark1[Benchmark '#1 Dates],0)),"-")</calculatedColumnFormula>
    </tableColumn>
  </tableColumns>
  <tableStyleInfo name="TableStyleLight17" showFirstColumn="0" showLastColumn="0" showRowStripes="1" showColumnStripes="0"/>
</table>
</file>

<file path=xl/theme/theme1.xml><?xml version="1.0" encoding="utf-8"?>
<a:theme xmlns:a="http://schemas.openxmlformats.org/drawingml/2006/main" name="Smith &amp; Queens Colours">
  <a:themeElements>
    <a:clrScheme name="Custom 1">
      <a:dk1>
        <a:srgbClr val="071D49"/>
      </a:dk1>
      <a:lt1>
        <a:srgbClr val="FFFFFF"/>
      </a:lt1>
      <a:dk2>
        <a:srgbClr val="0047BB"/>
      </a:dk2>
      <a:lt2>
        <a:srgbClr val="E3E2E1"/>
      </a:lt2>
      <a:accent1>
        <a:srgbClr val="1451CA"/>
      </a:accent1>
      <a:accent2>
        <a:srgbClr val="AEABA8"/>
      </a:accent2>
      <a:accent3>
        <a:srgbClr val="5B99FF"/>
      </a:accent3>
      <a:accent4>
        <a:srgbClr val="9D1939"/>
      </a:accent4>
      <a:accent5>
        <a:srgbClr val="EEBD31"/>
      </a:accent5>
      <a:accent6>
        <a:srgbClr val="11335D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12" Type="http://schemas.openxmlformats.org/officeDocument/2006/relationships/comments" Target="../comments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0" Type="http://schemas.openxmlformats.org/officeDocument/2006/relationships/ctrlProp" Target="../ctrlProps/ctrlProp6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5BD7F-8AC4-4915-A92D-E02F472C07B5}">
  <sheetPr codeName="Sheet1">
    <tabColor theme="2"/>
  </sheetPr>
  <dimension ref="A1:I23"/>
  <sheetViews>
    <sheetView showGridLines="0" workbookViewId="0">
      <selection activeCell="E20" sqref="E19:E20"/>
    </sheetView>
  </sheetViews>
  <sheetFormatPr defaultColWidth="8.85546875" defaultRowHeight="15"/>
  <cols>
    <col min="1" max="1" width="18.42578125" bestFit="1" customWidth="1"/>
    <col min="2" max="2" width="27.140625" customWidth="1"/>
    <col min="3" max="3" width="16.7109375" bestFit="1" customWidth="1"/>
    <col min="4" max="4" width="28.42578125" customWidth="1"/>
    <col min="6" max="9" width="15.7109375" customWidth="1"/>
  </cols>
  <sheetData>
    <row r="1" spans="1:9" ht="15" customHeight="1">
      <c r="A1" s="40" t="s">
        <v>0</v>
      </c>
      <c r="B1" s="41" t="s">
        <v>106</v>
      </c>
      <c r="C1" s="41" t="s">
        <v>107</v>
      </c>
      <c r="D1" t="s">
        <v>118</v>
      </c>
      <c r="F1" s="105" t="s">
        <v>1</v>
      </c>
      <c r="G1" s="106"/>
      <c r="H1" s="105" t="s">
        <v>2</v>
      </c>
      <c r="I1" s="107">
        <v>0.6</v>
      </c>
    </row>
    <row r="2" spans="1:9">
      <c r="A2" s="40" t="s">
        <v>3</v>
      </c>
      <c r="B2" s="41" t="s">
        <v>114</v>
      </c>
      <c r="C2" s="41" t="s">
        <v>115</v>
      </c>
      <c r="D2" t="s">
        <v>119</v>
      </c>
      <c r="F2" s="105"/>
      <c r="G2" s="106"/>
      <c r="H2" s="105"/>
      <c r="I2" s="107"/>
    </row>
    <row r="3" spans="1:9">
      <c r="A3" s="40" t="s">
        <v>4</v>
      </c>
      <c r="B3" s="41" t="s">
        <v>112</v>
      </c>
      <c r="C3" s="41" t="s">
        <v>113</v>
      </c>
      <c r="D3" t="s">
        <v>120</v>
      </c>
      <c r="F3" s="105"/>
      <c r="G3" s="106"/>
      <c r="H3" s="105"/>
      <c r="I3" s="107"/>
    </row>
    <row r="4" spans="1:9">
      <c r="A4" s="40" t="s">
        <v>5</v>
      </c>
      <c r="B4" s="41" t="s">
        <v>109</v>
      </c>
      <c r="C4" s="41" t="s">
        <v>110</v>
      </c>
      <c r="F4" s="105"/>
      <c r="G4" s="106"/>
      <c r="H4" s="105"/>
      <c r="I4" s="107"/>
    </row>
    <row r="5" spans="1:9" ht="15" customHeight="1">
      <c r="A5" s="40" t="s">
        <v>6</v>
      </c>
      <c r="B5" s="41" t="s">
        <v>108</v>
      </c>
      <c r="C5" s="41" t="s">
        <v>111</v>
      </c>
      <c r="D5" t="s">
        <v>121</v>
      </c>
      <c r="F5" s="105" t="s">
        <v>7</v>
      </c>
      <c r="G5" s="106"/>
      <c r="H5" s="105" t="s">
        <v>8</v>
      </c>
      <c r="I5" s="106"/>
    </row>
    <row r="6" spans="1:9">
      <c r="A6" s="40" t="s">
        <v>9</v>
      </c>
      <c r="B6" s="41" t="s">
        <v>116</v>
      </c>
      <c r="C6" s="41" t="s">
        <v>117</v>
      </c>
      <c r="D6" t="s">
        <v>122</v>
      </c>
      <c r="F6" s="105"/>
      <c r="G6" s="106"/>
      <c r="H6" s="105"/>
      <c r="I6" s="106"/>
    </row>
    <row r="7" spans="1:9">
      <c r="F7" s="105"/>
      <c r="G7" s="106"/>
      <c r="H7" s="105"/>
      <c r="I7" s="106"/>
    </row>
    <row r="8" spans="1:9">
      <c r="A8" s="40" t="s">
        <v>10</v>
      </c>
      <c r="B8" s="40" t="s">
        <v>11</v>
      </c>
      <c r="C8" s="40" t="s">
        <v>12</v>
      </c>
      <c r="F8" s="105"/>
      <c r="G8" s="106"/>
      <c r="H8" s="105"/>
      <c r="I8" s="106"/>
    </row>
    <row r="9" spans="1:9">
      <c r="A9" s="40" t="s">
        <v>13</v>
      </c>
      <c r="B9" s="42">
        <f ca="1">TODAY()</f>
        <v>45676</v>
      </c>
      <c r="C9" s="41"/>
      <c r="D9" s="37" t="s">
        <v>123</v>
      </c>
      <c r="F9" s="105" t="s">
        <v>14</v>
      </c>
      <c r="G9" s="106"/>
      <c r="H9" s="105" t="s">
        <v>15</v>
      </c>
      <c r="I9" s="106"/>
    </row>
    <row r="10" spans="1:9">
      <c r="A10" s="40" t="s">
        <v>16</v>
      </c>
      <c r="B10" s="42">
        <f ca="1">DATE(YEAR(B9),1,1)</f>
        <v>45658</v>
      </c>
      <c r="C10" s="41">
        <f ca="1">ROUND((_xlfn.DAYS(B9,B10)/30)*21,0)</f>
        <v>13</v>
      </c>
      <c r="F10" s="105"/>
      <c r="G10" s="106"/>
      <c r="H10" s="105"/>
      <c r="I10" s="106"/>
    </row>
    <row r="11" spans="1:9">
      <c r="A11" s="40" t="s">
        <v>17</v>
      </c>
      <c r="B11" s="42">
        <f ca="1">DATE(YEAR(B9),MONTH(B9)-1,DAY(B9))</f>
        <v>45645</v>
      </c>
      <c r="C11" s="41">
        <v>21</v>
      </c>
      <c r="F11" s="105"/>
      <c r="G11" s="106"/>
      <c r="H11" s="105"/>
      <c r="I11" s="106"/>
    </row>
    <row r="12" spans="1:9">
      <c r="A12" s="40" t="s">
        <v>18</v>
      </c>
      <c r="B12" s="42">
        <f ca="1">DATE(YEAR(B9),MONTH(B9)-3,DAY(B9))</f>
        <v>45584</v>
      </c>
      <c r="C12" s="41">
        <v>63</v>
      </c>
      <c r="F12" s="105"/>
      <c r="G12" s="106"/>
      <c r="H12" s="105"/>
      <c r="I12" s="106"/>
    </row>
    <row r="13" spans="1:9">
      <c r="A13" s="40" t="s">
        <v>19</v>
      </c>
      <c r="B13" s="42">
        <f ca="1">DATE(YEAR(B9),MONTH(B9)-6,DAY(B9))</f>
        <v>45492</v>
      </c>
      <c r="C13" s="41">
        <v>126</v>
      </c>
      <c r="F13" s="105" t="s">
        <v>20</v>
      </c>
      <c r="G13" s="106"/>
    </row>
    <row r="14" spans="1:9">
      <c r="A14" s="40" t="s">
        <v>21</v>
      </c>
      <c r="B14" s="42">
        <f ca="1">DATE(YEAR(B9)-1,MONTH(B9),DAY(B9))</f>
        <v>45310</v>
      </c>
      <c r="C14" s="41">
        <v>252</v>
      </c>
      <c r="F14" s="105"/>
      <c r="G14" s="106"/>
    </row>
    <row r="15" spans="1:9">
      <c r="A15" s="40" t="s">
        <v>22</v>
      </c>
      <c r="B15" s="42">
        <f ca="1">DATE(YEAR(B9)-2,MONTH(B9),DAY(B9))</f>
        <v>44945</v>
      </c>
      <c r="C15" s="41">
        <v>252</v>
      </c>
      <c r="F15" s="105"/>
      <c r="G15" s="106"/>
    </row>
    <row r="16" spans="1:9">
      <c r="A16" s="40" t="s">
        <v>23</v>
      </c>
      <c r="B16" s="42">
        <f ca="1">DATE(YEAR(B9)-3,MONTH(B9),DAY(B9))</f>
        <v>44580</v>
      </c>
      <c r="C16" s="41">
        <v>252</v>
      </c>
      <c r="F16" s="105"/>
      <c r="G16" s="106"/>
    </row>
    <row r="17" spans="1:5">
      <c r="A17" s="40" t="s">
        <v>24</v>
      </c>
      <c r="B17" s="42">
        <f ca="1">DATE(YEAR(B9)-5,MONTH(B9),DAY(B9))+2</f>
        <v>43851</v>
      </c>
      <c r="C17" s="41">
        <v>252</v>
      </c>
    </row>
    <row r="18" spans="1:5">
      <c r="A18" s="40"/>
      <c r="B18" s="41"/>
      <c r="C18" s="41"/>
    </row>
    <row r="19" spans="1:5">
      <c r="A19" s="40"/>
      <c r="B19" s="71"/>
      <c r="C19" s="41"/>
    </row>
    <row r="20" spans="1:5">
      <c r="A20" s="40"/>
      <c r="B20" s="41"/>
      <c r="C20" s="41"/>
    </row>
    <row r="23" spans="1:5">
      <c r="E23" s="46"/>
    </row>
  </sheetData>
  <mergeCells count="14">
    <mergeCell ref="F1:F4"/>
    <mergeCell ref="G1:G4"/>
    <mergeCell ref="H1:H4"/>
    <mergeCell ref="I1:I4"/>
    <mergeCell ref="F5:F8"/>
    <mergeCell ref="G5:G8"/>
    <mergeCell ref="H5:H8"/>
    <mergeCell ref="I5:I8"/>
    <mergeCell ref="H9:H12"/>
    <mergeCell ref="I9:I12"/>
    <mergeCell ref="F9:F12"/>
    <mergeCell ref="G9:G12"/>
    <mergeCell ref="F13:F16"/>
    <mergeCell ref="G13:G16"/>
  </mergeCells>
  <phoneticPr fontId="8" type="noConversion"/>
  <pageMargins left="0.7" right="0.7" top="0.75" bottom="0.75" header="0.3" footer="0.3"/>
  <pageSetup orientation="portrait" r:id="rId1"/>
  <customProperties>
    <customPr name="Gu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pdate_Bench_Two">
                <anchor moveWithCells="1" sizeWithCells="1">
                  <from>
                    <xdr:col>8</xdr:col>
                    <xdr:colOff>9525</xdr:colOff>
                    <xdr:row>4</xdr:row>
                    <xdr:rowOff>9525</xdr:rowOff>
                  </from>
                  <to>
                    <xdr:col>8</xdr:col>
                    <xdr:colOff>1419225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>
                <anchor moveWithCells="1" sizeWithCells="1">
                  <from>
                    <xdr:col>6</xdr:col>
                    <xdr:colOff>9525</xdr:colOff>
                    <xdr:row>8</xdr:row>
                    <xdr:rowOff>9525</xdr:rowOff>
                  </from>
                  <to>
                    <xdr:col>6</xdr:col>
                    <xdr:colOff>1419225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>
                <anchor moveWithCells="1" sizeWithCells="1">
                  <from>
                    <xdr:col>6</xdr:col>
                    <xdr:colOff>9525</xdr:colOff>
                    <xdr:row>4</xdr:row>
                    <xdr:rowOff>9525</xdr:rowOff>
                  </from>
                  <to>
                    <xdr:col>6</xdr:col>
                    <xdr:colOff>1419225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pdate_Target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1419225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Run_All_Macros">
                <anchor moveWithCells="1" sizeWithCells="1">
                  <from>
                    <xdr:col>8</xdr:col>
                    <xdr:colOff>9525</xdr:colOff>
                    <xdr:row>8</xdr:row>
                    <xdr:rowOff>9525</xdr:rowOff>
                  </from>
                  <to>
                    <xdr:col>9</xdr:col>
                    <xdr:colOff>0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 macro="[0]!Update_Bench_One">
                <anchor moveWithCells="1" sizeWithCells="1">
                  <from>
                    <xdr:col>8</xdr:col>
                    <xdr:colOff>28575</xdr:colOff>
                    <xdr:row>0</xdr:row>
                    <xdr:rowOff>28575</xdr:rowOff>
                  </from>
                  <to>
                    <xdr:col>9</xdr:col>
                    <xdr:colOff>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print="0" autoFill="0" autoPict="0">
                <anchor moveWithCells="1" sizeWithCells="1">
                  <from>
                    <xdr:col>6</xdr:col>
                    <xdr:colOff>9525</xdr:colOff>
                    <xdr:row>12</xdr:row>
                    <xdr:rowOff>9525</xdr:rowOff>
                  </from>
                  <to>
                    <xdr:col>6</xdr:col>
                    <xdr:colOff>1419225</xdr:colOff>
                    <xdr:row>15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50F2D8-EDDF-46CF-BB24-FBCF4C5E6587}">
  <sheetPr codeName="Sheet4">
    <tabColor theme="1" tint="0.89999084444715716"/>
  </sheetPr>
  <dimension ref="B2:J83"/>
  <sheetViews>
    <sheetView showGridLines="0" zoomScale="114" zoomScaleNormal="85" workbookViewId="0">
      <selection activeCell="I42" sqref="I42"/>
    </sheetView>
  </sheetViews>
  <sheetFormatPr defaultColWidth="8.85546875" defaultRowHeight="15"/>
  <cols>
    <col min="1" max="1" width="6.28515625" customWidth="1"/>
    <col min="2" max="2" width="17.140625" bestFit="1" customWidth="1"/>
    <col min="3" max="3" width="14.85546875" customWidth="1"/>
    <col min="4" max="4" width="19.140625" customWidth="1"/>
    <col min="5" max="10" width="14.85546875" customWidth="1"/>
  </cols>
  <sheetData>
    <row r="2" spans="2:10" s="23" customFormat="1" ht="24" customHeight="1">
      <c r="B2" s="108" t="s">
        <v>25</v>
      </c>
      <c r="C2" s="119" t="str">
        <f>'Control Panel'!C1</f>
        <v>LRN</v>
      </c>
      <c r="D2" s="120"/>
      <c r="E2" s="120" t="str">
        <f>'Control Panel'!C2</f>
        <v>NasdaqGS:LAUR</v>
      </c>
      <c r="F2" s="120"/>
      <c r="G2" s="120" t="str">
        <f>'Control Panel'!C3</f>
        <v>ATGE</v>
      </c>
      <c r="H2" s="121"/>
      <c r="I2" s="114" t="str">
        <f>'Control Panel'!C4</f>
        <v>STRA</v>
      </c>
      <c r="J2" s="115"/>
    </row>
    <row r="3" spans="2:10" s="23" customFormat="1" ht="24" customHeight="1">
      <c r="B3" s="109"/>
      <c r="C3" s="24" t="str">
        <f>'Control Panel'!C1&amp;" - "&amp;'Control Panel'!B5</f>
        <v>LRN - S&amp;P 500</v>
      </c>
      <c r="D3" s="24" t="str">
        <f>'Control Panel'!C1&amp;" - "&amp;'Control Panel'!B6</f>
        <v xml:space="preserve">LRN - NYSE Composite Index </v>
      </c>
      <c r="E3" s="24" t="str">
        <f>'Control Panel'!C2&amp;" - "&amp;'Control Panel'!B5</f>
        <v>NasdaqGS:LAUR - S&amp;P 500</v>
      </c>
      <c r="F3" s="24" t="str">
        <f>'Control Panel'!C2&amp;" - "&amp;'Control Panel'!B6</f>
        <v xml:space="preserve">NasdaqGS:LAUR - NYSE Composite Index </v>
      </c>
      <c r="G3" s="24" t="str">
        <f>'Control Panel'!C3&amp;" - "&amp;'Control Panel'!B5</f>
        <v>ATGE - S&amp;P 500</v>
      </c>
      <c r="H3" s="51" t="str">
        <f>'Control Panel'!C3&amp;" - "&amp;'Control Panel'!B6</f>
        <v xml:space="preserve">ATGE - NYSE Composite Index </v>
      </c>
      <c r="I3" s="47" t="str">
        <f>'Control Panel'!C4&amp;" - "&amp;'Control Panel'!B5</f>
        <v>STRA - S&amp;P 500</v>
      </c>
      <c r="J3" s="26" t="str">
        <f>'Control Panel'!C4&amp;" - "&amp;'Control Panel'!B6</f>
        <v xml:space="preserve">STRA - NYSE Composite Index </v>
      </c>
    </row>
    <row r="4" spans="2:10">
      <c r="B4" s="27" t="s">
        <v>21</v>
      </c>
      <c r="C4" s="25" t="e">
        <f ca="1">'Calculated Results'!F3</f>
        <v>#DIV/0!</v>
      </c>
      <c r="D4" s="25" t="e">
        <f ca="1">'Calculated Results'!F4</f>
        <v>#DIV/0!</v>
      </c>
      <c r="E4" s="25" t="e">
        <f ca="1">'Calculated Results'!F21</f>
        <v>#DIV/0!</v>
      </c>
      <c r="F4" s="25" t="e">
        <f ca="1">'Calculated Results'!F22</f>
        <v>#DIV/0!</v>
      </c>
      <c r="G4" s="25" t="e">
        <f ca="1">'Calculated Results'!F39</f>
        <v>#DIV/0!</v>
      </c>
      <c r="H4" s="52" t="e">
        <f ca="1">'Calculated Results'!F40</f>
        <v>#DIV/0!</v>
      </c>
      <c r="I4" s="48" t="e">
        <f ca="1">'Calculated Results'!F57</f>
        <v>#DIV/0!</v>
      </c>
      <c r="J4" s="28" t="e">
        <f ca="1">'Calculated Results'!F58</f>
        <v>#DIV/0!</v>
      </c>
    </row>
    <row r="5" spans="2:10">
      <c r="B5" s="27" t="s">
        <v>22</v>
      </c>
      <c r="C5" s="30">
        <f ca="1">'Calculated Results'!G3</f>
        <v>-7.3999816878913854E-2</v>
      </c>
      <c r="D5" s="30">
        <f ca="1">'Calculated Results'!G4</f>
        <v>6.4750331686558596E-2</v>
      </c>
      <c r="E5" s="30">
        <f ca="1">'Calculated Results'!G21</f>
        <v>0.37759032068396903</v>
      </c>
      <c r="F5" s="30">
        <f ca="1">'Calculated Results'!G22</f>
        <v>-0.39931319041253044</v>
      </c>
      <c r="G5" s="30">
        <f ca="1">'Calculated Results'!G39</f>
        <v>4.817677217806806E-2</v>
      </c>
      <c r="H5" s="53">
        <f ca="1">'Calculated Results'!G40</f>
        <v>6.0503685575780412E-4</v>
      </c>
      <c r="I5" s="49">
        <f ca="1">'Calculated Results'!G57</f>
        <v>-0.62745912845723006</v>
      </c>
      <c r="J5" s="31">
        <f ca="1">'Calculated Results'!G58</f>
        <v>0.23739915302738374</v>
      </c>
    </row>
    <row r="6" spans="2:10">
      <c r="B6" s="27" t="s">
        <v>23</v>
      </c>
      <c r="C6" s="25">
        <f ca="1">'Calculated Results'!H3</f>
        <v>-0.25603044143823939</v>
      </c>
      <c r="D6" s="25">
        <f ca="1">'Calculated Results'!H4</f>
        <v>-0.41637891372574892</v>
      </c>
      <c r="E6" s="25">
        <f ca="1">'Calculated Results'!H21</f>
        <v>0.47545565838123871</v>
      </c>
      <c r="F6" s="25">
        <f ca="1">'Calculated Results'!H22</f>
        <v>0.2937908285370055</v>
      </c>
      <c r="G6" s="25">
        <f ca="1">'Calculated Results'!H39</f>
        <v>-0.45384745362689516</v>
      </c>
      <c r="H6" s="52">
        <f ca="1">'Calculated Results'!H40</f>
        <v>-0.48648330362089198</v>
      </c>
      <c r="I6" s="48">
        <f ca="1">'Calculated Results'!H57</f>
        <v>-0.15261781303067662</v>
      </c>
      <c r="J6" s="28">
        <f ca="1">'Calculated Results'!H58</f>
        <v>2.4709308085686518E-3</v>
      </c>
    </row>
    <row r="7" spans="2:10">
      <c r="B7" s="29" t="s">
        <v>24</v>
      </c>
      <c r="C7" s="32">
        <f ca="1">'Calculated Results'!I3</f>
        <v>0.43500010957604385</v>
      </c>
      <c r="D7" s="32">
        <f ca="1">'Calculated Results'!I4</f>
        <v>0.34125372989989344</v>
      </c>
      <c r="E7" s="32">
        <f ca="1">'Calculated Results'!I21</f>
        <v>0.12956592092053207</v>
      </c>
      <c r="F7" s="32">
        <f ca="1">'Calculated Results'!I22</f>
        <v>0.23978464272016323</v>
      </c>
      <c r="G7" s="32">
        <f ca="1">'Calculated Results'!I39</f>
        <v>0.26716796963352918</v>
      </c>
      <c r="H7" s="54">
        <f ca="1">'Calculated Results'!I40</f>
        <v>0.32455202025166324</v>
      </c>
      <c r="I7" s="50">
        <f ca="1">'Calculated Results'!I57</f>
        <v>-0.80107643712715049</v>
      </c>
      <c r="J7" s="33">
        <f ca="1">'Calculated Results'!I58</f>
        <v>-0.7498584280424232</v>
      </c>
    </row>
    <row r="19" spans="2:10" ht="24" customHeight="1">
      <c r="B19" s="108" t="s">
        <v>25</v>
      </c>
      <c r="C19" s="116" t="s">
        <v>26</v>
      </c>
      <c r="D19" s="117"/>
      <c r="E19" s="117"/>
      <c r="F19" s="118"/>
      <c r="G19" s="116" t="s">
        <v>27</v>
      </c>
      <c r="H19" s="117"/>
      <c r="I19" s="117"/>
      <c r="J19" s="117"/>
    </row>
    <row r="20" spans="2:10" ht="24" customHeight="1">
      <c r="B20" s="109"/>
      <c r="C20" s="24" t="str">
        <f>'Control Panel'!C1</f>
        <v>LRN</v>
      </c>
      <c r="D20" s="24" t="str">
        <f>'Control Panel'!C2</f>
        <v>NasdaqGS:LAUR</v>
      </c>
      <c r="E20" s="24" t="str">
        <f>'Control Panel'!C3</f>
        <v>ATGE</v>
      </c>
      <c r="F20" s="24" t="str">
        <f>'Control Panel'!C4</f>
        <v>STRA</v>
      </c>
      <c r="G20" s="24" t="str">
        <f>'Control Panel'!C1</f>
        <v>LRN</v>
      </c>
      <c r="H20" s="24" t="str">
        <f>'Control Panel'!C2</f>
        <v>NasdaqGS:LAUR</v>
      </c>
      <c r="I20" s="51" t="str">
        <f>'Control Panel'!C3</f>
        <v>ATGE</v>
      </c>
      <c r="J20" s="55" t="str">
        <f>'Control Panel'!C4</f>
        <v>STRA</v>
      </c>
    </row>
    <row r="21" spans="2:10" ht="15" customHeight="1">
      <c r="B21" s="27" t="s">
        <v>21</v>
      </c>
      <c r="C21" s="34" cm="1">
        <f t="array" aca="1" ref="C21:C24" ca="1">TRANSPOSE('Calculated Results'!F7:I7)</f>
        <v>0</v>
      </c>
      <c r="D21" s="38" cm="1">
        <f t="array" aca="1" ref="D21:D24" ca="1">TRANSPOSE('Calculated Results'!F25:I25)</f>
        <v>0</v>
      </c>
      <c r="E21" s="38" cm="1">
        <f t="array" aca="1" ref="E21:E24" ca="1">TRANSPOSE('Calculated Results'!F43:I43)</f>
        <v>0</v>
      </c>
      <c r="F21" s="38" cm="1">
        <f t="array" aca="1" ref="F21:F24" ca="1">TRANSPOSE('Calculated Results'!F61:I61)</f>
        <v>0</v>
      </c>
      <c r="G21" s="38" t="e">
        <f ca="1">INDEX('Calculated Results'!B8:$J$8,1,MATCH($B21,'Calculated Results'!$B$2:$J$2,0))</f>
        <v>#DIV/0!</v>
      </c>
      <c r="H21" s="34" t="e">
        <f ca="1">INDEX('Calculated Results'!B26:$J$26,1,MATCH($B21,'Calculated Results'!$B$20:$J$20,0))</f>
        <v>#DIV/0!</v>
      </c>
      <c r="I21" s="59" t="e">
        <f ca="1">INDEX('Calculated Results'!$B$44:$J$44,1,MATCH($B21,'Calculated Results'!$B$38:$J$38,0))</f>
        <v>#DIV/0!</v>
      </c>
      <c r="J21" s="56" t="e">
        <f ca="1">'Calculated Results'!F62</f>
        <v>#DIV/0!</v>
      </c>
    </row>
    <row r="22" spans="2:10" ht="15" customHeight="1">
      <c r="B22" s="27" t="s">
        <v>22</v>
      </c>
      <c r="C22" s="35">
        <f ca="1"/>
        <v>0.14450711791565932</v>
      </c>
      <c r="D22" s="35">
        <f ca="1"/>
        <v>0.15642915642915642</v>
      </c>
      <c r="E22" s="35">
        <f ca="1"/>
        <v>-6.2862108922363685E-2</v>
      </c>
      <c r="F22" s="35">
        <f ca="1"/>
        <v>-0.28064992614475626</v>
      </c>
      <c r="G22" s="35">
        <f ca="1">INDEX('Calculated Results'!B$8:$J9,1,MATCH($B22,'Calculated Results'!$B$2:$J$2,0))</f>
        <v>0.47067533583858839</v>
      </c>
      <c r="H22" s="35">
        <f ca="1">INDEX('Calculated Results'!B$26:$J27,1,MATCH($B22,'Calculated Results'!$B$20:$J$20,0))</f>
        <v>0.32166964648151358</v>
      </c>
      <c r="I22" s="60">
        <f ca="1">INDEX('Calculated Results'!$B$44:$J$44,1,MATCH($B22,'Calculated Results'!$B$38:$J$38,0))</f>
        <v>0.38523005582970321</v>
      </c>
      <c r="J22" s="57">
        <f ca="1">'Calculated Results'!G62</f>
        <v>0.28886060275666181</v>
      </c>
    </row>
    <row r="23" spans="2:10" ht="15" customHeight="1">
      <c r="B23" s="27" t="s">
        <v>23</v>
      </c>
      <c r="C23" s="34">
        <f ca="1"/>
        <v>0.22562449637389201</v>
      </c>
      <c r="D23" s="34">
        <f ca="1"/>
        <v>3.5217035217035335E-2</v>
      </c>
      <c r="E23" s="34">
        <f ca="1"/>
        <v>0.17207415990730024</v>
      </c>
      <c r="F23" s="34">
        <f ca="1"/>
        <v>0.18360413589364843</v>
      </c>
      <c r="G23" s="34">
        <f ca="1">INDEX('Calculated Results'!B$8:$J10,1,MATCH($B23,'Calculated Results'!$B$2:$J$2,0))</f>
        <v>0.53767404235167593</v>
      </c>
      <c r="H23" s="34">
        <f ca="1">INDEX('Calculated Results'!B$26:$J28,1,MATCH($B23,'Calculated Results'!$B$20:$J$20,0))</f>
        <v>0.36722288406288206</v>
      </c>
      <c r="I23" s="59">
        <f ca="1">INDEX('Calculated Results'!$B$44:$J$44,1,MATCH($B23,'Calculated Results'!$B$38:$J$38,0))</f>
        <v>0.40930832361719083</v>
      </c>
      <c r="J23" s="56">
        <f ca="1">'Calculated Results'!H62</f>
        <v>0.35503776005339788</v>
      </c>
    </row>
    <row r="24" spans="2:10" ht="15" customHeight="1">
      <c r="B24" s="29" t="s">
        <v>24</v>
      </c>
      <c r="C24" s="36">
        <f ca="1"/>
        <v>0.45339779747515435</v>
      </c>
      <c r="D24" s="36">
        <f ca="1"/>
        <v>-0.47420147420147407</v>
      </c>
      <c r="E24" s="36">
        <f ca="1"/>
        <v>-4.2004634994206133E-2</v>
      </c>
      <c r="F24" s="36">
        <f ca="1"/>
        <v>-1.4088626292466766</v>
      </c>
      <c r="G24" s="36">
        <f ca="1">INDEX('Calculated Results'!B$8:$J11,1,MATCH($B24,'Calculated Results'!$B$2:$J$2,0))</f>
        <v>0.56598737202333471</v>
      </c>
      <c r="H24" s="36">
        <f ca="1">INDEX('Calculated Results'!B$26:$J29,1,MATCH($B24,'Calculated Results'!$B$20:$J$20,0))</f>
        <v>0.58887355559643118</v>
      </c>
      <c r="I24" s="61">
        <f ca="1">INDEX('Calculated Results'!$B$44:$J$44,1,MATCH($B24,'Calculated Results'!$B$38:$J$38,0))</f>
        <v>0.43560217098493886</v>
      </c>
      <c r="J24" s="58">
        <f ca="1">'Calculated Results'!I62</f>
        <v>0.4430627839782233</v>
      </c>
    </row>
    <row r="26" spans="2:10">
      <c r="B26" s="108" t="s">
        <v>25</v>
      </c>
      <c r="C26" s="116" t="s">
        <v>28</v>
      </c>
      <c r="D26" s="117"/>
      <c r="E26" s="117"/>
      <c r="F26" s="118"/>
    </row>
    <row r="27" spans="2:10">
      <c r="B27" s="109"/>
      <c r="C27" s="24" t="str">
        <f t="shared" ref="C27:F28" si="0">C20</f>
        <v>LRN</v>
      </c>
      <c r="D27" s="24" t="str">
        <f t="shared" si="0"/>
        <v>NasdaqGS:LAUR</v>
      </c>
      <c r="E27" s="24" t="str">
        <f t="shared" si="0"/>
        <v>ATGE</v>
      </c>
      <c r="F27" s="24" t="str">
        <f t="shared" si="0"/>
        <v>STRA</v>
      </c>
    </row>
    <row r="28" spans="2:10">
      <c r="B28" s="27" t="s">
        <v>21</v>
      </c>
      <c r="C28" s="34">
        <f t="shared" ca="1" si="0"/>
        <v>0</v>
      </c>
      <c r="D28" s="34">
        <f t="shared" ca="1" si="0"/>
        <v>0</v>
      </c>
      <c r="E28" s="34">
        <f t="shared" ca="1" si="0"/>
        <v>0</v>
      </c>
      <c r="F28" s="34">
        <f t="shared" ca="1" si="0"/>
        <v>0</v>
      </c>
    </row>
    <row r="29" spans="2:10">
      <c r="B29" s="27" t="s">
        <v>22</v>
      </c>
      <c r="C29" s="35">
        <f ca="1">(C22+1)^(1/2)-1</f>
        <v>6.9816394488166011E-2</v>
      </c>
      <c r="D29" s="35">
        <f ca="1">(D22+1)^(1/2)-1</f>
        <v>7.5373961201012474E-2</v>
      </c>
      <c r="E29" s="35">
        <f ca="1">(E22+1)^(1/2)-1</f>
        <v>-3.1941173751493412E-2</v>
      </c>
      <c r="F29" s="35">
        <f ca="1">(F22+1)^(1/2)-1</f>
        <v>-0.15185492169367409</v>
      </c>
      <c r="G29" s="37"/>
    </row>
    <row r="30" spans="2:10">
      <c r="B30" s="27" t="s">
        <v>23</v>
      </c>
      <c r="C30" s="34">
        <f ca="1">(C23+1)^(1/3)-1</f>
        <v>7.0169273703970525E-2</v>
      </c>
      <c r="D30" s="34">
        <f ca="1">(D23+1)^(1/3)-1</f>
        <v>1.1603841779187718E-2</v>
      </c>
      <c r="E30" s="34">
        <f ca="1">(E23+1)^(1/3)-1</f>
        <v>5.4350553745015295E-2</v>
      </c>
      <c r="F30" s="34">
        <f ca="1">(F23+1)^(1/3)-1</f>
        <v>5.7796578700414214E-2</v>
      </c>
    </row>
    <row r="31" spans="2:10">
      <c r="B31" s="29" t="s">
        <v>24</v>
      </c>
      <c r="C31" s="36">
        <f ca="1">(C24+1)^(1/5)-1</f>
        <v>7.7647931248399971E-2</v>
      </c>
      <c r="D31" s="36">
        <f ca="1">(D24+1)^(1/4)-1</f>
        <v>-0.14846041601746285</v>
      </c>
      <c r="E31" s="36">
        <f ca="1">(E24+1)^(1/4)-1</f>
        <v>-1.0670744138617572E-2</v>
      </c>
      <c r="F31" s="36" t="e">
        <f ca="1">(F24+1)^(1/4)-1</f>
        <v>#NUM!</v>
      </c>
    </row>
    <row r="34" spans="2:10" ht="24" customHeight="1">
      <c r="B34" s="108" t="s">
        <v>25</v>
      </c>
      <c r="C34" s="116" t="str">
        <f>CONCATENATE("Information Ratio (Benchmark - ",'Control Panel'!B5,")")</f>
        <v>Information Ratio (Benchmark - S&amp;P 500)</v>
      </c>
      <c r="D34" s="117"/>
      <c r="E34" s="117"/>
      <c r="F34" s="117"/>
      <c r="G34" s="122" t="s">
        <v>29</v>
      </c>
      <c r="H34" s="117"/>
      <c r="I34" s="117"/>
      <c r="J34" s="117"/>
    </row>
    <row r="35" spans="2:10" ht="24" customHeight="1">
      <c r="B35" s="109"/>
      <c r="C35" s="24" t="str">
        <f>'Control Panel'!C1</f>
        <v>LRN</v>
      </c>
      <c r="D35" s="24" t="str">
        <f>'Control Panel'!C2</f>
        <v>NasdaqGS:LAUR</v>
      </c>
      <c r="E35" s="24" t="str">
        <f>'Control Panel'!C3</f>
        <v>ATGE</v>
      </c>
      <c r="F35" s="65" t="str">
        <f>'Control Panel'!C4</f>
        <v>STRA</v>
      </c>
      <c r="G35" s="66" t="str">
        <f>'Control Panel'!C1</f>
        <v>LRN</v>
      </c>
      <c r="H35" s="24" t="str">
        <f>'Control Panel'!C2</f>
        <v>NasdaqGS:LAUR</v>
      </c>
      <c r="I35" s="51" t="str">
        <f>'Control Panel'!C3</f>
        <v>ATGE</v>
      </c>
      <c r="J35" s="55" t="str">
        <f>'Control Panel'!C4</f>
        <v>STRA</v>
      </c>
    </row>
    <row r="36" spans="2:10">
      <c r="B36" s="27" t="s">
        <v>21</v>
      </c>
      <c r="C36" s="34" t="e">
        <f ca="1">INDEX('Calculated Results'!B$15:$J15,1,MATCH($B36,'Calculated Results'!$B$2:$J$2,0))</f>
        <v>#DIV/0!</v>
      </c>
      <c r="D36" s="34" t="e">
        <f ca="1">INDEX('Calculated Results'!B$33:$J33,1,MATCH($B36,'Calculated Results'!$B$20:$J$20,0))</f>
        <v>#DIV/0!</v>
      </c>
      <c r="E36" s="34" t="e">
        <f ca="1">INDEX('Calculated Results'!$B$51:$J$51,1,MATCH($B36,'Calculated Results'!$B$38:$J$38,0))</f>
        <v>#DIV/0!</v>
      </c>
      <c r="F36" s="67" t="e">
        <f ca="1">'Calculated Results'!F69</f>
        <v>#DIV/0!</v>
      </c>
      <c r="G36" s="34" t="e">
        <f t="shared" ref="G36:J39" ca="1" si="1">(C28-$C42)/G21</f>
        <v>#DIV/0!</v>
      </c>
      <c r="H36" s="34" t="e">
        <f t="shared" ca="1" si="1"/>
        <v>#DIV/0!</v>
      </c>
      <c r="I36" s="34" t="e">
        <f t="shared" ca="1" si="1"/>
        <v>#DIV/0!</v>
      </c>
      <c r="J36" s="34" t="e">
        <f t="shared" ca="1" si="1"/>
        <v>#DIV/0!</v>
      </c>
    </row>
    <row r="37" spans="2:10">
      <c r="B37" s="27" t="s">
        <v>22</v>
      </c>
      <c r="C37" s="35">
        <f ca="1">INDEX('Calculated Results'!B$15:$J17,1,MATCH($B37,'Calculated Results'!$B$2:$J$2,0))</f>
        <v>9.6962536455029447E-3</v>
      </c>
      <c r="D37" s="35">
        <f ca="1">INDEX('Calculated Results'!B$33:$J35,1,MATCH($B37,'Calculated Results'!$B$20:$J$20,0))</f>
        <v>1.7217177144804769E-2</v>
      </c>
      <c r="E37" s="35">
        <f ca="1">INDEX('Calculated Results'!$B$51:$J$51,1,MATCH($B37,'Calculated Results'!$B$38:$J$38,0))</f>
        <v>-6.4515510001905488E-2</v>
      </c>
      <c r="F37" s="68">
        <f ca="1">'Calculated Results'!G69</f>
        <v>-0.17509801080780427</v>
      </c>
      <c r="G37" s="35">
        <f t="shared" ca="1" si="1"/>
        <v>5.3362461501019323E-2</v>
      </c>
      <c r="H37" s="35">
        <f ca="1">(D29-$C43)/H22</f>
        <v>9.5358581502887674E-2</v>
      </c>
      <c r="I37" s="35">
        <f t="shared" ca="1" si="1"/>
        <v>-0.19894910220965156</v>
      </c>
      <c r="J37" s="35">
        <f t="shared" ca="1" si="1"/>
        <v>-0.68044904641860537</v>
      </c>
    </row>
    <row r="38" spans="2:10">
      <c r="B38" s="27" t="s">
        <v>23</v>
      </c>
      <c r="C38" s="34">
        <f ca="1">INDEX('Calculated Results'!B$15:$J18,1,MATCH($B38,'Calculated Results'!$B$2:$J$2,0))</f>
        <v>2.1215713290698889E-2</v>
      </c>
      <c r="D38" s="34">
        <f ca="1">INDEX('Calculated Results'!B$33:$J36,1,MATCH($B38,'Calculated Results'!$B$20:$J$20,0))</f>
        <v>8.0394308132164961E-3</v>
      </c>
      <c r="E38" s="34">
        <f ca="1">INDEX('Calculated Results'!$B$51:$J$51,1,MATCH($B38,'Calculated Results'!$B$38:$J$38,0))</f>
        <v>2.061932766068228E-2</v>
      </c>
      <c r="F38" s="69">
        <f ca="1">'Calculated Results'!H69</f>
        <v>2.3812766318116227E-2</v>
      </c>
      <c r="G38" s="34">
        <f t="shared" ca="1" si="1"/>
        <v>5.7598602990981816E-2</v>
      </c>
      <c r="H38" s="34">
        <f ca="1">(D30-$C44)/H23</f>
        <v>-7.5148253059541911E-2</v>
      </c>
      <c r="I38" s="34">
        <f t="shared" ca="1" si="1"/>
        <v>3.7015015016369383E-2</v>
      </c>
      <c r="J38" s="34">
        <f t="shared" ca="1" si="1"/>
        <v>5.237915735390309E-2</v>
      </c>
    </row>
    <row r="39" spans="2:10">
      <c r="B39" s="29" t="s">
        <v>24</v>
      </c>
      <c r="C39" s="36">
        <f ca="1">INDEX('Calculated Results'!B$15:$J19,1,MATCH($B39,'Calculated Results'!$B$2:$J$2,0))</f>
        <v>9.250737181161069E-3</v>
      </c>
      <c r="D39" s="36">
        <f ca="1">INDEX('Calculated Results'!B$33:$J37,1,MATCH($B39,'Calculated Results'!$B$20:$J$20,0))</f>
        <v>-2.3489210447832816E-2</v>
      </c>
      <c r="E39" s="36">
        <f ca="1">INDEX('Calculated Results'!$B$51:$J$51,1,MATCH($B39,'Calculated Results'!$B$38:$J$38,0))</f>
        <v>-1.5812788403398156E-2</v>
      </c>
      <c r="F39" s="97">
        <f ca="1">'Calculated Results'!I69</f>
        <v>-5.3787279887240406E-2</v>
      </c>
      <c r="G39" s="98">
        <f t="shared" ca="1" si="1"/>
        <v>7.2877829589984885E-2</v>
      </c>
      <c r="H39" s="98">
        <f t="shared" ca="1" si="1"/>
        <v>-0.31392208779052733</v>
      </c>
      <c r="I39" s="98">
        <f t="shared" ca="1" si="1"/>
        <v>-0.10805902099198919</v>
      </c>
      <c r="J39" s="98" t="e">
        <f t="shared" ca="1" si="1"/>
        <v>#NUM!</v>
      </c>
    </row>
    <row r="41" spans="2:10">
      <c r="B41" s="70" t="s">
        <v>30</v>
      </c>
      <c r="C41" t="str">
        <f ca="1">CONCATENATE("As of ",TEXT('Control Panel'!B9,"yyyy-mm-dd"))</f>
        <v>As of 2025-01-19</v>
      </c>
      <c r="F41" s="112"/>
      <c r="G41" s="113"/>
      <c r="H41" s="113"/>
      <c r="I41" s="113"/>
      <c r="J41" s="113"/>
    </row>
    <row r="42" spans="2:10">
      <c r="B42" s="27" t="s">
        <v>21</v>
      </c>
      <c r="C42" s="102">
        <v>4.9399999999999999E-2</v>
      </c>
      <c r="F42" s="112"/>
      <c r="G42" s="99"/>
      <c r="H42" s="99"/>
      <c r="I42" s="99"/>
      <c r="J42" s="99"/>
    </row>
    <row r="43" spans="2:10">
      <c r="B43" s="27" t="s">
        <v>22</v>
      </c>
      <c r="C43" s="102">
        <v>4.4699999999999997E-2</v>
      </c>
      <c r="F43" s="100"/>
      <c r="G43" s="22"/>
      <c r="H43" s="22"/>
      <c r="I43" s="22"/>
      <c r="J43" s="22"/>
    </row>
    <row r="44" spans="2:10">
      <c r="B44" s="27" t="s">
        <v>23</v>
      </c>
      <c r="C44" s="102">
        <v>3.9199999999999999E-2</v>
      </c>
      <c r="F44" s="100"/>
      <c r="G44" s="22"/>
      <c r="H44" s="22"/>
      <c r="I44" s="22"/>
      <c r="J44" s="22"/>
    </row>
    <row r="45" spans="2:10">
      <c r="B45" s="29" t="s">
        <v>24</v>
      </c>
      <c r="C45" s="102">
        <v>3.6400000000000002E-2</v>
      </c>
      <c r="F45" s="100"/>
      <c r="G45" s="22"/>
      <c r="H45" s="22"/>
      <c r="I45" s="22"/>
      <c r="J45" s="22"/>
    </row>
    <row r="46" spans="2:10">
      <c r="F46" s="100"/>
      <c r="G46" s="22"/>
      <c r="H46" s="22"/>
      <c r="I46" s="22"/>
      <c r="J46" s="22"/>
    </row>
    <row r="49" spans="2:10" ht="24" customHeight="1">
      <c r="B49" s="108" t="s">
        <v>25</v>
      </c>
      <c r="C49" s="116" t="s">
        <v>31</v>
      </c>
      <c r="D49" s="117"/>
      <c r="E49" s="117"/>
      <c r="F49" s="118"/>
      <c r="G49" s="116" t="s">
        <v>32</v>
      </c>
      <c r="H49" s="117"/>
      <c r="I49" s="117"/>
      <c r="J49" s="117"/>
    </row>
    <row r="50" spans="2:10" ht="24" customHeight="1">
      <c r="B50" s="109"/>
      <c r="C50" s="24" t="str">
        <f>'Control Panel'!C1</f>
        <v>LRN</v>
      </c>
      <c r="D50" s="24" t="str">
        <f>'Control Panel'!C2</f>
        <v>NasdaqGS:LAUR</v>
      </c>
      <c r="E50" s="24" t="str">
        <f>'Control Panel'!C3</f>
        <v>ATGE</v>
      </c>
      <c r="F50" s="24" t="str">
        <f>'Control Panel'!C4</f>
        <v>STRA</v>
      </c>
      <c r="G50" s="24" t="str">
        <f>'Control Panel'!C1</f>
        <v>LRN</v>
      </c>
      <c r="H50" s="24" t="str">
        <f>'Control Panel'!C2</f>
        <v>NasdaqGS:LAUR</v>
      </c>
      <c r="I50" s="26" t="str">
        <f>'Control Panel'!C3</f>
        <v>ATGE</v>
      </c>
      <c r="J50" s="26" t="str">
        <f>'Control Panel'!C4</f>
        <v>STRA</v>
      </c>
    </row>
    <row r="51" spans="2:10">
      <c r="B51" s="27" t="s">
        <v>21</v>
      </c>
      <c r="C51" s="25" t="e">
        <f ca="1">INDEX('Calculated Results'!$B$9:$J$9,1,MATCH($B51,'Calculated Results'!$B$2:$J$2,0))</f>
        <v>#DIV/0!</v>
      </c>
      <c r="D51" s="25" t="e">
        <f ca="1">INDEX('Calculated Results'!$B$27:$J$27,1,MATCH($B51,'Calculated Results'!$B$20:$J$20,0))</f>
        <v>#DIV/0!</v>
      </c>
      <c r="E51" s="25" t="e">
        <f ca="1">INDEX('Calculated Results'!$B$45:$J$45,1,MATCH($B36,'Calculated Results'!$B$38:$J$38,0))</f>
        <v>#DIV/0!</v>
      </c>
      <c r="F51" s="25" t="e">
        <f ca="1">'Calculated Results'!F63</f>
        <v>#DIV/0!</v>
      </c>
      <c r="G51" s="39" t="e">
        <f ca="1">INDEX('Calculated Results'!$B$10:$J$10,1,MATCH($B51,'Calculated Results'!$B$2:$J$2,0))</f>
        <v>#DIV/0!</v>
      </c>
      <c r="H51" s="25" t="e">
        <f ca="1">INDEX('Calculated Results'!$B$28:$J$28,1,MATCH($B51,'Calculated Results'!$B$20:$J$20,0))</f>
        <v>#DIV/0!</v>
      </c>
      <c r="I51" s="52" t="e">
        <f ca="1">INDEX('Calculated Results'!$B$46:$J$46,1,MATCH($B36,'Calculated Results'!$B$38:$J$38,0))</f>
        <v>#DIV/0!</v>
      </c>
      <c r="J51" s="62" t="e">
        <f ca="1">'Calculated Results'!F64</f>
        <v>#DIV/0!</v>
      </c>
    </row>
    <row r="52" spans="2:10">
      <c r="B52" s="27" t="s">
        <v>22</v>
      </c>
      <c r="C52" s="30">
        <f ca="1">INDEX('Calculated Results'!$B$9:$J$9,1,MATCH($B52,'Calculated Results'!$B$2:$J$2,0))</f>
        <v>42.182647521106993</v>
      </c>
      <c r="D52" s="30">
        <f ca="1">INDEX('Calculated Results'!$B$27:$J$27,1,MATCH($B52,'Calculated Results'!$B$20:$J$20,0))</f>
        <v>21.019305865633562</v>
      </c>
      <c r="E52" s="30">
        <f ca="1">INDEX('Calculated Results'!$B$45:$J$45,1,MATCH($B37,'Calculated Results'!$B$38:$J$38,0))</f>
        <v>9.1307801142117526</v>
      </c>
      <c r="F52" s="30">
        <f ca="1">'Calculated Results'!G63</f>
        <v>4.1606159907137865</v>
      </c>
      <c r="G52" s="30">
        <f ca="1">INDEX('Calculated Results'!$B$10:$J$10,1,MATCH($B52,'Calculated Results'!$B$2:$J$2,0))</f>
        <v>5.382058386998148</v>
      </c>
      <c r="H52" s="30">
        <f ca="1">INDEX('Calculated Results'!$B$28:$J$28,1,MATCH($B52,'Calculated Results'!$B$20:$J$20,0))</f>
        <v>2.9763996477873014</v>
      </c>
      <c r="I52" s="53">
        <f ca="1">INDEX('Calculated Results'!$B$46:$J$46,1,MATCH($B37,'Calculated Results'!$B$38:$J$38,0))</f>
        <v>1.5488227976671958</v>
      </c>
      <c r="J52" s="63">
        <f ca="1">'Calculated Results'!G64</f>
        <v>-1.3344372478757525</v>
      </c>
    </row>
    <row r="53" spans="2:10">
      <c r="B53" s="27" t="s">
        <v>23</v>
      </c>
      <c r="C53" s="25">
        <f ca="1">INDEX('Calculated Results'!$B$9:$J$9,1,MATCH($B53,'Calculated Results'!$B$2:$J$2,0))</f>
        <v>43.439587263499895</v>
      </c>
      <c r="D53" s="25">
        <f ca="1">INDEX('Calculated Results'!$B$27:$J$27,1,MATCH($B53,'Calculated Results'!$B$20:$J$20,0))</f>
        <v>7.5092122061177839</v>
      </c>
      <c r="E53" s="25">
        <f ca="1">INDEX('Calculated Results'!$B$45:$J$45,1,MATCH($B38,'Calculated Results'!$B$38:$J$38,0))</f>
        <v>7.2986609777175815</v>
      </c>
      <c r="F53" s="25">
        <f ca="1">'Calculated Results'!H63</f>
        <v>16.19691045166612</v>
      </c>
      <c r="G53" s="25">
        <f ca="1">INDEX('Calculated Results'!$B$10:$J$10,1,MATCH($B53,'Calculated Results'!$B$2:$J$2,0))</f>
        <v>-1.0472131995331322</v>
      </c>
      <c r="H53" s="25">
        <f ca="1">INDEX('Calculated Results'!$B$28:$J$28,1,MATCH($B53,'Calculated Results'!$B$20:$J$20,0))</f>
        <v>0.19164652137626664</v>
      </c>
      <c r="I53" s="52">
        <f ca="1">INDEX('Calculated Results'!$B$46:$J$46,1,MATCH($B38,'Calculated Results'!$B$38:$J$38,0))</f>
        <v>0.24509606482210802</v>
      </c>
      <c r="J53" s="62">
        <f ca="1">'Calculated Results'!H64</f>
        <v>1.7032506402411691</v>
      </c>
    </row>
    <row r="54" spans="2:10">
      <c r="B54" s="29" t="s">
        <v>24</v>
      </c>
      <c r="C54" s="32">
        <f ca="1">INDEX('Calculated Results'!$B$9:$J$9,1,MATCH($B54,'Calculated Results'!$B$2:$J$2,0))</f>
        <v>17.440665984199164</v>
      </c>
      <c r="D54" s="32">
        <f ca="1">INDEX('Calculated Results'!$B$27:$J$27,1,MATCH($B54,'Calculated Results'!$B$20:$J$20,0))</f>
        <v>62.804956374247467</v>
      </c>
      <c r="E54" s="32">
        <f ca="1">INDEX('Calculated Results'!$B$45:$J$45,1,MATCH($B39,'Calculated Results'!$B$38:$J$38,0))</f>
        <v>7.242027345974881</v>
      </c>
      <c r="F54" s="32">
        <f ca="1">'Calculated Results'!I63</f>
        <v>10.06455804776841</v>
      </c>
      <c r="G54" s="32">
        <f ca="1">INDEX('Calculated Results'!$B$10:$J$10,1,MATCH($B54,'Calculated Results'!$B$2:$J$2,0))</f>
        <v>-0.40184078392066008</v>
      </c>
      <c r="H54" s="32">
        <f ca="1">INDEX('Calculated Results'!$B$28:$J$28,1,MATCH($B54,'Calculated Results'!$B$20:$J$20,0))</f>
        <v>-3.68538746408912</v>
      </c>
      <c r="I54" s="54">
        <f ca="1">INDEX('Calculated Results'!$B$46:$J$46,1,MATCH($B39,'Calculated Results'!$B$38:$J$38,0))</f>
        <v>-0.63793684082269864</v>
      </c>
      <c r="J54" s="64">
        <f ca="1">'Calculated Results'!I64</f>
        <v>-0.13184497529142278</v>
      </c>
    </row>
    <row r="64" spans="2:10" ht="24" customHeight="1">
      <c r="B64" s="108" t="s">
        <v>25</v>
      </c>
      <c r="C64" s="116" t="s">
        <v>33</v>
      </c>
      <c r="D64" s="117"/>
      <c r="E64" s="117"/>
      <c r="F64" s="118"/>
      <c r="G64" s="110" t="s">
        <v>34</v>
      </c>
      <c r="H64" s="111"/>
      <c r="I64" s="111"/>
      <c r="J64" s="111"/>
    </row>
    <row r="65" spans="2:10" ht="24" customHeight="1">
      <c r="B65" s="109"/>
      <c r="C65" s="24" t="str">
        <f>'Control Panel'!C1</f>
        <v>LRN</v>
      </c>
      <c r="D65" s="24" t="str">
        <f>'Control Panel'!C2</f>
        <v>NasdaqGS:LAUR</v>
      </c>
      <c r="E65" s="24" t="str">
        <f>'Control Panel'!C3</f>
        <v>ATGE</v>
      </c>
      <c r="F65" s="24" t="str">
        <f>'Control Panel'!C4</f>
        <v>STRA</v>
      </c>
      <c r="G65" s="24" t="str">
        <f>'Control Panel'!C1</f>
        <v>LRN</v>
      </c>
      <c r="H65" s="24" t="str">
        <f>'Control Panel'!C2</f>
        <v>NasdaqGS:LAUR</v>
      </c>
      <c r="I65" s="51" t="str">
        <f>'Control Panel'!C3</f>
        <v>ATGE</v>
      </c>
      <c r="J65" s="55" t="str">
        <f>'Control Panel'!C4</f>
        <v>STRA</v>
      </c>
    </row>
    <row r="66" spans="2:10">
      <c r="B66" s="27" t="s">
        <v>21</v>
      </c>
      <c r="C66" s="86" t="e">
        <f ca="1">INDEX('Calculated Results'!$B$13:$J$13,1,MATCH($B66,'Calculated Results'!$B$2:$J$2,0))</f>
        <v>#DIV/0!</v>
      </c>
      <c r="D66" s="86" t="e">
        <f ca="1">INDEX('Calculated Results'!$B$31:$J$31,1,MATCH($B66,'Calculated Results'!$B$20:$J$20,0))</f>
        <v>#DIV/0!</v>
      </c>
      <c r="E66" s="86" t="e">
        <f ca="1">INDEX('Calculated Results'!$B$49:$J$49,1,MATCH($B51,'Calculated Results'!$B$38:$J$38,0))</f>
        <v>#DIV/0!</v>
      </c>
      <c r="F66" s="86" t="e">
        <f ca="1">INDEX('Calculated Results'!$B$67:$J$67,1,MATCH($B51,'Calculated Results'!$B$38:$J$38,0))</f>
        <v>#DIV/0!</v>
      </c>
      <c r="G66" s="38" t="e">
        <f ca="1">INDEX('Calculated Results'!$B$14:$J$14,1,MATCH($B66,'Calculated Results'!$B$2:$J$2,0))</f>
        <v>#DIV/0!</v>
      </c>
      <c r="H66" s="34" t="e">
        <f ca="1">INDEX('Calculated Results'!$B$32:$J$32,1,MATCH($B66,'Calculated Results'!$B$20:$J$20,0))</f>
        <v>#DIV/0!</v>
      </c>
      <c r="I66" s="59" t="e">
        <f ca="1">INDEX('Calculated Results'!$B$50:$J$50,1,MATCH($B51,'Calculated Results'!$B$38:$J$38,0))</f>
        <v>#DIV/0!</v>
      </c>
      <c r="J66" s="56">
        <f ca="1">INDEX('Calculated Results'!$B$68:$J$68,1,MATCH($B69,'Calculated Results'!$B$38:$J$38,0))</f>
        <v>-0.52442132748975645</v>
      </c>
    </row>
    <row r="67" spans="2:10">
      <c r="B67" s="27" t="s">
        <v>22</v>
      </c>
      <c r="C67" s="87">
        <f ca="1">INDEX('Calculated Results'!$B$13:$J$13,1,MATCH($B67,'Calculated Results'!$B$2:$J$2,0))</f>
        <v>-11.322543859649123</v>
      </c>
      <c r="D67" s="87">
        <f ca="1">INDEX('Calculated Results'!$B$31:$J$31,1,MATCH($B67,'Calculated Results'!$B$20:$J$20,0))</f>
        <v>-9.9607391304347885</v>
      </c>
      <c r="E67" s="87">
        <f ca="1">INDEX('Calculated Results'!$B$49:$J$49,1,MATCH($B52,'Calculated Results'!$B$38:$J$38,0))</f>
        <v>-18.813596491228061</v>
      </c>
      <c r="F67" s="87">
        <f ca="1">INDEX('Calculated Results'!$B$67:$J$67,1,MATCH($B52,'Calculated Results'!$B$38:$J$38,0))</f>
        <v>-103.10561403508777</v>
      </c>
      <c r="G67" s="35">
        <f ca="1">INDEX('Calculated Results'!$B$14:$J$14,1,MATCH($B67,'Calculated Results'!$B$2:$J$2,0))</f>
        <v>-0.21942914456684348</v>
      </c>
      <c r="H67" s="35">
        <f ca="1">INDEX('Calculated Results'!$B$32:$J$32,1,MATCH($B67,'Calculated Results'!$B$20:$J$20,0))</f>
        <v>-0.46071873868801022</v>
      </c>
      <c r="I67" s="60">
        <f ca="1">INDEX('Calculated Results'!$B$50:$J$50,1,MATCH($B52,'Calculated Results'!$B$38:$J$38,0))</f>
        <v>-0.32347999469099142</v>
      </c>
      <c r="J67" s="57">
        <f ca="1">INDEX('Calculated Results'!$B$68:$J$68,1,MATCH($B52,'Calculated Results'!$B$38:$J$38,0))</f>
        <v>-0.5483174539198451</v>
      </c>
    </row>
    <row r="68" spans="2:10">
      <c r="B68" s="27" t="s">
        <v>23</v>
      </c>
      <c r="C68" s="86">
        <f ca="1">INDEX('Calculated Results'!$B$13:$J$13,1,MATCH($B68,'Calculated Results'!$B$2:$J$2,0))</f>
        <v>-13.654657534246574</v>
      </c>
      <c r="D68" s="86">
        <f ca="1">INDEX('Calculated Results'!$B$31:$J$31,1,MATCH($B68,'Calculated Results'!$B$20:$J$20,0))</f>
        <v>-10.11445355191257</v>
      </c>
      <c r="E68" s="86">
        <f ca="1">INDEX('Calculated Results'!$B$49:$J$49,1,MATCH($B53,'Calculated Results'!$B$38:$J$38,0))</f>
        <v>-22.329397260273961</v>
      </c>
      <c r="F68" s="86">
        <f ca="1">INDEX('Calculated Results'!$B$67:$J$67,1,MATCH($B53,'Calculated Results'!$B$38:$J$38,0))</f>
        <v>-114.88731506849325</v>
      </c>
      <c r="G68" s="34">
        <f ca="1">INDEX('Calculated Results'!$B$14:$J$14,1,MATCH($B68,'Calculated Results'!$B$2:$J$2,0))</f>
        <v>-0.26462514601253051</v>
      </c>
      <c r="H68" s="34">
        <f ca="1">INDEX('Calculated Results'!$B$32:$J$32,1,MATCH($B68,'Calculated Results'!$B$20:$J$20,0))</f>
        <v>-0.46782856391825017</v>
      </c>
      <c r="I68" s="59">
        <f ca="1">INDEX('Calculated Results'!$B$50:$J$50,1,MATCH($B53,'Calculated Results'!$B$38:$J$38,0))</f>
        <v>-0.38393048934446267</v>
      </c>
      <c r="J68" s="56">
        <f ca="1">INDEX('Calculated Results'!$B$68:$J$68,1,MATCH($B53,'Calculated Results'!$B$38:$J$38,0))</f>
        <v>-0.61097274552485181</v>
      </c>
    </row>
    <row r="69" spans="2:10">
      <c r="B69" s="29" t="s">
        <v>24</v>
      </c>
      <c r="C69" s="88">
        <f ca="1">INDEX('Calculated Results'!$B$13:$J$13,1,MATCH($B69,'Calculated Results'!$B$2:$J$2,0))</f>
        <v>-16.769044879171464</v>
      </c>
      <c r="D69" s="88">
        <f ca="1">INDEX('Calculated Results'!$B$31:$J$31,1,MATCH($B69,'Calculated Results'!$B$20:$J$20,0))</f>
        <v>-8.8703908045977009</v>
      </c>
      <c r="E69" s="88">
        <f ca="1">INDEX('Calculated Results'!$B$49:$J$49,1,MATCH($B54,'Calculated Results'!$B$38:$J$38,0))</f>
        <v>-23.591852704257757</v>
      </c>
      <c r="F69" s="88">
        <f ca="1">INDEX('Calculated Results'!$B$67:$J$67,1,MATCH($B54,'Calculated Results'!$B$38:$J$38,0))</f>
        <v>-98.612186421173874</v>
      </c>
      <c r="G69" s="36">
        <f ca="1">INDEX('Calculated Results'!$B$14:$J$14,1,MATCH($B69,'Calculated Results'!$B$2:$J$2,0))</f>
        <v>-0.34087288916473485</v>
      </c>
      <c r="H69" s="36">
        <f ca="1">INDEX('Calculated Results'!$B$32:$J$32,1,MATCH($B69,'Calculated Results'!$B$20:$J$20,0))</f>
        <v>-0.41031568550672126</v>
      </c>
      <c r="I69" s="61">
        <f ca="1">INDEX('Calculated Results'!$B$50:$J$50,1,MATCH($B54,'Calculated Results'!$B$38:$J$38,0))</f>
        <v>-0.40563708226027845</v>
      </c>
      <c r="J69" s="58">
        <f ca="1">INDEX('Calculated Results'!$B$68:$J$68,1,MATCH($B54,'Calculated Results'!$B$38:$J$38,0))</f>
        <v>-0.52442132748975645</v>
      </c>
    </row>
    <row r="71" spans="2:10">
      <c r="B71" s="108" t="s">
        <v>25</v>
      </c>
      <c r="C71" s="116" t="s">
        <v>35</v>
      </c>
      <c r="D71" s="117"/>
      <c r="E71" s="117"/>
      <c r="F71" s="118"/>
      <c r="G71" s="110" t="s">
        <v>36</v>
      </c>
      <c r="H71" s="111"/>
      <c r="I71" s="111"/>
      <c r="J71" s="111"/>
    </row>
    <row r="72" spans="2:10">
      <c r="B72" s="109"/>
      <c r="C72" s="24" t="str">
        <f>'Control Panel'!C1</f>
        <v>LRN</v>
      </c>
      <c r="D72" s="24" t="str">
        <f>'Control Panel'!C2</f>
        <v>NasdaqGS:LAUR</v>
      </c>
      <c r="E72" s="24" t="str">
        <f>'Control Panel'!C3</f>
        <v>ATGE</v>
      </c>
      <c r="F72" s="24" t="str">
        <f>'Control Panel'!C4</f>
        <v>STRA</v>
      </c>
      <c r="G72" s="24" t="str">
        <f>'Control Panel'!C1</f>
        <v>LRN</v>
      </c>
      <c r="H72" s="24" t="str">
        <f>'Control Panel'!C2</f>
        <v>NasdaqGS:LAUR</v>
      </c>
      <c r="I72" s="51" t="str">
        <f>'Control Panel'!C3</f>
        <v>ATGE</v>
      </c>
      <c r="J72" s="55" t="str">
        <f>'Control Panel'!C4</f>
        <v>STRA</v>
      </c>
    </row>
    <row r="73" spans="2:10">
      <c r="B73" s="29" t="s">
        <v>37</v>
      </c>
      <c r="C73" s="92">
        <f>INDEX('Calculated Results'!$B$17:$J$17,1,MATCH($B73,'Calculated Results'!$B$2:$J$2,0))</f>
        <v>-0.59515503875968989</v>
      </c>
      <c r="D73" s="92">
        <f>INDEX('Calculated Results'!$B$35:$J$35,1,MATCH($B73,'Calculated Results'!$B$20:$J$20,0))</f>
        <v>-0.64523589269195192</v>
      </c>
      <c r="E73" s="92">
        <f>INDEX('Calculated Results'!$B$53:$J$53,1,MATCH($B73,'Calculated Results'!$B$38:$J$38,0))</f>
        <v>-0.66059147180192579</v>
      </c>
      <c r="F73" s="92">
        <f>INDEX('Calculated Results'!$B$71:$J$71,1,MATCH($B73,'Calculated Results'!$B$38:$J$38,0))</f>
        <v>-0.73516273133375887</v>
      </c>
      <c r="G73" s="93">
        <f>INDEX('Calculated Results'!$B$16:$J$16,1,MATCH($B73,'Calculated Results'!$B$2:$J$2,0))</f>
        <v>731</v>
      </c>
      <c r="H73" s="93">
        <f>INDEX('Calculated Results'!$B$34:$J$34,1,MATCH($B73,'Calculated Results'!$B$20:$J$20,0))</f>
        <v>862</v>
      </c>
      <c r="I73" s="94">
        <f>INDEX('Calculated Results'!$B$52:$J$52,1,MATCH($B73,'Calculated Results'!$B$38:$J$38,0))</f>
        <v>1165</v>
      </c>
      <c r="J73" s="95">
        <f>INDEX('Calculated Results'!$B$70:$J$70,1,MATCH($B73,'Calculated Results'!$B$38:$J$38,0))</f>
        <v>996</v>
      </c>
    </row>
    <row r="78" spans="2:10">
      <c r="F78" s="108" t="s">
        <v>25</v>
      </c>
      <c r="G78" s="110" t="s">
        <v>34</v>
      </c>
      <c r="H78" s="111"/>
      <c r="I78" s="111"/>
      <c r="J78" s="111"/>
    </row>
    <row r="79" spans="2:10">
      <c r="F79" s="109"/>
      <c r="G79" s="24" t="s">
        <v>38</v>
      </c>
      <c r="H79" s="24" t="s">
        <v>39</v>
      </c>
      <c r="I79" s="51" t="s">
        <v>40</v>
      </c>
      <c r="J79" s="55" t="s">
        <v>41</v>
      </c>
    </row>
    <row r="80" spans="2:10">
      <c r="F80" s="27" t="s">
        <v>21</v>
      </c>
      <c r="G80" s="38">
        <v>-0.13522098833308163</v>
      </c>
      <c r="H80" s="34">
        <v>-0.14951511156811687</v>
      </c>
      <c r="I80" s="59">
        <v>-0.11220480842185121</v>
      </c>
      <c r="J80" s="56">
        <v>-0.12817621956918979</v>
      </c>
    </row>
    <row r="81" spans="6:10">
      <c r="F81" s="27" t="s">
        <v>22</v>
      </c>
      <c r="G81" s="35">
        <v>-0.11388343931733505</v>
      </c>
      <c r="H81" s="35">
        <v>-8.8279235135268447E-2</v>
      </c>
      <c r="I81" s="60">
        <v>-6.7961749642707237E-2</v>
      </c>
      <c r="J81" s="57">
        <v>-0.11213676283532217</v>
      </c>
    </row>
    <row r="82" spans="6:10">
      <c r="F82" s="27" t="s">
        <v>23</v>
      </c>
      <c r="G82" s="34">
        <v>-0.17127369757871627</v>
      </c>
      <c r="H82" s="34">
        <v>-0.12341851890662656</v>
      </c>
      <c r="I82" s="59">
        <v>-9.0036015640830025E-2</v>
      </c>
      <c r="J82" s="56">
        <v>-0.15698178976414243</v>
      </c>
    </row>
    <row r="83" spans="6:10">
      <c r="F83" s="29" t="s">
        <v>24</v>
      </c>
      <c r="G83" s="36">
        <v>-0.13091119410730201</v>
      </c>
      <c r="H83" s="36">
        <v>-9.7189472835232771E-2</v>
      </c>
      <c r="I83" s="61">
        <v>-6.9116959728876839E-2</v>
      </c>
      <c r="J83" s="58">
        <v>-0.12817621956918979</v>
      </c>
    </row>
  </sheetData>
  <mergeCells count="26">
    <mergeCell ref="B71:B72"/>
    <mergeCell ref="C71:F71"/>
    <mergeCell ref="G71:J71"/>
    <mergeCell ref="G64:J64"/>
    <mergeCell ref="B34:B35"/>
    <mergeCell ref="G34:J34"/>
    <mergeCell ref="B2:B3"/>
    <mergeCell ref="B19:B20"/>
    <mergeCell ref="B49:B50"/>
    <mergeCell ref="B64:B65"/>
    <mergeCell ref="C64:F64"/>
    <mergeCell ref="B26:B27"/>
    <mergeCell ref="F78:F79"/>
    <mergeCell ref="G78:J78"/>
    <mergeCell ref="F41:F42"/>
    <mergeCell ref="G41:J41"/>
    <mergeCell ref="I2:J2"/>
    <mergeCell ref="C19:F19"/>
    <mergeCell ref="G19:J19"/>
    <mergeCell ref="C34:F34"/>
    <mergeCell ref="C49:F49"/>
    <mergeCell ref="G49:J49"/>
    <mergeCell ref="C2:D2"/>
    <mergeCell ref="E2:F2"/>
    <mergeCell ref="C26:F26"/>
    <mergeCell ref="G2:H2"/>
  </mergeCells>
  <phoneticPr fontId="8" type="noConversion"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8036F-CB0F-42A4-86BA-9AD5C598036C}">
  <sheetPr>
    <tabColor theme="1"/>
  </sheetPr>
  <dimension ref="A1:E1256"/>
  <sheetViews>
    <sheetView zoomScale="125" workbookViewId="0">
      <selection activeCell="I25" sqref="I25"/>
    </sheetView>
  </sheetViews>
  <sheetFormatPr defaultColWidth="8.85546875" defaultRowHeight="15"/>
  <cols>
    <col min="1" max="1" width="12.28515625" style="46" bestFit="1" customWidth="1"/>
    <col min="2" max="5" width="9.140625" style="74"/>
  </cols>
  <sheetData>
    <row r="1" spans="1:5">
      <c r="A1" s="46" t="s">
        <v>42</v>
      </c>
      <c r="B1" s="74" t="str">
        <f>'Control Panel'!C1</f>
        <v>LRN</v>
      </c>
      <c r="C1" s="74" t="str">
        <f>'Control Panel'!C2</f>
        <v>NasdaqGS:LAUR</v>
      </c>
      <c r="D1" s="74" t="str">
        <f>'Control Panel'!C3</f>
        <v>ATGE</v>
      </c>
      <c r="E1" s="74" t="str">
        <f>'Control Panel'!C4</f>
        <v>STRA</v>
      </c>
    </row>
    <row r="2" spans="1:5">
      <c r="A2" s="96">
        <v>43286</v>
      </c>
      <c r="B2" s="74">
        <f>Target1[[#This Row],[Target Price]]/Target!$B$2*100</f>
        <v>100</v>
      </c>
      <c r="C2" s="74">
        <f>Comp1[[#This Row],[Comparable '#1 Price]]/'Comparable #1'!$B$2*100</f>
        <v>100</v>
      </c>
      <c r="D2" s="74">
        <f>Comp2[[#This Row],[Comparable '#2 Price]]/'Comparable #2'!$B$2*100</f>
        <v>100</v>
      </c>
      <c r="E2" s="74">
        <f>Comp3[[#This Row],[Comparable '#3 Price]]/'Comparable #3'!$B$2*100</f>
        <v>100</v>
      </c>
    </row>
    <row r="3" spans="1:5">
      <c r="A3" s="96">
        <v>43287</v>
      </c>
      <c r="B3" s="74">
        <f>Target1[[#This Row],[Target Price]]/Target!$B$2*100</f>
        <v>101.10529377545083</v>
      </c>
      <c r="C3" s="74">
        <f>Comp1[[#This Row],[Comparable '#1 Price]]/'Comparable #1'!$B$2*100</f>
        <v>101.71115674195757</v>
      </c>
      <c r="D3" s="74">
        <f>Comp2[[#This Row],[Comparable '#2 Price]]/'Comparable #2'!$B$2*100</f>
        <v>101.91146881287725</v>
      </c>
      <c r="E3" s="74">
        <f>Comp3[[#This Row],[Comparable '#3 Price]]/'Comparable #3'!$B$2*100</f>
        <v>101.01527173449365</v>
      </c>
    </row>
    <row r="4" spans="1:5">
      <c r="A4" s="96">
        <v>43290</v>
      </c>
      <c r="B4" s="74">
        <f>Target1[[#This Row],[Target Price]]/Target!$B$2*100</f>
        <v>103.89761489237928</v>
      </c>
      <c r="C4" s="74">
        <f>Comp1[[#This Row],[Comparable '#1 Price]]/'Comparable #1'!$B$2*100</f>
        <v>103.96988364134154</v>
      </c>
      <c r="D4" s="74">
        <f>Comp2[[#This Row],[Comparable '#2 Price]]/'Comparable #2'!$B$2*100</f>
        <v>103.62173038229376</v>
      </c>
      <c r="E4" s="74">
        <f>Comp3[[#This Row],[Comparable '#3 Price]]/'Comparable #3'!$B$2*100</f>
        <v>100.95554986775872</v>
      </c>
    </row>
    <row r="5" spans="1:5">
      <c r="A5" s="96">
        <v>43291</v>
      </c>
      <c r="B5" s="74">
        <f>Target1[[#This Row],[Target Price]]/Target!$B$2*100</f>
        <v>103.95578824898197</v>
      </c>
      <c r="C5" s="74">
        <f>Comp1[[#This Row],[Comparable '#1 Price]]/'Comparable #1'!$B$2*100</f>
        <v>104.85968514715948</v>
      </c>
      <c r="D5" s="74">
        <f>Comp2[[#This Row],[Comparable '#2 Price]]/'Comparable #2'!$B$2*100</f>
        <v>104.42655935613681</v>
      </c>
      <c r="E5" s="74">
        <f>Comp3[[#This Row],[Comparable '#3 Price]]/'Comparable #3'!$B$2*100</f>
        <v>101.7319341353127</v>
      </c>
    </row>
    <row r="6" spans="1:5">
      <c r="A6" s="96">
        <v>43292</v>
      </c>
      <c r="B6" s="74">
        <f>Target1[[#This Row],[Target Price]]/Target!$B$2*100</f>
        <v>104.42117510180336</v>
      </c>
      <c r="C6" s="74">
        <f>Comp1[[#This Row],[Comparable '#1 Price]]/'Comparable #1'!$B$2*100</f>
        <v>104.51745379876797</v>
      </c>
      <c r="D6" s="74">
        <f>Comp2[[#This Row],[Comparable '#2 Price]]/'Comparable #2'!$B$2*100</f>
        <v>105.63380281690141</v>
      </c>
      <c r="E6" s="74">
        <f>Comp3[[#This Row],[Comparable '#3 Price]]/'Comparable #3'!$B$2*100</f>
        <v>102.1073287262179</v>
      </c>
    </row>
    <row r="7" spans="1:5">
      <c r="A7" s="96">
        <v>43293</v>
      </c>
      <c r="B7" s="74">
        <f>Target1[[#This Row],[Target Price]]/Target!$B$2*100</f>
        <v>104.5956951716114</v>
      </c>
      <c r="C7" s="74">
        <f>Comp1[[#This Row],[Comparable '#1 Price]]/'Comparable #1'!$B$2*100</f>
        <v>103.96988364134154</v>
      </c>
      <c r="D7" s="74">
        <f>Comp2[[#This Row],[Comparable '#2 Price]]/'Comparable #2'!$B$2*100</f>
        <v>105.93561368209254</v>
      </c>
      <c r="E7" s="74">
        <f>Comp3[[#This Row],[Comparable '#3 Price]]/'Comparable #3'!$B$2*100</f>
        <v>102.20970906919204</v>
      </c>
    </row>
    <row r="8" spans="1:5">
      <c r="A8" s="96">
        <v>43294</v>
      </c>
      <c r="B8" s="74">
        <f>Target1[[#This Row],[Target Price]]/Target!$B$2*100</f>
        <v>102.79232111692845</v>
      </c>
      <c r="C8" s="74">
        <f>Comp1[[#This Row],[Comparable '#1 Price]]/'Comparable #1'!$B$2*100</f>
        <v>103.35386721423683</v>
      </c>
      <c r="D8" s="74">
        <f>Comp2[[#This Row],[Comparable '#2 Price]]/'Comparable #2'!$B$2*100</f>
        <v>105.13078470824948</v>
      </c>
      <c r="E8" s="74">
        <f>Comp3[[#This Row],[Comparable '#3 Price]]/'Comparable #3'!$B$2*100</f>
        <v>101.96228990700453</v>
      </c>
    </row>
    <row r="9" spans="1:5">
      <c r="A9" s="96">
        <v>43297</v>
      </c>
      <c r="B9" s="74">
        <f>Target1[[#This Row],[Target Price]]/Target!$B$2*100</f>
        <v>102.21058755090169</v>
      </c>
      <c r="C9" s="74">
        <f>Comp1[[#This Row],[Comparable '#1 Price]]/'Comparable #1'!$B$2*100</f>
        <v>103.28542094455852</v>
      </c>
      <c r="D9" s="74">
        <f>Comp2[[#This Row],[Comparable '#2 Price]]/'Comparable #2'!$B$2*100</f>
        <v>104.82897384305834</v>
      </c>
      <c r="E9" s="74">
        <f>Comp3[[#This Row],[Comparable '#3 Price]]/'Comparable #3'!$B$2*100</f>
        <v>101.60395870659499</v>
      </c>
    </row>
    <row r="10" spans="1:5">
      <c r="A10" s="96">
        <v>43298</v>
      </c>
      <c r="B10" s="74">
        <f>Target1[[#This Row],[Target Price]]/Target!$B$2*100</f>
        <v>100.05817335660268</v>
      </c>
      <c r="C10" s="74">
        <f>Comp1[[#This Row],[Comparable '#1 Price]]/'Comparable #1'!$B$2*100</f>
        <v>103.42231348391513</v>
      </c>
      <c r="D10" s="74">
        <f>Comp2[[#This Row],[Comparable '#2 Price]]/'Comparable #2'!$B$2*100</f>
        <v>106.03621730382294</v>
      </c>
      <c r="E10" s="74">
        <f>Comp3[[#This Row],[Comparable '#3 Price]]/'Comparable #3'!$B$2*100</f>
        <v>101.1176520774678</v>
      </c>
    </row>
    <row r="11" spans="1:5">
      <c r="A11" s="96">
        <v>43299</v>
      </c>
      <c r="B11" s="74">
        <f>Target1[[#This Row],[Target Price]]/Target!$B$2*100</f>
        <v>99.011052937754499</v>
      </c>
      <c r="C11" s="74">
        <f>Comp1[[#This Row],[Comparable '#1 Price]]/'Comparable #1'!$B$2*100</f>
        <v>104.24366872005477</v>
      </c>
      <c r="D11" s="74">
        <f>Comp2[[#This Row],[Comparable '#2 Price]]/'Comparable #2'!$B$2*100</f>
        <v>107.04225352112675</v>
      </c>
      <c r="E11" s="74">
        <f>Comp3[[#This Row],[Comparable '#3 Price]]/'Comparable #3'!$B$2*100</f>
        <v>101.80018769729544</v>
      </c>
    </row>
    <row r="12" spans="1:5">
      <c r="A12" s="96">
        <v>43300</v>
      </c>
      <c r="B12" s="74">
        <f>Target1[[#This Row],[Target Price]]/Target!$B$2*100</f>
        <v>99.592786503781269</v>
      </c>
      <c r="C12" s="74">
        <f>Comp1[[#This Row],[Comparable '#1 Price]]/'Comparable #1'!$B$2*100</f>
        <v>102.39561943874061</v>
      </c>
      <c r="D12" s="74">
        <f>Comp2[[#This Row],[Comparable '#2 Price]]/'Comparable #2'!$B$2*100</f>
        <v>106.03621730382294</v>
      </c>
      <c r="E12" s="74">
        <f>Comp3[[#This Row],[Comparable '#3 Price]]/'Comparable #3'!$B$2*100</f>
        <v>102.3120894121662</v>
      </c>
    </row>
    <row r="13" spans="1:5">
      <c r="A13" s="96">
        <v>43301</v>
      </c>
      <c r="B13" s="74">
        <f>Target1[[#This Row],[Target Price]]/Target!$B$2*100</f>
        <v>98.429319371727757</v>
      </c>
      <c r="C13" s="74">
        <f>Comp1[[#This Row],[Comparable '#1 Price]]/'Comparable #1'!$B$2*100</f>
        <v>103.49075975359344</v>
      </c>
      <c r="D13" s="74">
        <f>Comp2[[#This Row],[Comparable '#2 Price]]/'Comparable #2'!$B$2*100</f>
        <v>106.33802816901408</v>
      </c>
      <c r="E13" s="74">
        <f>Comp3[[#This Row],[Comparable '#3 Price]]/'Comparable #3'!$B$2*100</f>
        <v>102.38887466939681</v>
      </c>
    </row>
    <row r="14" spans="1:5">
      <c r="A14" s="96">
        <v>43304</v>
      </c>
      <c r="B14" s="74">
        <f>Target1[[#This Row],[Target Price]]/Target!$B$2*100</f>
        <v>98.487492728330423</v>
      </c>
      <c r="C14" s="74">
        <f>Comp1[[#This Row],[Comparable '#1 Price]]/'Comparable #1'!$B$2*100</f>
        <v>103.08008213552363</v>
      </c>
      <c r="D14" s="74">
        <f>Comp2[[#This Row],[Comparable '#2 Price]]/'Comparable #2'!$B$2*100</f>
        <v>107.74647887323943</v>
      </c>
      <c r="E14" s="74">
        <f>Comp3[[#This Row],[Comparable '#3 Price]]/'Comparable #3'!$B$2*100</f>
        <v>102.72161078406282</v>
      </c>
    </row>
    <row r="15" spans="1:5">
      <c r="A15" s="96">
        <v>43305</v>
      </c>
      <c r="B15" s="74">
        <f>Target1[[#This Row],[Target Price]]/Target!$B$2*100</f>
        <v>96.742292030250127</v>
      </c>
      <c r="C15" s="74">
        <f>Comp1[[#This Row],[Comparable '#1 Price]]/'Comparable #1'!$B$2*100</f>
        <v>102.60095824777551</v>
      </c>
      <c r="D15" s="74">
        <f>Comp2[[#This Row],[Comparable '#2 Price]]/'Comparable #2'!$B$2*100</f>
        <v>108.95372233400403</v>
      </c>
      <c r="E15" s="74">
        <f>Comp3[[#This Row],[Comparable '#3 Price]]/'Comparable #3'!$B$2*100</f>
        <v>101.68074396382562</v>
      </c>
    </row>
    <row r="16" spans="1:5">
      <c r="A16" s="96">
        <v>43306</v>
      </c>
      <c r="B16" s="74">
        <f>Target1[[#This Row],[Target Price]]/Target!$B$2*100</f>
        <v>96.393251890634076</v>
      </c>
      <c r="C16" s="74">
        <f>Comp1[[#This Row],[Comparable '#1 Price]]/'Comparable #1'!$B$2*100</f>
        <v>103.08008213552363</v>
      </c>
      <c r="D16" s="74">
        <f>Comp2[[#This Row],[Comparable '#2 Price]]/'Comparable #2'!$B$2*100</f>
        <v>110.06036217303823</v>
      </c>
      <c r="E16" s="74">
        <f>Comp3[[#This Row],[Comparable '#3 Price]]/'Comparable #3'!$B$2*100</f>
        <v>102.34621619315757</v>
      </c>
    </row>
    <row r="17" spans="1:5">
      <c r="A17" s="96">
        <v>43307</v>
      </c>
      <c r="B17" s="74">
        <f>Target1[[#This Row],[Target Price]]/Target!$B$2*100</f>
        <v>97.498545666084937</v>
      </c>
      <c r="C17" s="74">
        <f>Comp1[[#This Row],[Comparable '#1 Price]]/'Comparable #1'!$B$2*100</f>
        <v>105.20191649555099</v>
      </c>
      <c r="D17" s="74">
        <f>Comp2[[#This Row],[Comparable '#2 Price]]/'Comparable #2'!$B$2*100</f>
        <v>110.7645875251509</v>
      </c>
      <c r="E17" s="74">
        <f>Comp3[[#This Row],[Comparable '#3 Price]]/'Comparable #3'!$B$2*100</f>
        <v>103.1140687654637</v>
      </c>
    </row>
    <row r="18" spans="1:5">
      <c r="A18" s="96">
        <v>43308</v>
      </c>
      <c r="B18" s="74">
        <f>Target1[[#This Row],[Target Price]]/Target!$B$2*100</f>
        <v>96.742292030250127</v>
      </c>
      <c r="C18" s="74">
        <f>Comp1[[#This Row],[Comparable '#1 Price]]/'Comparable #1'!$B$2*100</f>
        <v>104.51745379876797</v>
      </c>
      <c r="D18" s="74">
        <f>Comp2[[#This Row],[Comparable '#2 Price]]/'Comparable #2'!$B$2*100</f>
        <v>110.26156941649899</v>
      </c>
      <c r="E18" s="74">
        <f>Comp3[[#This Row],[Comparable '#3 Price]]/'Comparable #3'!$B$2*100</f>
        <v>102.00494838324377</v>
      </c>
    </row>
    <row r="19" spans="1:5">
      <c r="A19" s="96">
        <v>43311</v>
      </c>
      <c r="B19" s="74">
        <f>Target1[[#This Row],[Target Price]]/Target!$B$2*100</f>
        <v>95.753344968004654</v>
      </c>
      <c r="C19" s="74">
        <f>Comp1[[#This Row],[Comparable '#1 Price]]/'Comparable #1'!$B$2*100</f>
        <v>98.083504449007535</v>
      </c>
      <c r="D19" s="74">
        <f>Comp2[[#This Row],[Comparable '#2 Price]]/'Comparable #2'!$B$2*100</f>
        <v>110.1609657947686</v>
      </c>
      <c r="E19" s="74">
        <f>Comp3[[#This Row],[Comparable '#3 Price]]/'Comparable #3'!$B$2*100</f>
        <v>101.55276853510793</v>
      </c>
    </row>
    <row r="20" spans="1:5">
      <c r="A20" s="96">
        <v>43312</v>
      </c>
      <c r="B20" s="74">
        <f>Target1[[#This Row],[Target Price]]/Target!$B$2*100</f>
        <v>95.171611401977884</v>
      </c>
      <c r="C20" s="74">
        <f>Comp1[[#This Row],[Comparable '#1 Price]]/'Comparable #1'!$B$2*100</f>
        <v>101.36892539356606</v>
      </c>
      <c r="D20" s="74">
        <f>Comp2[[#This Row],[Comparable '#2 Price]]/'Comparable #2'!$B$2*100</f>
        <v>109.75855130784706</v>
      </c>
      <c r="E20" s="74">
        <f>Comp3[[#This Row],[Comparable '#3 Price]]/'Comparable #3'!$B$2*100</f>
        <v>100.53749680061431</v>
      </c>
    </row>
    <row r="21" spans="1:5">
      <c r="A21" s="96">
        <v>43313</v>
      </c>
      <c r="B21" s="74">
        <f>Target1[[#This Row],[Target Price]]/Target!$B$2*100</f>
        <v>95.346131471785924</v>
      </c>
      <c r="C21" s="74">
        <f>Comp1[[#This Row],[Comparable '#1 Price]]/'Comparable #1'!$B$2*100</f>
        <v>102.73785078713212</v>
      </c>
      <c r="D21" s="74">
        <f>Comp2[[#This Row],[Comparable '#2 Price]]/'Comparable #2'!$B$2*100</f>
        <v>111.77062374245472</v>
      </c>
      <c r="E21" s="74">
        <f>Comp3[[#This Row],[Comparable '#3 Price]]/'Comparable #3'!$B$2*100</f>
        <v>112.24298268065867</v>
      </c>
    </row>
    <row r="22" spans="1:5">
      <c r="A22" s="96">
        <v>43314</v>
      </c>
      <c r="B22" s="74">
        <f>Target1[[#This Row],[Target Price]]/Target!$B$2*100</f>
        <v>94.938917975567179</v>
      </c>
      <c r="C22" s="74">
        <f>Comp1[[#This Row],[Comparable '#1 Price]]/'Comparable #1'!$B$2*100</f>
        <v>101.91649555099247</v>
      </c>
      <c r="D22" s="74">
        <f>Comp2[[#This Row],[Comparable '#2 Price]]/'Comparable #2'!$B$2*100</f>
        <v>111.67002012072433</v>
      </c>
      <c r="E22" s="74">
        <f>Comp3[[#This Row],[Comparable '#3 Price]]/'Comparable #3'!$B$2*100</f>
        <v>107.85769132326595</v>
      </c>
    </row>
    <row r="23" spans="1:5">
      <c r="A23" s="96">
        <v>43315</v>
      </c>
      <c r="B23" s="74">
        <f>Target1[[#This Row],[Target Price]]/Target!$B$2*100</f>
        <v>94.299011052937757</v>
      </c>
      <c r="C23" s="74">
        <f>Comp1[[#This Row],[Comparable '#1 Price]]/'Comparable #1'!$B$2*100</f>
        <v>100.47912388774812</v>
      </c>
      <c r="D23" s="74">
        <f>Comp2[[#This Row],[Comparable '#2 Price]]/'Comparable #2'!$B$2*100</f>
        <v>111.06639839034204</v>
      </c>
      <c r="E23" s="74">
        <f>Comp3[[#This Row],[Comparable '#3 Price]]/'Comparable #3'!$B$2*100</f>
        <v>104.61564712908455</v>
      </c>
    </row>
    <row r="24" spans="1:5">
      <c r="A24" s="96">
        <v>43318</v>
      </c>
      <c r="B24" s="74">
        <f>Target1[[#This Row],[Target Price]]/Target!$B$2*100</f>
        <v>94.066317626527052</v>
      </c>
      <c r="C24" s="74">
        <f>Comp1[[#This Row],[Comparable '#1 Price]]/'Comparable #1'!$B$2*100</f>
        <v>100.61601642710471</v>
      </c>
      <c r="D24" s="74">
        <f>Comp2[[#This Row],[Comparable '#2 Price]]/'Comparable #2'!$B$2*100</f>
        <v>111.16700201207243</v>
      </c>
      <c r="E24" s="74">
        <f>Comp3[[#This Row],[Comparable '#3 Price]]/'Comparable #3'!$B$2*100</f>
        <v>105.10195375821176</v>
      </c>
    </row>
    <row r="25" spans="1:5">
      <c r="A25" s="96">
        <v>43319</v>
      </c>
      <c r="B25" s="74">
        <f>Target1[[#This Row],[Target Price]]/Target!$B$2*100</f>
        <v>94.182664339732398</v>
      </c>
      <c r="C25" s="74">
        <f>Comp1[[#This Row],[Comparable '#1 Price]]/'Comparable #1'!$B$2*100</f>
        <v>100.61601642710471</v>
      </c>
      <c r="D25" s="74">
        <f>Comp2[[#This Row],[Comparable '#2 Price]]/'Comparable #2'!$B$2*100</f>
        <v>110.7645875251509</v>
      </c>
      <c r="E25" s="74">
        <f>Comp3[[#This Row],[Comparable '#3 Price]]/'Comparable #3'!$B$2*100</f>
        <v>106.23666922617525</v>
      </c>
    </row>
    <row r="26" spans="1:5">
      <c r="A26" s="96">
        <v>43320</v>
      </c>
      <c r="B26" s="74">
        <f>Target1[[#This Row],[Target Price]]/Target!$B$2*100</f>
        <v>104.88656195462478</v>
      </c>
      <c r="C26" s="74">
        <f>Comp1[[#This Row],[Comparable '#1 Price]]/'Comparable #1'!$B$2*100</f>
        <v>101.16358658453115</v>
      </c>
      <c r="D26" s="74">
        <f>Comp2[[#This Row],[Comparable '#2 Price]]/'Comparable #2'!$B$2*100</f>
        <v>111.16700201207243</v>
      </c>
      <c r="E26" s="74">
        <f>Comp3[[#This Row],[Comparable '#3 Price]]/'Comparable #3'!$B$2*100</f>
        <v>105.61385547308251</v>
      </c>
    </row>
    <row r="27" spans="1:5">
      <c r="A27" s="96">
        <v>43321</v>
      </c>
      <c r="B27" s="74">
        <f>Target1[[#This Row],[Target Price]]/Target!$B$2*100</f>
        <v>102.90866783013379</v>
      </c>
      <c r="C27" s="74">
        <f>Comp1[[#This Row],[Comparable '#1 Price]]/'Comparable #1'!$B$2*100</f>
        <v>112.11498973305956</v>
      </c>
      <c r="D27" s="74">
        <f>Comp2[[#This Row],[Comparable '#2 Price]]/'Comparable #2'!$B$2*100</f>
        <v>111.16700201207243</v>
      </c>
      <c r="E27" s="74">
        <f>Comp3[[#This Row],[Comparable '#3 Price]]/'Comparable #3'!$B$2*100</f>
        <v>108.4805050763587</v>
      </c>
    </row>
    <row r="28" spans="1:5">
      <c r="A28" s="96">
        <v>43322</v>
      </c>
      <c r="B28" s="74">
        <f>Target1[[#This Row],[Target Price]]/Target!$B$2*100</f>
        <v>101.86154741128564</v>
      </c>
      <c r="C28" s="74">
        <f>Comp1[[#This Row],[Comparable '#1 Price]]/'Comparable #1'!$B$2*100</f>
        <v>109.51403148528405</v>
      </c>
      <c r="D28" s="74">
        <f>Comp2[[#This Row],[Comparable '#2 Price]]/'Comparable #2'!$B$2*100</f>
        <v>111.56941649899397</v>
      </c>
      <c r="E28" s="74">
        <f>Comp3[[#This Row],[Comparable '#3 Price]]/'Comparable #3'!$B$2*100</f>
        <v>108.04538861871855</v>
      </c>
    </row>
    <row r="29" spans="1:5">
      <c r="A29" s="96">
        <v>43325</v>
      </c>
      <c r="B29" s="74">
        <f>Target1[[#This Row],[Target Price]]/Target!$B$2*100</f>
        <v>100</v>
      </c>
      <c r="C29" s="74">
        <f>Comp1[[#This Row],[Comparable '#1 Price]]/'Comparable #1'!$B$2*100</f>
        <v>110.13004791238879</v>
      </c>
      <c r="D29" s="74">
        <f>Comp2[[#This Row],[Comparable '#2 Price]]/'Comparable #2'!$B$2*100</f>
        <v>110.1609657947686</v>
      </c>
      <c r="E29" s="74">
        <f>Comp3[[#This Row],[Comparable '#3 Price]]/'Comparable #3'!$B$2*100</f>
        <v>105.13608053920316</v>
      </c>
    </row>
    <row r="30" spans="1:5">
      <c r="A30" s="96">
        <v>43326</v>
      </c>
      <c r="B30" s="74">
        <f>Target1[[#This Row],[Target Price]]/Target!$B$2*100</f>
        <v>98.196625945317024</v>
      </c>
      <c r="C30" s="74">
        <f>Comp1[[#This Row],[Comparable '#1 Price]]/'Comparable #1'!$B$2*100</f>
        <v>110.67761806981522</v>
      </c>
      <c r="D30" s="74">
        <f>Comp2[[#This Row],[Comparable '#2 Price]]/'Comparable #2'!$B$2*100</f>
        <v>112.17303822937626</v>
      </c>
      <c r="E30" s="74">
        <f>Comp3[[#This Row],[Comparable '#3 Price]]/'Comparable #3'!$B$2*100</f>
        <v>105.72476751130451</v>
      </c>
    </row>
    <row r="31" spans="1:5">
      <c r="A31" s="96">
        <v>43327</v>
      </c>
      <c r="B31" s="74">
        <f>Target1[[#This Row],[Target Price]]/Target!$B$2*100</f>
        <v>98.662012798138448</v>
      </c>
      <c r="C31" s="74">
        <f>Comp1[[#This Row],[Comparable '#1 Price]]/'Comparable #1'!$B$2*100</f>
        <v>109.37713894592744</v>
      </c>
      <c r="D31" s="74">
        <f>Comp2[[#This Row],[Comparable '#2 Price]]/'Comparable #2'!$B$2*100</f>
        <v>112.77665995975855</v>
      </c>
      <c r="E31" s="74">
        <f>Comp3[[#This Row],[Comparable '#3 Price]]/'Comparable #3'!$B$2*100</f>
        <v>109.17157239143418</v>
      </c>
    </row>
    <row r="32" spans="1:5">
      <c r="A32" s="96">
        <v>43328</v>
      </c>
      <c r="B32" s="74">
        <f>Target1[[#This Row],[Target Price]]/Target!$B$2*100</f>
        <v>100.23269342641071</v>
      </c>
      <c r="C32" s="74">
        <f>Comp1[[#This Row],[Comparable '#1 Price]]/'Comparable #1'!$B$2*100</f>
        <v>110.19849418206708</v>
      </c>
      <c r="D32" s="74">
        <f>Comp2[[#This Row],[Comparable '#2 Price]]/'Comparable #2'!$B$2*100</f>
        <v>112.17303822937626</v>
      </c>
      <c r="E32" s="74">
        <f>Comp3[[#This Row],[Comparable '#3 Price]]/'Comparable #3'!$B$2*100</f>
        <v>110.05886869721013</v>
      </c>
    </row>
    <row r="33" spans="1:5">
      <c r="A33" s="96">
        <v>43329</v>
      </c>
      <c r="B33" s="74">
        <f>Target1[[#This Row],[Target Price]]/Target!$B$2*100</f>
        <v>99.36009307737055</v>
      </c>
      <c r="C33" s="74">
        <f>Comp1[[#This Row],[Comparable '#1 Price]]/'Comparable #1'!$B$2*100</f>
        <v>108.48733744010953</v>
      </c>
      <c r="D33" s="74">
        <f>Comp2[[#This Row],[Comparable '#2 Price]]/'Comparable #2'!$B$2*100</f>
        <v>94.969818913480879</v>
      </c>
      <c r="E33" s="74">
        <f>Comp3[[#This Row],[Comparable '#3 Price]]/'Comparable #3'!$B$2*100</f>
        <v>110.16124904018429</v>
      </c>
    </row>
    <row r="34" spans="1:5">
      <c r="A34" s="96">
        <v>43332</v>
      </c>
      <c r="B34" s="74">
        <f>Target1[[#This Row],[Target Price]]/Target!$B$2*100</f>
        <v>98.952879581151834</v>
      </c>
      <c r="C34" s="74">
        <f>Comp1[[#This Row],[Comparable '#1 Price]]/'Comparable #1'!$B$2*100</f>
        <v>109.78781656399725</v>
      </c>
      <c r="D34" s="74">
        <f>Comp2[[#This Row],[Comparable '#2 Price]]/'Comparable #2'!$B$2*100</f>
        <v>97.384305835010053</v>
      </c>
      <c r="E34" s="74">
        <f>Comp3[[#This Row],[Comparable '#3 Price]]/'Comparable #3'!$B$2*100</f>
        <v>114.53800870232915</v>
      </c>
    </row>
    <row r="35" spans="1:5">
      <c r="A35" s="96">
        <v>43333</v>
      </c>
      <c r="B35" s="74">
        <f>Target1[[#This Row],[Target Price]]/Target!$B$2*100</f>
        <v>99.592786503781269</v>
      </c>
      <c r="C35" s="74">
        <f>Comp1[[#This Row],[Comparable '#1 Price]]/'Comparable #1'!$B$2*100</f>
        <v>109.51403148528405</v>
      </c>
      <c r="D35" s="74">
        <f>Comp2[[#This Row],[Comparable '#2 Price]]/'Comparable #2'!$B$2*100</f>
        <v>97.585513078470825</v>
      </c>
      <c r="E35" s="74">
        <f>Comp3[[#This Row],[Comparable '#3 Price]]/'Comparable #3'!$B$2*100</f>
        <v>117.53263373432301</v>
      </c>
    </row>
    <row r="36" spans="1:5">
      <c r="A36" s="96">
        <v>43334</v>
      </c>
      <c r="B36" s="74">
        <f>Target1[[#This Row],[Target Price]]/Target!$B$2*100</f>
        <v>100.52356020942408</v>
      </c>
      <c r="C36" s="74">
        <f>Comp1[[#This Row],[Comparable '#1 Price]]/'Comparable #1'!$B$2*100</f>
        <v>109.30869267624917</v>
      </c>
      <c r="D36" s="74">
        <f>Comp2[[#This Row],[Comparable '#2 Price]]/'Comparable #2'!$B$2*100</f>
        <v>98.692152917505013</v>
      </c>
      <c r="E36" s="74">
        <f>Comp3[[#This Row],[Comparable '#3 Price]]/'Comparable #3'!$B$2*100</f>
        <v>116.65386912379489</v>
      </c>
    </row>
    <row r="37" spans="1:5">
      <c r="A37" s="96">
        <v>43335</v>
      </c>
      <c r="B37" s="74">
        <f>Target1[[#This Row],[Target Price]]/Target!$B$2*100</f>
        <v>101.33798720186155</v>
      </c>
      <c r="C37" s="74">
        <f>Comp1[[#This Row],[Comparable '#1 Price]]/'Comparable #1'!$B$2*100</f>
        <v>106.77618069815196</v>
      </c>
      <c r="D37" s="74">
        <f>Comp2[[#This Row],[Comparable '#2 Price]]/'Comparable #2'!$B$2*100</f>
        <v>98.088531187122726</v>
      </c>
      <c r="E37" s="74">
        <f>Comp3[[#This Row],[Comparable '#3 Price]]/'Comparable #3'!$B$2*100</f>
        <v>115.18641754116543</v>
      </c>
    </row>
    <row r="38" spans="1:5">
      <c r="A38" s="96">
        <v>43336</v>
      </c>
      <c r="B38" s="74">
        <f>Target1[[#This Row],[Target Price]]/Target!$B$2*100</f>
        <v>101.62885398487491</v>
      </c>
      <c r="C38" s="74">
        <f>Comp1[[#This Row],[Comparable '#1 Price]]/'Comparable #1'!$B$2*100</f>
        <v>106.70773442847366</v>
      </c>
      <c r="D38" s="74">
        <f>Comp2[[#This Row],[Comparable '#2 Price]]/'Comparable #2'!$B$2*100</f>
        <v>97.987927565392354</v>
      </c>
      <c r="E38" s="74">
        <f>Comp3[[#This Row],[Comparable '#3 Price]]/'Comparable #3'!$B$2*100</f>
        <v>116.03958706595002</v>
      </c>
    </row>
    <row r="39" spans="1:5">
      <c r="A39" s="96">
        <v>43339</v>
      </c>
      <c r="B39" s="74">
        <f>Target1[[#This Row],[Target Price]]/Target!$B$2*100</f>
        <v>98.312972658522384</v>
      </c>
      <c r="C39" s="74">
        <f>Comp1[[#This Row],[Comparable '#1 Price]]/'Comparable #1'!$B$2*100</f>
        <v>109.58247775496237</v>
      </c>
      <c r="D39" s="74">
        <f>Comp2[[#This Row],[Comparable '#2 Price]]/'Comparable #2'!$B$2*100</f>
        <v>97.384305835010053</v>
      </c>
      <c r="E39" s="74">
        <f>Comp3[[#This Row],[Comparable '#3 Price]]/'Comparable #3'!$B$2*100</f>
        <v>117.39612661035747</v>
      </c>
    </row>
    <row r="40" spans="1:5">
      <c r="A40" s="96">
        <v>43340</v>
      </c>
      <c r="B40" s="74">
        <f>Target1[[#This Row],[Target Price]]/Target!$B$2*100</f>
        <v>96.97498545666086</v>
      </c>
      <c r="C40" s="74">
        <f>Comp1[[#This Row],[Comparable '#1 Price]]/'Comparable #1'!$B$2*100</f>
        <v>109.51403148528405</v>
      </c>
      <c r="D40" s="74">
        <f>Comp2[[#This Row],[Comparable '#2 Price]]/'Comparable #2'!$B$2*100</f>
        <v>95.975855130784709</v>
      </c>
      <c r="E40" s="74">
        <f>Comp3[[#This Row],[Comparable '#3 Price]]/'Comparable #3'!$B$2*100</f>
        <v>118.06159883968945</v>
      </c>
    </row>
    <row r="41" spans="1:5">
      <c r="A41" s="96">
        <v>43341</v>
      </c>
      <c r="B41" s="74">
        <f>Target1[[#This Row],[Target Price]]/Target!$B$2*100</f>
        <v>96.684118673647461</v>
      </c>
      <c r="C41" s="74">
        <f>Comp1[[#This Row],[Comparable '#1 Price]]/'Comparable #1'!$B$2*100</f>
        <v>109.51403148528405</v>
      </c>
      <c r="D41" s="74">
        <f>Comp2[[#This Row],[Comparable '#2 Price]]/'Comparable #2'!$B$2*100</f>
        <v>95.975855130784709</v>
      </c>
      <c r="E41" s="74">
        <f>Comp3[[#This Row],[Comparable '#3 Price]]/'Comparable #3'!$B$2*100</f>
        <v>117.21696101015272</v>
      </c>
    </row>
    <row r="42" spans="1:5">
      <c r="A42" s="96">
        <v>43342</v>
      </c>
      <c r="B42" s="74">
        <f>Target1[[#This Row],[Target Price]]/Target!$B$2*100</f>
        <v>95.636998254799295</v>
      </c>
      <c r="C42" s="74">
        <f>Comp1[[#This Row],[Comparable '#1 Price]]/'Comparable #1'!$B$2*100</f>
        <v>108.48733744010953</v>
      </c>
      <c r="D42" s="74">
        <f>Comp2[[#This Row],[Comparable '#2 Price]]/'Comparable #2'!$B$2*100</f>
        <v>96.177062374245452</v>
      </c>
      <c r="E42" s="74">
        <f>Comp3[[#This Row],[Comparable '#3 Price]]/'Comparable #3'!$B$2*100</f>
        <v>116.91835167647811</v>
      </c>
    </row>
    <row r="43" spans="1:5">
      <c r="A43" s="96">
        <v>43343</v>
      </c>
      <c r="B43" s="74">
        <f>Target1[[#This Row],[Target Price]]/Target!$B$2*100</f>
        <v>96.33507853403141</v>
      </c>
      <c r="C43" s="74">
        <f>Comp1[[#This Row],[Comparable '#1 Price]]/'Comparable #1'!$B$2*100</f>
        <v>109.30869267624917</v>
      </c>
      <c r="D43" s="74">
        <f>Comp2[[#This Row],[Comparable '#2 Price]]/'Comparable #2'!$B$2*100</f>
        <v>96.277665995975852</v>
      </c>
      <c r="E43" s="74">
        <f>Comp3[[#This Row],[Comparable '#3 Price]]/'Comparable #3'!$B$2*100</f>
        <v>118.39433495435546</v>
      </c>
    </row>
    <row r="44" spans="1:5">
      <c r="A44" s="96">
        <v>43347</v>
      </c>
      <c r="B44" s="74">
        <f>Target1[[#This Row],[Target Price]]/Target!$B$2*100</f>
        <v>95.636998254799295</v>
      </c>
      <c r="C44" s="74">
        <f>Comp1[[#This Row],[Comparable '#1 Price]]/'Comparable #1'!$B$2*100</f>
        <v>107.52908966461329</v>
      </c>
      <c r="D44" s="74">
        <f>Comp2[[#This Row],[Comparable '#2 Price]]/'Comparable #2'!$B$2*100</f>
        <v>96.07645875251508</v>
      </c>
      <c r="E44" s="74">
        <f>Comp3[[#This Row],[Comparable '#3 Price]]/'Comparable #3'!$B$2*100</f>
        <v>115.83482638000173</v>
      </c>
    </row>
    <row r="45" spans="1:5">
      <c r="A45" s="96">
        <v>43348</v>
      </c>
      <c r="B45" s="74">
        <f>Target1[[#This Row],[Target Price]]/Target!$B$2*100</f>
        <v>96.916812100058166</v>
      </c>
      <c r="C45" s="74">
        <f>Comp1[[#This Row],[Comparable '#1 Price]]/'Comparable #1'!$B$2*100</f>
        <v>104.85968514715948</v>
      </c>
      <c r="D45" s="74">
        <f>Comp2[[#This Row],[Comparable '#2 Price]]/'Comparable #2'!$B$2*100</f>
        <v>96.07645875251508</v>
      </c>
      <c r="E45" s="74">
        <f>Comp3[[#This Row],[Comparable '#3 Price]]/'Comparable #3'!$B$2*100</f>
        <v>116.56002047606862</v>
      </c>
    </row>
    <row r="46" spans="1:5">
      <c r="A46" s="96">
        <v>43349</v>
      </c>
      <c r="B46" s="74">
        <f>Target1[[#This Row],[Target Price]]/Target!$B$2*100</f>
        <v>98.603839441535769</v>
      </c>
      <c r="C46" s="74">
        <f>Comp1[[#This Row],[Comparable '#1 Price]]/'Comparable #1'!$B$2*100</f>
        <v>104.17522245037647</v>
      </c>
      <c r="D46" s="74">
        <f>Comp2[[#This Row],[Comparable '#2 Price]]/'Comparable #2'!$B$2*100</f>
        <v>93.661971830985905</v>
      </c>
      <c r="E46" s="74">
        <f>Comp3[[#This Row],[Comparable '#3 Price]]/'Comparable #3'!$B$2*100</f>
        <v>114.67451582629468</v>
      </c>
    </row>
    <row r="47" spans="1:5">
      <c r="A47" s="96">
        <v>43350</v>
      </c>
      <c r="B47" s="74">
        <f>Target1[[#This Row],[Target Price]]/Target!$B$2*100</f>
        <v>98.429319371727757</v>
      </c>
      <c r="C47" s="74">
        <f>Comp1[[#This Row],[Comparable '#1 Price]]/'Comparable #1'!$B$2*100</f>
        <v>105.06502395619439</v>
      </c>
      <c r="D47" s="74">
        <f>Comp2[[#This Row],[Comparable '#2 Price]]/'Comparable #2'!$B$2*100</f>
        <v>92.555331991951704</v>
      </c>
      <c r="E47" s="74">
        <f>Comp3[[#This Row],[Comparable '#3 Price]]/'Comparable #3'!$B$2*100</f>
        <v>113.42888832010919</v>
      </c>
    </row>
    <row r="48" spans="1:5">
      <c r="A48" s="96">
        <v>43353</v>
      </c>
      <c r="B48" s="74">
        <f>Target1[[#This Row],[Target Price]]/Target!$B$2*100</f>
        <v>96.916812100058166</v>
      </c>
      <c r="C48" s="74">
        <f>Comp1[[#This Row],[Comparable '#1 Price]]/'Comparable #1'!$B$2*100</f>
        <v>103.49075975359344</v>
      </c>
      <c r="D48" s="74">
        <f>Comp2[[#This Row],[Comparable '#2 Price]]/'Comparable #2'!$B$2*100</f>
        <v>91.046277665995973</v>
      </c>
      <c r="E48" s="74">
        <f>Comp3[[#This Row],[Comparable '#3 Price]]/'Comparable #3'!$B$2*100</f>
        <v>115.39970992236157</v>
      </c>
    </row>
    <row r="49" spans="1:5">
      <c r="A49" s="96">
        <v>43354</v>
      </c>
      <c r="B49" s="74">
        <f>Target1[[#This Row],[Target Price]]/Target!$B$2*100</f>
        <v>96.97498545666086</v>
      </c>
      <c r="C49" s="74">
        <f>Comp1[[#This Row],[Comparable '#1 Price]]/'Comparable #1'!$B$2*100</f>
        <v>104.79123887748119</v>
      </c>
      <c r="D49" s="74">
        <f>Comp2[[#This Row],[Comparable '#2 Price]]/'Comparable #2'!$B$2*100</f>
        <v>91.146881287726345</v>
      </c>
      <c r="E49" s="74">
        <f>Comp3[[#This Row],[Comparable '#3 Price]]/'Comparable #3'!$B$2*100</f>
        <v>115.12669567443052</v>
      </c>
    </row>
    <row r="50" spans="1:5">
      <c r="A50" s="96">
        <v>43355</v>
      </c>
      <c r="B50" s="74">
        <f>Target1[[#This Row],[Target Price]]/Target!$B$2*100</f>
        <v>95.986038394415345</v>
      </c>
      <c r="C50" s="74">
        <f>Comp1[[#This Row],[Comparable '#1 Price]]/'Comparable #1'!$B$2*100</f>
        <v>106.36550308008212</v>
      </c>
      <c r="D50" s="74">
        <f>Comp2[[#This Row],[Comparable '#2 Price]]/'Comparable #2'!$B$2*100</f>
        <v>89.537223340040242</v>
      </c>
      <c r="E50" s="74">
        <f>Comp3[[#This Row],[Comparable '#3 Price]]/'Comparable #3'!$B$2*100</f>
        <v>115.16082245542189</v>
      </c>
    </row>
    <row r="51" spans="1:5">
      <c r="A51" s="96">
        <v>43356</v>
      </c>
      <c r="B51" s="74">
        <f>Target1[[#This Row],[Target Price]]/Target!$B$2*100</f>
        <v>98.429319371727757</v>
      </c>
      <c r="C51" s="74">
        <f>Comp1[[#This Row],[Comparable '#1 Price]]/'Comparable #1'!$B$2*100</f>
        <v>105.27036276522929</v>
      </c>
      <c r="D51" s="74">
        <f>Comp2[[#This Row],[Comparable '#2 Price]]/'Comparable #2'!$B$2*100</f>
        <v>90.241448692152915</v>
      </c>
      <c r="E51" s="74">
        <f>Comp3[[#This Row],[Comparable '#3 Price]]/'Comparable #3'!$B$2*100</f>
        <v>116.51736199982936</v>
      </c>
    </row>
    <row r="52" spans="1:5">
      <c r="A52" s="96">
        <v>43357</v>
      </c>
      <c r="B52" s="74">
        <f>Target1[[#This Row],[Target Price]]/Target!$B$2*100</f>
        <v>99.883653286794654</v>
      </c>
      <c r="C52" s="74">
        <f>Comp1[[#This Row],[Comparable '#1 Price]]/'Comparable #1'!$B$2*100</f>
        <v>104.99657768651609</v>
      </c>
      <c r="D52" s="74">
        <f>Comp2[[#This Row],[Comparable '#2 Price]]/'Comparable #2'!$B$2*100</f>
        <v>90.241448692152915</v>
      </c>
      <c r="E52" s="74">
        <f>Comp3[[#This Row],[Comparable '#3 Price]]/'Comparable #3'!$B$2*100</f>
        <v>117.92509171572392</v>
      </c>
    </row>
    <row r="53" spans="1:5">
      <c r="A53" s="96">
        <v>43360</v>
      </c>
      <c r="B53" s="74">
        <f>Target1[[#This Row],[Target Price]]/Target!$B$2*100</f>
        <v>98.89470622454914</v>
      </c>
      <c r="C53" s="74">
        <f>Comp1[[#This Row],[Comparable '#1 Price]]/'Comparable #1'!$B$2*100</f>
        <v>106.43394934976045</v>
      </c>
      <c r="D53" s="74">
        <f>Comp2[[#This Row],[Comparable '#2 Price]]/'Comparable #2'!$B$2*100</f>
        <v>89.839034205231385</v>
      </c>
      <c r="E53" s="74">
        <f>Comp3[[#This Row],[Comparable '#3 Price]]/'Comparable #3'!$B$2*100</f>
        <v>116.62827403805136</v>
      </c>
    </row>
    <row r="54" spans="1:5">
      <c r="A54" s="96">
        <v>43361</v>
      </c>
      <c r="B54" s="74">
        <f>Target1[[#This Row],[Target Price]]/Target!$B$2*100</f>
        <v>100.58173356602676</v>
      </c>
      <c r="C54" s="74">
        <f>Comp1[[#This Row],[Comparable '#1 Price]]/'Comparable #1'!$B$2*100</f>
        <v>107.5975359342916</v>
      </c>
      <c r="D54" s="74">
        <f>Comp2[[#This Row],[Comparable '#2 Price]]/'Comparable #2'!$B$2*100</f>
        <v>90.241448692152915</v>
      </c>
      <c r="E54" s="74">
        <f>Comp3[[#This Row],[Comparable '#3 Price]]/'Comparable #3'!$B$2*100</f>
        <v>115.06697380769559</v>
      </c>
    </row>
    <row r="55" spans="1:5">
      <c r="A55" s="96">
        <v>43362</v>
      </c>
      <c r="B55" s="74">
        <f>Target1[[#This Row],[Target Price]]/Target!$B$2*100</f>
        <v>102.15241419429898</v>
      </c>
      <c r="C55" s="74">
        <f>Comp1[[#This Row],[Comparable '#1 Price]]/'Comparable #1'!$B$2*100</f>
        <v>108.21355236139631</v>
      </c>
      <c r="D55" s="74">
        <f>Comp2[[#This Row],[Comparable '#2 Price]]/'Comparable #2'!$B$2*100</f>
        <v>90.64386317907443</v>
      </c>
      <c r="E55" s="74">
        <f>Comp3[[#This Row],[Comparable '#3 Price]]/'Comparable #3'!$B$2*100</f>
        <v>114.93046668373006</v>
      </c>
    </row>
    <row r="56" spans="1:5">
      <c r="A56" s="96">
        <v>43363</v>
      </c>
      <c r="B56" s="74">
        <f>Target1[[#This Row],[Target Price]]/Target!$B$2*100</f>
        <v>102.61780104712042</v>
      </c>
      <c r="C56" s="74">
        <f>Comp1[[#This Row],[Comparable '#1 Price]]/'Comparable #1'!$B$2*100</f>
        <v>109.37713894592744</v>
      </c>
      <c r="D56" s="74">
        <f>Comp2[[#This Row],[Comparable '#2 Price]]/'Comparable #2'!$B$2*100</f>
        <v>91.448692152917516</v>
      </c>
      <c r="E56" s="74">
        <f>Comp3[[#This Row],[Comparable '#3 Price]]/'Comparable #3'!$B$2*100</f>
        <v>115.87748485624094</v>
      </c>
    </row>
    <row r="57" spans="1:5">
      <c r="A57" s="96">
        <v>43364</v>
      </c>
      <c r="B57" s="74">
        <f>Target1[[#This Row],[Target Price]]/Target!$B$2*100</f>
        <v>102.15241419429898</v>
      </c>
      <c r="C57" s="74">
        <f>Comp1[[#This Row],[Comparable '#1 Price]]/'Comparable #1'!$B$2*100</f>
        <v>109.44558521560575</v>
      </c>
      <c r="D57" s="74">
        <f>Comp2[[#This Row],[Comparable '#2 Price]]/'Comparable #2'!$B$2*100</f>
        <v>91.24748490945673</v>
      </c>
      <c r="E57" s="74">
        <f>Comp3[[#This Row],[Comparable '#3 Price]]/'Comparable #3'!$B$2*100</f>
        <v>116.77331285726476</v>
      </c>
    </row>
    <row r="58" spans="1:5">
      <c r="A58" s="96">
        <v>43367</v>
      </c>
      <c r="B58" s="74">
        <f>Target1[[#This Row],[Target Price]]/Target!$B$2*100</f>
        <v>102.44328097731238</v>
      </c>
      <c r="C58" s="74">
        <f>Comp1[[#This Row],[Comparable '#1 Price]]/'Comparable #1'!$B$2*100</f>
        <v>105.74948665297741</v>
      </c>
      <c r="D58" s="74">
        <f>Comp2[[#This Row],[Comparable '#2 Price]]/'Comparable #2'!$B$2*100</f>
        <v>92.65593561368209</v>
      </c>
      <c r="E58" s="74">
        <f>Comp3[[#This Row],[Comparable '#3 Price]]/'Comparable #3'!$B$2*100</f>
        <v>117.29374626738334</v>
      </c>
    </row>
    <row r="59" spans="1:5">
      <c r="A59" s="96">
        <v>43368</v>
      </c>
      <c r="B59" s="74">
        <f>Target1[[#This Row],[Target Price]]/Target!$B$2*100</f>
        <v>104.24665503199535</v>
      </c>
      <c r="C59" s="74">
        <f>Comp1[[#This Row],[Comparable '#1 Price]]/'Comparable #1'!$B$2*100</f>
        <v>105.54414784394251</v>
      </c>
      <c r="D59" s="74">
        <f>Comp2[[#This Row],[Comparable '#2 Price]]/'Comparable #2'!$B$2*100</f>
        <v>94.869215291750493</v>
      </c>
      <c r="E59" s="74">
        <f>Comp3[[#This Row],[Comparable '#3 Price]]/'Comparable #3'!$B$2*100</f>
        <v>117.33640474362257</v>
      </c>
    </row>
    <row r="60" spans="1:5">
      <c r="A60" s="96">
        <v>43369</v>
      </c>
      <c r="B60" s="74">
        <f>Target1[[#This Row],[Target Price]]/Target!$B$2*100</f>
        <v>104.8283885980221</v>
      </c>
      <c r="C60" s="74">
        <f>Comp1[[#This Row],[Comparable '#1 Price]]/'Comparable #1'!$B$2*100</f>
        <v>104.10677618069816</v>
      </c>
      <c r="D60" s="74">
        <f>Comp2[[#This Row],[Comparable '#2 Price]]/'Comparable #2'!$B$2*100</f>
        <v>95.271629778672036</v>
      </c>
      <c r="E60" s="74">
        <f>Comp3[[#This Row],[Comparable '#3 Price]]/'Comparable #3'!$B$2*100</f>
        <v>115.60447060830987</v>
      </c>
    </row>
    <row r="61" spans="1:5">
      <c r="A61" s="96">
        <v>43370</v>
      </c>
      <c r="B61" s="74">
        <f>Target1[[#This Row],[Target Price]]/Target!$B$2*100</f>
        <v>102.96684118673647</v>
      </c>
      <c r="C61" s="74">
        <f>Comp1[[#This Row],[Comparable '#1 Price]]/'Comparable #1'!$B$2*100</f>
        <v>103.90143737166323</v>
      </c>
      <c r="D61" s="74">
        <f>Comp2[[#This Row],[Comparable '#2 Price]]/'Comparable #2'!$B$2*100</f>
        <v>95.573440643863165</v>
      </c>
      <c r="E61" s="74">
        <f>Comp3[[#This Row],[Comparable '#3 Price]]/'Comparable #3'!$B$2*100</f>
        <v>115.79216790376248</v>
      </c>
    </row>
    <row r="62" spans="1:5">
      <c r="A62" s="96">
        <v>43371</v>
      </c>
      <c r="B62" s="74">
        <f>Target1[[#This Row],[Target Price]]/Target!$B$2*100</f>
        <v>102.96684118673647</v>
      </c>
      <c r="C62" s="74">
        <f>Comp1[[#This Row],[Comparable '#1 Price]]/'Comparable #1'!$B$2*100</f>
        <v>105.68104038329911</v>
      </c>
      <c r="D62" s="74">
        <f>Comp2[[#This Row],[Comparable '#2 Price]]/'Comparable #2'!$B$2*100</f>
        <v>96.981891348088539</v>
      </c>
      <c r="E62" s="74">
        <f>Comp3[[#This Row],[Comparable '#3 Price]]/'Comparable #3'!$B$2*100</f>
        <v>116.90981998123027</v>
      </c>
    </row>
    <row r="63" spans="1:5">
      <c r="A63" s="96">
        <v>43374</v>
      </c>
      <c r="B63" s="74">
        <f>Target1[[#This Row],[Target Price]]/Target!$B$2*100</f>
        <v>102.79232111692845</v>
      </c>
      <c r="C63" s="74">
        <f>Comp1[[#This Row],[Comparable '#1 Price]]/'Comparable #1'!$B$2*100</f>
        <v>103.69609856262834</v>
      </c>
      <c r="D63" s="74">
        <f>Comp2[[#This Row],[Comparable '#2 Price]]/'Comparable #2'!$B$2*100</f>
        <v>96.338028169014095</v>
      </c>
      <c r="E63" s="74">
        <f>Comp3[[#This Row],[Comparable '#3 Price]]/'Comparable #3'!$B$2*100</f>
        <v>116.17609418991552</v>
      </c>
    </row>
    <row r="64" spans="1:5">
      <c r="A64" s="96">
        <v>43375</v>
      </c>
      <c r="B64" s="74">
        <f>Target1[[#This Row],[Target Price]]/Target!$B$2*100</f>
        <v>102.73414776032577</v>
      </c>
      <c r="C64" s="74">
        <f>Comp1[[#This Row],[Comparable '#1 Price]]/'Comparable #1'!$B$2*100</f>
        <v>103.35386721423683</v>
      </c>
      <c r="D64" s="74">
        <f>Comp2[[#This Row],[Comparable '#2 Price]]/'Comparable #2'!$B$2*100</f>
        <v>93.118712273641847</v>
      </c>
      <c r="E64" s="74">
        <f>Comp3[[#This Row],[Comparable '#3 Price]]/'Comparable #3'!$B$2*100</f>
        <v>112.79754287176864</v>
      </c>
    </row>
    <row r="65" spans="1:5">
      <c r="A65" s="96">
        <v>43376</v>
      </c>
      <c r="B65" s="74">
        <f>Target1[[#This Row],[Target Price]]/Target!$B$2*100</f>
        <v>101.16346713205351</v>
      </c>
      <c r="C65" s="74">
        <f>Comp1[[#This Row],[Comparable '#1 Price]]/'Comparable #1'!$B$2*100</f>
        <v>103.90143737166323</v>
      </c>
      <c r="D65" s="74">
        <f>Comp2[[#This Row],[Comparable '#2 Price]]/'Comparable #2'!$B$2*100</f>
        <v>94.044265593561377</v>
      </c>
      <c r="E65" s="74">
        <f>Comp3[[#This Row],[Comparable '#3 Price]]/'Comparable #3'!$B$2*100</f>
        <v>115.16935415066976</v>
      </c>
    </row>
    <row r="66" spans="1:5">
      <c r="A66" s="96">
        <v>43377</v>
      </c>
      <c r="B66" s="74">
        <f>Target1[[#This Row],[Target Price]]/Target!$B$2*100</f>
        <v>98.254799301919718</v>
      </c>
      <c r="C66" s="74">
        <f>Comp1[[#This Row],[Comparable '#1 Price]]/'Comparable #1'!$B$2*100</f>
        <v>102.05338809034907</v>
      </c>
      <c r="D66" s="74">
        <f>Comp2[[#This Row],[Comparable '#2 Price]]/'Comparable #2'!$B$2*100</f>
        <v>91.569416498993945</v>
      </c>
      <c r="E66" s="74">
        <f>Comp3[[#This Row],[Comparable '#3 Price]]/'Comparable #3'!$B$2*100</f>
        <v>112.11500725194097</v>
      </c>
    </row>
    <row r="67" spans="1:5">
      <c r="A67" s="96">
        <v>43378</v>
      </c>
      <c r="B67" s="74">
        <f>Target1[[#This Row],[Target Price]]/Target!$B$2*100</f>
        <v>100.17452006980801</v>
      </c>
      <c r="C67" s="74">
        <f>Comp1[[#This Row],[Comparable '#1 Price]]/'Comparable #1'!$B$2*100</f>
        <v>102.60095824777551</v>
      </c>
      <c r="D67" s="74">
        <f>Comp2[[#This Row],[Comparable '#2 Price]]/'Comparable #2'!$B$2*100</f>
        <v>92.65593561368209</v>
      </c>
      <c r="E67" s="74">
        <f>Comp3[[#This Row],[Comparable '#3 Price]]/'Comparable #3'!$B$2*100</f>
        <v>111.69695418479651</v>
      </c>
    </row>
    <row r="68" spans="1:5">
      <c r="A68" s="96">
        <v>43381</v>
      </c>
      <c r="B68" s="74">
        <f>Target1[[#This Row],[Target Price]]/Target!$B$2*100</f>
        <v>100.52356020942408</v>
      </c>
      <c r="C68" s="74">
        <f>Comp1[[#This Row],[Comparable '#1 Price]]/'Comparable #1'!$B$2*100</f>
        <v>102.05338809034907</v>
      </c>
      <c r="D68" s="74">
        <f>Comp2[[#This Row],[Comparable '#2 Price]]/'Comparable #2'!$B$2*100</f>
        <v>91.529175050301816</v>
      </c>
      <c r="E68" s="74">
        <f>Comp3[[#This Row],[Comparable '#3 Price]]/'Comparable #3'!$B$2*100</f>
        <v>109.15450900093848</v>
      </c>
    </row>
    <row r="69" spans="1:5">
      <c r="A69" s="96">
        <v>43382</v>
      </c>
      <c r="B69" s="74">
        <f>Target1[[#This Row],[Target Price]]/Target!$B$2*100</f>
        <v>100.81442699243746</v>
      </c>
      <c r="C69" s="74">
        <f>Comp1[[#This Row],[Comparable '#1 Price]]/'Comparable #1'!$B$2*100</f>
        <v>101.43737166324436</v>
      </c>
      <c r="D69" s="74">
        <f>Comp2[[#This Row],[Comparable '#2 Price]]/'Comparable #2'!$B$2*100</f>
        <v>94.728370221327964</v>
      </c>
      <c r="E69" s="74">
        <f>Comp3[[#This Row],[Comparable '#3 Price]]/'Comparable #3'!$B$2*100</f>
        <v>110.5366436310895</v>
      </c>
    </row>
    <row r="70" spans="1:5">
      <c r="A70" s="96">
        <v>43383</v>
      </c>
      <c r="B70" s="74">
        <f>Target1[[#This Row],[Target Price]]/Target!$B$2*100</f>
        <v>99.36009307737055</v>
      </c>
      <c r="C70" s="74">
        <f>Comp1[[#This Row],[Comparable '#1 Price]]/'Comparable #1'!$B$2*100</f>
        <v>101.98494182067077</v>
      </c>
      <c r="D70" s="74">
        <f>Comp2[[#This Row],[Comparable '#2 Price]]/'Comparable #2'!$B$2*100</f>
        <v>95.311871227364179</v>
      </c>
      <c r="E70" s="74">
        <f>Comp3[[#This Row],[Comparable '#3 Price]]/'Comparable #3'!$B$2*100</f>
        <v>108.70232915280266</v>
      </c>
    </row>
    <row r="71" spans="1:5">
      <c r="A71" s="96">
        <v>43384</v>
      </c>
      <c r="B71" s="74">
        <f>Target1[[#This Row],[Target Price]]/Target!$B$2*100</f>
        <v>96.916812100058166</v>
      </c>
      <c r="C71" s="74">
        <f>Comp1[[#This Row],[Comparable '#1 Price]]/'Comparable #1'!$B$2*100</f>
        <v>102.66940451745381</v>
      </c>
      <c r="D71" s="74">
        <f>Comp2[[#This Row],[Comparable '#2 Price]]/'Comparable #2'!$B$2*100</f>
        <v>93.219315895372219</v>
      </c>
      <c r="E71" s="74">
        <f>Comp3[[#This Row],[Comparable '#3 Price]]/'Comparable #3'!$B$2*100</f>
        <v>104.57298865284532</v>
      </c>
    </row>
    <row r="72" spans="1:5">
      <c r="A72" s="96">
        <v>43385</v>
      </c>
      <c r="B72" s="74">
        <f>Target1[[#This Row],[Target Price]]/Target!$B$2*100</f>
        <v>95.28795811518323</v>
      </c>
      <c r="C72" s="74">
        <f>Comp1[[#This Row],[Comparable '#1 Price]]/'Comparable #1'!$B$2*100</f>
        <v>103.14852840520192</v>
      </c>
      <c r="D72" s="74">
        <f>Comp2[[#This Row],[Comparable '#2 Price]]/'Comparable #2'!$B$2*100</f>
        <v>92.132796780684103</v>
      </c>
      <c r="E72" s="74">
        <f>Comp3[[#This Row],[Comparable '#3 Price]]/'Comparable #3'!$B$2*100</f>
        <v>104.75215425305009</v>
      </c>
    </row>
    <row r="73" spans="1:5">
      <c r="A73" s="96">
        <v>43388</v>
      </c>
      <c r="B73" s="74">
        <f>Target1[[#This Row],[Target Price]]/Target!$B$2*100</f>
        <v>97.324025596276897</v>
      </c>
      <c r="C73" s="74">
        <f>Comp1[[#This Row],[Comparable '#1 Price]]/'Comparable #1'!$B$2*100</f>
        <v>105.68104038329911</v>
      </c>
      <c r="D73" s="74">
        <f>Comp2[[#This Row],[Comparable '#2 Price]]/'Comparable #2'!$B$2*100</f>
        <v>93.661971830985905</v>
      </c>
      <c r="E73" s="74">
        <f>Comp3[[#This Row],[Comparable '#3 Price]]/'Comparable #3'!$B$2*100</f>
        <v>106.9533316269943</v>
      </c>
    </row>
    <row r="74" spans="1:5">
      <c r="A74" s="96">
        <v>43389</v>
      </c>
      <c r="B74" s="74">
        <f>Target1[[#This Row],[Target Price]]/Target!$B$2*100</f>
        <v>99.650959860383935</v>
      </c>
      <c r="C74" s="74">
        <f>Comp1[[#This Row],[Comparable '#1 Price]]/'Comparable #1'!$B$2*100</f>
        <v>108.07665982203969</v>
      </c>
      <c r="D74" s="74">
        <f>Comp2[[#This Row],[Comparable '#2 Price]]/'Comparable #2'!$B$2*100</f>
        <v>97.585513078470825</v>
      </c>
      <c r="E74" s="74">
        <f>Comp3[[#This Row],[Comparable '#3 Price]]/'Comparable #3'!$B$2*100</f>
        <v>113.77015613002304</v>
      </c>
    </row>
    <row r="75" spans="1:5">
      <c r="A75" s="96">
        <v>43390</v>
      </c>
      <c r="B75" s="74">
        <f>Target1[[#This Row],[Target Price]]/Target!$B$2*100</f>
        <v>98.720186154741114</v>
      </c>
      <c r="C75" s="74">
        <f>Comp1[[#This Row],[Comparable '#1 Price]]/'Comparable #1'!$B$2*100</f>
        <v>106.02327173169064</v>
      </c>
      <c r="D75" s="74">
        <f>Comp2[[#This Row],[Comparable '#2 Price]]/'Comparable #2'!$B$2*100</f>
        <v>97.82696177062374</v>
      </c>
      <c r="E75" s="74">
        <f>Comp3[[#This Row],[Comparable '#3 Price]]/'Comparable #3'!$B$2*100</f>
        <v>112.19179250917158</v>
      </c>
    </row>
    <row r="76" spans="1:5">
      <c r="A76" s="96">
        <v>43391</v>
      </c>
      <c r="B76" s="74">
        <f>Target1[[#This Row],[Target Price]]/Target!$B$2*100</f>
        <v>98.545666084933103</v>
      </c>
      <c r="C76" s="74">
        <f>Comp1[[#This Row],[Comparable '#1 Price]]/'Comparable #1'!$B$2*100</f>
        <v>104.92813141683779</v>
      </c>
      <c r="D76" s="74">
        <f>Comp2[[#This Row],[Comparable '#2 Price]]/'Comparable #2'!$B$2*100</f>
        <v>95.694164989939637</v>
      </c>
      <c r="E76" s="74">
        <f>Comp3[[#This Row],[Comparable '#3 Price]]/'Comparable #3'!$B$2*100</f>
        <v>108.9497483149902</v>
      </c>
    </row>
    <row r="77" spans="1:5">
      <c r="A77" s="96">
        <v>43392</v>
      </c>
      <c r="B77" s="74">
        <f>Target1[[#This Row],[Target Price]]/Target!$B$2*100</f>
        <v>99.592786503781269</v>
      </c>
      <c r="C77" s="74">
        <f>Comp1[[#This Row],[Comparable '#1 Price]]/'Comparable #1'!$B$2*100</f>
        <v>103.90143737166323</v>
      </c>
      <c r="D77" s="74">
        <f>Comp2[[#This Row],[Comparable '#2 Price]]/'Comparable #2'!$B$2*100</f>
        <v>95.593561368209251</v>
      </c>
      <c r="E77" s="74">
        <f>Comp3[[#This Row],[Comparable '#3 Price]]/'Comparable #3'!$B$2*100</f>
        <v>109.46165002986095</v>
      </c>
    </row>
    <row r="78" spans="1:5">
      <c r="A78" s="96">
        <v>43395</v>
      </c>
      <c r="B78" s="74">
        <f>Target1[[#This Row],[Target Price]]/Target!$B$2*100</f>
        <v>98.662012798138448</v>
      </c>
      <c r="C78" s="74">
        <f>Comp1[[#This Row],[Comparable '#1 Price]]/'Comparable #1'!$B$2*100</f>
        <v>105.20191649555099</v>
      </c>
      <c r="D78" s="74">
        <f>Comp2[[#This Row],[Comparable '#2 Price]]/'Comparable #2'!$B$2*100</f>
        <v>95.774647887323937</v>
      </c>
      <c r="E78" s="74">
        <f>Comp3[[#This Row],[Comparable '#3 Price]]/'Comparable #3'!$B$2*100</f>
        <v>109.00093848647727</v>
      </c>
    </row>
    <row r="79" spans="1:5">
      <c r="A79" s="96">
        <v>43396</v>
      </c>
      <c r="B79" s="74">
        <f>Target1[[#This Row],[Target Price]]/Target!$B$2*100</f>
        <v>100.81442699243746</v>
      </c>
      <c r="C79" s="74">
        <f>Comp1[[#This Row],[Comparable '#1 Price]]/'Comparable #1'!$B$2*100</f>
        <v>104.44900752908967</v>
      </c>
      <c r="D79" s="74">
        <f>Comp2[[#This Row],[Comparable '#2 Price]]/'Comparable #2'!$B$2*100</f>
        <v>94.285714285714278</v>
      </c>
      <c r="E79" s="74">
        <f>Comp3[[#This Row],[Comparable '#3 Price]]/'Comparable #3'!$B$2*100</f>
        <v>105.62238716833035</v>
      </c>
    </row>
    <row r="80" spans="1:5">
      <c r="A80" s="96">
        <v>43397</v>
      </c>
      <c r="B80" s="74">
        <f>Target1[[#This Row],[Target Price]]/Target!$B$2*100</f>
        <v>120.82606166375798</v>
      </c>
      <c r="C80" s="74">
        <f>Comp1[[#This Row],[Comparable '#1 Price]]/'Comparable #1'!$B$2*100</f>
        <v>100.88980150581794</v>
      </c>
      <c r="D80" s="74">
        <f>Comp2[[#This Row],[Comparable '#2 Price]]/'Comparable #2'!$B$2*100</f>
        <v>92.132796780684103</v>
      </c>
      <c r="E80" s="74">
        <f>Comp3[[#This Row],[Comparable '#3 Price]]/'Comparable #3'!$B$2*100</f>
        <v>104.51326678611042</v>
      </c>
    </row>
    <row r="81" spans="1:5">
      <c r="A81" s="96">
        <v>43398</v>
      </c>
      <c r="B81" s="74">
        <f>Target1[[#This Row],[Target Price]]/Target!$B$2*100</f>
        <v>120.70971495055265</v>
      </c>
      <c r="C81" s="74">
        <f>Comp1[[#This Row],[Comparable '#1 Price]]/'Comparable #1'!$B$2*100</f>
        <v>104.24366872005477</v>
      </c>
      <c r="D81" s="74">
        <f>Comp2[[#This Row],[Comparable '#2 Price]]/'Comparable #2'!$B$2*100</f>
        <v>96.65995975855131</v>
      </c>
      <c r="E81" s="74">
        <f>Comp3[[#This Row],[Comparable '#3 Price]]/'Comparable #3'!$B$2*100</f>
        <v>107.26047265591674</v>
      </c>
    </row>
    <row r="82" spans="1:5">
      <c r="A82" s="96">
        <v>43399</v>
      </c>
      <c r="B82" s="74">
        <f>Target1[[#This Row],[Target Price]]/Target!$B$2*100</f>
        <v>126.75974403723093</v>
      </c>
      <c r="C82" s="74">
        <f>Comp1[[#This Row],[Comparable '#1 Price]]/'Comparable #1'!$B$2*100</f>
        <v>101.71115674195757</v>
      </c>
      <c r="D82" s="74">
        <f>Comp2[[#This Row],[Comparable '#2 Price]]/'Comparable #2'!$B$2*100</f>
        <v>97.08249496981891</v>
      </c>
      <c r="E82" s="74">
        <f>Comp3[[#This Row],[Comparable '#3 Price]]/'Comparable #3'!$B$2*100</f>
        <v>107.32019452265166</v>
      </c>
    </row>
    <row r="83" spans="1:5">
      <c r="A83" s="96">
        <v>43402</v>
      </c>
      <c r="B83" s="74">
        <f>Target1[[#This Row],[Target Price]]/Target!$B$2*100</f>
        <v>130.36649214659687</v>
      </c>
      <c r="C83" s="74">
        <f>Comp1[[#This Row],[Comparable '#1 Price]]/'Comparable #1'!$B$2*100</f>
        <v>98.973305954825477</v>
      </c>
      <c r="D83" s="74">
        <f>Comp2[[#This Row],[Comparable '#2 Price]]/'Comparable #2'!$B$2*100</f>
        <v>96.881287726358138</v>
      </c>
      <c r="E83" s="74">
        <f>Comp3[[#This Row],[Comparable '#3 Price]]/'Comparable #3'!$B$2*100</f>
        <v>105.98925006398771</v>
      </c>
    </row>
    <row r="84" spans="1:5">
      <c r="A84" s="96">
        <v>43403</v>
      </c>
      <c r="B84" s="74">
        <f>Target1[[#This Row],[Target Price]]/Target!$B$2*100</f>
        <v>127.86503781268179</v>
      </c>
      <c r="C84" s="74">
        <f>Comp1[[#This Row],[Comparable '#1 Price]]/'Comparable #1'!$B$2*100</f>
        <v>101.98494182067077</v>
      </c>
      <c r="D84" s="74">
        <f>Comp2[[#This Row],[Comparable '#2 Price]]/'Comparable #2'!$B$2*100</f>
        <v>99.698189134808842</v>
      </c>
      <c r="E84" s="74">
        <f>Comp3[[#This Row],[Comparable '#3 Price]]/'Comparable #3'!$B$2*100</f>
        <v>105.91246480675711</v>
      </c>
    </row>
    <row r="85" spans="1:5">
      <c r="A85" s="96">
        <v>43404</v>
      </c>
      <c r="B85" s="74">
        <f>Target1[[#This Row],[Target Price]]/Target!$B$2*100</f>
        <v>124.54915648632925</v>
      </c>
      <c r="C85" s="74">
        <f>Comp1[[#This Row],[Comparable '#1 Price]]/'Comparable #1'!$B$2*100</f>
        <v>101.91649555099247</v>
      </c>
      <c r="D85" s="74">
        <f>Comp2[[#This Row],[Comparable '#2 Price]]/'Comparable #2'!$B$2*100</f>
        <v>101.8712273641851</v>
      </c>
      <c r="E85" s="74">
        <f>Comp3[[#This Row],[Comparable '#3 Price]]/'Comparable #3'!$B$2*100</f>
        <v>107.34578960839518</v>
      </c>
    </row>
    <row r="86" spans="1:5">
      <c r="A86" s="96">
        <v>43405</v>
      </c>
      <c r="B86" s="74">
        <f>Target1[[#This Row],[Target Price]]/Target!$B$2*100</f>
        <v>126.93426410703896</v>
      </c>
      <c r="C86" s="74">
        <f>Comp1[[#This Row],[Comparable '#1 Price]]/'Comparable #1'!$B$2*100</f>
        <v>104.10677618069816</v>
      </c>
      <c r="D86" s="74">
        <f>Comp2[[#This Row],[Comparable '#2 Price]]/'Comparable #2'!$B$2*100</f>
        <v>100.60362173038229</v>
      </c>
      <c r="E86" s="74">
        <f>Comp3[[#This Row],[Comparable '#3 Price]]/'Comparable #3'!$B$2*100</f>
        <v>107.34578960839518</v>
      </c>
    </row>
    <row r="87" spans="1:5">
      <c r="A87" s="96">
        <v>43406</v>
      </c>
      <c r="B87" s="74">
        <f>Target1[[#This Row],[Target Price]]/Target!$B$2*100</f>
        <v>128.67946480511924</v>
      </c>
      <c r="C87" s="74">
        <f>Comp1[[#This Row],[Comparable '#1 Price]]/'Comparable #1'!$B$2*100</f>
        <v>103.14852840520192</v>
      </c>
      <c r="D87" s="74">
        <f>Comp2[[#This Row],[Comparable '#2 Price]]/'Comparable #2'!$B$2*100</f>
        <v>106.21730382293761</v>
      </c>
      <c r="E87" s="74">
        <f>Comp3[[#This Row],[Comparable '#3 Price]]/'Comparable #3'!$B$2*100</f>
        <v>109.70053749680062</v>
      </c>
    </row>
    <row r="88" spans="1:5">
      <c r="A88" s="96">
        <v>43409</v>
      </c>
      <c r="B88" s="74">
        <f>Target1[[#This Row],[Target Price]]/Target!$B$2*100</f>
        <v>126.87609075043629</v>
      </c>
      <c r="C88" s="74">
        <f>Comp1[[#This Row],[Comparable '#1 Price]]/'Comparable #1'!$B$2*100</f>
        <v>104.38056125941138</v>
      </c>
      <c r="D88" s="74">
        <f>Comp2[[#This Row],[Comparable '#2 Price]]/'Comparable #2'!$B$2*100</f>
        <v>110.06036217303823</v>
      </c>
      <c r="E88" s="74">
        <f>Comp3[[#This Row],[Comparable '#3 Price]]/'Comparable #3'!$B$2*100</f>
        <v>112.27710946165004</v>
      </c>
    </row>
    <row r="89" spans="1:5">
      <c r="A89" s="96">
        <v>43410</v>
      </c>
      <c r="B89" s="74">
        <f>Target1[[#This Row],[Target Price]]/Target!$B$2*100</f>
        <v>129.02850494473529</v>
      </c>
      <c r="C89" s="74">
        <f>Comp1[[#This Row],[Comparable '#1 Price]]/'Comparable #1'!$B$2*100</f>
        <v>104.99657768651609</v>
      </c>
      <c r="D89" s="74">
        <f>Comp2[[#This Row],[Comparable '#2 Price]]/'Comparable #2'!$B$2*100</f>
        <v>112.75653923541246</v>
      </c>
      <c r="E89" s="74">
        <f>Comp3[[#This Row],[Comparable '#3 Price]]/'Comparable #3'!$B$2*100</f>
        <v>113.38622984386998</v>
      </c>
    </row>
    <row r="90" spans="1:5">
      <c r="A90" s="96">
        <v>43411</v>
      </c>
      <c r="B90" s="74">
        <f>Target1[[#This Row],[Target Price]]/Target!$B$2*100</f>
        <v>134.55497382198951</v>
      </c>
      <c r="C90" s="74">
        <f>Comp1[[#This Row],[Comparable '#1 Price]]/'Comparable #1'!$B$2*100</f>
        <v>109.17180013689254</v>
      </c>
      <c r="D90" s="74">
        <f>Comp2[[#This Row],[Comparable '#2 Price]]/'Comparable #2'!$B$2*100</f>
        <v>116.47887323943662</v>
      </c>
      <c r="E90" s="74">
        <f>Comp3[[#This Row],[Comparable '#3 Price]]/'Comparable #3'!$B$2*100</f>
        <v>114.56360378807268</v>
      </c>
    </row>
    <row r="91" spans="1:5">
      <c r="A91" s="96">
        <v>43412</v>
      </c>
      <c r="B91" s="74">
        <f>Target1[[#This Row],[Target Price]]/Target!$B$2*100</f>
        <v>135.02036067481095</v>
      </c>
      <c r="C91" s="74">
        <f>Comp1[[#This Row],[Comparable '#1 Price]]/'Comparable #1'!$B$2*100</f>
        <v>108.48733744010953</v>
      </c>
      <c r="D91" s="74">
        <f>Comp2[[#This Row],[Comparable '#2 Price]]/'Comparable #2'!$B$2*100</f>
        <v>116.43863179074445</v>
      </c>
      <c r="E91" s="74">
        <f>Comp3[[#This Row],[Comparable '#3 Price]]/'Comparable #3'!$B$2*100</f>
        <v>128.15459431789097</v>
      </c>
    </row>
    <row r="92" spans="1:5">
      <c r="A92" s="96">
        <v>43413</v>
      </c>
      <c r="B92" s="74">
        <f>Target1[[#This Row],[Target Price]]/Target!$B$2*100</f>
        <v>134.90401396160559</v>
      </c>
      <c r="C92" s="74">
        <f>Comp1[[#This Row],[Comparable '#1 Price]]/'Comparable #1'!$B$2*100</f>
        <v>108.82956878850104</v>
      </c>
      <c r="D92" s="74">
        <f>Comp2[[#This Row],[Comparable '#2 Price]]/'Comparable #2'!$B$2*100</f>
        <v>116.70020120724345</v>
      </c>
      <c r="E92" s="74">
        <f>Comp3[[#This Row],[Comparable '#3 Price]]/'Comparable #3'!$B$2*100</f>
        <v>119.72527941301938</v>
      </c>
    </row>
    <row r="93" spans="1:5">
      <c r="A93" s="96">
        <v>43416</v>
      </c>
      <c r="B93" s="74">
        <f>Target1[[#This Row],[Target Price]]/Target!$B$2*100</f>
        <v>134.55497382198951</v>
      </c>
      <c r="C93" s="74">
        <f>Comp1[[#This Row],[Comparable '#1 Price]]/'Comparable #1'!$B$2*100</f>
        <v>109.03490759753593</v>
      </c>
      <c r="D93" s="74">
        <f>Comp2[[#This Row],[Comparable '#2 Price]]/'Comparable #2'!$B$2*100</f>
        <v>117.02213279678067</v>
      </c>
      <c r="E93" s="74">
        <f>Comp3[[#This Row],[Comparable '#3 Price]]/'Comparable #3'!$B$2*100</f>
        <v>122.93319682620938</v>
      </c>
    </row>
    <row r="94" spans="1:5">
      <c r="A94" s="96">
        <v>43417</v>
      </c>
      <c r="B94" s="74">
        <f>Target1[[#This Row],[Target Price]]/Target!$B$2*100</f>
        <v>135.02036067481095</v>
      </c>
      <c r="C94" s="74">
        <f>Comp1[[#This Row],[Comparable '#1 Price]]/'Comparable #1'!$B$2*100</f>
        <v>106.29705681040382</v>
      </c>
      <c r="D94" s="74">
        <f>Comp2[[#This Row],[Comparable '#2 Price]]/'Comparable #2'!$B$2*100</f>
        <v>116.17706237424548</v>
      </c>
      <c r="E94" s="74">
        <f>Comp3[[#This Row],[Comparable '#3 Price]]/'Comparable #3'!$B$2*100</f>
        <v>121.62784745328898</v>
      </c>
    </row>
    <row r="95" spans="1:5">
      <c r="A95" s="96">
        <v>43418</v>
      </c>
      <c r="B95" s="74">
        <f>Target1[[#This Row],[Target Price]]/Target!$B$2*100</f>
        <v>134.96218731820824</v>
      </c>
      <c r="C95" s="74">
        <f>Comp1[[#This Row],[Comparable '#1 Price]]/'Comparable #1'!$B$2*100</f>
        <v>96.748802190280642</v>
      </c>
      <c r="D95" s="74">
        <f>Comp2[[#This Row],[Comparable '#2 Price]]/'Comparable #2'!$B$2*100</f>
        <v>114.72837022132796</v>
      </c>
      <c r="E95" s="74">
        <f>Comp3[[#This Row],[Comparable '#3 Price]]/'Comparable #3'!$B$2*100</f>
        <v>117.64354577254498</v>
      </c>
    </row>
    <row r="96" spans="1:5">
      <c r="A96" s="96">
        <v>43419</v>
      </c>
      <c r="B96" s="74">
        <f>Target1[[#This Row],[Target Price]]/Target!$B$2*100</f>
        <v>133.85689354275743</v>
      </c>
      <c r="C96" s="74">
        <f>Comp1[[#This Row],[Comparable '#1 Price]]/'Comparable #1'!$B$2*100</f>
        <v>98.973305954825477</v>
      </c>
      <c r="D96" s="74">
        <f>Comp2[[#This Row],[Comparable '#2 Price]]/'Comparable #2'!$B$2*100</f>
        <v>116.11670020120724</v>
      </c>
      <c r="E96" s="74">
        <f>Comp3[[#This Row],[Comparable '#3 Price]]/'Comparable #3'!$B$2*100</f>
        <v>118.43699343059467</v>
      </c>
    </row>
    <row r="97" spans="1:5">
      <c r="A97" s="96">
        <v>43420</v>
      </c>
      <c r="B97" s="74">
        <f>Target1[[#This Row],[Target Price]]/Target!$B$2*100</f>
        <v>132.05351948807444</v>
      </c>
      <c r="C97" s="74">
        <f>Comp1[[#This Row],[Comparable '#1 Price]]/'Comparable #1'!$B$2*100</f>
        <v>101.84804928131416</v>
      </c>
      <c r="D97" s="74">
        <f>Comp2[[#This Row],[Comparable '#2 Price]]/'Comparable #2'!$B$2*100</f>
        <v>115.77464788732395</v>
      </c>
      <c r="E97" s="74">
        <f>Comp3[[#This Row],[Comparable '#3 Price]]/'Comparable #3'!$B$2*100</f>
        <v>114.47828683559425</v>
      </c>
    </row>
    <row r="98" spans="1:5">
      <c r="A98" s="96">
        <v>43423</v>
      </c>
      <c r="B98" s="74">
        <f>Target1[[#This Row],[Target Price]]/Target!$B$2*100</f>
        <v>132.80977312390922</v>
      </c>
      <c r="C98" s="74">
        <f>Comp1[[#This Row],[Comparable '#1 Price]]/'Comparable #1'!$B$2*100</f>
        <v>102.60095824777551</v>
      </c>
      <c r="D98" s="74">
        <f>Comp2[[#This Row],[Comparable '#2 Price]]/'Comparable #2'!$B$2*100</f>
        <v>113.158953722334</v>
      </c>
      <c r="E98" s="74">
        <f>Comp3[[#This Row],[Comparable '#3 Price]]/'Comparable #3'!$B$2*100</f>
        <v>110.2039075164235</v>
      </c>
    </row>
    <row r="99" spans="1:5">
      <c r="A99" s="96">
        <v>43424</v>
      </c>
      <c r="B99" s="74">
        <f>Target1[[#This Row],[Target Price]]/Target!$B$2*100</f>
        <v>133.1588132635253</v>
      </c>
      <c r="C99" s="74">
        <f>Comp1[[#This Row],[Comparable '#1 Price]]/'Comparable #1'!$B$2*100</f>
        <v>99.726214921286797</v>
      </c>
      <c r="D99" s="74">
        <f>Comp2[[#This Row],[Comparable '#2 Price]]/'Comparable #2'!$B$2*100</f>
        <v>110.96579476861166</v>
      </c>
      <c r="E99" s="74">
        <f>Comp3[[#This Row],[Comparable '#3 Price]]/'Comparable #3'!$B$2*100</f>
        <v>109.66641071580922</v>
      </c>
    </row>
    <row r="100" spans="1:5">
      <c r="A100" s="96">
        <v>43425</v>
      </c>
      <c r="B100" s="74">
        <f>Target1[[#This Row],[Target Price]]/Target!$B$2*100</f>
        <v>134.55497382198951</v>
      </c>
      <c r="C100" s="74">
        <f>Comp1[[#This Row],[Comparable '#1 Price]]/'Comparable #1'!$B$2*100</f>
        <v>99.24709103353868</v>
      </c>
      <c r="D100" s="74">
        <f>Comp2[[#This Row],[Comparable '#2 Price]]/'Comparable #2'!$B$2*100</f>
        <v>112.39436619718307</v>
      </c>
      <c r="E100" s="74">
        <f>Comp3[[#This Row],[Comparable '#3 Price]]/'Comparable #3'!$B$2*100</f>
        <v>111.11679890794302</v>
      </c>
    </row>
    <row r="101" spans="1:5">
      <c r="A101" s="96">
        <v>43427</v>
      </c>
      <c r="B101" s="74">
        <f>Target1[[#This Row],[Target Price]]/Target!$B$2*100</f>
        <v>133.79872018615472</v>
      </c>
      <c r="C101" s="74">
        <f>Comp1[[#This Row],[Comparable '#1 Price]]/'Comparable #1'!$B$2*100</f>
        <v>99.178644763860376</v>
      </c>
      <c r="D101" s="74">
        <f>Comp2[[#This Row],[Comparable '#2 Price]]/'Comparable #2'!$B$2*100</f>
        <v>112.71629778672032</v>
      </c>
      <c r="E101" s="74">
        <f>Comp3[[#This Row],[Comparable '#3 Price]]/'Comparable #3'!$B$2*100</f>
        <v>109.47018172510879</v>
      </c>
    </row>
    <row r="102" spans="1:5">
      <c r="A102" s="96">
        <v>43430</v>
      </c>
      <c r="B102" s="74">
        <f>Target1[[#This Row],[Target Price]]/Target!$B$2*100</f>
        <v>133.44968004653867</v>
      </c>
      <c r="C102" s="74">
        <f>Comp1[[#This Row],[Comparable '#1 Price]]/'Comparable #1'!$B$2*100</f>
        <v>101.64271047227926</v>
      </c>
      <c r="D102" s="74">
        <f>Comp2[[#This Row],[Comparable '#2 Price]]/'Comparable #2'!$B$2*100</f>
        <v>112.53521126760562</v>
      </c>
      <c r="E102" s="74">
        <f>Comp3[[#This Row],[Comparable '#3 Price]]/'Comparable #3'!$B$2*100</f>
        <v>112.33683132838495</v>
      </c>
    </row>
    <row r="103" spans="1:5">
      <c r="A103" s="96">
        <v>43431</v>
      </c>
      <c r="B103" s="74">
        <f>Target1[[#This Row],[Target Price]]/Target!$B$2*100</f>
        <v>133.74054682955204</v>
      </c>
      <c r="C103" s="74">
        <f>Comp1[[#This Row],[Comparable '#1 Price]]/'Comparable #1'!$B$2*100</f>
        <v>99.863107460643391</v>
      </c>
      <c r="D103" s="74">
        <f>Comp2[[#This Row],[Comparable '#2 Price]]/'Comparable #2'!$B$2*100</f>
        <v>110.96579476861166</v>
      </c>
      <c r="E103" s="74">
        <f>Comp3[[#This Row],[Comparable '#3 Price]]/'Comparable #3'!$B$2*100</f>
        <v>110.77553109802918</v>
      </c>
    </row>
    <row r="104" spans="1:5">
      <c r="A104" s="96">
        <v>43432</v>
      </c>
      <c r="B104" s="74">
        <f>Target1[[#This Row],[Target Price]]/Target!$B$2*100</f>
        <v>134.03141361256544</v>
      </c>
      <c r="C104" s="74">
        <f>Comp1[[#This Row],[Comparable '#1 Price]]/'Comparable #1'!$B$2*100</f>
        <v>99.520876112251884</v>
      </c>
      <c r="D104" s="74">
        <f>Comp2[[#This Row],[Comparable '#2 Price]]/'Comparable #2'!$B$2*100</f>
        <v>113.60160965794768</v>
      </c>
      <c r="E104" s="74">
        <f>Comp3[[#This Row],[Comparable '#3 Price]]/'Comparable #3'!$B$2*100</f>
        <v>113.77868782527089</v>
      </c>
    </row>
    <row r="105" spans="1:5">
      <c r="A105" s="96">
        <v>43433</v>
      </c>
      <c r="B105" s="74">
        <f>Target1[[#This Row],[Target Price]]/Target!$B$2*100</f>
        <v>139.38336242001162</v>
      </c>
      <c r="C105" s="74">
        <f>Comp1[[#This Row],[Comparable '#1 Price]]/'Comparable #1'!$B$2*100</f>
        <v>102.39561943874061</v>
      </c>
      <c r="D105" s="74">
        <f>Comp2[[#This Row],[Comparable '#2 Price]]/'Comparable #2'!$B$2*100</f>
        <v>115.53319919517102</v>
      </c>
      <c r="E105" s="74">
        <f>Comp3[[#This Row],[Comparable '#3 Price]]/'Comparable #3'!$B$2*100</f>
        <v>115.52768535107927</v>
      </c>
    </row>
    <row r="106" spans="1:5">
      <c r="A106" s="96">
        <v>43434</v>
      </c>
      <c r="B106" s="74">
        <f>Target1[[#This Row],[Target Price]]/Target!$B$2*100</f>
        <v>138.80162885398485</v>
      </c>
      <c r="C106" s="74">
        <f>Comp1[[#This Row],[Comparable '#1 Price]]/'Comparable #1'!$B$2*100</f>
        <v>100.95824777549625</v>
      </c>
      <c r="D106" s="74">
        <f>Comp2[[#This Row],[Comparable '#2 Price]]/'Comparable #2'!$B$2*100</f>
        <v>116.17706237424548</v>
      </c>
      <c r="E106" s="74">
        <f>Comp3[[#This Row],[Comparable '#3 Price]]/'Comparable #3'!$B$2*100</f>
        <v>116.44910843784662</v>
      </c>
    </row>
    <row r="107" spans="1:5">
      <c r="A107" s="96">
        <v>43437</v>
      </c>
      <c r="B107" s="74">
        <f>Target1[[#This Row],[Target Price]]/Target!$B$2*100</f>
        <v>140.48865619546248</v>
      </c>
      <c r="C107" s="74">
        <f>Comp1[[#This Row],[Comparable '#1 Price]]/'Comparable #1'!$B$2*100</f>
        <v>105.78370978781658</v>
      </c>
      <c r="D107" s="74">
        <f>Comp2[[#This Row],[Comparable '#2 Price]]/'Comparable #2'!$B$2*100</f>
        <v>113.42052313883299</v>
      </c>
      <c r="E107" s="74">
        <f>Comp3[[#This Row],[Comparable '#3 Price]]/'Comparable #3'!$B$2*100</f>
        <v>116.21022097090695</v>
      </c>
    </row>
    <row r="108" spans="1:5">
      <c r="A108" s="96">
        <v>43438</v>
      </c>
      <c r="B108" s="74">
        <f>Target1[[#This Row],[Target Price]]/Target!$B$2*100</f>
        <v>138.80162885398485</v>
      </c>
      <c r="C108" s="74">
        <f>Comp1[[#This Row],[Comparable '#1 Price]]/'Comparable #1'!$B$2*100</f>
        <v>103.14852840520192</v>
      </c>
      <c r="D108" s="74">
        <f>Comp2[[#This Row],[Comparable '#2 Price]]/'Comparable #2'!$B$2*100</f>
        <v>109.9195171026157</v>
      </c>
      <c r="E108" s="74">
        <f>Comp3[[#This Row],[Comparable '#3 Price]]/'Comparable #3'!$B$2*100</f>
        <v>109.74319597303986</v>
      </c>
    </row>
    <row r="109" spans="1:5">
      <c r="A109" s="96">
        <v>43440</v>
      </c>
      <c r="B109" s="74">
        <f>Target1[[#This Row],[Target Price]]/Target!$B$2*100</f>
        <v>135.95113438045374</v>
      </c>
      <c r="C109" s="74">
        <f>Comp1[[#This Row],[Comparable '#1 Price]]/'Comparable #1'!$B$2*100</f>
        <v>102.4640657084189</v>
      </c>
      <c r="D109" s="74">
        <f>Comp2[[#This Row],[Comparable '#2 Price]]/'Comparable #2'!$B$2*100</f>
        <v>109.6579476861167</v>
      </c>
      <c r="E109" s="74">
        <f>Comp3[[#This Row],[Comparable '#3 Price]]/'Comparable #3'!$B$2*100</f>
        <v>107.0301168842249</v>
      </c>
    </row>
    <row r="110" spans="1:5">
      <c r="A110" s="96">
        <v>43441</v>
      </c>
      <c r="B110" s="74">
        <f>Target1[[#This Row],[Target Price]]/Target!$B$2*100</f>
        <v>133.74054682955204</v>
      </c>
      <c r="C110" s="74">
        <f>Comp1[[#This Row],[Comparable '#1 Price]]/'Comparable #1'!$B$2*100</f>
        <v>100.54757015742641</v>
      </c>
      <c r="D110" s="74">
        <f>Comp2[[#This Row],[Comparable '#2 Price]]/'Comparable #2'!$B$2*100</f>
        <v>106.15694164989939</v>
      </c>
      <c r="E110" s="74">
        <f>Comp3[[#This Row],[Comparable '#3 Price]]/'Comparable #3'!$B$2*100</f>
        <v>102.0305434689873</v>
      </c>
    </row>
    <row r="111" spans="1:5">
      <c r="A111" s="96">
        <v>43444</v>
      </c>
      <c r="B111" s="74">
        <f>Target1[[#This Row],[Target Price]]/Target!$B$2*100</f>
        <v>132.05351948807444</v>
      </c>
      <c r="C111" s="74">
        <f>Comp1[[#This Row],[Comparable '#1 Price]]/'Comparable #1'!$B$2*100</f>
        <v>99.863107460643391</v>
      </c>
      <c r="D111" s="74">
        <f>Comp2[[#This Row],[Comparable '#2 Price]]/'Comparable #2'!$B$2*100</f>
        <v>104.70824949698188</v>
      </c>
      <c r="E111" s="74">
        <f>Comp3[[#This Row],[Comparable '#3 Price]]/'Comparable #3'!$B$2*100</f>
        <v>102.06467024997868</v>
      </c>
    </row>
    <row r="112" spans="1:5">
      <c r="A112" s="96">
        <v>43445</v>
      </c>
      <c r="B112" s="74">
        <f>Target1[[#This Row],[Target Price]]/Target!$B$2*100</f>
        <v>135.0785340314136</v>
      </c>
      <c r="C112" s="74">
        <f>Comp1[[#This Row],[Comparable '#1 Price]]/'Comparable #1'!$B$2*100</f>
        <v>100.54757015742641</v>
      </c>
      <c r="D112" s="74">
        <f>Comp2[[#This Row],[Comparable '#2 Price]]/'Comparable #2'!$B$2*100</f>
        <v>104.68812877263581</v>
      </c>
      <c r="E112" s="74">
        <f>Comp3[[#This Row],[Comparable '#3 Price]]/'Comparable #3'!$B$2*100</f>
        <v>102.86664960327616</v>
      </c>
    </row>
    <row r="113" spans="1:5">
      <c r="A113" s="96">
        <v>43446</v>
      </c>
      <c r="B113" s="74">
        <f>Target1[[#This Row],[Target Price]]/Target!$B$2*100</f>
        <v>134.96218731820824</v>
      </c>
      <c r="C113" s="74">
        <f>Comp1[[#This Row],[Comparable '#1 Price]]/'Comparable #1'!$B$2*100</f>
        <v>105.4072553045859</v>
      </c>
      <c r="D113" s="74">
        <f>Comp2[[#This Row],[Comparable '#2 Price]]/'Comparable #2'!$B$2*100</f>
        <v>106.74044265593561</v>
      </c>
      <c r="E113" s="74">
        <f>Comp3[[#This Row],[Comparable '#3 Price]]/'Comparable #3'!$B$2*100</f>
        <v>106.11722549270539</v>
      </c>
    </row>
    <row r="114" spans="1:5">
      <c r="A114" s="96">
        <v>43447</v>
      </c>
      <c r="B114" s="74">
        <f>Target1[[#This Row],[Target Price]]/Target!$B$2*100</f>
        <v>132.92611983711458</v>
      </c>
      <c r="C114" s="74">
        <f>Comp1[[#This Row],[Comparable '#1 Price]]/'Comparable #1'!$B$2*100</f>
        <v>102.4640657084189</v>
      </c>
      <c r="D114" s="74">
        <f>Comp2[[#This Row],[Comparable '#2 Price]]/'Comparable #2'!$B$2*100</f>
        <v>105.13078470824948</v>
      </c>
      <c r="E114" s="74">
        <f>Comp3[[#This Row],[Comparable '#3 Price]]/'Comparable #3'!$B$2*100</f>
        <v>108.3354662571453</v>
      </c>
    </row>
    <row r="115" spans="1:5">
      <c r="A115" s="96">
        <v>43448</v>
      </c>
      <c r="B115" s="74">
        <f>Target1[[#This Row],[Target Price]]/Target!$B$2*100</f>
        <v>132.22803955788248</v>
      </c>
      <c r="C115" s="74">
        <f>Comp1[[#This Row],[Comparable '#1 Price]]/'Comparable #1'!$B$2*100</f>
        <v>102.39561943874061</v>
      </c>
      <c r="D115" s="74">
        <f>Comp2[[#This Row],[Comparable '#2 Price]]/'Comparable #2'!$B$2*100</f>
        <v>102.87726358148895</v>
      </c>
      <c r="E115" s="74">
        <f>Comp3[[#This Row],[Comparable '#3 Price]]/'Comparable #3'!$B$2*100</f>
        <v>109.63228393481785</v>
      </c>
    </row>
    <row r="116" spans="1:5">
      <c r="A116" s="96">
        <v>43451</v>
      </c>
      <c r="B116" s="74">
        <f>Target1[[#This Row],[Target Price]]/Target!$B$2*100</f>
        <v>132.22803955788248</v>
      </c>
      <c r="C116" s="74">
        <f>Comp1[[#This Row],[Comparable '#1 Price]]/'Comparable #1'!$B$2*100</f>
        <v>100.2053388090349</v>
      </c>
      <c r="D116" s="74">
        <f>Comp2[[#This Row],[Comparable '#2 Price]]/'Comparable #2'!$B$2*100</f>
        <v>100.58350100603622</v>
      </c>
      <c r="E116" s="74">
        <f>Comp3[[#This Row],[Comparable '#3 Price]]/'Comparable #3'!$B$2*100</f>
        <v>106.85948297926799</v>
      </c>
    </row>
    <row r="117" spans="1:5">
      <c r="A117" s="96">
        <v>43452</v>
      </c>
      <c r="B117" s="74">
        <f>Target1[[#This Row],[Target Price]]/Target!$B$2*100</f>
        <v>133.85689354275743</v>
      </c>
      <c r="C117" s="74">
        <f>Comp1[[#This Row],[Comparable '#1 Price]]/'Comparable #1'!$B$2*100</f>
        <v>101.16358658453115</v>
      </c>
      <c r="D117" s="74">
        <f>Comp2[[#This Row],[Comparable '#2 Price]]/'Comparable #2'!$B$2*100</f>
        <v>99.839034205231385</v>
      </c>
      <c r="E117" s="74">
        <f>Comp3[[#This Row],[Comparable '#3 Price]]/'Comparable #3'!$B$2*100</f>
        <v>102.55950857435371</v>
      </c>
    </row>
    <row r="118" spans="1:5">
      <c r="A118" s="96">
        <v>43453</v>
      </c>
      <c r="B118" s="74">
        <f>Target1[[#This Row],[Target Price]]/Target!$B$2*100</f>
        <v>132.92611983711458</v>
      </c>
      <c r="C118" s="74">
        <f>Comp1[[#This Row],[Comparable '#1 Price]]/'Comparable #1'!$B$2*100</f>
        <v>99.657768651608492</v>
      </c>
      <c r="D118" s="74">
        <f>Comp2[[#This Row],[Comparable '#2 Price]]/'Comparable #2'!$B$2*100</f>
        <v>97.404426559356125</v>
      </c>
      <c r="E118" s="74">
        <f>Comp3[[#This Row],[Comparable '#3 Price]]/'Comparable #3'!$B$2*100</f>
        <v>97.670847197338119</v>
      </c>
    </row>
    <row r="119" spans="1:5">
      <c r="A119" s="96">
        <v>43454</v>
      </c>
      <c r="B119" s="74">
        <f>Target1[[#This Row],[Target Price]]/Target!$B$2*100</f>
        <v>134.67132053519487</v>
      </c>
      <c r="C119" s="74">
        <f>Comp1[[#This Row],[Comparable '#1 Price]]/'Comparable #1'!$B$2*100</f>
        <v>98.69952087611226</v>
      </c>
      <c r="D119" s="74">
        <f>Comp2[[#This Row],[Comparable '#2 Price]]/'Comparable #2'!$B$2*100</f>
        <v>95.895372233400394</v>
      </c>
      <c r="E119" s="74">
        <f>Comp3[[#This Row],[Comparable '#3 Price]]/'Comparable #3'!$B$2*100</f>
        <v>95.572050166368058</v>
      </c>
    </row>
    <row r="120" spans="1:5">
      <c r="A120" s="96">
        <v>43455</v>
      </c>
      <c r="B120" s="74">
        <f>Target1[[#This Row],[Target Price]]/Target!$B$2*100</f>
        <v>131.76265270506107</v>
      </c>
      <c r="C120" s="74">
        <f>Comp1[[#This Row],[Comparable '#1 Price]]/'Comparable #1'!$B$2*100</f>
        <v>95.140314852840518</v>
      </c>
      <c r="D120" s="74">
        <f>Comp2[[#This Row],[Comparable '#2 Price]]/'Comparable #2'!$B$2*100</f>
        <v>91.609657947686117</v>
      </c>
      <c r="E120" s="74">
        <f>Comp3[[#This Row],[Comparable '#3 Price]]/'Comparable #3'!$B$2*100</f>
        <v>92.048460029007771</v>
      </c>
    </row>
    <row r="121" spans="1:5">
      <c r="A121" s="96">
        <v>43458</v>
      </c>
      <c r="B121" s="74">
        <f>Target1[[#This Row],[Target Price]]/Target!$B$2*100</f>
        <v>131.58813263525303</v>
      </c>
      <c r="C121" s="74">
        <f>Comp1[[#This Row],[Comparable '#1 Price]]/'Comparable #1'!$B$2*100</f>
        <v>95.687885010266953</v>
      </c>
      <c r="D121" s="74">
        <f>Comp2[[#This Row],[Comparable '#2 Price]]/'Comparable #2'!$B$2*100</f>
        <v>89.678068410462771</v>
      </c>
      <c r="E121" s="74">
        <f>Comp3[[#This Row],[Comparable '#3 Price]]/'Comparable #3'!$B$2*100</f>
        <v>89.096493473253147</v>
      </c>
    </row>
    <row r="122" spans="1:5">
      <c r="A122" s="96">
        <v>43460</v>
      </c>
      <c r="B122" s="74">
        <f>Target1[[#This Row],[Target Price]]/Target!$B$2*100</f>
        <v>136.82373472949388</v>
      </c>
      <c r="C122" s="74">
        <f>Comp1[[#This Row],[Comparable '#1 Price]]/'Comparable #1'!$B$2*100</f>
        <v>99.520876112251884</v>
      </c>
      <c r="D122" s="74">
        <f>Comp2[[#This Row],[Comparable '#2 Price]]/'Comparable #2'!$B$2*100</f>
        <v>93.742454728370234</v>
      </c>
      <c r="E122" s="74">
        <f>Comp3[[#This Row],[Comparable '#3 Price]]/'Comparable #3'!$B$2*100</f>
        <v>93.251429058954017</v>
      </c>
    </row>
    <row r="123" spans="1:5">
      <c r="A123" s="96">
        <v>43461</v>
      </c>
      <c r="B123" s="74">
        <f>Target1[[#This Row],[Target Price]]/Target!$B$2*100</f>
        <v>139.09249563699825</v>
      </c>
      <c r="C123" s="74">
        <f>Comp1[[#This Row],[Comparable '#1 Price]]/'Comparable #1'!$B$2*100</f>
        <v>100.47912388774812</v>
      </c>
      <c r="D123" s="74">
        <f>Comp2[[#This Row],[Comparable '#2 Price]]/'Comparable #2'!$B$2*100</f>
        <v>93.621730382293748</v>
      </c>
      <c r="E123" s="74">
        <f>Comp3[[#This Row],[Comparable '#3 Price]]/'Comparable #3'!$B$2*100</f>
        <v>94.753007422574882</v>
      </c>
    </row>
    <row r="124" spans="1:5">
      <c r="A124" s="96">
        <v>43462</v>
      </c>
      <c r="B124" s="74">
        <f>Target1[[#This Row],[Target Price]]/Target!$B$2*100</f>
        <v>142.05933682373472</v>
      </c>
      <c r="C124" s="74">
        <f>Comp1[[#This Row],[Comparable '#1 Price]]/'Comparable #1'!$B$2*100</f>
        <v>101.43737166324436</v>
      </c>
      <c r="D124" s="74">
        <f>Comp2[[#This Row],[Comparable '#2 Price]]/'Comparable #2'!$B$2*100</f>
        <v>94.426559356136821</v>
      </c>
      <c r="E124" s="74">
        <f>Comp3[[#This Row],[Comparable '#3 Price]]/'Comparable #3'!$B$2*100</f>
        <v>96.775019196314318</v>
      </c>
    </row>
    <row r="125" spans="1:5">
      <c r="A125" s="96">
        <v>43465</v>
      </c>
      <c r="B125" s="74">
        <f>Target1[[#This Row],[Target Price]]/Target!$B$2*100</f>
        <v>144.21175101803371</v>
      </c>
      <c r="C125" s="74">
        <f>Comp1[[#This Row],[Comparable '#1 Price]]/'Comparable #1'!$B$2*100</f>
        <v>104.31211498973308</v>
      </c>
      <c r="D125" s="74">
        <f>Comp2[[#This Row],[Comparable '#2 Price]]/'Comparable #2'!$B$2*100</f>
        <v>95.211267605633793</v>
      </c>
      <c r="E125" s="74">
        <f>Comp3[[#This Row],[Comparable '#3 Price]]/'Comparable #3'!$B$2*100</f>
        <v>96.766487501066464</v>
      </c>
    </row>
    <row r="126" spans="1:5">
      <c r="A126" s="96">
        <v>43467</v>
      </c>
      <c r="B126" s="74">
        <f>Target1[[#This Row],[Target Price]]/Target!$B$2*100</f>
        <v>139.4415357766143</v>
      </c>
      <c r="C126" s="74">
        <f>Comp1[[#This Row],[Comparable '#1 Price]]/'Comparable #1'!$B$2*100</f>
        <v>105.1334702258727</v>
      </c>
      <c r="D126" s="74">
        <f>Comp2[[#This Row],[Comparable '#2 Price]]/'Comparable #2'!$B$2*100</f>
        <v>95.311871227364179</v>
      </c>
      <c r="E126" s="74">
        <f>Comp3[[#This Row],[Comparable '#3 Price]]/'Comparable #3'!$B$2*100</f>
        <v>95.537923385376672</v>
      </c>
    </row>
    <row r="127" spans="1:5">
      <c r="A127" s="96">
        <v>43468</v>
      </c>
      <c r="B127" s="74">
        <f>Target1[[#This Row],[Target Price]]/Target!$B$2*100</f>
        <v>139.20884235020358</v>
      </c>
      <c r="C127" s="74">
        <f>Comp1[[#This Row],[Comparable '#1 Price]]/'Comparable #1'!$B$2*100</f>
        <v>99.726214921286797</v>
      </c>
      <c r="D127" s="74">
        <f>Comp2[[#This Row],[Comparable '#2 Price]]/'Comparable #2'!$B$2*100</f>
        <v>94.547283702213278</v>
      </c>
      <c r="E127" s="74">
        <f>Comp3[[#This Row],[Comparable '#3 Price]]/'Comparable #3'!$B$2*100</f>
        <v>93.123453630236341</v>
      </c>
    </row>
    <row r="128" spans="1:5">
      <c r="A128" s="96">
        <v>43469</v>
      </c>
      <c r="B128" s="74">
        <f>Target1[[#This Row],[Target Price]]/Target!$B$2*100</f>
        <v>140.19778941244908</v>
      </c>
      <c r="C128" s="74">
        <f>Comp1[[#This Row],[Comparable '#1 Price]]/'Comparable #1'!$B$2*100</f>
        <v>103.08008213552363</v>
      </c>
      <c r="D128" s="74">
        <f>Comp2[[#This Row],[Comparable '#2 Price]]/'Comparable #2'!$B$2*100</f>
        <v>97.00201207243461</v>
      </c>
      <c r="E128" s="74">
        <f>Comp3[[#This Row],[Comparable '#3 Price]]/'Comparable #3'!$B$2*100</f>
        <v>96.67263885334016</v>
      </c>
    </row>
    <row r="129" spans="1:5">
      <c r="A129" s="96">
        <v>43472</v>
      </c>
      <c r="B129" s="74">
        <f>Target1[[#This Row],[Target Price]]/Target!$B$2*100</f>
        <v>141.12856311809193</v>
      </c>
      <c r="C129" s="74">
        <f>Comp1[[#This Row],[Comparable '#1 Price]]/'Comparable #1'!$B$2*100</f>
        <v>102.60095824777551</v>
      </c>
      <c r="D129" s="74">
        <f>Comp2[[#This Row],[Comparable '#2 Price]]/'Comparable #2'!$B$2*100</f>
        <v>96.116700201207237</v>
      </c>
      <c r="E129" s="74">
        <f>Comp3[[#This Row],[Comparable '#3 Price]]/'Comparable #3'!$B$2*100</f>
        <v>94.147257059977818</v>
      </c>
    </row>
    <row r="130" spans="1:5">
      <c r="A130" s="96">
        <v>43473</v>
      </c>
      <c r="B130" s="74">
        <f>Target1[[#This Row],[Target Price]]/Target!$B$2*100</f>
        <v>141.24490983129726</v>
      </c>
      <c r="C130" s="74">
        <f>Comp1[[#This Row],[Comparable '#1 Price]]/'Comparable #1'!$B$2*100</f>
        <v>101.43737166324436</v>
      </c>
      <c r="D130" s="74">
        <f>Comp2[[#This Row],[Comparable '#2 Price]]/'Comparable #2'!$B$2*100</f>
        <v>95.573440643863165</v>
      </c>
      <c r="E130" s="74">
        <f>Comp3[[#This Row],[Comparable '#3 Price]]/'Comparable #3'!$B$2*100</f>
        <v>93.439126354406625</v>
      </c>
    </row>
    <row r="131" spans="1:5">
      <c r="A131" s="96">
        <v>43474</v>
      </c>
      <c r="B131" s="74">
        <f>Target1[[#This Row],[Target Price]]/Target!$B$2*100</f>
        <v>145.54973821989529</v>
      </c>
      <c r="C131" s="74">
        <f>Comp1[[#This Row],[Comparable '#1 Price]]/'Comparable #1'!$B$2*100</f>
        <v>104.10677618069816</v>
      </c>
      <c r="D131" s="74">
        <f>Comp2[[#This Row],[Comparable '#2 Price]]/'Comparable #2'!$B$2*100</f>
        <v>95.311871227364179</v>
      </c>
      <c r="E131" s="74">
        <f>Comp3[[#This Row],[Comparable '#3 Price]]/'Comparable #3'!$B$2*100</f>
        <v>93.00400989676649</v>
      </c>
    </row>
    <row r="132" spans="1:5">
      <c r="A132" s="96">
        <v>43475</v>
      </c>
      <c r="B132" s="74">
        <f>Target1[[#This Row],[Target Price]]/Target!$B$2*100</f>
        <v>145.08435136707388</v>
      </c>
      <c r="C132" s="74">
        <f>Comp1[[#This Row],[Comparable '#1 Price]]/'Comparable #1'!$B$2*100</f>
        <v>104.31211498973308</v>
      </c>
      <c r="D132" s="74">
        <f>Comp2[[#This Row],[Comparable '#2 Price]]/'Comparable #2'!$B$2*100</f>
        <v>95.331991951710265</v>
      </c>
      <c r="E132" s="74">
        <f>Comp3[[#This Row],[Comparable '#3 Price]]/'Comparable #3'!$B$2*100</f>
        <v>93.294087535193242</v>
      </c>
    </row>
    <row r="133" spans="1:5">
      <c r="A133" s="96">
        <v>43476</v>
      </c>
      <c r="B133" s="74">
        <f>Target1[[#This Row],[Target Price]]/Target!$B$2*100</f>
        <v>142.99011052937755</v>
      </c>
      <c r="C133" s="74">
        <f>Comp1[[#This Row],[Comparable '#1 Price]]/'Comparable #1'!$B$2*100</f>
        <v>103.35386721423683</v>
      </c>
      <c r="D133" s="74">
        <f>Comp2[[#This Row],[Comparable '#2 Price]]/'Comparable #2'!$B$2*100</f>
        <v>95.311871227364179</v>
      </c>
      <c r="E133" s="74">
        <f>Comp3[[#This Row],[Comparable '#3 Price]]/'Comparable #3'!$B$2*100</f>
        <v>94.266700793447654</v>
      </c>
    </row>
    <row r="134" spans="1:5">
      <c r="A134" s="96">
        <v>43479</v>
      </c>
      <c r="B134" s="74">
        <f>Target1[[#This Row],[Target Price]]/Target!$B$2*100</f>
        <v>140.83769633507853</v>
      </c>
      <c r="C134" s="74">
        <f>Comp1[[#This Row],[Comparable '#1 Price]]/'Comparable #1'!$B$2*100</f>
        <v>103.01163586584532</v>
      </c>
      <c r="D134" s="74">
        <f>Comp2[[#This Row],[Comparable '#2 Price]]/'Comparable #2'!$B$2*100</f>
        <v>94.969818913480879</v>
      </c>
      <c r="E134" s="74">
        <f>Comp3[[#This Row],[Comparable '#3 Price]]/'Comparable #3'!$B$2*100</f>
        <v>92.074055114751303</v>
      </c>
    </row>
    <row r="135" spans="1:5">
      <c r="A135" s="96">
        <v>43480</v>
      </c>
      <c r="B135" s="74">
        <f>Target1[[#This Row],[Target Price]]/Target!$B$2*100</f>
        <v>144.7353112274578</v>
      </c>
      <c r="C135" s="74">
        <f>Comp1[[#This Row],[Comparable '#1 Price]]/'Comparable #1'!$B$2*100</f>
        <v>103.96988364134154</v>
      </c>
      <c r="D135" s="74">
        <f>Comp2[[#This Row],[Comparable '#2 Price]]/'Comparable #2'!$B$2*100</f>
        <v>96.277665995975852</v>
      </c>
      <c r="E135" s="74">
        <f>Comp3[[#This Row],[Comparable '#3 Price]]/'Comparable #3'!$B$2*100</f>
        <v>92.611551915365581</v>
      </c>
    </row>
    <row r="136" spans="1:5">
      <c r="A136" s="96">
        <v>43481</v>
      </c>
      <c r="B136" s="74">
        <f>Target1[[#This Row],[Target Price]]/Target!$B$2*100</f>
        <v>144.79348458406051</v>
      </c>
      <c r="C136" s="74">
        <f>Comp1[[#This Row],[Comparable '#1 Price]]/'Comparable #1'!$B$2*100</f>
        <v>104.38056125941138</v>
      </c>
      <c r="D136" s="74">
        <f>Comp2[[#This Row],[Comparable '#2 Price]]/'Comparable #2'!$B$2*100</f>
        <v>96.559356136820924</v>
      </c>
      <c r="E136" s="74">
        <f>Comp3[[#This Row],[Comparable '#3 Price]]/'Comparable #3'!$B$2*100</f>
        <v>91.835167647811616</v>
      </c>
    </row>
    <row r="137" spans="1:5">
      <c r="A137" s="96">
        <v>43482</v>
      </c>
      <c r="B137" s="74">
        <f>Target1[[#This Row],[Target Price]]/Target!$B$2*100</f>
        <v>146.36416521233272</v>
      </c>
      <c r="C137" s="74">
        <f>Comp1[[#This Row],[Comparable '#1 Price]]/'Comparable #1'!$B$2*100</f>
        <v>104.44900752908967</v>
      </c>
      <c r="D137" s="74">
        <f>Comp2[[#This Row],[Comparable '#2 Price]]/'Comparable #2'!$B$2*100</f>
        <v>96.438631790744452</v>
      </c>
      <c r="E137" s="74">
        <f>Comp3[[#This Row],[Comparable '#3 Price]]/'Comparable #3'!$B$2*100</f>
        <v>92.986946506270797</v>
      </c>
    </row>
    <row r="138" spans="1:5">
      <c r="A138" s="96">
        <v>43483</v>
      </c>
      <c r="B138" s="74">
        <f>Target1[[#This Row],[Target Price]]/Target!$B$2*100</f>
        <v>148.86561954624779</v>
      </c>
      <c r="C138" s="74">
        <f>Comp1[[#This Row],[Comparable '#1 Price]]/'Comparable #1'!$B$2*100</f>
        <v>104.58590006844628</v>
      </c>
      <c r="D138" s="74">
        <f>Comp2[[#This Row],[Comparable '#2 Price]]/'Comparable #2'!$B$2*100</f>
        <v>98.350100603621726</v>
      </c>
      <c r="E138" s="74">
        <f>Comp3[[#This Row],[Comparable '#3 Price]]/'Comparable #3'!$B$2*100</f>
        <v>94.923641327531797</v>
      </c>
    </row>
    <row r="139" spans="1:5">
      <c r="A139" s="96">
        <v>43487</v>
      </c>
      <c r="B139" s="74">
        <f>Target1[[#This Row],[Target Price]]/Target!$B$2*100</f>
        <v>150.43630017452006</v>
      </c>
      <c r="C139" s="74">
        <f>Comp1[[#This Row],[Comparable '#1 Price]]/'Comparable #1'!$B$2*100</f>
        <v>106.50239561943874</v>
      </c>
      <c r="D139" s="74">
        <f>Comp2[[#This Row],[Comparable '#2 Price]]/'Comparable #2'!$B$2*100</f>
        <v>97.987927565392354</v>
      </c>
      <c r="E139" s="74">
        <f>Comp3[[#This Row],[Comparable '#3 Price]]/'Comparable #3'!$B$2*100</f>
        <v>92.773654125074657</v>
      </c>
    </row>
    <row r="140" spans="1:5">
      <c r="A140" s="96">
        <v>43488</v>
      </c>
      <c r="B140" s="74">
        <f>Target1[[#This Row],[Target Price]]/Target!$B$2*100</f>
        <v>172.42582897033159</v>
      </c>
      <c r="C140" s="74">
        <f>Comp1[[#This Row],[Comparable '#1 Price]]/'Comparable #1'!$B$2*100</f>
        <v>106.91307323750856</v>
      </c>
      <c r="D140" s="74">
        <f>Comp2[[#This Row],[Comparable '#2 Price]]/'Comparable #2'!$B$2*100</f>
        <v>98.893360160965784</v>
      </c>
      <c r="E140" s="74">
        <f>Comp3[[#This Row],[Comparable '#3 Price]]/'Comparable #3'!$B$2*100</f>
        <v>93.95955976452521</v>
      </c>
    </row>
    <row r="141" spans="1:5">
      <c r="A141" s="96">
        <v>43489</v>
      </c>
      <c r="B141" s="74">
        <f>Target1[[#This Row],[Target Price]]/Target!$B$2*100</f>
        <v>175.68353694008144</v>
      </c>
      <c r="C141" s="74">
        <f>Comp1[[#This Row],[Comparable '#1 Price]]/'Comparable #1'!$B$2*100</f>
        <v>107.52908966461329</v>
      </c>
      <c r="D141" s="74">
        <f>Comp2[[#This Row],[Comparable '#2 Price]]/'Comparable #2'!$B$2*100</f>
        <v>98.73239436619717</v>
      </c>
      <c r="E141" s="74">
        <f>Comp3[[#This Row],[Comparable '#3 Price]]/'Comparable #3'!$B$2*100</f>
        <v>94.710348946335642</v>
      </c>
    </row>
    <row r="142" spans="1:5">
      <c r="A142" s="96">
        <v>43490</v>
      </c>
      <c r="B142" s="74">
        <f>Target1[[#This Row],[Target Price]]/Target!$B$2*100</f>
        <v>171.02966841186736</v>
      </c>
      <c r="C142" s="74">
        <f>Comp1[[#This Row],[Comparable '#1 Price]]/'Comparable #1'!$B$2*100</f>
        <v>108.41889117043122</v>
      </c>
      <c r="D142" s="74">
        <f>Comp2[[#This Row],[Comparable '#2 Price]]/'Comparable #2'!$B$2*100</f>
        <v>99.919517102615686</v>
      </c>
      <c r="E142" s="74">
        <f>Comp3[[#This Row],[Comparable '#3 Price]]/'Comparable #3'!$B$2*100</f>
        <v>96.920058015527687</v>
      </c>
    </row>
    <row r="143" spans="1:5">
      <c r="A143" s="96">
        <v>43493</v>
      </c>
      <c r="B143" s="74">
        <f>Target1[[#This Row],[Target Price]]/Target!$B$2*100</f>
        <v>171.49505526468874</v>
      </c>
      <c r="C143" s="74">
        <f>Comp1[[#This Row],[Comparable '#1 Price]]/'Comparable #1'!$B$2*100</f>
        <v>108.96646132785763</v>
      </c>
      <c r="D143" s="74">
        <f>Comp2[[#This Row],[Comparable '#2 Price]]/'Comparable #2'!$B$2*100</f>
        <v>99.034205231388313</v>
      </c>
      <c r="E143" s="74">
        <f>Comp3[[#This Row],[Comparable '#3 Price]]/'Comparable #3'!$B$2*100</f>
        <v>94.855387765549025</v>
      </c>
    </row>
    <row r="144" spans="1:5">
      <c r="A144" s="96">
        <v>43494</v>
      </c>
      <c r="B144" s="74">
        <f>Target1[[#This Row],[Target Price]]/Target!$B$2*100</f>
        <v>173.93833624200116</v>
      </c>
      <c r="C144" s="74">
        <f>Comp1[[#This Row],[Comparable '#1 Price]]/'Comparable #1'!$B$2*100</f>
        <v>107.73442847364821</v>
      </c>
      <c r="D144" s="74">
        <f>Comp2[[#This Row],[Comparable '#2 Price]]/'Comparable #2'!$B$2*100</f>
        <v>98.189134808853112</v>
      </c>
      <c r="E144" s="74">
        <f>Comp3[[#This Row],[Comparable '#3 Price]]/'Comparable #3'!$B$2*100</f>
        <v>93.285555839945403</v>
      </c>
    </row>
    <row r="145" spans="1:5">
      <c r="A145" s="96">
        <v>43495</v>
      </c>
      <c r="B145" s="74">
        <f>Target1[[#This Row],[Target Price]]/Target!$B$2*100</f>
        <v>174.11285631180917</v>
      </c>
      <c r="C145" s="74">
        <f>Comp1[[#This Row],[Comparable '#1 Price]]/'Comparable #1'!$B$2*100</f>
        <v>107.46064339493498</v>
      </c>
      <c r="D145" s="74">
        <f>Comp2[[#This Row],[Comparable '#2 Price]]/'Comparable #2'!$B$2*100</f>
        <v>99.074446680080484</v>
      </c>
      <c r="E145" s="74">
        <f>Comp3[[#This Row],[Comparable '#3 Price]]/'Comparable #3'!$B$2*100</f>
        <v>92.543298353382824</v>
      </c>
    </row>
    <row r="146" spans="1:5">
      <c r="A146" s="96">
        <v>43496</v>
      </c>
      <c r="B146" s="74">
        <f>Target1[[#This Row],[Target Price]]/Target!$B$2*100</f>
        <v>183.30424665503199</v>
      </c>
      <c r="C146" s="74">
        <f>Comp1[[#This Row],[Comparable '#1 Price]]/'Comparable #1'!$B$2*100</f>
        <v>109.51403148528405</v>
      </c>
      <c r="D146" s="74">
        <f>Comp2[[#This Row],[Comparable '#2 Price]]/'Comparable #2'!$B$2*100</f>
        <v>98.390342052313869</v>
      </c>
      <c r="E146" s="74">
        <f>Comp3[[#This Row],[Comparable '#3 Price]]/'Comparable #3'!$B$2*100</f>
        <v>93.336746011432481</v>
      </c>
    </row>
    <row r="147" spans="1:5">
      <c r="A147" s="96">
        <v>43497</v>
      </c>
      <c r="B147" s="74">
        <f>Target1[[#This Row],[Target Price]]/Target!$B$2*100</f>
        <v>184.00232693426409</v>
      </c>
      <c r="C147" s="74">
        <f>Comp1[[#This Row],[Comparable '#1 Price]]/'Comparable #1'!$B$2*100</f>
        <v>107.46064339493498</v>
      </c>
      <c r="D147" s="74">
        <f>Comp2[[#This Row],[Comparable '#2 Price]]/'Comparable #2'!$B$2*100</f>
        <v>99.114688128772627</v>
      </c>
      <c r="E147" s="74">
        <f>Comp3[[#This Row],[Comparable '#3 Price]]/'Comparable #3'!$B$2*100</f>
        <v>93.353809401928174</v>
      </c>
    </row>
    <row r="148" spans="1:5">
      <c r="A148" s="96">
        <v>43500</v>
      </c>
      <c r="B148" s="74">
        <f>Target1[[#This Row],[Target Price]]/Target!$B$2*100</f>
        <v>185.1657940663176</v>
      </c>
      <c r="C148" s="74">
        <f>Comp1[[#This Row],[Comparable '#1 Price]]/'Comparable #1'!$B$2*100</f>
        <v>108.55578370978782</v>
      </c>
      <c r="D148" s="74">
        <f>Comp2[[#This Row],[Comparable '#2 Price]]/'Comparable #2'!$B$2*100</f>
        <v>99.899396378269614</v>
      </c>
      <c r="E148" s="74">
        <f>Comp3[[#This Row],[Comparable '#3 Price]]/'Comparable #3'!$B$2*100</f>
        <v>96.783550891562157</v>
      </c>
    </row>
    <row r="149" spans="1:5">
      <c r="A149" s="96">
        <v>43501</v>
      </c>
      <c r="B149" s="74">
        <f>Target1[[#This Row],[Target Price]]/Target!$B$2*100</f>
        <v>185.68935427574172</v>
      </c>
      <c r="C149" s="74">
        <f>Comp1[[#This Row],[Comparable '#1 Price]]/'Comparable #1'!$B$2*100</f>
        <v>108.55578370978782</v>
      </c>
      <c r="D149" s="74">
        <f>Comp2[[#This Row],[Comparable '#2 Price]]/'Comparable #2'!$B$2*100</f>
        <v>99.718309859154928</v>
      </c>
      <c r="E149" s="74">
        <f>Comp3[[#This Row],[Comparable '#3 Price]]/'Comparable #3'!$B$2*100</f>
        <v>97.687910587833798</v>
      </c>
    </row>
    <row r="150" spans="1:5">
      <c r="A150" s="96">
        <v>43502</v>
      </c>
      <c r="B150" s="74">
        <f>Target1[[#This Row],[Target Price]]/Target!$B$2*100</f>
        <v>181.15183246073298</v>
      </c>
      <c r="C150" s="74">
        <f>Comp1[[#This Row],[Comparable '#1 Price]]/'Comparable #1'!$B$2*100</f>
        <v>103.35386721423683</v>
      </c>
      <c r="D150" s="74">
        <f>Comp2[[#This Row],[Comparable '#2 Price]]/'Comparable #2'!$B$2*100</f>
        <v>99.416498993963771</v>
      </c>
      <c r="E150" s="74">
        <f>Comp3[[#This Row],[Comparable '#3 Price]]/'Comparable #3'!$B$2*100</f>
        <v>95.333162699428371</v>
      </c>
    </row>
    <row r="151" spans="1:5">
      <c r="A151" s="96">
        <v>43503</v>
      </c>
      <c r="B151" s="74">
        <f>Target1[[#This Row],[Target Price]]/Target!$B$2*100</f>
        <v>180.97731239092494</v>
      </c>
      <c r="C151" s="74">
        <f>Comp1[[#This Row],[Comparable '#1 Price]]/'Comparable #1'!$B$2*100</f>
        <v>101.71115674195757</v>
      </c>
      <c r="D151" s="74">
        <f>Comp2[[#This Row],[Comparable '#2 Price]]/'Comparable #2'!$B$2*100</f>
        <v>98.591549295774641</v>
      </c>
      <c r="E151" s="74">
        <f>Comp3[[#This Row],[Comparable '#3 Price]]/'Comparable #3'!$B$2*100</f>
        <v>94.334954355430426</v>
      </c>
    </row>
    <row r="152" spans="1:5">
      <c r="A152" s="96">
        <v>43504</v>
      </c>
      <c r="B152" s="74">
        <f>Target1[[#This Row],[Target Price]]/Target!$B$2*100</f>
        <v>181.38452588714367</v>
      </c>
      <c r="C152" s="74">
        <f>Comp1[[#This Row],[Comparable '#1 Price]]/'Comparable #1'!$B$2*100</f>
        <v>102.39561943874061</v>
      </c>
      <c r="D152" s="74">
        <f>Comp2[[#This Row],[Comparable '#2 Price]]/'Comparable #2'!$B$2*100</f>
        <v>96.15694164989938</v>
      </c>
      <c r="E152" s="74">
        <f>Comp3[[#This Row],[Comparable '#3 Price]]/'Comparable #3'!$B$2*100</f>
        <v>94.701817251087789</v>
      </c>
    </row>
    <row r="153" spans="1:5">
      <c r="A153" s="96">
        <v>43507</v>
      </c>
      <c r="B153" s="74">
        <f>Target1[[#This Row],[Target Price]]/Target!$B$2*100</f>
        <v>185.86387434554973</v>
      </c>
      <c r="C153" s="74">
        <f>Comp1[[#This Row],[Comparable '#1 Price]]/'Comparable #1'!$B$2*100</f>
        <v>103.21697467488022</v>
      </c>
      <c r="D153" s="74">
        <f>Comp2[[#This Row],[Comparable '#2 Price]]/'Comparable #2'!$B$2*100</f>
        <v>96.116700201207237</v>
      </c>
      <c r="E153" s="74">
        <f>Comp3[[#This Row],[Comparable '#3 Price]]/'Comparable #3'!$B$2*100</f>
        <v>96.809145977305704</v>
      </c>
    </row>
    <row r="154" spans="1:5">
      <c r="A154" s="96">
        <v>43508</v>
      </c>
      <c r="B154" s="74">
        <f>Target1[[#This Row],[Target Price]]/Target!$B$2*100</f>
        <v>186.1547411285631</v>
      </c>
      <c r="C154" s="74">
        <f>Comp1[[#This Row],[Comparable '#1 Price]]/'Comparable #1'!$B$2*100</f>
        <v>103.01163586584532</v>
      </c>
      <c r="D154" s="74">
        <f>Comp2[[#This Row],[Comparable '#2 Price]]/'Comparable #2'!$B$2*100</f>
        <v>95.855130784708237</v>
      </c>
      <c r="E154" s="74">
        <f>Comp3[[#This Row],[Comparable '#3 Price]]/'Comparable #3'!$B$2*100</f>
        <v>98.029178397747643</v>
      </c>
    </row>
    <row r="155" spans="1:5">
      <c r="A155" s="96">
        <v>43509</v>
      </c>
      <c r="B155" s="74">
        <f>Target1[[#This Row],[Target Price]]/Target!$B$2*100</f>
        <v>187.0855148342059</v>
      </c>
      <c r="C155" s="74">
        <f>Comp1[[#This Row],[Comparable '#1 Price]]/'Comparable #1'!$B$2*100</f>
        <v>103.42231348391513</v>
      </c>
      <c r="D155" s="74">
        <f>Comp2[[#This Row],[Comparable '#2 Price]]/'Comparable #2'!$B$2*100</f>
        <v>97.062374245472839</v>
      </c>
      <c r="E155" s="74">
        <f>Comp3[[#This Row],[Comparable '#3 Price]]/'Comparable #3'!$B$2*100</f>
        <v>100.90435969627165</v>
      </c>
    </row>
    <row r="156" spans="1:5">
      <c r="A156" s="96">
        <v>43510</v>
      </c>
      <c r="B156" s="74">
        <f>Target1[[#This Row],[Target Price]]/Target!$B$2*100</f>
        <v>186.03839441535774</v>
      </c>
      <c r="C156" s="74">
        <f>Comp1[[#This Row],[Comparable '#1 Price]]/'Comparable #1'!$B$2*100</f>
        <v>102.32717316906228</v>
      </c>
      <c r="D156" s="74">
        <f>Comp2[[#This Row],[Comparable '#2 Price]]/'Comparable #2'!$B$2*100</f>
        <v>96.881287726358138</v>
      </c>
      <c r="E156" s="74">
        <f>Comp3[[#This Row],[Comparable '#3 Price]]/'Comparable #3'!$B$2*100</f>
        <v>101.31388106816826</v>
      </c>
    </row>
    <row r="157" spans="1:5">
      <c r="A157" s="96">
        <v>43511</v>
      </c>
      <c r="B157" s="74">
        <f>Target1[[#This Row],[Target Price]]/Target!$B$2*100</f>
        <v>186.50378126817918</v>
      </c>
      <c r="C157" s="74">
        <f>Comp1[[#This Row],[Comparable '#1 Price]]/'Comparable #1'!$B$2*100</f>
        <v>102.4640657084189</v>
      </c>
      <c r="D157" s="74">
        <f>Comp2[[#This Row],[Comparable '#2 Price]]/'Comparable #2'!$B$2*100</f>
        <v>97.525150905432582</v>
      </c>
      <c r="E157" s="74">
        <f>Comp3[[#This Row],[Comparable '#3 Price]]/'Comparable #3'!$B$2*100</f>
        <v>101.6210220970907</v>
      </c>
    </row>
    <row r="158" spans="1:5">
      <c r="A158" s="96">
        <v>43515</v>
      </c>
      <c r="B158" s="74">
        <f>Target1[[#This Row],[Target Price]]/Target!$B$2*100</f>
        <v>187.49272833042463</v>
      </c>
      <c r="C158" s="74">
        <f>Comp1[[#This Row],[Comparable '#1 Price]]/'Comparable #1'!$B$2*100</f>
        <v>101.30047912388775</v>
      </c>
      <c r="D158" s="74">
        <f>Comp2[[#This Row],[Comparable '#2 Price]]/'Comparable #2'!$B$2*100</f>
        <v>98.65191146881287</v>
      </c>
      <c r="E158" s="74">
        <f>Comp3[[#This Row],[Comparable '#3 Price]]/'Comparable #3'!$B$2*100</f>
        <v>102.20970906919204</v>
      </c>
    </row>
    <row r="159" spans="1:5">
      <c r="A159" s="96">
        <v>43516</v>
      </c>
      <c r="B159" s="74">
        <f>Target1[[#This Row],[Target Price]]/Target!$B$2*100</f>
        <v>186.1547411285631</v>
      </c>
      <c r="C159" s="74">
        <f>Comp1[[#This Row],[Comparable '#1 Price]]/'Comparable #1'!$B$2*100</f>
        <v>101.16358658453115</v>
      </c>
      <c r="D159" s="74">
        <f>Comp2[[#This Row],[Comparable '#2 Price]]/'Comparable #2'!$B$2*100</f>
        <v>96.881287726358138</v>
      </c>
      <c r="E159" s="74">
        <f>Comp3[[#This Row],[Comparable '#3 Price]]/'Comparable #3'!$B$2*100</f>
        <v>102.54244518385805</v>
      </c>
    </row>
    <row r="160" spans="1:5">
      <c r="A160" s="96">
        <v>43517</v>
      </c>
      <c r="B160" s="74">
        <f>Target1[[#This Row],[Target Price]]/Target!$B$2*100</f>
        <v>189.99418266433969</v>
      </c>
      <c r="C160" s="74">
        <f>Comp1[[#This Row],[Comparable '#1 Price]]/'Comparable #1'!$B$2*100</f>
        <v>103.28542094455852</v>
      </c>
      <c r="D160" s="74">
        <f>Comp2[[#This Row],[Comparable '#2 Price]]/'Comparable #2'!$B$2*100</f>
        <v>99.074446680080484</v>
      </c>
      <c r="E160" s="74">
        <f>Comp3[[#This Row],[Comparable '#3 Price]]/'Comparable #3'!$B$2*100</f>
        <v>108.28427608565822</v>
      </c>
    </row>
    <row r="161" spans="1:5">
      <c r="A161" s="96">
        <v>43518</v>
      </c>
      <c r="B161" s="74">
        <f>Target1[[#This Row],[Target Price]]/Target!$B$2*100</f>
        <v>191.0413030831879</v>
      </c>
      <c r="C161" s="74">
        <f>Comp1[[#This Row],[Comparable '#1 Price]]/'Comparable #1'!$B$2*100</f>
        <v>101.77960301163587</v>
      </c>
      <c r="D161" s="74">
        <f>Comp2[[#This Row],[Comparable '#2 Price]]/'Comparable #2'!$B$2*100</f>
        <v>99.074446680080484</v>
      </c>
      <c r="E161" s="74">
        <f>Comp3[[#This Row],[Comparable '#3 Price]]/'Comparable #3'!$B$2*100</f>
        <v>108.6340755908199</v>
      </c>
    </row>
    <row r="162" spans="1:5">
      <c r="A162" s="96">
        <v>43521</v>
      </c>
      <c r="B162" s="74">
        <f>Target1[[#This Row],[Target Price]]/Target!$B$2*100</f>
        <v>190.05235602094243</v>
      </c>
      <c r="C162" s="74">
        <f>Comp1[[#This Row],[Comparable '#1 Price]]/'Comparable #1'!$B$2*100</f>
        <v>102.87474332648871</v>
      </c>
      <c r="D162" s="74">
        <f>Comp2[[#This Row],[Comparable '#2 Price]]/'Comparable #2'!$B$2*100</f>
        <v>98.511066398390341</v>
      </c>
      <c r="E162" s="74">
        <f>Comp3[[#This Row],[Comparable '#3 Price]]/'Comparable #3'!$B$2*100</f>
        <v>107.71265250405256</v>
      </c>
    </row>
    <row r="163" spans="1:5">
      <c r="A163" s="96">
        <v>43522</v>
      </c>
      <c r="B163" s="74">
        <f>Target1[[#This Row],[Target Price]]/Target!$B$2*100</f>
        <v>188.53984874927281</v>
      </c>
      <c r="C163" s="74">
        <f>Comp1[[#This Row],[Comparable '#1 Price]]/'Comparable #1'!$B$2*100</f>
        <v>100.2053388090349</v>
      </c>
      <c r="D163" s="74">
        <f>Comp2[[#This Row],[Comparable '#2 Price]]/'Comparable #2'!$B$2*100</f>
        <v>97.243460764587525</v>
      </c>
      <c r="E163" s="74">
        <f>Comp3[[#This Row],[Comparable '#3 Price]]/'Comparable #3'!$B$2*100</f>
        <v>107.24340926542104</v>
      </c>
    </row>
    <row r="164" spans="1:5">
      <c r="A164" s="96">
        <v>43523</v>
      </c>
      <c r="B164" s="74">
        <f>Target1[[#This Row],[Target Price]]/Target!$B$2*100</f>
        <v>187.49272833042463</v>
      </c>
      <c r="C164" s="74">
        <f>Comp1[[#This Row],[Comparable '#1 Price]]/'Comparable #1'!$B$2*100</f>
        <v>100.68446269678304</v>
      </c>
      <c r="D164" s="74">
        <f>Comp2[[#This Row],[Comparable '#2 Price]]/'Comparable #2'!$B$2*100</f>
        <v>96.619718309859167</v>
      </c>
      <c r="E164" s="74">
        <f>Comp3[[#This Row],[Comparable '#3 Price]]/'Comparable #3'!$B$2*100</f>
        <v>108.40371981912807</v>
      </c>
    </row>
    <row r="165" spans="1:5">
      <c r="A165" s="96">
        <v>43524</v>
      </c>
      <c r="B165" s="74">
        <f>Target1[[#This Row],[Target Price]]/Target!$B$2*100</f>
        <v>186.38743455497379</v>
      </c>
      <c r="C165" s="74">
        <f>Comp1[[#This Row],[Comparable '#1 Price]]/'Comparable #1'!$B$2*100</f>
        <v>104.65434633812455</v>
      </c>
      <c r="D165" s="74">
        <f>Comp2[[#This Row],[Comparable '#2 Price]]/'Comparable #2'!$B$2*100</f>
        <v>96.981891348088539</v>
      </c>
      <c r="E165" s="74">
        <f>Comp3[[#This Row],[Comparable '#3 Price]]/'Comparable #3'!$B$2*100</f>
        <v>111.57751045132669</v>
      </c>
    </row>
    <row r="166" spans="1:5">
      <c r="A166" s="96">
        <v>43525</v>
      </c>
      <c r="B166" s="74">
        <f>Target1[[#This Row],[Target Price]]/Target!$B$2*100</f>
        <v>189.761489237929</v>
      </c>
      <c r="C166" s="74">
        <f>Comp1[[#This Row],[Comparable '#1 Price]]/'Comparable #1'!$B$2*100</f>
        <v>104.72279260780289</v>
      </c>
      <c r="D166" s="74">
        <f>Comp2[[#This Row],[Comparable '#2 Price]]/'Comparable #2'!$B$2*100</f>
        <v>99.114688128772627</v>
      </c>
      <c r="E166" s="74">
        <f>Comp3[[#This Row],[Comparable '#3 Price]]/'Comparable #3'!$B$2*100</f>
        <v>123.37684497909736</v>
      </c>
    </row>
    <row r="167" spans="1:5">
      <c r="A167" s="96">
        <v>43528</v>
      </c>
      <c r="B167" s="74">
        <f>Target1[[#This Row],[Target Price]]/Target!$B$2*100</f>
        <v>188.1326352530541</v>
      </c>
      <c r="C167" s="74">
        <f>Comp1[[#This Row],[Comparable '#1 Price]]/'Comparable #1'!$B$2*100</f>
        <v>103.28542094455852</v>
      </c>
      <c r="D167" s="74">
        <f>Comp2[[#This Row],[Comparable '#2 Price]]/'Comparable #2'!$B$2*100</f>
        <v>96.720321931589538</v>
      </c>
      <c r="E167" s="74">
        <f>Comp3[[#This Row],[Comparable '#3 Price]]/'Comparable #3'!$B$2*100</f>
        <v>121.27804794812731</v>
      </c>
    </row>
    <row r="168" spans="1:5">
      <c r="A168" s="96">
        <v>43529</v>
      </c>
      <c r="B168" s="74">
        <f>Target1[[#This Row],[Target Price]]/Target!$B$2*100</f>
        <v>188.42350203606748</v>
      </c>
      <c r="C168" s="74">
        <f>Comp1[[#This Row],[Comparable '#1 Price]]/'Comparable #1'!$B$2*100</f>
        <v>103.35386721423683</v>
      </c>
      <c r="D168" s="74">
        <f>Comp2[[#This Row],[Comparable '#2 Price]]/'Comparable #2'!$B$2*100</f>
        <v>96.760563380281695</v>
      </c>
      <c r="E168" s="74">
        <f>Comp3[[#This Row],[Comparable '#3 Price]]/'Comparable #3'!$B$2*100</f>
        <v>120.99650200494838</v>
      </c>
    </row>
    <row r="169" spans="1:5">
      <c r="A169" s="96">
        <v>43530</v>
      </c>
      <c r="B169" s="74">
        <f>Target1[[#This Row],[Target Price]]/Target!$B$2*100</f>
        <v>188.71436881908085</v>
      </c>
      <c r="C169" s="74">
        <f>Comp1[[#This Row],[Comparable '#1 Price]]/'Comparable #1'!$B$2*100</f>
        <v>101.98494182067077</v>
      </c>
      <c r="D169" s="74">
        <f>Comp2[[#This Row],[Comparable '#2 Price]]/'Comparable #2'!$B$2*100</f>
        <v>96.116700201207237</v>
      </c>
      <c r="E169" s="74">
        <f>Comp3[[#This Row],[Comparable '#3 Price]]/'Comparable #3'!$B$2*100</f>
        <v>118.81238802149987</v>
      </c>
    </row>
    <row r="170" spans="1:5">
      <c r="A170" s="96">
        <v>43531</v>
      </c>
      <c r="B170" s="74">
        <f>Target1[[#This Row],[Target Price]]/Target!$B$2*100</f>
        <v>188.71436881908085</v>
      </c>
      <c r="C170" s="74">
        <f>Comp1[[#This Row],[Comparable '#1 Price]]/'Comparable #1'!$B$2*100</f>
        <v>100.2053388090349</v>
      </c>
      <c r="D170" s="74">
        <f>Comp2[[#This Row],[Comparable '#2 Price]]/'Comparable #2'!$B$2*100</f>
        <v>95.110663983903422</v>
      </c>
      <c r="E170" s="74">
        <f>Comp3[[#This Row],[Comparable '#3 Price]]/'Comparable #3'!$B$2*100</f>
        <v>116.18462588516338</v>
      </c>
    </row>
    <row r="171" spans="1:5">
      <c r="A171" s="96">
        <v>43532</v>
      </c>
      <c r="B171" s="74">
        <f>Target1[[#This Row],[Target Price]]/Target!$B$2*100</f>
        <v>189.41244909831298</v>
      </c>
      <c r="C171" s="74">
        <f>Comp1[[#This Row],[Comparable '#1 Price]]/'Comparable #1'!$B$2*100</f>
        <v>99.315537303216971</v>
      </c>
      <c r="D171" s="74">
        <f>Comp2[[#This Row],[Comparable '#2 Price]]/'Comparable #2'!$B$2*100</f>
        <v>95.372233400402408</v>
      </c>
      <c r="E171" s="74">
        <f>Comp3[[#This Row],[Comparable '#3 Price]]/'Comparable #3'!$B$2*100</f>
        <v>114.14555072092824</v>
      </c>
    </row>
    <row r="172" spans="1:5">
      <c r="A172" s="96">
        <v>43535</v>
      </c>
      <c r="B172" s="74">
        <f>Target1[[#This Row],[Target Price]]/Target!$B$2*100</f>
        <v>194.18266433973241</v>
      </c>
      <c r="C172" s="74">
        <f>Comp1[[#This Row],[Comparable '#1 Price]]/'Comparable #1'!$B$2*100</f>
        <v>101.09514031485286</v>
      </c>
      <c r="D172" s="74">
        <f>Comp2[[#This Row],[Comparable '#2 Price]]/'Comparable #2'!$B$2*100</f>
        <v>96.981891348088539</v>
      </c>
      <c r="E172" s="74">
        <f>Comp3[[#This Row],[Comparable '#3 Price]]/'Comparable #3'!$B$2*100</f>
        <v>117.42172169610102</v>
      </c>
    </row>
    <row r="173" spans="1:5">
      <c r="A173" s="96">
        <v>43536</v>
      </c>
      <c r="B173" s="74">
        <f>Target1[[#This Row],[Target Price]]/Target!$B$2*100</f>
        <v>194.70622454915647</v>
      </c>
      <c r="C173" s="74">
        <f>Comp1[[#This Row],[Comparable '#1 Price]]/'Comparable #1'!$B$2*100</f>
        <v>101.98494182067077</v>
      </c>
      <c r="D173" s="74">
        <f>Comp2[[#This Row],[Comparable '#2 Price]]/'Comparable #2'!$B$2*100</f>
        <v>96.639839034205238</v>
      </c>
      <c r="E173" s="74">
        <f>Comp3[[#This Row],[Comparable '#3 Price]]/'Comparable #3'!$B$2*100</f>
        <v>118.39433495435546</v>
      </c>
    </row>
    <row r="174" spans="1:5">
      <c r="A174" s="96">
        <v>43537</v>
      </c>
      <c r="B174" s="74">
        <f>Target1[[#This Row],[Target Price]]/Target!$B$2*100</f>
        <v>196.10238510762071</v>
      </c>
      <c r="C174" s="74">
        <f>Comp1[[#This Row],[Comparable '#1 Price]]/'Comparable #1'!$B$2*100</f>
        <v>104.44900752908967</v>
      </c>
      <c r="D174" s="74">
        <f>Comp2[[#This Row],[Comparable '#2 Price]]/'Comparable #2'!$B$2*100</f>
        <v>97.927565392354126</v>
      </c>
      <c r="E174" s="74">
        <f>Comp3[[#This Row],[Comparable '#3 Price]]/'Comparable #3'!$B$2*100</f>
        <v>118.43699343059467</v>
      </c>
    </row>
    <row r="175" spans="1:5">
      <c r="A175" s="96">
        <v>43538</v>
      </c>
      <c r="B175" s="74">
        <f>Target1[[#This Row],[Target Price]]/Target!$B$2*100</f>
        <v>195.57882489819661</v>
      </c>
      <c r="C175" s="74">
        <f>Comp1[[#This Row],[Comparable '#1 Price]]/'Comparable #1'!$B$2*100</f>
        <v>102.4640657084189</v>
      </c>
      <c r="D175" s="74">
        <f>Comp2[[#This Row],[Comparable '#2 Price]]/'Comparable #2'!$B$2*100</f>
        <v>97.223340040241453</v>
      </c>
      <c r="E175" s="74">
        <f>Comp3[[#This Row],[Comparable '#3 Price]]/'Comparable #3'!$B$2*100</f>
        <v>117.1913659244092</v>
      </c>
    </row>
    <row r="176" spans="1:5">
      <c r="A176" s="96">
        <v>43539</v>
      </c>
      <c r="B176" s="74">
        <f>Target1[[#This Row],[Target Price]]/Target!$B$2*100</f>
        <v>196.50959860383944</v>
      </c>
      <c r="C176" s="74">
        <f>Comp1[[#This Row],[Comparable '#1 Price]]/'Comparable #1'!$B$2*100</f>
        <v>103.28542094455852</v>
      </c>
      <c r="D176" s="74">
        <f>Comp2[[#This Row],[Comparable '#2 Price]]/'Comparable #2'!$B$2*100</f>
        <v>98.269617706237426</v>
      </c>
      <c r="E176" s="74">
        <f>Comp3[[#This Row],[Comparable '#3 Price]]/'Comparable #3'!$B$2*100</f>
        <v>117.98481358245883</v>
      </c>
    </row>
    <row r="177" spans="1:5">
      <c r="A177" s="96">
        <v>43542</v>
      </c>
      <c r="B177" s="74">
        <f>Target1[[#This Row],[Target Price]]/Target!$B$2*100</f>
        <v>193.60093077370564</v>
      </c>
      <c r="C177" s="74">
        <f>Comp1[[#This Row],[Comparable '#1 Price]]/'Comparable #1'!$B$2*100</f>
        <v>104.38056125941138</v>
      </c>
      <c r="D177" s="74">
        <f>Comp2[[#This Row],[Comparable '#2 Price]]/'Comparable #2'!$B$2*100</f>
        <v>98.24949698189134</v>
      </c>
      <c r="E177" s="74">
        <f>Comp3[[#This Row],[Comparable '#3 Price]]/'Comparable #3'!$B$2*100</f>
        <v>116.45764013309446</v>
      </c>
    </row>
    <row r="178" spans="1:5">
      <c r="A178" s="96">
        <v>43543</v>
      </c>
      <c r="B178" s="74">
        <f>Target1[[#This Row],[Target Price]]/Target!$B$2*100</f>
        <v>193.71727748691097</v>
      </c>
      <c r="C178" s="74">
        <f>Comp1[[#This Row],[Comparable '#1 Price]]/'Comparable #1'!$B$2*100</f>
        <v>103.42231348391513</v>
      </c>
      <c r="D178" s="74">
        <f>Comp2[[#This Row],[Comparable '#2 Price]]/'Comparable #2'!$B$2*100</f>
        <v>97.223340040241453</v>
      </c>
      <c r="E178" s="74">
        <f>Comp3[[#This Row],[Comparable '#3 Price]]/'Comparable #3'!$B$2*100</f>
        <v>116.03958706595002</v>
      </c>
    </row>
    <row r="179" spans="1:5">
      <c r="A179" s="96">
        <v>43544</v>
      </c>
      <c r="B179" s="74">
        <f>Target1[[#This Row],[Target Price]]/Target!$B$2*100</f>
        <v>191.33216986620127</v>
      </c>
      <c r="C179" s="74">
        <f>Comp1[[#This Row],[Comparable '#1 Price]]/'Comparable #1'!$B$2*100</f>
        <v>104.65434633812455</v>
      </c>
      <c r="D179" s="74">
        <f>Comp2[[#This Row],[Comparable '#2 Price]]/'Comparable #2'!$B$2*100</f>
        <v>95.171026156941636</v>
      </c>
      <c r="E179" s="74">
        <f>Comp3[[#This Row],[Comparable '#3 Price]]/'Comparable #3'!$B$2*100</f>
        <v>113.94932173022781</v>
      </c>
    </row>
    <row r="180" spans="1:5">
      <c r="A180" s="96">
        <v>43545</v>
      </c>
      <c r="B180" s="74">
        <f>Target1[[#This Row],[Target Price]]/Target!$B$2*100</f>
        <v>193.31006399069224</v>
      </c>
      <c r="C180" s="74">
        <f>Comp1[[#This Row],[Comparable '#1 Price]]/'Comparable #1'!$B$2*100</f>
        <v>106.22861054072553</v>
      </c>
      <c r="D180" s="74">
        <f>Comp2[[#This Row],[Comparable '#2 Price]]/'Comparable #2'!$B$2*100</f>
        <v>96.378269617706223</v>
      </c>
      <c r="E180" s="74">
        <f>Comp3[[#This Row],[Comparable '#3 Price]]/'Comparable #3'!$B$2*100</f>
        <v>116.52589369507722</v>
      </c>
    </row>
    <row r="181" spans="1:5">
      <c r="A181" s="96">
        <v>43546</v>
      </c>
      <c r="B181" s="74">
        <f>Target1[[#This Row],[Target Price]]/Target!$B$2*100</f>
        <v>189.64514252472367</v>
      </c>
      <c r="C181" s="74">
        <f>Comp1[[#This Row],[Comparable '#1 Price]]/'Comparable #1'!$B$2*100</f>
        <v>103.55920602327173</v>
      </c>
      <c r="D181" s="74">
        <f>Comp2[[#This Row],[Comparable '#2 Price]]/'Comparable #2'!$B$2*100</f>
        <v>92.494969818913475</v>
      </c>
      <c r="E181" s="74">
        <f>Comp3[[#This Row],[Comparable '#3 Price]]/'Comparable #3'!$B$2*100</f>
        <v>113.07908881494753</v>
      </c>
    </row>
    <row r="182" spans="1:5">
      <c r="A182" s="96">
        <v>43549</v>
      </c>
      <c r="B182" s="74">
        <f>Target1[[#This Row],[Target Price]]/Target!$B$2*100</f>
        <v>193.13554392088423</v>
      </c>
      <c r="C182" s="74">
        <f>Comp1[[#This Row],[Comparable '#1 Price]]/'Comparable #1'!$B$2*100</f>
        <v>101.02669404517455</v>
      </c>
      <c r="D182" s="74">
        <f>Comp2[[#This Row],[Comparable '#2 Price]]/'Comparable #2'!$B$2*100</f>
        <v>91.609657947686117</v>
      </c>
      <c r="E182" s="74">
        <f>Comp3[[#This Row],[Comparable '#3 Price]]/'Comparable #3'!$B$2*100</f>
        <v>112.44774336660697</v>
      </c>
    </row>
    <row r="183" spans="1:5">
      <c r="A183" s="96">
        <v>43550</v>
      </c>
      <c r="B183" s="74">
        <f>Target1[[#This Row],[Target Price]]/Target!$B$2*100</f>
        <v>193.31006399069224</v>
      </c>
      <c r="C183" s="74">
        <f>Comp1[[#This Row],[Comparable '#1 Price]]/'Comparable #1'!$B$2*100</f>
        <v>100.88980150581794</v>
      </c>
      <c r="D183" s="74">
        <f>Comp2[[#This Row],[Comparable '#2 Price]]/'Comparable #2'!$B$2*100</f>
        <v>91.891348088531188</v>
      </c>
      <c r="E183" s="74">
        <f>Comp3[[#This Row],[Comparable '#3 Price]]/'Comparable #3'!$B$2*100</f>
        <v>113.20706424366523</v>
      </c>
    </row>
    <row r="184" spans="1:5">
      <c r="A184" s="96">
        <v>43551</v>
      </c>
      <c r="B184" s="74">
        <f>Target1[[#This Row],[Target Price]]/Target!$B$2*100</f>
        <v>194.93891797556716</v>
      </c>
      <c r="C184" s="74">
        <f>Comp1[[#This Row],[Comparable '#1 Price]]/'Comparable #1'!$B$2*100</f>
        <v>100.2737850787132</v>
      </c>
      <c r="D184" s="74">
        <f>Comp2[[#This Row],[Comparable '#2 Price]]/'Comparable #2'!$B$2*100</f>
        <v>91.388329979879273</v>
      </c>
      <c r="E184" s="74">
        <f>Comp3[[#This Row],[Comparable '#3 Price]]/'Comparable #3'!$B$2*100</f>
        <v>110.75846770753348</v>
      </c>
    </row>
    <row r="185" spans="1:5">
      <c r="A185" s="96">
        <v>43552</v>
      </c>
      <c r="B185" s="74">
        <f>Target1[[#This Row],[Target Price]]/Target!$B$2*100</f>
        <v>197.96393251890635</v>
      </c>
      <c r="C185" s="74">
        <f>Comp1[[#This Row],[Comparable '#1 Price]]/'Comparable #1'!$B$2*100</f>
        <v>101.50581793292265</v>
      </c>
      <c r="D185" s="74">
        <f>Comp2[[#This Row],[Comparable '#2 Price]]/'Comparable #2'!$B$2*100</f>
        <v>92.65593561368209</v>
      </c>
      <c r="E185" s="74">
        <f>Comp3[[#This Row],[Comparable '#3 Price]]/'Comparable #3'!$B$2*100</f>
        <v>114.17967750191964</v>
      </c>
    </row>
    <row r="186" spans="1:5">
      <c r="A186" s="96">
        <v>43553</v>
      </c>
      <c r="B186" s="74">
        <f>Target1[[#This Row],[Target Price]]/Target!$B$2*100</f>
        <v>198.54566608493309</v>
      </c>
      <c r="C186" s="74">
        <f>Comp1[[#This Row],[Comparable '#1 Price]]/'Comparable #1'!$B$2*100</f>
        <v>102.4640657084189</v>
      </c>
      <c r="D186" s="74">
        <f>Comp2[[#This Row],[Comparable '#2 Price]]/'Comparable #2'!$B$2*100</f>
        <v>93.199195171026147</v>
      </c>
      <c r="E186" s="74">
        <f>Comp3[[#This Row],[Comparable '#3 Price]]/'Comparable #3'!$B$2*100</f>
        <v>112.0296902994625</v>
      </c>
    </row>
    <row r="187" spans="1:5">
      <c r="A187" s="96">
        <v>43556</v>
      </c>
      <c r="B187" s="74">
        <f>Target1[[#This Row],[Target Price]]/Target!$B$2*100</f>
        <v>198.83653286794646</v>
      </c>
      <c r="C187" s="74">
        <f>Comp1[[#This Row],[Comparable '#1 Price]]/'Comparable #1'!$B$2*100</f>
        <v>102.32717316906228</v>
      </c>
      <c r="D187" s="74">
        <f>Comp2[[#This Row],[Comparable '#2 Price]]/'Comparable #2'!$B$2*100</f>
        <v>94.426559356136821</v>
      </c>
      <c r="E187" s="74">
        <f>Comp3[[#This Row],[Comparable '#3 Price]]/'Comparable #3'!$B$2*100</f>
        <v>112.68663083354664</v>
      </c>
    </row>
    <row r="188" spans="1:5">
      <c r="A188" s="96">
        <v>43557</v>
      </c>
      <c r="B188" s="74">
        <f>Target1[[#This Row],[Target Price]]/Target!$B$2*100</f>
        <v>199.24374636416519</v>
      </c>
      <c r="C188" s="74">
        <f>Comp1[[#This Row],[Comparable '#1 Price]]/'Comparable #1'!$B$2*100</f>
        <v>103.96988364134154</v>
      </c>
      <c r="D188" s="74">
        <f>Comp2[[#This Row],[Comparable '#2 Price]]/'Comparable #2'!$B$2*100</f>
        <v>93.521126760563362</v>
      </c>
      <c r="E188" s="74">
        <f>Comp3[[#This Row],[Comparable '#3 Price]]/'Comparable #3'!$B$2*100</f>
        <v>113.81281460626226</v>
      </c>
    </row>
    <row r="189" spans="1:5">
      <c r="A189" s="96">
        <v>43558</v>
      </c>
      <c r="B189" s="74">
        <f>Target1[[#This Row],[Target Price]]/Target!$B$2*100</f>
        <v>204.18848167539267</v>
      </c>
      <c r="C189" s="74">
        <f>Comp1[[#This Row],[Comparable '#1 Price]]/'Comparable #1'!$B$2*100</f>
        <v>104.38056125941138</v>
      </c>
      <c r="D189" s="74">
        <f>Comp2[[#This Row],[Comparable '#2 Price]]/'Comparable #2'!$B$2*100</f>
        <v>95.533199195171008</v>
      </c>
      <c r="E189" s="74">
        <f>Comp3[[#This Row],[Comparable '#3 Price]]/'Comparable #3'!$B$2*100</f>
        <v>115.3485197508745</v>
      </c>
    </row>
    <row r="190" spans="1:5">
      <c r="A190" s="96">
        <v>43559</v>
      </c>
      <c r="B190" s="74">
        <f>Target1[[#This Row],[Target Price]]/Target!$B$2*100</f>
        <v>208.14426992437464</v>
      </c>
      <c r="C190" s="74">
        <f>Comp1[[#This Row],[Comparable '#1 Price]]/'Comparable #1'!$B$2*100</f>
        <v>105.47570157426421</v>
      </c>
      <c r="D190" s="74">
        <f>Comp2[[#This Row],[Comparable '#2 Price]]/'Comparable #2'!$B$2*100</f>
        <v>96.317907444667995</v>
      </c>
      <c r="E190" s="74">
        <f>Comp3[[#This Row],[Comparable '#3 Price]]/'Comparable #3'!$B$2*100</f>
        <v>117.75445781076701</v>
      </c>
    </row>
    <row r="191" spans="1:5">
      <c r="A191" s="96">
        <v>43560</v>
      </c>
      <c r="B191" s="74">
        <f>Target1[[#This Row],[Target Price]]/Target!$B$2*100</f>
        <v>209.83129726585221</v>
      </c>
      <c r="C191" s="74">
        <f>Comp1[[#This Row],[Comparable '#1 Price]]/'Comparable #1'!$B$2*100</f>
        <v>106.22861054072553</v>
      </c>
      <c r="D191" s="74">
        <f>Comp2[[#This Row],[Comparable '#2 Price]]/'Comparable #2'!$B$2*100</f>
        <v>96.25754527162978</v>
      </c>
      <c r="E191" s="74">
        <f>Comp3[[#This Row],[Comparable '#3 Price]]/'Comparable #3'!$B$2*100</f>
        <v>118.8721098882348</v>
      </c>
    </row>
    <row r="192" spans="1:5">
      <c r="A192" s="96">
        <v>43563</v>
      </c>
      <c r="B192" s="74">
        <f>Target1[[#This Row],[Target Price]]/Target!$B$2*100</f>
        <v>207.32984293193715</v>
      </c>
      <c r="C192" s="74">
        <f>Comp1[[#This Row],[Comparable '#1 Price]]/'Comparable #1'!$B$2*100</f>
        <v>106.84462696783027</v>
      </c>
      <c r="D192" s="74">
        <f>Comp2[[#This Row],[Comparable '#2 Price]]/'Comparable #2'!$B$2*100</f>
        <v>96.478873239436624</v>
      </c>
      <c r="E192" s="74">
        <f>Comp3[[#This Row],[Comparable '#3 Price]]/'Comparable #3'!$B$2*100</f>
        <v>119.11952905042233</v>
      </c>
    </row>
    <row r="193" spans="1:5">
      <c r="A193" s="96">
        <v>43564</v>
      </c>
      <c r="B193" s="74">
        <f>Target1[[#This Row],[Target Price]]/Target!$B$2*100</f>
        <v>210.70389761489236</v>
      </c>
      <c r="C193" s="74">
        <f>Comp1[[#This Row],[Comparable '#1 Price]]/'Comparable #1'!$B$2*100</f>
        <v>107.04996577686516</v>
      </c>
      <c r="D193" s="74">
        <f>Comp2[[#This Row],[Comparable '#2 Price]]/'Comparable #2'!$B$2*100</f>
        <v>95.895372233400394</v>
      </c>
      <c r="E193" s="74">
        <f>Comp3[[#This Row],[Comparable '#3 Price]]/'Comparable #3'!$B$2*100</f>
        <v>118.65881750703866</v>
      </c>
    </row>
    <row r="194" spans="1:5">
      <c r="A194" s="96">
        <v>43565</v>
      </c>
      <c r="B194" s="74">
        <f>Target1[[#This Row],[Target Price]]/Target!$B$2*100</f>
        <v>212.79813845258869</v>
      </c>
      <c r="C194" s="74">
        <f>Comp1[[#This Row],[Comparable '#1 Price]]/'Comparable #1'!$B$2*100</f>
        <v>107.87132101300479</v>
      </c>
      <c r="D194" s="74">
        <f>Comp2[[#This Row],[Comparable '#2 Price]]/'Comparable #2'!$B$2*100</f>
        <v>97.303822937625753</v>
      </c>
      <c r="E194" s="74">
        <f>Comp3[[#This Row],[Comparable '#3 Price]]/'Comparable #3'!$B$2*100</f>
        <v>120.61257571879534</v>
      </c>
    </row>
    <row r="195" spans="1:5">
      <c r="A195" s="96">
        <v>43566</v>
      </c>
      <c r="B195" s="74">
        <f>Target1[[#This Row],[Target Price]]/Target!$B$2*100</f>
        <v>214.36881908086093</v>
      </c>
      <c r="C195" s="74">
        <f>Comp1[[#This Row],[Comparable '#1 Price]]/'Comparable #1'!$B$2*100</f>
        <v>107.46064339493498</v>
      </c>
      <c r="D195" s="74">
        <f>Comp2[[#This Row],[Comparable '#2 Price]]/'Comparable #2'!$B$2*100</f>
        <v>97.243460764587525</v>
      </c>
      <c r="E195" s="74">
        <f>Comp3[[#This Row],[Comparable '#3 Price]]/'Comparable #3'!$B$2*100</f>
        <v>118.84651480249127</v>
      </c>
    </row>
    <row r="196" spans="1:5">
      <c r="A196" s="96">
        <v>43567</v>
      </c>
      <c r="B196" s="74">
        <f>Target1[[#This Row],[Target Price]]/Target!$B$2*100</f>
        <v>212.10005817335659</v>
      </c>
      <c r="C196" s="74">
        <f>Comp1[[#This Row],[Comparable '#1 Price]]/'Comparable #1'!$B$2*100</f>
        <v>107.32375085557837</v>
      </c>
      <c r="D196" s="74">
        <f>Comp2[[#This Row],[Comparable '#2 Price]]/'Comparable #2'!$B$2*100</f>
        <v>97.746478873239425</v>
      </c>
      <c r="E196" s="74">
        <f>Comp3[[#This Row],[Comparable '#3 Price]]/'Comparable #3'!$B$2*100</f>
        <v>119.40960668884908</v>
      </c>
    </row>
    <row r="197" spans="1:5">
      <c r="A197" s="96">
        <v>43570</v>
      </c>
      <c r="B197" s="74">
        <f>Target1[[#This Row],[Target Price]]/Target!$B$2*100</f>
        <v>214.95055264688773</v>
      </c>
      <c r="C197" s="74">
        <f>Comp1[[#This Row],[Comparable '#1 Price]]/'Comparable #1'!$B$2*100</f>
        <v>106.16016427104724</v>
      </c>
      <c r="D197" s="74">
        <f>Comp2[[#This Row],[Comparable '#2 Price]]/'Comparable #2'!$B$2*100</f>
        <v>98.631790744466798</v>
      </c>
      <c r="E197" s="74">
        <f>Comp3[[#This Row],[Comparable '#3 Price]]/'Comparable #3'!$B$2*100</f>
        <v>120.00682535619829</v>
      </c>
    </row>
    <row r="198" spans="1:5">
      <c r="A198" s="96">
        <v>43571</v>
      </c>
      <c r="B198" s="74">
        <f>Target1[[#This Row],[Target Price]]/Target!$B$2*100</f>
        <v>215.2414194299011</v>
      </c>
      <c r="C198" s="74">
        <f>Comp1[[#This Row],[Comparable '#1 Price]]/'Comparable #1'!$B$2*100</f>
        <v>106.09171800136895</v>
      </c>
      <c r="D198" s="74">
        <f>Comp2[[#This Row],[Comparable '#2 Price]]/'Comparable #2'!$B$2*100</f>
        <v>98.953722334004013</v>
      </c>
      <c r="E198" s="74">
        <f>Comp3[[#This Row],[Comparable '#3 Price]]/'Comparable #3'!$B$2*100</f>
        <v>120.05801552768536</v>
      </c>
    </row>
    <row r="199" spans="1:5">
      <c r="A199" s="96">
        <v>43572</v>
      </c>
      <c r="B199" s="74">
        <f>Target1[[#This Row],[Target Price]]/Target!$B$2*100</f>
        <v>209.24956369982544</v>
      </c>
      <c r="C199" s="74">
        <f>Comp1[[#This Row],[Comparable '#1 Price]]/'Comparable #1'!$B$2*100</f>
        <v>106.29705681040382</v>
      </c>
      <c r="D199" s="74">
        <f>Comp2[[#This Row],[Comparable '#2 Price]]/'Comparable #2'!$B$2*100</f>
        <v>97.726358148893354</v>
      </c>
      <c r="E199" s="74">
        <f>Comp3[[#This Row],[Comparable '#3 Price]]/'Comparable #3'!$B$2*100</f>
        <v>121.29511133862299</v>
      </c>
    </row>
    <row r="200" spans="1:5">
      <c r="A200" s="96">
        <v>43573</v>
      </c>
      <c r="B200" s="74">
        <f>Target1[[#This Row],[Target Price]]/Target!$B$2*100</f>
        <v>206.05002908667828</v>
      </c>
      <c r="C200" s="74">
        <f>Comp1[[#This Row],[Comparable '#1 Price]]/'Comparable #1'!$B$2*100</f>
        <v>107.80287474332648</v>
      </c>
      <c r="D200" s="74">
        <f>Comp2[[#This Row],[Comparable '#2 Price]]/'Comparable #2'!$B$2*100</f>
        <v>96.579476861166995</v>
      </c>
      <c r="E200" s="74">
        <f>Comp3[[#This Row],[Comparable '#3 Price]]/'Comparable #3'!$B$2*100</f>
        <v>118.8721098882348</v>
      </c>
    </row>
    <row r="201" spans="1:5">
      <c r="A201" s="96">
        <v>43577</v>
      </c>
      <c r="B201" s="74">
        <f>Target1[[#This Row],[Target Price]]/Target!$B$2*100</f>
        <v>205.93368237347295</v>
      </c>
      <c r="C201" s="74">
        <f>Comp1[[#This Row],[Comparable '#1 Price]]/'Comparable #1'!$B$2*100</f>
        <v>106.63928815879535</v>
      </c>
      <c r="D201" s="74">
        <f>Comp2[[#This Row],[Comparable '#2 Price]]/'Comparable #2'!$B$2*100</f>
        <v>95.91549295774648</v>
      </c>
      <c r="E201" s="74">
        <f>Comp3[[#This Row],[Comparable '#3 Price]]/'Comparable #3'!$B$2*100</f>
        <v>119.03421209794386</v>
      </c>
    </row>
    <row r="202" spans="1:5">
      <c r="A202" s="96">
        <v>43578</v>
      </c>
      <c r="B202" s="74">
        <f>Target1[[#This Row],[Target Price]]/Target!$B$2*100</f>
        <v>210.70389761489236</v>
      </c>
      <c r="C202" s="74">
        <f>Comp1[[#This Row],[Comparable '#1 Price]]/'Comparable #1'!$B$2*100</f>
        <v>108.55578370978782</v>
      </c>
      <c r="D202" s="74">
        <f>Comp2[[#This Row],[Comparable '#2 Price]]/'Comparable #2'!$B$2*100</f>
        <v>98.490945674044255</v>
      </c>
      <c r="E202" s="74">
        <f>Comp3[[#This Row],[Comparable '#3 Price]]/'Comparable #3'!$B$2*100</f>
        <v>122.80522139749168</v>
      </c>
    </row>
    <row r="203" spans="1:5">
      <c r="A203" s="96">
        <v>43579</v>
      </c>
      <c r="B203" s="74">
        <f>Target1[[#This Row],[Target Price]]/Target!$B$2*100</f>
        <v>182.37347294938917</v>
      </c>
      <c r="C203" s="74">
        <f>Comp1[[#This Row],[Comparable '#1 Price]]/'Comparable #1'!$B$2*100</f>
        <v>107.32375085557837</v>
      </c>
      <c r="D203" s="74">
        <f>Comp2[[#This Row],[Comparable '#2 Price]]/'Comparable #2'!$B$2*100</f>
        <v>98.269617706237426</v>
      </c>
      <c r="E203" s="74">
        <f>Comp3[[#This Row],[Comparable '#3 Price]]/'Comparable #3'!$B$2*100</f>
        <v>121.67050592952822</v>
      </c>
    </row>
    <row r="204" spans="1:5">
      <c r="A204" s="96">
        <v>43580</v>
      </c>
      <c r="B204" s="74">
        <f>Target1[[#This Row],[Target Price]]/Target!$B$2*100</f>
        <v>178.41768470040722</v>
      </c>
      <c r="C204" s="74">
        <f>Comp1[[#This Row],[Comparable '#1 Price]]/'Comparable #1'!$B$2*100</f>
        <v>107.18685831622177</v>
      </c>
      <c r="D204" s="74">
        <f>Comp2[[#This Row],[Comparable '#2 Price]]/'Comparable #2'!$B$2*100</f>
        <v>98.068410462776654</v>
      </c>
      <c r="E204" s="74">
        <f>Comp3[[#This Row],[Comparable '#3 Price]]/'Comparable #3'!$B$2*100</f>
        <v>120.38221994710349</v>
      </c>
    </row>
    <row r="205" spans="1:5">
      <c r="A205" s="96">
        <v>43581</v>
      </c>
      <c r="B205" s="74">
        <f>Target1[[#This Row],[Target Price]]/Target!$B$2*100</f>
        <v>182.0826061663758</v>
      </c>
      <c r="C205" s="74">
        <f>Comp1[[#This Row],[Comparable '#1 Price]]/'Comparable #1'!$B$2*100</f>
        <v>108.14510609171802</v>
      </c>
      <c r="D205" s="74">
        <f>Comp2[[#This Row],[Comparable '#2 Price]]/'Comparable #2'!$B$2*100</f>
        <v>100.12072434607644</v>
      </c>
      <c r="E205" s="74">
        <f>Comp3[[#This Row],[Comparable '#3 Price]]/'Comparable #3'!$B$2*100</f>
        <v>123.5560105793021</v>
      </c>
    </row>
    <row r="206" spans="1:5">
      <c r="A206" s="96">
        <v>43584</v>
      </c>
      <c r="B206" s="74">
        <f>Target1[[#This Row],[Target Price]]/Target!$B$2*100</f>
        <v>177.8941244909831</v>
      </c>
      <c r="C206" s="74">
        <f>Comp1[[#This Row],[Comparable '#1 Price]]/'Comparable #1'!$B$2*100</f>
        <v>107.80287474332648</v>
      </c>
      <c r="D206" s="74">
        <f>Comp2[[#This Row],[Comparable '#2 Price]]/'Comparable #2'!$B$2*100</f>
        <v>100.16096579476861</v>
      </c>
      <c r="E206" s="74">
        <f>Comp3[[#This Row],[Comparable '#3 Price]]/'Comparable #3'!$B$2*100</f>
        <v>122.83081648323521</v>
      </c>
    </row>
    <row r="207" spans="1:5">
      <c r="A207" s="96">
        <v>43585</v>
      </c>
      <c r="B207" s="74">
        <f>Target1[[#This Row],[Target Price]]/Target!$B$2*100</f>
        <v>175.21815008726003</v>
      </c>
      <c r="C207" s="74">
        <f>Comp1[[#This Row],[Comparable '#1 Price]]/'Comparable #1'!$B$2*100</f>
        <v>107.73442847364821</v>
      </c>
      <c r="D207" s="74">
        <f>Comp2[[#This Row],[Comparable '#2 Price]]/'Comparable #2'!$B$2*100</f>
        <v>99.235412474849099</v>
      </c>
      <c r="E207" s="74">
        <f>Comp3[[#This Row],[Comparable '#3 Price]]/'Comparable #3'!$B$2*100</f>
        <v>122.30185137786877</v>
      </c>
    </row>
    <row r="208" spans="1:5">
      <c r="A208" s="96">
        <v>43586</v>
      </c>
      <c r="B208" s="74">
        <f>Target1[[#This Row],[Target Price]]/Target!$B$2*100</f>
        <v>175.68353694008144</v>
      </c>
      <c r="C208" s="74">
        <f>Comp1[[#This Row],[Comparable '#1 Price]]/'Comparable #1'!$B$2*100</f>
        <v>107.87132101300479</v>
      </c>
      <c r="D208" s="74">
        <f>Comp2[[#This Row],[Comparable '#2 Price]]/'Comparable #2'!$B$2*100</f>
        <v>99.818913480885314</v>
      </c>
      <c r="E208" s="74">
        <f>Comp3[[#This Row],[Comparable '#3 Price]]/'Comparable #3'!$B$2*100</f>
        <v>135.2785598498422</v>
      </c>
    </row>
    <row r="209" spans="1:5">
      <c r="A209" s="96">
        <v>43587</v>
      </c>
      <c r="B209" s="74">
        <f>Target1[[#This Row],[Target Price]]/Target!$B$2*100</f>
        <v>174.75276323443859</v>
      </c>
      <c r="C209" s="74">
        <f>Comp1[[#This Row],[Comparable '#1 Price]]/'Comparable #1'!$B$2*100</f>
        <v>109.03490759753593</v>
      </c>
      <c r="D209" s="74">
        <f>Comp2[[#This Row],[Comparable '#2 Price]]/'Comparable #2'!$B$2*100</f>
        <v>100.64386317907446</v>
      </c>
      <c r="E209" s="74">
        <f>Comp3[[#This Row],[Comparable '#3 Price]]/'Comparable #3'!$B$2*100</f>
        <v>138.63151608224555</v>
      </c>
    </row>
    <row r="210" spans="1:5">
      <c r="A210" s="96">
        <v>43588</v>
      </c>
      <c r="B210" s="74">
        <f>Target1[[#This Row],[Target Price]]/Target!$B$2*100</f>
        <v>176.43979057591622</v>
      </c>
      <c r="C210" s="74">
        <f>Comp1[[#This Row],[Comparable '#1 Price]]/'Comparable #1'!$B$2*100</f>
        <v>109.17180013689254</v>
      </c>
      <c r="D210" s="74">
        <f>Comp2[[#This Row],[Comparable '#2 Price]]/'Comparable #2'!$B$2*100</f>
        <v>92.273641851106632</v>
      </c>
      <c r="E210" s="74">
        <f>Comp3[[#This Row],[Comparable '#3 Price]]/'Comparable #3'!$B$2*100</f>
        <v>140.61940107499359</v>
      </c>
    </row>
    <row r="211" spans="1:5">
      <c r="A211" s="96">
        <v>43591</v>
      </c>
      <c r="B211" s="74">
        <f>Target1[[#This Row],[Target Price]]/Target!$B$2*100</f>
        <v>179.98836532867946</v>
      </c>
      <c r="C211" s="74">
        <f>Comp1[[#This Row],[Comparable '#1 Price]]/'Comparable #1'!$B$2*100</f>
        <v>109.17180013689254</v>
      </c>
      <c r="D211" s="74">
        <f>Comp2[[#This Row],[Comparable '#2 Price]]/'Comparable #2'!$B$2*100</f>
        <v>93.15895372233399</v>
      </c>
      <c r="E211" s="74">
        <f>Comp3[[#This Row],[Comparable '#3 Price]]/'Comparable #3'!$B$2*100</f>
        <v>142.53050081051106</v>
      </c>
    </row>
    <row r="212" spans="1:5">
      <c r="A212" s="96">
        <v>43592</v>
      </c>
      <c r="B212" s="74">
        <f>Target1[[#This Row],[Target Price]]/Target!$B$2*100</f>
        <v>180.27923211169283</v>
      </c>
      <c r="C212" s="74">
        <f>Comp1[[#This Row],[Comparable '#1 Price]]/'Comparable #1'!$B$2*100</f>
        <v>108.14510609171802</v>
      </c>
      <c r="D212" s="74">
        <f>Comp2[[#This Row],[Comparable '#2 Price]]/'Comparable #2'!$B$2*100</f>
        <v>90.804828973843058</v>
      </c>
      <c r="E212" s="74">
        <f>Comp3[[#This Row],[Comparable '#3 Price]]/'Comparable #3'!$B$2*100</f>
        <v>141.1227710946165</v>
      </c>
    </row>
    <row r="213" spans="1:5">
      <c r="A213" s="96">
        <v>43593</v>
      </c>
      <c r="B213" s="74">
        <f>Target1[[#This Row],[Target Price]]/Target!$B$2*100</f>
        <v>177.25421756835368</v>
      </c>
      <c r="C213" s="74">
        <f>Comp1[[#This Row],[Comparable '#1 Price]]/'Comparable #1'!$B$2*100</f>
        <v>106.84462696783027</v>
      </c>
      <c r="D213" s="74">
        <f>Comp2[[#This Row],[Comparable '#2 Price]]/'Comparable #2'!$B$2*100</f>
        <v>89.25553319919517</v>
      </c>
      <c r="E213" s="74">
        <f>Comp3[[#This Row],[Comparable '#3 Price]]/'Comparable #3'!$B$2*100</f>
        <v>143.74200153570513</v>
      </c>
    </row>
    <row r="214" spans="1:5">
      <c r="A214" s="96">
        <v>43594</v>
      </c>
      <c r="B214" s="74">
        <f>Target1[[#This Row],[Target Price]]/Target!$B$2*100</f>
        <v>180.33740546829551</v>
      </c>
      <c r="C214" s="74">
        <f>Comp1[[#This Row],[Comparable '#1 Price]]/'Comparable #1'!$B$2*100</f>
        <v>112.25188227241614</v>
      </c>
      <c r="D214" s="74">
        <f>Comp2[[#This Row],[Comparable '#2 Price]]/'Comparable #2'!$B$2*100</f>
        <v>89.778672032193157</v>
      </c>
      <c r="E214" s="74">
        <f>Comp3[[#This Row],[Comparable '#3 Price]]/'Comparable #3'!$B$2*100</f>
        <v>146.54039757699854</v>
      </c>
    </row>
    <row r="215" spans="1:5">
      <c r="A215" s="96">
        <v>43595</v>
      </c>
      <c r="B215" s="74">
        <f>Target1[[#This Row],[Target Price]]/Target!$B$2*100</f>
        <v>184.4677137870855</v>
      </c>
      <c r="C215" s="74">
        <f>Comp1[[#This Row],[Comparable '#1 Price]]/'Comparable #1'!$B$2*100</f>
        <v>112.18343600273786</v>
      </c>
      <c r="D215" s="74">
        <f>Comp2[[#This Row],[Comparable '#2 Price]]/'Comparable #2'!$B$2*100</f>
        <v>91.468812877263588</v>
      </c>
      <c r="E215" s="74">
        <f>Comp3[[#This Row],[Comparable '#3 Price]]/'Comparable #3'!$B$2*100</f>
        <v>147.28265506356112</v>
      </c>
    </row>
    <row r="216" spans="1:5">
      <c r="A216" s="96">
        <v>43598</v>
      </c>
      <c r="B216" s="74">
        <f>Target1[[#This Row],[Target Price]]/Target!$B$2*100</f>
        <v>182.48981966259453</v>
      </c>
      <c r="C216" s="74">
        <f>Comp1[[#This Row],[Comparable '#1 Price]]/'Comparable #1'!$B$2*100</f>
        <v>109.44558521560575</v>
      </c>
      <c r="D216" s="74">
        <f>Comp2[[#This Row],[Comparable '#2 Price]]/'Comparable #2'!$B$2*100</f>
        <v>88.611670020120712</v>
      </c>
      <c r="E216" s="74">
        <f>Comp3[[#This Row],[Comparable '#3 Price]]/'Comparable #3'!$B$2*100</f>
        <v>143.75906492620086</v>
      </c>
    </row>
    <row r="217" spans="1:5">
      <c r="A217" s="96">
        <v>43599</v>
      </c>
      <c r="B217" s="74">
        <f>Target1[[#This Row],[Target Price]]/Target!$B$2*100</f>
        <v>184.29319371727749</v>
      </c>
      <c r="C217" s="74">
        <f>Comp1[[#This Row],[Comparable '#1 Price]]/'Comparable #1'!$B$2*100</f>
        <v>113.27857631759071</v>
      </c>
      <c r="D217" s="74">
        <f>Comp2[[#This Row],[Comparable '#2 Price]]/'Comparable #2'!$B$2*100</f>
        <v>87.364185110663982</v>
      </c>
      <c r="E217" s="74">
        <f>Comp3[[#This Row],[Comparable '#3 Price]]/'Comparable #3'!$B$2*100</f>
        <v>145.54218923300061</v>
      </c>
    </row>
    <row r="218" spans="1:5">
      <c r="A218" s="96">
        <v>43600</v>
      </c>
      <c r="B218" s="74">
        <f>Target1[[#This Row],[Target Price]]/Target!$B$2*100</f>
        <v>187.02734147760322</v>
      </c>
      <c r="C218" s="74">
        <f>Comp1[[#This Row],[Comparable '#1 Price]]/'Comparable #1'!$B$2*100</f>
        <v>115.05817932922655</v>
      </c>
      <c r="D218" s="74">
        <f>Comp2[[#This Row],[Comparable '#2 Price]]/'Comparable #2'!$B$2*100</f>
        <v>87.98792756539234</v>
      </c>
      <c r="E218" s="74">
        <f>Comp3[[#This Row],[Comparable '#3 Price]]/'Comparable #3'!$B$2*100</f>
        <v>147.29971845405683</v>
      </c>
    </row>
    <row r="219" spans="1:5">
      <c r="A219" s="96">
        <v>43601</v>
      </c>
      <c r="B219" s="74">
        <f>Target1[[#This Row],[Target Price]]/Target!$B$2*100</f>
        <v>188.19080860965678</v>
      </c>
      <c r="C219" s="74">
        <f>Comp1[[#This Row],[Comparable '#1 Price]]/'Comparable #1'!$B$2*100</f>
        <v>113.55236139630391</v>
      </c>
      <c r="D219" s="74">
        <f>Comp2[[#This Row],[Comparable '#2 Price]]/'Comparable #2'!$B$2*100</f>
        <v>87.90744466800804</v>
      </c>
      <c r="E219" s="74">
        <f>Comp3[[#This Row],[Comparable '#3 Price]]/'Comparable #3'!$B$2*100</f>
        <v>150.14077297158946</v>
      </c>
    </row>
    <row r="220" spans="1:5">
      <c r="A220" s="96">
        <v>43602</v>
      </c>
      <c r="B220" s="74">
        <f>Target1[[#This Row],[Target Price]]/Target!$B$2*100</f>
        <v>184.87492728330423</v>
      </c>
      <c r="C220" s="74">
        <f>Comp1[[#This Row],[Comparable '#1 Price]]/'Comparable #1'!$B$2*100</f>
        <v>112.79945242984257</v>
      </c>
      <c r="D220" s="74">
        <f>Comp2[[#This Row],[Comparable '#2 Price]]/'Comparable #2'!$B$2*100</f>
        <v>86.478873239436609</v>
      </c>
      <c r="E220" s="74">
        <f>Comp3[[#This Row],[Comparable '#3 Price]]/'Comparable #3'!$B$2*100</f>
        <v>148.97193072263462</v>
      </c>
    </row>
    <row r="221" spans="1:5">
      <c r="A221" s="96">
        <v>43605</v>
      </c>
      <c r="B221" s="74">
        <f>Target1[[#This Row],[Target Price]]/Target!$B$2*100</f>
        <v>183.12972658522395</v>
      </c>
      <c r="C221" s="74">
        <f>Comp1[[#This Row],[Comparable '#1 Price]]/'Comparable #1'!$B$2*100</f>
        <v>111.90965092402465</v>
      </c>
      <c r="D221" s="74">
        <f>Comp2[[#This Row],[Comparable '#2 Price]]/'Comparable #2'!$B$2*100</f>
        <v>86.317907444667995</v>
      </c>
      <c r="E221" s="74">
        <f>Comp3[[#This Row],[Comparable '#3 Price]]/'Comparable #3'!$B$2*100</f>
        <v>148.95486733213889</v>
      </c>
    </row>
    <row r="222" spans="1:5">
      <c r="A222" s="96">
        <v>43606</v>
      </c>
      <c r="B222" s="74">
        <f>Target1[[#This Row],[Target Price]]/Target!$B$2*100</f>
        <v>185.68935427574172</v>
      </c>
      <c r="C222" s="74">
        <f>Comp1[[#This Row],[Comparable '#1 Price]]/'Comparable #1'!$B$2*100</f>
        <v>112.93634496919918</v>
      </c>
      <c r="D222" s="74">
        <f>Comp2[[#This Row],[Comparable '#2 Price]]/'Comparable #2'!$B$2*100</f>
        <v>87.042253521126753</v>
      </c>
      <c r="E222" s="74">
        <f>Comp3[[#This Row],[Comparable '#3 Price]]/'Comparable #3'!$B$2*100</f>
        <v>150.20902653357223</v>
      </c>
    </row>
    <row r="223" spans="1:5">
      <c r="A223" s="96">
        <v>43607</v>
      </c>
      <c r="B223" s="74">
        <f>Target1[[#This Row],[Target Price]]/Target!$B$2*100</f>
        <v>185.1657940663176</v>
      </c>
      <c r="C223" s="74">
        <f>Comp1[[#This Row],[Comparable '#1 Price]]/'Comparable #1'!$B$2*100</f>
        <v>112.93634496919918</v>
      </c>
      <c r="D223" s="74">
        <f>Comp2[[#This Row],[Comparable '#2 Price]]/'Comparable #2'!$B$2*100</f>
        <v>87.042253521126753</v>
      </c>
      <c r="E223" s="74">
        <f>Comp3[[#This Row],[Comparable '#3 Price]]/'Comparable #3'!$B$2*100</f>
        <v>150.90009384864774</v>
      </c>
    </row>
    <row r="224" spans="1:5">
      <c r="A224" s="96">
        <v>43608</v>
      </c>
      <c r="B224" s="74">
        <f>Target1[[#This Row],[Target Price]]/Target!$B$2*100</f>
        <v>184.58406050029086</v>
      </c>
      <c r="C224" s="74">
        <f>Comp1[[#This Row],[Comparable '#1 Price]]/'Comparable #1'!$B$2*100</f>
        <v>112.79945242984257</v>
      </c>
      <c r="D224" s="74">
        <f>Comp2[[#This Row],[Comparable '#2 Price]]/'Comparable #2'!$B$2*100</f>
        <v>87.00201207243461</v>
      </c>
      <c r="E224" s="74">
        <f>Comp3[[#This Row],[Comparable '#3 Price]]/'Comparable #3'!$B$2*100</f>
        <v>150.77211841993005</v>
      </c>
    </row>
    <row r="225" spans="1:5">
      <c r="A225" s="96">
        <v>43609</v>
      </c>
      <c r="B225" s="74">
        <f>Target1[[#This Row],[Target Price]]/Target!$B$2*100</f>
        <v>186.03839441535774</v>
      </c>
      <c r="C225" s="74">
        <f>Comp1[[#This Row],[Comparable '#1 Price]]/'Comparable #1'!$B$2*100</f>
        <v>112.86789869952088</v>
      </c>
      <c r="D225" s="74">
        <f>Comp2[[#This Row],[Comparable '#2 Price]]/'Comparable #2'!$B$2*100</f>
        <v>87.726358148893354</v>
      </c>
      <c r="E225" s="74">
        <f>Comp3[[#This Row],[Comparable '#3 Price]]/'Comparable #3'!$B$2*100</f>
        <v>153.7667434519239</v>
      </c>
    </row>
    <row r="226" spans="1:5">
      <c r="A226" s="96">
        <v>43613</v>
      </c>
      <c r="B226" s="74">
        <f>Target1[[#This Row],[Target Price]]/Target!$B$2*100</f>
        <v>182.7806864456079</v>
      </c>
      <c r="C226" s="74">
        <f>Comp1[[#This Row],[Comparable '#1 Price]]/'Comparable #1'!$B$2*100</f>
        <v>112.73100616016427</v>
      </c>
      <c r="D226" s="74">
        <f>Comp2[[#This Row],[Comparable '#2 Price]]/'Comparable #2'!$B$2*100</f>
        <v>87.404426559356125</v>
      </c>
      <c r="E226" s="74">
        <f>Comp3[[#This Row],[Comparable '#3 Price]]/'Comparable #3'!$B$2*100</f>
        <v>152.2907601740466</v>
      </c>
    </row>
    <row r="227" spans="1:5">
      <c r="A227" s="96">
        <v>43614</v>
      </c>
      <c r="B227" s="74">
        <f>Target1[[#This Row],[Target Price]]/Target!$B$2*100</f>
        <v>178.01047120418846</v>
      </c>
      <c r="C227" s="74">
        <f>Comp1[[#This Row],[Comparable '#1 Price]]/'Comparable #1'!$B$2*100</f>
        <v>113.1416837782341</v>
      </c>
      <c r="D227" s="74">
        <f>Comp2[[#This Row],[Comparable '#2 Price]]/'Comparable #2'!$B$2*100</f>
        <v>88.088531187122726</v>
      </c>
      <c r="E227" s="74">
        <f>Comp3[[#This Row],[Comparable '#3 Price]]/'Comparable #3'!$B$2*100</f>
        <v>150.72945994369081</v>
      </c>
    </row>
    <row r="228" spans="1:5">
      <c r="A228" s="96">
        <v>43615</v>
      </c>
      <c r="B228" s="74">
        <f>Target1[[#This Row],[Target Price]]/Target!$B$2*100</f>
        <v>178.47585805700987</v>
      </c>
      <c r="C228" s="74">
        <f>Comp1[[#This Row],[Comparable '#1 Price]]/'Comparable #1'!$B$2*100</f>
        <v>112.93634496919918</v>
      </c>
      <c r="D228" s="74">
        <f>Comp2[[#This Row],[Comparable '#2 Price]]/'Comparable #2'!$B$2*100</f>
        <v>88.571428571428569</v>
      </c>
      <c r="E228" s="74">
        <f>Comp3[[#This Row],[Comparable '#3 Price]]/'Comparable #3'!$B$2*100</f>
        <v>152.1201262690897</v>
      </c>
    </row>
    <row r="229" spans="1:5">
      <c r="A229" s="96">
        <v>43616</v>
      </c>
      <c r="B229" s="74">
        <f>Target1[[#This Row],[Target Price]]/Target!$B$2*100</f>
        <v>177.83595113438045</v>
      </c>
      <c r="C229" s="74">
        <f>Comp1[[#This Row],[Comparable '#1 Price]]/'Comparable #1'!$B$2*100</f>
        <v>109.92470910335386</v>
      </c>
      <c r="D229" s="74">
        <f>Comp2[[#This Row],[Comparable '#2 Price]]/'Comparable #2'!$B$2*100</f>
        <v>88.450704225352112</v>
      </c>
      <c r="E229" s="74">
        <f>Comp3[[#This Row],[Comparable '#3 Price]]/'Comparable #3'!$B$2*100</f>
        <v>150.14930466683731</v>
      </c>
    </row>
    <row r="230" spans="1:5">
      <c r="A230" s="96">
        <v>43619</v>
      </c>
      <c r="B230" s="74">
        <f>Target1[[#This Row],[Target Price]]/Target!$B$2*100</f>
        <v>184.00232693426409</v>
      </c>
      <c r="C230" s="74">
        <f>Comp1[[#This Row],[Comparable '#1 Price]]/'Comparable #1'!$B$2*100</f>
        <v>112.59411362080766</v>
      </c>
      <c r="D230" s="74">
        <f>Comp2[[#This Row],[Comparable '#2 Price]]/'Comparable #2'!$B$2*100</f>
        <v>88.933601609657956</v>
      </c>
      <c r="E230" s="74">
        <f>Comp3[[#This Row],[Comparable '#3 Price]]/'Comparable #3'!$B$2*100</f>
        <v>152.25663339305521</v>
      </c>
    </row>
    <row r="231" spans="1:5">
      <c r="A231" s="96">
        <v>43620</v>
      </c>
      <c r="B231" s="74">
        <f>Target1[[#This Row],[Target Price]]/Target!$B$2*100</f>
        <v>190.16870273414776</v>
      </c>
      <c r="C231" s="74">
        <f>Comp1[[#This Row],[Comparable '#1 Price]]/'Comparable #1'!$B$2*100</f>
        <v>115.19507186858316</v>
      </c>
      <c r="D231" s="74">
        <f>Comp2[[#This Row],[Comparable '#2 Price]]/'Comparable #2'!$B$2*100</f>
        <v>90.945674044265587</v>
      </c>
      <c r="E231" s="74">
        <f>Comp3[[#This Row],[Comparable '#3 Price]]/'Comparable #3'!$B$2*100</f>
        <v>154.71376162443477</v>
      </c>
    </row>
    <row r="232" spans="1:5">
      <c r="A232" s="96">
        <v>43621</v>
      </c>
      <c r="B232" s="74">
        <f>Target1[[#This Row],[Target Price]]/Target!$B$2*100</f>
        <v>185.63118091913901</v>
      </c>
      <c r="C232" s="74">
        <f>Comp1[[#This Row],[Comparable '#1 Price]]/'Comparable #1'!$B$2*100</f>
        <v>116.42710472279263</v>
      </c>
      <c r="D232" s="74">
        <f>Comp2[[#This Row],[Comparable '#2 Price]]/'Comparable #2'!$B$2*100</f>
        <v>90.724346076458744</v>
      </c>
      <c r="E232" s="74">
        <f>Comp3[[#This Row],[Comparable '#3 Price]]/'Comparable #3'!$B$2*100</f>
        <v>157.65719648494155</v>
      </c>
    </row>
    <row r="233" spans="1:5">
      <c r="A233" s="96">
        <v>43622</v>
      </c>
      <c r="B233" s="74">
        <f>Target1[[#This Row],[Target Price]]/Target!$B$2*100</f>
        <v>183.88598022105873</v>
      </c>
      <c r="C233" s="74">
        <f>Comp1[[#This Row],[Comparable '#1 Price]]/'Comparable #1'!$B$2*100</f>
        <v>116.42710472279263</v>
      </c>
      <c r="D233" s="74">
        <f>Comp2[[#This Row],[Comparable '#2 Price]]/'Comparable #2'!$B$2*100</f>
        <v>89.577464788732399</v>
      </c>
      <c r="E233" s="74">
        <f>Comp3[[#This Row],[Comparable '#3 Price]]/'Comparable #3'!$B$2*100</f>
        <v>156.94053408412253</v>
      </c>
    </row>
    <row r="234" spans="1:5">
      <c r="A234" s="96">
        <v>43623</v>
      </c>
      <c r="B234" s="74">
        <f>Target1[[#This Row],[Target Price]]/Target!$B$2*100</f>
        <v>184.11867364746942</v>
      </c>
      <c r="C234" s="74">
        <f>Comp1[[#This Row],[Comparable '#1 Price]]/'Comparable #1'!$B$2*100</f>
        <v>113.41546885694731</v>
      </c>
      <c r="D234" s="74">
        <f>Comp2[[#This Row],[Comparable '#2 Price]]/'Comparable #2'!$B$2*100</f>
        <v>90.160965794768615</v>
      </c>
      <c r="E234" s="74">
        <f>Comp3[[#This Row],[Comparable '#3 Price]]/'Comparable #3'!$B$2*100</f>
        <v>155.99351591161167</v>
      </c>
    </row>
    <row r="235" spans="1:5">
      <c r="A235" s="96">
        <v>43626</v>
      </c>
      <c r="B235" s="74">
        <f>Target1[[#This Row],[Target Price]]/Target!$B$2*100</f>
        <v>184.11867364746942</v>
      </c>
      <c r="C235" s="74">
        <f>Comp1[[#This Row],[Comparable '#1 Price]]/'Comparable #1'!$B$2*100</f>
        <v>112.79945242984257</v>
      </c>
      <c r="D235" s="74">
        <f>Comp2[[#This Row],[Comparable '#2 Price]]/'Comparable #2'!$B$2*100</f>
        <v>88.893360160965784</v>
      </c>
      <c r="E235" s="74">
        <f>Comp3[[#This Row],[Comparable '#3 Price]]/'Comparable #3'!$B$2*100</f>
        <v>153.03301766060918</v>
      </c>
    </row>
    <row r="236" spans="1:5">
      <c r="A236" s="96">
        <v>43627</v>
      </c>
      <c r="B236" s="74">
        <f>Target1[[#This Row],[Target Price]]/Target!$B$2*100</f>
        <v>179.63932518906338</v>
      </c>
      <c r="C236" s="74">
        <f>Comp1[[#This Row],[Comparable '#1 Price]]/'Comparable #1'!$B$2*100</f>
        <v>111.77275838466802</v>
      </c>
      <c r="D236" s="74">
        <f>Comp2[[#This Row],[Comparable '#2 Price]]/'Comparable #2'!$B$2*100</f>
        <v>88.390342052313869</v>
      </c>
      <c r="E236" s="74">
        <f>Comp3[[#This Row],[Comparable '#3 Price]]/'Comparable #3'!$B$2*100</f>
        <v>152.64909137445611</v>
      </c>
    </row>
    <row r="237" spans="1:5">
      <c r="A237" s="96">
        <v>43628</v>
      </c>
      <c r="B237" s="74">
        <f>Target1[[#This Row],[Target Price]]/Target!$B$2*100</f>
        <v>181.03548574752762</v>
      </c>
      <c r="C237" s="74">
        <f>Comp1[[#This Row],[Comparable '#1 Price]]/'Comparable #1'!$B$2*100</f>
        <v>111.43052703627654</v>
      </c>
      <c r="D237" s="74">
        <f>Comp2[[#This Row],[Comparable '#2 Price]]/'Comparable #2'!$B$2*100</f>
        <v>88.893360160965784</v>
      </c>
      <c r="E237" s="74">
        <f>Comp3[[#This Row],[Comparable '#3 Price]]/'Comparable #3'!$B$2*100</f>
        <v>154.46634246224727</v>
      </c>
    </row>
    <row r="238" spans="1:5">
      <c r="A238" s="96">
        <v>43629</v>
      </c>
      <c r="B238" s="74">
        <f>Target1[[#This Row],[Target Price]]/Target!$B$2*100</f>
        <v>181.21000581733563</v>
      </c>
      <c r="C238" s="74">
        <f>Comp1[[#This Row],[Comparable '#1 Price]]/'Comparable #1'!$B$2*100</f>
        <v>108.21355236139631</v>
      </c>
      <c r="D238" s="74">
        <f>Comp2[[#This Row],[Comparable '#2 Price]]/'Comparable #2'!$B$2*100</f>
        <v>89.034205231388327</v>
      </c>
      <c r="E238" s="74">
        <f>Comp3[[#This Row],[Comparable '#3 Price]]/'Comparable #3'!$B$2*100</f>
        <v>154.28717686204249</v>
      </c>
    </row>
    <row r="239" spans="1:5">
      <c r="A239" s="96">
        <v>43630</v>
      </c>
      <c r="B239" s="74">
        <f>Target1[[#This Row],[Target Price]]/Target!$B$2*100</f>
        <v>178.94124490983131</v>
      </c>
      <c r="C239" s="74">
        <f>Comp1[[#This Row],[Comparable '#1 Price]]/'Comparable #1'!$B$2*100</f>
        <v>108.69267624914443</v>
      </c>
      <c r="D239" s="74">
        <f>Comp2[[#This Row],[Comparable '#2 Price]]/'Comparable #2'!$B$2*100</f>
        <v>89.899396378269614</v>
      </c>
      <c r="E239" s="74">
        <f>Comp3[[#This Row],[Comparable '#3 Price]]/'Comparable #3'!$B$2*100</f>
        <v>154.4919375479908</v>
      </c>
    </row>
    <row r="240" spans="1:5">
      <c r="A240" s="96">
        <v>43633</v>
      </c>
      <c r="B240" s="74">
        <f>Target1[[#This Row],[Target Price]]/Target!$B$2*100</f>
        <v>177.77777777777777</v>
      </c>
      <c r="C240" s="74">
        <f>Comp1[[#This Row],[Comparable '#1 Price]]/'Comparable #1'!$B$2*100</f>
        <v>106.77618069815196</v>
      </c>
      <c r="D240" s="74">
        <f>Comp2[[#This Row],[Comparable '#2 Price]]/'Comparable #2'!$B$2*100</f>
        <v>90.90543259557343</v>
      </c>
      <c r="E240" s="74">
        <f>Comp3[[#This Row],[Comparable '#3 Price]]/'Comparable #3'!$B$2*100</f>
        <v>153.86912379489806</v>
      </c>
    </row>
    <row r="241" spans="1:5">
      <c r="A241" s="96">
        <v>43634</v>
      </c>
      <c r="B241" s="74">
        <f>Target1[[#This Row],[Target Price]]/Target!$B$2*100</f>
        <v>172.77486910994764</v>
      </c>
      <c r="C241" s="74">
        <f>Comp1[[#This Row],[Comparable '#1 Price]]/'Comparable #1'!$B$2*100</f>
        <v>106.12594113620808</v>
      </c>
      <c r="D241" s="74">
        <f>Comp2[[#This Row],[Comparable '#2 Price]]/'Comparable #2'!$B$2*100</f>
        <v>90.764587525150901</v>
      </c>
      <c r="E241" s="74">
        <f>Comp3[[#This Row],[Comparable '#3 Price]]/'Comparable #3'!$B$2*100</f>
        <v>150.70386485794728</v>
      </c>
    </row>
    <row r="242" spans="1:5">
      <c r="A242" s="96">
        <v>43635</v>
      </c>
      <c r="B242" s="74">
        <f>Target1[[#This Row],[Target Price]]/Target!$B$2*100</f>
        <v>177.66143106457241</v>
      </c>
      <c r="C242" s="74">
        <f>Comp1[[#This Row],[Comparable '#1 Price]]/'Comparable #1'!$B$2*100</f>
        <v>107.6659822039699</v>
      </c>
      <c r="D242" s="74">
        <f>Comp2[[#This Row],[Comparable '#2 Price]]/'Comparable #2'!$B$2*100</f>
        <v>91.710261569416502</v>
      </c>
      <c r="E242" s="74">
        <f>Comp3[[#This Row],[Comparable '#3 Price]]/'Comparable #3'!$B$2*100</f>
        <v>153.63023632795836</v>
      </c>
    </row>
    <row r="243" spans="1:5">
      <c r="A243" s="96">
        <v>43636</v>
      </c>
      <c r="B243" s="74">
        <f>Target1[[#This Row],[Target Price]]/Target!$B$2*100</f>
        <v>175.62536358347876</v>
      </c>
      <c r="C243" s="74">
        <f>Comp1[[#This Row],[Comparable '#1 Price]]/'Comparable #1'!$B$2*100</f>
        <v>106.22861054072553</v>
      </c>
      <c r="D243" s="74">
        <f>Comp2[[#This Row],[Comparable '#2 Price]]/'Comparable #2'!$B$2*100</f>
        <v>92.313883299798789</v>
      </c>
      <c r="E243" s="74">
        <f>Comp3[[#This Row],[Comparable '#3 Price]]/'Comparable #3'!$B$2*100</f>
        <v>153.25484173705314</v>
      </c>
    </row>
    <row r="244" spans="1:5">
      <c r="A244" s="96">
        <v>43637</v>
      </c>
      <c r="B244" s="74">
        <f>Target1[[#This Row],[Target Price]]/Target!$B$2*100</f>
        <v>171.08784176847001</v>
      </c>
      <c r="C244" s="74">
        <f>Comp1[[#This Row],[Comparable '#1 Price]]/'Comparable #1'!$B$2*100</f>
        <v>105.1334702258727</v>
      </c>
      <c r="D244" s="74">
        <f>Comp2[[#This Row],[Comparable '#2 Price]]/'Comparable #2'!$B$2*100</f>
        <v>90.623742454728358</v>
      </c>
      <c r="E244" s="74">
        <f>Comp3[[#This Row],[Comparable '#3 Price]]/'Comparable #3'!$B$2*100</f>
        <v>153.92884566163298</v>
      </c>
    </row>
    <row r="245" spans="1:5">
      <c r="A245" s="96">
        <v>43640</v>
      </c>
      <c r="B245" s="74">
        <f>Target1[[#This Row],[Target Price]]/Target!$B$2*100</f>
        <v>170.33158813263526</v>
      </c>
      <c r="C245" s="74">
        <f>Comp1[[#This Row],[Comparable '#1 Price]]/'Comparable #1'!$B$2*100</f>
        <v>102.66940451745381</v>
      </c>
      <c r="D245" s="74">
        <f>Comp2[[#This Row],[Comparable '#2 Price]]/'Comparable #2'!$B$2*100</f>
        <v>88.672032193158941</v>
      </c>
      <c r="E245" s="74">
        <f>Comp3[[#This Row],[Comparable '#3 Price]]/'Comparable #3'!$B$2*100</f>
        <v>151.39493217302277</v>
      </c>
    </row>
    <row r="246" spans="1:5">
      <c r="A246" s="96">
        <v>43641</v>
      </c>
      <c r="B246" s="74">
        <f>Target1[[#This Row],[Target Price]]/Target!$B$2*100</f>
        <v>165.03781268179173</v>
      </c>
      <c r="C246" s="74">
        <f>Comp1[[#This Row],[Comparable '#1 Price]]/'Comparable #1'!$B$2*100</f>
        <v>101.91649555099247</v>
      </c>
      <c r="D246" s="74">
        <f>Comp2[[#This Row],[Comparable '#2 Price]]/'Comparable #2'!$B$2*100</f>
        <v>90.261569416498986</v>
      </c>
      <c r="E246" s="74">
        <f>Comp3[[#This Row],[Comparable '#3 Price]]/'Comparable #3'!$B$2*100</f>
        <v>149.09990615135226</v>
      </c>
    </row>
    <row r="247" spans="1:5">
      <c r="A247" s="96">
        <v>43642</v>
      </c>
      <c r="B247" s="74">
        <f>Target1[[#This Row],[Target Price]]/Target!$B$2*100</f>
        <v>167.36474694589876</v>
      </c>
      <c r="C247" s="74">
        <f>Comp1[[#This Row],[Comparable '#1 Price]]/'Comparable #1'!$B$2*100</f>
        <v>102.5325119780972</v>
      </c>
      <c r="D247" s="74">
        <f>Comp2[[#This Row],[Comparable '#2 Price]]/'Comparable #2'!$B$2*100</f>
        <v>89.839034205231385</v>
      </c>
      <c r="E247" s="74">
        <f>Comp3[[#This Row],[Comparable '#3 Price]]/'Comparable #3'!$B$2*100</f>
        <v>150.66973807695589</v>
      </c>
    </row>
    <row r="248" spans="1:5">
      <c r="A248" s="96">
        <v>43643</v>
      </c>
      <c r="B248" s="74">
        <f>Target1[[#This Row],[Target Price]]/Target!$B$2*100</f>
        <v>171.66957533449681</v>
      </c>
      <c r="C248" s="74">
        <f>Comp1[[#This Row],[Comparable '#1 Price]]/'Comparable #1'!$B$2*100</f>
        <v>104.79123887748119</v>
      </c>
      <c r="D248" s="74">
        <f>Comp2[[#This Row],[Comparable '#2 Price]]/'Comparable #2'!$B$2*100</f>
        <v>90.804828973843058</v>
      </c>
      <c r="E248" s="74">
        <f>Comp3[[#This Row],[Comparable '#3 Price]]/'Comparable #3'!$B$2*100</f>
        <v>153.93737735688083</v>
      </c>
    </row>
    <row r="249" spans="1:5">
      <c r="A249" s="96">
        <v>43644</v>
      </c>
      <c r="B249" s="74">
        <f>Target1[[#This Row],[Target Price]]/Target!$B$2*100</f>
        <v>176.90517742873763</v>
      </c>
      <c r="C249" s="74">
        <f>Comp1[[#This Row],[Comparable '#1 Price]]/'Comparable #1'!$B$2*100</f>
        <v>107.52908966461329</v>
      </c>
      <c r="D249" s="74">
        <f>Comp2[[#This Row],[Comparable '#2 Price]]/'Comparable #2'!$B$2*100</f>
        <v>90.64386317907443</v>
      </c>
      <c r="E249" s="74">
        <f>Comp3[[#This Row],[Comparable '#3 Price]]/'Comparable #3'!$B$2*100</f>
        <v>151.86417541165432</v>
      </c>
    </row>
    <row r="250" spans="1:5">
      <c r="A250" s="96">
        <v>43647</v>
      </c>
      <c r="B250" s="74">
        <f>Target1[[#This Row],[Target Price]]/Target!$B$2*100</f>
        <v>174.40372309482257</v>
      </c>
      <c r="C250" s="74">
        <f>Comp1[[#This Row],[Comparable '#1 Price]]/'Comparable #1'!$B$2*100</f>
        <v>108.21355236139631</v>
      </c>
      <c r="D250" s="74">
        <f>Comp2[[#This Row],[Comparable '#2 Price]]/'Comparable #2'!$B$2*100</f>
        <v>90.583501006036215</v>
      </c>
      <c r="E250" s="74">
        <f>Comp3[[#This Row],[Comparable '#3 Price]]/'Comparable #3'!$B$2*100</f>
        <v>154.21039160481189</v>
      </c>
    </row>
    <row r="251" spans="1:5">
      <c r="A251" s="96">
        <v>43648</v>
      </c>
      <c r="B251" s="74">
        <f>Target1[[#This Row],[Target Price]]/Target!$B$2*100</f>
        <v>175.62536358347876</v>
      </c>
      <c r="C251" s="74">
        <f>Comp1[[#This Row],[Comparable '#1 Price]]/'Comparable #1'!$B$2*100</f>
        <v>108.41889117043122</v>
      </c>
      <c r="D251" s="74">
        <f>Comp2[[#This Row],[Comparable '#2 Price]]/'Comparable #2'!$B$2*100</f>
        <v>91.348088531187116</v>
      </c>
      <c r="E251" s="74">
        <f>Comp3[[#This Row],[Comparable '#3 Price]]/'Comparable #3'!$B$2*100</f>
        <v>153.73261667093252</v>
      </c>
    </row>
    <row r="252" spans="1:5">
      <c r="A252" s="96">
        <v>43649</v>
      </c>
      <c r="B252" s="74">
        <f>Target1[[#This Row],[Target Price]]/Target!$B$2*100</f>
        <v>179.23211169284465</v>
      </c>
      <c r="C252" s="74">
        <f>Comp1[[#This Row],[Comparable '#1 Price]]/'Comparable #1'!$B$2*100</f>
        <v>109.51403148528405</v>
      </c>
      <c r="D252" s="74">
        <f>Comp2[[#This Row],[Comparable '#2 Price]]/'Comparable #2'!$B$2*100</f>
        <v>91.589537223340045</v>
      </c>
      <c r="E252" s="74">
        <f>Comp3[[#This Row],[Comparable '#3 Price]]/'Comparable #3'!$B$2*100</f>
        <v>155.06356112959645</v>
      </c>
    </row>
    <row r="253" spans="1:5">
      <c r="A253" s="96">
        <v>43651</v>
      </c>
      <c r="B253" s="74">
        <f>Target1[[#This Row],[Target Price]]/Target!$B$2*100</f>
        <v>183.53694008144268</v>
      </c>
      <c r="C253" s="74">
        <f>Comp1[[#This Row],[Comparable '#1 Price]]/'Comparable #1'!$B$2*100</f>
        <v>108.96646132785763</v>
      </c>
      <c r="D253" s="74">
        <f>Comp2[[#This Row],[Comparable '#2 Price]]/'Comparable #2'!$B$2*100</f>
        <v>91.629778672032188</v>
      </c>
      <c r="E253" s="74">
        <f>Comp3[[#This Row],[Comparable '#3 Price]]/'Comparable #3'!$B$2*100</f>
        <v>154.60284958621281</v>
      </c>
    </row>
    <row r="254" spans="1:5">
      <c r="A254" s="96">
        <v>43654</v>
      </c>
      <c r="B254" s="74">
        <f>Target1[[#This Row],[Target Price]]/Target!$B$2*100</f>
        <v>179.52297847585803</v>
      </c>
      <c r="C254" s="74">
        <f>Comp1[[#This Row],[Comparable '#1 Price]]/'Comparable #1'!$B$2*100</f>
        <v>108.00821355236138</v>
      </c>
      <c r="D254" s="74">
        <f>Comp2[[#This Row],[Comparable '#2 Price]]/'Comparable #2'!$B$2*100</f>
        <v>90.885311871227358</v>
      </c>
      <c r="E254" s="74">
        <f>Comp3[[#This Row],[Comparable '#3 Price]]/'Comparable #3'!$B$2*100</f>
        <v>153.57051446122344</v>
      </c>
    </row>
    <row r="255" spans="1:5">
      <c r="A255" s="96">
        <v>43655</v>
      </c>
      <c r="B255" s="74">
        <f>Target1[[#This Row],[Target Price]]/Target!$B$2*100</f>
        <v>176.67248400232694</v>
      </c>
      <c r="C255" s="74">
        <f>Comp1[[#This Row],[Comparable '#1 Price]]/'Comparable #1'!$B$2*100</f>
        <v>106.70773442847366</v>
      </c>
      <c r="D255" s="74">
        <f>Comp2[[#This Row],[Comparable '#2 Price]]/'Comparable #2'!$B$2*100</f>
        <v>90.74446680080483</v>
      </c>
      <c r="E255" s="74">
        <f>Comp3[[#This Row],[Comparable '#3 Price]]/'Comparable #3'!$B$2*100</f>
        <v>154.58578619571711</v>
      </c>
    </row>
    <row r="256" spans="1:5">
      <c r="A256" s="96">
        <v>43656</v>
      </c>
      <c r="B256" s="74">
        <f>Target1[[#This Row],[Target Price]]/Target!$B$2*100</f>
        <v>175.39267015706804</v>
      </c>
      <c r="C256" s="74">
        <f>Comp1[[#This Row],[Comparable '#1 Price]]/'Comparable #1'!$B$2*100</f>
        <v>107.04996577686516</v>
      </c>
      <c r="D256" s="74">
        <f>Comp2[[#This Row],[Comparable '#2 Price]]/'Comparable #2'!$B$2*100</f>
        <v>91.106639839034202</v>
      </c>
      <c r="E256" s="74">
        <f>Comp3[[#This Row],[Comparable '#3 Price]]/'Comparable #3'!$B$2*100</f>
        <v>154.3298353382817</v>
      </c>
    </row>
    <row r="257" spans="1:5">
      <c r="A257" s="96">
        <v>43657</v>
      </c>
      <c r="B257" s="74">
        <f>Target1[[#This Row],[Target Price]]/Target!$B$2*100</f>
        <v>179.75567190226874</v>
      </c>
      <c r="C257" s="74">
        <f>Comp1[[#This Row],[Comparable '#1 Price]]/'Comparable #1'!$B$2*100</f>
        <v>108.14510609171802</v>
      </c>
      <c r="D257" s="74">
        <f>Comp2[[#This Row],[Comparable '#2 Price]]/'Comparable #2'!$B$2*100</f>
        <v>91.227364185110673</v>
      </c>
      <c r="E257" s="74">
        <f>Comp3[[#This Row],[Comparable '#3 Price]]/'Comparable #3'!$B$2*100</f>
        <v>155.64371640644998</v>
      </c>
    </row>
    <row r="258" spans="1:5">
      <c r="A258" s="96">
        <v>43658</v>
      </c>
      <c r="B258" s="74">
        <f>Target1[[#This Row],[Target Price]]/Target!$B$2*100</f>
        <v>181.79173938336243</v>
      </c>
      <c r="C258" s="74">
        <f>Comp1[[#This Row],[Comparable '#1 Price]]/'Comparable #1'!$B$2*100</f>
        <v>109.92470910335386</v>
      </c>
      <c r="D258" s="74">
        <f>Comp2[[#This Row],[Comparable '#2 Price]]/'Comparable #2'!$B$2*100</f>
        <v>92.213279678068403</v>
      </c>
      <c r="E258" s="74">
        <f>Comp3[[#This Row],[Comparable '#3 Price]]/'Comparable #3'!$B$2*100</f>
        <v>154.4151522907602</v>
      </c>
    </row>
    <row r="259" spans="1:5">
      <c r="A259" s="96">
        <v>43661</v>
      </c>
      <c r="B259" s="74">
        <f>Target1[[#This Row],[Target Price]]/Target!$B$2*100</f>
        <v>182.43164630599185</v>
      </c>
      <c r="C259" s="74">
        <f>Comp1[[#This Row],[Comparable '#1 Price]]/'Comparable #1'!$B$2*100</f>
        <v>110.81451060917182</v>
      </c>
      <c r="D259" s="74">
        <f>Comp2[[#This Row],[Comparable '#2 Price]]/'Comparable #2'!$B$2*100</f>
        <v>92.615694164989932</v>
      </c>
      <c r="E259" s="74">
        <f>Comp3[[#This Row],[Comparable '#3 Price]]/'Comparable #3'!$B$2*100</f>
        <v>156.62486135995223</v>
      </c>
    </row>
    <row r="260" spans="1:5">
      <c r="A260" s="96">
        <v>43662</v>
      </c>
      <c r="B260" s="74">
        <f>Target1[[#This Row],[Target Price]]/Target!$B$2*100</f>
        <v>178.47585805700987</v>
      </c>
      <c r="C260" s="74">
        <f>Comp1[[#This Row],[Comparable '#1 Price]]/'Comparable #1'!$B$2*100</f>
        <v>111.0198494182067</v>
      </c>
      <c r="D260" s="74">
        <f>Comp2[[#This Row],[Comparable '#2 Price]]/'Comparable #2'!$B$2*100</f>
        <v>93.319919517102619</v>
      </c>
      <c r="E260" s="74">
        <f>Comp3[[#This Row],[Comparable '#3 Price]]/'Comparable #3'!$B$2*100</f>
        <v>155.14034638682708</v>
      </c>
    </row>
    <row r="261" spans="1:5">
      <c r="A261" s="96">
        <v>43663</v>
      </c>
      <c r="B261" s="74">
        <f>Target1[[#This Row],[Target Price]]/Target!$B$2*100</f>
        <v>179.05759162303664</v>
      </c>
      <c r="C261" s="74">
        <f>Comp1[[#This Row],[Comparable '#1 Price]]/'Comparable #1'!$B$2*100</f>
        <v>111.43052703627654</v>
      </c>
      <c r="D261" s="74">
        <f>Comp2[[#This Row],[Comparable '#2 Price]]/'Comparable #2'!$B$2*100</f>
        <v>93.782696177062363</v>
      </c>
      <c r="E261" s="74">
        <f>Comp3[[#This Row],[Comparable '#3 Price]]/'Comparable #3'!$B$2*100</f>
        <v>153.66436310894977</v>
      </c>
    </row>
    <row r="262" spans="1:5">
      <c r="A262" s="96">
        <v>43664</v>
      </c>
      <c r="B262" s="74">
        <f>Target1[[#This Row],[Target Price]]/Target!$B$2*100</f>
        <v>180.80279232111693</v>
      </c>
      <c r="C262" s="74">
        <f>Comp1[[#This Row],[Comparable '#1 Price]]/'Comparable #1'!$B$2*100</f>
        <v>112.93634496919918</v>
      </c>
      <c r="D262" s="74">
        <f>Comp2[[#This Row],[Comparable '#2 Price]]/'Comparable #2'!$B$2*100</f>
        <v>95.150905432595565</v>
      </c>
      <c r="E262" s="74">
        <f>Comp3[[#This Row],[Comparable '#3 Price]]/'Comparable #3'!$B$2*100</f>
        <v>160.42999744049143</v>
      </c>
    </row>
    <row r="263" spans="1:5">
      <c r="A263" s="96">
        <v>43665</v>
      </c>
      <c r="B263" s="74">
        <f>Target1[[#This Row],[Target Price]]/Target!$B$2*100</f>
        <v>175.68353694008144</v>
      </c>
      <c r="C263" s="74">
        <f>Comp1[[#This Row],[Comparable '#1 Price]]/'Comparable #1'!$B$2*100</f>
        <v>112.79945242984257</v>
      </c>
      <c r="D263" s="74">
        <f>Comp2[[#This Row],[Comparable '#2 Price]]/'Comparable #2'!$B$2*100</f>
        <v>95.392354124748479</v>
      </c>
      <c r="E263" s="74">
        <f>Comp3[[#This Row],[Comparable '#3 Price]]/'Comparable #3'!$B$2*100</f>
        <v>158.55302448596538</v>
      </c>
    </row>
    <row r="264" spans="1:5">
      <c r="A264" s="96">
        <v>43668</v>
      </c>
      <c r="B264" s="74">
        <f>Target1[[#This Row],[Target Price]]/Target!$B$2*100</f>
        <v>173.00756253635831</v>
      </c>
      <c r="C264" s="74">
        <f>Comp1[[#This Row],[Comparable '#1 Price]]/'Comparable #1'!$B$2*100</f>
        <v>111.36208076659821</v>
      </c>
      <c r="D264" s="74">
        <f>Comp2[[#This Row],[Comparable '#2 Price]]/'Comparable #2'!$B$2*100</f>
        <v>95.372233400402408</v>
      </c>
      <c r="E264" s="74">
        <f>Comp3[[#This Row],[Comparable '#3 Price]]/'Comparable #3'!$B$2*100</f>
        <v>158.7833802576572</v>
      </c>
    </row>
    <row r="265" spans="1:5">
      <c r="A265" s="96">
        <v>43669</v>
      </c>
      <c r="B265" s="74">
        <f>Target1[[#This Row],[Target Price]]/Target!$B$2*100</f>
        <v>175.68353694008144</v>
      </c>
      <c r="C265" s="74">
        <f>Comp1[[#This Row],[Comparable '#1 Price]]/'Comparable #1'!$B$2*100</f>
        <v>111.97809719370295</v>
      </c>
      <c r="D265" s="74">
        <f>Comp2[[#This Row],[Comparable '#2 Price]]/'Comparable #2'!$B$2*100</f>
        <v>96.720321931589538</v>
      </c>
      <c r="E265" s="74">
        <f>Comp3[[#This Row],[Comparable '#3 Price]]/'Comparable #3'!$B$2*100</f>
        <v>159.26115519153657</v>
      </c>
    </row>
    <row r="266" spans="1:5">
      <c r="A266" s="96">
        <v>43670</v>
      </c>
      <c r="B266" s="74">
        <f>Target1[[#This Row],[Target Price]]/Target!$B$2*100</f>
        <v>178.76672484002324</v>
      </c>
      <c r="C266" s="74">
        <f>Comp1[[#This Row],[Comparable '#1 Price]]/'Comparable #1'!$B$2*100</f>
        <v>112.25188227241614</v>
      </c>
      <c r="D266" s="74">
        <f>Comp2[[#This Row],[Comparable '#2 Price]]/'Comparable #2'!$B$2*100</f>
        <v>98.350100603621726</v>
      </c>
      <c r="E266" s="74">
        <f>Comp3[[#This Row],[Comparable '#3 Price]]/'Comparable #3'!$B$2*100</f>
        <v>160.20817336404744</v>
      </c>
    </row>
    <row r="267" spans="1:5">
      <c r="A267" s="96">
        <v>43671</v>
      </c>
      <c r="B267" s="74">
        <f>Target1[[#This Row],[Target Price]]/Target!$B$2*100</f>
        <v>174.46189645142522</v>
      </c>
      <c r="C267" s="74">
        <f>Comp1[[#This Row],[Comparable '#1 Price]]/'Comparable #1'!$B$2*100</f>
        <v>111.36208076659821</v>
      </c>
      <c r="D267" s="74">
        <f>Comp2[[#This Row],[Comparable '#2 Price]]/'Comparable #2'!$B$2*100</f>
        <v>96.297786720321923</v>
      </c>
      <c r="E267" s="74">
        <f>Comp3[[#This Row],[Comparable '#3 Price]]/'Comparable #3'!$B$2*100</f>
        <v>159.02226772459687</v>
      </c>
    </row>
    <row r="268" spans="1:5">
      <c r="A268" s="96">
        <v>43672</v>
      </c>
      <c r="B268" s="74">
        <f>Target1[[#This Row],[Target Price]]/Target!$B$2*100</f>
        <v>178.06864456079114</v>
      </c>
      <c r="C268" s="74">
        <f>Comp1[[#This Row],[Comparable '#1 Price]]/'Comparable #1'!$B$2*100</f>
        <v>112.86789869952088</v>
      </c>
      <c r="D268" s="74">
        <f>Comp2[[#This Row],[Comparable '#2 Price]]/'Comparable #2'!$B$2*100</f>
        <v>97.90744466800804</v>
      </c>
      <c r="E268" s="74">
        <f>Comp3[[#This Row],[Comparable '#3 Price]]/'Comparable #3'!$B$2*100</f>
        <v>160.05460284958622</v>
      </c>
    </row>
    <row r="269" spans="1:5">
      <c r="A269" s="96">
        <v>43675</v>
      </c>
      <c r="B269" s="74">
        <f>Target1[[#This Row],[Target Price]]/Target!$B$2*100</f>
        <v>177.02152414194296</v>
      </c>
      <c r="C269" s="74">
        <f>Comp1[[#This Row],[Comparable '#1 Price]]/'Comparable #1'!$B$2*100</f>
        <v>112.11498973305956</v>
      </c>
      <c r="D269" s="74">
        <f>Comp2[[#This Row],[Comparable '#2 Price]]/'Comparable #2'!$B$2*100</f>
        <v>97.00201207243461</v>
      </c>
      <c r="E269" s="74">
        <f>Comp3[[#This Row],[Comparable '#3 Price]]/'Comparable #3'!$B$2*100</f>
        <v>158.12643972357307</v>
      </c>
    </row>
    <row r="270" spans="1:5">
      <c r="A270" s="96">
        <v>43676</v>
      </c>
      <c r="B270" s="74">
        <f>Target1[[#This Row],[Target Price]]/Target!$B$2*100</f>
        <v>179.46480511925537</v>
      </c>
      <c r="C270" s="74">
        <f>Comp1[[#This Row],[Comparable '#1 Price]]/'Comparable #1'!$B$2*100</f>
        <v>113.27857631759071</v>
      </c>
      <c r="D270" s="74">
        <f>Comp2[[#This Row],[Comparable '#2 Price]]/'Comparable #2'!$B$2*100</f>
        <v>98.531187122736412</v>
      </c>
      <c r="E270" s="74">
        <f>Comp3[[#This Row],[Comparable '#3 Price]]/'Comparable #3'!$B$2*100</f>
        <v>155.2939169012883</v>
      </c>
    </row>
    <row r="271" spans="1:5">
      <c r="A271" s="96">
        <v>43677</v>
      </c>
      <c r="B271" s="74">
        <f>Target1[[#This Row],[Target Price]]/Target!$B$2*100</f>
        <v>173.64746945898776</v>
      </c>
      <c r="C271" s="74">
        <f>Comp1[[#This Row],[Comparable '#1 Price]]/'Comparable #1'!$B$2*100</f>
        <v>112.18343600273786</v>
      </c>
      <c r="D271" s="74">
        <f>Comp2[[#This Row],[Comparable '#2 Price]]/'Comparable #2'!$B$2*100</f>
        <v>95.311871227364179</v>
      </c>
      <c r="E271" s="74">
        <f>Comp3[[#This Row],[Comparable '#3 Price]]/'Comparable #3'!$B$2*100</f>
        <v>151.85564371640646</v>
      </c>
    </row>
    <row r="272" spans="1:5">
      <c r="A272" s="96">
        <v>43678</v>
      </c>
      <c r="B272" s="74">
        <f>Target1[[#This Row],[Target Price]]/Target!$B$2*100</f>
        <v>173.35660267597439</v>
      </c>
      <c r="C272" s="74">
        <f>Comp1[[#This Row],[Comparable '#1 Price]]/'Comparable #1'!$B$2*100</f>
        <v>112.25188227241614</v>
      </c>
      <c r="D272" s="74">
        <f>Comp2[[#This Row],[Comparable '#2 Price]]/'Comparable #2'!$B$2*100</f>
        <v>95.130784708249493</v>
      </c>
      <c r="E272" s="74">
        <f>Comp3[[#This Row],[Comparable '#3 Price]]/'Comparable #3'!$B$2*100</f>
        <v>150.97687910587837</v>
      </c>
    </row>
    <row r="273" spans="1:5">
      <c r="A273" s="96">
        <v>43679</v>
      </c>
      <c r="B273" s="74">
        <f>Target1[[#This Row],[Target Price]]/Target!$B$2*100</f>
        <v>165.61954624781848</v>
      </c>
      <c r="C273" s="74">
        <f>Comp1[[#This Row],[Comparable '#1 Price]]/'Comparable #1'!$B$2*100</f>
        <v>109.44558521560575</v>
      </c>
      <c r="D273" s="74">
        <f>Comp2[[#This Row],[Comparable '#2 Price]]/'Comparable #2'!$B$2*100</f>
        <v>93.34004024144869</v>
      </c>
      <c r="E273" s="74">
        <f>Comp3[[#This Row],[Comparable '#3 Price]]/'Comparable #3'!$B$2*100</f>
        <v>149.5520859994881</v>
      </c>
    </row>
    <row r="274" spans="1:5">
      <c r="A274" s="96">
        <v>43682</v>
      </c>
      <c r="B274" s="74">
        <f>Target1[[#This Row],[Target Price]]/Target!$B$2*100</f>
        <v>170.2152414194299</v>
      </c>
      <c r="C274" s="74">
        <f>Comp1[[#This Row],[Comparable '#1 Price]]/'Comparable #1'!$B$2*100</f>
        <v>107.32375085557837</v>
      </c>
      <c r="D274" s="74">
        <f>Comp2[[#This Row],[Comparable '#2 Price]]/'Comparable #2'!$B$2*100</f>
        <v>89.376257545271628</v>
      </c>
      <c r="E274" s="74">
        <f>Comp3[[#This Row],[Comparable '#3 Price]]/'Comparable #3'!$B$2*100</f>
        <v>142.70966641071584</v>
      </c>
    </row>
    <row r="275" spans="1:5">
      <c r="A275" s="96">
        <v>43683</v>
      </c>
      <c r="B275" s="74">
        <f>Target1[[#This Row],[Target Price]]/Target!$B$2*100</f>
        <v>165.8522396742292</v>
      </c>
      <c r="C275" s="74">
        <f>Comp1[[#This Row],[Comparable '#1 Price]]/'Comparable #1'!$B$2*100</f>
        <v>106.22861054072553</v>
      </c>
      <c r="D275" s="74">
        <f>Comp2[[#This Row],[Comparable '#2 Price]]/'Comparable #2'!$B$2*100</f>
        <v>93.279678068410448</v>
      </c>
      <c r="E275" s="74">
        <f>Comp3[[#This Row],[Comparable '#3 Price]]/'Comparable #3'!$B$2*100</f>
        <v>146.20766146233257</v>
      </c>
    </row>
    <row r="276" spans="1:5">
      <c r="A276" s="96">
        <v>43684</v>
      </c>
      <c r="B276" s="74">
        <f>Target1[[#This Row],[Target Price]]/Target!$B$2*100</f>
        <v>158.69691681210006</v>
      </c>
      <c r="C276" s="74">
        <f>Comp1[[#This Row],[Comparable '#1 Price]]/'Comparable #1'!$B$2*100</f>
        <v>105.68104038329911</v>
      </c>
      <c r="D276" s="74">
        <f>Comp2[[#This Row],[Comparable '#2 Price]]/'Comparable #2'!$B$2*100</f>
        <v>93.259557344064376</v>
      </c>
      <c r="E276" s="74">
        <f>Comp3[[#This Row],[Comparable '#3 Price]]/'Comparable #3'!$B$2*100</f>
        <v>147.23146489207406</v>
      </c>
    </row>
    <row r="277" spans="1:5">
      <c r="A277" s="96">
        <v>43685</v>
      </c>
      <c r="B277" s="74">
        <f>Target1[[#This Row],[Target Price]]/Target!$B$2*100</f>
        <v>167.01570680628271</v>
      </c>
      <c r="C277" s="74">
        <f>Comp1[[#This Row],[Comparable '#1 Price]]/'Comparable #1'!$B$2*100</f>
        <v>116.1533196440794</v>
      </c>
      <c r="D277" s="74">
        <f>Comp2[[#This Row],[Comparable '#2 Price]]/'Comparable #2'!$B$2*100</f>
        <v>96.941649899396381</v>
      </c>
      <c r="E277" s="74">
        <f>Comp3[[#This Row],[Comparable '#3 Price]]/'Comparable #3'!$B$2*100</f>
        <v>149.91894889514549</v>
      </c>
    </row>
    <row r="278" spans="1:5">
      <c r="A278" s="96">
        <v>43686</v>
      </c>
      <c r="B278" s="74">
        <f>Target1[[#This Row],[Target Price]]/Target!$B$2*100</f>
        <v>168.41186736474694</v>
      </c>
      <c r="C278" s="74">
        <f>Comp1[[#This Row],[Comparable '#1 Price]]/'Comparable #1'!$B$2*100</f>
        <v>121.97125256673512</v>
      </c>
      <c r="D278" s="74">
        <f>Comp2[[#This Row],[Comparable '#2 Price]]/'Comparable #2'!$B$2*100</f>
        <v>96.760563380281695</v>
      </c>
      <c r="E278" s="74">
        <f>Comp3[[#This Row],[Comparable '#3 Price]]/'Comparable #3'!$B$2*100</f>
        <v>148.46002900776384</v>
      </c>
    </row>
    <row r="279" spans="1:5">
      <c r="A279" s="96">
        <v>43689</v>
      </c>
      <c r="B279" s="74">
        <f>Target1[[#This Row],[Target Price]]/Target!$B$2*100</f>
        <v>166.2594531704479</v>
      </c>
      <c r="C279" s="74">
        <f>Comp1[[#This Row],[Comparable '#1 Price]]/'Comparable #1'!$B$2*100</f>
        <v>118.75427789185491</v>
      </c>
      <c r="D279" s="74">
        <f>Comp2[[#This Row],[Comparable '#2 Price]]/'Comparable #2'!$B$2*100</f>
        <v>96.016096579476852</v>
      </c>
      <c r="E279" s="74">
        <f>Comp3[[#This Row],[Comparable '#3 Price]]/'Comparable #3'!$B$2*100</f>
        <v>145.7213548332054</v>
      </c>
    </row>
    <row r="280" spans="1:5">
      <c r="A280" s="96">
        <v>43690</v>
      </c>
      <c r="B280" s="74">
        <f>Target1[[#This Row],[Target Price]]/Target!$B$2*100</f>
        <v>162.53635834787667</v>
      </c>
      <c r="C280" s="74">
        <f>Comp1[[#This Row],[Comparable '#1 Price]]/'Comparable #1'!$B$2*100</f>
        <v>115.53730321697466</v>
      </c>
      <c r="D280" s="74">
        <f>Comp2[[#This Row],[Comparable '#2 Price]]/'Comparable #2'!$B$2*100</f>
        <v>96.800804828973838</v>
      </c>
      <c r="E280" s="74">
        <f>Comp3[[#This Row],[Comparable '#3 Price]]/'Comparable #3'!$B$2*100</f>
        <v>147.97372237863664</v>
      </c>
    </row>
    <row r="281" spans="1:5">
      <c r="A281" s="96">
        <v>43691</v>
      </c>
      <c r="B281" s="74">
        <f>Target1[[#This Row],[Target Price]]/Target!$B$2*100</f>
        <v>162.65270506108203</v>
      </c>
      <c r="C281" s="74">
        <f>Comp1[[#This Row],[Comparable '#1 Price]]/'Comparable #1'!$B$2*100</f>
        <v>113.41546885694731</v>
      </c>
      <c r="D281" s="74">
        <f>Comp2[[#This Row],[Comparable '#2 Price]]/'Comparable #2'!$B$2*100</f>
        <v>95.975855130784709</v>
      </c>
      <c r="E281" s="74">
        <f>Comp3[[#This Row],[Comparable '#3 Price]]/'Comparable #3'!$B$2*100</f>
        <v>145.63603788072689</v>
      </c>
    </row>
    <row r="282" spans="1:5">
      <c r="A282" s="96">
        <v>43692</v>
      </c>
      <c r="B282" s="74">
        <f>Target1[[#This Row],[Target Price]]/Target!$B$2*100</f>
        <v>162.36183827806863</v>
      </c>
      <c r="C282" s="74">
        <f>Comp1[[#This Row],[Comparable '#1 Price]]/'Comparable #1'!$B$2*100</f>
        <v>114.03148528405202</v>
      </c>
      <c r="D282" s="74">
        <f>Comp2[[#This Row],[Comparable '#2 Price]]/'Comparable #2'!$B$2*100</f>
        <v>95.91549295774648</v>
      </c>
      <c r="E282" s="74">
        <f>Comp3[[#This Row],[Comparable '#3 Price]]/'Comparable #3'!$B$2*100</f>
        <v>147.57273270198789</v>
      </c>
    </row>
    <row r="283" spans="1:5">
      <c r="A283" s="96">
        <v>43693</v>
      </c>
      <c r="B283" s="74">
        <f>Target1[[#This Row],[Target Price]]/Target!$B$2*100</f>
        <v>161.31471785922048</v>
      </c>
      <c r="C283" s="74">
        <f>Comp1[[#This Row],[Comparable '#1 Price]]/'Comparable #1'!$B$2*100</f>
        <v>116.49555099247091</v>
      </c>
      <c r="D283" s="74">
        <f>Comp2[[#This Row],[Comparable '#2 Price]]/'Comparable #2'!$B$2*100</f>
        <v>98.209255533199197</v>
      </c>
      <c r="E283" s="74">
        <f>Comp3[[#This Row],[Comparable '#3 Price]]/'Comparable #3'!$B$2*100</f>
        <v>149.44970565651394</v>
      </c>
    </row>
    <row r="284" spans="1:5">
      <c r="A284" s="96">
        <v>43696</v>
      </c>
      <c r="B284" s="74">
        <f>Target1[[#This Row],[Target Price]]/Target!$B$2*100</f>
        <v>166.95753344968003</v>
      </c>
      <c r="C284" s="74">
        <f>Comp1[[#This Row],[Comparable '#1 Price]]/'Comparable #1'!$B$2*100</f>
        <v>117.45379876796716</v>
      </c>
      <c r="D284" s="74">
        <f>Comp2[[#This Row],[Comparable '#2 Price]]/'Comparable #2'!$B$2*100</f>
        <v>100.62374245472836</v>
      </c>
      <c r="E284" s="74">
        <f>Comp3[[#This Row],[Comparable '#3 Price]]/'Comparable #3'!$B$2*100</f>
        <v>152.69174985069535</v>
      </c>
    </row>
    <row r="285" spans="1:5">
      <c r="A285" s="96">
        <v>43697</v>
      </c>
      <c r="B285" s="74">
        <f>Target1[[#This Row],[Target Price]]/Target!$B$2*100</f>
        <v>166.37579988365329</v>
      </c>
      <c r="C285" s="74">
        <f>Comp1[[#This Row],[Comparable '#1 Price]]/'Comparable #1'!$B$2*100</f>
        <v>119.98631074606436</v>
      </c>
      <c r="D285" s="74">
        <f>Comp2[[#This Row],[Comparable '#2 Price]]/'Comparable #2'!$B$2*100</f>
        <v>101.00603621730382</v>
      </c>
      <c r="E285" s="74">
        <f>Comp3[[#This Row],[Comparable '#3 Price]]/'Comparable #3'!$B$2*100</f>
        <v>151.5655660779797</v>
      </c>
    </row>
    <row r="286" spans="1:5">
      <c r="A286" s="96">
        <v>43698</v>
      </c>
      <c r="B286" s="74">
        <f>Target1[[#This Row],[Target Price]]/Target!$B$2*100</f>
        <v>172.77486910994764</v>
      </c>
      <c r="C286" s="74">
        <f>Comp1[[#This Row],[Comparable '#1 Price]]/'Comparable #1'!$B$2*100</f>
        <v>122.17659137577004</v>
      </c>
      <c r="D286" s="74">
        <f>Comp2[[#This Row],[Comparable '#2 Price]]/'Comparable #2'!$B$2*100</f>
        <v>103.38028169014083</v>
      </c>
      <c r="E286" s="74">
        <f>Comp3[[#This Row],[Comparable '#3 Price]]/'Comparable #3'!$B$2*100</f>
        <v>151.0024741916219</v>
      </c>
    </row>
    <row r="287" spans="1:5">
      <c r="A287" s="96">
        <v>43699</v>
      </c>
      <c r="B287" s="74">
        <f>Target1[[#This Row],[Target Price]]/Target!$B$2*100</f>
        <v>165.61954624781848</v>
      </c>
      <c r="C287" s="74">
        <f>Comp1[[#This Row],[Comparable '#1 Price]]/'Comparable #1'!$B$2*100</f>
        <v>122.72416153319645</v>
      </c>
      <c r="D287" s="74">
        <f>Comp2[[#This Row],[Comparable '#2 Price]]/'Comparable #2'!$B$2*100</f>
        <v>102.53521126760563</v>
      </c>
      <c r="E287" s="74">
        <f>Comp3[[#This Row],[Comparable '#3 Price]]/'Comparable #3'!$B$2*100</f>
        <v>150.21755822882005</v>
      </c>
    </row>
    <row r="288" spans="1:5">
      <c r="A288" s="96">
        <v>43700</v>
      </c>
      <c r="B288" s="74">
        <f>Target1[[#This Row],[Target Price]]/Target!$B$2*100</f>
        <v>160.32577079697495</v>
      </c>
      <c r="C288" s="74">
        <f>Comp1[[#This Row],[Comparable '#1 Price]]/'Comparable #1'!$B$2*100</f>
        <v>120.05475701574264</v>
      </c>
      <c r="D288" s="74">
        <f>Comp2[[#This Row],[Comparable '#2 Price]]/'Comparable #2'!$B$2*100</f>
        <v>90.422535211267601</v>
      </c>
      <c r="E288" s="74">
        <f>Comp3[[#This Row],[Comparable '#3 Price]]/'Comparable #3'!$B$2*100</f>
        <v>142.96561726815119</v>
      </c>
    </row>
    <row r="289" spans="1:5">
      <c r="A289" s="96">
        <v>43703</v>
      </c>
      <c r="B289" s="74">
        <f>Target1[[#This Row],[Target Price]]/Target!$B$2*100</f>
        <v>160.90750436300175</v>
      </c>
      <c r="C289" s="74">
        <f>Comp1[[#This Row],[Comparable '#1 Price]]/'Comparable #1'!$B$2*100</f>
        <v>119.50718685831623</v>
      </c>
      <c r="D289" s="74">
        <f>Comp2[[#This Row],[Comparable '#2 Price]]/'Comparable #2'!$B$2*100</f>
        <v>91.64989939637826</v>
      </c>
      <c r="E289" s="74">
        <f>Comp3[[#This Row],[Comparable '#3 Price]]/'Comparable #3'!$B$2*100</f>
        <v>145.92611551915365</v>
      </c>
    </row>
    <row r="290" spans="1:5">
      <c r="A290" s="96">
        <v>43704</v>
      </c>
      <c r="B290" s="74">
        <f>Target1[[#This Row],[Target Price]]/Target!$B$2*100</f>
        <v>155.61372891215822</v>
      </c>
      <c r="C290" s="74">
        <f>Comp1[[#This Row],[Comparable '#1 Price]]/'Comparable #1'!$B$2*100</f>
        <v>118.68583162217658</v>
      </c>
      <c r="D290" s="74">
        <f>Comp2[[#This Row],[Comparable '#2 Price]]/'Comparable #2'!$B$2*100</f>
        <v>88.24949698189134</v>
      </c>
      <c r="E290" s="74">
        <f>Comp3[[#This Row],[Comparable '#3 Price]]/'Comparable #3'!$B$2*100</f>
        <v>144.88524869891648</v>
      </c>
    </row>
    <row r="291" spans="1:5">
      <c r="A291" s="96">
        <v>43705</v>
      </c>
      <c r="B291" s="74">
        <f>Target1[[#This Row],[Target Price]]/Target!$B$2*100</f>
        <v>156.13728912158231</v>
      </c>
      <c r="C291" s="74">
        <f>Comp1[[#This Row],[Comparable '#1 Price]]/'Comparable #1'!$B$2*100</f>
        <v>122.51882272416152</v>
      </c>
      <c r="D291" s="74">
        <f>Comp2[[#This Row],[Comparable '#2 Price]]/'Comparable #2'!$B$2*100</f>
        <v>87.303822937625753</v>
      </c>
      <c r="E291" s="74">
        <f>Comp3[[#This Row],[Comparable '#3 Price]]/'Comparable #3'!$B$2*100</f>
        <v>145.03881921337771</v>
      </c>
    </row>
    <row r="292" spans="1:5">
      <c r="A292" s="96">
        <v>43706</v>
      </c>
      <c r="B292" s="74">
        <f>Target1[[#This Row],[Target Price]]/Target!$B$2*100</f>
        <v>155.38103548574753</v>
      </c>
      <c r="C292" s="74">
        <f>Comp1[[#This Row],[Comparable '#1 Price]]/'Comparable #1'!$B$2*100</f>
        <v>126.00958247775498</v>
      </c>
      <c r="D292" s="74">
        <f>Comp2[[#This Row],[Comparable '#2 Price]]/'Comparable #2'!$B$2*100</f>
        <v>85.714285714285708</v>
      </c>
      <c r="E292" s="74">
        <f>Comp3[[#This Row],[Comparable '#3 Price]]/'Comparable #3'!$B$2*100</f>
        <v>145.70429144270966</v>
      </c>
    </row>
    <row r="293" spans="1:5">
      <c r="A293" s="96">
        <v>43707</v>
      </c>
      <c r="B293" s="74">
        <f>Target1[[#This Row],[Target Price]]/Target!$B$2*100</f>
        <v>153.2867946480512</v>
      </c>
      <c r="C293" s="74">
        <f>Comp1[[#This Row],[Comparable '#1 Price]]/'Comparable #1'!$B$2*100</f>
        <v>125.25667351129364</v>
      </c>
      <c r="D293" s="74">
        <f>Comp2[[#This Row],[Comparable '#2 Price]]/'Comparable #2'!$B$2*100</f>
        <v>85.955734406438623</v>
      </c>
      <c r="E293" s="74">
        <f>Comp3[[#This Row],[Comparable '#3 Price]]/'Comparable #3'!$B$2*100</f>
        <v>144.38187867929358</v>
      </c>
    </row>
    <row r="294" spans="1:5">
      <c r="A294" s="96">
        <v>43711</v>
      </c>
      <c r="B294" s="74">
        <f>Target1[[#This Row],[Target Price]]/Target!$B$2*100</f>
        <v>152.12332751599766</v>
      </c>
      <c r="C294" s="74">
        <f>Comp1[[#This Row],[Comparable '#1 Price]]/'Comparable #1'!$B$2*100</f>
        <v>124.43531827515402</v>
      </c>
      <c r="D294" s="74">
        <f>Comp2[[#This Row],[Comparable '#2 Price]]/'Comparable #2'!$B$2*100</f>
        <v>83.661971830985905</v>
      </c>
      <c r="E294" s="74">
        <f>Comp3[[#This Row],[Comparable '#3 Price]]/'Comparable #3'!$B$2*100</f>
        <v>143.04240252538182</v>
      </c>
    </row>
    <row r="295" spans="1:5">
      <c r="A295" s="96">
        <v>43712</v>
      </c>
      <c r="B295" s="74">
        <f>Target1[[#This Row],[Target Price]]/Target!$B$2*100</f>
        <v>151.25072716695755</v>
      </c>
      <c r="C295" s="74">
        <f>Comp1[[#This Row],[Comparable '#1 Price]]/'Comparable #1'!$B$2*100</f>
        <v>122.92950034223136</v>
      </c>
      <c r="D295" s="74">
        <f>Comp2[[#This Row],[Comparable '#2 Price]]/'Comparable #2'!$B$2*100</f>
        <v>82.535211267605632</v>
      </c>
      <c r="E295" s="74">
        <f>Comp3[[#This Row],[Comparable '#3 Price]]/'Comparable #3'!$B$2*100</f>
        <v>138.22199471034895</v>
      </c>
    </row>
    <row r="296" spans="1:5">
      <c r="A296" s="96">
        <v>43713</v>
      </c>
      <c r="B296" s="74">
        <f>Target1[[#This Row],[Target Price]]/Target!$B$2*100</f>
        <v>156.60267597440372</v>
      </c>
      <c r="C296" s="74">
        <f>Comp1[[#This Row],[Comparable '#1 Price]]/'Comparable #1'!$B$2*100</f>
        <v>123.06639288158796</v>
      </c>
      <c r="D296" s="74">
        <f>Comp2[[#This Row],[Comparable '#2 Price]]/'Comparable #2'!$B$2*100</f>
        <v>83.561368209255534</v>
      </c>
      <c r="E296" s="74">
        <f>Comp3[[#This Row],[Comparable '#3 Price]]/'Comparable #3'!$B$2*100</f>
        <v>140.91801040866821</v>
      </c>
    </row>
    <row r="297" spans="1:5">
      <c r="A297" s="96">
        <v>43714</v>
      </c>
      <c r="B297" s="74">
        <f>Target1[[#This Row],[Target Price]]/Target!$B$2*100</f>
        <v>158.5805700988947</v>
      </c>
      <c r="C297" s="74">
        <f>Comp1[[#This Row],[Comparable '#1 Price]]/'Comparable #1'!$B$2*100</f>
        <v>121.01300479123888</v>
      </c>
      <c r="D297" s="74">
        <f>Comp2[[#This Row],[Comparable '#2 Price]]/'Comparable #2'!$B$2*100</f>
        <v>82.17303822937626</v>
      </c>
      <c r="E297" s="74">
        <f>Comp3[[#This Row],[Comparable '#3 Price]]/'Comparable #3'!$B$2*100</f>
        <v>138.86187185393737</v>
      </c>
    </row>
    <row r="298" spans="1:5">
      <c r="A298" s="96">
        <v>43717</v>
      </c>
      <c r="B298" s="74">
        <f>Target1[[#This Row],[Target Price]]/Target!$B$2*100</f>
        <v>159.2786503781268</v>
      </c>
      <c r="C298" s="74">
        <f>Comp1[[#This Row],[Comparable '#1 Price]]/'Comparable #1'!$B$2*100</f>
        <v>120.12320328542094</v>
      </c>
      <c r="D298" s="74">
        <f>Comp2[[#This Row],[Comparable '#2 Price]]/'Comparable #2'!$B$2*100</f>
        <v>82.494969818913475</v>
      </c>
      <c r="E298" s="74">
        <f>Comp3[[#This Row],[Comparable '#3 Price]]/'Comparable #3'!$B$2*100</f>
        <v>138.10255097687912</v>
      </c>
    </row>
    <row r="299" spans="1:5">
      <c r="A299" s="96">
        <v>43718</v>
      </c>
      <c r="B299" s="74">
        <f>Target1[[#This Row],[Target Price]]/Target!$B$2*100</f>
        <v>156.48632926119834</v>
      </c>
      <c r="C299" s="74">
        <f>Comp1[[#This Row],[Comparable '#1 Price]]/'Comparable #1'!$B$2*100</f>
        <v>112.11498973305956</v>
      </c>
      <c r="D299" s="74">
        <f>Comp2[[#This Row],[Comparable '#2 Price]]/'Comparable #2'!$B$2*100</f>
        <v>82.132796780684103</v>
      </c>
      <c r="E299" s="74">
        <f>Comp3[[#This Row],[Comparable '#3 Price]]/'Comparable #3'!$B$2*100</f>
        <v>134.63015101100589</v>
      </c>
    </row>
    <row r="300" spans="1:5">
      <c r="A300" s="96">
        <v>43719</v>
      </c>
      <c r="B300" s="74">
        <f>Target1[[#This Row],[Target Price]]/Target!$B$2*100</f>
        <v>165.61954624781848</v>
      </c>
      <c r="C300" s="74">
        <f>Comp1[[#This Row],[Comparable '#1 Price]]/'Comparable #1'!$B$2*100</f>
        <v>114.23682409308694</v>
      </c>
      <c r="D300" s="74">
        <f>Comp2[[#This Row],[Comparable '#2 Price]]/'Comparable #2'!$B$2*100</f>
        <v>81.629778672032188</v>
      </c>
      <c r="E300" s="74">
        <f>Comp3[[#This Row],[Comparable '#3 Price]]/'Comparable #3'!$B$2*100</f>
        <v>135.96109546966983</v>
      </c>
    </row>
    <row r="301" spans="1:5">
      <c r="A301" s="96">
        <v>43720</v>
      </c>
      <c r="B301" s="74">
        <f>Target1[[#This Row],[Target Price]]/Target!$B$2*100</f>
        <v>165.96858638743456</v>
      </c>
      <c r="C301" s="74">
        <f>Comp1[[#This Row],[Comparable '#1 Price]]/'Comparable #1'!$B$2*100</f>
        <v>114.78439425051334</v>
      </c>
      <c r="D301" s="74">
        <f>Comp2[[#This Row],[Comparable '#2 Price]]/'Comparable #2'!$B$2*100</f>
        <v>83.903420523138834</v>
      </c>
      <c r="E301" s="74">
        <f>Comp3[[#This Row],[Comparable '#3 Price]]/'Comparable #3'!$B$2*100</f>
        <v>136.78013821346303</v>
      </c>
    </row>
    <row r="302" spans="1:5">
      <c r="A302" s="96">
        <v>43721</v>
      </c>
      <c r="B302" s="74">
        <f>Target1[[#This Row],[Target Price]]/Target!$B$2*100</f>
        <v>167.01570680628271</v>
      </c>
      <c r="C302" s="74">
        <f>Comp1[[#This Row],[Comparable '#1 Price]]/'Comparable #1'!$B$2*100</f>
        <v>115.19507186858316</v>
      </c>
      <c r="D302" s="74">
        <f>Comp2[[#This Row],[Comparable '#2 Price]]/'Comparable #2'!$B$2*100</f>
        <v>82.977867203219319</v>
      </c>
      <c r="E302" s="74">
        <f>Comp3[[#This Row],[Comparable '#3 Price]]/'Comparable #3'!$B$2*100</f>
        <v>133.09444586639364</v>
      </c>
    </row>
    <row r="303" spans="1:5">
      <c r="A303" s="96">
        <v>43724</v>
      </c>
      <c r="B303" s="74">
        <f>Target1[[#This Row],[Target Price]]/Target!$B$2*100</f>
        <v>170.2152414194299</v>
      </c>
      <c r="C303" s="74">
        <f>Comp1[[#This Row],[Comparable '#1 Price]]/'Comparable #1'!$B$2*100</f>
        <v>115.94798083504449</v>
      </c>
      <c r="D303" s="74">
        <f>Comp2[[#This Row],[Comparable '#2 Price]]/'Comparable #2'!$B$2*100</f>
        <v>83.480885311871219</v>
      </c>
      <c r="E303" s="74">
        <f>Comp3[[#This Row],[Comparable '#3 Price]]/'Comparable #3'!$B$2*100</f>
        <v>133.4357136763075</v>
      </c>
    </row>
    <row r="304" spans="1:5">
      <c r="A304" s="96">
        <v>43725</v>
      </c>
      <c r="B304" s="74">
        <f>Target1[[#This Row],[Target Price]]/Target!$B$2*100</f>
        <v>166.95753344968003</v>
      </c>
      <c r="C304" s="74">
        <f>Comp1[[#This Row],[Comparable '#1 Price]]/'Comparable #1'!$B$2*100</f>
        <v>117.11156741957562</v>
      </c>
      <c r="D304" s="74">
        <f>Comp2[[#This Row],[Comparable '#2 Price]]/'Comparable #2'!$B$2*100</f>
        <v>84.08450704225352</v>
      </c>
      <c r="E304" s="74">
        <f>Comp3[[#This Row],[Comparable '#3 Price]]/'Comparable #3'!$B$2*100</f>
        <v>134.57896083951883</v>
      </c>
    </row>
    <row r="305" spans="1:5">
      <c r="A305" s="96">
        <v>43726</v>
      </c>
      <c r="B305" s="74">
        <f>Target1[[#This Row],[Target Price]]/Target!$B$2*100</f>
        <v>165.56137289121583</v>
      </c>
      <c r="C305" s="74">
        <f>Comp1[[#This Row],[Comparable '#1 Price]]/'Comparable #1'!$B$2*100</f>
        <v>119.98631074606436</v>
      </c>
      <c r="D305" s="74">
        <f>Comp2[[#This Row],[Comparable '#2 Price]]/'Comparable #2'!$B$2*100</f>
        <v>84.507042253521121</v>
      </c>
      <c r="E305" s="74">
        <f>Comp3[[#This Row],[Comparable '#3 Price]]/'Comparable #3'!$B$2*100</f>
        <v>133.87936182919546</v>
      </c>
    </row>
    <row r="306" spans="1:5">
      <c r="A306" s="96">
        <v>43727</v>
      </c>
      <c r="B306" s="74">
        <f>Target1[[#This Row],[Target Price]]/Target!$B$2*100</f>
        <v>163.87434554973822</v>
      </c>
      <c r="C306" s="74">
        <f>Comp1[[#This Row],[Comparable '#1 Price]]/'Comparable #1'!$B$2*100</f>
        <v>119.78097193702943</v>
      </c>
      <c r="D306" s="74">
        <f>Comp2[[#This Row],[Comparable '#2 Price]]/'Comparable #2'!$B$2*100</f>
        <v>85.070422535211264</v>
      </c>
      <c r="E306" s="74">
        <f>Comp3[[#This Row],[Comparable '#3 Price]]/'Comparable #3'!$B$2*100</f>
        <v>135.43213036430339</v>
      </c>
    </row>
    <row r="307" spans="1:5">
      <c r="A307" s="96">
        <v>43728</v>
      </c>
      <c r="B307" s="74">
        <f>Target1[[#This Row],[Target Price]]/Target!$B$2*100</f>
        <v>151.65794066317625</v>
      </c>
      <c r="C307" s="74">
        <f>Comp1[[#This Row],[Comparable '#1 Price]]/'Comparable #1'!$B$2*100</f>
        <v>119.02806297056812</v>
      </c>
      <c r="D307" s="74">
        <f>Comp2[[#This Row],[Comparable '#2 Price]]/'Comparable #2'!$B$2*100</f>
        <v>81.81086519114686</v>
      </c>
      <c r="E307" s="74">
        <f>Comp3[[#This Row],[Comparable '#3 Price]]/'Comparable #3'!$B$2*100</f>
        <v>125.42445183858032</v>
      </c>
    </row>
    <row r="308" spans="1:5">
      <c r="A308" s="96">
        <v>43731</v>
      </c>
      <c r="B308" s="74">
        <f>Target1[[#This Row],[Target Price]]/Target!$B$2*100</f>
        <v>157.3589296102385</v>
      </c>
      <c r="C308" s="74">
        <f>Comp1[[#This Row],[Comparable '#1 Price]]/'Comparable #1'!$B$2*100</f>
        <v>117.18001368925395</v>
      </c>
      <c r="D308" s="74">
        <f>Comp2[[#This Row],[Comparable '#2 Price]]/'Comparable #2'!$B$2*100</f>
        <v>82.877263581488918</v>
      </c>
      <c r="E308" s="74">
        <f>Comp3[[#This Row],[Comparable '#3 Price]]/'Comparable #3'!$B$2*100</f>
        <v>126.41412848733043</v>
      </c>
    </row>
    <row r="309" spans="1:5">
      <c r="A309" s="96">
        <v>43732</v>
      </c>
      <c r="B309" s="74">
        <f>Target1[[#This Row],[Target Price]]/Target!$B$2*100</f>
        <v>157.6497963932519</v>
      </c>
      <c r="C309" s="74">
        <f>Comp1[[#This Row],[Comparable '#1 Price]]/'Comparable #1'!$B$2*100</f>
        <v>120.12320328542094</v>
      </c>
      <c r="D309" s="74">
        <f>Comp2[[#This Row],[Comparable '#2 Price]]/'Comparable #2'!$B$2*100</f>
        <v>82.756539235412475</v>
      </c>
      <c r="E309" s="74">
        <f>Comp3[[#This Row],[Comparable '#3 Price]]/'Comparable #3'!$B$2*100</f>
        <v>127.76213633649007</v>
      </c>
    </row>
    <row r="310" spans="1:5">
      <c r="A310" s="96">
        <v>43733</v>
      </c>
      <c r="B310" s="74">
        <f>Target1[[#This Row],[Target Price]]/Target!$B$2*100</f>
        <v>156.42815590459568</v>
      </c>
      <c r="C310" s="74">
        <f>Comp1[[#This Row],[Comparable '#1 Price]]/'Comparable #1'!$B$2*100</f>
        <v>116.01642710472279</v>
      </c>
      <c r="D310" s="74">
        <f>Comp2[[#This Row],[Comparable '#2 Price]]/'Comparable #2'!$B$2*100</f>
        <v>77.927565392354111</v>
      </c>
      <c r="E310" s="74">
        <f>Comp3[[#This Row],[Comparable '#3 Price]]/'Comparable #3'!$B$2*100</f>
        <v>122.03736882518557</v>
      </c>
    </row>
    <row r="311" spans="1:5">
      <c r="A311" s="96">
        <v>43734</v>
      </c>
      <c r="B311" s="74">
        <f>Target1[[#This Row],[Target Price]]/Target!$B$2*100</f>
        <v>153.69400814426993</v>
      </c>
      <c r="C311" s="74">
        <f>Comp1[[#This Row],[Comparable '#1 Price]]/'Comparable #1'!$B$2*100</f>
        <v>114.37371663244353</v>
      </c>
      <c r="D311" s="74">
        <f>Comp2[[#This Row],[Comparable '#2 Price]]/'Comparable #2'!$B$2*100</f>
        <v>76.861167002012081</v>
      </c>
      <c r="E311" s="74">
        <f>Comp3[[#This Row],[Comparable '#3 Price]]/'Comparable #3'!$B$2*100</f>
        <v>119.1536558314137</v>
      </c>
    </row>
    <row r="312" spans="1:5">
      <c r="A312" s="96">
        <v>43735</v>
      </c>
      <c r="B312" s="74">
        <f>Target1[[#This Row],[Target Price]]/Target!$B$2*100</f>
        <v>154.04304828388598</v>
      </c>
      <c r="C312" s="74">
        <f>Comp1[[#This Row],[Comparable '#1 Price]]/'Comparable #1'!$B$2*100</f>
        <v>113.75770020533882</v>
      </c>
      <c r="D312" s="74">
        <f>Comp2[[#This Row],[Comparable '#2 Price]]/'Comparable #2'!$B$2*100</f>
        <v>76.498993963782709</v>
      </c>
      <c r="E312" s="74">
        <f>Comp3[[#This Row],[Comparable '#3 Price]]/'Comparable #3'!$B$2*100</f>
        <v>115.4594317890965</v>
      </c>
    </row>
    <row r="313" spans="1:5">
      <c r="A313" s="96">
        <v>43738</v>
      </c>
      <c r="B313" s="74">
        <f>Target1[[#This Row],[Target Price]]/Target!$B$2*100</f>
        <v>153.57766143106454</v>
      </c>
      <c r="C313" s="74">
        <f>Comp1[[#This Row],[Comparable '#1 Price]]/'Comparable #1'!$B$2*100</f>
        <v>113.44969199178645</v>
      </c>
      <c r="D313" s="74">
        <f>Comp2[[#This Row],[Comparable '#2 Price]]/'Comparable #2'!$B$2*100</f>
        <v>76.639839034205238</v>
      </c>
      <c r="E313" s="74">
        <f>Comp3[[#This Row],[Comparable '#3 Price]]/'Comparable #3'!$B$2*100</f>
        <v>115.92867502772802</v>
      </c>
    </row>
    <row r="314" spans="1:5">
      <c r="A314" s="96">
        <v>43739</v>
      </c>
      <c r="B314" s="74">
        <f>Target1[[#This Row],[Target Price]]/Target!$B$2*100</f>
        <v>153.81035485747526</v>
      </c>
      <c r="C314" s="74">
        <f>Comp1[[#This Row],[Comparable '#1 Price]]/'Comparable #1'!$B$2*100</f>
        <v>112.25188227241614</v>
      </c>
      <c r="D314" s="74">
        <f>Comp2[[#This Row],[Comparable '#2 Price]]/'Comparable #2'!$B$2*100</f>
        <v>76.358148893360166</v>
      </c>
      <c r="E314" s="74">
        <f>Comp3[[#This Row],[Comparable '#3 Price]]/'Comparable #3'!$B$2*100</f>
        <v>113.6336490060575</v>
      </c>
    </row>
    <row r="315" spans="1:5">
      <c r="A315" s="96">
        <v>43740</v>
      </c>
      <c r="B315" s="74">
        <f>Target1[[#This Row],[Target Price]]/Target!$B$2*100</f>
        <v>153.75218150087261</v>
      </c>
      <c r="C315" s="74">
        <f>Comp1[[#This Row],[Comparable '#1 Price]]/'Comparable #1'!$B$2*100</f>
        <v>111.97809719370295</v>
      </c>
      <c r="D315" s="74">
        <f>Comp2[[#This Row],[Comparable '#2 Price]]/'Comparable #2'!$B$2*100</f>
        <v>76.016096579476852</v>
      </c>
      <c r="E315" s="74">
        <f>Comp3[[#This Row],[Comparable '#3 Price]]/'Comparable #3'!$B$2*100</f>
        <v>115.22907601740467</v>
      </c>
    </row>
    <row r="316" spans="1:5">
      <c r="A316" s="96">
        <v>43741</v>
      </c>
      <c r="B316" s="74">
        <f>Target1[[#This Row],[Target Price]]/Target!$B$2*100</f>
        <v>151.83246073298429</v>
      </c>
      <c r="C316" s="74">
        <f>Comp1[[#This Row],[Comparable '#1 Price]]/'Comparable #1'!$B$2*100</f>
        <v>112.45722108145107</v>
      </c>
      <c r="D316" s="74">
        <f>Comp2[[#This Row],[Comparable '#2 Price]]/'Comparable #2'!$B$2*100</f>
        <v>75.835010060362166</v>
      </c>
      <c r="E316" s="74">
        <f>Comp3[[#This Row],[Comparable '#3 Price]]/'Comparable #3'!$B$2*100</f>
        <v>113.94932173022781</v>
      </c>
    </row>
    <row r="317" spans="1:5">
      <c r="A317" s="96">
        <v>43742</v>
      </c>
      <c r="B317" s="74">
        <f>Target1[[#This Row],[Target Price]]/Target!$B$2*100</f>
        <v>152.70506108202443</v>
      </c>
      <c r="C317" s="74">
        <f>Comp1[[#This Row],[Comparable '#1 Price]]/'Comparable #1'!$B$2*100</f>
        <v>111.49897330595482</v>
      </c>
      <c r="D317" s="74">
        <f>Comp2[[#This Row],[Comparable '#2 Price]]/'Comparable #2'!$B$2*100</f>
        <v>73.963782696177049</v>
      </c>
      <c r="E317" s="74">
        <f>Comp3[[#This Row],[Comparable '#3 Price]]/'Comparable #3'!$B$2*100</f>
        <v>114.0772971589455</v>
      </c>
    </row>
    <row r="318" spans="1:5">
      <c r="A318" s="96">
        <v>43745</v>
      </c>
      <c r="B318" s="74">
        <f>Target1[[#This Row],[Target Price]]/Target!$B$2*100</f>
        <v>152.35602094240838</v>
      </c>
      <c r="C318" s="74">
        <f>Comp1[[#This Row],[Comparable '#1 Price]]/'Comparable #1'!$B$2*100</f>
        <v>111.84120465434634</v>
      </c>
      <c r="D318" s="74">
        <f>Comp2[[#This Row],[Comparable '#2 Price]]/'Comparable #2'!$B$2*100</f>
        <v>74.205231388329977</v>
      </c>
      <c r="E318" s="74">
        <f>Comp3[[#This Row],[Comparable '#3 Price]]/'Comparable #3'!$B$2*100</f>
        <v>114.29058954014164</v>
      </c>
    </row>
    <row r="319" spans="1:5">
      <c r="A319" s="96">
        <v>43746</v>
      </c>
      <c r="B319" s="74">
        <f>Target1[[#This Row],[Target Price]]/Target!$B$2*100</f>
        <v>149.3891797556719</v>
      </c>
      <c r="C319" s="74">
        <f>Comp1[[#This Row],[Comparable '#1 Price]]/'Comparable #1'!$B$2*100</f>
        <v>106.16016427104724</v>
      </c>
      <c r="D319" s="74">
        <f>Comp2[[#This Row],[Comparable '#2 Price]]/'Comparable #2'!$B$2*100</f>
        <v>71.388329979879259</v>
      </c>
      <c r="E319" s="74">
        <f>Comp3[[#This Row],[Comparable '#3 Price]]/'Comparable #3'!$B$2*100</f>
        <v>113.07908881494753</v>
      </c>
    </row>
    <row r="320" spans="1:5">
      <c r="A320" s="96">
        <v>43747</v>
      </c>
      <c r="B320" s="74">
        <f>Target1[[#This Row],[Target Price]]/Target!$B$2*100</f>
        <v>148.80744618964513</v>
      </c>
      <c r="C320" s="74">
        <f>Comp1[[#This Row],[Comparable '#1 Price]]/'Comparable #1'!$B$2*100</f>
        <v>104.68856947296372</v>
      </c>
      <c r="D320" s="74">
        <f>Comp2[[#This Row],[Comparable '#2 Price]]/'Comparable #2'!$B$2*100</f>
        <v>71.770623742454731</v>
      </c>
      <c r="E320" s="74">
        <f>Comp3[[#This Row],[Comparable '#3 Price]]/'Comparable #3'!$B$2*100</f>
        <v>115.77510451326678</v>
      </c>
    </row>
    <row r="321" spans="1:5">
      <c r="A321" s="96">
        <v>43748</v>
      </c>
      <c r="B321" s="74">
        <f>Target1[[#This Row],[Target Price]]/Target!$B$2*100</f>
        <v>147.17859220477021</v>
      </c>
      <c r="C321" s="74">
        <f>Comp1[[#This Row],[Comparable '#1 Price]]/'Comparable #1'!$B$2*100</f>
        <v>104.38056125941138</v>
      </c>
      <c r="D321" s="74">
        <f>Comp2[[#This Row],[Comparable '#2 Price]]/'Comparable #2'!$B$2*100</f>
        <v>71.267605633802816</v>
      </c>
      <c r="E321" s="74">
        <f>Comp3[[#This Row],[Comparable '#3 Price]]/'Comparable #3'!$B$2*100</f>
        <v>116.19315758041122</v>
      </c>
    </row>
    <row r="322" spans="1:5">
      <c r="A322" s="96">
        <v>43749</v>
      </c>
      <c r="B322" s="74">
        <f>Target1[[#This Row],[Target Price]]/Target!$B$2*100</f>
        <v>149.50552646887724</v>
      </c>
      <c r="C322" s="74">
        <f>Comp1[[#This Row],[Comparable '#1 Price]]/'Comparable #1'!$B$2*100</f>
        <v>106.87885010266942</v>
      </c>
      <c r="D322" s="74">
        <f>Comp2[[#This Row],[Comparable '#2 Price]]/'Comparable #2'!$B$2*100</f>
        <v>72.394366197183089</v>
      </c>
      <c r="E322" s="74">
        <f>Comp3[[#This Row],[Comparable '#3 Price]]/'Comparable #3'!$B$2*100</f>
        <v>118.73560276426926</v>
      </c>
    </row>
    <row r="323" spans="1:5">
      <c r="A323" s="96">
        <v>43752</v>
      </c>
      <c r="B323" s="74">
        <f>Target1[[#This Row],[Target Price]]/Target!$B$2*100</f>
        <v>148.69109947643977</v>
      </c>
      <c r="C323" s="74">
        <f>Comp1[[#This Row],[Comparable '#1 Price]]/'Comparable #1'!$B$2*100</f>
        <v>105.74948665297741</v>
      </c>
      <c r="D323" s="74">
        <f>Comp2[[#This Row],[Comparable '#2 Price]]/'Comparable #2'!$B$2*100</f>
        <v>72.112676056338032</v>
      </c>
      <c r="E323" s="74">
        <f>Comp3[[#This Row],[Comparable '#3 Price]]/'Comparable #3'!$B$2*100</f>
        <v>116.00546028495862</v>
      </c>
    </row>
    <row r="324" spans="1:5">
      <c r="A324" s="96">
        <v>43753</v>
      </c>
      <c r="B324" s="74">
        <f>Target1[[#This Row],[Target Price]]/Target!$B$2*100</f>
        <v>146.48051192553808</v>
      </c>
      <c r="C324" s="74">
        <f>Comp1[[#This Row],[Comparable '#1 Price]]/'Comparable #1'!$B$2*100</f>
        <v>106.29705681040382</v>
      </c>
      <c r="D324" s="74">
        <f>Comp2[[#This Row],[Comparable '#2 Price]]/'Comparable #2'!$B$2*100</f>
        <v>73.82293762575452</v>
      </c>
      <c r="E324" s="74">
        <f>Comp3[[#This Row],[Comparable '#3 Price]]/'Comparable #3'!$B$2*100</f>
        <v>114.48681853084209</v>
      </c>
    </row>
    <row r="325" spans="1:5">
      <c r="A325" s="96">
        <v>43754</v>
      </c>
      <c r="B325" s="74">
        <f>Target1[[#This Row],[Target Price]]/Target!$B$2*100</f>
        <v>145.84060500290866</v>
      </c>
      <c r="C325" s="74">
        <f>Comp1[[#This Row],[Comparable '#1 Price]]/'Comparable #1'!$B$2*100</f>
        <v>106.70773442847366</v>
      </c>
      <c r="D325" s="74">
        <f>Comp2[[#This Row],[Comparable '#2 Price]]/'Comparable #2'!$B$2*100</f>
        <v>73.440643863179062</v>
      </c>
      <c r="E325" s="74">
        <f>Comp3[[#This Row],[Comparable '#3 Price]]/'Comparable #3'!$B$2*100</f>
        <v>112.88285982424708</v>
      </c>
    </row>
    <row r="326" spans="1:5">
      <c r="A326" s="96">
        <v>43755</v>
      </c>
      <c r="B326" s="74">
        <f>Target1[[#This Row],[Target Price]]/Target!$B$2*100</f>
        <v>145.89877835951134</v>
      </c>
      <c r="C326" s="74">
        <f>Comp1[[#This Row],[Comparable '#1 Price]]/'Comparable #1'!$B$2*100</f>
        <v>107.52908966461329</v>
      </c>
      <c r="D326" s="74">
        <f>Comp2[[#This Row],[Comparable '#2 Price]]/'Comparable #2'!$B$2*100</f>
        <v>73.018108651911461</v>
      </c>
      <c r="E326" s="74">
        <f>Comp3[[#This Row],[Comparable '#3 Price]]/'Comparable #3'!$B$2*100</f>
        <v>112.85726473850355</v>
      </c>
    </row>
    <row r="327" spans="1:5">
      <c r="A327" s="96">
        <v>43756</v>
      </c>
      <c r="B327" s="74">
        <f>Target1[[#This Row],[Target Price]]/Target!$B$2*100</f>
        <v>143.97905759162302</v>
      </c>
      <c r="C327" s="74">
        <f>Comp1[[#This Row],[Comparable '#1 Price]]/'Comparable #1'!$B$2*100</f>
        <v>106.43394934976045</v>
      </c>
      <c r="D327" s="74">
        <f>Comp2[[#This Row],[Comparable '#2 Price]]/'Comparable #2'!$B$2*100</f>
        <v>72.132796780684103</v>
      </c>
      <c r="E327" s="74">
        <f>Comp3[[#This Row],[Comparable '#3 Price]]/'Comparable #3'!$B$2*100</f>
        <v>110.77553109802918</v>
      </c>
    </row>
    <row r="328" spans="1:5">
      <c r="A328" s="96">
        <v>43759</v>
      </c>
      <c r="B328" s="74">
        <f>Target1[[#This Row],[Target Price]]/Target!$B$2*100</f>
        <v>147.46945898778358</v>
      </c>
      <c r="C328" s="74">
        <f>Comp1[[#This Row],[Comparable '#1 Price]]/'Comparable #1'!$B$2*100</f>
        <v>107.46064339493498</v>
      </c>
      <c r="D328" s="74">
        <f>Comp2[[#This Row],[Comparable '#2 Price]]/'Comparable #2'!$B$2*100</f>
        <v>72.937625754527161</v>
      </c>
      <c r="E328" s="74">
        <f>Comp3[[#This Row],[Comparable '#3 Price]]/'Comparable #3'!$B$2*100</f>
        <v>110.30628785939767</v>
      </c>
    </row>
    <row r="329" spans="1:5">
      <c r="A329" s="96">
        <v>43760</v>
      </c>
      <c r="B329" s="74">
        <f>Target1[[#This Row],[Target Price]]/Target!$B$2*100</f>
        <v>144.61896451425247</v>
      </c>
      <c r="C329" s="74">
        <f>Comp1[[#This Row],[Comparable '#1 Price]]/'Comparable #1'!$B$2*100</f>
        <v>106.12594113620808</v>
      </c>
      <c r="D329" s="74">
        <f>Comp2[[#This Row],[Comparable '#2 Price]]/'Comparable #2'!$B$2*100</f>
        <v>73.098591549295762</v>
      </c>
      <c r="E329" s="74">
        <f>Comp3[[#This Row],[Comparable '#3 Price]]/'Comparable #3'!$B$2*100</f>
        <v>109.15450900093848</v>
      </c>
    </row>
    <row r="330" spans="1:5">
      <c r="A330" s="96">
        <v>43761</v>
      </c>
      <c r="B330" s="74">
        <f>Target1[[#This Row],[Target Price]]/Target!$B$2*100</f>
        <v>122.68760907504361</v>
      </c>
      <c r="C330" s="74">
        <f>Comp1[[#This Row],[Comparable '#1 Price]]/'Comparable #1'!$B$2*100</f>
        <v>108.69267624914443</v>
      </c>
      <c r="D330" s="74">
        <f>Comp2[[#This Row],[Comparable '#2 Price]]/'Comparable #2'!$B$2*100</f>
        <v>73.380281690140833</v>
      </c>
      <c r="E330" s="74">
        <f>Comp3[[#This Row],[Comparable '#3 Price]]/'Comparable #3'!$B$2*100</f>
        <v>107.50789181810427</v>
      </c>
    </row>
    <row r="331" spans="1:5">
      <c r="A331" s="96">
        <v>43762</v>
      </c>
      <c r="B331" s="74">
        <f>Target1[[#This Row],[Target Price]]/Target!$B$2*100</f>
        <v>116.69575334496798</v>
      </c>
      <c r="C331" s="74">
        <f>Comp1[[#This Row],[Comparable '#1 Price]]/'Comparable #1'!$B$2*100</f>
        <v>107.11841204654347</v>
      </c>
      <c r="D331" s="74">
        <f>Comp2[[#This Row],[Comparable '#2 Price]]/'Comparable #2'!$B$2*100</f>
        <v>72.696177062374247</v>
      </c>
      <c r="E331" s="74">
        <f>Comp3[[#This Row],[Comparable '#3 Price]]/'Comparable #3'!$B$2*100</f>
        <v>109.90529818274892</v>
      </c>
    </row>
    <row r="332" spans="1:5">
      <c r="A332" s="96">
        <v>43763</v>
      </c>
      <c r="B332" s="74">
        <f>Target1[[#This Row],[Target Price]]/Target!$B$2*100</f>
        <v>124.95636998254798</v>
      </c>
      <c r="C332" s="74">
        <f>Comp1[[#This Row],[Comparable '#1 Price]]/'Comparable #1'!$B$2*100</f>
        <v>108.00821355236138</v>
      </c>
      <c r="D332" s="74">
        <f>Comp2[[#This Row],[Comparable '#2 Price]]/'Comparable #2'!$B$2*100</f>
        <v>73.380281690140833</v>
      </c>
      <c r="E332" s="74">
        <f>Comp3[[#This Row],[Comparable '#3 Price]]/'Comparable #3'!$B$2*100</f>
        <v>111.9529050422319</v>
      </c>
    </row>
    <row r="333" spans="1:5">
      <c r="A333" s="96">
        <v>43766</v>
      </c>
      <c r="B333" s="74">
        <f>Target1[[#This Row],[Target Price]]/Target!$B$2*100</f>
        <v>123.32751599767305</v>
      </c>
      <c r="C333" s="74">
        <f>Comp1[[#This Row],[Comparable '#1 Price]]/'Comparable #1'!$B$2*100</f>
        <v>108.07665982203969</v>
      </c>
      <c r="D333" s="74">
        <f>Comp2[[#This Row],[Comparable '#2 Price]]/'Comparable #2'!$B$2*100</f>
        <v>73.943661971830977</v>
      </c>
      <c r="E333" s="74">
        <f>Comp3[[#This Row],[Comparable '#3 Price]]/'Comparable #3'!$B$2*100</f>
        <v>109.77732275403123</v>
      </c>
    </row>
    <row r="334" spans="1:5">
      <c r="A334" s="96">
        <v>43767</v>
      </c>
      <c r="B334" s="74">
        <f>Target1[[#This Row],[Target Price]]/Target!$B$2*100</f>
        <v>121.29144851657941</v>
      </c>
      <c r="C334" s="74">
        <f>Comp1[[#This Row],[Comparable '#1 Price]]/'Comparable #1'!$B$2*100</f>
        <v>108.69267624914443</v>
      </c>
      <c r="D334" s="74">
        <f>Comp2[[#This Row],[Comparable '#2 Price]]/'Comparable #2'!$B$2*100</f>
        <v>73.521126760563376</v>
      </c>
      <c r="E334" s="74">
        <f>Comp3[[#This Row],[Comparable '#3 Price]]/'Comparable #3'!$B$2*100</f>
        <v>109.74319597303986</v>
      </c>
    </row>
    <row r="335" spans="1:5">
      <c r="A335" s="96">
        <v>43768</v>
      </c>
      <c r="B335" s="74">
        <f>Target1[[#This Row],[Target Price]]/Target!$B$2*100</f>
        <v>117.21931355439207</v>
      </c>
      <c r="C335" s="74">
        <f>Comp1[[#This Row],[Comparable '#1 Price]]/'Comparable #1'!$B$2*100</f>
        <v>106.09171800136895</v>
      </c>
      <c r="D335" s="74">
        <f>Comp2[[#This Row],[Comparable '#2 Price]]/'Comparable #2'!$B$2*100</f>
        <v>59.758551307847071</v>
      </c>
      <c r="E335" s="74">
        <f>Comp3[[#This Row],[Comparable '#3 Price]]/'Comparable #3'!$B$2*100</f>
        <v>108.4463782953673</v>
      </c>
    </row>
    <row r="336" spans="1:5">
      <c r="A336" s="96">
        <v>43769</v>
      </c>
      <c r="B336" s="74">
        <f>Target1[[#This Row],[Target Price]]/Target!$B$2*100</f>
        <v>115.12507271669574</v>
      </c>
      <c r="C336" s="74">
        <f>Comp1[[#This Row],[Comparable '#1 Price]]/'Comparable #1'!$B$2*100</f>
        <v>105.78370978781658</v>
      </c>
      <c r="D336" s="74">
        <f>Comp2[[#This Row],[Comparable '#2 Price]]/'Comparable #2'!$B$2*100</f>
        <v>59.919517102615693</v>
      </c>
      <c r="E336" s="74">
        <f>Comp3[[#This Row],[Comparable '#3 Price]]/'Comparable #3'!$B$2*100</f>
        <v>104.96544663424623</v>
      </c>
    </row>
    <row r="337" spans="1:5">
      <c r="A337" s="96">
        <v>43770</v>
      </c>
      <c r="B337" s="74">
        <f>Target1[[#This Row],[Target Price]]/Target!$B$2*100</f>
        <v>115.47411285631182</v>
      </c>
      <c r="C337" s="74">
        <f>Comp1[[#This Row],[Comparable '#1 Price]]/'Comparable #1'!$B$2*100</f>
        <v>106.77618069815196</v>
      </c>
      <c r="D337" s="74">
        <f>Comp2[[#This Row],[Comparable '#2 Price]]/'Comparable #2'!$B$2*100</f>
        <v>61.488933601609652</v>
      </c>
      <c r="E337" s="74">
        <f>Comp3[[#This Row],[Comparable '#3 Price]]/'Comparable #3'!$B$2*100</f>
        <v>105.38349970139068</v>
      </c>
    </row>
    <row r="338" spans="1:5">
      <c r="A338" s="96">
        <v>43773</v>
      </c>
      <c r="B338" s="74">
        <f>Target1[[#This Row],[Target Price]]/Target!$B$2*100</f>
        <v>116.17219313554389</v>
      </c>
      <c r="C338" s="74">
        <f>Comp1[[#This Row],[Comparable '#1 Price]]/'Comparable #1'!$B$2*100</f>
        <v>109.17180013689254</v>
      </c>
      <c r="D338" s="74">
        <f>Comp2[[#This Row],[Comparable '#2 Price]]/'Comparable #2'!$B$2*100</f>
        <v>62.012072434607646</v>
      </c>
      <c r="E338" s="74">
        <f>Comp3[[#This Row],[Comparable '#3 Price]]/'Comparable #3'!$B$2*100</f>
        <v>104.89719307226346</v>
      </c>
    </row>
    <row r="339" spans="1:5">
      <c r="A339" s="96">
        <v>43774</v>
      </c>
      <c r="B339" s="74">
        <f>Target1[[#This Row],[Target Price]]/Target!$B$2*100</f>
        <v>117.04479348458405</v>
      </c>
      <c r="C339" s="74">
        <f>Comp1[[#This Row],[Comparable '#1 Price]]/'Comparable #1'!$B$2*100</f>
        <v>108.82956878850104</v>
      </c>
      <c r="D339" s="74">
        <f>Comp2[[#This Row],[Comparable '#2 Price]]/'Comparable #2'!$B$2*100</f>
        <v>63.078470824949697</v>
      </c>
      <c r="E339" s="74">
        <f>Comp3[[#This Row],[Comparable '#3 Price]]/'Comparable #3'!$B$2*100</f>
        <v>105.27258766316866</v>
      </c>
    </row>
    <row r="340" spans="1:5">
      <c r="A340" s="96">
        <v>43775</v>
      </c>
      <c r="B340" s="74">
        <f>Target1[[#This Row],[Target Price]]/Target!$B$2*100</f>
        <v>116.98662012798138</v>
      </c>
      <c r="C340" s="74">
        <f>Comp1[[#This Row],[Comparable '#1 Price]]/'Comparable #1'!$B$2*100</f>
        <v>110.9514031485284</v>
      </c>
      <c r="D340" s="74">
        <f>Comp2[[#This Row],[Comparable '#2 Price]]/'Comparable #2'!$B$2*100</f>
        <v>63.863179074446677</v>
      </c>
      <c r="E340" s="74">
        <f>Comp3[[#This Row],[Comparable '#3 Price]]/'Comparable #3'!$B$2*100</f>
        <v>104.16346728094874</v>
      </c>
    </row>
    <row r="341" spans="1:5">
      <c r="A341" s="96">
        <v>43776</v>
      </c>
      <c r="B341" s="74">
        <f>Target1[[#This Row],[Target Price]]/Target!$B$2*100</f>
        <v>115.18324607329842</v>
      </c>
      <c r="C341" s="74">
        <f>Comp1[[#This Row],[Comparable '#1 Price]]/'Comparable #1'!$B$2*100</f>
        <v>115.33196440793978</v>
      </c>
      <c r="D341" s="74">
        <f>Comp2[[#This Row],[Comparable '#2 Price]]/'Comparable #2'!$B$2*100</f>
        <v>64.024144869215291</v>
      </c>
      <c r="E341" s="74">
        <f>Comp3[[#This Row],[Comparable '#3 Price]]/'Comparable #3'!$B$2*100</f>
        <v>112.72075761453802</v>
      </c>
    </row>
    <row r="342" spans="1:5">
      <c r="A342" s="96">
        <v>43777</v>
      </c>
      <c r="B342" s="74">
        <f>Target1[[#This Row],[Target Price]]/Target!$B$2*100</f>
        <v>115.47411285631182</v>
      </c>
      <c r="C342" s="74">
        <f>Comp1[[#This Row],[Comparable '#1 Price]]/'Comparable #1'!$B$2*100</f>
        <v>114.09993155373033</v>
      </c>
      <c r="D342" s="74">
        <f>Comp2[[#This Row],[Comparable '#2 Price]]/'Comparable #2'!$B$2*100</f>
        <v>63.943661971830991</v>
      </c>
      <c r="E342" s="74">
        <f>Comp3[[#This Row],[Comparable '#3 Price]]/'Comparable #3'!$B$2*100</f>
        <v>114.22233597815887</v>
      </c>
    </row>
    <row r="343" spans="1:5">
      <c r="A343" s="96">
        <v>43780</v>
      </c>
      <c r="B343" s="74">
        <f>Target1[[#This Row],[Target Price]]/Target!$B$2*100</f>
        <v>115.82315299592784</v>
      </c>
      <c r="C343" s="74">
        <f>Comp1[[#This Row],[Comparable '#1 Price]]/'Comparable #1'!$B$2*100</f>
        <v>114.51060917180014</v>
      </c>
      <c r="D343" s="74">
        <f>Comp2[[#This Row],[Comparable '#2 Price]]/'Comparable #2'!$B$2*100</f>
        <v>64.366197183098578</v>
      </c>
      <c r="E343" s="74">
        <f>Comp3[[#This Row],[Comparable '#3 Price]]/'Comparable #3'!$B$2*100</f>
        <v>118.19810596365498</v>
      </c>
    </row>
    <row r="344" spans="1:5">
      <c r="A344" s="96">
        <v>43781</v>
      </c>
      <c r="B344" s="74">
        <f>Target1[[#This Row],[Target Price]]/Target!$B$2*100</f>
        <v>116.17219313554389</v>
      </c>
      <c r="C344" s="74">
        <f>Comp1[[#This Row],[Comparable '#1 Price]]/'Comparable #1'!$B$2*100</f>
        <v>114.92128678986995</v>
      </c>
      <c r="D344" s="74">
        <f>Comp2[[#This Row],[Comparable '#2 Price]]/'Comparable #2'!$B$2*100</f>
        <v>65.472837022132794</v>
      </c>
      <c r="E344" s="74">
        <f>Comp3[[#This Row],[Comparable '#3 Price]]/'Comparable #3'!$B$2*100</f>
        <v>117.96775019196315</v>
      </c>
    </row>
    <row r="345" spans="1:5">
      <c r="A345" s="96">
        <v>43782</v>
      </c>
      <c r="B345" s="74">
        <f>Target1[[#This Row],[Target Price]]/Target!$B$2*100</f>
        <v>115.35776614310645</v>
      </c>
      <c r="C345" s="74">
        <f>Comp1[[#This Row],[Comparable '#1 Price]]/'Comparable #1'!$B$2*100</f>
        <v>115.26351813826147</v>
      </c>
      <c r="D345" s="74">
        <f>Comp2[[#This Row],[Comparable '#2 Price]]/'Comparable #2'!$B$2*100</f>
        <v>65.150905432595579</v>
      </c>
      <c r="E345" s="74">
        <f>Comp3[[#This Row],[Comparable '#3 Price]]/'Comparable #3'!$B$2*100</f>
        <v>115.54474874157496</v>
      </c>
    </row>
    <row r="346" spans="1:5">
      <c r="A346" s="96">
        <v>43783</v>
      </c>
      <c r="B346" s="74">
        <f>Target1[[#This Row],[Target Price]]/Target!$B$2*100</f>
        <v>116.63757998836533</v>
      </c>
      <c r="C346" s="74">
        <f>Comp1[[#This Row],[Comparable '#1 Price]]/'Comparable #1'!$B$2*100</f>
        <v>115.05817932922655</v>
      </c>
      <c r="D346" s="74">
        <f>Comp2[[#This Row],[Comparable '#2 Price]]/'Comparable #2'!$B$2*100</f>
        <v>66.639839034205224</v>
      </c>
      <c r="E346" s="74">
        <f>Comp3[[#This Row],[Comparable '#3 Price]]/'Comparable #3'!$B$2*100</f>
        <v>116.35525979012029</v>
      </c>
    </row>
    <row r="347" spans="1:5">
      <c r="A347" s="96">
        <v>43784</v>
      </c>
      <c r="B347" s="74">
        <f>Target1[[#This Row],[Target Price]]/Target!$B$2*100</f>
        <v>117.33566026759745</v>
      </c>
      <c r="C347" s="74">
        <f>Comp1[[#This Row],[Comparable '#1 Price]]/'Comparable #1'!$B$2*100</f>
        <v>114.85284052019166</v>
      </c>
      <c r="D347" s="74">
        <f>Comp2[[#This Row],[Comparable '#2 Price]]/'Comparable #2'!$B$2*100</f>
        <v>67.605633802816897</v>
      </c>
      <c r="E347" s="74">
        <f>Comp3[[#This Row],[Comparable '#3 Price]]/'Comparable #3'!$B$2*100</f>
        <v>118.19810596365498</v>
      </c>
    </row>
    <row r="348" spans="1:5">
      <c r="A348" s="96">
        <v>43787</v>
      </c>
      <c r="B348" s="74">
        <f>Target1[[#This Row],[Target Price]]/Target!$B$2*100</f>
        <v>117.10296684118673</v>
      </c>
      <c r="C348" s="74">
        <f>Comp1[[#This Row],[Comparable '#1 Price]]/'Comparable #1'!$B$2*100</f>
        <v>115.05817932922655</v>
      </c>
      <c r="D348" s="74">
        <f>Comp2[[#This Row],[Comparable '#2 Price]]/'Comparable #2'!$B$2*100</f>
        <v>68.490945674044255</v>
      </c>
      <c r="E348" s="74">
        <f>Comp3[[#This Row],[Comparable '#3 Price]]/'Comparable #3'!$B$2*100</f>
        <v>117.57529221056224</v>
      </c>
    </row>
    <row r="349" spans="1:5">
      <c r="A349" s="96">
        <v>43788</v>
      </c>
      <c r="B349" s="74">
        <f>Target1[[#This Row],[Target Price]]/Target!$B$2*100</f>
        <v>114.36881908086096</v>
      </c>
      <c r="C349" s="74">
        <f>Comp1[[#This Row],[Comparable '#1 Price]]/'Comparable #1'!$B$2*100</f>
        <v>113.75770020533882</v>
      </c>
      <c r="D349" s="74">
        <f>Comp2[[#This Row],[Comparable '#2 Price]]/'Comparable #2'!$B$2*100</f>
        <v>69.134808853118713</v>
      </c>
      <c r="E349" s="74">
        <f>Comp3[[#This Row],[Comparable '#3 Price]]/'Comparable #3'!$B$2*100</f>
        <v>118.26635952563775</v>
      </c>
    </row>
    <row r="350" spans="1:5">
      <c r="A350" s="96">
        <v>43789</v>
      </c>
      <c r="B350" s="74">
        <f>Target1[[#This Row],[Target Price]]/Target!$B$2*100</f>
        <v>114.83420593368237</v>
      </c>
      <c r="C350" s="74">
        <f>Comp1[[#This Row],[Comparable '#1 Price]]/'Comparable #1'!$B$2*100</f>
        <v>113.1416837782341</v>
      </c>
      <c r="D350" s="74">
        <f>Comp2[[#This Row],[Comparable '#2 Price]]/'Comparable #2'!$B$2*100</f>
        <v>69.456740442655942</v>
      </c>
      <c r="E350" s="74">
        <f>Comp3[[#This Row],[Comparable '#3 Price]]/'Comparable #3'!$B$2*100</f>
        <v>118.12132070642436</v>
      </c>
    </row>
    <row r="351" spans="1:5">
      <c r="A351" s="96">
        <v>43790</v>
      </c>
      <c r="B351" s="74">
        <f>Target1[[#This Row],[Target Price]]/Target!$B$2*100</f>
        <v>117.91739383362419</v>
      </c>
      <c r="C351" s="74">
        <f>Comp1[[#This Row],[Comparable '#1 Price]]/'Comparable #1'!$B$2*100</f>
        <v>112.11498973305956</v>
      </c>
      <c r="D351" s="74">
        <f>Comp2[[#This Row],[Comparable '#2 Price]]/'Comparable #2'!$B$2*100</f>
        <v>68.108651911468812</v>
      </c>
      <c r="E351" s="74">
        <f>Comp3[[#This Row],[Comparable '#3 Price]]/'Comparable #3'!$B$2*100</f>
        <v>117.2852145721355</v>
      </c>
    </row>
    <row r="352" spans="1:5">
      <c r="A352" s="96">
        <v>43791</v>
      </c>
      <c r="B352" s="74">
        <f>Target1[[#This Row],[Target Price]]/Target!$B$2*100</f>
        <v>115.82315299592784</v>
      </c>
      <c r="C352" s="74">
        <f>Comp1[[#This Row],[Comparable '#1 Price]]/'Comparable #1'!$B$2*100</f>
        <v>112.93634496919918</v>
      </c>
      <c r="D352" s="74">
        <f>Comp2[[#This Row],[Comparable '#2 Price]]/'Comparable #2'!$B$2*100</f>
        <v>68.470824949698184</v>
      </c>
      <c r="E352" s="74">
        <f>Comp3[[#This Row],[Comparable '#3 Price]]/'Comparable #3'!$B$2*100</f>
        <v>117.60088729630579</v>
      </c>
    </row>
    <row r="353" spans="1:5">
      <c r="A353" s="96">
        <v>43794</v>
      </c>
      <c r="B353" s="74">
        <f>Target1[[#This Row],[Target Price]]/Target!$B$2*100</f>
        <v>117.21931355439207</v>
      </c>
      <c r="C353" s="74">
        <f>Comp1[[#This Row],[Comparable '#1 Price]]/'Comparable #1'!$B$2*100</f>
        <v>115.57152635181384</v>
      </c>
      <c r="D353" s="74">
        <f>Comp2[[#This Row],[Comparable '#2 Price]]/'Comparable #2'!$B$2*100</f>
        <v>70.90543259557343</v>
      </c>
      <c r="E353" s="74">
        <f>Comp3[[#This Row],[Comparable '#3 Price]]/'Comparable #3'!$B$2*100</f>
        <v>121.44868185308422</v>
      </c>
    </row>
    <row r="354" spans="1:5">
      <c r="A354" s="96">
        <v>43795</v>
      </c>
      <c r="B354" s="74">
        <f>Target1[[#This Row],[Target Price]]/Target!$B$2*100</f>
        <v>113.20535194880745</v>
      </c>
      <c r="C354" s="74">
        <f>Comp1[[#This Row],[Comparable '#1 Price]]/'Comparable #1'!$B$2*100</f>
        <v>118.06981519507187</v>
      </c>
      <c r="D354" s="74">
        <f>Comp2[[#This Row],[Comparable '#2 Price]]/'Comparable #2'!$B$2*100</f>
        <v>69.899396378269614</v>
      </c>
      <c r="E354" s="74">
        <f>Comp3[[#This Row],[Comparable '#3 Price]]/'Comparable #3'!$B$2*100</f>
        <v>123.02704547393566</v>
      </c>
    </row>
    <row r="355" spans="1:5">
      <c r="A355" s="96">
        <v>43796</v>
      </c>
      <c r="B355" s="74">
        <f>Target1[[#This Row],[Target Price]]/Target!$B$2*100</f>
        <v>115.47411285631182</v>
      </c>
      <c r="C355" s="74">
        <f>Comp1[[#This Row],[Comparable '#1 Price]]/'Comparable #1'!$B$2*100</f>
        <v>118.30937713894593</v>
      </c>
      <c r="D355" s="74">
        <f>Comp2[[#This Row],[Comparable '#2 Price]]/'Comparable #2'!$B$2*100</f>
        <v>68.189134808853112</v>
      </c>
      <c r="E355" s="74">
        <f>Comp3[[#This Row],[Comparable '#3 Price]]/'Comparable #3'!$B$2*100</f>
        <v>121.55106219605835</v>
      </c>
    </row>
    <row r="356" spans="1:5">
      <c r="A356" s="96">
        <v>43798</v>
      </c>
      <c r="B356" s="74">
        <f>Target1[[#This Row],[Target Price]]/Target!$B$2*100</f>
        <v>114.31064572425826</v>
      </c>
      <c r="C356" s="74">
        <f>Comp1[[#This Row],[Comparable '#1 Price]]/'Comparable #1'!$B$2*100</f>
        <v>118.75427789185491</v>
      </c>
      <c r="D356" s="74">
        <f>Comp2[[#This Row],[Comparable '#2 Price]]/'Comparable #2'!$B$2*100</f>
        <v>67.867203219315883</v>
      </c>
      <c r="E356" s="74">
        <f>Comp3[[#This Row],[Comparable '#3 Price]]/'Comparable #3'!$B$2*100</f>
        <v>120.92824844296564</v>
      </c>
    </row>
    <row r="357" spans="1:5">
      <c r="A357" s="96">
        <v>43801</v>
      </c>
      <c r="B357" s="74">
        <f>Target1[[#This Row],[Target Price]]/Target!$B$2*100</f>
        <v>112.27457824316463</v>
      </c>
      <c r="C357" s="74">
        <f>Comp1[[#This Row],[Comparable '#1 Price]]/'Comparable #1'!$B$2*100</f>
        <v>115.74264202600959</v>
      </c>
      <c r="D357" s="74">
        <f>Comp2[[#This Row],[Comparable '#2 Price]]/'Comparable #2'!$B$2*100</f>
        <v>67.867203219315883</v>
      </c>
      <c r="E357" s="74">
        <f>Comp3[[#This Row],[Comparable '#3 Price]]/'Comparable #3'!$B$2*100</f>
        <v>121.58518897704973</v>
      </c>
    </row>
    <row r="358" spans="1:5">
      <c r="A358" s="96">
        <v>43802</v>
      </c>
      <c r="B358" s="74">
        <f>Target1[[#This Row],[Target Price]]/Target!$B$2*100</f>
        <v>112.97265852239676</v>
      </c>
      <c r="C358" s="74">
        <f>Comp1[[#This Row],[Comparable '#1 Price]]/'Comparable #1'!$B$2*100</f>
        <v>113.1416837782341</v>
      </c>
      <c r="D358" s="74">
        <f>Comp2[[#This Row],[Comparable '#2 Price]]/'Comparable #2'!$B$2*100</f>
        <v>66.639839034205224</v>
      </c>
      <c r="E358" s="74">
        <f>Comp3[[#This Row],[Comparable '#3 Price]]/'Comparable #3'!$B$2*100</f>
        <v>121.81554474874159</v>
      </c>
    </row>
    <row r="359" spans="1:5">
      <c r="A359" s="96">
        <v>43803</v>
      </c>
      <c r="B359" s="74">
        <f>Target1[[#This Row],[Target Price]]/Target!$B$2*100</f>
        <v>112.62361838278068</v>
      </c>
      <c r="C359" s="74">
        <f>Comp1[[#This Row],[Comparable '#1 Price]]/'Comparable #1'!$B$2*100</f>
        <v>113.41546885694731</v>
      </c>
      <c r="D359" s="74">
        <f>Comp2[[#This Row],[Comparable '#2 Price]]/'Comparable #2'!$B$2*100</f>
        <v>66.720321931589524</v>
      </c>
      <c r="E359" s="74">
        <f>Comp3[[#This Row],[Comparable '#3 Price]]/'Comparable #3'!$B$2*100</f>
        <v>123.72664448425903</v>
      </c>
    </row>
    <row r="360" spans="1:5">
      <c r="A360" s="96">
        <v>43804</v>
      </c>
      <c r="B360" s="74">
        <f>Target1[[#This Row],[Target Price]]/Target!$B$2*100</f>
        <v>110.29668411867364</v>
      </c>
      <c r="C360" s="74">
        <f>Comp1[[#This Row],[Comparable '#1 Price]]/'Comparable #1'!$B$2*100</f>
        <v>112.73100616016427</v>
      </c>
      <c r="D360" s="74">
        <f>Comp2[[#This Row],[Comparable '#2 Price]]/'Comparable #2'!$B$2*100</f>
        <v>65.955734406438623</v>
      </c>
      <c r="E360" s="74">
        <f>Comp3[[#This Row],[Comparable '#3 Price]]/'Comparable #3'!$B$2*100</f>
        <v>122.02030543468989</v>
      </c>
    </row>
    <row r="361" spans="1:5">
      <c r="A361" s="96">
        <v>43805</v>
      </c>
      <c r="B361" s="74">
        <f>Target1[[#This Row],[Target Price]]/Target!$B$2*100</f>
        <v>111.8091913903432</v>
      </c>
      <c r="C361" s="74">
        <f>Comp1[[#This Row],[Comparable '#1 Price]]/'Comparable #1'!$B$2*100</f>
        <v>113.96303901437371</v>
      </c>
      <c r="D361" s="74">
        <f>Comp2[[#This Row],[Comparable '#2 Price]]/'Comparable #2'!$B$2*100</f>
        <v>67.726358148893354</v>
      </c>
      <c r="E361" s="74">
        <f>Comp3[[#This Row],[Comparable '#3 Price]]/'Comparable #3'!$B$2*100</f>
        <v>124.33239484685608</v>
      </c>
    </row>
    <row r="362" spans="1:5">
      <c r="A362" s="96">
        <v>43808</v>
      </c>
      <c r="B362" s="74">
        <f>Target1[[#This Row],[Target Price]]/Target!$B$2*100</f>
        <v>113.37987201861546</v>
      </c>
      <c r="C362" s="74">
        <f>Comp1[[#This Row],[Comparable '#1 Price]]/'Comparable #1'!$B$2*100</f>
        <v>111.29363449691994</v>
      </c>
      <c r="D362" s="74">
        <f>Comp2[[#This Row],[Comparable '#2 Price]]/'Comparable #2'!$B$2*100</f>
        <v>67.323943661971825</v>
      </c>
      <c r="E362" s="74">
        <f>Comp3[[#This Row],[Comparable '#3 Price]]/'Comparable #3'!$B$2*100</f>
        <v>124.92961351420529</v>
      </c>
    </row>
    <row r="363" spans="1:5">
      <c r="A363" s="96">
        <v>43809</v>
      </c>
      <c r="B363" s="74">
        <f>Target1[[#This Row],[Target Price]]/Target!$B$2*100</f>
        <v>113.72891215823154</v>
      </c>
      <c r="C363" s="74">
        <f>Comp1[[#This Row],[Comparable '#1 Price]]/'Comparable #1'!$B$2*100</f>
        <v>112.38877481177279</v>
      </c>
      <c r="D363" s="74">
        <f>Comp2[[#This Row],[Comparable '#2 Price]]/'Comparable #2'!$B$2*100</f>
        <v>67.927565392354111</v>
      </c>
      <c r="E363" s="74">
        <f>Comp3[[#This Row],[Comparable '#3 Price]]/'Comparable #3'!$B$2*100</f>
        <v>126.30321644910845</v>
      </c>
    </row>
    <row r="364" spans="1:5">
      <c r="A364" s="96">
        <v>43810</v>
      </c>
      <c r="B364" s="74">
        <f>Target1[[#This Row],[Target Price]]/Target!$B$2*100</f>
        <v>114.25247236765561</v>
      </c>
      <c r="C364" s="74">
        <f>Comp1[[#This Row],[Comparable '#1 Price]]/'Comparable #1'!$B$2*100</f>
        <v>113.48391512662559</v>
      </c>
      <c r="D364" s="74">
        <f>Comp2[[#This Row],[Comparable '#2 Price]]/'Comparable #2'!$B$2*100</f>
        <v>68.048289738430583</v>
      </c>
      <c r="E364" s="74">
        <f>Comp3[[#This Row],[Comparable '#3 Price]]/'Comparable #3'!$B$2*100</f>
        <v>124.34945823735177</v>
      </c>
    </row>
    <row r="365" spans="1:5">
      <c r="A365" s="96">
        <v>43811</v>
      </c>
      <c r="B365" s="74">
        <f>Target1[[#This Row],[Target Price]]/Target!$B$2*100</f>
        <v>114.77603257707969</v>
      </c>
      <c r="C365" s="74">
        <f>Comp1[[#This Row],[Comparable '#1 Price]]/'Comparable #1'!$B$2*100</f>
        <v>115.05817932922655</v>
      </c>
      <c r="D365" s="74">
        <f>Comp2[[#This Row],[Comparable '#2 Price]]/'Comparable #2'!$B$2*100</f>
        <v>70.382293762575443</v>
      </c>
      <c r="E365" s="74">
        <f>Comp3[[#This Row],[Comparable '#3 Price]]/'Comparable #3'!$B$2*100</f>
        <v>126.66154764951798</v>
      </c>
    </row>
    <row r="366" spans="1:5">
      <c r="A366" s="96">
        <v>43812</v>
      </c>
      <c r="B366" s="74">
        <f>Target1[[#This Row],[Target Price]]/Target!$B$2*100</f>
        <v>113.84525887143688</v>
      </c>
      <c r="C366" s="74">
        <f>Comp1[[#This Row],[Comparable '#1 Price]]/'Comparable #1'!$B$2*100</f>
        <v>117.31690622861055</v>
      </c>
      <c r="D366" s="74">
        <f>Comp2[[#This Row],[Comparable '#2 Price]]/'Comparable #2'!$B$2*100</f>
        <v>69.899396378269614</v>
      </c>
      <c r="E366" s="74">
        <f>Comp3[[#This Row],[Comparable '#3 Price]]/'Comparable #3'!$B$2*100</f>
        <v>126.03873389642521</v>
      </c>
    </row>
    <row r="367" spans="1:5">
      <c r="A367" s="96">
        <v>43815</v>
      </c>
      <c r="B367" s="74">
        <f>Target1[[#This Row],[Target Price]]/Target!$B$2*100</f>
        <v>115.12507271669574</v>
      </c>
      <c r="C367" s="74">
        <f>Comp1[[#This Row],[Comparable '#1 Price]]/'Comparable #1'!$B$2*100</f>
        <v>116.76933607118411</v>
      </c>
      <c r="D367" s="74">
        <f>Comp2[[#This Row],[Comparable '#2 Price]]/'Comparable #2'!$B$2*100</f>
        <v>68.832997987927556</v>
      </c>
      <c r="E367" s="74">
        <f>Comp3[[#This Row],[Comparable '#3 Price]]/'Comparable #3'!$B$2*100</f>
        <v>126.64448425902228</v>
      </c>
    </row>
    <row r="368" spans="1:5">
      <c r="A368" s="96">
        <v>43816</v>
      </c>
      <c r="B368" s="74">
        <f>Target1[[#This Row],[Target Price]]/Target!$B$2*100</f>
        <v>118.6154741128563</v>
      </c>
      <c r="C368" s="74">
        <f>Comp1[[#This Row],[Comparable '#1 Price]]/'Comparable #1'!$B$2*100</f>
        <v>118.75427789185491</v>
      </c>
      <c r="D368" s="74">
        <f>Comp2[[#This Row],[Comparable '#2 Price]]/'Comparable #2'!$B$2*100</f>
        <v>68.913480885311856</v>
      </c>
      <c r="E368" s="74">
        <f>Comp3[[#This Row],[Comparable '#3 Price]]/'Comparable #3'!$B$2*100</f>
        <v>128.56411568978757</v>
      </c>
    </row>
    <row r="369" spans="1:5">
      <c r="A369" s="96">
        <v>43817</v>
      </c>
      <c r="B369" s="74">
        <f>Target1[[#This Row],[Target Price]]/Target!$B$2*100</f>
        <v>116.69575334496798</v>
      </c>
      <c r="C369" s="74">
        <f>Comp1[[#This Row],[Comparable '#1 Price]]/'Comparable #1'!$B$2*100</f>
        <v>119.64407939767283</v>
      </c>
      <c r="D369" s="74">
        <f>Comp2[[#This Row],[Comparable '#2 Price]]/'Comparable #2'!$B$2*100</f>
        <v>69.195171026156942</v>
      </c>
      <c r="E369" s="74">
        <f>Comp3[[#This Row],[Comparable '#3 Price]]/'Comparable #3'!$B$2*100</f>
        <v>131.11509256889343</v>
      </c>
    </row>
    <row r="370" spans="1:5">
      <c r="A370" s="96">
        <v>43818</v>
      </c>
      <c r="B370" s="74">
        <f>Target1[[#This Row],[Target Price]]/Target!$B$2*100</f>
        <v>115.00872600349039</v>
      </c>
      <c r="C370" s="74">
        <f>Comp1[[#This Row],[Comparable '#1 Price]]/'Comparable #1'!$B$2*100</f>
        <v>119.09650924024639</v>
      </c>
      <c r="D370" s="74">
        <f>Comp2[[#This Row],[Comparable '#2 Price]]/'Comparable #2'!$B$2*100</f>
        <v>68.99396378269617</v>
      </c>
      <c r="E370" s="74">
        <f>Comp3[[#This Row],[Comparable '#3 Price]]/'Comparable #3'!$B$2*100</f>
        <v>130.44108864431362</v>
      </c>
    </row>
    <row r="371" spans="1:5">
      <c r="A371" s="96">
        <v>43819</v>
      </c>
      <c r="B371" s="74">
        <f>Target1[[#This Row],[Target Price]]/Target!$B$2*100</f>
        <v>116.52123327515997</v>
      </c>
      <c r="C371" s="74">
        <f>Comp1[[#This Row],[Comparable '#1 Price]]/'Comparable #1'!$B$2*100</f>
        <v>119.78097193702943</v>
      </c>
      <c r="D371" s="74">
        <f>Comp2[[#This Row],[Comparable '#2 Price]]/'Comparable #2'!$B$2*100</f>
        <v>70.462776659959758</v>
      </c>
      <c r="E371" s="74">
        <f>Comp3[[#This Row],[Comparable '#3 Price]]/'Comparable #3'!$B$2*100</f>
        <v>130.59465915877485</v>
      </c>
    </row>
    <row r="372" spans="1:5">
      <c r="A372" s="96">
        <v>43822</v>
      </c>
      <c r="B372" s="74">
        <f>Target1[[#This Row],[Target Price]]/Target!$B$2*100</f>
        <v>115.82315299592784</v>
      </c>
      <c r="C372" s="74">
        <f>Comp1[[#This Row],[Comparable '#1 Price]]/'Comparable #1'!$B$2*100</f>
        <v>121.7659137577002</v>
      </c>
      <c r="D372" s="74">
        <f>Comp2[[#This Row],[Comparable '#2 Price]]/'Comparable #2'!$B$2*100</f>
        <v>69.517102615694156</v>
      </c>
      <c r="E372" s="74">
        <f>Comp3[[#This Row],[Comparable '#3 Price]]/'Comparable #3'!$B$2*100</f>
        <v>131.31985325484172</v>
      </c>
    </row>
    <row r="373" spans="1:5">
      <c r="A373" s="96">
        <v>43823</v>
      </c>
      <c r="B373" s="74">
        <f>Target1[[#This Row],[Target Price]]/Target!$B$2*100</f>
        <v>116.63757998836533</v>
      </c>
      <c r="C373" s="74">
        <f>Comp1[[#This Row],[Comparable '#1 Price]]/'Comparable #1'!$B$2*100</f>
        <v>121.56057494866532</v>
      </c>
      <c r="D373" s="74">
        <f>Comp2[[#This Row],[Comparable '#2 Price]]/'Comparable #2'!$B$2*100</f>
        <v>69.275653923541242</v>
      </c>
      <c r="E373" s="74">
        <f>Comp3[[#This Row],[Comparable '#3 Price]]/'Comparable #3'!$B$2*100</f>
        <v>131.8146915792168</v>
      </c>
    </row>
    <row r="374" spans="1:5">
      <c r="A374" s="96">
        <v>43825</v>
      </c>
      <c r="B374" s="74">
        <f>Target1[[#This Row],[Target Price]]/Target!$B$2*100</f>
        <v>115.9976730657359</v>
      </c>
      <c r="C374" s="74">
        <f>Comp1[[#This Row],[Comparable '#1 Price]]/'Comparable #1'!$B$2*100</f>
        <v>122.86105407255306</v>
      </c>
      <c r="D374" s="74">
        <f>Comp2[[#This Row],[Comparable '#2 Price]]/'Comparable #2'!$B$2*100</f>
        <v>70.663983903420515</v>
      </c>
      <c r="E374" s="74">
        <f>Comp3[[#This Row],[Comparable '#3 Price]]/'Comparable #3'!$B$2*100</f>
        <v>133.31626994283766</v>
      </c>
    </row>
    <row r="375" spans="1:5">
      <c r="A375" s="96">
        <v>43826</v>
      </c>
      <c r="B375" s="74">
        <f>Target1[[#This Row],[Target Price]]/Target!$B$2*100</f>
        <v>115.53228621291447</v>
      </c>
      <c r="C375" s="74">
        <f>Comp1[[#This Row],[Comparable '#1 Price]]/'Comparable #1'!$B$2*100</f>
        <v>121.62902121834361</v>
      </c>
      <c r="D375" s="74">
        <f>Comp2[[#This Row],[Comparable '#2 Price]]/'Comparable #2'!$B$2*100</f>
        <v>70.503018108651901</v>
      </c>
      <c r="E375" s="74">
        <f>Comp3[[#This Row],[Comparable '#3 Price]]/'Comparable #3'!$B$2*100</f>
        <v>133.41011859056394</v>
      </c>
    </row>
    <row r="376" spans="1:5">
      <c r="A376" s="96">
        <v>43829</v>
      </c>
      <c r="B376" s="74">
        <f>Target1[[#This Row],[Target Price]]/Target!$B$2*100</f>
        <v>115.47411285631182</v>
      </c>
      <c r="C376" s="74">
        <f>Comp1[[#This Row],[Comparable '#1 Price]]/'Comparable #1'!$B$2*100</f>
        <v>118.17248459958934</v>
      </c>
      <c r="D376" s="74">
        <f>Comp2[[#This Row],[Comparable '#2 Price]]/'Comparable #2'!$B$2*100</f>
        <v>69.798792756539228</v>
      </c>
      <c r="E376" s="74">
        <f>Comp3[[#This Row],[Comparable '#3 Price]]/'Comparable #3'!$B$2*100</f>
        <v>134.47658049654467</v>
      </c>
    </row>
    <row r="377" spans="1:5">
      <c r="A377" s="96">
        <v>43830</v>
      </c>
      <c r="B377" s="74">
        <f>Target1[[#This Row],[Target Price]]/Target!$B$2*100</f>
        <v>118.38278068644561</v>
      </c>
      <c r="C377" s="74">
        <f>Comp1[[#This Row],[Comparable '#1 Price]]/'Comparable #1'!$B$2*100</f>
        <v>120.53388090349075</v>
      </c>
      <c r="D377" s="74">
        <f>Comp2[[#This Row],[Comparable '#2 Price]]/'Comparable #2'!$B$2*100</f>
        <v>70.362173038229372</v>
      </c>
      <c r="E377" s="74">
        <f>Comp3[[#This Row],[Comparable '#3 Price]]/'Comparable #3'!$B$2*100</f>
        <v>135.56863748826893</v>
      </c>
    </row>
    <row r="378" spans="1:5">
      <c r="A378" s="96">
        <v>43832</v>
      </c>
      <c r="B378" s="74">
        <f>Target1[[#This Row],[Target Price]]/Target!$B$2*100</f>
        <v>117.10296684118673</v>
      </c>
      <c r="C378" s="74">
        <f>Comp1[[#This Row],[Comparable '#1 Price]]/'Comparable #1'!$B$2*100</f>
        <v>122.03969883641341</v>
      </c>
      <c r="D378" s="74">
        <f>Comp2[[#This Row],[Comparable '#2 Price]]/'Comparable #2'!$B$2*100</f>
        <v>69.798792756539228</v>
      </c>
      <c r="E378" s="74">
        <f>Comp3[[#This Row],[Comparable '#3 Price]]/'Comparable #3'!$B$2*100</f>
        <v>136.54125074652333</v>
      </c>
    </row>
    <row r="379" spans="1:5">
      <c r="A379" s="96">
        <v>43833</v>
      </c>
      <c r="B379" s="74">
        <f>Target1[[#This Row],[Target Price]]/Target!$B$2*100</f>
        <v>118.32460732984291</v>
      </c>
      <c r="C379" s="74">
        <f>Comp1[[#This Row],[Comparable '#1 Price]]/'Comparable #1'!$B$2*100</f>
        <v>122.62149212867899</v>
      </c>
      <c r="D379" s="74">
        <f>Comp2[[#This Row],[Comparable '#2 Price]]/'Comparable #2'!$B$2*100</f>
        <v>69.557344064386314</v>
      </c>
      <c r="E379" s="74">
        <f>Comp3[[#This Row],[Comparable '#3 Price]]/'Comparable #3'!$B$2*100</f>
        <v>136.14879276512244</v>
      </c>
    </row>
    <row r="380" spans="1:5">
      <c r="A380" s="96">
        <v>43836</v>
      </c>
      <c r="B380" s="74">
        <f>Target1[[#This Row],[Target Price]]/Target!$B$2*100</f>
        <v>119.25538103548574</v>
      </c>
      <c r="C380" s="74">
        <f>Comp1[[#This Row],[Comparable '#1 Price]]/'Comparable #1'!$B$2*100</f>
        <v>123.68240930869267</v>
      </c>
      <c r="D380" s="74">
        <f>Comp2[[#This Row],[Comparable '#2 Price]]/'Comparable #2'!$B$2*100</f>
        <v>70.684104627766601</v>
      </c>
      <c r="E380" s="74">
        <f>Comp3[[#This Row],[Comparable '#3 Price]]/'Comparable #3'!$B$2*100</f>
        <v>135.91843699343059</v>
      </c>
    </row>
    <row r="381" spans="1:5">
      <c r="A381" s="96">
        <v>43837</v>
      </c>
      <c r="B381" s="74">
        <f>Target1[[#This Row],[Target Price]]/Target!$B$2*100</f>
        <v>120.41884816753925</v>
      </c>
      <c r="C381" s="74">
        <f>Comp1[[#This Row],[Comparable '#1 Price]]/'Comparable #1'!$B$2*100</f>
        <v>124.36687200547571</v>
      </c>
      <c r="D381" s="74">
        <f>Comp2[[#This Row],[Comparable '#2 Price]]/'Comparable #2'!$B$2*100</f>
        <v>71.408450704225359</v>
      </c>
      <c r="E381" s="74">
        <f>Comp3[[#This Row],[Comparable '#3 Price]]/'Comparable #3'!$B$2*100</f>
        <v>136.25117310809657</v>
      </c>
    </row>
    <row r="382" spans="1:5">
      <c r="A382" s="96">
        <v>43838</v>
      </c>
      <c r="B382" s="74">
        <f>Target1[[#This Row],[Target Price]]/Target!$B$2*100</f>
        <v>119.77894124490982</v>
      </c>
      <c r="C382" s="74">
        <f>Comp1[[#This Row],[Comparable '#1 Price]]/'Comparable #1'!$B$2*100</f>
        <v>125.25667351129364</v>
      </c>
      <c r="D382" s="74">
        <f>Comp2[[#This Row],[Comparable '#2 Price]]/'Comparable #2'!$B$2*100</f>
        <v>71.670020120724331</v>
      </c>
      <c r="E382" s="74">
        <f>Comp3[[#This Row],[Comparable '#3 Price]]/'Comparable #3'!$B$2*100</f>
        <v>135.06526746864603</v>
      </c>
    </row>
    <row r="383" spans="1:5">
      <c r="A383" s="96">
        <v>43839</v>
      </c>
      <c r="B383" s="74">
        <f>Target1[[#This Row],[Target Price]]/Target!$B$2*100</f>
        <v>118.55730075625361</v>
      </c>
      <c r="C383" s="74">
        <f>Comp1[[#This Row],[Comparable '#1 Price]]/'Comparable #1'!$B$2*100</f>
        <v>124.22997946611909</v>
      </c>
      <c r="D383" s="74">
        <f>Comp2[[#This Row],[Comparable '#2 Price]]/'Comparable #2'!$B$2*100</f>
        <v>72.313883299798789</v>
      </c>
      <c r="E383" s="74">
        <f>Comp3[[#This Row],[Comparable '#3 Price]]/'Comparable #3'!$B$2*100</f>
        <v>136.09760259363537</v>
      </c>
    </row>
    <row r="384" spans="1:5">
      <c r="A384" s="96">
        <v>43840</v>
      </c>
      <c r="B384" s="74">
        <f>Target1[[#This Row],[Target Price]]/Target!$B$2*100</f>
        <v>117.33566026759745</v>
      </c>
      <c r="C384" s="74">
        <f>Comp1[[#This Row],[Comparable '#1 Price]]/'Comparable #1'!$B$2*100</f>
        <v>121.90280629705681</v>
      </c>
      <c r="D384" s="74">
        <f>Comp2[[#This Row],[Comparable '#2 Price]]/'Comparable #2'!$B$2*100</f>
        <v>71.388329979879259</v>
      </c>
      <c r="E384" s="74">
        <f>Comp3[[#This Row],[Comparable '#3 Price]]/'Comparable #3'!$B$2*100</f>
        <v>135.43213036430339</v>
      </c>
    </row>
    <row r="385" spans="1:5">
      <c r="A385" s="96">
        <v>43843</v>
      </c>
      <c r="B385" s="74">
        <f>Target1[[#This Row],[Target Price]]/Target!$B$2*100</f>
        <v>120.0698080279232</v>
      </c>
      <c r="C385" s="74">
        <f>Comp1[[#This Row],[Comparable '#1 Price]]/'Comparable #1'!$B$2*100</f>
        <v>122.79260780287476</v>
      </c>
      <c r="D385" s="74">
        <f>Comp2[[#This Row],[Comparable '#2 Price]]/'Comparable #2'!$B$2*100</f>
        <v>72.313883299798789</v>
      </c>
      <c r="E385" s="74">
        <f>Comp3[[#This Row],[Comparable '#3 Price]]/'Comparable #3'!$B$2*100</f>
        <v>136.59244091801042</v>
      </c>
    </row>
    <row r="386" spans="1:5">
      <c r="A386" s="96">
        <v>43844</v>
      </c>
      <c r="B386" s="74">
        <f>Target1[[#This Row],[Target Price]]/Target!$B$2*100</f>
        <v>117.51018033740546</v>
      </c>
      <c r="C386" s="74">
        <f>Comp1[[#This Row],[Comparable '#1 Price]]/'Comparable #1'!$B$2*100</f>
        <v>122.92950034223136</v>
      </c>
      <c r="D386" s="74">
        <f>Comp2[[#This Row],[Comparable '#2 Price]]/'Comparable #2'!$B$2*100</f>
        <v>72.837022132796776</v>
      </c>
      <c r="E386" s="74">
        <f>Comp3[[#This Row],[Comparable '#3 Price]]/'Comparable #3'!$B$2*100</f>
        <v>137.24938145209453</v>
      </c>
    </row>
    <row r="387" spans="1:5">
      <c r="A387" s="96">
        <v>43845</v>
      </c>
      <c r="B387" s="74">
        <f>Target1[[#This Row],[Target Price]]/Target!$B$2*100</f>
        <v>119.31355439208842</v>
      </c>
      <c r="C387" s="74">
        <f>Comp1[[#This Row],[Comparable '#1 Price]]/'Comparable #1'!$B$2*100</f>
        <v>122.51882272416152</v>
      </c>
      <c r="D387" s="74">
        <f>Comp2[[#This Row],[Comparable '#2 Price]]/'Comparable #2'!$B$2*100</f>
        <v>73.440643863179062</v>
      </c>
      <c r="E387" s="74">
        <f>Comp3[[#This Row],[Comparable '#3 Price]]/'Comparable #3'!$B$2*100</f>
        <v>137.18965958535964</v>
      </c>
    </row>
    <row r="388" spans="1:5">
      <c r="A388" s="96">
        <v>43846</v>
      </c>
      <c r="B388" s="74">
        <f>Target1[[#This Row],[Target Price]]/Target!$B$2*100</f>
        <v>121.69866201279814</v>
      </c>
      <c r="C388" s="74">
        <f>Comp1[[#This Row],[Comparable '#1 Price]]/'Comparable #1'!$B$2*100</f>
        <v>124.22997946611909</v>
      </c>
      <c r="D388" s="74">
        <f>Comp2[[#This Row],[Comparable '#2 Price]]/'Comparable #2'!$B$2*100</f>
        <v>74.185110663983892</v>
      </c>
      <c r="E388" s="74">
        <f>Comp3[[#This Row],[Comparable '#3 Price]]/'Comparable #3'!$B$2*100</f>
        <v>138.21346301510113</v>
      </c>
    </row>
    <row r="389" spans="1:5">
      <c r="A389" s="96">
        <v>43847</v>
      </c>
      <c r="B389" s="74">
        <f>Target1[[#This Row],[Target Price]]/Target!$B$2*100</f>
        <v>121.05875509016867</v>
      </c>
      <c r="C389" s="74">
        <f>Comp1[[#This Row],[Comparable '#1 Price]]/'Comparable #1'!$B$2*100</f>
        <v>124.57221081451063</v>
      </c>
      <c r="D389" s="74">
        <f>Comp2[[#This Row],[Comparable '#2 Price]]/'Comparable #2'!$B$2*100</f>
        <v>73.460764587525134</v>
      </c>
      <c r="E389" s="74">
        <f>Comp3[[#This Row],[Comparable '#3 Price]]/'Comparable #3'!$B$2*100</f>
        <v>138.938657111168</v>
      </c>
    </row>
    <row r="390" spans="1:5">
      <c r="A390" s="96">
        <v>43851</v>
      </c>
      <c r="B390" s="74">
        <f>Target1[[#This Row],[Target Price]]/Target!$B$2*100</f>
        <v>118.38278068644561</v>
      </c>
      <c r="C390" s="74">
        <f>Comp1[[#This Row],[Comparable '#1 Price]]/'Comparable #1'!$B$2*100</f>
        <v>123.20328542094457</v>
      </c>
      <c r="D390" s="74">
        <f>Comp2[[#This Row],[Comparable '#2 Price]]/'Comparable #2'!$B$2*100</f>
        <v>72.374245472837018</v>
      </c>
      <c r="E390" s="74">
        <f>Comp3[[#This Row],[Comparable '#3 Price]]/'Comparable #3'!$B$2*100</f>
        <v>139.13488610186846</v>
      </c>
    </row>
    <row r="391" spans="1:5">
      <c r="A391" s="96">
        <v>43852</v>
      </c>
      <c r="B391" s="74">
        <f>Target1[[#This Row],[Target Price]]/Target!$B$2*100</f>
        <v>118.09191390343223</v>
      </c>
      <c r="C391" s="74">
        <f>Comp1[[#This Row],[Comparable '#1 Price]]/'Comparable #1'!$B$2*100</f>
        <v>121.83436002737851</v>
      </c>
      <c r="D391" s="74">
        <f>Comp2[[#This Row],[Comparable '#2 Price]]/'Comparable #2'!$B$2*100</f>
        <v>72.25352112676056</v>
      </c>
      <c r="E391" s="74">
        <f>Comp3[[#This Row],[Comparable '#3 Price]]/'Comparable #3'!$B$2*100</f>
        <v>139.8344851121918</v>
      </c>
    </row>
    <row r="392" spans="1:5">
      <c r="A392" s="96">
        <v>43853</v>
      </c>
      <c r="B392" s="74">
        <f>Target1[[#This Row],[Target Price]]/Target!$B$2*100</f>
        <v>116.57940663176265</v>
      </c>
      <c r="C392" s="74">
        <f>Comp1[[#This Row],[Comparable '#1 Price]]/'Comparable #1'!$B$2*100</f>
        <v>121.38945927446953</v>
      </c>
      <c r="D392" s="74">
        <f>Comp2[[#This Row],[Comparable '#2 Price]]/'Comparable #2'!$B$2*100</f>
        <v>72.776659959758547</v>
      </c>
      <c r="E392" s="74">
        <f>Comp3[[#This Row],[Comparable '#3 Price]]/'Comparable #3'!$B$2*100</f>
        <v>140.74737650371131</v>
      </c>
    </row>
    <row r="393" spans="1:5">
      <c r="A393" s="96">
        <v>43854</v>
      </c>
      <c r="B393" s="74">
        <f>Target1[[#This Row],[Target Price]]/Target!$B$2*100</f>
        <v>114.60151250727166</v>
      </c>
      <c r="C393" s="74">
        <f>Comp1[[#This Row],[Comparable '#1 Price]]/'Comparable #1'!$B$2*100</f>
        <v>120.80766598220396</v>
      </c>
      <c r="D393" s="74">
        <f>Comp2[[#This Row],[Comparable '#2 Price]]/'Comparable #2'!$B$2*100</f>
        <v>70.503018108651901</v>
      </c>
      <c r="E393" s="74">
        <f>Comp3[[#This Row],[Comparable '#3 Price]]/'Comparable #3'!$B$2*100</f>
        <v>137.67596621448683</v>
      </c>
    </row>
    <row r="394" spans="1:5">
      <c r="A394" s="96">
        <v>43857</v>
      </c>
      <c r="B394" s="74">
        <f>Target1[[#This Row],[Target Price]]/Target!$B$2*100</f>
        <v>113.90343222803953</v>
      </c>
      <c r="C394" s="74">
        <f>Comp1[[#This Row],[Comparable '#1 Price]]/'Comparable #1'!$B$2*100</f>
        <v>121.14989733059549</v>
      </c>
      <c r="D394" s="74">
        <f>Comp2[[#This Row],[Comparable '#2 Price]]/'Comparable #2'!$B$2*100</f>
        <v>71.609657947686117</v>
      </c>
      <c r="E394" s="74">
        <f>Comp3[[#This Row],[Comparable '#3 Price]]/'Comparable #3'!$B$2*100</f>
        <v>139.95392884566164</v>
      </c>
    </row>
    <row r="395" spans="1:5">
      <c r="A395" s="96">
        <v>43858</v>
      </c>
      <c r="B395" s="74">
        <f>Target1[[#This Row],[Target Price]]/Target!$B$2*100</f>
        <v>96.684118673647461</v>
      </c>
      <c r="C395" s="74">
        <f>Comp1[[#This Row],[Comparable '#1 Price]]/'Comparable #1'!$B$2*100</f>
        <v>140.17796030116358</v>
      </c>
      <c r="D395" s="74">
        <f>Comp2[[#This Row],[Comparable '#2 Price]]/'Comparable #2'!$B$2*100</f>
        <v>71.83098591549296</v>
      </c>
      <c r="E395" s="74">
        <f>Comp3[[#This Row],[Comparable '#3 Price]]/'Comparable #3'!$B$2*100</f>
        <v>141.11423939936867</v>
      </c>
    </row>
    <row r="396" spans="1:5">
      <c r="A396" s="96">
        <v>43859</v>
      </c>
      <c r="B396" s="74">
        <f>Target1[[#This Row],[Target Price]]/Target!$B$2*100</f>
        <v>94.822571262361834</v>
      </c>
      <c r="C396" s="74">
        <f>Comp1[[#This Row],[Comparable '#1 Price]]/'Comparable #1'!$B$2*100</f>
        <v>144.69541409993155</v>
      </c>
      <c r="D396" s="74">
        <f>Comp2[[#This Row],[Comparable '#2 Price]]/'Comparable #2'!$B$2*100</f>
        <v>71.126760563380273</v>
      </c>
      <c r="E396" s="74">
        <f>Comp3[[#This Row],[Comparable '#3 Price]]/'Comparable #3'!$B$2*100</f>
        <v>142.72672980121149</v>
      </c>
    </row>
    <row r="397" spans="1:5">
      <c r="A397" s="96">
        <v>43860</v>
      </c>
      <c r="B397" s="74">
        <f>Target1[[#This Row],[Target Price]]/Target!$B$2*100</f>
        <v>94.938917975567179</v>
      </c>
      <c r="C397" s="74">
        <f>Comp1[[#This Row],[Comparable '#1 Price]]/'Comparable #1'!$B$2*100</f>
        <v>147.98083504449008</v>
      </c>
      <c r="D397" s="74">
        <f>Comp2[[#This Row],[Comparable '#2 Price]]/'Comparable #2'!$B$2*100</f>
        <v>71.327967806841059</v>
      </c>
      <c r="E397" s="74">
        <f>Comp3[[#This Row],[Comparable '#3 Price]]/'Comparable #3'!$B$2*100</f>
        <v>142.39399368654551</v>
      </c>
    </row>
    <row r="398" spans="1:5">
      <c r="A398" s="96">
        <v>43861</v>
      </c>
      <c r="B398" s="74">
        <f>Target1[[#This Row],[Target Price]]/Target!$B$2*100</f>
        <v>93.891797556719013</v>
      </c>
      <c r="C398" s="74">
        <f>Comp1[[#This Row],[Comparable '#1 Price]]/'Comparable #1'!$B$2*100</f>
        <v>142.64202600958248</v>
      </c>
      <c r="D398" s="74">
        <f>Comp2[[#This Row],[Comparable '#2 Price]]/'Comparable #2'!$B$2*100</f>
        <v>69.436619718309856</v>
      </c>
      <c r="E398" s="74">
        <f>Comp3[[#This Row],[Comparable '#3 Price]]/'Comparable #3'!$B$2*100</f>
        <v>138.46088217728862</v>
      </c>
    </row>
    <row r="399" spans="1:5">
      <c r="A399" s="96">
        <v>43864</v>
      </c>
      <c r="B399" s="74">
        <f>Target1[[#This Row],[Target Price]]/Target!$B$2*100</f>
        <v>93.019197207678872</v>
      </c>
      <c r="C399" s="74">
        <f>Comp1[[#This Row],[Comparable '#1 Price]]/'Comparable #1'!$B$2*100</f>
        <v>139.52772073921972</v>
      </c>
      <c r="D399" s="74">
        <f>Comp2[[#This Row],[Comparable '#2 Price]]/'Comparable #2'!$B$2*100</f>
        <v>70.563380281690129</v>
      </c>
      <c r="E399" s="74">
        <f>Comp3[[#This Row],[Comparable '#3 Price]]/'Comparable #3'!$B$2*100</f>
        <v>136.8313283849501</v>
      </c>
    </row>
    <row r="400" spans="1:5">
      <c r="A400" s="96">
        <v>43865</v>
      </c>
      <c r="B400" s="74">
        <f>Target1[[#This Row],[Target Price]]/Target!$B$2*100</f>
        <v>95.113438045375219</v>
      </c>
      <c r="C400" s="74">
        <f>Comp1[[#This Row],[Comparable '#1 Price]]/'Comparable #1'!$B$2*100</f>
        <v>138.26146475017111</v>
      </c>
      <c r="D400" s="74">
        <f>Comp2[[#This Row],[Comparable '#2 Price]]/'Comparable #2'!$B$2*100</f>
        <v>70.523138832997972</v>
      </c>
      <c r="E400" s="74">
        <f>Comp3[[#This Row],[Comparable '#3 Price]]/'Comparable #3'!$B$2*100</f>
        <v>135.12498933538095</v>
      </c>
    </row>
    <row r="401" spans="1:5">
      <c r="A401" s="96">
        <v>43866</v>
      </c>
      <c r="B401" s="74">
        <f>Target1[[#This Row],[Target Price]]/Target!$B$2*100</f>
        <v>98.836532867946474</v>
      </c>
      <c r="C401" s="74">
        <f>Comp1[[#This Row],[Comparable '#1 Price]]/'Comparable #1'!$B$2*100</f>
        <v>137.37166324435319</v>
      </c>
      <c r="D401" s="74">
        <f>Comp2[[#This Row],[Comparable '#2 Price]]/'Comparable #2'!$B$2*100</f>
        <v>72.756539235412461</v>
      </c>
      <c r="E401" s="74">
        <f>Comp3[[#This Row],[Comparable '#3 Price]]/'Comparable #3'!$B$2*100</f>
        <v>136.78013821346303</v>
      </c>
    </row>
    <row r="402" spans="1:5">
      <c r="A402" s="96">
        <v>43867</v>
      </c>
      <c r="B402" s="74">
        <f>Target1[[#This Row],[Target Price]]/Target!$B$2*100</f>
        <v>96.916812100058166</v>
      </c>
      <c r="C402" s="74">
        <f>Comp1[[#This Row],[Comparable '#1 Price]]/'Comparable #1'!$B$2*100</f>
        <v>137.71389459274471</v>
      </c>
      <c r="D402" s="74">
        <f>Comp2[[#This Row],[Comparable '#2 Price]]/'Comparable #2'!$B$2*100</f>
        <v>71.891348088531188</v>
      </c>
      <c r="E402" s="74">
        <f>Comp3[[#This Row],[Comparable '#3 Price]]/'Comparable #3'!$B$2*100</f>
        <v>138.46941387253648</v>
      </c>
    </row>
    <row r="403" spans="1:5">
      <c r="A403" s="96">
        <v>43868</v>
      </c>
      <c r="B403" s="74">
        <f>Target1[[#This Row],[Target Price]]/Target!$B$2*100</f>
        <v>93.251890634089591</v>
      </c>
      <c r="C403" s="74">
        <f>Comp1[[#This Row],[Comparable '#1 Price]]/'Comparable #1'!$B$2*100</f>
        <v>135.38672142368242</v>
      </c>
      <c r="D403" s="74">
        <f>Comp2[[#This Row],[Comparable '#2 Price]]/'Comparable #2'!$B$2*100</f>
        <v>68.450704225352112</v>
      </c>
      <c r="E403" s="74">
        <f>Comp3[[#This Row],[Comparable '#3 Price]]/'Comparable #3'!$B$2*100</f>
        <v>136.37914853681428</v>
      </c>
    </row>
    <row r="404" spans="1:5">
      <c r="A404" s="96">
        <v>43871</v>
      </c>
      <c r="B404" s="74">
        <f>Target1[[#This Row],[Target Price]]/Target!$B$2*100</f>
        <v>92.262943571844076</v>
      </c>
      <c r="C404" s="74">
        <f>Comp1[[#This Row],[Comparable '#1 Price]]/'Comparable #1'!$B$2*100</f>
        <v>135.04449007529092</v>
      </c>
      <c r="D404" s="74">
        <f>Comp2[[#This Row],[Comparable '#2 Price]]/'Comparable #2'!$B$2*100</f>
        <v>65.513078470824951</v>
      </c>
      <c r="E404" s="74">
        <f>Comp3[[#This Row],[Comparable '#3 Price]]/'Comparable #3'!$B$2*100</f>
        <v>139.28845661632968</v>
      </c>
    </row>
    <row r="405" spans="1:5">
      <c r="A405" s="96">
        <v>43872</v>
      </c>
      <c r="B405" s="74">
        <f>Target1[[#This Row],[Target Price]]/Target!$B$2*100</f>
        <v>93.775450843513681</v>
      </c>
      <c r="C405" s="74">
        <f>Comp1[[#This Row],[Comparable '#1 Price]]/'Comparable #1'!$B$2*100</f>
        <v>139.83572895277209</v>
      </c>
      <c r="D405" s="74">
        <f>Comp2[[#This Row],[Comparable '#2 Price]]/'Comparable #2'!$B$2*100</f>
        <v>66.700201207243452</v>
      </c>
      <c r="E405" s="74">
        <f>Comp3[[#This Row],[Comparable '#3 Price]]/'Comparable #3'!$B$2*100</f>
        <v>140.30372835082329</v>
      </c>
    </row>
    <row r="406" spans="1:5">
      <c r="A406" s="96">
        <v>43873</v>
      </c>
      <c r="B406" s="74">
        <f>Target1[[#This Row],[Target Price]]/Target!$B$2*100</f>
        <v>97.440372309482242</v>
      </c>
      <c r="C406" s="74">
        <f>Comp1[[#This Row],[Comparable '#1 Price]]/'Comparable #1'!$B$2*100</f>
        <v>142.5051334702259</v>
      </c>
      <c r="D406" s="74">
        <f>Comp2[[#This Row],[Comparable '#2 Price]]/'Comparable #2'!$B$2*100</f>
        <v>68.853118712273627</v>
      </c>
      <c r="E406" s="74">
        <f>Comp3[[#This Row],[Comparable '#3 Price]]/'Comparable #3'!$B$2*100</f>
        <v>142.59022267724598</v>
      </c>
    </row>
    <row r="407" spans="1:5">
      <c r="A407" s="96">
        <v>43874</v>
      </c>
      <c r="B407" s="74">
        <f>Target1[[#This Row],[Target Price]]/Target!$B$2*100</f>
        <v>99.592786503781269</v>
      </c>
      <c r="C407" s="74">
        <f>Comp1[[#This Row],[Comparable '#1 Price]]/'Comparable #1'!$B$2*100</f>
        <v>142.9158110882957</v>
      </c>
      <c r="D407" s="74">
        <f>Comp2[[#This Row],[Comparable '#2 Price]]/'Comparable #2'!$B$2*100</f>
        <v>69.6579476861167</v>
      </c>
      <c r="E407" s="74">
        <f>Comp3[[#This Row],[Comparable '#3 Price]]/'Comparable #3'!$B$2*100</f>
        <v>143.81878679293575</v>
      </c>
    </row>
    <row r="408" spans="1:5">
      <c r="A408" s="96">
        <v>43875</v>
      </c>
      <c r="B408" s="74">
        <f>Target1[[#This Row],[Target Price]]/Target!$B$2*100</f>
        <v>99.82547993019196</v>
      </c>
      <c r="C408" s="74">
        <f>Comp1[[#This Row],[Comparable '#1 Price]]/'Comparable #1'!$B$2*100</f>
        <v>145.44832306639287</v>
      </c>
      <c r="D408" s="74">
        <f>Comp2[[#This Row],[Comparable '#2 Price]]/'Comparable #2'!$B$2*100</f>
        <v>71.046277665995973</v>
      </c>
      <c r="E408" s="74">
        <f>Comp3[[#This Row],[Comparable '#3 Price]]/'Comparable #3'!$B$2*100</f>
        <v>143.27275829707364</v>
      </c>
    </row>
    <row r="409" spans="1:5">
      <c r="A409" s="96">
        <v>43879</v>
      </c>
      <c r="B409" s="74">
        <f>Target1[[#This Row],[Target Price]]/Target!$B$2*100</f>
        <v>98.138452588714358</v>
      </c>
      <c r="C409" s="74">
        <f>Comp1[[#This Row],[Comparable '#1 Price]]/'Comparable #1'!$B$2*100</f>
        <v>144.21629021218345</v>
      </c>
      <c r="D409" s="74">
        <f>Comp2[[#This Row],[Comparable '#2 Price]]/'Comparable #2'!$B$2*100</f>
        <v>69.114688128772642</v>
      </c>
      <c r="E409" s="74">
        <f>Comp3[[#This Row],[Comparable '#3 Price]]/'Comparable #3'!$B$2*100</f>
        <v>143.61402610698747</v>
      </c>
    </row>
    <row r="410" spans="1:5">
      <c r="A410" s="96">
        <v>43880</v>
      </c>
      <c r="B410" s="74">
        <f>Target1[[#This Row],[Target Price]]/Target!$B$2*100</f>
        <v>100.11634671320535</v>
      </c>
      <c r="C410" s="74">
        <f>Comp1[[#This Row],[Comparable '#1 Price]]/'Comparable #1'!$B$2*100</f>
        <v>145.927446954141</v>
      </c>
      <c r="D410" s="74">
        <f>Comp2[[#This Row],[Comparable '#2 Price]]/'Comparable #2'!$B$2*100</f>
        <v>69.114688128772642</v>
      </c>
      <c r="E410" s="74">
        <f>Comp3[[#This Row],[Comparable '#3 Price]]/'Comparable #3'!$B$2*100</f>
        <v>148.66478969371215</v>
      </c>
    </row>
    <row r="411" spans="1:5">
      <c r="A411" s="96">
        <v>43881</v>
      </c>
      <c r="B411" s="74">
        <f>Target1[[#This Row],[Target Price]]/Target!$B$2*100</f>
        <v>98.196625945317024</v>
      </c>
      <c r="C411" s="74">
        <f>Comp1[[#This Row],[Comparable '#1 Price]]/'Comparable #1'!$B$2*100</f>
        <v>145.99589322381931</v>
      </c>
      <c r="D411" s="74">
        <f>Comp2[[#This Row],[Comparable '#2 Price]]/'Comparable #2'!$B$2*100</f>
        <v>69.718309859154928</v>
      </c>
      <c r="E411" s="74">
        <f>Comp3[[#This Row],[Comparable '#3 Price]]/'Comparable #3'!$B$2*100</f>
        <v>143.26422660182578</v>
      </c>
    </row>
    <row r="412" spans="1:5">
      <c r="A412" s="96">
        <v>43882</v>
      </c>
      <c r="B412" s="74">
        <f>Target1[[#This Row],[Target Price]]/Target!$B$2*100</f>
        <v>97.498545666084937</v>
      </c>
      <c r="C412" s="74">
        <f>Comp1[[#This Row],[Comparable '#1 Price]]/'Comparable #1'!$B$2*100</f>
        <v>144.35318275154006</v>
      </c>
      <c r="D412" s="74">
        <f>Comp2[[#This Row],[Comparable '#2 Price]]/'Comparable #2'!$B$2*100</f>
        <v>69.416498993963785</v>
      </c>
      <c r="E412" s="74">
        <f>Comp3[[#This Row],[Comparable '#3 Price]]/'Comparable #3'!$B$2*100</f>
        <v>141.3872536472997</v>
      </c>
    </row>
    <row r="413" spans="1:5">
      <c r="A413" s="96">
        <v>43885</v>
      </c>
      <c r="B413" s="74">
        <f>Target1[[#This Row],[Target Price]]/Target!$B$2*100</f>
        <v>93.891797556719013</v>
      </c>
      <c r="C413" s="74">
        <f>Comp1[[#This Row],[Comparable '#1 Price]]/'Comparable #1'!$B$2*100</f>
        <v>142.29979466119096</v>
      </c>
      <c r="D413" s="74">
        <f>Comp2[[#This Row],[Comparable '#2 Price]]/'Comparable #2'!$B$2*100</f>
        <v>67.263581488933596</v>
      </c>
      <c r="E413" s="74">
        <f>Comp3[[#This Row],[Comparable '#3 Price]]/'Comparable #3'!$B$2*100</f>
        <v>135.06526746864603</v>
      </c>
    </row>
    <row r="414" spans="1:5">
      <c r="A414" s="96">
        <v>43886</v>
      </c>
      <c r="B414" s="74">
        <f>Target1[[#This Row],[Target Price]]/Target!$B$2*100</f>
        <v>93.484584060500282</v>
      </c>
      <c r="C414" s="74">
        <f>Comp1[[#This Row],[Comparable '#1 Price]]/'Comparable #1'!$B$2*100</f>
        <v>142.77891854893909</v>
      </c>
      <c r="D414" s="74">
        <f>Comp2[[#This Row],[Comparable '#2 Price]]/'Comparable #2'!$B$2*100</f>
        <v>67.042253521126753</v>
      </c>
      <c r="E414" s="74">
        <f>Comp3[[#This Row],[Comparable '#3 Price]]/'Comparable #3'!$B$2*100</f>
        <v>131.5928675027728</v>
      </c>
    </row>
    <row r="415" spans="1:5">
      <c r="A415" s="96">
        <v>43887</v>
      </c>
      <c r="B415" s="74">
        <f>Target1[[#This Row],[Target Price]]/Target!$B$2*100</f>
        <v>95.113438045375219</v>
      </c>
      <c r="C415" s="74">
        <f>Comp1[[#This Row],[Comparable '#1 Price]]/'Comparable #1'!$B$2*100</f>
        <v>136.68720054757014</v>
      </c>
      <c r="D415" s="74">
        <f>Comp2[[#This Row],[Comparable '#2 Price]]/'Comparable #2'!$B$2*100</f>
        <v>64.305835010060363</v>
      </c>
      <c r="E415" s="74">
        <f>Comp3[[#This Row],[Comparable '#3 Price]]/'Comparable #3'!$B$2*100</f>
        <v>128.36788669908711</v>
      </c>
    </row>
    <row r="416" spans="1:5">
      <c r="A416" s="96">
        <v>43888</v>
      </c>
      <c r="B416" s="74">
        <f>Target1[[#This Row],[Target Price]]/Target!$B$2*100</f>
        <v>107.62070971495055</v>
      </c>
      <c r="C416" s="74">
        <f>Comp1[[#This Row],[Comparable '#1 Price]]/'Comparable #1'!$B$2*100</f>
        <v>129.15811088295689</v>
      </c>
      <c r="D416" s="74">
        <f>Comp2[[#This Row],[Comparable '#2 Price]]/'Comparable #2'!$B$2*100</f>
        <v>61.227364185110659</v>
      </c>
      <c r="E416" s="74">
        <f>Comp3[[#This Row],[Comparable '#3 Price]]/'Comparable #3'!$B$2*100</f>
        <v>124.75044791400052</v>
      </c>
    </row>
    <row r="417" spans="1:5">
      <c r="A417" s="96">
        <v>43889</v>
      </c>
      <c r="B417" s="74">
        <f>Target1[[#This Row],[Target Price]]/Target!$B$2*100</f>
        <v>115.64863292611982</v>
      </c>
      <c r="C417" s="74">
        <f>Comp1[[#This Row],[Comparable '#1 Price]]/'Comparable #1'!$B$2*100</f>
        <v>127.99452429842573</v>
      </c>
      <c r="D417" s="74">
        <f>Comp2[[#This Row],[Comparable '#2 Price]]/'Comparable #2'!$B$2*100</f>
        <v>62.112676056338024</v>
      </c>
      <c r="E417" s="74">
        <f>Comp3[[#This Row],[Comparable '#3 Price]]/'Comparable #3'!$B$2*100</f>
        <v>125.74012456275061</v>
      </c>
    </row>
    <row r="418" spans="1:5">
      <c r="A418" s="96">
        <v>43892</v>
      </c>
      <c r="B418" s="74">
        <f>Target1[[#This Row],[Target Price]]/Target!$B$2*100</f>
        <v>112.33275159976731</v>
      </c>
      <c r="C418" s="74">
        <f>Comp1[[#This Row],[Comparable '#1 Price]]/'Comparable #1'!$B$2*100</f>
        <v>133.19644079397673</v>
      </c>
      <c r="D418" s="74">
        <f>Comp2[[#This Row],[Comparable '#2 Price]]/'Comparable #2'!$B$2*100</f>
        <v>62.193158953722325</v>
      </c>
      <c r="E418" s="74">
        <f>Comp3[[#This Row],[Comparable '#3 Price]]/'Comparable #3'!$B$2*100</f>
        <v>127.27582970736286</v>
      </c>
    </row>
    <row r="419" spans="1:5">
      <c r="A419" s="96">
        <v>43893</v>
      </c>
      <c r="B419" s="74">
        <f>Target1[[#This Row],[Target Price]]/Target!$B$2*100</f>
        <v>118.26643397324024</v>
      </c>
      <c r="C419" s="74">
        <f>Comp1[[#This Row],[Comparable '#1 Price]]/'Comparable #1'!$B$2*100</f>
        <v>130.93771389459275</v>
      </c>
      <c r="D419" s="74">
        <f>Comp2[[#This Row],[Comparable '#2 Price]]/'Comparable #2'!$B$2*100</f>
        <v>60.100603621730386</v>
      </c>
      <c r="E419" s="74">
        <f>Comp3[[#This Row],[Comparable '#3 Price]]/'Comparable #3'!$B$2*100</f>
        <v>122.89907004521801</v>
      </c>
    </row>
    <row r="420" spans="1:5">
      <c r="A420" s="96">
        <v>43894</v>
      </c>
      <c r="B420" s="74">
        <f>Target1[[#This Row],[Target Price]]/Target!$B$2*100</f>
        <v>118.32460732984291</v>
      </c>
      <c r="C420" s="74">
        <f>Comp1[[#This Row],[Comparable '#1 Price]]/'Comparable #1'!$B$2*100</f>
        <v>135.76317590691309</v>
      </c>
      <c r="D420" s="74">
        <f>Comp2[[#This Row],[Comparable '#2 Price]]/'Comparable #2'!$B$2*100</f>
        <v>63.018108651911461</v>
      </c>
      <c r="E420" s="74">
        <f>Comp3[[#This Row],[Comparable '#3 Price]]/'Comparable #3'!$B$2*100</f>
        <v>132.46310041805307</v>
      </c>
    </row>
    <row r="421" spans="1:5">
      <c r="A421" s="96">
        <v>43895</v>
      </c>
      <c r="B421" s="74">
        <f>Target1[[#This Row],[Target Price]]/Target!$B$2*100</f>
        <v>120.70971495055265</v>
      </c>
      <c r="C421" s="74">
        <f>Comp1[[#This Row],[Comparable '#1 Price]]/'Comparable #1'!$B$2*100</f>
        <v>126.48870636550309</v>
      </c>
      <c r="D421" s="74">
        <f>Comp2[[#This Row],[Comparable '#2 Price]]/'Comparable #2'!$B$2*100</f>
        <v>60.0804828973843</v>
      </c>
      <c r="E421" s="74">
        <f>Comp3[[#This Row],[Comparable '#3 Price]]/'Comparable #3'!$B$2*100</f>
        <v>129.17839774763246</v>
      </c>
    </row>
    <row r="422" spans="1:5">
      <c r="A422" s="96">
        <v>43896</v>
      </c>
      <c r="B422" s="74">
        <f>Target1[[#This Row],[Target Price]]/Target!$B$2*100</f>
        <v>119.25538103548574</v>
      </c>
      <c r="C422" s="74">
        <f>Comp1[[#This Row],[Comparable '#1 Price]]/'Comparable #1'!$B$2*100</f>
        <v>125.18822724161534</v>
      </c>
      <c r="D422" s="74">
        <f>Comp2[[#This Row],[Comparable '#2 Price]]/'Comparable #2'!$B$2*100</f>
        <v>62.112676056338024</v>
      </c>
      <c r="E422" s="74">
        <f>Comp3[[#This Row],[Comparable '#3 Price]]/'Comparable #3'!$B$2*100</f>
        <v>128.29110144185651</v>
      </c>
    </row>
    <row r="423" spans="1:5">
      <c r="A423" s="96">
        <v>43899</v>
      </c>
      <c r="B423" s="74">
        <f>Target1[[#This Row],[Target Price]]/Target!$B$2*100</f>
        <v>113.0890052356021</v>
      </c>
      <c r="C423" s="74">
        <f>Comp1[[#This Row],[Comparable '#1 Price]]/'Comparable #1'!$B$2*100</f>
        <v>114.85284052019166</v>
      </c>
      <c r="D423" s="74">
        <f>Comp2[[#This Row],[Comparable '#2 Price]]/'Comparable #2'!$B$2*100</f>
        <v>58.611670020120719</v>
      </c>
      <c r="E423" s="74">
        <f>Comp3[[#This Row],[Comparable '#3 Price]]/'Comparable #3'!$B$2*100</f>
        <v>121.55959389130619</v>
      </c>
    </row>
    <row r="424" spans="1:5">
      <c r="A424" s="96">
        <v>43900</v>
      </c>
      <c r="B424" s="74">
        <f>Target1[[#This Row],[Target Price]]/Target!$B$2*100</f>
        <v>106.51541593949969</v>
      </c>
      <c r="C424" s="74">
        <f>Comp1[[#This Row],[Comparable '#1 Price]]/'Comparable #1'!$B$2*100</f>
        <v>118.4120465434634</v>
      </c>
      <c r="D424" s="74">
        <f>Comp2[[#This Row],[Comparable '#2 Price]]/'Comparable #2'!$B$2*100</f>
        <v>57.122736418511067</v>
      </c>
      <c r="E424" s="74">
        <f>Comp3[[#This Row],[Comparable '#3 Price]]/'Comparable #3'!$B$2*100</f>
        <v>122.42982680658648</v>
      </c>
    </row>
    <row r="425" spans="1:5">
      <c r="A425" s="96">
        <v>43901</v>
      </c>
      <c r="B425" s="74">
        <f>Target1[[#This Row],[Target Price]]/Target!$B$2*100</f>
        <v>99.82547993019196</v>
      </c>
      <c r="C425" s="74">
        <f>Comp1[[#This Row],[Comparable '#1 Price]]/'Comparable #1'!$B$2*100</f>
        <v>113.34702258726898</v>
      </c>
      <c r="D425" s="74">
        <f>Comp2[[#This Row],[Comparable '#2 Price]]/'Comparable #2'!$B$2*100</f>
        <v>54.446680080482892</v>
      </c>
      <c r="E425" s="74">
        <f>Comp3[[#This Row],[Comparable '#3 Price]]/'Comparable #3'!$B$2*100</f>
        <v>125.38179336234111</v>
      </c>
    </row>
    <row r="426" spans="1:5">
      <c r="A426" s="96">
        <v>43902</v>
      </c>
      <c r="B426" s="74">
        <f>Target1[[#This Row],[Target Price]]/Target!$B$2*100</f>
        <v>120.59336823734729</v>
      </c>
      <c r="C426" s="74">
        <f>Comp1[[#This Row],[Comparable '#1 Price]]/'Comparable #1'!$B$2*100</f>
        <v>94.592744695414112</v>
      </c>
      <c r="D426" s="74">
        <f>Comp2[[#This Row],[Comparable '#2 Price]]/'Comparable #2'!$B$2*100</f>
        <v>51.006036217303816</v>
      </c>
      <c r="E426" s="74">
        <f>Comp3[[#This Row],[Comparable '#3 Price]]/'Comparable #3'!$B$2*100</f>
        <v>120.9794386144527</v>
      </c>
    </row>
    <row r="427" spans="1:5">
      <c r="A427" s="96">
        <v>43903</v>
      </c>
      <c r="B427" s="74">
        <f>Target1[[#This Row],[Target Price]]/Target!$B$2*100</f>
        <v>139.26701570680629</v>
      </c>
      <c r="C427" s="74">
        <f>Comp1[[#This Row],[Comparable '#1 Price]]/'Comparable #1'!$B$2*100</f>
        <v>101.64271047227926</v>
      </c>
      <c r="D427" s="74">
        <f>Comp2[[#This Row],[Comparable '#2 Price]]/'Comparable #2'!$B$2*100</f>
        <v>54.04426559356137</v>
      </c>
      <c r="E427" s="74">
        <f>Comp3[[#This Row],[Comparable '#3 Price]]/'Comparable #3'!$B$2*100</f>
        <v>134.87757017319342</v>
      </c>
    </row>
    <row r="428" spans="1:5">
      <c r="A428" s="96">
        <v>43906</v>
      </c>
      <c r="B428" s="74">
        <f>Target1[[#This Row],[Target Price]]/Target!$B$2*100</f>
        <v>124.49098312972657</v>
      </c>
      <c r="C428" s="74">
        <f>Comp1[[#This Row],[Comparable '#1 Price]]/'Comparable #1'!$B$2*100</f>
        <v>81.108829568788494</v>
      </c>
      <c r="D428" s="74">
        <f>Comp2[[#This Row],[Comparable '#2 Price]]/'Comparable #2'!$B$2*100</f>
        <v>48.269617706237419</v>
      </c>
      <c r="E428" s="74">
        <f>Comp3[[#This Row],[Comparable '#3 Price]]/'Comparable #3'!$B$2*100</f>
        <v>110.05886869721013</v>
      </c>
    </row>
    <row r="429" spans="1:5">
      <c r="A429" s="96">
        <v>43907</v>
      </c>
      <c r="B429" s="74">
        <f>Target1[[#This Row],[Target Price]]/Target!$B$2*100</f>
        <v>108.26061663757997</v>
      </c>
      <c r="C429" s="74">
        <f>Comp1[[#This Row],[Comparable '#1 Price]]/'Comparable #1'!$B$2*100</f>
        <v>73.100616016427097</v>
      </c>
      <c r="D429" s="74">
        <f>Comp2[[#This Row],[Comparable '#2 Price]]/'Comparable #2'!$B$2*100</f>
        <v>52.273641851106632</v>
      </c>
      <c r="E429" s="74">
        <f>Comp3[[#This Row],[Comparable '#3 Price]]/'Comparable #3'!$B$2*100</f>
        <v>106.10016210220972</v>
      </c>
    </row>
    <row r="430" spans="1:5">
      <c r="A430" s="96">
        <v>43908</v>
      </c>
      <c r="B430" s="74">
        <f>Target1[[#This Row],[Target Price]]/Target!$B$2*100</f>
        <v>96.276905177428745</v>
      </c>
      <c r="C430" s="74">
        <f>Comp1[[#This Row],[Comparable '#1 Price]]/'Comparable #1'!$B$2*100</f>
        <v>54.620123203285431</v>
      </c>
      <c r="D430" s="74">
        <f>Comp2[[#This Row],[Comparable '#2 Price]]/'Comparable #2'!$B$2*100</f>
        <v>43.179074446680083</v>
      </c>
      <c r="E430" s="74">
        <f>Comp3[[#This Row],[Comparable '#3 Price]]/'Comparable #3'!$B$2*100</f>
        <v>100.05972186673493</v>
      </c>
    </row>
    <row r="431" spans="1:5">
      <c r="A431" s="96">
        <v>43909</v>
      </c>
      <c r="B431" s="74">
        <f>Target1[[#This Row],[Target Price]]/Target!$B$2*100</f>
        <v>101.27981384525886</v>
      </c>
      <c r="C431" s="74">
        <f>Comp1[[#This Row],[Comparable '#1 Price]]/'Comparable #1'!$B$2*100</f>
        <v>73.169062286105401</v>
      </c>
      <c r="D431" s="74">
        <f>Comp2[[#This Row],[Comparable '#2 Price]]/'Comparable #2'!$B$2*100</f>
        <v>44.768611670020121</v>
      </c>
      <c r="E431" s="74">
        <f>Comp3[[#This Row],[Comparable '#3 Price]]/'Comparable #3'!$B$2*100</f>
        <v>113.30091289139152</v>
      </c>
    </row>
    <row r="432" spans="1:5">
      <c r="A432" s="96">
        <v>43910</v>
      </c>
      <c r="B432" s="74">
        <f>Target1[[#This Row],[Target Price]]/Target!$B$2*100</f>
        <v>94.299011052937757</v>
      </c>
      <c r="C432" s="74">
        <f>Comp1[[#This Row],[Comparable '#1 Price]]/'Comparable #1'!$B$2*100</f>
        <v>61.601642710472284</v>
      </c>
      <c r="D432" s="74">
        <f>Comp2[[#This Row],[Comparable '#2 Price]]/'Comparable #2'!$B$2*100</f>
        <v>45.372233400402415</v>
      </c>
      <c r="E432" s="74">
        <f>Comp3[[#This Row],[Comparable '#3 Price]]/'Comparable #3'!$B$2*100</f>
        <v>98.225407388448076</v>
      </c>
    </row>
    <row r="433" spans="1:5">
      <c r="A433" s="96">
        <v>43913</v>
      </c>
      <c r="B433" s="74">
        <f>Target1[[#This Row],[Target Price]]/Target!$B$2*100</f>
        <v>97.731239092495642</v>
      </c>
      <c r="C433" s="74">
        <f>Comp1[[#This Row],[Comparable '#1 Price]]/'Comparable #1'!$B$2*100</f>
        <v>60.78028747433266</v>
      </c>
      <c r="D433" s="74">
        <f>Comp2[[#This Row],[Comparable '#2 Price]]/'Comparable #2'!$B$2*100</f>
        <v>47.243460764587525</v>
      </c>
      <c r="E433" s="74">
        <f>Comp3[[#This Row],[Comparable '#3 Price]]/'Comparable #3'!$B$2*100</f>
        <v>102.39740636464465</v>
      </c>
    </row>
    <row r="434" spans="1:5">
      <c r="A434" s="96">
        <v>43914</v>
      </c>
      <c r="B434" s="74">
        <f>Target1[[#This Row],[Target Price]]/Target!$B$2*100</f>
        <v>95.055264688772539</v>
      </c>
      <c r="C434" s="74">
        <f>Comp1[[#This Row],[Comparable '#1 Price]]/'Comparable #1'!$B$2*100</f>
        <v>68.240930869267629</v>
      </c>
      <c r="D434" s="74">
        <f>Comp2[[#This Row],[Comparable '#2 Price]]/'Comparable #2'!$B$2*100</f>
        <v>48.95372233400402</v>
      </c>
      <c r="E434" s="74">
        <f>Comp3[[#This Row],[Comparable '#3 Price]]/'Comparable #3'!$B$2*100</f>
        <v>109.40192816312602</v>
      </c>
    </row>
    <row r="435" spans="1:5">
      <c r="A435" s="96">
        <v>43915</v>
      </c>
      <c r="B435" s="74">
        <f>Target1[[#This Row],[Target Price]]/Target!$B$2*100</f>
        <v>98.778359511343808</v>
      </c>
      <c r="C435" s="74">
        <f>Comp1[[#This Row],[Comparable '#1 Price]]/'Comparable #1'!$B$2*100</f>
        <v>70.362765229294993</v>
      </c>
      <c r="D435" s="74">
        <f>Comp2[[#This Row],[Comparable '#2 Price]]/'Comparable #2'!$B$2*100</f>
        <v>50.583501006036215</v>
      </c>
      <c r="E435" s="74">
        <f>Comp3[[#This Row],[Comparable '#3 Price]]/'Comparable #3'!$B$2*100</f>
        <v>99.923214742769389</v>
      </c>
    </row>
    <row r="436" spans="1:5">
      <c r="A436" s="96">
        <v>43916</v>
      </c>
      <c r="B436" s="74">
        <f>Target1[[#This Row],[Target Price]]/Target!$B$2*100</f>
        <v>97.382198952879563</v>
      </c>
      <c r="C436" s="74">
        <f>Comp1[[#This Row],[Comparable '#1 Price]]/'Comparable #1'!$B$2*100</f>
        <v>73.648186173853531</v>
      </c>
      <c r="D436" s="74">
        <f>Comp2[[#This Row],[Comparable '#2 Price]]/'Comparable #2'!$B$2*100</f>
        <v>51.87122736418511</v>
      </c>
      <c r="E436" s="74">
        <f>Comp3[[#This Row],[Comparable '#3 Price]]/'Comparable #3'!$B$2*100</f>
        <v>111.21064755566931</v>
      </c>
    </row>
    <row r="437" spans="1:5">
      <c r="A437" s="96">
        <v>43917</v>
      </c>
      <c r="B437" s="74">
        <f>Target1[[#This Row],[Target Price]]/Target!$B$2*100</f>
        <v>101.80337405468293</v>
      </c>
      <c r="C437" s="74">
        <f>Comp1[[#This Row],[Comparable '#1 Price]]/'Comparable #1'!$B$2*100</f>
        <v>71.047227926078037</v>
      </c>
      <c r="D437" s="74">
        <f>Comp2[[#This Row],[Comparable '#2 Price]]/'Comparable #2'!$B$2*100</f>
        <v>49.899396378269614</v>
      </c>
      <c r="E437" s="74">
        <f>Comp3[[#This Row],[Comparable '#3 Price]]/'Comparable #3'!$B$2*100</f>
        <v>107.80650115177886</v>
      </c>
    </row>
    <row r="438" spans="1:5">
      <c r="A438" s="96">
        <v>43920</v>
      </c>
      <c r="B438" s="74">
        <f>Target1[[#This Row],[Target Price]]/Target!$B$2*100</f>
        <v>108.02792321116928</v>
      </c>
      <c r="C438" s="74">
        <f>Comp1[[#This Row],[Comparable '#1 Price]]/'Comparable #1'!$B$2*100</f>
        <v>72.758384668035603</v>
      </c>
      <c r="D438" s="74">
        <f>Comp2[[#This Row],[Comparable '#2 Price]]/'Comparable #2'!$B$2*100</f>
        <v>52.454728370221325</v>
      </c>
      <c r="E438" s="74">
        <f>Comp3[[#This Row],[Comparable '#3 Price]]/'Comparable #3'!$B$2*100</f>
        <v>119.53758211756677</v>
      </c>
    </row>
    <row r="439" spans="1:5">
      <c r="A439" s="96">
        <v>43921</v>
      </c>
      <c r="B439" s="74">
        <f>Target1[[#This Row],[Target Price]]/Target!$B$2*100</f>
        <v>109.71495055264688</v>
      </c>
      <c r="C439" s="74">
        <f>Comp1[[#This Row],[Comparable '#1 Price]]/'Comparable #1'!$B$2*100</f>
        <v>71.937029431895965</v>
      </c>
      <c r="D439" s="74">
        <f>Comp2[[#This Row],[Comparable '#2 Price]]/'Comparable #2'!$B$2*100</f>
        <v>53.90342052313882</v>
      </c>
      <c r="E439" s="74">
        <f>Comp3[[#This Row],[Comparable '#3 Price]]/'Comparable #3'!$B$2*100</f>
        <v>119.23897278389215</v>
      </c>
    </row>
    <row r="440" spans="1:5">
      <c r="A440" s="96">
        <v>43922</v>
      </c>
      <c r="B440" s="74">
        <f>Target1[[#This Row],[Target Price]]/Target!$B$2*100</f>
        <v>103.83944153577661</v>
      </c>
      <c r="C440" s="74">
        <f>Comp1[[#This Row],[Comparable '#1 Price]]/'Comparable #1'!$B$2*100</f>
        <v>69.815195071868587</v>
      </c>
      <c r="D440" s="74">
        <f>Comp2[[#This Row],[Comparable '#2 Price]]/'Comparable #2'!$B$2*100</f>
        <v>52.716297786720311</v>
      </c>
      <c r="E440" s="74">
        <f>Comp3[[#This Row],[Comparable '#3 Price]]/'Comparable #3'!$B$2*100</f>
        <v>105.17873901544237</v>
      </c>
    </row>
    <row r="441" spans="1:5">
      <c r="A441" s="96">
        <v>43923</v>
      </c>
      <c r="B441" s="74">
        <f>Target1[[#This Row],[Target Price]]/Target!$B$2*100</f>
        <v>119.08086096567772</v>
      </c>
      <c r="C441" s="74">
        <f>Comp1[[#This Row],[Comparable '#1 Price]]/'Comparable #1'!$B$2*100</f>
        <v>67.145790554414788</v>
      </c>
      <c r="D441" s="74">
        <f>Comp2[[#This Row],[Comparable '#2 Price]]/'Comparable #2'!$B$2*100</f>
        <v>50.241448692152915</v>
      </c>
      <c r="E441" s="74">
        <f>Comp3[[#This Row],[Comparable '#3 Price]]/'Comparable #3'!$B$2*100</f>
        <v>101.88550464977394</v>
      </c>
    </row>
    <row r="442" spans="1:5">
      <c r="A442" s="96">
        <v>43924</v>
      </c>
      <c r="B442" s="74">
        <f>Target1[[#This Row],[Target Price]]/Target!$B$2*100</f>
        <v>120.65154159394996</v>
      </c>
      <c r="C442" s="74">
        <f>Comp1[[#This Row],[Comparable '#1 Price]]/'Comparable #1'!$B$2*100</f>
        <v>63.244353182751546</v>
      </c>
      <c r="D442" s="74">
        <f>Comp2[[#This Row],[Comparable '#2 Price]]/'Comparable #2'!$B$2*100</f>
        <v>47.424547283702211</v>
      </c>
      <c r="E442" s="74">
        <f>Comp3[[#This Row],[Comparable '#3 Price]]/'Comparable #3'!$B$2*100</f>
        <v>99.530756761368494</v>
      </c>
    </row>
    <row r="443" spans="1:5">
      <c r="A443" s="96">
        <v>43927</v>
      </c>
      <c r="B443" s="74">
        <f>Target1[[#This Row],[Target Price]]/Target!$B$2*100</f>
        <v>126.52705061082024</v>
      </c>
      <c r="C443" s="74">
        <f>Comp1[[#This Row],[Comparable '#1 Price]]/'Comparable #1'!$B$2*100</f>
        <v>67.898699520876121</v>
      </c>
      <c r="D443" s="74">
        <f>Comp2[[#This Row],[Comparable '#2 Price]]/'Comparable #2'!$B$2*100</f>
        <v>50.764587525150908</v>
      </c>
      <c r="E443" s="74">
        <f>Comp3[[#This Row],[Comparable '#3 Price]]/'Comparable #3'!$B$2*100</f>
        <v>108.29280778090609</v>
      </c>
    </row>
    <row r="444" spans="1:5">
      <c r="A444" s="96">
        <v>43928</v>
      </c>
      <c r="B444" s="74">
        <f>Target1[[#This Row],[Target Price]]/Target!$B$2*100</f>
        <v>126.75974403723093</v>
      </c>
      <c r="C444" s="74">
        <f>Comp1[[#This Row],[Comparable '#1 Price]]/'Comparable #1'!$B$2*100</f>
        <v>72.963723477070502</v>
      </c>
      <c r="D444" s="74">
        <f>Comp2[[#This Row],[Comparable '#2 Price]]/'Comparable #2'!$B$2*100</f>
        <v>50.422535211267608</v>
      </c>
      <c r="E444" s="74">
        <f>Comp3[[#This Row],[Comparable '#3 Price]]/'Comparable #3'!$B$2*100</f>
        <v>108.55729033358929</v>
      </c>
    </row>
    <row r="445" spans="1:5">
      <c r="A445" s="96">
        <v>43929</v>
      </c>
      <c r="B445" s="74">
        <f>Target1[[#This Row],[Target Price]]/Target!$B$2*100</f>
        <v>135.19488074461893</v>
      </c>
      <c r="C445" s="74">
        <f>Comp1[[#This Row],[Comparable '#1 Price]]/'Comparable #1'!$B$2*100</f>
        <v>67.830253251197817</v>
      </c>
      <c r="D445" s="74">
        <f>Comp2[[#This Row],[Comparable '#2 Price]]/'Comparable #2'!$B$2*100</f>
        <v>52.756539235412468</v>
      </c>
      <c r="E445" s="74">
        <f>Comp3[[#This Row],[Comparable '#3 Price]]/'Comparable #3'!$B$2*100</f>
        <v>111.8590563945056</v>
      </c>
    </row>
    <row r="446" spans="1:5">
      <c r="A446" s="96">
        <v>43930</v>
      </c>
      <c r="B446" s="74">
        <f>Target1[[#This Row],[Target Price]]/Target!$B$2*100</f>
        <v>129.72658522396742</v>
      </c>
      <c r="C446" s="74">
        <f>Comp1[[#This Row],[Comparable '#1 Price]]/'Comparable #1'!$B$2*100</f>
        <v>71.115674195756341</v>
      </c>
      <c r="D446" s="74">
        <f>Comp2[[#This Row],[Comparable '#2 Price]]/'Comparable #2'!$B$2*100</f>
        <v>53.400402414486912</v>
      </c>
      <c r="E446" s="74">
        <f>Comp3[[#This Row],[Comparable '#3 Price]]/'Comparable #3'!$B$2*100</f>
        <v>115.05844211244775</v>
      </c>
    </row>
    <row r="447" spans="1:5">
      <c r="A447" s="96">
        <v>43934</v>
      </c>
      <c r="B447" s="74">
        <f>Target1[[#This Row],[Target Price]]/Target!$B$2*100</f>
        <v>133.79872018615472</v>
      </c>
      <c r="C447" s="74">
        <f>Comp1[[#This Row],[Comparable '#1 Price]]/'Comparable #1'!$B$2*100</f>
        <v>69.267624914442166</v>
      </c>
      <c r="D447" s="74">
        <f>Comp2[[#This Row],[Comparable '#2 Price]]/'Comparable #2'!$B$2*100</f>
        <v>52.776659959758554</v>
      </c>
      <c r="E447" s="74">
        <f>Comp3[[#This Row],[Comparable '#3 Price]]/'Comparable #3'!$B$2*100</f>
        <v>118.50524699257743</v>
      </c>
    </row>
    <row r="448" spans="1:5">
      <c r="A448" s="96">
        <v>43935</v>
      </c>
      <c r="B448" s="74">
        <f>Target1[[#This Row],[Target Price]]/Target!$B$2*100</f>
        <v>126.35253054101221</v>
      </c>
      <c r="C448" s="74">
        <f>Comp1[[#This Row],[Comparable '#1 Price]]/'Comparable #1'!$B$2*100</f>
        <v>71.526351813826139</v>
      </c>
      <c r="D448" s="74">
        <f>Comp2[[#This Row],[Comparable '#2 Price]]/'Comparable #2'!$B$2*100</f>
        <v>54.084507042253513</v>
      </c>
      <c r="E448" s="74">
        <f>Comp3[[#This Row],[Comparable '#3 Price]]/'Comparable #3'!$B$2*100</f>
        <v>128.44467195631773</v>
      </c>
    </row>
    <row r="449" spans="1:5">
      <c r="A449" s="96">
        <v>43936</v>
      </c>
      <c r="B449" s="74">
        <f>Target1[[#This Row],[Target Price]]/Target!$B$2*100</f>
        <v>133.33333333333331</v>
      </c>
      <c r="C449" s="74">
        <f>Comp1[[#This Row],[Comparable '#1 Price]]/'Comparable #1'!$B$2*100</f>
        <v>65.913757700205338</v>
      </c>
      <c r="D449" s="74">
        <f>Comp2[[#This Row],[Comparable '#2 Price]]/'Comparable #2'!$B$2*100</f>
        <v>52.535211267605632</v>
      </c>
      <c r="E449" s="74">
        <f>Comp3[[#This Row],[Comparable '#3 Price]]/'Comparable #3'!$B$2*100</f>
        <v>123.47069362682366</v>
      </c>
    </row>
    <row r="450" spans="1:5">
      <c r="A450" s="96">
        <v>43937</v>
      </c>
      <c r="B450" s="74">
        <f>Target1[[#This Row],[Target Price]]/Target!$B$2*100</f>
        <v>137.23094822571261</v>
      </c>
      <c r="C450" s="74">
        <f>Comp1[[#This Row],[Comparable '#1 Price]]/'Comparable #1'!$B$2*100</f>
        <v>63.244353182751546</v>
      </c>
      <c r="D450" s="74">
        <f>Comp2[[#This Row],[Comparable '#2 Price]]/'Comparable #2'!$B$2*100</f>
        <v>51.730382293762581</v>
      </c>
      <c r="E450" s="74">
        <f>Comp3[[#This Row],[Comparable '#3 Price]]/'Comparable #3'!$B$2*100</f>
        <v>125.20262776213636</v>
      </c>
    </row>
    <row r="451" spans="1:5">
      <c r="A451" s="96">
        <v>43938</v>
      </c>
      <c r="B451" s="74">
        <f>Target1[[#This Row],[Target Price]]/Target!$B$2*100</f>
        <v>140.95404304828386</v>
      </c>
      <c r="C451" s="74">
        <f>Comp1[[#This Row],[Comparable '#1 Price]]/'Comparable #1'!$B$2*100</f>
        <v>63.586584531143053</v>
      </c>
      <c r="D451" s="74">
        <f>Comp2[[#This Row],[Comparable '#2 Price]]/'Comparable #2'!$B$2*100</f>
        <v>55.975855130784701</v>
      </c>
      <c r="E451" s="74">
        <f>Comp3[[#This Row],[Comparable '#3 Price]]/'Comparable #3'!$B$2*100</f>
        <v>127.00281545943182</v>
      </c>
    </row>
    <row r="452" spans="1:5">
      <c r="A452" s="96">
        <v>43941</v>
      </c>
      <c r="B452" s="74">
        <f>Target1[[#This Row],[Target Price]]/Target!$B$2*100</f>
        <v>137.98720186154739</v>
      </c>
      <c r="C452" s="74">
        <f>Comp1[[#This Row],[Comparable '#1 Price]]/'Comparable #1'!$B$2*100</f>
        <v>59.685147159479811</v>
      </c>
      <c r="D452" s="74">
        <f>Comp2[[#This Row],[Comparable '#2 Price]]/'Comparable #2'!$B$2*100</f>
        <v>54.084507042253513</v>
      </c>
      <c r="E452" s="74">
        <f>Comp3[[#This Row],[Comparable '#3 Price]]/'Comparable #3'!$B$2*100</f>
        <v>125.05758894292298</v>
      </c>
    </row>
    <row r="453" spans="1:5">
      <c r="A453" s="96">
        <v>43942</v>
      </c>
      <c r="B453" s="74">
        <f>Target1[[#This Row],[Target Price]]/Target!$B$2*100</f>
        <v>140.54682955206513</v>
      </c>
      <c r="C453" s="74">
        <f>Comp1[[#This Row],[Comparable '#1 Price]]/'Comparable #1'!$B$2*100</f>
        <v>57.802874743326491</v>
      </c>
      <c r="D453" s="74">
        <f>Comp2[[#This Row],[Comparable '#2 Price]]/'Comparable #2'!$B$2*100</f>
        <v>53.460764587525148</v>
      </c>
      <c r="E453" s="74">
        <f>Comp3[[#This Row],[Comparable '#3 Price]]/'Comparable #3'!$B$2*100</f>
        <v>124.87842334271821</v>
      </c>
    </row>
    <row r="454" spans="1:5">
      <c r="A454" s="96">
        <v>43943</v>
      </c>
      <c r="B454" s="74">
        <f>Target1[[#This Row],[Target Price]]/Target!$B$2*100</f>
        <v>141.30308318789992</v>
      </c>
      <c r="C454" s="74">
        <f>Comp1[[#This Row],[Comparable '#1 Price]]/'Comparable #1'!$B$2*100</f>
        <v>57.56331279945244</v>
      </c>
      <c r="D454" s="74">
        <f>Comp2[[#This Row],[Comparable '#2 Price]]/'Comparable #2'!$B$2*100</f>
        <v>55.412474849094565</v>
      </c>
      <c r="E454" s="74">
        <f>Comp3[[#This Row],[Comparable '#3 Price]]/'Comparable #3'!$B$2*100</f>
        <v>124.61394079003499</v>
      </c>
    </row>
    <row r="455" spans="1:5">
      <c r="A455" s="96">
        <v>43944</v>
      </c>
      <c r="B455" s="74">
        <f>Target1[[#This Row],[Target Price]]/Target!$B$2*100</f>
        <v>136.70738801628852</v>
      </c>
      <c r="C455" s="74">
        <f>Comp1[[#This Row],[Comparable '#1 Price]]/'Comparable #1'!$B$2*100</f>
        <v>57.015742642026012</v>
      </c>
      <c r="D455" s="74">
        <f>Comp2[[#This Row],[Comparable '#2 Price]]/'Comparable #2'!$B$2*100</f>
        <v>55.975855130784701</v>
      </c>
      <c r="E455" s="74">
        <f>Comp3[[#This Row],[Comparable '#3 Price]]/'Comparable #3'!$B$2*100</f>
        <v>122.3615732446037</v>
      </c>
    </row>
    <row r="456" spans="1:5">
      <c r="A456" s="96">
        <v>43945</v>
      </c>
      <c r="B456" s="74">
        <f>Target1[[#This Row],[Target Price]]/Target!$B$2*100</f>
        <v>143.10645724258288</v>
      </c>
      <c r="C456" s="74">
        <f>Comp1[[#This Row],[Comparable '#1 Price]]/'Comparable #1'!$B$2*100</f>
        <v>57.631759069130737</v>
      </c>
      <c r="D456" s="74">
        <f>Comp2[[#This Row],[Comparable '#2 Price]]/'Comparable #2'!$B$2*100</f>
        <v>56.519114688128766</v>
      </c>
      <c r="E456" s="74">
        <f>Comp3[[#This Row],[Comparable '#3 Price]]/'Comparable #3'!$B$2*100</f>
        <v>122.04590052043342</v>
      </c>
    </row>
    <row r="457" spans="1:5">
      <c r="A457" s="96">
        <v>43948</v>
      </c>
      <c r="B457" s="74">
        <f>Target1[[#This Row],[Target Price]]/Target!$B$2*100</f>
        <v>145.66608493310062</v>
      </c>
      <c r="C457" s="74">
        <f>Comp1[[#This Row],[Comparable '#1 Price]]/'Comparable #1'!$B$2*100</f>
        <v>61.533196440793979</v>
      </c>
      <c r="D457" s="74">
        <f>Comp2[[#This Row],[Comparable '#2 Price]]/'Comparable #2'!$B$2*100</f>
        <v>60.74446680080483</v>
      </c>
      <c r="E457" s="74">
        <f>Comp3[[#This Row],[Comparable '#3 Price]]/'Comparable #3'!$B$2*100</f>
        <v>125.4159201433325</v>
      </c>
    </row>
    <row r="458" spans="1:5">
      <c r="A458" s="96">
        <v>43949</v>
      </c>
      <c r="B458" s="74">
        <f>Target1[[#This Row],[Target Price]]/Target!$B$2*100</f>
        <v>128.03955788248982</v>
      </c>
      <c r="C458" s="74">
        <f>Comp1[[#This Row],[Comparable '#1 Price]]/'Comparable #1'!$B$2*100</f>
        <v>65.845311430527033</v>
      </c>
      <c r="D458" s="74">
        <f>Comp2[[#This Row],[Comparable '#2 Price]]/'Comparable #2'!$B$2*100</f>
        <v>63.098591549295769</v>
      </c>
      <c r="E458" s="74">
        <f>Comp3[[#This Row],[Comparable '#3 Price]]/'Comparable #3'!$B$2*100</f>
        <v>128.1034041464039</v>
      </c>
    </row>
    <row r="459" spans="1:5">
      <c r="A459" s="96">
        <v>43950</v>
      </c>
      <c r="B459" s="74">
        <f>Target1[[#This Row],[Target Price]]/Target!$B$2*100</f>
        <v>124.6655031995346</v>
      </c>
      <c r="C459" s="74">
        <f>Comp1[[#This Row],[Comparable '#1 Price]]/'Comparable #1'!$B$2*100</f>
        <v>66.461327857631773</v>
      </c>
      <c r="D459" s="74">
        <f>Comp2[[#This Row],[Comparable '#2 Price]]/'Comparable #2'!$B$2*100</f>
        <v>66.780684104627767</v>
      </c>
      <c r="E459" s="74">
        <f>Comp3[[#This Row],[Comparable '#3 Price]]/'Comparable #3'!$B$2*100</f>
        <v>143.48605067826978</v>
      </c>
    </row>
    <row r="460" spans="1:5">
      <c r="A460" s="96">
        <v>43951</v>
      </c>
      <c r="B460" s="74">
        <f>Target1[[#This Row],[Target Price]]/Target!$B$2*100</f>
        <v>132.11169284467715</v>
      </c>
      <c r="C460" s="74">
        <f>Comp1[[#This Row],[Comparable '#1 Price]]/'Comparable #1'!$B$2*100</f>
        <v>64.81861738535251</v>
      </c>
      <c r="D460" s="74">
        <f>Comp2[[#This Row],[Comparable '#2 Price]]/'Comparable #2'!$B$2*100</f>
        <v>63.923541247484906</v>
      </c>
      <c r="E460" s="74">
        <f>Comp3[[#This Row],[Comparable '#3 Price]]/'Comparable #3'!$B$2*100</f>
        <v>135.90990529818276</v>
      </c>
    </row>
    <row r="461" spans="1:5">
      <c r="A461" s="96">
        <v>43952</v>
      </c>
      <c r="B461" s="74">
        <f>Target1[[#This Row],[Target Price]]/Target!$B$2*100</f>
        <v>133.62420011634671</v>
      </c>
      <c r="C461" s="74">
        <f>Comp1[[#This Row],[Comparable '#1 Price]]/'Comparable #1'!$B$2*100</f>
        <v>63.03901437371664</v>
      </c>
      <c r="D461" s="74">
        <f>Comp2[[#This Row],[Comparable '#2 Price]]/'Comparable #2'!$B$2*100</f>
        <v>63.641851106639834</v>
      </c>
      <c r="E461" s="74">
        <f>Comp3[[#This Row],[Comparable '#3 Price]]/'Comparable #3'!$B$2*100</f>
        <v>128.16312601313882</v>
      </c>
    </row>
    <row r="462" spans="1:5">
      <c r="A462" s="96">
        <v>43955</v>
      </c>
      <c r="B462" s="74">
        <f>Target1[[#This Row],[Target Price]]/Target!$B$2*100</f>
        <v>131.93717277486908</v>
      </c>
      <c r="C462" s="74">
        <f>Comp1[[#This Row],[Comparable '#1 Price]]/'Comparable #1'!$B$2*100</f>
        <v>64.099931553730329</v>
      </c>
      <c r="D462" s="74">
        <f>Comp2[[#This Row],[Comparable '#2 Price]]/'Comparable #2'!$B$2*100</f>
        <v>63.521126760563376</v>
      </c>
      <c r="E462" s="74">
        <f>Comp3[[#This Row],[Comparable '#3 Price]]/'Comparable #3'!$B$2*100</f>
        <v>127.46352700281547</v>
      </c>
    </row>
    <row r="463" spans="1:5">
      <c r="A463" s="96">
        <v>43956</v>
      </c>
      <c r="B463" s="74">
        <f>Target1[[#This Row],[Target Price]]/Target!$B$2*100</f>
        <v>134.0895869691681</v>
      </c>
      <c r="C463" s="74">
        <f>Comp1[[#This Row],[Comparable '#1 Price]]/'Comparable #1'!$B$2*100</f>
        <v>65.708418891170425</v>
      </c>
      <c r="D463" s="74">
        <f>Comp2[[#This Row],[Comparable '#2 Price]]/'Comparable #2'!$B$2*100</f>
        <v>63.480885311871226</v>
      </c>
      <c r="E463" s="74">
        <f>Comp3[[#This Row],[Comparable '#3 Price]]/'Comparable #3'!$B$2*100</f>
        <v>134.20356624861364</v>
      </c>
    </row>
    <row r="464" spans="1:5">
      <c r="A464" s="96">
        <v>43957</v>
      </c>
      <c r="B464" s="74">
        <f>Target1[[#This Row],[Target Price]]/Target!$B$2*100</f>
        <v>131.35543920884234</v>
      </c>
      <c r="C464" s="74">
        <f>Comp1[[#This Row],[Comparable '#1 Price]]/'Comparable #1'!$B$2*100</f>
        <v>63.997262149212865</v>
      </c>
      <c r="D464" s="74">
        <f>Comp2[[#This Row],[Comparable '#2 Price]]/'Comparable #2'!$B$2*100</f>
        <v>65.895372233400394</v>
      </c>
      <c r="E464" s="74">
        <f>Comp3[[#This Row],[Comparable '#3 Price]]/'Comparable #3'!$B$2*100</f>
        <v>138.09401928163126</v>
      </c>
    </row>
    <row r="465" spans="1:5">
      <c r="A465" s="96">
        <v>43958</v>
      </c>
      <c r="B465" s="74">
        <f>Target1[[#This Row],[Target Price]]/Target!$B$2*100</f>
        <v>128.56311809191391</v>
      </c>
      <c r="C465" s="74">
        <f>Comp1[[#This Row],[Comparable '#1 Price]]/'Comparable #1'!$B$2*100</f>
        <v>60.232717316906239</v>
      </c>
      <c r="D465" s="74">
        <f>Comp2[[#This Row],[Comparable '#2 Price]]/'Comparable #2'!$B$2*100</f>
        <v>68.893360160965798</v>
      </c>
      <c r="E465" s="74">
        <f>Comp3[[#This Row],[Comparable '#3 Price]]/'Comparable #3'!$B$2*100</f>
        <v>142.05272587663168</v>
      </c>
    </row>
    <row r="466" spans="1:5">
      <c r="A466" s="96">
        <v>43959</v>
      </c>
      <c r="B466" s="74">
        <f>Target1[[#This Row],[Target Price]]/Target!$B$2*100</f>
        <v>133.62420011634671</v>
      </c>
      <c r="C466" s="74">
        <f>Comp1[[#This Row],[Comparable '#1 Price]]/'Comparable #1'!$B$2*100</f>
        <v>62.354551676933603</v>
      </c>
      <c r="D466" s="74">
        <f>Comp2[[#This Row],[Comparable '#2 Price]]/'Comparable #2'!$B$2*100</f>
        <v>69.718309859154928</v>
      </c>
      <c r="E466" s="74">
        <f>Comp3[[#This Row],[Comparable '#3 Price]]/'Comparable #3'!$B$2*100</f>
        <v>145.52512584250491</v>
      </c>
    </row>
    <row r="467" spans="1:5">
      <c r="A467" s="96">
        <v>43962</v>
      </c>
      <c r="B467" s="74">
        <f>Target1[[#This Row],[Target Price]]/Target!$B$2*100</f>
        <v>136.99825479930192</v>
      </c>
      <c r="C467" s="74">
        <f>Comp1[[#This Row],[Comparable '#1 Price]]/'Comparable #1'!$B$2*100</f>
        <v>58.521560574948673</v>
      </c>
      <c r="D467" s="74">
        <f>Comp2[[#This Row],[Comparable '#2 Price]]/'Comparable #2'!$B$2*100</f>
        <v>67.74647887323944</v>
      </c>
      <c r="E467" s="74">
        <f>Comp3[[#This Row],[Comparable '#3 Price]]/'Comparable #3'!$B$2*100</f>
        <v>143.48605067826978</v>
      </c>
    </row>
    <row r="468" spans="1:5">
      <c r="A468" s="96">
        <v>43963</v>
      </c>
      <c r="B468" s="74">
        <f>Target1[[#This Row],[Target Price]]/Target!$B$2*100</f>
        <v>136.18382780686446</v>
      </c>
      <c r="C468" s="74">
        <f>Comp1[[#This Row],[Comparable '#1 Price]]/'Comparable #1'!$B$2*100</f>
        <v>56.536618754277889</v>
      </c>
      <c r="D468" s="74">
        <f>Comp2[[#This Row],[Comparable '#2 Price]]/'Comparable #2'!$B$2*100</f>
        <v>63.923541247484906</v>
      </c>
      <c r="E468" s="74">
        <f>Comp3[[#This Row],[Comparable '#3 Price]]/'Comparable #3'!$B$2*100</f>
        <v>140.08190427437933</v>
      </c>
    </row>
    <row r="469" spans="1:5">
      <c r="A469" s="96">
        <v>43964</v>
      </c>
      <c r="B469" s="74">
        <f>Target1[[#This Row],[Target Price]]/Target!$B$2*100</f>
        <v>136.18382780686446</v>
      </c>
      <c r="C469" s="74">
        <f>Comp1[[#This Row],[Comparable '#1 Price]]/'Comparable #1'!$B$2*100</f>
        <v>52.498288843258045</v>
      </c>
      <c r="D469" s="74">
        <f>Comp2[[#This Row],[Comparable '#2 Price]]/'Comparable #2'!$B$2*100</f>
        <v>63.843058350100598</v>
      </c>
      <c r="E469" s="74">
        <f>Comp3[[#This Row],[Comparable '#3 Price]]/'Comparable #3'!$B$2*100</f>
        <v>139.81742172169612</v>
      </c>
    </row>
    <row r="470" spans="1:5">
      <c r="A470" s="96">
        <v>43965</v>
      </c>
      <c r="B470" s="74">
        <f>Target1[[#This Row],[Target Price]]/Target!$B$2*100</f>
        <v>132.11169284467715</v>
      </c>
      <c r="C470" s="74">
        <f>Comp1[[#This Row],[Comparable '#1 Price]]/'Comparable #1'!$B$2*100</f>
        <v>57.015742642026012</v>
      </c>
      <c r="D470" s="74">
        <f>Comp2[[#This Row],[Comparable '#2 Price]]/'Comparable #2'!$B$2*100</f>
        <v>64.144869215291749</v>
      </c>
      <c r="E470" s="74">
        <f>Comp3[[#This Row],[Comparable '#3 Price]]/'Comparable #3'!$B$2*100</f>
        <v>138.99837897790292</v>
      </c>
    </row>
    <row r="471" spans="1:5">
      <c r="A471" s="96">
        <v>43966</v>
      </c>
      <c r="B471" s="74">
        <f>Target1[[#This Row],[Target Price]]/Target!$B$2*100</f>
        <v>138.04537521815007</v>
      </c>
      <c r="C471" s="74">
        <f>Comp1[[#This Row],[Comparable '#1 Price]]/'Comparable #1'!$B$2*100</f>
        <v>58.247775496235455</v>
      </c>
      <c r="D471" s="74">
        <f>Comp2[[#This Row],[Comparable '#2 Price]]/'Comparable #2'!$B$2*100</f>
        <v>64.205231388329977</v>
      </c>
      <c r="E471" s="74">
        <f>Comp3[[#This Row],[Comparable '#3 Price]]/'Comparable #3'!$B$2*100</f>
        <v>140.46583056053237</v>
      </c>
    </row>
    <row r="472" spans="1:5">
      <c r="A472" s="96">
        <v>43969</v>
      </c>
      <c r="B472" s="74">
        <f>Target1[[#This Row],[Target Price]]/Target!$B$2*100</f>
        <v>136.00930773705642</v>
      </c>
      <c r="C472" s="74">
        <f>Comp1[[#This Row],[Comparable '#1 Price]]/'Comparable #1'!$B$2*100</f>
        <v>61.396303901437378</v>
      </c>
      <c r="D472" s="74">
        <f>Comp2[[#This Row],[Comparable '#2 Price]]/'Comparable #2'!$B$2*100</f>
        <v>66.257545271629766</v>
      </c>
      <c r="E472" s="74">
        <f>Comp3[[#This Row],[Comparable '#3 Price]]/'Comparable #3'!$B$2*100</f>
        <v>144.57810766999404</v>
      </c>
    </row>
    <row r="473" spans="1:5">
      <c r="A473" s="96">
        <v>43970</v>
      </c>
      <c r="B473" s="74">
        <f>Target1[[#This Row],[Target Price]]/Target!$B$2*100</f>
        <v>133.79872018615472</v>
      </c>
      <c r="C473" s="74">
        <f>Comp1[[#This Row],[Comparable '#1 Price]]/'Comparable #1'!$B$2*100</f>
        <v>59.685147159479811</v>
      </c>
      <c r="D473" s="74">
        <f>Comp2[[#This Row],[Comparable '#2 Price]]/'Comparable #2'!$B$2*100</f>
        <v>64.225352112676063</v>
      </c>
      <c r="E473" s="74">
        <f>Comp3[[#This Row],[Comparable '#3 Price]]/'Comparable #3'!$B$2*100</f>
        <v>142.28308164832353</v>
      </c>
    </row>
    <row r="474" spans="1:5">
      <c r="A474" s="96">
        <v>43971</v>
      </c>
      <c r="B474" s="74">
        <f>Target1[[#This Row],[Target Price]]/Target!$B$2*100</f>
        <v>137.23094822571261</v>
      </c>
      <c r="C474" s="74">
        <f>Comp1[[#This Row],[Comparable '#1 Price]]/'Comparable #1'!$B$2*100</f>
        <v>61.12251882272416</v>
      </c>
      <c r="D474" s="74">
        <f>Comp2[[#This Row],[Comparable '#2 Price]]/'Comparable #2'!$B$2*100</f>
        <v>65.714285714285708</v>
      </c>
      <c r="E474" s="74">
        <f>Comp3[[#This Row],[Comparable '#3 Price]]/'Comparable #3'!$B$2*100</f>
        <v>143.45192389727839</v>
      </c>
    </row>
    <row r="475" spans="1:5">
      <c r="A475" s="96">
        <v>43972</v>
      </c>
      <c r="B475" s="74">
        <f>Target1[[#This Row],[Target Price]]/Target!$B$2*100</f>
        <v>139.90692262943571</v>
      </c>
      <c r="C475" s="74">
        <f>Comp1[[#This Row],[Comparable '#1 Price]]/'Comparable #1'!$B$2*100</f>
        <v>62.491444216290212</v>
      </c>
      <c r="D475" s="74">
        <f>Comp2[[#This Row],[Comparable '#2 Price]]/'Comparable #2'!$B$2*100</f>
        <v>65.835010060362166</v>
      </c>
      <c r="E475" s="74">
        <f>Comp3[[#This Row],[Comparable '#3 Price]]/'Comparable #3'!$B$2*100</f>
        <v>144.35628359355005</v>
      </c>
    </row>
    <row r="476" spans="1:5">
      <c r="A476" s="96">
        <v>43973</v>
      </c>
      <c r="B476" s="74">
        <f>Target1[[#This Row],[Target Price]]/Target!$B$2*100</f>
        <v>142.00116346713205</v>
      </c>
      <c r="C476" s="74">
        <f>Comp1[[#This Row],[Comparable '#1 Price]]/'Comparable #1'!$B$2*100</f>
        <v>62.012320328542103</v>
      </c>
      <c r="D476" s="74">
        <f>Comp2[[#This Row],[Comparable '#2 Price]]/'Comparable #2'!$B$2*100</f>
        <v>66.317907444667995</v>
      </c>
      <c r="E476" s="74">
        <f>Comp3[[#This Row],[Comparable '#3 Price]]/'Comparable #3'!$B$2*100</f>
        <v>144.70608309871173</v>
      </c>
    </row>
    <row r="477" spans="1:5">
      <c r="A477" s="96">
        <v>43977</v>
      </c>
      <c r="B477" s="74">
        <f>Target1[[#This Row],[Target Price]]/Target!$B$2*100</f>
        <v>141.53577661431063</v>
      </c>
      <c r="C477" s="74">
        <f>Comp1[[#This Row],[Comparable '#1 Price]]/'Comparable #1'!$B$2*100</f>
        <v>66.427104722792606</v>
      </c>
      <c r="D477" s="74">
        <f>Comp2[[#This Row],[Comparable '#2 Price]]/'Comparable #2'!$B$2*100</f>
        <v>66.700201207243452</v>
      </c>
      <c r="E477" s="74">
        <f>Comp3[[#This Row],[Comparable '#3 Price]]/'Comparable #3'!$B$2*100</f>
        <v>145.87492534766656</v>
      </c>
    </row>
    <row r="478" spans="1:5">
      <c r="A478" s="96">
        <v>43978</v>
      </c>
      <c r="B478" s="74">
        <f>Target1[[#This Row],[Target Price]]/Target!$B$2*100</f>
        <v>140.89586969168118</v>
      </c>
      <c r="C478" s="74">
        <f>Comp1[[#This Row],[Comparable '#1 Price]]/'Comparable #1'!$B$2*100</f>
        <v>69.746748802190282</v>
      </c>
      <c r="D478" s="74">
        <f>Comp2[[#This Row],[Comparable '#2 Price]]/'Comparable #2'!$B$2*100</f>
        <v>67.806841046277668</v>
      </c>
      <c r="E478" s="74">
        <f>Comp3[[#This Row],[Comparable '#3 Price]]/'Comparable #3'!$B$2*100</f>
        <v>150.34553365753774</v>
      </c>
    </row>
    <row r="479" spans="1:5">
      <c r="A479" s="96">
        <v>43979</v>
      </c>
      <c r="B479" s="74">
        <f>Target1[[#This Row],[Target Price]]/Target!$B$2*100</f>
        <v>140.72134962187317</v>
      </c>
      <c r="C479" s="74">
        <f>Comp1[[#This Row],[Comparable '#1 Price]]/'Comparable #1'!$B$2*100</f>
        <v>68.035592060232716</v>
      </c>
      <c r="D479" s="74">
        <f>Comp2[[#This Row],[Comparable '#2 Price]]/'Comparable #2'!$B$2*100</f>
        <v>67.484909456740439</v>
      </c>
      <c r="E479" s="74">
        <f>Comp3[[#This Row],[Comparable '#3 Price]]/'Comparable #3'!$B$2*100</f>
        <v>145.44834058527428</v>
      </c>
    </row>
    <row r="480" spans="1:5">
      <c r="A480" s="96">
        <v>43980</v>
      </c>
      <c r="B480" s="74">
        <f>Target1[[#This Row],[Target Price]]/Target!$B$2*100</f>
        <v>143.22280395578824</v>
      </c>
      <c r="C480" s="74">
        <f>Comp1[[#This Row],[Comparable '#1 Price]]/'Comparable #1'!$B$2*100</f>
        <v>66.598220396988367</v>
      </c>
      <c r="D480" s="74">
        <f>Comp2[[#This Row],[Comparable '#2 Price]]/'Comparable #2'!$B$2*100</f>
        <v>67.323943661971825</v>
      </c>
      <c r="E480" s="74">
        <f>Comp3[[#This Row],[Comparable '#3 Price]]/'Comparable #3'!$B$2*100</f>
        <v>144.72314648920741</v>
      </c>
    </row>
    <row r="481" spans="1:5">
      <c r="A481" s="96">
        <v>43983</v>
      </c>
      <c r="B481" s="74">
        <f>Target1[[#This Row],[Target Price]]/Target!$B$2*100</f>
        <v>146.94589877835952</v>
      </c>
      <c r="C481" s="74">
        <f>Comp1[[#This Row],[Comparable '#1 Price]]/'Comparable #1'!$B$2*100</f>
        <v>68.514715947980832</v>
      </c>
      <c r="D481" s="74">
        <f>Comp2[[#This Row],[Comparable '#2 Price]]/'Comparable #2'!$B$2*100</f>
        <v>68.470824949698184</v>
      </c>
      <c r="E481" s="74">
        <f>Comp3[[#This Row],[Comparable '#3 Price]]/'Comparable #3'!$B$2*100</f>
        <v>147.20586980633053</v>
      </c>
    </row>
    <row r="482" spans="1:5">
      <c r="A482" s="96">
        <v>43984</v>
      </c>
      <c r="B482" s="74">
        <f>Target1[[#This Row],[Target Price]]/Target!$B$2*100</f>
        <v>150.90168702734147</v>
      </c>
      <c r="C482" s="74">
        <f>Comp1[[#This Row],[Comparable '#1 Price]]/'Comparable #1'!$B$2*100</f>
        <v>69.33607118412047</v>
      </c>
      <c r="D482" s="74">
        <f>Comp2[[#This Row],[Comparable '#2 Price]]/'Comparable #2'!$B$2*100</f>
        <v>68.99396378269617</v>
      </c>
      <c r="E482" s="74">
        <f>Comp3[[#This Row],[Comparable '#3 Price]]/'Comparable #3'!$B$2*100</f>
        <v>146.60865113898132</v>
      </c>
    </row>
    <row r="483" spans="1:5">
      <c r="A483" s="96">
        <v>43985</v>
      </c>
      <c r="B483" s="74">
        <f>Target1[[#This Row],[Target Price]]/Target!$B$2*100</f>
        <v>151.42524723676556</v>
      </c>
      <c r="C483" s="74">
        <f>Comp1[[#This Row],[Comparable '#1 Price]]/'Comparable #1'!$B$2*100</f>
        <v>74.264202600958257</v>
      </c>
      <c r="D483" s="74">
        <f>Comp2[[#This Row],[Comparable '#2 Price]]/'Comparable #2'!$B$2*100</f>
        <v>70.845070422535201</v>
      </c>
      <c r="E483" s="74">
        <f>Comp3[[#This Row],[Comparable '#3 Price]]/'Comparable #3'!$B$2*100</f>
        <v>149.54355430424027</v>
      </c>
    </row>
    <row r="484" spans="1:5">
      <c r="A484" s="96">
        <v>43986</v>
      </c>
      <c r="B484" s="74">
        <f>Target1[[#This Row],[Target Price]]/Target!$B$2*100</f>
        <v>155.03199534613145</v>
      </c>
      <c r="C484" s="74">
        <f>Comp1[[#This Row],[Comparable '#1 Price]]/'Comparable #1'!$B$2*100</f>
        <v>75.667351129363453</v>
      </c>
      <c r="D484" s="74">
        <f>Comp2[[#This Row],[Comparable '#2 Price]]/'Comparable #2'!$B$2*100</f>
        <v>70.804828973843044</v>
      </c>
      <c r="E484" s="74">
        <f>Comp3[[#This Row],[Comparable '#3 Price]]/'Comparable #3'!$B$2*100</f>
        <v>152.7770668031738</v>
      </c>
    </row>
    <row r="485" spans="1:5">
      <c r="A485" s="96">
        <v>43987</v>
      </c>
      <c r="B485" s="74">
        <f>Target1[[#This Row],[Target Price]]/Target!$B$2*100</f>
        <v>157.3589296102385</v>
      </c>
      <c r="C485" s="74">
        <f>Comp1[[#This Row],[Comparable '#1 Price]]/'Comparable #1'!$B$2*100</f>
        <v>78.37097878165639</v>
      </c>
      <c r="D485" s="74">
        <f>Comp2[[#This Row],[Comparable '#2 Price]]/'Comparable #2'!$B$2*100</f>
        <v>72.213279678068403</v>
      </c>
      <c r="E485" s="74">
        <f>Comp3[[#This Row],[Comparable '#3 Price]]/'Comparable #3'!$B$2*100</f>
        <v>156.64192475044791</v>
      </c>
    </row>
    <row r="486" spans="1:5">
      <c r="A486" s="96">
        <v>43990</v>
      </c>
      <c r="B486" s="74">
        <f>Target1[[#This Row],[Target Price]]/Target!$B$2*100</f>
        <v>162.76905177428739</v>
      </c>
      <c r="C486" s="74">
        <f>Comp1[[#This Row],[Comparable '#1 Price]]/'Comparable #1'!$B$2*100</f>
        <v>81.998631074606436</v>
      </c>
      <c r="D486" s="74">
        <f>Comp2[[#This Row],[Comparable '#2 Price]]/'Comparable #2'!$B$2*100</f>
        <v>72.112676056338032</v>
      </c>
      <c r="E486" s="74">
        <f>Comp3[[#This Row],[Comparable '#3 Price]]/'Comparable #3'!$B$2*100</f>
        <v>157.39271393225835</v>
      </c>
    </row>
    <row r="487" spans="1:5">
      <c r="A487" s="96">
        <v>43991</v>
      </c>
      <c r="B487" s="74">
        <f>Target1[[#This Row],[Target Price]]/Target!$B$2*100</f>
        <v>156.13728912158231</v>
      </c>
      <c r="C487" s="74">
        <f>Comp1[[#This Row],[Comparable '#1 Price]]/'Comparable #1'!$B$2*100</f>
        <v>79.842573579739906</v>
      </c>
      <c r="D487" s="74">
        <f>Comp2[[#This Row],[Comparable '#2 Price]]/'Comparable #2'!$B$2*100</f>
        <v>73.239436619718305</v>
      </c>
      <c r="E487" s="74">
        <f>Comp3[[#This Row],[Comparable '#3 Price]]/'Comparable #3'!$B$2*100</f>
        <v>153.51079259448855</v>
      </c>
    </row>
    <row r="488" spans="1:5">
      <c r="A488" s="96">
        <v>43992</v>
      </c>
      <c r="B488" s="74">
        <f>Target1[[#This Row],[Target Price]]/Target!$B$2*100</f>
        <v>155.43920884235018</v>
      </c>
      <c r="C488" s="74">
        <f>Comp1[[#This Row],[Comparable '#1 Price]]/'Comparable #1'!$B$2*100</f>
        <v>76.796714579055447</v>
      </c>
      <c r="D488" s="74">
        <f>Comp2[[#This Row],[Comparable '#2 Price]]/'Comparable #2'!$B$2*100</f>
        <v>70.804828973843044</v>
      </c>
      <c r="E488" s="74">
        <f>Comp3[[#This Row],[Comparable '#3 Price]]/'Comparable #3'!$B$2*100</f>
        <v>150.05545601911101</v>
      </c>
    </row>
    <row r="489" spans="1:5">
      <c r="A489" s="96">
        <v>43993</v>
      </c>
      <c r="B489" s="74">
        <f>Target1[[#This Row],[Target Price]]/Target!$B$2*100</f>
        <v>142.69924374636415</v>
      </c>
      <c r="C489" s="74">
        <f>Comp1[[#This Row],[Comparable '#1 Price]]/'Comparable #1'!$B$2*100</f>
        <v>70.08898015058179</v>
      </c>
      <c r="D489" s="74">
        <f>Comp2[[#This Row],[Comparable '#2 Price]]/'Comparable #2'!$B$2*100</f>
        <v>68.16901408450704</v>
      </c>
      <c r="E489" s="74">
        <f>Comp3[[#This Row],[Comparable '#3 Price]]/'Comparable #3'!$B$2*100</f>
        <v>140.44023547478886</v>
      </c>
    </row>
    <row r="490" spans="1:5">
      <c r="A490" s="96">
        <v>43994</v>
      </c>
      <c r="B490" s="74">
        <f>Target1[[#This Row],[Target Price]]/Target!$B$2*100</f>
        <v>140.89586969168118</v>
      </c>
      <c r="C490" s="74">
        <f>Comp1[[#This Row],[Comparable '#1 Price]]/'Comparable #1'!$B$2*100</f>
        <v>71.047227926078037</v>
      </c>
      <c r="D490" s="74">
        <f>Comp2[[#This Row],[Comparable '#2 Price]]/'Comparable #2'!$B$2*100</f>
        <v>67.847082494969811</v>
      </c>
      <c r="E490" s="74">
        <f>Comp3[[#This Row],[Comparable '#3 Price]]/'Comparable #3'!$B$2*100</f>
        <v>137.88072690043515</v>
      </c>
    </row>
    <row r="491" spans="1:5">
      <c r="A491" s="96">
        <v>43997</v>
      </c>
      <c r="B491" s="74">
        <f>Target1[[#This Row],[Target Price]]/Target!$B$2*100</f>
        <v>142.6410703897615</v>
      </c>
      <c r="C491" s="74">
        <f>Comp1[[#This Row],[Comparable '#1 Price]]/'Comparable #1'!$B$2*100</f>
        <v>69.472963723477079</v>
      </c>
      <c r="D491" s="74">
        <f>Comp2[[#This Row],[Comparable '#2 Price]]/'Comparable #2'!$B$2*100</f>
        <v>67.967806841046269</v>
      </c>
      <c r="E491" s="74">
        <f>Comp3[[#This Row],[Comparable '#3 Price]]/'Comparable #3'!$B$2*100</f>
        <v>126.38000170633904</v>
      </c>
    </row>
    <row r="492" spans="1:5">
      <c r="A492" s="96">
        <v>43998</v>
      </c>
      <c r="B492" s="74">
        <f>Target1[[#This Row],[Target Price]]/Target!$B$2*100</f>
        <v>145.25887143688189</v>
      </c>
      <c r="C492" s="74">
        <f>Comp1[[#This Row],[Comparable '#1 Price]]/'Comparable #1'!$B$2*100</f>
        <v>70.499657768651616</v>
      </c>
      <c r="D492" s="74">
        <f>Comp2[[#This Row],[Comparable '#2 Price]]/'Comparable #2'!$B$2*100</f>
        <v>66.599597585513081</v>
      </c>
      <c r="E492" s="74">
        <f>Comp3[[#This Row],[Comparable '#3 Price]]/'Comparable #3'!$B$2*100</f>
        <v>132.55694906577938</v>
      </c>
    </row>
    <row r="493" spans="1:5">
      <c r="A493" s="96">
        <v>43999</v>
      </c>
      <c r="B493" s="74">
        <f>Target1[[#This Row],[Target Price]]/Target!$B$2*100</f>
        <v>142.93193717277487</v>
      </c>
      <c r="C493" s="74">
        <f>Comp1[[#This Row],[Comparable '#1 Price]]/'Comparable #1'!$B$2*100</f>
        <v>70.157426420260094</v>
      </c>
      <c r="D493" s="74">
        <f>Comp2[[#This Row],[Comparable '#2 Price]]/'Comparable #2'!$B$2*100</f>
        <v>65.895372233400394</v>
      </c>
      <c r="E493" s="74">
        <f>Comp3[[#This Row],[Comparable '#3 Price]]/'Comparable #3'!$B$2*100</f>
        <v>128.18018940363453</v>
      </c>
    </row>
    <row r="494" spans="1:5">
      <c r="A494" s="96">
        <v>44000</v>
      </c>
      <c r="B494" s="74">
        <f>Target1[[#This Row],[Target Price]]/Target!$B$2*100</f>
        <v>145.84060500290866</v>
      </c>
      <c r="C494" s="74">
        <f>Comp1[[#This Row],[Comparable '#1 Price]]/'Comparable #1'!$B$2*100</f>
        <v>68.993839835728949</v>
      </c>
      <c r="D494" s="74">
        <f>Comp2[[#This Row],[Comparable '#2 Price]]/'Comparable #2'!$B$2*100</f>
        <v>65.694164989939623</v>
      </c>
      <c r="E494" s="74">
        <f>Comp3[[#This Row],[Comparable '#3 Price]]/'Comparable #3'!$B$2*100</f>
        <v>126.70847197338111</v>
      </c>
    </row>
    <row r="495" spans="1:5">
      <c r="A495" s="96">
        <v>44001</v>
      </c>
      <c r="B495" s="74">
        <f>Target1[[#This Row],[Target Price]]/Target!$B$2*100</f>
        <v>152.58871436881907</v>
      </c>
      <c r="C495" s="74">
        <f>Comp1[[#This Row],[Comparable '#1 Price]]/'Comparable #1'!$B$2*100</f>
        <v>69.541409993155384</v>
      </c>
      <c r="D495" s="74">
        <f>Comp2[[#This Row],[Comparable '#2 Price]]/'Comparable #2'!$B$2*100</f>
        <v>65.694164989939623</v>
      </c>
      <c r="E495" s="74">
        <f>Comp3[[#This Row],[Comparable '#3 Price]]/'Comparable #3'!$B$2*100</f>
        <v>124.50302875181301</v>
      </c>
    </row>
    <row r="496" spans="1:5">
      <c r="A496" s="96">
        <v>44004</v>
      </c>
      <c r="B496" s="74">
        <f>Target1[[#This Row],[Target Price]]/Target!$B$2*100</f>
        <v>154.21756835369399</v>
      </c>
      <c r="C496" s="74">
        <f>Comp1[[#This Row],[Comparable '#1 Price]]/'Comparable #1'!$B$2*100</f>
        <v>69.746748802190282</v>
      </c>
      <c r="D496" s="74">
        <f>Comp2[[#This Row],[Comparable '#2 Price]]/'Comparable #2'!$B$2*100</f>
        <v>66.921529175050296</v>
      </c>
      <c r="E496" s="74">
        <f>Comp3[[#This Row],[Comparable '#3 Price]]/'Comparable #3'!$B$2*100</f>
        <v>130.78235645422745</v>
      </c>
    </row>
    <row r="497" spans="1:5">
      <c r="A497" s="96">
        <v>44005</v>
      </c>
      <c r="B497" s="74">
        <f>Target1[[#This Row],[Target Price]]/Target!$B$2*100</f>
        <v>150.84351367073879</v>
      </c>
      <c r="C497" s="74">
        <f>Comp1[[#This Row],[Comparable '#1 Price]]/'Comparable #1'!$B$2*100</f>
        <v>70.431211498973298</v>
      </c>
      <c r="D497" s="74">
        <f>Comp2[[#This Row],[Comparable '#2 Price]]/'Comparable #2'!$B$2*100</f>
        <v>66.458752515090552</v>
      </c>
      <c r="E497" s="74">
        <f>Comp3[[#This Row],[Comparable '#3 Price]]/'Comparable #3'!$B$2*100</f>
        <v>129.63910929101613</v>
      </c>
    </row>
    <row r="498" spans="1:5">
      <c r="A498" s="96">
        <v>44006</v>
      </c>
      <c r="B498" s="74">
        <f>Target1[[#This Row],[Target Price]]/Target!$B$2*100</f>
        <v>149.44735311227458</v>
      </c>
      <c r="C498" s="74">
        <f>Comp1[[#This Row],[Comparable '#1 Price]]/'Comparable #1'!$B$2*100</f>
        <v>66.735112936344976</v>
      </c>
      <c r="D498" s="74">
        <f>Comp2[[#This Row],[Comparable '#2 Price]]/'Comparable #2'!$B$2*100</f>
        <v>65.010060362173036</v>
      </c>
      <c r="E498" s="74">
        <f>Comp3[[#This Row],[Comparable '#3 Price]]/'Comparable #3'!$B$2*100</f>
        <v>126.50797713505675</v>
      </c>
    </row>
    <row r="499" spans="1:5">
      <c r="A499" s="96">
        <v>44007</v>
      </c>
      <c r="B499" s="74">
        <f>Target1[[#This Row],[Target Price]]/Target!$B$2*100</f>
        <v>152.87958115183247</v>
      </c>
      <c r="C499" s="74">
        <f>Comp1[[#This Row],[Comparable '#1 Price]]/'Comparable #1'!$B$2*100</f>
        <v>67.077344284736483</v>
      </c>
      <c r="D499" s="74">
        <f>Comp2[[#This Row],[Comparable '#2 Price]]/'Comparable #2'!$B$2*100</f>
        <v>62.575452716297789</v>
      </c>
      <c r="E499" s="74">
        <f>Comp3[[#This Row],[Comparable '#3 Price]]/'Comparable #3'!$B$2*100</f>
        <v>126.30321644910845</v>
      </c>
    </row>
    <row r="500" spans="1:5">
      <c r="A500" s="96">
        <v>44008</v>
      </c>
      <c r="B500" s="74">
        <f>Target1[[#This Row],[Target Price]]/Target!$B$2*100</f>
        <v>153.63583478766725</v>
      </c>
      <c r="C500" s="74">
        <f>Comp1[[#This Row],[Comparable '#1 Price]]/'Comparable #1'!$B$2*100</f>
        <v>66.392881587953454</v>
      </c>
      <c r="D500" s="74">
        <f>Comp2[[#This Row],[Comparable '#2 Price]]/'Comparable #2'!$B$2*100</f>
        <v>61.629778672032188</v>
      </c>
      <c r="E500" s="74">
        <f>Comp3[[#This Row],[Comparable '#3 Price]]/'Comparable #3'!$B$2*100</f>
        <v>126.08139237266445</v>
      </c>
    </row>
    <row r="501" spans="1:5">
      <c r="A501" s="96">
        <v>44011</v>
      </c>
      <c r="B501" s="74">
        <f>Target1[[#This Row],[Target Price]]/Target!$B$2*100</f>
        <v>155.43920884235018</v>
      </c>
      <c r="C501" s="74">
        <f>Comp1[[#This Row],[Comparable '#1 Price]]/'Comparable #1'!$B$2*100</f>
        <v>67.864476386036955</v>
      </c>
      <c r="D501" s="74">
        <f>Comp2[[#This Row],[Comparable '#2 Price]]/'Comparable #2'!$B$2*100</f>
        <v>63.219315895372233</v>
      </c>
      <c r="E501" s="74">
        <f>Comp3[[#This Row],[Comparable '#3 Price]]/'Comparable #3'!$B$2*100</f>
        <v>131.10656087364558</v>
      </c>
    </row>
    <row r="502" spans="1:5">
      <c r="A502" s="96">
        <v>44012</v>
      </c>
      <c r="B502" s="74">
        <f>Target1[[#This Row],[Target Price]]/Target!$B$2*100</f>
        <v>158.46422338568934</v>
      </c>
      <c r="C502" s="74">
        <f>Comp1[[#This Row],[Comparable '#1 Price]]/'Comparable #1'!$B$2*100</f>
        <v>68.206707734428477</v>
      </c>
      <c r="D502" s="74">
        <f>Comp2[[#This Row],[Comparable '#2 Price]]/'Comparable #2'!$B$2*100</f>
        <v>62.676056338028161</v>
      </c>
      <c r="E502" s="74">
        <f>Comp3[[#This Row],[Comparable '#3 Price]]/'Comparable #3'!$B$2*100</f>
        <v>131.0894974831499</v>
      </c>
    </row>
    <row r="503" spans="1:5">
      <c r="A503" s="96">
        <v>44013</v>
      </c>
      <c r="B503" s="74">
        <f>Target1[[#This Row],[Target Price]]/Target!$B$2*100</f>
        <v>168.17917393833625</v>
      </c>
      <c r="C503" s="74">
        <f>Comp1[[#This Row],[Comparable '#1 Price]]/'Comparable #1'!$B$2*100</f>
        <v>67.898699520876121</v>
      </c>
      <c r="D503" s="74">
        <f>Comp2[[#This Row],[Comparable '#2 Price]]/'Comparable #2'!$B$2*100</f>
        <v>62.635814889336004</v>
      </c>
      <c r="E503" s="74">
        <f>Comp3[[#This Row],[Comparable '#3 Price]]/'Comparable #3'!$B$2*100</f>
        <v>135.30415493558573</v>
      </c>
    </row>
    <row r="504" spans="1:5">
      <c r="A504" s="96">
        <v>44014</v>
      </c>
      <c r="B504" s="74">
        <f>Target1[[#This Row],[Target Price]]/Target!$B$2*100</f>
        <v>182.25712623618381</v>
      </c>
      <c r="C504" s="74">
        <f>Comp1[[#This Row],[Comparable '#1 Price]]/'Comparable #1'!$B$2*100</f>
        <v>69.472963723477079</v>
      </c>
      <c r="D504" s="74">
        <f>Comp2[[#This Row],[Comparable '#2 Price]]/'Comparable #2'!$B$2*100</f>
        <v>63.380281690140841</v>
      </c>
      <c r="E504" s="74">
        <f>Comp3[[#This Row],[Comparable '#3 Price]]/'Comparable #3'!$B$2*100</f>
        <v>135.24443306885078</v>
      </c>
    </row>
    <row r="505" spans="1:5">
      <c r="A505" s="96">
        <v>44018</v>
      </c>
      <c r="B505" s="74">
        <f>Target1[[#This Row],[Target Price]]/Target!$B$2*100</f>
        <v>188.94706224549154</v>
      </c>
      <c r="C505" s="74">
        <f>Comp1[[#This Row],[Comparable '#1 Price]]/'Comparable #1'!$B$2*100</f>
        <v>70.636550308008211</v>
      </c>
      <c r="D505" s="74">
        <f>Comp2[[#This Row],[Comparable '#2 Price]]/'Comparable #2'!$B$2*100</f>
        <v>64.305835010060363</v>
      </c>
      <c r="E505" s="74">
        <f>Comp3[[#This Row],[Comparable '#3 Price]]/'Comparable #3'!$B$2*100</f>
        <v>137.42001535705143</v>
      </c>
    </row>
    <row r="506" spans="1:5">
      <c r="A506" s="96">
        <v>44019</v>
      </c>
      <c r="B506" s="74">
        <f>Target1[[#This Row],[Target Price]]/Target!$B$2*100</f>
        <v>190.57591623036646</v>
      </c>
      <c r="C506" s="74">
        <f>Comp1[[#This Row],[Comparable '#1 Price]]/'Comparable #1'!$B$2*100</f>
        <v>66.940451745379875</v>
      </c>
      <c r="D506" s="74">
        <f>Comp2[[#This Row],[Comparable '#2 Price]]/'Comparable #2'!$B$2*100</f>
        <v>63.380281690140841</v>
      </c>
      <c r="E506" s="74">
        <f>Comp3[[#This Row],[Comparable '#3 Price]]/'Comparable #3'!$B$2*100</f>
        <v>134.7410630492279</v>
      </c>
    </row>
    <row r="507" spans="1:5">
      <c r="A507" s="96">
        <v>44020</v>
      </c>
      <c r="B507" s="74">
        <f>Target1[[#This Row],[Target Price]]/Target!$B$2*100</f>
        <v>200</v>
      </c>
      <c r="C507" s="74">
        <f>Comp1[[#This Row],[Comparable '#1 Price]]/'Comparable #1'!$B$2*100</f>
        <v>65.503080082135526</v>
      </c>
      <c r="D507" s="74">
        <f>Comp2[[#This Row],[Comparable '#2 Price]]/'Comparable #2'!$B$2*100</f>
        <v>63.82293762575452</v>
      </c>
      <c r="E507" s="74">
        <f>Comp3[[#This Row],[Comparable '#3 Price]]/'Comparable #3'!$B$2*100</f>
        <v>133.81963996246054</v>
      </c>
    </row>
    <row r="508" spans="1:5">
      <c r="A508" s="96">
        <v>44021</v>
      </c>
      <c r="B508" s="74">
        <f>Target1[[#This Row],[Target Price]]/Target!$B$2*100</f>
        <v>188.71436881908085</v>
      </c>
      <c r="C508" s="74">
        <f>Comp1[[#This Row],[Comparable '#1 Price]]/'Comparable #1'!$B$2*100</f>
        <v>63.175906913073241</v>
      </c>
      <c r="D508" s="74">
        <f>Comp2[[#This Row],[Comparable '#2 Price]]/'Comparable #2'!$B$2*100</f>
        <v>62.354124748490932</v>
      </c>
      <c r="E508" s="74">
        <f>Comp3[[#This Row],[Comparable '#3 Price]]/'Comparable #3'!$B$2*100</f>
        <v>128.93951028069276</v>
      </c>
    </row>
    <row r="509" spans="1:5">
      <c r="A509" s="96">
        <v>44022</v>
      </c>
      <c r="B509" s="74">
        <f>Target1[[#This Row],[Target Price]]/Target!$B$2*100</f>
        <v>197.38219895287955</v>
      </c>
      <c r="C509" s="74">
        <f>Comp1[[#This Row],[Comparable '#1 Price]]/'Comparable #1'!$B$2*100</f>
        <v>65.160848733744018</v>
      </c>
      <c r="D509" s="74">
        <f>Comp2[[#This Row],[Comparable '#2 Price]]/'Comparable #2'!$B$2*100</f>
        <v>63.742454728370213</v>
      </c>
      <c r="E509" s="74">
        <f>Comp3[[#This Row],[Comparable '#3 Price]]/'Comparable #3'!$B$2*100</f>
        <v>130.49227881580069</v>
      </c>
    </row>
    <row r="510" spans="1:5">
      <c r="A510" s="96">
        <v>44025</v>
      </c>
      <c r="B510" s="74">
        <f>Target1[[#This Row],[Target Price]]/Target!$B$2*100</f>
        <v>204.07213496218728</v>
      </c>
      <c r="C510" s="74">
        <f>Comp1[[#This Row],[Comparable '#1 Price]]/'Comparable #1'!$B$2*100</f>
        <v>64.271047227926076</v>
      </c>
      <c r="D510" s="74">
        <f>Comp2[[#This Row],[Comparable '#2 Price]]/'Comparable #2'!$B$2*100</f>
        <v>64.004024144869206</v>
      </c>
      <c r="E510" s="74">
        <f>Comp3[[#This Row],[Comparable '#3 Price]]/'Comparable #3'!$B$2*100</f>
        <v>130.0230355771692</v>
      </c>
    </row>
    <row r="511" spans="1:5">
      <c r="A511" s="96">
        <v>44026</v>
      </c>
      <c r="B511" s="74">
        <f>Target1[[#This Row],[Target Price]]/Target!$B$2*100</f>
        <v>228.56311809191388</v>
      </c>
      <c r="C511" s="74">
        <f>Comp1[[#This Row],[Comparable '#1 Price]]/'Comparable #1'!$B$2*100</f>
        <v>63.655030800821365</v>
      </c>
      <c r="D511" s="74">
        <f>Comp2[[#This Row],[Comparable '#2 Price]]/'Comparable #2'!$B$2*100</f>
        <v>64.929577464788736</v>
      </c>
      <c r="E511" s="74">
        <f>Comp3[[#This Row],[Comparable '#3 Price]]/'Comparable #3'!$B$2*100</f>
        <v>130.79941984472316</v>
      </c>
    </row>
    <row r="512" spans="1:5">
      <c r="A512" s="96">
        <v>44027</v>
      </c>
      <c r="B512" s="74">
        <f>Target1[[#This Row],[Target Price]]/Target!$B$2*100</f>
        <v>250.72716695753346</v>
      </c>
      <c r="C512" s="74">
        <f>Comp1[[#This Row],[Comparable '#1 Price]]/'Comparable #1'!$B$2*100</f>
        <v>69.096509240246419</v>
      </c>
      <c r="D512" s="74">
        <f>Comp2[[#This Row],[Comparable '#2 Price]]/'Comparable #2'!$B$2*100</f>
        <v>70.3420523138833</v>
      </c>
      <c r="E512" s="74">
        <f>Comp3[[#This Row],[Comparable '#3 Price]]/'Comparable #3'!$B$2*100</f>
        <v>139.2031396638512</v>
      </c>
    </row>
    <row r="513" spans="1:5">
      <c r="A513" s="96">
        <v>44028</v>
      </c>
      <c r="B513" s="74">
        <f>Target1[[#This Row],[Target Price]]/Target!$B$2*100</f>
        <v>278.8830715532286</v>
      </c>
      <c r="C513" s="74">
        <f>Comp1[[#This Row],[Comparable '#1 Price]]/'Comparable #1'!$B$2*100</f>
        <v>68.446269678302542</v>
      </c>
      <c r="D513" s="74">
        <f>Comp2[[#This Row],[Comparable '#2 Price]]/'Comparable #2'!$B$2*100</f>
        <v>69.959758551307843</v>
      </c>
      <c r="E513" s="74">
        <f>Comp3[[#This Row],[Comparable '#3 Price]]/'Comparable #3'!$B$2*100</f>
        <v>139.29698831157754</v>
      </c>
    </row>
    <row r="514" spans="1:5">
      <c r="A514" s="96">
        <v>44029</v>
      </c>
      <c r="B514" s="74">
        <f>Target1[[#This Row],[Target Price]]/Target!$B$2*100</f>
        <v>271.08784176847001</v>
      </c>
      <c r="C514" s="74">
        <f>Comp1[[#This Row],[Comparable '#1 Price]]/'Comparable #1'!$B$2*100</f>
        <v>69.33607118412047</v>
      </c>
      <c r="D514" s="74">
        <f>Comp2[[#This Row],[Comparable '#2 Price]]/'Comparable #2'!$B$2*100</f>
        <v>70.845070422535201</v>
      </c>
      <c r="E514" s="74">
        <f>Comp3[[#This Row],[Comparable '#3 Price]]/'Comparable #3'!$B$2*100</f>
        <v>140.31226004607115</v>
      </c>
    </row>
    <row r="515" spans="1:5">
      <c r="A515" s="96">
        <v>44032</v>
      </c>
      <c r="B515" s="74">
        <f>Target1[[#This Row],[Target Price]]/Target!$B$2*100</f>
        <v>264.3397324025596</v>
      </c>
      <c r="C515" s="74">
        <f>Comp1[[#This Row],[Comparable '#1 Price]]/'Comparable #1'!$B$2*100</f>
        <v>73.134839151266263</v>
      </c>
      <c r="D515" s="74">
        <f>Comp2[[#This Row],[Comparable '#2 Price]]/'Comparable #2'!$B$2*100</f>
        <v>71.388329979879259</v>
      </c>
      <c r="E515" s="74">
        <f>Comp3[[#This Row],[Comparable '#3 Price]]/'Comparable #3'!$B$2*100</f>
        <v>141.26780991382989</v>
      </c>
    </row>
    <row r="516" spans="1:5">
      <c r="A516" s="96">
        <v>44033</v>
      </c>
      <c r="B516" s="74">
        <f>Target1[[#This Row],[Target Price]]/Target!$B$2*100</f>
        <v>272.48400232693427</v>
      </c>
      <c r="C516" s="74">
        <f>Comp1[[#This Row],[Comparable '#1 Price]]/'Comparable #1'!$B$2*100</f>
        <v>75.46201232032854</v>
      </c>
      <c r="D516" s="74">
        <f>Comp2[[#This Row],[Comparable '#2 Price]]/'Comparable #2'!$B$2*100</f>
        <v>73.07847082494969</v>
      </c>
      <c r="E516" s="74">
        <f>Comp3[[#This Row],[Comparable '#3 Price]]/'Comparable #3'!$B$2*100</f>
        <v>143.86997696442282</v>
      </c>
    </row>
    <row r="517" spans="1:5">
      <c r="A517" s="96">
        <v>44034</v>
      </c>
      <c r="B517" s="74">
        <f>Target1[[#This Row],[Target Price]]/Target!$B$2*100</f>
        <v>287.31820826061664</v>
      </c>
      <c r="C517" s="74">
        <f>Comp1[[#This Row],[Comparable '#1 Price]]/'Comparable #1'!$B$2*100</f>
        <v>77.92607802874744</v>
      </c>
      <c r="D517" s="74">
        <f>Comp2[[#This Row],[Comparable '#2 Price]]/'Comparable #2'!$B$2*100</f>
        <v>73.138832997987919</v>
      </c>
      <c r="E517" s="74">
        <f>Comp3[[#This Row],[Comparable '#3 Price]]/'Comparable #3'!$B$2*100</f>
        <v>143.07652930637317</v>
      </c>
    </row>
    <row r="518" spans="1:5">
      <c r="A518" s="96">
        <v>44035</v>
      </c>
      <c r="B518" s="74">
        <f>Target1[[#This Row],[Target Price]]/Target!$B$2*100</f>
        <v>269.51716114019774</v>
      </c>
      <c r="C518" s="74">
        <f>Comp1[[#This Row],[Comparable '#1 Price]]/'Comparable #1'!$B$2*100</f>
        <v>77.173169062286107</v>
      </c>
      <c r="D518" s="74">
        <f>Comp2[[#This Row],[Comparable '#2 Price]]/'Comparable #2'!$B$2*100</f>
        <v>73.380281690140833</v>
      </c>
      <c r="E518" s="74">
        <f>Comp3[[#This Row],[Comparable '#3 Price]]/'Comparable #3'!$B$2*100</f>
        <v>142.41105707704119</v>
      </c>
    </row>
    <row r="519" spans="1:5">
      <c r="A519" s="96">
        <v>44036</v>
      </c>
      <c r="B519" s="74">
        <f>Target1[[#This Row],[Target Price]]/Target!$B$2*100</f>
        <v>276.73065735892959</v>
      </c>
      <c r="C519" s="74">
        <f>Comp1[[#This Row],[Comparable '#1 Price]]/'Comparable #1'!$B$2*100</f>
        <v>75.564681724845997</v>
      </c>
      <c r="D519" s="74">
        <f>Comp2[[#This Row],[Comparable '#2 Price]]/'Comparable #2'!$B$2*100</f>
        <v>73.380281690140833</v>
      </c>
      <c r="E519" s="74">
        <f>Comp3[[#This Row],[Comparable '#3 Price]]/'Comparable #3'!$B$2*100</f>
        <v>139.77476324545691</v>
      </c>
    </row>
    <row r="520" spans="1:5">
      <c r="A520" s="96">
        <v>44039</v>
      </c>
      <c r="B520" s="74">
        <f>Target1[[#This Row],[Target Price]]/Target!$B$2*100</f>
        <v>272.25130890052355</v>
      </c>
      <c r="C520" s="74">
        <f>Comp1[[#This Row],[Comparable '#1 Price]]/'Comparable #1'!$B$2*100</f>
        <v>75.427789185489388</v>
      </c>
      <c r="D520" s="74">
        <f>Comp2[[#This Row],[Comparable '#2 Price]]/'Comparable #2'!$B$2*100</f>
        <v>74.426559356136821</v>
      </c>
      <c r="E520" s="74">
        <f>Comp3[[#This Row],[Comparable '#3 Price]]/'Comparable #3'!$B$2*100</f>
        <v>141.06304922788161</v>
      </c>
    </row>
    <row r="521" spans="1:5">
      <c r="A521" s="96">
        <v>44040</v>
      </c>
      <c r="B521" s="74">
        <f>Target1[[#This Row],[Target Price]]/Target!$B$2*100</f>
        <v>273.29842931937168</v>
      </c>
      <c r="C521" s="74">
        <f>Comp1[[#This Row],[Comparable '#1 Price]]/'Comparable #1'!$B$2*100</f>
        <v>74.332648870636547</v>
      </c>
      <c r="D521" s="74">
        <f>Comp2[[#This Row],[Comparable '#2 Price]]/'Comparable #2'!$B$2*100</f>
        <v>73.843058350100605</v>
      </c>
      <c r="E521" s="74">
        <f>Comp3[[#This Row],[Comparable '#3 Price]]/'Comparable #3'!$B$2*100</f>
        <v>139.62972442624351</v>
      </c>
    </row>
    <row r="522" spans="1:5">
      <c r="A522" s="96">
        <v>44041</v>
      </c>
      <c r="B522" s="74">
        <f>Target1[[#This Row],[Target Price]]/Target!$B$2*100</f>
        <v>282.72251308900519</v>
      </c>
      <c r="C522" s="74">
        <f>Comp1[[#This Row],[Comparable '#1 Price]]/'Comparable #1'!$B$2*100</f>
        <v>87.782340862422998</v>
      </c>
      <c r="D522" s="74">
        <f>Comp2[[#This Row],[Comparable '#2 Price]]/'Comparable #2'!$B$2*100</f>
        <v>71.629778672032202</v>
      </c>
      <c r="E522" s="74">
        <f>Comp3[[#This Row],[Comparable '#3 Price]]/'Comparable #3'!$B$2*100</f>
        <v>119.02568040269601</v>
      </c>
    </row>
    <row r="523" spans="1:5">
      <c r="A523" s="96">
        <v>44042</v>
      </c>
      <c r="B523" s="74">
        <f>Target1[[#This Row],[Target Price]]/Target!$B$2*100</f>
        <v>277.77777777777777</v>
      </c>
      <c r="C523" s="74">
        <f>Comp1[[#This Row],[Comparable '#1 Price]]/'Comparable #1'!$B$2*100</f>
        <v>85.900068446269685</v>
      </c>
      <c r="D523" s="74">
        <f>Comp2[[#This Row],[Comparable '#2 Price]]/'Comparable #2'!$B$2*100</f>
        <v>69.959758551307843</v>
      </c>
      <c r="E523" s="74">
        <f>Comp3[[#This Row],[Comparable '#3 Price]]/'Comparable #3'!$B$2*100</f>
        <v>114.66598413104686</v>
      </c>
    </row>
    <row r="524" spans="1:5">
      <c r="A524" s="96">
        <v>44043</v>
      </c>
      <c r="B524" s="74">
        <f>Target1[[#This Row],[Target Price]]/Target!$B$2*100</f>
        <v>266.37579988365326</v>
      </c>
      <c r="C524" s="74">
        <f>Comp1[[#This Row],[Comparable '#1 Price]]/'Comparable #1'!$B$2*100</f>
        <v>86.789869952087614</v>
      </c>
      <c r="D524" s="74">
        <f>Comp2[[#This Row],[Comparable '#2 Price]]/'Comparable #2'!$B$2*100</f>
        <v>69.09456740442657</v>
      </c>
      <c r="E524" s="74">
        <f>Comp3[[#This Row],[Comparable '#3 Price]]/'Comparable #3'!$B$2*100</f>
        <v>107.67852572306118</v>
      </c>
    </row>
    <row r="525" spans="1:5">
      <c r="A525" s="96">
        <v>44046</v>
      </c>
      <c r="B525" s="74">
        <f>Target1[[#This Row],[Target Price]]/Target!$B$2*100</f>
        <v>270.73880162885399</v>
      </c>
      <c r="C525" s="74">
        <f>Comp1[[#This Row],[Comparable '#1 Price]]/'Comparable #1'!$B$2*100</f>
        <v>83.367556468172495</v>
      </c>
      <c r="D525" s="74">
        <f>Comp2[[#This Row],[Comparable '#2 Price]]/'Comparable #2'!$B$2*100</f>
        <v>68.289738430583498</v>
      </c>
      <c r="E525" s="74">
        <f>Comp3[[#This Row],[Comparable '#3 Price]]/'Comparable #3'!$B$2*100</f>
        <v>102.79839604129342</v>
      </c>
    </row>
    <row r="526" spans="1:5">
      <c r="A526" s="96">
        <v>44047</v>
      </c>
      <c r="B526" s="74">
        <f>Target1[[#This Row],[Target Price]]/Target!$B$2*100</f>
        <v>273.88016288539848</v>
      </c>
      <c r="C526" s="74">
        <f>Comp1[[#This Row],[Comparable '#1 Price]]/'Comparable #1'!$B$2*100</f>
        <v>82.340862422997944</v>
      </c>
      <c r="D526" s="74">
        <f>Comp2[[#This Row],[Comparable '#2 Price]]/'Comparable #2'!$B$2*100</f>
        <v>69.738430583501</v>
      </c>
      <c r="E526" s="74">
        <f>Comp3[[#This Row],[Comparable '#3 Price]]/'Comparable #3'!$B$2*100</f>
        <v>100.53749680061431</v>
      </c>
    </row>
    <row r="527" spans="1:5">
      <c r="A527" s="96">
        <v>44048</v>
      </c>
      <c r="B527" s="74">
        <f>Target1[[#This Row],[Target Price]]/Target!$B$2*100</f>
        <v>300.17452006980801</v>
      </c>
      <c r="C527" s="74">
        <f>Comp1[[#This Row],[Comparable '#1 Price]]/'Comparable #1'!$B$2*100</f>
        <v>82.683093771389466</v>
      </c>
      <c r="D527" s="74">
        <f>Comp2[[#This Row],[Comparable '#2 Price]]/'Comparable #2'!$B$2*100</f>
        <v>71.670020120724331</v>
      </c>
      <c r="E527" s="74">
        <f>Comp3[[#This Row],[Comparable '#3 Price]]/'Comparable #3'!$B$2*100</f>
        <v>97.559935159116122</v>
      </c>
    </row>
    <row r="528" spans="1:5">
      <c r="A528" s="96">
        <v>44049</v>
      </c>
      <c r="B528" s="74">
        <f>Target1[[#This Row],[Target Price]]/Target!$B$2*100</f>
        <v>287.14368819080858</v>
      </c>
      <c r="C528" s="74">
        <f>Comp1[[#This Row],[Comparable '#1 Price]]/'Comparable #1'!$B$2*100</f>
        <v>87.063655030800817</v>
      </c>
      <c r="D528" s="74">
        <f>Comp2[[#This Row],[Comparable '#2 Price]]/'Comparable #2'!$B$2*100</f>
        <v>71.991951710261574</v>
      </c>
      <c r="E528" s="74">
        <f>Comp3[[#This Row],[Comparable '#3 Price]]/'Comparable #3'!$B$2*100</f>
        <v>102.69601569831927</v>
      </c>
    </row>
    <row r="529" spans="1:5">
      <c r="A529" s="96">
        <v>44050</v>
      </c>
      <c r="B529" s="74">
        <f>Target1[[#This Row],[Target Price]]/Target!$B$2*100</f>
        <v>288.36532867946477</v>
      </c>
      <c r="C529" s="74">
        <f>Comp1[[#This Row],[Comparable '#1 Price]]/'Comparable #1'!$B$2*100</f>
        <v>88.295687885010281</v>
      </c>
      <c r="D529" s="74">
        <f>Comp2[[#This Row],[Comparable '#2 Price]]/'Comparable #2'!$B$2*100</f>
        <v>72.454728370221318</v>
      </c>
      <c r="E529" s="74">
        <f>Comp3[[#This Row],[Comparable '#3 Price]]/'Comparable #3'!$B$2*100</f>
        <v>99.274805903933114</v>
      </c>
    </row>
    <row r="530" spans="1:5">
      <c r="A530" s="96">
        <v>44053</v>
      </c>
      <c r="B530" s="74">
        <f>Target1[[#This Row],[Target Price]]/Target!$B$2*100</f>
        <v>279.23211169284468</v>
      </c>
      <c r="C530" s="74">
        <f>Comp1[[#This Row],[Comparable '#1 Price]]/'Comparable #1'!$B$2*100</f>
        <v>91.238877481177283</v>
      </c>
      <c r="D530" s="74">
        <f>Comp2[[#This Row],[Comparable '#2 Price]]/'Comparable #2'!$B$2*100</f>
        <v>74.527162977867206</v>
      </c>
      <c r="E530" s="74">
        <f>Comp3[[#This Row],[Comparable '#3 Price]]/'Comparable #3'!$B$2*100</f>
        <v>103.3956147086426</v>
      </c>
    </row>
    <row r="531" spans="1:5">
      <c r="A531" s="96">
        <v>44054</v>
      </c>
      <c r="B531" s="74">
        <f>Target1[[#This Row],[Target Price]]/Target!$B$2*100</f>
        <v>273.82198952879577</v>
      </c>
      <c r="C531" s="74">
        <f>Comp1[[#This Row],[Comparable '#1 Price]]/'Comparable #1'!$B$2*100</f>
        <v>91.101984941820675</v>
      </c>
      <c r="D531" s="74">
        <f>Comp2[[#This Row],[Comparable '#2 Price]]/'Comparable #2'!$B$2*100</f>
        <v>75.492957746478879</v>
      </c>
      <c r="E531" s="74">
        <f>Comp3[[#This Row],[Comparable '#3 Price]]/'Comparable #3'!$B$2*100</f>
        <v>103.67716065182151</v>
      </c>
    </row>
    <row r="532" spans="1:5">
      <c r="A532" s="96">
        <v>44055</v>
      </c>
      <c r="B532" s="74">
        <f>Target1[[#This Row],[Target Price]]/Target!$B$2*100</f>
        <v>262.07097149505523</v>
      </c>
      <c r="C532" s="74">
        <f>Comp1[[#This Row],[Comparable '#1 Price]]/'Comparable #1'!$B$2*100</f>
        <v>89.527720739219717</v>
      </c>
      <c r="D532" s="74">
        <f>Comp2[[#This Row],[Comparable '#2 Price]]/'Comparable #2'!$B$2*100</f>
        <v>72.515090543259547</v>
      </c>
      <c r="E532" s="74">
        <f>Comp3[[#This Row],[Comparable '#3 Price]]/'Comparable #3'!$B$2*100</f>
        <v>99.940278133265082</v>
      </c>
    </row>
    <row r="533" spans="1:5">
      <c r="A533" s="96">
        <v>44056</v>
      </c>
      <c r="B533" s="74">
        <f>Target1[[#This Row],[Target Price]]/Target!$B$2*100</f>
        <v>264.63059918557298</v>
      </c>
      <c r="C533" s="74">
        <f>Comp1[[#This Row],[Comparable '#1 Price]]/'Comparable #1'!$B$2*100</f>
        <v>89.390828199863108</v>
      </c>
      <c r="D533" s="74">
        <f>Comp2[[#This Row],[Comparable '#2 Price]]/'Comparable #2'!$B$2*100</f>
        <v>71.750503018108631</v>
      </c>
      <c r="E533" s="74">
        <f>Comp3[[#This Row],[Comparable '#3 Price]]/'Comparable #3'!$B$2*100</f>
        <v>99.880556266530164</v>
      </c>
    </row>
    <row r="534" spans="1:5">
      <c r="A534" s="96">
        <v>44057</v>
      </c>
      <c r="B534" s="74">
        <f>Target1[[#This Row],[Target Price]]/Target!$B$2*100</f>
        <v>266.14310645724254</v>
      </c>
      <c r="C534" s="74">
        <f>Comp1[[#This Row],[Comparable '#1 Price]]/'Comparable #1'!$B$2*100</f>
        <v>89.664613278576326</v>
      </c>
      <c r="D534" s="74">
        <f>Comp2[[#This Row],[Comparable '#2 Price]]/'Comparable #2'!$B$2*100</f>
        <v>71.931589537223346</v>
      </c>
      <c r="E534" s="74">
        <f>Comp3[[#This Row],[Comparable '#3 Price]]/'Comparable #3'!$B$2*100</f>
        <v>100.38392628615307</v>
      </c>
    </row>
    <row r="535" spans="1:5">
      <c r="A535" s="96">
        <v>44060</v>
      </c>
      <c r="B535" s="74">
        <f>Target1[[#This Row],[Target Price]]/Target!$B$2*100</f>
        <v>263.0599185573007</v>
      </c>
      <c r="C535" s="74">
        <f>Comp1[[#This Row],[Comparable '#1 Price]]/'Comparable #1'!$B$2*100</f>
        <v>88.021902806297064</v>
      </c>
      <c r="D535" s="74">
        <f>Comp2[[#This Row],[Comparable '#2 Price]]/'Comparable #2'!$B$2*100</f>
        <v>71.368209255533188</v>
      </c>
      <c r="E535" s="74">
        <f>Comp3[[#This Row],[Comparable '#3 Price]]/'Comparable #3'!$B$2*100</f>
        <v>99.027386741745588</v>
      </c>
    </row>
    <row r="536" spans="1:5">
      <c r="A536" s="96">
        <v>44061</v>
      </c>
      <c r="B536" s="74">
        <f>Target1[[#This Row],[Target Price]]/Target!$B$2*100</f>
        <v>257.64979639325185</v>
      </c>
      <c r="C536" s="74">
        <f>Comp1[[#This Row],[Comparable '#1 Price]]/'Comparable #1'!$B$2*100</f>
        <v>87.542778918548933</v>
      </c>
      <c r="D536" s="74">
        <f>Comp2[[#This Row],[Comparable '#2 Price]]/'Comparable #2'!$B$2*100</f>
        <v>72.374245472837018</v>
      </c>
      <c r="E536" s="74">
        <f>Comp3[[#This Row],[Comparable '#3 Price]]/'Comparable #3'!$B$2*100</f>
        <v>96.885931234536301</v>
      </c>
    </row>
    <row r="537" spans="1:5">
      <c r="A537" s="96">
        <v>44062</v>
      </c>
      <c r="B537" s="74">
        <f>Target1[[#This Row],[Target Price]]/Target!$B$2*100</f>
        <v>249.56369982547989</v>
      </c>
      <c r="C537" s="74">
        <f>Comp1[[#This Row],[Comparable '#1 Price]]/'Comparable #1'!$B$2*100</f>
        <v>88.227241615331977</v>
      </c>
      <c r="D537" s="74">
        <f>Comp2[[#This Row],[Comparable '#2 Price]]/'Comparable #2'!$B$2*100</f>
        <v>68.209255533199183</v>
      </c>
      <c r="E537" s="74">
        <f>Comp3[[#This Row],[Comparable '#3 Price]]/'Comparable #3'!$B$2*100</f>
        <v>92.432386315160826</v>
      </c>
    </row>
    <row r="538" spans="1:5">
      <c r="A538" s="96">
        <v>44063</v>
      </c>
      <c r="B538" s="74">
        <f>Target1[[#This Row],[Target Price]]/Target!$B$2*100</f>
        <v>249.73821989528795</v>
      </c>
      <c r="C538" s="74">
        <f>Comp1[[#This Row],[Comparable '#1 Price]]/'Comparable #1'!$B$2*100</f>
        <v>86.995208761122527</v>
      </c>
      <c r="D538" s="74">
        <f>Comp2[[#This Row],[Comparable '#2 Price]]/'Comparable #2'!$B$2*100</f>
        <v>66.700201207243452</v>
      </c>
      <c r="E538" s="74">
        <f>Comp3[[#This Row],[Comparable '#3 Price]]/'Comparable #3'!$B$2*100</f>
        <v>89.881409436054952</v>
      </c>
    </row>
    <row r="539" spans="1:5">
      <c r="A539" s="96">
        <v>44064</v>
      </c>
      <c r="B539" s="74">
        <f>Target1[[#This Row],[Target Price]]/Target!$B$2*100</f>
        <v>242.87376381617216</v>
      </c>
      <c r="C539" s="74">
        <f>Comp1[[#This Row],[Comparable '#1 Price]]/'Comparable #1'!$B$2*100</f>
        <v>86.481861738535244</v>
      </c>
      <c r="D539" s="74">
        <f>Comp2[[#This Row],[Comparable '#2 Price]]/'Comparable #2'!$B$2*100</f>
        <v>66.720321931589524</v>
      </c>
      <c r="E539" s="74">
        <f>Comp3[[#This Row],[Comparable '#3 Price]]/'Comparable #3'!$B$2*100</f>
        <v>89.81315587407218</v>
      </c>
    </row>
    <row r="540" spans="1:5">
      <c r="A540" s="96">
        <v>44067</v>
      </c>
      <c r="B540" s="74">
        <f>Target1[[#This Row],[Target Price]]/Target!$B$2*100</f>
        <v>236.30017452006976</v>
      </c>
      <c r="C540" s="74">
        <f>Comp1[[#This Row],[Comparable '#1 Price]]/'Comparable #1'!$B$2*100</f>
        <v>88.090349075975354</v>
      </c>
      <c r="D540" s="74">
        <f>Comp2[[#This Row],[Comparable '#2 Price]]/'Comparable #2'!$B$2*100</f>
        <v>66.780684104627767</v>
      </c>
      <c r="E540" s="74">
        <f>Comp3[[#This Row],[Comparable '#3 Price]]/'Comparable #3'!$B$2*100</f>
        <v>87.108608480505083</v>
      </c>
    </row>
    <row r="541" spans="1:5">
      <c r="A541" s="96">
        <v>44068</v>
      </c>
      <c r="B541" s="74">
        <f>Target1[[#This Row],[Target Price]]/Target!$B$2*100</f>
        <v>253.46131471785921</v>
      </c>
      <c r="C541" s="74">
        <f>Comp1[[#This Row],[Comparable '#1 Price]]/'Comparable #1'!$B$2*100</f>
        <v>86.310746064339497</v>
      </c>
      <c r="D541" s="74">
        <f>Comp2[[#This Row],[Comparable '#2 Price]]/'Comparable #2'!$B$2*100</f>
        <v>65.875251509054323</v>
      </c>
      <c r="E541" s="74">
        <f>Comp3[[#This Row],[Comparable '#3 Price]]/'Comparable #3'!$B$2*100</f>
        <v>87.663168671615054</v>
      </c>
    </row>
    <row r="542" spans="1:5">
      <c r="A542" s="96">
        <v>44069</v>
      </c>
      <c r="B542" s="74">
        <f>Target1[[#This Row],[Target Price]]/Target!$B$2*100</f>
        <v>227.86503781268178</v>
      </c>
      <c r="C542" s="74">
        <f>Comp1[[#This Row],[Comparable '#1 Price]]/'Comparable #1'!$B$2*100</f>
        <v>85.420944558521569</v>
      </c>
      <c r="D542" s="74">
        <f>Comp2[[#This Row],[Comparable '#2 Price]]/'Comparable #2'!$B$2*100</f>
        <v>64.446680080482892</v>
      </c>
      <c r="E542" s="74">
        <f>Comp3[[#This Row],[Comparable '#3 Price]]/'Comparable #3'!$B$2*100</f>
        <v>87.424281204675367</v>
      </c>
    </row>
    <row r="543" spans="1:5">
      <c r="A543" s="96">
        <v>44070</v>
      </c>
      <c r="B543" s="74">
        <f>Target1[[#This Row],[Target Price]]/Target!$B$2*100</f>
        <v>219.31355439208841</v>
      </c>
      <c r="C543" s="74">
        <f>Comp1[[#This Row],[Comparable '#1 Price]]/'Comparable #1'!$B$2*100</f>
        <v>85.557837097878163</v>
      </c>
      <c r="D543" s="74">
        <f>Comp2[[#This Row],[Comparable '#2 Price]]/'Comparable #2'!$B$2*100</f>
        <v>65.754527162977865</v>
      </c>
      <c r="E543" s="74">
        <f>Comp3[[#This Row],[Comparable '#3 Price]]/'Comparable #3'!$B$2*100</f>
        <v>88.277450729459943</v>
      </c>
    </row>
    <row r="544" spans="1:5">
      <c r="A544" s="96">
        <v>44071</v>
      </c>
      <c r="B544" s="74">
        <f>Target1[[#This Row],[Target Price]]/Target!$B$2*100</f>
        <v>212.62361838278062</v>
      </c>
      <c r="C544" s="74">
        <f>Comp1[[#This Row],[Comparable '#1 Price]]/'Comparable #1'!$B$2*100</f>
        <v>87.679671457905556</v>
      </c>
      <c r="D544" s="74">
        <f>Comp2[[#This Row],[Comparable '#2 Price]]/'Comparable #2'!$B$2*100</f>
        <v>67.223340040241439</v>
      </c>
      <c r="E544" s="74">
        <f>Comp3[[#This Row],[Comparable '#3 Price]]/'Comparable #3'!$B$2*100</f>
        <v>88.465148024912551</v>
      </c>
    </row>
    <row r="545" spans="1:5">
      <c r="A545" s="96">
        <v>44074</v>
      </c>
      <c r="B545" s="74">
        <f>Target1[[#This Row],[Target Price]]/Target!$B$2*100</f>
        <v>216.46305991855729</v>
      </c>
      <c r="C545" s="74">
        <f>Comp1[[#This Row],[Comparable '#1 Price]]/'Comparable #1'!$B$2*100</f>
        <v>85.694729637234772</v>
      </c>
      <c r="D545" s="74">
        <f>Comp2[[#This Row],[Comparable '#2 Price]]/'Comparable #2'!$B$2*100</f>
        <v>66.800804828973853</v>
      </c>
      <c r="E545" s="74">
        <f>Comp3[[#This Row],[Comparable '#3 Price]]/'Comparable #3'!$B$2*100</f>
        <v>87.509598157153818</v>
      </c>
    </row>
    <row r="546" spans="1:5">
      <c r="A546" s="96">
        <v>44075</v>
      </c>
      <c r="B546" s="74">
        <f>Target1[[#This Row],[Target Price]]/Target!$B$2*100</f>
        <v>226.00349040139616</v>
      </c>
      <c r="C546" s="74">
        <f>Comp1[[#This Row],[Comparable '#1 Price]]/'Comparable #1'!$B$2*100</f>
        <v>89.2539356605065</v>
      </c>
      <c r="D546" s="74">
        <f>Comp2[[#This Row],[Comparable '#2 Price]]/'Comparable #2'!$B$2*100</f>
        <v>69.496981891348085</v>
      </c>
      <c r="E546" s="74">
        <f>Comp3[[#This Row],[Comparable '#3 Price]]/'Comparable #3'!$B$2*100</f>
        <v>87.535193242897364</v>
      </c>
    </row>
    <row r="547" spans="1:5">
      <c r="A547" s="96">
        <v>44076</v>
      </c>
      <c r="B547" s="74">
        <f>Target1[[#This Row],[Target Price]]/Target!$B$2*100</f>
        <v>218.44095404304827</v>
      </c>
      <c r="C547" s="74">
        <f>Comp1[[#This Row],[Comparable '#1 Price]]/'Comparable #1'!$B$2*100</f>
        <v>88.295687885010281</v>
      </c>
      <c r="D547" s="74">
        <f>Comp2[[#This Row],[Comparable '#2 Price]]/'Comparable #2'!$B$2*100</f>
        <v>69.6579476861167</v>
      </c>
      <c r="E547" s="74">
        <f>Comp3[[#This Row],[Comparable '#3 Price]]/'Comparable #3'!$B$2*100</f>
        <v>87.031823223274472</v>
      </c>
    </row>
    <row r="548" spans="1:5">
      <c r="A548" s="96">
        <v>44077</v>
      </c>
      <c r="B548" s="74">
        <f>Target1[[#This Row],[Target Price]]/Target!$B$2*100</f>
        <v>202.96684118673647</v>
      </c>
      <c r="C548" s="74">
        <f>Comp1[[#This Row],[Comparable '#1 Price]]/'Comparable #1'!$B$2*100</f>
        <v>85.831622176591367</v>
      </c>
      <c r="D548" s="74">
        <f>Comp2[[#This Row],[Comparable '#2 Price]]/'Comparable #2'!$B$2*100</f>
        <v>68.430583501006026</v>
      </c>
      <c r="E548" s="74">
        <f>Comp3[[#This Row],[Comparable '#3 Price]]/'Comparable #3'!$B$2*100</f>
        <v>82.015186417541159</v>
      </c>
    </row>
    <row r="549" spans="1:5">
      <c r="A549" s="96">
        <v>44078</v>
      </c>
      <c r="B549" s="74">
        <f>Target1[[#This Row],[Target Price]]/Target!$B$2*100</f>
        <v>199.41826643397323</v>
      </c>
      <c r="C549" s="74">
        <f>Comp1[[#This Row],[Comparable '#1 Price]]/'Comparable #1'!$B$2*100</f>
        <v>84.257357973990423</v>
      </c>
      <c r="D549" s="74">
        <f>Comp2[[#This Row],[Comparable '#2 Price]]/'Comparable #2'!$B$2*100</f>
        <v>66.559356136820909</v>
      </c>
      <c r="E549" s="74">
        <f>Comp3[[#This Row],[Comparable '#3 Price]]/'Comparable #3'!$B$2*100</f>
        <v>80.957256206808296</v>
      </c>
    </row>
    <row r="550" spans="1:5">
      <c r="A550" s="96">
        <v>44082</v>
      </c>
      <c r="B550" s="74">
        <f>Target1[[#This Row],[Target Price]]/Target!$B$2*100</f>
        <v>197.09133216986621</v>
      </c>
      <c r="C550" s="74">
        <f>Comp1[[#This Row],[Comparable '#1 Price]]/'Comparable #1'!$B$2*100</f>
        <v>84.188911704312119</v>
      </c>
      <c r="D550" s="74">
        <f>Comp2[[#This Row],[Comparable '#2 Price]]/'Comparable #2'!$B$2*100</f>
        <v>64.446680080482892</v>
      </c>
      <c r="E550" s="74">
        <f>Comp3[[#This Row],[Comparable '#3 Price]]/'Comparable #3'!$B$2*100</f>
        <v>80.735432130364302</v>
      </c>
    </row>
    <row r="551" spans="1:5">
      <c r="A551" s="96">
        <v>44083</v>
      </c>
      <c r="B551" s="74">
        <f>Target1[[#This Row],[Target Price]]/Target!$B$2*100</f>
        <v>196.39325189063405</v>
      </c>
      <c r="C551" s="74">
        <f>Comp1[[#This Row],[Comparable '#1 Price]]/'Comparable #1'!$B$2*100</f>
        <v>85.352498288843265</v>
      </c>
      <c r="D551" s="74">
        <f>Comp2[[#This Row],[Comparable '#2 Price]]/'Comparable #2'!$B$2*100</f>
        <v>62.91750503018109</v>
      </c>
      <c r="E551" s="74">
        <f>Comp3[[#This Row],[Comparable '#3 Price]]/'Comparable #3'!$B$2*100</f>
        <v>79.080283252282229</v>
      </c>
    </row>
    <row r="552" spans="1:5">
      <c r="A552" s="96">
        <v>44084</v>
      </c>
      <c r="B552" s="74">
        <f>Target1[[#This Row],[Target Price]]/Target!$B$2*100</f>
        <v>177.71960442117509</v>
      </c>
      <c r="C552" s="74">
        <f>Comp1[[#This Row],[Comparable '#1 Price]]/'Comparable #1'!$B$2*100</f>
        <v>83.299110198494191</v>
      </c>
      <c r="D552" s="74">
        <f>Comp2[[#This Row],[Comparable '#2 Price]]/'Comparable #2'!$B$2*100</f>
        <v>62.977867203219319</v>
      </c>
      <c r="E552" s="74">
        <f>Comp3[[#This Row],[Comparable '#3 Price]]/'Comparable #3'!$B$2*100</f>
        <v>76.990017916560021</v>
      </c>
    </row>
    <row r="553" spans="1:5">
      <c r="A553" s="96">
        <v>44085</v>
      </c>
      <c r="B553" s="74">
        <f>Target1[[#This Row],[Target Price]]/Target!$B$2*100</f>
        <v>179.52297847585803</v>
      </c>
      <c r="C553" s="74">
        <f>Comp1[[#This Row],[Comparable '#1 Price]]/'Comparable #1'!$B$2*100</f>
        <v>90.965092402464066</v>
      </c>
      <c r="D553" s="74">
        <f>Comp2[[#This Row],[Comparable '#2 Price]]/'Comparable #2'!$B$2*100</f>
        <v>58.430583501006026</v>
      </c>
      <c r="E553" s="74">
        <f>Comp3[[#This Row],[Comparable '#3 Price]]/'Comparable #3'!$B$2*100</f>
        <v>75.531098029178395</v>
      </c>
    </row>
    <row r="554" spans="1:5">
      <c r="A554" s="96">
        <v>44088</v>
      </c>
      <c r="B554" s="74">
        <f>Target1[[#This Row],[Target Price]]/Target!$B$2*100</f>
        <v>181.03548574752762</v>
      </c>
      <c r="C554" s="74">
        <f>Comp1[[#This Row],[Comparable '#1 Price]]/'Comparable #1'!$B$2*100</f>
        <v>89.869952087611239</v>
      </c>
      <c r="D554" s="74">
        <f>Comp2[[#This Row],[Comparable '#2 Price]]/'Comparable #2'!$B$2*100</f>
        <v>55.25150905432595</v>
      </c>
      <c r="E554" s="74">
        <f>Comp3[[#This Row],[Comparable '#3 Price]]/'Comparable #3'!$B$2*100</f>
        <v>76.529306373176354</v>
      </c>
    </row>
    <row r="555" spans="1:5">
      <c r="A555" s="96">
        <v>44089</v>
      </c>
      <c r="B555" s="74">
        <f>Target1[[#This Row],[Target Price]]/Target!$B$2*100</f>
        <v>179.8720186154741</v>
      </c>
      <c r="C555" s="74">
        <f>Comp1[[#This Row],[Comparable '#1 Price]]/'Comparable #1'!$B$2*100</f>
        <v>86.379192334017802</v>
      </c>
      <c r="D555" s="74">
        <f>Comp2[[#This Row],[Comparable '#2 Price]]/'Comparable #2'!$B$2*100</f>
        <v>52.615694164989932</v>
      </c>
      <c r="E555" s="74">
        <f>Comp3[[#This Row],[Comparable '#3 Price]]/'Comparable #3'!$B$2*100</f>
        <v>76.793788925859573</v>
      </c>
    </row>
    <row r="556" spans="1:5">
      <c r="A556" s="96">
        <v>44090</v>
      </c>
      <c r="B556" s="74">
        <f>Target1[[#This Row],[Target Price]]/Target!$B$2*100</f>
        <v>172.30948225712623</v>
      </c>
      <c r="C556" s="74">
        <f>Comp1[[#This Row],[Comparable '#1 Price]]/'Comparable #1'!$B$2*100</f>
        <v>88.980150581793296</v>
      </c>
      <c r="D556" s="74">
        <f>Comp2[[#This Row],[Comparable '#2 Price]]/'Comparable #2'!$B$2*100</f>
        <v>53.400402414486912</v>
      </c>
      <c r="E556" s="74">
        <f>Comp3[[#This Row],[Comparable '#3 Price]]/'Comparable #3'!$B$2*100</f>
        <v>79.344765804965462</v>
      </c>
    </row>
    <row r="557" spans="1:5">
      <c r="A557" s="96">
        <v>44091</v>
      </c>
      <c r="B557" s="74">
        <f>Target1[[#This Row],[Target Price]]/Target!$B$2*100</f>
        <v>164.63059918557298</v>
      </c>
      <c r="C557" s="74">
        <f>Comp1[[#This Row],[Comparable '#1 Price]]/'Comparable #1'!$B$2*100</f>
        <v>90.075290896646138</v>
      </c>
      <c r="D557" s="74">
        <f>Comp2[[#This Row],[Comparable '#2 Price]]/'Comparable #2'!$B$2*100</f>
        <v>52.897384305835004</v>
      </c>
      <c r="E557" s="74">
        <f>Comp3[[#This Row],[Comparable '#3 Price]]/'Comparable #3'!$B$2*100</f>
        <v>80.027301424793109</v>
      </c>
    </row>
    <row r="558" spans="1:5">
      <c r="A558" s="96">
        <v>44092</v>
      </c>
      <c r="B558" s="74">
        <f>Target1[[#This Row],[Target Price]]/Target!$B$2*100</f>
        <v>158.28970331588133</v>
      </c>
      <c r="C558" s="74">
        <f>Comp1[[#This Row],[Comparable '#1 Price]]/'Comparable #1'!$B$2*100</f>
        <v>88.911704312114992</v>
      </c>
      <c r="D558" s="74">
        <f>Comp2[[#This Row],[Comparable '#2 Price]]/'Comparable #2'!$B$2*100</f>
        <v>51.931589537223331</v>
      </c>
      <c r="E558" s="74">
        <f>Comp3[[#This Row],[Comparable '#3 Price]]/'Comparable #3'!$B$2*100</f>
        <v>77.902909308079529</v>
      </c>
    </row>
    <row r="559" spans="1:5">
      <c r="A559" s="96">
        <v>44095</v>
      </c>
      <c r="B559" s="74">
        <f>Target1[[#This Row],[Target Price]]/Target!$B$2*100</f>
        <v>162.59453170447932</v>
      </c>
      <c r="C559" s="74">
        <f>Comp1[[#This Row],[Comparable '#1 Price]]/'Comparable #1'!$B$2*100</f>
        <v>86.413415468856954</v>
      </c>
      <c r="D559" s="74">
        <f>Comp2[[#This Row],[Comparable '#2 Price]]/'Comparable #2'!$B$2*100</f>
        <v>50.301810865191143</v>
      </c>
      <c r="E559" s="74">
        <f>Comp3[[#This Row],[Comparable '#3 Price]]/'Comparable #3'!$B$2*100</f>
        <v>77.152120126269097</v>
      </c>
    </row>
    <row r="560" spans="1:5">
      <c r="A560" s="96">
        <v>44096</v>
      </c>
      <c r="B560" s="74">
        <f>Target1[[#This Row],[Target Price]]/Target!$B$2*100</f>
        <v>158.5805700988947</v>
      </c>
      <c r="C560" s="74">
        <f>Comp1[[#This Row],[Comparable '#1 Price]]/'Comparable #1'!$B$2*100</f>
        <v>86.721423682409309</v>
      </c>
      <c r="D560" s="74">
        <f>Comp2[[#This Row],[Comparable '#2 Price]]/'Comparable #2'!$B$2*100</f>
        <v>50.382293762575451</v>
      </c>
      <c r="E560" s="74">
        <f>Comp3[[#This Row],[Comparable '#3 Price]]/'Comparable #3'!$B$2*100</f>
        <v>80.35150584421126</v>
      </c>
    </row>
    <row r="561" spans="1:5">
      <c r="A561" s="96">
        <v>44097</v>
      </c>
      <c r="B561" s="74">
        <f>Target1[[#This Row],[Target Price]]/Target!$B$2*100</f>
        <v>157.5916230366492</v>
      </c>
      <c r="C561" s="74">
        <f>Comp1[[#This Row],[Comparable '#1 Price]]/'Comparable #1'!$B$2*100</f>
        <v>84.394250513347018</v>
      </c>
      <c r="D561" s="74">
        <f>Comp2[[#This Row],[Comparable '#2 Price]]/'Comparable #2'!$B$2*100</f>
        <v>48.591549295774641</v>
      </c>
      <c r="E561" s="74">
        <f>Comp3[[#This Row],[Comparable '#3 Price]]/'Comparable #3'!$B$2*100</f>
        <v>80.547734834911694</v>
      </c>
    </row>
    <row r="562" spans="1:5">
      <c r="A562" s="96">
        <v>44098</v>
      </c>
      <c r="B562" s="74">
        <f>Target1[[#This Row],[Target Price]]/Target!$B$2*100</f>
        <v>153.2867946480512</v>
      </c>
      <c r="C562" s="74">
        <f>Comp1[[#This Row],[Comparable '#1 Price]]/'Comparable #1'!$B$2*100</f>
        <v>86.926762491444208</v>
      </c>
      <c r="D562" s="74">
        <f>Comp2[[#This Row],[Comparable '#2 Price]]/'Comparable #2'!$B$2*100</f>
        <v>48.752515090543255</v>
      </c>
      <c r="E562" s="74">
        <f>Comp3[[#This Row],[Comparable '#3 Price]]/'Comparable #3'!$B$2*100</f>
        <v>80.018769729545269</v>
      </c>
    </row>
    <row r="563" spans="1:5">
      <c r="A563" s="96">
        <v>44099</v>
      </c>
      <c r="B563" s="74">
        <f>Target1[[#This Row],[Target Price]]/Target!$B$2*100</f>
        <v>154.21756835369399</v>
      </c>
      <c r="C563" s="74">
        <f>Comp1[[#This Row],[Comparable '#1 Price]]/'Comparable #1'!$B$2*100</f>
        <v>88.501026694045166</v>
      </c>
      <c r="D563" s="74">
        <f>Comp2[[#This Row],[Comparable '#2 Price]]/'Comparable #2'!$B$2*100</f>
        <v>49.537223340040242</v>
      </c>
      <c r="E563" s="74">
        <f>Comp3[[#This Row],[Comparable '#3 Price]]/'Comparable #3'!$B$2*100</f>
        <v>81.025509768791053</v>
      </c>
    </row>
    <row r="564" spans="1:5">
      <c r="A564" s="96">
        <v>44102</v>
      </c>
      <c r="B564" s="74">
        <f>Target1[[#This Row],[Target Price]]/Target!$B$2*100</f>
        <v>159.86038394415357</v>
      </c>
      <c r="C564" s="74">
        <f>Comp1[[#This Row],[Comparable '#1 Price]]/'Comparable #1'!$B$2*100</f>
        <v>88.911704312114992</v>
      </c>
      <c r="D564" s="74">
        <f>Comp2[[#This Row],[Comparable '#2 Price]]/'Comparable #2'!$B$2*100</f>
        <v>50.764587525150908</v>
      </c>
      <c r="E564" s="74">
        <f>Comp3[[#This Row],[Comparable '#3 Price]]/'Comparable #3'!$B$2*100</f>
        <v>80.948724511560442</v>
      </c>
    </row>
    <row r="565" spans="1:5">
      <c r="A565" s="96">
        <v>44103</v>
      </c>
      <c r="B565" s="74">
        <f>Target1[[#This Row],[Target Price]]/Target!$B$2*100</f>
        <v>157.53344968004652</v>
      </c>
      <c r="C565" s="74">
        <f>Comp1[[#This Row],[Comparable '#1 Price]]/'Comparable #1'!$B$2*100</f>
        <v>89.185489390828195</v>
      </c>
      <c r="D565" s="74">
        <f>Comp2[[#This Row],[Comparable '#2 Price]]/'Comparable #2'!$B$2*100</f>
        <v>49.919517102615693</v>
      </c>
      <c r="E565" s="74">
        <f>Comp3[[#This Row],[Comparable '#3 Price]]/'Comparable #3'!$B$2*100</f>
        <v>80.31737906321986</v>
      </c>
    </row>
    <row r="566" spans="1:5">
      <c r="A566" s="96">
        <v>44104</v>
      </c>
      <c r="B566" s="74">
        <f>Target1[[#This Row],[Target Price]]/Target!$B$2*100</f>
        <v>153.22862129144849</v>
      </c>
      <c r="C566" s="74">
        <f>Comp1[[#This Row],[Comparable '#1 Price]]/'Comparable #1'!$B$2*100</f>
        <v>90.896646132785762</v>
      </c>
      <c r="D566" s="74">
        <f>Comp2[[#This Row],[Comparable '#2 Price]]/'Comparable #2'!$B$2*100</f>
        <v>49.376257545271621</v>
      </c>
      <c r="E566" s="74">
        <f>Comp3[[#This Row],[Comparable '#3 Price]]/'Comparable #3'!$B$2*100</f>
        <v>78.039416432045044</v>
      </c>
    </row>
    <row r="567" spans="1:5">
      <c r="A567" s="96">
        <v>44105</v>
      </c>
      <c r="B567" s="74">
        <f>Target1[[#This Row],[Target Price]]/Target!$B$2*100</f>
        <v>157.3589296102385</v>
      </c>
      <c r="C567" s="74">
        <f>Comp1[[#This Row],[Comparable '#1 Price]]/'Comparable #1'!$B$2*100</f>
        <v>92.881587953456545</v>
      </c>
      <c r="D567" s="74">
        <f>Comp2[[#This Row],[Comparable '#2 Price]]/'Comparable #2'!$B$2*100</f>
        <v>49.436619718309856</v>
      </c>
      <c r="E567" s="74">
        <f>Comp3[[#This Row],[Comparable '#3 Price]]/'Comparable #3'!$B$2*100</f>
        <v>78.056479822540737</v>
      </c>
    </row>
    <row r="568" spans="1:5">
      <c r="A568" s="96">
        <v>44106</v>
      </c>
      <c r="B568" s="74">
        <f>Target1[[#This Row],[Target Price]]/Target!$B$2*100</f>
        <v>155.55555555555554</v>
      </c>
      <c r="C568" s="74">
        <f>Comp1[[#This Row],[Comparable '#1 Price]]/'Comparable #1'!$B$2*100</f>
        <v>92.197125256673516</v>
      </c>
      <c r="D568" s="74">
        <f>Comp2[[#This Row],[Comparable '#2 Price]]/'Comparable #2'!$B$2*100</f>
        <v>49.456740442655928</v>
      </c>
      <c r="E568" s="74">
        <f>Comp3[[#This Row],[Comparable '#3 Price]]/'Comparable #3'!$B$2*100</f>
        <v>77.732275403122614</v>
      </c>
    </row>
    <row r="569" spans="1:5">
      <c r="A569" s="96">
        <v>44109</v>
      </c>
      <c r="B569" s="74">
        <f>Target1[[#This Row],[Target Price]]/Target!$B$2*100</f>
        <v>168.35369400814426</v>
      </c>
      <c r="C569" s="74">
        <f>Comp1[[#This Row],[Comparable '#1 Price]]/'Comparable #1'!$B$2*100</f>
        <v>90.622861054072558</v>
      </c>
      <c r="D569" s="74">
        <f>Comp2[[#This Row],[Comparable '#2 Price]]/'Comparable #2'!$B$2*100</f>
        <v>50.885311871227358</v>
      </c>
      <c r="E569" s="74">
        <f>Comp3[[#This Row],[Comparable '#3 Price]]/'Comparable #3'!$B$2*100</f>
        <v>78.457469499189486</v>
      </c>
    </row>
    <row r="570" spans="1:5">
      <c r="A570" s="96">
        <v>44110</v>
      </c>
      <c r="B570" s="74">
        <f>Target1[[#This Row],[Target Price]]/Target!$B$2*100</f>
        <v>168.935427574171</v>
      </c>
      <c r="C570" s="74">
        <f>Comp1[[#This Row],[Comparable '#1 Price]]/'Comparable #1'!$B$2*100</f>
        <v>89.938398357289543</v>
      </c>
      <c r="D570" s="74">
        <f>Comp2[[#This Row],[Comparable '#2 Price]]/'Comparable #2'!$B$2*100</f>
        <v>52.494969818913475</v>
      </c>
      <c r="E570" s="74">
        <f>Comp3[[#This Row],[Comparable '#3 Price]]/'Comparable #3'!$B$2*100</f>
        <v>79.899325996075433</v>
      </c>
    </row>
    <row r="571" spans="1:5">
      <c r="A571" s="96">
        <v>44111</v>
      </c>
      <c r="B571" s="74">
        <f>Target1[[#This Row],[Target Price]]/Target!$B$2*100</f>
        <v>173.53112274578243</v>
      </c>
      <c r="C571" s="74">
        <f>Comp1[[#This Row],[Comparable '#1 Price]]/'Comparable #1'!$B$2*100</f>
        <v>88.911704312114992</v>
      </c>
      <c r="D571" s="74">
        <f>Comp2[[#This Row],[Comparable '#2 Price]]/'Comparable #2'!$B$2*100</f>
        <v>52.696177062374247</v>
      </c>
      <c r="E571" s="74">
        <f>Comp3[[#This Row],[Comparable '#3 Price]]/'Comparable #3'!$B$2*100</f>
        <v>80.18940363450217</v>
      </c>
    </row>
    <row r="572" spans="1:5">
      <c r="A572" s="96">
        <v>44112</v>
      </c>
      <c r="B572" s="74">
        <f>Target1[[#This Row],[Target Price]]/Target!$B$2*100</f>
        <v>172.01861547411283</v>
      </c>
      <c r="C572" s="74">
        <f>Comp1[[#This Row],[Comparable '#1 Price]]/'Comparable #1'!$B$2*100</f>
        <v>91.307323750855588</v>
      </c>
      <c r="D572" s="74">
        <f>Comp2[[#This Row],[Comparable '#2 Price]]/'Comparable #2'!$B$2*100</f>
        <v>54.164989939637834</v>
      </c>
      <c r="E572" s="74">
        <f>Comp3[[#This Row],[Comparable '#3 Price]]/'Comparable #3'!$B$2*100</f>
        <v>81.486221312174735</v>
      </c>
    </row>
    <row r="573" spans="1:5">
      <c r="A573" s="96">
        <v>44113</v>
      </c>
      <c r="B573" s="74">
        <f>Target1[[#This Row],[Target Price]]/Target!$B$2*100</f>
        <v>177.07969749854567</v>
      </c>
      <c r="C573" s="74">
        <f>Comp1[[#This Row],[Comparable '#1 Price]]/'Comparable #1'!$B$2*100</f>
        <v>93.223819301848039</v>
      </c>
      <c r="D573" s="74">
        <f>Comp2[[#This Row],[Comparable '#2 Price]]/'Comparable #2'!$B$2*100</f>
        <v>53.581488933601605</v>
      </c>
      <c r="E573" s="74">
        <f>Comp3[[#This Row],[Comparable '#3 Price]]/'Comparable #3'!$B$2*100</f>
        <v>82.271137274976553</v>
      </c>
    </row>
    <row r="574" spans="1:5">
      <c r="A574" s="96">
        <v>44116</v>
      </c>
      <c r="B574" s="74">
        <f>Target1[[#This Row],[Target Price]]/Target!$B$2*100</f>
        <v>177.196044211751</v>
      </c>
      <c r="C574" s="74">
        <f>Comp1[[#This Row],[Comparable '#1 Price]]/'Comparable #1'!$B$2*100</f>
        <v>93.839835728952778</v>
      </c>
      <c r="D574" s="74">
        <f>Comp2[[#This Row],[Comparable '#2 Price]]/'Comparable #2'!$B$2*100</f>
        <v>53.098591549295769</v>
      </c>
      <c r="E574" s="74">
        <f>Comp3[[#This Row],[Comparable '#3 Price]]/'Comparable #3'!$B$2*100</f>
        <v>83.209623752239565</v>
      </c>
    </row>
    <row r="575" spans="1:5">
      <c r="A575" s="96">
        <v>44117</v>
      </c>
      <c r="B575" s="74">
        <f>Target1[[#This Row],[Target Price]]/Target!$B$2*100</f>
        <v>180.27923211169283</v>
      </c>
      <c r="C575" s="74">
        <f>Comp1[[#This Row],[Comparable '#1 Price]]/'Comparable #1'!$B$2*100</f>
        <v>92.128678986995212</v>
      </c>
      <c r="D575" s="74">
        <f>Comp2[[#This Row],[Comparable '#2 Price]]/'Comparable #2'!$B$2*100</f>
        <v>53.219315895372233</v>
      </c>
      <c r="E575" s="74">
        <f>Comp3[[#This Row],[Comparable '#3 Price]]/'Comparable #3'!$B$2*100</f>
        <v>81.818957426840726</v>
      </c>
    </row>
    <row r="576" spans="1:5">
      <c r="A576" s="96">
        <v>44118</v>
      </c>
      <c r="B576" s="74">
        <f>Target1[[#This Row],[Target Price]]/Target!$B$2*100</f>
        <v>175.68353694008144</v>
      </c>
      <c r="C576" s="74">
        <f>Comp1[[#This Row],[Comparable '#1 Price]]/'Comparable #1'!$B$2*100</f>
        <v>93.566050650239561</v>
      </c>
      <c r="D576" s="74">
        <f>Comp2[[#This Row],[Comparable '#2 Price]]/'Comparable #2'!$B$2*100</f>
        <v>54.185110663983906</v>
      </c>
      <c r="E576" s="74">
        <f>Comp3[[#This Row],[Comparable '#3 Price]]/'Comparable #3'!$B$2*100</f>
        <v>82.032249808036866</v>
      </c>
    </row>
    <row r="577" spans="1:5">
      <c r="A577" s="96">
        <v>44119</v>
      </c>
      <c r="B577" s="74">
        <f>Target1[[#This Row],[Target Price]]/Target!$B$2*100</f>
        <v>175.04363001745199</v>
      </c>
      <c r="C577" s="74">
        <f>Comp1[[#This Row],[Comparable '#1 Price]]/'Comparable #1'!$B$2*100</f>
        <v>93.223819301848039</v>
      </c>
      <c r="D577" s="74">
        <f>Comp2[[#This Row],[Comparable '#2 Price]]/'Comparable #2'!$B$2*100</f>
        <v>55.130784708249493</v>
      </c>
      <c r="E577" s="74">
        <f>Comp3[[#This Row],[Comparable '#3 Price]]/'Comparable #3'!$B$2*100</f>
        <v>82.450302875181308</v>
      </c>
    </row>
    <row r="578" spans="1:5">
      <c r="A578" s="96">
        <v>44120</v>
      </c>
      <c r="B578" s="74">
        <f>Target1[[#This Row],[Target Price]]/Target!$B$2*100</f>
        <v>170.79697498545664</v>
      </c>
      <c r="C578" s="74">
        <f>Comp1[[#This Row],[Comparable '#1 Price]]/'Comparable #1'!$B$2*100</f>
        <v>93.018480492813154</v>
      </c>
      <c r="D578" s="74">
        <f>Comp2[[#This Row],[Comparable '#2 Price]]/'Comparable #2'!$B$2*100</f>
        <v>53.521126760563376</v>
      </c>
      <c r="E578" s="74">
        <f>Comp3[[#This Row],[Comparable '#3 Price]]/'Comparable #3'!$B$2*100</f>
        <v>82.527088132411919</v>
      </c>
    </row>
    <row r="579" spans="1:5">
      <c r="A579" s="96">
        <v>44123</v>
      </c>
      <c r="B579" s="74">
        <f>Target1[[#This Row],[Target Price]]/Target!$B$2*100</f>
        <v>168.76090750436299</v>
      </c>
      <c r="C579" s="74">
        <f>Comp1[[#This Row],[Comparable '#1 Price]]/'Comparable #1'!$B$2*100</f>
        <v>93.155373032169734</v>
      </c>
      <c r="D579" s="74">
        <f>Comp2[[#This Row],[Comparable '#2 Price]]/'Comparable #2'!$B$2*100</f>
        <v>52.957746478873233</v>
      </c>
      <c r="E579" s="74">
        <f>Comp3[[#This Row],[Comparable '#3 Price]]/'Comparable #3'!$B$2*100</f>
        <v>83.516764781162024</v>
      </c>
    </row>
    <row r="580" spans="1:5">
      <c r="A580" s="96">
        <v>44124</v>
      </c>
      <c r="B580" s="74">
        <f>Target1[[#This Row],[Target Price]]/Target!$B$2*100</f>
        <v>169.57533449680045</v>
      </c>
      <c r="C580" s="74">
        <f>Comp1[[#This Row],[Comparable '#1 Price]]/'Comparable #1'!$B$2*100</f>
        <v>94.045174537987691</v>
      </c>
      <c r="D580" s="74">
        <f>Comp2[[#This Row],[Comparable '#2 Price]]/'Comparable #2'!$B$2*100</f>
        <v>53.983903420523127</v>
      </c>
      <c r="E580" s="74">
        <f>Comp3[[#This Row],[Comparable '#3 Price]]/'Comparable #3'!$B$2*100</f>
        <v>82.885419332821442</v>
      </c>
    </row>
    <row r="581" spans="1:5">
      <c r="A581" s="96">
        <v>44125</v>
      </c>
      <c r="B581" s="74">
        <f>Target1[[#This Row],[Target Price]]/Target!$B$2*100</f>
        <v>165.61954624781848</v>
      </c>
      <c r="C581" s="74">
        <f>Comp1[[#This Row],[Comparable '#1 Price]]/'Comparable #1'!$B$2*100</f>
        <v>94.661190965092416</v>
      </c>
      <c r="D581" s="74">
        <f>Comp2[[#This Row],[Comparable '#2 Price]]/'Comparable #2'!$B$2*100</f>
        <v>54.064386317907442</v>
      </c>
      <c r="E581" s="74">
        <f>Comp3[[#This Row],[Comparable '#3 Price]]/'Comparable #3'!$B$2*100</f>
        <v>81.946932855558401</v>
      </c>
    </row>
    <row r="582" spans="1:5">
      <c r="A582" s="96">
        <v>44126</v>
      </c>
      <c r="B582" s="74">
        <f>Target1[[#This Row],[Target Price]]/Target!$B$2*100</f>
        <v>168.29552065154158</v>
      </c>
      <c r="C582" s="74">
        <f>Comp1[[#This Row],[Comparable '#1 Price]]/'Comparable #1'!$B$2*100</f>
        <v>94.25051334702259</v>
      </c>
      <c r="D582" s="74">
        <f>Comp2[[#This Row],[Comparable '#2 Price]]/'Comparable #2'!$B$2*100</f>
        <v>54.808853118712264</v>
      </c>
      <c r="E582" s="74">
        <f>Comp3[[#This Row],[Comparable '#3 Price]]/'Comparable #3'!$B$2*100</f>
        <v>81.725108779114422</v>
      </c>
    </row>
    <row r="583" spans="1:5">
      <c r="A583" s="96">
        <v>44127</v>
      </c>
      <c r="B583" s="74">
        <f>Target1[[#This Row],[Target Price]]/Target!$B$2*100</f>
        <v>166.95753344968003</v>
      </c>
      <c r="C583" s="74">
        <f>Comp1[[#This Row],[Comparable '#1 Price]]/'Comparable #1'!$B$2*100</f>
        <v>94.524298425735807</v>
      </c>
      <c r="D583" s="74">
        <f>Comp2[[#This Row],[Comparable '#2 Price]]/'Comparable #2'!$B$2*100</f>
        <v>54.185110663983906</v>
      </c>
      <c r="E583" s="74">
        <f>Comp3[[#This Row],[Comparable '#3 Price]]/'Comparable #3'!$B$2*100</f>
        <v>82.040781503284705</v>
      </c>
    </row>
    <row r="584" spans="1:5">
      <c r="A584" s="96">
        <v>44130</v>
      </c>
      <c r="B584" s="74">
        <f>Target1[[#This Row],[Target Price]]/Target!$B$2*100</f>
        <v>164.22338568935427</v>
      </c>
      <c r="C584" s="74">
        <f>Comp1[[#This Row],[Comparable '#1 Price]]/'Comparable #1'!$B$2*100</f>
        <v>92.128678986995212</v>
      </c>
      <c r="D584" s="74">
        <f>Comp2[[#This Row],[Comparable '#2 Price]]/'Comparable #2'!$B$2*100</f>
        <v>53.521126760563376</v>
      </c>
      <c r="E584" s="74">
        <f>Comp3[[#This Row],[Comparable '#3 Price]]/'Comparable #3'!$B$2*100</f>
        <v>80.078491596280188</v>
      </c>
    </row>
    <row r="585" spans="1:5">
      <c r="A585" s="96">
        <v>44131</v>
      </c>
      <c r="B585" s="74">
        <f>Target1[[#This Row],[Target Price]]/Target!$B$2*100</f>
        <v>168.29552065154158</v>
      </c>
      <c r="C585" s="74">
        <f>Comp1[[#This Row],[Comparable '#1 Price]]/'Comparable #1'!$B$2*100</f>
        <v>90.417522245037645</v>
      </c>
      <c r="D585" s="74">
        <f>Comp2[[#This Row],[Comparable '#2 Price]]/'Comparable #2'!$B$2*100</f>
        <v>50.804828973843051</v>
      </c>
      <c r="E585" s="74">
        <f>Comp3[[#This Row],[Comparable '#3 Price]]/'Comparable #3'!$B$2*100</f>
        <v>76.77672553536388</v>
      </c>
    </row>
    <row r="586" spans="1:5">
      <c r="A586" s="96">
        <v>44132</v>
      </c>
      <c r="B586" s="74">
        <f>Target1[[#This Row],[Target Price]]/Target!$B$2*100</f>
        <v>157.53344968004652</v>
      </c>
      <c r="C586" s="74">
        <f>Comp1[[#This Row],[Comparable '#1 Price]]/'Comparable #1'!$B$2*100</f>
        <v>86.926762491444208</v>
      </c>
      <c r="D586" s="74">
        <f>Comp2[[#This Row],[Comparable '#2 Price]]/'Comparable #2'!$B$2*100</f>
        <v>47.505030181086518</v>
      </c>
      <c r="E586" s="74">
        <f>Comp3[[#This Row],[Comparable '#3 Price]]/'Comparable #3'!$B$2*100</f>
        <v>71.128743281289999</v>
      </c>
    </row>
    <row r="587" spans="1:5">
      <c r="A587" s="96">
        <v>44133</v>
      </c>
      <c r="B587" s="74">
        <f>Target1[[#This Row],[Target Price]]/Target!$B$2*100</f>
        <v>146.48051192553808</v>
      </c>
      <c r="C587" s="74">
        <f>Comp1[[#This Row],[Comparable '#1 Price]]/'Comparable #1'!$B$2*100</f>
        <v>87.337440109514034</v>
      </c>
      <c r="D587" s="74">
        <f>Comp2[[#This Row],[Comparable '#2 Price]]/'Comparable #2'!$B$2*100</f>
        <v>48.088531187122726</v>
      </c>
      <c r="E587" s="74">
        <f>Comp3[[#This Row],[Comparable '#3 Price]]/'Comparable #3'!$B$2*100</f>
        <v>71.930722634587497</v>
      </c>
    </row>
    <row r="588" spans="1:5">
      <c r="A588" s="96">
        <v>44134</v>
      </c>
      <c r="B588" s="74">
        <f>Target1[[#This Row],[Target Price]]/Target!$B$2*100</f>
        <v>138.85980221058756</v>
      </c>
      <c r="C588" s="74">
        <f>Comp1[[#This Row],[Comparable '#1 Price]]/'Comparable #1'!$B$2*100</f>
        <v>88.980150581793296</v>
      </c>
      <c r="D588" s="74">
        <f>Comp2[[#This Row],[Comparable '#2 Price]]/'Comparable #2'!$B$2*100</f>
        <v>47.162977867203217</v>
      </c>
      <c r="E588" s="74">
        <f>Comp3[[#This Row],[Comparable '#3 Price]]/'Comparable #3'!$B$2*100</f>
        <v>70.86426072860678</v>
      </c>
    </row>
    <row r="589" spans="1:5">
      <c r="A589" s="96">
        <v>44137</v>
      </c>
      <c r="B589" s="74">
        <f>Target1[[#This Row],[Target Price]]/Target!$B$2*100</f>
        <v>137.28912158231529</v>
      </c>
      <c r="C589" s="74">
        <f>Comp1[[#This Row],[Comparable '#1 Price]]/'Comparable #1'!$B$2*100</f>
        <v>89.459274469541413</v>
      </c>
      <c r="D589" s="74">
        <f>Comp2[[#This Row],[Comparable '#2 Price]]/'Comparable #2'!$B$2*100</f>
        <v>47.263581488933596</v>
      </c>
      <c r="E589" s="74">
        <f>Comp3[[#This Row],[Comparable '#3 Price]]/'Comparable #3'!$B$2*100</f>
        <v>71.871000767852564</v>
      </c>
    </row>
    <row r="590" spans="1:5">
      <c r="A590" s="96">
        <v>44138</v>
      </c>
      <c r="B590" s="74">
        <f>Target1[[#This Row],[Target Price]]/Target!$B$2*100</f>
        <v>141.41942990110527</v>
      </c>
      <c r="C590" s="74">
        <f>Comp1[[#This Row],[Comparable '#1 Price]]/'Comparable #1'!$B$2*100</f>
        <v>90.006844626967847</v>
      </c>
      <c r="D590" s="74">
        <f>Comp2[[#This Row],[Comparable '#2 Price]]/'Comparable #2'!$B$2*100</f>
        <v>48.752515090543255</v>
      </c>
      <c r="E590" s="74">
        <f>Comp3[[#This Row],[Comparable '#3 Price]]/'Comparable #3'!$B$2*100</f>
        <v>74.05511475130109</v>
      </c>
    </row>
    <row r="591" spans="1:5">
      <c r="A591" s="96">
        <v>44139</v>
      </c>
      <c r="B591" s="74">
        <f>Target1[[#This Row],[Target Price]]/Target!$B$2*100</f>
        <v>149.04013961605585</v>
      </c>
      <c r="C591" s="74">
        <f>Comp1[[#This Row],[Comparable '#1 Price]]/'Comparable #1'!$B$2*100</f>
        <v>88.980150581793296</v>
      </c>
      <c r="D591" s="74">
        <f>Comp2[[#This Row],[Comparable '#2 Price]]/'Comparable #2'!$B$2*100</f>
        <v>50.503018108651908</v>
      </c>
      <c r="E591" s="74">
        <f>Comp3[[#This Row],[Comparable '#3 Price]]/'Comparable #3'!$B$2*100</f>
        <v>85.31695247845748</v>
      </c>
    </row>
    <row r="592" spans="1:5">
      <c r="A592" s="96">
        <v>44140</v>
      </c>
      <c r="B592" s="74">
        <f>Target1[[#This Row],[Target Price]]/Target!$B$2*100</f>
        <v>146.24781849912739</v>
      </c>
      <c r="C592" s="74">
        <f>Comp1[[#This Row],[Comparable '#1 Price]]/'Comparable #1'!$B$2*100</f>
        <v>97.39904175222452</v>
      </c>
      <c r="D592" s="74">
        <f>Comp2[[#This Row],[Comparable '#2 Price]]/'Comparable #2'!$B$2*100</f>
        <v>48.651911468812877</v>
      </c>
      <c r="E592" s="74">
        <f>Comp3[[#This Row],[Comparable '#3 Price]]/'Comparable #3'!$B$2*100</f>
        <v>76.751130449620348</v>
      </c>
    </row>
    <row r="593" spans="1:5">
      <c r="A593" s="96">
        <v>44141</v>
      </c>
      <c r="B593" s="74">
        <f>Target1[[#This Row],[Target Price]]/Target!$B$2*100</f>
        <v>145.60791157649794</v>
      </c>
      <c r="C593" s="74">
        <f>Comp1[[#This Row],[Comparable '#1 Price]]/'Comparable #1'!$B$2*100</f>
        <v>96.030116358658461</v>
      </c>
      <c r="D593" s="74">
        <f>Comp2[[#This Row],[Comparable '#2 Price]]/'Comparable #2'!$B$2*100</f>
        <v>52.374245472837025</v>
      </c>
      <c r="E593" s="74">
        <f>Comp3[[#This Row],[Comparable '#3 Price]]/'Comparable #3'!$B$2*100</f>
        <v>74.694991894889512</v>
      </c>
    </row>
    <row r="594" spans="1:5">
      <c r="A594" s="96">
        <v>44144</v>
      </c>
      <c r="B594" s="74">
        <f>Target1[[#This Row],[Target Price]]/Target!$B$2*100</f>
        <v>125.6544502617801</v>
      </c>
      <c r="C594" s="74">
        <f>Comp1[[#This Row],[Comparable '#1 Price]]/'Comparable #1'!$B$2*100</f>
        <v>96.988364134154693</v>
      </c>
      <c r="D594" s="74">
        <f>Comp2[[#This Row],[Comparable '#2 Price]]/'Comparable #2'!$B$2*100</f>
        <v>53.863179074446677</v>
      </c>
      <c r="E594" s="74">
        <f>Comp3[[#This Row],[Comparable '#3 Price]]/'Comparable #3'!$B$2*100</f>
        <v>76.78525723061172</v>
      </c>
    </row>
    <row r="595" spans="1:5">
      <c r="A595" s="96">
        <v>44145</v>
      </c>
      <c r="B595" s="74">
        <f>Target1[[#This Row],[Target Price]]/Target!$B$2*100</f>
        <v>122.45491564863291</v>
      </c>
      <c r="C595" s="74">
        <f>Comp1[[#This Row],[Comparable '#1 Price]]/'Comparable #1'!$B$2*100</f>
        <v>95.687885010266953</v>
      </c>
      <c r="D595" s="74">
        <f>Comp2[[#This Row],[Comparable '#2 Price]]/'Comparable #2'!$B$2*100</f>
        <v>56.03621730382293</v>
      </c>
      <c r="E595" s="74">
        <f>Comp3[[#This Row],[Comparable '#3 Price]]/'Comparable #3'!$B$2*100</f>
        <v>76.78525723061172</v>
      </c>
    </row>
    <row r="596" spans="1:5">
      <c r="A596" s="96">
        <v>44146</v>
      </c>
      <c r="B596" s="74">
        <f>Target1[[#This Row],[Target Price]]/Target!$B$2*100</f>
        <v>125.47993019197207</v>
      </c>
      <c r="C596" s="74">
        <f>Comp1[[#This Row],[Comparable '#1 Price]]/'Comparable #1'!$B$2*100</f>
        <v>95.687885010266953</v>
      </c>
      <c r="D596" s="74">
        <f>Comp2[[#This Row],[Comparable '#2 Price]]/'Comparable #2'!$B$2*100</f>
        <v>56.217303822937623</v>
      </c>
      <c r="E596" s="74">
        <f>Comp3[[#This Row],[Comparable '#3 Price]]/'Comparable #3'!$B$2*100</f>
        <v>74.18309018001878</v>
      </c>
    </row>
    <row r="597" spans="1:5">
      <c r="A597" s="96">
        <v>44147</v>
      </c>
      <c r="B597" s="74">
        <f>Target1[[#This Row],[Target Price]]/Target!$B$2*100</f>
        <v>126.58522396742291</v>
      </c>
      <c r="C597" s="74">
        <f>Comp1[[#This Row],[Comparable '#1 Price]]/'Comparable #1'!$B$2*100</f>
        <v>95.893223819301852</v>
      </c>
      <c r="D597" s="74">
        <f>Comp2[[#This Row],[Comparable '#2 Price]]/'Comparable #2'!$B$2*100</f>
        <v>55.95573440643863</v>
      </c>
      <c r="E597" s="74">
        <f>Comp3[[#This Row],[Comparable '#3 Price]]/'Comparable #3'!$B$2*100</f>
        <v>73.509086255438959</v>
      </c>
    </row>
    <row r="598" spans="1:5">
      <c r="A598" s="96">
        <v>44148</v>
      </c>
      <c r="B598" s="74">
        <f>Target1[[#This Row],[Target Price]]/Target!$B$2*100</f>
        <v>134.32228039557882</v>
      </c>
      <c r="C598" s="74">
        <f>Comp1[[#This Row],[Comparable '#1 Price]]/'Comparable #1'!$B$2*100</f>
        <v>97.330595482546215</v>
      </c>
      <c r="D598" s="74">
        <f>Comp2[[#This Row],[Comparable '#2 Price]]/'Comparable #2'!$B$2*100</f>
        <v>57.484909456740439</v>
      </c>
      <c r="E598" s="74">
        <f>Comp3[[#This Row],[Comparable '#3 Price]]/'Comparable #3'!$B$2*100</f>
        <v>75.01066461905981</v>
      </c>
    </row>
    <row r="599" spans="1:5">
      <c r="A599" s="96">
        <v>44151</v>
      </c>
      <c r="B599" s="74">
        <f>Target1[[#This Row],[Target Price]]/Target!$B$2*100</f>
        <v>131.70447934845839</v>
      </c>
      <c r="C599" s="74">
        <f>Comp1[[#This Row],[Comparable '#1 Price]]/'Comparable #1'!$B$2*100</f>
        <v>97.878165639972622</v>
      </c>
      <c r="D599" s="74">
        <f>Comp2[[#This Row],[Comparable '#2 Price]]/'Comparable #2'!$B$2*100</f>
        <v>57.947686116700204</v>
      </c>
      <c r="E599" s="74">
        <f>Comp3[[#This Row],[Comparable '#3 Price]]/'Comparable #3'!$B$2*100</f>
        <v>76.77672553536388</v>
      </c>
    </row>
    <row r="600" spans="1:5">
      <c r="A600" s="96">
        <v>44152</v>
      </c>
      <c r="B600" s="74">
        <f>Target1[[#This Row],[Target Price]]/Target!$B$2*100</f>
        <v>129.08667830133797</v>
      </c>
      <c r="C600" s="74">
        <f>Comp1[[#This Row],[Comparable '#1 Price]]/'Comparable #1'!$B$2*100</f>
        <v>96.646132785763172</v>
      </c>
      <c r="D600" s="74">
        <f>Comp2[[#This Row],[Comparable '#2 Price]]/'Comparable #2'!$B$2*100</f>
        <v>57.565392354124747</v>
      </c>
      <c r="E600" s="74">
        <f>Comp3[[#This Row],[Comparable '#3 Price]]/'Comparable #3'!$B$2*100</f>
        <v>77.211841993004015</v>
      </c>
    </row>
    <row r="601" spans="1:5">
      <c r="A601" s="96">
        <v>44153</v>
      </c>
      <c r="B601" s="74">
        <f>Target1[[#This Row],[Target Price]]/Target!$B$2*100</f>
        <v>139.15066899360093</v>
      </c>
      <c r="C601" s="74">
        <f>Comp1[[#This Row],[Comparable '#1 Price]]/'Comparable #1'!$B$2*100</f>
        <v>97.056810403832998</v>
      </c>
      <c r="D601" s="74">
        <f>Comp2[[#This Row],[Comparable '#2 Price]]/'Comparable #2'!$B$2*100</f>
        <v>56.921529175050303</v>
      </c>
      <c r="E601" s="74">
        <f>Comp3[[#This Row],[Comparable '#3 Price]]/'Comparable #3'!$B$2*100</f>
        <v>75.573756505417634</v>
      </c>
    </row>
    <row r="602" spans="1:5">
      <c r="A602" s="96">
        <v>44154</v>
      </c>
      <c r="B602" s="74">
        <f>Target1[[#This Row],[Target Price]]/Target!$B$2*100</f>
        <v>140.48865619546248</v>
      </c>
      <c r="C602" s="74">
        <f>Comp1[[#This Row],[Comparable '#1 Price]]/'Comparable #1'!$B$2*100</f>
        <v>96.988364134154693</v>
      </c>
      <c r="D602" s="74">
        <f>Comp2[[#This Row],[Comparable '#2 Price]]/'Comparable #2'!$B$2*100</f>
        <v>56.478873239436624</v>
      </c>
      <c r="E602" s="74">
        <f>Comp3[[#This Row],[Comparable '#3 Price]]/'Comparable #3'!$B$2*100</f>
        <v>75.437249381452105</v>
      </c>
    </row>
    <row r="603" spans="1:5">
      <c r="A603" s="96">
        <v>44155</v>
      </c>
      <c r="B603" s="74">
        <f>Target1[[#This Row],[Target Price]]/Target!$B$2*100</f>
        <v>138.51076207097148</v>
      </c>
      <c r="C603" s="74">
        <f>Comp1[[#This Row],[Comparable '#1 Price]]/'Comparable #1'!$B$2*100</f>
        <v>96.71457905544149</v>
      </c>
      <c r="D603" s="74">
        <f>Comp2[[#This Row],[Comparable '#2 Price]]/'Comparable #2'!$B$2*100</f>
        <v>56.197183098591537</v>
      </c>
      <c r="E603" s="74">
        <f>Comp3[[#This Row],[Comparable '#3 Price]]/'Comparable #3'!$B$2*100</f>
        <v>76.034468048801301</v>
      </c>
    </row>
    <row r="604" spans="1:5">
      <c r="A604" s="96">
        <v>44158</v>
      </c>
      <c r="B604" s="74">
        <f>Target1[[#This Row],[Target Price]]/Target!$B$2*100</f>
        <v>137.05642815590457</v>
      </c>
      <c r="C604" s="74">
        <f>Comp1[[#This Row],[Comparable '#1 Price]]/'Comparable #1'!$B$2*100</f>
        <v>97.262149212867911</v>
      </c>
      <c r="D604" s="74">
        <f>Comp2[[#This Row],[Comparable '#2 Price]]/'Comparable #2'!$B$2*100</f>
        <v>57.08249496981891</v>
      </c>
      <c r="E604" s="74">
        <f>Comp3[[#This Row],[Comparable '#3 Price]]/'Comparable #3'!$B$2*100</f>
        <v>76.913232659329424</v>
      </c>
    </row>
    <row r="605" spans="1:5">
      <c r="A605" s="96">
        <v>44159</v>
      </c>
      <c r="B605" s="74">
        <f>Target1[[#This Row],[Target Price]]/Target!$B$2*100</f>
        <v>132.80977312390922</v>
      </c>
      <c r="C605" s="74">
        <f>Comp1[[#This Row],[Comparable '#1 Price]]/'Comparable #1'!$B$2*100</f>
        <v>101.23203285420945</v>
      </c>
      <c r="D605" s="74">
        <f>Comp2[[#This Row],[Comparable '#2 Price]]/'Comparable #2'!$B$2*100</f>
        <v>58.490945674044262</v>
      </c>
      <c r="E605" s="74">
        <f>Comp3[[#This Row],[Comparable '#3 Price]]/'Comparable #3'!$B$2*100</f>
        <v>79.054688166538682</v>
      </c>
    </row>
    <row r="606" spans="1:5">
      <c r="A606" s="96">
        <v>44160</v>
      </c>
      <c r="B606" s="74">
        <f>Target1[[#This Row],[Target Price]]/Target!$B$2*100</f>
        <v>133.97324025596276</v>
      </c>
      <c r="C606" s="74">
        <f>Comp1[[#This Row],[Comparable '#1 Price]]/'Comparable #1'!$B$2*100</f>
        <v>101.23203285420945</v>
      </c>
      <c r="D606" s="74">
        <f>Comp2[[#This Row],[Comparable '#2 Price]]/'Comparable #2'!$B$2*100</f>
        <v>58.87323943661972</v>
      </c>
      <c r="E606" s="74">
        <f>Comp3[[#This Row],[Comparable '#3 Price]]/'Comparable #3'!$B$2*100</f>
        <v>77.971162870062287</v>
      </c>
    </row>
    <row r="607" spans="1:5">
      <c r="A607" s="96">
        <v>44162</v>
      </c>
      <c r="B607" s="74">
        <f>Target1[[#This Row],[Target Price]]/Target!$B$2*100</f>
        <v>138.16172193135543</v>
      </c>
      <c r="C607" s="74">
        <f>Comp1[[#This Row],[Comparable '#1 Price]]/'Comparable #1'!$B$2*100</f>
        <v>99.726214921286797</v>
      </c>
      <c r="D607" s="74">
        <f>Comp2[[#This Row],[Comparable '#2 Price]]/'Comparable #2'!$B$2*100</f>
        <v>60.181086519114693</v>
      </c>
      <c r="E607" s="74">
        <f>Comp3[[#This Row],[Comparable '#3 Price]]/'Comparable #3'!$B$2*100</f>
        <v>79.49833631942667</v>
      </c>
    </row>
    <row r="608" spans="1:5">
      <c r="A608" s="96">
        <v>44165</v>
      </c>
      <c r="B608" s="74">
        <f>Target1[[#This Row],[Target Price]]/Target!$B$2*100</f>
        <v>135.71844095404302</v>
      </c>
      <c r="C608" s="74">
        <f>Comp1[[#This Row],[Comparable '#1 Price]]/'Comparable #1'!$B$2*100</f>
        <v>97.193702943189592</v>
      </c>
      <c r="D608" s="74">
        <f>Comp2[[#This Row],[Comparable '#2 Price]]/'Comparable #2'!$B$2*100</f>
        <v>57.605633802816889</v>
      </c>
      <c r="E608" s="74">
        <f>Comp3[[#This Row],[Comparable '#3 Price]]/'Comparable #3'!$B$2*100</f>
        <v>80.10408668202372</v>
      </c>
    </row>
    <row r="609" spans="1:5">
      <c r="A609" s="96">
        <v>44166</v>
      </c>
      <c r="B609" s="74">
        <f>Target1[[#This Row],[Target Price]]/Target!$B$2*100</f>
        <v>135.48574752763233</v>
      </c>
      <c r="C609" s="74">
        <f>Comp1[[#This Row],[Comparable '#1 Price]]/'Comparable #1'!$B$2*100</f>
        <v>98.904859685147159</v>
      </c>
      <c r="D609" s="74">
        <f>Comp2[[#This Row],[Comparable '#2 Price]]/'Comparable #2'!$B$2*100</f>
        <v>57.625754527162975</v>
      </c>
      <c r="E609" s="74">
        <f>Comp3[[#This Row],[Comparable '#3 Price]]/'Comparable #3'!$B$2*100</f>
        <v>80.411227710946164</v>
      </c>
    </row>
    <row r="610" spans="1:5">
      <c r="A610" s="96">
        <v>44167</v>
      </c>
      <c r="B610" s="74">
        <f>Target1[[#This Row],[Target Price]]/Target!$B$2*100</f>
        <v>129.31937172774869</v>
      </c>
      <c r="C610" s="74">
        <f>Comp1[[#This Row],[Comparable '#1 Price]]/'Comparable #1'!$B$2*100</f>
        <v>98.767967145790564</v>
      </c>
      <c r="D610" s="74">
        <f>Comp2[[#This Row],[Comparable '#2 Price]]/'Comparable #2'!$B$2*100</f>
        <v>57.565392354124747</v>
      </c>
      <c r="E610" s="74">
        <f>Comp3[[#This Row],[Comparable '#3 Price]]/'Comparable #3'!$B$2*100</f>
        <v>77.352614964593471</v>
      </c>
    </row>
    <row r="611" spans="1:5">
      <c r="A611" s="96">
        <v>44168</v>
      </c>
      <c r="B611" s="74">
        <f>Target1[[#This Row],[Target Price]]/Target!$B$2*100</f>
        <v>127.86503781268179</v>
      </c>
      <c r="C611" s="74">
        <f>Comp1[[#This Row],[Comparable '#1 Price]]/'Comparable #1'!$B$2*100</f>
        <v>99.418206707734441</v>
      </c>
      <c r="D611" s="74">
        <f>Comp2[[#This Row],[Comparable '#2 Price]]/'Comparable #2'!$B$2*100</f>
        <v>58.20925553319919</v>
      </c>
      <c r="E611" s="74">
        <f>Comp3[[#This Row],[Comparable '#3 Price]]/'Comparable #3'!$B$2*100</f>
        <v>79.489804624178831</v>
      </c>
    </row>
    <row r="612" spans="1:5">
      <c r="A612" s="96">
        <v>44169</v>
      </c>
      <c r="B612" s="74">
        <f>Target1[[#This Row],[Target Price]]/Target!$B$2*100</f>
        <v>129.90110529377543</v>
      </c>
      <c r="C612" s="74">
        <f>Comp1[[#This Row],[Comparable '#1 Price]]/'Comparable #1'!$B$2*100</f>
        <v>100.2053388090349</v>
      </c>
      <c r="D612" s="74">
        <f>Comp2[[#This Row],[Comparable '#2 Price]]/'Comparable #2'!$B$2*100</f>
        <v>58.87323943661972</v>
      </c>
      <c r="E612" s="74">
        <f>Comp3[[#This Row],[Comparable '#3 Price]]/'Comparable #3'!$B$2*100</f>
        <v>79.515399709922363</v>
      </c>
    </row>
    <row r="613" spans="1:5">
      <c r="A613" s="96">
        <v>44172</v>
      </c>
      <c r="B613" s="74">
        <f>Target1[[#This Row],[Target Price]]/Target!$B$2*100</f>
        <v>128.7958115183246</v>
      </c>
      <c r="C613" s="74">
        <f>Comp1[[#This Row],[Comparable '#1 Price]]/'Comparable #1'!$B$2*100</f>
        <v>99.657768651608492</v>
      </c>
      <c r="D613" s="74">
        <f>Comp2[[#This Row],[Comparable '#2 Price]]/'Comparable #2'!$B$2*100</f>
        <v>58.792756539235405</v>
      </c>
      <c r="E613" s="74">
        <f>Comp3[[#This Row],[Comparable '#3 Price]]/'Comparable #3'!$B$2*100</f>
        <v>79.49833631942667</v>
      </c>
    </row>
    <row r="614" spans="1:5">
      <c r="A614" s="96">
        <v>44173</v>
      </c>
      <c r="B614" s="74">
        <f>Target1[[#This Row],[Target Price]]/Target!$B$2*100</f>
        <v>128.67946480511924</v>
      </c>
      <c r="C614" s="74">
        <f>Comp1[[#This Row],[Comparable '#1 Price]]/'Comparable #1'!$B$2*100</f>
        <v>100.34223134839151</v>
      </c>
      <c r="D614" s="74">
        <f>Comp2[[#This Row],[Comparable '#2 Price]]/'Comparable #2'!$B$2*100</f>
        <v>60.965794768611673</v>
      </c>
      <c r="E614" s="74">
        <f>Comp3[[#This Row],[Comparable '#3 Price]]/'Comparable #3'!$B$2*100</f>
        <v>79.600716662400814</v>
      </c>
    </row>
    <row r="615" spans="1:5">
      <c r="A615" s="96">
        <v>44174</v>
      </c>
      <c r="B615" s="74">
        <f>Target1[[#This Row],[Target Price]]/Target!$B$2*100</f>
        <v>127.92321116928444</v>
      </c>
      <c r="C615" s="74">
        <f>Comp1[[#This Row],[Comparable '#1 Price]]/'Comparable #1'!$B$2*100</f>
        <v>100.88980150581794</v>
      </c>
      <c r="D615" s="74">
        <f>Comp2[[#This Row],[Comparable '#2 Price]]/'Comparable #2'!$B$2*100</f>
        <v>63.380281690140841</v>
      </c>
      <c r="E615" s="74">
        <f>Comp3[[#This Row],[Comparable '#3 Price]]/'Comparable #3'!$B$2*100</f>
        <v>78.798737309103316</v>
      </c>
    </row>
    <row r="616" spans="1:5">
      <c r="A616" s="96">
        <v>44175</v>
      </c>
      <c r="B616" s="74">
        <f>Target1[[#This Row],[Target Price]]/Target!$B$2*100</f>
        <v>131.76265270506107</v>
      </c>
      <c r="C616" s="74">
        <f>Comp1[[#This Row],[Comparable '#1 Price]]/'Comparable #1'!$B$2*100</f>
        <v>102.4640657084189</v>
      </c>
      <c r="D616" s="74">
        <f>Comp2[[#This Row],[Comparable '#2 Price]]/'Comparable #2'!$B$2*100</f>
        <v>63.702213279678062</v>
      </c>
      <c r="E616" s="74">
        <f>Comp3[[#This Row],[Comparable '#3 Price]]/'Comparable #3'!$B$2*100</f>
        <v>82.117566760515317</v>
      </c>
    </row>
    <row r="617" spans="1:5">
      <c r="A617" s="96">
        <v>44176</v>
      </c>
      <c r="B617" s="74">
        <f>Target1[[#This Row],[Target Price]]/Target!$B$2*100</f>
        <v>132.1698662012798</v>
      </c>
      <c r="C617" s="74">
        <f>Comp1[[#This Row],[Comparable '#1 Price]]/'Comparable #1'!$B$2*100</f>
        <v>104.03832991101984</v>
      </c>
      <c r="D617" s="74">
        <f>Comp2[[#This Row],[Comparable '#2 Price]]/'Comparable #2'!$B$2*100</f>
        <v>63.299798792756533</v>
      </c>
      <c r="E617" s="74">
        <f>Comp3[[#This Row],[Comparable '#3 Price]]/'Comparable #3'!$B$2*100</f>
        <v>80.863407559081992</v>
      </c>
    </row>
    <row r="618" spans="1:5">
      <c r="A618" s="96">
        <v>44179</v>
      </c>
      <c r="B618" s="74">
        <f>Target1[[#This Row],[Target Price]]/Target!$B$2*100</f>
        <v>136.47469458987783</v>
      </c>
      <c r="C618" s="74">
        <f>Comp1[[#This Row],[Comparable '#1 Price]]/'Comparable #1'!$B$2*100</f>
        <v>103.42231348391513</v>
      </c>
      <c r="D618" s="74">
        <f>Comp2[[#This Row],[Comparable '#2 Price]]/'Comparable #2'!$B$2*100</f>
        <v>64.647887323943664</v>
      </c>
      <c r="E618" s="74">
        <f>Comp3[[#This Row],[Comparable '#3 Price]]/'Comparable #3'!$B$2*100</f>
        <v>80.001706339049576</v>
      </c>
    </row>
    <row r="619" spans="1:5">
      <c r="A619" s="96">
        <v>44180</v>
      </c>
      <c r="B619" s="74">
        <f>Target1[[#This Row],[Target Price]]/Target!$B$2*100</f>
        <v>138.68528214077952</v>
      </c>
      <c r="C619" s="74">
        <f>Comp1[[#This Row],[Comparable '#1 Price]]/'Comparable #1'!$B$2*100</f>
        <v>105.1334702258727</v>
      </c>
      <c r="D619" s="74">
        <f>Comp2[[#This Row],[Comparable '#2 Price]]/'Comparable #2'!$B$2*100</f>
        <v>67.686116700201211</v>
      </c>
      <c r="E619" s="74">
        <f>Comp3[[#This Row],[Comparable '#3 Price]]/'Comparable #3'!$B$2*100</f>
        <v>84.113983448511235</v>
      </c>
    </row>
    <row r="620" spans="1:5">
      <c r="A620" s="96">
        <v>44181</v>
      </c>
      <c r="B620" s="74">
        <f>Target1[[#This Row],[Target Price]]/Target!$B$2*100</f>
        <v>134.67132053519487</v>
      </c>
      <c r="C620" s="74">
        <f>Comp1[[#This Row],[Comparable '#1 Price]]/'Comparable #1'!$B$2*100</f>
        <v>103.79876796714581</v>
      </c>
      <c r="D620" s="74">
        <f>Comp2[[#This Row],[Comparable '#2 Price]]/'Comparable #2'!$B$2*100</f>
        <v>66.599597585513081</v>
      </c>
      <c r="E620" s="74">
        <f>Comp3[[#This Row],[Comparable '#3 Price]]/'Comparable #3'!$B$2*100</f>
        <v>81.486221312174735</v>
      </c>
    </row>
    <row r="621" spans="1:5">
      <c r="A621" s="96">
        <v>44182</v>
      </c>
      <c r="B621" s="74">
        <f>Target1[[#This Row],[Target Price]]/Target!$B$2*100</f>
        <v>133.50785340314135</v>
      </c>
      <c r="C621" s="74">
        <f>Comp1[[#This Row],[Comparable '#1 Price]]/'Comparable #1'!$B$2*100</f>
        <v>103.62765229295003</v>
      </c>
      <c r="D621" s="74">
        <f>Comp2[[#This Row],[Comparable '#2 Price]]/'Comparable #2'!$B$2*100</f>
        <v>67.263581488933596</v>
      </c>
      <c r="E621" s="74">
        <f>Comp3[[#This Row],[Comparable '#3 Price]]/'Comparable #3'!$B$2*100</f>
        <v>82.032249808036866</v>
      </c>
    </row>
    <row r="622" spans="1:5">
      <c r="A622" s="96">
        <v>44183</v>
      </c>
      <c r="B622" s="74">
        <f>Target1[[#This Row],[Target Price]]/Target!$B$2*100</f>
        <v>132.80977312390922</v>
      </c>
      <c r="C622" s="74">
        <f>Comp1[[#This Row],[Comparable '#1 Price]]/'Comparable #1'!$B$2*100</f>
        <v>103.08008213552363</v>
      </c>
      <c r="D622" s="74">
        <f>Comp2[[#This Row],[Comparable '#2 Price]]/'Comparable #2'!$B$2*100</f>
        <v>68.269617706237412</v>
      </c>
      <c r="E622" s="74">
        <f>Comp3[[#This Row],[Comparable '#3 Price]]/'Comparable #3'!$B$2*100</f>
        <v>83.252282228478805</v>
      </c>
    </row>
    <row r="623" spans="1:5">
      <c r="A623" s="96">
        <v>44186</v>
      </c>
      <c r="B623" s="74">
        <f>Target1[[#This Row],[Target Price]]/Target!$B$2*100</f>
        <v>132.1698662012798</v>
      </c>
      <c r="C623" s="74">
        <f>Comp1[[#This Row],[Comparable '#1 Price]]/'Comparable #1'!$B$2*100</f>
        <v>102.87474332648871</v>
      </c>
      <c r="D623" s="74">
        <f>Comp2[[#This Row],[Comparable '#2 Price]]/'Comparable #2'!$B$2*100</f>
        <v>68.269617706237412</v>
      </c>
      <c r="E623" s="74">
        <f>Comp3[[#This Row],[Comparable '#3 Price]]/'Comparable #3'!$B$2*100</f>
        <v>82.066376589028238</v>
      </c>
    </row>
    <row r="624" spans="1:5">
      <c r="A624" s="96">
        <v>44187</v>
      </c>
      <c r="B624" s="74">
        <f>Target1[[#This Row],[Target Price]]/Target!$B$2*100</f>
        <v>130.83187899941825</v>
      </c>
      <c r="C624" s="74">
        <f>Comp1[[#This Row],[Comparable '#1 Price]]/'Comparable #1'!$B$2*100</f>
        <v>101.98494182067077</v>
      </c>
      <c r="D624" s="74">
        <f>Comp2[[#This Row],[Comparable '#2 Price]]/'Comparable #2'!$B$2*100</f>
        <v>66.941649899396381</v>
      </c>
      <c r="E624" s="74">
        <f>Comp3[[#This Row],[Comparable '#3 Price]]/'Comparable #3'!$B$2*100</f>
        <v>79.447146147939605</v>
      </c>
    </row>
    <row r="625" spans="1:5">
      <c r="A625" s="96">
        <v>44188</v>
      </c>
      <c r="B625" s="74">
        <f>Target1[[#This Row],[Target Price]]/Target!$B$2*100</f>
        <v>129.31937172774869</v>
      </c>
      <c r="C625" s="74">
        <f>Comp1[[#This Row],[Comparable '#1 Price]]/'Comparable #1'!$B$2*100</f>
        <v>102.66940451745381</v>
      </c>
      <c r="D625" s="74">
        <f>Comp2[[#This Row],[Comparable '#2 Price]]/'Comparable #2'!$B$2*100</f>
        <v>67.424547283702211</v>
      </c>
      <c r="E625" s="74">
        <f>Comp3[[#This Row],[Comparable '#3 Price]]/'Comparable #3'!$B$2*100</f>
        <v>83.619145124136168</v>
      </c>
    </row>
    <row r="626" spans="1:5">
      <c r="A626" s="96">
        <v>44189</v>
      </c>
      <c r="B626" s="74">
        <f>Target1[[#This Row],[Target Price]]/Target!$B$2*100</f>
        <v>129.43571844095402</v>
      </c>
      <c r="C626" s="74">
        <f>Comp1[[#This Row],[Comparable '#1 Price]]/'Comparable #1'!$B$2*100</f>
        <v>102.39561943874061</v>
      </c>
      <c r="D626" s="74">
        <f>Comp2[[#This Row],[Comparable '#2 Price]]/'Comparable #2'!$B$2*100</f>
        <v>69.25553319919517</v>
      </c>
      <c r="E626" s="74">
        <f>Comp3[[#This Row],[Comparable '#3 Price]]/'Comparable #3'!$B$2*100</f>
        <v>82.834229161334363</v>
      </c>
    </row>
    <row r="627" spans="1:5">
      <c r="A627" s="96">
        <v>44193</v>
      </c>
      <c r="B627" s="74">
        <f>Target1[[#This Row],[Target Price]]/Target!$B$2*100</f>
        <v>126.52705061082024</v>
      </c>
      <c r="C627" s="74">
        <f>Comp1[[#This Row],[Comparable '#1 Price]]/'Comparable #1'!$B$2*100</f>
        <v>103.14852840520192</v>
      </c>
      <c r="D627" s="74">
        <f>Comp2[[#This Row],[Comparable '#2 Price]]/'Comparable #2'!$B$2*100</f>
        <v>68.511066398390327</v>
      </c>
      <c r="E627" s="74">
        <f>Comp3[[#This Row],[Comparable '#3 Price]]/'Comparable #3'!$B$2*100</f>
        <v>82.876887637573589</v>
      </c>
    </row>
    <row r="628" spans="1:5">
      <c r="A628" s="96">
        <v>44194</v>
      </c>
      <c r="B628" s="74">
        <f>Target1[[#This Row],[Target Price]]/Target!$B$2*100</f>
        <v>122.51308900523559</v>
      </c>
      <c r="C628" s="74">
        <f>Comp1[[#This Row],[Comparable '#1 Price]]/'Comparable #1'!$B$2*100</f>
        <v>101.57426420260096</v>
      </c>
      <c r="D628" s="74">
        <f>Comp2[[#This Row],[Comparable '#2 Price]]/'Comparable #2'!$B$2*100</f>
        <v>66.177062374245466</v>
      </c>
      <c r="E628" s="74">
        <f>Comp3[[#This Row],[Comparable '#3 Price]]/'Comparable #3'!$B$2*100</f>
        <v>80.035833120040962</v>
      </c>
    </row>
    <row r="629" spans="1:5">
      <c r="A629" s="96">
        <v>44195</v>
      </c>
      <c r="B629" s="74">
        <f>Target1[[#This Row],[Target Price]]/Target!$B$2*100</f>
        <v>125.53810354857472</v>
      </c>
      <c r="C629" s="74">
        <f>Comp1[[#This Row],[Comparable '#1 Price]]/'Comparable #1'!$B$2*100</f>
        <v>100.88980150581794</v>
      </c>
      <c r="D629" s="74">
        <f>Comp2[[#This Row],[Comparable '#2 Price]]/'Comparable #2'!$B$2*100</f>
        <v>66.217303822937609</v>
      </c>
      <c r="E629" s="74">
        <f>Comp3[[#This Row],[Comparable '#3 Price]]/'Comparable #3'!$B$2*100</f>
        <v>81.904274379319176</v>
      </c>
    </row>
    <row r="630" spans="1:5">
      <c r="A630" s="96">
        <v>44196</v>
      </c>
      <c r="B630" s="74">
        <f>Target1[[#This Row],[Target Price]]/Target!$B$2*100</f>
        <v>123.50203606748109</v>
      </c>
      <c r="C630" s="74">
        <f>Comp1[[#This Row],[Comparable '#1 Price]]/'Comparable #1'!$B$2*100</f>
        <v>99.657768651608492</v>
      </c>
      <c r="D630" s="74">
        <f>Comp2[[#This Row],[Comparable '#2 Price]]/'Comparable #2'!$B$2*100</f>
        <v>68.309859154929569</v>
      </c>
      <c r="E630" s="74">
        <f>Comp3[[#This Row],[Comparable '#3 Price]]/'Comparable #3'!$B$2*100</f>
        <v>81.332650797713512</v>
      </c>
    </row>
    <row r="631" spans="1:5">
      <c r="A631" s="96">
        <v>44200</v>
      </c>
      <c r="B631" s="74">
        <f>Target1[[#This Row],[Target Price]]/Target!$B$2*100</f>
        <v>122.22222222222223</v>
      </c>
      <c r="C631" s="74">
        <f>Comp1[[#This Row],[Comparable '#1 Price]]/'Comparable #1'!$B$2*100</f>
        <v>97.946611909650926</v>
      </c>
      <c r="D631" s="74">
        <f>Comp2[[#This Row],[Comparable '#2 Price]]/'Comparable #2'!$B$2*100</f>
        <v>64.446680080482892</v>
      </c>
      <c r="E631" s="74">
        <f>Comp3[[#This Row],[Comparable '#3 Price]]/'Comparable #3'!$B$2*100</f>
        <v>78.355089156215357</v>
      </c>
    </row>
    <row r="632" spans="1:5">
      <c r="A632" s="96">
        <v>44201</v>
      </c>
      <c r="B632" s="74">
        <f>Target1[[#This Row],[Target Price]]/Target!$B$2*100</f>
        <v>125.82897033158811</v>
      </c>
      <c r="C632" s="74">
        <f>Comp1[[#This Row],[Comparable '#1 Price]]/'Comparable #1'!$B$2*100</f>
        <v>97.672826830937723</v>
      </c>
      <c r="D632" s="74">
        <f>Comp2[[#This Row],[Comparable '#2 Price]]/'Comparable #2'!$B$2*100</f>
        <v>65.573440643863179</v>
      </c>
      <c r="E632" s="74">
        <f>Comp3[[#This Row],[Comparable '#3 Price]]/'Comparable #3'!$B$2*100</f>
        <v>80.889002644825538</v>
      </c>
    </row>
    <row r="633" spans="1:5">
      <c r="A633" s="96">
        <v>44202</v>
      </c>
      <c r="B633" s="74">
        <f>Target1[[#This Row],[Target Price]]/Target!$B$2*100</f>
        <v>121.5241419429901</v>
      </c>
      <c r="C633" s="74">
        <f>Comp1[[#This Row],[Comparable '#1 Price]]/'Comparable #1'!$B$2*100</f>
        <v>98.288843258042434</v>
      </c>
      <c r="D633" s="74">
        <f>Comp2[[#This Row],[Comparable '#2 Price]]/'Comparable #2'!$B$2*100</f>
        <v>66.720321931589524</v>
      </c>
      <c r="E633" s="74">
        <f>Comp3[[#This Row],[Comparable '#3 Price]]/'Comparable #3'!$B$2*100</f>
        <v>78.235645422745506</v>
      </c>
    </row>
    <row r="634" spans="1:5">
      <c r="A634" s="96">
        <v>44203</v>
      </c>
      <c r="B634" s="74">
        <f>Target1[[#This Row],[Target Price]]/Target!$B$2*100</f>
        <v>126.23618382780685</v>
      </c>
      <c r="C634" s="74">
        <f>Comp1[[#This Row],[Comparable '#1 Price]]/'Comparable #1'!$B$2*100</f>
        <v>97.501711156741948</v>
      </c>
      <c r="D634" s="74">
        <f>Comp2[[#This Row],[Comparable '#2 Price]]/'Comparable #2'!$B$2*100</f>
        <v>66.760563380281695</v>
      </c>
      <c r="E634" s="74">
        <f>Comp3[[#This Row],[Comparable '#3 Price]]/'Comparable #3'!$B$2*100</f>
        <v>76.43545772545005</v>
      </c>
    </row>
    <row r="635" spans="1:5">
      <c r="A635" s="96">
        <v>44204</v>
      </c>
      <c r="B635" s="74">
        <f>Target1[[#This Row],[Target Price]]/Target!$B$2*100</f>
        <v>127.45782431646305</v>
      </c>
      <c r="C635" s="74">
        <f>Comp1[[#This Row],[Comparable '#1 Price]]/'Comparable #1'!$B$2*100</f>
        <v>98.357289527720738</v>
      </c>
      <c r="D635" s="74">
        <f>Comp2[[#This Row],[Comparable '#2 Price]]/'Comparable #2'!$B$2*100</f>
        <v>68.873239436619698</v>
      </c>
      <c r="E635" s="74">
        <f>Comp3[[#This Row],[Comparable '#3 Price]]/'Comparable #3'!$B$2*100</f>
        <v>77.425134374200155</v>
      </c>
    </row>
    <row r="636" spans="1:5">
      <c r="A636" s="96">
        <v>44207</v>
      </c>
      <c r="B636" s="74">
        <f>Target1[[#This Row],[Target Price]]/Target!$B$2*100</f>
        <v>130.07562536358347</v>
      </c>
      <c r="C636" s="74">
        <f>Comp1[[#This Row],[Comparable '#1 Price]]/'Comparable #1'!$B$2*100</f>
        <v>97.912388774811774</v>
      </c>
      <c r="D636" s="74">
        <f>Comp2[[#This Row],[Comparable '#2 Price]]/'Comparable #2'!$B$2*100</f>
        <v>72.112676056338032</v>
      </c>
      <c r="E636" s="74">
        <f>Comp3[[#This Row],[Comparable '#3 Price]]/'Comparable #3'!$B$2*100</f>
        <v>79.558058186161588</v>
      </c>
    </row>
    <row r="637" spans="1:5">
      <c r="A637" s="96">
        <v>44208</v>
      </c>
      <c r="B637" s="74">
        <f>Target1[[#This Row],[Target Price]]/Target!$B$2*100</f>
        <v>132.05351948807444</v>
      </c>
      <c r="C637" s="74">
        <f>Comp1[[#This Row],[Comparable '#1 Price]]/'Comparable #1'!$B$2*100</f>
        <v>98.083504449007535</v>
      </c>
      <c r="D637" s="74">
        <f>Comp2[[#This Row],[Comparable '#2 Price]]/'Comparable #2'!$B$2*100</f>
        <v>73.098591549295762</v>
      </c>
      <c r="E637" s="74">
        <f>Comp3[[#This Row],[Comparable '#3 Price]]/'Comparable #3'!$B$2*100</f>
        <v>77.681085231635521</v>
      </c>
    </row>
    <row r="638" spans="1:5">
      <c r="A638" s="96">
        <v>44209</v>
      </c>
      <c r="B638" s="74">
        <f>Target1[[#This Row],[Target Price]]/Target!$B$2*100</f>
        <v>135.25305410122164</v>
      </c>
      <c r="C638" s="74">
        <f>Comp1[[#This Row],[Comparable '#1 Price]]/'Comparable #1'!$B$2*100</f>
        <v>97.296372347707049</v>
      </c>
      <c r="D638" s="74">
        <f>Comp2[[#This Row],[Comparable '#2 Price]]/'Comparable #2'!$B$2*100</f>
        <v>74.225352112676063</v>
      </c>
      <c r="E638" s="74">
        <f>Comp3[[#This Row],[Comparable '#3 Price]]/'Comparable #3'!$B$2*100</f>
        <v>76.290418906236681</v>
      </c>
    </row>
    <row r="639" spans="1:5">
      <c r="A639" s="96">
        <v>44210</v>
      </c>
      <c r="B639" s="74">
        <f>Target1[[#This Row],[Target Price]]/Target!$B$2*100</f>
        <v>137.87085514834206</v>
      </c>
      <c r="C639" s="74">
        <f>Comp1[[#This Row],[Comparable '#1 Price]]/'Comparable #1'!$B$2*100</f>
        <v>97.604380561259418</v>
      </c>
      <c r="D639" s="74">
        <f>Comp2[[#This Row],[Comparable '#2 Price]]/'Comparable #2'!$B$2*100</f>
        <v>76.519114688128781</v>
      </c>
      <c r="E639" s="74">
        <f>Comp3[[#This Row],[Comparable '#3 Price]]/'Comparable #3'!$B$2*100</f>
        <v>78.227113727497652</v>
      </c>
    </row>
    <row r="640" spans="1:5">
      <c r="A640" s="96">
        <v>44211</v>
      </c>
      <c r="B640" s="74">
        <f>Target1[[#This Row],[Target Price]]/Target!$B$2*100</f>
        <v>138.68528214077952</v>
      </c>
      <c r="C640" s="74">
        <f>Comp1[[#This Row],[Comparable '#1 Price]]/'Comparable #1'!$B$2*100</f>
        <v>97.262149212867911</v>
      </c>
      <c r="D640" s="74">
        <f>Comp2[[#This Row],[Comparable '#2 Price]]/'Comparable #2'!$B$2*100</f>
        <v>74.245472837022135</v>
      </c>
      <c r="E640" s="74">
        <f>Comp3[[#This Row],[Comparable '#3 Price]]/'Comparable #3'!$B$2*100</f>
        <v>79.387424281204673</v>
      </c>
    </row>
    <row r="641" spans="1:5">
      <c r="A641" s="96">
        <v>44215</v>
      </c>
      <c r="B641" s="74">
        <f>Target1[[#This Row],[Target Price]]/Target!$B$2*100</f>
        <v>145.89877835951134</v>
      </c>
      <c r="C641" s="74">
        <f>Comp1[[#This Row],[Comparable '#1 Price]]/'Comparable #1'!$B$2*100</f>
        <v>100.0684462696783</v>
      </c>
      <c r="D641" s="74">
        <f>Comp2[[#This Row],[Comparable '#2 Price]]/'Comparable #2'!$B$2*100</f>
        <v>77.82696177062374</v>
      </c>
      <c r="E641" s="74">
        <f>Comp3[[#This Row],[Comparable '#3 Price]]/'Comparable #3'!$B$2*100</f>
        <v>78.602508318402869</v>
      </c>
    </row>
    <row r="642" spans="1:5">
      <c r="A642" s="96">
        <v>44216</v>
      </c>
      <c r="B642" s="74">
        <f>Target1[[#This Row],[Target Price]]/Target!$B$2*100</f>
        <v>142.00116346713205</v>
      </c>
      <c r="C642" s="74">
        <f>Comp1[[#This Row],[Comparable '#1 Price]]/'Comparable #1'!$B$2*100</f>
        <v>102.05338809034907</v>
      </c>
      <c r="D642" s="74">
        <f>Comp2[[#This Row],[Comparable '#2 Price]]/'Comparable #2'!$B$2*100</f>
        <v>77.203219315895367</v>
      </c>
      <c r="E642" s="74">
        <f>Comp3[[#This Row],[Comparable '#3 Price]]/'Comparable #3'!$B$2*100</f>
        <v>76.529306373176354</v>
      </c>
    </row>
    <row r="643" spans="1:5">
      <c r="A643" s="96">
        <v>44217</v>
      </c>
      <c r="B643" s="74">
        <f>Target1[[#This Row],[Target Price]]/Target!$B$2*100</f>
        <v>143.80453752181498</v>
      </c>
      <c r="C643" s="74">
        <f>Comp1[[#This Row],[Comparable '#1 Price]]/'Comparable #1'!$B$2*100</f>
        <v>98.049281314168383</v>
      </c>
      <c r="D643" s="74">
        <f>Comp2[[#This Row],[Comparable '#2 Price]]/'Comparable #2'!$B$2*100</f>
        <v>77.585513078470825</v>
      </c>
      <c r="E643" s="74">
        <f>Comp3[[#This Row],[Comparable '#3 Price]]/'Comparable #3'!$B$2*100</f>
        <v>77.25450046924324</v>
      </c>
    </row>
    <row r="644" spans="1:5">
      <c r="A644" s="96">
        <v>44218</v>
      </c>
      <c r="B644" s="74">
        <f>Target1[[#This Row],[Target Price]]/Target!$B$2*100</f>
        <v>143.68819080860965</v>
      </c>
      <c r="C644" s="74">
        <f>Comp1[[#This Row],[Comparable '#1 Price]]/'Comparable #1'!$B$2*100</f>
        <v>94.729637234770706</v>
      </c>
      <c r="D644" s="74">
        <f>Comp2[[#This Row],[Comparable '#2 Price]]/'Comparable #2'!$B$2*100</f>
        <v>77.967806841046269</v>
      </c>
      <c r="E644" s="74">
        <f>Comp3[[#This Row],[Comparable '#3 Price]]/'Comparable #3'!$B$2*100</f>
        <v>75.804112277109454</v>
      </c>
    </row>
    <row r="645" spans="1:5">
      <c r="A645" s="96">
        <v>44221</v>
      </c>
      <c r="B645" s="74">
        <f>Target1[[#This Row],[Target Price]]/Target!$B$2*100</f>
        <v>147.35311227457822</v>
      </c>
      <c r="C645" s="74">
        <f>Comp1[[#This Row],[Comparable '#1 Price]]/'Comparable #1'!$B$2*100</f>
        <v>91.923340177960299</v>
      </c>
      <c r="D645" s="74">
        <f>Comp2[[#This Row],[Comparable '#2 Price]]/'Comparable #2'!$B$2*100</f>
        <v>78.470824949698184</v>
      </c>
      <c r="E645" s="74">
        <f>Comp3[[#This Row],[Comparable '#3 Price]]/'Comparable #3'!$B$2*100</f>
        <v>77.629895060148442</v>
      </c>
    </row>
    <row r="646" spans="1:5">
      <c r="A646" s="96">
        <v>44222</v>
      </c>
      <c r="B646" s="74">
        <f>Target1[[#This Row],[Target Price]]/Target!$B$2*100</f>
        <v>151.19255381035484</v>
      </c>
      <c r="C646" s="74">
        <f>Comp1[[#This Row],[Comparable '#1 Price]]/'Comparable #1'!$B$2*100</f>
        <v>94.045174537987691</v>
      </c>
      <c r="D646" s="74">
        <f>Comp2[[#This Row],[Comparable '#2 Price]]/'Comparable #2'!$B$2*100</f>
        <v>79.637826961770614</v>
      </c>
      <c r="E646" s="74">
        <f>Comp3[[#This Row],[Comparable '#3 Price]]/'Comparable #3'!$B$2*100</f>
        <v>75.855302448596547</v>
      </c>
    </row>
    <row r="647" spans="1:5">
      <c r="A647" s="96">
        <v>44223</v>
      </c>
      <c r="B647" s="74">
        <f>Target1[[#This Row],[Target Price]]/Target!$B$2*100</f>
        <v>144.67713787085515</v>
      </c>
      <c r="C647" s="74">
        <f>Comp1[[#This Row],[Comparable '#1 Price]]/'Comparable #1'!$B$2*100</f>
        <v>91.444216290212182</v>
      </c>
      <c r="D647" s="74">
        <f>Comp2[[#This Row],[Comparable '#2 Price]]/'Comparable #2'!$B$2*100</f>
        <v>79.376257545271628</v>
      </c>
      <c r="E647" s="74">
        <f>Comp3[[#This Row],[Comparable '#3 Price]]/'Comparable #3'!$B$2*100</f>
        <v>75.991809572562062</v>
      </c>
    </row>
    <row r="648" spans="1:5">
      <c r="A648" s="96">
        <v>44224</v>
      </c>
      <c r="B648" s="74">
        <f>Target1[[#This Row],[Target Price]]/Target!$B$2*100</f>
        <v>139.79057591623035</v>
      </c>
      <c r="C648" s="74">
        <f>Comp1[[#This Row],[Comparable '#1 Price]]/'Comparable #1'!$B$2*100</f>
        <v>90.691307323750863</v>
      </c>
      <c r="D648" s="74">
        <f>Comp2[[#This Row],[Comparable '#2 Price]]/'Comparable #2'!$B$2*100</f>
        <v>78.148893360160969</v>
      </c>
      <c r="E648" s="74">
        <f>Comp3[[#This Row],[Comparable '#3 Price]]/'Comparable #3'!$B$2*100</f>
        <v>73.901544236839868</v>
      </c>
    </row>
    <row r="649" spans="1:5">
      <c r="A649" s="96">
        <v>44225</v>
      </c>
      <c r="B649" s="74">
        <f>Target1[[#This Row],[Target Price]]/Target!$B$2*100</f>
        <v>149.79639325189063</v>
      </c>
      <c r="C649" s="74">
        <f>Comp1[[#This Row],[Comparable '#1 Price]]/'Comparable #1'!$B$2*100</f>
        <v>89.048596851471601</v>
      </c>
      <c r="D649" s="74">
        <f>Comp2[[#This Row],[Comparable '#2 Price]]/'Comparable #2'!$B$2*100</f>
        <v>77.645875251509054</v>
      </c>
      <c r="E649" s="74">
        <f>Comp3[[#This Row],[Comparable '#3 Price]]/'Comparable #3'!$B$2*100</f>
        <v>75.39459090521288</v>
      </c>
    </row>
    <row r="650" spans="1:5">
      <c r="A650" s="96">
        <v>44228</v>
      </c>
      <c r="B650" s="74">
        <f>Target1[[#This Row],[Target Price]]/Target!$B$2*100</f>
        <v>157.99883653286793</v>
      </c>
      <c r="C650" s="74">
        <f>Comp1[[#This Row],[Comparable '#1 Price]]/'Comparable #1'!$B$2*100</f>
        <v>93.018480492813154</v>
      </c>
      <c r="D650" s="74">
        <f>Comp2[[#This Row],[Comparable '#2 Price]]/'Comparable #2'!$B$2*100</f>
        <v>78.732394366197184</v>
      </c>
      <c r="E650" s="74">
        <f>Comp3[[#This Row],[Comparable '#3 Price]]/'Comparable #3'!$B$2*100</f>
        <v>77.0412080880471</v>
      </c>
    </row>
    <row r="651" spans="1:5">
      <c r="A651" s="96">
        <v>44229</v>
      </c>
      <c r="B651" s="74">
        <f>Target1[[#This Row],[Target Price]]/Target!$B$2*100</f>
        <v>158.92961023851075</v>
      </c>
      <c r="C651" s="74">
        <f>Comp1[[#This Row],[Comparable '#1 Price]]/'Comparable #1'!$B$2*100</f>
        <v>93.223819301848039</v>
      </c>
      <c r="D651" s="74">
        <f>Comp2[[#This Row],[Comparable '#2 Price]]/'Comparable #2'!$B$2*100</f>
        <v>81.307847082494959</v>
      </c>
      <c r="E651" s="74">
        <f>Comp3[[#This Row],[Comparable '#3 Price]]/'Comparable #3'!$B$2*100</f>
        <v>78.235645422745506</v>
      </c>
    </row>
    <row r="652" spans="1:5">
      <c r="A652" s="96">
        <v>44230</v>
      </c>
      <c r="B652" s="74">
        <f>Target1[[#This Row],[Target Price]]/Target!$B$2*100</f>
        <v>161.2565445026178</v>
      </c>
      <c r="C652" s="74">
        <f>Comp1[[#This Row],[Comparable '#1 Price]]/'Comparable #1'!$B$2*100</f>
        <v>96.030116358658461</v>
      </c>
      <c r="D652" s="74">
        <f>Comp2[[#This Row],[Comparable '#2 Price]]/'Comparable #2'!$B$2*100</f>
        <v>78.792756539235398</v>
      </c>
      <c r="E652" s="74">
        <f>Comp3[[#This Row],[Comparable '#3 Price]]/'Comparable #3'!$B$2*100</f>
        <v>75.863834143844386</v>
      </c>
    </row>
    <row r="653" spans="1:5">
      <c r="A653" s="96">
        <v>44231</v>
      </c>
      <c r="B653" s="74">
        <f>Target1[[#This Row],[Target Price]]/Target!$B$2*100</f>
        <v>158.40605002908669</v>
      </c>
      <c r="C653" s="74">
        <f>Comp1[[#This Row],[Comparable '#1 Price]]/'Comparable #1'!$B$2*100</f>
        <v>95.824777549623548</v>
      </c>
      <c r="D653" s="74">
        <f>Comp2[[#This Row],[Comparable '#2 Price]]/'Comparable #2'!$B$2*100</f>
        <v>79.557344064386314</v>
      </c>
      <c r="E653" s="74">
        <f>Comp3[[#This Row],[Comparable '#3 Price]]/'Comparable #3'!$B$2*100</f>
        <v>76.870574183090184</v>
      </c>
    </row>
    <row r="654" spans="1:5">
      <c r="A654" s="96">
        <v>44232</v>
      </c>
      <c r="B654" s="74">
        <f>Target1[[#This Row],[Target Price]]/Target!$B$2*100</f>
        <v>158.34787667248398</v>
      </c>
      <c r="C654" s="74">
        <f>Comp1[[#This Row],[Comparable '#1 Price]]/'Comparable #1'!$B$2*100</f>
        <v>95.687885010266953</v>
      </c>
      <c r="D654" s="74">
        <f>Comp2[[#This Row],[Comparable '#2 Price]]/'Comparable #2'!$B$2*100</f>
        <v>79.476861167002014</v>
      </c>
      <c r="E654" s="74">
        <f>Comp3[[#This Row],[Comparable '#3 Price]]/'Comparable #3'!$B$2*100</f>
        <v>77.135056735773404</v>
      </c>
    </row>
    <row r="655" spans="1:5">
      <c r="A655" s="96">
        <v>44235</v>
      </c>
      <c r="B655" s="74">
        <f>Target1[[#This Row],[Target Price]]/Target!$B$2*100</f>
        <v>161.08202443280976</v>
      </c>
      <c r="C655" s="74">
        <f>Comp1[[#This Row],[Comparable '#1 Price]]/'Comparable #1'!$B$2*100</f>
        <v>99.452429842573579</v>
      </c>
      <c r="D655" s="74">
        <f>Comp2[[#This Row],[Comparable '#2 Price]]/'Comparable #2'!$B$2*100</f>
        <v>83.581488933601605</v>
      </c>
      <c r="E655" s="74">
        <f>Comp3[[#This Row],[Comparable '#3 Price]]/'Comparable #3'!$B$2*100</f>
        <v>80.445354491937564</v>
      </c>
    </row>
    <row r="656" spans="1:5">
      <c r="A656" s="96">
        <v>44236</v>
      </c>
      <c r="B656" s="74">
        <f>Target1[[#This Row],[Target Price]]/Target!$B$2*100</f>
        <v>163.81617219313554</v>
      </c>
      <c r="C656" s="74">
        <f>Comp1[[#This Row],[Comparable '#1 Price]]/'Comparable #1'!$B$2*100</f>
        <v>99.589322381930188</v>
      </c>
      <c r="D656" s="74">
        <f>Comp2[[#This Row],[Comparable '#2 Price]]/'Comparable #2'!$B$2*100</f>
        <v>83.098591549295762</v>
      </c>
      <c r="E656" s="74">
        <f>Comp3[[#This Row],[Comparable '#3 Price]]/'Comparable #3'!$B$2*100</f>
        <v>80.325910758467714</v>
      </c>
    </row>
    <row r="657" spans="1:5">
      <c r="A657" s="96">
        <v>44237</v>
      </c>
      <c r="B657" s="74">
        <f>Target1[[#This Row],[Target Price]]/Target!$B$2*100</f>
        <v>166.20127981384525</v>
      </c>
      <c r="C657" s="74">
        <f>Comp1[[#This Row],[Comparable '#1 Price]]/'Comparable #1'!$B$2*100</f>
        <v>99.383983572895275</v>
      </c>
      <c r="D657" s="74">
        <f>Comp2[[#This Row],[Comparable '#2 Price]]/'Comparable #2'!$B$2*100</f>
        <v>82.676056338028175</v>
      </c>
      <c r="E657" s="74">
        <f>Comp3[[#This Row],[Comparable '#3 Price]]/'Comparable #3'!$B$2*100</f>
        <v>81.255865540482901</v>
      </c>
    </row>
    <row r="658" spans="1:5">
      <c r="A658" s="96">
        <v>44238</v>
      </c>
      <c r="B658" s="74">
        <f>Target1[[#This Row],[Target Price]]/Target!$B$2*100</f>
        <v>165.50319953461312</v>
      </c>
      <c r="C658" s="74">
        <f>Comp1[[#This Row],[Comparable '#1 Price]]/'Comparable #1'!$B$2*100</f>
        <v>100.10266940451746</v>
      </c>
      <c r="D658" s="74">
        <f>Comp2[[#This Row],[Comparable '#2 Price]]/'Comparable #2'!$B$2*100</f>
        <v>82.092555331991946</v>
      </c>
      <c r="E658" s="74">
        <f>Comp3[[#This Row],[Comparable '#3 Price]]/'Comparable #3'!$B$2*100</f>
        <v>82.091971674771784</v>
      </c>
    </row>
    <row r="659" spans="1:5">
      <c r="A659" s="96">
        <v>44239</v>
      </c>
      <c r="B659" s="74">
        <f>Target1[[#This Row],[Target Price]]/Target!$B$2*100</f>
        <v>164.45607911576496</v>
      </c>
      <c r="C659" s="74">
        <f>Comp1[[#This Row],[Comparable '#1 Price]]/'Comparable #1'!$B$2*100</f>
        <v>99.657768651608492</v>
      </c>
      <c r="D659" s="74">
        <f>Comp2[[#This Row],[Comparable '#2 Price]]/'Comparable #2'!$B$2*100</f>
        <v>81.81086519114686</v>
      </c>
      <c r="E659" s="74">
        <f>Comp3[[#This Row],[Comparable '#3 Price]]/'Comparable #3'!$B$2*100</f>
        <v>80.547734834911694</v>
      </c>
    </row>
    <row r="660" spans="1:5">
      <c r="A660" s="96">
        <v>44243</v>
      </c>
      <c r="B660" s="74">
        <f>Target1[[#This Row],[Target Price]]/Target!$B$2*100</f>
        <v>159.22047702152412</v>
      </c>
      <c r="C660" s="74">
        <f>Comp1[[#This Row],[Comparable '#1 Price]]/'Comparable #1'!$B$2*100</f>
        <v>98.904859685147159</v>
      </c>
      <c r="D660" s="74">
        <f>Comp2[[#This Row],[Comparable '#2 Price]]/'Comparable #2'!$B$2*100</f>
        <v>78.370221327967798</v>
      </c>
      <c r="E660" s="74">
        <f>Comp3[[#This Row],[Comparable '#3 Price]]/'Comparable #3'!$B$2*100</f>
        <v>79.447146147939605</v>
      </c>
    </row>
    <row r="661" spans="1:5">
      <c r="A661" s="96">
        <v>44244</v>
      </c>
      <c r="B661" s="74">
        <f>Target1[[#This Row],[Target Price]]/Target!$B$2*100</f>
        <v>152.64688772542175</v>
      </c>
      <c r="C661" s="74">
        <f>Comp1[[#This Row],[Comparable '#1 Price]]/'Comparable #1'!$B$2*100</f>
        <v>98.562628336755651</v>
      </c>
      <c r="D661" s="74">
        <f>Comp2[[#This Row],[Comparable '#2 Price]]/'Comparable #2'!$B$2*100</f>
        <v>79.979879275653914</v>
      </c>
      <c r="E661" s="74">
        <f>Comp3[[#This Row],[Comparable '#3 Price]]/'Comparable #3'!$B$2*100</f>
        <v>78.849927480590395</v>
      </c>
    </row>
    <row r="662" spans="1:5">
      <c r="A662" s="96">
        <v>44245</v>
      </c>
      <c r="B662" s="74">
        <f>Target1[[#This Row],[Target Price]]/Target!$B$2*100</f>
        <v>153.2867946480512</v>
      </c>
      <c r="C662" s="74">
        <f>Comp1[[#This Row],[Comparable '#1 Price]]/'Comparable #1'!$B$2*100</f>
        <v>99.24709103353868</v>
      </c>
      <c r="D662" s="74">
        <f>Comp2[[#This Row],[Comparable '#2 Price]]/'Comparable #2'!$B$2*100</f>
        <v>81.75050301810866</v>
      </c>
      <c r="E662" s="74">
        <f>Comp3[[#This Row],[Comparable '#3 Price]]/'Comparable #3'!$B$2*100</f>
        <v>80.829280778090606</v>
      </c>
    </row>
    <row r="663" spans="1:5">
      <c r="A663" s="96">
        <v>44246</v>
      </c>
      <c r="B663" s="74">
        <f>Target1[[#This Row],[Target Price]]/Target!$B$2*100</f>
        <v>148.69109947643977</v>
      </c>
      <c r="C663" s="74">
        <f>Comp1[[#This Row],[Comparable '#1 Price]]/'Comparable #1'!$B$2*100</f>
        <v>99.931553730321696</v>
      </c>
      <c r="D663" s="74">
        <f>Comp2[[#This Row],[Comparable '#2 Price]]/'Comparable #2'!$B$2*100</f>
        <v>83.15895372233399</v>
      </c>
      <c r="E663" s="74">
        <f>Comp3[[#This Row],[Comparable '#3 Price]]/'Comparable #3'!$B$2*100</f>
        <v>80.385632625202632</v>
      </c>
    </row>
    <row r="664" spans="1:5">
      <c r="A664" s="96">
        <v>44249</v>
      </c>
      <c r="B664" s="74">
        <f>Target1[[#This Row],[Target Price]]/Target!$B$2*100</f>
        <v>145.84060500290866</v>
      </c>
      <c r="C664" s="74">
        <f>Comp1[[#This Row],[Comparable '#1 Price]]/'Comparable #1'!$B$2*100</f>
        <v>98.220396988364129</v>
      </c>
      <c r="D664" s="74">
        <f>Comp2[[#This Row],[Comparable '#2 Price]]/'Comparable #2'!$B$2*100</f>
        <v>82.696177062374247</v>
      </c>
      <c r="E664" s="74">
        <f>Comp3[[#This Row],[Comparable '#3 Price]]/'Comparable #3'!$B$2*100</f>
        <v>77.356880812217383</v>
      </c>
    </row>
    <row r="665" spans="1:5">
      <c r="A665" s="96">
        <v>44250</v>
      </c>
      <c r="B665" s="74">
        <f>Target1[[#This Row],[Target Price]]/Target!$B$2*100</f>
        <v>143.80453752181498</v>
      </c>
      <c r="C665" s="74">
        <f>Comp1[[#This Row],[Comparable '#1 Price]]/'Comparable #1'!$B$2*100</f>
        <v>98.220396988364129</v>
      </c>
      <c r="D665" s="74">
        <f>Comp2[[#This Row],[Comparable '#2 Price]]/'Comparable #2'!$B$2*100</f>
        <v>81.73038229376256</v>
      </c>
      <c r="E665" s="74">
        <f>Comp3[[#This Row],[Comparable '#3 Price]]/'Comparable #3'!$B$2*100</f>
        <v>79.233853766743451</v>
      </c>
    </row>
    <row r="666" spans="1:5">
      <c r="A666" s="96">
        <v>44251</v>
      </c>
      <c r="B666" s="74">
        <f>Target1[[#This Row],[Target Price]]/Target!$B$2*100</f>
        <v>146.53868528214079</v>
      </c>
      <c r="C666" s="74">
        <f>Comp1[[#This Row],[Comparable '#1 Price]]/'Comparable #1'!$B$2*100</f>
        <v>101.43737166324436</v>
      </c>
      <c r="D666" s="74">
        <f>Comp2[[#This Row],[Comparable '#2 Price]]/'Comparable #2'!$B$2*100</f>
        <v>83.15895372233399</v>
      </c>
      <c r="E666" s="74">
        <f>Comp3[[#This Row],[Comparable '#3 Price]]/'Comparable #3'!$B$2*100</f>
        <v>80.138213463015106</v>
      </c>
    </row>
    <row r="667" spans="1:5">
      <c r="A667" s="96">
        <v>44252</v>
      </c>
      <c r="B667" s="74">
        <f>Target1[[#This Row],[Target Price]]/Target!$B$2*100</f>
        <v>145.95695171611399</v>
      </c>
      <c r="C667" s="74">
        <f>Comp1[[#This Row],[Comparable '#1 Price]]/'Comparable #1'!$B$2*100</f>
        <v>94.045174537987691</v>
      </c>
      <c r="D667" s="74">
        <f>Comp2[[#This Row],[Comparable '#2 Price]]/'Comparable #2'!$B$2*100</f>
        <v>79.818913480885314</v>
      </c>
      <c r="E667" s="74">
        <f>Comp3[[#This Row],[Comparable '#3 Price]]/'Comparable #3'!$B$2*100</f>
        <v>77.186246907260482</v>
      </c>
    </row>
    <row r="668" spans="1:5">
      <c r="A668" s="96">
        <v>44253</v>
      </c>
      <c r="B668" s="74">
        <f>Target1[[#This Row],[Target Price]]/Target!$B$2*100</f>
        <v>139.90692262943571</v>
      </c>
      <c r="C668" s="74">
        <f>Comp1[[#This Row],[Comparable '#1 Price]]/'Comparable #1'!$B$2*100</f>
        <v>94.113620807665981</v>
      </c>
      <c r="D668" s="74">
        <f>Comp2[[#This Row],[Comparable '#2 Price]]/'Comparable #2'!$B$2*100</f>
        <v>79.07444668008047</v>
      </c>
      <c r="E668" s="74">
        <f>Comp3[[#This Row],[Comparable '#3 Price]]/'Comparable #3'!$B$2*100</f>
        <v>77.570173193413538</v>
      </c>
    </row>
    <row r="669" spans="1:5">
      <c r="A669" s="96">
        <v>44256</v>
      </c>
      <c r="B669" s="74">
        <f>Target1[[#This Row],[Target Price]]/Target!$B$2*100</f>
        <v>147.35311227457822</v>
      </c>
      <c r="C669" s="74">
        <f>Comp1[[#This Row],[Comparable '#1 Price]]/'Comparable #1'!$B$2*100</f>
        <v>92.813141683778241</v>
      </c>
      <c r="D669" s="74">
        <f>Comp2[[#This Row],[Comparable '#2 Price]]/'Comparable #2'!$B$2*100</f>
        <v>78.450704225352112</v>
      </c>
      <c r="E669" s="74">
        <f>Comp3[[#This Row],[Comparable '#3 Price]]/'Comparable #3'!$B$2*100</f>
        <v>73.790632198617871</v>
      </c>
    </row>
    <row r="670" spans="1:5">
      <c r="A670" s="96">
        <v>44257</v>
      </c>
      <c r="B670" s="74">
        <f>Target1[[#This Row],[Target Price]]/Target!$B$2*100</f>
        <v>140.37230948225712</v>
      </c>
      <c r="C670" s="74">
        <f>Comp1[[#This Row],[Comparable '#1 Price]]/'Comparable #1'!$B$2*100</f>
        <v>94.182067077344286</v>
      </c>
      <c r="D670" s="74">
        <f>Comp2[[#This Row],[Comparable '#2 Price]]/'Comparable #2'!$B$2*100</f>
        <v>77.162977867203224</v>
      </c>
      <c r="E670" s="74">
        <f>Comp3[[#This Row],[Comparable '#3 Price]]/'Comparable #3'!$B$2*100</f>
        <v>68.006142820578447</v>
      </c>
    </row>
    <row r="671" spans="1:5">
      <c r="A671" s="96">
        <v>44258</v>
      </c>
      <c r="B671" s="74">
        <f>Target1[[#This Row],[Target Price]]/Target!$B$2*100</f>
        <v>140.48865619546248</v>
      </c>
      <c r="C671" s="74">
        <f>Comp1[[#This Row],[Comparable '#1 Price]]/'Comparable #1'!$B$2*100</f>
        <v>89.80150581793292</v>
      </c>
      <c r="D671" s="74">
        <f>Comp2[[#This Row],[Comparable '#2 Price]]/'Comparable #2'!$B$2*100</f>
        <v>77.062374245472824</v>
      </c>
      <c r="E671" s="74">
        <f>Comp3[[#This Row],[Comparable '#3 Price]]/'Comparable #3'!$B$2*100</f>
        <v>67.451582629468476</v>
      </c>
    </row>
    <row r="672" spans="1:5">
      <c r="A672" s="96">
        <v>44259</v>
      </c>
      <c r="B672" s="74">
        <f>Target1[[#This Row],[Target Price]]/Target!$B$2*100</f>
        <v>141.71029668411865</v>
      </c>
      <c r="C672" s="74">
        <f>Comp1[[#This Row],[Comparable '#1 Price]]/'Comparable #1'!$B$2*100</f>
        <v>93.018480492813154</v>
      </c>
      <c r="D672" s="74">
        <f>Comp2[[#This Row],[Comparable '#2 Price]]/'Comparable #2'!$B$2*100</f>
        <v>76.498993963782709</v>
      </c>
      <c r="E672" s="74">
        <f>Comp3[[#This Row],[Comparable '#3 Price]]/'Comparable #3'!$B$2*100</f>
        <v>68.833717259619505</v>
      </c>
    </row>
    <row r="673" spans="1:5">
      <c r="A673" s="96">
        <v>44260</v>
      </c>
      <c r="B673" s="74">
        <f>Target1[[#This Row],[Target Price]]/Target!$B$2*100</f>
        <v>144.21175101803371</v>
      </c>
      <c r="C673" s="74">
        <f>Comp1[[#This Row],[Comparable '#1 Price]]/'Comparable #1'!$B$2*100</f>
        <v>95.345653661875431</v>
      </c>
      <c r="D673" s="74">
        <f>Comp2[[#This Row],[Comparable '#2 Price]]/'Comparable #2'!$B$2*100</f>
        <v>78.068410462776654</v>
      </c>
      <c r="E673" s="74">
        <f>Comp3[[#This Row],[Comparable '#3 Price]]/'Comparable #3'!$B$2*100</f>
        <v>68.765463697636719</v>
      </c>
    </row>
    <row r="674" spans="1:5">
      <c r="A674" s="96">
        <v>44263</v>
      </c>
      <c r="B674" s="74">
        <f>Target1[[#This Row],[Target Price]]/Target!$B$2*100</f>
        <v>137.28912158231529</v>
      </c>
      <c r="C674" s="74">
        <f>Comp1[[#This Row],[Comparable '#1 Price]]/'Comparable #1'!$B$2*100</f>
        <v>94.592744695414112</v>
      </c>
      <c r="D674" s="74">
        <f>Comp2[[#This Row],[Comparable '#2 Price]]/'Comparable #2'!$B$2*100</f>
        <v>77.162977867203224</v>
      </c>
      <c r="E674" s="74">
        <f>Comp3[[#This Row],[Comparable '#3 Price]]/'Comparable #3'!$B$2*100</f>
        <v>71.24818701475985</v>
      </c>
    </row>
    <row r="675" spans="1:5">
      <c r="A675" s="96">
        <v>44264</v>
      </c>
      <c r="B675" s="74">
        <f>Target1[[#This Row],[Target Price]]/Target!$B$2*100</f>
        <v>141.18673647469458</v>
      </c>
      <c r="C675" s="74">
        <f>Comp1[[#This Row],[Comparable '#1 Price]]/'Comparable #1'!$B$2*100</f>
        <v>94.387405886379199</v>
      </c>
      <c r="D675" s="74">
        <f>Comp2[[#This Row],[Comparable '#2 Price]]/'Comparable #2'!$B$2*100</f>
        <v>79.496981891348085</v>
      </c>
      <c r="E675" s="74">
        <f>Comp3[[#This Row],[Comparable '#3 Price]]/'Comparable #3'!$B$2*100</f>
        <v>70.73628529988909</v>
      </c>
    </row>
    <row r="676" spans="1:5">
      <c r="A676" s="96">
        <v>44265</v>
      </c>
      <c r="B676" s="74">
        <f>Target1[[#This Row],[Target Price]]/Target!$B$2*100</f>
        <v>144.50261780104711</v>
      </c>
      <c r="C676" s="74">
        <f>Comp1[[#This Row],[Comparable '#1 Price]]/'Comparable #1'!$B$2*100</f>
        <v>95.277207392197127</v>
      </c>
      <c r="D676" s="74">
        <f>Comp2[[#This Row],[Comparable '#2 Price]]/'Comparable #2'!$B$2*100</f>
        <v>78.913480885311856</v>
      </c>
      <c r="E676" s="74">
        <f>Comp3[[#This Row],[Comparable '#3 Price]]/'Comparable #3'!$B$2*100</f>
        <v>71.512669567443041</v>
      </c>
    </row>
    <row r="677" spans="1:5">
      <c r="A677" s="96">
        <v>44266</v>
      </c>
      <c r="B677" s="74">
        <f>Target1[[#This Row],[Target Price]]/Target!$B$2*100</f>
        <v>157.53344968004652</v>
      </c>
      <c r="C677" s="74">
        <f>Comp1[[#This Row],[Comparable '#1 Price]]/'Comparable #1'!$B$2*100</f>
        <v>98.220396988364129</v>
      </c>
      <c r="D677" s="74">
        <f>Comp2[[#This Row],[Comparable '#2 Price]]/'Comparable #2'!$B$2*100</f>
        <v>80.724346076458744</v>
      </c>
      <c r="E677" s="74">
        <f>Comp3[[#This Row],[Comparable '#3 Price]]/'Comparable #3'!$B$2*100</f>
        <v>74.558484770923982</v>
      </c>
    </row>
    <row r="678" spans="1:5">
      <c r="A678" s="96">
        <v>44267</v>
      </c>
      <c r="B678" s="74">
        <f>Target1[[#This Row],[Target Price]]/Target!$B$2*100</f>
        <v>167.13205351948807</v>
      </c>
      <c r="C678" s="74">
        <f>Comp1[[#This Row],[Comparable '#1 Price]]/'Comparable #1'!$B$2*100</f>
        <v>99.657768651608492</v>
      </c>
      <c r="D678" s="74">
        <f>Comp2[[#This Row],[Comparable '#2 Price]]/'Comparable #2'!$B$2*100</f>
        <v>83.883299798792748</v>
      </c>
      <c r="E678" s="74">
        <f>Comp3[[#This Row],[Comparable '#3 Price]]/'Comparable #3'!$B$2*100</f>
        <v>75.795580581861628</v>
      </c>
    </row>
    <row r="679" spans="1:5">
      <c r="A679" s="96">
        <v>44270</v>
      </c>
      <c r="B679" s="74">
        <f>Target1[[#This Row],[Target Price]]/Target!$B$2*100</f>
        <v>164.28155904595693</v>
      </c>
      <c r="C679" s="74">
        <f>Comp1[[#This Row],[Comparable '#1 Price]]/'Comparable #1'!$B$2*100</f>
        <v>98.631074606433955</v>
      </c>
      <c r="D679" s="74">
        <f>Comp2[[#This Row],[Comparable '#2 Price]]/'Comparable #2'!$B$2*100</f>
        <v>83.038229376257547</v>
      </c>
      <c r="E679" s="74">
        <f>Comp3[[#This Row],[Comparable '#3 Price]]/'Comparable #3'!$B$2*100</f>
        <v>74.950942752324892</v>
      </c>
    </row>
    <row r="680" spans="1:5">
      <c r="A680" s="96">
        <v>44271</v>
      </c>
      <c r="B680" s="74">
        <f>Target1[[#This Row],[Target Price]]/Target!$B$2*100</f>
        <v>166.14310645724257</v>
      </c>
      <c r="C680" s="74">
        <f>Comp1[[#This Row],[Comparable '#1 Price]]/'Comparable #1'!$B$2*100</f>
        <v>97.125256673511302</v>
      </c>
      <c r="D680" s="74">
        <f>Comp2[[#This Row],[Comparable '#2 Price]]/'Comparable #2'!$B$2*100</f>
        <v>81.368209255533188</v>
      </c>
      <c r="E680" s="74">
        <f>Comp3[[#This Row],[Comparable '#3 Price]]/'Comparable #3'!$B$2*100</f>
        <v>73.773568808122178</v>
      </c>
    </row>
    <row r="681" spans="1:5">
      <c r="A681" s="96">
        <v>44272</v>
      </c>
      <c r="B681" s="74">
        <f>Target1[[#This Row],[Target Price]]/Target!$B$2*100</f>
        <v>163.81617219313554</v>
      </c>
      <c r="C681" s="74">
        <f>Comp1[[#This Row],[Comparable '#1 Price]]/'Comparable #1'!$B$2*100</f>
        <v>97.056810403832998</v>
      </c>
      <c r="D681" s="74">
        <f>Comp2[[#This Row],[Comparable '#2 Price]]/'Comparable #2'!$B$2*100</f>
        <v>82.434607645875246</v>
      </c>
      <c r="E681" s="74">
        <f>Comp3[[#This Row],[Comparable '#3 Price]]/'Comparable #3'!$B$2*100</f>
        <v>74.822967323607202</v>
      </c>
    </row>
    <row r="682" spans="1:5">
      <c r="A682" s="96">
        <v>44273</v>
      </c>
      <c r="B682" s="74">
        <f>Target1[[#This Row],[Target Price]]/Target!$B$2*100</f>
        <v>161.08202443280976</v>
      </c>
      <c r="C682" s="74">
        <f>Comp1[[#This Row],[Comparable '#1 Price]]/'Comparable #1'!$B$2*100</f>
        <v>97.330595482546215</v>
      </c>
      <c r="D682" s="74">
        <f>Comp2[[#This Row],[Comparable '#2 Price]]/'Comparable #2'!$B$2*100</f>
        <v>82.25352112676056</v>
      </c>
      <c r="E682" s="74">
        <f>Comp3[[#This Row],[Comparable '#3 Price]]/'Comparable #3'!$B$2*100</f>
        <v>74.370787475471374</v>
      </c>
    </row>
    <row r="683" spans="1:5">
      <c r="A683" s="96">
        <v>44274</v>
      </c>
      <c r="B683" s="74">
        <f>Target1[[#This Row],[Target Price]]/Target!$B$2*100</f>
        <v>164.04886561954623</v>
      </c>
      <c r="C683" s="74">
        <f>Comp1[[#This Row],[Comparable '#1 Price]]/'Comparable #1'!$B$2*100</f>
        <v>96.885694729637237</v>
      </c>
      <c r="D683" s="74">
        <f>Comp2[[#This Row],[Comparable '#2 Price]]/'Comparable #2'!$B$2*100</f>
        <v>83.360160965794762</v>
      </c>
      <c r="E683" s="74">
        <f>Comp3[[#This Row],[Comparable '#3 Price]]/'Comparable #3'!$B$2*100</f>
        <v>74.669396809145979</v>
      </c>
    </row>
    <row r="684" spans="1:5">
      <c r="A684" s="96">
        <v>44277</v>
      </c>
      <c r="B684" s="74">
        <f>Target1[[#This Row],[Target Price]]/Target!$B$2*100</f>
        <v>167.36474694589876</v>
      </c>
      <c r="C684" s="74">
        <f>Comp1[[#This Row],[Comparable '#1 Price]]/'Comparable #1'!$B$2*100</f>
        <v>96.440793976728273</v>
      </c>
      <c r="D684" s="74">
        <f>Comp2[[#This Row],[Comparable '#2 Price]]/'Comparable #2'!$B$2*100</f>
        <v>82.535211267605632</v>
      </c>
      <c r="E684" s="74">
        <f>Comp3[[#This Row],[Comparable '#3 Price]]/'Comparable #3'!$B$2*100</f>
        <v>73.031311321559585</v>
      </c>
    </row>
    <row r="685" spans="1:5">
      <c r="A685" s="96">
        <v>44278</v>
      </c>
      <c r="B685" s="74">
        <f>Target1[[#This Row],[Target Price]]/Target!$B$2*100</f>
        <v>165.15415939499709</v>
      </c>
      <c r="C685" s="74">
        <f>Comp1[[#This Row],[Comparable '#1 Price]]/'Comparable #1'!$B$2*100</f>
        <v>93.976728268309387</v>
      </c>
      <c r="D685" s="74">
        <f>Comp2[[#This Row],[Comparable '#2 Price]]/'Comparable #2'!$B$2*100</f>
        <v>77.927565392354111</v>
      </c>
      <c r="E685" s="74">
        <f>Comp3[[#This Row],[Comparable '#3 Price]]/'Comparable #3'!$B$2*100</f>
        <v>74.737650371128737</v>
      </c>
    </row>
    <row r="686" spans="1:5">
      <c r="A686" s="96">
        <v>44279</v>
      </c>
      <c r="B686" s="74">
        <f>Target1[[#This Row],[Target Price]]/Target!$B$2*100</f>
        <v>164.22338568935427</v>
      </c>
      <c r="C686" s="74">
        <f>Comp1[[#This Row],[Comparable '#1 Price]]/'Comparable #1'!$B$2*100</f>
        <v>93.292265571526357</v>
      </c>
      <c r="D686" s="74">
        <f>Comp2[[#This Row],[Comparable '#2 Price]]/'Comparable #2'!$B$2*100</f>
        <v>77.545271629778668</v>
      </c>
      <c r="E686" s="74">
        <f>Comp3[[#This Row],[Comparable '#3 Price]]/'Comparable #3'!$B$2*100</f>
        <v>76.102721610784073</v>
      </c>
    </row>
    <row r="687" spans="1:5">
      <c r="A687" s="96">
        <v>44280</v>
      </c>
      <c r="B687" s="74">
        <f>Target1[[#This Row],[Target Price]]/Target!$B$2*100</f>
        <v>179.75567190226874</v>
      </c>
      <c r="C687" s="74">
        <f>Comp1[[#This Row],[Comparable '#1 Price]]/'Comparable #1'!$B$2*100</f>
        <v>93.018480492813154</v>
      </c>
      <c r="D687" s="74">
        <f>Comp2[[#This Row],[Comparable '#2 Price]]/'Comparable #2'!$B$2*100</f>
        <v>80.603621730382287</v>
      </c>
      <c r="E687" s="74">
        <f>Comp3[[#This Row],[Comparable '#3 Price]]/'Comparable #3'!$B$2*100</f>
        <v>78.67929357563348</v>
      </c>
    </row>
    <row r="688" spans="1:5">
      <c r="A688" s="96">
        <v>44281</v>
      </c>
      <c r="B688" s="74">
        <f>Target1[[#This Row],[Target Price]]/Target!$B$2*100</f>
        <v>181.50087260034903</v>
      </c>
      <c r="C688" s="74">
        <f>Comp1[[#This Row],[Comparable '#1 Price]]/'Comparable #1'!$B$2*100</f>
        <v>95.550992470910344</v>
      </c>
      <c r="D688" s="74">
        <f>Comp2[[#This Row],[Comparable '#2 Price]]/'Comparable #2'!$B$2*100</f>
        <v>82.334004024144875</v>
      </c>
      <c r="E688" s="74">
        <f>Comp3[[#This Row],[Comparable '#3 Price]]/'Comparable #3'!$B$2*100</f>
        <v>79.438614452691752</v>
      </c>
    </row>
    <row r="689" spans="1:5">
      <c r="A689" s="96">
        <v>44284</v>
      </c>
      <c r="B689" s="74">
        <f>Target1[[#This Row],[Target Price]]/Target!$B$2*100</f>
        <v>168.99360093077368</v>
      </c>
      <c r="C689" s="74">
        <f>Comp1[[#This Row],[Comparable '#1 Price]]/'Comparable #1'!$B$2*100</f>
        <v>93.292265571526357</v>
      </c>
      <c r="D689" s="74">
        <f>Comp2[[#This Row],[Comparable '#2 Price]]/'Comparable #2'!$B$2*100</f>
        <v>79.315895372233399</v>
      </c>
      <c r="E689" s="74">
        <f>Comp3[[#This Row],[Comparable '#3 Price]]/'Comparable #3'!$B$2*100</f>
        <v>76.78525723061172</v>
      </c>
    </row>
    <row r="690" spans="1:5">
      <c r="A690" s="96">
        <v>44285</v>
      </c>
      <c r="B690" s="74">
        <f>Target1[[#This Row],[Target Price]]/Target!$B$2*100</f>
        <v>172.19313554392087</v>
      </c>
      <c r="C690" s="74">
        <f>Comp1[[#This Row],[Comparable '#1 Price]]/'Comparable #1'!$B$2*100</f>
        <v>93.634496919917865</v>
      </c>
      <c r="D690" s="74">
        <f>Comp2[[#This Row],[Comparable '#2 Price]]/'Comparable #2'!$B$2*100</f>
        <v>78.712273641851098</v>
      </c>
      <c r="E690" s="74">
        <f>Comp3[[#This Row],[Comparable '#3 Price]]/'Comparable #3'!$B$2*100</f>
        <v>77.646958450644149</v>
      </c>
    </row>
    <row r="691" spans="1:5">
      <c r="A691" s="96">
        <v>44286</v>
      </c>
      <c r="B691" s="74">
        <f>Target1[[#This Row],[Target Price]]/Target!$B$2*100</f>
        <v>175.15997673065735</v>
      </c>
      <c r="C691" s="74">
        <f>Comp1[[#This Row],[Comparable '#1 Price]]/'Comparable #1'!$B$2*100</f>
        <v>93.018480492813154</v>
      </c>
      <c r="D691" s="74">
        <f>Comp2[[#This Row],[Comparable '#2 Price]]/'Comparable #2'!$B$2*100</f>
        <v>79.557344064386314</v>
      </c>
      <c r="E691" s="74">
        <f>Comp3[[#This Row],[Comparable '#3 Price]]/'Comparable #3'!$B$2*100</f>
        <v>78.414811022950261</v>
      </c>
    </row>
    <row r="692" spans="1:5">
      <c r="A692" s="96">
        <v>44287</v>
      </c>
      <c r="B692" s="74">
        <f>Target1[[#This Row],[Target Price]]/Target!$B$2*100</f>
        <v>184.70040721349622</v>
      </c>
      <c r="C692" s="74">
        <f>Comp1[[#This Row],[Comparable '#1 Price]]/'Comparable #1'!$B$2*100</f>
        <v>95.550992470910344</v>
      </c>
      <c r="D692" s="74">
        <f>Comp2[[#This Row],[Comparable '#2 Price]]/'Comparable #2'!$B$2*100</f>
        <v>80.684104627766601</v>
      </c>
      <c r="E692" s="74">
        <f>Comp3[[#This Row],[Comparable '#3 Price]]/'Comparable #3'!$B$2*100</f>
        <v>79.250917157239158</v>
      </c>
    </row>
    <row r="693" spans="1:5">
      <c r="A693" s="96">
        <v>44291</v>
      </c>
      <c r="B693" s="74">
        <f>Target1[[#This Row],[Target Price]]/Target!$B$2*100</f>
        <v>188.42350203606748</v>
      </c>
      <c r="C693" s="74">
        <f>Comp1[[#This Row],[Comparable '#1 Price]]/'Comparable #1'!$B$2*100</f>
        <v>95.824777549623548</v>
      </c>
      <c r="D693" s="74">
        <f>Comp2[[#This Row],[Comparable '#2 Price]]/'Comparable #2'!$B$2*100</f>
        <v>81.167002012072444</v>
      </c>
      <c r="E693" s="74">
        <f>Comp3[[#This Row],[Comparable '#3 Price]]/'Comparable #3'!$B$2*100</f>
        <v>78.866990871086088</v>
      </c>
    </row>
    <row r="694" spans="1:5">
      <c r="A694" s="96">
        <v>44292</v>
      </c>
      <c r="B694" s="74">
        <f>Target1[[#This Row],[Target Price]]/Target!$B$2*100</f>
        <v>191.56486329261199</v>
      </c>
      <c r="C694" s="74">
        <f>Comp1[[#This Row],[Comparable '#1 Price]]/'Comparable #1'!$B$2*100</f>
        <v>95.140314852840518</v>
      </c>
      <c r="D694" s="74">
        <f>Comp2[[#This Row],[Comparable '#2 Price]]/'Comparable #2'!$B$2*100</f>
        <v>81.006036217303816</v>
      </c>
      <c r="E694" s="74">
        <f>Comp3[[#This Row],[Comparable '#3 Price]]/'Comparable #3'!$B$2*100</f>
        <v>77.996757955805833</v>
      </c>
    </row>
    <row r="695" spans="1:5">
      <c r="A695" s="96">
        <v>44293</v>
      </c>
      <c r="B695" s="74">
        <f>Target1[[#This Row],[Target Price]]/Target!$B$2*100</f>
        <v>190.51774287376381</v>
      </c>
      <c r="C695" s="74">
        <f>Comp1[[#This Row],[Comparable '#1 Price]]/'Comparable #1'!$B$2*100</f>
        <v>91.238877481177283</v>
      </c>
      <c r="D695" s="74">
        <f>Comp2[[#This Row],[Comparable '#2 Price]]/'Comparable #2'!$B$2*100</f>
        <v>79.396378269617713</v>
      </c>
      <c r="E695" s="74">
        <f>Comp3[[#This Row],[Comparable '#3 Price]]/'Comparable #3'!$B$2*100</f>
        <v>78.372152546711035</v>
      </c>
    </row>
    <row r="696" spans="1:5">
      <c r="A696" s="96">
        <v>44294</v>
      </c>
      <c r="B696" s="74">
        <f>Target1[[#This Row],[Target Price]]/Target!$B$2*100</f>
        <v>200.34904013961602</v>
      </c>
      <c r="C696" s="74">
        <f>Comp1[[#This Row],[Comparable '#1 Price]]/'Comparable #1'!$B$2*100</f>
        <v>90.828199863107457</v>
      </c>
      <c r="D696" s="74">
        <f>Comp2[[#This Row],[Comparable '#2 Price]]/'Comparable #2'!$B$2*100</f>
        <v>80.241448692152915</v>
      </c>
      <c r="E696" s="74">
        <f>Comp3[[#This Row],[Comparable '#3 Price]]/'Comparable #3'!$B$2*100</f>
        <v>78.858459175838249</v>
      </c>
    </row>
    <row r="697" spans="1:5">
      <c r="A697" s="96">
        <v>44295</v>
      </c>
      <c r="B697" s="74">
        <f>Target1[[#This Row],[Target Price]]/Target!$B$2*100</f>
        <v>191.50668993600931</v>
      </c>
      <c r="C697" s="74">
        <f>Comp1[[#This Row],[Comparable '#1 Price]]/'Comparable #1'!$B$2*100</f>
        <v>90.212183436002732</v>
      </c>
      <c r="D697" s="74">
        <f>Comp2[[#This Row],[Comparable '#2 Price]]/'Comparable #2'!$B$2*100</f>
        <v>79.195171026156942</v>
      </c>
      <c r="E697" s="74">
        <f>Comp3[[#This Row],[Comparable '#3 Price]]/'Comparable #3'!$B$2*100</f>
        <v>77.211841993004015</v>
      </c>
    </row>
    <row r="698" spans="1:5">
      <c r="A698" s="96">
        <v>44298</v>
      </c>
      <c r="B698" s="74">
        <f>Target1[[#This Row],[Target Price]]/Target!$B$2*100</f>
        <v>188.59802210587551</v>
      </c>
      <c r="C698" s="74">
        <f>Comp1[[#This Row],[Comparable '#1 Price]]/'Comparable #1'!$B$2*100</f>
        <v>90.554414784394254</v>
      </c>
      <c r="D698" s="74">
        <f>Comp2[[#This Row],[Comparable '#2 Price]]/'Comparable #2'!$B$2*100</f>
        <v>79.215291750502999</v>
      </c>
      <c r="E698" s="74">
        <f>Comp3[[#This Row],[Comparable '#3 Price]]/'Comparable #3'!$B$2*100</f>
        <v>74.05511475130109</v>
      </c>
    </row>
    <row r="699" spans="1:5">
      <c r="A699" s="96">
        <v>44299</v>
      </c>
      <c r="B699" s="74">
        <f>Target1[[#This Row],[Target Price]]/Target!$B$2*100</f>
        <v>188.01628853984874</v>
      </c>
      <c r="C699" s="74">
        <f>Comp1[[#This Row],[Comparable '#1 Price]]/'Comparable #1'!$B$2*100</f>
        <v>89.2539356605065</v>
      </c>
      <c r="D699" s="74">
        <f>Comp2[[#This Row],[Comparable '#2 Price]]/'Comparable #2'!$B$2*100</f>
        <v>78.16901408450704</v>
      </c>
      <c r="E699" s="74">
        <f>Comp3[[#This Row],[Comparable '#3 Price]]/'Comparable #3'!$B$2*100</f>
        <v>74.396382561214921</v>
      </c>
    </row>
    <row r="700" spans="1:5">
      <c r="A700" s="96">
        <v>44300</v>
      </c>
      <c r="B700" s="74">
        <f>Target1[[#This Row],[Target Price]]/Target!$B$2*100</f>
        <v>184.17684700407213</v>
      </c>
      <c r="C700" s="74">
        <f>Comp1[[#This Row],[Comparable '#1 Price]]/'Comparable #1'!$B$2*100</f>
        <v>89.527720739219717</v>
      </c>
      <c r="D700" s="74">
        <f>Comp2[[#This Row],[Comparable '#2 Price]]/'Comparable #2'!$B$2*100</f>
        <v>78.812877263581498</v>
      </c>
      <c r="E700" s="74">
        <f>Comp3[[#This Row],[Comparable '#3 Price]]/'Comparable #3'!$B$2*100</f>
        <v>73.005716235816053</v>
      </c>
    </row>
    <row r="701" spans="1:5">
      <c r="A701" s="96">
        <v>44301</v>
      </c>
      <c r="B701" s="74">
        <f>Target1[[#This Row],[Target Price]]/Target!$B$2*100</f>
        <v>182.7806864456079</v>
      </c>
      <c r="C701" s="74">
        <f>Comp1[[#This Row],[Comparable '#1 Price]]/'Comparable #1'!$B$2*100</f>
        <v>91.307323750855588</v>
      </c>
      <c r="D701" s="74">
        <f>Comp2[[#This Row],[Comparable '#2 Price]]/'Comparable #2'!$B$2*100</f>
        <v>80.482897384305829</v>
      </c>
      <c r="E701" s="74">
        <f>Comp3[[#This Row],[Comparable '#3 Price]]/'Comparable #3'!$B$2*100</f>
        <v>74.131900008531701</v>
      </c>
    </row>
    <row r="702" spans="1:5">
      <c r="A702" s="96">
        <v>44302</v>
      </c>
      <c r="B702" s="74">
        <f>Target1[[#This Row],[Target Price]]/Target!$B$2*100</f>
        <v>188.1326352530541</v>
      </c>
      <c r="C702" s="74">
        <f>Comp1[[#This Row],[Comparable '#1 Price]]/'Comparable #1'!$B$2*100</f>
        <v>91.854893908281994</v>
      </c>
      <c r="D702" s="74">
        <f>Comp2[[#This Row],[Comparable '#2 Price]]/'Comparable #2'!$B$2*100</f>
        <v>80.523138832997986</v>
      </c>
      <c r="E702" s="74">
        <f>Comp3[[#This Row],[Comparable '#3 Price]]/'Comparable #3'!$B$2*100</f>
        <v>76.153911782271138</v>
      </c>
    </row>
    <row r="703" spans="1:5">
      <c r="A703" s="96">
        <v>44305</v>
      </c>
      <c r="B703" s="74">
        <f>Target1[[#This Row],[Target Price]]/Target!$B$2*100</f>
        <v>178.12681791739382</v>
      </c>
      <c r="C703" s="74">
        <f>Comp1[[#This Row],[Comparable '#1 Price]]/'Comparable #1'!$B$2*100</f>
        <v>89.390828199863108</v>
      </c>
      <c r="D703" s="74">
        <f>Comp2[[#This Row],[Comparable '#2 Price]]/'Comparable #2'!$B$2*100</f>
        <v>80.181086519114686</v>
      </c>
      <c r="E703" s="74">
        <f>Comp3[[#This Row],[Comparable '#3 Price]]/'Comparable #3'!$B$2*100</f>
        <v>73.304325569490658</v>
      </c>
    </row>
    <row r="704" spans="1:5">
      <c r="A704" s="96">
        <v>44306</v>
      </c>
      <c r="B704" s="74">
        <f>Target1[[#This Row],[Target Price]]/Target!$B$2*100</f>
        <v>177.4869109947644</v>
      </c>
      <c r="C704" s="74">
        <f>Comp1[[#This Row],[Comparable '#1 Price]]/'Comparable #1'!$B$2*100</f>
        <v>88.021902806297064</v>
      </c>
      <c r="D704" s="74">
        <f>Comp2[[#This Row],[Comparable '#2 Price]]/'Comparable #2'!$B$2*100</f>
        <v>78.350100603621726</v>
      </c>
      <c r="E704" s="74">
        <f>Comp3[[#This Row],[Comparable '#3 Price]]/'Comparable #3'!$B$2*100</f>
        <v>73.577339817421716</v>
      </c>
    </row>
    <row r="705" spans="1:5">
      <c r="A705" s="96">
        <v>44307</v>
      </c>
      <c r="B705" s="74">
        <f>Target1[[#This Row],[Target Price]]/Target!$B$2*100</f>
        <v>174.5200698080279</v>
      </c>
      <c r="C705" s="74">
        <f>Comp1[[#This Row],[Comparable '#1 Price]]/'Comparable #1'!$B$2*100</f>
        <v>87.953456536618759</v>
      </c>
      <c r="D705" s="74">
        <f>Comp2[[#This Row],[Comparable '#2 Price]]/'Comparable #2'!$B$2*100</f>
        <v>77.686116700201197</v>
      </c>
      <c r="E705" s="74">
        <f>Comp3[[#This Row],[Comparable '#3 Price]]/'Comparable #3'!$B$2*100</f>
        <v>71.964849415578882</v>
      </c>
    </row>
    <row r="706" spans="1:5">
      <c r="A706" s="96">
        <v>44308</v>
      </c>
      <c r="B706" s="74">
        <f>Target1[[#This Row],[Target Price]]/Target!$B$2*100</f>
        <v>180.51192553810353</v>
      </c>
      <c r="C706" s="74">
        <f>Comp1[[#This Row],[Comparable '#1 Price]]/'Comparable #1'!$B$2*100</f>
        <v>83.230663928815886</v>
      </c>
      <c r="D706" s="74">
        <f>Comp2[[#This Row],[Comparable '#2 Price]]/'Comparable #2'!$B$2*100</f>
        <v>78.068410462776654</v>
      </c>
      <c r="E706" s="74">
        <f>Comp3[[#This Row],[Comparable '#3 Price]]/'Comparable #3'!$B$2*100</f>
        <v>72.399965873219003</v>
      </c>
    </row>
    <row r="707" spans="1:5">
      <c r="A707" s="96">
        <v>44309</v>
      </c>
      <c r="B707" s="74">
        <f>Target1[[#This Row],[Target Price]]/Target!$B$2*100</f>
        <v>182.60616637579986</v>
      </c>
      <c r="C707" s="74">
        <f>Comp1[[#This Row],[Comparable '#1 Price]]/'Comparable #1'!$B$2*100</f>
        <v>85.352498288843265</v>
      </c>
      <c r="D707" s="74">
        <f>Comp2[[#This Row],[Comparable '#2 Price]]/'Comparable #2'!$B$2*100</f>
        <v>77.847082494969811</v>
      </c>
      <c r="E707" s="74">
        <f>Comp3[[#This Row],[Comparable '#3 Price]]/'Comparable #3'!$B$2*100</f>
        <v>72.88627250234623</v>
      </c>
    </row>
    <row r="708" spans="1:5">
      <c r="A708" s="96">
        <v>44312</v>
      </c>
      <c r="B708" s="74">
        <f>Target1[[#This Row],[Target Price]]/Target!$B$2*100</f>
        <v>181.03548574752762</v>
      </c>
      <c r="C708" s="74">
        <f>Comp1[[#This Row],[Comparable '#1 Price]]/'Comparable #1'!$B$2*100</f>
        <v>85.010266940451757</v>
      </c>
      <c r="D708" s="74">
        <f>Comp2[[#This Row],[Comparable '#2 Price]]/'Comparable #2'!$B$2*100</f>
        <v>78.148893360160969</v>
      </c>
      <c r="E708" s="74">
        <f>Comp3[[#This Row],[Comparable '#3 Price]]/'Comparable #3'!$B$2*100</f>
        <v>73.304325569490658</v>
      </c>
    </row>
    <row r="709" spans="1:5">
      <c r="A709" s="96">
        <v>44313</v>
      </c>
      <c r="B709" s="74">
        <f>Target1[[#This Row],[Target Price]]/Target!$B$2*100</f>
        <v>176.67248400232694</v>
      </c>
      <c r="C709" s="74">
        <f>Comp1[[#This Row],[Comparable '#1 Price]]/'Comparable #1'!$B$2*100</f>
        <v>82.135523613963045</v>
      </c>
      <c r="D709" s="74">
        <f>Comp2[[#This Row],[Comparable '#2 Price]]/'Comparable #2'!$B$2*100</f>
        <v>76.338028169014066</v>
      </c>
      <c r="E709" s="74">
        <f>Comp3[[#This Row],[Comparable '#3 Price]]/'Comparable #3'!$B$2*100</f>
        <v>69.772203736882517</v>
      </c>
    </row>
    <row r="710" spans="1:5">
      <c r="A710" s="96">
        <v>44314</v>
      </c>
      <c r="B710" s="74">
        <f>Target1[[#This Row],[Target Price]]/Target!$B$2*100</f>
        <v>171.02966841186736</v>
      </c>
      <c r="C710" s="74">
        <f>Comp1[[#This Row],[Comparable '#1 Price]]/'Comparable #1'!$B$2*100</f>
        <v>82.956878850102669</v>
      </c>
      <c r="D710" s="74">
        <f>Comp2[[#This Row],[Comparable '#2 Price]]/'Comparable #2'!$B$2*100</f>
        <v>74.185110663983892</v>
      </c>
      <c r="E710" s="74">
        <f>Comp3[[#This Row],[Comparable '#3 Price]]/'Comparable #3'!$B$2*100</f>
        <v>70.599778175923561</v>
      </c>
    </row>
    <row r="711" spans="1:5">
      <c r="A711" s="96">
        <v>44315</v>
      </c>
      <c r="B711" s="74">
        <f>Target1[[#This Row],[Target Price]]/Target!$B$2*100</f>
        <v>169.28446771378708</v>
      </c>
      <c r="C711" s="74">
        <f>Comp1[[#This Row],[Comparable '#1 Price]]/'Comparable #1'!$B$2*100</f>
        <v>81.245722108145102</v>
      </c>
      <c r="D711" s="74">
        <f>Comp2[[#This Row],[Comparable '#2 Price]]/'Comparable #2'!$B$2*100</f>
        <v>74.34607645875252</v>
      </c>
      <c r="E711" s="74">
        <f>Comp3[[#This Row],[Comparable '#3 Price]]/'Comparable #3'!$B$2*100</f>
        <v>66.632539885675286</v>
      </c>
    </row>
    <row r="712" spans="1:5">
      <c r="A712" s="96">
        <v>44316</v>
      </c>
      <c r="B712" s="74">
        <f>Target1[[#This Row],[Target Price]]/Target!$B$2*100</f>
        <v>166.5503199534613</v>
      </c>
      <c r="C712" s="74">
        <f>Comp1[[#This Row],[Comparable '#1 Price]]/'Comparable #1'!$B$2*100</f>
        <v>94.113620807665981</v>
      </c>
      <c r="D712" s="74">
        <f>Comp2[[#This Row],[Comparable '#2 Price]]/'Comparable #2'!$B$2*100</f>
        <v>69.034205231388341</v>
      </c>
      <c r="E712" s="74">
        <f>Comp3[[#This Row],[Comparable '#3 Price]]/'Comparable #3'!$B$2*100</f>
        <v>64.038904530330186</v>
      </c>
    </row>
    <row r="713" spans="1:5">
      <c r="A713" s="96">
        <v>44319</v>
      </c>
      <c r="B713" s="74">
        <f>Target1[[#This Row],[Target Price]]/Target!$B$2*100</f>
        <v>165.79406631762652</v>
      </c>
      <c r="C713" s="74">
        <f>Comp1[[#This Row],[Comparable '#1 Price]]/'Comparable #1'!$B$2*100</f>
        <v>93.155373032169734</v>
      </c>
      <c r="D713" s="74">
        <f>Comp2[[#This Row],[Comparable '#2 Price]]/'Comparable #2'!$B$2*100</f>
        <v>69.939637826961771</v>
      </c>
      <c r="E713" s="74">
        <f>Comp3[[#This Row],[Comparable '#3 Price]]/'Comparable #3'!$B$2*100</f>
        <v>65.659926627420859</v>
      </c>
    </row>
    <row r="714" spans="1:5">
      <c r="A714" s="96">
        <v>44320</v>
      </c>
      <c r="B714" s="74">
        <f>Target1[[#This Row],[Target Price]]/Target!$B$2*100</f>
        <v>162.47818499127396</v>
      </c>
      <c r="C714" s="74">
        <f>Comp1[[#This Row],[Comparable '#1 Price]]/'Comparable #1'!$B$2*100</f>
        <v>92.573579739904176</v>
      </c>
      <c r="D714" s="74">
        <f>Comp2[[#This Row],[Comparable '#2 Price]]/'Comparable #2'!$B$2*100</f>
        <v>68.008048289738426</v>
      </c>
      <c r="E714" s="74">
        <f>Comp3[[#This Row],[Comparable '#3 Price]]/'Comparable #3'!$B$2*100</f>
        <v>66.12063817080454</v>
      </c>
    </row>
    <row r="715" spans="1:5">
      <c r="A715" s="96">
        <v>44321</v>
      </c>
      <c r="B715" s="74">
        <f>Target1[[#This Row],[Target Price]]/Target!$B$2*100</f>
        <v>163.00174520069805</v>
      </c>
      <c r="C715" s="74">
        <f>Comp1[[#This Row],[Comparable '#1 Price]]/'Comparable #1'!$B$2*100</f>
        <v>91.649555099247095</v>
      </c>
      <c r="D715" s="74">
        <f>Comp2[[#This Row],[Comparable '#2 Price]]/'Comparable #2'!$B$2*100</f>
        <v>67.90744466800804</v>
      </c>
      <c r="E715" s="74">
        <f>Comp3[[#This Row],[Comparable '#3 Price]]/'Comparable #3'!$B$2*100</f>
        <v>64.994454398088905</v>
      </c>
    </row>
    <row r="716" spans="1:5">
      <c r="A716" s="96">
        <v>44322</v>
      </c>
      <c r="B716" s="74">
        <f>Target1[[#This Row],[Target Price]]/Target!$B$2*100</f>
        <v>159.51134380453752</v>
      </c>
      <c r="C716" s="74">
        <f>Comp1[[#This Row],[Comparable '#1 Price]]/'Comparable #1'!$B$2*100</f>
        <v>93.771389459274474</v>
      </c>
      <c r="D716" s="74">
        <f>Comp2[[#This Row],[Comparable '#2 Price]]/'Comparable #2'!$B$2*100</f>
        <v>67.303822937625753</v>
      </c>
      <c r="E716" s="74">
        <f>Comp3[[#This Row],[Comparable '#3 Price]]/'Comparable #3'!$B$2*100</f>
        <v>64.644654892927221</v>
      </c>
    </row>
    <row r="717" spans="1:5">
      <c r="A717" s="96">
        <v>44323</v>
      </c>
      <c r="B717" s="74">
        <f>Target1[[#This Row],[Target Price]]/Target!$B$2*100</f>
        <v>165.09598603839439</v>
      </c>
      <c r="C717" s="74">
        <f>Comp1[[#This Row],[Comparable '#1 Price]]/'Comparable #1'!$B$2*100</f>
        <v>95.619438740588649</v>
      </c>
      <c r="D717" s="74">
        <f>Comp2[[#This Row],[Comparable '#2 Price]]/'Comparable #2'!$B$2*100</f>
        <v>74.225352112676063</v>
      </c>
      <c r="E717" s="74">
        <f>Comp3[[#This Row],[Comparable '#3 Price]]/'Comparable #3'!$B$2*100</f>
        <v>65.958535961095478</v>
      </c>
    </row>
    <row r="718" spans="1:5">
      <c r="A718" s="96">
        <v>44326</v>
      </c>
      <c r="B718" s="74">
        <f>Target1[[#This Row],[Target Price]]/Target!$B$2*100</f>
        <v>159.9767306573589</v>
      </c>
      <c r="C718" s="74">
        <f>Comp1[[#This Row],[Comparable '#1 Price]]/'Comparable #1'!$B$2*100</f>
        <v>96.78302532511978</v>
      </c>
      <c r="D718" s="74">
        <f>Comp2[[#This Row],[Comparable '#2 Price]]/'Comparable #2'!$B$2*100</f>
        <v>75.010060362173036</v>
      </c>
      <c r="E718" s="74">
        <f>Comp3[[#This Row],[Comparable '#3 Price]]/'Comparable #3'!$B$2*100</f>
        <v>67.562494667690473</v>
      </c>
    </row>
    <row r="719" spans="1:5">
      <c r="A719" s="96">
        <v>44327</v>
      </c>
      <c r="B719" s="74">
        <f>Target1[[#This Row],[Target Price]]/Target!$B$2*100</f>
        <v>157.5916230366492</v>
      </c>
      <c r="C719" s="74">
        <f>Comp1[[#This Row],[Comparable '#1 Price]]/'Comparable #1'!$B$2*100</f>
        <v>98.904859685147159</v>
      </c>
      <c r="D719" s="74">
        <f>Comp2[[#This Row],[Comparable '#2 Price]]/'Comparable #2'!$B$2*100</f>
        <v>74.325955734406435</v>
      </c>
      <c r="E719" s="74">
        <f>Comp3[[#This Row],[Comparable '#3 Price]]/'Comparable #3'!$B$2*100</f>
        <v>66.58988140943606</v>
      </c>
    </row>
    <row r="720" spans="1:5">
      <c r="A720" s="96">
        <v>44328</v>
      </c>
      <c r="B720" s="74">
        <f>Target1[[#This Row],[Target Price]]/Target!$B$2*100</f>
        <v>155.03199534613145</v>
      </c>
      <c r="C720" s="74">
        <f>Comp1[[#This Row],[Comparable '#1 Price]]/'Comparable #1'!$B$2*100</f>
        <v>97.672826830937723</v>
      </c>
      <c r="D720" s="74">
        <f>Comp2[[#This Row],[Comparable '#2 Price]]/'Comparable #2'!$B$2*100</f>
        <v>74.024144869215277</v>
      </c>
      <c r="E720" s="74">
        <f>Comp3[[#This Row],[Comparable '#3 Price]]/'Comparable #3'!$B$2*100</f>
        <v>66.828768876375733</v>
      </c>
    </row>
    <row r="721" spans="1:5">
      <c r="A721" s="96">
        <v>44329</v>
      </c>
      <c r="B721" s="74">
        <f>Target1[[#This Row],[Target Price]]/Target!$B$2*100</f>
        <v>155.73007562536355</v>
      </c>
      <c r="C721" s="74">
        <f>Comp1[[#This Row],[Comparable '#1 Price]]/'Comparable #1'!$B$2*100</f>
        <v>97.535934291581114</v>
      </c>
      <c r="D721" s="74">
        <f>Comp2[[#This Row],[Comparable '#2 Price]]/'Comparable #2'!$B$2*100</f>
        <v>73.82293762575452</v>
      </c>
      <c r="E721" s="74">
        <f>Comp3[[#This Row],[Comparable '#3 Price]]/'Comparable #3'!$B$2*100</f>
        <v>66.606944799931739</v>
      </c>
    </row>
    <row r="722" spans="1:5">
      <c r="A722" s="96">
        <v>44330</v>
      </c>
      <c r="B722" s="74">
        <f>Target1[[#This Row],[Target Price]]/Target!$B$2*100</f>
        <v>160.38394415357766</v>
      </c>
      <c r="C722" s="74">
        <f>Comp1[[#This Row],[Comparable '#1 Price]]/'Comparable #1'!$B$2*100</f>
        <v>99.657768651608492</v>
      </c>
      <c r="D722" s="74">
        <f>Comp2[[#This Row],[Comparable '#2 Price]]/'Comparable #2'!$B$2*100</f>
        <v>76.559356136820909</v>
      </c>
      <c r="E722" s="74">
        <f>Comp3[[#This Row],[Comparable '#3 Price]]/'Comparable #3'!$B$2*100</f>
        <v>65.361317293746268</v>
      </c>
    </row>
    <row r="723" spans="1:5">
      <c r="A723" s="96">
        <v>44333</v>
      </c>
      <c r="B723" s="74">
        <f>Target1[[#This Row],[Target Price]]/Target!$B$2*100</f>
        <v>165.44502617801047</v>
      </c>
      <c r="C723" s="74">
        <f>Comp1[[#This Row],[Comparable '#1 Price]]/'Comparable #1'!$B$2*100</f>
        <v>99.794661190965101</v>
      </c>
      <c r="D723" s="74">
        <f>Comp2[[#This Row],[Comparable '#2 Price]]/'Comparable #2'!$B$2*100</f>
        <v>76.378269617706223</v>
      </c>
      <c r="E723" s="74">
        <f>Comp3[[#This Row],[Comparable '#3 Price]]/'Comparable #3'!$B$2*100</f>
        <v>65.651394932173019</v>
      </c>
    </row>
    <row r="724" spans="1:5">
      <c r="A724" s="96">
        <v>44334</v>
      </c>
      <c r="B724" s="74">
        <f>Target1[[#This Row],[Target Price]]/Target!$B$2*100</f>
        <v>167.36474694589876</v>
      </c>
      <c r="C724" s="74">
        <f>Comp1[[#This Row],[Comparable '#1 Price]]/'Comparable #1'!$B$2*100</f>
        <v>99.452429842573579</v>
      </c>
      <c r="D724" s="74">
        <f>Comp2[[#This Row],[Comparable '#2 Price]]/'Comparable #2'!$B$2*100</f>
        <v>76.720321931589538</v>
      </c>
      <c r="E724" s="74">
        <f>Comp3[[#This Row],[Comparable '#3 Price]]/'Comparable #3'!$B$2*100</f>
        <v>65.20774677928506</v>
      </c>
    </row>
    <row r="725" spans="1:5">
      <c r="A725" s="96">
        <v>44335</v>
      </c>
      <c r="B725" s="74">
        <f>Target1[[#This Row],[Target Price]]/Target!$B$2*100</f>
        <v>161.19837114601512</v>
      </c>
      <c r="C725" s="74">
        <f>Comp1[[#This Row],[Comparable '#1 Price]]/'Comparable #1'!$B$2*100</f>
        <v>99.110198494182072</v>
      </c>
      <c r="D725" s="74">
        <f>Comp2[[#This Row],[Comparable '#2 Price]]/'Comparable #2'!$B$2*100</f>
        <v>74.989939637826964</v>
      </c>
      <c r="E725" s="74">
        <f>Comp3[[#This Row],[Comparable '#3 Price]]/'Comparable #3'!$B$2*100</f>
        <v>64.960327617097519</v>
      </c>
    </row>
    <row r="726" spans="1:5">
      <c r="A726" s="96">
        <v>44336</v>
      </c>
      <c r="B726" s="74">
        <f>Target1[[#This Row],[Target Price]]/Target!$B$2*100</f>
        <v>162.76905177428739</v>
      </c>
      <c r="C726" s="74">
        <f>Comp1[[#This Row],[Comparable '#1 Price]]/'Comparable #1'!$B$2*100</f>
        <v>100.0684462696783</v>
      </c>
      <c r="D726" s="74">
        <f>Comp2[[#This Row],[Comparable '#2 Price]]/'Comparable #2'!$B$2*100</f>
        <v>76.177062374245466</v>
      </c>
      <c r="E726" s="74">
        <f>Comp3[[#This Row],[Comparable '#3 Price]]/'Comparable #3'!$B$2*100</f>
        <v>65.241873560276431</v>
      </c>
    </row>
    <row r="727" spans="1:5">
      <c r="A727" s="96">
        <v>44337</v>
      </c>
      <c r="B727" s="74">
        <f>Target1[[#This Row],[Target Price]]/Target!$B$2*100</f>
        <v>162.59453170447932</v>
      </c>
      <c r="C727" s="74">
        <f>Comp1[[#This Row],[Comparable '#1 Price]]/'Comparable #1'!$B$2*100</f>
        <v>98.01505817932923</v>
      </c>
      <c r="D727" s="74">
        <f>Comp2[[#This Row],[Comparable '#2 Price]]/'Comparable #2'!$B$2*100</f>
        <v>76.217303822937637</v>
      </c>
      <c r="E727" s="74">
        <f>Comp3[[#This Row],[Comparable '#3 Price]]/'Comparable #3'!$B$2*100</f>
        <v>63.219861786536981</v>
      </c>
    </row>
    <row r="728" spans="1:5">
      <c r="A728" s="96">
        <v>44340</v>
      </c>
      <c r="B728" s="74">
        <f>Target1[[#This Row],[Target Price]]/Target!$B$2*100</f>
        <v>160.79115764979639</v>
      </c>
      <c r="C728" s="74">
        <f>Comp1[[#This Row],[Comparable '#1 Price]]/'Comparable #1'!$B$2*100</f>
        <v>97.604380561259418</v>
      </c>
      <c r="D728" s="74">
        <f>Comp2[[#This Row],[Comparable '#2 Price]]/'Comparable #2'!$B$2*100</f>
        <v>72.73641851106639</v>
      </c>
      <c r="E728" s="74">
        <f>Comp3[[#This Row],[Comparable '#3 Price]]/'Comparable #3'!$B$2*100</f>
        <v>62.67383329067485</v>
      </c>
    </row>
    <row r="729" spans="1:5">
      <c r="A729" s="96">
        <v>44341</v>
      </c>
      <c r="B729" s="74">
        <f>Target1[[#This Row],[Target Price]]/Target!$B$2*100</f>
        <v>157.47527632344384</v>
      </c>
      <c r="C729" s="74">
        <f>Comp1[[#This Row],[Comparable '#1 Price]]/'Comparable #1'!$B$2*100</f>
        <v>97.262149212867911</v>
      </c>
      <c r="D729" s="74">
        <f>Comp2[[#This Row],[Comparable '#2 Price]]/'Comparable #2'!$B$2*100</f>
        <v>71.730382293762574</v>
      </c>
      <c r="E729" s="74">
        <f>Comp3[[#This Row],[Comparable '#3 Price]]/'Comparable #3'!$B$2*100</f>
        <v>62.469072604726563</v>
      </c>
    </row>
    <row r="730" spans="1:5">
      <c r="A730" s="96">
        <v>44342</v>
      </c>
      <c r="B730" s="74">
        <f>Target1[[#This Row],[Target Price]]/Target!$B$2*100</f>
        <v>153.22862129144849</v>
      </c>
      <c r="C730" s="74">
        <f>Comp1[[#This Row],[Comparable '#1 Price]]/'Comparable #1'!$B$2*100</f>
        <v>98.69952087611226</v>
      </c>
      <c r="D730" s="74">
        <f>Comp2[[#This Row],[Comparable '#2 Price]]/'Comparable #2'!$B$2*100</f>
        <v>72.052313883299803</v>
      </c>
      <c r="E730" s="74">
        <f>Comp3[[#This Row],[Comparable '#3 Price]]/'Comparable #3'!$B$2*100</f>
        <v>62.912720757614537</v>
      </c>
    </row>
    <row r="731" spans="1:5">
      <c r="A731" s="96">
        <v>44343</v>
      </c>
      <c r="B731" s="74">
        <f>Target1[[#This Row],[Target Price]]/Target!$B$2*100</f>
        <v>156.6608493310064</v>
      </c>
      <c r="C731" s="74">
        <f>Comp1[[#This Row],[Comparable '#1 Price]]/'Comparable #1'!$B$2*100</f>
        <v>99.452429842573579</v>
      </c>
      <c r="D731" s="74">
        <f>Comp2[[#This Row],[Comparable '#2 Price]]/'Comparable #2'!$B$2*100</f>
        <v>74.305835010060363</v>
      </c>
      <c r="E731" s="74">
        <f>Comp3[[#This Row],[Comparable '#3 Price]]/'Comparable #3'!$B$2*100</f>
        <v>63.731763501407734</v>
      </c>
    </row>
    <row r="732" spans="1:5">
      <c r="A732" s="96">
        <v>44344</v>
      </c>
      <c r="B732" s="74">
        <f>Target1[[#This Row],[Target Price]]/Target!$B$2*100</f>
        <v>156.369982547993</v>
      </c>
      <c r="C732" s="74">
        <f>Comp1[[#This Row],[Comparable '#1 Price]]/'Comparable #1'!$B$2*100</f>
        <v>100</v>
      </c>
      <c r="D732" s="74">
        <f>Comp2[[#This Row],[Comparable '#2 Price]]/'Comparable #2'!$B$2*100</f>
        <v>73.199195171026162</v>
      </c>
      <c r="E732" s="74">
        <f>Comp3[[#This Row],[Comparable '#3 Price]]/'Comparable #3'!$B$2*100</f>
        <v>60.43852913573928</v>
      </c>
    </row>
    <row r="733" spans="1:5">
      <c r="A733" s="96">
        <v>44348</v>
      </c>
      <c r="B733" s="74">
        <f>Target1[[#This Row],[Target Price]]/Target!$B$2*100</f>
        <v>160.38394415357766</v>
      </c>
      <c r="C733" s="74">
        <f>Comp1[[#This Row],[Comparable '#1 Price]]/'Comparable #1'!$B$2*100</f>
        <v>103.76454483230664</v>
      </c>
      <c r="D733" s="74">
        <f>Comp2[[#This Row],[Comparable '#2 Price]]/'Comparable #2'!$B$2*100</f>
        <v>75.714285714285708</v>
      </c>
      <c r="E733" s="74">
        <f>Comp3[[#This Row],[Comparable '#3 Price]]/'Comparable #3'!$B$2*100</f>
        <v>62.639706509683478</v>
      </c>
    </row>
    <row r="734" spans="1:5">
      <c r="A734" s="96">
        <v>44349</v>
      </c>
      <c r="B734" s="74">
        <f>Target1[[#This Row],[Target Price]]/Target!$B$2*100</f>
        <v>160.84933100639904</v>
      </c>
      <c r="C734" s="74">
        <f>Comp1[[#This Row],[Comparable '#1 Price]]/'Comparable #1'!$B$2*100</f>
        <v>106.02327173169064</v>
      </c>
      <c r="D734" s="74">
        <f>Comp2[[#This Row],[Comparable '#2 Price]]/'Comparable #2'!$B$2*100</f>
        <v>75.17102615694165</v>
      </c>
      <c r="E734" s="74">
        <f>Comp3[[#This Row],[Comparable '#3 Price]]/'Comparable #3'!$B$2*100</f>
        <v>61.470864260728611</v>
      </c>
    </row>
    <row r="735" spans="1:5">
      <c r="A735" s="96">
        <v>44350</v>
      </c>
      <c r="B735" s="74">
        <f>Target1[[#This Row],[Target Price]]/Target!$B$2*100</f>
        <v>164.16521233275159</v>
      </c>
      <c r="C735" s="74">
        <f>Comp1[[#This Row],[Comparable '#1 Price]]/'Comparable #1'!$B$2*100</f>
        <v>104.10677618069816</v>
      </c>
      <c r="D735" s="74">
        <f>Comp2[[#This Row],[Comparable '#2 Price]]/'Comparable #2'!$B$2*100</f>
        <v>74.446680080482892</v>
      </c>
      <c r="E735" s="74">
        <f>Comp3[[#This Row],[Comparable '#3 Price]]/'Comparable #3'!$B$2*100</f>
        <v>61.940107499360117</v>
      </c>
    </row>
    <row r="736" spans="1:5">
      <c r="A736" s="96">
        <v>44351</v>
      </c>
      <c r="B736" s="74">
        <f>Target1[[#This Row],[Target Price]]/Target!$B$2*100</f>
        <v>167.42292030250147</v>
      </c>
      <c r="C736" s="74">
        <f>Comp1[[#This Row],[Comparable '#1 Price]]/'Comparable #1'!$B$2*100</f>
        <v>104.79123887748119</v>
      </c>
      <c r="D736" s="74">
        <f>Comp2[[#This Row],[Comparable '#2 Price]]/'Comparable #2'!$B$2*100</f>
        <v>74.708249496981892</v>
      </c>
      <c r="E736" s="74">
        <f>Comp3[[#This Row],[Comparable '#3 Price]]/'Comparable #3'!$B$2*100</f>
        <v>62.221653442539036</v>
      </c>
    </row>
    <row r="737" spans="1:5">
      <c r="A737" s="96">
        <v>44354</v>
      </c>
      <c r="B737" s="74">
        <f>Target1[[#This Row],[Target Price]]/Target!$B$2*100</f>
        <v>170.27341477603258</v>
      </c>
      <c r="C737" s="74">
        <f>Comp1[[#This Row],[Comparable '#1 Price]]/'Comparable #1'!$B$2*100</f>
        <v>104.99657768651609</v>
      </c>
      <c r="D737" s="74">
        <f>Comp2[[#This Row],[Comparable '#2 Price]]/'Comparable #2'!$B$2*100</f>
        <v>75.955734406438623</v>
      </c>
      <c r="E737" s="74">
        <f>Comp3[[#This Row],[Comparable '#3 Price]]/'Comparable #3'!$B$2*100</f>
        <v>62.59704803344426</v>
      </c>
    </row>
    <row r="738" spans="1:5">
      <c r="A738" s="96">
        <v>44355</v>
      </c>
      <c r="B738" s="74">
        <f>Target1[[#This Row],[Target Price]]/Target!$B$2*100</f>
        <v>173.58929610238511</v>
      </c>
      <c r="C738" s="74">
        <f>Comp1[[#This Row],[Comparable '#1 Price]]/'Comparable #1'!$B$2*100</f>
        <v>104.58590006844628</v>
      </c>
      <c r="D738" s="74">
        <f>Comp2[[#This Row],[Comparable '#2 Price]]/'Comparable #2'!$B$2*100</f>
        <v>77.243460764587525</v>
      </c>
      <c r="E738" s="74">
        <f>Comp3[[#This Row],[Comparable '#3 Price]]/'Comparable #3'!$B$2*100</f>
        <v>62.878593976623165</v>
      </c>
    </row>
    <row r="739" spans="1:5">
      <c r="A739" s="96">
        <v>44356</v>
      </c>
      <c r="B739" s="74">
        <f>Target1[[#This Row],[Target Price]]/Target!$B$2*100</f>
        <v>172.77486910994764</v>
      </c>
      <c r="C739" s="74">
        <f>Comp1[[#This Row],[Comparable '#1 Price]]/'Comparable #1'!$B$2*100</f>
        <v>104.03832991101984</v>
      </c>
      <c r="D739" s="74">
        <f>Comp2[[#This Row],[Comparable '#2 Price]]/'Comparable #2'!$B$2*100</f>
        <v>76.338028169014066</v>
      </c>
      <c r="E739" s="74">
        <f>Comp3[[#This Row],[Comparable '#3 Price]]/'Comparable #3'!$B$2*100</f>
        <v>64.559337940448771</v>
      </c>
    </row>
    <row r="740" spans="1:5">
      <c r="A740" s="96">
        <v>44357</v>
      </c>
      <c r="B740" s="74">
        <f>Target1[[#This Row],[Target Price]]/Target!$B$2*100</f>
        <v>175.56719022687608</v>
      </c>
      <c r="C740" s="74">
        <f>Comp1[[#This Row],[Comparable '#1 Price]]/'Comparable #1'!$B$2*100</f>
        <v>105.88637919233403</v>
      </c>
      <c r="D740" s="74">
        <f>Comp2[[#This Row],[Comparable '#2 Price]]/'Comparable #2'!$B$2*100</f>
        <v>78.189134808853112</v>
      </c>
      <c r="E740" s="74">
        <f>Comp3[[#This Row],[Comparable '#3 Price]]/'Comparable #3'!$B$2*100</f>
        <v>66.692261752410204</v>
      </c>
    </row>
    <row r="741" spans="1:5">
      <c r="A741" s="96">
        <v>44358</v>
      </c>
      <c r="B741" s="74">
        <f>Target1[[#This Row],[Target Price]]/Target!$B$2*100</f>
        <v>177.07969749854567</v>
      </c>
      <c r="C741" s="74">
        <f>Comp1[[#This Row],[Comparable '#1 Price]]/'Comparable #1'!$B$2*100</f>
        <v>105.6125941136208</v>
      </c>
      <c r="D741" s="74">
        <f>Comp2[[#This Row],[Comparable '#2 Price]]/'Comparable #2'!$B$2*100</f>
        <v>78.893360160965798</v>
      </c>
      <c r="E741" s="74">
        <f>Comp3[[#This Row],[Comparable '#3 Price]]/'Comparable #3'!$B$2*100</f>
        <v>67.775787048886613</v>
      </c>
    </row>
    <row r="742" spans="1:5">
      <c r="A742" s="96">
        <v>44361</v>
      </c>
      <c r="B742" s="74">
        <f>Target1[[#This Row],[Target Price]]/Target!$B$2*100</f>
        <v>175.5090168702734</v>
      </c>
      <c r="C742" s="74">
        <f>Comp1[[#This Row],[Comparable '#1 Price]]/'Comparable #1'!$B$2*100</f>
        <v>105.6125941136208</v>
      </c>
      <c r="D742" s="74">
        <f>Comp2[[#This Row],[Comparable '#2 Price]]/'Comparable #2'!$B$2*100</f>
        <v>77.525150905432596</v>
      </c>
      <c r="E742" s="74">
        <f>Comp3[[#This Row],[Comparable '#3 Price]]/'Comparable #3'!$B$2*100</f>
        <v>66.837300571623587</v>
      </c>
    </row>
    <row r="743" spans="1:5">
      <c r="A743" s="96">
        <v>44362</v>
      </c>
      <c r="B743" s="74">
        <f>Target1[[#This Row],[Target Price]]/Target!$B$2*100</f>
        <v>176.09075043630017</v>
      </c>
      <c r="C743" s="74">
        <f>Comp1[[#This Row],[Comparable '#1 Price]]/'Comparable #1'!$B$2*100</f>
        <v>105.88637919233403</v>
      </c>
      <c r="D743" s="74">
        <f>Comp2[[#This Row],[Comparable '#2 Price]]/'Comparable #2'!$B$2*100</f>
        <v>77.565392354124739</v>
      </c>
      <c r="E743" s="74">
        <f>Comp3[[#This Row],[Comparable '#3 Price]]/'Comparable #3'!$B$2*100</f>
        <v>66.777578704888668</v>
      </c>
    </row>
    <row r="744" spans="1:5">
      <c r="A744" s="96">
        <v>44363</v>
      </c>
      <c r="B744" s="74">
        <f>Target1[[#This Row],[Target Price]]/Target!$B$2*100</f>
        <v>175.68353694008144</v>
      </c>
      <c r="C744" s="74">
        <f>Comp1[[#This Row],[Comparable '#1 Price]]/'Comparable #1'!$B$2*100</f>
        <v>105.27036276522929</v>
      </c>
      <c r="D744" s="74">
        <f>Comp2[[#This Row],[Comparable '#2 Price]]/'Comparable #2'!$B$2*100</f>
        <v>75.835010060362166</v>
      </c>
      <c r="E744" s="74">
        <f>Comp3[[#This Row],[Comparable '#3 Price]]/'Comparable #3'!$B$2*100</f>
        <v>67.323607200750786</v>
      </c>
    </row>
    <row r="745" spans="1:5">
      <c r="A745" s="96">
        <v>44364</v>
      </c>
      <c r="B745" s="74">
        <f>Target1[[#This Row],[Target Price]]/Target!$B$2*100</f>
        <v>172.48400232693425</v>
      </c>
      <c r="C745" s="74">
        <f>Comp1[[#This Row],[Comparable '#1 Price]]/'Comparable #1'!$B$2*100</f>
        <v>104.03832991101984</v>
      </c>
      <c r="D745" s="74">
        <f>Comp2[[#This Row],[Comparable '#2 Price]]/'Comparable #2'!$B$2*100</f>
        <v>75.211267605633807</v>
      </c>
      <c r="E745" s="74">
        <f>Comp3[[#This Row],[Comparable '#3 Price]]/'Comparable #3'!$B$2*100</f>
        <v>67.357733981742172</v>
      </c>
    </row>
    <row r="746" spans="1:5">
      <c r="A746" s="96">
        <v>44365</v>
      </c>
      <c r="B746" s="74">
        <f>Target1[[#This Row],[Target Price]]/Target!$B$2*100</f>
        <v>169.69168121000581</v>
      </c>
      <c r="C746" s="74">
        <f>Comp1[[#This Row],[Comparable '#1 Price]]/'Comparable #1'!$B$2*100</f>
        <v>101.91649555099247</v>
      </c>
      <c r="D746" s="74">
        <f>Comp2[[#This Row],[Comparable '#2 Price]]/'Comparable #2'!$B$2*100</f>
        <v>73.641851106639834</v>
      </c>
      <c r="E746" s="74">
        <f>Comp3[[#This Row],[Comparable '#3 Price]]/'Comparable #3'!$B$2*100</f>
        <v>66.897022438358505</v>
      </c>
    </row>
    <row r="747" spans="1:5">
      <c r="A747" s="96">
        <v>44368</v>
      </c>
      <c r="B747" s="74">
        <f>Target1[[#This Row],[Target Price]]/Target!$B$2*100</f>
        <v>176.14892379290282</v>
      </c>
      <c r="C747" s="74">
        <f>Comp1[[#This Row],[Comparable '#1 Price]]/'Comparable #1'!$B$2*100</f>
        <v>103.21697467488022</v>
      </c>
      <c r="D747" s="74">
        <f>Comp2[[#This Row],[Comparable '#2 Price]]/'Comparable #2'!$B$2*100</f>
        <v>74.527162977867206</v>
      </c>
      <c r="E747" s="74">
        <f>Comp3[[#This Row],[Comparable '#3 Price]]/'Comparable #3'!$B$2*100</f>
        <v>69.115263202798403</v>
      </c>
    </row>
    <row r="748" spans="1:5">
      <c r="A748" s="96">
        <v>44369</v>
      </c>
      <c r="B748" s="74">
        <f>Target1[[#This Row],[Target Price]]/Target!$B$2*100</f>
        <v>177.71960442117509</v>
      </c>
      <c r="C748" s="74">
        <f>Comp1[[#This Row],[Comparable '#1 Price]]/'Comparable #1'!$B$2*100</f>
        <v>101.84804928131416</v>
      </c>
      <c r="D748" s="74">
        <f>Comp2[[#This Row],[Comparable '#2 Price]]/'Comparable #2'!$B$2*100</f>
        <v>72.334004024144875</v>
      </c>
      <c r="E748" s="74">
        <f>Comp3[[#This Row],[Comparable '#3 Price]]/'Comparable #3'!$B$2*100</f>
        <v>65.711116798907938</v>
      </c>
    </row>
    <row r="749" spans="1:5">
      <c r="A749" s="96">
        <v>44370</v>
      </c>
      <c r="B749" s="74">
        <f>Target1[[#This Row],[Target Price]]/Target!$B$2*100</f>
        <v>184.06050029086677</v>
      </c>
      <c r="C749" s="74">
        <f>Comp1[[#This Row],[Comparable '#1 Price]]/'Comparable #1'!$B$2*100</f>
        <v>101.91649555099247</v>
      </c>
      <c r="D749" s="74">
        <f>Comp2[[#This Row],[Comparable '#2 Price]]/'Comparable #2'!$B$2*100</f>
        <v>72.193158953722332</v>
      </c>
      <c r="E749" s="74">
        <f>Comp3[[#This Row],[Comparable '#3 Price]]/'Comparable #3'!$B$2*100</f>
        <v>66.180360037539458</v>
      </c>
    </row>
    <row r="750" spans="1:5">
      <c r="A750" s="96">
        <v>44371</v>
      </c>
      <c r="B750" s="74">
        <f>Target1[[#This Row],[Target Price]]/Target!$B$2*100</f>
        <v>193.31006399069224</v>
      </c>
      <c r="C750" s="74">
        <f>Comp1[[#This Row],[Comparable '#1 Price]]/'Comparable #1'!$B$2*100</f>
        <v>103.01163586584532</v>
      </c>
      <c r="D750" s="74">
        <f>Comp2[[#This Row],[Comparable '#2 Price]]/'Comparable #2'!$B$2*100</f>
        <v>74.205231388329977</v>
      </c>
      <c r="E750" s="74">
        <f>Comp3[[#This Row],[Comparable '#3 Price]]/'Comparable #3'!$B$2*100</f>
        <v>68.833717259619505</v>
      </c>
    </row>
    <row r="751" spans="1:5">
      <c r="A751" s="96">
        <v>44372</v>
      </c>
      <c r="B751" s="74">
        <f>Target1[[#This Row],[Target Price]]/Target!$B$2*100</f>
        <v>188.42350203606748</v>
      </c>
      <c r="C751" s="74">
        <f>Comp1[[#This Row],[Comparable '#1 Price]]/'Comparable #1'!$B$2*100</f>
        <v>102.66940451745381</v>
      </c>
      <c r="D751" s="74">
        <f>Comp2[[#This Row],[Comparable '#2 Price]]/'Comparable #2'!$B$2*100</f>
        <v>72.99798792756539</v>
      </c>
      <c r="E751" s="74">
        <f>Comp3[[#This Row],[Comparable '#3 Price]]/'Comparable #3'!$B$2*100</f>
        <v>67.40892415322925</v>
      </c>
    </row>
    <row r="752" spans="1:5">
      <c r="A752" s="96">
        <v>44375</v>
      </c>
      <c r="B752" s="74">
        <f>Target1[[#This Row],[Target Price]]/Target!$B$2*100</f>
        <v>191.91390343222804</v>
      </c>
      <c r="C752" s="74">
        <f>Comp1[[#This Row],[Comparable '#1 Price]]/'Comparable #1'!$B$2*100</f>
        <v>99.931553730321696</v>
      </c>
      <c r="D752" s="74">
        <f>Comp2[[#This Row],[Comparable '#2 Price]]/'Comparable #2'!$B$2*100</f>
        <v>71.991951710261574</v>
      </c>
      <c r="E752" s="74">
        <f>Comp3[[#This Row],[Comparable '#3 Price]]/'Comparable #3'!$B$2*100</f>
        <v>64.619059807183689</v>
      </c>
    </row>
    <row r="753" spans="1:5">
      <c r="A753" s="96">
        <v>44376</v>
      </c>
      <c r="B753" s="74">
        <f>Target1[[#This Row],[Target Price]]/Target!$B$2*100</f>
        <v>189.81966259453171</v>
      </c>
      <c r="C753" s="74">
        <f>Comp1[[#This Row],[Comparable '#1 Price]]/'Comparable #1'!$B$2*100</f>
        <v>99.110198494182072</v>
      </c>
      <c r="D753" s="74">
        <f>Comp2[[#This Row],[Comparable '#2 Price]]/'Comparable #2'!$B$2*100</f>
        <v>71.971830985915503</v>
      </c>
      <c r="E753" s="74">
        <f>Comp3[[#This Row],[Comparable '#3 Price]]/'Comparable #3'!$B$2*100</f>
        <v>64.712908454909993</v>
      </c>
    </row>
    <row r="754" spans="1:5">
      <c r="A754" s="96">
        <v>44377</v>
      </c>
      <c r="B754" s="74">
        <f>Target1[[#This Row],[Target Price]]/Target!$B$2*100</f>
        <v>186.91099476439788</v>
      </c>
      <c r="C754" s="74">
        <f>Comp1[[#This Row],[Comparable '#1 Price]]/'Comparable #1'!$B$2*100</f>
        <v>99.315537303216971</v>
      </c>
      <c r="D754" s="74">
        <f>Comp2[[#This Row],[Comparable '#2 Price]]/'Comparable #2'!$B$2*100</f>
        <v>71.710261569416502</v>
      </c>
      <c r="E754" s="74">
        <f>Comp3[[#This Row],[Comparable '#3 Price]]/'Comparable #3'!$B$2*100</f>
        <v>64.892074055114762</v>
      </c>
    </row>
    <row r="755" spans="1:5">
      <c r="A755" s="96">
        <v>44378</v>
      </c>
      <c r="B755" s="74">
        <f>Target1[[#This Row],[Target Price]]/Target!$B$2*100</f>
        <v>190.69226294357185</v>
      </c>
      <c r="C755" s="74">
        <f>Comp1[[#This Row],[Comparable '#1 Price]]/'Comparable #1'!$B$2*100</f>
        <v>101.02669404517455</v>
      </c>
      <c r="D755" s="74">
        <f>Comp2[[#This Row],[Comparable '#2 Price]]/'Comparable #2'!$B$2*100</f>
        <v>73.82293762575452</v>
      </c>
      <c r="E755" s="74">
        <f>Comp3[[#This Row],[Comparable '#3 Price]]/'Comparable #3'!$B$2*100</f>
        <v>65.830560532377774</v>
      </c>
    </row>
    <row r="756" spans="1:5">
      <c r="A756" s="96">
        <v>44379</v>
      </c>
      <c r="B756" s="74">
        <f>Target1[[#This Row],[Target Price]]/Target!$B$2*100</f>
        <v>189.58696916812102</v>
      </c>
      <c r="C756" s="74">
        <f>Comp1[[#This Row],[Comparable '#1 Price]]/'Comparable #1'!$B$2*100</f>
        <v>101.23203285420945</v>
      </c>
      <c r="D756" s="74">
        <f>Comp2[[#This Row],[Comparable '#2 Price]]/'Comparable #2'!$B$2*100</f>
        <v>79.698189134808857</v>
      </c>
      <c r="E756" s="74">
        <f>Comp3[[#This Row],[Comparable '#3 Price]]/'Comparable #3'!$B$2*100</f>
        <v>64.968859312345373</v>
      </c>
    </row>
    <row r="757" spans="1:5">
      <c r="A757" s="96">
        <v>44383</v>
      </c>
      <c r="B757" s="74">
        <f>Target1[[#This Row],[Target Price]]/Target!$B$2*100</f>
        <v>166.5503199534613</v>
      </c>
      <c r="C757" s="74">
        <f>Comp1[[#This Row],[Comparable '#1 Price]]/'Comparable #1'!$B$2*100</f>
        <v>101.71115674195757</v>
      </c>
      <c r="D757" s="74">
        <f>Comp2[[#This Row],[Comparable '#2 Price]]/'Comparable #2'!$B$2*100</f>
        <v>77.686116700201197</v>
      </c>
      <c r="E757" s="74">
        <f>Comp3[[#This Row],[Comparable '#3 Price]]/'Comparable #3'!$B$2*100</f>
        <v>64.82382049313199</v>
      </c>
    </row>
    <row r="758" spans="1:5">
      <c r="A758" s="96">
        <v>44384</v>
      </c>
      <c r="B758" s="74">
        <f>Target1[[#This Row],[Target Price]]/Target!$B$2*100</f>
        <v>171.72774869109946</v>
      </c>
      <c r="C758" s="74">
        <f>Comp1[[#This Row],[Comparable '#1 Price]]/'Comparable #1'!$B$2*100</f>
        <v>101.77960301163587</v>
      </c>
      <c r="D758" s="74">
        <f>Comp2[[#This Row],[Comparable '#2 Price]]/'Comparable #2'!$B$2*100</f>
        <v>75.714285714285708</v>
      </c>
      <c r="E758" s="74">
        <f>Comp3[[#This Row],[Comparable '#3 Price]]/'Comparable #3'!$B$2*100</f>
        <v>63.296647043767592</v>
      </c>
    </row>
    <row r="759" spans="1:5">
      <c r="A759" s="96">
        <v>44385</v>
      </c>
      <c r="B759" s="74">
        <f>Target1[[#This Row],[Target Price]]/Target!$B$2*100</f>
        <v>166.84118673647467</v>
      </c>
      <c r="C759" s="74">
        <f>Comp1[[#This Row],[Comparable '#1 Price]]/'Comparable #1'!$B$2*100</f>
        <v>99.178644763860376</v>
      </c>
      <c r="D759" s="74">
        <f>Comp2[[#This Row],[Comparable '#2 Price]]/'Comparable #2'!$B$2*100</f>
        <v>74.325955734406435</v>
      </c>
      <c r="E759" s="74">
        <f>Comp3[[#This Row],[Comparable '#3 Price]]/'Comparable #3'!$B$2*100</f>
        <v>61.095469669823402</v>
      </c>
    </row>
    <row r="760" spans="1:5">
      <c r="A760" s="96">
        <v>44386</v>
      </c>
      <c r="B760" s="74">
        <f>Target1[[#This Row],[Target Price]]/Target!$B$2*100</f>
        <v>173.70564281559044</v>
      </c>
      <c r="C760" s="74">
        <f>Comp1[[#This Row],[Comparable '#1 Price]]/'Comparable #1'!$B$2*100</f>
        <v>100.0684462696783</v>
      </c>
      <c r="D760" s="74">
        <f>Comp2[[#This Row],[Comparable '#2 Price]]/'Comparable #2'!$B$2*100</f>
        <v>75.432595573440636</v>
      </c>
      <c r="E760" s="74">
        <f>Comp3[[#This Row],[Comparable '#3 Price]]/'Comparable #3'!$B$2*100</f>
        <v>62.247248528282576</v>
      </c>
    </row>
    <row r="761" spans="1:5">
      <c r="A761" s="96">
        <v>44389</v>
      </c>
      <c r="B761" s="74">
        <f>Target1[[#This Row],[Target Price]]/Target!$B$2*100</f>
        <v>179.52297847585803</v>
      </c>
      <c r="C761" s="74">
        <f>Comp1[[#This Row],[Comparable '#1 Price]]/'Comparable #1'!$B$2*100</f>
        <v>100.95824777549625</v>
      </c>
      <c r="D761" s="74">
        <f>Comp2[[#This Row],[Comparable '#2 Price]]/'Comparable #2'!$B$2*100</f>
        <v>76.317907444667995</v>
      </c>
      <c r="E761" s="74">
        <f>Comp3[[#This Row],[Comparable '#3 Price]]/'Comparable #3'!$B$2*100</f>
        <v>62.230185137786876</v>
      </c>
    </row>
    <row r="762" spans="1:5">
      <c r="A762" s="96">
        <v>44390</v>
      </c>
      <c r="B762" s="74">
        <f>Target1[[#This Row],[Target Price]]/Target!$B$2*100</f>
        <v>183.47876672484</v>
      </c>
      <c r="C762" s="74">
        <f>Comp1[[#This Row],[Comparable '#1 Price]]/'Comparable #1'!$B$2*100</f>
        <v>100.0684462696783</v>
      </c>
      <c r="D762" s="74">
        <f>Comp2[[#This Row],[Comparable '#2 Price]]/'Comparable #2'!$B$2*100</f>
        <v>75.573440643863179</v>
      </c>
      <c r="E762" s="74">
        <f>Comp3[[#This Row],[Comparable '#3 Price]]/'Comparable #3'!$B$2*100</f>
        <v>61.50499104171999</v>
      </c>
    </row>
    <row r="763" spans="1:5">
      <c r="A763" s="96">
        <v>44391</v>
      </c>
      <c r="B763" s="74">
        <f>Target1[[#This Row],[Target Price]]/Target!$B$2*100</f>
        <v>179.8720186154741</v>
      </c>
      <c r="C763" s="74">
        <f>Comp1[[#This Row],[Comparable '#1 Price]]/'Comparable #1'!$B$2*100</f>
        <v>99.863107460643391</v>
      </c>
      <c r="D763" s="74">
        <f>Comp2[[#This Row],[Comparable '#2 Price]]/'Comparable #2'!$B$2*100</f>
        <v>73.742454728370205</v>
      </c>
      <c r="E763" s="74">
        <f>Comp3[[#This Row],[Comparable '#3 Price]]/'Comparable #3'!$B$2*100</f>
        <v>61.479395955976457</v>
      </c>
    </row>
    <row r="764" spans="1:5">
      <c r="A764" s="96">
        <v>44392</v>
      </c>
      <c r="B764" s="74">
        <f>Target1[[#This Row],[Target Price]]/Target!$B$2*100</f>
        <v>181.15183246073298</v>
      </c>
      <c r="C764" s="74">
        <f>Comp1[[#This Row],[Comparable '#1 Price]]/'Comparable #1'!$B$2*100</f>
        <v>99.726214921286797</v>
      </c>
      <c r="D764" s="74">
        <f>Comp2[[#This Row],[Comparable '#2 Price]]/'Comparable #2'!$B$2*100</f>
        <v>72.092555331991946</v>
      </c>
      <c r="E764" s="74">
        <f>Comp3[[#This Row],[Comparable '#3 Price]]/'Comparable #3'!$B$2*100</f>
        <v>60.788328640900943</v>
      </c>
    </row>
    <row r="765" spans="1:5">
      <c r="A765" s="96">
        <v>44393</v>
      </c>
      <c r="B765" s="74">
        <f>Target1[[#This Row],[Target Price]]/Target!$B$2*100</f>
        <v>184.00232693426409</v>
      </c>
      <c r="C765" s="74">
        <f>Comp1[[#This Row],[Comparable '#1 Price]]/'Comparable #1'!$B$2*100</f>
        <v>99.110198494182072</v>
      </c>
      <c r="D765" s="74">
        <f>Comp2[[#This Row],[Comparable '#2 Price]]/'Comparable #2'!$B$2*100</f>
        <v>70.90543259557343</v>
      </c>
      <c r="E765" s="74">
        <f>Comp3[[#This Row],[Comparable '#3 Price]]/'Comparable #3'!$B$2*100</f>
        <v>60.310553707021583</v>
      </c>
    </row>
    <row r="766" spans="1:5">
      <c r="A766" s="96">
        <v>44396</v>
      </c>
      <c r="B766" s="74">
        <f>Target1[[#This Row],[Target Price]]/Target!$B$2*100</f>
        <v>195.17161140197788</v>
      </c>
      <c r="C766" s="74">
        <f>Comp1[[#This Row],[Comparable '#1 Price]]/'Comparable #1'!$B$2*100</f>
        <v>99.24709103353868</v>
      </c>
      <c r="D766" s="74">
        <f>Comp2[[#This Row],[Comparable '#2 Price]]/'Comparable #2'!$B$2*100</f>
        <v>70.442655935613672</v>
      </c>
      <c r="E766" s="74">
        <f>Comp3[[#This Row],[Comparable '#3 Price]]/'Comparable #3'!$B$2*100</f>
        <v>60.336148792765123</v>
      </c>
    </row>
    <row r="767" spans="1:5">
      <c r="A767" s="96">
        <v>44397</v>
      </c>
      <c r="B767" s="74">
        <f>Target1[[#This Row],[Target Price]]/Target!$B$2*100</f>
        <v>186.1547411285631</v>
      </c>
      <c r="C767" s="74">
        <f>Comp1[[#This Row],[Comparable '#1 Price]]/'Comparable #1'!$B$2*100</f>
        <v>100.95824777549625</v>
      </c>
      <c r="D767" s="74">
        <f>Comp2[[#This Row],[Comparable '#2 Price]]/'Comparable #2'!$B$2*100</f>
        <v>72.494969818913475</v>
      </c>
      <c r="E767" s="74">
        <f>Comp3[[#This Row],[Comparable '#3 Price]]/'Comparable #3'!$B$2*100</f>
        <v>60.873645593379401</v>
      </c>
    </row>
    <row r="768" spans="1:5">
      <c r="A768" s="96">
        <v>44398</v>
      </c>
      <c r="B768" s="74">
        <f>Target1[[#This Row],[Target Price]]/Target!$B$2*100</f>
        <v>187.20186154741128</v>
      </c>
      <c r="C768" s="74">
        <f>Comp1[[#This Row],[Comparable '#1 Price]]/'Comparable #1'!$B$2*100</f>
        <v>100.41067761806981</v>
      </c>
      <c r="D768" s="74">
        <f>Comp2[[#This Row],[Comparable '#2 Price]]/'Comparable #2'!$B$2*100</f>
        <v>73.239436619718305</v>
      </c>
      <c r="E768" s="74">
        <f>Comp3[[#This Row],[Comparable '#3 Price]]/'Comparable #3'!$B$2*100</f>
        <v>60.882177288627247</v>
      </c>
    </row>
    <row r="769" spans="1:5">
      <c r="A769" s="96">
        <v>44399</v>
      </c>
      <c r="B769" s="74">
        <f>Target1[[#This Row],[Target Price]]/Target!$B$2*100</f>
        <v>182.19895287958116</v>
      </c>
      <c r="C769" s="74">
        <f>Comp1[[#This Row],[Comparable '#1 Price]]/'Comparable #1'!$B$2*100</f>
        <v>98.973305954825477</v>
      </c>
      <c r="D769" s="74">
        <f>Comp2[[#This Row],[Comparable '#2 Price]]/'Comparable #2'!$B$2*100</f>
        <v>70.563380281690129</v>
      </c>
      <c r="E769" s="74">
        <f>Comp3[[#This Row],[Comparable '#3 Price]]/'Comparable #3'!$B$2*100</f>
        <v>60.498251002474191</v>
      </c>
    </row>
    <row r="770" spans="1:5">
      <c r="A770" s="96">
        <v>44400</v>
      </c>
      <c r="B770" s="74">
        <f>Target1[[#This Row],[Target Price]]/Target!$B$2*100</f>
        <v>180.22105875509016</v>
      </c>
      <c r="C770" s="74">
        <f>Comp1[[#This Row],[Comparable '#1 Price]]/'Comparable #1'!$B$2*100</f>
        <v>99.452429842573579</v>
      </c>
      <c r="D770" s="74">
        <f>Comp2[[#This Row],[Comparable '#2 Price]]/'Comparable #2'!$B$2*100</f>
        <v>71.468812877263588</v>
      </c>
      <c r="E770" s="74">
        <f>Comp3[[#This Row],[Comparable '#3 Price]]/'Comparable #3'!$B$2*100</f>
        <v>60.412934049995734</v>
      </c>
    </row>
    <row r="771" spans="1:5">
      <c r="A771" s="96">
        <v>44403</v>
      </c>
      <c r="B771" s="74">
        <f>Target1[[#This Row],[Target Price]]/Target!$B$2*100</f>
        <v>176.14892379290282</v>
      </c>
      <c r="C771" s="74">
        <f>Comp1[[#This Row],[Comparable '#1 Price]]/'Comparable #1'!$B$2*100</f>
        <v>99.178644763860376</v>
      </c>
      <c r="D771" s="74">
        <f>Comp2[[#This Row],[Comparable '#2 Price]]/'Comparable #2'!$B$2*100</f>
        <v>71.167002012072416</v>
      </c>
      <c r="E771" s="74">
        <f>Comp3[[#This Row],[Comparable '#3 Price]]/'Comparable #3'!$B$2*100</f>
        <v>60.455592526234966</v>
      </c>
    </row>
    <row r="772" spans="1:5">
      <c r="A772" s="96">
        <v>44404</v>
      </c>
      <c r="B772" s="74">
        <f>Target1[[#This Row],[Target Price]]/Target!$B$2*100</f>
        <v>170.33158813263526</v>
      </c>
      <c r="C772" s="74">
        <f>Comp1[[#This Row],[Comparable '#1 Price]]/'Comparable #1'!$B$2*100</f>
        <v>98.836413415468854</v>
      </c>
      <c r="D772" s="74">
        <f>Comp2[[#This Row],[Comparable '#2 Price]]/'Comparable #2'!$B$2*100</f>
        <v>70.865191146881273</v>
      </c>
      <c r="E772" s="74">
        <f>Comp3[[#This Row],[Comparable '#3 Price]]/'Comparable #3'!$B$2*100</f>
        <v>61.658561556181212</v>
      </c>
    </row>
    <row r="773" spans="1:5">
      <c r="A773" s="96">
        <v>44405</v>
      </c>
      <c r="B773" s="74">
        <f>Target1[[#This Row],[Target Price]]/Target!$B$2*100</f>
        <v>175.5090168702734</v>
      </c>
      <c r="C773" s="74">
        <f>Comp1[[#This Row],[Comparable '#1 Price]]/'Comparable #1'!$B$2*100</f>
        <v>100.88980150581794</v>
      </c>
      <c r="D773" s="74">
        <f>Comp2[[#This Row],[Comparable '#2 Price]]/'Comparable #2'!$B$2*100</f>
        <v>73.400402414486905</v>
      </c>
      <c r="E773" s="74">
        <f>Comp3[[#This Row],[Comparable '#3 Price]]/'Comparable #3'!$B$2*100</f>
        <v>66.572818018940367</v>
      </c>
    </row>
    <row r="774" spans="1:5">
      <c r="A774" s="96">
        <v>44406</v>
      </c>
      <c r="B774" s="74">
        <f>Target1[[#This Row],[Target Price]]/Target!$B$2*100</f>
        <v>177.71960442117509</v>
      </c>
      <c r="C774" s="74">
        <f>Comp1[[#This Row],[Comparable '#1 Price]]/'Comparable #1'!$B$2*100</f>
        <v>102.80629705681041</v>
      </c>
      <c r="D774" s="74">
        <f>Comp2[[#This Row],[Comparable '#2 Price]]/'Comparable #2'!$B$2*100</f>
        <v>73.179074446680076</v>
      </c>
      <c r="E774" s="74">
        <f>Comp3[[#This Row],[Comparable '#3 Price]]/'Comparable #3'!$B$2*100</f>
        <v>68.518044535449192</v>
      </c>
    </row>
    <row r="775" spans="1:5">
      <c r="A775" s="96">
        <v>44407</v>
      </c>
      <c r="B775" s="74">
        <f>Target1[[#This Row],[Target Price]]/Target!$B$2*100</f>
        <v>178.35951134380451</v>
      </c>
      <c r="C775" s="74">
        <f>Comp1[[#This Row],[Comparable '#1 Price]]/'Comparable #1'!$B$2*100</f>
        <v>101.36892539356606</v>
      </c>
      <c r="D775" s="74">
        <f>Comp2[[#This Row],[Comparable '#2 Price]]/'Comparable #2'!$B$2*100</f>
        <v>73.118712273641847</v>
      </c>
      <c r="E775" s="74">
        <f>Comp3[[#This Row],[Comparable '#3 Price]]/'Comparable #3'!$B$2*100</f>
        <v>67.647811620168937</v>
      </c>
    </row>
    <row r="776" spans="1:5">
      <c r="A776" s="96">
        <v>44410</v>
      </c>
      <c r="B776" s="74">
        <f>Target1[[#This Row],[Target Price]]/Target!$B$2*100</f>
        <v>178.65037812681791</v>
      </c>
      <c r="C776" s="74">
        <f>Comp1[[#This Row],[Comparable '#1 Price]]/'Comparable #1'!$B$2*100</f>
        <v>101.98494182067077</v>
      </c>
      <c r="D776" s="74">
        <f>Comp2[[#This Row],[Comparable '#2 Price]]/'Comparable #2'!$B$2*100</f>
        <v>73.722334004024134</v>
      </c>
      <c r="E776" s="74">
        <f>Comp3[[#This Row],[Comparable '#3 Price]]/'Comparable #3'!$B$2*100</f>
        <v>67.366265676990011</v>
      </c>
    </row>
    <row r="777" spans="1:5">
      <c r="A777" s="96">
        <v>44411</v>
      </c>
      <c r="B777" s="74">
        <f>Target1[[#This Row],[Target Price]]/Target!$B$2*100</f>
        <v>181.84991273996508</v>
      </c>
      <c r="C777" s="74">
        <f>Comp1[[#This Row],[Comparable '#1 Price]]/'Comparable #1'!$B$2*100</f>
        <v>103.55920602327173</v>
      </c>
      <c r="D777" s="74">
        <f>Comp2[[#This Row],[Comparable '#2 Price]]/'Comparable #2'!$B$2*100</f>
        <v>75.573440643863179</v>
      </c>
      <c r="E777" s="74">
        <f>Comp3[[#This Row],[Comparable '#3 Price]]/'Comparable #3'!$B$2*100</f>
        <v>67.400392457981411</v>
      </c>
    </row>
    <row r="778" spans="1:5">
      <c r="A778" s="96">
        <v>44412</v>
      </c>
      <c r="B778" s="74">
        <f>Target1[[#This Row],[Target Price]]/Target!$B$2*100</f>
        <v>176.09075043630017</v>
      </c>
      <c r="C778" s="74">
        <f>Comp1[[#This Row],[Comparable '#1 Price]]/'Comparable #1'!$B$2*100</f>
        <v>102.66940451745381</v>
      </c>
      <c r="D778" s="74">
        <f>Comp2[[#This Row],[Comparable '#2 Price]]/'Comparable #2'!$B$2*100</f>
        <v>74.406438631790735</v>
      </c>
      <c r="E778" s="74">
        <f>Comp3[[#This Row],[Comparable '#3 Price]]/'Comparable #3'!$B$2*100</f>
        <v>66.965276000341262</v>
      </c>
    </row>
    <row r="779" spans="1:5">
      <c r="A779" s="96">
        <v>44413</v>
      </c>
      <c r="B779" s="74">
        <f>Target1[[#This Row],[Target Price]]/Target!$B$2*100</f>
        <v>176.96335078534031</v>
      </c>
      <c r="C779" s="74">
        <f>Comp1[[#This Row],[Comparable '#1 Price]]/'Comparable #1'!$B$2*100</f>
        <v>105.74948665297741</v>
      </c>
      <c r="D779" s="74">
        <f>Comp2[[#This Row],[Comparable '#2 Price]]/'Comparable #2'!$B$2*100</f>
        <v>75.110663983903407</v>
      </c>
      <c r="E779" s="74">
        <f>Comp3[[#This Row],[Comparable '#3 Price]]/'Comparable #3'!$B$2*100</f>
        <v>67.374797372237865</v>
      </c>
    </row>
    <row r="780" spans="1:5">
      <c r="A780" s="96">
        <v>44414</v>
      </c>
      <c r="B780" s="74">
        <f>Target1[[#This Row],[Target Price]]/Target!$B$2*100</f>
        <v>174.69458987783594</v>
      </c>
      <c r="C780" s="74">
        <f>Comp1[[#This Row],[Comparable '#1 Price]]/'Comparable #1'!$B$2*100</f>
        <v>106.91307323750856</v>
      </c>
      <c r="D780" s="74">
        <f>Comp2[[#This Row],[Comparable '#2 Price]]/'Comparable #2'!$B$2*100</f>
        <v>73.82293762575452</v>
      </c>
      <c r="E780" s="74">
        <f>Comp3[[#This Row],[Comparable '#3 Price]]/'Comparable #3'!$B$2*100</f>
        <v>64.960327617097519</v>
      </c>
    </row>
    <row r="781" spans="1:5">
      <c r="A781" s="96">
        <v>44417</v>
      </c>
      <c r="B781" s="74">
        <f>Target1[[#This Row],[Target Price]]/Target!$B$2*100</f>
        <v>178.8830715532286</v>
      </c>
      <c r="C781" s="74">
        <f>Comp1[[#This Row],[Comparable '#1 Price]]/'Comparable #1'!$B$2*100</f>
        <v>105.1334702258727</v>
      </c>
      <c r="D781" s="74">
        <f>Comp2[[#This Row],[Comparable '#2 Price]]/'Comparable #2'!$B$2*100</f>
        <v>73.138832997987919</v>
      </c>
      <c r="E781" s="74">
        <f>Comp3[[#This Row],[Comparable '#3 Price]]/'Comparable #3'!$B$2*100</f>
        <v>65.045644569575984</v>
      </c>
    </row>
    <row r="782" spans="1:5">
      <c r="A782" s="96">
        <v>44418</v>
      </c>
      <c r="B782" s="74">
        <f>Target1[[#This Row],[Target Price]]/Target!$B$2*100</f>
        <v>178.59220477021523</v>
      </c>
      <c r="C782" s="74">
        <f>Comp1[[#This Row],[Comparable '#1 Price]]/'Comparable #1'!$B$2*100</f>
        <v>104.85968514715948</v>
      </c>
      <c r="D782" s="74">
        <f>Comp2[[#This Row],[Comparable '#2 Price]]/'Comparable #2'!$B$2*100</f>
        <v>73.299798792756533</v>
      </c>
      <c r="E782" s="74">
        <f>Comp3[[#This Row],[Comparable '#3 Price]]/'Comparable #3'!$B$2*100</f>
        <v>64.13275317805649</v>
      </c>
    </row>
    <row r="783" spans="1:5">
      <c r="A783" s="96">
        <v>44419</v>
      </c>
      <c r="B783" s="74">
        <f>Target1[[#This Row],[Target Price]]/Target!$B$2*100</f>
        <v>192.49563699825481</v>
      </c>
      <c r="C783" s="74">
        <f>Comp1[[#This Row],[Comparable '#1 Price]]/'Comparable #1'!$B$2*100</f>
        <v>105.20191649555099</v>
      </c>
      <c r="D783" s="74">
        <f>Comp2[[#This Row],[Comparable '#2 Price]]/'Comparable #2'!$B$2*100</f>
        <v>74.82897384305835</v>
      </c>
      <c r="E783" s="74">
        <f>Comp3[[#This Row],[Comparable '#3 Price]]/'Comparable #3'!$B$2*100</f>
        <v>64.431362511731081</v>
      </c>
    </row>
    <row r="784" spans="1:5">
      <c r="A784" s="96">
        <v>44420</v>
      </c>
      <c r="B784" s="74">
        <f>Target1[[#This Row],[Target Price]]/Target!$B$2*100</f>
        <v>194.24083769633506</v>
      </c>
      <c r="C784" s="74">
        <f>Comp1[[#This Row],[Comparable '#1 Price]]/'Comparable #1'!$B$2*100</f>
        <v>107.11841204654347</v>
      </c>
      <c r="D784" s="74">
        <f>Comp2[[#This Row],[Comparable '#2 Price]]/'Comparable #2'!$B$2*100</f>
        <v>75.593561368209251</v>
      </c>
      <c r="E784" s="74">
        <f>Comp3[[#This Row],[Comparable '#3 Price]]/'Comparable #3'!$B$2*100</f>
        <v>64.311918778261244</v>
      </c>
    </row>
    <row r="785" spans="1:5">
      <c r="A785" s="96">
        <v>44421</v>
      </c>
      <c r="B785" s="74">
        <f>Target1[[#This Row],[Target Price]]/Target!$B$2*100</f>
        <v>207.21349621873179</v>
      </c>
      <c r="C785" s="74">
        <f>Comp1[[#This Row],[Comparable '#1 Price]]/'Comparable #1'!$B$2*100</f>
        <v>110.19849418206708</v>
      </c>
      <c r="D785" s="74">
        <f>Comp2[[#This Row],[Comparable '#2 Price]]/'Comparable #2'!$B$2*100</f>
        <v>75.935613682092551</v>
      </c>
      <c r="E785" s="74">
        <f>Comp3[[#This Row],[Comparable '#3 Price]]/'Comparable #3'!$B$2*100</f>
        <v>65.062707960071677</v>
      </c>
    </row>
    <row r="786" spans="1:5">
      <c r="A786" s="96">
        <v>44424</v>
      </c>
      <c r="B786" s="74">
        <f>Target1[[#This Row],[Target Price]]/Target!$B$2*100</f>
        <v>203.95578824898197</v>
      </c>
      <c r="C786" s="74">
        <f>Comp1[[#This Row],[Comparable '#1 Price]]/'Comparable #1'!$B$2*100</f>
        <v>109.24024640657086</v>
      </c>
      <c r="D786" s="74">
        <f>Comp2[[#This Row],[Comparable '#2 Price]]/'Comparable #2'!$B$2*100</f>
        <v>74.024144869215277</v>
      </c>
      <c r="E786" s="74">
        <f>Comp3[[#This Row],[Comparable '#3 Price]]/'Comparable #3'!$B$2*100</f>
        <v>64.081563006569411</v>
      </c>
    </row>
    <row r="787" spans="1:5">
      <c r="A787" s="96">
        <v>44425</v>
      </c>
      <c r="B787" s="74">
        <f>Target1[[#This Row],[Target Price]]/Target!$B$2*100</f>
        <v>197.55671902268762</v>
      </c>
      <c r="C787" s="74">
        <f>Comp1[[#This Row],[Comparable '#1 Price]]/'Comparable #1'!$B$2*100</f>
        <v>107.32375085557837</v>
      </c>
      <c r="D787" s="74">
        <f>Comp2[[#This Row],[Comparable '#2 Price]]/'Comparable #2'!$B$2*100</f>
        <v>72.454728370221318</v>
      </c>
      <c r="E787" s="74">
        <f>Comp3[[#This Row],[Comparable '#3 Price]]/'Comparable #3'!$B$2*100</f>
        <v>63.936524187356028</v>
      </c>
    </row>
    <row r="788" spans="1:5">
      <c r="A788" s="96">
        <v>44426</v>
      </c>
      <c r="B788" s="74">
        <f>Target1[[#This Row],[Target Price]]/Target!$B$2*100</f>
        <v>193.13554392088423</v>
      </c>
      <c r="C788" s="74">
        <f>Comp1[[#This Row],[Comparable '#1 Price]]/'Comparable #1'!$B$2*100</f>
        <v>106.70773442847366</v>
      </c>
      <c r="D788" s="74">
        <f>Comp2[[#This Row],[Comparable '#2 Price]]/'Comparable #2'!$B$2*100</f>
        <v>71.368209255533188</v>
      </c>
      <c r="E788" s="74">
        <f>Comp3[[#This Row],[Comparable '#3 Price]]/'Comparable #3'!$B$2*100</f>
        <v>62.434945823735191</v>
      </c>
    </row>
    <row r="789" spans="1:5">
      <c r="A789" s="96">
        <v>44427</v>
      </c>
      <c r="B789" s="74">
        <f>Target1[[#This Row],[Target Price]]/Target!$B$2*100</f>
        <v>197.96393251890635</v>
      </c>
      <c r="C789" s="74">
        <f>Comp1[[#This Row],[Comparable '#1 Price]]/'Comparable #1'!$B$2*100</f>
        <v>105.06502395619439</v>
      </c>
      <c r="D789" s="74">
        <f>Comp2[[#This Row],[Comparable '#2 Price]]/'Comparable #2'!$B$2*100</f>
        <v>69.617706237424542</v>
      </c>
      <c r="E789" s="74">
        <f>Comp3[[#This Row],[Comparable '#3 Price]]/'Comparable #3'!$B$2*100</f>
        <v>62.605579728692092</v>
      </c>
    </row>
    <row r="790" spans="1:5">
      <c r="A790" s="96">
        <v>44428</v>
      </c>
      <c r="B790" s="74">
        <f>Target1[[#This Row],[Target Price]]/Target!$B$2*100</f>
        <v>198.37114601512508</v>
      </c>
      <c r="C790" s="74">
        <f>Comp1[[#This Row],[Comparable '#1 Price]]/'Comparable #1'!$B$2*100</f>
        <v>106.91307323750856</v>
      </c>
      <c r="D790" s="74">
        <f>Comp2[[#This Row],[Comparable '#2 Price]]/'Comparable #2'!$B$2*100</f>
        <v>72.313883299798789</v>
      </c>
      <c r="E790" s="74">
        <f>Comp3[[#This Row],[Comparable '#3 Price]]/'Comparable #3'!$B$2*100</f>
        <v>65.045644569575984</v>
      </c>
    </row>
    <row r="791" spans="1:5">
      <c r="A791" s="96">
        <v>44431</v>
      </c>
      <c r="B791" s="74">
        <f>Target1[[#This Row],[Target Price]]/Target!$B$2*100</f>
        <v>200.05817335660265</v>
      </c>
      <c r="C791" s="74">
        <f>Comp1[[#This Row],[Comparable '#1 Price]]/'Comparable #1'!$B$2*100</f>
        <v>108.00821355236138</v>
      </c>
      <c r="D791" s="74">
        <f>Comp2[[#This Row],[Comparable '#2 Price]]/'Comparable #2'!$B$2*100</f>
        <v>74.144869215291749</v>
      </c>
      <c r="E791" s="74">
        <f>Comp3[[#This Row],[Comparable '#3 Price]]/'Comparable #3'!$B$2*100</f>
        <v>65.898814094360546</v>
      </c>
    </row>
    <row r="792" spans="1:5">
      <c r="A792" s="96">
        <v>44432</v>
      </c>
      <c r="B792" s="74">
        <f>Target1[[#This Row],[Target Price]]/Target!$B$2*100</f>
        <v>195.3461314717859</v>
      </c>
      <c r="C792" s="74">
        <f>Comp1[[#This Row],[Comparable '#1 Price]]/'Comparable #1'!$B$2*100</f>
        <v>109.58247775496237</v>
      </c>
      <c r="D792" s="74">
        <f>Comp2[[#This Row],[Comparable '#2 Price]]/'Comparable #2'!$B$2*100</f>
        <v>71.589537223340031</v>
      </c>
      <c r="E792" s="74">
        <f>Comp3[[#This Row],[Comparable '#3 Price]]/'Comparable #3'!$B$2*100</f>
        <v>66.385120723487773</v>
      </c>
    </row>
    <row r="793" spans="1:5">
      <c r="A793" s="96">
        <v>44433</v>
      </c>
      <c r="B793" s="74">
        <f>Target1[[#This Row],[Target Price]]/Target!$B$2*100</f>
        <v>201.1052937754508</v>
      </c>
      <c r="C793" s="74">
        <f>Comp1[[#This Row],[Comparable '#1 Price]]/'Comparable #1'!$B$2*100</f>
        <v>109.47980835044491</v>
      </c>
      <c r="D793" s="74">
        <f>Comp2[[#This Row],[Comparable '#2 Price]]/'Comparable #2'!$B$2*100</f>
        <v>73.360160965794762</v>
      </c>
      <c r="E793" s="74">
        <f>Comp3[[#This Row],[Comparable '#3 Price]]/'Comparable #3'!$B$2*100</f>
        <v>65.847623922873481</v>
      </c>
    </row>
    <row r="794" spans="1:5">
      <c r="A794" s="96">
        <v>44434</v>
      </c>
      <c r="B794" s="74">
        <f>Target1[[#This Row],[Target Price]]/Target!$B$2*100</f>
        <v>200.6980802792321</v>
      </c>
      <c r="C794" s="74">
        <f>Comp1[[#This Row],[Comparable '#1 Price]]/'Comparable #1'!$B$2*100</f>
        <v>108.55578370978782</v>
      </c>
      <c r="D794" s="74">
        <f>Comp2[[#This Row],[Comparable '#2 Price]]/'Comparable #2'!$B$2*100</f>
        <v>74.08450704225352</v>
      </c>
      <c r="E794" s="74">
        <f>Comp3[[#This Row],[Comparable '#3 Price]]/'Comparable #3'!$B$2*100</f>
        <v>64.533742854705238</v>
      </c>
    </row>
    <row r="795" spans="1:5">
      <c r="A795" s="96">
        <v>44435</v>
      </c>
      <c r="B795" s="74">
        <f>Target1[[#This Row],[Target Price]]/Target!$B$2*100</f>
        <v>200.17452006980801</v>
      </c>
      <c r="C795" s="74">
        <f>Comp1[[#This Row],[Comparable '#1 Price]]/'Comparable #1'!$B$2*100</f>
        <v>109.44558521560575</v>
      </c>
      <c r="D795" s="74">
        <f>Comp2[[#This Row],[Comparable '#2 Price]]/'Comparable #2'!$B$2*100</f>
        <v>75.613682092555322</v>
      </c>
      <c r="E795" s="74">
        <f>Comp3[[#This Row],[Comparable '#3 Price]]/'Comparable #3'!$B$2*100</f>
        <v>65.617268151181634</v>
      </c>
    </row>
    <row r="796" spans="1:5">
      <c r="A796" s="96">
        <v>44438</v>
      </c>
      <c r="B796" s="74">
        <f>Target1[[#This Row],[Target Price]]/Target!$B$2*100</f>
        <v>200.6980802792321</v>
      </c>
      <c r="C796" s="74">
        <f>Comp1[[#This Row],[Comparable '#1 Price]]/'Comparable #1'!$B$2*100</f>
        <v>109.10335386721424</v>
      </c>
      <c r="D796" s="74">
        <f>Comp2[[#This Row],[Comparable '#2 Price]]/'Comparable #2'!$B$2*100</f>
        <v>73.943661971830977</v>
      </c>
      <c r="E796" s="74">
        <f>Comp3[[#This Row],[Comparable '#3 Price]]/'Comparable #3'!$B$2*100</f>
        <v>66.496032761709756</v>
      </c>
    </row>
    <row r="797" spans="1:5">
      <c r="A797" s="96">
        <v>44439</v>
      </c>
      <c r="B797" s="74">
        <f>Target1[[#This Row],[Target Price]]/Target!$B$2*100</f>
        <v>199.18557300756254</v>
      </c>
      <c r="C797" s="74">
        <f>Comp1[[#This Row],[Comparable '#1 Price]]/'Comparable #1'!$B$2*100</f>
        <v>109.03490759753593</v>
      </c>
      <c r="D797" s="74">
        <f>Comp2[[#This Row],[Comparable '#2 Price]]/'Comparable #2'!$B$2*100</f>
        <v>74.446680080482892</v>
      </c>
      <c r="E797" s="74">
        <f>Comp3[[#This Row],[Comparable '#3 Price]]/'Comparable #3'!$B$2*100</f>
        <v>66.786110400136508</v>
      </c>
    </row>
    <row r="798" spans="1:5">
      <c r="A798" s="96">
        <v>44440</v>
      </c>
      <c r="B798" s="74">
        <f>Target1[[#This Row],[Target Price]]/Target!$B$2*100</f>
        <v>200.46538685282141</v>
      </c>
      <c r="C798" s="74">
        <f>Comp1[[#This Row],[Comparable '#1 Price]]/'Comparable #1'!$B$2*100</f>
        <v>108.89801505817933</v>
      </c>
      <c r="D798" s="74">
        <f>Comp2[[#This Row],[Comparable '#2 Price]]/'Comparable #2'!$B$2*100</f>
        <v>74.627766599597592</v>
      </c>
      <c r="E798" s="74">
        <f>Comp3[[#This Row],[Comparable '#3 Price]]/'Comparable #3'!$B$2*100</f>
        <v>66.410715809231306</v>
      </c>
    </row>
    <row r="799" spans="1:5">
      <c r="A799" s="96">
        <v>44441</v>
      </c>
      <c r="B799" s="74">
        <f>Target1[[#This Row],[Target Price]]/Target!$B$2*100</f>
        <v>200.23269342641069</v>
      </c>
      <c r="C799" s="74">
        <f>Comp1[[#This Row],[Comparable '#1 Price]]/'Comparable #1'!$B$2*100</f>
        <v>108.55578370978782</v>
      </c>
      <c r="D799" s="74">
        <f>Comp2[[#This Row],[Comparable '#2 Price]]/'Comparable #2'!$B$2*100</f>
        <v>75.191146881287722</v>
      </c>
      <c r="E799" s="74">
        <f>Comp3[[#This Row],[Comparable '#3 Price]]/'Comparable #3'!$B$2*100</f>
        <v>66.035321218326089</v>
      </c>
    </row>
    <row r="800" spans="1:5">
      <c r="A800" s="96">
        <v>44442</v>
      </c>
      <c r="B800" s="74">
        <f>Target1[[#This Row],[Target Price]]/Target!$B$2*100</f>
        <v>198.08027923211168</v>
      </c>
      <c r="C800" s="74">
        <f>Comp1[[#This Row],[Comparable '#1 Price]]/'Comparable #1'!$B$2*100</f>
        <v>106.84462696783027</v>
      </c>
      <c r="D800" s="74">
        <f>Comp2[[#This Row],[Comparable '#2 Price]]/'Comparable #2'!$B$2*100</f>
        <v>74.647887323943664</v>
      </c>
      <c r="E800" s="74">
        <f>Comp3[[#This Row],[Comparable '#3 Price]]/'Comparable #3'!$B$2*100</f>
        <v>65.907345789608399</v>
      </c>
    </row>
    <row r="801" spans="1:5">
      <c r="A801" s="96">
        <v>44446</v>
      </c>
      <c r="B801" s="74">
        <f>Target1[[#This Row],[Target Price]]/Target!$B$2*100</f>
        <v>194.06631762652705</v>
      </c>
      <c r="C801" s="74">
        <f>Comp1[[#This Row],[Comparable '#1 Price]]/'Comparable #1'!$B$2*100</f>
        <v>109.65092402464064</v>
      </c>
      <c r="D801" s="74">
        <f>Comp2[[#This Row],[Comparable '#2 Price]]/'Comparable #2'!$B$2*100</f>
        <v>74.849094567404421</v>
      </c>
      <c r="E801" s="74">
        <f>Comp3[[#This Row],[Comparable '#3 Price]]/'Comparable #3'!$B$2*100</f>
        <v>65.847623922873481</v>
      </c>
    </row>
    <row r="802" spans="1:5">
      <c r="A802" s="96">
        <v>44447</v>
      </c>
      <c r="B802" s="74">
        <f>Target1[[#This Row],[Target Price]]/Target!$B$2*100</f>
        <v>193.31006399069224</v>
      </c>
      <c r="C802" s="74">
        <f>Comp1[[#This Row],[Comparable '#1 Price]]/'Comparable #1'!$B$2*100</f>
        <v>111.29363449691994</v>
      </c>
      <c r="D802" s="74">
        <f>Comp2[[#This Row],[Comparable '#2 Price]]/'Comparable #2'!$B$2*100</f>
        <v>76.036217303822923</v>
      </c>
      <c r="E802" s="74">
        <f>Comp3[[#This Row],[Comparable '#3 Price]]/'Comparable #3'!$B$2*100</f>
        <v>67.272417029263707</v>
      </c>
    </row>
    <row r="803" spans="1:5">
      <c r="A803" s="96">
        <v>44448</v>
      </c>
      <c r="B803" s="74">
        <f>Target1[[#This Row],[Target Price]]/Target!$B$2*100</f>
        <v>197.09133216986621</v>
      </c>
      <c r="C803" s="74">
        <f>Comp1[[#This Row],[Comparable '#1 Price]]/'Comparable #1'!$B$2*100</f>
        <v>111.77275838466802</v>
      </c>
      <c r="D803" s="74">
        <f>Comp2[[#This Row],[Comparable '#2 Price]]/'Comparable #2'!$B$2*100</f>
        <v>76.941649899396381</v>
      </c>
      <c r="E803" s="74">
        <f>Comp3[[#This Row],[Comparable '#3 Price]]/'Comparable #3'!$B$2*100</f>
        <v>66.376589028239906</v>
      </c>
    </row>
    <row r="804" spans="1:5">
      <c r="A804" s="96">
        <v>44449</v>
      </c>
      <c r="B804" s="74">
        <f>Target1[[#This Row],[Target Price]]/Target!$B$2*100</f>
        <v>194.58987783595114</v>
      </c>
      <c r="C804" s="74">
        <f>Comp1[[#This Row],[Comparable '#1 Price]]/'Comparable #1'!$B$2*100</f>
        <v>114.98973305954827</v>
      </c>
      <c r="D804" s="74">
        <f>Comp2[[#This Row],[Comparable '#2 Price]]/'Comparable #2'!$B$2*100</f>
        <v>75.331991951710251</v>
      </c>
      <c r="E804" s="74">
        <f>Comp3[[#This Row],[Comparable '#3 Price]]/'Comparable #3'!$B$2*100</f>
        <v>64.371640644996162</v>
      </c>
    </row>
    <row r="805" spans="1:5">
      <c r="A805" s="96">
        <v>44452</v>
      </c>
      <c r="B805" s="74">
        <f>Target1[[#This Row],[Target Price]]/Target!$B$2*100</f>
        <v>193.65910413030829</v>
      </c>
      <c r="C805" s="74">
        <f>Comp1[[#This Row],[Comparable '#1 Price]]/'Comparable #1'!$B$2*100</f>
        <v>116.3586584531143</v>
      </c>
      <c r="D805" s="74">
        <f>Comp2[[#This Row],[Comparable '#2 Price]]/'Comparable #2'!$B$2*100</f>
        <v>76.961770623742453</v>
      </c>
      <c r="E805" s="74">
        <f>Comp3[[#This Row],[Comparable '#3 Price]]/'Comparable #3'!$B$2*100</f>
        <v>62.67383329067485</v>
      </c>
    </row>
    <row r="806" spans="1:5">
      <c r="A806" s="96">
        <v>44453</v>
      </c>
      <c r="B806" s="74">
        <f>Target1[[#This Row],[Target Price]]/Target!$B$2*100</f>
        <v>196.56777196044212</v>
      </c>
      <c r="C806" s="74">
        <f>Comp1[[#This Row],[Comparable '#1 Price]]/'Comparable #1'!$B$2*100</f>
        <v>116.0848733744011</v>
      </c>
      <c r="D806" s="74">
        <f>Comp2[[#This Row],[Comparable '#2 Price]]/'Comparable #2'!$B$2*100</f>
        <v>76.478873239436609</v>
      </c>
      <c r="E806" s="74">
        <f>Comp3[[#This Row],[Comparable '#3 Price]]/'Comparable #3'!$B$2*100</f>
        <v>62.827403805136086</v>
      </c>
    </row>
    <row r="807" spans="1:5">
      <c r="A807" s="96">
        <v>44454</v>
      </c>
      <c r="B807" s="74">
        <f>Target1[[#This Row],[Target Price]]/Target!$B$2*100</f>
        <v>202.3851076207097</v>
      </c>
      <c r="C807" s="74">
        <f>Comp1[[#This Row],[Comparable '#1 Price]]/'Comparable #1'!$B$2*100</f>
        <v>116.0848733744011</v>
      </c>
      <c r="D807" s="74">
        <f>Comp2[[#This Row],[Comparable '#2 Price]]/'Comparable #2'!$B$2*100</f>
        <v>76.881287726358153</v>
      </c>
      <c r="E807" s="74">
        <f>Comp3[[#This Row],[Comparable '#3 Price]]/'Comparable #3'!$B$2*100</f>
        <v>61.044279498336316</v>
      </c>
    </row>
    <row r="808" spans="1:5">
      <c r="A808" s="96">
        <v>44455</v>
      </c>
      <c r="B808" s="74">
        <f>Target1[[#This Row],[Target Price]]/Target!$B$2*100</f>
        <v>203.19953461314716</v>
      </c>
      <c r="C808" s="74">
        <f>Comp1[[#This Row],[Comparable '#1 Price]]/'Comparable #1'!$B$2*100</f>
        <v>119.78097193702943</v>
      </c>
      <c r="D808" s="74">
        <f>Comp2[[#This Row],[Comparable '#2 Price]]/'Comparable #2'!$B$2*100</f>
        <v>76.65995975855131</v>
      </c>
      <c r="E808" s="74">
        <f>Comp3[[#This Row],[Comparable '#3 Price]]/'Comparable #3'!$B$2*100</f>
        <v>60.856582202883715</v>
      </c>
    </row>
    <row r="809" spans="1:5">
      <c r="A809" s="96">
        <v>44456</v>
      </c>
      <c r="B809" s="74">
        <f>Target1[[#This Row],[Target Price]]/Target!$B$2*100</f>
        <v>207.56253635834784</v>
      </c>
      <c r="C809" s="74">
        <f>Comp1[[#This Row],[Comparable '#1 Price]]/'Comparable #1'!$B$2*100</f>
        <v>119.71252566735113</v>
      </c>
      <c r="D809" s="74">
        <f>Comp2[[#This Row],[Comparable '#2 Price]]/'Comparable #2'!$B$2*100</f>
        <v>79.798792756539228</v>
      </c>
      <c r="E809" s="74">
        <f>Comp3[[#This Row],[Comparable '#3 Price]]/'Comparable #3'!$B$2*100</f>
        <v>60.481187611978505</v>
      </c>
    </row>
    <row r="810" spans="1:5">
      <c r="A810" s="96">
        <v>44459</v>
      </c>
      <c r="B810" s="74">
        <f>Target1[[#This Row],[Target Price]]/Target!$B$2*100</f>
        <v>190.63408958696917</v>
      </c>
      <c r="C810" s="74">
        <f>Comp1[[#This Row],[Comparable '#1 Price]]/'Comparable #1'!$B$2*100</f>
        <v>117.65913757700206</v>
      </c>
      <c r="D810" s="74">
        <f>Comp2[[#This Row],[Comparable '#2 Price]]/'Comparable #2'!$B$2*100</f>
        <v>77.585513078470825</v>
      </c>
      <c r="E810" s="74">
        <f>Comp3[[#This Row],[Comparable '#3 Price]]/'Comparable #3'!$B$2*100</f>
        <v>60.336148792765123</v>
      </c>
    </row>
    <row r="811" spans="1:5">
      <c r="A811" s="96">
        <v>44460</v>
      </c>
      <c r="B811" s="74">
        <f>Target1[[#This Row],[Target Price]]/Target!$B$2*100</f>
        <v>195.46247818499128</v>
      </c>
      <c r="C811" s="74">
        <f>Comp1[[#This Row],[Comparable '#1 Price]]/'Comparable #1'!$B$2*100</f>
        <v>117.52224503764546</v>
      </c>
      <c r="D811" s="74">
        <f>Comp2[[#This Row],[Comparable '#2 Price]]/'Comparable #2'!$B$2*100</f>
        <v>76.800804828973838</v>
      </c>
      <c r="E811" s="74">
        <f>Comp3[[#This Row],[Comparable '#3 Price]]/'Comparable #3'!$B$2*100</f>
        <v>59.534169439467618</v>
      </c>
    </row>
    <row r="812" spans="1:5">
      <c r="A812" s="96">
        <v>44461</v>
      </c>
      <c r="B812" s="74">
        <f>Target1[[#This Row],[Target Price]]/Target!$B$2*100</f>
        <v>199.12739965095983</v>
      </c>
      <c r="C812" s="74">
        <f>Comp1[[#This Row],[Comparable '#1 Price]]/'Comparable #1'!$B$2*100</f>
        <v>117.38535249828882</v>
      </c>
      <c r="D812" s="74">
        <f>Comp2[[#This Row],[Comparable '#2 Price]]/'Comparable #2'!$B$2*100</f>
        <v>76.941649899396381</v>
      </c>
      <c r="E812" s="74">
        <f>Comp3[[#This Row],[Comparable '#3 Price]]/'Comparable #3'!$B$2*100</f>
        <v>59.576827915706851</v>
      </c>
    </row>
    <row r="813" spans="1:5">
      <c r="A813" s="96">
        <v>44462</v>
      </c>
      <c r="B813" s="74">
        <f>Target1[[#This Row],[Target Price]]/Target!$B$2*100</f>
        <v>203.78126817917394</v>
      </c>
      <c r="C813" s="74">
        <f>Comp1[[#This Row],[Comparable '#1 Price]]/'Comparable #1'!$B$2*100</f>
        <v>120.05475701574264</v>
      </c>
      <c r="D813" s="74">
        <f>Comp2[[#This Row],[Comparable '#2 Price]]/'Comparable #2'!$B$2*100</f>
        <v>77.464788732394368</v>
      </c>
      <c r="E813" s="74">
        <f>Comp3[[#This Row],[Comparable '#3 Price]]/'Comparable #3'!$B$2*100</f>
        <v>60.873645593379401</v>
      </c>
    </row>
    <row r="814" spans="1:5">
      <c r="A814" s="96">
        <v>44463</v>
      </c>
      <c r="B814" s="74">
        <f>Target1[[#This Row],[Target Price]]/Target!$B$2*100</f>
        <v>209.54043048283887</v>
      </c>
      <c r="C814" s="74">
        <f>Comp1[[#This Row],[Comparable '#1 Price]]/'Comparable #1'!$B$2*100</f>
        <v>118.00136892539356</v>
      </c>
      <c r="D814" s="74">
        <f>Comp2[[#This Row],[Comparable '#2 Price]]/'Comparable #2'!$B$2*100</f>
        <v>77.82696177062374</v>
      </c>
      <c r="E814" s="74">
        <f>Comp3[[#This Row],[Comparable '#3 Price]]/'Comparable #3'!$B$2*100</f>
        <v>61.325825441515228</v>
      </c>
    </row>
    <row r="815" spans="1:5">
      <c r="A815" s="96">
        <v>44466</v>
      </c>
      <c r="B815" s="74">
        <f>Target1[[#This Row],[Target Price]]/Target!$B$2*100</f>
        <v>211.57649796393247</v>
      </c>
      <c r="C815" s="74">
        <f>Comp1[[#This Row],[Comparable '#1 Price]]/'Comparable #1'!$B$2*100</f>
        <v>121.4236824093087</v>
      </c>
      <c r="D815" s="74">
        <f>Comp2[[#This Row],[Comparable '#2 Price]]/'Comparable #2'!$B$2*100</f>
        <v>78.390342052313883</v>
      </c>
      <c r="E815" s="74">
        <f>Comp3[[#This Row],[Comparable '#3 Price]]/'Comparable #3'!$B$2*100</f>
        <v>62.068082928077814</v>
      </c>
    </row>
    <row r="816" spans="1:5">
      <c r="A816" s="96">
        <v>44467</v>
      </c>
      <c r="B816" s="74">
        <f>Target1[[#This Row],[Target Price]]/Target!$B$2*100</f>
        <v>205.52646887725419</v>
      </c>
      <c r="C816" s="74">
        <f>Comp1[[#This Row],[Comparable '#1 Price]]/'Comparable #1'!$B$2*100</f>
        <v>119.91786447638604</v>
      </c>
      <c r="D816" s="74">
        <f>Comp2[[#This Row],[Comparable '#2 Price]]/'Comparable #2'!$B$2*100</f>
        <v>78.551307847082484</v>
      </c>
      <c r="E816" s="74">
        <f>Comp3[[#This Row],[Comparable '#3 Price]]/'Comparable #3'!$B$2*100</f>
        <v>61.010152717344944</v>
      </c>
    </row>
    <row r="817" spans="1:5">
      <c r="A817" s="96">
        <v>44468</v>
      </c>
      <c r="B817" s="74">
        <f>Target1[[#This Row],[Target Price]]/Target!$B$2*100</f>
        <v>204.01396160558463</v>
      </c>
      <c r="C817" s="74">
        <f>Comp1[[#This Row],[Comparable '#1 Price]]/'Comparable #1'!$B$2*100</f>
        <v>117.52224503764546</v>
      </c>
      <c r="D817" s="74">
        <f>Comp2[[#This Row],[Comparable '#2 Price]]/'Comparable #2'!$B$2*100</f>
        <v>77.08249496981891</v>
      </c>
      <c r="E817" s="74">
        <f>Comp3[[#This Row],[Comparable '#3 Price]]/'Comparable #3'!$B$2*100</f>
        <v>61.155191536558327</v>
      </c>
    </row>
    <row r="818" spans="1:5">
      <c r="A818" s="96">
        <v>44469</v>
      </c>
      <c r="B818" s="74">
        <f>Target1[[#This Row],[Target Price]]/Target!$B$2*100</f>
        <v>209.0750436300174</v>
      </c>
      <c r="C818" s="74">
        <f>Comp1[[#This Row],[Comparable '#1 Price]]/'Comparable #1'!$B$2*100</f>
        <v>116.290212183436</v>
      </c>
      <c r="D818" s="74">
        <f>Comp2[[#This Row],[Comparable '#2 Price]]/'Comparable #2'!$B$2*100</f>
        <v>76.07645875251508</v>
      </c>
      <c r="E818" s="74">
        <f>Comp3[[#This Row],[Comparable '#3 Price]]/'Comparable #3'!$B$2*100</f>
        <v>60.148451497312514</v>
      </c>
    </row>
    <row r="819" spans="1:5">
      <c r="A819" s="96">
        <v>44470</v>
      </c>
      <c r="B819" s="74">
        <f>Target1[[#This Row],[Target Price]]/Target!$B$2*100</f>
        <v>207.79522978475856</v>
      </c>
      <c r="C819" s="74">
        <f>Comp1[[#This Row],[Comparable '#1 Price]]/'Comparable #1'!$B$2*100</f>
        <v>123.13483915126623</v>
      </c>
      <c r="D819" s="74">
        <f>Comp2[[#This Row],[Comparable '#2 Price]]/'Comparable #2'!$B$2*100</f>
        <v>75.533199195171022</v>
      </c>
      <c r="E819" s="74">
        <f>Comp3[[#This Row],[Comparable '#3 Price]]/'Comparable #3'!$B$2*100</f>
        <v>61.385547308250153</v>
      </c>
    </row>
    <row r="820" spans="1:5">
      <c r="A820" s="96">
        <v>44473</v>
      </c>
      <c r="B820" s="74">
        <f>Target1[[#This Row],[Target Price]]/Target!$B$2*100</f>
        <v>209.24956369982544</v>
      </c>
      <c r="C820" s="74">
        <f>Comp1[[#This Row],[Comparable '#1 Price]]/'Comparable #1'!$B$2*100</f>
        <v>122.10814510609171</v>
      </c>
      <c r="D820" s="74">
        <f>Comp2[[#This Row],[Comparable '#2 Price]]/'Comparable #2'!$B$2*100</f>
        <v>76.961770623742453</v>
      </c>
      <c r="E820" s="74">
        <f>Comp3[[#This Row],[Comparable '#3 Price]]/'Comparable #3'!$B$2*100</f>
        <v>62.21312174729119</v>
      </c>
    </row>
    <row r="821" spans="1:5">
      <c r="A821" s="96">
        <v>44474</v>
      </c>
      <c r="B821" s="74">
        <f>Target1[[#This Row],[Target Price]]/Target!$B$2*100</f>
        <v>211.63467132053518</v>
      </c>
      <c r="C821" s="74">
        <f>Comp1[[#This Row],[Comparable '#1 Price]]/'Comparable #1'!$B$2*100</f>
        <v>124.36687200547571</v>
      </c>
      <c r="D821" s="74">
        <f>Comp2[[#This Row],[Comparable '#2 Price]]/'Comparable #2'!$B$2*100</f>
        <v>78.611670020120712</v>
      </c>
      <c r="E821" s="74">
        <f>Comp3[[#This Row],[Comparable '#3 Price]]/'Comparable #3'!$B$2*100</f>
        <v>61.675624946676912</v>
      </c>
    </row>
    <row r="822" spans="1:5">
      <c r="A822" s="96">
        <v>44475</v>
      </c>
      <c r="B822" s="74">
        <f>Target1[[#This Row],[Target Price]]/Target!$B$2*100</f>
        <v>212.27457824316463</v>
      </c>
      <c r="C822" s="74">
        <f>Comp1[[#This Row],[Comparable '#1 Price]]/'Comparable #1'!$B$2*100</f>
        <v>119.64407939767283</v>
      </c>
      <c r="D822" s="74">
        <f>Comp2[[#This Row],[Comparable '#2 Price]]/'Comparable #2'!$B$2*100</f>
        <v>77.867203219315897</v>
      </c>
      <c r="E822" s="74">
        <f>Comp3[[#This Row],[Comparable '#3 Price]]/'Comparable #3'!$B$2*100</f>
        <v>61.394079003497993</v>
      </c>
    </row>
    <row r="823" spans="1:5">
      <c r="A823" s="96">
        <v>44476</v>
      </c>
      <c r="B823" s="74">
        <f>Target1[[#This Row],[Target Price]]/Target!$B$2*100</f>
        <v>213.2635253054101</v>
      </c>
      <c r="C823" s="74">
        <f>Comp1[[#This Row],[Comparable '#1 Price]]/'Comparable #1'!$B$2*100</f>
        <v>120.32854209445586</v>
      </c>
      <c r="D823" s="74">
        <f>Comp2[[#This Row],[Comparable '#2 Price]]/'Comparable #2'!$B$2*100</f>
        <v>76.820925553319924</v>
      </c>
      <c r="E823" s="74">
        <f>Comp3[[#This Row],[Comparable '#3 Price]]/'Comparable #3'!$B$2*100</f>
        <v>61.615903079941994</v>
      </c>
    </row>
    <row r="824" spans="1:5">
      <c r="A824" s="96">
        <v>44477</v>
      </c>
      <c r="B824" s="74">
        <f>Target1[[#This Row],[Target Price]]/Target!$B$2*100</f>
        <v>214.95055264688773</v>
      </c>
      <c r="C824" s="74">
        <f>Comp1[[#This Row],[Comparable '#1 Price]]/'Comparable #1'!$B$2*100</f>
        <v>119.09650924024639</v>
      </c>
      <c r="D824" s="74">
        <f>Comp2[[#This Row],[Comparable '#2 Price]]/'Comparable #2'!$B$2*100</f>
        <v>75.975855130784694</v>
      </c>
      <c r="E824" s="74">
        <f>Comp3[[#This Row],[Comparable '#3 Price]]/'Comparable #3'!$B$2*100</f>
        <v>61.266103574780317</v>
      </c>
    </row>
    <row r="825" spans="1:5">
      <c r="A825" s="96">
        <v>44480</v>
      </c>
      <c r="B825" s="74">
        <f>Target1[[#This Row],[Target Price]]/Target!$B$2*100</f>
        <v>205.17742873763817</v>
      </c>
      <c r="C825" s="74">
        <f>Comp1[[#This Row],[Comparable '#1 Price]]/'Comparable #1'!$B$2*100</f>
        <v>118.4120465434634</v>
      </c>
      <c r="D825" s="74">
        <f>Comp2[[#This Row],[Comparable '#2 Price]]/'Comparable #2'!$B$2*100</f>
        <v>75.432595573440636</v>
      </c>
      <c r="E825" s="74">
        <f>Comp3[[#This Row],[Comparable '#3 Price]]/'Comparable #3'!$B$2*100</f>
        <v>59.022267724596887</v>
      </c>
    </row>
    <row r="826" spans="1:5">
      <c r="A826" s="96">
        <v>44481</v>
      </c>
      <c r="B826" s="74">
        <f>Target1[[#This Row],[Target Price]]/Target!$B$2*100</f>
        <v>200.75625363583475</v>
      </c>
      <c r="C826" s="74">
        <f>Comp1[[#This Row],[Comparable '#1 Price]]/'Comparable #1'!$B$2*100</f>
        <v>117.38535249828882</v>
      </c>
      <c r="D826" s="74">
        <f>Comp2[[#This Row],[Comparable '#2 Price]]/'Comparable #2'!$B$2*100</f>
        <v>70.643863179074444</v>
      </c>
      <c r="E826" s="74">
        <f>Comp3[[#This Row],[Comparable '#3 Price]]/'Comparable #3'!$B$2*100</f>
        <v>59.192901629553795</v>
      </c>
    </row>
    <row r="827" spans="1:5">
      <c r="A827" s="96">
        <v>44482</v>
      </c>
      <c r="B827" s="74">
        <f>Target1[[#This Row],[Target Price]]/Target!$B$2*100</f>
        <v>196.50959860383944</v>
      </c>
      <c r="C827" s="74">
        <f>Comp1[[#This Row],[Comparable '#1 Price]]/'Comparable #1'!$B$2*100</f>
        <v>118.34360027378507</v>
      </c>
      <c r="D827" s="74">
        <f>Comp2[[#This Row],[Comparable '#2 Price]]/'Comparable #2'!$B$2*100</f>
        <v>71.649899396378274</v>
      </c>
      <c r="E827" s="74">
        <f>Comp3[[#This Row],[Comparable '#3 Price]]/'Comparable #3'!$B$2*100</f>
        <v>58.826038733896432</v>
      </c>
    </row>
    <row r="828" spans="1:5">
      <c r="A828" s="96">
        <v>44483</v>
      </c>
      <c r="B828" s="74">
        <f>Target1[[#This Row],[Target Price]]/Target!$B$2*100</f>
        <v>201.04712041884815</v>
      </c>
      <c r="C828" s="74">
        <f>Comp1[[#This Row],[Comparable '#1 Price]]/'Comparable #1'!$B$2*100</f>
        <v>118.75427789185491</v>
      </c>
      <c r="D828" s="74">
        <f>Comp2[[#This Row],[Comparable '#2 Price]]/'Comparable #2'!$B$2*100</f>
        <v>73.460764587525134</v>
      </c>
      <c r="E828" s="74">
        <f>Comp3[[#This Row],[Comparable '#3 Price]]/'Comparable #3'!$B$2*100</f>
        <v>59.935159116116374</v>
      </c>
    </row>
    <row r="829" spans="1:5">
      <c r="A829" s="96">
        <v>44484</v>
      </c>
      <c r="B829" s="74">
        <f>Target1[[#This Row],[Target Price]]/Target!$B$2*100</f>
        <v>199.47643979057591</v>
      </c>
      <c r="C829" s="74">
        <f>Comp1[[#This Row],[Comparable '#1 Price]]/'Comparable #1'!$B$2*100</f>
        <v>118.4120465434634</v>
      </c>
      <c r="D829" s="74">
        <f>Comp2[[#This Row],[Comparable '#2 Price]]/'Comparable #2'!$B$2*100</f>
        <v>73.259557344064376</v>
      </c>
      <c r="E829" s="74">
        <f>Comp3[[#This Row],[Comparable '#3 Price]]/'Comparable #3'!$B$2*100</f>
        <v>60.788328640900943</v>
      </c>
    </row>
    <row r="830" spans="1:5">
      <c r="A830" s="96">
        <v>44487</v>
      </c>
      <c r="B830" s="74">
        <f>Target1[[#This Row],[Target Price]]/Target!$B$2*100</f>
        <v>192.96102385107622</v>
      </c>
      <c r="C830" s="74">
        <f>Comp1[[#This Row],[Comparable '#1 Price]]/'Comparable #1'!$B$2*100</f>
        <v>117.24845995893223</v>
      </c>
      <c r="D830" s="74">
        <f>Comp2[[#This Row],[Comparable '#2 Price]]/'Comparable #2'!$B$2*100</f>
        <v>73.541247484909448</v>
      </c>
      <c r="E830" s="74">
        <f>Comp3[[#This Row],[Comparable '#3 Price]]/'Comparable #3'!$B$2*100</f>
        <v>59.534169439467618</v>
      </c>
    </row>
    <row r="831" spans="1:5">
      <c r="A831" s="96">
        <v>44488</v>
      </c>
      <c r="B831" s="74">
        <f>Target1[[#This Row],[Target Price]]/Target!$B$2*100</f>
        <v>198.89470622454911</v>
      </c>
      <c r="C831" s="74">
        <f>Comp1[[#This Row],[Comparable '#1 Price]]/'Comparable #1'!$B$2*100</f>
        <v>118.68583162217658</v>
      </c>
      <c r="D831" s="74">
        <f>Comp2[[#This Row],[Comparable '#2 Price]]/'Comparable #2'!$B$2*100</f>
        <v>73.07847082494969</v>
      </c>
      <c r="E831" s="74">
        <f>Comp3[[#This Row],[Comparable '#3 Price]]/'Comparable #3'!$B$2*100</f>
        <v>60.600631345448342</v>
      </c>
    </row>
    <row r="832" spans="1:5">
      <c r="A832" s="96">
        <v>44489</v>
      </c>
      <c r="B832" s="74">
        <f>Target1[[#This Row],[Target Price]]/Target!$B$2*100</f>
        <v>205.00290866783013</v>
      </c>
      <c r="C832" s="74">
        <f>Comp1[[#This Row],[Comparable '#1 Price]]/'Comparable #1'!$B$2*100</f>
        <v>116.76933607118411</v>
      </c>
      <c r="D832" s="74">
        <f>Comp2[[#This Row],[Comparable '#2 Price]]/'Comparable #2'!$B$2*100</f>
        <v>72.032193158953717</v>
      </c>
      <c r="E832" s="74">
        <f>Comp3[[#This Row],[Comparable '#3 Price]]/'Comparable #3'!$B$2*100</f>
        <v>60.293490316525897</v>
      </c>
    </row>
    <row r="833" spans="1:5">
      <c r="A833" s="96">
        <v>44490</v>
      </c>
      <c r="B833" s="74">
        <f>Target1[[#This Row],[Target Price]]/Target!$B$2*100</f>
        <v>199.65095986038392</v>
      </c>
      <c r="C833" s="74">
        <f>Comp1[[#This Row],[Comparable '#1 Price]]/'Comparable #1'!$B$2*100</f>
        <v>118.82272416153319</v>
      </c>
      <c r="D833" s="74">
        <f>Comp2[[#This Row],[Comparable '#2 Price]]/'Comparable #2'!$B$2*100</f>
        <v>73.90342052313882</v>
      </c>
      <c r="E833" s="74">
        <f>Comp3[[#This Row],[Comparable '#3 Price]]/'Comparable #3'!$B$2*100</f>
        <v>61.300230355771689</v>
      </c>
    </row>
    <row r="834" spans="1:5">
      <c r="A834" s="96">
        <v>44491</v>
      </c>
      <c r="B834" s="74">
        <f>Target1[[#This Row],[Target Price]]/Target!$B$2*100</f>
        <v>194.1244909831297</v>
      </c>
      <c r="C834" s="74">
        <f>Comp1[[#This Row],[Comparable '#1 Price]]/'Comparable #1'!$B$2*100</f>
        <v>118.61738535249829</v>
      </c>
      <c r="D834" s="74">
        <f>Comp2[[#This Row],[Comparable '#2 Price]]/'Comparable #2'!$B$2*100</f>
        <v>74.044265593561349</v>
      </c>
      <c r="E834" s="74">
        <f>Comp3[[#This Row],[Comparable '#3 Price]]/'Comparable #3'!$B$2*100</f>
        <v>60.651821516935421</v>
      </c>
    </row>
    <row r="835" spans="1:5">
      <c r="A835" s="96">
        <v>44494</v>
      </c>
      <c r="B835" s="74">
        <f>Target1[[#This Row],[Target Price]]/Target!$B$2*100</f>
        <v>196.62594531704477</v>
      </c>
      <c r="C835" s="74">
        <f>Comp1[[#This Row],[Comparable '#1 Price]]/'Comparable #1'!$B$2*100</f>
        <v>117.18001368925395</v>
      </c>
      <c r="D835" s="74">
        <f>Comp2[[#This Row],[Comparable '#2 Price]]/'Comparable #2'!$B$2*100</f>
        <v>75.513078470824951</v>
      </c>
      <c r="E835" s="74">
        <f>Comp3[[#This Row],[Comparable '#3 Price]]/'Comparable #3'!$B$2*100</f>
        <v>61.206381708045384</v>
      </c>
    </row>
    <row r="836" spans="1:5">
      <c r="A836" s="96">
        <v>44495</v>
      </c>
      <c r="B836" s="74">
        <f>Target1[[#This Row],[Target Price]]/Target!$B$2*100</f>
        <v>199.0110529377545</v>
      </c>
      <c r="C836" s="74">
        <f>Comp1[[#This Row],[Comparable '#1 Price]]/'Comparable #1'!$B$2*100</f>
        <v>116.56399726214923</v>
      </c>
      <c r="D836" s="74">
        <f>Comp2[[#This Row],[Comparable '#2 Price]]/'Comparable #2'!$B$2*100</f>
        <v>74.82897384305835</v>
      </c>
      <c r="E836" s="74">
        <f>Comp3[[#This Row],[Comparable '#3 Price]]/'Comparable #3'!$B$2*100</f>
        <v>60.08872963057761</v>
      </c>
    </row>
    <row r="837" spans="1:5">
      <c r="A837" s="96">
        <v>44496</v>
      </c>
      <c r="B837" s="74">
        <f>Target1[[#This Row],[Target Price]]/Target!$B$2*100</f>
        <v>196.91681210005817</v>
      </c>
      <c r="C837" s="74">
        <f>Comp1[[#This Row],[Comparable '#1 Price]]/'Comparable #1'!$B$2*100</f>
        <v>113.62080766598221</v>
      </c>
      <c r="D837" s="74">
        <f>Comp2[[#This Row],[Comparable '#2 Price]]/'Comparable #2'!$B$2*100</f>
        <v>75.070422535211264</v>
      </c>
      <c r="E837" s="74">
        <f>Comp3[[#This Row],[Comparable '#3 Price]]/'Comparable #3'!$B$2*100</f>
        <v>59.073457896083944</v>
      </c>
    </row>
    <row r="838" spans="1:5">
      <c r="A838" s="96">
        <v>44497</v>
      </c>
      <c r="B838" s="74">
        <f>Target1[[#This Row],[Target Price]]/Target!$B$2*100</f>
        <v>197.55671902268762</v>
      </c>
      <c r="C838" s="74">
        <f>Comp1[[#This Row],[Comparable '#1 Price]]/'Comparable #1'!$B$2*100</f>
        <v>115.12662559890488</v>
      </c>
      <c r="D838" s="74">
        <f>Comp2[[#This Row],[Comparable '#2 Price]]/'Comparable #2'!$B$2*100</f>
        <v>76.519114688128781</v>
      </c>
      <c r="E838" s="74">
        <f>Comp3[[#This Row],[Comparable '#3 Price]]/'Comparable #3'!$B$2*100</f>
        <v>59.508574353724086</v>
      </c>
    </row>
    <row r="839" spans="1:5">
      <c r="A839" s="96">
        <v>44498</v>
      </c>
      <c r="B839" s="74">
        <f>Target1[[#This Row],[Target Price]]/Target!$B$2*100</f>
        <v>206.51541593949969</v>
      </c>
      <c r="C839" s="74">
        <f>Comp1[[#This Row],[Comparable '#1 Price]]/'Comparable #1'!$B$2*100</f>
        <v>118.54893908281998</v>
      </c>
      <c r="D839" s="74">
        <f>Comp2[[#This Row],[Comparable '#2 Price]]/'Comparable #2'!$B$2*100</f>
        <v>74.305835010060363</v>
      </c>
      <c r="E839" s="74">
        <f>Comp3[[#This Row],[Comparable '#3 Price]]/'Comparable #3'!$B$2*100</f>
        <v>58.194693285555843</v>
      </c>
    </row>
    <row r="840" spans="1:5">
      <c r="A840" s="96">
        <v>44501</v>
      </c>
      <c r="B840" s="74">
        <f>Target1[[#This Row],[Target Price]]/Target!$B$2*100</f>
        <v>219.31355439208841</v>
      </c>
      <c r="C840" s="74">
        <f>Comp1[[#This Row],[Comparable '#1 Price]]/'Comparable #1'!$B$2*100</f>
        <v>69.130732375085557</v>
      </c>
      <c r="D840" s="74">
        <f>Comp2[[#This Row],[Comparable '#2 Price]]/'Comparable #2'!$B$2*100</f>
        <v>78.209255533199183</v>
      </c>
      <c r="E840" s="74">
        <f>Comp3[[#This Row],[Comparable '#3 Price]]/'Comparable #3'!$B$2*100</f>
        <v>60.984557631601412</v>
      </c>
    </row>
    <row r="841" spans="1:5">
      <c r="A841" s="96">
        <v>44502</v>
      </c>
      <c r="B841" s="74">
        <f>Target1[[#This Row],[Target Price]]/Target!$B$2*100</f>
        <v>210.99476439790575</v>
      </c>
      <c r="C841" s="74">
        <f>Comp1[[#This Row],[Comparable '#1 Price]]/'Comparable #1'!$B$2*100</f>
        <v>65.845311430527033</v>
      </c>
      <c r="D841" s="74">
        <f>Comp2[[#This Row],[Comparable '#2 Price]]/'Comparable #2'!$B$2*100</f>
        <v>70.241448692152915</v>
      </c>
      <c r="E841" s="74">
        <f>Comp3[[#This Row],[Comparable '#3 Price]]/'Comparable #3'!$B$2*100</f>
        <v>57.546284446719568</v>
      </c>
    </row>
    <row r="842" spans="1:5">
      <c r="A842" s="96">
        <v>44503</v>
      </c>
      <c r="B842" s="74">
        <f>Target1[[#This Row],[Target Price]]/Target!$B$2*100</f>
        <v>215.2414194299011</v>
      </c>
      <c r="C842" s="74">
        <f>Comp1[[#This Row],[Comparable '#1 Price]]/'Comparable #1'!$B$2*100</f>
        <v>69.678302532511978</v>
      </c>
      <c r="D842" s="74">
        <f>Comp2[[#This Row],[Comparable '#2 Price]]/'Comparable #2'!$B$2*100</f>
        <v>72.91750503018109</v>
      </c>
      <c r="E842" s="74">
        <f>Comp3[[#This Row],[Comparable '#3 Price]]/'Comparable #3'!$B$2*100</f>
        <v>59.721866734920241</v>
      </c>
    </row>
    <row r="843" spans="1:5">
      <c r="A843" s="96">
        <v>44504</v>
      </c>
      <c r="B843" s="74">
        <f>Target1[[#This Row],[Target Price]]/Target!$B$2*100</f>
        <v>212.15823152995927</v>
      </c>
      <c r="C843" s="74">
        <f>Comp1[[#This Row],[Comparable '#1 Price]]/'Comparable #1'!$B$2*100</f>
        <v>77.07049965776865</v>
      </c>
      <c r="D843" s="74">
        <f>Comp2[[#This Row],[Comparable '#2 Price]]/'Comparable #2'!$B$2*100</f>
        <v>61.20724346076458</v>
      </c>
      <c r="E843" s="74">
        <f>Comp3[[#This Row],[Comparable '#3 Price]]/'Comparable #3'!$B$2*100</f>
        <v>55.140346386827069</v>
      </c>
    </row>
    <row r="844" spans="1:5">
      <c r="A844" s="96">
        <v>44505</v>
      </c>
      <c r="B844" s="74">
        <f>Target1[[#This Row],[Target Price]]/Target!$B$2*100</f>
        <v>210.6457242582897</v>
      </c>
      <c r="C844" s="74">
        <f>Comp1[[#This Row],[Comparable '#1 Price]]/'Comparable #1'!$B$2*100</f>
        <v>80.971937029431899</v>
      </c>
      <c r="D844" s="74">
        <f>Comp2[[#This Row],[Comparable '#2 Price]]/'Comparable #2'!$B$2*100</f>
        <v>64.104627766599592</v>
      </c>
      <c r="E844" s="74">
        <f>Comp3[[#This Row],[Comparable '#3 Price]]/'Comparable #3'!$B$2*100</f>
        <v>54.807610272161078</v>
      </c>
    </row>
    <row r="845" spans="1:5">
      <c r="A845" s="96">
        <v>44508</v>
      </c>
      <c r="B845" s="74">
        <f>Target1[[#This Row],[Target Price]]/Target!$B$2*100</f>
        <v>208.90052356020939</v>
      </c>
      <c r="C845" s="74">
        <f>Comp1[[#This Row],[Comparable '#1 Price]]/'Comparable #1'!$B$2*100</f>
        <v>83.025325119780973</v>
      </c>
      <c r="D845" s="74">
        <f>Comp2[[#This Row],[Comparable '#2 Price]]/'Comparable #2'!$B$2*100</f>
        <v>66.036217303822937</v>
      </c>
      <c r="E845" s="74">
        <f>Comp3[[#This Row],[Comparable '#3 Price]]/'Comparable #3'!$B$2*100</f>
        <v>52.768535107925949</v>
      </c>
    </row>
    <row r="846" spans="1:5">
      <c r="A846" s="96">
        <v>44509</v>
      </c>
      <c r="B846" s="74">
        <f>Target1[[#This Row],[Target Price]]/Target!$B$2*100</f>
        <v>207.44618964514251</v>
      </c>
      <c r="C846" s="74">
        <f>Comp1[[#This Row],[Comparable '#1 Price]]/'Comparable #1'!$B$2*100</f>
        <v>82.203969883641349</v>
      </c>
      <c r="D846" s="74">
        <f>Comp2[[#This Row],[Comparable '#2 Price]]/'Comparable #2'!$B$2*100</f>
        <v>67.444668008048296</v>
      </c>
      <c r="E846" s="74">
        <f>Comp3[[#This Row],[Comparable '#3 Price]]/'Comparable #3'!$B$2*100</f>
        <v>52.597901202969034</v>
      </c>
    </row>
    <row r="847" spans="1:5">
      <c r="A847" s="96">
        <v>44510</v>
      </c>
      <c r="B847" s="74">
        <f>Target1[[#This Row],[Target Price]]/Target!$B$2*100</f>
        <v>207.9697498545666</v>
      </c>
      <c r="C847" s="74">
        <f>Comp1[[#This Row],[Comparable '#1 Price]]/'Comparable #1'!$B$2*100</f>
        <v>80.629705681040392</v>
      </c>
      <c r="D847" s="74">
        <f>Comp2[[#This Row],[Comparable '#2 Price]]/'Comparable #2'!$B$2*100</f>
        <v>68.08853118712274</v>
      </c>
      <c r="E847" s="74">
        <f>Comp3[[#This Row],[Comparable '#3 Price]]/'Comparable #3'!$B$2*100</f>
        <v>51.958024059380605</v>
      </c>
    </row>
    <row r="848" spans="1:5">
      <c r="A848" s="96">
        <v>44511</v>
      </c>
      <c r="B848" s="74">
        <f>Target1[[#This Row],[Target Price]]/Target!$B$2*100</f>
        <v>207.73705642815591</v>
      </c>
      <c r="C848" s="74">
        <f>Comp1[[#This Row],[Comparable '#1 Price]]/'Comparable #1'!$B$2*100</f>
        <v>77.138945927446954</v>
      </c>
      <c r="D848" s="74">
        <f>Comp2[[#This Row],[Comparable '#2 Price]]/'Comparable #2'!$B$2*100</f>
        <v>67.082494969818924</v>
      </c>
      <c r="E848" s="74">
        <f>Comp3[[#This Row],[Comparable '#3 Price]]/'Comparable #3'!$B$2*100</f>
        <v>51.514375906492624</v>
      </c>
    </row>
    <row r="849" spans="1:5">
      <c r="A849" s="96">
        <v>44512</v>
      </c>
      <c r="B849" s="74">
        <f>Target1[[#This Row],[Target Price]]/Target!$B$2*100</f>
        <v>210.70389761489236</v>
      </c>
      <c r="C849" s="74">
        <f>Comp1[[#This Row],[Comparable '#1 Price]]/'Comparable #1'!$B$2*100</f>
        <v>76.454483230663925</v>
      </c>
      <c r="D849" s="74">
        <f>Comp2[[#This Row],[Comparable '#2 Price]]/'Comparable #2'!$B$2*100</f>
        <v>66.197183098591537</v>
      </c>
      <c r="E849" s="74">
        <f>Comp3[[#This Row],[Comparable '#3 Price]]/'Comparable #3'!$B$2*100</f>
        <v>52.299291869294429</v>
      </c>
    </row>
    <row r="850" spans="1:5">
      <c r="A850" s="96">
        <v>44515</v>
      </c>
      <c r="B850" s="74">
        <f>Target1[[#This Row],[Target Price]]/Target!$B$2*100</f>
        <v>209.54043048283887</v>
      </c>
      <c r="C850" s="74">
        <f>Comp1[[#This Row],[Comparable '#1 Price]]/'Comparable #1'!$B$2*100</f>
        <v>75.154004106776185</v>
      </c>
      <c r="D850" s="74">
        <f>Comp2[[#This Row],[Comparable '#2 Price]]/'Comparable #2'!$B$2*100</f>
        <v>65.754527162977865</v>
      </c>
      <c r="E850" s="74">
        <f>Comp3[[#This Row],[Comparable '#3 Price]]/'Comparable #3'!$B$2*100</f>
        <v>51.642351335210314</v>
      </c>
    </row>
    <row r="851" spans="1:5">
      <c r="A851" s="96">
        <v>44516</v>
      </c>
      <c r="B851" s="74">
        <f>Target1[[#This Row],[Target Price]]/Target!$B$2*100</f>
        <v>211.11111111111109</v>
      </c>
      <c r="C851" s="74">
        <f>Comp1[[#This Row],[Comparable '#1 Price]]/'Comparable #1'!$B$2*100</f>
        <v>76.317590691307331</v>
      </c>
      <c r="D851" s="74">
        <f>Comp2[[#This Row],[Comparable '#2 Price]]/'Comparable #2'!$B$2*100</f>
        <v>65.010060362173036</v>
      </c>
      <c r="E851" s="74">
        <f>Comp3[[#This Row],[Comparable '#3 Price]]/'Comparable #3'!$B$2*100</f>
        <v>51.667946420953847</v>
      </c>
    </row>
    <row r="852" spans="1:5">
      <c r="A852" s="96">
        <v>44517</v>
      </c>
      <c r="B852" s="74">
        <f>Target1[[#This Row],[Target Price]]/Target!$B$2*100</f>
        <v>209.77312390924956</v>
      </c>
      <c r="C852" s="74">
        <f>Comp1[[#This Row],[Comparable '#1 Price]]/'Comparable #1'!$B$2*100</f>
        <v>75.975359342915823</v>
      </c>
      <c r="D852" s="74">
        <f>Comp2[[#This Row],[Comparable '#2 Price]]/'Comparable #2'!$B$2*100</f>
        <v>63.843058350100598</v>
      </c>
      <c r="E852" s="74">
        <f>Comp3[[#This Row],[Comparable '#3 Price]]/'Comparable #3'!$B$2*100</f>
        <v>50.541762648238212</v>
      </c>
    </row>
    <row r="853" spans="1:5">
      <c r="A853" s="96">
        <v>44518</v>
      </c>
      <c r="B853" s="74">
        <f>Target1[[#This Row],[Target Price]]/Target!$B$2*100</f>
        <v>214.13612565445024</v>
      </c>
      <c r="C853" s="74">
        <f>Comp1[[#This Row],[Comparable '#1 Price]]/'Comparable #1'!$B$2*100</f>
        <v>74.058863791923343</v>
      </c>
      <c r="D853" s="74">
        <f>Comp2[[#This Row],[Comparable '#2 Price]]/'Comparable #2'!$B$2*100</f>
        <v>61.327967806841045</v>
      </c>
      <c r="E853" s="74">
        <f>Comp3[[#This Row],[Comparable '#3 Price]]/'Comparable #3'!$B$2*100</f>
        <v>49.313198532548419</v>
      </c>
    </row>
    <row r="854" spans="1:5">
      <c r="A854" s="96">
        <v>44519</v>
      </c>
      <c r="B854" s="74">
        <f>Target1[[#This Row],[Target Price]]/Target!$B$2*100</f>
        <v>215.82315299592784</v>
      </c>
      <c r="C854" s="74">
        <f>Comp1[[#This Row],[Comparable '#1 Price]]/'Comparable #1'!$B$2*100</f>
        <v>75.290896646132794</v>
      </c>
      <c r="D854" s="74">
        <f>Comp2[[#This Row],[Comparable '#2 Price]]/'Comparable #2'!$B$2*100</f>
        <v>61.589537223340038</v>
      </c>
      <c r="E854" s="74">
        <f>Comp3[[#This Row],[Comparable '#3 Price]]/'Comparable #3'!$B$2*100</f>
        <v>49.185223103830737</v>
      </c>
    </row>
    <row r="855" spans="1:5">
      <c r="A855" s="96">
        <v>44522</v>
      </c>
      <c r="B855" s="74">
        <f>Target1[[#This Row],[Target Price]]/Target!$B$2*100</f>
        <v>211.69284467713788</v>
      </c>
      <c r="C855" s="74">
        <f>Comp1[[#This Row],[Comparable '#1 Price]]/'Comparable #1'!$B$2*100</f>
        <v>74.811772758384663</v>
      </c>
      <c r="D855" s="74">
        <f>Comp2[[#This Row],[Comparable '#2 Price]]/'Comparable #2'!$B$2*100</f>
        <v>61.931589537223338</v>
      </c>
      <c r="E855" s="74">
        <f>Comp3[[#This Row],[Comparable '#3 Price]]/'Comparable #3'!$B$2*100</f>
        <v>50.669738076955895</v>
      </c>
    </row>
    <row r="856" spans="1:5">
      <c r="A856" s="96">
        <v>44523</v>
      </c>
      <c r="B856" s="74">
        <f>Target1[[#This Row],[Target Price]]/Target!$B$2*100</f>
        <v>206.51541593949969</v>
      </c>
      <c r="C856" s="74">
        <f>Comp1[[#This Row],[Comparable '#1 Price]]/'Comparable #1'!$B$2*100</f>
        <v>76.249144421629026</v>
      </c>
      <c r="D856" s="74">
        <f>Comp2[[#This Row],[Comparable '#2 Price]]/'Comparable #2'!$B$2*100</f>
        <v>62.394366197183096</v>
      </c>
      <c r="E856" s="74">
        <f>Comp3[[#This Row],[Comparable '#3 Price]]/'Comparable #3'!$B$2*100</f>
        <v>50.379660438529136</v>
      </c>
    </row>
    <row r="857" spans="1:5">
      <c r="A857" s="96">
        <v>44524</v>
      </c>
      <c r="B857" s="74">
        <f>Target1[[#This Row],[Target Price]]/Target!$B$2*100</f>
        <v>206.92262943571845</v>
      </c>
      <c r="C857" s="74">
        <f>Comp1[[#This Row],[Comparable '#1 Price]]/'Comparable #1'!$B$2*100</f>
        <v>75.838466803559214</v>
      </c>
      <c r="D857" s="74">
        <f>Comp2[[#This Row],[Comparable '#2 Price]]/'Comparable #2'!$B$2*100</f>
        <v>63.82293762575452</v>
      </c>
      <c r="E857" s="74">
        <f>Comp3[[#This Row],[Comparable '#3 Price]]/'Comparable #3'!$B$2*100</f>
        <v>50.857435372408503</v>
      </c>
    </row>
    <row r="858" spans="1:5">
      <c r="A858" s="96">
        <v>44526</v>
      </c>
      <c r="B858" s="74">
        <f>Target1[[#This Row],[Target Price]]/Target!$B$2*100</f>
        <v>211.51832460732982</v>
      </c>
      <c r="C858" s="74">
        <f>Comp1[[#This Row],[Comparable '#1 Price]]/'Comparable #1'!$B$2*100</f>
        <v>73.921971252566749</v>
      </c>
      <c r="D858" s="74">
        <f>Comp2[[#This Row],[Comparable '#2 Price]]/'Comparable #2'!$B$2*100</f>
        <v>61.690140845070417</v>
      </c>
      <c r="E858" s="74">
        <f>Comp3[[#This Row],[Comparable '#3 Price]]/'Comparable #3'!$B$2*100</f>
        <v>49.279071751557034</v>
      </c>
    </row>
    <row r="859" spans="1:5">
      <c r="A859" s="96">
        <v>44529</v>
      </c>
      <c r="B859" s="74">
        <f>Target1[[#This Row],[Target Price]]/Target!$B$2*100</f>
        <v>200.29086678301334</v>
      </c>
      <c r="C859" s="74">
        <f>Comp1[[#This Row],[Comparable '#1 Price]]/'Comparable #1'!$B$2*100</f>
        <v>72.142368240930864</v>
      </c>
      <c r="D859" s="74">
        <f>Comp2[[#This Row],[Comparable '#2 Price]]/'Comparable #2'!$B$2*100</f>
        <v>60.040241448692143</v>
      </c>
      <c r="E859" s="74">
        <f>Comp3[[#This Row],[Comparable '#3 Price]]/'Comparable #3'!$B$2*100</f>
        <v>47.419162187526666</v>
      </c>
    </row>
    <row r="860" spans="1:5">
      <c r="A860" s="96">
        <v>44530</v>
      </c>
      <c r="B860" s="74">
        <f>Target1[[#This Row],[Target Price]]/Target!$B$2*100</f>
        <v>198.54566608493309</v>
      </c>
      <c r="C860" s="74">
        <f>Comp1[[#This Row],[Comparable '#1 Price]]/'Comparable #1'!$B$2*100</f>
        <v>68.446269678302542</v>
      </c>
      <c r="D860" s="74">
        <f>Comp2[[#This Row],[Comparable '#2 Price]]/'Comparable #2'!$B$2*100</f>
        <v>59.698189134808857</v>
      </c>
      <c r="E860" s="74">
        <f>Comp3[[#This Row],[Comparable '#3 Price]]/'Comparable #3'!$B$2*100</f>
        <v>45.644569575974749</v>
      </c>
    </row>
    <row r="861" spans="1:5">
      <c r="A861" s="96">
        <v>44531</v>
      </c>
      <c r="B861" s="74">
        <f>Target1[[#This Row],[Target Price]]/Target!$B$2*100</f>
        <v>193.25189063408956</v>
      </c>
      <c r="C861" s="74">
        <f>Comp1[[#This Row],[Comparable '#1 Price]]/'Comparable #1'!$B$2*100</f>
        <v>66.735112936344976</v>
      </c>
      <c r="D861" s="74">
        <f>Comp2[[#This Row],[Comparable '#2 Price]]/'Comparable #2'!$B$2*100</f>
        <v>58.008048289738426</v>
      </c>
      <c r="E861" s="74">
        <f>Comp3[[#This Row],[Comparable '#3 Price]]/'Comparable #3'!$B$2*100</f>
        <v>45.090009384864778</v>
      </c>
    </row>
    <row r="862" spans="1:5">
      <c r="A862" s="96">
        <v>44532</v>
      </c>
      <c r="B862" s="74">
        <f>Target1[[#This Row],[Target Price]]/Target!$B$2*100</f>
        <v>194.76439790575913</v>
      </c>
      <c r="C862" s="74">
        <f>Comp1[[#This Row],[Comparable '#1 Price]]/'Comparable #1'!$B$2*100</f>
        <v>69.541409993155384</v>
      </c>
      <c r="D862" s="74">
        <f>Comp2[[#This Row],[Comparable '#2 Price]]/'Comparable #2'!$B$2*100</f>
        <v>57.464788732394354</v>
      </c>
      <c r="E862" s="74">
        <f>Comp3[[#This Row],[Comparable '#3 Price]]/'Comparable #3'!$B$2*100</f>
        <v>46.071154338367037</v>
      </c>
    </row>
    <row r="863" spans="1:5">
      <c r="A863" s="96">
        <v>44533</v>
      </c>
      <c r="B863" s="74">
        <f>Target1[[#This Row],[Target Price]]/Target!$B$2*100</f>
        <v>189.64514252472367</v>
      </c>
      <c r="C863" s="74">
        <f>Comp1[[#This Row],[Comparable '#1 Price]]/'Comparable #1'!$B$2*100</f>
        <v>69.130732375085557</v>
      </c>
      <c r="D863" s="74">
        <f>Comp2[[#This Row],[Comparable '#2 Price]]/'Comparable #2'!$B$2*100</f>
        <v>58.591549295774648</v>
      </c>
      <c r="E863" s="74">
        <f>Comp3[[#This Row],[Comparable '#3 Price]]/'Comparable #3'!$B$2*100</f>
        <v>45.98583738588858</v>
      </c>
    </row>
    <row r="864" spans="1:5">
      <c r="A864" s="96">
        <v>44536</v>
      </c>
      <c r="B864" s="74">
        <f>Target1[[#This Row],[Target Price]]/Target!$B$2*100</f>
        <v>189.81966259453171</v>
      </c>
      <c r="C864" s="74">
        <f>Comp1[[#This Row],[Comparable '#1 Price]]/'Comparable #1'!$B$2*100</f>
        <v>71.663244353182748</v>
      </c>
      <c r="D864" s="74">
        <f>Comp2[[#This Row],[Comparable '#2 Price]]/'Comparable #2'!$B$2*100</f>
        <v>61.066398390342044</v>
      </c>
      <c r="E864" s="74">
        <f>Comp3[[#This Row],[Comparable '#3 Price]]/'Comparable #3'!$B$2*100</f>
        <v>46.924323863151614</v>
      </c>
    </row>
    <row r="865" spans="1:5">
      <c r="A865" s="96">
        <v>44537</v>
      </c>
      <c r="B865" s="74">
        <f>Target1[[#This Row],[Target Price]]/Target!$B$2*100</f>
        <v>194.1244909831297</v>
      </c>
      <c r="C865" s="74">
        <f>Comp1[[#This Row],[Comparable '#1 Price]]/'Comparable #1'!$B$2*100</f>
        <v>72.210814510609183</v>
      </c>
      <c r="D865" s="74">
        <f>Comp2[[#This Row],[Comparable '#2 Price]]/'Comparable #2'!$B$2*100</f>
        <v>62.515090543259554</v>
      </c>
      <c r="E865" s="74">
        <f>Comp3[[#This Row],[Comparable '#3 Price]]/'Comparable #3'!$B$2*100</f>
        <v>46.369763672041636</v>
      </c>
    </row>
    <row r="866" spans="1:5">
      <c r="A866" s="96">
        <v>44538</v>
      </c>
      <c r="B866" s="74">
        <f>Target1[[#This Row],[Target Price]]/Target!$B$2*100</f>
        <v>198.31297265852243</v>
      </c>
      <c r="C866" s="74">
        <f>Comp1[[#This Row],[Comparable '#1 Price]]/'Comparable #1'!$B$2*100</f>
        <v>74.948665297741272</v>
      </c>
      <c r="D866" s="74">
        <f>Comp2[[#This Row],[Comparable '#2 Price]]/'Comparable #2'!$B$2*100</f>
        <v>63.78269617706237</v>
      </c>
      <c r="E866" s="74">
        <f>Comp3[[#This Row],[Comparable '#3 Price]]/'Comparable #3'!$B$2*100</f>
        <v>47.77749338793619</v>
      </c>
    </row>
    <row r="867" spans="1:5">
      <c r="A867" s="96">
        <v>44539</v>
      </c>
      <c r="B867" s="74">
        <f>Target1[[#This Row],[Target Price]]/Target!$B$2*100</f>
        <v>183.59511343804536</v>
      </c>
      <c r="C867" s="74">
        <f>Comp1[[#This Row],[Comparable '#1 Price]]/'Comparable #1'!$B$2*100</f>
        <v>71.937029431895965</v>
      </c>
      <c r="D867" s="74">
        <f>Comp2[[#This Row],[Comparable '#2 Price]]/'Comparable #2'!$B$2*100</f>
        <v>61.146881287726352</v>
      </c>
      <c r="E867" s="74">
        <f>Comp3[[#This Row],[Comparable '#3 Price]]/'Comparable #3'!$B$2*100</f>
        <v>46.915792167903767</v>
      </c>
    </row>
    <row r="868" spans="1:5">
      <c r="A868" s="96">
        <v>44540</v>
      </c>
      <c r="B868" s="74">
        <f>Target1[[#This Row],[Target Price]]/Target!$B$2*100</f>
        <v>184.70040721349622</v>
      </c>
      <c r="C868" s="74">
        <f>Comp1[[#This Row],[Comparable '#1 Price]]/'Comparable #1'!$B$2*100</f>
        <v>71.731690622861052</v>
      </c>
      <c r="D868" s="74">
        <f>Comp2[[#This Row],[Comparable '#2 Price]]/'Comparable #2'!$B$2*100</f>
        <v>60.663983903420515</v>
      </c>
      <c r="E868" s="74">
        <f>Comp3[[#This Row],[Comparable '#3 Price]]/'Comparable #3'!$B$2*100</f>
        <v>47.222933196826212</v>
      </c>
    </row>
    <row r="869" spans="1:5">
      <c r="A869" s="96">
        <v>44543</v>
      </c>
      <c r="B869" s="74">
        <f>Target1[[#This Row],[Target Price]]/Target!$B$2*100</f>
        <v>184.70040721349622</v>
      </c>
      <c r="C869" s="74">
        <f>Comp1[[#This Row],[Comparable '#1 Price]]/'Comparable #1'!$B$2*100</f>
        <v>69.404517453798775</v>
      </c>
      <c r="D869" s="74">
        <f>Comp2[[#This Row],[Comparable '#2 Price]]/'Comparable #2'!$B$2*100</f>
        <v>60.241448692152922</v>
      </c>
      <c r="E869" s="74">
        <f>Comp3[[#This Row],[Comparable '#3 Price]]/'Comparable #3'!$B$2*100</f>
        <v>47.461820663765899</v>
      </c>
    </row>
    <row r="870" spans="1:5">
      <c r="A870" s="96">
        <v>44544</v>
      </c>
      <c r="B870" s="74">
        <f>Target1[[#This Row],[Target Price]]/Target!$B$2*100</f>
        <v>184.11867364746942</v>
      </c>
      <c r="C870" s="74">
        <f>Comp1[[#This Row],[Comparable '#1 Price]]/'Comparable #1'!$B$2*100</f>
        <v>69.541409993155384</v>
      </c>
      <c r="D870" s="74">
        <f>Comp2[[#This Row],[Comparable '#2 Price]]/'Comparable #2'!$B$2*100</f>
        <v>58.853118712273634</v>
      </c>
      <c r="E870" s="74">
        <f>Comp3[[#This Row],[Comparable '#3 Price]]/'Comparable #3'!$B$2*100</f>
        <v>47.948127292893098</v>
      </c>
    </row>
    <row r="871" spans="1:5">
      <c r="A871" s="96">
        <v>44545</v>
      </c>
      <c r="B871" s="74">
        <f>Target1[[#This Row],[Target Price]]/Target!$B$2*100</f>
        <v>186.67830133798722</v>
      </c>
      <c r="C871" s="74">
        <f>Comp1[[#This Row],[Comparable '#1 Price]]/'Comparable #1'!$B$2*100</f>
        <v>71.047227926078037</v>
      </c>
      <c r="D871" s="74">
        <f>Comp2[[#This Row],[Comparable '#2 Price]]/'Comparable #2'!$B$2*100</f>
        <v>58.490945674044262</v>
      </c>
      <c r="E871" s="74">
        <f>Comp3[[#This Row],[Comparable '#3 Price]]/'Comparable #3'!$B$2*100</f>
        <v>48.912208855899671</v>
      </c>
    </row>
    <row r="872" spans="1:5">
      <c r="A872" s="96">
        <v>44546</v>
      </c>
      <c r="B872" s="74">
        <f>Target1[[#This Row],[Target Price]]/Target!$B$2*100</f>
        <v>184.29319371727749</v>
      </c>
      <c r="C872" s="74">
        <f>Comp1[[#This Row],[Comparable '#1 Price]]/'Comparable #1'!$B$2*100</f>
        <v>72.826830937713908</v>
      </c>
      <c r="D872" s="74">
        <f>Comp2[[#This Row],[Comparable '#2 Price]]/'Comparable #2'!$B$2*100</f>
        <v>56.800804828973838</v>
      </c>
      <c r="E872" s="74">
        <f>Comp3[[#This Row],[Comparable '#3 Price]]/'Comparable #3'!$B$2*100</f>
        <v>48.656257998464298</v>
      </c>
    </row>
    <row r="873" spans="1:5">
      <c r="A873" s="96">
        <v>44547</v>
      </c>
      <c r="B873" s="74">
        <f>Target1[[#This Row],[Target Price]]/Target!$B$2*100</f>
        <v>185.22396742292028</v>
      </c>
      <c r="C873" s="74">
        <f>Comp1[[#This Row],[Comparable '#1 Price]]/'Comparable #1'!$B$2*100</f>
        <v>76.454483230663925</v>
      </c>
      <c r="D873" s="74">
        <f>Comp2[[#This Row],[Comparable '#2 Price]]/'Comparable #2'!$B$2*100</f>
        <v>56.760563380281695</v>
      </c>
      <c r="E873" s="74">
        <f>Comp3[[#This Row],[Comparable '#3 Price]]/'Comparable #3'!$B$2*100</f>
        <v>49.7397832949407</v>
      </c>
    </row>
    <row r="874" spans="1:5">
      <c r="A874" s="96">
        <v>44550</v>
      </c>
      <c r="B874" s="74">
        <f>Target1[[#This Row],[Target Price]]/Target!$B$2*100</f>
        <v>185.98022105875506</v>
      </c>
      <c r="C874" s="74">
        <f>Comp1[[#This Row],[Comparable '#1 Price]]/'Comparable #1'!$B$2*100</f>
        <v>78.439425051334709</v>
      </c>
      <c r="D874" s="74">
        <f>Comp2[[#This Row],[Comparable '#2 Price]]/'Comparable #2'!$B$2*100</f>
        <v>55.472837022132794</v>
      </c>
      <c r="E874" s="74">
        <f>Comp3[[#This Row],[Comparable '#3 Price]]/'Comparable #3'!$B$2*100</f>
        <v>48.630662912720766</v>
      </c>
    </row>
    <row r="875" spans="1:5">
      <c r="A875" s="96">
        <v>44551</v>
      </c>
      <c r="B875" s="74">
        <f>Target1[[#This Row],[Target Price]]/Target!$B$2*100</f>
        <v>191.4485165794066</v>
      </c>
      <c r="C875" s="74">
        <f>Comp1[[#This Row],[Comparable '#1 Price]]/'Comparable #1'!$B$2*100</f>
        <v>84.73648186173854</v>
      </c>
      <c r="D875" s="74">
        <f>Comp2[[#This Row],[Comparable '#2 Price]]/'Comparable #2'!$B$2*100</f>
        <v>58.692152917505027</v>
      </c>
      <c r="E875" s="74">
        <f>Comp3[[#This Row],[Comparable '#3 Price]]/'Comparable #3'!$B$2*100</f>
        <v>50.132241276341603</v>
      </c>
    </row>
    <row r="876" spans="1:5">
      <c r="A876" s="96">
        <v>44552</v>
      </c>
      <c r="B876" s="74">
        <f>Target1[[#This Row],[Target Price]]/Target!$B$2*100</f>
        <v>191.79755671902268</v>
      </c>
      <c r="C876" s="74">
        <f>Comp1[[#This Row],[Comparable '#1 Price]]/'Comparable #1'!$B$2*100</f>
        <v>82.067077344284741</v>
      </c>
      <c r="D876" s="74">
        <f>Comp2[[#This Row],[Comparable '#2 Price]]/'Comparable #2'!$B$2*100</f>
        <v>59.134808853118713</v>
      </c>
      <c r="E876" s="74">
        <f>Comp3[[#This Row],[Comparable '#3 Price]]/'Comparable #3'!$B$2*100</f>
        <v>49.799505161675626</v>
      </c>
    </row>
    <row r="877" spans="1:5">
      <c r="A877" s="96">
        <v>44553</v>
      </c>
      <c r="B877" s="74">
        <f>Target1[[#This Row],[Target Price]]/Target!$B$2*100</f>
        <v>195.57882489819661</v>
      </c>
      <c r="C877" s="74">
        <f>Comp1[[#This Row],[Comparable '#1 Price]]/'Comparable #1'!$B$2*100</f>
        <v>83.367556468172495</v>
      </c>
      <c r="D877" s="74">
        <f>Comp2[[#This Row],[Comparable '#2 Price]]/'Comparable #2'!$B$2*100</f>
        <v>60.402414486921529</v>
      </c>
      <c r="E877" s="74">
        <f>Comp3[[#This Row],[Comparable '#3 Price]]/'Comparable #3'!$B$2*100</f>
        <v>49.961607371384694</v>
      </c>
    </row>
    <row r="878" spans="1:5">
      <c r="A878" s="96">
        <v>44557</v>
      </c>
      <c r="B878" s="74">
        <f>Target1[[#This Row],[Target Price]]/Target!$B$2*100</f>
        <v>196.21873182082604</v>
      </c>
      <c r="C878" s="74">
        <f>Comp1[[#This Row],[Comparable '#1 Price]]/'Comparable #1'!$B$2*100</f>
        <v>82.477754962354553</v>
      </c>
      <c r="D878" s="74">
        <f>Comp2[[#This Row],[Comparable '#2 Price]]/'Comparable #2'!$B$2*100</f>
        <v>61.167002012072423</v>
      </c>
      <c r="E878" s="74">
        <f>Comp3[[#This Row],[Comparable '#3 Price]]/'Comparable #3'!$B$2*100</f>
        <v>49.611807866223018</v>
      </c>
    </row>
    <row r="879" spans="1:5">
      <c r="A879" s="96">
        <v>44558</v>
      </c>
      <c r="B879" s="74">
        <f>Target1[[#This Row],[Target Price]]/Target!$B$2*100</f>
        <v>193.36823734729492</v>
      </c>
      <c r="C879" s="74">
        <f>Comp1[[#This Row],[Comparable '#1 Price]]/'Comparable #1'!$B$2*100</f>
        <v>81.998631074606436</v>
      </c>
      <c r="D879" s="74">
        <f>Comp2[[#This Row],[Comparable '#2 Price]]/'Comparable #2'!$B$2*100</f>
        <v>60</v>
      </c>
      <c r="E879" s="74">
        <f>Comp3[[#This Row],[Comparable '#3 Price]]/'Comparable #3'!$B$2*100</f>
        <v>49.594744475727332</v>
      </c>
    </row>
    <row r="880" spans="1:5">
      <c r="A880" s="96">
        <v>44559</v>
      </c>
      <c r="B880" s="74">
        <f>Target1[[#This Row],[Target Price]]/Target!$B$2*100</f>
        <v>191.39034322280392</v>
      </c>
      <c r="C880" s="74">
        <f>Comp1[[#This Row],[Comparable '#1 Price]]/'Comparable #1'!$B$2*100</f>
        <v>82.409308692676248</v>
      </c>
      <c r="D880" s="74">
        <f>Comp2[[#This Row],[Comparable '#2 Price]]/'Comparable #2'!$B$2*100</f>
        <v>58.672032193158955</v>
      </c>
      <c r="E880" s="74">
        <f>Comp3[[#This Row],[Comparable '#3 Price]]/'Comparable #3'!$B$2*100</f>
        <v>49.338793618291952</v>
      </c>
    </row>
    <row r="881" spans="1:5">
      <c r="A881" s="96">
        <v>44560</v>
      </c>
      <c r="B881" s="74">
        <f>Target1[[#This Row],[Target Price]]/Target!$B$2*100</f>
        <v>192.61198371146014</v>
      </c>
      <c r="C881" s="74">
        <f>Comp1[[#This Row],[Comparable '#1 Price]]/'Comparable #1'!$B$2*100</f>
        <v>82.888432580424364</v>
      </c>
      <c r="D881" s="74">
        <f>Comp2[[#This Row],[Comparable '#2 Price]]/'Comparable #2'!$B$2*100</f>
        <v>59.617706237424542</v>
      </c>
      <c r="E881" s="74">
        <f>Comp3[[#This Row],[Comparable '#3 Price]]/'Comparable #3'!$B$2*100</f>
        <v>49.7568466854364</v>
      </c>
    </row>
    <row r="882" spans="1:5">
      <c r="A882" s="96">
        <v>44561</v>
      </c>
      <c r="B882" s="74">
        <f>Target1[[#This Row],[Target Price]]/Target!$B$2*100</f>
        <v>193.89179755671898</v>
      </c>
      <c r="C882" s="74">
        <f>Comp1[[#This Row],[Comparable '#1 Price]]/'Comparable #1'!$B$2*100</f>
        <v>83.778234086242307</v>
      </c>
      <c r="D882" s="74">
        <f>Comp2[[#This Row],[Comparable '#2 Price]]/'Comparable #2'!$B$2*100</f>
        <v>59.476861167002006</v>
      </c>
      <c r="E882" s="74">
        <f>Comp3[[#This Row],[Comparable '#3 Price]]/'Comparable #3'!$B$2*100</f>
        <v>49.347325313539805</v>
      </c>
    </row>
    <row r="883" spans="1:5">
      <c r="A883" s="96">
        <v>44564</v>
      </c>
      <c r="B883" s="74">
        <f>Target1[[#This Row],[Target Price]]/Target!$B$2*100</f>
        <v>193.36823734729492</v>
      </c>
      <c r="C883" s="74">
        <f>Comp1[[#This Row],[Comparable '#1 Price]]/'Comparable #1'!$B$2*100</f>
        <v>82.203969883641349</v>
      </c>
      <c r="D883" s="74">
        <f>Comp2[[#This Row],[Comparable '#2 Price]]/'Comparable #2'!$B$2*100</f>
        <v>61.670020120724345</v>
      </c>
      <c r="E883" s="74">
        <f>Comp3[[#This Row],[Comparable '#3 Price]]/'Comparable #3'!$B$2*100</f>
        <v>50.02132923811962</v>
      </c>
    </row>
    <row r="884" spans="1:5">
      <c r="A884" s="96">
        <v>44565</v>
      </c>
      <c r="B884" s="74">
        <f>Target1[[#This Row],[Target Price]]/Target!$B$2*100</f>
        <v>193.13554392088423</v>
      </c>
      <c r="C884" s="74">
        <f>Comp1[[#This Row],[Comparable '#1 Price]]/'Comparable #1'!$B$2*100</f>
        <v>82.203969883641349</v>
      </c>
      <c r="D884" s="74">
        <f>Comp2[[#This Row],[Comparable '#2 Price]]/'Comparable #2'!$B$2*100</f>
        <v>63.380281690140841</v>
      </c>
      <c r="E884" s="74">
        <f>Comp3[[#This Row],[Comparable '#3 Price]]/'Comparable #3'!$B$2*100</f>
        <v>51.096322839348183</v>
      </c>
    </row>
    <row r="885" spans="1:5">
      <c r="A885" s="96">
        <v>44566</v>
      </c>
      <c r="B885" s="74">
        <f>Target1[[#This Row],[Target Price]]/Target!$B$2*100</f>
        <v>183.01337987201859</v>
      </c>
      <c r="C885" s="74">
        <f>Comp1[[#This Row],[Comparable '#1 Price]]/'Comparable #1'!$B$2*100</f>
        <v>81.656399726214929</v>
      </c>
      <c r="D885" s="74">
        <f>Comp2[[#This Row],[Comparable '#2 Price]]/'Comparable #2'!$B$2*100</f>
        <v>61.649899396378274</v>
      </c>
      <c r="E885" s="74">
        <f>Comp3[[#This Row],[Comparable '#3 Price]]/'Comparable #3'!$B$2*100</f>
        <v>49.637402951966557</v>
      </c>
    </row>
    <row r="886" spans="1:5">
      <c r="A886" s="96">
        <v>44567</v>
      </c>
      <c r="B886" s="74">
        <f>Target1[[#This Row],[Target Price]]/Target!$B$2*100</f>
        <v>185.86387434554973</v>
      </c>
      <c r="C886" s="74">
        <f>Comp1[[#This Row],[Comparable '#1 Price]]/'Comparable #1'!$B$2*100</f>
        <v>82.614647501711161</v>
      </c>
      <c r="D886" s="74">
        <f>Comp2[[#This Row],[Comparable '#2 Price]]/'Comparable #2'!$B$2*100</f>
        <v>61.529175050301802</v>
      </c>
      <c r="E886" s="74">
        <f>Comp3[[#This Row],[Comparable '#3 Price]]/'Comparable #3'!$B$2*100</f>
        <v>49.850695333162705</v>
      </c>
    </row>
    <row r="887" spans="1:5">
      <c r="A887" s="96">
        <v>44568</v>
      </c>
      <c r="B887" s="74">
        <f>Target1[[#This Row],[Target Price]]/Target!$B$2*100</f>
        <v>183.53694008144268</v>
      </c>
      <c r="C887" s="74">
        <f>Comp1[[#This Row],[Comparable '#1 Price]]/'Comparable #1'!$B$2*100</f>
        <v>83.093771389459278</v>
      </c>
      <c r="D887" s="74">
        <f>Comp2[[#This Row],[Comparable '#2 Price]]/'Comparable #2'!$B$2*100</f>
        <v>60.724346076458744</v>
      </c>
      <c r="E887" s="74">
        <f>Comp3[[#This Row],[Comparable '#3 Price]]/'Comparable #3'!$B$2*100</f>
        <v>50.004265847623927</v>
      </c>
    </row>
    <row r="888" spans="1:5">
      <c r="A888" s="96">
        <v>44571</v>
      </c>
      <c r="B888" s="74">
        <f>Target1[[#This Row],[Target Price]]/Target!$B$2*100</f>
        <v>183.59511343804536</v>
      </c>
      <c r="C888" s="74">
        <f>Comp1[[#This Row],[Comparable '#1 Price]]/'Comparable #1'!$B$2*100</f>
        <v>82.546201232032857</v>
      </c>
      <c r="D888" s="74">
        <f>Comp2[[#This Row],[Comparable '#2 Price]]/'Comparable #2'!$B$2*100</f>
        <v>60.78470824949698</v>
      </c>
      <c r="E888" s="74">
        <f>Comp3[[#This Row],[Comparable '#3 Price]]/'Comparable #3'!$B$2*100</f>
        <v>51.471717430253392</v>
      </c>
    </row>
    <row r="889" spans="1:5">
      <c r="A889" s="96">
        <v>44572</v>
      </c>
      <c r="B889" s="74">
        <f>Target1[[#This Row],[Target Price]]/Target!$B$2*100</f>
        <v>184.93310063990691</v>
      </c>
      <c r="C889" s="74">
        <f>Comp1[[#This Row],[Comparable '#1 Price]]/'Comparable #1'!$B$2*100</f>
        <v>82.81998631074606</v>
      </c>
      <c r="D889" s="74">
        <f>Comp2[[#This Row],[Comparable '#2 Price]]/'Comparable #2'!$B$2*100</f>
        <v>61.428571428571431</v>
      </c>
      <c r="E889" s="74">
        <f>Comp3[[#This Row],[Comparable '#3 Price]]/'Comparable #3'!$B$2*100</f>
        <v>51.335210306287863</v>
      </c>
    </row>
    <row r="890" spans="1:5">
      <c r="A890" s="96">
        <v>44573</v>
      </c>
      <c r="B890" s="74">
        <f>Target1[[#This Row],[Target Price]]/Target!$B$2*100</f>
        <v>181.90808609656776</v>
      </c>
      <c r="C890" s="74">
        <f>Comp1[[#This Row],[Comparable '#1 Price]]/'Comparable #1'!$B$2*100</f>
        <v>82.135523613963045</v>
      </c>
      <c r="D890" s="74">
        <f>Comp2[[#This Row],[Comparable '#2 Price]]/'Comparable #2'!$B$2*100</f>
        <v>59.336016096579471</v>
      </c>
      <c r="E890" s="74">
        <f>Comp3[[#This Row],[Comparable '#3 Price]]/'Comparable #3'!$B$2*100</f>
        <v>49.876290418906237</v>
      </c>
    </row>
    <row r="891" spans="1:5">
      <c r="A891" s="96">
        <v>44574</v>
      </c>
      <c r="B891" s="74">
        <f>Target1[[#This Row],[Target Price]]/Target!$B$2*100</f>
        <v>175.5090168702734</v>
      </c>
      <c r="C891" s="74">
        <f>Comp1[[#This Row],[Comparable '#1 Price]]/'Comparable #1'!$B$2*100</f>
        <v>81.108829568788494</v>
      </c>
      <c r="D891" s="74">
        <f>Comp2[[#This Row],[Comparable '#2 Price]]/'Comparable #2'!$B$2*100</f>
        <v>59.195171026156942</v>
      </c>
      <c r="E891" s="74">
        <f>Comp3[[#This Row],[Comparable '#3 Price]]/'Comparable #3'!$B$2*100</f>
        <v>48.391775445781079</v>
      </c>
    </row>
    <row r="892" spans="1:5">
      <c r="A892" s="96">
        <v>44575</v>
      </c>
      <c r="B892" s="74">
        <f>Target1[[#This Row],[Target Price]]/Target!$B$2*100</f>
        <v>175.97440372309481</v>
      </c>
      <c r="C892" s="74">
        <f>Comp1[[#This Row],[Comparable '#1 Price]]/'Comparable #1'!$B$2*100</f>
        <v>81.51950718685832</v>
      </c>
      <c r="D892" s="74">
        <f>Comp2[[#This Row],[Comparable '#2 Price]]/'Comparable #2'!$B$2*100</f>
        <v>59.758551307847071</v>
      </c>
      <c r="E892" s="74">
        <f>Comp3[[#This Row],[Comparable '#3 Price]]/'Comparable #3'!$B$2*100</f>
        <v>49.500895828001028</v>
      </c>
    </row>
    <row r="893" spans="1:5">
      <c r="A893" s="96">
        <v>44579</v>
      </c>
      <c r="B893" s="74">
        <f>Target1[[#This Row],[Target Price]]/Target!$B$2*100</f>
        <v>171.78592204770214</v>
      </c>
      <c r="C893" s="74">
        <f>Comp1[[#This Row],[Comparable '#1 Price]]/'Comparable #1'!$B$2*100</f>
        <v>80.492813141683783</v>
      </c>
      <c r="D893" s="74">
        <f>Comp2[[#This Row],[Comparable '#2 Price]]/'Comparable #2'!$B$2*100</f>
        <v>59.094567404426556</v>
      </c>
      <c r="E893" s="74">
        <f>Comp3[[#This Row],[Comparable '#3 Price]]/'Comparable #3'!$B$2*100</f>
        <v>49.449705656513956</v>
      </c>
    </row>
    <row r="894" spans="1:5">
      <c r="A894" s="96">
        <v>44580</v>
      </c>
      <c r="B894" s="74">
        <f>Target1[[#This Row],[Target Price]]/Target!$B$2*100</f>
        <v>167.71378708551481</v>
      </c>
      <c r="C894" s="74">
        <f>Comp1[[#This Row],[Comparable '#1 Price]]/'Comparable #1'!$B$2*100</f>
        <v>80.629705681040392</v>
      </c>
      <c r="D894" s="74">
        <f>Comp2[[#This Row],[Comparable '#2 Price]]/'Comparable #2'!$B$2*100</f>
        <v>57.505030181086511</v>
      </c>
      <c r="E894" s="74">
        <f>Comp3[[#This Row],[Comparable '#3 Price]]/'Comparable #3'!$B$2*100</f>
        <v>47.154679634843447</v>
      </c>
    </row>
    <row r="895" spans="1:5">
      <c r="A895" s="96">
        <v>44581</v>
      </c>
      <c r="B895" s="74">
        <f>Target1[[#This Row],[Target Price]]/Target!$B$2*100</f>
        <v>161.78010471204186</v>
      </c>
      <c r="C895" s="74">
        <f>Comp1[[#This Row],[Comparable '#1 Price]]/'Comparable #1'!$B$2*100</f>
        <v>80.835044490075305</v>
      </c>
      <c r="D895" s="74">
        <f>Comp2[[#This Row],[Comparable '#2 Price]]/'Comparable #2'!$B$2*100</f>
        <v>56.921529175050303</v>
      </c>
      <c r="E895" s="74">
        <f>Comp3[[#This Row],[Comparable '#3 Price]]/'Comparable #3'!$B$2*100</f>
        <v>46.779285043938231</v>
      </c>
    </row>
    <row r="896" spans="1:5">
      <c r="A896" s="96">
        <v>44582</v>
      </c>
      <c r="B896" s="74">
        <f>Target1[[#This Row],[Target Price]]/Target!$B$2*100</f>
        <v>156.25363583478767</v>
      </c>
      <c r="C896" s="74">
        <f>Comp1[[#This Row],[Comparable '#1 Price]]/'Comparable #1'!$B$2*100</f>
        <v>80.150581793292275</v>
      </c>
      <c r="D896" s="74">
        <f>Comp2[[#This Row],[Comparable '#2 Price]]/'Comparable #2'!$B$2*100</f>
        <v>56.136820925553309</v>
      </c>
      <c r="E896" s="74">
        <f>Comp3[[#This Row],[Comparable '#3 Price]]/'Comparable #3'!$B$2*100</f>
        <v>46.864601996416688</v>
      </c>
    </row>
    <row r="897" spans="1:5">
      <c r="A897" s="96">
        <v>44585</v>
      </c>
      <c r="B897" s="74">
        <f>Target1[[#This Row],[Target Price]]/Target!$B$2*100</f>
        <v>160.32577079697495</v>
      </c>
      <c r="C897" s="74">
        <f>Comp1[[#This Row],[Comparable '#1 Price]]/'Comparable #1'!$B$2*100</f>
        <v>80.835044490075305</v>
      </c>
      <c r="D897" s="74">
        <f>Comp2[[#This Row],[Comparable '#2 Price]]/'Comparable #2'!$B$2*100</f>
        <v>63.802816901408441</v>
      </c>
      <c r="E897" s="74">
        <f>Comp3[[#This Row],[Comparable '#3 Price]]/'Comparable #3'!$B$2*100</f>
        <v>48.3576486647897</v>
      </c>
    </row>
    <row r="898" spans="1:5">
      <c r="A898" s="96">
        <v>44586</v>
      </c>
      <c r="B898" s="74">
        <f>Target1[[#This Row],[Target Price]]/Target!$B$2*100</f>
        <v>157.06806282722511</v>
      </c>
      <c r="C898" s="74">
        <f>Comp1[[#This Row],[Comparable '#1 Price]]/'Comparable #1'!$B$2*100</f>
        <v>80.424366872005479</v>
      </c>
      <c r="D898" s="74">
        <f>Comp2[[#This Row],[Comparable '#2 Price]]/'Comparable #2'!$B$2*100</f>
        <v>61.368209255533188</v>
      </c>
      <c r="E898" s="74">
        <f>Comp3[[#This Row],[Comparable '#3 Price]]/'Comparable #3'!$B$2*100</f>
        <v>48.451497312516004</v>
      </c>
    </row>
    <row r="899" spans="1:5">
      <c r="A899" s="96">
        <v>44587</v>
      </c>
      <c r="B899" s="74">
        <f>Target1[[#This Row],[Target Price]]/Target!$B$2*100</f>
        <v>196.39325189063405</v>
      </c>
      <c r="C899" s="74">
        <f>Comp1[[#This Row],[Comparable '#1 Price]]/'Comparable #1'!$B$2*100</f>
        <v>80.698151950718682</v>
      </c>
      <c r="D899" s="74">
        <f>Comp2[[#This Row],[Comparable '#2 Price]]/'Comparable #2'!$B$2*100</f>
        <v>59.678068410462771</v>
      </c>
      <c r="E899" s="74">
        <f>Comp3[[#This Row],[Comparable '#3 Price]]/'Comparable #3'!$B$2*100</f>
        <v>48.44296561726815</v>
      </c>
    </row>
    <row r="900" spans="1:5">
      <c r="A900" s="96">
        <v>44588</v>
      </c>
      <c r="B900" s="74">
        <f>Target1[[#This Row],[Target Price]]/Target!$B$2*100</f>
        <v>197.49854566608494</v>
      </c>
      <c r="C900" s="74">
        <f>Comp1[[#This Row],[Comparable '#1 Price]]/'Comparable #1'!$B$2*100</f>
        <v>78.918548939082825</v>
      </c>
      <c r="D900" s="74">
        <f>Comp2[[#This Row],[Comparable '#2 Price]]/'Comparable #2'!$B$2*100</f>
        <v>57.444668008048282</v>
      </c>
      <c r="E900" s="74">
        <f>Comp3[[#This Row],[Comparable '#3 Price]]/'Comparable #3'!$B$2*100</f>
        <v>48.886613770156131</v>
      </c>
    </row>
    <row r="901" spans="1:5">
      <c r="A901" s="96">
        <v>44589</v>
      </c>
      <c r="B901" s="74">
        <f>Target1[[#This Row],[Target Price]]/Target!$B$2*100</f>
        <v>200.34904013961602</v>
      </c>
      <c r="C901" s="74">
        <f>Comp1[[#This Row],[Comparable '#1 Price]]/'Comparable #1'!$B$2*100</f>
        <v>82.614647501711161</v>
      </c>
      <c r="D901" s="74">
        <f>Comp2[[#This Row],[Comparable '#2 Price]]/'Comparable #2'!$B$2*100</f>
        <v>57.303822937625746</v>
      </c>
      <c r="E901" s="74">
        <f>Comp3[[#This Row],[Comparable '#3 Price]]/'Comparable #3'!$B$2*100</f>
        <v>51.258425049057244</v>
      </c>
    </row>
    <row r="902" spans="1:5">
      <c r="A902" s="96">
        <v>44592</v>
      </c>
      <c r="B902" s="74">
        <f>Target1[[#This Row],[Target Price]]/Target!$B$2*100</f>
        <v>204.01396160558463</v>
      </c>
      <c r="C902" s="74">
        <f>Comp1[[#This Row],[Comparable '#1 Price]]/'Comparable #1'!$B$2*100</f>
        <v>86.584531143052715</v>
      </c>
      <c r="D902" s="74">
        <f>Comp2[[#This Row],[Comparable '#2 Price]]/'Comparable #2'!$B$2*100</f>
        <v>59.195171026156942</v>
      </c>
      <c r="E902" s="74">
        <f>Comp3[[#This Row],[Comparable '#3 Price]]/'Comparable #3'!$B$2*100</f>
        <v>50.900093848647721</v>
      </c>
    </row>
    <row r="903" spans="1:5">
      <c r="A903" s="96">
        <v>44593</v>
      </c>
      <c r="B903" s="74">
        <f>Target1[[#This Row],[Target Price]]/Target!$B$2*100</f>
        <v>209.77312390924956</v>
      </c>
      <c r="C903" s="74">
        <f>Comp1[[#This Row],[Comparable '#1 Price]]/'Comparable #1'!$B$2*100</f>
        <v>83.846680355920611</v>
      </c>
      <c r="D903" s="74">
        <f>Comp2[[#This Row],[Comparable '#2 Price]]/'Comparable #2'!$B$2*100</f>
        <v>59.094567404426556</v>
      </c>
      <c r="E903" s="74">
        <f>Comp3[[#This Row],[Comparable '#3 Price]]/'Comparable #3'!$B$2*100</f>
        <v>51.42905895401416</v>
      </c>
    </row>
    <row r="904" spans="1:5">
      <c r="A904" s="96">
        <v>44594</v>
      </c>
      <c r="B904" s="74">
        <f>Target1[[#This Row],[Target Price]]/Target!$B$2*100</f>
        <v>210.70389761489236</v>
      </c>
      <c r="C904" s="74">
        <f>Comp1[[#This Row],[Comparable '#1 Price]]/'Comparable #1'!$B$2*100</f>
        <v>84.668035592060235</v>
      </c>
      <c r="D904" s="74">
        <f>Comp2[[#This Row],[Comparable '#2 Price]]/'Comparable #2'!$B$2*100</f>
        <v>57.505030181086511</v>
      </c>
      <c r="E904" s="74">
        <f>Comp3[[#This Row],[Comparable '#3 Price]]/'Comparable #3'!$B$2*100</f>
        <v>50.285811790802839</v>
      </c>
    </row>
    <row r="905" spans="1:5">
      <c r="A905" s="96">
        <v>44595</v>
      </c>
      <c r="B905" s="74">
        <f>Target1[[#This Row],[Target Price]]/Target!$B$2*100</f>
        <v>204.94473531122742</v>
      </c>
      <c r="C905" s="74">
        <f>Comp1[[#This Row],[Comparable '#1 Price]]/'Comparable #1'!$B$2*100</f>
        <v>83.846680355920611</v>
      </c>
      <c r="D905" s="74">
        <f>Comp2[[#This Row],[Comparable '#2 Price]]/'Comparable #2'!$B$2*100</f>
        <v>56.29778672032193</v>
      </c>
      <c r="E905" s="74">
        <f>Comp3[[#This Row],[Comparable '#3 Price]]/'Comparable #3'!$B$2*100</f>
        <v>49.407047180274724</v>
      </c>
    </row>
    <row r="906" spans="1:5">
      <c r="A906" s="96">
        <v>44596</v>
      </c>
      <c r="B906" s="74">
        <f>Target1[[#This Row],[Target Price]]/Target!$B$2*100</f>
        <v>203.54857475276322</v>
      </c>
      <c r="C906" s="74">
        <f>Comp1[[#This Row],[Comparable '#1 Price]]/'Comparable #1'!$B$2*100</f>
        <v>85.900068446269685</v>
      </c>
      <c r="D906" s="74">
        <f>Comp2[[#This Row],[Comparable '#2 Price]]/'Comparable #2'!$B$2*100</f>
        <v>56.780684104627767</v>
      </c>
      <c r="E906" s="74">
        <f>Comp3[[#This Row],[Comparable '#3 Price]]/'Comparable #3'!$B$2*100</f>
        <v>50.848903677160649</v>
      </c>
    </row>
    <row r="907" spans="1:5">
      <c r="A907" s="96">
        <v>44599</v>
      </c>
      <c r="B907" s="74">
        <f>Target1[[#This Row],[Target Price]]/Target!$B$2*100</f>
        <v>202.55962769051771</v>
      </c>
      <c r="C907" s="74">
        <f>Comp1[[#This Row],[Comparable '#1 Price]]/'Comparable #1'!$B$2*100</f>
        <v>84.462696783025322</v>
      </c>
      <c r="D907" s="74">
        <f>Comp2[[#This Row],[Comparable '#2 Price]]/'Comparable #2'!$B$2*100</f>
        <v>56.941649899396374</v>
      </c>
      <c r="E907" s="74">
        <f>Comp3[[#This Row],[Comparable '#3 Price]]/'Comparable #3'!$B$2*100</f>
        <v>50.976879105878339</v>
      </c>
    </row>
    <row r="908" spans="1:5">
      <c r="A908" s="96">
        <v>44600</v>
      </c>
      <c r="B908" s="74">
        <f>Target1[[#This Row],[Target Price]]/Target!$B$2*100</f>
        <v>209.54043048283887</v>
      </c>
      <c r="C908" s="74">
        <f>Comp1[[#This Row],[Comparable '#1 Price]]/'Comparable #1'!$B$2*100</f>
        <v>85.489390828199859</v>
      </c>
      <c r="D908" s="74">
        <f>Comp2[[#This Row],[Comparable '#2 Price]]/'Comparable #2'!$B$2*100</f>
        <v>57.847082494969811</v>
      </c>
      <c r="E908" s="74">
        <f>Comp3[[#This Row],[Comparable '#3 Price]]/'Comparable #3'!$B$2*100</f>
        <v>51.156044706083101</v>
      </c>
    </row>
    <row r="909" spans="1:5">
      <c r="A909" s="96">
        <v>44601</v>
      </c>
      <c r="B909" s="74">
        <f>Target1[[#This Row],[Target Price]]/Target!$B$2*100</f>
        <v>206.57358929610234</v>
      </c>
      <c r="C909" s="74">
        <f>Comp1[[#This Row],[Comparable '#1 Price]]/'Comparable #1'!$B$2*100</f>
        <v>89.185489390828195</v>
      </c>
      <c r="D909" s="74">
        <f>Comp2[[#This Row],[Comparable '#2 Price]]/'Comparable #2'!$B$2*100</f>
        <v>49.69818913480885</v>
      </c>
      <c r="E909" s="74">
        <f>Comp3[[#This Row],[Comparable '#3 Price]]/'Comparable #3'!$B$2*100</f>
        <v>48.511219179250922</v>
      </c>
    </row>
    <row r="910" spans="1:5">
      <c r="A910" s="96">
        <v>44602</v>
      </c>
      <c r="B910" s="74">
        <f>Target1[[#This Row],[Target Price]]/Target!$B$2*100</f>
        <v>200.46538685282141</v>
      </c>
      <c r="C910" s="74">
        <f>Comp1[[#This Row],[Comparable '#1 Price]]/'Comparable #1'!$B$2*100</f>
        <v>86.036960985626294</v>
      </c>
      <c r="D910" s="74">
        <f>Comp2[[#This Row],[Comparable '#2 Price]]/'Comparable #2'!$B$2*100</f>
        <v>45.814889336016094</v>
      </c>
      <c r="E910" s="74">
        <f>Comp3[[#This Row],[Comparable '#3 Price]]/'Comparable #3'!$B$2*100</f>
        <v>45.090009384864778</v>
      </c>
    </row>
    <row r="911" spans="1:5">
      <c r="A911" s="96">
        <v>44603</v>
      </c>
      <c r="B911" s="74">
        <f>Target1[[#This Row],[Target Price]]/Target!$B$2*100</f>
        <v>196.85863874345551</v>
      </c>
      <c r="C911" s="74">
        <f>Comp1[[#This Row],[Comparable '#1 Price]]/'Comparable #1'!$B$2*100</f>
        <v>83.983572895277206</v>
      </c>
      <c r="D911" s="74">
        <f>Comp2[[#This Row],[Comparable '#2 Price]]/'Comparable #2'!$B$2*100</f>
        <v>47.806841046277668</v>
      </c>
      <c r="E911" s="74">
        <f>Comp3[[#This Row],[Comparable '#3 Price]]/'Comparable #3'!$B$2*100</f>
        <v>46.216193157580413</v>
      </c>
    </row>
    <row r="912" spans="1:5">
      <c r="A912" s="96">
        <v>44606</v>
      </c>
      <c r="B912" s="74">
        <f>Target1[[#This Row],[Target Price]]/Target!$B$2*100</f>
        <v>196.85863874345551</v>
      </c>
      <c r="C912" s="74">
        <f>Comp1[[#This Row],[Comparable '#1 Price]]/'Comparable #1'!$B$2*100</f>
        <v>85.489390828199859</v>
      </c>
      <c r="D912" s="74">
        <f>Comp2[[#This Row],[Comparable '#2 Price]]/'Comparable #2'!$B$2*100</f>
        <v>47.263581488933596</v>
      </c>
      <c r="E912" s="74">
        <f>Comp3[[#This Row],[Comparable '#3 Price]]/'Comparable #3'!$B$2*100</f>
        <v>45.798140090435972</v>
      </c>
    </row>
    <row r="913" spans="1:5">
      <c r="A913" s="96">
        <v>44607</v>
      </c>
      <c r="B913" s="74">
        <f>Target1[[#This Row],[Target Price]]/Target!$B$2*100</f>
        <v>199.12739965095983</v>
      </c>
      <c r="C913" s="74">
        <f>Comp1[[#This Row],[Comparable '#1 Price]]/'Comparable #1'!$B$2*100</f>
        <v>85.215605749486656</v>
      </c>
      <c r="D913" s="74">
        <f>Comp2[[#This Row],[Comparable '#2 Price]]/'Comparable #2'!$B$2*100</f>
        <v>47.665995975855132</v>
      </c>
      <c r="E913" s="74">
        <f>Comp3[[#This Row],[Comparable '#3 Price]]/'Comparable #3'!$B$2*100</f>
        <v>46.548929272246397</v>
      </c>
    </row>
    <row r="914" spans="1:5">
      <c r="A914" s="96">
        <v>44608</v>
      </c>
      <c r="B914" s="74">
        <f>Target1[[#This Row],[Target Price]]/Target!$B$2*100</f>
        <v>199.94182664339729</v>
      </c>
      <c r="C914" s="74">
        <f>Comp1[[#This Row],[Comparable '#1 Price]]/'Comparable #1'!$B$2*100</f>
        <v>86.036960985626294</v>
      </c>
      <c r="D914" s="74">
        <f>Comp2[[#This Row],[Comparable '#2 Price]]/'Comparable #2'!$B$2*100</f>
        <v>46.478873239436616</v>
      </c>
      <c r="E914" s="74">
        <f>Comp3[[#This Row],[Comparable '#3 Price]]/'Comparable #3'!$B$2*100</f>
        <v>46.56599266274209</v>
      </c>
    </row>
    <row r="915" spans="1:5">
      <c r="A915" s="96">
        <v>44609</v>
      </c>
      <c r="B915" s="74">
        <f>Target1[[#This Row],[Target Price]]/Target!$B$2*100</f>
        <v>195.81151832460731</v>
      </c>
      <c r="C915" s="74">
        <f>Comp1[[#This Row],[Comparable '#1 Price]]/'Comparable #1'!$B$2*100</f>
        <v>83.641341546885712</v>
      </c>
      <c r="D915" s="74">
        <f>Comp2[[#This Row],[Comparable '#2 Price]]/'Comparable #2'!$B$2*100</f>
        <v>42.454728370221332</v>
      </c>
      <c r="E915" s="74">
        <f>Comp3[[#This Row],[Comparable '#3 Price]]/'Comparable #3'!$B$2*100</f>
        <v>43.71640644996161</v>
      </c>
    </row>
    <row r="916" spans="1:5">
      <c r="A916" s="96">
        <v>44610</v>
      </c>
      <c r="B916" s="74">
        <f>Target1[[#This Row],[Target Price]]/Target!$B$2*100</f>
        <v>197.73123909249563</v>
      </c>
      <c r="C916" s="74">
        <f>Comp1[[#This Row],[Comparable '#1 Price]]/'Comparable #1'!$B$2*100</f>
        <v>82.409308692676248</v>
      </c>
      <c r="D916" s="74">
        <f>Comp2[[#This Row],[Comparable '#2 Price]]/'Comparable #2'!$B$2*100</f>
        <v>41.911468812877253</v>
      </c>
      <c r="E916" s="74">
        <f>Comp3[[#This Row],[Comparable '#3 Price]]/'Comparable #3'!$B$2*100</f>
        <v>44.151522907601745</v>
      </c>
    </row>
    <row r="917" spans="1:5">
      <c r="A917" s="96">
        <v>44614</v>
      </c>
      <c r="B917" s="74">
        <f>Target1[[#This Row],[Target Price]]/Target!$B$2*100</f>
        <v>192.61198371146014</v>
      </c>
      <c r="C917" s="74">
        <f>Comp1[[#This Row],[Comparable '#1 Price]]/'Comparable #1'!$B$2*100</f>
        <v>81.793292265571523</v>
      </c>
      <c r="D917" s="74">
        <f>Comp2[[#This Row],[Comparable '#2 Price]]/'Comparable #2'!$B$2*100</f>
        <v>41.106639839034202</v>
      </c>
      <c r="E917" s="74">
        <f>Comp3[[#This Row],[Comparable '#3 Price]]/'Comparable #3'!$B$2*100</f>
        <v>44.08326934561898</v>
      </c>
    </row>
    <row r="918" spans="1:5">
      <c r="A918" s="96">
        <v>44615</v>
      </c>
      <c r="B918" s="74">
        <f>Target1[[#This Row],[Target Price]]/Target!$B$2*100</f>
        <v>191.15764979639323</v>
      </c>
      <c r="C918" s="74">
        <f>Comp1[[#This Row],[Comparable '#1 Price]]/'Comparable #1'!$B$2*100</f>
        <v>81.587953456536624</v>
      </c>
      <c r="D918" s="74">
        <f>Comp2[[#This Row],[Comparable '#2 Price]]/'Comparable #2'!$B$2*100</f>
        <v>39.718309859154928</v>
      </c>
      <c r="E918" s="74">
        <f>Comp3[[#This Row],[Comparable '#3 Price]]/'Comparable #3'!$B$2*100</f>
        <v>42.487842334271818</v>
      </c>
    </row>
    <row r="919" spans="1:5">
      <c r="A919" s="96">
        <v>44616</v>
      </c>
      <c r="B919" s="74">
        <f>Target1[[#This Row],[Target Price]]/Target!$B$2*100</f>
        <v>194.18266433973241</v>
      </c>
      <c r="C919" s="74">
        <f>Comp1[[#This Row],[Comparable '#1 Price]]/'Comparable #1'!$B$2*100</f>
        <v>80.21902806297058</v>
      </c>
      <c r="D919" s="74">
        <f>Comp2[[#This Row],[Comparable '#2 Price]]/'Comparable #2'!$B$2*100</f>
        <v>40.482897384305829</v>
      </c>
      <c r="E919" s="74">
        <f>Comp3[[#This Row],[Comparable '#3 Price]]/'Comparable #3'!$B$2*100</f>
        <v>42.701134715467965</v>
      </c>
    </row>
    <row r="920" spans="1:5">
      <c r="A920" s="96">
        <v>44617</v>
      </c>
      <c r="B920" s="74">
        <f>Target1[[#This Row],[Target Price]]/Target!$B$2*100</f>
        <v>201.97789412449097</v>
      </c>
      <c r="C920" s="74">
        <f>Comp1[[#This Row],[Comparable '#1 Price]]/'Comparable #1'!$B$2*100</f>
        <v>77.618069815195085</v>
      </c>
      <c r="D920" s="74">
        <f>Comp2[[#This Row],[Comparable '#2 Price]]/'Comparable #2'!$B$2*100</f>
        <v>41.790744466800803</v>
      </c>
      <c r="E920" s="74">
        <f>Comp3[[#This Row],[Comparable '#3 Price]]/'Comparable #3'!$B$2*100</f>
        <v>51.821516935415069</v>
      </c>
    </row>
    <row r="921" spans="1:5">
      <c r="A921" s="96">
        <v>44620</v>
      </c>
      <c r="B921" s="74">
        <f>Target1[[#This Row],[Target Price]]/Target!$B$2*100</f>
        <v>195.3461314717859</v>
      </c>
      <c r="C921" s="74">
        <f>Comp1[[#This Row],[Comparable '#1 Price]]/'Comparable #1'!$B$2*100</f>
        <v>74.195756331279952</v>
      </c>
      <c r="D921" s="74">
        <f>Comp2[[#This Row],[Comparable '#2 Price]]/'Comparable #2'!$B$2*100</f>
        <v>41.810865191146881</v>
      </c>
      <c r="E921" s="74">
        <f>Comp3[[#This Row],[Comparable '#3 Price]]/'Comparable #3'!$B$2*100</f>
        <v>50.354065352785604</v>
      </c>
    </row>
    <row r="922" spans="1:5">
      <c r="A922" s="96">
        <v>44621</v>
      </c>
      <c r="B922" s="74">
        <f>Target1[[#This Row],[Target Price]]/Target!$B$2*100</f>
        <v>195.57882489819661</v>
      </c>
      <c r="C922" s="74">
        <f>Comp1[[#This Row],[Comparable '#1 Price]]/'Comparable #1'!$B$2*100</f>
        <v>77.618069815195085</v>
      </c>
      <c r="D922" s="74">
        <f>Comp2[[#This Row],[Comparable '#2 Price]]/'Comparable #2'!$B$2*100</f>
        <v>45.130784708249493</v>
      </c>
      <c r="E922" s="74">
        <f>Comp3[[#This Row],[Comparable '#3 Price]]/'Comparable #3'!$B$2*100</f>
        <v>50.251685009811453</v>
      </c>
    </row>
    <row r="923" spans="1:5">
      <c r="A923" s="96">
        <v>44622</v>
      </c>
      <c r="B923" s="74">
        <f>Target1[[#This Row],[Target Price]]/Target!$B$2*100</f>
        <v>197.14950552646886</v>
      </c>
      <c r="C923" s="74">
        <f>Comp1[[#This Row],[Comparable '#1 Price]]/'Comparable #1'!$B$2*100</f>
        <v>77.618069815195085</v>
      </c>
      <c r="D923" s="74">
        <f>Comp2[[#This Row],[Comparable '#2 Price]]/'Comparable #2'!$B$2*100</f>
        <v>46.458752515090538</v>
      </c>
      <c r="E923" s="74">
        <f>Comp3[[#This Row],[Comparable '#3 Price]]/'Comparable #3'!$B$2*100</f>
        <v>51.574097773227543</v>
      </c>
    </row>
    <row r="924" spans="1:5">
      <c r="A924" s="96">
        <v>44623</v>
      </c>
      <c r="B924" s="74">
        <f>Target1[[#This Row],[Target Price]]/Target!$B$2*100</f>
        <v>192.20477021524141</v>
      </c>
      <c r="C924" s="74">
        <f>Comp1[[#This Row],[Comparable '#1 Price]]/'Comparable #1'!$B$2*100</f>
        <v>78.37097878165639</v>
      </c>
      <c r="D924" s="74">
        <f>Comp2[[#This Row],[Comparable '#2 Price]]/'Comparable #2'!$B$2*100</f>
        <v>45.774647887323944</v>
      </c>
      <c r="E924" s="74">
        <f>Comp3[[#This Row],[Comparable '#3 Price]]/'Comparable #3'!$B$2*100</f>
        <v>50.166368057332988</v>
      </c>
    </row>
    <row r="925" spans="1:5">
      <c r="A925" s="96">
        <v>44624</v>
      </c>
      <c r="B925" s="74">
        <f>Target1[[#This Row],[Target Price]]/Target!$B$2*100</f>
        <v>188.42350203606748</v>
      </c>
      <c r="C925" s="74">
        <f>Comp1[[#This Row],[Comparable '#1 Price]]/'Comparable #1'!$B$2*100</f>
        <v>77.754962354551665</v>
      </c>
      <c r="D925" s="74">
        <f>Comp2[[#This Row],[Comparable '#2 Price]]/'Comparable #2'!$B$2*100</f>
        <v>45.352112676056336</v>
      </c>
      <c r="E925" s="74">
        <f>Comp3[[#This Row],[Comparable '#3 Price]]/'Comparable #3'!$B$2*100</f>
        <v>49.722719904445015</v>
      </c>
    </row>
    <row r="926" spans="1:5">
      <c r="A926" s="96">
        <v>44627</v>
      </c>
      <c r="B926" s="74">
        <f>Target1[[#This Row],[Target Price]]/Target!$B$2*100</f>
        <v>182.83885980221058</v>
      </c>
      <c r="C926" s="74">
        <f>Comp1[[#This Row],[Comparable '#1 Price]]/'Comparable #1'!$B$2*100</f>
        <v>79.260780287474347</v>
      </c>
      <c r="D926" s="74">
        <f>Comp2[[#This Row],[Comparable '#2 Price]]/'Comparable #2'!$B$2*100</f>
        <v>45.99597585513078</v>
      </c>
      <c r="E926" s="74">
        <f>Comp3[[#This Row],[Comparable '#3 Price]]/'Comparable #3'!$B$2*100</f>
        <v>48.878082074908285</v>
      </c>
    </row>
    <row r="927" spans="1:5">
      <c r="A927" s="96">
        <v>44628</v>
      </c>
      <c r="B927" s="74">
        <f>Target1[[#This Row],[Target Price]]/Target!$B$2*100</f>
        <v>185.34031413612564</v>
      </c>
      <c r="C927" s="74">
        <f>Comp1[[#This Row],[Comparable '#1 Price]]/'Comparable #1'!$B$2*100</f>
        <v>80.561259411362087</v>
      </c>
      <c r="D927" s="74">
        <f>Comp2[[#This Row],[Comparable '#2 Price]]/'Comparable #2'!$B$2*100</f>
        <v>47.062374245472839</v>
      </c>
      <c r="E927" s="74">
        <f>Comp3[[#This Row],[Comparable '#3 Price]]/'Comparable #3'!$B$2*100</f>
        <v>48.255268321815549</v>
      </c>
    </row>
    <row r="928" spans="1:5">
      <c r="A928" s="96">
        <v>44629</v>
      </c>
      <c r="B928" s="74">
        <f>Target1[[#This Row],[Target Price]]/Target!$B$2*100</f>
        <v>188.48167539267013</v>
      </c>
      <c r="C928" s="74">
        <f>Comp1[[#This Row],[Comparable '#1 Price]]/'Comparable #1'!$B$2*100</f>
        <v>81.793292265571523</v>
      </c>
      <c r="D928" s="74">
        <f>Comp2[[#This Row],[Comparable '#2 Price]]/'Comparable #2'!$B$2*100</f>
        <v>48.088531187122726</v>
      </c>
      <c r="E928" s="74">
        <f>Comp3[[#This Row],[Comparable '#3 Price]]/'Comparable #3'!$B$2*100</f>
        <v>48.733043255694909</v>
      </c>
    </row>
    <row r="929" spans="1:5">
      <c r="A929" s="96">
        <v>44630</v>
      </c>
      <c r="B929" s="74">
        <f>Target1[[#This Row],[Target Price]]/Target!$B$2*100</f>
        <v>190.51774287376381</v>
      </c>
      <c r="C929" s="74">
        <f>Comp1[[#This Row],[Comparable '#1 Price]]/'Comparable #1'!$B$2*100</f>
        <v>83.230663928815886</v>
      </c>
      <c r="D929" s="74">
        <f>Comp2[[#This Row],[Comparable '#2 Price]]/'Comparable #2'!$B$2*100</f>
        <v>48.309859154929583</v>
      </c>
      <c r="E929" s="74">
        <f>Comp3[[#This Row],[Comparable '#3 Price]]/'Comparable #3'!$B$2*100</f>
        <v>49.936012285641162</v>
      </c>
    </row>
    <row r="930" spans="1:5">
      <c r="A930" s="96">
        <v>44631</v>
      </c>
      <c r="B930" s="74">
        <f>Target1[[#This Row],[Target Price]]/Target!$B$2*100</f>
        <v>187.84176847004071</v>
      </c>
      <c r="C930" s="74">
        <f>Comp1[[#This Row],[Comparable '#1 Price]]/'Comparable #1'!$B$2*100</f>
        <v>83.162217659137582</v>
      </c>
      <c r="D930" s="74">
        <f>Comp2[[#This Row],[Comparable '#2 Price]]/'Comparable #2'!$B$2*100</f>
        <v>48.591549295774641</v>
      </c>
      <c r="E930" s="74">
        <f>Comp3[[#This Row],[Comparable '#3 Price]]/'Comparable #3'!$B$2*100</f>
        <v>50.584421124477444</v>
      </c>
    </row>
    <row r="931" spans="1:5">
      <c r="A931" s="96">
        <v>44634</v>
      </c>
      <c r="B931" s="74">
        <f>Target1[[#This Row],[Target Price]]/Target!$B$2*100</f>
        <v>186.21291448516578</v>
      </c>
      <c r="C931" s="74">
        <f>Comp1[[#This Row],[Comparable '#1 Price]]/'Comparable #1'!$B$2*100</f>
        <v>81.998631074606436</v>
      </c>
      <c r="D931" s="74">
        <f>Comp2[[#This Row],[Comparable '#2 Price]]/'Comparable #2'!$B$2*100</f>
        <v>51.267605633802816</v>
      </c>
      <c r="E931" s="74">
        <f>Comp3[[#This Row],[Comparable '#3 Price]]/'Comparable #3'!$B$2*100</f>
        <v>49.833631942667004</v>
      </c>
    </row>
    <row r="932" spans="1:5">
      <c r="A932" s="96">
        <v>44635</v>
      </c>
      <c r="B932" s="74">
        <f>Target1[[#This Row],[Target Price]]/Target!$B$2*100</f>
        <v>189.23792902850494</v>
      </c>
      <c r="C932" s="74">
        <f>Comp1[[#This Row],[Comparable '#1 Price]]/'Comparable #1'!$B$2*100</f>
        <v>86.789869952087614</v>
      </c>
      <c r="D932" s="74">
        <f>Comp2[[#This Row],[Comparable '#2 Price]]/'Comparable #2'!$B$2*100</f>
        <v>54.024144869215299</v>
      </c>
      <c r="E932" s="74">
        <f>Comp3[[#This Row],[Comparable '#3 Price]]/'Comparable #3'!$B$2*100</f>
        <v>52.444330688507812</v>
      </c>
    </row>
    <row r="933" spans="1:5">
      <c r="A933" s="96">
        <v>44636</v>
      </c>
      <c r="B933" s="74">
        <f>Target1[[#This Row],[Target Price]]/Target!$B$2*100</f>
        <v>197.0331588132635</v>
      </c>
      <c r="C933" s="74">
        <f>Comp1[[#This Row],[Comparable '#1 Price]]/'Comparable #1'!$B$2*100</f>
        <v>86.789869952087614</v>
      </c>
      <c r="D933" s="74">
        <f>Comp2[[#This Row],[Comparable '#2 Price]]/'Comparable #2'!$B$2*100</f>
        <v>55.573440643863179</v>
      </c>
      <c r="E933" s="74">
        <f>Comp3[[#This Row],[Comparable '#3 Price]]/'Comparable #3'!$B$2*100</f>
        <v>51.898302192645687</v>
      </c>
    </row>
    <row r="934" spans="1:5">
      <c r="A934" s="96">
        <v>44637</v>
      </c>
      <c r="B934" s="74">
        <f>Target1[[#This Row],[Target Price]]/Target!$B$2*100</f>
        <v>200.40721349621876</v>
      </c>
      <c r="C934" s="74">
        <f>Comp1[[#This Row],[Comparable '#1 Price]]/'Comparable #1'!$B$2*100</f>
        <v>85.694729637234772</v>
      </c>
      <c r="D934" s="74">
        <f>Comp2[[#This Row],[Comparable '#2 Price]]/'Comparable #2'!$B$2*100</f>
        <v>57.605633802816889</v>
      </c>
      <c r="E934" s="74">
        <f>Comp3[[#This Row],[Comparable '#3 Price]]/'Comparable #3'!$B$2*100</f>
        <v>52.50405255524273</v>
      </c>
    </row>
    <row r="935" spans="1:5">
      <c r="A935" s="96">
        <v>44638</v>
      </c>
      <c r="B935" s="74">
        <f>Target1[[#This Row],[Target Price]]/Target!$B$2*100</f>
        <v>200.75625363583475</v>
      </c>
      <c r="C935" s="74">
        <f>Comp1[[#This Row],[Comparable '#1 Price]]/'Comparable #1'!$B$2*100</f>
        <v>85.489390828199859</v>
      </c>
      <c r="D935" s="74">
        <f>Comp2[[#This Row],[Comparable '#2 Price]]/'Comparable #2'!$B$2*100</f>
        <v>58.853118712273634</v>
      </c>
      <c r="E935" s="74">
        <f>Comp3[[#This Row],[Comparable '#3 Price]]/'Comparable #3'!$B$2*100</f>
        <v>54.176264823820496</v>
      </c>
    </row>
    <row r="936" spans="1:5">
      <c r="A936" s="96">
        <v>44641</v>
      </c>
      <c r="B936" s="74">
        <f>Target1[[#This Row],[Target Price]]/Target!$B$2*100</f>
        <v>199.82547993019196</v>
      </c>
      <c r="C936" s="74">
        <f>Comp1[[#This Row],[Comparable '#1 Price]]/'Comparable #1'!$B$2*100</f>
        <v>86.858316221765918</v>
      </c>
      <c r="D936" s="74">
        <f>Comp2[[#This Row],[Comparable '#2 Price]]/'Comparable #2'!$B$2*100</f>
        <v>59.21529175050302</v>
      </c>
      <c r="E936" s="74">
        <f>Comp3[[#This Row],[Comparable '#3 Price]]/'Comparable #3'!$B$2*100</f>
        <v>55.524272672980125</v>
      </c>
    </row>
    <row r="937" spans="1:5">
      <c r="A937" s="96">
        <v>44642</v>
      </c>
      <c r="B937" s="74">
        <f>Target1[[#This Row],[Target Price]]/Target!$B$2*100</f>
        <v>203.83944153577659</v>
      </c>
      <c r="C937" s="74">
        <f>Comp1[[#This Row],[Comparable '#1 Price]]/'Comparable #1'!$B$2*100</f>
        <v>86.926762491444208</v>
      </c>
      <c r="D937" s="74">
        <f>Comp2[[#This Row],[Comparable '#2 Price]]/'Comparable #2'!$B$2*100</f>
        <v>58.048289738430583</v>
      </c>
      <c r="E937" s="74">
        <f>Comp3[[#This Row],[Comparable '#3 Price]]/'Comparable #3'!$B$2*100</f>
        <v>54.790546881665392</v>
      </c>
    </row>
    <row r="938" spans="1:5">
      <c r="A938" s="96">
        <v>44643</v>
      </c>
      <c r="B938" s="74">
        <f>Target1[[#This Row],[Target Price]]/Target!$B$2*100</f>
        <v>200.63990692262945</v>
      </c>
      <c r="C938" s="74">
        <f>Comp1[[#This Row],[Comparable '#1 Price]]/'Comparable #1'!$B$2*100</f>
        <v>87.474332648870629</v>
      </c>
      <c r="D938" s="74">
        <f>Comp2[[#This Row],[Comparable '#2 Price]]/'Comparable #2'!$B$2*100</f>
        <v>57.625754527162975</v>
      </c>
      <c r="E938" s="74">
        <f>Comp3[[#This Row],[Comparable '#3 Price]]/'Comparable #3'!$B$2*100</f>
        <v>53.715553280436822</v>
      </c>
    </row>
    <row r="939" spans="1:5">
      <c r="A939" s="96">
        <v>44644</v>
      </c>
      <c r="B939" s="74">
        <f>Target1[[#This Row],[Target Price]]/Target!$B$2*100</f>
        <v>208.3769633507853</v>
      </c>
      <c r="C939" s="74">
        <f>Comp1[[#This Row],[Comparable '#1 Price]]/'Comparable #1'!$B$2*100</f>
        <v>88.843258042436688</v>
      </c>
      <c r="D939" s="74">
        <f>Comp2[[#This Row],[Comparable '#2 Price]]/'Comparable #2'!$B$2*100</f>
        <v>60.060362173038229</v>
      </c>
      <c r="E939" s="74">
        <f>Comp3[[#This Row],[Comparable '#3 Price]]/'Comparable #3'!$B$2*100</f>
        <v>55.916730654381027</v>
      </c>
    </row>
    <row r="940" spans="1:5">
      <c r="A940" s="96">
        <v>44645</v>
      </c>
      <c r="B940" s="74">
        <f>Target1[[#This Row],[Target Price]]/Target!$B$2*100</f>
        <v>213.37987201861543</v>
      </c>
      <c r="C940" s="74">
        <f>Comp1[[#This Row],[Comparable '#1 Price]]/'Comparable #1'!$B$2*100</f>
        <v>89.73305954825463</v>
      </c>
      <c r="D940" s="74">
        <f>Comp2[[#This Row],[Comparable '#2 Price]]/'Comparable #2'!$B$2*100</f>
        <v>60.523138832997979</v>
      </c>
      <c r="E940" s="74">
        <f>Comp3[[#This Row],[Comparable '#3 Price]]/'Comparable #3'!$B$2*100</f>
        <v>57.580411227710947</v>
      </c>
    </row>
    <row r="941" spans="1:5">
      <c r="A941" s="96">
        <v>44648</v>
      </c>
      <c r="B941" s="74">
        <f>Target1[[#This Row],[Target Price]]/Target!$B$2*100</f>
        <v>207.67888307155323</v>
      </c>
      <c r="C941" s="74">
        <f>Comp1[[#This Row],[Comparable '#1 Price]]/'Comparable #1'!$B$2*100</f>
        <v>89.2539356605065</v>
      </c>
      <c r="D941" s="74">
        <f>Comp2[[#This Row],[Comparable '#2 Price]]/'Comparable #2'!$B$2*100</f>
        <v>60.503018108651908</v>
      </c>
      <c r="E941" s="74">
        <f>Comp3[[#This Row],[Comparable '#3 Price]]/'Comparable #3'!$B$2*100</f>
        <v>56.872280522139754</v>
      </c>
    </row>
    <row r="942" spans="1:5">
      <c r="A942" s="96">
        <v>44649</v>
      </c>
      <c r="B942" s="74">
        <f>Target1[[#This Row],[Target Price]]/Target!$B$2*100</f>
        <v>211.40197789412451</v>
      </c>
      <c r="C942" s="74">
        <f>Comp1[[#This Row],[Comparable '#1 Price]]/'Comparable #1'!$B$2*100</f>
        <v>87.748117727583846</v>
      </c>
      <c r="D942" s="74">
        <f>Comp2[[#This Row],[Comparable '#2 Price]]/'Comparable #2'!$B$2*100</f>
        <v>60.563380281690137</v>
      </c>
      <c r="E942" s="74">
        <f>Comp3[[#This Row],[Comparable '#3 Price]]/'Comparable #3'!$B$2*100</f>
        <v>58.356795495264912</v>
      </c>
    </row>
    <row r="943" spans="1:5">
      <c r="A943" s="96">
        <v>44650</v>
      </c>
      <c r="B943" s="74">
        <f>Target1[[#This Row],[Target Price]]/Target!$B$2*100</f>
        <v>208.08609656777196</v>
      </c>
      <c r="C943" s="74">
        <f>Comp1[[#This Row],[Comparable '#1 Price]]/'Comparable #1'!$B$2*100</f>
        <v>83.709787816564003</v>
      </c>
      <c r="D943" s="74">
        <f>Comp2[[#This Row],[Comparable '#2 Price]]/'Comparable #2'!$B$2*100</f>
        <v>60.845070422535208</v>
      </c>
      <c r="E943" s="74">
        <f>Comp3[[#This Row],[Comparable '#3 Price]]/'Comparable #3'!$B$2*100</f>
        <v>57.44390410374541</v>
      </c>
    </row>
    <row r="944" spans="1:5">
      <c r="A944" s="96">
        <v>44651</v>
      </c>
      <c r="B944" s="74">
        <f>Target1[[#This Row],[Target Price]]/Target!$B$2*100</f>
        <v>211.34380453752178</v>
      </c>
      <c r="C944" s="74">
        <f>Comp1[[#This Row],[Comparable '#1 Price]]/'Comparable #1'!$B$2*100</f>
        <v>81.108829568788494</v>
      </c>
      <c r="D944" s="74">
        <f>Comp2[[#This Row],[Comparable '#2 Price]]/'Comparable #2'!$B$2*100</f>
        <v>59.778672032193157</v>
      </c>
      <c r="E944" s="74">
        <f>Comp3[[#This Row],[Comparable '#3 Price]]/'Comparable #3'!$B$2*100</f>
        <v>56.633393055200067</v>
      </c>
    </row>
    <row r="945" spans="1:5">
      <c r="A945" s="96">
        <v>44652</v>
      </c>
      <c r="B945" s="74">
        <f>Target1[[#This Row],[Target Price]]/Target!$B$2*100</f>
        <v>214.13612565445024</v>
      </c>
      <c r="C945" s="74">
        <f>Comp1[[#This Row],[Comparable '#1 Price]]/'Comparable #1'!$B$2*100</f>
        <v>81.793292265571523</v>
      </c>
      <c r="D945" s="74">
        <f>Comp2[[#This Row],[Comparable '#2 Price]]/'Comparable #2'!$B$2*100</f>
        <v>62.374245472837018</v>
      </c>
      <c r="E945" s="74">
        <f>Comp3[[#This Row],[Comparable '#3 Price]]/'Comparable #3'!$B$2*100</f>
        <v>57.85342547564202</v>
      </c>
    </row>
    <row r="946" spans="1:5">
      <c r="A946" s="96">
        <v>44655</v>
      </c>
      <c r="B946" s="74">
        <f>Target1[[#This Row],[Target Price]]/Target!$B$2*100</f>
        <v>213.67073880162883</v>
      </c>
      <c r="C946" s="74">
        <f>Comp1[[#This Row],[Comparable '#1 Price]]/'Comparable #1'!$B$2*100</f>
        <v>80.561259411362087</v>
      </c>
      <c r="D946" s="74">
        <f>Comp2[[#This Row],[Comparable '#2 Price]]/'Comparable #2'!$B$2*100</f>
        <v>61.066398390342044</v>
      </c>
      <c r="E946" s="74">
        <f>Comp3[[#This Row],[Comparable '#3 Price]]/'Comparable #3'!$B$2*100</f>
        <v>58.621278047948124</v>
      </c>
    </row>
    <row r="947" spans="1:5">
      <c r="A947" s="96">
        <v>44656</v>
      </c>
      <c r="B947" s="74">
        <f>Target1[[#This Row],[Target Price]]/Target!$B$2*100</f>
        <v>209.59860383944152</v>
      </c>
      <c r="C947" s="74">
        <f>Comp1[[#This Row],[Comparable '#1 Price]]/'Comparable #1'!$B$2*100</f>
        <v>79.055441478439434</v>
      </c>
      <c r="D947" s="74">
        <f>Comp2[[#This Row],[Comparable '#2 Price]]/'Comparable #2'!$B$2*100</f>
        <v>59.114688128772627</v>
      </c>
      <c r="E947" s="74">
        <f>Comp3[[#This Row],[Comparable '#3 Price]]/'Comparable #3'!$B$2*100</f>
        <v>58.382390581008458</v>
      </c>
    </row>
    <row r="948" spans="1:5">
      <c r="A948" s="96">
        <v>44657</v>
      </c>
      <c r="B948" s="74">
        <f>Target1[[#This Row],[Target Price]]/Target!$B$2*100</f>
        <v>207.9697498545666</v>
      </c>
      <c r="C948" s="74">
        <f>Comp1[[#This Row],[Comparable '#1 Price]]/'Comparable #1'!$B$2*100</f>
        <v>77.754962354551665</v>
      </c>
      <c r="D948" s="74">
        <f>Comp2[[#This Row],[Comparable '#2 Price]]/'Comparable #2'!$B$2*100</f>
        <v>58.511066398390334</v>
      </c>
      <c r="E948" s="74">
        <f>Comp3[[#This Row],[Comparable '#3 Price]]/'Comparable #3'!$B$2*100</f>
        <v>58.51889770497398</v>
      </c>
    </row>
    <row r="949" spans="1:5">
      <c r="A949" s="96">
        <v>44658</v>
      </c>
      <c r="B949" s="74">
        <f>Target1[[#This Row],[Target Price]]/Target!$B$2*100</f>
        <v>203.02501454333913</v>
      </c>
      <c r="C949" s="74">
        <f>Comp1[[#This Row],[Comparable '#1 Price]]/'Comparable #1'!$B$2*100</f>
        <v>78.37097878165639</v>
      </c>
      <c r="D949" s="74">
        <f>Comp2[[#This Row],[Comparable '#2 Price]]/'Comparable #2'!$B$2*100</f>
        <v>58.430583501006026</v>
      </c>
      <c r="E949" s="74">
        <f>Comp3[[#This Row],[Comparable '#3 Price]]/'Comparable #3'!$B$2*100</f>
        <v>59.423257401245635</v>
      </c>
    </row>
    <row r="950" spans="1:5">
      <c r="A950" s="96">
        <v>44659</v>
      </c>
      <c r="B950" s="74">
        <f>Target1[[#This Row],[Target Price]]/Target!$B$2*100</f>
        <v>200.46538685282141</v>
      </c>
      <c r="C950" s="74">
        <f>Comp1[[#This Row],[Comparable '#1 Price]]/'Comparable #1'!$B$2*100</f>
        <v>79.329226557152637</v>
      </c>
      <c r="D950" s="74">
        <f>Comp2[[#This Row],[Comparable '#2 Price]]/'Comparable #2'!$B$2*100</f>
        <v>58.309859154929576</v>
      </c>
      <c r="E950" s="74">
        <f>Comp3[[#This Row],[Comparable '#3 Price]]/'Comparable #3'!$B$2*100</f>
        <v>59.542701134715479</v>
      </c>
    </row>
    <row r="951" spans="1:5">
      <c r="A951" s="96">
        <v>44662</v>
      </c>
      <c r="B951" s="74">
        <f>Target1[[#This Row],[Target Price]]/Target!$B$2*100</f>
        <v>194.64805119255379</v>
      </c>
      <c r="C951" s="74">
        <f>Comp1[[#This Row],[Comparable '#1 Price]]/'Comparable #1'!$B$2*100</f>
        <v>78.918548939082825</v>
      </c>
      <c r="D951" s="74">
        <f>Comp2[[#This Row],[Comparable '#2 Price]]/'Comparable #2'!$B$2*100</f>
        <v>57.766599597585511</v>
      </c>
      <c r="E951" s="74">
        <f>Comp3[[#This Row],[Comparable '#3 Price]]/'Comparable #3'!$B$2*100</f>
        <v>58.962545857861961</v>
      </c>
    </row>
    <row r="952" spans="1:5">
      <c r="A952" s="96">
        <v>44663</v>
      </c>
      <c r="B952" s="74">
        <f>Target1[[#This Row],[Target Price]]/Target!$B$2*100</f>
        <v>199.0110529377545</v>
      </c>
      <c r="C952" s="74">
        <f>Comp1[[#This Row],[Comparable '#1 Price]]/'Comparable #1'!$B$2*100</f>
        <v>79.466119096509232</v>
      </c>
      <c r="D952" s="74">
        <f>Comp2[[#This Row],[Comparable '#2 Price]]/'Comparable #2'!$B$2*100</f>
        <v>58.712273641851098</v>
      </c>
      <c r="E952" s="74">
        <f>Comp3[[#This Row],[Comparable '#3 Price]]/'Comparable #3'!$B$2*100</f>
        <v>59.619486391946076</v>
      </c>
    </row>
    <row r="953" spans="1:5">
      <c r="A953" s="96">
        <v>44664</v>
      </c>
      <c r="B953" s="74">
        <f>Target1[[#This Row],[Target Price]]/Target!$B$2*100</f>
        <v>204.13030831878999</v>
      </c>
      <c r="C953" s="74">
        <f>Comp1[[#This Row],[Comparable '#1 Price]]/'Comparable #1'!$B$2*100</f>
        <v>81.51950718685832</v>
      </c>
      <c r="D953" s="74">
        <f>Comp2[[#This Row],[Comparable '#2 Price]]/'Comparable #2'!$B$2*100</f>
        <v>58.993963782696177</v>
      </c>
      <c r="E953" s="74">
        <f>Comp3[[#This Row],[Comparable '#3 Price]]/'Comparable #3'!$B$2*100</f>
        <v>61.121064755566934</v>
      </c>
    </row>
    <row r="954" spans="1:5">
      <c r="A954" s="96">
        <v>44665</v>
      </c>
      <c r="B954" s="74">
        <f>Target1[[#This Row],[Target Price]]/Target!$B$2*100</f>
        <v>200.93077370564282</v>
      </c>
      <c r="C954" s="74">
        <f>Comp1[[#This Row],[Comparable '#1 Price]]/'Comparable #1'!$B$2*100</f>
        <v>82.477754962354553</v>
      </c>
      <c r="D954" s="74">
        <f>Comp2[[#This Row],[Comparable '#2 Price]]/'Comparable #2'!$B$2*100</f>
        <v>59.698189134808857</v>
      </c>
      <c r="E954" s="74">
        <f>Comp3[[#This Row],[Comparable '#3 Price]]/'Comparable #3'!$B$2*100</f>
        <v>61.684156641924744</v>
      </c>
    </row>
    <row r="955" spans="1:5">
      <c r="A955" s="96">
        <v>44669</v>
      </c>
      <c r="B955" s="74">
        <f>Target1[[#This Row],[Target Price]]/Target!$B$2*100</f>
        <v>202.79232111692841</v>
      </c>
      <c r="C955" s="74">
        <f>Comp1[[#This Row],[Comparable '#1 Price]]/'Comparable #1'!$B$2*100</f>
        <v>82.546201232032857</v>
      </c>
      <c r="D955" s="74">
        <f>Comp2[[#This Row],[Comparable '#2 Price]]/'Comparable #2'!$B$2*100</f>
        <v>60.86519114688128</v>
      </c>
      <c r="E955" s="74">
        <f>Comp3[[#This Row],[Comparable '#3 Price]]/'Comparable #3'!$B$2*100</f>
        <v>61.24050848903677</v>
      </c>
    </row>
    <row r="956" spans="1:5">
      <c r="A956" s="96">
        <v>44670</v>
      </c>
      <c r="B956" s="74">
        <f>Target1[[#This Row],[Target Price]]/Target!$B$2*100</f>
        <v>205.9918557300756</v>
      </c>
      <c r="C956" s="74">
        <f>Comp1[[#This Row],[Comparable '#1 Price]]/'Comparable #1'!$B$2*100</f>
        <v>79.123887748117738</v>
      </c>
      <c r="D956" s="74">
        <f>Comp2[[#This Row],[Comparable '#2 Price]]/'Comparable #2'!$B$2*100</f>
        <v>61.609657947686117</v>
      </c>
      <c r="E956" s="74">
        <f>Comp3[[#This Row],[Comparable '#3 Price]]/'Comparable #3'!$B$2*100</f>
        <v>61.581776298950608</v>
      </c>
    </row>
    <row r="957" spans="1:5">
      <c r="A957" s="96">
        <v>44671</v>
      </c>
      <c r="B957" s="74">
        <f>Target1[[#This Row],[Target Price]]/Target!$B$2*100</f>
        <v>236.18382780686446</v>
      </c>
      <c r="C957" s="74">
        <f>Comp1[[#This Row],[Comparable '#1 Price]]/'Comparable #1'!$B$2*100</f>
        <v>80.21902806297058</v>
      </c>
      <c r="D957" s="74">
        <f>Comp2[[#This Row],[Comparable '#2 Price]]/'Comparable #2'!$B$2*100</f>
        <v>62.152917505030182</v>
      </c>
      <c r="E957" s="74">
        <f>Comp3[[#This Row],[Comparable '#3 Price]]/'Comparable #3'!$B$2*100</f>
        <v>61.820663765890281</v>
      </c>
    </row>
    <row r="958" spans="1:5">
      <c r="A958" s="96">
        <v>44672</v>
      </c>
      <c r="B958" s="74">
        <f>Target1[[#This Row],[Target Price]]/Target!$B$2*100</f>
        <v>216.46305991855729</v>
      </c>
      <c r="C958" s="74">
        <f>Comp1[[#This Row],[Comparable '#1 Price]]/'Comparable #1'!$B$2*100</f>
        <v>79.397672826830927</v>
      </c>
      <c r="D958" s="74">
        <f>Comp2[[#This Row],[Comparable '#2 Price]]/'Comparable #2'!$B$2*100</f>
        <v>60.86519114688128</v>
      </c>
      <c r="E958" s="74">
        <f>Comp3[[#This Row],[Comparable '#3 Price]]/'Comparable #3'!$B$2*100</f>
        <v>60.626226431191888</v>
      </c>
    </row>
    <row r="959" spans="1:5">
      <c r="A959" s="96">
        <v>44673</v>
      </c>
      <c r="B959" s="74">
        <f>Target1[[#This Row],[Target Price]]/Target!$B$2*100</f>
        <v>214.36881908086093</v>
      </c>
      <c r="C959" s="74">
        <f>Comp1[[#This Row],[Comparable '#1 Price]]/'Comparable #1'!$B$2*100</f>
        <v>77.686516084873375</v>
      </c>
      <c r="D959" s="74">
        <f>Comp2[[#This Row],[Comparable '#2 Price]]/'Comparable #2'!$B$2*100</f>
        <v>60.12072434607645</v>
      </c>
      <c r="E959" s="74">
        <f>Comp3[[#This Row],[Comparable '#3 Price]]/'Comparable #3'!$B$2*100</f>
        <v>59.593891306202536</v>
      </c>
    </row>
    <row r="960" spans="1:5">
      <c r="A960" s="96">
        <v>44676</v>
      </c>
      <c r="B960" s="74">
        <f>Target1[[#This Row],[Target Price]]/Target!$B$2*100</f>
        <v>215.82315299592784</v>
      </c>
      <c r="C960" s="74">
        <f>Comp1[[#This Row],[Comparable '#1 Price]]/'Comparable #1'!$B$2*100</f>
        <v>79.671457905544145</v>
      </c>
      <c r="D960" s="74">
        <f>Comp2[[#This Row],[Comparable '#2 Price]]/'Comparable #2'!$B$2*100</f>
        <v>60.503018108651908</v>
      </c>
      <c r="E960" s="74">
        <f>Comp3[[#This Row],[Comparable '#3 Price]]/'Comparable #3'!$B$2*100</f>
        <v>60.626226431191888</v>
      </c>
    </row>
    <row r="961" spans="1:5">
      <c r="A961" s="96">
        <v>44677</v>
      </c>
      <c r="B961" s="74">
        <f>Target1[[#This Row],[Target Price]]/Target!$B$2*100</f>
        <v>214.65968586387433</v>
      </c>
      <c r="C961" s="74">
        <f>Comp1[[#This Row],[Comparable '#1 Price]]/'Comparable #1'!$B$2*100</f>
        <v>79.603011635865855</v>
      </c>
      <c r="D961" s="74">
        <f>Comp2[[#This Row],[Comparable '#2 Price]]/'Comparable #2'!$B$2*100</f>
        <v>60.603621730382294</v>
      </c>
      <c r="E961" s="74">
        <f>Comp3[[#This Row],[Comparable '#3 Price]]/'Comparable #3'!$B$2*100</f>
        <v>59.704803344424541</v>
      </c>
    </row>
    <row r="962" spans="1:5">
      <c r="A962" s="96">
        <v>44678</v>
      </c>
      <c r="B962" s="74">
        <f>Target1[[#This Row],[Target Price]]/Target!$B$2*100</f>
        <v>219.08086096567766</v>
      </c>
      <c r="C962" s="74">
        <f>Comp1[[#This Row],[Comparable '#1 Price]]/'Comparable #1'!$B$2*100</f>
        <v>79.945242984257362</v>
      </c>
      <c r="D962" s="74">
        <f>Comp2[[#This Row],[Comparable '#2 Price]]/'Comparable #2'!$B$2*100</f>
        <v>59.979879275653914</v>
      </c>
      <c r="E962" s="74">
        <f>Comp3[[#This Row],[Comparable '#3 Price]]/'Comparable #3'!$B$2*100</f>
        <v>59.628018087193922</v>
      </c>
    </row>
    <row r="963" spans="1:5">
      <c r="A963" s="96">
        <v>44679</v>
      </c>
      <c r="B963" s="74">
        <f>Target1[[#This Row],[Target Price]]/Target!$B$2*100</f>
        <v>226.64339732402556</v>
      </c>
      <c r="C963" s="74">
        <f>Comp1[[#This Row],[Comparable '#1 Price]]/'Comparable #1'!$B$2*100</f>
        <v>79.260780287474347</v>
      </c>
      <c r="D963" s="74">
        <f>Comp2[[#This Row],[Comparable '#2 Price]]/'Comparable #2'!$B$2*100</f>
        <v>60.623742454728372</v>
      </c>
      <c r="E963" s="74">
        <f>Comp3[[#This Row],[Comparable '#3 Price]]/'Comparable #3'!$B$2*100</f>
        <v>57.042914427096669</v>
      </c>
    </row>
    <row r="964" spans="1:5">
      <c r="A964" s="96">
        <v>44680</v>
      </c>
      <c r="B964" s="74">
        <f>Target1[[#This Row],[Target Price]]/Target!$B$2*100</f>
        <v>228.62129144851653</v>
      </c>
      <c r="C964" s="74">
        <f>Comp1[[#This Row],[Comparable '#1 Price]]/'Comparable #1'!$B$2*100</f>
        <v>77.549623545516781</v>
      </c>
      <c r="D964" s="74">
        <f>Comp2[[#This Row],[Comparable '#2 Price]]/'Comparable #2'!$B$2*100</f>
        <v>58.973843058350099</v>
      </c>
      <c r="E964" s="74">
        <f>Comp3[[#This Row],[Comparable '#3 Price]]/'Comparable #3'!$B$2*100</f>
        <v>55.114751301083523</v>
      </c>
    </row>
    <row r="965" spans="1:5">
      <c r="A965" s="96">
        <v>44683</v>
      </c>
      <c r="B965" s="74">
        <f>Target1[[#This Row],[Target Price]]/Target!$B$2*100</f>
        <v>225.65445026178011</v>
      </c>
      <c r="C965" s="74">
        <f>Comp1[[#This Row],[Comparable '#1 Price]]/'Comparable #1'!$B$2*100</f>
        <v>77.481177275838476</v>
      </c>
      <c r="D965" s="74">
        <f>Comp2[[#This Row],[Comparable '#2 Price]]/'Comparable #2'!$B$2*100</f>
        <v>59.698189134808857</v>
      </c>
      <c r="E965" s="74">
        <f>Comp3[[#This Row],[Comparable '#3 Price]]/'Comparable #3'!$B$2*100</f>
        <v>57.068509512840201</v>
      </c>
    </row>
    <row r="966" spans="1:5">
      <c r="A966" s="96">
        <v>44684</v>
      </c>
      <c r="B966" s="74">
        <f>Target1[[#This Row],[Target Price]]/Target!$B$2*100</f>
        <v>221.69866201279814</v>
      </c>
      <c r="C966" s="74">
        <f>Comp1[[#This Row],[Comparable '#1 Price]]/'Comparable #1'!$B$2*100</f>
        <v>77.549623545516781</v>
      </c>
      <c r="D966" s="74">
        <f>Comp2[[#This Row],[Comparable '#2 Price]]/'Comparable #2'!$B$2*100</f>
        <v>58.189134808853119</v>
      </c>
      <c r="E966" s="74">
        <f>Comp3[[#This Row],[Comparable '#3 Price]]/'Comparable #3'!$B$2*100</f>
        <v>55.32804368227967</v>
      </c>
    </row>
    <row r="967" spans="1:5">
      <c r="A967" s="96">
        <v>44685</v>
      </c>
      <c r="B967" s="74">
        <f>Target1[[#This Row],[Target Price]]/Target!$B$2*100</f>
        <v>224.54915648632925</v>
      </c>
      <c r="C967" s="74">
        <f>Comp1[[#This Row],[Comparable '#1 Price]]/'Comparable #1'!$B$2*100</f>
        <v>77.754962354551665</v>
      </c>
      <c r="D967" s="74">
        <f>Comp2[[#This Row],[Comparable '#2 Price]]/'Comparable #2'!$B$2*100</f>
        <v>58.390342052313883</v>
      </c>
      <c r="E967" s="74">
        <f>Comp3[[#This Row],[Comparable '#3 Price]]/'Comparable #3'!$B$2*100</f>
        <v>55.82288200665473</v>
      </c>
    </row>
    <row r="968" spans="1:5">
      <c r="A968" s="96">
        <v>44686</v>
      </c>
      <c r="B968" s="74">
        <f>Target1[[#This Row],[Target Price]]/Target!$B$2*100</f>
        <v>218.78999418266432</v>
      </c>
      <c r="C968" s="74">
        <f>Comp1[[#This Row],[Comparable '#1 Price]]/'Comparable #1'!$B$2*100</f>
        <v>81.930184804928146</v>
      </c>
      <c r="D968" s="74">
        <f>Comp2[[#This Row],[Comparable '#2 Price]]/'Comparable #2'!$B$2*100</f>
        <v>56.780684104627767</v>
      </c>
      <c r="E968" s="74">
        <f>Comp3[[#This Row],[Comparable '#3 Price]]/'Comparable #3'!$B$2*100</f>
        <v>55.012370958109379</v>
      </c>
    </row>
    <row r="969" spans="1:5">
      <c r="A969" s="96">
        <v>44687</v>
      </c>
      <c r="B969" s="74">
        <f>Target1[[#This Row],[Target Price]]/Target!$B$2*100</f>
        <v>218.20826061663757</v>
      </c>
      <c r="C969" s="74">
        <f>Comp1[[#This Row],[Comparable '#1 Price]]/'Comparable #1'!$B$2*100</f>
        <v>80.013689253935667</v>
      </c>
      <c r="D969" s="74">
        <f>Comp2[[#This Row],[Comparable '#2 Price]]/'Comparable #2'!$B$2*100</f>
        <v>62.112676056338024</v>
      </c>
      <c r="E969" s="74">
        <f>Comp3[[#This Row],[Comparable '#3 Price]]/'Comparable #3'!$B$2*100</f>
        <v>54.184796519068342</v>
      </c>
    </row>
    <row r="970" spans="1:5">
      <c r="A970" s="96">
        <v>44690</v>
      </c>
      <c r="B970" s="74">
        <f>Target1[[#This Row],[Target Price]]/Target!$B$2*100</f>
        <v>212.97265852239673</v>
      </c>
      <c r="C970" s="74">
        <f>Comp1[[#This Row],[Comparable '#1 Price]]/'Comparable #1'!$B$2*100</f>
        <v>78.576317590691318</v>
      </c>
      <c r="D970" s="74">
        <f>Comp2[[#This Row],[Comparable '#2 Price]]/'Comparable #2'!$B$2*100</f>
        <v>63.319919517102605</v>
      </c>
      <c r="E970" s="74">
        <f>Comp3[[#This Row],[Comparable '#3 Price]]/'Comparable #3'!$B$2*100</f>
        <v>53.869123794898059</v>
      </c>
    </row>
    <row r="971" spans="1:5">
      <c r="A971" s="96">
        <v>44691</v>
      </c>
      <c r="B971" s="74">
        <f>Target1[[#This Row],[Target Price]]/Target!$B$2*100</f>
        <v>209.9476439790576</v>
      </c>
      <c r="C971" s="74">
        <f>Comp1[[#This Row],[Comparable '#1 Price]]/'Comparable #1'!$B$2*100</f>
        <v>78.644763860369622</v>
      </c>
      <c r="D971" s="74">
        <f>Comp2[[#This Row],[Comparable '#2 Price]]/'Comparable #2'!$B$2*100</f>
        <v>64.748490945674035</v>
      </c>
      <c r="E971" s="74">
        <f>Comp3[[#This Row],[Comparable '#3 Price]]/'Comparable #3'!$B$2*100</f>
        <v>53.647299718454065</v>
      </c>
    </row>
    <row r="972" spans="1:5">
      <c r="A972" s="96">
        <v>44692</v>
      </c>
      <c r="B972" s="74">
        <f>Target1[[#This Row],[Target Price]]/Target!$B$2*100</f>
        <v>207.09714950552643</v>
      </c>
      <c r="C972" s="74">
        <f>Comp1[[#This Row],[Comparable '#1 Price]]/'Comparable #1'!$B$2*100</f>
        <v>77.275838466803563</v>
      </c>
      <c r="D972" s="74">
        <f>Comp2[[#This Row],[Comparable '#2 Price]]/'Comparable #2'!$B$2*100</f>
        <v>61.851106639839024</v>
      </c>
      <c r="E972" s="74">
        <f>Comp3[[#This Row],[Comparable '#3 Price]]/'Comparable #3'!$B$2*100</f>
        <v>52.63202798396042</v>
      </c>
    </row>
    <row r="973" spans="1:5">
      <c r="A973" s="96">
        <v>44693</v>
      </c>
      <c r="B973" s="74">
        <f>Target1[[#This Row],[Target Price]]/Target!$B$2*100</f>
        <v>210.29668411867362</v>
      </c>
      <c r="C973" s="74">
        <f>Comp1[[#This Row],[Comparable '#1 Price]]/'Comparable #1'!$B$2*100</f>
        <v>78.781656399726216</v>
      </c>
      <c r="D973" s="74">
        <f>Comp2[[#This Row],[Comparable '#2 Price]]/'Comparable #2'!$B$2*100</f>
        <v>61.951710261569417</v>
      </c>
      <c r="E973" s="74">
        <f>Comp3[[#This Row],[Comparable '#3 Price]]/'Comparable #3'!$B$2*100</f>
        <v>53.195119870318244</v>
      </c>
    </row>
    <row r="974" spans="1:5">
      <c r="A974" s="96">
        <v>44694</v>
      </c>
      <c r="B974" s="74">
        <f>Target1[[#This Row],[Target Price]]/Target!$B$2*100</f>
        <v>212.79813845258869</v>
      </c>
      <c r="C974" s="74">
        <f>Comp1[[#This Row],[Comparable '#1 Price]]/'Comparable #1'!$B$2*100</f>
        <v>78.644763860369622</v>
      </c>
      <c r="D974" s="74">
        <f>Comp2[[#This Row],[Comparable '#2 Price]]/'Comparable #2'!$B$2*100</f>
        <v>61.227364185110659</v>
      </c>
      <c r="E974" s="74">
        <f>Comp3[[#This Row],[Comparable '#3 Price]]/'Comparable #3'!$B$2*100</f>
        <v>53.323095299035913</v>
      </c>
    </row>
    <row r="975" spans="1:5">
      <c r="A975" s="96">
        <v>44697</v>
      </c>
      <c r="B975" s="74">
        <f>Target1[[#This Row],[Target Price]]/Target!$B$2*100</f>
        <v>215.9394997091332</v>
      </c>
      <c r="C975" s="74">
        <f>Comp1[[#This Row],[Comparable '#1 Price]]/'Comparable #1'!$B$2*100</f>
        <v>80.013689253935667</v>
      </c>
      <c r="D975" s="74">
        <f>Comp2[[#This Row],[Comparable '#2 Price]]/'Comparable #2'!$B$2*100</f>
        <v>61.146881287726352</v>
      </c>
      <c r="E975" s="74">
        <f>Comp3[[#This Row],[Comparable '#3 Price]]/'Comparable #3'!$B$2*100</f>
        <v>54.116542957085578</v>
      </c>
    </row>
    <row r="976" spans="1:5">
      <c r="A976" s="96">
        <v>44698</v>
      </c>
      <c r="B976" s="74">
        <f>Target1[[#This Row],[Target Price]]/Target!$B$2*100</f>
        <v>222.39674229203024</v>
      </c>
      <c r="C976" s="74">
        <f>Comp1[[#This Row],[Comparable '#1 Price]]/'Comparable #1'!$B$2*100</f>
        <v>83.436002737850785</v>
      </c>
      <c r="D976" s="74">
        <f>Comp2[[#This Row],[Comparable '#2 Price]]/'Comparable #2'!$B$2*100</f>
        <v>62.716297786720318</v>
      </c>
      <c r="E976" s="74">
        <f>Comp3[[#This Row],[Comparable '#3 Price]]/'Comparable #3'!$B$2*100</f>
        <v>55.34510707277537</v>
      </c>
    </row>
    <row r="977" spans="1:5">
      <c r="A977" s="96">
        <v>44699</v>
      </c>
      <c r="B977" s="74">
        <f>Target1[[#This Row],[Target Price]]/Target!$B$2*100</f>
        <v>216.46305991855729</v>
      </c>
      <c r="C977" s="74">
        <f>Comp1[[#This Row],[Comparable '#1 Price]]/'Comparable #1'!$B$2*100</f>
        <v>83.093771389459278</v>
      </c>
      <c r="D977" s="74">
        <f>Comp2[[#This Row],[Comparable '#2 Price]]/'Comparable #2'!$B$2*100</f>
        <v>63.78269617706237</v>
      </c>
      <c r="E977" s="74">
        <f>Comp3[[#This Row],[Comparable '#3 Price]]/'Comparable #3'!$B$2*100</f>
        <v>54.986775872365847</v>
      </c>
    </row>
    <row r="978" spans="1:5">
      <c r="A978" s="96">
        <v>44700</v>
      </c>
      <c r="B978" s="74">
        <f>Target1[[#This Row],[Target Price]]/Target!$B$2*100</f>
        <v>211.11111111111109</v>
      </c>
      <c r="C978" s="74">
        <f>Comp1[[#This Row],[Comparable '#1 Price]]/'Comparable #1'!$B$2*100</f>
        <v>84.873374401095148</v>
      </c>
      <c r="D978" s="74">
        <f>Comp2[[#This Row],[Comparable '#2 Price]]/'Comparable #2'!$B$2*100</f>
        <v>64.366197183098578</v>
      </c>
      <c r="E978" s="74">
        <f>Comp3[[#This Row],[Comparable '#3 Price]]/'Comparable #3'!$B$2*100</f>
        <v>54.125074652333417</v>
      </c>
    </row>
    <row r="979" spans="1:5">
      <c r="A979" s="96">
        <v>44701</v>
      </c>
      <c r="B979" s="74">
        <f>Target1[[#This Row],[Target Price]]/Target!$B$2*100</f>
        <v>214.95055264688773</v>
      </c>
      <c r="C979" s="74">
        <f>Comp1[[#This Row],[Comparable '#1 Price]]/'Comparable #1'!$B$2*100</f>
        <v>85.831622176591367</v>
      </c>
      <c r="D979" s="74">
        <f>Comp2[[#This Row],[Comparable '#2 Price]]/'Comparable #2'!$B$2*100</f>
        <v>64.08450704225352</v>
      </c>
      <c r="E979" s="74">
        <f>Comp3[[#This Row],[Comparable '#3 Price]]/'Comparable #3'!$B$2*100</f>
        <v>54.713761624434774</v>
      </c>
    </row>
    <row r="980" spans="1:5">
      <c r="A980" s="96">
        <v>44704</v>
      </c>
      <c r="B980" s="74">
        <f>Target1[[#This Row],[Target Price]]/Target!$B$2*100</f>
        <v>214.60151250727165</v>
      </c>
      <c r="C980" s="74">
        <f>Comp1[[#This Row],[Comparable '#1 Price]]/'Comparable #1'!$B$2*100</f>
        <v>86.036960985626294</v>
      </c>
      <c r="D980" s="74">
        <f>Comp2[[#This Row],[Comparable '#2 Price]]/'Comparable #2'!$B$2*100</f>
        <v>63.581488933601605</v>
      </c>
      <c r="E980" s="74">
        <f>Comp3[[#This Row],[Comparable '#3 Price]]/'Comparable #3'!$B$2*100</f>
        <v>53.783806842419594</v>
      </c>
    </row>
    <row r="981" spans="1:5">
      <c r="A981" s="96">
        <v>44705</v>
      </c>
      <c r="B981" s="74">
        <f>Target1[[#This Row],[Target Price]]/Target!$B$2*100</f>
        <v>216.69575334496801</v>
      </c>
      <c r="C981" s="74">
        <f>Comp1[[#This Row],[Comparable '#1 Price]]/'Comparable #1'!$B$2*100</f>
        <v>86.173853524982889</v>
      </c>
      <c r="D981" s="74">
        <f>Comp2[[#This Row],[Comparable '#2 Price]]/'Comparable #2'!$B$2*100</f>
        <v>63.34004024144869</v>
      </c>
      <c r="E981" s="74">
        <f>Comp3[[#This Row],[Comparable '#3 Price]]/'Comparable #3'!$B$2*100</f>
        <v>54.901458919887382</v>
      </c>
    </row>
    <row r="982" spans="1:5">
      <c r="A982" s="96">
        <v>44706</v>
      </c>
      <c r="B982" s="74">
        <f>Target1[[#This Row],[Target Price]]/Target!$B$2*100</f>
        <v>230.77370564281557</v>
      </c>
      <c r="C982" s="74">
        <f>Comp1[[#This Row],[Comparable '#1 Price]]/'Comparable #1'!$B$2*100</f>
        <v>88.56947296372347</v>
      </c>
      <c r="D982" s="74">
        <f>Comp2[[#This Row],[Comparable '#2 Price]]/'Comparable #2'!$B$2*100</f>
        <v>64.144869215291749</v>
      </c>
      <c r="E982" s="74">
        <f>Comp3[[#This Row],[Comparable '#3 Price]]/'Comparable #3'!$B$2*100</f>
        <v>56.130023035577182</v>
      </c>
    </row>
    <row r="983" spans="1:5">
      <c r="A983" s="96">
        <v>44707</v>
      </c>
      <c r="B983" s="74">
        <f>Target1[[#This Row],[Target Price]]/Target!$B$2*100</f>
        <v>226.81791739383362</v>
      </c>
      <c r="C983" s="74">
        <f>Comp1[[#This Row],[Comparable '#1 Price]]/'Comparable #1'!$B$2*100</f>
        <v>89.117043121149891</v>
      </c>
      <c r="D983" s="74">
        <f>Comp2[[#This Row],[Comparable '#2 Price]]/'Comparable #2'!$B$2*100</f>
        <v>63.661971830985905</v>
      </c>
      <c r="E983" s="74">
        <f>Comp3[[#This Row],[Comparable '#3 Price]]/'Comparable #3'!$B$2*100</f>
        <v>55.720501663680579</v>
      </c>
    </row>
    <row r="984" spans="1:5">
      <c r="A984" s="96">
        <v>44708</v>
      </c>
      <c r="B984" s="74">
        <f>Target1[[#This Row],[Target Price]]/Target!$B$2*100</f>
        <v>229.78475858057007</v>
      </c>
      <c r="C984" s="74">
        <f>Comp1[[#This Row],[Comparable '#1 Price]]/'Comparable #1'!$B$2*100</f>
        <v>91.170431211498979</v>
      </c>
      <c r="D984" s="74">
        <f>Comp2[[#This Row],[Comparable '#2 Price]]/'Comparable #2'!$B$2*100</f>
        <v>65.633802816901394</v>
      </c>
      <c r="E984" s="74">
        <f>Comp3[[#This Row],[Comparable '#3 Price]]/'Comparable #3'!$B$2*100</f>
        <v>57.128231379575126</v>
      </c>
    </row>
    <row r="985" spans="1:5">
      <c r="A985" s="96">
        <v>44712</v>
      </c>
      <c r="B985" s="74">
        <f>Target1[[#This Row],[Target Price]]/Target!$B$2*100</f>
        <v>227.51599767306573</v>
      </c>
      <c r="C985" s="74">
        <f>Comp1[[#This Row],[Comparable '#1 Price]]/'Comparable #1'!$B$2*100</f>
        <v>87.132101300479121</v>
      </c>
      <c r="D985" s="74">
        <f>Comp2[[#This Row],[Comparable '#2 Price]]/'Comparable #2'!$B$2*100</f>
        <v>65.633802816901394</v>
      </c>
      <c r="E985" s="74">
        <f>Comp3[[#This Row],[Comparable '#3 Price]]/'Comparable #3'!$B$2*100</f>
        <v>56.155618121320707</v>
      </c>
    </row>
    <row r="986" spans="1:5">
      <c r="A986" s="96">
        <v>44713</v>
      </c>
      <c r="B986" s="74">
        <f>Target1[[#This Row],[Target Price]]/Target!$B$2*100</f>
        <v>228.44677137870858</v>
      </c>
      <c r="C986" s="74">
        <f>Comp1[[#This Row],[Comparable '#1 Price]]/'Comparable #1'!$B$2*100</f>
        <v>87.748117727583846</v>
      </c>
      <c r="D986" s="74">
        <f>Comp2[[#This Row],[Comparable '#2 Price]]/'Comparable #2'!$B$2*100</f>
        <v>66.599597585513081</v>
      </c>
      <c r="E986" s="74">
        <f>Comp3[[#This Row],[Comparable '#3 Price]]/'Comparable #3'!$B$2*100</f>
        <v>55.58399453971505</v>
      </c>
    </row>
    <row r="987" spans="1:5">
      <c r="A987" s="96">
        <v>44714</v>
      </c>
      <c r="B987" s="74">
        <f>Target1[[#This Row],[Target Price]]/Target!$B$2*100</f>
        <v>231.4717859220477</v>
      </c>
      <c r="C987" s="74">
        <f>Comp1[[#This Row],[Comparable '#1 Price]]/'Comparable #1'!$B$2*100</f>
        <v>89.938398357289543</v>
      </c>
      <c r="D987" s="74">
        <f>Comp2[[#This Row],[Comparable '#2 Price]]/'Comparable #2'!$B$2*100</f>
        <v>67.625754527162968</v>
      </c>
      <c r="E987" s="74">
        <f>Comp3[[#This Row],[Comparable '#3 Price]]/'Comparable #3'!$B$2*100</f>
        <v>56.036174387850878</v>
      </c>
    </row>
    <row r="988" spans="1:5">
      <c r="A988" s="96">
        <v>44715</v>
      </c>
      <c r="B988" s="74">
        <f>Target1[[#This Row],[Target Price]]/Target!$B$2*100</f>
        <v>231.82082606166375</v>
      </c>
      <c r="C988" s="74">
        <f>Comp1[[#This Row],[Comparable '#1 Price]]/'Comparable #1'!$B$2*100</f>
        <v>90.006844626967847</v>
      </c>
      <c r="D988" s="74">
        <f>Comp2[[#This Row],[Comparable '#2 Price]]/'Comparable #2'!$B$2*100</f>
        <v>68.591549295774641</v>
      </c>
      <c r="E988" s="74">
        <f>Comp3[[#This Row],[Comparable '#3 Price]]/'Comparable #3'!$B$2*100</f>
        <v>55.882603873389648</v>
      </c>
    </row>
    <row r="989" spans="1:5">
      <c r="A989" s="96">
        <v>44718</v>
      </c>
      <c r="B989" s="74">
        <f>Target1[[#This Row],[Target Price]]/Target!$B$2*100</f>
        <v>233.50785340314135</v>
      </c>
      <c r="C989" s="74">
        <f>Comp1[[#This Row],[Comparable '#1 Price]]/'Comparable #1'!$B$2*100</f>
        <v>88.774811772758383</v>
      </c>
      <c r="D989" s="74">
        <f>Comp2[[#This Row],[Comparable '#2 Price]]/'Comparable #2'!$B$2*100</f>
        <v>69.577464788732385</v>
      </c>
      <c r="E989" s="74">
        <f>Comp3[[#This Row],[Comparable '#3 Price]]/'Comparable #3'!$B$2*100</f>
        <v>56.454227454995312</v>
      </c>
    </row>
    <row r="990" spans="1:5">
      <c r="A990" s="96">
        <v>44719</v>
      </c>
      <c r="B990" s="74">
        <f>Target1[[#This Row],[Target Price]]/Target!$B$2*100</f>
        <v>235.31122745782432</v>
      </c>
      <c r="C990" s="74">
        <f>Comp1[[#This Row],[Comparable '#1 Price]]/'Comparable #1'!$B$2*100</f>
        <v>88.843258042436688</v>
      </c>
      <c r="D990" s="74">
        <f>Comp2[[#This Row],[Comparable '#2 Price]]/'Comparable #2'!$B$2*100</f>
        <v>71.126760563380273</v>
      </c>
      <c r="E990" s="74">
        <f>Comp3[[#This Row],[Comparable '#3 Price]]/'Comparable #3'!$B$2*100</f>
        <v>56.317720331029783</v>
      </c>
    </row>
    <row r="991" spans="1:5">
      <c r="A991" s="96">
        <v>44720</v>
      </c>
      <c r="B991" s="74">
        <f>Target1[[#This Row],[Target Price]]/Target!$B$2*100</f>
        <v>218.03374054682951</v>
      </c>
      <c r="C991" s="74">
        <f>Comp1[[#This Row],[Comparable '#1 Price]]/'Comparable #1'!$B$2*100</f>
        <v>85.078713210130047</v>
      </c>
      <c r="D991" s="74">
        <f>Comp2[[#This Row],[Comparable '#2 Price]]/'Comparable #2'!$B$2*100</f>
        <v>68.390342052313883</v>
      </c>
      <c r="E991" s="74">
        <f>Comp3[[#This Row],[Comparable '#3 Price]]/'Comparable #3'!$B$2*100</f>
        <v>55.976452521115952</v>
      </c>
    </row>
    <row r="992" spans="1:5">
      <c r="A992" s="96">
        <v>44721</v>
      </c>
      <c r="B992" s="74">
        <f>Target1[[#This Row],[Target Price]]/Target!$B$2*100</f>
        <v>212.50727166957532</v>
      </c>
      <c r="C992" s="74">
        <f>Comp1[[#This Row],[Comparable '#1 Price]]/'Comparable #1'!$B$2*100</f>
        <v>84.05201916495551</v>
      </c>
      <c r="D992" s="74">
        <f>Comp2[[#This Row],[Comparable '#2 Price]]/'Comparable #2'!$B$2*100</f>
        <v>66.981891348088524</v>
      </c>
      <c r="E992" s="74">
        <f>Comp3[[#This Row],[Comparable '#3 Price]]/'Comparable #3'!$B$2*100</f>
        <v>55.080624520092144</v>
      </c>
    </row>
    <row r="993" spans="1:5">
      <c r="A993" s="96">
        <v>44722</v>
      </c>
      <c r="B993" s="74">
        <f>Target1[[#This Row],[Target Price]]/Target!$B$2*100</f>
        <v>206.51541593949969</v>
      </c>
      <c r="C993" s="74">
        <f>Comp1[[#This Row],[Comparable '#1 Price]]/'Comparable #1'!$B$2*100</f>
        <v>82.135523613963045</v>
      </c>
      <c r="D993" s="74">
        <f>Comp2[[#This Row],[Comparable '#2 Price]]/'Comparable #2'!$B$2*100</f>
        <v>64.386317907444663</v>
      </c>
      <c r="E993" s="74">
        <f>Comp3[[#This Row],[Comparable '#3 Price]]/'Comparable #3'!$B$2*100</f>
        <v>54.082416176094192</v>
      </c>
    </row>
    <row r="994" spans="1:5">
      <c r="A994" s="96">
        <v>44725</v>
      </c>
      <c r="B994" s="74">
        <f>Target1[[#This Row],[Target Price]]/Target!$B$2*100</f>
        <v>196.21873182082604</v>
      </c>
      <c r="C994" s="74">
        <f>Comp1[[#This Row],[Comparable '#1 Price]]/'Comparable #1'!$B$2*100</f>
        <v>79.192334017796043</v>
      </c>
      <c r="D994" s="74">
        <f>Comp2[[#This Row],[Comparable '#2 Price]]/'Comparable #2'!$B$2*100</f>
        <v>62.977867203219319</v>
      </c>
      <c r="E994" s="74">
        <f>Comp3[[#This Row],[Comparable '#3 Price]]/'Comparable #3'!$B$2*100</f>
        <v>52.401672212268579</v>
      </c>
    </row>
    <row r="995" spans="1:5">
      <c r="A995" s="96">
        <v>44726</v>
      </c>
      <c r="B995" s="74">
        <f>Target1[[#This Row],[Target Price]]/Target!$B$2*100</f>
        <v>201.27981384525887</v>
      </c>
      <c r="C995" s="74">
        <f>Comp1[[#This Row],[Comparable '#1 Price]]/'Comparable #1'!$B$2*100</f>
        <v>77.960301163586593</v>
      </c>
      <c r="D995" s="74">
        <f>Comp2[[#This Row],[Comparable '#2 Price]]/'Comparable #2'!$B$2*100</f>
        <v>63.762575452716298</v>
      </c>
      <c r="E995" s="74">
        <f>Comp3[[#This Row],[Comparable '#3 Price]]/'Comparable #3'!$B$2*100</f>
        <v>52.495520859994883</v>
      </c>
    </row>
    <row r="996" spans="1:5">
      <c r="A996" s="96">
        <v>44727</v>
      </c>
      <c r="B996" s="74">
        <f>Target1[[#This Row],[Target Price]]/Target!$B$2*100</f>
        <v>201.16346713205351</v>
      </c>
      <c r="C996" s="74">
        <f>Comp1[[#This Row],[Comparable '#1 Price]]/'Comparable #1'!$B$2*100</f>
        <v>78.097193702943187</v>
      </c>
      <c r="D996" s="74">
        <f>Comp2[[#This Row],[Comparable '#2 Price]]/'Comparable #2'!$B$2*100</f>
        <v>63.963782696177049</v>
      </c>
      <c r="E996" s="74">
        <f>Comp3[[#This Row],[Comparable '#3 Price]]/'Comparable #3'!$B$2*100</f>
        <v>52.649091374456106</v>
      </c>
    </row>
    <row r="997" spans="1:5">
      <c r="A997" s="96">
        <v>44728</v>
      </c>
      <c r="B997" s="74">
        <f>Target1[[#This Row],[Target Price]]/Target!$B$2*100</f>
        <v>196.50959860383944</v>
      </c>
      <c r="C997" s="74">
        <f>Comp1[[#This Row],[Comparable '#1 Price]]/'Comparable #1'!$B$2*100</f>
        <v>76.180698151950736</v>
      </c>
      <c r="D997" s="74">
        <f>Comp2[[#This Row],[Comparable '#2 Price]]/'Comparable #2'!$B$2*100</f>
        <v>62.615694164989947</v>
      </c>
      <c r="E997" s="74">
        <f>Comp3[[#This Row],[Comparable '#3 Price]]/'Comparable #3'!$B$2*100</f>
        <v>51.190171487074487</v>
      </c>
    </row>
    <row r="998" spans="1:5">
      <c r="A998" s="96">
        <v>44729</v>
      </c>
      <c r="B998" s="74">
        <f>Target1[[#This Row],[Target Price]]/Target!$B$2*100</f>
        <v>204.65386852821408</v>
      </c>
      <c r="C998" s="74">
        <f>Comp1[[#This Row],[Comparable '#1 Price]]/'Comparable #1'!$B$2*100</f>
        <v>78.028747433264883</v>
      </c>
      <c r="D998" s="74">
        <f>Comp2[[#This Row],[Comparable '#2 Price]]/'Comparable #2'!$B$2*100</f>
        <v>63.863179074446677</v>
      </c>
      <c r="E998" s="74">
        <f>Comp3[[#This Row],[Comparable '#3 Price]]/'Comparable #3'!$B$2*100</f>
        <v>51.488780820749092</v>
      </c>
    </row>
    <row r="999" spans="1:5">
      <c r="A999" s="96">
        <v>44733</v>
      </c>
      <c r="B999" s="74">
        <f>Target1[[#This Row],[Target Price]]/Target!$B$2*100</f>
        <v>204.30482838859797</v>
      </c>
      <c r="C999" s="74">
        <f>Comp1[[#This Row],[Comparable '#1 Price]]/'Comparable #1'!$B$2*100</f>
        <v>78.37097878165639</v>
      </c>
      <c r="D999" s="74">
        <f>Comp2[[#This Row],[Comparable '#2 Price]]/'Comparable #2'!$B$2*100</f>
        <v>64.446680080482892</v>
      </c>
      <c r="E999" s="74">
        <f>Comp3[[#This Row],[Comparable '#3 Price]]/'Comparable #3'!$B$2*100</f>
        <v>51.812985240167222</v>
      </c>
    </row>
    <row r="1000" spans="1:5">
      <c r="A1000" s="96">
        <v>44734</v>
      </c>
      <c r="B1000" s="74">
        <f>Target1[[#This Row],[Target Price]]/Target!$B$2*100</f>
        <v>205.00290866783013</v>
      </c>
      <c r="C1000" s="74">
        <f>Comp1[[#This Row],[Comparable '#1 Price]]/'Comparable #1'!$B$2*100</f>
        <v>73.921971252566749</v>
      </c>
      <c r="D1000" s="74">
        <f>Comp2[[#This Row],[Comparable '#2 Price]]/'Comparable #2'!$B$2*100</f>
        <v>66.016096579476852</v>
      </c>
      <c r="E1000" s="74">
        <f>Comp3[[#This Row],[Comparable '#3 Price]]/'Comparable #3'!$B$2*100</f>
        <v>52.785598498421635</v>
      </c>
    </row>
    <row r="1001" spans="1:5">
      <c r="A1001" s="96">
        <v>44735</v>
      </c>
      <c r="B1001" s="74">
        <f>Target1[[#This Row],[Target Price]]/Target!$B$2*100</f>
        <v>200.6980802792321</v>
      </c>
      <c r="C1001" s="74">
        <f>Comp1[[#This Row],[Comparable '#1 Price]]/'Comparable #1'!$B$2*100</f>
        <v>74.948665297741272</v>
      </c>
      <c r="D1001" s="74">
        <f>Comp2[[#This Row],[Comparable '#2 Price]]/'Comparable #2'!$B$2*100</f>
        <v>67.806841046277668</v>
      </c>
      <c r="E1001" s="74">
        <f>Comp3[[#This Row],[Comparable '#3 Price]]/'Comparable #3'!$B$2*100</f>
        <v>56.121491340329335</v>
      </c>
    </row>
    <row r="1002" spans="1:5">
      <c r="A1002" s="96">
        <v>44736</v>
      </c>
      <c r="B1002" s="74">
        <f>Target1[[#This Row],[Target Price]]/Target!$B$2*100</f>
        <v>215.18324607329845</v>
      </c>
      <c r="C1002" s="74">
        <f>Comp1[[#This Row],[Comparable '#1 Price]]/'Comparable #1'!$B$2*100</f>
        <v>77.686516084873375</v>
      </c>
      <c r="D1002" s="74">
        <f>Comp2[[#This Row],[Comparable '#2 Price]]/'Comparable #2'!$B$2*100</f>
        <v>73.722334004024134</v>
      </c>
      <c r="E1002" s="74">
        <f>Comp3[[#This Row],[Comparable '#3 Price]]/'Comparable #3'!$B$2*100</f>
        <v>60.822455421892343</v>
      </c>
    </row>
    <row r="1003" spans="1:5">
      <c r="A1003" s="96">
        <v>44739</v>
      </c>
      <c r="B1003" s="74">
        <f>Target1[[#This Row],[Target Price]]/Target!$B$2*100</f>
        <v>218.78999418266432</v>
      </c>
      <c r="C1003" s="74">
        <f>Comp1[[#This Row],[Comparable '#1 Price]]/'Comparable #1'!$B$2*100</f>
        <v>78.507871321013013</v>
      </c>
      <c r="D1003" s="74">
        <f>Comp2[[#This Row],[Comparable '#2 Price]]/'Comparable #2'!$B$2*100</f>
        <v>73.199195171026162</v>
      </c>
      <c r="E1003" s="74">
        <f>Comp3[[#This Row],[Comparable '#3 Price]]/'Comparable #3'!$B$2*100</f>
        <v>61.957170889855817</v>
      </c>
    </row>
    <row r="1004" spans="1:5">
      <c r="A1004" s="96">
        <v>44740</v>
      </c>
      <c r="B1004" s="74">
        <f>Target1[[#This Row],[Target Price]]/Target!$B$2*100</f>
        <v>219.72076788830717</v>
      </c>
      <c r="C1004" s="74">
        <f>Comp1[[#This Row],[Comparable '#1 Price]]/'Comparable #1'!$B$2*100</f>
        <v>77.549623545516781</v>
      </c>
      <c r="D1004" s="74">
        <f>Comp2[[#This Row],[Comparable '#2 Price]]/'Comparable #2'!$B$2*100</f>
        <v>71.066398390342044</v>
      </c>
      <c r="E1004" s="74">
        <f>Comp3[[#This Row],[Comparable '#3 Price]]/'Comparable #3'!$B$2*100</f>
        <v>60.1655148878082</v>
      </c>
    </row>
    <row r="1005" spans="1:5">
      <c r="A1005" s="96">
        <v>44741</v>
      </c>
      <c r="B1005" s="74">
        <f>Target1[[#This Row],[Target Price]]/Target!$B$2*100</f>
        <v>240.31413612565444</v>
      </c>
      <c r="C1005" s="74">
        <f>Comp1[[#This Row],[Comparable '#1 Price]]/'Comparable #1'!$B$2*100</f>
        <v>77.002053388090346</v>
      </c>
      <c r="D1005" s="74">
        <f>Comp2[[#This Row],[Comparable '#2 Price]]/'Comparable #2'!$B$2*100</f>
        <v>71.750503018108631</v>
      </c>
      <c r="E1005" s="74">
        <f>Comp3[[#This Row],[Comparable '#3 Price]]/'Comparable #3'!$B$2*100</f>
        <v>58.041122771094621</v>
      </c>
    </row>
    <row r="1006" spans="1:5">
      <c r="A1006" s="96">
        <v>44742</v>
      </c>
      <c r="B1006" s="74">
        <f>Target1[[#This Row],[Target Price]]/Target!$B$2*100</f>
        <v>237.28912158231529</v>
      </c>
      <c r="C1006" s="74">
        <f>Comp1[[#This Row],[Comparable '#1 Price]]/'Comparable #1'!$B$2*100</f>
        <v>79.192334017796043</v>
      </c>
      <c r="D1006" s="74">
        <f>Comp2[[#This Row],[Comparable '#2 Price]]/'Comparable #2'!$B$2*100</f>
        <v>72.374245472837018</v>
      </c>
      <c r="E1006" s="74">
        <f>Comp3[[#This Row],[Comparable '#3 Price]]/'Comparable #3'!$B$2*100</f>
        <v>60.216705059295286</v>
      </c>
    </row>
    <row r="1007" spans="1:5">
      <c r="A1007" s="96">
        <v>44743</v>
      </c>
      <c r="B1007" s="74">
        <f>Target1[[#This Row],[Target Price]]/Target!$B$2*100</f>
        <v>240.37230948225709</v>
      </c>
      <c r="C1007" s="74">
        <f>Comp1[[#This Row],[Comparable '#1 Price]]/'Comparable #1'!$B$2*100</f>
        <v>80.21902806297058</v>
      </c>
      <c r="D1007" s="74">
        <f>Comp2[[#This Row],[Comparable '#2 Price]]/'Comparable #2'!$B$2*100</f>
        <v>73.480885311871219</v>
      </c>
      <c r="E1007" s="74">
        <f>Comp3[[#This Row],[Comparable '#3 Price]]/'Comparable #3'!$B$2*100</f>
        <v>59.4744475727327</v>
      </c>
    </row>
    <row r="1008" spans="1:5">
      <c r="A1008" s="96">
        <v>44747</v>
      </c>
      <c r="B1008" s="74">
        <f>Target1[[#This Row],[Target Price]]/Target!$B$2*100</f>
        <v>234.32228039557882</v>
      </c>
      <c r="C1008" s="74">
        <f>Comp1[[#This Row],[Comparable '#1 Price]]/'Comparable #1'!$B$2*100</f>
        <v>77.618069815195085</v>
      </c>
      <c r="D1008" s="74">
        <f>Comp2[[#This Row],[Comparable '#2 Price]]/'Comparable #2'!$B$2*100</f>
        <v>75.352112676056336</v>
      </c>
      <c r="E1008" s="74">
        <f>Comp3[[#This Row],[Comparable '#3 Price]]/'Comparable #3'!$B$2*100</f>
        <v>58.7833802576572</v>
      </c>
    </row>
    <row r="1009" spans="1:5">
      <c r="A1009" s="96">
        <v>44748</v>
      </c>
      <c r="B1009" s="74">
        <f>Target1[[#This Row],[Target Price]]/Target!$B$2*100</f>
        <v>239.67422920302505</v>
      </c>
      <c r="C1009" s="74">
        <f>Comp1[[#This Row],[Comparable '#1 Price]]/'Comparable #1'!$B$2*100</f>
        <v>77.549623545516781</v>
      </c>
      <c r="D1009" s="74">
        <f>Comp2[[#This Row],[Comparable '#2 Price]]/'Comparable #2'!$B$2*100</f>
        <v>74.104627766599577</v>
      </c>
      <c r="E1009" s="74">
        <f>Comp3[[#This Row],[Comparable '#3 Price]]/'Comparable #3'!$B$2*100</f>
        <v>57.674259875437251</v>
      </c>
    </row>
    <row r="1010" spans="1:5">
      <c r="A1010" s="96">
        <v>44749</v>
      </c>
      <c r="B1010" s="74">
        <f>Target1[[#This Row],[Target Price]]/Target!$B$2*100</f>
        <v>240.48865619546248</v>
      </c>
      <c r="C1010" s="74">
        <f>Comp1[[#This Row],[Comparable '#1 Price]]/'Comparable #1'!$B$2*100</f>
        <v>77.82340862422997</v>
      </c>
      <c r="D1010" s="74">
        <f>Comp2[[#This Row],[Comparable '#2 Price]]/'Comparable #2'!$B$2*100</f>
        <v>74.325955734406435</v>
      </c>
      <c r="E1010" s="74">
        <f>Comp3[[#This Row],[Comparable '#3 Price]]/'Comparable #3'!$B$2*100</f>
        <v>56.8808122173876</v>
      </c>
    </row>
    <row r="1011" spans="1:5">
      <c r="A1011" s="96">
        <v>44750</v>
      </c>
      <c r="B1011" s="74">
        <f>Target1[[#This Row],[Target Price]]/Target!$B$2*100</f>
        <v>242.46655031995346</v>
      </c>
      <c r="C1011" s="74">
        <f>Comp1[[#This Row],[Comparable '#1 Price]]/'Comparable #1'!$B$2*100</f>
        <v>78.507871321013013</v>
      </c>
      <c r="D1011" s="74">
        <f>Comp2[[#This Row],[Comparable '#2 Price]]/'Comparable #2'!$B$2*100</f>
        <v>76.700201207243452</v>
      </c>
      <c r="E1011" s="74">
        <f>Comp3[[#This Row],[Comparable '#3 Price]]/'Comparable #3'!$B$2*100</f>
        <v>57.44390410374541</v>
      </c>
    </row>
    <row r="1012" spans="1:5">
      <c r="A1012" s="96">
        <v>44753</v>
      </c>
      <c r="B1012" s="74">
        <f>Target1[[#This Row],[Target Price]]/Target!$B$2*100</f>
        <v>237.87085514834203</v>
      </c>
      <c r="C1012" s="74">
        <f>Comp1[[#This Row],[Comparable '#1 Price]]/'Comparable #1'!$B$2*100</f>
        <v>78.165639972621491</v>
      </c>
      <c r="D1012" s="74">
        <f>Comp2[[#This Row],[Comparable '#2 Price]]/'Comparable #2'!$B$2*100</f>
        <v>74.305835010060363</v>
      </c>
      <c r="E1012" s="74">
        <f>Comp3[[#This Row],[Comparable '#3 Price]]/'Comparable #3'!$B$2*100</f>
        <v>56.701646617182831</v>
      </c>
    </row>
    <row r="1013" spans="1:5">
      <c r="A1013" s="96">
        <v>44754</v>
      </c>
      <c r="B1013" s="74">
        <f>Target1[[#This Row],[Target Price]]/Target!$B$2*100</f>
        <v>237.81268179173938</v>
      </c>
      <c r="C1013" s="74">
        <f>Comp1[[#This Row],[Comparable '#1 Price]]/'Comparable #1'!$B$2*100</f>
        <v>76.317590691307331</v>
      </c>
      <c r="D1013" s="74">
        <f>Comp2[[#This Row],[Comparable '#2 Price]]/'Comparable #2'!$B$2*100</f>
        <v>74.446680080482892</v>
      </c>
      <c r="E1013" s="74">
        <f>Comp3[[#This Row],[Comparable '#3 Price]]/'Comparable #3'!$B$2*100</f>
        <v>56.872280522139754</v>
      </c>
    </row>
    <row r="1014" spans="1:5">
      <c r="A1014" s="96">
        <v>44755</v>
      </c>
      <c r="B1014" s="74">
        <f>Target1[[#This Row],[Target Price]]/Target!$B$2*100</f>
        <v>235.71844095404307</v>
      </c>
      <c r="C1014" s="74">
        <f>Comp1[[#This Row],[Comparable '#1 Price]]/'Comparable #1'!$B$2*100</f>
        <v>77.481177275838476</v>
      </c>
      <c r="D1014" s="74">
        <f>Comp2[[#This Row],[Comparable '#2 Price]]/'Comparable #2'!$B$2*100</f>
        <v>75.814889336016094</v>
      </c>
      <c r="E1014" s="74">
        <f>Comp3[[#This Row],[Comparable '#3 Price]]/'Comparable #3'!$B$2*100</f>
        <v>56.914938998378972</v>
      </c>
    </row>
    <row r="1015" spans="1:5">
      <c r="A1015" s="96">
        <v>44756</v>
      </c>
      <c r="B1015" s="74">
        <f>Target1[[#This Row],[Target Price]]/Target!$B$2*100</f>
        <v>234.43862710878415</v>
      </c>
      <c r="C1015" s="74">
        <f>Comp1[[#This Row],[Comparable '#1 Price]]/'Comparable #1'!$B$2*100</f>
        <v>75.564681724845997</v>
      </c>
      <c r="D1015" s="74">
        <f>Comp2[[#This Row],[Comparable '#2 Price]]/'Comparable #2'!$B$2*100</f>
        <v>74.889336016096578</v>
      </c>
      <c r="E1015" s="74">
        <f>Comp3[[#This Row],[Comparable '#3 Price]]/'Comparable #3'!$B$2*100</f>
        <v>56.838153741148375</v>
      </c>
    </row>
    <row r="1016" spans="1:5">
      <c r="A1016" s="96">
        <v>44757</v>
      </c>
      <c r="B1016" s="74">
        <f>Target1[[#This Row],[Target Price]]/Target!$B$2*100</f>
        <v>242.93193717277487</v>
      </c>
      <c r="C1016" s="74">
        <f>Comp1[[#This Row],[Comparable '#1 Price]]/'Comparable #1'!$B$2*100</f>
        <v>78.165639972621491</v>
      </c>
      <c r="D1016" s="74">
        <f>Comp2[[#This Row],[Comparable '#2 Price]]/'Comparable #2'!$B$2*100</f>
        <v>77.665995975855125</v>
      </c>
      <c r="E1016" s="74">
        <f>Comp3[[#This Row],[Comparable '#3 Price]]/'Comparable #3'!$B$2*100</f>
        <v>58.382390581008458</v>
      </c>
    </row>
    <row r="1017" spans="1:5">
      <c r="A1017" s="96">
        <v>44760</v>
      </c>
      <c r="B1017" s="74">
        <f>Target1[[#This Row],[Target Price]]/Target!$B$2*100</f>
        <v>244.15357766143103</v>
      </c>
      <c r="C1017" s="74">
        <f>Comp1[[#This Row],[Comparable '#1 Price]]/'Comparable #1'!$B$2*100</f>
        <v>78.713210130047912</v>
      </c>
      <c r="D1017" s="74">
        <f>Comp2[[#This Row],[Comparable '#2 Price]]/'Comparable #2'!$B$2*100</f>
        <v>78.008048289738426</v>
      </c>
      <c r="E1017" s="74">
        <f>Comp3[[#This Row],[Comparable '#3 Price]]/'Comparable #3'!$B$2*100</f>
        <v>58.041122771094621</v>
      </c>
    </row>
    <row r="1018" spans="1:5">
      <c r="A1018" s="96">
        <v>44761</v>
      </c>
      <c r="B1018" s="74">
        <f>Target1[[#This Row],[Target Price]]/Target!$B$2*100</f>
        <v>251.07620709714945</v>
      </c>
      <c r="C1018" s="74">
        <f>Comp1[[#This Row],[Comparable '#1 Price]]/'Comparable #1'!$B$2*100</f>
        <v>80.835044490075305</v>
      </c>
      <c r="D1018" s="74">
        <f>Comp2[[#This Row],[Comparable '#2 Price]]/'Comparable #2'!$B$2*100</f>
        <v>79.738430583501014</v>
      </c>
      <c r="E1018" s="74">
        <f>Comp3[[#This Row],[Comparable '#3 Price]]/'Comparable #3'!$B$2*100</f>
        <v>58.954014162614108</v>
      </c>
    </row>
    <row r="1019" spans="1:5">
      <c r="A1019" s="96">
        <v>44762</v>
      </c>
      <c r="B1019" s="74">
        <f>Target1[[#This Row],[Target Price]]/Target!$B$2*100</f>
        <v>256.9517161140198</v>
      </c>
      <c r="C1019" s="74">
        <f>Comp1[[#This Row],[Comparable '#1 Price]]/'Comparable #1'!$B$2*100</f>
        <v>80.971937029431899</v>
      </c>
      <c r="D1019" s="74">
        <f>Comp2[[#This Row],[Comparable '#2 Price]]/'Comparable #2'!$B$2*100</f>
        <v>79.778672032193157</v>
      </c>
      <c r="E1019" s="74">
        <f>Comp3[[#This Row],[Comparable '#3 Price]]/'Comparable #3'!$B$2*100</f>
        <v>60.609163040696188</v>
      </c>
    </row>
    <row r="1020" spans="1:5">
      <c r="A1020" s="96">
        <v>44763</v>
      </c>
      <c r="B1020" s="74">
        <f>Target1[[#This Row],[Target Price]]/Target!$B$2*100</f>
        <v>254.04304828388598</v>
      </c>
      <c r="C1020" s="74">
        <f>Comp1[[#This Row],[Comparable '#1 Price]]/'Comparable #1'!$B$2*100</f>
        <v>80.424366872005479</v>
      </c>
      <c r="D1020" s="74">
        <f>Comp2[[#This Row],[Comparable '#2 Price]]/'Comparable #2'!$B$2*100</f>
        <v>78.631790744466784</v>
      </c>
      <c r="E1020" s="74">
        <f>Comp3[[#This Row],[Comparable '#3 Price]]/'Comparable #3'!$B$2*100</f>
        <v>60.029007763842678</v>
      </c>
    </row>
    <row r="1021" spans="1:5">
      <c r="A1021" s="96">
        <v>44764</v>
      </c>
      <c r="B1021" s="74">
        <f>Target1[[#This Row],[Target Price]]/Target!$B$2*100</f>
        <v>245.25887143688186</v>
      </c>
      <c r="C1021" s="74">
        <f>Comp1[[#This Row],[Comparable '#1 Price]]/'Comparable #1'!$B$2*100</f>
        <v>79.603011635865855</v>
      </c>
      <c r="D1021" s="74">
        <f>Comp2[[#This Row],[Comparable '#2 Price]]/'Comparable #2'!$B$2*100</f>
        <v>78.692152917505027</v>
      </c>
      <c r="E1021" s="74">
        <f>Comp3[[#This Row],[Comparable '#3 Price]]/'Comparable #3'!$B$2*100</f>
        <v>59.4744475727327</v>
      </c>
    </row>
    <row r="1022" spans="1:5">
      <c r="A1022" s="96">
        <v>44767</v>
      </c>
      <c r="B1022" s="74">
        <f>Target1[[#This Row],[Target Price]]/Target!$B$2*100</f>
        <v>250.20360674810937</v>
      </c>
      <c r="C1022" s="74">
        <f>Comp1[[#This Row],[Comparable '#1 Price]]/'Comparable #1'!$B$2*100</f>
        <v>80.150581793292275</v>
      </c>
      <c r="D1022" s="74">
        <f>Comp2[[#This Row],[Comparable '#2 Price]]/'Comparable #2'!$B$2*100</f>
        <v>78.853118712273627</v>
      </c>
      <c r="E1022" s="74">
        <f>Comp3[[#This Row],[Comparable '#3 Price]]/'Comparable #3'!$B$2*100</f>
        <v>59.090521286579659</v>
      </c>
    </row>
    <row r="1023" spans="1:5">
      <c r="A1023" s="96">
        <v>44768</v>
      </c>
      <c r="B1023" s="74">
        <f>Target1[[#This Row],[Target Price]]/Target!$B$2*100</f>
        <v>248.98196625945315</v>
      </c>
      <c r="C1023" s="74">
        <f>Comp1[[#This Row],[Comparable '#1 Price]]/'Comparable #1'!$B$2*100</f>
        <v>80.082135523613957</v>
      </c>
      <c r="D1023" s="74">
        <f>Comp2[[#This Row],[Comparable '#2 Price]]/'Comparable #2'!$B$2*100</f>
        <v>80</v>
      </c>
      <c r="E1023" s="74">
        <f>Comp3[[#This Row],[Comparable '#3 Price]]/'Comparable #3'!$B$2*100</f>
        <v>59.696271649176694</v>
      </c>
    </row>
    <row r="1024" spans="1:5">
      <c r="A1024" s="96">
        <v>44769</v>
      </c>
      <c r="B1024" s="74">
        <f>Target1[[#This Row],[Target Price]]/Target!$B$2*100</f>
        <v>251.89063408958691</v>
      </c>
      <c r="C1024" s="74">
        <f>Comp1[[#This Row],[Comparable '#1 Price]]/'Comparable #1'!$B$2*100</f>
        <v>80.698151950718682</v>
      </c>
      <c r="D1024" s="74">
        <f>Comp2[[#This Row],[Comparable '#2 Price]]/'Comparable #2'!$B$2*100</f>
        <v>80.925553319919501</v>
      </c>
      <c r="E1024" s="74">
        <f>Comp3[[#This Row],[Comparable '#3 Price]]/'Comparable #3'!$B$2*100</f>
        <v>61.692688337172598</v>
      </c>
    </row>
    <row r="1025" spans="1:5">
      <c r="A1025" s="96">
        <v>44770</v>
      </c>
      <c r="B1025" s="74">
        <f>Target1[[#This Row],[Target Price]]/Target!$B$2*100</f>
        <v>256.42815590459566</v>
      </c>
      <c r="C1025" s="74">
        <f>Comp1[[#This Row],[Comparable '#1 Price]]/'Comparable #1'!$B$2*100</f>
        <v>81.793292265571523</v>
      </c>
      <c r="D1025" s="74">
        <f>Comp2[[#This Row],[Comparable '#2 Price]]/'Comparable #2'!$B$2*100</f>
        <v>80</v>
      </c>
      <c r="E1025" s="74">
        <f>Comp3[[#This Row],[Comparable '#3 Price]]/'Comparable #3'!$B$2*100</f>
        <v>62.554389557205013</v>
      </c>
    </row>
    <row r="1026" spans="1:5">
      <c r="A1026" s="96">
        <v>44771</v>
      </c>
      <c r="B1026" s="74">
        <f>Target1[[#This Row],[Target Price]]/Target!$B$2*100</f>
        <v>259.91855730075622</v>
      </c>
      <c r="C1026" s="74">
        <f>Comp1[[#This Row],[Comparable '#1 Price]]/'Comparable #1'!$B$2*100</f>
        <v>81.040383299110204</v>
      </c>
      <c r="D1026" s="74">
        <f>Comp2[[#This Row],[Comparable '#2 Price]]/'Comparable #2'!$B$2*100</f>
        <v>80.684104627766601</v>
      </c>
      <c r="E1026" s="74">
        <f>Comp3[[#This Row],[Comparable '#3 Price]]/'Comparable #3'!$B$2*100</f>
        <v>61.283166965276003</v>
      </c>
    </row>
    <row r="1027" spans="1:5">
      <c r="A1027" s="96">
        <v>44774</v>
      </c>
      <c r="B1027" s="74">
        <f>Target1[[#This Row],[Target Price]]/Target!$B$2*100</f>
        <v>257.64979639325185</v>
      </c>
      <c r="C1027" s="74">
        <f>Comp1[[#This Row],[Comparable '#1 Price]]/'Comparable #1'!$B$2*100</f>
        <v>79.123887748117738</v>
      </c>
      <c r="D1027" s="74">
        <f>Comp2[[#This Row],[Comparable '#2 Price]]/'Comparable #2'!$B$2*100</f>
        <v>80.362173038229372</v>
      </c>
      <c r="E1027" s="74">
        <f>Comp3[[#This Row],[Comparable '#3 Price]]/'Comparable #3'!$B$2*100</f>
        <v>61.573244603702761</v>
      </c>
    </row>
    <row r="1028" spans="1:5">
      <c r="A1028" s="96">
        <v>44775</v>
      </c>
      <c r="B1028" s="74">
        <f>Target1[[#This Row],[Target Price]]/Target!$B$2*100</f>
        <v>257.06806282722511</v>
      </c>
      <c r="C1028" s="74">
        <f>Comp1[[#This Row],[Comparable '#1 Price]]/'Comparable #1'!$B$2*100</f>
        <v>78.781656399726216</v>
      </c>
      <c r="D1028" s="74">
        <f>Comp2[[#This Row],[Comparable '#2 Price]]/'Comparable #2'!$B$2*100</f>
        <v>80.221327967806829</v>
      </c>
      <c r="E1028" s="74">
        <f>Comp3[[#This Row],[Comparable '#3 Price]]/'Comparable #3'!$B$2*100</f>
        <v>60.779796945653096</v>
      </c>
    </row>
    <row r="1029" spans="1:5">
      <c r="A1029" s="96">
        <v>44776</v>
      </c>
      <c r="B1029" s="74">
        <f>Target1[[#This Row],[Target Price]]/Target!$B$2*100</f>
        <v>256.19546247818499</v>
      </c>
      <c r="C1029" s="74">
        <f>Comp1[[#This Row],[Comparable '#1 Price]]/'Comparable #1'!$B$2*100</f>
        <v>78.850102669404521</v>
      </c>
      <c r="D1029" s="74">
        <f>Comp2[[#This Row],[Comparable '#2 Price]]/'Comparable #2'!$B$2*100</f>
        <v>80.301810865191143</v>
      </c>
      <c r="E1029" s="74">
        <f>Comp3[[#This Row],[Comparable '#3 Price]]/'Comparable #3'!$B$2*100</f>
        <v>61.061342888832002</v>
      </c>
    </row>
    <row r="1030" spans="1:5">
      <c r="A1030" s="96">
        <v>44777</v>
      </c>
      <c r="B1030" s="74">
        <f>Target1[[#This Row],[Target Price]]/Target!$B$2*100</f>
        <v>254.39208842350197</v>
      </c>
      <c r="C1030" s="74">
        <f>Comp1[[#This Row],[Comparable '#1 Price]]/'Comparable #1'!$B$2*100</f>
        <v>81.451060917180016</v>
      </c>
      <c r="D1030" s="74">
        <f>Comp2[[#This Row],[Comparable '#2 Price]]/'Comparable #2'!$B$2*100</f>
        <v>78.913480885311856</v>
      </c>
      <c r="E1030" s="74">
        <f>Comp3[[#This Row],[Comparable '#3 Price]]/'Comparable #3'!$B$2*100</f>
        <v>60.489719307226352</v>
      </c>
    </row>
    <row r="1031" spans="1:5">
      <c r="A1031" s="96">
        <v>44778</v>
      </c>
      <c r="B1031" s="74">
        <f>Target1[[#This Row],[Target Price]]/Target!$B$2*100</f>
        <v>252.82140779522976</v>
      </c>
      <c r="C1031" s="74">
        <f>Comp1[[#This Row],[Comparable '#1 Price]]/'Comparable #1'!$B$2*100</f>
        <v>76.522929500342229</v>
      </c>
      <c r="D1031" s="74">
        <f>Comp2[[#This Row],[Comparable '#2 Price]]/'Comparable #2'!$B$2*100</f>
        <v>76.981891348088524</v>
      </c>
      <c r="E1031" s="74">
        <f>Comp3[[#This Row],[Comparable '#3 Price]]/'Comparable #3'!$B$2*100</f>
        <v>59.636549782441783</v>
      </c>
    </row>
    <row r="1032" spans="1:5">
      <c r="A1032" s="96">
        <v>44781</v>
      </c>
      <c r="B1032" s="74">
        <f>Target1[[#This Row],[Target Price]]/Target!$B$2*100</f>
        <v>248.74927283304245</v>
      </c>
      <c r="C1032" s="74">
        <f>Comp1[[#This Row],[Comparable '#1 Price]]/'Comparable #1'!$B$2*100</f>
        <v>76.522929500342229</v>
      </c>
      <c r="D1032" s="74">
        <f>Comp2[[#This Row],[Comparable '#2 Price]]/'Comparable #2'!$B$2*100</f>
        <v>77.464788732394368</v>
      </c>
      <c r="E1032" s="74">
        <f>Comp3[[#This Row],[Comparable '#3 Price]]/'Comparable #3'!$B$2*100</f>
        <v>59.943690811364227</v>
      </c>
    </row>
    <row r="1033" spans="1:5">
      <c r="A1033" s="96">
        <v>44782</v>
      </c>
      <c r="B1033" s="74">
        <f>Target1[[#This Row],[Target Price]]/Target!$B$2*100</f>
        <v>248.28388598022104</v>
      </c>
      <c r="C1033" s="74">
        <f>Comp1[[#This Row],[Comparable '#1 Price]]/'Comparable #1'!$B$2*100</f>
        <v>76.865160848733751</v>
      </c>
      <c r="D1033" s="74">
        <f>Comp2[[#This Row],[Comparable '#2 Price]]/'Comparable #2'!$B$2*100</f>
        <v>78.551307847082484</v>
      </c>
      <c r="E1033" s="74">
        <f>Comp3[[#This Row],[Comparable '#3 Price]]/'Comparable #3'!$B$2*100</f>
        <v>59.576827915706851</v>
      </c>
    </row>
    <row r="1034" spans="1:5">
      <c r="A1034" s="96">
        <v>44783</v>
      </c>
      <c r="B1034" s="74">
        <f>Target1[[#This Row],[Target Price]]/Target!$B$2*100</f>
        <v>217.10296684118671</v>
      </c>
      <c r="C1034" s="74">
        <f>Comp1[[#This Row],[Comparable '#1 Price]]/'Comparable #1'!$B$2*100</f>
        <v>78.028747433264883</v>
      </c>
      <c r="D1034" s="74">
        <f>Comp2[[#This Row],[Comparable '#2 Price]]/'Comparable #2'!$B$2*100</f>
        <v>77.98792756539234</v>
      </c>
      <c r="E1034" s="74">
        <f>Comp3[[#This Row],[Comparable '#3 Price]]/'Comparable #3'!$B$2*100</f>
        <v>59.406194010749935</v>
      </c>
    </row>
    <row r="1035" spans="1:5">
      <c r="A1035" s="96">
        <v>44784</v>
      </c>
      <c r="B1035" s="74">
        <f>Target1[[#This Row],[Target Price]]/Target!$B$2*100</f>
        <v>211.28563118091913</v>
      </c>
      <c r="C1035" s="74">
        <f>Comp1[[#This Row],[Comparable '#1 Price]]/'Comparable #1'!$B$2*100</f>
        <v>77.07049965776865</v>
      </c>
      <c r="D1035" s="74">
        <f>Comp2[[#This Row],[Comparable '#2 Price]]/'Comparable #2'!$B$2*100</f>
        <v>75.935613682092551</v>
      </c>
      <c r="E1035" s="74">
        <f>Comp3[[#This Row],[Comparable '#3 Price]]/'Comparable #3'!$B$2*100</f>
        <v>57.85342547564202</v>
      </c>
    </row>
    <row r="1036" spans="1:5">
      <c r="A1036" s="96">
        <v>44785</v>
      </c>
      <c r="B1036" s="74">
        <f>Target1[[#This Row],[Target Price]]/Target!$B$2*100</f>
        <v>209.19139034322279</v>
      </c>
      <c r="C1036" s="74">
        <f>Comp1[[#This Row],[Comparable '#1 Price]]/'Comparable #1'!$B$2*100</f>
        <v>77.686516084873375</v>
      </c>
      <c r="D1036" s="74">
        <f>Comp2[[#This Row],[Comparable '#2 Price]]/'Comparable #2'!$B$2*100</f>
        <v>75.593561368209251</v>
      </c>
      <c r="E1036" s="74">
        <f>Comp3[[#This Row],[Comparable '#3 Price]]/'Comparable #3'!$B$2*100</f>
        <v>59.337940448767171</v>
      </c>
    </row>
    <row r="1037" spans="1:5">
      <c r="A1037" s="96">
        <v>44788</v>
      </c>
      <c r="B1037" s="74">
        <f>Target1[[#This Row],[Target Price]]/Target!$B$2*100</f>
        <v>209.01687027341475</v>
      </c>
      <c r="C1037" s="74">
        <f>Comp1[[#This Row],[Comparable '#1 Price]]/'Comparable #1'!$B$2*100</f>
        <v>78.98699520876113</v>
      </c>
      <c r="D1037" s="74">
        <f>Comp2[[#This Row],[Comparable '#2 Price]]/'Comparable #2'!$B$2*100</f>
        <v>76.358148893360166</v>
      </c>
      <c r="E1037" s="74">
        <f>Comp3[[#This Row],[Comparable '#3 Price]]/'Comparable #3'!$B$2*100</f>
        <v>60.489719307226352</v>
      </c>
    </row>
    <row r="1038" spans="1:5">
      <c r="A1038" s="96">
        <v>44789</v>
      </c>
      <c r="B1038" s="74">
        <f>Target1[[#This Row],[Target Price]]/Target!$B$2*100</f>
        <v>208.02792321116925</v>
      </c>
      <c r="C1038" s="74">
        <f>Comp1[[#This Row],[Comparable '#1 Price]]/'Comparable #1'!$B$2*100</f>
        <v>78.507871321013013</v>
      </c>
      <c r="D1038" s="74">
        <f>Comp2[[#This Row],[Comparable '#2 Price]]/'Comparable #2'!$B$2*100</f>
        <v>75.935613682092551</v>
      </c>
      <c r="E1038" s="74">
        <f>Comp3[[#This Row],[Comparable '#3 Price]]/'Comparable #3'!$B$2*100</f>
        <v>60.46412422148282</v>
      </c>
    </row>
    <row r="1039" spans="1:5">
      <c r="A1039" s="96">
        <v>44790</v>
      </c>
      <c r="B1039" s="74">
        <f>Target1[[#This Row],[Target Price]]/Target!$B$2*100</f>
        <v>204.47934845840604</v>
      </c>
      <c r="C1039" s="74">
        <f>Comp1[[#This Row],[Comparable '#1 Price]]/'Comparable #1'!$B$2*100</f>
        <v>77.754962354551665</v>
      </c>
      <c r="D1039" s="74">
        <f>Comp2[[#This Row],[Comparable '#2 Price]]/'Comparable #2'!$B$2*100</f>
        <v>76.74044265593561</v>
      </c>
      <c r="E1039" s="74">
        <f>Comp3[[#This Row],[Comparable '#3 Price]]/'Comparable #3'!$B$2*100</f>
        <v>59.95222250661206</v>
      </c>
    </row>
    <row r="1040" spans="1:5">
      <c r="A1040" s="96">
        <v>44791</v>
      </c>
      <c r="B1040" s="74">
        <f>Target1[[#This Row],[Target Price]]/Target!$B$2*100</f>
        <v>208.02792321116925</v>
      </c>
      <c r="C1040" s="74">
        <f>Comp1[[#This Row],[Comparable '#1 Price]]/'Comparable #1'!$B$2*100</f>
        <v>77.754962354551665</v>
      </c>
      <c r="D1040" s="74">
        <f>Comp2[[#This Row],[Comparable '#2 Price]]/'Comparable #2'!$B$2*100</f>
        <v>77.162977867203224</v>
      </c>
      <c r="E1040" s="74">
        <f>Comp3[[#This Row],[Comparable '#3 Price]]/'Comparable #3'!$B$2*100</f>
        <v>60.472655916730659</v>
      </c>
    </row>
    <row r="1041" spans="1:5">
      <c r="A1041" s="96">
        <v>44792</v>
      </c>
      <c r="B1041" s="74">
        <f>Target1[[#This Row],[Target Price]]/Target!$B$2*100</f>
        <v>211.69284467713788</v>
      </c>
      <c r="C1041" s="74">
        <f>Comp1[[#This Row],[Comparable '#1 Price]]/'Comparable #1'!$B$2*100</f>
        <v>78.097193702943187</v>
      </c>
      <c r="D1041" s="74">
        <f>Comp2[[#This Row],[Comparable '#2 Price]]/'Comparable #2'!$B$2*100</f>
        <v>79.295774647887313</v>
      </c>
      <c r="E1041" s="74">
        <f>Comp3[[#This Row],[Comparable '#3 Price]]/'Comparable #3'!$B$2*100</f>
        <v>60.592099650200495</v>
      </c>
    </row>
    <row r="1042" spans="1:5">
      <c r="A1042" s="96">
        <v>44795</v>
      </c>
      <c r="B1042" s="74">
        <f>Target1[[#This Row],[Target Price]]/Target!$B$2*100</f>
        <v>210.06399069226291</v>
      </c>
      <c r="C1042" s="74">
        <f>Comp1[[#This Row],[Comparable '#1 Price]]/'Comparable #1'!$B$2*100</f>
        <v>77.549623545516781</v>
      </c>
      <c r="D1042" s="74">
        <f>Comp2[[#This Row],[Comparable '#2 Price]]/'Comparable #2'!$B$2*100</f>
        <v>78.24949698189134</v>
      </c>
      <c r="E1042" s="74">
        <f>Comp3[[#This Row],[Comparable '#3 Price]]/'Comparable #3'!$B$2*100</f>
        <v>58.868697210135657</v>
      </c>
    </row>
    <row r="1043" spans="1:5">
      <c r="A1043" s="96">
        <v>44796</v>
      </c>
      <c r="B1043" s="74">
        <f>Target1[[#This Row],[Target Price]]/Target!$B$2*100</f>
        <v>208.60965677719599</v>
      </c>
      <c r="C1043" s="74">
        <f>Comp1[[#This Row],[Comparable '#1 Price]]/'Comparable #1'!$B$2*100</f>
        <v>77.002053388090346</v>
      </c>
      <c r="D1043" s="74">
        <f>Comp2[[#This Row],[Comparable '#2 Price]]/'Comparable #2'!$B$2*100</f>
        <v>78.893360160965798</v>
      </c>
      <c r="E1043" s="74">
        <f>Comp3[[#This Row],[Comparable '#3 Price]]/'Comparable #3'!$B$2*100</f>
        <v>58.510366009726134</v>
      </c>
    </row>
    <row r="1044" spans="1:5">
      <c r="A1044" s="96">
        <v>44797</v>
      </c>
      <c r="B1044" s="74">
        <f>Target1[[#This Row],[Target Price]]/Target!$B$2*100</f>
        <v>206.63176265270505</v>
      </c>
      <c r="C1044" s="74">
        <f>Comp1[[#This Row],[Comparable '#1 Price]]/'Comparable #1'!$B$2*100</f>
        <v>76.180698151950736</v>
      </c>
      <c r="D1044" s="74">
        <f>Comp2[[#This Row],[Comparable '#2 Price]]/'Comparable #2'!$B$2*100</f>
        <v>79.959758551307843</v>
      </c>
      <c r="E1044" s="74">
        <f>Comp3[[#This Row],[Comparable '#3 Price]]/'Comparable #3'!$B$2*100</f>
        <v>57.844893780394166</v>
      </c>
    </row>
    <row r="1045" spans="1:5">
      <c r="A1045" s="96">
        <v>44798</v>
      </c>
      <c r="B1045" s="74">
        <f>Target1[[#This Row],[Target Price]]/Target!$B$2*100</f>
        <v>220.01163467132051</v>
      </c>
      <c r="C1045" s="74">
        <f>Comp1[[#This Row],[Comparable '#1 Price]]/'Comparable #1'!$B$2*100</f>
        <v>76.522929500342229</v>
      </c>
      <c r="D1045" s="74">
        <f>Comp2[[#This Row],[Comparable '#2 Price]]/'Comparable #2'!$B$2*100</f>
        <v>82.73641851106639</v>
      </c>
      <c r="E1045" s="74">
        <f>Comp3[[#This Row],[Comparable '#3 Price]]/'Comparable #3'!$B$2*100</f>
        <v>59.192901629553795</v>
      </c>
    </row>
    <row r="1046" spans="1:5">
      <c r="A1046" s="96">
        <v>44799</v>
      </c>
      <c r="B1046" s="74">
        <f>Target1[[#This Row],[Target Price]]/Target!$B$2*100</f>
        <v>220.06980802792319</v>
      </c>
      <c r="C1046" s="74">
        <f>Comp1[[#This Row],[Comparable '#1 Price]]/'Comparable #1'!$B$2*100</f>
        <v>74.127310061601648</v>
      </c>
      <c r="D1046" s="74">
        <f>Comp2[[#This Row],[Comparable '#2 Price]]/'Comparable #2'!$B$2*100</f>
        <v>79.979879275653914</v>
      </c>
      <c r="E1046" s="74">
        <f>Comp3[[#This Row],[Comparable '#3 Price]]/'Comparable #3'!$B$2*100</f>
        <v>57.768108523163555</v>
      </c>
    </row>
    <row r="1047" spans="1:5">
      <c r="A1047" s="96">
        <v>44802</v>
      </c>
      <c r="B1047" s="74">
        <f>Target1[[#This Row],[Target Price]]/Target!$B$2*100</f>
        <v>221.81500872600347</v>
      </c>
      <c r="C1047" s="74">
        <f>Comp1[[#This Row],[Comparable '#1 Price]]/'Comparable #1'!$B$2*100</f>
        <v>75.290896646132794</v>
      </c>
      <c r="D1047" s="74">
        <f>Comp2[[#This Row],[Comparable '#2 Price]]/'Comparable #2'!$B$2*100</f>
        <v>77.726358148893354</v>
      </c>
      <c r="E1047" s="74">
        <f>Comp3[[#This Row],[Comparable '#3 Price]]/'Comparable #3'!$B$2*100</f>
        <v>56.795495264909135</v>
      </c>
    </row>
    <row r="1048" spans="1:5">
      <c r="A1048" s="96">
        <v>44803</v>
      </c>
      <c r="B1048" s="74">
        <f>Target1[[#This Row],[Target Price]]/Target!$B$2*100</f>
        <v>221.40779522978477</v>
      </c>
      <c r="C1048" s="74">
        <f>Comp1[[#This Row],[Comparable '#1 Price]]/'Comparable #1'!$B$2*100</f>
        <v>75.359342915811084</v>
      </c>
      <c r="D1048" s="74">
        <f>Comp2[[#This Row],[Comparable '#2 Price]]/'Comparable #2'!$B$2*100</f>
        <v>76.780684104627753</v>
      </c>
      <c r="E1048" s="74">
        <f>Comp3[[#This Row],[Comparable '#3 Price]]/'Comparable #3'!$B$2*100</f>
        <v>55.797286920911191</v>
      </c>
    </row>
    <row r="1049" spans="1:5">
      <c r="A1049" s="96">
        <v>44804</v>
      </c>
      <c r="B1049" s="74">
        <f>Target1[[#This Row],[Target Price]]/Target!$B$2*100</f>
        <v>221.87318208260615</v>
      </c>
      <c r="C1049" s="74">
        <f>Comp1[[#This Row],[Comparable '#1 Price]]/'Comparable #1'!$B$2*100</f>
        <v>75.427789185489388</v>
      </c>
      <c r="D1049" s="74">
        <f>Comp2[[#This Row],[Comparable '#2 Price]]/'Comparable #2'!$B$2*100</f>
        <v>75.835010060362166</v>
      </c>
      <c r="E1049" s="74">
        <f>Comp3[[#This Row],[Comparable '#3 Price]]/'Comparable #3'!$B$2*100</f>
        <v>55.200068253561987</v>
      </c>
    </row>
    <row r="1050" spans="1:5">
      <c r="A1050" s="96">
        <v>44805</v>
      </c>
      <c r="B1050" s="74">
        <f>Target1[[#This Row],[Target Price]]/Target!$B$2*100</f>
        <v>221.29144851657938</v>
      </c>
      <c r="C1050" s="74">
        <f>Comp1[[#This Row],[Comparable '#1 Price]]/'Comparable #1'!$B$2*100</f>
        <v>75.564681724845997</v>
      </c>
      <c r="D1050" s="74">
        <f>Comp2[[#This Row],[Comparable '#2 Price]]/'Comparable #2'!$B$2*100</f>
        <v>76.519114688128781</v>
      </c>
      <c r="E1050" s="74">
        <f>Comp3[[#This Row],[Comparable '#3 Price]]/'Comparable #3'!$B$2*100</f>
        <v>53.732616670932508</v>
      </c>
    </row>
    <row r="1051" spans="1:5">
      <c r="A1051" s="96">
        <v>44806</v>
      </c>
      <c r="B1051" s="74">
        <f>Target1[[#This Row],[Target Price]]/Target!$B$2*100</f>
        <v>221.40779522978477</v>
      </c>
      <c r="C1051" s="74">
        <f>Comp1[[#This Row],[Comparable '#1 Price]]/'Comparable #1'!$B$2*100</f>
        <v>74.811772758384663</v>
      </c>
      <c r="D1051" s="74">
        <f>Comp2[[#This Row],[Comparable '#2 Price]]/'Comparable #2'!$B$2*100</f>
        <v>74.245472837022135</v>
      </c>
      <c r="E1051" s="74">
        <f>Comp3[[#This Row],[Comparable '#3 Price]]/'Comparable #3'!$B$2*100</f>
        <v>53.399880556266531</v>
      </c>
    </row>
    <row r="1052" spans="1:5">
      <c r="A1052" s="96">
        <v>44810</v>
      </c>
      <c r="B1052" s="74">
        <f>Target1[[#This Row],[Target Price]]/Target!$B$2*100</f>
        <v>225.53810354857475</v>
      </c>
      <c r="C1052" s="74">
        <f>Comp1[[#This Row],[Comparable '#1 Price]]/'Comparable #1'!$B$2*100</f>
        <v>75.154004106776185</v>
      </c>
      <c r="D1052" s="74">
        <f>Comp2[[#This Row],[Comparable '#2 Price]]/'Comparable #2'!$B$2*100</f>
        <v>74.82897384305835</v>
      </c>
      <c r="E1052" s="74">
        <f>Comp3[[#This Row],[Comparable '#3 Price]]/'Comparable #3'!$B$2*100</f>
        <v>53.220714956061776</v>
      </c>
    </row>
    <row r="1053" spans="1:5">
      <c r="A1053" s="96">
        <v>44811</v>
      </c>
      <c r="B1053" s="74">
        <f>Target1[[#This Row],[Target Price]]/Target!$B$2*100</f>
        <v>223.5020360674811</v>
      </c>
      <c r="C1053" s="74">
        <f>Comp1[[#This Row],[Comparable '#1 Price]]/'Comparable #1'!$B$2*100</f>
        <v>75.975359342915823</v>
      </c>
      <c r="D1053" s="74">
        <f>Comp2[[#This Row],[Comparable '#2 Price]]/'Comparable #2'!$B$2*100</f>
        <v>76.398390342052309</v>
      </c>
      <c r="E1053" s="74">
        <f>Comp3[[#This Row],[Comparable '#3 Price]]/'Comparable #3'!$B$2*100</f>
        <v>53.937377356880809</v>
      </c>
    </row>
    <row r="1054" spans="1:5">
      <c r="A1054" s="96">
        <v>44812</v>
      </c>
      <c r="B1054" s="74">
        <f>Target1[[#This Row],[Target Price]]/Target!$B$2*100</f>
        <v>227.74869109947642</v>
      </c>
      <c r="C1054" s="74">
        <f>Comp1[[#This Row],[Comparable '#1 Price]]/'Comparable #1'!$B$2*100</f>
        <v>75.564681724845997</v>
      </c>
      <c r="D1054" s="74">
        <f>Comp2[[#This Row],[Comparable '#2 Price]]/'Comparable #2'!$B$2*100</f>
        <v>75.533199195171022</v>
      </c>
      <c r="E1054" s="74">
        <f>Comp3[[#This Row],[Comparable '#3 Price]]/'Comparable #3'!$B$2*100</f>
        <v>54.014162614111427</v>
      </c>
    </row>
    <row r="1055" spans="1:5">
      <c r="A1055" s="96">
        <v>44813</v>
      </c>
      <c r="B1055" s="74">
        <f>Target1[[#This Row],[Target Price]]/Target!$B$2*100</f>
        <v>228.09773123909247</v>
      </c>
      <c r="C1055" s="74">
        <f>Comp1[[#This Row],[Comparable '#1 Price]]/'Comparable #1'!$B$2*100</f>
        <v>76.317590691307331</v>
      </c>
      <c r="D1055" s="74">
        <f>Comp2[[#This Row],[Comparable '#2 Price]]/'Comparable #2'!$B$2*100</f>
        <v>75.774647887323937</v>
      </c>
      <c r="E1055" s="74">
        <f>Comp3[[#This Row],[Comparable '#3 Price]]/'Comparable #3'!$B$2*100</f>
        <v>54.935585700878761</v>
      </c>
    </row>
    <row r="1056" spans="1:5">
      <c r="A1056" s="96">
        <v>44816</v>
      </c>
      <c r="B1056" s="74">
        <f>Target1[[#This Row],[Target Price]]/Target!$B$2*100</f>
        <v>230.71553228621289</v>
      </c>
      <c r="C1056" s="74">
        <f>Comp1[[#This Row],[Comparable '#1 Price]]/'Comparable #1'!$B$2*100</f>
        <v>79.055441478439434</v>
      </c>
      <c r="D1056" s="74">
        <f>Comp2[[#This Row],[Comparable '#2 Price]]/'Comparable #2'!$B$2*100</f>
        <v>79.154929577464799</v>
      </c>
      <c r="E1056" s="74">
        <f>Comp3[[#This Row],[Comparable '#3 Price]]/'Comparable #3'!$B$2*100</f>
        <v>56.249466769047018</v>
      </c>
    </row>
    <row r="1057" spans="1:5">
      <c r="A1057" s="96">
        <v>44817</v>
      </c>
      <c r="B1057" s="74">
        <f>Target1[[#This Row],[Target Price]]/Target!$B$2*100</f>
        <v>230.19197207678883</v>
      </c>
      <c r="C1057" s="74">
        <f>Comp1[[#This Row],[Comparable '#1 Price]]/'Comparable #1'!$B$2*100</f>
        <v>78.028747433264883</v>
      </c>
      <c r="D1057" s="74">
        <f>Comp2[[#This Row],[Comparable '#2 Price]]/'Comparable #2'!$B$2*100</f>
        <v>75.99597585513078</v>
      </c>
      <c r="E1057" s="74">
        <f>Comp3[[#This Row],[Comparable '#3 Price]]/'Comparable #3'!$B$2*100</f>
        <v>54.619912976708477</v>
      </c>
    </row>
    <row r="1058" spans="1:5">
      <c r="A1058" s="96">
        <v>44818</v>
      </c>
      <c r="B1058" s="74">
        <f>Target1[[#This Row],[Target Price]]/Target!$B$2*100</f>
        <v>232.4607329842932</v>
      </c>
      <c r="C1058" s="74">
        <f>Comp1[[#This Row],[Comparable '#1 Price]]/'Comparable #1'!$B$2*100</f>
        <v>77.207392197125259</v>
      </c>
      <c r="D1058" s="74">
        <f>Comp2[[#This Row],[Comparable '#2 Price]]/'Comparable #2'!$B$2*100</f>
        <v>76.760563380281681</v>
      </c>
      <c r="E1058" s="74">
        <f>Comp3[[#This Row],[Comparable '#3 Price]]/'Comparable #3'!$B$2*100</f>
        <v>54.696698233939088</v>
      </c>
    </row>
    <row r="1059" spans="1:5">
      <c r="A1059" s="96">
        <v>44819</v>
      </c>
      <c r="B1059" s="74">
        <f>Target1[[#This Row],[Target Price]]/Target!$B$2*100</f>
        <v>231.58813263525303</v>
      </c>
      <c r="C1059" s="74">
        <f>Comp1[[#This Row],[Comparable '#1 Price]]/'Comparable #1'!$B$2*100</f>
        <v>79.192334017796043</v>
      </c>
      <c r="D1059" s="74">
        <f>Comp2[[#This Row],[Comparable '#2 Price]]/'Comparable #2'!$B$2*100</f>
        <v>77.162977867203224</v>
      </c>
      <c r="E1059" s="74">
        <f>Comp3[[#This Row],[Comparable '#3 Price]]/'Comparable #3'!$B$2*100</f>
        <v>55.60958962545859</v>
      </c>
    </row>
    <row r="1060" spans="1:5">
      <c r="A1060" s="96">
        <v>44820</v>
      </c>
      <c r="B1060" s="74">
        <f>Target1[[#This Row],[Target Price]]/Target!$B$2*100</f>
        <v>233.33333333333331</v>
      </c>
      <c r="C1060" s="74">
        <f>Comp1[[#This Row],[Comparable '#1 Price]]/'Comparable #1'!$B$2*100</f>
        <v>78.781656399726216</v>
      </c>
      <c r="D1060" s="74">
        <f>Comp2[[#This Row],[Comparable '#2 Price]]/'Comparable #2'!$B$2*100</f>
        <v>74.989939637826964</v>
      </c>
      <c r="E1060" s="74">
        <f>Comp3[[#This Row],[Comparable '#3 Price]]/'Comparable #3'!$B$2*100</f>
        <v>54.210391604811882</v>
      </c>
    </row>
    <row r="1061" spans="1:5">
      <c r="A1061" s="96">
        <v>44823</v>
      </c>
      <c r="B1061" s="74">
        <f>Target1[[#This Row],[Target Price]]/Target!$B$2*100</f>
        <v>234.67132053519489</v>
      </c>
      <c r="C1061" s="74">
        <f>Comp1[[#This Row],[Comparable '#1 Price]]/'Comparable #1'!$B$2*100</f>
        <v>79.808350444900753</v>
      </c>
      <c r="D1061" s="74">
        <f>Comp2[[#This Row],[Comparable '#2 Price]]/'Comparable #2'!$B$2*100</f>
        <v>74.808853118712264</v>
      </c>
      <c r="E1061" s="74">
        <f>Comp3[[#This Row],[Comparable '#3 Price]]/'Comparable #3'!$B$2*100</f>
        <v>54.321303643033879</v>
      </c>
    </row>
    <row r="1062" spans="1:5">
      <c r="A1062" s="96">
        <v>44824</v>
      </c>
      <c r="B1062" s="74">
        <f>Target1[[#This Row],[Target Price]]/Target!$B$2*100</f>
        <v>239.49970913321698</v>
      </c>
      <c r="C1062" s="74">
        <f>Comp1[[#This Row],[Comparable '#1 Price]]/'Comparable #1'!$B$2*100</f>
        <v>81.656399726214929</v>
      </c>
      <c r="D1062" s="74">
        <f>Comp2[[#This Row],[Comparable '#2 Price]]/'Comparable #2'!$B$2*100</f>
        <v>74.90945674044265</v>
      </c>
      <c r="E1062" s="74">
        <f>Comp3[[#This Row],[Comparable '#3 Price]]/'Comparable #3'!$B$2*100</f>
        <v>54.176264823820496</v>
      </c>
    </row>
    <row r="1063" spans="1:5">
      <c r="A1063" s="96">
        <v>44825</v>
      </c>
      <c r="B1063" s="74">
        <f>Target1[[#This Row],[Target Price]]/Target!$B$2*100</f>
        <v>238.80162885398482</v>
      </c>
      <c r="C1063" s="74">
        <f>Comp1[[#This Row],[Comparable '#1 Price]]/'Comparable #1'!$B$2*100</f>
        <v>81.177275838466798</v>
      </c>
      <c r="D1063" s="74">
        <f>Comp2[[#This Row],[Comparable '#2 Price]]/'Comparable #2'!$B$2*100</f>
        <v>74.185110663983892</v>
      </c>
      <c r="E1063" s="74">
        <f>Comp3[[#This Row],[Comparable '#3 Price]]/'Comparable #3'!$B$2*100</f>
        <v>53.834997013906673</v>
      </c>
    </row>
    <row r="1064" spans="1:5">
      <c r="A1064" s="96">
        <v>44826</v>
      </c>
      <c r="B1064" s="74">
        <f>Target1[[#This Row],[Target Price]]/Target!$B$2*100</f>
        <v>236.94008144269924</v>
      </c>
      <c r="C1064" s="74">
        <f>Comp1[[#This Row],[Comparable '#1 Price]]/'Comparable #1'!$B$2*100</f>
        <v>79.055441478439434</v>
      </c>
      <c r="D1064" s="74">
        <f>Comp2[[#This Row],[Comparable '#2 Price]]/'Comparable #2'!$B$2*100</f>
        <v>72.354124748490946</v>
      </c>
      <c r="E1064" s="74">
        <f>Comp3[[#This Row],[Comparable '#3 Price]]/'Comparable #3'!$B$2*100</f>
        <v>53.075676136848394</v>
      </c>
    </row>
    <row r="1065" spans="1:5">
      <c r="A1065" s="96">
        <v>44827</v>
      </c>
      <c r="B1065" s="74">
        <f>Target1[[#This Row],[Target Price]]/Target!$B$2*100</f>
        <v>238.56893542757413</v>
      </c>
      <c r="C1065" s="74">
        <f>Comp1[[#This Row],[Comparable '#1 Price]]/'Comparable #1'!$B$2*100</f>
        <v>77.207392197125259</v>
      </c>
      <c r="D1065" s="74">
        <f>Comp2[[#This Row],[Comparable '#2 Price]]/'Comparable #2'!$B$2*100</f>
        <v>71.368209255533188</v>
      </c>
      <c r="E1065" s="74">
        <f>Comp3[[#This Row],[Comparable '#3 Price]]/'Comparable #3'!$B$2*100</f>
        <v>53.143929698831158</v>
      </c>
    </row>
    <row r="1066" spans="1:5">
      <c r="A1066" s="96">
        <v>44830</v>
      </c>
      <c r="B1066" s="74">
        <f>Target1[[#This Row],[Target Price]]/Target!$B$2*100</f>
        <v>237.17277486910996</v>
      </c>
      <c r="C1066" s="74">
        <f>Comp1[[#This Row],[Comparable '#1 Price]]/'Comparable #1'!$B$2*100</f>
        <v>75.290896646132794</v>
      </c>
      <c r="D1066" s="74">
        <f>Comp2[[#This Row],[Comparable '#2 Price]]/'Comparable #2'!$B$2*100</f>
        <v>71.086519114688116</v>
      </c>
      <c r="E1066" s="74">
        <f>Comp3[[#This Row],[Comparable '#3 Price]]/'Comparable #3'!$B$2*100</f>
        <v>52.359013736029347</v>
      </c>
    </row>
    <row r="1067" spans="1:5">
      <c r="A1067" s="96">
        <v>44831</v>
      </c>
      <c r="B1067" s="74">
        <f>Target1[[#This Row],[Target Price]]/Target!$B$2*100</f>
        <v>242.40837696335075</v>
      </c>
      <c r="C1067" s="74">
        <f>Comp1[[#This Row],[Comparable '#1 Price]]/'Comparable #1'!$B$2*100</f>
        <v>68.583162217659137</v>
      </c>
      <c r="D1067" s="74">
        <f>Comp2[[#This Row],[Comparable '#2 Price]]/'Comparable #2'!$B$2*100</f>
        <v>71.368209255533188</v>
      </c>
      <c r="E1067" s="74">
        <f>Comp3[[#This Row],[Comparable '#3 Price]]/'Comparable #3'!$B$2*100</f>
        <v>52.794130193669488</v>
      </c>
    </row>
    <row r="1068" spans="1:5">
      <c r="A1068" s="96">
        <v>44832</v>
      </c>
      <c r="B1068" s="74">
        <f>Target1[[#This Row],[Target Price]]/Target!$B$2*100</f>
        <v>247.23676556137289</v>
      </c>
      <c r="C1068" s="74">
        <f>Comp1[[#This Row],[Comparable '#1 Price]]/'Comparable #1'!$B$2*100</f>
        <v>71.389459274469544</v>
      </c>
      <c r="D1068" s="74">
        <f>Comp2[[#This Row],[Comparable '#2 Price]]/'Comparable #2'!$B$2*100</f>
        <v>75.694164989939623</v>
      </c>
      <c r="E1068" s="74">
        <f>Comp3[[#This Row],[Comparable '#3 Price]]/'Comparable #3'!$B$2*100</f>
        <v>54.355430424025251</v>
      </c>
    </row>
    <row r="1069" spans="1:5">
      <c r="A1069" s="96">
        <v>44833</v>
      </c>
      <c r="B1069" s="74">
        <f>Target1[[#This Row],[Target Price]]/Target!$B$2*100</f>
        <v>246.48051192553808</v>
      </c>
      <c r="C1069" s="74">
        <f>Comp1[[#This Row],[Comparable '#1 Price]]/'Comparable #1'!$B$2*100</f>
        <v>72.689938398357285</v>
      </c>
      <c r="D1069" s="74">
        <f>Comp2[[#This Row],[Comparable '#2 Price]]/'Comparable #2'!$B$2*100</f>
        <v>74.486921529175049</v>
      </c>
      <c r="E1069" s="74">
        <f>Comp3[[#This Row],[Comparable '#3 Price]]/'Comparable #3'!$B$2*100</f>
        <v>53.647299718454065</v>
      </c>
    </row>
    <row r="1070" spans="1:5">
      <c r="A1070" s="96">
        <v>44834</v>
      </c>
      <c r="B1070" s="74">
        <f>Target1[[#This Row],[Target Price]]/Target!$B$2*100</f>
        <v>244.50261780104711</v>
      </c>
      <c r="C1070" s="74">
        <f>Comp1[[#This Row],[Comparable '#1 Price]]/'Comparable #1'!$B$2*100</f>
        <v>72.210814510609183</v>
      </c>
      <c r="D1070" s="74">
        <f>Comp2[[#This Row],[Comparable '#2 Price]]/'Comparable #2'!$B$2*100</f>
        <v>73.34004024144869</v>
      </c>
      <c r="E1070" s="74">
        <f>Comp3[[#This Row],[Comparable '#3 Price]]/'Comparable #3'!$B$2*100</f>
        <v>52.393140517020733</v>
      </c>
    </row>
    <row r="1071" spans="1:5">
      <c r="A1071" s="96">
        <v>44837</v>
      </c>
      <c r="B1071" s="74">
        <f>Target1[[#This Row],[Target Price]]/Target!$B$2*100</f>
        <v>239.848749272833</v>
      </c>
      <c r="C1071" s="74">
        <f>Comp1[[#This Row],[Comparable '#1 Price]]/'Comparable #1'!$B$2*100</f>
        <v>72.210814510609183</v>
      </c>
      <c r="D1071" s="74">
        <f>Comp2[[#This Row],[Comparable '#2 Price]]/'Comparable #2'!$B$2*100</f>
        <v>73.199195171026162</v>
      </c>
      <c r="E1071" s="74">
        <f>Comp3[[#This Row],[Comparable '#3 Price]]/'Comparable #3'!$B$2*100</f>
        <v>52.777066803173788</v>
      </c>
    </row>
    <row r="1072" spans="1:5">
      <c r="A1072" s="96">
        <v>44838</v>
      </c>
      <c r="B1072" s="74">
        <f>Target1[[#This Row],[Target Price]]/Target!$B$2*100</f>
        <v>254.45026178010471</v>
      </c>
      <c r="C1072" s="74">
        <f>Comp1[[#This Row],[Comparable '#1 Price]]/'Comparable #1'!$B$2*100</f>
        <v>75.359342915811084</v>
      </c>
      <c r="D1072" s="74">
        <f>Comp2[[#This Row],[Comparable '#2 Price]]/'Comparable #2'!$B$2*100</f>
        <v>75.955734406438623</v>
      </c>
      <c r="E1072" s="74">
        <f>Comp3[[#This Row],[Comparable '#3 Price]]/'Comparable #3'!$B$2*100</f>
        <v>53.766743451923901</v>
      </c>
    </row>
    <row r="1073" spans="1:5">
      <c r="A1073" s="96">
        <v>44839</v>
      </c>
      <c r="B1073" s="74">
        <f>Target1[[#This Row],[Target Price]]/Target!$B$2*100</f>
        <v>254.74112856311808</v>
      </c>
      <c r="C1073" s="74">
        <f>Comp1[[#This Row],[Comparable '#1 Price]]/'Comparable #1'!$B$2*100</f>
        <v>75.633127994524301</v>
      </c>
      <c r="D1073" s="74">
        <f>Comp2[[#This Row],[Comparable '#2 Price]]/'Comparable #2'!$B$2*100</f>
        <v>74.768611670020107</v>
      </c>
      <c r="E1073" s="74">
        <f>Comp3[[#This Row],[Comparable '#3 Price]]/'Comparable #3'!$B$2*100</f>
        <v>53.08420783209624</v>
      </c>
    </row>
    <row r="1074" spans="1:5">
      <c r="A1074" s="96">
        <v>44840</v>
      </c>
      <c r="B1074" s="74">
        <f>Target1[[#This Row],[Target Price]]/Target!$B$2*100</f>
        <v>260.3839441535776</v>
      </c>
      <c r="C1074" s="74">
        <f>Comp1[[#This Row],[Comparable '#1 Price]]/'Comparable #1'!$B$2*100</f>
        <v>77.686516084873375</v>
      </c>
      <c r="D1074" s="74">
        <f>Comp2[[#This Row],[Comparable '#2 Price]]/'Comparable #2'!$B$2*100</f>
        <v>75.412474849094551</v>
      </c>
      <c r="E1074" s="74">
        <f>Comp3[[#This Row],[Comparable '#3 Price]]/'Comparable #3'!$B$2*100</f>
        <v>53.451070727753603</v>
      </c>
    </row>
    <row r="1075" spans="1:5">
      <c r="A1075" s="96">
        <v>44841</v>
      </c>
      <c r="B1075" s="74">
        <f>Target1[[#This Row],[Target Price]]/Target!$B$2*100</f>
        <v>254.85747527632344</v>
      </c>
      <c r="C1075" s="74">
        <f>Comp1[[#This Row],[Comparable '#1 Price]]/'Comparable #1'!$B$2*100</f>
        <v>72.55304585900069</v>
      </c>
      <c r="D1075" s="74">
        <f>Comp2[[#This Row],[Comparable '#2 Price]]/'Comparable #2'!$B$2*100</f>
        <v>73.92354124748492</v>
      </c>
      <c r="E1075" s="74">
        <f>Comp3[[#This Row],[Comparable '#3 Price]]/'Comparable #3'!$B$2*100</f>
        <v>52.299291869294429</v>
      </c>
    </row>
    <row r="1076" spans="1:5">
      <c r="A1076" s="96">
        <v>44844</v>
      </c>
      <c r="B1076" s="74">
        <f>Target1[[#This Row],[Target Price]]/Target!$B$2*100</f>
        <v>257.64979639325185</v>
      </c>
      <c r="C1076" s="74">
        <f>Comp1[[#This Row],[Comparable '#1 Price]]/'Comparable #1'!$B$2*100</f>
        <v>73.237508555783705</v>
      </c>
      <c r="D1076" s="74">
        <f>Comp2[[#This Row],[Comparable '#2 Price]]/'Comparable #2'!$B$2*100</f>
        <v>75.110663983903407</v>
      </c>
      <c r="E1076" s="74">
        <f>Comp3[[#This Row],[Comparable '#3 Price]]/'Comparable #3'!$B$2*100</f>
        <v>52.25663339305521</v>
      </c>
    </row>
    <row r="1077" spans="1:5">
      <c r="A1077" s="96">
        <v>44845</v>
      </c>
      <c r="B1077" s="74">
        <f>Target1[[#This Row],[Target Price]]/Target!$B$2*100</f>
        <v>257.47527632344384</v>
      </c>
      <c r="C1077" s="74">
        <f>Comp1[[#This Row],[Comparable '#1 Price]]/'Comparable #1'!$B$2*100</f>
        <v>72.416153319644081</v>
      </c>
      <c r="D1077" s="74">
        <f>Comp2[[#This Row],[Comparable '#2 Price]]/'Comparable #2'!$B$2*100</f>
        <v>75.150905432595579</v>
      </c>
      <c r="E1077" s="74">
        <f>Comp3[[#This Row],[Comparable '#3 Price]]/'Comparable #3'!$B$2*100</f>
        <v>53.118334613087626</v>
      </c>
    </row>
    <row r="1078" spans="1:5">
      <c r="A1078" s="96">
        <v>44846</v>
      </c>
      <c r="B1078" s="74">
        <f>Target1[[#This Row],[Target Price]]/Target!$B$2*100</f>
        <v>262.71087841768468</v>
      </c>
      <c r="C1078" s="74">
        <f>Comp1[[#This Row],[Comparable '#1 Price]]/'Comparable #1'!$B$2*100</f>
        <v>74.058863791923343</v>
      </c>
      <c r="D1078" s="74">
        <f>Comp2[[#This Row],[Comparable '#2 Price]]/'Comparable #2'!$B$2*100</f>
        <v>76.861167002012081</v>
      </c>
      <c r="E1078" s="74">
        <f>Comp3[[#This Row],[Comparable '#3 Price]]/'Comparable #3'!$B$2*100</f>
        <v>54.022694309359274</v>
      </c>
    </row>
    <row r="1079" spans="1:5">
      <c r="A1079" s="96">
        <v>44847</v>
      </c>
      <c r="B1079" s="74">
        <f>Target1[[#This Row],[Target Price]]/Target!$B$2*100</f>
        <v>263.00174520069805</v>
      </c>
      <c r="C1079" s="74">
        <f>Comp1[[#This Row],[Comparable '#1 Price]]/'Comparable #1'!$B$2*100</f>
        <v>74.332648870636547</v>
      </c>
      <c r="D1079" s="74">
        <f>Comp2[[#This Row],[Comparable '#2 Price]]/'Comparable #2'!$B$2*100</f>
        <v>76.438631790744466</v>
      </c>
      <c r="E1079" s="74">
        <f>Comp3[[#This Row],[Comparable '#3 Price]]/'Comparable #3'!$B$2*100</f>
        <v>54.483405852742941</v>
      </c>
    </row>
    <row r="1080" spans="1:5">
      <c r="A1080" s="96">
        <v>44848</v>
      </c>
      <c r="B1080" s="74">
        <f>Target1[[#This Row],[Target Price]]/Target!$B$2*100</f>
        <v>259.27865037812683</v>
      </c>
      <c r="C1080" s="74">
        <f>Comp1[[#This Row],[Comparable '#1 Price]]/'Comparable #1'!$B$2*100</f>
        <v>71.184120465434646</v>
      </c>
      <c r="D1080" s="74">
        <f>Comp2[[#This Row],[Comparable '#2 Price]]/'Comparable #2'!$B$2*100</f>
        <v>73.07847082494969</v>
      </c>
      <c r="E1080" s="74">
        <f>Comp3[[#This Row],[Comparable '#3 Price]]/'Comparable #3'!$B$2*100</f>
        <v>53.621704632710518</v>
      </c>
    </row>
    <row r="1081" spans="1:5">
      <c r="A1081" s="96">
        <v>44851</v>
      </c>
      <c r="B1081" s="74">
        <f>Target1[[#This Row],[Target Price]]/Target!$B$2*100</f>
        <v>264.80511925538104</v>
      </c>
      <c r="C1081" s="74">
        <f>Comp1[[#This Row],[Comparable '#1 Price]]/'Comparable #1'!$B$2*100</f>
        <v>73.85352498288843</v>
      </c>
      <c r="D1081" s="74">
        <f>Comp2[[#This Row],[Comparable '#2 Price]]/'Comparable #2'!$B$2*100</f>
        <v>74.889336016096578</v>
      </c>
      <c r="E1081" s="74">
        <f>Comp3[[#This Row],[Comparable '#3 Price]]/'Comparable #3'!$B$2*100</f>
        <v>54.671103148195542</v>
      </c>
    </row>
    <row r="1082" spans="1:5">
      <c r="A1082" s="96">
        <v>44852</v>
      </c>
      <c r="B1082" s="74">
        <f>Target1[[#This Row],[Target Price]]/Target!$B$2*100</f>
        <v>268.41186736474691</v>
      </c>
      <c r="C1082" s="74">
        <f>Comp1[[#This Row],[Comparable '#1 Price]]/'Comparable #1'!$B$2*100</f>
        <v>75.08555783709788</v>
      </c>
      <c r="D1082" s="74">
        <f>Comp2[[#This Row],[Comparable '#2 Price]]/'Comparable #2'!$B$2*100</f>
        <v>77.786720321931583</v>
      </c>
      <c r="E1082" s="74">
        <f>Comp3[[#This Row],[Comparable '#3 Price]]/'Comparable #3'!$B$2*100</f>
        <v>55.669311492193508</v>
      </c>
    </row>
    <row r="1083" spans="1:5">
      <c r="A1083" s="96">
        <v>44853</v>
      </c>
      <c r="B1083" s="74">
        <f>Target1[[#This Row],[Target Price]]/Target!$B$2*100</f>
        <v>270.38976148923786</v>
      </c>
      <c r="C1083" s="74">
        <f>Comp1[[#This Row],[Comparable '#1 Price]]/'Comparable #1'!$B$2*100</f>
        <v>73.990417522245039</v>
      </c>
      <c r="D1083" s="74">
        <f>Comp2[[#This Row],[Comparable '#2 Price]]/'Comparable #2'!$B$2*100</f>
        <v>76.277665995975838</v>
      </c>
      <c r="E1083" s="74">
        <f>Comp3[[#This Row],[Comparable '#3 Price]]/'Comparable #3'!$B$2*100</f>
        <v>54.961180786622307</v>
      </c>
    </row>
    <row r="1084" spans="1:5">
      <c r="A1084" s="96">
        <v>44854</v>
      </c>
      <c r="B1084" s="74">
        <f>Target1[[#This Row],[Target Price]]/Target!$B$2*100</f>
        <v>270.09889470622454</v>
      </c>
      <c r="C1084" s="74">
        <f>Comp1[[#This Row],[Comparable '#1 Price]]/'Comparable #1'!$B$2*100</f>
        <v>73.442847364818618</v>
      </c>
      <c r="D1084" s="74">
        <f>Comp2[[#This Row],[Comparable '#2 Price]]/'Comparable #2'!$B$2*100</f>
        <v>76.217303822937637</v>
      </c>
      <c r="E1084" s="74">
        <f>Comp3[[#This Row],[Comparable '#3 Price]]/'Comparable #3'!$B$2*100</f>
        <v>54.551659414725705</v>
      </c>
    </row>
    <row r="1085" spans="1:5">
      <c r="A1085" s="96">
        <v>44855</v>
      </c>
      <c r="B1085" s="74">
        <f>Target1[[#This Row],[Target Price]]/Target!$B$2*100</f>
        <v>270.85514834205935</v>
      </c>
      <c r="C1085" s="74">
        <f>Comp1[[#This Row],[Comparable '#1 Price]]/'Comparable #1'!$B$2*100</f>
        <v>74.880219028062967</v>
      </c>
      <c r="D1085" s="74">
        <f>Comp2[[#This Row],[Comparable '#2 Price]]/'Comparable #2'!$B$2*100</f>
        <v>76.74044265593561</v>
      </c>
      <c r="E1085" s="74">
        <f>Comp3[[#This Row],[Comparable '#3 Price]]/'Comparable #3'!$B$2*100</f>
        <v>54.892927224639543</v>
      </c>
    </row>
    <row r="1086" spans="1:5">
      <c r="A1086" s="96">
        <v>44858</v>
      </c>
      <c r="B1086" s="74">
        <f>Target1[[#This Row],[Target Price]]/Target!$B$2*100</f>
        <v>269.51716114019774</v>
      </c>
      <c r="C1086" s="74">
        <f>Comp1[[#This Row],[Comparable '#1 Price]]/'Comparable #1'!$B$2*100</f>
        <v>75.290896646132794</v>
      </c>
      <c r="D1086" s="74">
        <f>Comp2[[#This Row],[Comparable '#2 Price]]/'Comparable #2'!$B$2*100</f>
        <v>77.645875251509054</v>
      </c>
      <c r="E1086" s="74">
        <f>Comp3[[#This Row],[Comparable '#3 Price]]/'Comparable #3'!$B$2*100</f>
        <v>55.353638768023202</v>
      </c>
    </row>
    <row r="1087" spans="1:5">
      <c r="A1087" s="96">
        <v>44859</v>
      </c>
      <c r="B1087" s="74">
        <f>Target1[[#This Row],[Target Price]]/Target!$B$2*100</f>
        <v>270.56428155904592</v>
      </c>
      <c r="C1087" s="74">
        <f>Comp1[[#This Row],[Comparable '#1 Price]]/'Comparable #1'!$B$2*100</f>
        <v>84.1204654346338</v>
      </c>
      <c r="D1087" s="74">
        <f>Comp2[[#This Row],[Comparable '#2 Price]]/'Comparable #2'!$B$2*100</f>
        <v>82.354124748490946</v>
      </c>
      <c r="E1087" s="74">
        <f>Comp3[[#This Row],[Comparable '#3 Price]]/'Comparable #3'!$B$2*100</f>
        <v>56.974660865113904</v>
      </c>
    </row>
    <row r="1088" spans="1:5">
      <c r="A1088" s="96">
        <v>44860</v>
      </c>
      <c r="B1088" s="74">
        <f>Target1[[#This Row],[Target Price]]/Target!$B$2*100</f>
        <v>191.15764979639323</v>
      </c>
      <c r="C1088" s="74">
        <f>Comp1[[#This Row],[Comparable '#1 Price]]/'Comparable #1'!$B$2*100</f>
        <v>85.557837097878163</v>
      </c>
      <c r="D1088" s="74">
        <f>Comp2[[#This Row],[Comparable '#2 Price]]/'Comparable #2'!$B$2*100</f>
        <v>81.428571428571416</v>
      </c>
      <c r="E1088" s="74">
        <f>Comp3[[#This Row],[Comparable '#3 Price]]/'Comparable #3'!$B$2*100</f>
        <v>56.66751983619146</v>
      </c>
    </row>
    <row r="1089" spans="1:5">
      <c r="A1089" s="96">
        <v>44861</v>
      </c>
      <c r="B1089" s="74">
        <f>Target1[[#This Row],[Target Price]]/Target!$B$2*100</f>
        <v>189.17975567190229</v>
      </c>
      <c r="C1089" s="74">
        <f>Comp1[[#This Row],[Comparable '#1 Price]]/'Comparable #1'!$B$2*100</f>
        <v>87.26899383983573</v>
      </c>
      <c r="D1089" s="74">
        <f>Comp2[[#This Row],[Comparable '#2 Price]]/'Comparable #2'!$B$2*100</f>
        <v>81.609657947686117</v>
      </c>
      <c r="E1089" s="74">
        <f>Comp3[[#This Row],[Comparable '#3 Price]]/'Comparable #3'!$B$2*100</f>
        <v>56.658988140943599</v>
      </c>
    </row>
    <row r="1090" spans="1:5">
      <c r="A1090" s="96">
        <v>44862</v>
      </c>
      <c r="B1090" s="74">
        <f>Target1[[#This Row],[Target Price]]/Target!$B$2*100</f>
        <v>192.90285049447348</v>
      </c>
      <c r="C1090" s="74">
        <f>Comp1[[#This Row],[Comparable '#1 Price]]/'Comparable #1'!$B$2*100</f>
        <v>87.474332648870629</v>
      </c>
      <c r="D1090" s="74">
        <f>Comp2[[#This Row],[Comparable '#2 Price]]/'Comparable #2'!$B$2*100</f>
        <v>84.124748490945677</v>
      </c>
      <c r="E1090" s="74">
        <f>Comp3[[#This Row],[Comparable '#3 Price]]/'Comparable #3'!$B$2*100</f>
        <v>59.636549782441783</v>
      </c>
    </row>
    <row r="1091" spans="1:5">
      <c r="A1091" s="96">
        <v>44865</v>
      </c>
      <c r="B1091" s="74">
        <f>Target1[[#This Row],[Target Price]]/Target!$B$2*100</f>
        <v>194.93891797556716</v>
      </c>
      <c r="C1091" s="74">
        <f>Comp1[[#This Row],[Comparable '#1 Price]]/'Comparable #1'!$B$2*100</f>
        <v>86.51608487337441</v>
      </c>
      <c r="D1091" s="74">
        <f>Comp2[[#This Row],[Comparable '#2 Price]]/'Comparable #2'!$B$2*100</f>
        <v>83.903420523138834</v>
      </c>
      <c r="E1091" s="74">
        <f>Comp3[[#This Row],[Comparable '#3 Price]]/'Comparable #3'!$B$2*100</f>
        <v>58.868697210135657</v>
      </c>
    </row>
    <row r="1092" spans="1:5">
      <c r="A1092" s="96">
        <v>44866</v>
      </c>
      <c r="B1092" s="74">
        <f>Target1[[#This Row],[Target Price]]/Target!$B$2*100</f>
        <v>197.3240255962769</v>
      </c>
      <c r="C1092" s="74">
        <f>Comp1[[#This Row],[Comparable '#1 Price]]/'Comparable #1'!$B$2*100</f>
        <v>86.584531143052715</v>
      </c>
      <c r="D1092" s="74">
        <f>Comp2[[#This Row],[Comparable '#2 Price]]/'Comparable #2'!$B$2*100</f>
        <v>83.822937625754506</v>
      </c>
      <c r="E1092" s="74">
        <f>Comp3[[#This Row],[Comparable '#3 Price]]/'Comparable #3'!$B$2*100</f>
        <v>58.64687313369167</v>
      </c>
    </row>
    <row r="1093" spans="1:5">
      <c r="A1093" s="96">
        <v>44867</v>
      </c>
      <c r="B1093" s="74">
        <f>Target1[[#This Row],[Target Price]]/Target!$B$2*100</f>
        <v>196.16055846422336</v>
      </c>
      <c r="C1093" s="74">
        <f>Comp1[[#This Row],[Comparable '#1 Price]]/'Comparable #1'!$B$2*100</f>
        <v>81.861738535249842</v>
      </c>
      <c r="D1093" s="74">
        <f>Comp2[[#This Row],[Comparable '#2 Price]]/'Comparable #2'!$B$2*100</f>
        <v>83.07847082494969</v>
      </c>
      <c r="E1093" s="74">
        <f>Comp3[[#This Row],[Comparable '#3 Price]]/'Comparable #3'!$B$2*100</f>
        <v>57.452435798993264</v>
      </c>
    </row>
    <row r="1094" spans="1:5">
      <c r="A1094" s="96">
        <v>44868</v>
      </c>
      <c r="B1094" s="74">
        <f>Target1[[#This Row],[Target Price]]/Target!$B$2*100</f>
        <v>198.42931937172773</v>
      </c>
      <c r="C1094" s="74">
        <f>Comp1[[#This Row],[Comparable '#1 Price]]/'Comparable #1'!$B$2*100</f>
        <v>85.523613963039011</v>
      </c>
      <c r="D1094" s="74">
        <f>Comp2[[#This Row],[Comparable '#2 Price]]/'Comparable #2'!$B$2*100</f>
        <v>84.225352112676049</v>
      </c>
      <c r="E1094" s="74">
        <f>Comp3[[#This Row],[Comparable '#3 Price]]/'Comparable #3'!$B$2*100</f>
        <v>62.554389557205013</v>
      </c>
    </row>
    <row r="1095" spans="1:5">
      <c r="A1095" s="96">
        <v>44869</v>
      </c>
      <c r="B1095" s="74">
        <f>Target1[[#This Row],[Target Price]]/Target!$B$2*100</f>
        <v>197.84758580570096</v>
      </c>
      <c r="C1095" s="74">
        <f>Comp1[[#This Row],[Comparable '#1 Price]]/'Comparable #1'!$B$2*100</f>
        <v>83.641341546885712</v>
      </c>
      <c r="D1095" s="74">
        <f>Comp2[[#This Row],[Comparable '#2 Price]]/'Comparable #2'!$B$2*100</f>
        <v>85.050301810865193</v>
      </c>
      <c r="E1095" s="74">
        <f>Comp3[[#This Row],[Comparable '#3 Price]]/'Comparable #3'!$B$2*100</f>
        <v>64.277791997269858</v>
      </c>
    </row>
    <row r="1096" spans="1:5">
      <c r="A1096" s="96">
        <v>44872</v>
      </c>
      <c r="B1096" s="74">
        <f>Target1[[#This Row],[Target Price]]/Target!$B$2*100</f>
        <v>200.46538685282141</v>
      </c>
      <c r="C1096" s="74">
        <f>Comp1[[#This Row],[Comparable '#1 Price]]/'Comparable #1'!$B$2*100</f>
        <v>83.504449007529089</v>
      </c>
      <c r="D1096" s="74">
        <f>Comp2[[#This Row],[Comparable '#2 Price]]/'Comparable #2'!$B$2*100</f>
        <v>86.519114688128766</v>
      </c>
      <c r="E1096" s="74">
        <f>Comp3[[#This Row],[Comparable '#3 Price]]/'Comparable #3'!$B$2*100</f>
        <v>66.58988140943606</v>
      </c>
    </row>
    <row r="1097" spans="1:5">
      <c r="A1097" s="96">
        <v>44873</v>
      </c>
      <c r="B1097" s="74">
        <f>Target1[[#This Row],[Target Price]]/Target!$B$2*100</f>
        <v>197.78941244909828</v>
      </c>
      <c r="C1097" s="74">
        <f>Comp1[[#This Row],[Comparable '#1 Price]]/'Comparable #1'!$B$2*100</f>
        <v>80.766598220397</v>
      </c>
      <c r="D1097" s="74">
        <f>Comp2[[#This Row],[Comparable '#2 Price]]/'Comparable #2'!$B$2*100</f>
        <v>88.772635814889327</v>
      </c>
      <c r="E1097" s="74">
        <f>Comp3[[#This Row],[Comparable '#3 Price]]/'Comparable #3'!$B$2*100</f>
        <v>67.263885334015868</v>
      </c>
    </row>
    <row r="1098" spans="1:5">
      <c r="A1098" s="96">
        <v>44874</v>
      </c>
      <c r="B1098" s="74">
        <f>Target1[[#This Row],[Target Price]]/Target!$B$2*100</f>
        <v>193.83362420011633</v>
      </c>
      <c r="C1098" s="74">
        <f>Comp1[[#This Row],[Comparable '#1 Price]]/'Comparable #1'!$B$2*100</f>
        <v>83.504449007529089</v>
      </c>
      <c r="D1098" s="74">
        <f>Comp2[[#This Row],[Comparable '#2 Price]]/'Comparable #2'!$B$2*100</f>
        <v>85.895372233400394</v>
      </c>
      <c r="E1098" s="74">
        <f>Comp3[[#This Row],[Comparable '#3 Price]]/'Comparable #3'!$B$2*100</f>
        <v>67.024997867076195</v>
      </c>
    </row>
    <row r="1099" spans="1:5">
      <c r="A1099" s="96">
        <v>44875</v>
      </c>
      <c r="B1099" s="74">
        <f>Target1[[#This Row],[Target Price]]/Target!$B$2*100</f>
        <v>199.65095986038392</v>
      </c>
      <c r="C1099" s="74">
        <f>Comp1[[#This Row],[Comparable '#1 Price]]/'Comparable #1'!$B$2*100</f>
        <v>84.257357973990423</v>
      </c>
      <c r="D1099" s="74">
        <f>Comp2[[#This Row],[Comparable '#2 Price]]/'Comparable #2'!$B$2*100</f>
        <v>86.338028169014066</v>
      </c>
      <c r="E1099" s="74">
        <f>Comp3[[#This Row],[Comparable '#3 Price]]/'Comparable #3'!$B$2*100</f>
        <v>67.519836191451247</v>
      </c>
    </row>
    <row r="1100" spans="1:5">
      <c r="A1100" s="96">
        <v>44876</v>
      </c>
      <c r="B1100" s="74">
        <f>Target1[[#This Row],[Target Price]]/Target!$B$2*100</f>
        <v>197.78941244909828</v>
      </c>
      <c r="C1100" s="74">
        <f>Comp1[[#This Row],[Comparable '#1 Price]]/'Comparable #1'!$B$2*100</f>
        <v>82.546201232032857</v>
      </c>
      <c r="D1100" s="74">
        <f>Comp2[[#This Row],[Comparable '#2 Price]]/'Comparable #2'!$B$2*100</f>
        <v>81.589537223340031</v>
      </c>
      <c r="E1100" s="74">
        <f>Comp3[[#This Row],[Comparable '#3 Price]]/'Comparable #3'!$B$2*100</f>
        <v>66.845832266871426</v>
      </c>
    </row>
    <row r="1101" spans="1:5">
      <c r="A1101" s="96">
        <v>44879</v>
      </c>
      <c r="B1101" s="74">
        <f>Target1[[#This Row],[Target Price]]/Target!$B$2*100</f>
        <v>203.89761489237927</v>
      </c>
      <c r="C1101" s="74">
        <f>Comp1[[#This Row],[Comparable '#1 Price]]/'Comparable #1'!$B$2*100</f>
        <v>82.888432580424364</v>
      </c>
      <c r="D1101" s="74">
        <f>Comp2[[#This Row],[Comparable '#2 Price]]/'Comparable #2'!$B$2*100</f>
        <v>79.919517102615686</v>
      </c>
      <c r="E1101" s="74">
        <f>Comp3[[#This Row],[Comparable '#3 Price]]/'Comparable #3'!$B$2*100</f>
        <v>66.265676990017923</v>
      </c>
    </row>
    <row r="1102" spans="1:5">
      <c r="A1102" s="96">
        <v>44880</v>
      </c>
      <c r="B1102" s="74">
        <f>Target1[[#This Row],[Target Price]]/Target!$B$2*100</f>
        <v>208.20244328097729</v>
      </c>
      <c r="C1102" s="74">
        <f>Comp1[[#This Row],[Comparable '#1 Price]]/'Comparable #1'!$B$2*100</f>
        <v>83.162217659137582</v>
      </c>
      <c r="D1102" s="74">
        <f>Comp2[[#This Row],[Comparable '#2 Price]]/'Comparable #2'!$B$2*100</f>
        <v>79.939637826961757</v>
      </c>
      <c r="E1102" s="74">
        <f>Comp3[[#This Row],[Comparable '#3 Price]]/'Comparable #3'!$B$2*100</f>
        <v>67.477177715212022</v>
      </c>
    </row>
    <row r="1103" spans="1:5">
      <c r="A1103" s="96">
        <v>44881</v>
      </c>
      <c r="B1103" s="74">
        <f>Target1[[#This Row],[Target Price]]/Target!$B$2*100</f>
        <v>204.24665503199532</v>
      </c>
      <c r="C1103" s="74">
        <f>Comp1[[#This Row],[Comparable '#1 Price]]/'Comparable #1'!$B$2*100</f>
        <v>73.785078713210126</v>
      </c>
      <c r="D1103" s="74">
        <f>Comp2[[#This Row],[Comparable '#2 Price]]/'Comparable #2'!$B$2*100</f>
        <v>82.193158953722332</v>
      </c>
      <c r="E1103" s="74">
        <f>Comp3[[#This Row],[Comparable '#3 Price]]/'Comparable #3'!$B$2*100</f>
        <v>67.801382134630146</v>
      </c>
    </row>
    <row r="1104" spans="1:5">
      <c r="A1104" s="96">
        <v>44882</v>
      </c>
      <c r="B1104" s="74">
        <f>Target1[[#This Row],[Target Price]]/Target!$B$2*100</f>
        <v>204.65386852821408</v>
      </c>
      <c r="C1104" s="74">
        <f>Comp1[[#This Row],[Comparable '#1 Price]]/'Comparable #1'!$B$2*100</f>
        <v>68.78850102669405</v>
      </c>
      <c r="D1104" s="74">
        <f>Comp2[[#This Row],[Comparable '#2 Price]]/'Comparable #2'!$B$2*100</f>
        <v>81.549295774647888</v>
      </c>
      <c r="E1104" s="74">
        <f>Comp3[[#This Row],[Comparable '#3 Price]]/'Comparable #3'!$B$2*100</f>
        <v>67.954952649091382</v>
      </c>
    </row>
    <row r="1105" spans="1:5">
      <c r="A1105" s="96">
        <v>44883</v>
      </c>
      <c r="B1105" s="74">
        <f>Target1[[#This Row],[Target Price]]/Target!$B$2*100</f>
        <v>207.38801628853986</v>
      </c>
      <c r="C1105" s="74">
        <f>Comp1[[#This Row],[Comparable '#1 Price]]/'Comparable #1'!$B$2*100</f>
        <v>69.883641341546905</v>
      </c>
      <c r="D1105" s="74">
        <f>Comp2[[#This Row],[Comparable '#2 Price]]/'Comparable #2'!$B$2*100</f>
        <v>82.152917505030175</v>
      </c>
      <c r="E1105" s="74">
        <f>Comp3[[#This Row],[Comparable '#3 Price]]/'Comparable #3'!$B$2*100</f>
        <v>68.099991468304751</v>
      </c>
    </row>
    <row r="1106" spans="1:5">
      <c r="A1106" s="96">
        <v>44886</v>
      </c>
      <c r="B1106" s="74">
        <f>Target1[[#This Row],[Target Price]]/Target!$B$2*100</f>
        <v>208.78417684700406</v>
      </c>
      <c r="C1106" s="74">
        <f>Comp1[[#This Row],[Comparable '#1 Price]]/'Comparable #1'!$B$2*100</f>
        <v>71.594798083504458</v>
      </c>
      <c r="D1106" s="74">
        <f>Comp2[[#This Row],[Comparable '#2 Price]]/'Comparable #2'!$B$2*100</f>
        <v>81.267605633802802</v>
      </c>
      <c r="E1106" s="74">
        <f>Comp3[[#This Row],[Comparable '#3 Price]]/'Comparable #3'!$B$2*100</f>
        <v>68.586298097431964</v>
      </c>
    </row>
    <row r="1107" spans="1:5">
      <c r="A1107" s="96">
        <v>44887</v>
      </c>
      <c r="B1107" s="74">
        <f>Target1[[#This Row],[Target Price]]/Target!$B$2*100</f>
        <v>207.44618964514251</v>
      </c>
      <c r="C1107" s="74">
        <f>Comp1[[#This Row],[Comparable '#1 Price]]/'Comparable #1'!$B$2*100</f>
        <v>71.800136892539356</v>
      </c>
      <c r="D1107" s="74">
        <f>Comp2[[#This Row],[Comparable '#2 Price]]/'Comparable #2'!$B$2*100</f>
        <v>82.334004024144875</v>
      </c>
      <c r="E1107" s="74">
        <f>Comp3[[#This Row],[Comparable '#3 Price]]/'Comparable #3'!$B$2*100</f>
        <v>69.661291698660534</v>
      </c>
    </row>
    <row r="1108" spans="1:5">
      <c r="A1108" s="96">
        <v>44888</v>
      </c>
      <c r="B1108" s="74">
        <f>Target1[[#This Row],[Target Price]]/Target!$B$2*100</f>
        <v>207.44618964514251</v>
      </c>
      <c r="C1108" s="74">
        <f>Comp1[[#This Row],[Comparable '#1 Price]]/'Comparable #1'!$B$2*100</f>
        <v>69.815195071868587</v>
      </c>
      <c r="D1108" s="74">
        <f>Comp2[[#This Row],[Comparable '#2 Price]]/'Comparable #2'!$B$2*100</f>
        <v>81.428571428571416</v>
      </c>
      <c r="E1108" s="74">
        <f>Comp3[[#This Row],[Comparable '#3 Price]]/'Comparable #3'!$B$2*100</f>
        <v>69.209111850524707</v>
      </c>
    </row>
    <row r="1109" spans="1:5">
      <c r="A1109" s="96">
        <v>44890</v>
      </c>
      <c r="B1109" s="74">
        <f>Target1[[#This Row],[Target Price]]/Target!$B$2*100</f>
        <v>207.62070971495049</v>
      </c>
      <c r="C1109" s="74">
        <f>Comp1[[#This Row],[Comparable '#1 Price]]/'Comparable #1'!$B$2*100</f>
        <v>70.568104038329921</v>
      </c>
      <c r="D1109" s="74">
        <f>Comp2[[#This Row],[Comparable '#2 Price]]/'Comparable #2'!$B$2*100</f>
        <v>81.167002012072444</v>
      </c>
      <c r="E1109" s="74">
        <f>Comp3[[#This Row],[Comparable '#3 Price]]/'Comparable #3'!$B$2*100</f>
        <v>68.799590478628105</v>
      </c>
    </row>
    <row r="1110" spans="1:5">
      <c r="A1110" s="96">
        <v>44893</v>
      </c>
      <c r="B1110" s="74">
        <f>Target1[[#This Row],[Target Price]]/Target!$B$2*100</f>
        <v>209.24956369982544</v>
      </c>
      <c r="C1110" s="74">
        <f>Comp1[[#This Row],[Comparable '#1 Price]]/'Comparable #1'!$B$2*100</f>
        <v>70.225872689938399</v>
      </c>
      <c r="D1110" s="74">
        <f>Comp2[[#This Row],[Comparable '#2 Price]]/'Comparable #2'!$B$2*100</f>
        <v>81.851106639839031</v>
      </c>
      <c r="E1110" s="74">
        <f>Comp3[[#This Row],[Comparable '#3 Price]]/'Comparable #3'!$B$2*100</f>
        <v>68.219435201774587</v>
      </c>
    </row>
    <row r="1111" spans="1:5">
      <c r="A1111" s="96">
        <v>44894</v>
      </c>
      <c r="B1111" s="74">
        <f>Target1[[#This Row],[Target Price]]/Target!$B$2*100</f>
        <v>208.26061663757994</v>
      </c>
      <c r="C1111" s="74">
        <f>Comp1[[#This Row],[Comparable '#1 Price]]/'Comparable #1'!$B$2*100</f>
        <v>69.952087611225195</v>
      </c>
      <c r="D1111" s="74">
        <f>Comp2[[#This Row],[Comparable '#2 Price]]/'Comparable #2'!$B$2*100</f>
        <v>81.91146881287726</v>
      </c>
      <c r="E1111" s="74">
        <f>Comp3[[#This Row],[Comparable '#3 Price]]/'Comparable #3'!$B$2*100</f>
        <v>68.509512840201353</v>
      </c>
    </row>
    <row r="1112" spans="1:5">
      <c r="A1112" s="96">
        <v>44895</v>
      </c>
      <c r="B1112" s="74">
        <f>Target1[[#This Row],[Target Price]]/Target!$B$2*100</f>
        <v>205.9918557300756</v>
      </c>
      <c r="C1112" s="74">
        <f>Comp1[[#This Row],[Comparable '#1 Price]]/'Comparable #1'!$B$2*100</f>
        <v>71.731690622861052</v>
      </c>
      <c r="D1112" s="74">
        <f>Comp2[[#This Row],[Comparable '#2 Price]]/'Comparable #2'!$B$2*100</f>
        <v>83.702213279678062</v>
      </c>
      <c r="E1112" s="74">
        <f>Comp3[[#This Row],[Comparable '#3 Price]]/'Comparable #3'!$B$2*100</f>
        <v>69.78926712737821</v>
      </c>
    </row>
    <row r="1113" spans="1:5">
      <c r="A1113" s="96">
        <v>44896</v>
      </c>
      <c r="B1113" s="74">
        <f>Target1[[#This Row],[Target Price]]/Target!$B$2*100</f>
        <v>201.04712041884815</v>
      </c>
      <c r="C1113" s="74">
        <f>Comp1[[#This Row],[Comparable '#1 Price]]/'Comparable #1'!$B$2*100</f>
        <v>70.499657768651616</v>
      </c>
      <c r="D1113" s="74">
        <f>Comp2[[#This Row],[Comparable '#2 Price]]/'Comparable #2'!$B$2*100</f>
        <v>82.977867203219319</v>
      </c>
      <c r="E1113" s="74">
        <f>Comp3[[#This Row],[Comparable '#3 Price]]/'Comparable #3'!$B$2*100</f>
        <v>68.7057418309018</v>
      </c>
    </row>
    <row r="1114" spans="1:5">
      <c r="A1114" s="96">
        <v>44897</v>
      </c>
      <c r="B1114" s="74">
        <f>Target1[[#This Row],[Target Price]]/Target!$B$2*100</f>
        <v>200.17452006980801</v>
      </c>
      <c r="C1114" s="74">
        <f>Comp1[[#This Row],[Comparable '#1 Price]]/'Comparable #1'!$B$2*100</f>
        <v>70.0205338809035</v>
      </c>
      <c r="D1114" s="74">
        <f>Comp2[[#This Row],[Comparable '#2 Price]]/'Comparable #2'!$B$2*100</f>
        <v>81.348088531187116</v>
      </c>
      <c r="E1114" s="74">
        <f>Comp3[[#This Row],[Comparable '#3 Price]]/'Comparable #3'!$B$2*100</f>
        <v>69.2261752410204</v>
      </c>
    </row>
    <row r="1115" spans="1:5">
      <c r="A1115" s="96">
        <v>44900</v>
      </c>
      <c r="B1115" s="74">
        <f>Target1[[#This Row],[Target Price]]/Target!$B$2*100</f>
        <v>193.25189063408956</v>
      </c>
      <c r="C1115" s="74">
        <f>Comp1[[#This Row],[Comparable '#1 Price]]/'Comparable #1'!$B$2*100</f>
        <v>69.472963723477079</v>
      </c>
      <c r="D1115" s="74">
        <f>Comp2[[#This Row],[Comparable '#2 Price]]/'Comparable #2'!$B$2*100</f>
        <v>79.396378269617713</v>
      </c>
      <c r="E1115" s="74">
        <f>Comp3[[#This Row],[Comparable '#3 Price]]/'Comparable #3'!$B$2*100</f>
        <v>67.980547734834914</v>
      </c>
    </row>
    <row r="1116" spans="1:5">
      <c r="A1116" s="96">
        <v>44901</v>
      </c>
      <c r="B1116" s="74">
        <f>Target1[[#This Row],[Target Price]]/Target!$B$2*100</f>
        <v>194.29901105293774</v>
      </c>
      <c r="C1116" s="74">
        <f>Comp1[[#This Row],[Comparable '#1 Price]]/'Comparable #1'!$B$2*100</f>
        <v>69.541409993155384</v>
      </c>
      <c r="D1116" s="74">
        <f>Comp2[[#This Row],[Comparable '#2 Price]]/'Comparable #2'!$B$2*100</f>
        <v>79.416498993963785</v>
      </c>
      <c r="E1116" s="74">
        <f>Comp3[[#This Row],[Comparable '#3 Price]]/'Comparable #3'!$B$2*100</f>
        <v>67.750191963143081</v>
      </c>
    </row>
    <row r="1117" spans="1:5">
      <c r="A1117" s="96">
        <v>44902</v>
      </c>
      <c r="B1117" s="74">
        <f>Target1[[#This Row],[Target Price]]/Target!$B$2*100</f>
        <v>192.26294357184406</v>
      </c>
      <c r="C1117" s="74">
        <f>Comp1[[#This Row],[Comparable '#1 Price]]/'Comparable #1'!$B$2*100</f>
        <v>68.993839835728949</v>
      </c>
      <c r="D1117" s="74">
        <f>Comp2[[#This Row],[Comparable '#2 Price]]/'Comparable #2'!$B$2*100</f>
        <v>78.370221327967798</v>
      </c>
      <c r="E1117" s="74">
        <f>Comp3[[#This Row],[Comparable '#3 Price]]/'Comparable #3'!$B$2*100</f>
        <v>67.741660267895242</v>
      </c>
    </row>
    <row r="1118" spans="1:5">
      <c r="A1118" s="96">
        <v>44903</v>
      </c>
      <c r="B1118" s="74">
        <f>Target1[[#This Row],[Target Price]]/Target!$B$2*100</f>
        <v>191.62303664921464</v>
      </c>
      <c r="C1118" s="74">
        <f>Comp1[[#This Row],[Comparable '#1 Price]]/'Comparable #1'!$B$2*100</f>
        <v>66.735112936344976</v>
      </c>
      <c r="D1118" s="74">
        <f>Comp2[[#This Row],[Comparable '#2 Price]]/'Comparable #2'!$B$2*100</f>
        <v>77.947686116700197</v>
      </c>
      <c r="E1118" s="74">
        <f>Comp3[[#This Row],[Comparable '#3 Price]]/'Comparable #3'!$B$2*100</f>
        <v>67.835508915621546</v>
      </c>
    </row>
    <row r="1119" spans="1:5">
      <c r="A1119" s="96">
        <v>44904</v>
      </c>
      <c r="B1119" s="74">
        <f>Target1[[#This Row],[Target Price]]/Target!$B$2*100</f>
        <v>188.53984874927281</v>
      </c>
      <c r="C1119" s="74">
        <f>Comp1[[#This Row],[Comparable '#1 Price]]/'Comparable #1'!$B$2*100</f>
        <v>67.761806981519513</v>
      </c>
      <c r="D1119" s="74">
        <f>Comp2[[#This Row],[Comparable '#2 Price]]/'Comparable #2'!$B$2*100</f>
        <v>75.613682092555322</v>
      </c>
      <c r="E1119" s="74">
        <f>Comp3[[#This Row],[Comparable '#3 Price]]/'Comparable #3'!$B$2*100</f>
        <v>67.707533486903841</v>
      </c>
    </row>
    <row r="1120" spans="1:5">
      <c r="A1120" s="96">
        <v>44907</v>
      </c>
      <c r="B1120" s="74">
        <f>Target1[[#This Row],[Target Price]]/Target!$B$2*100</f>
        <v>189.41244909831298</v>
      </c>
      <c r="C1120" s="74">
        <f>Comp1[[#This Row],[Comparable '#1 Price]]/'Comparable #1'!$B$2*100</f>
        <v>68.446269678302542</v>
      </c>
      <c r="D1120" s="74">
        <f>Comp2[[#This Row],[Comparable '#2 Price]]/'Comparable #2'!$B$2*100</f>
        <v>75.513078470824951</v>
      </c>
      <c r="E1120" s="74">
        <f>Comp3[[#This Row],[Comparable '#3 Price]]/'Comparable #3'!$B$2*100</f>
        <v>67.332138895998639</v>
      </c>
    </row>
    <row r="1121" spans="1:5">
      <c r="A1121" s="96">
        <v>44908</v>
      </c>
      <c r="B1121" s="74">
        <f>Target1[[#This Row],[Target Price]]/Target!$B$2*100</f>
        <v>187.89994182664336</v>
      </c>
      <c r="C1121" s="74">
        <f>Comp1[[#This Row],[Comparable '#1 Price]]/'Comparable #1'!$B$2*100</f>
        <v>69.267624914442166</v>
      </c>
      <c r="D1121" s="74">
        <f>Comp2[[#This Row],[Comparable '#2 Price]]/'Comparable #2'!$B$2*100</f>
        <v>74.486921529175049</v>
      </c>
      <c r="E1121" s="74">
        <f>Comp3[[#This Row],[Comparable '#3 Price]]/'Comparable #3'!$B$2*100</f>
        <v>67.92935756334785</v>
      </c>
    </row>
    <row r="1122" spans="1:5">
      <c r="A1122" s="96">
        <v>44909</v>
      </c>
      <c r="B1122" s="74">
        <f>Target1[[#This Row],[Target Price]]/Target!$B$2*100</f>
        <v>188.24898196625944</v>
      </c>
      <c r="C1122" s="74">
        <f>Comp1[[#This Row],[Comparable '#1 Price]]/'Comparable #1'!$B$2*100</f>
        <v>68.446269678302542</v>
      </c>
      <c r="D1122" s="74">
        <f>Comp2[[#This Row],[Comparable '#2 Price]]/'Comparable #2'!$B$2*100</f>
        <v>74.08450704225352</v>
      </c>
      <c r="E1122" s="74">
        <f>Comp3[[#This Row],[Comparable '#3 Price]]/'Comparable #3'!$B$2*100</f>
        <v>69.166453374285467</v>
      </c>
    </row>
    <row r="1123" spans="1:5">
      <c r="A1123" s="96">
        <v>44910</v>
      </c>
      <c r="B1123" s="74">
        <f>Target1[[#This Row],[Target Price]]/Target!$B$2*100</f>
        <v>191.56486329261199</v>
      </c>
      <c r="C1123" s="74">
        <f>Comp1[[#This Row],[Comparable '#1 Price]]/'Comparable #1'!$B$2*100</f>
        <v>68.035592060232716</v>
      </c>
      <c r="D1123" s="74">
        <f>Comp2[[#This Row],[Comparable '#2 Price]]/'Comparable #2'!$B$2*100</f>
        <v>74.607645875251507</v>
      </c>
      <c r="E1123" s="74">
        <f>Comp3[[#This Row],[Comparable '#3 Price]]/'Comparable #3'!$B$2*100</f>
        <v>68.407132497227209</v>
      </c>
    </row>
    <row r="1124" spans="1:5">
      <c r="A1124" s="96">
        <v>44911</v>
      </c>
      <c r="B1124" s="74">
        <f>Target1[[#This Row],[Target Price]]/Target!$B$2*100</f>
        <v>189.93600930773704</v>
      </c>
      <c r="C1124" s="74">
        <f>Comp1[[#This Row],[Comparable '#1 Price]]/'Comparable #1'!$B$2*100</f>
        <v>64.955509924709105</v>
      </c>
      <c r="D1124" s="74">
        <f>Comp2[[#This Row],[Comparable '#2 Price]]/'Comparable #2'!$B$2*100</f>
        <v>72.454728370221318</v>
      </c>
      <c r="E1124" s="74">
        <f>Comp3[[#This Row],[Comparable '#3 Price]]/'Comparable #3'!$B$2*100</f>
        <v>68.270625373261666</v>
      </c>
    </row>
    <row r="1125" spans="1:5">
      <c r="A1125" s="96">
        <v>44914</v>
      </c>
      <c r="B1125" s="74">
        <f>Target1[[#This Row],[Target Price]]/Target!$B$2*100</f>
        <v>183.07155322862127</v>
      </c>
      <c r="C1125" s="74">
        <f>Comp1[[#This Row],[Comparable '#1 Price]]/'Comparable #1'!$B$2*100</f>
        <v>63.860369609856271</v>
      </c>
      <c r="D1125" s="74">
        <f>Comp2[[#This Row],[Comparable '#2 Price]]/'Comparable #2'!$B$2*100</f>
        <v>72.65593561368209</v>
      </c>
      <c r="E1125" s="74">
        <f>Comp3[[#This Row],[Comparable '#3 Price]]/'Comparable #3'!$B$2*100</f>
        <v>66.794642095384361</v>
      </c>
    </row>
    <row r="1126" spans="1:5">
      <c r="A1126" s="96">
        <v>44915</v>
      </c>
      <c r="B1126" s="74">
        <f>Target1[[#This Row],[Target Price]]/Target!$B$2*100</f>
        <v>184.87492728330423</v>
      </c>
      <c r="C1126" s="74">
        <f>Comp1[[#This Row],[Comparable '#1 Price]]/'Comparable #1'!$B$2*100</f>
        <v>64.407939767282684</v>
      </c>
      <c r="D1126" s="74">
        <f>Comp2[[#This Row],[Comparable '#2 Price]]/'Comparable #2'!$B$2*100</f>
        <v>73.118712273641847</v>
      </c>
      <c r="E1126" s="74">
        <f>Comp3[[#This Row],[Comparable '#3 Price]]/'Comparable #3'!$B$2*100</f>
        <v>68.219435201774587</v>
      </c>
    </row>
    <row r="1127" spans="1:5">
      <c r="A1127" s="96">
        <v>44916</v>
      </c>
      <c r="B1127" s="74">
        <f>Target1[[#This Row],[Target Price]]/Target!$B$2*100</f>
        <v>189.0634089586969</v>
      </c>
      <c r="C1127" s="74">
        <f>Comp1[[#This Row],[Comparable '#1 Price]]/'Comparable #1'!$B$2*100</f>
        <v>66.255989048596859</v>
      </c>
      <c r="D1127" s="74">
        <f>Comp2[[#This Row],[Comparable '#2 Price]]/'Comparable #2'!$B$2*100</f>
        <v>75.050301810865179</v>
      </c>
      <c r="E1127" s="74">
        <f>Comp3[[#This Row],[Comparable '#3 Price]]/'Comparable #3'!$B$2*100</f>
        <v>69.029946250319938</v>
      </c>
    </row>
    <row r="1128" spans="1:5">
      <c r="A1128" s="96">
        <v>44917</v>
      </c>
      <c r="B1128" s="74">
        <f>Target1[[#This Row],[Target Price]]/Target!$B$2*100</f>
        <v>186.91099476439788</v>
      </c>
      <c r="C1128" s="74">
        <f>Comp1[[#This Row],[Comparable '#1 Price]]/'Comparable #1'!$B$2*100</f>
        <v>66.32443531827515</v>
      </c>
      <c r="D1128" s="74">
        <f>Comp2[[#This Row],[Comparable '#2 Price]]/'Comparable #2'!$B$2*100</f>
        <v>74.446680080482892</v>
      </c>
      <c r="E1128" s="74">
        <f>Comp3[[#This Row],[Comparable '#3 Price]]/'Comparable #3'!$B$2*100</f>
        <v>69.405340841225154</v>
      </c>
    </row>
    <row r="1129" spans="1:5">
      <c r="A1129" s="96">
        <v>44918</v>
      </c>
      <c r="B1129" s="74">
        <f>Target1[[#This Row],[Target Price]]/Target!$B$2*100</f>
        <v>187.60907504363001</v>
      </c>
      <c r="C1129" s="74">
        <f>Comp1[[#This Row],[Comparable '#1 Price]]/'Comparable #1'!$B$2*100</f>
        <v>66.255989048596859</v>
      </c>
      <c r="D1129" s="74">
        <f>Comp2[[#This Row],[Comparable '#2 Price]]/'Comparable #2'!$B$2*100</f>
        <v>72.776659959758547</v>
      </c>
      <c r="E1129" s="74">
        <f>Comp3[[#This Row],[Comparable '#3 Price]]/'Comparable #3'!$B$2*100</f>
        <v>69.490657793703619</v>
      </c>
    </row>
    <row r="1130" spans="1:5">
      <c r="A1130" s="96">
        <v>44922</v>
      </c>
      <c r="B1130" s="74">
        <f>Target1[[#This Row],[Target Price]]/Target!$B$2*100</f>
        <v>186.1547411285631</v>
      </c>
      <c r="C1130" s="74">
        <f>Comp1[[#This Row],[Comparable '#1 Price]]/'Comparable #1'!$B$2*100</f>
        <v>66.940451745379875</v>
      </c>
      <c r="D1130" s="74">
        <f>Comp2[[#This Row],[Comparable '#2 Price]]/'Comparable #2'!$B$2*100</f>
        <v>72.696177062374247</v>
      </c>
      <c r="E1130" s="74">
        <f>Comp3[[#This Row],[Comparable '#3 Price]]/'Comparable #3'!$B$2*100</f>
        <v>69.32002388874669</v>
      </c>
    </row>
    <row r="1131" spans="1:5">
      <c r="A1131" s="96">
        <v>44923</v>
      </c>
      <c r="B1131" s="74">
        <f>Target1[[#This Row],[Target Price]]/Target!$B$2*100</f>
        <v>184.70040721349622</v>
      </c>
      <c r="C1131" s="74">
        <f>Comp1[[#This Row],[Comparable '#1 Price]]/'Comparable #1'!$B$2*100</f>
        <v>66.187542778918555</v>
      </c>
      <c r="D1131" s="74">
        <f>Comp2[[#This Row],[Comparable '#2 Price]]/'Comparable #2'!$B$2*100</f>
        <v>71.730382293762574</v>
      </c>
      <c r="E1131" s="74">
        <f>Comp3[[#This Row],[Comparable '#3 Price]]/'Comparable #3'!$B$2*100</f>
        <v>68.381537411483677</v>
      </c>
    </row>
    <row r="1132" spans="1:5">
      <c r="A1132" s="96">
        <v>44924</v>
      </c>
      <c r="B1132" s="74">
        <f>Target1[[#This Row],[Target Price]]/Target!$B$2*100</f>
        <v>182.43164630599185</v>
      </c>
      <c r="C1132" s="74">
        <f>Comp1[[#This Row],[Comparable '#1 Price]]/'Comparable #1'!$B$2*100</f>
        <v>67.008898015058165</v>
      </c>
      <c r="D1132" s="74">
        <f>Comp2[[#This Row],[Comparable '#2 Price]]/'Comparable #2'!$B$2*100</f>
        <v>71.589537223340031</v>
      </c>
      <c r="E1132" s="74">
        <f>Comp3[[#This Row],[Comparable '#3 Price]]/'Comparable #3'!$B$2*100</f>
        <v>69.029946250319938</v>
      </c>
    </row>
    <row r="1133" spans="1:5">
      <c r="A1133" s="96">
        <v>44925</v>
      </c>
      <c r="B1133" s="74">
        <f>Target1[[#This Row],[Target Price]]/Target!$B$2*100</f>
        <v>181.96625945317044</v>
      </c>
      <c r="C1133" s="74">
        <f>Comp1[[#This Row],[Comparable '#1 Price]]/'Comparable #1'!$B$2*100</f>
        <v>65.845311430527033</v>
      </c>
      <c r="D1133" s="74">
        <f>Comp2[[#This Row],[Comparable '#2 Price]]/'Comparable #2'!$B$2*100</f>
        <v>71.428571428571416</v>
      </c>
      <c r="E1133" s="74">
        <f>Comp3[[#This Row],[Comparable '#3 Price]]/'Comparable #3'!$B$2*100</f>
        <v>66.820237181127879</v>
      </c>
    </row>
    <row r="1134" spans="1:5">
      <c r="A1134" s="96">
        <v>44929</v>
      </c>
      <c r="B1134" s="74">
        <f>Target1[[#This Row],[Target Price]]/Target!$B$2*100</f>
        <v>192.61198371146014</v>
      </c>
      <c r="C1134" s="74">
        <f>Comp1[[#This Row],[Comparable '#1 Price]]/'Comparable #1'!$B$2*100</f>
        <v>67.282683093771396</v>
      </c>
      <c r="D1134" s="74">
        <f>Comp2[[#This Row],[Comparable '#2 Price]]/'Comparable #2'!$B$2*100</f>
        <v>71.649899396378274</v>
      </c>
      <c r="E1134" s="74">
        <f>Comp3[[#This Row],[Comparable '#3 Price]]/'Comparable #3'!$B$2*100</f>
        <v>67.690470096408163</v>
      </c>
    </row>
    <row r="1135" spans="1:5">
      <c r="A1135" s="96">
        <v>44930</v>
      </c>
      <c r="B1135" s="74">
        <f>Target1[[#This Row],[Target Price]]/Target!$B$2*100</f>
        <v>187.84176847004071</v>
      </c>
      <c r="C1135" s="74">
        <f>Comp1[[#This Row],[Comparable '#1 Price]]/'Comparable #1'!$B$2*100</f>
        <v>67.077344284736483</v>
      </c>
      <c r="D1135" s="74">
        <f>Comp2[[#This Row],[Comparable '#2 Price]]/'Comparable #2'!$B$2*100</f>
        <v>72.555331991951704</v>
      </c>
      <c r="E1135" s="74">
        <f>Comp3[[#This Row],[Comparable '#3 Price]]/'Comparable #3'!$B$2*100</f>
        <v>68.099991468304751</v>
      </c>
    </row>
    <row r="1136" spans="1:5">
      <c r="A1136" s="96">
        <v>44931</v>
      </c>
      <c r="B1136" s="74">
        <f>Target1[[#This Row],[Target Price]]/Target!$B$2*100</f>
        <v>191.4485165794066</v>
      </c>
      <c r="C1136" s="74">
        <f>Comp1[[#This Row],[Comparable '#1 Price]]/'Comparable #1'!$B$2*100</f>
        <v>66.80355920602328</v>
      </c>
      <c r="D1136" s="74">
        <f>Comp2[[#This Row],[Comparable '#2 Price]]/'Comparable #2'!$B$2*100</f>
        <v>73.219315895372233</v>
      </c>
      <c r="E1136" s="74">
        <f>Comp3[[#This Row],[Comparable '#3 Price]]/'Comparable #3'!$B$2*100</f>
        <v>69.072604726559163</v>
      </c>
    </row>
    <row r="1137" spans="1:5">
      <c r="A1137" s="96">
        <v>44932</v>
      </c>
      <c r="B1137" s="74">
        <f>Target1[[#This Row],[Target Price]]/Target!$B$2*100</f>
        <v>187.84176847004071</v>
      </c>
      <c r="C1137" s="74">
        <f>Comp1[[#This Row],[Comparable '#1 Price]]/'Comparable #1'!$B$2*100</f>
        <v>66.735112936344976</v>
      </c>
      <c r="D1137" s="74">
        <f>Comp2[[#This Row],[Comparable '#2 Price]]/'Comparable #2'!$B$2*100</f>
        <v>75.191146881287722</v>
      </c>
      <c r="E1137" s="74">
        <f>Comp3[[#This Row],[Comparable '#3 Price]]/'Comparable #3'!$B$2*100</f>
        <v>72.664448425902222</v>
      </c>
    </row>
    <row r="1138" spans="1:5">
      <c r="A1138" s="96">
        <v>44935</v>
      </c>
      <c r="B1138" s="74">
        <f>Target1[[#This Row],[Target Price]]/Target!$B$2*100</f>
        <v>190.34322280395577</v>
      </c>
      <c r="C1138" s="74">
        <f>Comp1[[#This Row],[Comparable '#1 Price]]/'Comparable #1'!$B$2*100</f>
        <v>65.776865160848729</v>
      </c>
      <c r="D1138" s="74">
        <f>Comp2[[#This Row],[Comparable '#2 Price]]/'Comparable #2'!$B$2*100</f>
        <v>72.555331991951704</v>
      </c>
      <c r="E1138" s="74">
        <f>Comp3[[#This Row],[Comparable '#3 Price]]/'Comparable #3'!$B$2*100</f>
        <v>72.41702926371471</v>
      </c>
    </row>
    <row r="1139" spans="1:5">
      <c r="A1139" s="96">
        <v>44936</v>
      </c>
      <c r="B1139" s="74">
        <f>Target1[[#This Row],[Target Price]]/Target!$B$2*100</f>
        <v>191.21582315299591</v>
      </c>
      <c r="C1139" s="74">
        <f>Comp1[[#This Row],[Comparable '#1 Price]]/'Comparable #1'!$B$2*100</f>
        <v>67.761806981519513</v>
      </c>
      <c r="D1139" s="74">
        <f>Comp2[[#This Row],[Comparable '#2 Price]]/'Comparable #2'!$B$2*100</f>
        <v>74.446680080482892</v>
      </c>
      <c r="E1139" s="74">
        <f>Comp3[[#This Row],[Comparable '#3 Price]]/'Comparable #3'!$B$2*100</f>
        <v>73.96979779882264</v>
      </c>
    </row>
    <row r="1140" spans="1:5">
      <c r="A1140" s="96">
        <v>44937</v>
      </c>
      <c r="B1140" s="74">
        <f>Target1[[#This Row],[Target Price]]/Target!$B$2*100</f>
        <v>192.14659685863873</v>
      </c>
      <c r="C1140" s="74">
        <f>Comp1[[#This Row],[Comparable '#1 Price]]/'Comparable #1'!$B$2*100</f>
        <v>67.145790554414788</v>
      </c>
      <c r="D1140" s="74">
        <f>Comp2[[#This Row],[Comparable '#2 Price]]/'Comparable #2'!$B$2*100</f>
        <v>74.225352112676063</v>
      </c>
      <c r="E1140" s="74">
        <f>Comp3[[#This Row],[Comparable '#3 Price]]/'Comparable #3'!$B$2*100</f>
        <v>74.06364644654893</v>
      </c>
    </row>
    <row r="1141" spans="1:5">
      <c r="A1141" s="96">
        <v>44938</v>
      </c>
      <c r="B1141" s="74">
        <f>Target1[[#This Row],[Target Price]]/Target!$B$2*100</f>
        <v>192.20477021524141</v>
      </c>
      <c r="C1141" s="74">
        <f>Comp1[[#This Row],[Comparable '#1 Price]]/'Comparable #1'!$B$2*100</f>
        <v>68.035592060232716</v>
      </c>
      <c r="D1141" s="74">
        <f>Comp2[[#This Row],[Comparable '#2 Price]]/'Comparable #2'!$B$2*100</f>
        <v>74.386317907444663</v>
      </c>
      <c r="E1141" s="74">
        <f>Comp3[[#This Row],[Comparable '#3 Price]]/'Comparable #3'!$B$2*100</f>
        <v>74.797372237863669</v>
      </c>
    </row>
    <row r="1142" spans="1:5">
      <c r="A1142" s="96">
        <v>44939</v>
      </c>
      <c r="B1142" s="74">
        <f>Target1[[#This Row],[Target Price]]/Target!$B$2*100</f>
        <v>192.32111692844677</v>
      </c>
      <c r="C1142" s="74">
        <f>Comp1[[#This Row],[Comparable '#1 Price]]/'Comparable #1'!$B$2*100</f>
        <v>68.856947296372354</v>
      </c>
      <c r="D1142" s="74">
        <f>Comp2[[#This Row],[Comparable '#2 Price]]/'Comparable #2'!$B$2*100</f>
        <v>75.090543259557336</v>
      </c>
      <c r="E1142" s="74">
        <f>Comp3[[#This Row],[Comparable '#3 Price]]/'Comparable #3'!$B$2*100</f>
        <v>76.529306373176354</v>
      </c>
    </row>
    <row r="1143" spans="1:5">
      <c r="A1143" s="96">
        <v>44943</v>
      </c>
      <c r="B1143" s="74">
        <f>Target1[[#This Row],[Target Price]]/Target!$B$2*100</f>
        <v>186.44560791157647</v>
      </c>
      <c r="C1143" s="74">
        <f>Comp1[[#This Row],[Comparable '#1 Price]]/'Comparable #1'!$B$2*100</f>
        <v>70.568104038329921</v>
      </c>
      <c r="D1143" s="74">
        <f>Comp2[[#This Row],[Comparable '#2 Price]]/'Comparable #2'!$B$2*100</f>
        <v>74.285714285714292</v>
      </c>
      <c r="E1143" s="74">
        <f>Comp3[[#This Row],[Comparable '#3 Price]]/'Comparable #3'!$B$2*100</f>
        <v>74.891220885589973</v>
      </c>
    </row>
    <row r="1144" spans="1:5">
      <c r="A1144" s="96">
        <v>44944</v>
      </c>
      <c r="B1144" s="74">
        <f>Target1[[#This Row],[Target Price]]/Target!$B$2*100</f>
        <v>184.81675392670155</v>
      </c>
      <c r="C1144" s="74">
        <f>Comp1[[#This Row],[Comparable '#1 Price]]/'Comparable #1'!$B$2*100</f>
        <v>71.115674195756341</v>
      </c>
      <c r="D1144" s="74">
        <f>Comp2[[#This Row],[Comparable '#2 Price]]/'Comparable #2'!$B$2*100</f>
        <v>73.299798792756533</v>
      </c>
      <c r="E1144" s="74">
        <f>Comp3[[#This Row],[Comparable '#3 Price]]/'Comparable #3'!$B$2*100</f>
        <v>74.114836618036009</v>
      </c>
    </row>
    <row r="1145" spans="1:5">
      <c r="A1145" s="96">
        <v>44945</v>
      </c>
      <c r="B1145" s="74">
        <f>Target1[[#This Row],[Target Price]]/Target!$B$2*100</f>
        <v>185.28214077952296</v>
      </c>
      <c r="C1145" s="74">
        <f>Comp1[[#This Row],[Comparable '#1 Price]]/'Comparable #1'!$B$2*100</f>
        <v>70.499657768651616</v>
      </c>
      <c r="D1145" s="74">
        <f>Comp2[[#This Row],[Comparable '#2 Price]]/'Comparable #2'!$B$2*100</f>
        <v>73.82293762575452</v>
      </c>
      <c r="E1145" s="74">
        <f>Comp3[[#This Row],[Comparable '#3 Price]]/'Comparable #3'!$B$2*100</f>
        <v>73.96979779882264</v>
      </c>
    </row>
    <row r="1146" spans="1:5">
      <c r="A1146" s="96">
        <v>44946</v>
      </c>
      <c r="B1146" s="74">
        <f>Target1[[#This Row],[Target Price]]/Target!$B$2*100</f>
        <v>186.62012798138448</v>
      </c>
      <c r="C1146" s="74">
        <f>Comp1[[#This Row],[Comparable '#1 Price]]/'Comparable #1'!$B$2*100</f>
        <v>73.237508555783705</v>
      </c>
      <c r="D1146" s="74">
        <f>Comp2[[#This Row],[Comparable '#2 Price]]/'Comparable #2'!$B$2*100</f>
        <v>75.774647887323937</v>
      </c>
      <c r="E1146" s="74">
        <f>Comp3[[#This Row],[Comparable '#3 Price]]/'Comparable #3'!$B$2*100</f>
        <v>75.966214486818544</v>
      </c>
    </row>
    <row r="1147" spans="1:5">
      <c r="A1147" s="96">
        <v>44949</v>
      </c>
      <c r="B1147" s="74">
        <f>Target1[[#This Row],[Target Price]]/Target!$B$2*100</f>
        <v>189.29610238510762</v>
      </c>
      <c r="C1147" s="74">
        <f>Comp1[[#This Row],[Comparable '#1 Price]]/'Comparable #1'!$B$2*100</f>
        <v>72.689938398357285</v>
      </c>
      <c r="D1147" s="74">
        <f>Comp2[[#This Row],[Comparable '#2 Price]]/'Comparable #2'!$B$2*100</f>
        <v>76.639839034205238</v>
      </c>
      <c r="E1147" s="74">
        <f>Comp3[[#This Row],[Comparable '#3 Price]]/'Comparable #3'!$B$2*100</f>
        <v>76.5549014589199</v>
      </c>
    </row>
    <row r="1148" spans="1:5">
      <c r="A1148" s="96">
        <v>44950</v>
      </c>
      <c r="B1148" s="74">
        <f>Target1[[#This Row],[Target Price]]/Target!$B$2*100</f>
        <v>186.1547411285631</v>
      </c>
      <c r="C1148" s="74">
        <f>Comp1[[#This Row],[Comparable '#1 Price]]/'Comparable #1'!$B$2*100</f>
        <v>74.195756331279952</v>
      </c>
      <c r="D1148" s="74">
        <f>Comp2[[#This Row],[Comparable '#2 Price]]/'Comparable #2'!$B$2*100</f>
        <v>77.384305835010053</v>
      </c>
      <c r="E1148" s="74">
        <f>Comp3[[#This Row],[Comparable '#3 Price]]/'Comparable #3'!$B$2*100</f>
        <v>77.937036089070901</v>
      </c>
    </row>
    <row r="1149" spans="1:5">
      <c r="A1149" s="96">
        <v>44951</v>
      </c>
      <c r="B1149" s="74">
        <f>Target1[[#This Row],[Target Price]]/Target!$B$2*100</f>
        <v>237.69633507853402</v>
      </c>
      <c r="C1149" s="74">
        <f>Comp1[[#This Row],[Comparable '#1 Price]]/'Comparable #1'!$B$2*100</f>
        <v>75.154004106776185</v>
      </c>
      <c r="D1149" s="74">
        <f>Comp2[[#This Row],[Comparable '#2 Price]]/'Comparable #2'!$B$2*100</f>
        <v>77.74647887323944</v>
      </c>
      <c r="E1149" s="74">
        <f>Comp3[[#This Row],[Comparable '#3 Price]]/'Comparable #3'!$B$2*100</f>
        <v>79.293575633478369</v>
      </c>
    </row>
    <row r="1150" spans="1:5">
      <c r="A1150" s="96">
        <v>44952</v>
      </c>
      <c r="B1150" s="74">
        <f>Target1[[#This Row],[Target Price]]/Target!$B$2*100</f>
        <v>233.33333333333331</v>
      </c>
      <c r="C1150" s="74">
        <f>Comp1[[#This Row],[Comparable '#1 Price]]/'Comparable #1'!$B$2*100</f>
        <v>75.290896646132794</v>
      </c>
      <c r="D1150" s="74">
        <f>Comp2[[#This Row],[Comparable '#2 Price]]/'Comparable #2'!$B$2*100</f>
        <v>78.048289738430583</v>
      </c>
      <c r="E1150" s="74">
        <f>Comp3[[#This Row],[Comparable '#3 Price]]/'Comparable #3'!$B$2*100</f>
        <v>79.285043938230544</v>
      </c>
    </row>
    <row r="1151" spans="1:5">
      <c r="A1151" s="96">
        <v>44953</v>
      </c>
      <c r="B1151" s="74">
        <f>Target1[[#This Row],[Target Price]]/Target!$B$2*100</f>
        <v>238.51076207097148</v>
      </c>
      <c r="C1151" s="74">
        <f>Comp1[[#This Row],[Comparable '#1 Price]]/'Comparable #1'!$B$2*100</f>
        <v>75.290896646132794</v>
      </c>
      <c r="D1151" s="74">
        <f>Comp2[[#This Row],[Comparable '#2 Price]]/'Comparable #2'!$B$2*100</f>
        <v>76.961770623742453</v>
      </c>
      <c r="E1151" s="74">
        <f>Comp3[[#This Row],[Comparable '#3 Price]]/'Comparable #3'!$B$2*100</f>
        <v>79.182663595256386</v>
      </c>
    </row>
    <row r="1152" spans="1:5">
      <c r="A1152" s="96">
        <v>44956</v>
      </c>
      <c r="B1152" s="74">
        <f>Target1[[#This Row],[Target Price]]/Target!$B$2*100</f>
        <v>242.29203025014542</v>
      </c>
      <c r="C1152" s="74">
        <f>Comp1[[#This Row],[Comparable '#1 Price]]/'Comparable #1'!$B$2*100</f>
        <v>74.743326488706359</v>
      </c>
      <c r="D1152" s="74">
        <f>Comp2[[#This Row],[Comparable '#2 Price]]/'Comparable #2'!$B$2*100</f>
        <v>75.694164989939623</v>
      </c>
      <c r="E1152" s="74">
        <f>Comp3[[#This Row],[Comparable '#3 Price]]/'Comparable #3'!$B$2*100</f>
        <v>79.165600204760693</v>
      </c>
    </row>
    <row r="1153" spans="1:5">
      <c r="A1153" s="96">
        <v>44957</v>
      </c>
      <c r="B1153" s="74">
        <f>Target1[[#This Row],[Target Price]]/Target!$B$2*100</f>
        <v>249.73821989528795</v>
      </c>
      <c r="C1153" s="74">
        <f>Comp1[[#This Row],[Comparable '#1 Price]]/'Comparable #1'!$B$2*100</f>
        <v>75.154004106776185</v>
      </c>
      <c r="D1153" s="74">
        <f>Comp2[[#This Row],[Comparable '#2 Price]]/'Comparable #2'!$B$2*100</f>
        <v>76.820925553319924</v>
      </c>
      <c r="E1153" s="74">
        <f>Comp3[[#This Row],[Comparable '#3 Price]]/'Comparable #3'!$B$2*100</f>
        <v>79.643375138640053</v>
      </c>
    </row>
    <row r="1154" spans="1:5">
      <c r="A1154" s="96">
        <v>44958</v>
      </c>
      <c r="B1154" s="74">
        <f>Target1[[#This Row],[Target Price]]/Target!$B$2*100</f>
        <v>251.59976730657357</v>
      </c>
      <c r="C1154" s="74">
        <f>Comp1[[#This Row],[Comparable '#1 Price]]/'Comparable #1'!$B$2*100</f>
        <v>77.207392197125259</v>
      </c>
      <c r="D1154" s="74">
        <f>Comp2[[#This Row],[Comparable '#2 Price]]/'Comparable #2'!$B$2*100</f>
        <v>77.545271629778668</v>
      </c>
      <c r="E1154" s="74">
        <f>Comp3[[#This Row],[Comparable '#3 Price]]/'Comparable #3'!$B$2*100</f>
        <v>80.334442453715553</v>
      </c>
    </row>
    <row r="1155" spans="1:5">
      <c r="A1155" s="96">
        <v>44959</v>
      </c>
      <c r="B1155" s="74">
        <f>Target1[[#This Row],[Target Price]]/Target!$B$2*100</f>
        <v>247.52763234438623</v>
      </c>
      <c r="C1155" s="74">
        <f>Comp1[[#This Row],[Comparable '#1 Price]]/'Comparable #1'!$B$2*100</f>
        <v>76.522929500342229</v>
      </c>
      <c r="D1155" s="74">
        <f>Comp2[[#This Row],[Comparable '#2 Price]]/'Comparable #2'!$B$2*100</f>
        <v>77.74647887323944</v>
      </c>
      <c r="E1155" s="74">
        <f>Comp3[[#This Row],[Comparable '#3 Price]]/'Comparable #3'!$B$2*100</f>
        <v>81.963996246054094</v>
      </c>
    </row>
    <row r="1156" spans="1:5">
      <c r="A1156" s="96">
        <v>44960</v>
      </c>
      <c r="B1156" s="74">
        <f>Target1[[#This Row],[Target Price]]/Target!$B$2*100</f>
        <v>249.27283304246654</v>
      </c>
      <c r="C1156" s="74">
        <f>Comp1[[#This Row],[Comparable '#1 Price]]/'Comparable #1'!$B$2*100</f>
        <v>76.933607118412056</v>
      </c>
      <c r="D1156" s="74">
        <f>Comp2[[#This Row],[Comparable '#2 Price]]/'Comparable #2'!$B$2*100</f>
        <v>88.189134808853112</v>
      </c>
      <c r="E1156" s="74">
        <f>Comp3[[#This Row],[Comparable '#3 Price]]/'Comparable #3'!$B$2*100</f>
        <v>83.439979523931413</v>
      </c>
    </row>
    <row r="1157" spans="1:5">
      <c r="A1157" s="96">
        <v>44963</v>
      </c>
      <c r="B1157" s="74">
        <f>Target1[[#This Row],[Target Price]]/Target!$B$2*100</f>
        <v>242.7574171029668</v>
      </c>
      <c r="C1157" s="74">
        <f>Comp1[[#This Row],[Comparable '#1 Price]]/'Comparable #1'!$B$2*100</f>
        <v>73.100616016427097</v>
      </c>
      <c r="D1157" s="74">
        <f>Comp2[[#This Row],[Comparable '#2 Price]]/'Comparable #2'!$B$2*100</f>
        <v>81.931589537223331</v>
      </c>
      <c r="E1157" s="74">
        <f>Comp3[[#This Row],[Comparable '#3 Price]]/'Comparable #3'!$B$2*100</f>
        <v>80.044364815288787</v>
      </c>
    </row>
    <row r="1158" spans="1:5">
      <c r="A1158" s="96">
        <v>44964</v>
      </c>
      <c r="B1158" s="74">
        <f>Target1[[#This Row],[Target Price]]/Target!$B$2*100</f>
        <v>243.16463059918556</v>
      </c>
      <c r="C1158" s="74">
        <f>Comp1[[#This Row],[Comparable '#1 Price]]/'Comparable #1'!$B$2*100</f>
        <v>72.963723477070502</v>
      </c>
      <c r="D1158" s="74">
        <f>Comp2[[#This Row],[Comparable '#2 Price]]/'Comparable #2'!$B$2*100</f>
        <v>79.939637826961757</v>
      </c>
      <c r="E1158" s="74">
        <f>Comp3[[#This Row],[Comparable '#3 Price]]/'Comparable #3'!$B$2*100</f>
        <v>79.566589881409442</v>
      </c>
    </row>
    <row r="1159" spans="1:5">
      <c r="A1159" s="96">
        <v>44965</v>
      </c>
      <c r="B1159" s="74">
        <f>Target1[[#This Row],[Target Price]]/Target!$B$2*100</f>
        <v>236.99825479930192</v>
      </c>
      <c r="C1159" s="74">
        <f>Comp1[[#This Row],[Comparable '#1 Price]]/'Comparable #1'!$B$2*100</f>
        <v>71.594798083504458</v>
      </c>
      <c r="D1159" s="74">
        <f>Comp2[[#This Row],[Comparable '#2 Price]]/'Comparable #2'!$B$2*100</f>
        <v>78.068410462776654</v>
      </c>
      <c r="E1159" s="74">
        <f>Comp3[[#This Row],[Comparable '#3 Price]]/'Comparable #3'!$B$2*100</f>
        <v>78.935244433068846</v>
      </c>
    </row>
    <row r="1160" spans="1:5">
      <c r="A1160" s="96">
        <v>44966</v>
      </c>
      <c r="B1160" s="74">
        <f>Target1[[#This Row],[Target Price]]/Target!$B$2*100</f>
        <v>240.77952297847585</v>
      </c>
      <c r="C1160" s="74">
        <f>Comp1[[#This Row],[Comparable '#1 Price]]/'Comparable #1'!$B$2*100</f>
        <v>72.07392197125256</v>
      </c>
      <c r="D1160" s="74">
        <f>Comp2[[#This Row],[Comparable '#2 Price]]/'Comparable #2'!$B$2*100</f>
        <v>79.215291750502999</v>
      </c>
      <c r="E1160" s="74">
        <f>Comp3[[#This Row],[Comparable '#3 Price]]/'Comparable #3'!$B$2*100</f>
        <v>79.506868014674509</v>
      </c>
    </row>
    <row r="1161" spans="1:5">
      <c r="A1161" s="96">
        <v>44967</v>
      </c>
      <c r="B1161" s="74">
        <f>Target1[[#This Row],[Target Price]]/Target!$B$2*100</f>
        <v>242.00116346713205</v>
      </c>
      <c r="C1161" s="74">
        <f>Comp1[[#This Row],[Comparable '#1 Price]]/'Comparable #1'!$B$2*100</f>
        <v>72.07392197125256</v>
      </c>
      <c r="D1161" s="74">
        <f>Comp2[[#This Row],[Comparable '#2 Price]]/'Comparable #2'!$B$2*100</f>
        <v>80.704225352112672</v>
      </c>
      <c r="E1161" s="74">
        <f>Comp3[[#This Row],[Comparable '#3 Price]]/'Comparable #3'!$B$2*100</f>
        <v>79.344765804965462</v>
      </c>
    </row>
    <row r="1162" spans="1:5">
      <c r="A1162" s="96">
        <v>44970</v>
      </c>
      <c r="B1162" s="74">
        <f>Target1[[#This Row],[Target Price]]/Target!$B$2*100</f>
        <v>248.16753926701566</v>
      </c>
      <c r="C1162" s="74">
        <f>Comp1[[#This Row],[Comparable '#1 Price]]/'Comparable #1'!$B$2*100</f>
        <v>73.169062286105401</v>
      </c>
      <c r="D1162" s="74">
        <f>Comp2[[#This Row],[Comparable '#2 Price]]/'Comparable #2'!$B$2*100</f>
        <v>83.038229376257547</v>
      </c>
      <c r="E1162" s="74">
        <f>Comp3[[#This Row],[Comparable '#3 Price]]/'Comparable #3'!$B$2*100</f>
        <v>80.539203139663869</v>
      </c>
    </row>
    <row r="1163" spans="1:5">
      <c r="A1163" s="96">
        <v>44971</v>
      </c>
      <c r="B1163" s="74">
        <f>Target1[[#This Row],[Target Price]]/Target!$B$2*100</f>
        <v>249.3310063990692</v>
      </c>
      <c r="C1163" s="74">
        <f>Comp1[[#This Row],[Comparable '#1 Price]]/'Comparable #1'!$B$2*100</f>
        <v>72.347707049965777</v>
      </c>
      <c r="D1163" s="74">
        <f>Comp2[[#This Row],[Comparable '#2 Price]]/'Comparable #2'!$B$2*100</f>
        <v>80.845070422535201</v>
      </c>
      <c r="E1163" s="74">
        <f>Comp3[[#This Row],[Comparable '#3 Price]]/'Comparable #3'!$B$2*100</f>
        <v>79.140005119017161</v>
      </c>
    </row>
    <row r="1164" spans="1:5">
      <c r="A1164" s="96">
        <v>44972</v>
      </c>
      <c r="B1164" s="74">
        <f>Target1[[#This Row],[Target Price]]/Target!$B$2*100</f>
        <v>252.47236765561371</v>
      </c>
      <c r="C1164" s="74">
        <f>Comp1[[#This Row],[Comparable '#1 Price]]/'Comparable #1'!$B$2*100</f>
        <v>72.826830937713908</v>
      </c>
      <c r="D1164" s="74">
        <f>Comp2[[#This Row],[Comparable '#2 Price]]/'Comparable #2'!$B$2*100</f>
        <v>81.348088531187116</v>
      </c>
      <c r="E1164" s="74">
        <f>Comp3[[#This Row],[Comparable '#3 Price]]/'Comparable #3'!$B$2*100</f>
        <v>79.558058186161588</v>
      </c>
    </row>
    <row r="1165" spans="1:5">
      <c r="A1165" s="96">
        <v>44973</v>
      </c>
      <c r="B1165" s="74">
        <f>Target1[[#This Row],[Target Price]]/Target!$B$2*100</f>
        <v>254.91564863292609</v>
      </c>
      <c r="C1165" s="74">
        <f>Comp1[[#This Row],[Comparable '#1 Price]]/'Comparable #1'!$B$2*100</f>
        <v>73.169062286105401</v>
      </c>
      <c r="D1165" s="74">
        <f>Comp2[[#This Row],[Comparable '#2 Price]]/'Comparable #2'!$B$2*100</f>
        <v>81.91146881287726</v>
      </c>
      <c r="E1165" s="74">
        <f>Comp3[[#This Row],[Comparable '#3 Price]]/'Comparable #3'!$B$2*100</f>
        <v>79.737223786366357</v>
      </c>
    </row>
    <row r="1166" spans="1:5">
      <c r="A1166" s="96">
        <v>44974</v>
      </c>
      <c r="B1166" s="74">
        <f>Target1[[#This Row],[Target Price]]/Target!$B$2*100</f>
        <v>255.32286212914482</v>
      </c>
      <c r="C1166" s="74">
        <f>Comp1[[#This Row],[Comparable '#1 Price]]/'Comparable #1'!$B$2*100</f>
        <v>73.648186173853531</v>
      </c>
      <c r="D1166" s="74">
        <f>Comp2[[#This Row],[Comparable '#2 Price]]/'Comparable #2'!$B$2*100</f>
        <v>82.414486921529175</v>
      </c>
      <c r="E1166" s="74">
        <f>Comp3[[#This Row],[Comparable '#3 Price]]/'Comparable #3'!$B$2*100</f>
        <v>80.342974148963407</v>
      </c>
    </row>
    <row r="1167" spans="1:5">
      <c r="A1167" s="96">
        <v>44978</v>
      </c>
      <c r="B1167" s="74">
        <f>Target1[[#This Row],[Target Price]]/Target!$B$2*100</f>
        <v>252.06515415939498</v>
      </c>
      <c r="C1167" s="74">
        <f>Comp1[[#This Row],[Comparable '#1 Price]]/'Comparable #1'!$B$2*100</f>
        <v>72.142368240930864</v>
      </c>
      <c r="D1167" s="74">
        <f>Comp2[[#This Row],[Comparable '#2 Price]]/'Comparable #2'!$B$2*100</f>
        <v>82.414486921529175</v>
      </c>
      <c r="E1167" s="74">
        <f>Comp3[[#This Row],[Comparable '#3 Price]]/'Comparable #3'!$B$2*100</f>
        <v>80.300315672724182</v>
      </c>
    </row>
    <row r="1168" spans="1:5">
      <c r="A1168" s="96">
        <v>44979</v>
      </c>
      <c r="B1168" s="74">
        <f>Target1[[#This Row],[Target Price]]/Target!$B$2*100</f>
        <v>252.18150087260031</v>
      </c>
      <c r="C1168" s="74">
        <f>Comp1[[#This Row],[Comparable '#1 Price]]/'Comparable #1'!$B$2*100</f>
        <v>71.115674195756341</v>
      </c>
      <c r="D1168" s="74">
        <f>Comp2[[#This Row],[Comparable '#2 Price]]/'Comparable #2'!$B$2*100</f>
        <v>80.804828973843044</v>
      </c>
      <c r="E1168" s="74">
        <f>Comp3[[#This Row],[Comparable '#3 Price]]/'Comparable #3'!$B$2*100</f>
        <v>78.491596280180872</v>
      </c>
    </row>
    <row r="1169" spans="1:5">
      <c r="A1169" s="96">
        <v>44980</v>
      </c>
      <c r="B1169" s="74">
        <f>Target1[[#This Row],[Target Price]]/Target!$B$2*100</f>
        <v>251.59976730657357</v>
      </c>
      <c r="C1169" s="74">
        <f>Comp1[[#This Row],[Comparable '#1 Price]]/'Comparable #1'!$B$2*100</f>
        <v>82.135523613963045</v>
      </c>
      <c r="D1169" s="74">
        <f>Comp2[[#This Row],[Comparable '#2 Price]]/'Comparable #2'!$B$2*100</f>
        <v>80.503018108651901</v>
      </c>
      <c r="E1169" s="74">
        <f>Comp3[[#This Row],[Comparable '#3 Price]]/'Comparable #3'!$B$2*100</f>
        <v>73.568808122173877</v>
      </c>
    </row>
    <row r="1170" spans="1:5">
      <c r="A1170" s="96">
        <v>44981</v>
      </c>
      <c r="B1170" s="74">
        <f>Target1[[#This Row],[Target Price]]/Target!$B$2*100</f>
        <v>252.29784758580567</v>
      </c>
      <c r="C1170" s="74">
        <f>Comp1[[#This Row],[Comparable '#1 Price]]/'Comparable #1'!$B$2*100</f>
        <v>81.930184804928146</v>
      </c>
      <c r="D1170" s="74">
        <f>Comp2[[#This Row],[Comparable '#2 Price]]/'Comparable #2'!$B$2*100</f>
        <v>80.060362173038229</v>
      </c>
      <c r="E1170" s="74">
        <f>Comp3[[#This Row],[Comparable '#3 Price]]/'Comparable #3'!$B$2*100</f>
        <v>75.300742257486576</v>
      </c>
    </row>
    <row r="1171" spans="1:5">
      <c r="A1171" s="96">
        <v>44984</v>
      </c>
      <c r="B1171" s="74">
        <f>Target1[[#This Row],[Target Price]]/Target!$B$2*100</f>
        <v>249.15648632926116</v>
      </c>
      <c r="C1171" s="74">
        <f>Comp1[[#This Row],[Comparable '#1 Price]]/'Comparable #1'!$B$2*100</f>
        <v>81.245722108145102</v>
      </c>
      <c r="D1171" s="74">
        <f>Comp2[[#This Row],[Comparable '#2 Price]]/'Comparable #2'!$B$2*100</f>
        <v>78.853118712273627</v>
      </c>
      <c r="E1171" s="74">
        <f>Comp3[[#This Row],[Comparable '#3 Price]]/'Comparable #3'!$B$2*100</f>
        <v>74.396382561214921</v>
      </c>
    </row>
    <row r="1172" spans="1:5">
      <c r="A1172" s="96">
        <v>44985</v>
      </c>
      <c r="B1172" s="74">
        <f>Target1[[#This Row],[Target Price]]/Target!$B$2*100</f>
        <v>247.06224549156482</v>
      </c>
      <c r="C1172" s="74">
        <f>Comp1[[#This Row],[Comparable '#1 Price]]/'Comparable #1'!$B$2*100</f>
        <v>81.177275838466798</v>
      </c>
      <c r="D1172" s="74">
        <f>Comp2[[#This Row],[Comparable '#2 Price]]/'Comparable #2'!$B$2*100</f>
        <v>78.712273641851098</v>
      </c>
      <c r="E1172" s="74">
        <f>Comp3[[#This Row],[Comparable '#3 Price]]/'Comparable #3'!$B$2*100</f>
        <v>72.732701987884994</v>
      </c>
    </row>
    <row r="1173" spans="1:5">
      <c r="A1173" s="96">
        <v>44986</v>
      </c>
      <c r="B1173" s="74">
        <f>Target1[[#This Row],[Target Price]]/Target!$B$2*100</f>
        <v>245.54973821989529</v>
      </c>
      <c r="C1173" s="74">
        <f>Comp1[[#This Row],[Comparable '#1 Price]]/'Comparable #1'!$B$2*100</f>
        <v>79.055441478439434</v>
      </c>
      <c r="D1173" s="74">
        <f>Comp2[[#This Row],[Comparable '#2 Price]]/'Comparable #2'!$B$2*100</f>
        <v>77.505030181086525</v>
      </c>
      <c r="E1173" s="74">
        <f>Comp3[[#This Row],[Comparable '#3 Price]]/'Comparable #3'!$B$2*100</f>
        <v>71.043426328811535</v>
      </c>
    </row>
    <row r="1174" spans="1:5">
      <c r="A1174" s="96">
        <v>44987</v>
      </c>
      <c r="B1174" s="74">
        <f>Target1[[#This Row],[Target Price]]/Target!$B$2*100</f>
        <v>246.94589877835952</v>
      </c>
      <c r="C1174" s="74">
        <f>Comp1[[#This Row],[Comparable '#1 Price]]/'Comparable #1'!$B$2*100</f>
        <v>80.21902806297058</v>
      </c>
      <c r="D1174" s="74">
        <f>Comp2[[#This Row],[Comparable '#2 Price]]/'Comparable #2'!$B$2*100</f>
        <v>78.16901408450704</v>
      </c>
      <c r="E1174" s="74">
        <f>Comp3[[#This Row],[Comparable '#3 Price]]/'Comparable #3'!$B$2*100</f>
        <v>71.21406023376845</v>
      </c>
    </row>
    <row r="1175" spans="1:5">
      <c r="A1175" s="96">
        <v>44988</v>
      </c>
      <c r="B1175" s="74">
        <f>Target1[[#This Row],[Target Price]]/Target!$B$2*100</f>
        <v>248.74927283304245</v>
      </c>
      <c r="C1175" s="74">
        <f>Comp1[[#This Row],[Comparable '#1 Price]]/'Comparable #1'!$B$2*100</f>
        <v>81.51950718685832</v>
      </c>
      <c r="D1175" s="74">
        <f>Comp2[[#This Row],[Comparable '#2 Price]]/'Comparable #2'!$B$2*100</f>
        <v>79.235412474849099</v>
      </c>
      <c r="E1175" s="74">
        <f>Comp3[[#This Row],[Comparable '#3 Price]]/'Comparable #3'!$B$2*100</f>
        <v>71.657708386656424</v>
      </c>
    </row>
    <row r="1176" spans="1:5">
      <c r="A1176" s="96">
        <v>44991</v>
      </c>
      <c r="B1176" s="74">
        <f>Target1[[#This Row],[Target Price]]/Target!$B$2*100</f>
        <v>249.44735311227458</v>
      </c>
      <c r="C1176" s="74">
        <f>Comp1[[#This Row],[Comparable '#1 Price]]/'Comparable #1'!$B$2*100</f>
        <v>81.177275838466798</v>
      </c>
      <c r="D1176" s="74">
        <f>Comp2[[#This Row],[Comparable '#2 Price]]/'Comparable #2'!$B$2*100</f>
        <v>77.90744466800804</v>
      </c>
      <c r="E1176" s="74">
        <f>Comp3[[#This Row],[Comparable '#3 Price]]/'Comparable #3'!$B$2*100</f>
        <v>70.685095128402011</v>
      </c>
    </row>
    <row r="1177" spans="1:5">
      <c r="A1177" s="96">
        <v>44992</v>
      </c>
      <c r="B1177" s="74">
        <f>Target1[[#This Row],[Target Price]]/Target!$B$2*100</f>
        <v>256.42815590459566</v>
      </c>
      <c r="C1177" s="74">
        <f>Comp1[[#This Row],[Comparable '#1 Price]]/'Comparable #1'!$B$2*100</f>
        <v>81.177275838466798</v>
      </c>
      <c r="D1177" s="74">
        <f>Comp2[[#This Row],[Comparable '#2 Price]]/'Comparable #2'!$B$2*100</f>
        <v>77.90744466800804</v>
      </c>
      <c r="E1177" s="74">
        <f>Comp3[[#This Row],[Comparable '#3 Price]]/'Comparable #3'!$B$2*100</f>
        <v>72.732701987884994</v>
      </c>
    </row>
    <row r="1178" spans="1:5">
      <c r="A1178" s="96">
        <v>44993</v>
      </c>
      <c r="B1178" s="74">
        <f>Target1[[#This Row],[Target Price]]/Target!$B$2*100</f>
        <v>254.91564863292609</v>
      </c>
      <c r="C1178" s="74">
        <f>Comp1[[#This Row],[Comparable '#1 Price]]/'Comparable #1'!$B$2*100</f>
        <v>81.451060917180016</v>
      </c>
      <c r="D1178" s="74">
        <f>Comp2[[#This Row],[Comparable '#2 Price]]/'Comparable #2'!$B$2*100</f>
        <v>76.599597585513081</v>
      </c>
      <c r="E1178" s="74">
        <f>Comp3[[#This Row],[Comparable '#3 Price]]/'Comparable #3'!$B$2*100</f>
        <v>73.398174217216962</v>
      </c>
    </row>
    <row r="1179" spans="1:5">
      <c r="A1179" s="96">
        <v>44994</v>
      </c>
      <c r="B1179" s="74">
        <f>Target1[[#This Row],[Target Price]]/Target!$B$2*100</f>
        <v>250.84351367073876</v>
      </c>
      <c r="C1179" s="74">
        <f>Comp1[[#This Row],[Comparable '#1 Price]]/'Comparable #1'!$B$2*100</f>
        <v>80.21902806297058</v>
      </c>
      <c r="D1179" s="74">
        <f>Comp2[[#This Row],[Comparable '#2 Price]]/'Comparable #2'!$B$2*100</f>
        <v>77.686116700201197</v>
      </c>
      <c r="E1179" s="74">
        <f>Comp3[[#This Row],[Comparable '#3 Price]]/'Comparable #3'!$B$2*100</f>
        <v>73.099564883542371</v>
      </c>
    </row>
    <row r="1180" spans="1:5">
      <c r="A1180" s="96">
        <v>44995</v>
      </c>
      <c r="B1180" s="74">
        <f>Target1[[#This Row],[Target Price]]/Target!$B$2*100</f>
        <v>233.21698662012801</v>
      </c>
      <c r="C1180" s="74">
        <f>Comp1[[#This Row],[Comparable '#1 Price]]/'Comparable #1'!$B$2*100</f>
        <v>78.98699520876113</v>
      </c>
      <c r="D1180" s="74">
        <f>Comp2[[#This Row],[Comparable '#2 Price]]/'Comparable #2'!$B$2*100</f>
        <v>76.036217303822923</v>
      </c>
      <c r="E1180" s="74">
        <f>Comp3[[#This Row],[Comparable '#3 Price]]/'Comparable #3'!$B$2*100</f>
        <v>72.715638597389315</v>
      </c>
    </row>
    <row r="1181" spans="1:5">
      <c r="A1181" s="96">
        <v>44998</v>
      </c>
      <c r="B1181" s="74">
        <f>Target1[[#This Row],[Target Price]]/Target!$B$2*100</f>
        <v>230.13379872018612</v>
      </c>
      <c r="C1181" s="74">
        <f>Comp1[[#This Row],[Comparable '#1 Price]]/'Comparable #1'!$B$2*100</f>
        <v>78.234086242299796</v>
      </c>
      <c r="D1181" s="74">
        <f>Comp2[[#This Row],[Comparable '#2 Price]]/'Comparable #2'!$B$2*100</f>
        <v>73.963782696177049</v>
      </c>
      <c r="E1181" s="74">
        <f>Comp3[[#This Row],[Comparable '#3 Price]]/'Comparable #3'!$B$2*100</f>
        <v>71.307908881494754</v>
      </c>
    </row>
    <row r="1182" spans="1:5">
      <c r="A1182" s="96">
        <v>44999</v>
      </c>
      <c r="B1182" s="74">
        <f>Target1[[#This Row],[Target Price]]/Target!$B$2*100</f>
        <v>234.67132053519489</v>
      </c>
      <c r="C1182" s="74">
        <f>Comp1[[#This Row],[Comparable '#1 Price]]/'Comparable #1'!$B$2*100</f>
        <v>80.150581793292275</v>
      </c>
      <c r="D1182" s="74">
        <f>Comp2[[#This Row],[Comparable '#2 Price]]/'Comparable #2'!$B$2*100</f>
        <v>75.291750503018108</v>
      </c>
      <c r="E1182" s="74">
        <f>Comp3[[#This Row],[Comparable '#3 Price]]/'Comparable #3'!$B$2*100</f>
        <v>72.399965873219003</v>
      </c>
    </row>
    <row r="1183" spans="1:5">
      <c r="A1183" s="96">
        <v>45000</v>
      </c>
      <c r="B1183" s="74">
        <f>Target1[[#This Row],[Target Price]]/Target!$B$2*100</f>
        <v>229.84293193717272</v>
      </c>
      <c r="C1183" s="74">
        <f>Comp1[[#This Row],[Comparable '#1 Price]]/'Comparable #1'!$B$2*100</f>
        <v>79.397672826830927</v>
      </c>
      <c r="D1183" s="74">
        <f>Comp2[[#This Row],[Comparable '#2 Price]]/'Comparable #2'!$B$2*100</f>
        <v>74.225352112676063</v>
      </c>
      <c r="E1183" s="74">
        <f>Comp3[[#This Row],[Comparable '#3 Price]]/'Comparable #3'!$B$2*100</f>
        <v>72.41702926371471</v>
      </c>
    </row>
    <row r="1184" spans="1:5">
      <c r="A1184" s="96">
        <v>45001</v>
      </c>
      <c r="B1184" s="74">
        <f>Target1[[#This Row],[Target Price]]/Target!$B$2*100</f>
        <v>230.19197207678883</v>
      </c>
      <c r="C1184" s="74">
        <f>Comp1[[#This Row],[Comparable '#1 Price]]/'Comparable #1'!$B$2*100</f>
        <v>79.739904175222449</v>
      </c>
      <c r="D1184" s="74">
        <f>Comp2[[#This Row],[Comparable '#2 Price]]/'Comparable #2'!$B$2*100</f>
        <v>74.708249496981892</v>
      </c>
      <c r="E1184" s="74">
        <f>Comp3[[#This Row],[Comparable '#3 Price]]/'Comparable #3'!$B$2*100</f>
        <v>73.816227284361403</v>
      </c>
    </row>
    <row r="1185" spans="1:5">
      <c r="A1185" s="96">
        <v>45002</v>
      </c>
      <c r="B1185" s="74">
        <f>Target1[[#This Row],[Target Price]]/Target!$B$2*100</f>
        <v>224.8981966259453</v>
      </c>
      <c r="C1185" s="74">
        <f>Comp1[[#This Row],[Comparable '#1 Price]]/'Comparable #1'!$B$2*100</f>
        <v>78.644763860369622</v>
      </c>
      <c r="D1185" s="74">
        <f>Comp2[[#This Row],[Comparable '#2 Price]]/'Comparable #2'!$B$2*100</f>
        <v>73.259557344064376</v>
      </c>
      <c r="E1185" s="74">
        <f>Comp3[[#This Row],[Comparable '#3 Price]]/'Comparable #3'!$B$2*100</f>
        <v>72.246395358757795</v>
      </c>
    </row>
    <row r="1186" spans="1:5">
      <c r="A1186" s="96">
        <v>45005</v>
      </c>
      <c r="B1186" s="74">
        <f>Target1[[#This Row],[Target Price]]/Target!$B$2*100</f>
        <v>225.01454333915066</v>
      </c>
      <c r="C1186" s="74">
        <f>Comp1[[#This Row],[Comparable '#1 Price]]/'Comparable #1'!$B$2*100</f>
        <v>78.507871321013013</v>
      </c>
      <c r="D1186" s="74">
        <f>Comp2[[#This Row],[Comparable '#2 Price]]/'Comparable #2'!$B$2*100</f>
        <v>75.030181086519107</v>
      </c>
      <c r="E1186" s="74">
        <f>Comp3[[#This Row],[Comparable '#3 Price]]/'Comparable #3'!$B$2*100</f>
        <v>73.295793874242804</v>
      </c>
    </row>
    <row r="1187" spans="1:5">
      <c r="A1187" s="96">
        <v>45006</v>
      </c>
      <c r="B1187" s="74">
        <f>Target1[[#This Row],[Target Price]]/Target!$B$2*100</f>
        <v>226.41070389761489</v>
      </c>
      <c r="C1187" s="74">
        <f>Comp1[[#This Row],[Comparable '#1 Price]]/'Comparable #1'!$B$2*100</f>
        <v>78.37097878165639</v>
      </c>
      <c r="D1187" s="74">
        <f>Comp2[[#This Row],[Comparable '#2 Price]]/'Comparable #2'!$B$2*100</f>
        <v>75.915492957746466</v>
      </c>
      <c r="E1187" s="74">
        <f>Comp3[[#This Row],[Comparable '#3 Price]]/'Comparable #3'!$B$2*100</f>
        <v>74.950942752324892</v>
      </c>
    </row>
    <row r="1188" spans="1:5">
      <c r="A1188" s="96">
        <v>45007</v>
      </c>
      <c r="B1188" s="74">
        <f>Target1[[#This Row],[Target Price]]/Target!$B$2*100</f>
        <v>221.23327515997673</v>
      </c>
      <c r="C1188" s="74">
        <f>Comp1[[#This Row],[Comparable '#1 Price]]/'Comparable #1'!$B$2*100</f>
        <v>77.138945927446954</v>
      </c>
      <c r="D1188" s="74">
        <f>Comp2[[#This Row],[Comparable '#2 Price]]/'Comparable #2'!$B$2*100</f>
        <v>73.621730382293777</v>
      </c>
      <c r="E1188" s="74">
        <f>Comp3[[#This Row],[Comparable '#3 Price]]/'Comparable #3'!$B$2*100</f>
        <v>73.637061684156649</v>
      </c>
    </row>
    <row r="1189" spans="1:5">
      <c r="A1189" s="96">
        <v>45008</v>
      </c>
      <c r="B1189" s="74">
        <f>Target1[[#This Row],[Target Price]]/Target!$B$2*100</f>
        <v>221.81500872600347</v>
      </c>
      <c r="C1189" s="74">
        <f>Comp1[[#This Row],[Comparable '#1 Price]]/'Comparable #1'!$B$2*100</f>
        <v>77.754962354551665</v>
      </c>
      <c r="D1189" s="74">
        <f>Comp2[[#This Row],[Comparable '#2 Price]]/'Comparable #2'!$B$2*100</f>
        <v>72.776659959758547</v>
      </c>
      <c r="E1189" s="74">
        <f>Comp3[[#This Row],[Comparable '#3 Price]]/'Comparable #3'!$B$2*100</f>
        <v>73.338452350482044</v>
      </c>
    </row>
    <row r="1190" spans="1:5">
      <c r="A1190" s="96">
        <v>45009</v>
      </c>
      <c r="B1190" s="74">
        <f>Target1[[#This Row],[Target Price]]/Target!$B$2*100</f>
        <v>225.01454333915066</v>
      </c>
      <c r="C1190" s="74">
        <f>Comp1[[#This Row],[Comparable '#1 Price]]/'Comparable #1'!$B$2*100</f>
        <v>78.781656399726216</v>
      </c>
      <c r="D1190" s="74">
        <f>Comp2[[#This Row],[Comparable '#2 Price]]/'Comparable #2'!$B$2*100</f>
        <v>73.561368209255534</v>
      </c>
      <c r="E1190" s="74">
        <f>Comp3[[#This Row],[Comparable '#3 Price]]/'Comparable #3'!$B$2*100</f>
        <v>74.643801723402433</v>
      </c>
    </row>
    <row r="1191" spans="1:5">
      <c r="A1191" s="96">
        <v>45012</v>
      </c>
      <c r="B1191" s="74">
        <f>Target1[[#This Row],[Target Price]]/Target!$B$2*100</f>
        <v>229.95927865037814</v>
      </c>
      <c r="C1191" s="74">
        <f>Comp1[[#This Row],[Comparable '#1 Price]]/'Comparable #1'!$B$2*100</f>
        <v>80.013689253935667</v>
      </c>
      <c r="D1191" s="74">
        <f>Comp2[[#This Row],[Comparable '#2 Price]]/'Comparable #2'!$B$2*100</f>
        <v>75.814889336016094</v>
      </c>
      <c r="E1191" s="74">
        <f>Comp3[[#This Row],[Comparable '#3 Price]]/'Comparable #3'!$B$2*100</f>
        <v>75.565224810169781</v>
      </c>
    </row>
    <row r="1192" spans="1:5">
      <c r="A1192" s="96">
        <v>45013</v>
      </c>
      <c r="B1192" s="74">
        <f>Target1[[#This Row],[Target Price]]/Target!$B$2*100</f>
        <v>229.90110529377543</v>
      </c>
      <c r="C1192" s="74">
        <f>Comp1[[#This Row],[Comparable '#1 Price]]/'Comparable #1'!$B$2*100</f>
        <v>79.603011635865855</v>
      </c>
      <c r="D1192" s="74">
        <f>Comp2[[#This Row],[Comparable '#2 Price]]/'Comparable #2'!$B$2*100</f>
        <v>75.372233400402408</v>
      </c>
      <c r="E1192" s="74">
        <f>Comp3[[#This Row],[Comparable '#3 Price]]/'Comparable #3'!$B$2*100</f>
        <v>74.524357989932597</v>
      </c>
    </row>
    <row r="1193" spans="1:5">
      <c r="A1193" s="96">
        <v>45014</v>
      </c>
      <c r="B1193" s="74">
        <f>Target1[[#This Row],[Target Price]]/Target!$B$2*100</f>
        <v>225.53810354857475</v>
      </c>
      <c r="C1193" s="74">
        <f>Comp1[[#This Row],[Comparable '#1 Price]]/'Comparable #1'!$B$2*100</f>
        <v>79.055441478439434</v>
      </c>
      <c r="D1193" s="74">
        <f>Comp2[[#This Row],[Comparable '#2 Price]]/'Comparable #2'!$B$2*100</f>
        <v>74.044265593561349</v>
      </c>
      <c r="E1193" s="74">
        <f>Comp3[[#This Row],[Comparable '#3 Price]]/'Comparable #3'!$B$2*100</f>
        <v>73.841822370104936</v>
      </c>
    </row>
    <row r="1194" spans="1:5">
      <c r="A1194" s="96">
        <v>45015</v>
      </c>
      <c r="B1194" s="74">
        <f>Target1[[#This Row],[Target Price]]/Target!$B$2*100</f>
        <v>227.05061082024432</v>
      </c>
      <c r="C1194" s="74">
        <f>Comp1[[#This Row],[Comparable '#1 Price]]/'Comparable #1'!$B$2*100</f>
        <v>79.534565366187536</v>
      </c>
      <c r="D1194" s="74">
        <f>Comp2[[#This Row],[Comparable '#2 Price]]/'Comparable #2'!$B$2*100</f>
        <v>75.090543259557336</v>
      </c>
      <c r="E1194" s="74">
        <f>Comp3[[#This Row],[Comparable '#3 Price]]/'Comparable #3'!$B$2*100</f>
        <v>75.283678866990869</v>
      </c>
    </row>
    <row r="1195" spans="1:5">
      <c r="A1195" s="96">
        <v>45016</v>
      </c>
      <c r="B1195" s="74">
        <f>Target1[[#This Row],[Target Price]]/Target!$B$2*100</f>
        <v>228.33042466550319</v>
      </c>
      <c r="C1195" s="74">
        <f>Comp1[[#This Row],[Comparable '#1 Price]]/'Comparable #1'!$B$2*100</f>
        <v>80.492813141683783</v>
      </c>
      <c r="D1195" s="74">
        <f>Comp2[[#This Row],[Comparable '#2 Price]]/'Comparable #2'!$B$2*100</f>
        <v>77.706237424547282</v>
      </c>
      <c r="E1195" s="74">
        <f>Comp3[[#This Row],[Comparable '#3 Price]]/'Comparable #3'!$B$2*100</f>
        <v>76.640218411398337</v>
      </c>
    </row>
    <row r="1196" spans="1:5">
      <c r="A1196" s="96">
        <v>45019</v>
      </c>
      <c r="B1196" s="74">
        <f>Target1[[#This Row],[Target Price]]/Target!$B$2*100</f>
        <v>227.51599767306573</v>
      </c>
      <c r="C1196" s="74">
        <f>Comp1[[#This Row],[Comparable '#1 Price]]/'Comparable #1'!$B$2*100</f>
        <v>78.781656399726216</v>
      </c>
      <c r="D1196" s="74">
        <f>Comp2[[#This Row],[Comparable '#2 Price]]/'Comparable #2'!$B$2*100</f>
        <v>77.484909456740439</v>
      </c>
      <c r="E1196" s="74">
        <f>Comp3[[#This Row],[Comparable '#3 Price]]/'Comparable #3'!$B$2*100</f>
        <v>76.580496544663433</v>
      </c>
    </row>
    <row r="1197" spans="1:5">
      <c r="A1197" s="96">
        <v>45020</v>
      </c>
      <c r="B1197" s="74">
        <f>Target1[[#This Row],[Target Price]]/Target!$B$2*100</f>
        <v>223.67655613728914</v>
      </c>
      <c r="C1197" s="74">
        <f>Comp1[[#This Row],[Comparable '#1 Price]]/'Comparable #1'!$B$2*100</f>
        <v>77.891854893908288</v>
      </c>
      <c r="D1197" s="74">
        <f>Comp2[[#This Row],[Comparable '#2 Price]]/'Comparable #2'!$B$2*100</f>
        <v>76.016096579476852</v>
      </c>
      <c r="E1197" s="74">
        <f>Comp3[[#This Row],[Comparable '#3 Price]]/'Comparable #3'!$B$2*100</f>
        <v>76.068594829792673</v>
      </c>
    </row>
    <row r="1198" spans="1:5">
      <c r="A1198" s="96">
        <v>45021</v>
      </c>
      <c r="B1198" s="74">
        <f>Target1[[#This Row],[Target Price]]/Target!$B$2*100</f>
        <v>219.89528795811518</v>
      </c>
      <c r="C1198" s="74">
        <f>Comp1[[#This Row],[Comparable '#1 Price]]/'Comparable #1'!$B$2*100</f>
        <v>78.028747433264883</v>
      </c>
      <c r="D1198" s="74">
        <f>Comp2[[#This Row],[Comparable '#2 Price]]/'Comparable #2'!$B$2*100</f>
        <v>76.639839034205238</v>
      </c>
      <c r="E1198" s="74">
        <f>Comp3[[#This Row],[Comparable '#3 Price]]/'Comparable #3'!$B$2*100</f>
        <v>77.117993345277711</v>
      </c>
    </row>
    <row r="1199" spans="1:5">
      <c r="A1199" s="96">
        <v>45022</v>
      </c>
      <c r="B1199" s="74">
        <f>Target1[[#This Row],[Target Price]]/Target!$B$2*100</f>
        <v>220.41884816753927</v>
      </c>
      <c r="C1199" s="74">
        <f>Comp1[[#This Row],[Comparable '#1 Price]]/'Comparable #1'!$B$2*100</f>
        <v>77.275838466803563</v>
      </c>
      <c r="D1199" s="74">
        <f>Comp2[[#This Row],[Comparable '#2 Price]]/'Comparable #2'!$B$2*100</f>
        <v>76.277665995975838</v>
      </c>
      <c r="E1199" s="74">
        <f>Comp3[[#This Row],[Comparable '#3 Price]]/'Comparable #3'!$B$2*100</f>
        <v>77.083866564286325</v>
      </c>
    </row>
    <row r="1200" spans="1:5">
      <c r="A1200" s="96">
        <v>45026</v>
      </c>
      <c r="B1200" s="74">
        <f>Target1[[#This Row],[Target Price]]/Target!$B$2*100</f>
        <v>222.39674229203024</v>
      </c>
      <c r="C1200" s="74">
        <f>Comp1[[#This Row],[Comparable '#1 Price]]/'Comparable #1'!$B$2*100</f>
        <v>77.82340862422997</v>
      </c>
      <c r="D1200" s="74">
        <f>Comp2[[#This Row],[Comparable '#2 Price]]/'Comparable #2'!$B$2*100</f>
        <v>76.881287726358153</v>
      </c>
      <c r="E1200" s="74">
        <f>Comp3[[#This Row],[Comparable '#3 Price]]/'Comparable #3'!$B$2*100</f>
        <v>78.568381537411497</v>
      </c>
    </row>
    <row r="1201" spans="1:5">
      <c r="A1201" s="96">
        <v>45027</v>
      </c>
      <c r="B1201" s="74">
        <f>Target1[[#This Row],[Target Price]]/Target!$B$2*100</f>
        <v>224.66550319953461</v>
      </c>
      <c r="C1201" s="74">
        <f>Comp1[[#This Row],[Comparable '#1 Price]]/'Comparable #1'!$B$2*100</f>
        <v>78.918548939082825</v>
      </c>
      <c r="D1201" s="74">
        <f>Comp2[[#This Row],[Comparable '#2 Price]]/'Comparable #2'!$B$2*100</f>
        <v>77.706237424547282</v>
      </c>
      <c r="E1201" s="74">
        <f>Comp3[[#This Row],[Comparable '#3 Price]]/'Comparable #3'!$B$2*100</f>
        <v>79.882262605579726</v>
      </c>
    </row>
    <row r="1202" spans="1:5">
      <c r="A1202" s="96">
        <v>45028</v>
      </c>
      <c r="B1202" s="74">
        <f>Target1[[#This Row],[Target Price]]/Target!$B$2*100</f>
        <v>219.89528795811518</v>
      </c>
      <c r="C1202" s="74">
        <f>Comp1[[#This Row],[Comparable '#1 Price]]/'Comparable #1'!$B$2*100</f>
        <v>79.192334017796043</v>
      </c>
      <c r="D1202" s="74">
        <f>Comp2[[#This Row],[Comparable '#2 Price]]/'Comparable #2'!$B$2*100</f>
        <v>78.873239436619727</v>
      </c>
      <c r="E1202" s="74">
        <f>Comp3[[#This Row],[Comparable '#3 Price]]/'Comparable #3'!$B$2*100</f>
        <v>80.342974148963407</v>
      </c>
    </row>
    <row r="1203" spans="1:5">
      <c r="A1203" s="96">
        <v>45029</v>
      </c>
      <c r="B1203" s="74">
        <f>Target1[[#This Row],[Target Price]]/Target!$B$2*100</f>
        <v>224.4909831297266</v>
      </c>
      <c r="C1203" s="74">
        <f>Comp1[[#This Row],[Comparable '#1 Price]]/'Comparable #1'!$B$2*100</f>
        <v>81.451060917180016</v>
      </c>
      <c r="D1203" s="74">
        <f>Comp2[[#This Row],[Comparable '#2 Price]]/'Comparable #2'!$B$2*100</f>
        <v>80.442655935613672</v>
      </c>
      <c r="E1203" s="74">
        <f>Comp3[[#This Row],[Comparable '#3 Price]]/'Comparable #3'!$B$2*100</f>
        <v>80.633051787390158</v>
      </c>
    </row>
    <row r="1204" spans="1:5">
      <c r="A1204" s="96">
        <v>45030</v>
      </c>
      <c r="B1204" s="74">
        <f>Target1[[#This Row],[Target Price]]/Target!$B$2*100</f>
        <v>222.86212914485165</v>
      </c>
      <c r="C1204" s="74">
        <f>Comp1[[#This Row],[Comparable '#1 Price]]/'Comparable #1'!$B$2*100</f>
        <v>82.409308692676248</v>
      </c>
      <c r="D1204" s="74">
        <f>Comp2[[#This Row],[Comparable '#2 Price]]/'Comparable #2'!$B$2*100</f>
        <v>80.281690140845058</v>
      </c>
      <c r="E1204" s="74">
        <f>Comp3[[#This Row],[Comparable '#3 Price]]/'Comparable #3'!$B$2*100</f>
        <v>80.044364815288787</v>
      </c>
    </row>
    <row r="1205" spans="1:5">
      <c r="A1205" s="96">
        <v>45033</v>
      </c>
      <c r="B1205" s="74">
        <f>Target1[[#This Row],[Target Price]]/Target!$B$2*100</f>
        <v>222.68760907504364</v>
      </c>
      <c r="C1205" s="74">
        <f>Comp1[[#This Row],[Comparable '#1 Price]]/'Comparable #1'!$B$2*100</f>
        <v>82.272416153319654</v>
      </c>
      <c r="D1205" s="74">
        <f>Comp2[[#This Row],[Comparable '#2 Price]]/'Comparable #2'!$B$2*100</f>
        <v>79.25553319919517</v>
      </c>
      <c r="E1205" s="74">
        <f>Comp3[[#This Row],[Comparable '#3 Price]]/'Comparable #3'!$B$2*100</f>
        <v>79.199726985752079</v>
      </c>
    </row>
    <row r="1206" spans="1:5">
      <c r="A1206" s="96">
        <v>45034</v>
      </c>
      <c r="B1206" s="74">
        <f>Target1[[#This Row],[Target Price]]/Target!$B$2*100</f>
        <v>221.40779522978477</v>
      </c>
      <c r="C1206" s="74">
        <f>Comp1[[#This Row],[Comparable '#1 Price]]/'Comparable #1'!$B$2*100</f>
        <v>81.930184804928146</v>
      </c>
      <c r="D1206" s="74">
        <f>Comp2[[#This Row],[Comparable '#2 Price]]/'Comparable #2'!$B$2*100</f>
        <v>79.476861167002014</v>
      </c>
      <c r="E1206" s="74">
        <f>Comp3[[#This Row],[Comparable '#3 Price]]/'Comparable #3'!$B$2*100</f>
        <v>78.338025765719649</v>
      </c>
    </row>
    <row r="1207" spans="1:5">
      <c r="A1207" s="96">
        <v>45035</v>
      </c>
      <c r="B1207" s="74">
        <f>Target1[[#This Row],[Target Price]]/Target!$B$2*100</f>
        <v>222.74578243164629</v>
      </c>
      <c r="C1207" s="74">
        <f>Comp1[[#This Row],[Comparable '#1 Price]]/'Comparable #1'!$B$2*100</f>
        <v>80.766598220397</v>
      </c>
      <c r="D1207" s="74">
        <f>Comp2[[#This Row],[Comparable '#2 Price]]/'Comparable #2'!$B$2*100</f>
        <v>78.611670020120712</v>
      </c>
      <c r="E1207" s="74">
        <f>Comp3[[#This Row],[Comparable '#3 Price]]/'Comparable #3'!$B$2*100</f>
        <v>78.312430679976117</v>
      </c>
    </row>
    <row r="1208" spans="1:5">
      <c r="A1208" s="96">
        <v>45036</v>
      </c>
      <c r="B1208" s="74">
        <f>Target1[[#This Row],[Target Price]]/Target!$B$2*100</f>
        <v>221.11692844677134</v>
      </c>
      <c r="C1208" s="74">
        <f>Comp1[[#This Row],[Comparable '#1 Price]]/'Comparable #1'!$B$2*100</f>
        <v>81.451060917180016</v>
      </c>
      <c r="D1208" s="74">
        <f>Comp2[[#This Row],[Comparable '#2 Price]]/'Comparable #2'!$B$2*100</f>
        <v>79.758551307847085</v>
      </c>
      <c r="E1208" s="74">
        <f>Comp3[[#This Row],[Comparable '#3 Price]]/'Comparable #3'!$B$2*100</f>
        <v>78.909649347325313</v>
      </c>
    </row>
    <row r="1209" spans="1:5">
      <c r="A1209" s="96">
        <v>45037</v>
      </c>
      <c r="B1209" s="74">
        <f>Target1[[#This Row],[Target Price]]/Target!$B$2*100</f>
        <v>219.89528795811518</v>
      </c>
      <c r="C1209" s="74">
        <f>Comp1[[#This Row],[Comparable '#1 Price]]/'Comparable #1'!$B$2*100</f>
        <v>82.067077344284741</v>
      </c>
      <c r="D1209" s="74">
        <f>Comp2[[#This Row],[Comparable '#2 Price]]/'Comparable #2'!$B$2*100</f>
        <v>81.770623742454731</v>
      </c>
      <c r="E1209" s="74">
        <f>Comp3[[#This Row],[Comparable '#3 Price]]/'Comparable #3'!$B$2*100</f>
        <v>79.27651224298269</v>
      </c>
    </row>
    <row r="1210" spans="1:5">
      <c r="A1210" s="96">
        <v>45040</v>
      </c>
      <c r="B1210" s="74">
        <f>Target1[[#This Row],[Target Price]]/Target!$B$2*100</f>
        <v>221.64048865619543</v>
      </c>
      <c r="C1210" s="74">
        <f>Comp1[[#This Row],[Comparable '#1 Price]]/'Comparable #1'!$B$2*100</f>
        <v>82.135523613963045</v>
      </c>
      <c r="D1210" s="74">
        <f>Comp2[[#This Row],[Comparable '#2 Price]]/'Comparable #2'!$B$2*100</f>
        <v>81.609657947686117</v>
      </c>
      <c r="E1210" s="74">
        <f>Comp3[[#This Row],[Comparable '#3 Price]]/'Comparable #3'!$B$2*100</f>
        <v>79.216790376247758</v>
      </c>
    </row>
    <row r="1211" spans="1:5">
      <c r="A1211" s="96">
        <v>45041</v>
      </c>
      <c r="B1211" s="74">
        <f>Target1[[#This Row],[Target Price]]/Target!$B$2*100</f>
        <v>219.83711460151247</v>
      </c>
      <c r="C1211" s="74">
        <f>Comp1[[#This Row],[Comparable '#1 Price]]/'Comparable #1'!$B$2*100</f>
        <v>83.367556468172495</v>
      </c>
      <c r="D1211" s="74">
        <f>Comp2[[#This Row],[Comparable '#2 Price]]/'Comparable #2'!$B$2*100</f>
        <v>81.64989939637826</v>
      </c>
      <c r="E1211" s="74">
        <f>Comp3[[#This Row],[Comparable '#3 Price]]/'Comparable #3'!$B$2*100</f>
        <v>78.286835594232585</v>
      </c>
    </row>
    <row r="1212" spans="1:5">
      <c r="A1212" s="96">
        <v>45042</v>
      </c>
      <c r="B1212" s="74">
        <f>Target1[[#This Row],[Target Price]]/Target!$B$2*100</f>
        <v>248.63292611983709</v>
      </c>
      <c r="C1212" s="74">
        <f>Comp1[[#This Row],[Comparable '#1 Price]]/'Comparable #1'!$B$2*100</f>
        <v>83.230663928815886</v>
      </c>
      <c r="D1212" s="74">
        <f>Comp2[[#This Row],[Comparable '#2 Price]]/'Comparable #2'!$B$2*100</f>
        <v>82.193158953722332</v>
      </c>
      <c r="E1212" s="74">
        <f>Comp3[[#This Row],[Comparable '#3 Price]]/'Comparable #3'!$B$2*100</f>
        <v>78.832864090094716</v>
      </c>
    </row>
    <row r="1213" spans="1:5">
      <c r="A1213" s="96">
        <v>45043</v>
      </c>
      <c r="B1213" s="74">
        <f>Target1[[#This Row],[Target Price]]/Target!$B$2*100</f>
        <v>247.35311227457822</v>
      </c>
      <c r="C1213" s="74">
        <f>Comp1[[#This Row],[Comparable '#1 Price]]/'Comparable #1'!$B$2*100</f>
        <v>84.05201916495551</v>
      </c>
      <c r="D1213" s="74">
        <f>Comp2[[#This Row],[Comparable '#2 Price]]/'Comparable #2'!$B$2*100</f>
        <v>81.75050301810866</v>
      </c>
      <c r="E1213" s="74">
        <f>Comp3[[#This Row],[Comparable '#3 Price]]/'Comparable #3'!$B$2*100</f>
        <v>76.768193840116041</v>
      </c>
    </row>
    <row r="1214" spans="1:5">
      <c r="A1214" s="96">
        <v>45044</v>
      </c>
      <c r="B1214" s="74">
        <f>Target1[[#This Row],[Target Price]]/Target!$B$2*100</f>
        <v>249.91273996509597</v>
      </c>
      <c r="C1214" s="74">
        <f>Comp1[[#This Row],[Comparable '#1 Price]]/'Comparable #1'!$B$2*100</f>
        <v>84.804928131416844</v>
      </c>
      <c r="D1214" s="74">
        <f>Comp2[[#This Row],[Comparable '#2 Price]]/'Comparable #2'!$B$2*100</f>
        <v>81.629778672032188</v>
      </c>
      <c r="E1214" s="74">
        <f>Comp3[[#This Row],[Comparable '#3 Price]]/'Comparable #3'!$B$2*100</f>
        <v>75.078918181042582</v>
      </c>
    </row>
    <row r="1215" spans="1:5">
      <c r="A1215" s="96">
        <v>45047</v>
      </c>
      <c r="B1215" s="74">
        <f>Target1[[#This Row],[Target Price]]/Target!$B$2*100</f>
        <v>249.15648632926116</v>
      </c>
      <c r="C1215" s="74">
        <f>Comp1[[#This Row],[Comparable '#1 Price]]/'Comparable #1'!$B$2*100</f>
        <v>84.941820670773453</v>
      </c>
      <c r="D1215" s="74">
        <f>Comp2[[#This Row],[Comparable '#2 Price]]/'Comparable #2'!$B$2*100</f>
        <v>82.132796780684103</v>
      </c>
      <c r="E1215" s="74">
        <f>Comp3[[#This Row],[Comparable '#3 Price]]/'Comparable #3'!$B$2*100</f>
        <v>76.844979097346638</v>
      </c>
    </row>
    <row r="1216" spans="1:5">
      <c r="A1216" s="96">
        <v>45048</v>
      </c>
      <c r="B1216" s="74">
        <f>Target1[[#This Row],[Target Price]]/Target!$B$2*100</f>
        <v>240.19778941244908</v>
      </c>
      <c r="C1216" s="74">
        <f>Comp1[[#This Row],[Comparable '#1 Price]]/'Comparable #1'!$B$2*100</f>
        <v>81.930184804928146</v>
      </c>
      <c r="D1216" s="74">
        <f>Comp2[[#This Row],[Comparable '#2 Price]]/'Comparable #2'!$B$2*100</f>
        <v>77.142857142857153</v>
      </c>
      <c r="E1216" s="74">
        <f>Comp3[[#This Row],[Comparable '#3 Price]]/'Comparable #3'!$B$2*100</f>
        <v>70.454739356710178</v>
      </c>
    </row>
    <row r="1217" spans="1:5">
      <c r="A1217" s="96">
        <v>45049</v>
      </c>
      <c r="B1217" s="74">
        <f>Target1[[#This Row],[Target Price]]/Target!$B$2*100</f>
        <v>240.31413612565444</v>
      </c>
      <c r="C1217" s="74">
        <f>Comp1[[#This Row],[Comparable '#1 Price]]/'Comparable #1'!$B$2*100</f>
        <v>81.382614647501711</v>
      </c>
      <c r="D1217" s="74">
        <f>Comp2[[#This Row],[Comparable '#2 Price]]/'Comparable #2'!$B$2*100</f>
        <v>85.794768611670008</v>
      </c>
      <c r="E1217" s="74">
        <f>Comp3[[#This Row],[Comparable '#3 Price]]/'Comparable #3'!$B$2*100</f>
        <v>70.352359013736034</v>
      </c>
    </row>
    <row r="1218" spans="1:5">
      <c r="A1218" s="96">
        <v>45050</v>
      </c>
      <c r="B1218" s="74">
        <f>Target1[[#This Row],[Target Price]]/Target!$B$2*100</f>
        <v>236.88190808609653</v>
      </c>
      <c r="C1218" s="74">
        <f>Comp1[[#This Row],[Comparable '#1 Price]]/'Comparable #1'!$B$2*100</f>
        <v>80.903490759753595</v>
      </c>
      <c r="D1218" s="74">
        <f>Comp2[[#This Row],[Comparable '#2 Price]]/'Comparable #2'!$B$2*100</f>
        <v>84.708249496981892</v>
      </c>
      <c r="E1218" s="74">
        <f>Comp3[[#This Row],[Comparable '#3 Price]]/'Comparable #3'!$B$2*100</f>
        <v>69.857520689360967</v>
      </c>
    </row>
    <row r="1219" spans="1:5">
      <c r="A1219" s="96">
        <v>45051</v>
      </c>
      <c r="B1219" s="74">
        <f>Target1[[#This Row],[Target Price]]/Target!$B$2*100</f>
        <v>239.55788248981963</v>
      </c>
      <c r="C1219" s="74">
        <f>Comp1[[#This Row],[Comparable '#1 Price]]/'Comparable #1'!$B$2*100</f>
        <v>84.325804243668728</v>
      </c>
      <c r="D1219" s="74">
        <f>Comp2[[#This Row],[Comparable '#2 Price]]/'Comparable #2'!$B$2*100</f>
        <v>83.802816901408434</v>
      </c>
      <c r="E1219" s="74">
        <f>Comp3[[#This Row],[Comparable '#3 Price]]/'Comparable #3'!$B$2*100</f>
        <v>70.053749680061429</v>
      </c>
    </row>
    <row r="1220" spans="1:5">
      <c r="A1220" s="96">
        <v>45054</v>
      </c>
      <c r="B1220" s="74">
        <f>Target1[[#This Row],[Target Price]]/Target!$B$2*100</f>
        <v>240.02326934264104</v>
      </c>
      <c r="C1220" s="74">
        <f>Comp1[[#This Row],[Comparable '#1 Price]]/'Comparable #1'!$B$2*100</f>
        <v>81.793292265571523</v>
      </c>
      <c r="D1220" s="74">
        <f>Comp2[[#This Row],[Comparable '#2 Price]]/'Comparable #2'!$B$2*100</f>
        <v>83.501006036217291</v>
      </c>
      <c r="E1220" s="74">
        <f>Comp3[[#This Row],[Comparable '#3 Price]]/'Comparable #3'!$B$2*100</f>
        <v>70.906919204846005</v>
      </c>
    </row>
    <row r="1221" spans="1:5">
      <c r="A1221" s="96">
        <v>45055</v>
      </c>
      <c r="B1221" s="74">
        <f>Target1[[#This Row],[Target Price]]/Target!$B$2*100</f>
        <v>240.08144269924375</v>
      </c>
      <c r="C1221" s="74">
        <f>Comp1[[#This Row],[Comparable '#1 Price]]/'Comparable #1'!$B$2*100</f>
        <v>81.656399726214929</v>
      </c>
      <c r="D1221" s="74">
        <f>Comp2[[#This Row],[Comparable '#2 Price]]/'Comparable #2'!$B$2*100</f>
        <v>83.118712273641847</v>
      </c>
      <c r="E1221" s="74">
        <f>Comp3[[#This Row],[Comparable '#3 Price]]/'Comparable #3'!$B$2*100</f>
        <v>69.371214060233783</v>
      </c>
    </row>
    <row r="1222" spans="1:5">
      <c r="A1222" s="96">
        <v>45056</v>
      </c>
      <c r="B1222" s="74">
        <f>Target1[[#This Row],[Target Price]]/Target!$B$2*100</f>
        <v>241.59394997091331</v>
      </c>
      <c r="C1222" s="74">
        <f>Comp1[[#This Row],[Comparable '#1 Price]]/'Comparable #1'!$B$2*100</f>
        <v>82.135523613963045</v>
      </c>
      <c r="D1222" s="74">
        <f>Comp2[[#This Row],[Comparable '#2 Price]]/'Comparable #2'!$B$2*100</f>
        <v>83.883299798792748</v>
      </c>
      <c r="E1222" s="74">
        <f>Comp3[[#This Row],[Comparable '#3 Price]]/'Comparable #3'!$B$2*100</f>
        <v>67.349202286494318</v>
      </c>
    </row>
    <row r="1223" spans="1:5">
      <c r="A1223" s="96">
        <v>45057</v>
      </c>
      <c r="B1223" s="74">
        <f>Target1[[#This Row],[Target Price]]/Target!$B$2*100</f>
        <v>244.96800465386852</v>
      </c>
      <c r="C1223" s="74">
        <f>Comp1[[#This Row],[Comparable '#1 Price]]/'Comparable #1'!$B$2*100</f>
        <v>82.067077344284741</v>
      </c>
      <c r="D1223" s="74">
        <f>Comp2[[#This Row],[Comparable '#2 Price]]/'Comparable #2'!$B$2*100</f>
        <v>82.957746478873233</v>
      </c>
      <c r="E1223" s="74">
        <f>Comp3[[#This Row],[Comparable '#3 Price]]/'Comparable #3'!$B$2*100</f>
        <v>68.355942325740131</v>
      </c>
    </row>
    <row r="1224" spans="1:5">
      <c r="A1224" s="96">
        <v>45058</v>
      </c>
      <c r="B1224" s="74">
        <f>Target1[[#This Row],[Target Price]]/Target!$B$2*100</f>
        <v>243.74636416521233</v>
      </c>
      <c r="C1224" s="74">
        <f>Comp1[[#This Row],[Comparable '#1 Price]]/'Comparable #1'!$B$2*100</f>
        <v>82.203969883641349</v>
      </c>
      <c r="D1224" s="74">
        <f>Comp2[[#This Row],[Comparable '#2 Price]]/'Comparable #2'!$B$2*100</f>
        <v>82.796780684104618</v>
      </c>
      <c r="E1224" s="74">
        <f>Comp3[[#This Row],[Comparable '#3 Price]]/'Comparable #3'!$B$2*100</f>
        <v>68.526576230697032</v>
      </c>
    </row>
    <row r="1225" spans="1:5">
      <c r="A1225" s="96">
        <v>45061</v>
      </c>
      <c r="B1225" s="74">
        <f>Target1[[#This Row],[Target Price]]/Target!$B$2*100</f>
        <v>246.01512507271667</v>
      </c>
      <c r="C1225" s="74">
        <f>Comp1[[#This Row],[Comparable '#1 Price]]/'Comparable #1'!$B$2*100</f>
        <v>82.067077344284741</v>
      </c>
      <c r="D1225" s="74">
        <f>Comp2[[#This Row],[Comparable '#2 Price]]/'Comparable #2'!$B$2*100</f>
        <v>81.488933601609659</v>
      </c>
      <c r="E1225" s="74">
        <f>Comp3[[#This Row],[Comparable '#3 Price]]/'Comparable #3'!$B$2*100</f>
        <v>68.893439126354409</v>
      </c>
    </row>
    <row r="1226" spans="1:5">
      <c r="A1226" s="96">
        <v>45062</v>
      </c>
      <c r="B1226" s="74">
        <f>Target1[[#This Row],[Target Price]]/Target!$B$2*100</f>
        <v>243.80453752181498</v>
      </c>
      <c r="C1226" s="74">
        <f>Comp1[[#This Row],[Comparable '#1 Price]]/'Comparable #1'!$B$2*100</f>
        <v>81.793292265571523</v>
      </c>
      <c r="D1226" s="74">
        <f>Comp2[[#This Row],[Comparable '#2 Price]]/'Comparable #2'!$B$2*100</f>
        <v>83.34004024144869</v>
      </c>
      <c r="E1226" s="74">
        <f>Comp3[[#This Row],[Comparable '#3 Price]]/'Comparable #3'!$B$2*100</f>
        <v>67.989079430082754</v>
      </c>
    </row>
    <row r="1227" spans="1:5">
      <c r="A1227" s="96">
        <v>45063</v>
      </c>
      <c r="B1227" s="74">
        <f>Target1[[#This Row],[Target Price]]/Target!$B$2*100</f>
        <v>242.23385689354276</v>
      </c>
      <c r="C1227" s="74">
        <f>Comp1[[#This Row],[Comparable '#1 Price]]/'Comparable #1'!$B$2*100</f>
        <v>82.203969883641349</v>
      </c>
      <c r="D1227" s="74">
        <f>Comp2[[#This Row],[Comparable '#2 Price]]/'Comparable #2'!$B$2*100</f>
        <v>85.432595573440636</v>
      </c>
      <c r="E1227" s="74">
        <f>Comp3[[#This Row],[Comparable '#3 Price]]/'Comparable #3'!$B$2*100</f>
        <v>66.845832266871426</v>
      </c>
    </row>
    <row r="1228" spans="1:5">
      <c r="A1228" s="96">
        <v>45064</v>
      </c>
      <c r="B1228" s="74">
        <f>Target1[[#This Row],[Target Price]]/Target!$B$2*100</f>
        <v>242.40837696335075</v>
      </c>
      <c r="C1228" s="74">
        <f>Comp1[[#This Row],[Comparable '#1 Price]]/'Comparable #1'!$B$2*100</f>
        <v>84.188911704312119</v>
      </c>
      <c r="D1228" s="74">
        <f>Comp2[[#This Row],[Comparable '#2 Price]]/'Comparable #2'!$B$2*100</f>
        <v>86.478873239436609</v>
      </c>
      <c r="E1228" s="74">
        <f>Comp3[[#This Row],[Comparable '#3 Price]]/'Comparable #3'!$B$2*100</f>
        <v>66.803173790632201</v>
      </c>
    </row>
    <row r="1229" spans="1:5">
      <c r="A1229" s="96">
        <v>45065</v>
      </c>
      <c r="B1229" s="74">
        <f>Target1[[#This Row],[Target Price]]/Target!$B$2*100</f>
        <v>242.87376381617216</v>
      </c>
      <c r="C1229" s="74">
        <f>Comp1[[#This Row],[Comparable '#1 Price]]/'Comparable #1'!$B$2*100</f>
        <v>84.188911704312119</v>
      </c>
      <c r="D1229" s="74">
        <f>Comp2[[#This Row],[Comparable '#2 Price]]/'Comparable #2'!$B$2*100</f>
        <v>87.525150905432596</v>
      </c>
      <c r="E1229" s="74">
        <f>Comp3[[#This Row],[Comparable '#3 Price]]/'Comparable #3'!$B$2*100</f>
        <v>66.564286323692528</v>
      </c>
    </row>
    <row r="1230" spans="1:5">
      <c r="A1230" s="96">
        <v>45068</v>
      </c>
      <c r="B1230" s="74">
        <f>Target1[[#This Row],[Target Price]]/Target!$B$2*100</f>
        <v>242.64107038976147</v>
      </c>
      <c r="C1230" s="74">
        <f>Comp1[[#This Row],[Comparable '#1 Price]]/'Comparable #1'!$B$2*100</f>
        <v>83.915126625598901</v>
      </c>
      <c r="D1230" s="74">
        <f>Comp2[[#This Row],[Comparable '#2 Price]]/'Comparable #2'!$B$2*100</f>
        <v>86.338028169014066</v>
      </c>
      <c r="E1230" s="74">
        <f>Comp3[[#This Row],[Comparable '#3 Price]]/'Comparable #3'!$B$2*100</f>
        <v>67.579558058186166</v>
      </c>
    </row>
    <row r="1231" spans="1:5">
      <c r="A1231" s="96">
        <v>45069</v>
      </c>
      <c r="B1231" s="74">
        <f>Target1[[#This Row],[Target Price]]/Target!$B$2*100</f>
        <v>240.95404304828389</v>
      </c>
      <c r="C1231" s="74">
        <f>Comp1[[#This Row],[Comparable '#1 Price]]/'Comparable #1'!$B$2*100</f>
        <v>84.325804243668728</v>
      </c>
      <c r="D1231" s="74">
        <f>Comp2[[#This Row],[Comparable '#2 Price]]/'Comparable #2'!$B$2*100</f>
        <v>85.110663983903407</v>
      </c>
      <c r="E1231" s="74">
        <f>Comp3[[#This Row],[Comparable '#3 Price]]/'Comparable #3'!$B$2*100</f>
        <v>67.042061257571888</v>
      </c>
    </row>
    <row r="1232" spans="1:5">
      <c r="A1232" s="96">
        <v>45070</v>
      </c>
      <c r="B1232" s="74">
        <f>Target1[[#This Row],[Target Price]]/Target!$B$2*100</f>
        <v>239.55788248981963</v>
      </c>
      <c r="C1232" s="74">
        <f>Comp1[[#This Row],[Comparable '#1 Price]]/'Comparable #1'!$B$2*100</f>
        <v>84.1204654346338</v>
      </c>
      <c r="D1232" s="74">
        <f>Comp2[[#This Row],[Comparable '#2 Price]]/'Comparable #2'!$B$2*100</f>
        <v>86.096579476861152</v>
      </c>
      <c r="E1232" s="74">
        <f>Comp3[[#This Row],[Comparable '#3 Price]]/'Comparable #3'!$B$2*100</f>
        <v>67.835508915621546</v>
      </c>
    </row>
    <row r="1233" spans="1:5">
      <c r="A1233" s="96">
        <v>45071</v>
      </c>
      <c r="B1233" s="74">
        <f>Target1[[#This Row],[Target Price]]/Target!$B$2*100</f>
        <v>234.32228039557882</v>
      </c>
      <c r="C1233" s="74">
        <f>Comp1[[#This Row],[Comparable '#1 Price]]/'Comparable #1'!$B$2*100</f>
        <v>84.804928131416844</v>
      </c>
      <c r="D1233" s="74">
        <f>Comp2[[#This Row],[Comparable '#2 Price]]/'Comparable #2'!$B$2*100</f>
        <v>85.573440643863179</v>
      </c>
      <c r="E1233" s="74">
        <f>Comp3[[#This Row],[Comparable '#3 Price]]/'Comparable #3'!$B$2*100</f>
        <v>66.862895657367133</v>
      </c>
    </row>
    <row r="1234" spans="1:5">
      <c r="A1234" s="96">
        <v>45072</v>
      </c>
      <c r="B1234" s="74">
        <f>Target1[[#This Row],[Target Price]]/Target!$B$2*100</f>
        <v>233.39150668993597</v>
      </c>
      <c r="C1234" s="74">
        <f>Comp1[[#This Row],[Comparable '#1 Price]]/'Comparable #1'!$B$2*100</f>
        <v>84.804928131416844</v>
      </c>
      <c r="D1234" s="74">
        <f>Comp2[[#This Row],[Comparable '#2 Price]]/'Comparable #2'!$B$2*100</f>
        <v>85.090543259557336</v>
      </c>
      <c r="E1234" s="74">
        <f>Comp3[[#This Row],[Comparable '#3 Price]]/'Comparable #3'!$B$2*100</f>
        <v>67.733128572647388</v>
      </c>
    </row>
    <row r="1235" spans="1:5">
      <c r="A1235" s="96">
        <v>45076</v>
      </c>
      <c r="B1235" s="74">
        <f>Target1[[#This Row],[Target Price]]/Target!$B$2*100</f>
        <v>233.27515997673066</v>
      </c>
      <c r="C1235" s="74">
        <f>Comp1[[#This Row],[Comparable '#1 Price]]/'Comparable #1'!$B$2*100</f>
        <v>83.641341546885712</v>
      </c>
      <c r="D1235" s="74">
        <f>Comp2[[#This Row],[Comparable '#2 Price]]/'Comparable #2'!$B$2*100</f>
        <v>84.265593561368206</v>
      </c>
      <c r="E1235" s="74">
        <f>Comp3[[#This Row],[Comparable '#3 Price]]/'Comparable #3'!$B$2*100</f>
        <v>66.709325142905897</v>
      </c>
    </row>
    <row r="1236" spans="1:5">
      <c r="A1236" s="96">
        <v>45077</v>
      </c>
      <c r="B1236" s="74">
        <f>Target1[[#This Row],[Target Price]]/Target!$B$2*100</f>
        <v>235.07853403141357</v>
      </c>
      <c r="C1236" s="74">
        <f>Comp1[[#This Row],[Comparable '#1 Price]]/'Comparable #1'!$B$2*100</f>
        <v>82.81998631074606</v>
      </c>
      <c r="D1236" s="74">
        <f>Comp2[[#This Row],[Comparable '#2 Price]]/'Comparable #2'!$B$2*100</f>
        <v>83.501006036217291</v>
      </c>
      <c r="E1236" s="74">
        <f>Comp3[[#This Row],[Comparable '#3 Price]]/'Comparable #3'!$B$2*100</f>
        <v>67.323607200750786</v>
      </c>
    </row>
    <row r="1237" spans="1:5">
      <c r="A1237" s="96">
        <v>45078</v>
      </c>
      <c r="B1237" s="74">
        <f>Target1[[#This Row],[Target Price]]/Target!$B$2*100</f>
        <v>238.21989528795814</v>
      </c>
      <c r="C1237" s="74">
        <f>Comp1[[#This Row],[Comparable '#1 Price]]/'Comparable #1'!$B$2*100</f>
        <v>83.709787816564003</v>
      </c>
      <c r="D1237" s="74">
        <f>Comp2[[#This Row],[Comparable '#2 Price]]/'Comparable #2'!$B$2*100</f>
        <v>84.104627766599577</v>
      </c>
      <c r="E1237" s="74">
        <f>Comp3[[#This Row],[Comparable '#3 Price]]/'Comparable #3'!$B$2*100</f>
        <v>66.624008190427446</v>
      </c>
    </row>
    <row r="1238" spans="1:5">
      <c r="A1238" s="96">
        <v>45079</v>
      </c>
      <c r="B1238" s="74">
        <f>Target1[[#This Row],[Target Price]]/Target!$B$2*100</f>
        <v>243.68819080860965</v>
      </c>
      <c r="C1238" s="74">
        <f>Comp1[[#This Row],[Comparable '#1 Price]]/'Comparable #1'!$B$2*100</f>
        <v>85.249828884325808</v>
      </c>
      <c r="D1238" s="74">
        <f>Comp2[[#This Row],[Comparable '#2 Price]]/'Comparable #2'!$B$2*100</f>
        <v>87.384305835010053</v>
      </c>
      <c r="E1238" s="74">
        <f>Comp3[[#This Row],[Comparable '#3 Price]]/'Comparable #3'!$B$2*100</f>
        <v>66.914085828854198</v>
      </c>
    </row>
    <row r="1239" spans="1:5">
      <c r="A1239" s="96">
        <v>45082</v>
      </c>
      <c r="B1239" s="74">
        <f>Target1[[#This Row],[Target Price]]/Target!$B$2*100</f>
        <v>241.59394997091331</v>
      </c>
      <c r="C1239" s="74">
        <f>Comp1[[#This Row],[Comparable '#1 Price]]/'Comparable #1'!$B$2*100</f>
        <v>84.462696783025322</v>
      </c>
      <c r="D1239" s="74">
        <f>Comp2[[#This Row],[Comparable '#2 Price]]/'Comparable #2'!$B$2*100</f>
        <v>83.018108651911461</v>
      </c>
      <c r="E1239" s="74">
        <f>Comp3[[#This Row],[Comparable '#3 Price]]/'Comparable #3'!$B$2*100</f>
        <v>63.63791485368143</v>
      </c>
    </row>
    <row r="1240" spans="1:5">
      <c r="A1240" s="96">
        <v>45083</v>
      </c>
      <c r="B1240" s="74">
        <f>Target1[[#This Row],[Target Price]]/Target!$B$2*100</f>
        <v>244.67713787085512</v>
      </c>
      <c r="C1240" s="74">
        <f>Comp1[[#This Row],[Comparable '#1 Price]]/'Comparable #1'!$B$2*100</f>
        <v>85.284052019164974</v>
      </c>
      <c r="D1240" s="74">
        <f>Comp2[[#This Row],[Comparable '#2 Price]]/'Comparable #2'!$B$2*100</f>
        <v>84.768611670020121</v>
      </c>
      <c r="E1240" s="74">
        <f>Comp3[[#This Row],[Comparable '#3 Price]]/'Comparable #3'!$B$2*100</f>
        <v>65.608736455933808</v>
      </c>
    </row>
    <row r="1241" spans="1:5">
      <c r="A1241" s="96">
        <v>45084</v>
      </c>
      <c r="B1241" s="74">
        <f>Target1[[#This Row],[Target Price]]/Target!$B$2*100</f>
        <v>243.10645724258285</v>
      </c>
      <c r="C1241" s="74">
        <f>Comp1[[#This Row],[Comparable '#1 Price]]/'Comparable #1'!$B$2*100</f>
        <v>85.96851471594799</v>
      </c>
      <c r="D1241" s="74">
        <f>Comp2[[#This Row],[Comparable '#2 Price]]/'Comparable #2'!$B$2*100</f>
        <v>85.472837022132779</v>
      </c>
      <c r="E1241" s="74">
        <f>Comp3[[#This Row],[Comparable '#3 Price]]/'Comparable #3'!$B$2*100</f>
        <v>67.340670591246493</v>
      </c>
    </row>
    <row r="1242" spans="1:5">
      <c r="A1242" s="96">
        <v>45085</v>
      </c>
      <c r="B1242" s="74">
        <f>Target1[[#This Row],[Target Price]]/Target!$B$2*100</f>
        <v>241.76847004072135</v>
      </c>
      <c r="C1242" s="74">
        <f>Comp1[[#This Row],[Comparable '#1 Price]]/'Comparable #1'!$B$2*100</f>
        <v>84.599589322381931</v>
      </c>
      <c r="D1242" s="74">
        <f>Comp2[[#This Row],[Comparable '#2 Price]]/'Comparable #2'!$B$2*100</f>
        <v>84.768611670020121</v>
      </c>
      <c r="E1242" s="74">
        <f>Comp3[[#This Row],[Comparable '#3 Price]]/'Comparable #3'!$B$2*100</f>
        <v>66.129169866052393</v>
      </c>
    </row>
    <row r="1243" spans="1:5">
      <c r="A1243" s="96">
        <v>45086</v>
      </c>
      <c r="B1243" s="74">
        <f>Target1[[#This Row],[Target Price]]/Target!$B$2*100</f>
        <v>240.02326934264104</v>
      </c>
      <c r="C1243" s="74">
        <f>Comp1[[#This Row],[Comparable '#1 Price]]/'Comparable #1'!$B$2*100</f>
        <v>83.709787816564003</v>
      </c>
      <c r="D1243" s="74">
        <f>Comp2[[#This Row],[Comparable '#2 Price]]/'Comparable #2'!$B$2*100</f>
        <v>84.386317907444663</v>
      </c>
      <c r="E1243" s="74">
        <f>Comp3[[#This Row],[Comparable '#3 Price]]/'Comparable #3'!$B$2*100</f>
        <v>64.934732531353973</v>
      </c>
    </row>
    <row r="1244" spans="1:5">
      <c r="A1244" s="96">
        <v>45089</v>
      </c>
      <c r="B1244" s="74">
        <f>Target1[[#This Row],[Target Price]]/Target!$B$2*100</f>
        <v>238.74345549738217</v>
      </c>
      <c r="C1244" s="74">
        <f>Comp1[[#This Row],[Comparable '#1 Price]]/'Comparable #1'!$B$2*100</f>
        <v>82.546201232032857</v>
      </c>
      <c r="D1244" s="74">
        <f>Comp2[[#This Row],[Comparable '#2 Price]]/'Comparable #2'!$B$2*100</f>
        <v>82.515090543259547</v>
      </c>
      <c r="E1244" s="74">
        <f>Comp3[[#This Row],[Comparable '#3 Price]]/'Comparable #3'!$B$2*100</f>
        <v>64.499616073713852</v>
      </c>
    </row>
    <row r="1245" spans="1:5">
      <c r="A1245" s="96">
        <v>45090</v>
      </c>
      <c r="B1245" s="74">
        <f>Target1[[#This Row],[Target Price]]/Target!$B$2*100</f>
        <v>236.76556137289123</v>
      </c>
      <c r="C1245" s="74">
        <f>Comp1[[#This Row],[Comparable '#1 Price]]/'Comparable #1'!$B$2*100</f>
        <v>81.587953456536624</v>
      </c>
      <c r="D1245" s="74">
        <f>Comp2[[#This Row],[Comparable '#2 Price]]/'Comparable #2'!$B$2*100</f>
        <v>81.64989939637826</v>
      </c>
      <c r="E1245" s="74">
        <f>Comp3[[#This Row],[Comparable '#3 Price]]/'Comparable #3'!$B$2*100</f>
        <v>64.670249978670753</v>
      </c>
    </row>
    <row r="1246" spans="1:5">
      <c r="A1246" s="96">
        <v>45091</v>
      </c>
      <c r="B1246" s="74">
        <f>Target1[[#This Row],[Target Price]]/Target!$B$2*100</f>
        <v>233.21698662012801</v>
      </c>
      <c r="C1246" s="74">
        <f>Comp1[[#This Row],[Comparable '#1 Price]]/'Comparable #1'!$B$2*100</f>
        <v>79.808350444900753</v>
      </c>
      <c r="D1246" s="74">
        <f>Comp2[[#This Row],[Comparable '#2 Price]]/'Comparable #2'!$B$2*100</f>
        <v>79.235412474849099</v>
      </c>
      <c r="E1246" s="74">
        <f>Comp3[[#This Row],[Comparable '#3 Price]]/'Comparable #3'!$B$2*100</f>
        <v>64.755566931149218</v>
      </c>
    </row>
    <row r="1247" spans="1:5">
      <c r="A1247" s="96">
        <v>45092</v>
      </c>
      <c r="B1247" s="74">
        <f>Target1[[#This Row],[Target Price]]/Target!$B$2*100</f>
        <v>226.1780104712042</v>
      </c>
      <c r="C1247" s="74">
        <f>Comp1[[#This Row],[Comparable '#1 Price]]/'Comparable #1'!$B$2*100</f>
        <v>80.287474332648884</v>
      </c>
      <c r="D1247" s="74">
        <f>Comp2[[#This Row],[Comparable '#2 Price]]/'Comparable #2'!$B$2*100</f>
        <v>77.98792756539234</v>
      </c>
      <c r="E1247" s="74">
        <f>Comp3[[#This Row],[Comparable '#3 Price]]/'Comparable #3'!$B$2*100</f>
        <v>63.885334015868956</v>
      </c>
    </row>
    <row r="1248" spans="1:5">
      <c r="A1248" s="96">
        <v>45093</v>
      </c>
      <c r="B1248" s="74">
        <f>Target1[[#This Row],[Target Price]]/Target!$B$2*100</f>
        <v>231.52995927865035</v>
      </c>
      <c r="C1248" s="74">
        <f>Comp1[[#This Row],[Comparable '#1 Price]]/'Comparable #1'!$B$2*100</f>
        <v>80.492813141683783</v>
      </c>
      <c r="D1248" s="74">
        <f>Comp2[[#This Row],[Comparable '#2 Price]]/'Comparable #2'!$B$2*100</f>
        <v>78.148893360160969</v>
      </c>
      <c r="E1248" s="74">
        <f>Comp3[[#This Row],[Comparable '#3 Price]]/'Comparable #3'!$B$2*100</f>
        <v>63.962119273099574</v>
      </c>
    </row>
    <row r="1249" spans="1:5">
      <c r="A1249" s="96">
        <v>45097</v>
      </c>
      <c r="B1249" s="74">
        <f>Target1[[#This Row],[Target Price]]/Target!$B$2*100</f>
        <v>227.80686445607907</v>
      </c>
      <c r="C1249" s="74">
        <f>Comp1[[#This Row],[Comparable '#1 Price]]/'Comparable #1'!$B$2*100</f>
        <v>80.287474332648884</v>
      </c>
      <c r="D1249" s="74">
        <f>Comp2[[#This Row],[Comparable '#2 Price]]/'Comparable #2'!$B$2*100</f>
        <v>77.525150905432596</v>
      </c>
      <c r="E1249" s="74">
        <f>Comp3[[#This Row],[Comparable '#3 Price]]/'Comparable #3'!$B$2*100</f>
        <v>62.861530586127465</v>
      </c>
    </row>
    <row r="1250" spans="1:5">
      <c r="A1250" s="96">
        <v>45098</v>
      </c>
      <c r="B1250" s="74">
        <f>Target1[[#This Row],[Target Price]]/Target!$B$2*100</f>
        <v>223.2111692844677</v>
      </c>
      <c r="C1250" s="74">
        <f>Comp1[[#This Row],[Comparable '#1 Price]]/'Comparable #1'!$B$2*100</f>
        <v>83.230663928815886</v>
      </c>
      <c r="D1250" s="74">
        <f>Comp2[[#This Row],[Comparable '#2 Price]]/'Comparable #2'!$B$2*100</f>
        <v>74.486921529175049</v>
      </c>
      <c r="E1250" s="74">
        <f>Comp3[[#This Row],[Comparable '#3 Price]]/'Comparable #3'!$B$2*100</f>
        <v>62.230185137786876</v>
      </c>
    </row>
    <row r="1251" spans="1:5">
      <c r="A1251" s="96">
        <v>45099</v>
      </c>
      <c r="B1251" s="74">
        <f>Target1[[#This Row],[Target Price]]/Target!$B$2*100</f>
        <v>223.44386271087839</v>
      </c>
      <c r="C1251" s="74">
        <f>Comp1[[#This Row],[Comparable '#1 Price]]/'Comparable #1'!$B$2*100</f>
        <v>82.477754962354553</v>
      </c>
      <c r="D1251" s="74">
        <f>Comp2[[#This Row],[Comparable '#2 Price]]/'Comparable #2'!$B$2*100</f>
        <v>72.756539235412461</v>
      </c>
      <c r="E1251" s="74">
        <f>Comp3[[#This Row],[Comparable '#3 Price]]/'Comparable #3'!$B$2*100</f>
        <v>61.001621022097098</v>
      </c>
    </row>
    <row r="1252" spans="1:5">
      <c r="A1252" s="96">
        <v>45100</v>
      </c>
      <c r="B1252" s="74">
        <f>Target1[[#This Row],[Target Price]]/Target!$B$2*100</f>
        <v>218.38278068644556</v>
      </c>
      <c r="C1252" s="74">
        <f>Comp1[[#This Row],[Comparable '#1 Price]]/'Comparable #1'!$B$2*100</f>
        <v>79.534565366187536</v>
      </c>
      <c r="D1252" s="74">
        <f>Comp2[[#This Row],[Comparable '#2 Price]]/'Comparable #2'!$B$2*100</f>
        <v>70.321931589537229</v>
      </c>
      <c r="E1252" s="74">
        <f>Comp3[[#This Row],[Comparable '#3 Price]]/'Comparable #3'!$B$2*100</f>
        <v>59.721866734920241</v>
      </c>
    </row>
    <row r="1253" spans="1:5">
      <c r="A1253" s="96">
        <v>45103</v>
      </c>
      <c r="B1253" s="74">
        <f>Target1[[#This Row],[Target Price]]/Target!$B$2*100</f>
        <v>216.69575334496801</v>
      </c>
      <c r="C1253" s="74">
        <f>Comp1[[#This Row],[Comparable '#1 Price]]/'Comparable #1'!$B$2*100</f>
        <v>80.355920602327174</v>
      </c>
      <c r="D1253" s="74">
        <f>Comp2[[#This Row],[Comparable '#2 Price]]/'Comparable #2'!$B$2*100</f>
        <v>68.933601609657941</v>
      </c>
      <c r="E1253" s="74">
        <f>Comp3[[#This Row],[Comparable '#3 Price]]/'Comparable #3'!$B$2*100</f>
        <v>59.935159116116374</v>
      </c>
    </row>
    <row r="1254" spans="1:5">
      <c r="A1254" s="96">
        <v>45104</v>
      </c>
      <c r="B1254" s="74">
        <f>Target1[[#This Row],[Target Price]]/Target!$B$2*100</f>
        <v>216.75392670157066</v>
      </c>
      <c r="C1254" s="74">
        <f>Comp1[[#This Row],[Comparable '#1 Price]]/'Comparable #1'!$B$2*100</f>
        <v>79.945242984257362</v>
      </c>
      <c r="D1254" s="74">
        <f>Comp2[[#This Row],[Comparable '#2 Price]]/'Comparable #2'!$B$2*100</f>
        <v>68.812877263581498</v>
      </c>
      <c r="E1254" s="74">
        <f>Comp3[[#This Row],[Comparable '#3 Price]]/'Comparable #3'!$B$2*100</f>
        <v>59.576827915706851</v>
      </c>
    </row>
    <row r="1255" spans="1:5">
      <c r="A1255" s="96">
        <v>45105</v>
      </c>
      <c r="B1255" s="74">
        <f>Target1[[#This Row],[Target Price]]/Target!$B$2*100</f>
        <v>217.3356602675974</v>
      </c>
      <c r="C1255" s="74">
        <f>Comp1[[#This Row],[Comparable '#1 Price]]/'Comparable #1'!$B$2*100</f>
        <v>77.754962354551665</v>
      </c>
      <c r="D1255" s="74">
        <f>Comp2[[#This Row],[Comparable '#2 Price]]/'Comparable #2'!$B$2*100</f>
        <v>68.028169014084511</v>
      </c>
      <c r="E1255" s="74">
        <f>Comp3[[#This Row],[Comparable '#3 Price]]/'Comparable #3'!$B$2*100</f>
        <v>57.674259875437251</v>
      </c>
    </row>
    <row r="1256" spans="1:5">
      <c r="A1256" s="96">
        <v>45106</v>
      </c>
      <c r="B1256" s="74">
        <f>Target1[[#This Row],[Target Price]]/Target!$B$2*100</f>
        <v>216.9284467713787</v>
      </c>
      <c r="C1256" s="74">
        <f>Comp1[[#This Row],[Comparable '#1 Price]]/'Comparable #1'!$B$2*100</f>
        <v>80.355920602327174</v>
      </c>
      <c r="D1256" s="74">
        <f>Comp2[[#This Row],[Comparable '#2 Price]]/'Comparable #2'!$B$2*100</f>
        <v>69.315895372233399</v>
      </c>
      <c r="E1256" s="74">
        <f>Comp3[[#This Row],[Comparable '#3 Price]]/'Comparable #3'!$B$2*100</f>
        <v>57.733981742172169</v>
      </c>
    </row>
  </sheetData>
  <phoneticPr fontId="8" type="noConversion"/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14FD5-2B94-4784-9E19-2B4175EBDED4}">
  <sheetPr codeName="Sheet2">
    <tabColor theme="1" tint="0.499984740745262"/>
  </sheetPr>
  <dimension ref="A1:L71"/>
  <sheetViews>
    <sheetView showGridLines="0" topLeftCell="A22" workbookViewId="0">
      <selection activeCell="S52" sqref="S51:S52"/>
    </sheetView>
  </sheetViews>
  <sheetFormatPr defaultColWidth="8.85546875" defaultRowHeight="15"/>
  <cols>
    <col min="1" max="1" width="42.28515625" bestFit="1" customWidth="1"/>
    <col min="2" max="10" width="13.85546875" customWidth="1"/>
  </cols>
  <sheetData>
    <row r="1" spans="1:12" s="9" customFormat="1" ht="36" customHeight="1" thickBot="1">
      <c r="A1" s="43" t="s">
        <v>43</v>
      </c>
      <c r="B1" s="123" t="str">
        <f>'Control Panel'!B1</f>
        <v xml:space="preserve">Stride, Inc.  </v>
      </c>
      <c r="C1" s="123"/>
      <c r="D1" s="123"/>
      <c r="E1" s="123"/>
      <c r="F1" s="123"/>
      <c r="G1" s="123" t="str">
        <f>'Control Panel'!C1</f>
        <v>LRN</v>
      </c>
      <c r="H1" s="123"/>
      <c r="I1" s="123"/>
      <c r="J1" s="123"/>
    </row>
    <row r="2" spans="1:12" s="9" customFormat="1" ht="36" customHeight="1" thickBot="1">
      <c r="A2" s="44" t="s">
        <v>44</v>
      </c>
      <c r="B2" s="44" t="s">
        <v>45</v>
      </c>
      <c r="C2" s="44" t="s">
        <v>17</v>
      </c>
      <c r="D2" s="44" t="s">
        <v>18</v>
      </c>
      <c r="E2" s="44" t="s">
        <v>19</v>
      </c>
      <c r="F2" s="44" t="s">
        <v>21</v>
      </c>
      <c r="G2" s="44" t="s">
        <v>22</v>
      </c>
      <c r="H2" s="44" t="s">
        <v>23</v>
      </c>
      <c r="I2" s="44" t="s">
        <v>24</v>
      </c>
      <c r="J2" s="44" t="s">
        <v>37</v>
      </c>
    </row>
    <row r="3" spans="1:12">
      <c r="A3" s="19" t="str">
        <f>"Correlation with Benchmark #1 ("&amp;'Control Panel'!C5&amp;")"</f>
        <v>Correlation with Benchmark #1 (^GSPC)</v>
      </c>
      <c r="B3" s="10" t="e" cm="1">
        <f t="array" aca="1" ref="B3" ca="1">CORREL(IF(Benchmark1[Benchmark '#1 Dates]&gt;='Control Panel'!$B$10,IF(Benchmark1[Target Date Check]="Pass",Benchmark1[Target Price])),IF(Benchmark1[Benchmark '#1 Dates]&gt;='Control Panel'!$B$10,IF(Benchmark1[Target Date Check]="Pass",Benchmark1[Benchmark '#1 Price])))</f>
        <v>#DIV/0!</v>
      </c>
      <c r="C3" s="11" t="e">
        <f t="array" aca="1" ref="C3" ca="1">CORREL(IF(Benchmark1[Benchmark '#1 Dates]&gt;='Control Panel'!$B$11,IF(Benchmark1[Target Date Check]="Pass",Benchmark1[Target Price])),IF(Benchmark1[Benchmark '#1 Dates]&gt;='Control Panel'!$B$11,IF(Benchmark1[Target Date Check]="Pass",Benchmark1[Benchmark '#1 Price])))</f>
        <v>#DIV/0!</v>
      </c>
      <c r="D3" s="11" t="e">
        <f t="array" aca="1" ref="D3" ca="1">CORREL(IF(Benchmark1[Benchmark '#1 Dates]&gt;='Control Panel'!$B$12,IF(Benchmark1[Target Date Check]="Pass",Benchmark1[Target Price])),IF(Benchmark1[Benchmark '#1 Dates]&gt;='Control Panel'!$B$12,IF(Benchmark1[Target Date Check]="Pass",Benchmark1[Benchmark '#1 Price])))</f>
        <v>#DIV/0!</v>
      </c>
      <c r="E3" s="11" t="e">
        <f t="array" aca="1" ref="E3" ca="1">CORREL(IF(Benchmark1[Benchmark '#1 Dates]&gt;='Control Panel'!$B$13,IF(Benchmark1[Target Date Check]="Pass",Benchmark1[Target Price])),IF(Benchmark1[Benchmark '#1 Dates]&gt;='Control Panel'!$B$13,IF(Benchmark1[Target Date Check]="Pass",Benchmark1[Benchmark '#1 Price])))</f>
        <v>#DIV/0!</v>
      </c>
      <c r="F3" s="11" t="e">
        <f t="array" aca="1" ref="F3" ca="1">CORREL(IF(Benchmark1[Benchmark '#1 Dates]&gt;='Control Panel'!$B$14,IF(Benchmark1[Target Date Check]="Pass",Benchmark1[Target Price])),IF(Benchmark1[Benchmark '#1 Dates]&gt;='Control Panel'!$B$14,IF(Benchmark1[Target Date Check]="Pass",Benchmark1[Benchmark '#1 Price])))</f>
        <v>#DIV/0!</v>
      </c>
      <c r="G3" s="11">
        <f t="array" aca="1" ref="G3" ca="1">CORREL(IF(Benchmark1[Benchmark '#1 Dates]&gt;='Control Panel'!$B$15,IF(Benchmark1[Target Date Check]="Pass",Benchmark1[Target Price])),IF(Benchmark1[Benchmark '#1 Dates]&gt;='Control Panel'!$B$15,IF(Benchmark1[Target Date Check]="Pass",Benchmark1[Benchmark '#1 Price])))</f>
        <v>-7.3999816878913854E-2</v>
      </c>
      <c r="H3" s="11">
        <f t="array" aca="1" ref="H3" ca="1">CORREL(IF(Benchmark1[Benchmark '#1 Dates]&gt;='Control Panel'!$B$16,IF(Benchmark1[Target Date Check]="Pass",Benchmark1[Target Price])),IF(Benchmark1[Benchmark '#1 Dates]&gt;='Control Panel'!$B$16,IF(Benchmark1[Target Date Check]="Pass",Benchmark1[Benchmark '#1 Price])))</f>
        <v>-0.25603044143823939</v>
      </c>
      <c r="I3" s="11">
        <f t="array" aca="1" ref="I3" ca="1">CORREL(IF(Benchmark1[Benchmark '#1 Dates]&gt;='Control Panel'!$B$17,IF(Benchmark1[Target Date Check]="Pass",Benchmark1[Target Price])),IF(Benchmark1[Benchmark '#1 Dates]&gt;='Control Panel'!$B$17,IF(Benchmark1[Target Date Check]="Pass",Benchmark1[Benchmark '#1 Price])))</f>
        <v>0.43500010957604385</v>
      </c>
      <c r="J3" s="12">
        <f t="array" ref="J3">CORREL(IF(Benchmark1[Target Date Check]="Pass",Benchmark1[Target Price]),IF(Benchmark1[Target Date Check]="Pass",Benchmark1[Benchmark '#1 Price]))</f>
        <v>0.55064338783648814</v>
      </c>
    </row>
    <row r="4" spans="1:12">
      <c r="A4" s="20" t="str">
        <f>"Correlation with Benchmark #2 ("&amp;'Control Panel'!C6&amp;")"</f>
        <v>Correlation with Benchmark #2 ((^NYA) )</v>
      </c>
      <c r="B4" s="13" t="e">
        <f t="array" aca="1" ref="B4" ca="1">CORREL(IF(Benchmark2[Benchmark '#2 Dates]&gt;='Control Panel'!$B$10,IF(Benchmark2[Target Date Check]="Pass",Benchmark2[Target Price])),IF(Benchmark2[Benchmark '#2 Dates]&gt;='Control Panel'!$B$10,IF(Benchmark2[Target Date Check]="Pass",Benchmark2[Benchmark '#2 Price])))</f>
        <v>#DIV/0!</v>
      </c>
      <c r="C4" s="14" t="e">
        <f t="array" aca="1" ref="C4" ca="1">CORREL(IF(Benchmark2[Benchmark '#2 Dates]&gt;='Control Panel'!$B$11,IF(Benchmark2[Target Date Check]="Pass",Benchmark2[Target Price])),IF(Benchmark2[Benchmark '#2 Dates]&gt;='Control Panel'!$B$11,IF(Benchmark2[Target Date Check]="Pass",Benchmark2[Benchmark '#2 Price])))</f>
        <v>#DIV/0!</v>
      </c>
      <c r="D4" s="14" t="e">
        <f t="array" aca="1" ref="D4" ca="1">CORREL(IF(Benchmark2[Benchmark '#2 Dates]&gt;='Control Panel'!$B$12,IF(Benchmark2[Target Date Check]="Pass",Benchmark2[Target Price])),IF(Benchmark2[Benchmark '#2 Dates]&gt;='Control Panel'!$B$12,IF(Benchmark2[Target Date Check]="Pass",Benchmark2[Benchmark '#2 Price])))</f>
        <v>#DIV/0!</v>
      </c>
      <c r="E4" s="14" t="e">
        <f t="array" aca="1" ref="E4" ca="1">CORREL(IF(Benchmark2[Benchmark '#2 Dates]&gt;='Control Panel'!$B$13,IF(Benchmark2[Target Date Check]="Pass",Benchmark2[Target Price])),IF(Benchmark2[Benchmark '#2 Dates]&gt;='Control Panel'!$B$13,IF(Benchmark2[Target Date Check]="Pass",Benchmark2[Benchmark '#2 Price])))</f>
        <v>#DIV/0!</v>
      </c>
      <c r="F4" s="14" t="e">
        <f t="array" aca="1" ref="F4" ca="1">CORREL(IF(Benchmark2[Benchmark '#2 Dates]&gt;='Control Panel'!$B$14,IF(Benchmark2[Target Date Check]="Pass",Benchmark2[Target Price])),IF(Benchmark2[Benchmark '#2 Dates]&gt;='Control Panel'!$B$14,IF(Benchmark2[Target Date Check]="Pass",Benchmark2[Benchmark '#2 Price])))</f>
        <v>#DIV/0!</v>
      </c>
      <c r="G4" s="14">
        <f t="array" aca="1" ref="G4" ca="1">CORREL(IF(Benchmark2[Benchmark '#2 Dates]&gt;='Control Panel'!$B$15,IF(Benchmark2[Target Date Check]="Pass",Benchmark2[Target Price])),IF(Benchmark2[Benchmark '#2 Dates]&gt;='Control Panel'!$B$15,IF(Benchmark2[Target Date Check]="Pass",Benchmark2[Benchmark '#2 Price])))</f>
        <v>6.4750331686558596E-2</v>
      </c>
      <c r="H4" s="14">
        <f t="array" aca="1" ref="H4" ca="1">CORREL(IF(Benchmark2[Benchmark '#2 Dates]&gt;='Control Panel'!$B$16,IF(Benchmark2[Target Date Check]="Pass",Benchmark2[Target Price])),IF(Benchmark2[Benchmark '#2 Dates]&gt;='Control Panel'!$B$16,IF(Benchmark2[Target Date Check]="Pass",Benchmark2[Benchmark '#2 Price])))</f>
        <v>-0.41637891372574892</v>
      </c>
      <c r="I4" s="14">
        <f t="array" aca="1" ref="I4" ca="1">CORREL(IF(Benchmark2[Benchmark '#2 Dates]&gt;='Control Panel'!$B$17,IF(Benchmark2[Target Date Check]="Pass",Benchmark2[Target Price])),IF(Benchmark2[Benchmark '#2 Dates]&gt;='Control Panel'!$B$17,IF(Benchmark2[Target Date Check]="Pass",Benchmark2[Benchmark '#2 Price])))</f>
        <v>0.34125372989989344</v>
      </c>
      <c r="J4" s="15">
        <f t="array" ref="J4">CORREL(IF(Benchmark2[Target Date Check]="Pass",Benchmark2[Target Price]),IF(Benchmark2[Target Date Check]="Pass",Benchmark2[Benchmark '#2 Price]))</f>
        <v>0.45208482255922394</v>
      </c>
    </row>
    <row r="5" spans="1:12">
      <c r="A5" s="21" t="s">
        <v>46</v>
      </c>
      <c r="B5" s="16" t="e">
        <f t="array" aca="1" ref="B5" ca="1">GEOMEAN(IF(Target1[Target Dates]&gt;='Control Panel'!$B$10,IF(Target1[Target Date Check]="Pass",Target1[Target Geodummy])))-1</f>
        <v>#NUM!</v>
      </c>
      <c r="C5" s="17" t="e">
        <f t="array" aca="1" ref="C5" ca="1">GEOMEAN(IF(Target1[Target Dates]&gt;='Control Panel'!$B$11,IF(Target1[Target Date Check]="Pass",Target1[Target Geodummy])))-1</f>
        <v>#NUM!</v>
      </c>
      <c r="D5" s="17" t="e">
        <f t="array" aca="1" ref="D5" ca="1">GEOMEAN(IF(Target1[Target Dates]&gt;='Control Panel'!$B$12,IF(Target1[Target Date Check]="Pass",Target1[Target Geodummy])))-1</f>
        <v>#NUM!</v>
      </c>
      <c r="E5" s="17" t="e">
        <f t="array" aca="1" ref="E5" ca="1">GEOMEAN(IF(Target1[Target Dates]&gt;='Control Panel'!$B$13,IF(Target1[Target Date Check]="Pass",Target1[Target Geodummy])))-1</f>
        <v>#NUM!</v>
      </c>
      <c r="F5" s="17" t="e">
        <f t="array" aca="1" ref="F5" ca="1">GEOMEAN(IF(Target1[Target Dates]&gt;='Control Panel'!$B$14,IF(Target1[Target Date Check]="Pass",Target1[Target Geodummy])))-1</f>
        <v>#NUM!</v>
      </c>
      <c r="G5" s="17">
        <f t="array" aca="1" ref="G5" ca="1">GEOMEAN(IF(Target1[Target Dates]&gt;='Control Panel'!$B$15,IF(Target1[Target Date Check]="Pass",Target1[Target Geodummy])))-1</f>
        <v>9.9464203760946113E-4</v>
      </c>
      <c r="H5" s="17">
        <f t="array" aca="1" ref="H5" ca="1">GEOMEAN(IF(Target1[Target Dates]&gt;='Control Panel'!$B$16,IF(Target1[Target Date Check]="Pass",Target1[Target Geodummy])))-1</f>
        <v>3.1637121820748959E-5</v>
      </c>
      <c r="I5" s="17">
        <f t="array" aca="1" ref="I5" ca="1">GEOMEAN(IF(Target1[Target Dates]&gt;='Control Panel'!$B$17,IF(Target1[Target Date Check]="Pass",Target1[Target Geodummy])))-1</f>
        <v>1.9515184602081348E-5</v>
      </c>
      <c r="J5" s="18">
        <f t="array" ref="J5">GEOMEAN(IF(Target1[Target Date Check]="Pass",Target1[Target Geodummy]))-1</f>
        <v>7.5411162228533613E-5</v>
      </c>
      <c r="L5" s="75"/>
    </row>
    <row r="6" spans="1:12">
      <c r="A6" s="20" t="s">
        <v>47</v>
      </c>
      <c r="B6" s="13" t="e">
        <f t="array" aca="1" ref="B6" ca="1">MEDIAN(IF(Target1[Target Dates]&gt;='Control Panel'!$B$10,IF(Target1[Target Date Check]="Pass",Target1[Target Return])))</f>
        <v>#NUM!</v>
      </c>
      <c r="C6" s="14" t="e">
        <f t="array" aca="1" ref="C6" ca="1">MEDIAN(IF(Target1[Target Dates]&gt;='Control Panel'!$B$11,IF(Target1[Target Date Check]="Pass",Target1[Target Return])))</f>
        <v>#NUM!</v>
      </c>
      <c r="D6" s="14" t="e">
        <f t="array" aca="1" ref="D6" ca="1">MEDIAN(IF(Target1[Target Dates]&gt;='Control Panel'!$B$12,IF(Target1[Target Date Check]="Pass",Target1[Target Return])))</f>
        <v>#NUM!</v>
      </c>
      <c r="E6" s="14" t="e">
        <f t="array" aca="1" ref="E6" ca="1">MEDIAN(IF(Target1[Target Dates]&gt;='Control Panel'!$B$13,IF(Target1[Target Date Check]="Pass",Target1[Target Return])))</f>
        <v>#NUM!</v>
      </c>
      <c r="F6" s="14" t="e">
        <f t="array" aca="1" ref="F6" ca="1">MEDIAN(IF(Target1[Target Dates]&gt;='Control Panel'!$B$14,IF(Target1[Target Date Check]="Pass",Target1[Target Return])))</f>
        <v>#NUM!</v>
      </c>
      <c r="G6" s="14">
        <f t="array" aca="1" ref="G6" ca="1">MEDIAN(IF(Target1[Target Dates]&gt;='Control Panel'!$B$15,IF(Target1[Target Date Check]="Pass",Target1[Target Return])))</f>
        <v>1.2116806069244684E-4</v>
      </c>
      <c r="H6" s="14">
        <f t="array" aca="1" ref="H6" ca="1">MEDIAN(IF(Target1[Target Dates]&gt;='Control Panel'!$B$16,IF(Target1[Target Date Check]="Pass",Target1[Target Return])))</f>
        <v>2.4233612138489368E-4</v>
      </c>
      <c r="I6" s="14">
        <f t="array" aca="1" ref="I6" ca="1">MEDIAN(IF(Target1[Target Dates]&gt;='Control Panel'!$B$17,IF(Target1[Target Date Check]="Pass",Target1[Target Return])))</f>
        <v>3.1690699045118726E-4</v>
      </c>
      <c r="J6" s="15">
        <f t="array" ref="J6">MEDIAN(IF(Target1[Target Date Check]="Pass",Target1[Target Return]))</f>
        <v>4.8801224541648977E-4</v>
      </c>
    </row>
    <row r="7" spans="1:12">
      <c r="A7" s="21" t="s">
        <v>48</v>
      </c>
      <c r="B7" s="16">
        <f ca="1">(INDEX(Target1[Target Price],MATCH(MAX(Target1[Target Dates]),Target1[Target Dates],0))-INDEX(Target1[Target Price],MATCH('Control Panel'!$B$10,Target1[Target Dates],1)))/INDEX(Target1[Target Price],MATCH(MAX(Target1[Target Dates]),Target1[Target Dates],0))</f>
        <v>0</v>
      </c>
      <c r="C7" s="17">
        <f ca="1">(INDEX(Target1[Target Price],MATCH(MAX(Target1[Target Dates]),Target1[Target Dates],0))-INDEX(Target1[Target Price],MATCH('Control Panel'!$B$11,Target1[Target Dates],1)))/INDEX(Target1[Target Price],MATCH(MAX(Target1[Target Dates]),Target1[Target Dates],0))</f>
        <v>0</v>
      </c>
      <c r="D7" s="17">
        <f ca="1">(INDEX(Target1[Target Price],MATCH(MAX(Target1[Target Dates]),Target1[Target Dates],0))-INDEX(Target1[Target Price],MATCH('Control Panel'!$B$12,Target1[Target Dates],1)))/INDEX(Target1[Target Price],MATCH(MAX(Target1[Target Dates]),Target1[Target Dates],0))</f>
        <v>0</v>
      </c>
      <c r="E7" s="17">
        <f ca="1">(INDEX(Target1[Target Price],MATCH(MAX(Target1[Target Dates]),Target1[Target Dates],0))-INDEX(Target1[Target Price],MATCH('Control Panel'!$B$13,Target1[Target Dates],1)))/INDEX(Target1[Target Price],MATCH(MAX(Target1[Target Dates]),Target1[Target Dates],0))</f>
        <v>0</v>
      </c>
      <c r="F7" s="17">
        <f ca="1">(INDEX(Target1[Target Price],MATCH(MAX(Target1[Target Dates]),Target1[Target Dates],0))-INDEX(Target1[Target Price],MATCH('Control Panel'!$B$14,Target1[Target Dates],1)))/INDEX(Target1[Target Price],MATCH(MAX(Target1[Target Dates]),Target1[Target Dates],0))</f>
        <v>0</v>
      </c>
      <c r="G7" s="17">
        <f ca="1">(INDEX(Target1[Target Price],MATCH(MAX(Target1[Target Dates]),Target1[Target Dates],0))-INDEX(Target1[Target Price],MATCH('Control Panel'!$B$15,Target1[Target Dates],1)))/INDEX(Target1[Target Price],MATCH(MAX(Target1[Target Dates]),Target1[Target Dates],0))</f>
        <v>0.14450711791565932</v>
      </c>
      <c r="H7" s="17">
        <f ca="1">(INDEX(Target1[Target Price],MATCH(MAX(Target1[Target Dates]),Target1[Target Dates],0))-INDEX(Target1[Target Price],MATCH('Control Panel'!$B$16,Target1[Target Dates],1)))/INDEX(Target1[Target Price],MATCH(MAX(Target1[Target Dates]),Target1[Target Dates],0))</f>
        <v>0.22562449637389201</v>
      </c>
      <c r="I7" s="17">
        <f ca="1">(INDEX(Target1[Target Price],MATCH(MAX(Target1[Target Dates]),Target1[Target Dates],0))-INDEX(Target1[Target Price],MATCH('Control Panel'!$B$17,Target1[Target Dates],1)))/INDEX(Target1[Target Price],MATCH(MAX(Target1[Target Dates]),Target1[Target Dates],0))</f>
        <v>0.45339779747515435</v>
      </c>
      <c r="J7" s="18">
        <f>(INDEX(Target1[Target Price],MATCH(MAX(Target1[Target Dates]),Target1[Target Dates],0))-INDEX(Target1[Target Price],MATCH(MIN(Target1[Target Dates]),Target1[Target Dates],1)))/INDEX(Target1[Target Price],MATCH(MAX(Target1[Target Dates]),Target1[Target Dates],0))</f>
        <v>0.53827558420628518</v>
      </c>
    </row>
    <row r="8" spans="1:12">
      <c r="A8" s="20" t="s">
        <v>49</v>
      </c>
      <c r="B8" s="13" t="e" cm="1">
        <f t="array" aca="1" ref="B8" ca="1">STDEVA(IF(Target1[Target Dates]&gt;='Control Panel'!$B$10,IF(Target1[Target Date Check]="Pass",Target1[Target Return])))*SQRT('Control Panel'!$C$10)</f>
        <v>#DIV/0!</v>
      </c>
      <c r="C8" s="14" t="e" cm="1">
        <f t="array" aca="1" ref="C8" ca="1">STDEVA(IF(Target1[Target Dates]&gt;='Control Panel'!$B$11,IF(Target1[Target Date Check]="Pass",Target1[Target Return])))*SQRT('Control Panel'!$C$11)</f>
        <v>#DIV/0!</v>
      </c>
      <c r="D8" s="14" t="e">
        <f t="array" aca="1" ref="D8" ca="1">STDEVA(IF(Target1[Target Dates]&gt;='Control Panel'!$B$12,IF(Target1[Target Date Check]="Pass",Target1[Target Return])))*SQRT('Control Panel'!$C$12)</f>
        <v>#DIV/0!</v>
      </c>
      <c r="E8" s="14" t="e">
        <f t="array" aca="1" ref="E8" ca="1">STDEVA(IF(Target1[Target Dates]&gt;='Control Panel'!$B$13,IF(Target1[Target Date Check]="Pass",Target1[Target Return])))*SQRT('Control Panel'!$C$13)</f>
        <v>#DIV/0!</v>
      </c>
      <c r="F8" s="14" t="e">
        <f t="array" aca="1" ref="F8" ca="1">STDEVA(IF(Target1[Target Dates]&gt;='Control Panel'!$B$14,IF(Target1[Target Date Check]="Pass",Target1[Target Return])))*SQRT('Control Panel'!$C$14)</f>
        <v>#DIV/0!</v>
      </c>
      <c r="G8" s="14">
        <f t="array" aca="1" ref="G8" ca="1">STDEVA(IF(Target1[Target Dates]&gt;='Control Panel'!$B$15,IF(Target1[Target Date Check]="Pass",Target1[Target Return])))*SQRT('Control Panel'!$C$15)</f>
        <v>0.47067533583858839</v>
      </c>
      <c r="H8" s="14">
        <f t="array" aca="1" ref="H8" ca="1">STDEVA(IF(Target1[Target Dates]&gt;='Control Panel'!$B$16,IF(Target1[Target Date Check]="Pass",Target1[Target Return])))*SQRT('Control Panel'!$C$16)</f>
        <v>0.53767404235167593</v>
      </c>
      <c r="I8" s="14">
        <f t="array" aca="1" ref="I8" ca="1">STDEVA(IF(Target1[Target Dates]&gt;='Control Panel'!$B$17,IF(Target1[Target Date Check]="Pass",Target1[Target Return])))*SQRT('Control Panel'!$C$17)</f>
        <v>0.56598737202333471</v>
      </c>
      <c r="J8" s="15">
        <f t="array" ref="J8">STDEVA(IF(Target1[Target Date Check]="Pass",Target1[Target Return]))*SQRT('Control Panel'!$C$17)</f>
        <v>0.51682775696411964</v>
      </c>
    </row>
    <row r="9" spans="1:12">
      <c r="A9" s="21" t="s">
        <v>31</v>
      </c>
      <c r="B9" s="16" t="e">
        <f t="array" aca="1" ref="B9" ca="1">KURT(IF(Target1[Target Dates]&gt;='Control Panel'!$B$10,IF(Target1[Target Date Check]="Pass",Target1[Target Return])))</f>
        <v>#DIV/0!</v>
      </c>
      <c r="C9" s="17" t="e">
        <f t="array" aca="1" ref="C9" ca="1">KURT(IF(Target1[Target Dates]&gt;='Control Panel'!$B$11,IF(Target1[Target Date Check]="Pass",Target1[Target Return])))</f>
        <v>#DIV/0!</v>
      </c>
      <c r="D9" s="17" t="e">
        <f t="array" aca="1" ref="D9" ca="1">KURT(IF(Target1[Target Dates]&gt;='Control Panel'!$B$12,IF(Target1[Target Date Check]="Pass",Target1[Target Return])))</f>
        <v>#DIV/0!</v>
      </c>
      <c r="E9" s="17" t="e">
        <f t="array" aca="1" ref="E9" ca="1">KURT(IF(Target1[Target Dates]&gt;='Control Panel'!$B$13,IF(Target1[Target Date Check]="Pass",Target1[Target Return])))</f>
        <v>#DIV/0!</v>
      </c>
      <c r="F9" s="17" t="e">
        <f t="array" aca="1" ref="F9" ca="1">KURT(IF(Target1[Target Dates]&gt;='Control Panel'!$B$14,IF(Target1[Target Date Check]="Pass",Target1[Target Return])))</f>
        <v>#DIV/0!</v>
      </c>
      <c r="G9" s="17">
        <f t="array" aca="1" ref="G9" ca="1">KURT(IF(Target1[Target Dates]&gt;='Control Panel'!$B$15,IF(Target1[Target Date Check]="Pass",Target1[Target Return])))</f>
        <v>42.182647521106993</v>
      </c>
      <c r="H9" s="17">
        <f t="array" aca="1" ref="H9" ca="1">KURT(IF(Target1[Target Dates]&gt;='Control Panel'!$B$16,IF(Target1[Target Date Check]="Pass",Target1[Target Return])))</f>
        <v>43.439587263499895</v>
      </c>
      <c r="I9" s="17">
        <f t="array" aca="1" ref="I9" ca="1">KURT(IF(Target1[Target Dates]&gt;='Control Panel'!$B$17,IF(Target1[Target Date Check]="Pass",Target1[Target Return])))</f>
        <v>17.440665984199164</v>
      </c>
      <c r="J9" s="18">
        <f t="array" ref="J9">KURT(IF(Target1[Target Date Check]="Pass",Target1[Target Return]))</f>
        <v>19.341337998272085</v>
      </c>
    </row>
    <row r="10" spans="1:12">
      <c r="A10" s="20" t="s">
        <v>32</v>
      </c>
      <c r="B10" s="13" t="e">
        <f t="array" aca="1" ref="B10" ca="1">SKEW(IF(Target1[Target Dates]&gt;='Control Panel'!$B$10,IF(Target1[Target Date Check]="Pass",Target1[Target Return])))</f>
        <v>#DIV/0!</v>
      </c>
      <c r="C10" s="14" t="e">
        <f t="array" aca="1" ref="C10" ca="1">SKEW(IF(Target1[Target Dates]&gt;='Control Panel'!$B$11,IF(Target1[Target Date Check]="Pass",Target1[Target Return])))</f>
        <v>#DIV/0!</v>
      </c>
      <c r="D10" s="14" t="e">
        <f t="array" aca="1" ref="D10" ca="1">SKEW(IF(Target1[Target Dates]&gt;='Control Panel'!$B$12,IF(Target1[Target Date Check]="Pass",Target1[Target Return])))</f>
        <v>#DIV/0!</v>
      </c>
      <c r="E10" s="14" t="e">
        <f t="array" aca="1" ref="E10" ca="1">SKEW(IF(Target1[Target Dates]&gt;='Control Panel'!$B$13,IF(Target1[Target Date Check]="Pass",Target1[Target Return])))</f>
        <v>#DIV/0!</v>
      </c>
      <c r="F10" s="14" t="e">
        <f t="array" aca="1" ref="F10" ca="1">SKEW(IF(Target1[Target Dates]&gt;='Control Panel'!$B$14,IF(Target1[Target Date Check]="Pass",Target1[Target Return])))</f>
        <v>#DIV/0!</v>
      </c>
      <c r="G10" s="14">
        <f t="array" aca="1" ref="G10" ca="1">SKEW(IF(Target1[Target Dates]&gt;='Control Panel'!$B$15,IF(Target1[Target Date Check]="Pass",Target1[Target Return])))</f>
        <v>5.382058386998148</v>
      </c>
      <c r="H10" s="14">
        <f t="array" aca="1" ref="H10" ca="1">SKEW(IF(Target1[Target Dates]&gt;='Control Panel'!$B$16,IF(Target1[Target Date Check]="Pass",Target1[Target Return])))</f>
        <v>-1.0472131995331322</v>
      </c>
      <c r="I10" s="14">
        <f t="array" aca="1" ref="I10" ca="1">SKEW(IF(Target1[Target Dates]&gt;='Control Panel'!$B$17,IF(Target1[Target Date Check]="Pass",Target1[Target Return])))</f>
        <v>-0.40184078392066008</v>
      </c>
      <c r="J10" s="15">
        <f t="array" ref="J10">SKEW(IF(Target1[Target Date Check]="Pass",Target1[Target Return]))</f>
        <v>-0.31220280862790151</v>
      </c>
    </row>
    <row r="11" spans="1:12">
      <c r="A11" s="21" t="s">
        <v>50</v>
      </c>
      <c r="B11" s="16">
        <f t="array" aca="1" ref="B11" ca="1">MIN(IF(Target1[Target Dates]&gt;='Control Panel'!$B$10,IF(Target1[Target Date Check]="Pass",Target1[Target Return])))</f>
        <v>0</v>
      </c>
      <c r="C11" s="17">
        <f t="array" aca="1" ref="C11" ca="1">MIN(IF(Target1[Target Dates]&gt;='Control Panel'!$B$11,IF(Target1[Target Date Check]="Pass",Target1[Target Return])))</f>
        <v>0</v>
      </c>
      <c r="D11" s="17">
        <f t="array" aca="1" ref="D11" ca="1">MIN(IF(Target1[Target Dates]&gt;='Control Panel'!$B$12,IF(Target1[Target Date Check]="Pass",Target1[Target Return])))</f>
        <v>0</v>
      </c>
      <c r="E11" s="17">
        <f t="array" aca="1" ref="E11" ca="1">MIN(IF(Target1[Target Dates]&gt;='Control Panel'!$B$13,IF(Target1[Target Date Check]="Pass",Target1[Target Return])))</f>
        <v>0</v>
      </c>
      <c r="F11" s="17">
        <f t="array" aca="1" ref="F11" ca="1">MIN(IF(Target1[Target Dates]&gt;='Control Panel'!$B$14,IF(Target1[Target Date Check]="Pass",Target1[Target Return])))</f>
        <v>0</v>
      </c>
      <c r="G11" s="17">
        <f t="array" aca="1" ref="G11" ca="1">MIN(IF(Target1[Target Dates]&gt;='Control Panel'!$B$15,IF(Target1[Target Date Check]="Pass",Target1[Target Return])))</f>
        <v>-7.2859999946325998E-2</v>
      </c>
      <c r="H11" s="17">
        <f t="array" aca="1" ref="H11" ca="1">MIN(IF(Target1[Target Dates]&gt;='Control Panel'!$B$16,IF(Target1[Target Date Check]="Pass",Target1[Target Return])))</f>
        <v>-0.34741123062688362</v>
      </c>
      <c r="I11" s="17">
        <f t="array" aca="1" ref="I11" ca="1">MIN(IF(Target1[Target Dates]&gt;='Control Panel'!$B$17,IF(Target1[Target Date Check]="Pass",Target1[Target Return])))</f>
        <v>-0.34741123062688362</v>
      </c>
      <c r="J11" s="18">
        <f t="array" ref="J11">MIN(IF(Target1[Target Date Check]="Pass",Target1[Target Return]))</f>
        <v>-0.34741123062688362</v>
      </c>
    </row>
    <row r="12" spans="1:12">
      <c r="A12" s="20" t="s">
        <v>51</v>
      </c>
      <c r="B12" s="13">
        <f t="array" aca="1" ref="B12" ca="1">MAX(IF(Target1[Target Dates]&gt;='Control Panel'!$B$10,IF(Target1[Target Date Check]="Pass",Target1[Target Return])))</f>
        <v>0</v>
      </c>
      <c r="C12" s="14">
        <f t="array" aca="1" ref="C12" ca="1">MAX(IF(Target1[Target Dates]&gt;='Control Panel'!$B$11,IF(Target1[Target Date Check]="Pass",Target1[Target Return])))</f>
        <v>0</v>
      </c>
      <c r="D12" s="14">
        <f t="array" aca="1" ref="D12" ca="1">MAX(IF(Target1[Target Dates]&gt;='Control Panel'!$B$12,IF(Target1[Target Date Check]="Pass",Target1[Target Return])))</f>
        <v>0</v>
      </c>
      <c r="E12" s="14">
        <f t="array" aca="1" ref="E12" ca="1">MAX(IF(Target1[Target Dates]&gt;='Control Panel'!$B$13,IF(Target1[Target Date Check]="Pass",Target1[Target Return])))</f>
        <v>0</v>
      </c>
      <c r="F12" s="14">
        <f t="array" aca="1" ref="F12" ca="1">MAX(IF(Target1[Target Dates]&gt;='Control Panel'!$B$14,IF(Target1[Target Date Check]="Pass",Target1[Target Return])))</f>
        <v>0</v>
      </c>
      <c r="G12" s="14">
        <f t="array" aca="1" ref="G12" ca="1">MAX(IF(Target1[Target Dates]&gt;='Control Panel'!$B$15,IF(Target1[Target Date Check]="Pass",Target1[Target Return])))</f>
        <v>0.24441568658974944</v>
      </c>
      <c r="H12" s="14">
        <f t="array" aca="1" ref="H12" ca="1">MAX(IF(Target1[Target Dates]&gt;='Control Panel'!$B$16,IF(Target1[Target Date Check]="Pass",Target1[Target Return])))</f>
        <v>0.24441568658974944</v>
      </c>
      <c r="I12" s="14">
        <f t="array" aca="1" ref="I12" ca="1">MAX(IF(Target1[Target Dates]&gt;='Control Panel'!$B$17,IF(Target1[Target Date Check]="Pass",Target1[Target Return])))</f>
        <v>0.24441568658974944</v>
      </c>
      <c r="J12" s="15">
        <f t="array" ref="J12">MAX(IF(Target1[Target Date Check]="Pass",Target1[Target Return]))</f>
        <v>0.24441568658974944</v>
      </c>
    </row>
    <row r="13" spans="1:12">
      <c r="A13" s="21" t="s">
        <v>52</v>
      </c>
      <c r="B13" s="16" t="e" cm="1">
        <f t="array" aca="1" ref="B13" ca="1">AVERAGE(IF(Target1[Target Dates]&gt;='Control Panel'!$B$10,IF(Target1[Target Date Check]="Pass",Target1[Target Drawdown])))</f>
        <v>#DIV/0!</v>
      </c>
      <c r="C13" s="17" t="e" cm="1">
        <f t="array" aca="1" ref="C13" ca="1">AVERAGE(IF(Target1[Target Dates]&gt;='Control Panel'!$B$11,IF(Target1[Target Date Check]="Pass",Target1[Target Drawdown])))</f>
        <v>#DIV/0!</v>
      </c>
      <c r="D13" s="17" t="e" cm="1">
        <f t="array" aca="1" ref="D13" ca="1">AVERAGE(IF(Target1[Target Dates]&gt;='Control Panel'!$B$12,IF(Target1[Target Date Check]="Pass",Target1[Target Drawdown])))</f>
        <v>#DIV/0!</v>
      </c>
      <c r="E13" s="17" t="e" cm="1">
        <f t="array" aca="1" ref="E13" ca="1">AVERAGE(IF(Target1[Target Dates]&gt;='Control Panel'!$B$13,IF(Target1[Target Date Check]="Pass",Target1[Target Drawdown])))</f>
        <v>#DIV/0!</v>
      </c>
      <c r="F13" s="17" t="e" cm="1">
        <f t="array" aca="1" ref="F13" ca="1">AVERAGE(IF(Target1[Target Dates]&gt;='Control Panel'!$B$14,IF(Target1[Target Date Check]="Pass",Target1[Target Drawdown])))</f>
        <v>#DIV/0!</v>
      </c>
      <c r="G13" s="17" cm="1">
        <f t="array" aca="1" ref="G13" ca="1">AVERAGE(IF(Target1[Target Dates]&gt;='Control Panel'!$B$15,IF(Target1[Target Date Check]="Pass",Target1[Target Drawdown])))</f>
        <v>-11.322543859649123</v>
      </c>
      <c r="H13" s="17" cm="1">
        <f t="array" aca="1" ref="H13" ca="1">AVERAGE(IF(Target1[Target Dates]&gt;='Control Panel'!$B$16,IF(Target1[Target Date Check]="Pass",Target1[Target Drawdown])))</f>
        <v>-13.654657534246574</v>
      </c>
      <c r="I13" s="17" cm="1">
        <f t="array" aca="1" ref="I13" ca="1">AVERAGE(IF(Target1[Target Dates]&gt;='Control Panel'!$B$17,IF(Target1[Target Date Check]="Pass",Target1[Target Drawdown])))</f>
        <v>-16.769044879171464</v>
      </c>
      <c r="J13" s="18" cm="1">
        <f t="array" ref="J13">AVERAGE(IF(Target1[Target Date Check]="Pass",Target1[Target Drawdown]))</f>
        <v>-13.290015910898966</v>
      </c>
    </row>
    <row r="14" spans="1:12">
      <c r="A14" s="20" t="s">
        <v>53</v>
      </c>
      <c r="B14" s="89" t="e">
        <f t="array" aca="1" ref="B14" ca="1">AVERAGE(IF(Target1[Target Dates]&gt;='Control Panel'!$B$10,IF(Target1[Target Date Check]="Pass",Target1[Target Drawdown Recovery])))</f>
        <v>#DIV/0!</v>
      </c>
      <c r="C14" s="90" t="e">
        <f t="array" aca="1" ref="C14" ca="1">AVERAGE(IF(Target1[Target Dates]&gt;='Control Panel'!$B$11,IF(Target1[Target Date Check]="Pass",Target1[Target Drawdown Recovery])))</f>
        <v>#DIV/0!</v>
      </c>
      <c r="D14" s="90" t="e">
        <f t="array" aca="1" ref="D14" ca="1">AVERAGE(IF(Target1[Target Dates]&gt;='Control Panel'!$B$12,IF(Target1[Target Date Check]="Pass",Target1[Target Drawdown Recovery])))</f>
        <v>#DIV/0!</v>
      </c>
      <c r="E14" s="90" t="e">
        <f t="array" aca="1" ref="E14" ca="1">AVERAGE(IF(Target1[Target Dates]&gt;='Control Panel'!$B$13,IF(Target1[Target Date Check]="Pass",Target1[Target Drawdown Recovery])))</f>
        <v>#DIV/0!</v>
      </c>
      <c r="F14" s="90" t="e">
        <f t="array" aca="1" ref="F14" ca="1">AVERAGE(IF(Target1[Target Dates]&gt;='Control Panel'!$B$14,IF(Target1[Target Date Check]="Pass",Target1[Target Drawdown Recovery])))</f>
        <v>#DIV/0!</v>
      </c>
      <c r="G14" s="90">
        <f t="array" aca="1" ref="G14" ca="1">AVERAGE(IF(Target1[Target Dates]&gt;='Control Panel'!$B$15,IF(Target1[Target Date Check]="Pass",Target1[Target Drawdown Recovery])))</f>
        <v>-0.21942914456684348</v>
      </c>
      <c r="H14" s="90">
        <f t="array" aca="1" ref="H14" ca="1">AVERAGE(IF(Target1[Target Dates]&gt;='Control Panel'!$B$16,IF(Target1[Target Date Check]="Pass",Target1[Target Drawdown Recovery])))</f>
        <v>-0.26462514601253051</v>
      </c>
      <c r="I14" s="90">
        <f t="array" aca="1" ref="I14" ca="1">AVERAGE(IF(Target1[Target Dates]&gt;='Control Panel'!$B$17,IF(Target1[Target Date Check]="Pass",Target1[Target Drawdown Recovery])))</f>
        <v>-0.34087288916473485</v>
      </c>
      <c r="J14" s="91">
        <f t="array" ref="J14">AVERAGE(IF(Target1[Target Date Check]="Pass",Target1[Target Drawdown Recovery]))</f>
        <v>-0.28348571488999469</v>
      </c>
    </row>
    <row r="15" spans="1:12">
      <c r="A15" s="21" t="s">
        <v>54</v>
      </c>
      <c r="B15" s="45" t="e">
        <f t="array" aca="1" ref="B15" ca="1">(AVERAGE(IF(Benchmark1[Benchmark '#1 Dates]&gt;='Control Panel'!$B$10,IF(Benchmark1[Target Date Check]="Pass",Benchmark1[Target Return])))-AVERAGE(IF(Benchmark1[Benchmark '#1 Dates]&gt;='Control Panel'!$B$10,IF(Benchmark1[Target Date Check]="Pass",Benchmark1[Benchmark '#1 Return]))))/_xlfn.STDEV.P(IF(Benchmark1[Benchmark '#1 Dates]&gt;='Control Panel'!$B$10,IF(Benchmark1[Target Date Check]="Pass",Benchmark1[Difference of Target and Benchmark '#1 Returns])))</f>
        <v>#DIV/0!</v>
      </c>
      <c r="C15" s="17" t="e">
        <f t="array" aca="1" ref="C15" ca="1">(AVERAGE(IF(Benchmark1[Benchmark '#1 Dates]&gt;='Control Panel'!$B$11,IF(Benchmark1[Target Date Check]="Pass",Benchmark1[Target Return])))-AVERAGE(IF(Benchmark1[Benchmark '#1 Dates]&gt;='Control Panel'!$B$11,IF(Benchmark1[Target Date Check]="Pass",Benchmark1[Benchmark '#1 Return]))))/_xlfn.STDEV.P(IF(Benchmark1[Benchmark '#1 Dates]&gt;='Control Panel'!$B$11,IF(Benchmark1[Target Date Check]="Pass",Benchmark1[Difference of Target and Benchmark '#1 Returns])))</f>
        <v>#DIV/0!</v>
      </c>
      <c r="D15" s="17" t="e">
        <f t="array" aca="1" ref="D15" ca="1">(AVERAGE(IF(Benchmark1[Benchmark '#1 Dates]&gt;='Control Panel'!$B$12,IF(Benchmark1[Target Date Check]="Pass",Benchmark1[Target Return])))-AVERAGE(IF(Benchmark1[Benchmark '#1 Dates]&gt;='Control Panel'!$B$12,IF(Benchmark1[Target Date Check]="Pass",Benchmark1[Benchmark '#1 Return]))))/_xlfn.STDEV.P(IF(Benchmark1[Benchmark '#1 Dates]&gt;='Control Panel'!$B$12,IF(Benchmark1[Target Date Check]="Pass",Benchmark1[Difference of Target and Benchmark '#1 Returns])))</f>
        <v>#DIV/0!</v>
      </c>
      <c r="E15" s="17" t="e">
        <f t="array" aca="1" ref="E15" ca="1">(AVERAGE(IF(Benchmark1[Benchmark '#1 Dates]&gt;='Control Panel'!$B$13,IF(Benchmark1[Target Date Check]="Pass",Benchmark1[Target Return])))-AVERAGE(IF(Benchmark1[Benchmark '#1 Dates]&gt;='Control Panel'!$B$13,IF(Benchmark1[Target Date Check]="Pass",Benchmark1[Benchmark '#1 Return]))))/_xlfn.STDEV.P(IF(Benchmark1[Benchmark '#1 Dates]&gt;='Control Panel'!$B$13,IF(Benchmark1[Target Date Check]="Pass",Benchmark1[Difference of Target and Benchmark '#1 Returns])))</f>
        <v>#DIV/0!</v>
      </c>
      <c r="F15" s="17" t="e">
        <f t="array" aca="1" ref="F15" ca="1">(AVERAGE(IF(Benchmark1[Benchmark '#1 Dates]&gt;='Control Panel'!$B$14,IF(Benchmark1[Target Date Check]="Pass",Benchmark1[Target Return])))-AVERAGE(IF(Benchmark1[Benchmark '#1 Dates]&gt;='Control Panel'!$B$14,IF(Benchmark1[Target Date Check]="Pass",Benchmark1[Benchmark '#1 Return]))))/_xlfn.STDEV.P(IF(Benchmark1[Benchmark '#1 Dates]&gt;='Control Panel'!$B$14,IF(Benchmark1[Target Date Check]="Pass",Benchmark1[Difference of Target and Benchmark '#1 Returns])))</f>
        <v>#DIV/0!</v>
      </c>
      <c r="G15" s="17">
        <f t="array" aca="1" ref="G15" ca="1">(AVERAGE(IF(Benchmark1[Benchmark '#1 Dates]&gt;='Control Panel'!$B$15,IF(Benchmark1[Target Date Check]="Pass",Benchmark1[Target Return])))-AVERAGE(IF(Benchmark1[Benchmark '#1 Dates]&gt;='Control Panel'!$B$15,IF(Benchmark1[Target Date Check]="Pass",Benchmark1[Benchmark '#1 Return]))))/_xlfn.STDEV.P(IF(Benchmark1[Benchmark '#1 Dates]&gt;='Control Panel'!$B$15,IF(Benchmark1[Target Date Check]="Pass",Benchmark1[Difference of Target and Benchmark '#1 Returns])))</f>
        <v>9.6962536455029447E-3</v>
      </c>
      <c r="H15" s="17">
        <f t="array" aca="1" ref="H15" ca="1">(AVERAGE(IF(Benchmark1[Benchmark '#1 Dates]&gt;='Control Panel'!$B$16,IF(Benchmark1[Target Date Check]="Pass",Benchmark1[Target Return])))-AVERAGE(IF(Benchmark1[Benchmark '#1 Dates]&gt;='Control Panel'!$B$16,IF(Benchmark1[Target Date Check]="Pass",Benchmark1[Benchmark '#1 Return]))))/_xlfn.STDEV.P(IF(Benchmark1[Benchmark '#1 Dates]&gt;='Control Panel'!$B$16,IF(Benchmark1[Target Date Check]="Pass",Benchmark1[Difference of Target and Benchmark '#1 Returns])))</f>
        <v>2.1215713290698889E-2</v>
      </c>
      <c r="I15" s="17">
        <f t="array" aca="1" ref="I15" ca="1">(AVERAGE(IF(Benchmark1[Benchmark '#1 Dates]&gt;='Control Panel'!$B$17,IF(Benchmark1[Target Date Check]="Pass",Benchmark1[Target Return])))-AVERAGE(IF(Benchmark1[Benchmark '#1 Dates]&gt;='Control Panel'!$B$17,IF(Benchmark1[Target Date Check]="Pass",Benchmark1[Benchmark '#1 Return]))))/_xlfn.STDEV.P(IF(Benchmark1[Benchmark '#1 Dates]&gt;='Control Panel'!$B$17,IF(Benchmark1[Target Date Check]="Pass",Benchmark1[Difference of Target and Benchmark '#1 Returns])))</f>
        <v>9.250737181161069E-3</v>
      </c>
      <c r="J15" s="18">
        <f t="array" ref="J15">(AVERAGE(IF(Benchmark1[Target Date Check]="Pass",Benchmark1[Target Return]))-AVERAGE(IF(Benchmark1[Target Date Check]="Pass",Benchmark1[Benchmark '#1 Return])))/_xlfn.STDEV.P(IF(Benchmark1[Target Date Check]="Pass",Benchmark1[Difference of Target and Benchmark '#1 Returns]))</f>
        <v>6.8622648328521474E-3</v>
      </c>
    </row>
    <row r="16" spans="1:12">
      <c r="A16" s="20" t="s">
        <v>55</v>
      </c>
      <c r="B16" s="13" cm="1">
        <f t="array" aca="1" ref="B16" ca="1">MAX(IF(Target1[Target Dates]&gt;='Control Panel'!$B$10,IF(Target1[Target Date Check]="Pass",Target1[Taget Drawdown Recovery Length])))</f>
        <v>0</v>
      </c>
      <c r="C16" s="14" cm="1">
        <f t="array" aca="1" ref="C16" ca="1">MAX(IF(Target1[Target Dates]&gt;='Control Panel'!$B$11,IF(Target1[Target Date Check]="Pass",Target1[Taget Drawdown Recovery Length])))</f>
        <v>0</v>
      </c>
      <c r="D16" s="14" cm="1">
        <f t="array" aca="1" ref="D16" ca="1">MAX(IF(Target1[Target Dates]&gt;='Control Panel'!$B$12,IF(Target1[Target Date Check]="Pass",Target1[Taget Drawdown Recovery Length])))</f>
        <v>0</v>
      </c>
      <c r="E16" s="14" cm="1">
        <f t="array" aca="1" ref="E16" ca="1">MAX(IF(Target1[Target Dates]&gt;='Control Panel'!$B$13,IF(Target1[Target Date Check]="Pass",Target1[Taget Drawdown Recovery Length])))</f>
        <v>0</v>
      </c>
      <c r="F16" s="14" cm="1">
        <f t="array" aca="1" ref="F16" ca="1">MAX(IF(Target1[Target Dates]&gt;='Control Panel'!$B$14,IF(Target1[Target Date Check]="Pass",Target1[Taget Drawdown Recovery Length])))</f>
        <v>0</v>
      </c>
      <c r="G16" s="14" cm="1">
        <f t="array" aca="1" ref="G16" ca="1">MAX(IF(Target1[Target Dates]&gt;='Control Panel'!$B$15,IF(Target1[Target Date Check]="Pass",Target1[Taget Drawdown Recovery Length])))</f>
        <v>731</v>
      </c>
      <c r="H16" s="14" cm="1">
        <f t="array" aca="1" ref="H16" ca="1">MAX(IF(Target1[Target Dates]&gt;='Control Panel'!$B$16,IF(Target1[Target Date Check]="Pass",Target1[Taget Drawdown Recovery Length])))</f>
        <v>731</v>
      </c>
      <c r="I16" s="14" cm="1">
        <f t="array" aca="1" ref="I16" ca="1">MAX(IF(Target1[Target Dates]&gt;='Control Panel'!$B$17,IF(Target1[Target Date Check]="Pass",Target1[Taget Drawdown Recovery Length])))</f>
        <v>731</v>
      </c>
      <c r="J16" s="15" cm="1">
        <f t="array" ref="J16">MAX(IF(Target1[Target Date Check]="Pass",Target1[Taget Drawdown Recovery Length]))</f>
        <v>731</v>
      </c>
    </row>
    <row r="17" spans="1:10">
      <c r="A17" s="21" t="s">
        <v>56</v>
      </c>
      <c r="B17" s="83" cm="1">
        <f t="array" aca="1" ref="B17" ca="1">MIN(IF(Target1[Target Dates]&gt;='Control Panel'!$B$10,IF(Target1[Target Date Check]="Pass",Target1[Target Drawdown Recovery])))</f>
        <v>0</v>
      </c>
      <c r="C17" s="84" cm="1">
        <f t="array" aca="1" ref="C17" ca="1">MIN(IF(Target1[Target Dates]&gt;='Control Panel'!$B$11,IF(Target1[Target Date Check]="Pass",Target1[Target Drawdown Recovery])))</f>
        <v>0</v>
      </c>
      <c r="D17" s="84" cm="1">
        <f t="array" aca="1" ref="D17" ca="1">MIN(IF(Target1[Target Dates]&gt;='Control Panel'!$B$12,IF(Target1[Target Date Check]="Pass",Target1[Target Drawdown Recovery])))</f>
        <v>0</v>
      </c>
      <c r="E17" s="84" cm="1">
        <f t="array" aca="1" ref="E17" ca="1">MIN(IF(Target1[Target Dates]&gt;='Control Panel'!$B$13,IF(Target1[Target Date Check]="Pass",Target1[Target Drawdown Recovery])))</f>
        <v>0</v>
      </c>
      <c r="F17" s="84" cm="1">
        <f t="array" aca="1" ref="F17" ca="1">MIN(IF(Target1[Target Dates]&gt;='Control Panel'!$B$14,IF(Target1[Target Date Check]="Pass",Target1[Target Drawdown Recovery])))</f>
        <v>0</v>
      </c>
      <c r="G17" s="84" cm="1">
        <f t="array" aca="1" ref="G17" ca="1">MIN(IF(Target1[Target Dates]&gt;='Control Panel'!$B$15,IF(Target1[Target Date Check]="Pass",Target1[Target Drawdown Recovery])))</f>
        <v>-0.38275193798449614</v>
      </c>
      <c r="H17" s="84" cm="1">
        <f t="array" aca="1" ref="H17" ca="1">MIN(IF(Target1[Target Dates]&gt;='Control Panel'!$B$16,IF(Target1[Target Date Check]="Pass",Target1[Target Drawdown Recovery])))</f>
        <v>-0.47945736434108532</v>
      </c>
      <c r="I17" s="84" cm="1">
        <f t="array" aca="1" ref="I17" ca="1">MIN(IF(Target1[Target Dates]&gt;='Control Panel'!$B$17,IF(Target1[Target Date Check]="Pass",Target1[Target Drawdown Recovery])))</f>
        <v>-0.59515503875968989</v>
      </c>
      <c r="J17" s="85" cm="1">
        <f t="array" ref="J17">MIN(IF(Target1[Target Date Check]="Pass",Target1[Target Drawdown Recovery]))</f>
        <v>-0.59515503875968989</v>
      </c>
    </row>
    <row r="18" spans="1:10" ht="15.75" thickBot="1"/>
    <row r="19" spans="1:10" ht="36" customHeight="1" thickBot="1">
      <c r="A19" s="43" t="s">
        <v>57</v>
      </c>
      <c r="B19" s="123" t="str">
        <f>'Control Panel'!B2</f>
        <v xml:space="preserve">Laureate Education, Inc. </v>
      </c>
      <c r="C19" s="123"/>
      <c r="D19" s="123"/>
      <c r="E19" s="123"/>
      <c r="F19" s="123"/>
      <c r="G19" s="123" t="str">
        <f>'Control Panel'!C2</f>
        <v>NasdaqGS:LAUR</v>
      </c>
      <c r="H19" s="123"/>
      <c r="I19" s="123"/>
      <c r="J19" s="123"/>
    </row>
    <row r="20" spans="1:10" ht="32.25" thickBot="1">
      <c r="A20" s="44" t="s">
        <v>44</v>
      </c>
      <c r="B20" s="44" t="s">
        <v>45</v>
      </c>
      <c r="C20" s="44" t="s">
        <v>17</v>
      </c>
      <c r="D20" s="44" t="s">
        <v>18</v>
      </c>
      <c r="E20" s="44" t="s">
        <v>19</v>
      </c>
      <c r="F20" s="44" t="s">
        <v>21</v>
      </c>
      <c r="G20" s="44" t="s">
        <v>22</v>
      </c>
      <c r="H20" s="44" t="s">
        <v>23</v>
      </c>
      <c r="I20" s="44" t="s">
        <v>24</v>
      </c>
      <c r="J20" s="44" t="s">
        <v>37</v>
      </c>
    </row>
    <row r="21" spans="1:10">
      <c r="A21" s="19" t="str">
        <f>"Correlation with Benchmark #1 ("&amp;'Control Panel'!C5&amp;")"</f>
        <v>Correlation with Benchmark #1 (^GSPC)</v>
      </c>
      <c r="B21" s="10" t="e">
        <f t="array" aca="1" ref="B21" ca="1">CORREL(IF(Benchmark1[Benchmark '#1 Dates]&gt;='Control Panel'!$B$10,IF(Benchmark1[Comparable '#1 Date Check]="Pass",Benchmark1[Comparable '#1 Price])),IF(Benchmark1[Benchmark '#1 Dates]&gt;='Control Panel'!$B$10,IF(Benchmark1[Comparable '#1 Date Check]="Pass",Benchmark1[Benchmark '#1 Price])))</f>
        <v>#DIV/0!</v>
      </c>
      <c r="C21" s="11" t="e">
        <f t="array" aca="1" ref="C21" ca="1">CORREL(IF(Benchmark1[Benchmark '#1 Dates]&gt;='Control Panel'!$B$11,IF(Benchmark1[Comparable '#1 Date Check]="Pass",Benchmark1[Comparable '#1 Price])),IF(Benchmark1[Benchmark '#1 Dates]&gt;='Control Panel'!$B$11,IF(Benchmark1[Comparable '#1 Date Check]="Pass",Benchmark1[Benchmark '#1 Price])))</f>
        <v>#DIV/0!</v>
      </c>
      <c r="D21" s="11" t="e">
        <f t="array" aca="1" ref="D21" ca="1">CORREL(IF(Benchmark1[Benchmark '#1 Dates]&gt;='Control Panel'!$B$12,IF(Benchmark1[Comparable '#1 Date Check]="Pass",Benchmark1[Comparable '#1 Price])),IF(Benchmark1[Benchmark '#1 Dates]&gt;='Control Panel'!$B$12,IF(Benchmark1[Comparable '#1 Date Check]="Pass",Benchmark1[Benchmark '#1 Price])))</f>
        <v>#DIV/0!</v>
      </c>
      <c r="E21" s="11" t="e">
        <f t="array" aca="1" ref="E21" ca="1">CORREL(IF(Benchmark1[Benchmark '#1 Dates]&gt;='Control Panel'!$B$13,IF(Benchmark1[Comparable '#1 Date Check]="Pass",Benchmark1[Comparable '#1 Price])),IF(Benchmark1[Benchmark '#1 Dates]&gt;='Control Panel'!$B$13,IF(Benchmark1[Comparable '#1 Date Check]="Pass",Benchmark1[Benchmark '#1 Price])))</f>
        <v>#DIV/0!</v>
      </c>
      <c r="F21" s="11" t="e">
        <f t="array" aca="1" ref="F21" ca="1">CORREL(IF(Benchmark1[Benchmark '#1 Dates]&gt;='Control Panel'!$B$14,IF(Benchmark1[Comparable '#1 Date Check]="Pass",Benchmark1[Comparable '#1 Price])),IF(Benchmark1[Benchmark '#1 Dates]&gt;='Control Panel'!$B$14,IF(Benchmark1[Comparable '#1 Date Check]="Pass",Benchmark1[Benchmark '#1 Price])))</f>
        <v>#DIV/0!</v>
      </c>
      <c r="G21" s="11">
        <f t="array" aca="1" ref="G21" ca="1">CORREL(IF(Benchmark1[Benchmark '#1 Dates]&gt;='Control Panel'!$B$15,IF(Benchmark1[Comparable '#1 Date Check]="Pass",Benchmark1[Comparable '#1 Price])),IF(Benchmark1[Benchmark '#1 Dates]&gt;='Control Panel'!$B$15,IF(Benchmark1[Comparable '#1 Date Check]="Pass",Benchmark1[Benchmark '#1 Price])))</f>
        <v>0.37759032068396903</v>
      </c>
      <c r="H21" s="11">
        <f t="array" aca="1" ref="H21" ca="1">CORREL(IF(Benchmark1[Benchmark '#1 Dates]&gt;='Control Panel'!$B$16,IF(Benchmark1[Comparable '#1 Date Check]="Pass",Benchmark1[Comparable '#1 Price])),IF(Benchmark1[Benchmark '#1 Dates]&gt;='Control Panel'!$B$16,IF(Benchmark1[Comparable '#1 Date Check]="Pass",Benchmark1[Benchmark '#1 Price])))</f>
        <v>0.47545565838123871</v>
      </c>
      <c r="I21" s="11">
        <f t="array" aca="1" ref="I21" ca="1">CORREL(IF(Benchmark1[Benchmark '#1 Dates]&gt;='Control Panel'!$B$17,IF(Benchmark1[Comparable '#1 Date Check]="Pass",Benchmark1[Comparable '#1 Price])),IF(Benchmark1[Benchmark '#1 Dates]&gt;='Control Panel'!$B$17,IF(Benchmark1[Comparable '#1 Date Check]="Pass",Benchmark1[Benchmark '#1 Price])))</f>
        <v>0.12956592092053207</v>
      </c>
      <c r="J21" s="12">
        <f t="array" ref="J21">CORREL(IF(Benchmark1[Comparable '#1 Date Check]="Pass",Benchmark1[Comparable '#1 Price]),IF(Benchmark1[Comparable '#1 Date Check]="Pass",Benchmark1[Benchmark '#1 Price]))</f>
        <v>-0.32713355484696488</v>
      </c>
    </row>
    <row r="22" spans="1:10">
      <c r="A22" s="20" t="str">
        <f>"Correlation with Benchmark #2 ("&amp;'Control Panel'!C6&amp;")"</f>
        <v>Correlation with Benchmark #2 ((^NYA) )</v>
      </c>
      <c r="B22" s="13" t="e">
        <f t="array" aca="1" ref="B22" ca="1">CORREL(IF(Benchmark2[Benchmark '#2 Dates]&gt;='Control Panel'!$B$10,IF(Benchmark2[Comparable '#1 Date Check]="Pass",Benchmark2[Comparable '#1 Price])),IF(Benchmark2[Benchmark '#2 Dates]&gt;='Control Panel'!$B$10,IF(Benchmark2[Comparable '#1 Date Check]="Pass",Benchmark2[Benchmark '#2 Price])))</f>
        <v>#DIV/0!</v>
      </c>
      <c r="C22" s="14" t="e">
        <f t="array" aca="1" ref="C22" ca="1">CORREL(IF(Benchmark2[Benchmark '#2 Dates]&gt;='Control Panel'!$B$11,IF(Benchmark2[Comparable '#1 Date Check]="Pass",Benchmark2[Comparable '#1 Price])),IF(Benchmark2[Benchmark '#2 Dates]&gt;='Control Panel'!$B$11,IF(Benchmark2[Comparable '#1 Date Check]="Pass",Benchmark2[Benchmark '#2 Price])))</f>
        <v>#DIV/0!</v>
      </c>
      <c r="D22" s="14" t="e">
        <f t="array" aca="1" ref="D22" ca="1">CORREL(IF(Benchmark2[Benchmark '#2 Dates]&gt;='Control Panel'!$B$12,IF(Benchmark2[Comparable '#1 Date Check]="Pass",Benchmark2[Comparable '#1 Price])),IF(Benchmark2[Benchmark '#2 Dates]&gt;='Control Panel'!$B$12,IF(Benchmark2[Comparable '#1 Date Check]="Pass",Benchmark2[Benchmark '#2 Price])))</f>
        <v>#DIV/0!</v>
      </c>
      <c r="E22" s="14" t="e">
        <f t="array" aca="1" ref="E22" ca="1">CORREL(IF(Benchmark2[Benchmark '#2 Dates]&gt;='Control Panel'!$B$13,IF(Benchmark2[Comparable '#1 Date Check]="Pass",Benchmark2[Comparable '#1 Price])),IF(Benchmark2[Benchmark '#2 Dates]&gt;='Control Panel'!$B$13,IF(Benchmark2[Comparable '#1 Date Check]="Pass",Benchmark2[Benchmark '#2 Price])))</f>
        <v>#DIV/0!</v>
      </c>
      <c r="F22" s="14" t="e">
        <f t="array" aca="1" ref="F22" ca="1">CORREL(IF(Benchmark2[Benchmark '#2 Dates]&gt;='Control Panel'!$B$14,IF(Benchmark2[Comparable '#1 Date Check]="Pass",Benchmark2[Comparable '#1 Price])),IF(Benchmark2[Benchmark '#2 Dates]&gt;='Control Panel'!$B$14,IF(Benchmark2[Comparable '#1 Date Check]="Pass",Benchmark2[Benchmark '#2 Price])))</f>
        <v>#DIV/0!</v>
      </c>
      <c r="G22" s="14">
        <f t="array" aca="1" ref="G22" ca="1">CORREL(IF(Benchmark2[Benchmark '#2 Dates]&gt;='Control Panel'!$B$15,IF(Benchmark2[Comparable '#1 Date Check]="Pass",Benchmark2[Comparable '#1 Price])),IF(Benchmark2[Benchmark '#2 Dates]&gt;='Control Panel'!$B$15,IF(Benchmark2[Comparable '#1 Date Check]="Pass",Benchmark2[Benchmark '#2 Price])))</f>
        <v>-0.39931319041253044</v>
      </c>
      <c r="H22" s="14">
        <f t="array" aca="1" ref="H22" ca="1">CORREL(IF(Benchmark2[Benchmark '#2 Dates]&gt;='Control Panel'!$B$16,IF(Benchmark2[Comparable '#1 Date Check]="Pass",Benchmark2[Comparable '#1 Price])),IF(Benchmark2[Benchmark '#2 Dates]&gt;='Control Panel'!$B$16,IF(Benchmark2[Comparable '#1 Date Check]="Pass",Benchmark2[Benchmark '#2 Price])))</f>
        <v>0.2937908285370055</v>
      </c>
      <c r="I22" s="14">
        <f t="array" aca="1" ref="I22" ca="1">CORREL(IF(Benchmark2[Benchmark '#2 Dates]&gt;='Control Panel'!$B$17,IF(Benchmark2[Comparable '#1 Date Check]="Pass",Benchmark2[Comparable '#1 Price])),IF(Benchmark2[Benchmark '#2 Dates]&gt;='Control Panel'!$B$17,IF(Benchmark2[Comparable '#1 Date Check]="Pass",Benchmark2[Benchmark '#2 Price])))</f>
        <v>0.23978464272016323</v>
      </c>
      <c r="J22" s="15">
        <f t="array" ref="J22">CORREL(IF(Benchmark2[Comparable '#1 Date Check]="Pass",Benchmark2[Comparable '#1 Price]),IF(Benchmark2[Comparable '#1 Date Check]="Pass",Benchmark2[Benchmark '#2 Price]))</f>
        <v>-0.13249935396565449</v>
      </c>
    </row>
    <row r="23" spans="1:10">
      <c r="A23" s="21" t="s">
        <v>46</v>
      </c>
      <c r="B23" s="16" t="e">
        <f t="array" aca="1" ref="B23" ca="1">GEOMEAN(IF(Comp1[Comparable '#1 Dates]&gt;='Control Panel'!$B$10,IF(Comp1[Comparable '#1 Date Check]="Pass",Comp1[Comparable '#1 Geodummy])))-1</f>
        <v>#NUM!</v>
      </c>
      <c r="C23" s="17" t="e">
        <f t="array" aca="1" ref="C23" ca="1">GEOMEAN(IF(Comp1[Comparable '#1 Dates]&gt;='Control Panel'!$B$11,IF(Comp1[Comparable '#1 Date Check]="Pass",Comp1[Comparable '#1 Geodummy])))-1</f>
        <v>#NUM!</v>
      </c>
      <c r="D23" s="17" t="e">
        <f t="array" aca="1" ref="D23" ca="1">GEOMEAN(IF(Comp1[Comparable '#1 Dates]&gt;='Control Panel'!$B$12,IF(Comp1[Comparable '#1 Date Check]="Pass",Comp1[Comparable '#1 Geodummy])))-1</f>
        <v>#NUM!</v>
      </c>
      <c r="E23" s="17" t="e">
        <f t="array" aca="1" ref="E23" ca="1">GEOMEAN(IF(Comp1[Comparable '#1 Dates]&gt;='Control Panel'!$B$13,IF(Comp1[Comparable '#1 Date Check]="Pass",Comp1[Comparable '#1 Geodummy])))-1</f>
        <v>#NUM!</v>
      </c>
      <c r="F23" s="17" t="e">
        <f t="array" aca="1" ref="F23" ca="1">GEOMEAN(IF(Comp1[Comparable '#1 Dates]&gt;='Control Panel'!$B$14,IF(Comp1[Comparable '#1 Date Check]="Pass",Comp1[Comparable '#1 Geodummy])))-1</f>
        <v>#NUM!</v>
      </c>
      <c r="G23" s="17">
        <f t="array" aca="1" ref="G23" ca="1">GEOMEAN(IF(Comp1[Comparable '#1 Dates]&gt;='Control Panel'!$B$15,IF(Comp1[Comparable '#1 Date Check]="Pass",Comp1[Comparable '#1 Geodummy])))-1</f>
        <v>1.207524929704995E-3</v>
      </c>
      <c r="H23" s="17">
        <f t="array" aca="1" ref="H23" ca="1">GEOMEAN(IF(Comp1[Comparable '#1 Dates]&gt;='Control Panel'!$B$16,IF(Comp1[Comparable '#1 Date Check]="Pass",Comp1[Comparable '#1 Geodummy])))-1</f>
        <v>-1.6411035436458832E-4</v>
      </c>
      <c r="I23" s="17">
        <f t="array" aca="1" ref="I23" ca="1">GEOMEAN(IF(Comp1[Comparable '#1 Dates]&gt;='Control Panel'!$B$17,IF(Comp1[Comparable '#1 Date Check]="Pass",Comp1[Comparable '#1 Geodummy])))-1</f>
        <v>-1.2593065971989725E-3</v>
      </c>
      <c r="J23" s="18">
        <f t="array" ref="J23">GEOMEAN(IF(Comp1[Comparable '#1 Date Check]="Pass",Comp1[Comparable '#1 Geodummy]))-1</f>
        <v>-7.4968564182564812E-4</v>
      </c>
    </row>
    <row r="24" spans="1:10">
      <c r="A24" s="20" t="s">
        <v>47</v>
      </c>
      <c r="B24" s="13" t="e">
        <f t="array" aca="1" ref="B24" ca="1">MEDIAN(IF(Comp1[Comparable '#1 Dates]&gt;='Control Panel'!$B$10,IF(Comp1[Comparable '#1 Date Check]="Pass",Comp1[Comparable '#1 Return])))</f>
        <v>#NUM!</v>
      </c>
      <c r="C24" s="14" t="e">
        <f t="array" aca="1" ref="C24" ca="1">MEDIAN(IF(Comp1[Comparable '#1 Dates]&gt;='Control Panel'!$B$11,IF(Comp1[Comparable '#1 Date Check]="Pass",Comp1[Comparable '#1 Return])))</f>
        <v>#NUM!</v>
      </c>
      <c r="D24" s="14" t="e">
        <f t="array" aca="1" ref="D24" ca="1">MEDIAN(IF(Comp1[Comparable '#1 Dates]&gt;='Control Panel'!$B$12,IF(Comp1[Comparable '#1 Date Check]="Pass",Comp1[Comparable '#1 Return])))</f>
        <v>#NUM!</v>
      </c>
      <c r="E24" s="14" t="e">
        <f t="array" aca="1" ref="E24" ca="1">MEDIAN(IF(Comp1[Comparable '#1 Dates]&gt;='Control Panel'!$B$13,IF(Comp1[Comparable '#1 Date Check]="Pass",Comp1[Comparable '#1 Return])))</f>
        <v>#NUM!</v>
      </c>
      <c r="F24" s="14" t="e">
        <f t="array" aca="1" ref="F24" ca="1">MEDIAN(IF(Comp1[Comparable '#1 Dates]&gt;='Control Panel'!$B$14,IF(Comp1[Comparable '#1 Date Check]="Pass",Comp1[Comparable '#1 Return])))</f>
        <v>#NUM!</v>
      </c>
      <c r="G24" s="14">
        <f t="array" aca="1" ref="G24" ca="1">MEDIAN(IF(Comp1[Comparable '#1 Dates]&gt;='Control Panel'!$B$15,IF(Comp1[Comparable '#1 Date Check]="Pass",Comp1[Comparable '#1 Return])))</f>
        <v>0</v>
      </c>
      <c r="H24" s="14">
        <f t="array" aca="1" ref="H24" ca="1">MEDIAN(IF(Comp1[Comparable '#1 Dates]&gt;='Control Panel'!$B$16,IF(Comp1[Comparable '#1 Date Check]="Pass",Comp1[Comparable '#1 Return])))</f>
        <v>7.7921234292024433E-4</v>
      </c>
      <c r="I24" s="14">
        <f t="array" aca="1" ref="I24" ca="1">MEDIAN(IF(Comp1[Comparable '#1 Dates]&gt;='Control Panel'!$B$17,IF(Comp1[Comparable '#1 Date Check]="Pass",Comp1[Comparable '#1 Return])))</f>
        <v>-2.8579594947888222E-4</v>
      </c>
      <c r="J24" s="15">
        <f t="array" ref="J24">MEDIAN(IF(Comp1[Comparable '#1 Date Check]="Pass",Comp1[Comparable '#1 Return]))</f>
        <v>0</v>
      </c>
    </row>
    <row r="25" spans="1:10">
      <c r="A25" s="21" t="s">
        <v>48</v>
      </c>
      <c r="B25" s="16">
        <f t="array" aca="1" ref="B25" ca="1">(INDEX(Comp1[Comparable '#1 Price],MATCH(MAX(Comp1[Comparable '#1 Dates]),Comp1[Comparable '#1 Dates],0))-INDEX(Comp1[Comparable '#1 Price],MATCH('Control Panel'!$B$10,Comp1[Comparable '#1 Dates],1)))/INDEX(Comp1[Comparable '#1 Price],MATCH(MAX(Comp1[Comparable '#1 Dates]),Comp1[Comparable '#1 Dates],0))</f>
        <v>0</v>
      </c>
      <c r="C25" s="17">
        <f t="array" aca="1" ref="C25" ca="1">(INDEX(Comp1[Comparable '#1 Price],MATCH(MAX(Comp1[Comparable '#1 Dates]),Comp1[Comparable '#1 Dates],0))-INDEX(Comp1[Comparable '#1 Price],MATCH('Control Panel'!$B$11,Comp1[Comparable '#1 Dates],1)))/INDEX(Comp1[Comparable '#1 Price],MATCH(MAX(Comp1[Comparable '#1 Dates]),Comp1[Comparable '#1 Dates],0))</f>
        <v>0</v>
      </c>
      <c r="D25" s="17">
        <f t="array" aca="1" ref="D25" ca="1">(INDEX(Comp1[Comparable '#1 Price],MATCH(MAX(Comp1[Comparable '#1 Dates]),Comp1[Comparable '#1 Dates],0))-INDEX(Comp1[Comparable '#1 Price],MATCH('Control Panel'!$B$12,Comp1[Comparable '#1 Dates],1)))/INDEX(Comp1[Comparable '#1 Price],MATCH(MAX(Comp1[Comparable '#1 Dates]),Comp1[Comparable '#1 Dates],0))</f>
        <v>0</v>
      </c>
      <c r="E25" s="17">
        <f t="array" aca="1" ref="E25" ca="1">(INDEX(Comp1[Comparable '#1 Price],MATCH(MAX(Comp1[Comparable '#1 Dates]),Comp1[Comparable '#1 Dates],0))-INDEX(Comp1[Comparable '#1 Price],MATCH('Control Panel'!$B$13,Comp1[Comparable '#1 Dates],1)))/INDEX(Comp1[Comparable '#1 Price],MATCH(MAX(Comp1[Comparable '#1 Dates]),Comp1[Comparable '#1 Dates],0))</f>
        <v>0</v>
      </c>
      <c r="F25" s="17">
        <f ca="1">(INDEX(Comp1[Comparable '#1 Price],MATCH(MAX(Comp1[Comparable '#1 Dates]),Comp1[Comparable '#1 Dates],0))-INDEX(Comp1[Comparable '#1 Price],MATCH('Control Panel'!$B$14,Comp1[Comparable '#1 Dates],1)))/INDEX(Comp1[Comparable '#1 Price],MATCH(MAX(Comp1[Comparable '#1 Dates]),Comp1[Comparable '#1 Dates],0))</f>
        <v>0</v>
      </c>
      <c r="G25" s="17">
        <f t="array" aca="1" ref="G25" ca="1">(INDEX(Comp1[Comparable '#1 Price],MATCH(MAX(Comp1[Comparable '#1 Dates]),Comp1[Comparable '#1 Dates],0))-INDEX(Comp1[Comparable '#1 Price],MATCH('Control Panel'!$B$15,Comp1[Comparable '#1 Dates],1)))/INDEX(Comp1[Comparable '#1 Price],MATCH(MAX(Comp1[Comparable '#1 Dates]),Comp1[Comparable '#1 Dates],0))</f>
        <v>0.15642915642915642</v>
      </c>
      <c r="H25" s="17">
        <f t="array" aca="1" ref="H25" ca="1">(INDEX(Comp1[Comparable '#1 Price],MATCH(MAX(Comp1[Comparable '#1 Dates]),Comp1[Comparable '#1 Dates],0))-INDEX(Comp1[Comparable '#1 Price],MATCH('Control Panel'!$B$16,Comp1[Comparable '#1 Dates],1)))/INDEX(Comp1[Comparable '#1 Price],MATCH(MAX(Comp1[Comparable '#1 Dates]),Comp1[Comparable '#1 Dates],0))</f>
        <v>3.5217035217035335E-2</v>
      </c>
      <c r="I25" s="17">
        <f t="array" aca="1" ref="I25" ca="1">(INDEX(Comp1[Comparable '#1 Price],MATCH(MAX(Comp1[Comparable '#1 Dates]),Comp1[Comparable '#1 Dates],0))-INDEX(Comp1[Comparable '#1 Price],MATCH('Control Panel'!$B$17,Comp1[Comparable '#1 Dates],1)))/INDEX(Comp1[Comparable '#1 Price],MATCH(MAX(Comp1[Comparable '#1 Dates]),Comp1[Comparable '#1 Dates],0))</f>
        <v>-0.47420147420147407</v>
      </c>
      <c r="J25" s="18">
        <f t="array" ref="J25">(INDEX(Comp1[Comparable '#1 Price],MATCH(MAX(Comp1[Comparable '#1 Dates]),Comp1[Comparable '#1 Dates],0))-INDEX(Comp1[Comparable '#1 Price],MATCH(MIN(Comp1[Comparable '#1 Dates]),Comp1[Comparable '#1 Dates],1)))/INDEX(Comp1[Comparable '#1 Price],MATCH(MAX(Comp1[Comparable '#1 Dates]),Comp1[Comparable '#1 Dates],0))</f>
        <v>-0.19656019656019644</v>
      </c>
    </row>
    <row r="26" spans="1:10">
      <c r="A26" s="20" t="s">
        <v>49</v>
      </c>
      <c r="B26" s="13" t="e">
        <f t="array" aca="1" ref="B26" ca="1">STDEVA(IF(Comp1[Comparable '#1 Dates]&gt;='Control Panel'!$B$10,IF(Comp1[Comparable '#1 Date Check]="Pass",Comp1[Comparable '#1 Return])))*SQRT('Control Panel'!$C$10)</f>
        <v>#DIV/0!</v>
      </c>
      <c r="C26" s="14" t="e">
        <f t="array" aca="1" ref="C26" ca="1">STDEVA(IF(Comp1[Comparable '#1 Dates]&gt;='Control Panel'!$B$11,IF(Comp1[Comparable '#1 Date Check]="Pass",Comp1[Comparable '#1 Return])))*SQRT('Control Panel'!$C$11)</f>
        <v>#DIV/0!</v>
      </c>
      <c r="D26" s="14" t="e">
        <f t="array" aca="1" ref="D26" ca="1">STDEVA(IF(Comp1[Comparable '#1 Dates]&gt;='Control Panel'!$B$12,IF(Comp1[Comparable '#1 Date Check]="Pass",Comp1[Comparable '#1 Return])))*SQRT('Control Panel'!$C$12)</f>
        <v>#DIV/0!</v>
      </c>
      <c r="E26" s="14" t="e">
        <f t="array" aca="1" ref="E26" ca="1">STDEVA(IF(Comp1[Comparable '#1 Dates]&gt;='Control Panel'!$B$13,IF(Comp1[Comparable '#1 Date Check]="Pass",Comp1[Comparable '#1 Return])))*SQRT('Control Panel'!$C$13)</f>
        <v>#DIV/0!</v>
      </c>
      <c r="F26" s="14" t="e">
        <f t="array" aca="1" ref="F26" ca="1">STDEVA(IF(Comp1[Comparable '#1 Dates]&gt;='Control Panel'!$B$14,IF(Comp1[Comparable '#1 Date Check]="Pass",Comp1[Comparable '#1 Return])))*SQRT('Control Panel'!$C$14)</f>
        <v>#DIV/0!</v>
      </c>
      <c r="G26" s="14">
        <f t="array" aca="1" ref="G26" ca="1">STDEVA(IF(Comp1[Comparable '#1 Dates]&gt;='Control Panel'!$B$15,IF(Comp1[Comparable '#1 Date Check]="Pass",Comp1[Comparable '#1 Return])))*SQRT('Control Panel'!$C$15)</f>
        <v>0.32166964648151358</v>
      </c>
      <c r="H26" s="14">
        <f t="array" aca="1" ref="H26" ca="1">STDEVA(IF(Comp1[Comparable '#1 Dates]&gt;='Control Panel'!$B$16,IF(Comp1[Comparable '#1 Date Check]="Pass",Comp1[Comparable '#1 Return])))*SQRT('Control Panel'!$C$16)</f>
        <v>0.36722288406288206</v>
      </c>
      <c r="I26" s="14">
        <f t="array" aca="1" ref="I26" ca="1">STDEVA(IF(Comp1[Comparable '#1 Dates]&gt;='Control Panel'!$B$17,IF(Comp1[Comparable '#1 Date Check]="Pass",Comp1[Comparable '#1 Return])))*SQRT('Control Panel'!$C$17)</f>
        <v>0.58887355559643118</v>
      </c>
      <c r="J26" s="15">
        <f t="array" ref="J26">STDEVA(IF(Comp1[Comparable '#1 Date Check]="Pass",Comp1[Comparable '#1 Return]))*SQRT('Control Panel'!$C$17)</f>
        <v>0.51628828336365562</v>
      </c>
    </row>
    <row r="27" spans="1:10">
      <c r="A27" s="21" t="s">
        <v>31</v>
      </c>
      <c r="B27" s="16" t="e">
        <f t="array" aca="1" ref="B27" ca="1">KURT(IF(Comp1[Comparable '#1 Dates]&gt;='Control Panel'!$B$10,IF(Comp1[Comparable '#1 Date Check]="Pass",Comp1[Comparable '#1 Return])))</f>
        <v>#DIV/0!</v>
      </c>
      <c r="C27" s="17" t="e">
        <f t="array" aca="1" ref="C27" ca="1">KURT(IF(Comp1[Comparable '#1 Dates]&gt;='Control Panel'!$B$11,IF(Comp1[Comparable '#1 Date Check]="Pass",Comp1[Comparable '#1 Return])))</f>
        <v>#DIV/0!</v>
      </c>
      <c r="D27" s="17" t="e">
        <f t="array" aca="1" ref="D27" ca="1">KURT(IF(Comp1[Comparable '#1 Dates]&gt;='Control Panel'!$B$12,IF(Comp1[Comparable '#1 Date Check]="Pass",Comp1[Comparable '#1 Return])))</f>
        <v>#DIV/0!</v>
      </c>
      <c r="E27" s="17" t="e">
        <f t="array" aca="1" ref="E27" ca="1">KURT(IF(Comp1[Comparable '#1 Dates]&gt;='Control Panel'!$B$13,IF(Comp1[Comparable '#1 Date Check]="Pass",Comp1[Comparable '#1 Return])))</f>
        <v>#DIV/0!</v>
      </c>
      <c r="F27" s="17" t="e">
        <f t="array" aca="1" ref="F27" ca="1">KURT(IF(Comp1[Comparable '#1 Dates]&gt;='Control Panel'!$B$14,IF(Comp1[Comparable '#1 Date Check]="Pass",Comp1[Comparable '#1 Return])))</f>
        <v>#DIV/0!</v>
      </c>
      <c r="G27" s="17">
        <f t="array" aca="1" ref="G27" ca="1">KURT(IF(Comp1[Comparable '#1 Dates]&gt;='Control Panel'!$B$15,IF(Comp1[Comparable '#1 Date Check]="Pass",Comp1[Comparable '#1 Return])))</f>
        <v>21.019305865633562</v>
      </c>
      <c r="H27" s="17">
        <f t="array" aca="1" ref="H27" ca="1">KURT(IF(Comp1[Comparable '#1 Dates]&gt;='Control Panel'!$B$16,IF(Comp1[Comparable '#1 Date Check]="Pass",Comp1[Comparable '#1 Return])))</f>
        <v>7.5092122061177839</v>
      </c>
      <c r="I27" s="17">
        <f t="array" aca="1" ref="I27" ca="1">KURT(IF(Comp1[Comparable '#1 Dates]&gt;='Control Panel'!$B$17,IF(Comp1[Comparable '#1 Date Check]="Pass",Comp1[Comparable '#1 Return])))</f>
        <v>62.804956374247467</v>
      </c>
      <c r="J27" s="18">
        <f t="array" ref="J27">KURT(IF(Comp1[Comparable '#1 Date Check]="Pass",Comp1[Comparable '#1 Return]))</f>
        <v>74.331719389170559</v>
      </c>
    </row>
    <row r="28" spans="1:10">
      <c r="A28" s="20" t="s">
        <v>32</v>
      </c>
      <c r="B28" s="13" t="e">
        <f t="array" aca="1" ref="B28" ca="1">SKEW(IF(Comp1[Comparable '#1 Dates]&gt;='Control Panel'!$B$10,IF(Comp1[Comparable '#1 Date Check]="Pass",Comp1[Comparable '#1 Return])))</f>
        <v>#DIV/0!</v>
      </c>
      <c r="C28" s="14" t="e">
        <f t="array" aca="1" ref="C28" ca="1">SKEW(IF(Comp1[Comparable '#1 Dates]&gt;='Control Panel'!$B$11,IF(Comp1[Comparable '#1 Date Check]="Pass",Comp1[Comparable '#1 Return])))</f>
        <v>#DIV/0!</v>
      </c>
      <c r="D28" s="14" t="e">
        <f t="array" aca="1" ref="D28" ca="1">SKEW(IF(Comp1[Comparable '#1 Dates]&gt;='Control Panel'!$B$12,IF(Comp1[Comparable '#1 Date Check]="Pass",Comp1[Comparable '#1 Return])))</f>
        <v>#DIV/0!</v>
      </c>
      <c r="E28" s="14" t="e">
        <f t="array" aca="1" ref="E28" ca="1">SKEW(IF(Comp1[Comparable '#1 Dates]&gt;='Control Panel'!$B$13,IF(Comp1[Comparable '#1 Date Check]="Pass",Comp1[Comparable '#1 Return])))</f>
        <v>#DIV/0!</v>
      </c>
      <c r="F28" s="14" t="e">
        <f t="array" aca="1" ref="F28" ca="1">SKEW(IF(Comp1[Comparable '#1 Dates]&gt;='Control Panel'!$B$14,IF(Comp1[Comparable '#1 Date Check]="Pass",Comp1[Comparable '#1 Return])))</f>
        <v>#DIV/0!</v>
      </c>
      <c r="G28" s="14">
        <f t="array" aca="1" ref="G28" ca="1">SKEW(IF(Comp1[Comparable '#1 Dates]&gt;='Control Panel'!$B$15,IF(Comp1[Comparable '#1 Date Check]="Pass",Comp1[Comparable '#1 Return])))</f>
        <v>2.9763996477873014</v>
      </c>
      <c r="H28" s="14">
        <f t="array" aca="1" ref="H28" ca="1">SKEW(IF(Comp1[Comparable '#1 Dates]&gt;='Control Panel'!$B$16,IF(Comp1[Comparable '#1 Date Check]="Pass",Comp1[Comparable '#1 Return])))</f>
        <v>0.19164652137626664</v>
      </c>
      <c r="I28" s="14">
        <f t="array" aca="1" ref="I28" ca="1">SKEW(IF(Comp1[Comparable '#1 Dates]&gt;='Control Panel'!$B$17,IF(Comp1[Comparable '#1 Date Check]="Pass",Comp1[Comparable '#1 Return])))</f>
        <v>-3.68538746408912</v>
      </c>
      <c r="J28" s="15">
        <f t="array" ref="J28">SKEW(IF(Comp1[Comparable '#1 Date Check]="Pass",Comp1[Comparable '#1 Return]))</f>
        <v>-3.7888053660727659</v>
      </c>
    </row>
    <row r="29" spans="1:10">
      <c r="A29" s="21" t="s">
        <v>50</v>
      </c>
      <c r="B29" s="16">
        <f t="array" aca="1" ref="B29" ca="1">MIN(IF(Comp1[Comparable '#1 Dates]&gt;='Control Panel'!$B$10,IF(Comp1[Comparable '#1 Date Check]="Pass",Comp1[Comparable '#1 Return])))</f>
        <v>0</v>
      </c>
      <c r="C29" s="17">
        <f t="array" aca="1" ref="C29" ca="1">MIN(IF(Comp1[Comparable '#1 Dates]&gt;='Control Panel'!$B$11,IF(Comp1[Comparable '#1 Date Check]="Pass",Comp1[Comparable '#1 Return])))</f>
        <v>0</v>
      </c>
      <c r="D29" s="17">
        <f t="array" aca="1" ref="D29" ca="1">MIN(IF(Comp1[Comparable '#1 Dates]&gt;='Control Panel'!$B$12,IF(Comp1[Comparable '#1 Date Check]="Pass",Comp1[Comparable '#1 Return])))</f>
        <v>0</v>
      </c>
      <c r="E29" s="17">
        <f t="array" aca="1" ref="E29" ca="1">MIN(IF(Comp1[Comparable '#1 Dates]&gt;='Control Panel'!$B$13,IF(Comp1[Comparable '#1 Date Check]="Pass",Comp1[Comparable '#1 Return])))</f>
        <v>0</v>
      </c>
      <c r="F29" s="17">
        <f t="array" aca="1" ref="F29" ca="1">MIN(IF(Comp1[Comparable '#1 Dates]&gt;='Control Panel'!$B$14,IF(Comp1[Comparable '#1 Date Check]="Pass",Comp1[Comparable '#1 Return])))</f>
        <v>0</v>
      </c>
      <c r="G29" s="17">
        <f t="array" aca="1" ref="G29" ca="1">MIN(IF(Comp1[Comparable '#1 Dates]&gt;='Control Panel'!$B$15,IF(Comp1[Comparable '#1 Date Check]="Pass",Comp1[Comparable '#1 Return])))</f>
        <v>-5.1106010933496301E-2</v>
      </c>
      <c r="H29" s="17">
        <f t="array" aca="1" ref="H29" ca="1">MIN(IF(Comp1[Comparable '#1 Dates]&gt;='Control Panel'!$B$16,IF(Comp1[Comparable '#1 Date Check]="Pass",Comp1[Comparable '#1 Return])))</f>
        <v>-0.11963660430570644</v>
      </c>
      <c r="I29" s="17">
        <f t="array" aca="1" ref="I29" ca="1">MIN(IF(Comp1[Comparable '#1 Dates]&gt;='Control Panel'!$B$17,IF(Comp1[Comparable '#1 Date Check]="Pass",Comp1[Comparable '#1 Return])))</f>
        <v>-0.53932647928707544</v>
      </c>
      <c r="J29" s="18">
        <f t="array" ref="J29">MIN(IF(Comp1[Comparable '#1 Date Check]="Pass",Comp1[Comparable '#1 Return]))</f>
        <v>-0.53932647928707544</v>
      </c>
    </row>
    <row r="30" spans="1:10">
      <c r="A30" s="20" t="s">
        <v>51</v>
      </c>
      <c r="B30" s="13">
        <f t="array" aca="1" ref="B30" ca="1">MAX(IF(Comp1[Comparable '#1 Dates]&gt;='Control Panel'!$B$10,IF(Comp1[Comparable '#1 Date Check]="Pass",Comp1[Comparable '#1 Return])))</f>
        <v>0</v>
      </c>
      <c r="C30" s="14">
        <f t="array" aca="1" ref="C30" ca="1">MAX(IF(Comp1[Comparable '#1 Dates]&gt;='Control Panel'!$B$11,IF(Comp1[Comparable '#1 Date Check]="Pass",Comp1[Comparable '#1 Return])))</f>
        <v>0</v>
      </c>
      <c r="D30" s="14">
        <f t="array" aca="1" ref="D30" ca="1">MAX(IF(Comp1[Comparable '#1 Dates]&gt;='Control Panel'!$B$12,IF(Comp1[Comparable '#1 Date Check]="Pass",Comp1[Comparable '#1 Return])))</f>
        <v>0</v>
      </c>
      <c r="E30" s="14">
        <f t="array" aca="1" ref="E30" ca="1">MAX(IF(Comp1[Comparable '#1 Dates]&gt;='Control Panel'!$B$13,IF(Comp1[Comparable '#1 Date Check]="Pass",Comp1[Comparable '#1 Return])))</f>
        <v>0</v>
      </c>
      <c r="F30" s="14">
        <f t="array" aca="1" ref="F30" ca="1">MAX(IF(Comp1[Comparable '#1 Dates]&gt;='Control Panel'!$B$14,IF(Comp1[Comparable '#1 Date Check]="Pass",Comp1[Comparable '#1 Return])))</f>
        <v>0</v>
      </c>
      <c r="G30" s="14">
        <f t="array" aca="1" ref="G30" ca="1">MAX(IF(Comp1[Comparable '#1 Dates]&gt;='Control Panel'!$B$15,IF(Comp1[Comparable '#1 Date Check]="Pass",Comp1[Comparable '#1 Return])))</f>
        <v>0.14406284467686428</v>
      </c>
      <c r="H30" s="14">
        <f t="array" aca="1" ref="H30" ca="1">MAX(IF(Comp1[Comparable '#1 Dates]&gt;='Control Panel'!$B$16,IF(Comp1[Comparable '#1 Date Check]="Pass",Comp1[Comparable '#1 Return])))</f>
        <v>0.14406284467686428</v>
      </c>
      <c r="I30" s="14">
        <f t="array" aca="1" ref="I30" ca="1">MAX(IF(Comp1[Comparable '#1 Dates]&gt;='Control Panel'!$B$17,IF(Comp1[Comparable '#1 Date Check]="Pass",Comp1[Comparable '#1 Return])))</f>
        <v>0.2923703135752363</v>
      </c>
      <c r="J30" s="15">
        <f t="array" ref="J30">MAX(IF(Comp1[Comparable '#1 Date Check]="Pass",Comp1[Comparable '#1 Return]))</f>
        <v>0.2923703135752363</v>
      </c>
    </row>
    <row r="31" spans="1:10">
      <c r="A31" s="21" t="s">
        <v>52</v>
      </c>
      <c r="B31" s="16" t="e" cm="1">
        <f t="array" aca="1" ref="B31" ca="1">AVERAGE(IF(Comp1[Comparable '#1 Dates]&gt;='Control Panel'!$B$10,IF(Comp1[Comparable '#1 Date Check]="Pass",Comp1[Comparable '#1 Drawdown])))</f>
        <v>#DIV/0!</v>
      </c>
      <c r="C31" s="17" t="e" cm="1">
        <f t="array" aca="1" ref="C31" ca="1">AVERAGE(IF(Comp1[Comparable '#1 Dates]&gt;='Control Panel'!$B$11,IF(Comp1[Comparable '#1 Date Check]="Pass",Comp1[Comparable '#1 Drawdown])))</f>
        <v>#DIV/0!</v>
      </c>
      <c r="D31" s="17" t="e" cm="1">
        <f t="array" aca="1" ref="D31" ca="1">AVERAGE(IF(Comp1[Comparable '#1 Dates]&gt;='Control Panel'!$B$12,IF(Comp1[Comparable '#1 Date Check]="Pass",Comp1[Comparable '#1 Drawdown])))</f>
        <v>#DIV/0!</v>
      </c>
      <c r="E31" s="17" t="e" cm="1">
        <f t="array" aca="1" ref="E31" ca="1">AVERAGE(IF(Comp1[Comparable '#1 Dates]&gt;='Control Panel'!$B$13,IF(Comp1[Comparable '#1 Date Check]="Pass",Comp1[Comparable '#1 Drawdown])))</f>
        <v>#DIV/0!</v>
      </c>
      <c r="F31" s="17" t="e" cm="1">
        <f t="array" aca="1" ref="F31" ca="1">AVERAGE(IF(Comp1[Comparable '#1 Dates]&gt;='Control Panel'!$B$14,IF(Comp1[Comparable '#1 Date Check]="Pass",Comp1[Comparable '#1 Drawdown])))</f>
        <v>#DIV/0!</v>
      </c>
      <c r="G31" s="17" cm="1">
        <f t="array" aca="1" ref="G31" ca="1">AVERAGE(IF(Comp1[Comparable '#1 Dates]&gt;='Control Panel'!$B$15,IF(Comp1[Comparable '#1 Date Check]="Pass",Comp1[Comparable '#1 Drawdown])))</f>
        <v>-9.9607391304347885</v>
      </c>
      <c r="H31" s="17" cm="1">
        <f t="array" aca="1" ref="H31" ca="1">AVERAGE(IF(Comp1[Comparable '#1 Dates]&gt;='Control Panel'!$B$16,IF(Comp1[Comparable '#1 Date Check]="Pass",Comp1[Comparable '#1 Drawdown])))</f>
        <v>-10.11445355191257</v>
      </c>
      <c r="I31" s="17" cm="1">
        <f t="array" aca="1" ref="I31" ca="1">AVERAGE(IF(Comp1[Comparable '#1 Dates]&gt;='Control Panel'!$B$17,IF(Comp1[Comparable '#1 Date Check]="Pass",Comp1[Comparable '#1 Drawdown])))</f>
        <v>-8.8703908045977009</v>
      </c>
      <c r="J31" s="18" cm="1">
        <f t="array" ref="J31">AVERAGE(IF(Comp1[Comparable '#1 Date Check]="Pass",Comp1[Comparable '#1 Drawdown]))</f>
        <v>-6.4735294117647042</v>
      </c>
    </row>
    <row r="32" spans="1:10">
      <c r="A32" s="20" t="s">
        <v>53</v>
      </c>
      <c r="B32" s="89" t="e">
        <f t="array" aca="1" ref="B32" ca="1">AVERAGE(IF(Comp1[Comparable '#1 Dates]&gt;='Control Panel'!$B$10,IF(Comp1[Comparable '#1 Date Check]="Pass",Comp1[Comparable '#1 Drawdown Recovery2])))</f>
        <v>#DIV/0!</v>
      </c>
      <c r="C32" s="90" t="e">
        <f t="array" aca="1" ref="C32" ca="1">AVERAGE(IF(Comp1[Comparable '#1 Dates]&gt;='Control Panel'!$B$11,IF(Comp1[Comparable '#1 Date Check]="Pass",Comp1[Comparable '#1 Drawdown Recovery2])))</f>
        <v>#DIV/0!</v>
      </c>
      <c r="D32" s="90" t="e">
        <f t="array" aca="1" ref="D32" ca="1">AVERAGE(IF(Comp1[Comparable '#1 Dates]&gt;='Control Panel'!$B$12,IF(Comp1[Comparable '#1 Date Check]="Pass",Comp1[Comparable '#1 Drawdown Recovery2])))</f>
        <v>#DIV/0!</v>
      </c>
      <c r="E32" s="90" t="e">
        <f t="array" aca="1" ref="E32" ca="1">AVERAGE(IF(Comp1[Comparable '#1 Dates]&gt;='Control Panel'!$B$13,IF(Comp1[Comparable '#1 Date Check]="Pass",Comp1[Comparable '#1 Drawdown Recovery2])))</f>
        <v>#DIV/0!</v>
      </c>
      <c r="F32" s="90" t="e">
        <f t="array" aca="1" ref="F32" ca="1">AVERAGE(IF(Comp1[Comparable '#1 Dates]&gt;='Control Panel'!$B$14,IF(Comp1[Comparable '#1 Date Check]="Pass",Comp1[Comparable '#1 Drawdown Recovery2])))</f>
        <v>#DIV/0!</v>
      </c>
      <c r="G32" s="90">
        <f t="array" aca="1" ref="G32" ca="1">AVERAGE(IF(Comp1[Comparable '#1 Dates]&gt;='Control Panel'!$B$15,IF(Comp1[Comparable '#1 Date Check]="Pass",Comp1[Comparable '#1 Drawdown Recovery2])))</f>
        <v>-0.46071873868801022</v>
      </c>
      <c r="H32" s="90">
        <f t="array" aca="1" ref="H32" ca="1">AVERAGE(IF(Comp1[Comparable '#1 Dates]&gt;='Control Panel'!$B$16,IF(Comp1[Comparable '#1 Date Check]="Pass",Comp1[Comparable '#1 Drawdown Recovery2])))</f>
        <v>-0.46782856391825017</v>
      </c>
      <c r="I32" s="90">
        <f t="array" aca="1" ref="I32" ca="1">AVERAGE(IF(Comp1[Comparable '#1 Dates]&gt;='Control Panel'!$B$17,IF(Comp1[Comparable '#1 Date Check]="Pass",Comp1[Comparable '#1 Drawdown Recovery2])))</f>
        <v>-0.41031568550672126</v>
      </c>
      <c r="J32" s="91">
        <f t="array" ref="J32">AVERAGE(IF(Comp1[Comparable '#1 Date Check]="Pass",Comp1[Comparable '#1 Drawdown Recovery2]))</f>
        <v>-0.30355071370630338</v>
      </c>
    </row>
    <row r="33" spans="1:10">
      <c r="A33" s="21" t="s">
        <v>54</v>
      </c>
      <c r="B33" s="45" t="e" cm="1">
        <f t="array" aca="1" ref="B33" ca="1">(AVERAGE(IF(Benchmark1[Benchmark '#1 Dates]&gt;='Control Panel'!$B$10,IF(Benchmark1[Comparable '#1 Date Check]="Pass",Benchmark1[Comparable '#1 Return])))-AVERAGE(IF(Benchmark1[Benchmark '#1 Dates]&gt;='Control Panel'!$B$10,IF(Benchmark1[Comparable '#1 Date Check]="Pass",Benchmark1[Benchmark '#1 Return]))))/_xlfn.STDEV.P(IF(Benchmark1[Benchmark '#1 Dates]&gt;='Control Panel'!$B$10,IF(Benchmark1[Comparable '#1 Date Check]="Pass",Benchmark1[Difference of Comparable '#1 and Benchmark '#1 Returns])))</f>
        <v>#DIV/0!</v>
      </c>
      <c r="C33" s="17" t="e">
        <f t="array" aca="1" ref="C33" ca="1">(AVERAGE(IF(Benchmark1[Benchmark '#1 Dates]&gt;='Control Panel'!$B$11,IF(Benchmark1[Comparable '#1 Date Check]="Pass",Benchmark1[Comparable '#1 Return])))-AVERAGE(IF(Benchmark1[Benchmark '#1 Dates]&gt;='Control Panel'!$B$11,IF(Benchmark1[Comparable '#1 Date Check]="Pass",Benchmark1[Benchmark '#1 Return]))))/_xlfn.STDEV.P(IF(Benchmark1[Benchmark '#1 Dates]&gt;='Control Panel'!$B$11,IF(Benchmark1[Comparable '#1 Date Check]="Pass",Benchmark1[Difference of Comparable '#1 and Benchmark '#1 Returns])))</f>
        <v>#DIV/0!</v>
      </c>
      <c r="D33" s="17" t="e">
        <f t="array" aca="1" ref="D33" ca="1">(AVERAGE(IF(Benchmark1[Benchmark '#1 Dates]&gt;='Control Panel'!$B$12,IF(Benchmark1[Comparable '#1 Date Check]="Pass",Benchmark1[Comparable '#1 Return])))-AVERAGE(IF(Benchmark1[Benchmark '#1 Dates]&gt;='Control Panel'!$B$12,IF(Benchmark1[Comparable '#1 Date Check]="Pass",Benchmark1[Benchmark '#1 Return]))))/_xlfn.STDEV.P(IF(Benchmark1[Benchmark '#1 Dates]&gt;='Control Panel'!$B$12,IF(Benchmark1[Comparable '#1 Date Check]="Pass",Benchmark1[Difference of Comparable '#1 and Benchmark '#1 Returns])))</f>
        <v>#DIV/0!</v>
      </c>
      <c r="E33" s="17" t="e">
        <f t="array" aca="1" ref="E33" ca="1">(AVERAGE(IF(Benchmark1[Benchmark '#1 Dates]&gt;='Control Panel'!$B$13,IF(Benchmark1[Comparable '#1 Date Check]="Pass",Benchmark1[Comparable '#1 Return])))-AVERAGE(IF(Benchmark1[Benchmark '#1 Dates]&gt;='Control Panel'!$B$13,IF(Benchmark1[Comparable '#1 Date Check]="Pass",Benchmark1[Benchmark '#1 Return]))))/_xlfn.STDEV.P(IF(Benchmark1[Benchmark '#1 Dates]&gt;='Control Panel'!$B$13,IF(Benchmark1[Comparable '#1 Date Check]="Pass",Benchmark1[Difference of Comparable '#1 and Benchmark '#1 Returns])))</f>
        <v>#DIV/0!</v>
      </c>
      <c r="F33" s="17" t="e">
        <f t="array" aca="1" ref="F33" ca="1">(AVERAGE(IF(Benchmark1[Benchmark '#1 Dates]&gt;='Control Panel'!$B$14,IF(Benchmark1[Comparable '#1 Date Check]="Pass",Benchmark1[Comparable '#1 Return])))-AVERAGE(IF(Benchmark1[Benchmark '#1 Dates]&gt;='Control Panel'!$B$14,IF(Benchmark1[Comparable '#1 Date Check]="Pass",Benchmark1[Benchmark '#1 Return]))))/_xlfn.STDEV.P(IF(Benchmark1[Benchmark '#1 Dates]&gt;='Control Panel'!$B$14,IF(Benchmark1[Comparable '#1 Date Check]="Pass",Benchmark1[Difference of Comparable '#1 and Benchmark '#1 Returns])))</f>
        <v>#DIV/0!</v>
      </c>
      <c r="G33" s="17">
        <f t="array" aca="1" ref="G33" ca="1">(AVERAGE(IF(Benchmark1[Benchmark '#1 Dates]&gt;='Control Panel'!$B$15,IF(Benchmark1[Comparable '#1 Date Check]="Pass",Benchmark1[Comparable '#1 Return])))-AVERAGE(IF(Benchmark1[Benchmark '#1 Dates]&gt;='Control Panel'!$B$15,IF(Benchmark1[Comparable '#1 Date Check]="Pass",Benchmark1[Benchmark '#1 Return]))))/_xlfn.STDEV.P(IF(Benchmark1[Benchmark '#1 Dates]&gt;='Control Panel'!$B$15,IF(Benchmark1[Comparable '#1 Date Check]="Pass",Benchmark1[Difference of Comparable '#1 and Benchmark '#1 Returns])))</f>
        <v>1.7217177144804769E-2</v>
      </c>
      <c r="H33" s="17">
        <f t="array" aca="1" ref="H33" ca="1">(AVERAGE(IF(Benchmark1[Benchmark '#1 Dates]&gt;='Control Panel'!$B$16,IF(Benchmark1[Comparable '#1 Date Check]="Pass",Benchmark1[Comparable '#1 Return])))-AVERAGE(IF(Benchmark1[Benchmark '#1 Dates]&gt;='Control Panel'!$B$16,IF(Benchmark1[Comparable '#1 Date Check]="Pass",Benchmark1[Benchmark '#1 Return]))))/_xlfn.STDEV.P(IF(Benchmark1[Benchmark '#1 Dates]&gt;='Control Panel'!$B$16,IF(Benchmark1[Comparable '#1 Date Check]="Pass",Benchmark1[Difference of Comparable '#1 and Benchmark '#1 Returns])))</f>
        <v>8.0394308132164961E-3</v>
      </c>
      <c r="I33" s="17">
        <f t="array" aca="1" ref="I33" ca="1">(AVERAGE(IF(Benchmark1[Benchmark '#1 Dates]&gt;='Control Panel'!$B$17,IF(Benchmark1[Comparable '#1 Date Check]="Pass",Benchmark1[Comparable '#1 Return])))-AVERAGE(IF(Benchmark1[Benchmark '#1 Dates]&gt;='Control Panel'!$B$17,IF(Benchmark1[Comparable '#1 Date Check]="Pass",Benchmark1[Benchmark '#1 Return]))))/_xlfn.STDEV.P(IF(Benchmark1[Benchmark '#1 Dates]&gt;='Control Panel'!$B$17,IF(Benchmark1[Comparable '#1 Date Check]="Pass",Benchmark1[Difference of Comparable '#1 and Benchmark '#1 Returns])))</f>
        <v>-2.3489210447832816E-2</v>
      </c>
      <c r="J33" s="18">
        <f t="array" ref="J33">(AVERAGE(IF(Benchmark1[Comparable '#1 Date Check]="Pass",Benchmark1[Comparable '#1 Return]))-AVERAGE(IF(Benchmark1[Comparable '#1 Date Check]="Pass",Benchmark1[Benchmark '#1 Return])))/_xlfn.STDEV.P(IF(Benchmark1[Comparable '#1 Date Check]="Pass",Benchmark1[Difference of Comparable '#1 and Benchmark '#1 Returns]))</f>
        <v>-1.7889558791406759E-2</v>
      </c>
    </row>
    <row r="34" spans="1:10">
      <c r="A34" s="20" t="s">
        <v>55</v>
      </c>
      <c r="B34" s="13" cm="1">
        <f t="array" aca="1" ref="B34" ca="1">MAX(IF(Comp1[Comparable '#1 Dates]&gt;='Control Panel'!$B$10,IF(Comp1[Comparable '#1 Date Check]="Pass",Comp1[Comparable '#1 Drawdown Recovery Length])))</f>
        <v>0</v>
      </c>
      <c r="C34" s="14" cm="1">
        <f t="array" aca="1" ref="C34" ca="1">MAX(IF(Comp1[Comparable '#1 Dates]&gt;='Control Panel'!$B$11,IF(Comp1[Comparable '#1 Date Check]="Pass",Comp1[Comparable '#1 Drawdown Recovery Length])))</f>
        <v>0</v>
      </c>
      <c r="D34" s="14" cm="1">
        <f t="array" aca="1" ref="D34" ca="1">MAX(IF(Comp1[Comparable '#1 Dates]&gt;='Control Panel'!$B$12,IF(Comp1[Comparable '#1 Date Check]="Pass",Comp1[Comparable '#1 Drawdown Recovery Length])))</f>
        <v>0</v>
      </c>
      <c r="E34" s="14" cm="1">
        <f t="array" aca="1" ref="E34" ca="1">MAX(IF(Comp1[Comparable '#1 Dates]&gt;='Control Panel'!$B$13,IF(Comp1[Comparable '#1 Date Check]="Pass",Comp1[Comparable '#1 Drawdown Recovery Length])))</f>
        <v>0</v>
      </c>
      <c r="F34" s="14" cm="1">
        <f t="array" aca="1" ref="F34" ca="1">MAX(IF(Comp1[Comparable '#1 Dates]&gt;='Control Panel'!$B$14,IF(Comp1[Comparable '#1 Date Check]="Pass",Comp1[Comparable '#1 Drawdown Recovery Length])))</f>
        <v>0</v>
      </c>
      <c r="G34" s="14" cm="1">
        <f t="array" aca="1" ref="G34" ca="1">MAX(IF(Comp1[Comparable '#1 Dates]&gt;='Control Panel'!$B$15,IF(Comp1[Comparable '#1 Date Check]="Pass",Comp1[Comparable '#1 Drawdown Recovery Length])))</f>
        <v>862</v>
      </c>
      <c r="H34" s="14" cm="1">
        <f t="array" aca="1" ref="H34" ca="1">MAX(IF(Comp1[Comparable '#1 Dates]&gt;='Control Panel'!$B$16,IF(Comp1[Comparable '#1 Date Check]="Pass",Comp1[Comparable '#1 Drawdown Recovery Length])))</f>
        <v>862</v>
      </c>
      <c r="I34" s="14" cm="1">
        <f t="array" aca="1" ref="I34" ca="1">MAX(IF(Comp1[Comparable '#1 Dates]&gt;='Control Panel'!$B$17,IF(Comp1[Comparable '#1 Date Check]="Pass",Comp1[Comparable '#1 Drawdown Recovery Length])))</f>
        <v>862</v>
      </c>
      <c r="J34" s="15" cm="1">
        <f t="array" ref="J34">MAX(IF(Comp1[Comparable '#1 Date Check]="Pass",Comp1[Comparable '#1 Drawdown Recovery Length]))</f>
        <v>862</v>
      </c>
    </row>
    <row r="35" spans="1:10">
      <c r="A35" s="21" t="s">
        <v>56</v>
      </c>
      <c r="B35" s="83" cm="1">
        <f t="array" aca="1" ref="B35" ca="1">MIN(IF(Comp1[Comparable '#1 Dates]&gt;='Control Panel'!$B$10,IF(Comp1[Comparable '#1 Date Check]="Pass",Comp1[Comparable '#1 Drawdown Recovery2])))</f>
        <v>0</v>
      </c>
      <c r="C35" s="84" cm="1">
        <f t="array" aca="1" ref="C35" ca="1">MIN(IF(Comp1[Comparable '#1 Dates]&gt;='Control Panel'!$B$11,IF(Comp1[Comparable '#1 Date Check]="Pass",Comp1[Comparable '#1 Drawdown Recovery2])))</f>
        <v>0</v>
      </c>
      <c r="D35" s="84" cm="1">
        <f t="array" aca="1" ref="D35" ca="1">MIN(IF(Comp1[Comparable '#1 Dates]&gt;='Control Panel'!$B$12,IF(Comp1[Comparable '#1 Date Check]="Pass",Comp1[Comparable '#1 Drawdown Recovery2])))</f>
        <v>0</v>
      </c>
      <c r="E35" s="84" cm="1">
        <f t="array" aca="1" ref="E35" ca="1">MIN(IF(Comp1[Comparable '#1 Dates]&gt;='Control Panel'!$B$13,IF(Comp1[Comparable '#1 Date Check]="Pass",Comp1[Comparable '#1 Drawdown Recovery2])))</f>
        <v>0</v>
      </c>
      <c r="F35" s="84" cm="1">
        <f t="array" aca="1" ref="F35" ca="1">MIN(IF(Comp1[Comparable '#1 Dates]&gt;='Control Panel'!$B$14,IF(Comp1[Comparable '#1 Date Check]="Pass",Comp1[Comparable '#1 Drawdown Recovery2])))</f>
        <v>0</v>
      </c>
      <c r="G35" s="84" cm="1">
        <f t="array" aca="1" ref="G35" ca="1">MIN(IF(Comp1[Comparable '#1 Dates]&gt;='Control Panel'!$B$15,IF(Comp1[Comparable '#1 Date Check]="Pass",Comp1[Comparable '#1 Drawdown Recovery2])))</f>
        <v>-0.52358926919518967</v>
      </c>
      <c r="H35" s="84" cm="1">
        <f t="array" aca="1" ref="H35" ca="1">MIN(IF(Comp1[Comparable '#1 Dates]&gt;='Control Panel'!$B$16,IF(Comp1[Comparable '#1 Date Check]="Pass",Comp1[Comparable '#1 Drawdown Recovery2])))</f>
        <v>-0.5684551341350601</v>
      </c>
      <c r="I35" s="84" cm="1">
        <f t="array" aca="1" ref="I35" ca="1">MIN(IF(Comp1[Comparable '#1 Dates]&gt;='Control Panel'!$B$17,IF(Comp1[Comparable '#1 Date Check]="Pass",Comp1[Comparable '#1 Drawdown Recovery2])))</f>
        <v>-0.64523589269195192</v>
      </c>
      <c r="J35" s="85" cm="1">
        <f t="array" ref="J35">MIN(IF(Comp1[Comparable '#1 Date Check]="Pass",Comp1[Comparable '#1 Drawdown Recovery2]))</f>
        <v>-0.64523589269195192</v>
      </c>
    </row>
    <row r="36" spans="1:10" ht="15.75" thickBot="1"/>
    <row r="37" spans="1:10" ht="36" customHeight="1" thickBot="1">
      <c r="A37" s="43" t="s">
        <v>58</v>
      </c>
      <c r="B37" s="123" t="str">
        <f>'Control Panel'!B3</f>
        <v xml:space="preserve">Adtalem Global Education Inc. </v>
      </c>
      <c r="C37" s="123"/>
      <c r="D37" s="123"/>
      <c r="E37" s="123"/>
      <c r="F37" s="123"/>
      <c r="G37" s="123" t="str">
        <f>'Control Panel'!C3</f>
        <v>ATGE</v>
      </c>
      <c r="H37" s="123"/>
      <c r="I37" s="123"/>
      <c r="J37" s="123"/>
    </row>
    <row r="38" spans="1:10" ht="36" customHeight="1" thickBot="1">
      <c r="A38" s="44" t="s">
        <v>44</v>
      </c>
      <c r="B38" s="44" t="s">
        <v>45</v>
      </c>
      <c r="C38" s="44" t="s">
        <v>17</v>
      </c>
      <c r="D38" s="44" t="s">
        <v>18</v>
      </c>
      <c r="E38" s="44" t="s">
        <v>19</v>
      </c>
      <c r="F38" s="44" t="s">
        <v>21</v>
      </c>
      <c r="G38" s="44" t="s">
        <v>22</v>
      </c>
      <c r="H38" s="44" t="s">
        <v>23</v>
      </c>
      <c r="I38" s="44" t="s">
        <v>24</v>
      </c>
      <c r="J38" s="44" t="s">
        <v>37</v>
      </c>
    </row>
    <row r="39" spans="1:10">
      <c r="A39" s="19" t="str">
        <f>"Correlation with Benchmark #1 ("&amp;'Control Panel'!C5&amp;")"</f>
        <v>Correlation with Benchmark #1 (^GSPC)</v>
      </c>
      <c r="B39" s="10" t="e">
        <f t="array" aca="1" ref="B39" ca="1">CORREL(IF(Benchmark1[Benchmark '#1 Dates]&gt;='Control Panel'!$B$10,IF(Benchmark1[Comparable '#2 Date Check]="Pass",Benchmark1[Comparable '#2 Price])),IF(Benchmark1[Benchmark '#1 Dates]&gt;='Control Panel'!$B$10,IF(Benchmark1[Comparable '#2 Date Check]="Pass",Benchmark1[Benchmark '#1 Price])))</f>
        <v>#DIV/0!</v>
      </c>
      <c r="C39" s="11" t="e">
        <f t="array" aca="1" ref="C39" ca="1">CORREL(IF(Benchmark1[Benchmark '#1 Dates]&gt;='Control Panel'!$B$11,IF(Benchmark1[Comparable '#2 Date Check]="Pass",Benchmark1[Comparable '#2 Price])),IF(Benchmark1[Benchmark '#1 Dates]&gt;='Control Panel'!$B$11,IF(Benchmark1[Comparable '#2 Date Check]="Pass",Benchmark1[Benchmark '#1 Price])))</f>
        <v>#DIV/0!</v>
      </c>
      <c r="D39" s="11" t="e">
        <f t="array" aca="1" ref="D39" ca="1">CORREL(IF(Benchmark1[Benchmark '#1 Dates]&gt;='Control Panel'!$B$12,IF(Benchmark1[Comparable '#2 Date Check]="Pass",Benchmark1[Comparable '#2 Price])),IF(Benchmark1[Benchmark '#1 Dates]&gt;='Control Panel'!$B$12,IF(Benchmark1[Comparable '#2 Date Check]="Pass",Benchmark1[Benchmark '#1 Price])))</f>
        <v>#DIV/0!</v>
      </c>
      <c r="E39" s="11" t="e">
        <f t="array" aca="1" ref="E39" ca="1">CORREL(IF(Benchmark1[Benchmark '#1 Dates]&gt;='Control Panel'!$B$13,IF(Benchmark1[Comparable '#2 Date Check]="Pass",Benchmark1[Comparable '#2 Price])),IF(Benchmark1[Benchmark '#1 Dates]&gt;='Control Panel'!$B$13,IF(Benchmark1[Comparable '#2 Date Check]="Pass",Benchmark1[Benchmark '#1 Price])))</f>
        <v>#DIV/0!</v>
      </c>
      <c r="F39" s="11" t="e">
        <f t="array" aca="1" ref="F39" ca="1">CORREL(IF(Benchmark1[Benchmark '#1 Dates]&gt;='Control Panel'!$B$14,IF(Benchmark1[Comparable '#2 Date Check]="Pass",Benchmark1[Comparable '#2 Price])),IF(Benchmark1[Benchmark '#1 Dates]&gt;='Control Panel'!$B$14,IF(Benchmark1[Comparable '#2 Date Check]="Pass",Benchmark1[Benchmark '#1 Price])))</f>
        <v>#DIV/0!</v>
      </c>
      <c r="G39" s="11">
        <f t="array" aca="1" ref="G39" ca="1">CORREL(IF(Benchmark1[Benchmark '#1 Dates]&gt;='Control Panel'!$B$15,IF(Benchmark1[Comparable '#2 Date Check]="Pass",Benchmark1[Comparable '#2 Price])),IF(Benchmark1[Benchmark '#1 Dates]&gt;='Control Panel'!$B$15,IF(Benchmark1[Comparable '#2 Date Check]="Pass",Benchmark1[Benchmark '#1 Price])))</f>
        <v>4.817677217806806E-2</v>
      </c>
      <c r="H39" s="11">
        <f t="array" aca="1" ref="H39" ca="1">CORREL(IF(Benchmark1[Benchmark '#1 Dates]&gt;='Control Panel'!$B$16,IF(Benchmark1[Comparable '#2 Date Check]="Pass",Benchmark1[Comparable '#2 Price])),IF(Benchmark1[Benchmark '#1 Dates]&gt;='Control Panel'!$B$16,IF(Benchmark1[Comparable '#2 Date Check]="Pass",Benchmark1[Benchmark '#1 Price])))</f>
        <v>-0.45384745362689516</v>
      </c>
      <c r="I39" s="11">
        <f t="array" aca="1" ref="I39" ca="1">CORREL(IF(Benchmark1[Benchmark '#1 Dates]&gt;='Control Panel'!$B$17,IF(Benchmark1[Comparable '#2 Date Check]="Pass",Benchmark1[Comparable '#2 Price])),IF(Benchmark1[Benchmark '#1 Dates]&gt;='Control Panel'!$B$17,IF(Benchmark1[Comparable '#2 Date Check]="Pass",Benchmark1[Benchmark '#1 Price])))</f>
        <v>0.26716796963352918</v>
      </c>
      <c r="J39" s="12">
        <f t="array" ref="J39">CORREL(IF(Benchmark1[Comparable '#2 Date Check]="Pass",Benchmark1[Comparable '#2 Price]),IF(Benchmark1[Comparable '#2 Date Check]="Pass",Benchmark1[Benchmark '#1 Price]))</f>
        <v>-0.44098330174007305</v>
      </c>
    </row>
    <row r="40" spans="1:10">
      <c r="A40" s="20" t="str">
        <f>"Correlation with Benchmark #2 ("&amp;'Control Panel'!C6&amp;")"</f>
        <v>Correlation with Benchmark #2 ((^NYA) )</v>
      </c>
      <c r="B40" s="13" t="e">
        <f t="array" aca="1" ref="B40" ca="1">CORREL(IF(Benchmark2[Benchmark '#2 Dates]&gt;='Control Panel'!$B$10,IF(Benchmark2[Comparable '#2 Date Check]="Pass",Benchmark2[Comparable '#2 Price])),IF(Benchmark2[Benchmark '#2 Dates]&gt;='Control Panel'!$B$10,IF(Benchmark2[Comparable '#2 Date Check]="Pass",Benchmark2[Benchmark '#2 Price])))</f>
        <v>#DIV/0!</v>
      </c>
      <c r="C40" s="14" t="e">
        <f t="array" aca="1" ref="C40" ca="1">CORREL(IF(Benchmark2[Benchmark '#2 Dates]&gt;='Control Panel'!$B$11,IF(Benchmark2[Comparable '#2 Date Check]="Pass",Benchmark2[Comparable '#2 Price])),IF(Benchmark2[Benchmark '#2 Dates]&gt;='Control Panel'!$B$11,IF(Benchmark2[Comparable '#2 Date Check]="Pass",Benchmark2[Benchmark '#2 Price])))</f>
        <v>#DIV/0!</v>
      </c>
      <c r="D40" s="14" t="e">
        <f t="array" aca="1" ref="D40" ca="1">CORREL(IF(Benchmark2[Benchmark '#2 Dates]&gt;='Control Panel'!$B$12,IF(Benchmark2[Comparable '#2 Date Check]="Pass",Benchmark2[Comparable '#2 Price])),IF(Benchmark2[Benchmark '#2 Dates]&gt;='Control Panel'!$B$12,IF(Benchmark2[Comparable '#2 Date Check]="Pass",Benchmark2[Benchmark '#2 Price])))</f>
        <v>#DIV/0!</v>
      </c>
      <c r="E40" s="14" t="e">
        <f t="array" aca="1" ref="E40" ca="1">CORREL(IF(Benchmark2[Benchmark '#2 Dates]&gt;='Control Panel'!$B$13,IF(Benchmark2[Comparable '#2 Date Check]="Pass",Benchmark2[Comparable '#2 Price])),IF(Benchmark2[Benchmark '#2 Dates]&gt;='Control Panel'!$B$13,IF(Benchmark2[Comparable '#2 Date Check]="Pass",Benchmark2[Benchmark '#2 Price])))</f>
        <v>#DIV/0!</v>
      </c>
      <c r="F40" s="14" t="e">
        <f t="array" aca="1" ref="F40" ca="1">CORREL(IF(Benchmark2[Benchmark '#2 Dates]&gt;='Control Panel'!$B$14,IF(Benchmark2[Comparable '#2 Date Check]="Pass",Benchmark2[Comparable '#2 Price])),IF(Benchmark2[Benchmark '#2 Dates]&gt;='Control Panel'!$B$14,IF(Benchmark2[Comparable '#2 Date Check]="Pass",Benchmark2[Benchmark '#2 Price])))</f>
        <v>#DIV/0!</v>
      </c>
      <c r="G40" s="14">
        <f t="array" aca="1" ref="G40" ca="1">CORREL(IF(Benchmark2[Benchmark '#2 Dates]&gt;='Control Panel'!$B$15,IF(Benchmark2[Comparable '#2 Date Check]="Pass",Benchmark2[Comparable '#2 Price])),IF(Benchmark2[Benchmark '#2 Dates]&gt;='Control Panel'!$B$15,IF(Benchmark2[Comparable '#2 Date Check]="Pass",Benchmark2[Benchmark '#2 Price])))</f>
        <v>6.0503685575780412E-4</v>
      </c>
      <c r="H40" s="14">
        <f t="array" aca="1" ref="H40" ca="1">CORREL(IF(Benchmark2[Benchmark '#2 Dates]&gt;='Control Panel'!$B$16,IF(Benchmark2[Comparable '#2 Date Check]="Pass",Benchmark2[Comparable '#2 Price])),IF(Benchmark2[Benchmark '#2 Dates]&gt;='Control Panel'!$B$16,IF(Benchmark2[Comparable '#2 Date Check]="Pass",Benchmark2[Benchmark '#2 Price])))</f>
        <v>-0.48648330362089198</v>
      </c>
      <c r="I40" s="14">
        <f t="array" aca="1" ref="I40" ca="1">CORREL(IF(Benchmark2[Benchmark '#2 Dates]&gt;='Control Panel'!$B$17,IF(Benchmark2[Comparable '#2 Date Check]="Pass",Benchmark2[Comparable '#2 Price])),IF(Benchmark2[Benchmark '#2 Dates]&gt;='Control Panel'!$B$17,IF(Benchmark2[Comparable '#2 Date Check]="Pass",Benchmark2[Benchmark '#2 Price])))</f>
        <v>0.32455202025166324</v>
      </c>
      <c r="J40" s="15">
        <f t="array" ref="J40">CORREL(IF(Benchmark2[Comparable '#2 Date Check]="Pass",Benchmark2[Comparable '#2 Price]),IF(Benchmark2[Comparable '#2 Date Check]="Pass",Benchmark2[Benchmark '#2 Price]))</f>
        <v>-0.26435480920885485</v>
      </c>
    </row>
    <row r="41" spans="1:10">
      <c r="A41" s="21" t="s">
        <v>46</v>
      </c>
      <c r="B41" s="16" t="e">
        <f t="array" aca="1" ref="B41" ca="1">GEOMEAN(IF(Comp2[Comparable '#2 Dates]&gt;='Control Panel'!$B$10,IF(Comp2[Comparable '#2 Date Check]="Pass",Comp2[Comparable '#2 Geodummy])))-1</f>
        <v>#NUM!</v>
      </c>
      <c r="C41" s="17" t="e">
        <f t="array" aca="1" ref="C41" ca="1">GEOMEAN(IF(Comp2[Comparable '#2 Dates]&gt;='Control Panel'!$B$11,IF(Comp2[Comparable '#2 Date Check]="Pass",Comp2[Comparable '#2 Geodummy])))-1</f>
        <v>#NUM!</v>
      </c>
      <c r="D41" s="17" t="e">
        <f t="array" aca="1" ref="D41" ca="1">GEOMEAN(IF(Comp2[Comparable '#2 Dates]&gt;='Control Panel'!$B$12,IF(Comp2[Comparable '#2 Date Check]="Pass",Comp2[Comparable '#2 Geodummy])))-1</f>
        <v>#NUM!</v>
      </c>
      <c r="E41" s="17" t="e">
        <f t="array" aca="1" ref="E41" ca="1">GEOMEAN(IF(Comp2[Comparable '#2 Dates]&gt;='Control Panel'!$B$13,IF(Comp2[Comparable '#2 Date Check]="Pass",Comp2[Comparable '#2 Geodummy])))-1</f>
        <v>#NUM!</v>
      </c>
      <c r="F41" s="17" t="e">
        <f t="array" aca="1" ref="F41" ca="1">GEOMEAN(IF(Comp2[Comparable '#2 Dates]&gt;='Control Panel'!$B$14,IF(Comp2[Comparable '#2 Date Check]="Pass",Comp2[Comparable '#2 Geodummy])))-1</f>
        <v>#NUM!</v>
      </c>
      <c r="G41" s="17">
        <f t="array" aca="1" ref="G41" ca="1">GEOMEAN(IF(Comp2[Comparable '#2 Dates]&gt;='Control Panel'!$B$15,IF(Comp2[Comparable '#2 Date Check]="Pass",Comp2[Comparable '#2 Geodummy])))-1</f>
        <v>-7.5810151118405056E-4</v>
      </c>
      <c r="H41" s="17">
        <f t="array" aca="1" ref="H41" ca="1">GEOMEAN(IF(Comp2[Comparable '#2 Dates]&gt;='Control Panel'!$B$16,IF(Comp2[Comparable '#2 Date Check]="Pass",Comp2[Comparable '#2 Geodummy])))-1</f>
        <v>1.1160553937283879E-4</v>
      </c>
      <c r="I41" s="17">
        <f t="array" aca="1" ref="I41" ca="1">GEOMEAN(IF(Comp2[Comparable '#2 Dates]&gt;='Control Panel'!$B$17,IF(Comp2[Comparable '#2 Date Check]="Pass",Comp2[Comparable '#2 Geodummy])))-1</f>
        <v>-4.4644604492005691E-4</v>
      </c>
      <c r="J41" s="18">
        <f t="array" ref="J41">GEOMEAN(IF(Comp2[Comparable '#2 Date Check]="Pass",Comp2[Comparable '#2 Geodummy]))-1</f>
        <v>-6.3174628570838998E-4</v>
      </c>
    </row>
    <row r="42" spans="1:10">
      <c r="A42" s="20" t="s">
        <v>47</v>
      </c>
      <c r="B42" s="13" t="e">
        <f t="array" aca="1" ref="B42" ca="1">MEDIAN(IF(Comp2[Comparable '#2 Dates]&gt;='Control Panel'!$B$10,IF(Comp2[Comparable '#2 Date Check]="Pass",Comp2[Comparable '#2 Return])))</f>
        <v>#NUM!</v>
      </c>
      <c r="C42" s="14" t="e">
        <f t="array" aca="1" ref="C42" ca="1">MEDIAN(IF(Comp2[Comparable '#2 Dates]&gt;='Control Panel'!$B$11,IF(Comp2[Comparable '#2 Date Check]="Pass",Comp2[Comparable '#2 Return])))</f>
        <v>#NUM!</v>
      </c>
      <c r="D42" s="14" t="e">
        <f t="array" aca="1" ref="D42" ca="1">MEDIAN(IF(Comp2[Comparable '#2 Dates]&gt;='Control Panel'!$B$12,IF(Comp2[Comparable '#2 Date Check]="Pass",Comp2[Comparable '#2 Return])))</f>
        <v>#NUM!</v>
      </c>
      <c r="E42" s="14" t="e">
        <f t="array" aca="1" ref="E42" ca="1">MEDIAN(IF(Comp2[Comparable '#2 Dates]&gt;='Control Panel'!$B$13,IF(Comp2[Comparable '#2 Date Check]="Pass",Comp2[Comparable '#2 Return])))</f>
        <v>#NUM!</v>
      </c>
      <c r="F42" s="14" t="e">
        <f t="array" aca="1" ref="F42" ca="1">MEDIAN(IF(Comp2[Comparable '#2 Dates]&gt;='Control Panel'!$B$14,IF(Comp2[Comparable '#2 Date Check]="Pass",Comp2[Comparable '#2 Return])))</f>
        <v>#NUM!</v>
      </c>
      <c r="G42" s="14">
        <f t="array" aca="1" ref="G42" ca="1">MEDIAN(IF(Comp2[Comparable '#2 Dates]&gt;='Control Panel'!$B$15,IF(Comp2[Comparable '#2 Date Check]="Pass",Comp2[Comparable '#2 Return])))</f>
        <v>-1.8649933203266217E-3</v>
      </c>
      <c r="H42" s="14">
        <f t="array" aca="1" ref="H42" ca="1">MEDIAN(IF(Comp2[Comparable '#2 Dates]&gt;='Control Panel'!$B$16,IF(Comp2[Comparable '#2 Date Check]="Pass",Comp2[Comparable '#2 Return])))</f>
        <v>4.8134778306046242E-4</v>
      </c>
      <c r="I42" s="14">
        <f t="array" aca="1" ref="I42" ca="1">MEDIAN(IF(Comp2[Comparable '#2 Dates]&gt;='Control Panel'!$B$17,IF(Comp2[Comparable '#2 Date Check]="Pass",Comp2[Comparable '#2 Return])))</f>
        <v>3.4922298242112915E-4</v>
      </c>
      <c r="J42" s="15">
        <f t="array" ref="J42">MEDIAN(IF(Comp2[Comparable '#2 Date Check]="Pass",Comp2[Comparable '#2 Return]))</f>
        <v>3.254183088219196E-4</v>
      </c>
    </row>
    <row r="43" spans="1:10">
      <c r="A43" s="21" t="s">
        <v>48</v>
      </c>
      <c r="B43" s="16">
        <f t="array" aca="1" ref="B43" ca="1">(INDEX(Comp2[Comparable '#2 Price],MATCH(MAX(Comp2[Comparable '#2 Dates]),Comp2[Comparable '#2 Dates],0))-INDEX(Comp2[Comparable '#2 Price],MATCH('Control Panel'!$B$10,Comp2[Comparable '#2 Dates],1)))/INDEX(Comp2[Comparable '#2 Price],MATCH(MAX(Comp2[Comparable '#2 Dates]),Comp2[Comparable '#2 Dates],0))</f>
        <v>0</v>
      </c>
      <c r="C43" s="17">
        <f t="array" aca="1" ref="C43" ca="1">(INDEX(Comp2[Comparable '#2 Price],MATCH(MAX(Comp2[Comparable '#2 Dates]),Comp2[Comparable '#2 Dates],0))-INDEX(Comp2[Comparable '#2 Price],MATCH('Control Panel'!$B$11,Comp2[Comparable '#2 Dates],1)))/INDEX(Comp2[Comparable '#2 Price],MATCH(MAX(Comp2[Comparable '#2 Dates]),Comp2[Comparable '#2 Dates],0))</f>
        <v>0</v>
      </c>
      <c r="D43" s="17">
        <f t="array" aca="1" ref="D43" ca="1">(INDEX(Comp2[Comparable '#2 Price],MATCH(MAX(Comp2[Comparable '#2 Dates]),Comp2[Comparable '#2 Dates],0))-INDEX(Comp2[Comparable '#2 Price],MATCH('Control Panel'!$B$12,Comp2[Comparable '#2 Dates],1)))/INDEX(Comp2[Comparable '#2 Price],MATCH(MAX(Comp2[Comparable '#2 Dates]),Comp2[Comparable '#2 Dates],0))</f>
        <v>0</v>
      </c>
      <c r="E43" s="17">
        <f t="array" aca="1" ref="E43" ca="1">(INDEX(Comp2[Comparable '#2 Price],MATCH(MAX(Comp2[Comparable '#2 Dates]),Comp2[Comparable '#2 Dates],0))-INDEX(Comp2[Comparable '#2 Price],MATCH('Control Panel'!$B$13,Comp2[Comparable '#2 Dates],1)))/INDEX(Comp2[Comparable '#2 Price],MATCH(MAX(Comp2[Comparable '#2 Dates]),Comp2[Comparable '#2 Dates],0))</f>
        <v>0</v>
      </c>
      <c r="F43" s="17">
        <f t="array" aca="1" ref="F43" ca="1">(INDEX(Comp2[Comparable '#2 Price],MATCH(MAX(Comp2[Comparable '#2 Dates]),Comp2[Comparable '#2 Dates],0))-INDEX(Comp2[Comparable '#2 Price],MATCH('Control Panel'!$B$14,Comp2[Comparable '#2 Dates],1)))/INDEX(Comp2[Comparable '#2 Price],MATCH(MAX(Comp2[Comparable '#2 Dates]),Comp2[Comparable '#2 Dates],0))</f>
        <v>0</v>
      </c>
      <c r="G43" s="17">
        <f t="array" aca="1" ref="G43" ca="1">(INDEX(Comp2[Comparable '#2 Price],MATCH(MAX(Comp2[Comparable '#2 Dates]),Comp2[Comparable '#2 Dates],0))-INDEX(Comp2[Comparable '#2 Price],MATCH('Control Panel'!$B$15,Comp2[Comparable '#2 Dates],1)))/INDEX(Comp2[Comparable '#2 Price],MATCH(MAX(Comp2[Comparable '#2 Dates]),Comp2[Comparable '#2 Dates],0))</f>
        <v>-6.2862108922363685E-2</v>
      </c>
      <c r="H43" s="17">
        <f t="array" aca="1" ref="H43" ca="1">(INDEX(Comp2[Comparable '#2 Price],MATCH(MAX(Comp2[Comparable '#2 Dates]),Comp2[Comparable '#2 Dates],0))-INDEX(Comp2[Comparable '#2 Price],MATCH('Control Panel'!$B$16,Comp2[Comparable '#2 Dates],1)))/INDEX(Comp2[Comparable '#2 Price],MATCH(MAX(Comp2[Comparable '#2 Dates]),Comp2[Comparable '#2 Dates],0))</f>
        <v>0.17207415990730024</v>
      </c>
      <c r="I43" s="17">
        <f t="array" aca="1" ref="I43" ca="1">(INDEX(Comp2[Comparable '#2 Price],MATCH(MAX(Comp2[Comparable '#2 Dates]),Comp2[Comparable '#2 Dates],0))-INDEX(Comp2[Comparable '#2 Price],MATCH('Control Panel'!$B$17,Comp2[Comparable '#2 Dates],1)))/INDEX(Comp2[Comparable '#2 Price],MATCH(MAX(Comp2[Comparable '#2 Dates]),Comp2[Comparable '#2 Dates],0))</f>
        <v>-4.2004634994206133E-2</v>
      </c>
      <c r="J43" s="18">
        <f t="array" ref="J43">(INDEX(Comp2[Comparable '#2 Price],MATCH(MAX(Comp2[Comparable '#2 Dates]),Comp2[Comparable '#2 Dates],0))-INDEX(Comp2[Comparable '#2 Price],MATCH(MIN(Comp2[Comparable '#2 Dates]),Comp2[Comparable '#2 Dates],1)))/INDEX(Comp2[Comparable '#2 Price],MATCH(MAX(Comp2[Comparable '#2 Dates]),Comp2[Comparable '#2 Dates],0))</f>
        <v>-0.43974507531865581</v>
      </c>
    </row>
    <row r="44" spans="1:10">
      <c r="A44" s="20" t="s">
        <v>49</v>
      </c>
      <c r="B44" s="13" t="e">
        <f t="array" aca="1" ref="B44" ca="1">STDEVA(IF(Comp2[Comparable '#2 Dates]&gt;='Control Panel'!$B$10,IF(Comp2[Comparable '#2 Date Check]="Pass",Comp2[Comparable '#2 Return])))*SQRT('Control Panel'!$C$10)</f>
        <v>#DIV/0!</v>
      </c>
      <c r="C44" s="14" t="e">
        <f t="array" aca="1" ref="C44" ca="1">STDEVA(IF(Comp2[Comparable '#2 Dates]&gt;='Control Panel'!$B$11,IF(Comp2[Comparable '#2 Date Check]="Pass",Comp2[Comparable '#2 Return])))*SQRT('Control Panel'!$C$11)</f>
        <v>#DIV/0!</v>
      </c>
      <c r="D44" s="14" t="e">
        <f t="array" aca="1" ref="D44" ca="1">STDEVA(IF(Comp2[Comparable '#2 Dates]&gt;='Control Panel'!$B$12,IF(Comp2[Comparable '#2 Date Check]="Pass",Comp2[Comparable '#2 Return])))*SQRT('Control Panel'!$C$12)</f>
        <v>#DIV/0!</v>
      </c>
      <c r="E44" s="14" t="e">
        <f t="array" aca="1" ref="E44" ca="1">STDEVA(IF(Comp2[Comparable '#2 Dates]&gt;='Control Panel'!$B$13,IF(Comp2[Comparable '#2 Date Check]="Pass",Comp2[Comparable '#2 Return])))*SQRT('Control Panel'!$C$13)</f>
        <v>#DIV/0!</v>
      </c>
      <c r="F44" s="14" t="e">
        <f t="array" aca="1" ref="F44" ca="1">STDEVA(IF(Comp2[Comparable '#2 Dates]&gt;='Control Panel'!$B$14,IF(Comp2[Comparable '#2 Date Check]="Pass",Comp2[Comparable '#2 Return])))*SQRT('Control Panel'!$C$14)</f>
        <v>#DIV/0!</v>
      </c>
      <c r="G44" s="14">
        <f t="array" aca="1" ref="G44" ca="1">STDEVA(IF(Comp2[Comparable '#2 Dates]&gt;='Control Panel'!$B$15,IF(Comp2[Comparable '#2 Date Check]="Pass",Comp2[Comparable '#2 Return])))*SQRT('Control Panel'!$C$15)</f>
        <v>0.38523005582970321</v>
      </c>
      <c r="H44" s="14">
        <f t="array" aca="1" ref="H44" ca="1">STDEVA(IF(Comp2[Comparable '#2 Dates]&gt;='Control Panel'!$B$16,IF(Comp2[Comparable '#2 Date Check]="Pass",Comp2[Comparable '#2 Return])))*SQRT('Control Panel'!$C$16)</f>
        <v>0.40930832361719083</v>
      </c>
      <c r="I44" s="14">
        <f t="array" aca="1" ref="I44" ca="1">STDEVA(IF(Comp2[Comparable '#2 Dates]&gt;='Control Panel'!$B$17,IF(Comp2[Comparable '#2 Date Check]="Pass",Comp2[Comparable '#2 Return])))*SQRT('Control Panel'!$C$17)</f>
        <v>0.43560217098493886</v>
      </c>
      <c r="J44" s="15">
        <f t="array" ref="J44">STDEVA(IF(Comp2[Comparable '#2 Date Check]="Pass",Comp2[Comparable '#2 Return]))*SQRT('Control Panel'!$C$17)</f>
        <v>0.40958665869870903</v>
      </c>
    </row>
    <row r="45" spans="1:10">
      <c r="A45" s="21" t="s">
        <v>31</v>
      </c>
      <c r="B45" s="16" t="e">
        <f t="array" aca="1" ref="B45" ca="1">KURT(IF(Comp2[Comparable '#2 Dates]&gt;='Control Panel'!$B$10,IF(Comp2[Comparable '#2 Date Check]="Pass",Comp2[Comparable '#2 Return])))</f>
        <v>#DIV/0!</v>
      </c>
      <c r="C45" s="17" t="e">
        <f t="array" aca="1" ref="C45" ca="1">KURT(IF(Comp2[Comparable '#2 Dates]&gt;='Control Panel'!$B$11,IF(Comp2[Comparable '#2 Date Check]="Pass",Comp2[Comparable '#2 Return])))</f>
        <v>#DIV/0!</v>
      </c>
      <c r="D45" s="17" t="e">
        <f t="array" aca="1" ref="D45" ca="1">KURT(IF(Comp2[Comparable '#2 Dates]&gt;='Control Panel'!$B$12,IF(Comp2[Comparable '#2 Date Check]="Pass",Comp2[Comparable '#2 Return])))</f>
        <v>#DIV/0!</v>
      </c>
      <c r="E45" s="17" t="e">
        <f t="array" aca="1" ref="E45" ca="1">KURT(IF(Comp2[Comparable '#2 Dates]&gt;='Control Panel'!$B$13,IF(Comp2[Comparable '#2 Date Check]="Pass",Comp2[Comparable '#2 Return])))</f>
        <v>#DIV/0!</v>
      </c>
      <c r="F45" s="17" t="e">
        <f t="array" aca="1" ref="F45" ca="1">KURT(IF(Comp2[Comparable '#2 Dates]&gt;='Control Panel'!$B$14,IF(Comp2[Comparable '#2 Date Check]="Pass",Comp2[Comparable '#2 Return])))</f>
        <v>#DIV/0!</v>
      </c>
      <c r="G45" s="17">
        <f t="array" aca="1" ref="G45" ca="1">KURT(IF(Comp2[Comparable '#2 Dates]&gt;='Control Panel'!$B$15,IF(Comp2[Comparable '#2 Date Check]="Pass",Comp2[Comparable '#2 Return])))</f>
        <v>9.1307801142117526</v>
      </c>
      <c r="H45" s="17">
        <f t="array" aca="1" ref="H45" ca="1">KURT(IF(Comp2[Comparable '#2 Dates]&gt;='Control Panel'!$B$16,IF(Comp2[Comparable '#2 Date Check]="Pass",Comp2[Comparable '#2 Return])))</f>
        <v>7.2986609777175815</v>
      </c>
      <c r="I45" s="17">
        <f t="array" aca="1" ref="I45" ca="1">KURT(IF(Comp2[Comparable '#2 Dates]&gt;='Control Panel'!$B$17,IF(Comp2[Comparable '#2 Date Check]="Pass",Comp2[Comparable '#2 Return])))</f>
        <v>7.242027345974881</v>
      </c>
      <c r="J45" s="18">
        <f t="array" ref="J45">KURT(IF(Comp2[Comparable '#2 Date Check]="Pass",Comp2[Comparable '#2 Return]))</f>
        <v>11.428446465958507</v>
      </c>
    </row>
    <row r="46" spans="1:10">
      <c r="A46" s="20" t="s">
        <v>32</v>
      </c>
      <c r="B46" s="13" t="e">
        <f t="array" aca="1" ref="B46" ca="1">SKEW(IF(Comp2[Comparable '#2 Dates]&gt;='Control Panel'!$B$10,IF(Comp2[Comparable '#2 Date Check]="Pass",Comp2[Comparable '#2 Return])))</f>
        <v>#DIV/0!</v>
      </c>
      <c r="C46" s="14" t="e">
        <f t="array" aca="1" ref="C46" ca="1">SKEW(IF(Comp2[Comparable '#2 Dates]&gt;='Control Panel'!$B$11,IF(Comp2[Comparable '#2 Date Check]="Pass",Comp2[Comparable '#2 Return])))</f>
        <v>#DIV/0!</v>
      </c>
      <c r="D46" s="14" t="e">
        <f t="array" aca="1" ref="D46" ca="1">SKEW(IF(Comp2[Comparable '#2 Dates]&gt;='Control Panel'!$B$12,IF(Comp2[Comparable '#2 Date Check]="Pass",Comp2[Comparable '#2 Return])))</f>
        <v>#DIV/0!</v>
      </c>
      <c r="E46" s="14" t="e">
        <f t="array" aca="1" ref="E46" ca="1">SKEW(IF(Comp2[Comparable '#2 Dates]&gt;='Control Panel'!$B$13,IF(Comp2[Comparable '#2 Date Check]="Pass",Comp2[Comparable '#2 Return])))</f>
        <v>#DIV/0!</v>
      </c>
      <c r="F46" s="14" t="e">
        <f t="array" aca="1" ref="F46" ca="1">SKEW(IF(Comp2[Comparable '#2 Dates]&gt;='Control Panel'!$B$14,IF(Comp2[Comparable '#2 Date Check]="Pass",Comp2[Comparable '#2 Return])))</f>
        <v>#DIV/0!</v>
      </c>
      <c r="G46" s="14">
        <f t="array" aca="1" ref="G46" ca="1">SKEW(IF(Comp2[Comparable '#2 Dates]&gt;='Control Panel'!$B$15,IF(Comp2[Comparable '#2 Date Check]="Pass",Comp2[Comparable '#2 Return])))</f>
        <v>1.5488227976671958</v>
      </c>
      <c r="H46" s="14">
        <f t="array" aca="1" ref="H46" ca="1">SKEW(IF(Comp2[Comparable '#2 Dates]&gt;='Control Panel'!$B$16,IF(Comp2[Comparable '#2 Date Check]="Pass",Comp2[Comparable '#2 Return])))</f>
        <v>0.24509606482210802</v>
      </c>
      <c r="I46" s="14">
        <f t="array" aca="1" ref="I46" ca="1">SKEW(IF(Comp2[Comparable '#2 Dates]&gt;='Control Panel'!$B$17,IF(Comp2[Comparable '#2 Date Check]="Pass",Comp2[Comparable '#2 Return])))</f>
        <v>-0.63793684082269864</v>
      </c>
      <c r="J46" s="15">
        <f t="array" ref="J46">SKEW(IF(Comp2[Comparable '#2 Date Check]="Pass",Comp2[Comparable '#2 Return]))</f>
        <v>-1.2516753228011415</v>
      </c>
    </row>
    <row r="47" spans="1:10">
      <c r="A47" s="21" t="s">
        <v>50</v>
      </c>
      <c r="B47" s="16">
        <f t="array" aca="1" ref="B47" ca="1">MIN(IF(Comp2[Comparable '#2 Dates]&gt;='Control Panel'!$B$10,IF(Comp2[Comparable '#2 Date Check]="Pass",Comp2[Comparable '#2 Return])))</f>
        <v>0</v>
      </c>
      <c r="C47" s="17">
        <f t="array" aca="1" ref="C47" ca="1">MIN(IF(Comp2[Comparable '#2 Dates]&gt;='Control Panel'!$B$11,IF(Comp2[Comparable '#2 Date Check]="Pass",Comp2[Comparable '#2 Return])))</f>
        <v>0</v>
      </c>
      <c r="D47" s="17">
        <f t="array" aca="1" ref="D47" ca="1">MIN(IF(Comp2[Comparable '#2 Dates]&gt;='Control Panel'!$B$12,IF(Comp2[Comparable '#2 Date Check]="Pass",Comp2[Comparable '#2 Return])))</f>
        <v>0</v>
      </c>
      <c r="E47" s="17">
        <f t="array" aca="1" ref="E47" ca="1">MIN(IF(Comp2[Comparable '#2 Dates]&gt;='Control Panel'!$B$13,IF(Comp2[Comparable '#2 Date Check]="Pass",Comp2[Comparable '#2 Return])))</f>
        <v>0</v>
      </c>
      <c r="F47" s="17">
        <f t="array" aca="1" ref="F47" ca="1">MIN(IF(Comp2[Comparable '#2 Dates]&gt;='Control Panel'!$B$14,IF(Comp2[Comparable '#2 Date Check]="Pass",Comp2[Comparable '#2 Return])))</f>
        <v>0</v>
      </c>
      <c r="G47" s="17">
        <f t="array" aca="1" ref="G47" ca="1">MIN(IF(Comp2[Comparable '#2 Dates]&gt;='Control Panel'!$B$15,IF(Comp2[Comparable '#2 Date Check]="Pass",Comp2[Comparable '#2 Return])))</f>
        <v>-7.3599142188450442E-2</v>
      </c>
      <c r="H47" s="17">
        <f t="array" aca="1" ref="H47" ca="1">MIN(IF(Comp2[Comparable '#2 Dates]&gt;='Control Panel'!$B$16,IF(Comp2[Comparable '#2 Date Check]="Pass",Comp2[Comparable '#2 Return])))</f>
        <v>-0.15183452360942801</v>
      </c>
      <c r="I47" s="17">
        <f t="array" aca="1" ref="I47" ca="1">MIN(IF(Comp2[Comparable '#2 Dates]&gt;='Control Panel'!$B$17,IF(Comp2[Comparable '#2 Date Check]="Pass",Comp2[Comparable '#2 Return])))</f>
        <v>-0.19113627403990102</v>
      </c>
      <c r="J47" s="18">
        <f t="array" ref="J47">MIN(IF(Comp2[Comparable '#2 Date Check]="Pass",Comp2[Comparable '#2 Return]))</f>
        <v>-0.20726050514120672</v>
      </c>
    </row>
    <row r="48" spans="1:10">
      <c r="A48" s="20" t="s">
        <v>51</v>
      </c>
      <c r="B48" s="13">
        <f t="array" aca="1" ref="B48" ca="1">MAX(IF(Comp2[Comparable '#2 Dates]&gt;='Control Panel'!$B$10,IF(Comp2[Comparable '#2 Date Check]="Pass",Comp2[Comparable '#2 Return])))</f>
        <v>0</v>
      </c>
      <c r="C48" s="14">
        <f t="array" aca="1" ref="C48" ca="1">MAX(IF(Comp2[Comparable '#2 Dates]&gt;='Control Panel'!$B$11,IF(Comp2[Comparable '#2 Date Check]="Pass",Comp2[Comparable '#2 Return])))</f>
        <v>0</v>
      </c>
      <c r="D48" s="14">
        <f t="array" aca="1" ref="D48" ca="1">MAX(IF(Comp2[Comparable '#2 Dates]&gt;='Control Panel'!$B$12,IF(Comp2[Comparable '#2 Date Check]="Pass",Comp2[Comparable '#2 Return])))</f>
        <v>0</v>
      </c>
      <c r="E48" s="14">
        <f t="array" aca="1" ref="E48" ca="1">MAX(IF(Comp2[Comparable '#2 Dates]&gt;='Control Panel'!$B$13,IF(Comp2[Comparable '#2 Date Check]="Pass",Comp2[Comparable '#2 Return])))</f>
        <v>0</v>
      </c>
      <c r="F48" s="14">
        <f t="array" aca="1" ref="F48" ca="1">MAX(IF(Comp2[Comparable '#2 Dates]&gt;='Control Panel'!$B$14,IF(Comp2[Comparable '#2 Date Check]="Pass",Comp2[Comparable '#2 Return])))</f>
        <v>0</v>
      </c>
      <c r="G48" s="14">
        <f t="array" aca="1" ref="G48" ca="1">MAX(IF(Comp2[Comparable '#2 Dates]&gt;='Control Panel'!$B$15,IF(Comp2[Comparable '#2 Date Check]="Pass",Comp2[Comparable '#2 Return])))</f>
        <v>0.12603050508640043</v>
      </c>
      <c r="H48" s="14">
        <f t="array" aca="1" ref="H48" ca="1">MAX(IF(Comp2[Comparable '#2 Dates]&gt;='Control Panel'!$B$16,IF(Comp2[Comparable '#2 Date Check]="Pass",Comp2[Comparable '#2 Return])))</f>
        <v>0.12800539972293615</v>
      </c>
      <c r="I48" s="14">
        <f t="array" aca="1" ref="I48" ca="1">MAX(IF(Comp2[Comparable '#2 Dates]&gt;='Control Panel'!$B$17,IF(Comp2[Comparable '#2 Date Check]="Pass",Comp2[Comparable '#2 Return])))</f>
        <v>0.12800539972293615</v>
      </c>
      <c r="J48" s="15">
        <f t="array" ref="J48">MAX(IF(Comp2[Comparable '#2 Date Check]="Pass",Comp2[Comparable '#2 Return]))</f>
        <v>0.12800539972293615</v>
      </c>
    </row>
    <row r="49" spans="1:10">
      <c r="A49" s="21" t="s">
        <v>52</v>
      </c>
      <c r="B49" s="16" t="e" cm="1">
        <f t="array" aca="1" ref="B49" ca="1">AVERAGE(IF(Comp2[Comparable '#2 Dates]&gt;='Control Panel'!$B$10,IF(Comp2[Comparable '#2 Date Check]="Pass",Comp2[Comparable '#2 Drawdown])))</f>
        <v>#DIV/0!</v>
      </c>
      <c r="C49" s="17" t="e" cm="1">
        <f t="array" aca="1" ref="C49" ca="1">AVERAGE(IF(Comp2[Comparable '#2 Dates]&gt;='Control Panel'!$B$11,IF(Comp2[Comparable '#2 Date Check]="Pass",Comp2[Comparable '#2 Drawdown])))</f>
        <v>#DIV/0!</v>
      </c>
      <c r="D49" s="17" t="e" cm="1">
        <f t="array" aca="1" ref="D49" ca="1">AVERAGE(IF(Comp2[Comparable '#2 Dates]&gt;='Control Panel'!$B$12,IF(Comp2[Comparable '#2 Date Check]="Pass",Comp2[Comparable '#2 Drawdown])))</f>
        <v>#DIV/0!</v>
      </c>
      <c r="E49" s="17" t="e" cm="1">
        <f t="array" aca="1" ref="E49" ca="1">AVERAGE(IF(Comp2[Comparable '#2 Dates]&gt;='Control Panel'!$B$13,IF(Comp2[Comparable '#2 Date Check]="Pass",Comp2[Comparable '#2 Drawdown])))</f>
        <v>#DIV/0!</v>
      </c>
      <c r="F49" s="17" t="e" cm="1">
        <f t="array" aca="1" ref="F49" ca="1">AVERAGE(IF(Comp2[Comparable '#2 Dates]&gt;='Control Panel'!$B$14,IF(Comp2[Comparable '#2 Date Check]="Pass",Comp2[Comparable '#2 Drawdown])))</f>
        <v>#DIV/0!</v>
      </c>
      <c r="G49" s="17" cm="1">
        <f t="array" aca="1" ref="G49" ca="1">AVERAGE(IF(Comp2[Comparable '#2 Dates]&gt;='Control Panel'!$B$15,IF(Comp2[Comparable '#2 Date Check]="Pass",Comp2[Comparable '#2 Drawdown])))</f>
        <v>-18.813596491228061</v>
      </c>
      <c r="H49" s="17" cm="1">
        <f t="array" aca="1" ref="H49" ca="1">AVERAGE(IF(Comp2[Comparable '#2 Dates]&gt;='Control Panel'!$B$16,IF(Comp2[Comparable '#2 Date Check]="Pass",Comp2[Comparable '#2 Drawdown])))</f>
        <v>-22.329397260273961</v>
      </c>
      <c r="I49" s="17" cm="1">
        <f t="array" aca="1" ref="I49" ca="1">AVERAGE(IF(Comp2[Comparable '#2 Dates]&gt;='Control Panel'!$B$17,IF(Comp2[Comparable '#2 Date Check]="Pass",Comp2[Comparable '#2 Drawdown])))</f>
        <v>-23.591852704257757</v>
      </c>
      <c r="J49" s="18" cm="1">
        <f t="array" ref="J49">AVERAGE(IF(Comp2[Comparable '#2 Date Check]="Pass",Comp2[Comparable '#2 Drawdown]))</f>
        <v>-20.041058074781226</v>
      </c>
    </row>
    <row r="50" spans="1:10">
      <c r="A50" s="20" t="s">
        <v>53</v>
      </c>
      <c r="B50" s="89" t="e">
        <f t="array" aca="1" ref="B50" ca="1">AVERAGE(IF(Comp2[Comparable '#2 Dates]&gt;='Control Panel'!$B$10,IF(Comp2[Comparable '#2 Date Check]="Pass",Comp2[Comparable '#2 Drawdown Recovery2])))</f>
        <v>#DIV/0!</v>
      </c>
      <c r="C50" s="90" t="e">
        <f t="array" aca="1" ref="C50" ca="1">AVERAGE(IF(Comp2[Comparable '#2 Dates]&gt;='Control Panel'!$B$11,IF(Comp2[Comparable '#2 Date Check]="Pass",Comp2[Comparable '#2 Drawdown Recovery2])))</f>
        <v>#DIV/0!</v>
      </c>
      <c r="D50" s="90" t="e">
        <f t="array" aca="1" ref="D50" ca="1">AVERAGE(IF(Comp2[Comparable '#2 Dates]&gt;='Control Panel'!$B$12,IF(Comp2[Comparable '#2 Date Check]="Pass",Comp2[Comparable '#2 Drawdown Recovery2])))</f>
        <v>#DIV/0!</v>
      </c>
      <c r="E50" s="90" t="e">
        <f t="array" aca="1" ref="E50" ca="1">AVERAGE(IF(Comp2[Comparable '#2 Dates]&gt;='Control Panel'!$B$13,IF(Comp2[Comparable '#2 Date Check]="Pass",Comp2[Comparable '#2 Drawdown Recovery2])))</f>
        <v>#DIV/0!</v>
      </c>
      <c r="F50" s="90" t="e">
        <f t="array" aca="1" ref="F50" ca="1">AVERAGE(IF(Comp2[Comparable '#2 Dates]&gt;='Control Panel'!$B$14,IF(Comp2[Comparable '#2 Date Check]="Pass",Comp2[Comparable '#2 Drawdown Recovery2])))</f>
        <v>#DIV/0!</v>
      </c>
      <c r="G50" s="90">
        <f t="array" aca="1" ref="G50" ca="1">AVERAGE(IF(Comp2[Comparable '#2 Dates]&gt;='Control Panel'!$B$15,IF(Comp2[Comparable '#2 Date Check]="Pass",Comp2[Comparable '#2 Drawdown Recovery2])))</f>
        <v>-0.32347999469099142</v>
      </c>
      <c r="H50" s="90">
        <f t="array" aca="1" ref="H50" ca="1">AVERAGE(IF(Comp2[Comparable '#2 Dates]&gt;='Control Panel'!$B$16,IF(Comp2[Comparable '#2 Date Check]="Pass",Comp2[Comparable '#2 Drawdown Recovery2])))</f>
        <v>-0.38393048934446267</v>
      </c>
      <c r="I50" s="90">
        <f t="array" aca="1" ref="I50" ca="1">AVERAGE(IF(Comp2[Comparable '#2 Dates]&gt;='Control Panel'!$B$17,IF(Comp2[Comparable '#2 Date Check]="Pass",Comp2[Comparable '#2 Drawdown Recovery2])))</f>
        <v>-0.40563708226027845</v>
      </c>
      <c r="J50" s="91">
        <f t="array" ref="J50">AVERAGE(IF(Comp2[Comparable '#2 Date Check]="Pass",Comp2[Comparable '#2 Drawdown Recovery2]))</f>
        <v>-0.3448417176159993</v>
      </c>
    </row>
    <row r="51" spans="1:10">
      <c r="A51" s="21" t="s">
        <v>54</v>
      </c>
      <c r="B51" s="16" t="e" cm="1">
        <f t="array" aca="1" ref="B51" ca="1">(AVERAGE(IF(Benchmark1[Benchmark '#1 Dates]&gt;='Control Panel'!$B$10,IF(Benchmark1[Comparable '#2 Date Check]="Pass",Benchmark1[Comparable '#2 Return])))-AVERAGE(IF(Benchmark1[Benchmark '#1 Dates]&gt;='Control Panel'!$B$10,IF(Benchmark1[Comparable '#2 Date Check]="Pass",Benchmark1[Benchmark '#1 Return]))))/_xlfn.STDEV.P(IF(Benchmark1[Benchmark '#1 Dates]&gt;='Control Panel'!$B$10,IF(Benchmark1[Comparable '#2 Date Check]="Pass",Benchmark1[Difference of Comparable '#2 and Benchmark '#1 Returns])))</f>
        <v>#DIV/0!</v>
      </c>
      <c r="C51" s="17" t="e">
        <f t="array" aca="1" ref="C51" ca="1">(AVERAGE(IF(Benchmark1[Benchmark '#1 Dates]&gt;='Control Panel'!$B$11,IF(Benchmark1[Comparable '#2 Date Check]="Pass",Benchmark1[Comparable '#2 Return])))-AVERAGE(IF(Benchmark1[Benchmark '#1 Dates]&gt;='Control Panel'!$B$11,IF(Benchmark1[Comparable '#2 Date Check]="Pass",Benchmark1[Benchmark '#1 Return]))))/_xlfn.STDEV.P(IF(Benchmark1[Benchmark '#1 Dates]&gt;='Control Panel'!$B$11,IF(Benchmark1[Comparable '#2 Date Check]="Pass",Benchmark1[Difference of Comparable '#2 and Benchmark '#1 Returns])))</f>
        <v>#DIV/0!</v>
      </c>
      <c r="D51" s="17" t="e">
        <f t="array" aca="1" ref="D51" ca="1">(AVERAGE(IF(Benchmark1[Benchmark '#1 Dates]&gt;='Control Panel'!$B$12,IF(Benchmark1[Comparable '#2 Date Check]="Pass",Benchmark1[Comparable '#2 Return])))-AVERAGE(IF(Benchmark1[Benchmark '#1 Dates]&gt;='Control Panel'!$B$12,IF(Benchmark1[Comparable '#2 Date Check]="Pass",Benchmark1[Benchmark '#1 Return]))))/_xlfn.STDEV.P(IF(Benchmark1[Benchmark '#1 Dates]&gt;='Control Panel'!$B$12,IF(Benchmark1[Comparable '#2 Date Check]="Pass",Benchmark1[Difference of Comparable '#2 and Benchmark '#1 Returns])))</f>
        <v>#DIV/0!</v>
      </c>
      <c r="E51" s="17" t="e">
        <f t="array" aca="1" ref="E51" ca="1">(AVERAGE(IF(Benchmark1[Benchmark '#1 Dates]&gt;='Control Panel'!$B$13,IF(Benchmark1[Comparable '#2 Date Check]="Pass",Benchmark1[Comparable '#2 Return])))-AVERAGE(IF(Benchmark1[Benchmark '#1 Dates]&gt;='Control Panel'!$B$13,IF(Benchmark1[Comparable '#2 Date Check]="Pass",Benchmark1[Benchmark '#1 Return]))))/_xlfn.STDEV.P(IF(Benchmark1[Benchmark '#1 Dates]&gt;='Control Panel'!$B$13,IF(Benchmark1[Comparable '#2 Date Check]="Pass",Benchmark1[Difference of Comparable '#2 and Benchmark '#1 Returns])))</f>
        <v>#DIV/0!</v>
      </c>
      <c r="F51" s="17" t="e">
        <f t="array" aca="1" ref="F51" ca="1">(AVERAGE(IF(Benchmark1[Benchmark '#1 Dates]&gt;='Control Panel'!$B$14,IF(Benchmark1[Comparable '#2 Date Check]="Pass",Benchmark1[Comparable '#2 Return])))-AVERAGE(IF(Benchmark1[Benchmark '#1 Dates]&gt;='Control Panel'!$B$14,IF(Benchmark1[Comparable '#2 Date Check]="Pass",Benchmark1[Benchmark '#1 Return]))))/_xlfn.STDEV.P(IF(Benchmark1[Benchmark '#1 Dates]&gt;='Control Panel'!$B$14,IF(Benchmark1[Comparable '#2 Date Check]="Pass",Benchmark1[Difference of Comparable '#2 and Benchmark '#1 Returns])))</f>
        <v>#DIV/0!</v>
      </c>
      <c r="G51" s="17">
        <f t="array" aca="1" ref="G51" ca="1">(AVERAGE(IF(Benchmark1[Benchmark '#1 Dates]&gt;='Control Panel'!$B$15,IF(Benchmark1[Comparable '#2 Date Check]="Pass",Benchmark1[Comparable '#2 Return])))-AVERAGE(IF(Benchmark1[Benchmark '#1 Dates]&gt;='Control Panel'!$B$15,IF(Benchmark1[Comparable '#2 Date Check]="Pass",Benchmark1[Benchmark '#1 Return]))))/_xlfn.STDEV.P(IF(Benchmark1[Benchmark '#1 Dates]&gt;='Control Panel'!$B$15,IF(Benchmark1[Comparable '#2 Date Check]="Pass",Benchmark1[Difference of Comparable '#2 and Benchmark '#1 Returns])))</f>
        <v>-6.4515510001905488E-2</v>
      </c>
      <c r="H51" s="17">
        <f t="array" aca="1" ref="H51" ca="1">(AVERAGE(IF(Benchmark1[Benchmark '#1 Dates]&gt;='Control Panel'!$B$16,IF(Benchmark1[Comparable '#2 Date Check]="Pass",Benchmark1[Comparable '#2 Return])))-AVERAGE(IF(Benchmark1[Benchmark '#1 Dates]&gt;='Control Panel'!$B$16,IF(Benchmark1[Comparable '#2 Date Check]="Pass",Benchmark1[Benchmark '#1 Return]))))/_xlfn.STDEV.P(IF(Benchmark1[Benchmark '#1 Dates]&gt;='Control Panel'!$B$16,IF(Benchmark1[Comparable '#2 Date Check]="Pass",Benchmark1[Difference of Comparable '#2 and Benchmark '#1 Returns])))</f>
        <v>2.061932766068228E-2</v>
      </c>
      <c r="I51" s="17">
        <f t="array" aca="1" ref="I51" ca="1">(AVERAGE(IF(Benchmark1[Benchmark '#1 Dates]&gt;='Control Panel'!$B$17,IF(Benchmark1[Comparable '#2 Date Check]="Pass",Benchmark1[Comparable '#2 Return])))-AVERAGE(IF(Benchmark1[Benchmark '#1 Dates]&gt;='Control Panel'!$B$17,IF(Benchmark1[Comparable '#2 Date Check]="Pass",Benchmark1[Benchmark '#1 Return]))))/_xlfn.STDEV.P(IF(Benchmark1[Benchmark '#1 Dates]&gt;='Control Panel'!$B$17,IF(Benchmark1[Comparable '#2 Date Check]="Pass",Benchmark1[Difference of Comparable '#2 and Benchmark '#1 Returns])))</f>
        <v>-1.5812788403398156E-2</v>
      </c>
      <c r="J51" s="18">
        <f t="array" ref="J51">(AVERAGE(IF(Benchmark1[Comparable '#2 Date Check]="Pass",Benchmark1[Comparable '#2 Return]))-AVERAGE(IF(Benchmark1[Comparable '#2 Date Check]="Pass",Benchmark1[Benchmark '#1 Return])))/_xlfn.STDEV.P(IF(Benchmark1[Comparable '#2 Date Check]="Pass",Benchmark1[Difference of Comparable '#2 and Benchmark '#1 Returns]))</f>
        <v>-2.8475554987813269E-2</v>
      </c>
    </row>
    <row r="52" spans="1:10">
      <c r="A52" s="20" t="s">
        <v>55</v>
      </c>
      <c r="B52" s="13" cm="1">
        <f t="array" aca="1" ref="B52" ca="1">MAX(IF(Comp2[Comparable '#2 Dates]&gt;='Control Panel'!$B$10,IF(Comp2[Comparable '#2 Date Check]="Pass",Comp2[Comparable '#2 Drawdown Recovery Length])))</f>
        <v>0</v>
      </c>
      <c r="C52" s="14" cm="1">
        <f t="array" aca="1" ref="C52" ca="1">MAX(IF(Comp2[Comparable '#2 Dates]&gt;='Control Panel'!$B$11,IF(Comp2[Comparable '#2 Date Check]="Pass",Comp2[Comparable '#2 Drawdown Recovery Length])))</f>
        <v>0</v>
      </c>
      <c r="D52" s="14" cm="1">
        <f t="array" aca="1" ref="D52" ca="1">MAX(IF(Comp2[Comparable '#2 Dates]&gt;='Control Panel'!$B$12,IF(Comp2[Comparable '#2 Date Check]="Pass",Comp2[Comparable '#2 Drawdown Recovery Length])))</f>
        <v>0</v>
      </c>
      <c r="E52" s="14" cm="1">
        <f t="array" aca="1" ref="E52" ca="1">MAX(IF(Comp2[Comparable '#2 Dates]&gt;='Control Panel'!$B$13,IF(Comp2[Comparable '#2 Date Check]="Pass",Comp2[Comparable '#2 Drawdown Recovery Length])))</f>
        <v>0</v>
      </c>
      <c r="F52" s="14" cm="1">
        <f t="array" aca="1" ref="F52" ca="1">MAX(IF(Comp2[Comparable '#2 Dates]&gt;='Control Panel'!$B$14,IF(Comp2[Comparable '#2 Date Check]="Pass",Comp2[Comparable '#2 Drawdown Recovery Length])))</f>
        <v>0</v>
      </c>
      <c r="G52" s="14" cm="1">
        <f t="array" aca="1" ref="G52" ca="1">MAX(IF(Comp2[Comparable '#2 Dates]&gt;='Control Panel'!$B$15,IF(Comp2[Comparable '#2 Date Check]="Pass",Comp2[Comparable '#2 Drawdown Recovery Length])))</f>
        <v>1165</v>
      </c>
      <c r="H52" s="14" cm="1">
        <f t="array" aca="1" ref="H52" ca="1">MAX(IF(Comp2[Comparable '#2 Dates]&gt;='Control Panel'!$B$16,IF(Comp2[Comparable '#2 Date Check]="Pass",Comp2[Comparable '#2 Drawdown Recovery Length])))</f>
        <v>1165</v>
      </c>
      <c r="I52" s="14" cm="1">
        <f t="array" aca="1" ref="I52" ca="1">MAX(IF(Comp2[Comparable '#2 Dates]&gt;='Control Panel'!$B$17,IF(Comp2[Comparable '#2 Date Check]="Pass",Comp2[Comparable '#2 Drawdown Recovery Length])))</f>
        <v>1165</v>
      </c>
      <c r="J52" s="15" cm="1">
        <f t="array" ref="J52">MAX(IF(Comp2[Comparable '#2 Date Check]="Pass",Comp2[Comparable '#2 Drawdown Recovery Length]))</f>
        <v>1165</v>
      </c>
    </row>
    <row r="53" spans="1:10">
      <c r="A53" s="21" t="s">
        <v>56</v>
      </c>
      <c r="B53" s="83" cm="1">
        <f t="array" aca="1" ref="B53" ca="1">MIN(IF(Comp2[Comparable '#2 Dates]&gt;='Control Panel'!$B$10,IF(Comp2[Comparable '#2 Date Check]="Pass",Comp2[Comparable '#2 Drawdown Recovery2])))</f>
        <v>0</v>
      </c>
      <c r="C53" s="84" cm="1">
        <f t="array" aca="1" ref="C53" ca="1">MIN(IF(Comp2[Comparable '#2 Dates]&gt;='Control Panel'!$B$11,IF(Comp2[Comparable '#2 Date Check]="Pass",Comp2[Comparable '#2 Drawdown Recovery2])))</f>
        <v>0</v>
      </c>
      <c r="D53" s="84" cm="1">
        <f t="array" aca="1" ref="D53" ca="1">MIN(IF(Comp2[Comparable '#2 Dates]&gt;='Control Panel'!$B$12,IF(Comp2[Comparable '#2 Date Check]="Pass",Comp2[Comparable '#2 Drawdown Recovery2])))</f>
        <v>0</v>
      </c>
      <c r="E53" s="84" cm="1">
        <f t="array" aca="1" ref="E53" ca="1">MIN(IF(Comp2[Comparable '#2 Dates]&gt;='Control Panel'!$B$13,IF(Comp2[Comparable '#2 Date Check]="Pass",Comp2[Comparable '#2 Drawdown Recovery2])))</f>
        <v>0</v>
      </c>
      <c r="F53" s="84" cm="1">
        <f t="array" aca="1" ref="F53" ca="1">MIN(IF(Comp2[Comparable '#2 Dates]&gt;='Control Panel'!$B$14,IF(Comp2[Comparable '#2 Date Check]="Pass",Comp2[Comparable '#2 Drawdown Recovery2])))</f>
        <v>0</v>
      </c>
      <c r="G53" s="84" cm="1">
        <f t="array" aca="1" ref="G53" ca="1">MIN(IF(Comp2[Comparable '#2 Dates]&gt;='Control Panel'!$B$15,IF(Comp2[Comparable '#2 Date Check]="Pass",Comp2[Comparable '#2 Drawdown Recovery2])))</f>
        <v>-0.41867262723521315</v>
      </c>
      <c r="H53" s="84" cm="1">
        <f t="array" aca="1" ref="H53" ca="1">MIN(IF(Comp2[Comparable '#2 Dates]&gt;='Control Panel'!$B$16,IF(Comp2[Comparable '#2 Date Check]="Pass",Comp2[Comparable '#2 Drawdown Recovery2])))</f>
        <v>-0.66059147180192579</v>
      </c>
      <c r="I53" s="84" cm="1">
        <f t="array" aca="1" ref="I53" ca="1">MIN(IF(Comp2[Comparable '#2 Dates]&gt;='Control Panel'!$B$17,IF(Comp2[Comparable '#2 Date Check]="Pass",Comp2[Comparable '#2 Drawdown Recovery2])))</f>
        <v>-0.66059147180192579</v>
      </c>
      <c r="J53" s="85" cm="1">
        <f t="array" ref="J53">MIN(IF(Comp2[Comparable '#2 Date Check]="Pass",Comp2[Comparable '#2 Drawdown Recovery2]))</f>
        <v>-0.66059147180192579</v>
      </c>
    </row>
    <row r="54" spans="1:10" ht="15.75" thickBot="1"/>
    <row r="55" spans="1:10" ht="36" customHeight="1" thickBot="1">
      <c r="A55" s="43" t="s">
        <v>59</v>
      </c>
      <c r="B55" s="123" t="str">
        <f>'Control Panel'!B4</f>
        <v xml:space="preserve">Strategic Education, Inc. </v>
      </c>
      <c r="C55" s="123"/>
      <c r="D55" s="123"/>
      <c r="E55" s="123"/>
      <c r="F55" s="123"/>
      <c r="G55" s="123" t="str">
        <f>'Control Panel'!C4</f>
        <v>STRA</v>
      </c>
      <c r="H55" s="123"/>
      <c r="I55" s="123"/>
      <c r="J55" s="123"/>
    </row>
    <row r="56" spans="1:10" ht="36" customHeight="1" thickBot="1">
      <c r="A56" s="44" t="s">
        <v>44</v>
      </c>
      <c r="B56" s="44" t="s">
        <v>45</v>
      </c>
      <c r="C56" s="44" t="s">
        <v>17</v>
      </c>
      <c r="D56" s="44" t="s">
        <v>18</v>
      </c>
      <c r="E56" s="44" t="s">
        <v>19</v>
      </c>
      <c r="F56" s="44" t="s">
        <v>21</v>
      </c>
      <c r="G56" s="44" t="s">
        <v>22</v>
      </c>
      <c r="H56" s="44" t="s">
        <v>23</v>
      </c>
      <c r="I56" s="44" t="s">
        <v>24</v>
      </c>
      <c r="J56" s="44" t="s">
        <v>37</v>
      </c>
    </row>
    <row r="57" spans="1:10">
      <c r="A57" s="19" t="str">
        <f>"Correlation with Benchmark #1 ("&amp;'Control Panel'!C5&amp;")"</f>
        <v>Correlation with Benchmark #1 (^GSPC)</v>
      </c>
      <c r="B57" s="10" t="e">
        <f t="array" aca="1" ref="B57" ca="1">CORREL(IF(Benchmark1[Benchmark '#1 Dates]&gt;='Control Panel'!$B$10,IF(Benchmark1[Comparable '#3 Date Check]="Pass",Benchmark1[Comparable '#3 Price])),IF(Benchmark1[Benchmark '#1 Dates]&gt;='Control Panel'!$B$10,IF(Benchmark1[Comparable '#3 Date Check]="Pass",Benchmark1[Benchmark '#1 Price])))</f>
        <v>#DIV/0!</v>
      </c>
      <c r="C57" s="11" t="e">
        <f t="array" aca="1" ref="C57" ca="1">CORREL(IF(Benchmark1[Benchmark '#1 Dates]&gt;='Control Panel'!$B$11,IF(Benchmark1[Comparable '#3 Date Check]="Pass",Benchmark1[Comparable '#3 Price])),IF(Benchmark1[Benchmark '#1 Dates]&gt;='Control Panel'!$B$11,IF(Benchmark1[Comparable '#3 Date Check]="Pass",Benchmark1[Benchmark '#1 Price])))</f>
        <v>#DIV/0!</v>
      </c>
      <c r="D57" s="11" t="e">
        <f t="array" aca="1" ref="D57" ca="1">CORREL(IF(Benchmark1[Benchmark '#1 Dates]&gt;='Control Panel'!$B$12,IF(Benchmark1[Comparable '#3 Date Check]="Pass",Benchmark1[Comparable '#3 Price])),IF(Benchmark1[Benchmark '#1 Dates]&gt;='Control Panel'!$B$12,IF(Benchmark1[Comparable '#3 Date Check]="Pass",Benchmark1[Benchmark '#1 Price])))</f>
        <v>#DIV/0!</v>
      </c>
      <c r="E57" s="11" t="e">
        <f t="array" aca="1" ref="E57" ca="1">CORREL(IF(Benchmark1[Benchmark '#1 Dates]&gt;='Control Panel'!$B$13,IF(Benchmark1[Comparable '#3 Date Check]="Pass",Benchmark1[Comparable '#3 Price])),IF(Benchmark1[Benchmark '#1 Dates]&gt;='Control Panel'!$B$13,IF(Benchmark1[Comparable '#3 Date Check]="Pass",Benchmark1[Benchmark '#1 Price])))</f>
        <v>#DIV/0!</v>
      </c>
      <c r="F57" s="11" t="e">
        <f t="array" aca="1" ref="F57" ca="1">CORREL(IF(Benchmark1[Benchmark '#1 Dates]&gt;='Control Panel'!$B$14,IF(Benchmark1[Comparable '#3 Date Check]="Pass",Benchmark1[Comparable '#3 Price])),IF(Benchmark1[Benchmark '#1 Dates]&gt;='Control Panel'!$B$14,IF(Benchmark1[Comparable '#3 Date Check]="Pass",Benchmark1[Benchmark '#1 Price])))</f>
        <v>#DIV/0!</v>
      </c>
      <c r="G57" s="11">
        <f t="array" aca="1" ref="G57" ca="1">CORREL(IF(Benchmark1[Benchmark '#1 Dates]&gt;='Control Panel'!$B$15,IF(Benchmark1[Comparable '#3 Date Check]="Pass",Benchmark1[Comparable '#3 Price])),IF(Benchmark1[Benchmark '#1 Dates]&gt;='Control Panel'!$B$15,IF(Benchmark1[Comparable '#3 Date Check]="Pass",Benchmark1[Benchmark '#1 Price])))</f>
        <v>-0.62745912845723006</v>
      </c>
      <c r="H57" s="11">
        <f t="array" aca="1" ref="H57" ca="1">CORREL(IF(Benchmark1[Benchmark '#1 Dates]&gt;='Control Panel'!$B$16,IF(Benchmark1[Comparable '#3 Date Check]="Pass",Benchmark1[Comparable '#3 Price])),IF(Benchmark1[Benchmark '#1 Dates]&gt;='Control Panel'!$B$16,IF(Benchmark1[Comparable '#3 Date Check]="Pass",Benchmark1[Benchmark '#1 Price])))</f>
        <v>-0.15261781303067662</v>
      </c>
      <c r="I57" s="11">
        <f t="array" aca="1" ref="I57" ca="1">CORREL(IF(Benchmark1[Benchmark '#1 Dates]&gt;='Control Panel'!$B$17,IF(Benchmark1[Comparable '#3 Date Check]="Pass",Benchmark1[Comparable '#3 Price])),IF(Benchmark1[Benchmark '#1 Dates]&gt;='Control Panel'!$B$17,IF(Benchmark1[Comparable '#3 Date Check]="Pass",Benchmark1[Benchmark '#1 Price])))</f>
        <v>-0.80107643712715049</v>
      </c>
      <c r="J57" s="12">
        <f t="array" ref="J57">CORREL(IF(Benchmark1[Comparable '#3 Date Check]="Pass",Benchmark1[Comparable '#3 Price]),IF(Benchmark1[Comparable '#3 Date Check]="Pass",Benchmark1[Benchmark '#1 Price]))</f>
        <v>-0.81890192113549409</v>
      </c>
    </row>
    <row r="58" spans="1:10">
      <c r="A58" s="20" t="str">
        <f>"Correlation with Benchmark #2 ("&amp;'Control Panel'!C6&amp;")"</f>
        <v>Correlation with Benchmark #2 ((^NYA) )</v>
      </c>
      <c r="B58" s="13" t="e">
        <f t="array" aca="1" ref="B58" ca="1">CORREL(IF(Benchmark2[Benchmark '#2 Dates]&gt;='Control Panel'!$B$10,IF(Benchmark2[Comparable '#3 Date Check]="Pass",Benchmark2[Comparable '#3 Price])),IF(Benchmark2[Benchmark '#2 Dates]&gt;='Control Panel'!$B$10,IF(Benchmark2[Comparable '#3 Date Check]="Pass",Benchmark2[Benchmark '#2 Price])))</f>
        <v>#DIV/0!</v>
      </c>
      <c r="C58" s="14" t="e">
        <f t="array" aca="1" ref="C58" ca="1">CORREL(IF(Benchmark2[Benchmark '#2 Dates]&gt;='Control Panel'!$B$11,IF(Benchmark2[Comparable '#3 Date Check]="Pass",Benchmark2[Comparable '#3 Price])),IF(Benchmark2[Benchmark '#2 Dates]&gt;='Control Panel'!$B$11,IF(Benchmark2[Comparable '#3 Date Check]="Pass",Benchmark2[Benchmark '#2 Price])))</f>
        <v>#DIV/0!</v>
      </c>
      <c r="D58" s="14" t="e">
        <f t="array" aca="1" ref="D58" ca="1">CORREL(IF(Benchmark2[Benchmark '#2 Dates]&gt;='Control Panel'!$B$12,IF(Benchmark2[Comparable '#3 Date Check]="Pass",Benchmark2[Comparable '#3 Price])),IF(Benchmark2[Benchmark '#2 Dates]&gt;='Control Panel'!$B$12,IF(Benchmark2[Comparable '#3 Date Check]="Pass",Benchmark2[Benchmark '#2 Price])))</f>
        <v>#DIV/0!</v>
      </c>
      <c r="E58" s="14" t="e">
        <f t="array" aca="1" ref="E58" ca="1">CORREL(IF(Benchmark2[Benchmark '#2 Dates]&gt;='Control Panel'!$B$13,IF(Benchmark2[Comparable '#3 Date Check]="Pass",Benchmark2[Comparable '#3 Price])),IF(Benchmark2[Benchmark '#2 Dates]&gt;='Control Panel'!$B$13,IF(Benchmark2[Comparable '#3 Date Check]="Pass",Benchmark2[Benchmark '#2 Price])))</f>
        <v>#DIV/0!</v>
      </c>
      <c r="F58" s="14" t="e">
        <f t="array" aca="1" ref="F58" ca="1">CORREL(IF(Benchmark2[Benchmark '#2 Dates]&gt;='Control Panel'!$B$14,IF(Benchmark2[Comparable '#3 Date Check]="Pass",Benchmark2[Comparable '#3 Price])),IF(Benchmark2[Benchmark '#2 Dates]&gt;='Control Panel'!$B$14,IF(Benchmark2[Comparable '#3 Date Check]="Pass",Benchmark2[Benchmark '#2 Price])))</f>
        <v>#DIV/0!</v>
      </c>
      <c r="G58" s="14">
        <f t="array" aca="1" ref="G58" ca="1">CORREL(IF(Benchmark2[Benchmark '#2 Dates]&gt;='Control Panel'!$B$15,IF(Benchmark2[Comparable '#3 Date Check]="Pass",Benchmark2[Comparable '#3 Price])),IF(Benchmark2[Benchmark '#2 Dates]&gt;='Control Panel'!$B$15,IF(Benchmark2[Comparable '#3 Date Check]="Pass",Benchmark2[Benchmark '#2 Price])))</f>
        <v>0.23739915302738374</v>
      </c>
      <c r="H58" s="14">
        <f t="array" aca="1" ref="H58" ca="1">CORREL(IF(Benchmark2[Benchmark '#2 Dates]&gt;='Control Panel'!$B$16,IF(Benchmark2[Comparable '#3 Date Check]="Pass",Benchmark2[Comparable '#3 Price])),IF(Benchmark2[Benchmark '#2 Dates]&gt;='Control Panel'!$B$16,IF(Benchmark2[Comparable '#3 Date Check]="Pass",Benchmark2[Benchmark '#2 Price])))</f>
        <v>2.4709308085686518E-3</v>
      </c>
      <c r="I58" s="14">
        <f t="array" aca="1" ref="I58" ca="1">CORREL(IF(Benchmark2[Benchmark '#2 Dates]&gt;='Control Panel'!$B$17,IF(Benchmark2[Comparable '#3 Date Check]="Pass",Benchmark2[Comparable '#3 Price])),IF(Benchmark2[Benchmark '#2 Dates]&gt;='Control Panel'!$B$17,IF(Benchmark2[Comparable '#3 Date Check]="Pass",Benchmark2[Benchmark '#2 Price])))</f>
        <v>-0.7498584280424232</v>
      </c>
      <c r="J58" s="15">
        <f t="array" ref="J58">CORREL(IF(Benchmark2[Comparable '#3 Date Check]="Pass",Benchmark2[Comparable '#3 Price]),IF(Benchmark2[Comparable '#3 Date Check]="Pass",Benchmark2[Benchmark '#2 Price]))</f>
        <v>-0.75264115032850465</v>
      </c>
    </row>
    <row r="59" spans="1:10">
      <c r="A59" s="21" t="s">
        <v>46</v>
      </c>
      <c r="B59" s="16" t="e">
        <f t="array" aca="1" ref="B59" ca="1">GEOMEAN(IF(Comp3[Comparable '#3 Dates]&gt;='Control Panel'!$B$10,IF(Comp3[Comparable '#3 Date Check]="Pass",Comp3[Comparable '#3 Geodummy])))-1</f>
        <v>#NUM!</v>
      </c>
      <c r="C59" s="17" t="e">
        <f t="array" aca="1" ref="C59" ca="1">GEOMEAN(IF(Comp3[Comparable '#3 Dates]&gt;='Control Panel'!$B$11,IF(Comp3[Comparable '#3 Date Check]="Pass",Comp3[Comparable '#3 Geodummy])))-1</f>
        <v>#NUM!</v>
      </c>
      <c r="D59" s="17" t="e">
        <f t="array" aca="1" ref="D59" ca="1">GEOMEAN(IF(Comp3[Comparable '#3 Dates]&gt;='Control Panel'!$B$12,IF(Comp3[Comparable '#3 Date Check]="Pass",Comp3[Comparable '#3 Geodummy])))-1</f>
        <v>#NUM!</v>
      </c>
      <c r="E59" s="17" t="e">
        <f t="array" aca="1" ref="E59" ca="1">GEOMEAN(IF(Comp3[Comparable '#3 Dates]&gt;='Control Panel'!$B$13,IF(Comp3[Comparable '#3 Date Check]="Pass",Comp3[Comparable '#3 Geodummy])))-1</f>
        <v>#NUM!</v>
      </c>
      <c r="F59" s="17" t="e">
        <f t="array" aca="1" ref="F59" ca="1">GEOMEAN(IF(Comp3[Comparable '#3 Dates]&gt;='Control Panel'!$B$14,IF(Comp3[Comparable '#3 Date Check]="Pass",Comp3[Comparable '#3 Geodummy])))-1</f>
        <v>#NUM!</v>
      </c>
      <c r="G59" s="17">
        <f t="array" aca="1" ref="G59" ca="1">GEOMEAN(IF(Comp3[Comparable '#3 Dates]&gt;='Control Panel'!$B$15,IF(Comp3[Comparable '#3 Date Check]="Pass",Comp3[Comparable '#3 Geodummy])))-1</f>
        <v>-2.3543447550190555E-3</v>
      </c>
      <c r="H59" s="17">
        <f t="array" aca="1" ref="H59" ca="1">GEOMEAN(IF(Comp3[Comparable '#3 Dates]&gt;='Control Panel'!$B$16,IF(Comp3[Comparable '#3 Date Check]="Pass",Comp3[Comparable '#3 Geodummy])))-1</f>
        <v>1.8152991124487095E-4</v>
      </c>
      <c r="I59" s="17">
        <f t="array" aca="1" ref="I59" ca="1">GEOMEAN(IF(Comp3[Comparable '#3 Dates]&gt;='Control Panel'!$B$17,IF(Comp3[Comparable '#3 Date Check]="Pass",Comp3[Comparable '#3 Geodummy])))-1</f>
        <v>-1.4024130691621117E-3</v>
      </c>
      <c r="J59" s="18">
        <f t="array" ref="J59">GEOMEAN(IF(Comp3[Comparable '#3 Date Check]="Pass",Comp3[Comparable '#3 Geodummy]))-1</f>
        <v>-7.7763627153404347E-4</v>
      </c>
    </row>
    <row r="60" spans="1:10">
      <c r="A60" s="20" t="s">
        <v>47</v>
      </c>
      <c r="B60" s="13" t="e">
        <f t="array" aca="1" ref="B60" ca="1">MEDIAN(IF(Comp3[Comparable '#3 Dates]&gt;='Control Panel'!$B$10,IF(Comp3[Comparable '#3 Date Check]="Pass",Comp3[Comparable '#3 Return])))</f>
        <v>#NUM!</v>
      </c>
      <c r="C60" s="14" t="e">
        <f t="array" aca="1" ref="C60" ca="1">MEDIAN(IF(Comp3[Comparable '#3 Dates]&gt;='Control Panel'!$B$11,IF(Comp3[Comparable '#3 Date Check]="Pass",Comp3[Comparable '#3 Return])))</f>
        <v>#NUM!</v>
      </c>
      <c r="D60" s="14" t="e">
        <f t="array" aca="1" ref="D60" ca="1">MEDIAN(IF(Comp3[Comparable '#3 Dates]&gt;='Control Panel'!$B$12,IF(Comp3[Comparable '#3 Date Check]="Pass",Comp3[Comparable '#3 Return])))</f>
        <v>#NUM!</v>
      </c>
      <c r="E60" s="14" t="e">
        <f t="array" aca="1" ref="E60" ca="1">MEDIAN(IF(Comp3[Comparable '#3 Dates]&gt;='Control Panel'!$B$13,IF(Comp3[Comparable '#3 Date Check]="Pass",Comp3[Comparable '#3 Return])))</f>
        <v>#NUM!</v>
      </c>
      <c r="F60" s="14" t="e">
        <f t="array" aca="1" ref="F60" ca="1">MEDIAN(IF(Comp3[Comparable '#3 Dates]&gt;='Control Panel'!$B$14,IF(Comp3[Comparable '#3 Date Check]="Pass",Comp3[Comparable '#3 Return])))</f>
        <v>#NUM!</v>
      </c>
      <c r="G60" s="14">
        <f t="array" aca="1" ref="G60" ca="1">MEDIAN(IF(Comp3[Comparable '#3 Dates]&gt;='Control Panel'!$B$15,IF(Comp3[Comparable '#3 Date Check]="Pass",Comp3[Comparable '#3 Return])))</f>
        <v>-3.8470218107915016E-4</v>
      </c>
      <c r="H60" s="14">
        <f t="array" aca="1" ref="H60" ca="1">MEDIAN(IF(Comp3[Comparable '#3 Dates]&gt;='Control Panel'!$B$16,IF(Comp3[Comparable '#3 Date Check]="Pass",Comp3[Comparable '#3 Return])))</f>
        <v>-1.259366540294483E-4</v>
      </c>
      <c r="I60" s="14">
        <f t="array" aca="1" ref="I60" ca="1">MEDIAN(IF(Comp3[Comparable '#3 Dates]&gt;='Control Panel'!$B$17,IF(Comp3[Comparable '#3 Date Check]="Pass",Comp3[Comparable '#3 Return])))</f>
        <v>-2.7416038554168144E-4</v>
      </c>
      <c r="J60" s="15">
        <f t="array" ref="J60">MEDIAN(IF(Comp3[Comparable '#3 Date Check]="Pass",Comp3[Comparable '#3 Return]))</f>
        <v>2.6404747444921299E-4</v>
      </c>
    </row>
    <row r="61" spans="1:10">
      <c r="A61" s="21" t="s">
        <v>48</v>
      </c>
      <c r="B61" s="16">
        <f t="array" aca="1" ref="B61" ca="1">(INDEX(Comp3[Comparable '#3 Price],MATCH(MAX(Comp3[Comparable '#3 Dates]),Comp3[Comparable '#3 Dates],0))-INDEX(Comp3[Comparable '#3 Price],MATCH('Control Panel'!$B$10,Comp3[Comparable '#3 Dates],1)))/INDEX(Comp3[Comparable '#3 Price],MATCH(MAX(Comp3[Comparable '#3 Dates]),Comp3[Comparable '#3 Dates],0))</f>
        <v>0</v>
      </c>
      <c r="C61" s="17">
        <f t="array" aca="1" ref="C61" ca="1">(INDEX(Comp3[Comparable '#3 Price],MATCH(MAX(Comp3[Comparable '#3 Dates]),Comp3[Comparable '#3 Dates],0))-INDEX(Comp3[Comparable '#3 Price],MATCH('Control Panel'!$B$11,Comp3[Comparable '#3 Dates],1)))/INDEX(Comp3[Comparable '#3 Price],MATCH(MAX(Comp3[Comparable '#3 Dates]),Comp3[Comparable '#3 Dates],0))</f>
        <v>0</v>
      </c>
      <c r="D61" s="17">
        <f t="array" aca="1" ref="D61" ca="1">(INDEX(Comp3[Comparable '#3 Price],MATCH(MAX(Comp3[Comparable '#3 Dates]),Comp3[Comparable '#3 Dates],0))-INDEX(Comp3[Comparable '#3 Price],MATCH('Control Panel'!$B$12,Comp3[Comparable '#3 Dates],1)))/INDEX(Comp3[Comparable '#3 Price],MATCH(MAX(Comp3[Comparable '#3 Dates]),Comp3[Comparable '#3 Dates],0))</f>
        <v>0</v>
      </c>
      <c r="E61" s="17">
        <f t="array" aca="1" ref="E61" ca="1">(INDEX(Comp3[Comparable '#3 Price],MATCH(MAX(Comp3[Comparable '#3 Dates]),Comp3[Comparable '#3 Dates],0))-INDEX(Comp3[Comparable '#3 Price],MATCH('Control Panel'!$B$13,Comp3[Comparable '#3 Dates],1)))/INDEX(Comp3[Comparable '#3 Price],MATCH(MAX(Comp3[Comparable '#3 Dates]),Comp3[Comparable '#3 Dates],0))</f>
        <v>0</v>
      </c>
      <c r="F61" s="17">
        <f t="array" aca="1" ref="F61" ca="1">(INDEX(Comp3[Comparable '#3 Price],MATCH(MAX(Comp3[Comparable '#3 Dates]),Comp3[Comparable '#3 Dates],0))-INDEX(Comp3[Comparable '#3 Price],MATCH('Control Panel'!$B$14,Comp3[Comparable '#3 Dates],1)))/INDEX(Comp3[Comparable '#3 Price],MATCH(MAX(Comp3[Comparable '#3 Dates]),Comp3[Comparable '#3 Dates],0))</f>
        <v>0</v>
      </c>
      <c r="G61" s="17">
        <f t="array" aca="1" ref="G61" ca="1">(INDEX(Comp3[Comparable '#3 Price],MATCH(MAX(Comp3[Comparable '#3 Dates]),Comp3[Comparable '#3 Dates],0))-INDEX(Comp3[Comparable '#3 Price],MATCH('Control Panel'!$B$15,Comp3[Comparable '#3 Dates],1)))/INDEX(Comp3[Comparable '#3 Price],MATCH(MAX(Comp3[Comparable '#3 Dates]),Comp3[Comparable '#3 Dates],0))</f>
        <v>-0.28064992614475626</v>
      </c>
      <c r="H61" s="17">
        <f t="array" aca="1" ref="H61" ca="1">(INDEX(Comp3[Comparable '#3 Price],MATCH(MAX(Comp3[Comparable '#3 Dates]),Comp3[Comparable '#3 Dates],0))-INDEX(Comp3[Comparable '#3 Price],MATCH('Control Panel'!$B$16,Comp3[Comparable '#3 Dates],1)))/INDEX(Comp3[Comparable '#3 Price],MATCH(MAX(Comp3[Comparable '#3 Dates]),Comp3[Comparable '#3 Dates],0))</f>
        <v>0.18360413589364843</v>
      </c>
      <c r="I61" s="17">
        <f t="array" aca="1" ref="I61" ca="1">(INDEX(Comp3[Comparable '#3 Price],MATCH(MAX(Comp3[Comparable '#3 Dates]),Comp3[Comparable '#3 Dates],0))-INDEX(Comp3[Comparable '#3 Price],MATCH('Control Panel'!$B$17,Comp3[Comparable '#3 Dates],1)))/INDEX(Comp3[Comparable '#3 Price],MATCH(MAX(Comp3[Comparable '#3 Dates]),Comp3[Comparable '#3 Dates],0))</f>
        <v>-1.4088626292466766</v>
      </c>
      <c r="J61" s="18">
        <f t="array" ref="J61">(INDEX(Comp3[Comparable '#3 Price],MATCH(MAX(Comp3[Comparable '#3 Dates]),Comp3[Comparable '#3 Dates],0))-INDEX(Comp3[Comparable '#3 Price],MATCH(MIN(Comp3[Comparable '#3 Dates]),Comp3[Comparable '#3 Dates],1)))/INDEX(Comp3[Comparable '#3 Price],MATCH(MAX(Comp3[Comparable '#3 Dates]),Comp3[Comparable '#3 Dates],0))</f>
        <v>-0.73131462333825681</v>
      </c>
    </row>
    <row r="62" spans="1:10">
      <c r="A62" s="20" t="s">
        <v>49</v>
      </c>
      <c r="B62" s="13" t="e">
        <f t="array" aca="1" ref="B62" ca="1">STDEVA(IF(Comp3[Comparable '#3 Dates]&gt;='Control Panel'!$B$10,IF(Comp3[Comparable '#3 Date Check]="Pass",Comp3[Comparable '#3 Return])))*SQRT('Control Panel'!$C$10)</f>
        <v>#DIV/0!</v>
      </c>
      <c r="C62" s="14" t="e">
        <f t="array" aca="1" ref="C62" ca="1">STDEVA(IF(Comp3[Comparable '#3 Dates]&gt;='Control Panel'!$B$11,IF(Comp3[Comparable '#3 Date Check]="Pass",Comp3[Comparable '#3 Return])))*SQRT('Control Panel'!$C$11)</f>
        <v>#DIV/0!</v>
      </c>
      <c r="D62" s="14" t="e">
        <f t="array" aca="1" ref="D62" ca="1">STDEVA(IF(Comp3[Comparable '#3 Dates]&gt;='Control Panel'!$B$12,IF(Comp3[Comparable '#3 Date Check]="Pass",Comp3[Comparable '#3 Return])))*SQRT('Control Panel'!$C$12)</f>
        <v>#DIV/0!</v>
      </c>
      <c r="E62" s="14" t="e">
        <f t="array" aca="1" ref="E62" ca="1">STDEVA(IF(Comp3[Comparable '#3 Dates]&gt;='Control Panel'!$B$13,IF(Comp3[Comparable '#3 Date Check]="Pass",Comp3[Comparable '#3 Return])))*SQRT('Control Panel'!$C$13)</f>
        <v>#DIV/0!</v>
      </c>
      <c r="F62" s="14" t="e">
        <f t="array" aca="1" ref="F62" ca="1">STDEVA(IF(Comp3[Comparable '#3 Dates]&gt;='Control Panel'!$B$14,IF(Comp3[Comparable '#3 Date Check]="Pass",Comp3[Comparable '#3 Return])))*SQRT('Control Panel'!$C$14)</f>
        <v>#DIV/0!</v>
      </c>
      <c r="G62" s="14">
        <f t="array" aca="1" ref="G62" ca="1">STDEVA(IF(Comp3[Comparable '#3 Dates]&gt;='Control Panel'!$B$15,IF(Comp3[Comparable '#3 Date Check]="Pass",Comp3[Comparable '#3 Return])))*SQRT('Control Panel'!$C$15)</f>
        <v>0.28886060275666181</v>
      </c>
      <c r="H62" s="14">
        <f t="array" aca="1" ref="H62" ca="1">STDEVA(IF(Comp3[Comparable '#3 Dates]&gt;='Control Panel'!$B$16,IF(Comp3[Comparable '#3 Date Check]="Pass",Comp3[Comparable '#3 Return])))*SQRT('Control Panel'!$C$16)</f>
        <v>0.35503776005339788</v>
      </c>
      <c r="I62" s="14">
        <f t="array" aca="1" ref="I62" ca="1">STDEVA(IF(Comp3[Comparable '#3 Dates]&gt;='Control Panel'!$B$17,IF(Comp3[Comparable '#3 Date Check]="Pass",Comp3[Comparable '#3 Return])))*SQRT('Control Panel'!$C$17)</f>
        <v>0.4430627839782233</v>
      </c>
      <c r="J62" s="15">
        <f t="array" ref="J62">STDEVA(IF(Comp3[Comparable '#3 Date Check]="Pass",Comp3[Comparable '#3 Return]))*SQRT('Control Panel'!$C$17)</f>
        <v>0.41362285604852178</v>
      </c>
    </row>
    <row r="63" spans="1:10">
      <c r="A63" s="21" t="s">
        <v>31</v>
      </c>
      <c r="B63" s="16" t="e">
        <f t="array" aca="1" ref="B63" ca="1">KURT(IF(Comp3[Comparable '#3 Dates]&gt;='Control Panel'!$B$10,IF(Comp3[Comparable '#3 Date Check]="Pass",Comp3[Comparable '#3 Return])))</f>
        <v>#DIV/0!</v>
      </c>
      <c r="C63" s="17" t="e">
        <f t="array" aca="1" ref="C63" ca="1">KURT(IF(Comp3[Comparable '#3 Dates]&gt;='Control Panel'!$B$11,IF(Comp3[Comparable '#3 Date Check]="Pass",Comp3[Comparable '#3 Return])))</f>
        <v>#DIV/0!</v>
      </c>
      <c r="D63" s="17" t="e">
        <f t="array" aca="1" ref="D63" ca="1">KURT(IF(Comp3[Comparable '#3 Dates]&gt;='Control Panel'!$B$12,IF(Comp3[Comparable '#3 Date Check]="Pass",Comp3[Comparable '#3 Return])))</f>
        <v>#DIV/0!</v>
      </c>
      <c r="E63" s="17" t="e">
        <f t="array" aca="1" ref="E63" ca="1">KURT(IF(Comp3[Comparable '#3 Dates]&gt;='Control Panel'!$B$13,IF(Comp3[Comparable '#3 Date Check]="Pass",Comp3[Comparable '#3 Return])))</f>
        <v>#DIV/0!</v>
      </c>
      <c r="F63" s="17" t="e">
        <f t="array" aca="1" ref="F63" ca="1">KURT(IF(Comp3[Comparable '#3 Dates]&gt;='Control Panel'!$B$14,IF(Comp3[Comparable '#3 Date Check]="Pass",Comp3[Comparable '#3 Return])))</f>
        <v>#DIV/0!</v>
      </c>
      <c r="G63" s="17">
        <f t="array" aca="1" ref="G63" ca="1">KURT(IF(Comp3[Comparable '#3 Dates]&gt;='Control Panel'!$B$15,IF(Comp3[Comparable '#3 Date Check]="Pass",Comp3[Comparable '#3 Return])))</f>
        <v>4.1606159907137865</v>
      </c>
      <c r="H63" s="17">
        <f t="array" aca="1" ref="H63" ca="1">KURT(IF(Comp3[Comparable '#3 Dates]&gt;='Control Panel'!$B$16,IF(Comp3[Comparable '#3 Date Check]="Pass",Comp3[Comparable '#3 Return])))</f>
        <v>16.19691045166612</v>
      </c>
      <c r="I63" s="17">
        <f t="array" aca="1" ref="I63" ca="1">KURT(IF(Comp3[Comparable '#3 Dates]&gt;='Control Panel'!$B$17,IF(Comp3[Comparable '#3 Date Check]="Pass",Comp3[Comparable '#3 Return])))</f>
        <v>10.06455804776841</v>
      </c>
      <c r="J63" s="18">
        <f t="array" ref="J63">KURT(IF(Comp3[Comparable '#3 Date Check]="Pass",Comp3[Comparable '#3 Return]))</f>
        <v>10.171147560328764</v>
      </c>
    </row>
    <row r="64" spans="1:10">
      <c r="A64" s="20" t="s">
        <v>32</v>
      </c>
      <c r="B64" s="13" t="e">
        <f t="array" aca="1" ref="B64" ca="1">SKEW(IF(Comp3[Comparable '#3 Dates]&gt;='Control Panel'!$B$10,IF(Comp3[Comparable '#3 Date Check]="Pass",Comp3[Comparable '#3 Return])))</f>
        <v>#DIV/0!</v>
      </c>
      <c r="C64" s="14" t="e">
        <f t="array" aca="1" ref="C64" ca="1">SKEW(IF(Comp3[Comparable '#3 Dates]&gt;='Control Panel'!$B$11,IF(Comp3[Comparable '#3 Date Check]="Pass",Comp3[Comparable '#3 Return])))</f>
        <v>#DIV/0!</v>
      </c>
      <c r="D64" s="14" t="e">
        <f t="array" aca="1" ref="D64" ca="1">SKEW(IF(Comp3[Comparable '#3 Dates]&gt;='Control Panel'!$B$12,IF(Comp3[Comparable '#3 Date Check]="Pass",Comp3[Comparable '#3 Return])))</f>
        <v>#DIV/0!</v>
      </c>
      <c r="E64" s="14" t="e">
        <f t="array" aca="1" ref="E64" ca="1">SKEW(IF(Comp3[Comparable '#3 Dates]&gt;='Control Panel'!$B$13,IF(Comp3[Comparable '#3 Date Check]="Pass",Comp3[Comparable '#3 Return])))</f>
        <v>#DIV/0!</v>
      </c>
      <c r="F64" s="14" t="e">
        <f t="array" aca="1" ref="F64" ca="1">SKEW(IF(Comp3[Comparable '#3 Dates]&gt;='Control Panel'!$B$14,IF(Comp3[Comparable '#3 Date Check]="Pass",Comp3[Comparable '#3 Return])))</f>
        <v>#DIV/0!</v>
      </c>
      <c r="G64" s="14">
        <f t="array" aca="1" ref="G64" ca="1">SKEW(IF(Comp3[Comparable '#3 Dates]&gt;='Control Panel'!$B$15,IF(Comp3[Comparable '#3 Date Check]="Pass",Comp3[Comparable '#3 Return])))</f>
        <v>-1.3344372478757525</v>
      </c>
      <c r="H64" s="14">
        <f t="array" aca="1" ref="H64" ca="1">SKEW(IF(Comp3[Comparable '#3 Dates]&gt;='Control Panel'!$B$16,IF(Comp3[Comparable '#3 Date Check]="Pass",Comp3[Comparable '#3 Return])))</f>
        <v>1.7032506402411691</v>
      </c>
      <c r="I64" s="14">
        <f t="array" aca="1" ref="I64" ca="1">SKEW(IF(Comp3[Comparable '#3 Dates]&gt;='Control Panel'!$B$17,IF(Comp3[Comparable '#3 Date Check]="Pass",Comp3[Comparable '#3 Return])))</f>
        <v>-0.13184497529142278</v>
      </c>
      <c r="J64" s="15">
        <f t="array" ref="J64">SKEW(IF(Comp3[Comparable '#3 Date Check]="Pass",Comp3[Comparable '#3 Return]))</f>
        <v>3.2882226877829913E-2</v>
      </c>
    </row>
    <row r="65" spans="1:10">
      <c r="A65" s="21" t="s">
        <v>50</v>
      </c>
      <c r="B65" s="16">
        <f t="array" aca="1" ref="B65" ca="1">MIN(IF(Comp3[Comparable '#3 Dates]&gt;='Control Panel'!$B$10,IF(Comp3[Comparable '#3 Date Check]="Pass",Comp3[Comparable '#3 Return])))</f>
        <v>0</v>
      </c>
      <c r="C65" s="17">
        <f t="array" aca="1" ref="C65" ca="1">MIN(IF(Comp3[Comparable '#3 Dates]&gt;='Control Panel'!$B$11,IF(Comp3[Comparable '#3 Date Check]="Pass",Comp3[Comparable '#3 Return])))</f>
        <v>0</v>
      </c>
      <c r="D65" s="17">
        <f t="array" aca="1" ref="D65" ca="1">MIN(IF(Comp3[Comparable '#3 Dates]&gt;='Control Panel'!$B$12,IF(Comp3[Comparable '#3 Date Check]="Pass",Comp3[Comparable '#3 Return])))</f>
        <v>0</v>
      </c>
      <c r="E65" s="17">
        <f t="array" aca="1" ref="E65" ca="1">MIN(IF(Comp3[Comparable '#3 Dates]&gt;='Control Panel'!$B$13,IF(Comp3[Comparable '#3 Date Check]="Pass",Comp3[Comparable '#3 Return])))</f>
        <v>0</v>
      </c>
      <c r="F65" s="17">
        <f t="array" aca="1" ref="F65" ca="1">MIN(IF(Comp3[Comparable '#3 Dates]&gt;='Control Panel'!$B$14,IF(Comp3[Comparable '#3 Date Check]="Pass",Comp3[Comparable '#3 Return])))</f>
        <v>0</v>
      </c>
      <c r="G65" s="17">
        <f t="array" aca="1" ref="G65" ca="1">MIN(IF(Comp3[Comparable '#3 Dates]&gt;='Control Panel'!$B$15,IF(Comp3[Comparable '#3 Date Check]="Pass",Comp3[Comparable '#3 Return])))</f>
        <v>-8.6819625337707207E-2</v>
      </c>
      <c r="H65" s="17">
        <f t="array" aca="1" ref="H65" ca="1">MIN(IF(Comp3[Comparable '#3 Dates]&gt;='Control Panel'!$B$16,IF(Comp3[Comparable '#3 Date Check]="Pass",Comp3[Comparable '#3 Return])))</f>
        <v>-8.6819625337707207E-2</v>
      </c>
      <c r="I65" s="17">
        <f t="array" aca="1" ref="I65" ca="1">MIN(IF(Comp3[Comparable '#3 Dates]&gt;='Control Panel'!$B$17,IF(Comp3[Comparable '#3 Date Check]="Pass",Comp3[Comparable '#3 Return])))</f>
        <v>-0.2033520867464243</v>
      </c>
      <c r="J65" s="18">
        <f t="array" ref="J65">MIN(IF(Comp3[Comparable '#3 Date Check]="Pass",Comp3[Comparable '#3 Return]))</f>
        <v>-0.2033520867464243</v>
      </c>
    </row>
    <row r="66" spans="1:10">
      <c r="A66" s="20" t="s">
        <v>51</v>
      </c>
      <c r="B66" s="13">
        <f t="array" aca="1" ref="B66" ca="1">MAX(IF(Comp3[Comparable '#3 Dates]&gt;='Control Panel'!$B$10,IF(Comp3[Comparable '#3 Date Check]="Pass",Comp3[Comparable '#3 Return])))</f>
        <v>0</v>
      </c>
      <c r="C66" s="14">
        <f t="array" aca="1" ref="C66" ca="1">MAX(IF(Comp3[Comparable '#3 Dates]&gt;='Control Panel'!$B$11,IF(Comp3[Comparable '#3 Date Check]="Pass",Comp3[Comparable '#3 Return])))</f>
        <v>0</v>
      </c>
      <c r="D66" s="14">
        <f t="array" aca="1" ref="D66" ca="1">MAX(IF(Comp3[Comparable '#3 Dates]&gt;='Control Panel'!$B$12,IF(Comp3[Comparable '#3 Date Check]="Pass",Comp3[Comparable '#3 Return])))</f>
        <v>0</v>
      </c>
      <c r="E66" s="14">
        <f t="array" aca="1" ref="E66" ca="1">MAX(IF(Comp3[Comparable '#3 Dates]&gt;='Control Panel'!$B$13,IF(Comp3[Comparable '#3 Date Check]="Pass",Comp3[Comparable '#3 Return])))</f>
        <v>0</v>
      </c>
      <c r="F66" s="14">
        <f t="array" aca="1" ref="F66" ca="1">MAX(IF(Comp3[Comparable '#3 Dates]&gt;='Control Panel'!$B$14,IF(Comp3[Comparable '#3 Date Check]="Pass",Comp3[Comparable '#3 Return])))</f>
        <v>0</v>
      </c>
      <c r="G66" s="14">
        <f t="array" aca="1" ref="G66" ca="1">MAX(IF(Comp3[Comparable '#3 Dates]&gt;='Control Panel'!$B$15,IF(Comp3[Comparable '#3 Date Check]="Pass",Comp3[Comparable '#3 Return])))</f>
        <v>3.0499426544526472E-2</v>
      </c>
      <c r="H66" s="14">
        <f t="array" aca="1" ref="H66" ca="1">MAX(IF(Comp3[Comparable '#3 Dates]&gt;='Control Panel'!$B$16,IF(Comp3[Comparable '#3 Date Check]="Pass",Comp3[Comparable '#3 Return])))</f>
        <v>0.19357995385637314</v>
      </c>
      <c r="I66" s="14">
        <f t="array" aca="1" ref="I66" ca="1">MAX(IF(Comp3[Comparable '#3 Dates]&gt;='Control Panel'!$B$17,IF(Comp3[Comparable '#3 Date Check]="Pass",Comp3[Comparable '#3 Return])))</f>
        <v>0.19357995385637314</v>
      </c>
      <c r="J66" s="15">
        <f t="array" ref="J66">MAX(IF(Comp3[Comparable '#3 Date Check]="Pass",Comp3[Comparable '#3 Return]))</f>
        <v>0.19357995385637314</v>
      </c>
    </row>
    <row r="67" spans="1:10">
      <c r="A67" s="21" t="s">
        <v>52</v>
      </c>
      <c r="B67" s="16" t="e" cm="1">
        <f t="array" aca="1" ref="B67" ca="1">AVERAGE(IF(Comp3[Comparable '#3 Dates]&gt;='Control Panel'!$B$10,IF(Comp3[Comparable '#3 Date Check]="Pass",Comp3[Comparable '#3 Drawdown])))</f>
        <v>#DIV/0!</v>
      </c>
      <c r="C67" s="17" t="e" cm="1">
        <f t="array" aca="1" ref="C67" ca="1">AVERAGE(IF(Comp3[Comparable '#3 Dates]&gt;='Control Panel'!$B$11,IF(Comp3[Comparable '#3 Date Check]="Pass",Comp3[Comparable '#3 Drawdown])))</f>
        <v>#DIV/0!</v>
      </c>
      <c r="D67" s="17" t="e" cm="1">
        <f t="array" aca="1" ref="D67" ca="1">AVERAGE(IF(Comp3[Comparable '#3 Dates]&gt;='Control Panel'!$B$12,IF(Comp3[Comparable '#3 Date Check]="Pass",Comp3[Comparable '#3 Drawdown])))</f>
        <v>#DIV/0!</v>
      </c>
      <c r="E67" s="17" t="e" cm="1">
        <f t="array" aca="1" ref="E67" ca="1">AVERAGE(IF(Comp3[Comparable '#3 Dates]&gt;='Control Panel'!$B$13,IF(Comp3[Comparable '#3 Date Check]="Pass",Comp3[Comparable '#3 Drawdown])))</f>
        <v>#DIV/0!</v>
      </c>
      <c r="F67" s="17" t="e" cm="1">
        <f t="array" aca="1" ref="F67" ca="1">AVERAGE(IF(Comp3[Comparable '#3 Dates]&gt;='Control Panel'!$B$14,IF(Comp3[Comparable '#3 Date Check]="Pass",Comp3[Comparable '#3 Drawdown])))</f>
        <v>#DIV/0!</v>
      </c>
      <c r="G67" s="17" cm="1">
        <f t="array" aca="1" ref="G67" ca="1">AVERAGE(IF(Comp3[Comparable '#3 Dates]&gt;='Control Panel'!$B$15,IF(Comp3[Comparable '#3 Date Check]="Pass",Comp3[Comparable '#3 Drawdown])))</f>
        <v>-103.10561403508777</v>
      </c>
      <c r="H67" s="17" cm="1">
        <f t="array" aca="1" ref="H67" ca="1">AVERAGE(IF(Comp3[Comparable '#3 Dates]&gt;='Control Panel'!$B$16,IF(Comp3[Comparable '#3 Date Check]="Pass",Comp3[Comparable '#3 Drawdown])))</f>
        <v>-114.88731506849325</v>
      </c>
      <c r="I67" s="17" cm="1">
        <f t="array" aca="1" ref="I67" ca="1">AVERAGE(IF(Comp3[Comparable '#3 Dates]&gt;='Control Panel'!$B$17,IF(Comp3[Comparable '#3 Date Check]="Pass",Comp3[Comparable '#3 Drawdown])))</f>
        <v>-98.612186421173874</v>
      </c>
      <c r="J67" s="18" cm="1">
        <f t="array" ref="J67">AVERAGE(IF(Comp3[Comparable '#3 Date Check]="Pass",Comp3[Comparable '#3 Drawdown]))</f>
        <v>-74.44417661097863</v>
      </c>
    </row>
    <row r="68" spans="1:10">
      <c r="A68" s="20" t="s">
        <v>53</v>
      </c>
      <c r="B68" s="89" t="e">
        <f t="array" aca="1" ref="B68" ca="1">AVERAGE(IF(Comp3[Comparable '#3 Dates]&gt;='Control Panel'!$B$10,IF(Comp3[Comparable '#3 Date Check]="Pass",Comp3[Comparable '#3 Drawdown Recovery2])))</f>
        <v>#DIV/0!</v>
      </c>
      <c r="C68" s="90" t="e">
        <f t="array" aca="1" ref="C68" ca="1">AVERAGE(IF(Comp3[Comparable '#3 Dates]&gt;='Control Panel'!$B$11,IF(Comp3[Comparable '#3 Date Check]="Pass",Comp3[Comparable '#3 Drawdown Recovery2])))</f>
        <v>#DIV/0!</v>
      </c>
      <c r="D68" s="90" t="e">
        <f t="array" aca="1" ref="D68" ca="1">AVERAGE(IF(Comp3[Comparable '#3 Dates]&gt;='Control Panel'!$B$12,IF(Comp3[Comparable '#3 Date Check]="Pass",Comp3[Comparable '#3 Drawdown Recovery2])))</f>
        <v>#DIV/0!</v>
      </c>
      <c r="E68" s="90" t="e">
        <f t="array" aca="1" ref="E68" ca="1">AVERAGE(IF(Comp3[Comparable '#3 Dates]&gt;='Control Panel'!$B$13,IF(Comp3[Comparable '#3 Date Check]="Pass",Comp3[Comparable '#3 Drawdown Recovery2])))</f>
        <v>#DIV/0!</v>
      </c>
      <c r="F68" s="90" t="e">
        <f t="array" aca="1" ref="F68" ca="1">AVERAGE(IF(Comp3[Comparable '#3 Dates]&gt;='Control Panel'!$B$14,IF(Comp3[Comparable '#3 Date Check]="Pass",Comp3[Comparable '#3 Drawdown Recovery2])))</f>
        <v>#DIV/0!</v>
      </c>
      <c r="G68" s="90">
        <f t="array" aca="1" ref="G68" ca="1">AVERAGE(IF(Comp3[Comparable '#3 Dates]&gt;='Control Panel'!$B$15,IF(Comp3[Comparable '#3 Date Check]="Pass",Comp3[Comparable '#3 Drawdown Recovery2])))</f>
        <v>-0.5483174539198451</v>
      </c>
      <c r="H68" s="90">
        <f t="array" aca="1" ref="H68" ca="1">AVERAGE(IF(Comp3[Comparable '#3 Dates]&gt;='Control Panel'!$B$16,IF(Comp3[Comparable '#3 Date Check]="Pass",Comp3[Comparable '#3 Drawdown Recovery2])))</f>
        <v>-0.61097274552485181</v>
      </c>
      <c r="I68" s="90">
        <f t="array" aca="1" ref="I68" ca="1">AVERAGE(IF(Comp3[Comparable '#3 Dates]&gt;='Control Panel'!$B$17,IF(Comp3[Comparable '#3 Date Check]="Pass",Comp3[Comparable '#3 Drawdown Recovery2])))</f>
        <v>-0.52442132748975645</v>
      </c>
      <c r="J68" s="91">
        <f t="array" ref="J68">AVERAGE(IF(Comp3[Comparable '#3 Date Check]="Pass",Comp3[Comparable '#3 Drawdown Recovery2]))</f>
        <v>-0.39954895264058049</v>
      </c>
    </row>
    <row r="69" spans="1:10">
      <c r="A69" s="21" t="s">
        <v>54</v>
      </c>
      <c r="B69" s="16" t="e">
        <f t="array" aca="1" ref="B69" ca="1">(AVERAGE(IF(Benchmark1[Benchmark '#1 Dates]&gt;='Control Panel'!$B$10,IF(Benchmark1[Comparable '#3 Date Check]="Pass",Benchmark1[Comparable '#3 Return])))-AVERAGE(IF(Benchmark1[Benchmark '#1 Dates]&gt;='Control Panel'!$B$10,IF(Benchmark1[Comparable '#3 Date Check]="Pass",Benchmark1[Benchmark '#1 Return]))))/_xlfn.STDEV.P(IF(Benchmark1[Benchmark '#1 Dates]&gt;='Control Panel'!$B$10,IF(Benchmark1[Comparable '#3 Date Check]="Pass",Benchmark1[Difference of Comparable '#3 and Benchmark '#1 Returns])))</f>
        <v>#DIV/0!</v>
      </c>
      <c r="C69" s="17" t="e">
        <f t="array" aca="1" ref="C69" ca="1">(AVERAGE(IF(Benchmark1[Benchmark '#1 Dates]&gt;='Control Panel'!$B$11,IF(Benchmark1[Comparable '#3 Date Check]="Pass",Benchmark1[Comparable '#3 Return])))-AVERAGE(IF(Benchmark1[Benchmark '#1 Dates]&gt;='Control Panel'!$B$11,IF(Benchmark1[Comparable '#3 Date Check]="Pass",Benchmark1[Benchmark '#1 Return]))))/_xlfn.STDEV.P(IF(Benchmark1[Benchmark '#1 Dates]&gt;='Control Panel'!$B$11,IF(Benchmark1[Comparable '#3 Date Check]="Pass",Benchmark1[Difference of Comparable '#3 and Benchmark '#1 Returns])))</f>
        <v>#DIV/0!</v>
      </c>
      <c r="D69" s="17" t="e">
        <f t="array" aca="1" ref="D69" ca="1">(AVERAGE(IF(Benchmark1[Benchmark '#1 Dates]&gt;='Control Panel'!$B$12,IF(Benchmark1[Comparable '#3 Date Check]="Pass",Benchmark1[Comparable '#3 Return])))-AVERAGE(IF(Benchmark1[Benchmark '#1 Dates]&gt;='Control Panel'!$B$12,IF(Benchmark1[Comparable '#3 Date Check]="Pass",Benchmark1[Benchmark '#1 Return]))))/_xlfn.STDEV.P(IF(Benchmark1[Benchmark '#1 Dates]&gt;='Control Panel'!$B$12,IF(Benchmark1[Comparable '#3 Date Check]="Pass",Benchmark1[Difference of Comparable '#3 and Benchmark '#1 Returns])))</f>
        <v>#DIV/0!</v>
      </c>
      <c r="E69" s="17" t="e">
        <f t="array" aca="1" ref="E69" ca="1">(AVERAGE(IF(Benchmark1[Benchmark '#1 Dates]&gt;='Control Panel'!$B$13,IF(Benchmark1[Comparable '#3 Date Check]="Pass",Benchmark1[Comparable '#3 Return])))-AVERAGE(IF(Benchmark1[Benchmark '#1 Dates]&gt;='Control Panel'!$B$13,IF(Benchmark1[Comparable '#3 Date Check]="Pass",Benchmark1[Benchmark '#1 Return]))))/_xlfn.STDEV.P(IF(Benchmark1[Benchmark '#1 Dates]&gt;='Control Panel'!$B$13,IF(Benchmark1[Comparable '#3 Date Check]="Pass",Benchmark1[Difference of Comparable '#3 and Benchmark '#1 Returns])))</f>
        <v>#DIV/0!</v>
      </c>
      <c r="F69" s="17" t="e">
        <f t="array" aca="1" ref="F69" ca="1">(AVERAGE(IF(Benchmark1[Benchmark '#1 Dates]&gt;='Control Panel'!$B$14,IF(Benchmark1[Comparable '#3 Date Check]="Pass",Benchmark1[Comparable '#3 Return])))-AVERAGE(IF(Benchmark1[Benchmark '#1 Dates]&gt;='Control Panel'!$B$14,IF(Benchmark1[Comparable '#3 Date Check]="Pass",Benchmark1[Benchmark '#1 Return]))))/_xlfn.STDEV.P(IF(Benchmark1[Benchmark '#1 Dates]&gt;='Control Panel'!$B$14,IF(Benchmark1[Comparable '#3 Date Check]="Pass",Benchmark1[Difference of Comparable '#3 and Benchmark '#1 Returns])))</f>
        <v>#DIV/0!</v>
      </c>
      <c r="G69" s="17">
        <f t="array" aca="1" ref="G69" ca="1">(AVERAGE(IF(Benchmark1[Benchmark '#1 Dates]&gt;='Control Panel'!$B$15,IF(Benchmark1[Comparable '#3 Date Check]="Pass",Benchmark1[Comparable '#3 Return])))-AVERAGE(IF(Benchmark1[Benchmark '#1 Dates]&gt;='Control Panel'!$B$15,IF(Benchmark1[Comparable '#3 Date Check]="Pass",Benchmark1[Benchmark '#1 Return]))))/_xlfn.STDEV.P(IF(Benchmark1[Benchmark '#1 Dates]&gt;='Control Panel'!$B$15,IF(Benchmark1[Comparable '#3 Date Check]="Pass",Benchmark1[Difference of Comparable '#3 and Benchmark '#1 Returns])))</f>
        <v>-0.17509801080780427</v>
      </c>
      <c r="H69" s="17">
        <f t="array" aca="1" ref="H69" ca="1">(AVERAGE(IF(Benchmark1[Benchmark '#1 Dates]&gt;='Control Panel'!$B$16,IF(Benchmark1[Comparable '#3 Date Check]="Pass",Benchmark1[Comparable '#3 Return])))-AVERAGE(IF(Benchmark1[Benchmark '#1 Dates]&gt;='Control Panel'!$B$16,IF(Benchmark1[Comparable '#3 Date Check]="Pass",Benchmark1[Benchmark '#1 Return]))))/_xlfn.STDEV.P(IF(Benchmark1[Benchmark '#1 Dates]&gt;='Control Panel'!$B$16,IF(Benchmark1[Comparable '#3 Date Check]="Pass",Benchmark1[Difference of Comparable '#3 and Benchmark '#1 Returns])))</f>
        <v>2.3812766318116227E-2</v>
      </c>
      <c r="I69" s="17">
        <f t="array" aca="1" ref="I69" ca="1">(AVERAGE(IF(Benchmark1[Benchmark '#1 Dates]&gt;='Control Panel'!$B$17,IF(Benchmark1[Comparable '#3 Date Check]="Pass",Benchmark1[Comparable '#3 Return])))-AVERAGE(IF(Benchmark1[Benchmark '#1 Dates]&gt;='Control Panel'!$B$17,IF(Benchmark1[Comparable '#3 Date Check]="Pass",Benchmark1[Benchmark '#1 Return]))))/_xlfn.STDEV.P(IF(Benchmark1[Benchmark '#1 Dates]&gt;='Control Panel'!$B$17,IF(Benchmark1[Comparable '#3 Date Check]="Pass",Benchmark1[Difference of Comparable '#3 and Benchmark '#1 Returns])))</f>
        <v>-5.3787279887240406E-2</v>
      </c>
      <c r="J69" s="18">
        <f t="array" ref="J69">(AVERAGE(IF(Benchmark1[Comparable '#3 Date Check]="Pass",Benchmark1[Comparable '#3 Return]))-AVERAGE(IF(Benchmark1[Comparable '#3 Date Check]="Pass",Benchmark1[Benchmark '#1 Return])))/_xlfn.STDEV.P(IF(Benchmark1[Comparable '#3 Date Check]="Pass",Benchmark1[Difference of Comparable '#3 and Benchmark '#1 Returns]))</f>
        <v>-3.5237205141322822E-2</v>
      </c>
    </row>
    <row r="70" spans="1:10">
      <c r="A70" s="20" t="s">
        <v>55</v>
      </c>
      <c r="B70" s="13" cm="1">
        <f t="array" aca="1" ref="B70" ca="1">MAX(IF(Comp3[Comparable '#3 Dates]&gt;='Control Panel'!$B$10,IF(Comp3[Comparable '#3 Date Check]="Pass",Comp3[Comparable '#3 Drawdown Recovery Length])))</f>
        <v>0</v>
      </c>
      <c r="C70" s="14" cm="1">
        <f t="array" aca="1" ref="C70" ca="1">MAX(IF(Comp3[Comparable '#3 Dates]&gt;='Control Panel'!$B$11,IF(Comp3[Comparable '#3 Date Check]="Pass",Comp3[Comparable '#3 Drawdown Recovery Length])))</f>
        <v>0</v>
      </c>
      <c r="D70" s="14" cm="1">
        <f t="array" aca="1" ref="D70" ca="1">MAX(IF(Comp3[Comparable '#3 Dates]&gt;='Control Panel'!$B$12,IF(Comp3[Comparable '#3 Date Check]="Pass",Comp3[Comparable '#3 Drawdown Recovery Length])))</f>
        <v>0</v>
      </c>
      <c r="E70" s="14" cm="1">
        <f t="array" aca="1" ref="E70" ca="1">MAX(IF(Comp3[Comparable '#3 Dates]&gt;='Control Panel'!$B$13,IF(Comp3[Comparable '#3 Date Check]="Pass",Comp3[Comparable '#3 Drawdown Recovery Length])))</f>
        <v>0</v>
      </c>
      <c r="F70" s="14" cm="1">
        <f t="array" aca="1" ref="F70" ca="1">MAX(IF(Comp3[Comparable '#3 Dates]&gt;='Control Panel'!$B$14,IF(Comp3[Comparable '#3 Date Check]="Pass",Comp3[Comparable '#3 Drawdown Recovery Length])))</f>
        <v>0</v>
      </c>
      <c r="G70" s="14" cm="1">
        <f t="array" aca="1" ref="G70" ca="1">MAX(IF(Comp3[Comparable '#3 Dates]&gt;='Control Panel'!$B$15,IF(Comp3[Comparable '#3 Date Check]="Pass",Comp3[Comparable '#3 Drawdown Recovery Length])))</f>
        <v>996</v>
      </c>
      <c r="H70" s="14" cm="1">
        <f t="array" aca="1" ref="H70" ca="1">MAX(IF(Comp3[Comparable '#3 Dates]&gt;='Control Panel'!$B$16,IF(Comp3[Comparable '#3 Date Check]="Pass",Comp3[Comparable '#3 Drawdown Recovery Length])))</f>
        <v>996</v>
      </c>
      <c r="I70" s="14" cm="1">
        <f t="array" aca="1" ref="I70" ca="1">MAX(IF(Comp3[Comparable '#3 Dates]&gt;='Control Panel'!$B$17,IF(Comp3[Comparable '#3 Date Check]="Pass",Comp3[Comparable '#3 Drawdown Recovery Length])))</f>
        <v>996</v>
      </c>
      <c r="J70" s="15" cm="1">
        <f t="array" ref="J70">MAX(IF(Comp3[Comparable '#3 Date Check]="Pass",Comp3[Comparable '#3 Drawdown Recovery Length]))</f>
        <v>996</v>
      </c>
    </row>
    <row r="71" spans="1:10">
      <c r="A71" s="21" t="s">
        <v>56</v>
      </c>
      <c r="B71" s="83" cm="1">
        <f t="array" aca="1" ref="B71" ca="1">MIN(IF(Comp3[Comparable '#3 Dates]&gt;='Control Panel'!$B$10,IF(Comp3[Comparable '#3 Date Check]="Pass",Comp3[Comparable '#3 Drawdown Recovery2])))</f>
        <v>0</v>
      </c>
      <c r="C71" s="84" cm="1">
        <f t="array" aca="1" ref="C71" ca="1">MIN(IF(Comp3[Comparable '#3 Dates]&gt;='Control Panel'!$B$11,IF(Comp3[Comparable '#3 Date Check]="Pass",Comp3[Comparable '#3 Drawdown Recovery2])))</f>
        <v>0</v>
      </c>
      <c r="D71" s="84" cm="1">
        <f t="array" aca="1" ref="D71" ca="1">MIN(IF(Comp3[Comparable '#3 Dates]&gt;='Control Panel'!$B$12,IF(Comp3[Comparable '#3 Date Check]="Pass",Comp3[Comparable '#3 Drawdown Recovery2])))</f>
        <v>0</v>
      </c>
      <c r="E71" s="84" cm="1">
        <f t="array" aca="1" ref="E71" ca="1">MIN(IF(Comp3[Comparable '#3 Dates]&gt;='Control Panel'!$B$13,IF(Comp3[Comparable '#3 Date Check]="Pass",Comp3[Comparable '#3 Drawdown Recovery2])))</f>
        <v>0</v>
      </c>
      <c r="F71" s="84" cm="1">
        <f t="array" aca="1" ref="F71" ca="1">MIN(IF(Comp3[Comparable '#3 Dates]&gt;='Control Panel'!$B$14,IF(Comp3[Comparable '#3 Date Check]="Pass",Comp3[Comparable '#3 Drawdown Recovery2])))</f>
        <v>0</v>
      </c>
      <c r="G71" s="84" cm="1">
        <f t="array" aca="1" ref="G71" ca="1">MIN(IF(Comp3[Comparable '#3 Dates]&gt;='Control Panel'!$B$15,IF(Comp3[Comparable '#3 Date Check]="Pass",Comp3[Comparable '#3 Drawdown Recovery2])))</f>
        <v>-0.64050202084662844</v>
      </c>
      <c r="H71" s="84" cm="1">
        <f t="array" aca="1" ref="H71" ca="1">MIN(IF(Comp3[Comparable '#3 Dates]&gt;='Control Panel'!$B$16,IF(Comp3[Comparable '#3 Date Check]="Pass",Comp3[Comparable '#3 Drawdown Recovery2])))</f>
        <v>-0.73516273133375887</v>
      </c>
      <c r="I71" s="84" cm="1">
        <f t="array" aca="1" ref="I71" ca="1">MIN(IF(Comp3[Comparable '#3 Dates]&gt;='Control Panel'!$B$17,IF(Comp3[Comparable '#3 Date Check]="Pass",Comp3[Comparable '#3 Drawdown Recovery2])))</f>
        <v>-0.73516273133375887</v>
      </c>
      <c r="J71" s="85" cm="1">
        <f t="array" ref="J71">MIN(IF(Comp3[Comparable '#3 Date Check]="Pass",Comp3[Comparable '#3 Drawdown Recovery2]))</f>
        <v>-0.73516273133375887</v>
      </c>
    </row>
  </sheetData>
  <mergeCells count="8">
    <mergeCell ref="B55:F55"/>
    <mergeCell ref="G55:J55"/>
    <mergeCell ref="G1:J1"/>
    <mergeCell ref="B1:F1"/>
    <mergeCell ref="B19:F19"/>
    <mergeCell ref="G19:J19"/>
    <mergeCell ref="B37:F37"/>
    <mergeCell ref="G37:J37"/>
  </mergeCells>
  <phoneticPr fontId="8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D60252-373F-43C0-9001-D8E156F31303}">
  <sheetPr codeName="Sheet3">
    <tabColor theme="1"/>
  </sheetPr>
  <dimension ref="A1:R1259"/>
  <sheetViews>
    <sheetView tabSelected="1" zoomScaleNormal="100" workbookViewId="0">
      <pane ySplit="1" topLeftCell="A2" activePane="bottomLeft" state="frozen"/>
      <selection pane="bottomLeft" activeCell="D13" sqref="D13"/>
    </sheetView>
  </sheetViews>
  <sheetFormatPr defaultColWidth="8.85546875" defaultRowHeight="15"/>
  <cols>
    <col min="1" max="1" width="16.140625" style="5" bestFit="1" customWidth="1"/>
    <col min="2" max="2" width="16" style="1" bestFit="1" customWidth="1"/>
    <col min="3" max="4" width="16.140625" style="1" bestFit="1" customWidth="1"/>
    <col min="5" max="5" width="15.140625" style="1" bestFit="1" customWidth="1"/>
    <col min="6" max="6" width="15.140625" style="80" customWidth="1"/>
    <col min="7" max="7" width="21.28515625" style="77" bestFit="1" customWidth="1"/>
    <col min="8" max="8" width="20.28515625" bestFit="1" customWidth="1"/>
  </cols>
  <sheetData>
    <row r="1" spans="1:18" s="2" customFormat="1" ht="36" customHeight="1" thickBot="1">
      <c r="A1" s="3" t="s">
        <v>42</v>
      </c>
      <c r="B1" s="3" t="s">
        <v>60</v>
      </c>
      <c r="C1" s="8" t="s">
        <v>61</v>
      </c>
      <c r="D1" s="8" t="s">
        <v>62</v>
      </c>
      <c r="E1" s="8" t="s">
        <v>63</v>
      </c>
      <c r="F1" s="79" t="s">
        <v>64</v>
      </c>
      <c r="G1" s="76" t="s">
        <v>65</v>
      </c>
      <c r="H1" s="7" t="s">
        <v>66</v>
      </c>
      <c r="I1" s="2" t="s">
        <v>67</v>
      </c>
      <c r="K1" s="73" t="s">
        <v>68</v>
      </c>
    </row>
    <row r="2" spans="1:18">
      <c r="A2" s="96">
        <v>43286</v>
      </c>
      <c r="B2" s="101">
        <v>17.190000000000001</v>
      </c>
      <c r="C2" s="4" t="str">
        <f>IFERROR(IF(B2="","-",LN(B2/B1)),"-")</f>
        <v>-</v>
      </c>
      <c r="D2" s="4" t="str">
        <f>IFERROR(Target1[[#This Row],[Target Return]]+1,"-")</f>
        <v>-</v>
      </c>
      <c r="E2" s="6">
        <f>B2-MAX($B$2:B2)</f>
        <v>0</v>
      </c>
      <c r="F2" s="80">
        <f t="shared" ref="F2:F65" si="0">IF(E2=0,0,F1+1)</f>
        <v>0</v>
      </c>
      <c r="G2" s="77">
        <f>Target1[[#This Row],[Target Drawdown]]/MAX($B$2:B2)</f>
        <v>0</v>
      </c>
      <c r="H2" s="1" t="str">
        <f>IF(SUM(COUNTIF(Benchmark1[Benchmark '#1 Dates],Target1[[#This Row],[Target Dates]]),COUNTIF(Benchmark2[Benchmark '#2 Dates],Target1[[#This Row],[Target Dates]]))=2,"Pass","Fail")</f>
        <v>Pass</v>
      </c>
      <c r="I2" s="78">
        <f t="shared" ref="I2:I65" si="1">$E$2+E2</f>
        <v>0</v>
      </c>
      <c r="K2" s="72">
        <f>Target1[[#This Row],[Target Price]]/$B$2*100</f>
        <v>100</v>
      </c>
      <c r="N2">
        <f>IF(E2=0,B2,N2-E2)</f>
        <v>17.190000000000001</v>
      </c>
      <c r="R2">
        <f>B3/Target1[[#This Row],[Target Price]]-1</f>
        <v>1.105293775450833E-2</v>
      </c>
    </row>
    <row r="3" spans="1:18">
      <c r="A3" s="96">
        <v>43287</v>
      </c>
      <c r="B3" s="101">
        <v>17.38</v>
      </c>
      <c r="C3" s="4">
        <f t="shared" ref="C3:C65" si="2">IFERROR(IF(B3="","-",LN(B3/B2)),"-")</f>
        <v>1.0992300442487987E-2</v>
      </c>
      <c r="D3" s="4">
        <f>IFERROR(Target1[[#This Row],[Target Return]]+1,"-")</f>
        <v>1.0109923004424879</v>
      </c>
      <c r="E3" s="6">
        <f>B3-MAX($B$2:B3)</f>
        <v>0</v>
      </c>
      <c r="F3" s="80">
        <f t="shared" si="0"/>
        <v>0</v>
      </c>
      <c r="G3" s="77">
        <f>Target1[[#This Row],[Target Drawdown]]/MAX($B$2:B3)</f>
        <v>0</v>
      </c>
      <c r="H3" s="1" t="str">
        <f>IF(SUM(COUNTIF(Benchmark1[Benchmark '#1 Dates],Target1[[#This Row],[Target Dates]]),COUNTIF(Benchmark2[Benchmark '#2 Dates],Target1[[#This Row],[Target Dates]]))=2,"Pass","Fail")</f>
        <v>Pass</v>
      </c>
      <c r="I3" s="78">
        <f t="shared" si="1"/>
        <v>0</v>
      </c>
      <c r="K3" s="72">
        <f>Target1[[#This Row],[Target Price]]/$B$2*100</f>
        <v>101.10529377545083</v>
      </c>
      <c r="N3">
        <f>IF(Target1[[#This Row],[Target Drawdown]]=0,Target1[[#This Row],[Target Price]],N3-Target1[[#This Row],[Target Drawdown]])</f>
        <v>17.38</v>
      </c>
      <c r="R3">
        <f>B4/Target1[[#This Row],[Target Price]]-1</f>
        <v>2.7617951668584606E-2</v>
      </c>
    </row>
    <row r="4" spans="1:18">
      <c r="A4" s="96">
        <v>43290</v>
      </c>
      <c r="B4" s="101">
        <v>17.86</v>
      </c>
      <c r="C4" s="4">
        <f t="shared" si="2"/>
        <v>2.7243455611107033E-2</v>
      </c>
      <c r="D4" s="4">
        <f>IFERROR(Target1[[#This Row],[Target Return]]+1,"-")</f>
        <v>1.027243455611107</v>
      </c>
      <c r="E4" s="6">
        <f>B4-MAX($B$2:B4)</f>
        <v>0</v>
      </c>
      <c r="F4" s="80">
        <f t="shared" si="0"/>
        <v>0</v>
      </c>
      <c r="G4" s="77">
        <f>Target1[[#This Row],[Target Drawdown]]/MAX($B$2:B4)</f>
        <v>0</v>
      </c>
      <c r="H4" s="1" t="str">
        <f>IF(SUM(COUNTIF(Benchmark1[Benchmark '#1 Dates],Target1[[#This Row],[Target Dates]]),COUNTIF(Benchmark2[Benchmark '#2 Dates],Target1[[#This Row],[Target Dates]]))=2,"Pass","Fail")</f>
        <v>Pass</v>
      </c>
      <c r="I4" s="78">
        <f t="shared" si="1"/>
        <v>0</v>
      </c>
      <c r="K4" s="72">
        <f>Target1[[#This Row],[Target Price]]/$B$2*100</f>
        <v>103.89761489237928</v>
      </c>
      <c r="N4">
        <f>IF(Target1[[#This Row],[Target Drawdown]]=0,Target1[[#This Row],[Target Price]],N4-Target1[[#This Row],[Target Drawdown]])</f>
        <v>17.86</v>
      </c>
      <c r="R4">
        <f>B5/Target1[[#This Row],[Target Price]]-1</f>
        <v>5.5991041433389732E-4</v>
      </c>
    </row>
    <row r="5" spans="1:18">
      <c r="A5" s="96">
        <v>43291</v>
      </c>
      <c r="B5" s="101">
        <v>17.87</v>
      </c>
      <c r="C5" s="4">
        <f t="shared" si="2"/>
        <v>5.597537229838751E-4</v>
      </c>
      <c r="D5" s="4">
        <f>IFERROR(Target1[[#This Row],[Target Return]]+1,"-")</f>
        <v>1.0005597537229838</v>
      </c>
      <c r="E5" s="6">
        <f>B5-MAX($B$2:B5)</f>
        <v>0</v>
      </c>
      <c r="F5" s="80">
        <f t="shared" si="0"/>
        <v>0</v>
      </c>
      <c r="G5" s="77">
        <f>Target1[[#This Row],[Target Drawdown]]/MAX($B$2:B5)</f>
        <v>0</v>
      </c>
      <c r="H5" s="1" t="str">
        <f>IF(SUM(COUNTIF(Benchmark1[Benchmark '#1 Dates],Target1[[#This Row],[Target Dates]]),COUNTIF(Benchmark2[Benchmark '#2 Dates],Target1[[#This Row],[Target Dates]]))=2,"Pass","Fail")</f>
        <v>Pass</v>
      </c>
      <c r="I5" s="78">
        <f t="shared" si="1"/>
        <v>0</v>
      </c>
      <c r="K5" s="72">
        <f>Target1[[#This Row],[Target Price]]/$B$2*100</f>
        <v>103.95578824898197</v>
      </c>
      <c r="N5">
        <f>IF(Target1[[#This Row],[Target Drawdown]]=0,Target1[[#This Row],[Target Price]],N5-Target1[[#This Row],[Target Drawdown]])</f>
        <v>17.87</v>
      </c>
      <c r="R5">
        <f>B6/Target1[[#This Row],[Target Price]]-1</f>
        <v>4.4767767207609666E-3</v>
      </c>
    </row>
    <row r="6" spans="1:18">
      <c r="A6" s="96">
        <v>43292</v>
      </c>
      <c r="B6" s="101">
        <v>17.95</v>
      </c>
      <c r="C6" s="4">
        <f t="shared" si="2"/>
        <v>4.4667857629511216E-3</v>
      </c>
      <c r="D6" s="4">
        <f>IFERROR(Target1[[#This Row],[Target Return]]+1,"-")</f>
        <v>1.0044667857629512</v>
      </c>
      <c r="E6" s="6">
        <f>B6-MAX($B$2:B6)</f>
        <v>0</v>
      </c>
      <c r="F6" s="80">
        <f t="shared" si="0"/>
        <v>0</v>
      </c>
      <c r="G6" s="77">
        <f>Target1[[#This Row],[Target Drawdown]]/MAX($B$2:B6)</f>
        <v>0</v>
      </c>
      <c r="H6" s="1" t="str">
        <f>IF(SUM(COUNTIF(Benchmark1[Benchmark '#1 Dates],Target1[[#This Row],[Target Dates]]),COUNTIF(Benchmark2[Benchmark '#2 Dates],Target1[[#This Row],[Target Dates]]))=2,"Pass","Fail")</f>
        <v>Pass</v>
      </c>
      <c r="I6" s="78">
        <f t="shared" si="1"/>
        <v>0</v>
      </c>
      <c r="K6" s="72">
        <f>Target1[[#This Row],[Target Price]]/$B$2*100</f>
        <v>104.42117510180336</v>
      </c>
      <c r="N6">
        <f>IF(Target1[[#This Row],[Target Drawdown]]=0,Target1[[#This Row],[Target Price]],N6-Target1[[#This Row],[Target Drawdown]])</f>
        <v>17.95</v>
      </c>
      <c r="R6">
        <f>B7/Target1[[#This Row],[Target Price]]-1</f>
        <v>1.6713091922007095E-3</v>
      </c>
    </row>
    <row r="7" spans="1:18">
      <c r="A7" s="96">
        <v>43293</v>
      </c>
      <c r="B7" s="101">
        <v>17.98</v>
      </c>
      <c r="C7" s="4">
        <f t="shared" si="2"/>
        <v>1.6699141091864871E-3</v>
      </c>
      <c r="D7" s="4">
        <f>IFERROR(Target1[[#This Row],[Target Return]]+1,"-")</f>
        <v>1.0016699141091865</v>
      </c>
      <c r="E7" s="6">
        <f>B7-MAX($B$2:B7)</f>
        <v>0</v>
      </c>
      <c r="F7" s="80">
        <f t="shared" si="0"/>
        <v>0</v>
      </c>
      <c r="G7" s="77">
        <f>Target1[[#This Row],[Target Drawdown]]/MAX($B$2:B7)</f>
        <v>0</v>
      </c>
      <c r="H7" s="1" t="str">
        <f>IF(SUM(COUNTIF(Benchmark1[Benchmark '#1 Dates],Target1[[#This Row],[Target Dates]]),COUNTIF(Benchmark2[Benchmark '#2 Dates],Target1[[#This Row],[Target Dates]]))=2,"Pass","Fail")</f>
        <v>Pass</v>
      </c>
      <c r="I7" s="78">
        <f t="shared" si="1"/>
        <v>0</v>
      </c>
      <c r="K7" s="72">
        <f>Target1[[#This Row],[Target Price]]/$B$2*100</f>
        <v>104.5956951716114</v>
      </c>
      <c r="N7">
        <f>IF(Target1[[#This Row],[Target Drawdown]]=0,Target1[[#This Row],[Target Price]],N7-Target1[[#This Row],[Target Drawdown]])</f>
        <v>17.98</v>
      </c>
      <c r="R7">
        <f>B8/Target1[[#This Row],[Target Price]]-1</f>
        <v>-1.7241379310344751E-2</v>
      </c>
    </row>
    <row r="8" spans="1:18">
      <c r="A8" s="96">
        <v>43294</v>
      </c>
      <c r="B8" s="101">
        <v>17.670000000000002</v>
      </c>
      <c r="C8" s="4">
        <f t="shared" si="2"/>
        <v>-1.7391742711869107E-2</v>
      </c>
      <c r="D8" s="4">
        <f>IFERROR(Target1[[#This Row],[Target Return]]+1,"-")</f>
        <v>0.98260825728813095</v>
      </c>
      <c r="E8" s="6">
        <f>B8-MAX($B$2:B8)</f>
        <v>-0.30999999999999872</v>
      </c>
      <c r="F8" s="80">
        <f t="shared" si="0"/>
        <v>1</v>
      </c>
      <c r="G8" s="77">
        <f>Target1[[#This Row],[Target Drawdown]]/MAX($B$2:B8)</f>
        <v>-1.7241379310344754E-2</v>
      </c>
      <c r="H8" s="1" t="str">
        <f>IF(SUM(COUNTIF(Benchmark1[Benchmark '#1 Dates],Target1[[#This Row],[Target Dates]]),COUNTIF(Benchmark2[Benchmark '#2 Dates],Target1[[#This Row],[Target Dates]]))=2,"Pass","Fail")</f>
        <v>Pass</v>
      </c>
      <c r="I8" s="78">
        <f t="shared" si="1"/>
        <v>-0.30999999999999872</v>
      </c>
      <c r="K8" s="72">
        <f>Target1[[#This Row],[Target Price]]/$B$2*100</f>
        <v>102.79232111692845</v>
      </c>
      <c r="N8">
        <f ca="1">IF(Target1[[#This Row],[Target Drawdown]]=0,Target1[[#This Row],[Target Price]],N8-Target1[[#This Row],[Target Drawdown]])</f>
        <v>5.46</v>
      </c>
      <c r="R8">
        <f>B9/Target1[[#This Row],[Target Price]]-1</f>
        <v>-5.659309564233217E-3</v>
      </c>
    </row>
    <row r="9" spans="1:18">
      <c r="A9" s="96">
        <v>43297</v>
      </c>
      <c r="B9" s="101">
        <v>17.57</v>
      </c>
      <c r="C9" s="4">
        <f t="shared" si="2"/>
        <v>-5.67538413259926E-3</v>
      </c>
      <c r="D9" s="4">
        <f>IFERROR(Target1[[#This Row],[Target Return]]+1,"-")</f>
        <v>0.99432461586740073</v>
      </c>
      <c r="E9" s="6">
        <f>B9-MAX($B$2:B9)</f>
        <v>-0.41000000000000014</v>
      </c>
      <c r="F9" s="80">
        <f t="shared" si="0"/>
        <v>2</v>
      </c>
      <c r="G9" s="77">
        <f>Target1[[#This Row],[Target Drawdown]]/MAX($B$2:B9)</f>
        <v>-2.2803114571746393E-2</v>
      </c>
      <c r="H9" s="1" t="str">
        <f>IF(SUM(COUNTIF(Benchmark1[Benchmark '#1 Dates],Target1[[#This Row],[Target Dates]]),COUNTIF(Benchmark2[Benchmark '#2 Dates],Target1[[#This Row],[Target Dates]]))=2,"Pass","Fail")</f>
        <v>Pass</v>
      </c>
      <c r="I9" s="78">
        <f t="shared" si="1"/>
        <v>-0.41000000000000014</v>
      </c>
      <c r="K9" s="72">
        <f>Target1[[#This Row],[Target Price]]/$B$2*100</f>
        <v>102.21058755090169</v>
      </c>
      <c r="N9">
        <f ca="1">IF(Target1[[#This Row],[Target Drawdown]]=0,Target1[[#This Row],[Target Price]],N9-Target1[[#This Row],[Target Drawdown]])</f>
        <v>8.74</v>
      </c>
      <c r="R9">
        <f>B10/Target1[[#This Row],[Target Price]]-1</f>
        <v>-2.1058622652248227E-2</v>
      </c>
    </row>
    <row r="10" spans="1:18">
      <c r="A10" s="96">
        <v>43298</v>
      </c>
      <c r="B10" s="101">
        <v>17.2</v>
      </c>
      <c r="C10" s="4">
        <f t="shared" si="2"/>
        <v>-2.1283518379598541E-2</v>
      </c>
      <c r="D10" s="4">
        <f>IFERROR(Target1[[#This Row],[Target Return]]+1,"-")</f>
        <v>0.97871648162040148</v>
      </c>
      <c r="E10" s="6">
        <f>B10-MAX($B$2:B10)</f>
        <v>-0.78000000000000114</v>
      </c>
      <c r="F10" s="80">
        <f t="shared" si="0"/>
        <v>3</v>
      </c>
      <c r="G10" s="77">
        <f>Target1[[#This Row],[Target Drawdown]]/MAX($B$2:B10)</f>
        <v>-4.338153503893221E-2</v>
      </c>
      <c r="H10" s="1" t="str">
        <f>IF(SUM(COUNTIF(Benchmark1[Benchmark '#1 Dates],Target1[[#This Row],[Target Dates]]),COUNTIF(Benchmark2[Benchmark '#2 Dates],Target1[[#This Row],[Target Dates]]))=2,"Pass","Fail")</f>
        <v>Pass</v>
      </c>
      <c r="I10" s="78">
        <f t="shared" si="1"/>
        <v>-0.78000000000000114</v>
      </c>
      <c r="K10" s="72">
        <f>Target1[[#This Row],[Target Price]]/$B$2*100</f>
        <v>100.05817335660268</v>
      </c>
      <c r="N10">
        <f ca="1">IF(Target1[[#This Row],[Target Drawdown]]=0,Target1[[#This Row],[Target Price]],N10-Target1[[#This Row],[Target Drawdown]])</f>
        <v>5.62</v>
      </c>
      <c r="R10">
        <f>B11/Target1[[#This Row],[Target Price]]-1</f>
        <v>-1.0465116279069764E-2</v>
      </c>
    </row>
    <row r="11" spans="1:18">
      <c r="A11" s="96">
        <v>43299</v>
      </c>
      <c r="B11" s="101">
        <v>17.02</v>
      </c>
      <c r="C11" s="4">
        <f t="shared" si="2"/>
        <v>-1.0520260674179278E-2</v>
      </c>
      <c r="D11" s="4">
        <f>IFERROR(Target1[[#This Row],[Target Return]]+1,"-")</f>
        <v>0.98947973932582067</v>
      </c>
      <c r="E11" s="6">
        <f>B11-MAX($B$2:B11)</f>
        <v>-0.96000000000000085</v>
      </c>
      <c r="F11" s="80">
        <f t="shared" si="0"/>
        <v>4</v>
      </c>
      <c r="G11" s="77">
        <f>Target1[[#This Row],[Target Drawdown]]/MAX($B$2:B11)</f>
        <v>-5.3392658509454995E-2</v>
      </c>
      <c r="H11" s="1" t="str">
        <f>IF(SUM(COUNTIF(Benchmark1[Benchmark '#1 Dates],Target1[[#This Row],[Target Dates]]),COUNTIF(Benchmark2[Benchmark '#2 Dates],Target1[[#This Row],[Target Dates]]))=2,"Pass","Fail")</f>
        <v>Pass</v>
      </c>
      <c r="I11" s="78">
        <f t="shared" si="1"/>
        <v>-0.96000000000000085</v>
      </c>
      <c r="K11" s="72">
        <f>Target1[[#This Row],[Target Price]]/$B$2*100</f>
        <v>99.011052937754499</v>
      </c>
      <c r="N11">
        <f ca="1">IF(Target1[[#This Row],[Target Drawdown]]=0,Target1[[#This Row],[Target Price]],N11-Target1[[#This Row],[Target Drawdown]])</f>
        <v>8.75</v>
      </c>
      <c r="R11">
        <f>B12/Target1[[#This Row],[Target Price]]-1</f>
        <v>5.8754406580494578E-3</v>
      </c>
    </row>
    <row r="12" spans="1:18">
      <c r="A12" s="96">
        <v>43300</v>
      </c>
      <c r="B12" s="101">
        <v>17.12</v>
      </c>
      <c r="C12" s="4">
        <f t="shared" si="2"/>
        <v>5.8582475683680701E-3</v>
      </c>
      <c r="D12" s="4">
        <f>IFERROR(Target1[[#This Row],[Target Return]]+1,"-")</f>
        <v>1.0058582475683682</v>
      </c>
      <c r="E12" s="6">
        <f>B12-MAX($B$2:B12)</f>
        <v>-0.85999999999999943</v>
      </c>
      <c r="F12" s="80">
        <f t="shared" si="0"/>
        <v>5</v>
      </c>
      <c r="G12" s="77">
        <f>Target1[[#This Row],[Target Drawdown]]/MAX($B$2:B12)</f>
        <v>-4.783092324805336E-2</v>
      </c>
      <c r="H12" s="1" t="str">
        <f>IF(SUM(COUNTIF(Benchmark1[Benchmark '#1 Dates],Target1[[#This Row],[Target Dates]]),COUNTIF(Benchmark2[Benchmark '#2 Dates],Target1[[#This Row],[Target Dates]]))=2,"Pass","Fail")</f>
        <v>Pass</v>
      </c>
      <c r="I12" s="78">
        <f t="shared" si="1"/>
        <v>-0.85999999999999943</v>
      </c>
      <c r="K12" s="72">
        <f>Target1[[#This Row],[Target Price]]/$B$2*100</f>
        <v>99.592786503781269</v>
      </c>
      <c r="N12">
        <f ca="1">IF(Target1[[#This Row],[Target Drawdown]]=0,Target1[[#This Row],[Target Price]],N12-Target1[[#This Row],[Target Drawdown]])</f>
        <v>9.06</v>
      </c>
      <c r="R12">
        <f>B13/Target1[[#This Row],[Target Price]]-1</f>
        <v>-1.1682242990654124E-2</v>
      </c>
    </row>
    <row r="13" spans="1:18">
      <c r="A13" s="96">
        <v>43301</v>
      </c>
      <c r="B13" s="101">
        <v>16.920000000000002</v>
      </c>
      <c r="C13" s="4">
        <f t="shared" si="2"/>
        <v>-1.175101653551874E-2</v>
      </c>
      <c r="D13" s="4">
        <f>IFERROR(Target1[[#This Row],[Target Return]]+1,"-")</f>
        <v>0.98824898346448131</v>
      </c>
      <c r="E13" s="6">
        <f>B13-MAX($B$2:B13)</f>
        <v>-1.0599999999999987</v>
      </c>
      <c r="F13" s="80">
        <f t="shared" si="0"/>
        <v>6</v>
      </c>
      <c r="G13" s="77">
        <f>Target1[[#This Row],[Target Drawdown]]/MAX($B$2:B13)</f>
        <v>-5.8954393770856435E-2</v>
      </c>
      <c r="H13" s="1" t="str">
        <f>IF(SUM(COUNTIF(Benchmark1[Benchmark '#1 Dates],Target1[[#This Row],[Target Dates]]),COUNTIF(Benchmark2[Benchmark '#2 Dates],Target1[[#This Row],[Target Dates]]))=2,"Pass","Fail")</f>
        <v>Pass</v>
      </c>
      <c r="I13" s="78">
        <f t="shared" si="1"/>
        <v>-1.0599999999999987</v>
      </c>
      <c r="K13" s="72">
        <f>Target1[[#This Row],[Target Price]]/$B$2*100</f>
        <v>98.429319371727757</v>
      </c>
      <c r="N13">
        <f ca="1">IF(Target1[[#This Row],[Target Drawdown]]=0,Target1[[#This Row],[Target Price]],N13-Target1[[#This Row],[Target Drawdown]])</f>
        <v>24.84</v>
      </c>
      <c r="R13">
        <f>B14/Target1[[#This Row],[Target Price]]-1</f>
        <v>5.9101654846327456E-4</v>
      </c>
    </row>
    <row r="14" spans="1:18">
      <c r="A14" s="96">
        <v>43304</v>
      </c>
      <c r="B14" s="101">
        <v>16.93</v>
      </c>
      <c r="C14" s="4">
        <f t="shared" si="2"/>
        <v>5.9084196696664471E-4</v>
      </c>
      <c r="D14" s="4">
        <f>IFERROR(Target1[[#This Row],[Target Return]]+1,"-")</f>
        <v>1.0005908419669667</v>
      </c>
      <c r="E14" s="6">
        <f>B14-MAX($B$2:B14)</f>
        <v>-1.0500000000000007</v>
      </c>
      <c r="F14" s="80">
        <f t="shared" si="0"/>
        <v>7</v>
      </c>
      <c r="G14" s="77">
        <f>Target1[[#This Row],[Target Drawdown]]/MAX($B$2:B14)</f>
        <v>-5.8398220244716387E-2</v>
      </c>
      <c r="H14" s="1" t="str">
        <f>IF(SUM(COUNTIF(Benchmark1[Benchmark '#1 Dates],Target1[[#This Row],[Target Dates]]),COUNTIF(Benchmark2[Benchmark '#2 Dates],Target1[[#This Row],[Target Dates]]))=2,"Pass","Fail")</f>
        <v>Pass</v>
      </c>
      <c r="I14" s="78">
        <f t="shared" si="1"/>
        <v>-1.0500000000000007</v>
      </c>
      <c r="K14" s="72">
        <f>Target1[[#This Row],[Target Price]]/$B$2*100</f>
        <v>98.487492728330423</v>
      </c>
      <c r="N14">
        <f ca="1">IF(Target1[[#This Row],[Target Drawdown]]=0,Target1[[#This Row],[Target Price]],N14-Target1[[#This Row],[Target Drawdown]])</f>
        <v>24.94</v>
      </c>
      <c r="R14">
        <f>B15/Target1[[#This Row],[Target Price]]-1</f>
        <v>-1.7720023626698223E-2</v>
      </c>
    </row>
    <row r="15" spans="1:18">
      <c r="A15" s="96">
        <v>43305</v>
      </c>
      <c r="B15" s="101">
        <v>16.63</v>
      </c>
      <c r="C15" s="4">
        <f t="shared" si="2"/>
        <v>-1.7878902940207695E-2</v>
      </c>
      <c r="D15" s="4">
        <f>IFERROR(Target1[[#This Row],[Target Return]]+1,"-")</f>
        <v>0.98212109705979234</v>
      </c>
      <c r="E15" s="6">
        <f>B15-MAX($B$2:B15)</f>
        <v>-1.3500000000000014</v>
      </c>
      <c r="F15" s="80">
        <f t="shared" si="0"/>
        <v>8</v>
      </c>
      <c r="G15" s="77">
        <f>Target1[[#This Row],[Target Drawdown]]/MAX($B$2:B15)</f>
        <v>-7.5083426028921096E-2</v>
      </c>
      <c r="H15" s="1" t="str">
        <f>IF(SUM(COUNTIF(Benchmark1[Benchmark '#1 Dates],Target1[[#This Row],[Target Dates]]),COUNTIF(Benchmark2[Benchmark '#2 Dates],Target1[[#This Row],[Target Dates]]))=2,"Pass","Fail")</f>
        <v>Pass</v>
      </c>
      <c r="I15" s="78">
        <f t="shared" si="1"/>
        <v>-1.3500000000000014</v>
      </c>
      <c r="K15" s="72">
        <f>Target1[[#This Row],[Target Price]]/$B$2*100</f>
        <v>96.742292030250127</v>
      </c>
      <c r="N15">
        <f ca="1">IF(Target1[[#This Row],[Target Drawdown]]=0,Target1[[#This Row],[Target Price]],N15-Target1[[#This Row],[Target Drawdown]])</f>
        <v>6.47</v>
      </c>
      <c r="R15">
        <f>B16/Target1[[#This Row],[Target Price]]-1</f>
        <v>-3.6079374624172766E-3</v>
      </c>
    </row>
    <row r="16" spans="1:18">
      <c r="A16" s="96">
        <v>43306</v>
      </c>
      <c r="B16" s="101">
        <v>16.57</v>
      </c>
      <c r="C16" s="4">
        <f t="shared" si="2"/>
        <v>-3.6144617663647224E-3</v>
      </c>
      <c r="D16" s="4">
        <f>IFERROR(Target1[[#This Row],[Target Return]]+1,"-")</f>
        <v>0.99638553823363529</v>
      </c>
      <c r="E16" s="6">
        <f>B16-MAX($B$2:B16)</f>
        <v>-1.4100000000000001</v>
      </c>
      <c r="F16" s="80">
        <f t="shared" si="0"/>
        <v>9</v>
      </c>
      <c r="G16" s="77">
        <f>Target1[[#This Row],[Target Drawdown]]/MAX($B$2:B16)</f>
        <v>-7.8420467185761969E-2</v>
      </c>
      <c r="H16" s="1" t="str">
        <f>IF(SUM(COUNTIF(Benchmark1[Benchmark '#1 Dates],Target1[[#This Row],[Target Dates]]),COUNTIF(Benchmark2[Benchmark '#2 Dates],Target1[[#This Row],[Target Dates]]))=2,"Pass","Fail")</f>
        <v>Pass</v>
      </c>
      <c r="I16" s="78">
        <f t="shared" si="1"/>
        <v>-1.4100000000000001</v>
      </c>
      <c r="K16" s="72">
        <f>Target1[[#This Row],[Target Price]]/$B$2*100</f>
        <v>96.393251890634076</v>
      </c>
      <c r="N16">
        <f ca="1">IF(Target1[[#This Row],[Target Drawdown]]=0,Target1[[#This Row],[Target Price]],N16-Target1[[#This Row],[Target Drawdown]])</f>
        <v>5.46</v>
      </c>
      <c r="R16">
        <f>B17/Target1[[#This Row],[Target Price]]-1</f>
        <v>1.146650573325303E-2</v>
      </c>
    </row>
    <row r="17" spans="1:18">
      <c r="A17" s="96">
        <v>43307</v>
      </c>
      <c r="B17" s="101">
        <v>16.760000000000002</v>
      </c>
      <c r="C17" s="4">
        <f t="shared" si="2"/>
        <v>1.1401263615465599E-2</v>
      </c>
      <c r="D17" s="4">
        <f>IFERROR(Target1[[#This Row],[Target Return]]+1,"-")</f>
        <v>1.0114012636154657</v>
      </c>
      <c r="E17" s="6">
        <f>B17-MAX($B$2:B17)</f>
        <v>-1.2199999999999989</v>
      </c>
      <c r="F17" s="80">
        <f t="shared" si="0"/>
        <v>10</v>
      </c>
      <c r="G17" s="77">
        <f>Target1[[#This Row],[Target Drawdown]]/MAX($B$2:B17)</f>
        <v>-6.7853170189098935E-2</v>
      </c>
      <c r="H17" s="1" t="str">
        <f>IF(SUM(COUNTIF(Benchmark1[Benchmark '#1 Dates],Target1[[#This Row],[Target Dates]]),COUNTIF(Benchmark2[Benchmark '#2 Dates],Target1[[#This Row],[Target Dates]]))=2,"Pass","Fail")</f>
        <v>Pass</v>
      </c>
      <c r="I17" s="78">
        <f t="shared" si="1"/>
        <v>-1.2199999999999989</v>
      </c>
      <c r="K17" s="72">
        <f>Target1[[#This Row],[Target Price]]/$B$2*100</f>
        <v>97.498545666084937</v>
      </c>
      <c r="N17">
        <f ca="1">IF(Target1[[#This Row],[Target Drawdown]]=0,Target1[[#This Row],[Target Price]],N17-Target1[[#This Row],[Target Drawdown]])</f>
        <v>24.96</v>
      </c>
      <c r="R17">
        <f>B18/Target1[[#This Row],[Target Price]]-1</f>
        <v>-7.7565632458235223E-3</v>
      </c>
    </row>
    <row r="18" spans="1:18">
      <c r="A18" s="96">
        <v>43308</v>
      </c>
      <c r="B18" s="101">
        <v>16.63</v>
      </c>
      <c r="C18" s="4">
        <f t="shared" si="2"/>
        <v>-7.7868018491008082E-3</v>
      </c>
      <c r="D18" s="4">
        <f>IFERROR(Target1[[#This Row],[Target Return]]+1,"-")</f>
        <v>0.99221319815089914</v>
      </c>
      <c r="E18" s="6">
        <f>B18-MAX($B$2:B18)</f>
        <v>-1.3500000000000014</v>
      </c>
      <c r="F18" s="80">
        <f t="shared" si="0"/>
        <v>11</v>
      </c>
      <c r="G18" s="77">
        <f>Target1[[#This Row],[Target Drawdown]]/MAX($B$2:B18)</f>
        <v>-7.5083426028921096E-2</v>
      </c>
      <c r="H18" s="1" t="str">
        <f>IF(SUM(COUNTIF(Benchmark1[Benchmark '#1 Dates],Target1[[#This Row],[Target Dates]]),COUNTIF(Benchmark2[Benchmark '#2 Dates],Target1[[#This Row],[Target Dates]]))=2,"Pass","Fail")</f>
        <v>Pass</v>
      </c>
      <c r="I18" s="78">
        <f t="shared" si="1"/>
        <v>-1.3500000000000014</v>
      </c>
      <c r="K18" s="72">
        <f>Target1[[#This Row],[Target Price]]/$B$2*100</f>
        <v>96.742292030250127</v>
      </c>
      <c r="N18">
        <f ca="1">IF(Target1[[#This Row],[Target Drawdown]]=0,Target1[[#This Row],[Target Price]],N18-Target1[[#This Row],[Target Drawdown]])</f>
        <v>9.19</v>
      </c>
      <c r="R18">
        <f>B19/Target1[[#This Row],[Target Price]]-1</f>
        <v>-1.0222489476849006E-2</v>
      </c>
    </row>
    <row r="19" spans="1:18">
      <c r="A19" s="96">
        <v>43311</v>
      </c>
      <c r="B19" s="101">
        <v>16.46</v>
      </c>
      <c r="C19" s="4">
        <f t="shared" si="2"/>
        <v>-1.0275097955912492E-2</v>
      </c>
      <c r="D19" s="4">
        <f>IFERROR(Target1[[#This Row],[Target Return]]+1,"-")</f>
        <v>0.98972490204408747</v>
      </c>
      <c r="E19" s="6">
        <f>B19-MAX($B$2:B19)</f>
        <v>-1.5199999999999996</v>
      </c>
      <c r="F19" s="80">
        <f t="shared" si="0"/>
        <v>12</v>
      </c>
      <c r="G19" s="77">
        <f>Target1[[#This Row],[Target Drawdown]]/MAX($B$2:B19)</f>
        <v>-8.4538375973303645E-2</v>
      </c>
      <c r="H19" s="1" t="str">
        <f>IF(SUM(COUNTIF(Benchmark1[Benchmark '#1 Dates],Target1[[#This Row],[Target Dates]]),COUNTIF(Benchmark2[Benchmark '#2 Dates],Target1[[#This Row],[Target Dates]]))=2,"Pass","Fail")</f>
        <v>Pass</v>
      </c>
      <c r="I19" s="78">
        <f t="shared" si="1"/>
        <v>-1.5199999999999996</v>
      </c>
      <c r="K19" s="72">
        <f>Target1[[#This Row],[Target Price]]/$B$2*100</f>
        <v>95.753344968004654</v>
      </c>
      <c r="N19">
        <f ca="1">IF(Target1[[#This Row],[Target Drawdown]]=0,Target1[[#This Row],[Target Price]],N19-Target1[[#This Row],[Target Drawdown]])</f>
        <v>9.26</v>
      </c>
      <c r="R19">
        <f>B20/Target1[[#This Row],[Target Price]]-1</f>
        <v>-6.0753341433780195E-3</v>
      </c>
    </row>
    <row r="20" spans="1:18">
      <c r="A20" s="96">
        <v>43312</v>
      </c>
      <c r="B20" s="101">
        <v>16.36</v>
      </c>
      <c r="C20" s="4">
        <f t="shared" si="2"/>
        <v>-6.0938640743228916E-3</v>
      </c>
      <c r="D20" s="4">
        <f>IFERROR(Target1[[#This Row],[Target Return]]+1,"-")</f>
        <v>0.99390613592567711</v>
      </c>
      <c r="E20" s="6">
        <f>B20-MAX($B$2:B20)</f>
        <v>-1.620000000000001</v>
      </c>
      <c r="F20" s="80">
        <f t="shared" si="0"/>
        <v>13</v>
      </c>
      <c r="G20" s="77">
        <f>Target1[[#This Row],[Target Drawdown]]/MAX($B$2:B20)</f>
        <v>-9.010011123470528E-2</v>
      </c>
      <c r="H20" s="1" t="str">
        <f>IF(SUM(COUNTIF(Benchmark1[Benchmark '#1 Dates],Target1[[#This Row],[Target Dates]]),COUNTIF(Benchmark2[Benchmark '#2 Dates],Target1[[#This Row],[Target Dates]]))=2,"Pass","Fail")</f>
        <v>Pass</v>
      </c>
      <c r="I20" s="78">
        <f t="shared" si="1"/>
        <v>-1.620000000000001</v>
      </c>
      <c r="K20" s="72">
        <f>Target1[[#This Row],[Target Price]]/$B$2*100</f>
        <v>95.171611401977884</v>
      </c>
      <c r="R20">
        <f>B21/Target1[[#This Row],[Target Price]]-1</f>
        <v>1.8337408312958381E-3</v>
      </c>
    </row>
    <row r="21" spans="1:18">
      <c r="A21" s="96">
        <v>43313</v>
      </c>
      <c r="B21" s="101">
        <v>16.39</v>
      </c>
      <c r="C21" s="4">
        <f t="shared" si="2"/>
        <v>1.832061581137315E-3</v>
      </c>
      <c r="D21" s="4">
        <f>IFERROR(Target1[[#This Row],[Target Return]]+1,"-")</f>
        <v>1.0018320615811374</v>
      </c>
      <c r="E21" s="6">
        <f>B21-MAX($B$2:B21)</f>
        <v>-1.5899999999999999</v>
      </c>
      <c r="F21" s="80">
        <f t="shared" si="0"/>
        <v>14</v>
      </c>
      <c r="G21" s="77">
        <f>Target1[[#This Row],[Target Drawdown]]/MAX($B$2:B21)</f>
        <v>-8.8431590656284753E-2</v>
      </c>
      <c r="H21" s="1" t="str">
        <f>IF(SUM(COUNTIF(Benchmark1[Benchmark '#1 Dates],Target1[[#This Row],[Target Dates]]),COUNTIF(Benchmark2[Benchmark '#2 Dates],Target1[[#This Row],[Target Dates]]))=2,"Pass","Fail")</f>
        <v>Pass</v>
      </c>
      <c r="I21" s="78">
        <f t="shared" si="1"/>
        <v>-1.5899999999999999</v>
      </c>
      <c r="K21" s="72">
        <f>Target1[[#This Row],[Target Price]]/$B$2*100</f>
        <v>95.346131471785924</v>
      </c>
      <c r="R21">
        <f>B22/Target1[[#This Row],[Target Price]]-1</f>
        <v>-4.270896888346587E-3</v>
      </c>
    </row>
    <row r="22" spans="1:18">
      <c r="A22" s="96">
        <v>43314</v>
      </c>
      <c r="B22" s="101">
        <v>16.32</v>
      </c>
      <c r="C22" s="4">
        <f t="shared" si="2"/>
        <v>-4.280043219777401E-3</v>
      </c>
      <c r="D22" s="4">
        <f>IFERROR(Target1[[#This Row],[Target Return]]+1,"-")</f>
        <v>0.99571995678022263</v>
      </c>
      <c r="E22" s="6">
        <f>B22-MAX($B$2:B22)</f>
        <v>-1.6600000000000001</v>
      </c>
      <c r="F22" s="80">
        <f t="shared" si="0"/>
        <v>15</v>
      </c>
      <c r="G22" s="77">
        <f>Target1[[#This Row],[Target Drawdown]]/MAX($B$2:B22)</f>
        <v>-9.2324805339265861E-2</v>
      </c>
      <c r="H22" s="1" t="str">
        <f>IF(SUM(COUNTIF(Benchmark1[Benchmark '#1 Dates],Target1[[#This Row],[Target Dates]]),COUNTIF(Benchmark2[Benchmark '#2 Dates],Target1[[#This Row],[Target Dates]]))=2,"Pass","Fail")</f>
        <v>Pass</v>
      </c>
      <c r="I22" s="78">
        <f t="shared" si="1"/>
        <v>-1.6600000000000001</v>
      </c>
      <c r="K22" s="72">
        <f>Target1[[#This Row],[Target Price]]/$B$2*100</f>
        <v>94.938917975567179</v>
      </c>
      <c r="R22">
        <f>B23/Target1[[#This Row],[Target Price]]-1</f>
        <v>-6.7401960784313486E-3</v>
      </c>
    </row>
    <row r="23" spans="1:18">
      <c r="A23" s="96">
        <v>43315</v>
      </c>
      <c r="B23" s="101">
        <v>16.21</v>
      </c>
      <c r="C23" s="4">
        <f t="shared" si="2"/>
        <v>-6.7630137883761925E-3</v>
      </c>
      <c r="D23" s="4">
        <f>IFERROR(Target1[[#This Row],[Target Return]]+1,"-")</f>
        <v>0.99323698621162382</v>
      </c>
      <c r="E23" s="6">
        <f>B23-MAX($B$2:B23)</f>
        <v>-1.7699999999999996</v>
      </c>
      <c r="F23" s="80">
        <f t="shared" si="0"/>
        <v>16</v>
      </c>
      <c r="G23" s="77">
        <f>Target1[[#This Row],[Target Drawdown]]/MAX($B$2:B23)</f>
        <v>-9.8442714126807537E-2</v>
      </c>
      <c r="H23" s="1" t="str">
        <f>IF(SUM(COUNTIF(Benchmark1[Benchmark '#1 Dates],Target1[[#This Row],[Target Dates]]),COUNTIF(Benchmark2[Benchmark '#2 Dates],Target1[[#This Row],[Target Dates]]))=2,"Pass","Fail")</f>
        <v>Pass</v>
      </c>
      <c r="I23" s="78">
        <f t="shared" si="1"/>
        <v>-1.7699999999999996</v>
      </c>
      <c r="K23" s="72">
        <f>Target1[[#This Row],[Target Price]]/$B$2*100</f>
        <v>94.299011052937757</v>
      </c>
      <c r="R23">
        <f>B24/Target1[[#This Row],[Target Price]]-1</f>
        <v>-2.467612584824086E-3</v>
      </c>
    </row>
    <row r="24" spans="1:18">
      <c r="A24" s="96">
        <v>43318</v>
      </c>
      <c r="B24" s="101">
        <v>16.170000000000002</v>
      </c>
      <c r="C24" s="4">
        <f t="shared" si="2"/>
        <v>-2.4706621585691602E-3</v>
      </c>
      <c r="D24" s="4">
        <f>IFERROR(Target1[[#This Row],[Target Return]]+1,"-")</f>
        <v>0.99752933784143083</v>
      </c>
      <c r="E24" s="6">
        <f>B24-MAX($B$2:B24)</f>
        <v>-1.8099999999999987</v>
      </c>
      <c r="F24" s="80">
        <f t="shared" si="0"/>
        <v>17</v>
      </c>
      <c r="G24" s="77">
        <f>Target1[[#This Row],[Target Drawdown]]/MAX($B$2:B24)</f>
        <v>-0.10066740823136812</v>
      </c>
      <c r="H24" s="1" t="str">
        <f>IF(SUM(COUNTIF(Benchmark1[Benchmark '#1 Dates],Target1[[#This Row],[Target Dates]]),COUNTIF(Benchmark2[Benchmark '#2 Dates],Target1[[#This Row],[Target Dates]]))=2,"Pass","Fail")</f>
        <v>Pass</v>
      </c>
      <c r="I24" s="78">
        <f t="shared" si="1"/>
        <v>-1.8099999999999987</v>
      </c>
      <c r="K24" s="72">
        <f>Target1[[#This Row],[Target Price]]/$B$2*100</f>
        <v>94.066317626527052</v>
      </c>
      <c r="R24">
        <f>B25/Target1[[#This Row],[Target Price]]-1</f>
        <v>1.2368583797155441E-3</v>
      </c>
    </row>
    <row r="25" spans="1:18">
      <c r="A25" s="96">
        <v>43319</v>
      </c>
      <c r="B25" s="101">
        <v>16.190000000000001</v>
      </c>
      <c r="C25" s="4">
        <f t="shared" si="2"/>
        <v>1.236094100528306E-3</v>
      </c>
      <c r="D25" s="4">
        <f>IFERROR(Target1[[#This Row],[Target Return]]+1,"-")</f>
        <v>1.0012360941005283</v>
      </c>
      <c r="E25" s="6">
        <f>B25-MAX($B$2:B25)</f>
        <v>-1.7899999999999991</v>
      </c>
      <c r="F25" s="80">
        <f t="shared" si="0"/>
        <v>18</v>
      </c>
      <c r="G25" s="77">
        <f>Target1[[#This Row],[Target Drawdown]]/MAX($B$2:B25)</f>
        <v>-9.9555061179087828E-2</v>
      </c>
      <c r="H25" s="1" t="str">
        <f>IF(SUM(COUNTIF(Benchmark1[Benchmark '#1 Dates],Target1[[#This Row],[Target Dates]]),COUNTIF(Benchmark2[Benchmark '#2 Dates],Target1[[#This Row],[Target Dates]]))=2,"Pass","Fail")</f>
        <v>Pass</v>
      </c>
      <c r="I25" s="78">
        <f t="shared" si="1"/>
        <v>-1.7899999999999991</v>
      </c>
      <c r="K25" s="72">
        <f>Target1[[#This Row],[Target Price]]/$B$2*100</f>
        <v>94.182664339732398</v>
      </c>
      <c r="R25">
        <f>B26/Target1[[#This Row],[Target Price]]-1</f>
        <v>0.11365040148239647</v>
      </c>
    </row>
    <row r="26" spans="1:18">
      <c r="A26" s="96">
        <v>43320</v>
      </c>
      <c r="B26" s="101">
        <v>18.03</v>
      </c>
      <c r="C26" s="4">
        <f t="shared" si="2"/>
        <v>0.10764326952568208</v>
      </c>
      <c r="D26" s="4">
        <f>IFERROR(Target1[[#This Row],[Target Return]]+1,"-")</f>
        <v>1.1076432695256822</v>
      </c>
      <c r="E26" s="6">
        <f>B26-MAX($B$2:B26)</f>
        <v>0</v>
      </c>
      <c r="F26" s="80">
        <f t="shared" si="0"/>
        <v>0</v>
      </c>
      <c r="G26" s="77">
        <f>Target1[[#This Row],[Target Drawdown]]/MAX($B$2:B26)</f>
        <v>0</v>
      </c>
      <c r="H26" s="1" t="str">
        <f>IF(SUM(COUNTIF(Benchmark1[Benchmark '#1 Dates],Target1[[#This Row],[Target Dates]]),COUNTIF(Benchmark2[Benchmark '#2 Dates],Target1[[#This Row],[Target Dates]]))=2,"Pass","Fail")</f>
        <v>Pass</v>
      </c>
      <c r="I26" s="78">
        <f t="shared" si="1"/>
        <v>0</v>
      </c>
      <c r="K26" s="72">
        <f>Target1[[#This Row],[Target Price]]/$B$2*100</f>
        <v>104.88656195462478</v>
      </c>
      <c r="R26">
        <f>B27/Target1[[#This Row],[Target Price]]-1</f>
        <v>-1.8857459789240139E-2</v>
      </c>
    </row>
    <row r="27" spans="1:18">
      <c r="A27" s="96">
        <v>43321</v>
      </c>
      <c r="B27" s="101">
        <v>17.690000000000001</v>
      </c>
      <c r="C27" s="4">
        <f t="shared" si="2"/>
        <v>-1.9037529043531978E-2</v>
      </c>
      <c r="D27" s="4">
        <f>IFERROR(Target1[[#This Row],[Target Return]]+1,"-")</f>
        <v>0.98096247095646805</v>
      </c>
      <c r="E27" s="6">
        <f>B27-MAX($B$2:B27)</f>
        <v>-0.33999999999999986</v>
      </c>
      <c r="F27" s="80">
        <f t="shared" si="0"/>
        <v>1</v>
      </c>
      <c r="G27" s="77">
        <f>Target1[[#This Row],[Target Drawdown]]/MAX($B$2:B27)</f>
        <v>-1.8857459789240145E-2</v>
      </c>
      <c r="H27" s="1" t="str">
        <f>IF(SUM(COUNTIF(Benchmark1[Benchmark '#1 Dates],Target1[[#This Row],[Target Dates]]),COUNTIF(Benchmark2[Benchmark '#2 Dates],Target1[[#This Row],[Target Dates]]))=2,"Pass","Fail")</f>
        <v>Pass</v>
      </c>
      <c r="I27" s="78">
        <f t="shared" si="1"/>
        <v>-0.33999999999999986</v>
      </c>
      <c r="K27" s="72">
        <f>Target1[[#This Row],[Target Price]]/$B$2*100</f>
        <v>102.90866783013379</v>
      </c>
      <c r="R27">
        <f>B28/Target1[[#This Row],[Target Price]]-1</f>
        <v>-1.0175240248728068E-2</v>
      </c>
    </row>
    <row r="28" spans="1:18">
      <c r="A28" s="96">
        <v>43322</v>
      </c>
      <c r="B28" s="101">
        <v>17.510000000000002</v>
      </c>
      <c r="C28" s="4">
        <f t="shared" si="2"/>
        <v>-1.0227361873933397E-2</v>
      </c>
      <c r="D28" s="4">
        <f>IFERROR(Target1[[#This Row],[Target Return]]+1,"-")</f>
        <v>0.98977263812606664</v>
      </c>
      <c r="E28" s="6">
        <f>B28-MAX($B$2:B28)</f>
        <v>-0.51999999999999957</v>
      </c>
      <c r="F28" s="80">
        <f t="shared" si="0"/>
        <v>2</v>
      </c>
      <c r="G28" s="77">
        <f>Target1[[#This Row],[Target Drawdown]]/MAX($B$2:B28)</f>
        <v>-2.8840820854131977E-2</v>
      </c>
      <c r="H28" s="1" t="str">
        <f>IF(SUM(COUNTIF(Benchmark1[Benchmark '#1 Dates],Target1[[#This Row],[Target Dates]]),COUNTIF(Benchmark2[Benchmark '#2 Dates],Target1[[#This Row],[Target Dates]]))=2,"Pass","Fail")</f>
        <v>Pass</v>
      </c>
      <c r="I28" s="78">
        <f t="shared" si="1"/>
        <v>-0.51999999999999957</v>
      </c>
      <c r="K28" s="72">
        <f>Target1[[#This Row],[Target Price]]/$B$2*100</f>
        <v>101.86154741128564</v>
      </c>
      <c r="R28">
        <f>B29/Target1[[#This Row],[Target Price]]-1</f>
        <v>-1.8275271273557991E-2</v>
      </c>
    </row>
    <row r="29" spans="1:18">
      <c r="A29" s="96">
        <v>43325</v>
      </c>
      <c r="B29" s="101">
        <v>17.190000000000001</v>
      </c>
      <c r="C29" s="4">
        <f t="shared" si="2"/>
        <v>-1.8444326903002621E-2</v>
      </c>
      <c r="D29" s="4">
        <f>IFERROR(Target1[[#This Row],[Target Return]]+1,"-")</f>
        <v>0.98155567309699743</v>
      </c>
      <c r="E29" s="6">
        <f>B29-MAX($B$2:B29)</f>
        <v>-0.83999999999999986</v>
      </c>
      <c r="F29" s="80">
        <f t="shared" si="0"/>
        <v>3</v>
      </c>
      <c r="G29" s="77">
        <f>Target1[[#This Row],[Target Drawdown]]/MAX($B$2:B29)</f>
        <v>-4.6589018302828605E-2</v>
      </c>
      <c r="H29" s="1" t="str">
        <f>IF(SUM(COUNTIF(Benchmark1[Benchmark '#1 Dates],Target1[[#This Row],[Target Dates]]),COUNTIF(Benchmark2[Benchmark '#2 Dates],Target1[[#This Row],[Target Dates]]))=2,"Pass","Fail")</f>
        <v>Pass</v>
      </c>
      <c r="I29" s="78">
        <f t="shared" si="1"/>
        <v>-0.83999999999999986</v>
      </c>
      <c r="K29" s="72">
        <f>Target1[[#This Row],[Target Price]]/$B$2*100</f>
        <v>100</v>
      </c>
      <c r="R29">
        <f>B30/Target1[[#This Row],[Target Price]]-1</f>
        <v>-1.8033740546829713E-2</v>
      </c>
    </row>
    <row r="30" spans="1:18">
      <c r="A30" s="96">
        <v>43326</v>
      </c>
      <c r="B30" s="101">
        <v>16.88</v>
      </c>
      <c r="C30" s="4">
        <f t="shared" si="2"/>
        <v>-1.8198330226946995E-2</v>
      </c>
      <c r="D30" s="4">
        <f>IFERROR(Target1[[#This Row],[Target Return]]+1,"-")</f>
        <v>0.98180166977305305</v>
      </c>
      <c r="E30" s="6">
        <f>B30-MAX($B$2:B30)</f>
        <v>-1.1500000000000021</v>
      </c>
      <c r="F30" s="80">
        <f t="shared" si="0"/>
        <v>4</v>
      </c>
      <c r="G30" s="77">
        <f>Target1[[#This Row],[Target Drawdown]]/MAX($B$2:B30)</f>
        <v>-6.3782584581253576E-2</v>
      </c>
      <c r="H30" s="1" t="str">
        <f>IF(SUM(COUNTIF(Benchmark1[Benchmark '#1 Dates],Target1[[#This Row],[Target Dates]]),COUNTIF(Benchmark2[Benchmark '#2 Dates],Target1[[#This Row],[Target Dates]]))=2,"Pass","Fail")</f>
        <v>Pass</v>
      </c>
      <c r="I30" s="78">
        <f t="shared" si="1"/>
        <v>-1.1500000000000021</v>
      </c>
      <c r="K30" s="72">
        <f>Target1[[#This Row],[Target Price]]/$B$2*100</f>
        <v>98.196625945317024</v>
      </c>
      <c r="R30">
        <f>B31/Target1[[#This Row],[Target Price]]-1</f>
        <v>4.7393364928911552E-3</v>
      </c>
    </row>
    <row r="31" spans="1:18">
      <c r="A31" s="96">
        <v>43327</v>
      </c>
      <c r="B31" s="101">
        <v>16.96</v>
      </c>
      <c r="C31" s="4">
        <f t="shared" si="2"/>
        <v>4.728141195946116E-3</v>
      </c>
      <c r="D31" s="4">
        <f>IFERROR(Target1[[#This Row],[Target Return]]+1,"-")</f>
        <v>1.0047281411959461</v>
      </c>
      <c r="E31" s="6">
        <f>B31-MAX($B$2:B31)</f>
        <v>-1.0700000000000003</v>
      </c>
      <c r="F31" s="80">
        <f t="shared" si="0"/>
        <v>5</v>
      </c>
      <c r="G31" s="77">
        <f>Target1[[#This Row],[Target Drawdown]]/MAX($B$2:B31)</f>
        <v>-5.9345535219079322E-2</v>
      </c>
      <c r="H31" s="1" t="str">
        <f>IF(SUM(COUNTIF(Benchmark1[Benchmark '#1 Dates],Target1[[#This Row],[Target Dates]]),COUNTIF(Benchmark2[Benchmark '#2 Dates],Target1[[#This Row],[Target Dates]]))=2,"Pass","Fail")</f>
        <v>Pass</v>
      </c>
      <c r="I31" s="78">
        <f t="shared" si="1"/>
        <v>-1.0700000000000003</v>
      </c>
      <c r="K31" s="72">
        <f>Target1[[#This Row],[Target Price]]/$B$2*100</f>
        <v>98.662012798138448</v>
      </c>
      <c r="R31">
        <f>B32/Target1[[#This Row],[Target Price]]-1</f>
        <v>1.5919811320754595E-2</v>
      </c>
    </row>
    <row r="32" spans="1:18">
      <c r="A32" s="96">
        <v>43328</v>
      </c>
      <c r="B32" s="101">
        <v>17.23</v>
      </c>
      <c r="C32" s="4">
        <f t="shared" si="2"/>
        <v>1.5794420176081122E-2</v>
      </c>
      <c r="D32" s="4">
        <f>IFERROR(Target1[[#This Row],[Target Return]]+1,"-")</f>
        <v>1.0157944201760811</v>
      </c>
      <c r="E32" s="6">
        <f>B32-MAX($B$2:B32)</f>
        <v>-0.80000000000000071</v>
      </c>
      <c r="F32" s="80">
        <f t="shared" si="0"/>
        <v>6</v>
      </c>
      <c r="G32" s="77">
        <f>Target1[[#This Row],[Target Drawdown]]/MAX($B$2:B32)</f>
        <v>-4.4370493621741579E-2</v>
      </c>
      <c r="H32" s="1" t="str">
        <f>IF(SUM(COUNTIF(Benchmark1[Benchmark '#1 Dates],Target1[[#This Row],[Target Dates]]),COUNTIF(Benchmark2[Benchmark '#2 Dates],Target1[[#This Row],[Target Dates]]))=2,"Pass","Fail")</f>
        <v>Pass</v>
      </c>
      <c r="I32" s="78">
        <f t="shared" si="1"/>
        <v>-0.80000000000000071</v>
      </c>
      <c r="K32" s="72">
        <f>Target1[[#This Row],[Target Price]]/$B$2*100</f>
        <v>100.23269342641071</v>
      </c>
      <c r="R32">
        <f>B33/Target1[[#This Row],[Target Price]]-1</f>
        <v>-8.7057457922229409E-3</v>
      </c>
    </row>
    <row r="33" spans="1:18">
      <c r="A33" s="96">
        <v>43329</v>
      </c>
      <c r="B33" s="101">
        <v>17.079999999999998</v>
      </c>
      <c r="C33" s="4">
        <f t="shared" si="2"/>
        <v>-8.743862179414523E-3</v>
      </c>
      <c r="D33" s="4">
        <f>IFERROR(Target1[[#This Row],[Target Return]]+1,"-")</f>
        <v>0.99125613782058553</v>
      </c>
      <c r="E33" s="6">
        <f>B33-MAX($B$2:B33)</f>
        <v>-0.95000000000000284</v>
      </c>
      <c r="F33" s="80">
        <f t="shared" si="0"/>
        <v>7</v>
      </c>
      <c r="G33" s="77">
        <f>Target1[[#This Row],[Target Drawdown]]/MAX($B$2:B33)</f>
        <v>-5.2689961175818235E-2</v>
      </c>
      <c r="H33" s="1" t="str">
        <f>IF(SUM(COUNTIF(Benchmark1[Benchmark '#1 Dates],Target1[[#This Row],[Target Dates]]),COUNTIF(Benchmark2[Benchmark '#2 Dates],Target1[[#This Row],[Target Dates]]))=2,"Pass","Fail")</f>
        <v>Pass</v>
      </c>
      <c r="I33" s="78">
        <f t="shared" si="1"/>
        <v>-0.95000000000000284</v>
      </c>
      <c r="K33" s="72">
        <f>Target1[[#This Row],[Target Price]]/$B$2*100</f>
        <v>99.36009307737055</v>
      </c>
      <c r="R33">
        <f>B34/Target1[[#This Row],[Target Price]]-1</f>
        <v>-4.0983606557375429E-3</v>
      </c>
    </row>
    <row r="34" spans="1:18">
      <c r="A34" s="96">
        <v>43332</v>
      </c>
      <c r="B34" s="101">
        <v>17.010000000000002</v>
      </c>
      <c r="C34" s="4">
        <f t="shared" si="2"/>
        <v>-4.1067819526532483E-3</v>
      </c>
      <c r="D34" s="4">
        <f>IFERROR(Target1[[#This Row],[Target Return]]+1,"-")</f>
        <v>0.99589321804734676</v>
      </c>
      <c r="E34" s="6">
        <f>B34-MAX($B$2:B34)</f>
        <v>-1.0199999999999996</v>
      </c>
      <c r="F34" s="80">
        <f t="shared" si="0"/>
        <v>8</v>
      </c>
      <c r="G34" s="77">
        <f>Target1[[#This Row],[Target Drawdown]]/MAX($B$2:B34)</f>
        <v>-5.6572379367720436E-2</v>
      </c>
      <c r="H34" s="1" t="str">
        <f>IF(SUM(COUNTIF(Benchmark1[Benchmark '#1 Dates],Target1[[#This Row],[Target Dates]]),COUNTIF(Benchmark2[Benchmark '#2 Dates],Target1[[#This Row],[Target Dates]]))=2,"Pass","Fail")</f>
        <v>Pass</v>
      </c>
      <c r="I34" s="78">
        <f t="shared" si="1"/>
        <v>-1.0199999999999996</v>
      </c>
      <c r="K34" s="72">
        <f>Target1[[#This Row],[Target Price]]/$B$2*100</f>
        <v>98.952879581151834</v>
      </c>
      <c r="R34">
        <f>B35/Target1[[#This Row],[Target Price]]-1</f>
        <v>6.4667842445620405E-3</v>
      </c>
    </row>
    <row r="35" spans="1:18">
      <c r="A35" s="96">
        <v>43333</v>
      </c>
      <c r="B35" s="101">
        <v>17.12</v>
      </c>
      <c r="C35" s="4">
        <f t="shared" si="2"/>
        <v>6.4459643058256671E-3</v>
      </c>
      <c r="D35" s="4">
        <f>IFERROR(Target1[[#This Row],[Target Return]]+1,"-")</f>
        <v>1.0064459643058257</v>
      </c>
      <c r="E35" s="6">
        <f>B35-MAX($B$2:B35)</f>
        <v>-0.91000000000000014</v>
      </c>
      <c r="F35" s="80">
        <f t="shared" si="0"/>
        <v>9</v>
      </c>
      <c r="G35" s="77">
        <f>Target1[[#This Row],[Target Drawdown]]/MAX($B$2:B35)</f>
        <v>-5.0471436494731008E-2</v>
      </c>
      <c r="H35" s="1" t="str">
        <f>IF(SUM(COUNTIF(Benchmark1[Benchmark '#1 Dates],Target1[[#This Row],[Target Dates]]),COUNTIF(Benchmark2[Benchmark '#2 Dates],Target1[[#This Row],[Target Dates]]))=2,"Pass","Fail")</f>
        <v>Pass</v>
      </c>
      <c r="I35" s="78">
        <f t="shared" si="1"/>
        <v>-0.91000000000000014</v>
      </c>
      <c r="K35" s="72">
        <f>Target1[[#This Row],[Target Price]]/$B$2*100</f>
        <v>99.592786503781269</v>
      </c>
      <c r="R35">
        <f>B36/Target1[[#This Row],[Target Price]]-1</f>
        <v>9.3457943925234765E-3</v>
      </c>
    </row>
    <row r="36" spans="1:18">
      <c r="A36" s="96">
        <v>43334</v>
      </c>
      <c r="B36" s="101">
        <v>17.28</v>
      </c>
      <c r="C36" s="4">
        <f t="shared" si="2"/>
        <v>9.3023926623136306E-3</v>
      </c>
      <c r="D36" s="4">
        <f>IFERROR(Target1[[#This Row],[Target Return]]+1,"-")</f>
        <v>1.0093023926623137</v>
      </c>
      <c r="E36" s="6">
        <f>B36-MAX($B$2:B36)</f>
        <v>-0.75</v>
      </c>
      <c r="F36" s="80">
        <f t="shared" si="0"/>
        <v>10</v>
      </c>
      <c r="G36" s="77">
        <f>Target1[[#This Row],[Target Drawdown]]/MAX($B$2:B36)</f>
        <v>-4.1597337770382693E-2</v>
      </c>
      <c r="H36" s="1" t="str">
        <f>IF(SUM(COUNTIF(Benchmark1[Benchmark '#1 Dates],Target1[[#This Row],[Target Dates]]),COUNTIF(Benchmark2[Benchmark '#2 Dates],Target1[[#This Row],[Target Dates]]))=2,"Pass","Fail")</f>
        <v>Pass</v>
      </c>
      <c r="I36" s="78">
        <f t="shared" si="1"/>
        <v>-0.75</v>
      </c>
      <c r="K36" s="72">
        <f>Target1[[#This Row],[Target Price]]/$B$2*100</f>
        <v>100.52356020942408</v>
      </c>
      <c r="R36">
        <f>B37/Target1[[#This Row],[Target Price]]-1</f>
        <v>8.1018518518518601E-3</v>
      </c>
    </row>
    <row r="37" spans="1:18">
      <c r="A37" s="96">
        <v>43335</v>
      </c>
      <c r="B37" s="101">
        <v>17.420000000000002</v>
      </c>
      <c r="C37" s="4">
        <f t="shared" si="2"/>
        <v>8.0692080484471834E-3</v>
      </c>
      <c r="D37" s="4">
        <f>IFERROR(Target1[[#This Row],[Target Return]]+1,"-")</f>
        <v>1.0080692080484472</v>
      </c>
      <c r="E37" s="6">
        <f>B37-MAX($B$2:B37)</f>
        <v>-0.60999999999999943</v>
      </c>
      <c r="F37" s="80">
        <f t="shared" si="0"/>
        <v>11</v>
      </c>
      <c r="G37" s="77">
        <f>Target1[[#This Row],[Target Drawdown]]/MAX($B$2:B37)</f>
        <v>-3.3832501386577889E-2</v>
      </c>
      <c r="H37" s="1" t="str">
        <f>IF(SUM(COUNTIF(Benchmark1[Benchmark '#1 Dates],Target1[[#This Row],[Target Dates]]),COUNTIF(Benchmark2[Benchmark '#2 Dates],Target1[[#This Row],[Target Dates]]))=2,"Pass","Fail")</f>
        <v>Pass</v>
      </c>
      <c r="I37" s="78">
        <f t="shared" si="1"/>
        <v>-0.60999999999999943</v>
      </c>
      <c r="K37" s="72">
        <f>Target1[[#This Row],[Target Price]]/$B$2*100</f>
        <v>101.33798720186155</v>
      </c>
      <c r="R37">
        <f>B38/Target1[[#This Row],[Target Price]]-1</f>
        <v>2.8702640642936927E-3</v>
      </c>
    </row>
    <row r="38" spans="1:18">
      <c r="A38" s="96">
        <v>43336</v>
      </c>
      <c r="B38" s="101">
        <v>17.47</v>
      </c>
      <c r="C38" s="4">
        <f t="shared" si="2"/>
        <v>2.8661527216082379E-3</v>
      </c>
      <c r="D38" s="4">
        <f>IFERROR(Target1[[#This Row],[Target Return]]+1,"-")</f>
        <v>1.0028661527216083</v>
      </c>
      <c r="E38" s="6">
        <f>B38-MAX($B$2:B38)</f>
        <v>-0.56000000000000227</v>
      </c>
      <c r="F38" s="80">
        <f t="shared" si="0"/>
        <v>12</v>
      </c>
      <c r="G38" s="77">
        <f>Target1[[#This Row],[Target Drawdown]]/MAX($B$2:B38)</f>
        <v>-3.1059345535219204E-2</v>
      </c>
      <c r="H38" s="1" t="str">
        <f>IF(SUM(COUNTIF(Benchmark1[Benchmark '#1 Dates],Target1[[#This Row],[Target Dates]]),COUNTIF(Benchmark2[Benchmark '#2 Dates],Target1[[#This Row],[Target Dates]]))=2,"Pass","Fail")</f>
        <v>Pass</v>
      </c>
      <c r="I38" s="78">
        <f t="shared" si="1"/>
        <v>-0.56000000000000227</v>
      </c>
      <c r="K38" s="72">
        <f>Target1[[#This Row],[Target Price]]/$B$2*100</f>
        <v>101.62885398487491</v>
      </c>
      <c r="R38">
        <f>B39/Target1[[#This Row],[Target Price]]-1</f>
        <v>-3.2627361190612492E-2</v>
      </c>
    </row>
    <row r="39" spans="1:18">
      <c r="A39" s="96">
        <v>43339</v>
      </c>
      <c r="B39" s="101">
        <v>16.899999999999999</v>
      </c>
      <c r="C39" s="4">
        <f t="shared" si="2"/>
        <v>-3.3171502216937425E-2</v>
      </c>
      <c r="D39" s="4">
        <f>IFERROR(Target1[[#This Row],[Target Return]]+1,"-")</f>
        <v>0.96682849778306257</v>
      </c>
      <c r="E39" s="6">
        <f>B39-MAX($B$2:B39)</f>
        <v>-1.1300000000000026</v>
      </c>
      <c r="F39" s="80">
        <f t="shared" si="0"/>
        <v>13</v>
      </c>
      <c r="G39" s="77">
        <f>Target1[[#This Row],[Target Drawdown]]/MAX($B$2:B39)</f>
        <v>-6.2673322240710067E-2</v>
      </c>
      <c r="H39" s="1" t="str">
        <f>IF(SUM(COUNTIF(Benchmark1[Benchmark '#1 Dates],Target1[[#This Row],[Target Dates]]),COUNTIF(Benchmark2[Benchmark '#2 Dates],Target1[[#This Row],[Target Dates]]))=2,"Pass","Fail")</f>
        <v>Pass</v>
      </c>
      <c r="I39" s="78">
        <f t="shared" si="1"/>
        <v>-1.1300000000000026</v>
      </c>
      <c r="K39" s="72">
        <f>Target1[[#This Row],[Target Price]]/$B$2*100</f>
        <v>98.312972658522384</v>
      </c>
      <c r="R39">
        <f>B40/Target1[[#This Row],[Target Price]]-1</f>
        <v>-1.3609467455621083E-2</v>
      </c>
    </row>
    <row r="40" spans="1:18">
      <c r="A40" s="96">
        <v>43340</v>
      </c>
      <c r="B40" s="101">
        <v>16.670000000000002</v>
      </c>
      <c r="C40" s="4">
        <f t="shared" si="2"/>
        <v>-1.3702925166324932E-2</v>
      </c>
      <c r="D40" s="4">
        <f>IFERROR(Target1[[#This Row],[Target Return]]+1,"-")</f>
        <v>0.98629707483367501</v>
      </c>
      <c r="E40" s="6">
        <f>B40-MAX($B$2:B40)</f>
        <v>-1.3599999999999994</v>
      </c>
      <c r="F40" s="80">
        <f t="shared" si="0"/>
        <v>14</v>
      </c>
      <c r="G40" s="77">
        <f>Target1[[#This Row],[Target Drawdown]]/MAX($B$2:B40)</f>
        <v>-7.5429839156960582E-2</v>
      </c>
      <c r="H40" s="1" t="str">
        <f>IF(SUM(COUNTIF(Benchmark1[Benchmark '#1 Dates],Target1[[#This Row],[Target Dates]]),COUNTIF(Benchmark2[Benchmark '#2 Dates],Target1[[#This Row],[Target Dates]]))=2,"Pass","Fail")</f>
        <v>Pass</v>
      </c>
      <c r="I40" s="78">
        <f t="shared" si="1"/>
        <v>-1.3599999999999994</v>
      </c>
      <c r="K40" s="72">
        <f>Target1[[#This Row],[Target Price]]/$B$2*100</f>
        <v>96.97498545666086</v>
      </c>
      <c r="R40">
        <f>B41/Target1[[#This Row],[Target Price]]-1</f>
        <v>-2.9994001199760145E-3</v>
      </c>
    </row>
    <row r="41" spans="1:18">
      <c r="A41" s="96">
        <v>43341</v>
      </c>
      <c r="B41" s="101">
        <v>16.62</v>
      </c>
      <c r="C41" s="4">
        <f t="shared" si="2"/>
        <v>-3.0039073354005109E-3</v>
      </c>
      <c r="D41" s="4">
        <f>IFERROR(Target1[[#This Row],[Target Return]]+1,"-")</f>
        <v>0.99699609266459954</v>
      </c>
      <c r="E41" s="6">
        <f>B41-MAX($B$2:B41)</f>
        <v>-1.4100000000000001</v>
      </c>
      <c r="F41" s="80">
        <f t="shared" si="0"/>
        <v>15</v>
      </c>
      <c r="G41" s="77">
        <f>Target1[[#This Row],[Target Drawdown]]/MAX($B$2:B41)</f>
        <v>-7.8202995008319467E-2</v>
      </c>
      <c r="H41" s="1" t="str">
        <f>IF(SUM(COUNTIF(Benchmark1[Benchmark '#1 Dates],Target1[[#This Row],[Target Dates]]),COUNTIF(Benchmark2[Benchmark '#2 Dates],Target1[[#This Row],[Target Dates]]))=2,"Pass","Fail")</f>
        <v>Pass</v>
      </c>
      <c r="I41" s="78">
        <f t="shared" si="1"/>
        <v>-1.4100000000000001</v>
      </c>
      <c r="K41" s="72">
        <f>Target1[[#This Row],[Target Price]]/$B$2*100</f>
        <v>96.684118673647461</v>
      </c>
      <c r="R41">
        <f>B42/Target1[[#This Row],[Target Price]]-1</f>
        <v>-1.0830324909747224E-2</v>
      </c>
    </row>
    <row r="42" spans="1:18">
      <c r="A42" s="96">
        <v>43342</v>
      </c>
      <c r="B42" s="101">
        <v>16.440000000000001</v>
      </c>
      <c r="C42" s="4">
        <f t="shared" si="2"/>
        <v>-1.0889399799268206E-2</v>
      </c>
      <c r="D42" s="4">
        <f>IFERROR(Target1[[#This Row],[Target Return]]+1,"-")</f>
        <v>0.98911060020073183</v>
      </c>
      <c r="E42" s="6">
        <f>B42-MAX($B$2:B42)</f>
        <v>-1.5899999999999999</v>
      </c>
      <c r="F42" s="80">
        <f t="shared" si="0"/>
        <v>16</v>
      </c>
      <c r="G42" s="77">
        <f>Target1[[#This Row],[Target Drawdown]]/MAX($B$2:B42)</f>
        <v>-8.8186356073211306E-2</v>
      </c>
      <c r="H42" s="1" t="str">
        <f>IF(SUM(COUNTIF(Benchmark1[Benchmark '#1 Dates],Target1[[#This Row],[Target Dates]]),COUNTIF(Benchmark2[Benchmark '#2 Dates],Target1[[#This Row],[Target Dates]]))=2,"Pass","Fail")</f>
        <v>Pass</v>
      </c>
      <c r="I42" s="78">
        <f t="shared" si="1"/>
        <v>-1.5899999999999999</v>
      </c>
      <c r="K42" s="72">
        <f>Target1[[#This Row],[Target Price]]/$B$2*100</f>
        <v>95.636998254799295</v>
      </c>
      <c r="R42">
        <f>B43/Target1[[#This Row],[Target Price]]-1</f>
        <v>7.2992700729925808E-3</v>
      </c>
    </row>
    <row r="43" spans="1:18">
      <c r="A43" s="96">
        <v>43343</v>
      </c>
      <c r="B43" s="101">
        <v>16.559999999999999</v>
      </c>
      <c r="C43" s="4">
        <f t="shared" si="2"/>
        <v>7.2727593290796569E-3</v>
      </c>
      <c r="D43" s="4">
        <f>IFERROR(Target1[[#This Row],[Target Return]]+1,"-")</f>
        <v>1.0072727593290796</v>
      </c>
      <c r="E43" s="6">
        <f>B43-MAX($B$2:B43)</f>
        <v>-1.4700000000000024</v>
      </c>
      <c r="F43" s="80">
        <f t="shared" si="0"/>
        <v>17</v>
      </c>
      <c r="G43" s="77">
        <f>Target1[[#This Row],[Target Drawdown]]/MAX($B$2:B43)</f>
        <v>-8.1530782029950219E-2</v>
      </c>
      <c r="H43" s="1" t="str">
        <f>IF(SUM(COUNTIF(Benchmark1[Benchmark '#1 Dates],Target1[[#This Row],[Target Dates]]),COUNTIF(Benchmark2[Benchmark '#2 Dates],Target1[[#This Row],[Target Dates]]))=2,"Pass","Fail")</f>
        <v>Pass</v>
      </c>
      <c r="I43" s="78">
        <f t="shared" si="1"/>
        <v>-1.4700000000000024</v>
      </c>
      <c r="K43" s="72">
        <f>Target1[[#This Row],[Target Price]]/$B$2*100</f>
        <v>96.33507853403141</v>
      </c>
      <c r="R43">
        <f>B44/Target1[[#This Row],[Target Price]]-1</f>
        <v>-7.246376811594013E-3</v>
      </c>
    </row>
    <row r="44" spans="1:18">
      <c r="A44" s="96">
        <v>43347</v>
      </c>
      <c r="B44" s="101">
        <v>16.440000000000001</v>
      </c>
      <c r="C44" s="4">
        <f t="shared" si="2"/>
        <v>-7.2727593290795849E-3</v>
      </c>
      <c r="D44" s="4">
        <f>IFERROR(Target1[[#This Row],[Target Return]]+1,"-")</f>
        <v>0.99272724067092044</v>
      </c>
      <c r="E44" s="6">
        <f>B44-MAX($B$2:B44)</f>
        <v>-1.5899999999999999</v>
      </c>
      <c r="F44" s="80">
        <f t="shared" si="0"/>
        <v>18</v>
      </c>
      <c r="G44" s="77">
        <f>Target1[[#This Row],[Target Drawdown]]/MAX($B$2:B44)</f>
        <v>-8.8186356073211306E-2</v>
      </c>
      <c r="H44" s="1" t="str">
        <f>IF(SUM(COUNTIF(Benchmark1[Benchmark '#1 Dates],Target1[[#This Row],[Target Dates]]),COUNTIF(Benchmark2[Benchmark '#2 Dates],Target1[[#This Row],[Target Dates]]))=2,"Pass","Fail")</f>
        <v>Pass</v>
      </c>
      <c r="I44" s="78">
        <f t="shared" si="1"/>
        <v>-1.5899999999999999</v>
      </c>
      <c r="K44" s="72">
        <f>Target1[[#This Row],[Target Price]]/$B$2*100</f>
        <v>95.636998254799295</v>
      </c>
      <c r="R44">
        <f>B45/Target1[[#This Row],[Target Price]]-1</f>
        <v>1.3381995133819879E-2</v>
      </c>
    </row>
    <row r="45" spans="1:18">
      <c r="A45" s="96">
        <v>43348</v>
      </c>
      <c r="B45" s="101">
        <v>16.66</v>
      </c>
      <c r="C45" s="4">
        <f t="shared" si="2"/>
        <v>1.3293247110662704E-2</v>
      </c>
      <c r="D45" s="4">
        <f>IFERROR(Target1[[#This Row],[Target Return]]+1,"-")</f>
        <v>1.0132932471106626</v>
      </c>
      <c r="E45" s="6">
        <f>B45-MAX($B$2:B45)</f>
        <v>-1.370000000000001</v>
      </c>
      <c r="F45" s="80">
        <f t="shared" si="0"/>
        <v>19</v>
      </c>
      <c r="G45" s="77">
        <f>Target1[[#This Row],[Target Drawdown]]/MAX($B$2:B45)</f>
        <v>-7.5984470327232434E-2</v>
      </c>
      <c r="H45" s="1" t="str">
        <f>IF(SUM(COUNTIF(Benchmark1[Benchmark '#1 Dates],Target1[[#This Row],[Target Dates]]),COUNTIF(Benchmark2[Benchmark '#2 Dates],Target1[[#This Row],[Target Dates]]))=2,"Pass","Fail")</f>
        <v>Pass</v>
      </c>
      <c r="I45" s="78">
        <f t="shared" si="1"/>
        <v>-1.370000000000001</v>
      </c>
      <c r="K45" s="72">
        <f>Target1[[#This Row],[Target Price]]/$B$2*100</f>
        <v>96.916812100058166</v>
      </c>
      <c r="R45">
        <f>B46/Target1[[#This Row],[Target Price]]-1</f>
        <v>1.7406962785113889E-2</v>
      </c>
    </row>
    <row r="46" spans="1:18">
      <c r="A46" s="96">
        <v>43349</v>
      </c>
      <c r="B46" s="101">
        <v>16.95</v>
      </c>
      <c r="C46" s="4">
        <f t="shared" si="2"/>
        <v>1.725719708776248E-2</v>
      </c>
      <c r="D46" s="4">
        <f>IFERROR(Target1[[#This Row],[Target Return]]+1,"-")</f>
        <v>1.0172571970877624</v>
      </c>
      <c r="E46" s="6">
        <f>B46-MAX($B$2:B46)</f>
        <v>-1.0800000000000018</v>
      </c>
      <c r="F46" s="80">
        <f t="shared" si="0"/>
        <v>20</v>
      </c>
      <c r="G46" s="77">
        <f>Target1[[#This Row],[Target Drawdown]]/MAX($B$2:B46)</f>
        <v>-5.9900166389351181E-2</v>
      </c>
      <c r="H46" s="1" t="str">
        <f>IF(SUM(COUNTIF(Benchmark1[Benchmark '#1 Dates],Target1[[#This Row],[Target Dates]]),COUNTIF(Benchmark2[Benchmark '#2 Dates],Target1[[#This Row],[Target Dates]]))=2,"Pass","Fail")</f>
        <v>Pass</v>
      </c>
      <c r="I46" s="78">
        <f t="shared" si="1"/>
        <v>-1.0800000000000018</v>
      </c>
      <c r="K46" s="72">
        <f>Target1[[#This Row],[Target Price]]/$B$2*100</f>
        <v>98.603839441535769</v>
      </c>
      <c r="R46">
        <f>B47/Target1[[#This Row],[Target Price]]-1</f>
        <v>-1.7699115044246261E-3</v>
      </c>
    </row>
    <row r="47" spans="1:18">
      <c r="A47" s="96">
        <v>43350</v>
      </c>
      <c r="B47" s="101">
        <v>16.920000000000002</v>
      </c>
      <c r="C47" s="4">
        <f t="shared" si="2"/>
        <v>-1.7714796483818932E-3</v>
      </c>
      <c r="D47" s="4">
        <f>IFERROR(Target1[[#This Row],[Target Return]]+1,"-")</f>
        <v>0.99822852035161813</v>
      </c>
      <c r="E47" s="6">
        <f>B47-MAX($B$2:B47)</f>
        <v>-1.1099999999999994</v>
      </c>
      <c r="F47" s="80">
        <f t="shared" si="0"/>
        <v>21</v>
      </c>
      <c r="G47" s="77">
        <f>Target1[[#This Row],[Target Drawdown]]/MAX($B$2:B47)</f>
        <v>-6.1564059900166355E-2</v>
      </c>
      <c r="H47" s="1" t="str">
        <f>IF(SUM(COUNTIF(Benchmark1[Benchmark '#1 Dates],Target1[[#This Row],[Target Dates]]),COUNTIF(Benchmark2[Benchmark '#2 Dates],Target1[[#This Row],[Target Dates]]))=2,"Pass","Fail")</f>
        <v>Pass</v>
      </c>
      <c r="I47" s="78">
        <f t="shared" si="1"/>
        <v>-1.1099999999999994</v>
      </c>
      <c r="K47" s="72">
        <f>Target1[[#This Row],[Target Price]]/$B$2*100</f>
        <v>98.429319371727757</v>
      </c>
      <c r="R47">
        <f>B48/Target1[[#This Row],[Target Price]]-1</f>
        <v>-1.5366430260047359E-2</v>
      </c>
    </row>
    <row r="48" spans="1:18">
      <c r="A48" s="96">
        <v>43353</v>
      </c>
      <c r="B48" s="101">
        <v>16.66</v>
      </c>
      <c r="C48" s="4">
        <f t="shared" si="2"/>
        <v>-1.5485717439380667E-2</v>
      </c>
      <c r="D48" s="4">
        <f>IFERROR(Target1[[#This Row],[Target Return]]+1,"-")</f>
        <v>0.98451428256061935</v>
      </c>
      <c r="E48" s="6">
        <f>B48-MAX($B$2:B48)</f>
        <v>-1.370000000000001</v>
      </c>
      <c r="F48" s="80">
        <f t="shared" si="0"/>
        <v>22</v>
      </c>
      <c r="G48" s="77">
        <f>Target1[[#This Row],[Target Drawdown]]/MAX($B$2:B48)</f>
        <v>-7.5984470327232434E-2</v>
      </c>
      <c r="H48" s="1" t="str">
        <f>IF(SUM(COUNTIF(Benchmark1[Benchmark '#1 Dates],Target1[[#This Row],[Target Dates]]),COUNTIF(Benchmark2[Benchmark '#2 Dates],Target1[[#This Row],[Target Dates]]))=2,"Pass","Fail")</f>
        <v>Pass</v>
      </c>
      <c r="I48" s="78">
        <f t="shared" si="1"/>
        <v>-1.370000000000001</v>
      </c>
      <c r="K48" s="72">
        <f>Target1[[#This Row],[Target Price]]/$B$2*100</f>
        <v>96.916812100058166</v>
      </c>
      <c r="R48">
        <f>B49/Target1[[#This Row],[Target Price]]-1</f>
        <v>6.0024009603854012E-4</v>
      </c>
    </row>
    <row r="49" spans="1:18">
      <c r="A49" s="96">
        <v>43354</v>
      </c>
      <c r="B49" s="101">
        <v>16.670000000000002</v>
      </c>
      <c r="C49" s="4">
        <f t="shared" si="2"/>
        <v>6.0006002400612676E-4</v>
      </c>
      <c r="D49" s="4">
        <f>IFERROR(Target1[[#This Row],[Target Return]]+1,"-")</f>
        <v>1.0006000600240061</v>
      </c>
      <c r="E49" s="6">
        <f>B49-MAX($B$2:B49)</f>
        <v>-1.3599999999999994</v>
      </c>
      <c r="F49" s="80">
        <f t="shared" si="0"/>
        <v>23</v>
      </c>
      <c r="G49" s="77">
        <f>Target1[[#This Row],[Target Drawdown]]/MAX($B$2:B49)</f>
        <v>-7.5429839156960582E-2</v>
      </c>
      <c r="H49" s="1" t="str">
        <f>IF(SUM(COUNTIF(Benchmark1[Benchmark '#1 Dates],Target1[[#This Row],[Target Dates]]),COUNTIF(Benchmark2[Benchmark '#2 Dates],Target1[[#This Row],[Target Dates]]))=2,"Pass","Fail")</f>
        <v>Pass</v>
      </c>
      <c r="I49" s="78">
        <f t="shared" si="1"/>
        <v>-1.3599999999999994</v>
      </c>
      <c r="K49" s="72">
        <f>Target1[[#This Row],[Target Price]]/$B$2*100</f>
        <v>96.97498545666086</v>
      </c>
      <c r="R49">
        <f>B50/Target1[[#This Row],[Target Price]]-1</f>
        <v>-1.0197960407918538E-2</v>
      </c>
    </row>
    <row r="50" spans="1:18">
      <c r="A50" s="96">
        <v>43355</v>
      </c>
      <c r="B50" s="101">
        <v>16.5</v>
      </c>
      <c r="C50" s="4">
        <f t="shared" si="2"/>
        <v>-1.0250315856167831E-2</v>
      </c>
      <c r="D50" s="4">
        <f>IFERROR(Target1[[#This Row],[Target Return]]+1,"-")</f>
        <v>0.98974968414383213</v>
      </c>
      <c r="E50" s="6">
        <f>B50-MAX($B$2:B50)</f>
        <v>-1.5300000000000011</v>
      </c>
      <c r="F50" s="80">
        <f t="shared" si="0"/>
        <v>24</v>
      </c>
      <c r="G50" s="77">
        <f>Target1[[#This Row],[Target Drawdown]]/MAX($B$2:B50)</f>
        <v>-8.4858569051580762E-2</v>
      </c>
      <c r="H50" s="1" t="str">
        <f>IF(SUM(COUNTIF(Benchmark1[Benchmark '#1 Dates],Target1[[#This Row],[Target Dates]]),COUNTIF(Benchmark2[Benchmark '#2 Dates],Target1[[#This Row],[Target Dates]]))=2,"Pass","Fail")</f>
        <v>Pass</v>
      </c>
      <c r="I50" s="78">
        <f t="shared" si="1"/>
        <v>-1.5300000000000011</v>
      </c>
      <c r="K50" s="72">
        <f>Target1[[#This Row],[Target Price]]/$B$2*100</f>
        <v>95.986038394415345</v>
      </c>
      <c r="R50">
        <f>B51/Target1[[#This Row],[Target Price]]-1</f>
        <v>2.5454545454545618E-2</v>
      </c>
    </row>
    <row r="51" spans="1:18">
      <c r="A51" s="96">
        <v>43356</v>
      </c>
      <c r="B51" s="101">
        <v>16.920000000000002</v>
      </c>
      <c r="C51" s="4">
        <f t="shared" si="2"/>
        <v>2.5135973271542454E-2</v>
      </c>
      <c r="D51" s="4">
        <f>IFERROR(Target1[[#This Row],[Target Return]]+1,"-")</f>
        <v>1.0251359732715424</v>
      </c>
      <c r="E51" s="6">
        <f>B51-MAX($B$2:B51)</f>
        <v>-1.1099999999999994</v>
      </c>
      <c r="F51" s="80">
        <f t="shared" si="0"/>
        <v>25</v>
      </c>
      <c r="G51" s="77">
        <f>Target1[[#This Row],[Target Drawdown]]/MAX($B$2:B51)</f>
        <v>-6.1564059900166355E-2</v>
      </c>
      <c r="H51" s="1" t="str">
        <f>IF(SUM(COUNTIF(Benchmark1[Benchmark '#1 Dates],Target1[[#This Row],[Target Dates]]),COUNTIF(Benchmark2[Benchmark '#2 Dates],Target1[[#This Row],[Target Dates]]))=2,"Pass","Fail")</f>
        <v>Pass</v>
      </c>
      <c r="I51" s="78">
        <f t="shared" si="1"/>
        <v>-1.1099999999999994</v>
      </c>
      <c r="K51" s="72">
        <f>Target1[[#This Row],[Target Price]]/$B$2*100</f>
        <v>98.429319371727757</v>
      </c>
      <c r="R51">
        <f>B52/Target1[[#This Row],[Target Price]]-1</f>
        <v>1.4775413711583862E-2</v>
      </c>
    </row>
    <row r="52" spans="1:18">
      <c r="A52" s="96">
        <v>43357</v>
      </c>
      <c r="B52" s="101">
        <v>17.170000000000002</v>
      </c>
      <c r="C52" s="4">
        <f t="shared" si="2"/>
        <v>1.4667320731306882E-2</v>
      </c>
      <c r="D52" s="4">
        <f>IFERROR(Target1[[#This Row],[Target Return]]+1,"-")</f>
        <v>1.0146673207313068</v>
      </c>
      <c r="E52" s="6">
        <f>B52-MAX($B$2:B52)</f>
        <v>-0.85999999999999943</v>
      </c>
      <c r="F52" s="80">
        <f t="shared" si="0"/>
        <v>26</v>
      </c>
      <c r="G52" s="77">
        <f>Target1[[#This Row],[Target Drawdown]]/MAX($B$2:B52)</f>
        <v>-4.7698280643372122E-2</v>
      </c>
      <c r="H52" s="1" t="str">
        <f>IF(SUM(COUNTIF(Benchmark1[Benchmark '#1 Dates],Target1[[#This Row],[Target Dates]]),COUNTIF(Benchmark2[Benchmark '#2 Dates],Target1[[#This Row],[Target Dates]]))=2,"Pass","Fail")</f>
        <v>Pass</v>
      </c>
      <c r="I52" s="78">
        <f t="shared" si="1"/>
        <v>-0.85999999999999943</v>
      </c>
      <c r="K52" s="72">
        <f>Target1[[#This Row],[Target Price]]/$B$2*100</f>
        <v>99.883653286794654</v>
      </c>
      <c r="R52">
        <f>B53/Target1[[#This Row],[Target Price]]-1</f>
        <v>-9.9009900990100208E-3</v>
      </c>
    </row>
    <row r="53" spans="1:18">
      <c r="A53" s="96">
        <v>43360</v>
      </c>
      <c r="B53" s="101">
        <v>17</v>
      </c>
      <c r="C53" s="4">
        <f t="shared" si="2"/>
        <v>-9.950330853168203E-3</v>
      </c>
      <c r="D53" s="4">
        <f>IFERROR(Target1[[#This Row],[Target Return]]+1,"-")</f>
        <v>0.99004966914683179</v>
      </c>
      <c r="E53" s="6">
        <f>B53-MAX($B$2:B53)</f>
        <v>-1.0300000000000011</v>
      </c>
      <c r="F53" s="80">
        <f t="shared" si="0"/>
        <v>27</v>
      </c>
      <c r="G53" s="77">
        <f>Target1[[#This Row],[Target Drawdown]]/MAX($B$2:B53)</f>
        <v>-5.7127010537992295E-2</v>
      </c>
      <c r="H53" s="1" t="str">
        <f>IF(SUM(COUNTIF(Benchmark1[Benchmark '#1 Dates],Target1[[#This Row],[Target Dates]]),COUNTIF(Benchmark2[Benchmark '#2 Dates],Target1[[#This Row],[Target Dates]]))=2,"Pass","Fail")</f>
        <v>Pass</v>
      </c>
      <c r="I53" s="78">
        <f t="shared" si="1"/>
        <v>-1.0300000000000011</v>
      </c>
      <c r="K53" s="72">
        <f>Target1[[#This Row],[Target Price]]/$B$2*100</f>
        <v>98.89470622454914</v>
      </c>
      <c r="R53">
        <f>B54/Target1[[#This Row],[Target Price]]-1</f>
        <v>1.7058823529411793E-2</v>
      </c>
    </row>
    <row r="54" spans="1:18">
      <c r="A54" s="96">
        <v>43361</v>
      </c>
      <c r="B54" s="101">
        <v>17.29</v>
      </c>
      <c r="C54" s="4">
        <f t="shared" si="2"/>
        <v>1.6914955638983081E-2</v>
      </c>
      <c r="D54" s="4">
        <f>IFERROR(Target1[[#This Row],[Target Return]]+1,"-")</f>
        <v>1.0169149556389832</v>
      </c>
      <c r="E54" s="6">
        <f>B54-MAX($B$2:B54)</f>
        <v>-0.74000000000000199</v>
      </c>
      <c r="F54" s="80">
        <f t="shared" si="0"/>
        <v>28</v>
      </c>
      <c r="G54" s="77">
        <f>Target1[[#This Row],[Target Drawdown]]/MAX($B$2:B54)</f>
        <v>-4.1042706600111035E-2</v>
      </c>
      <c r="H54" s="1" t="str">
        <f>IF(SUM(COUNTIF(Benchmark1[Benchmark '#1 Dates],Target1[[#This Row],[Target Dates]]),COUNTIF(Benchmark2[Benchmark '#2 Dates],Target1[[#This Row],[Target Dates]]))=2,"Pass","Fail")</f>
        <v>Pass</v>
      </c>
      <c r="I54" s="78">
        <f t="shared" si="1"/>
        <v>-0.74000000000000199</v>
      </c>
      <c r="K54" s="72">
        <f>Target1[[#This Row],[Target Price]]/$B$2*100</f>
        <v>100.58173356602676</v>
      </c>
      <c r="R54">
        <f>B55/Target1[[#This Row],[Target Price]]-1</f>
        <v>1.5615962984383946E-2</v>
      </c>
    </row>
    <row r="55" spans="1:18">
      <c r="A55" s="96">
        <v>43362</v>
      </c>
      <c r="B55" s="101">
        <v>17.559999999999999</v>
      </c>
      <c r="C55" s="4">
        <f t="shared" si="2"/>
        <v>1.5495288511771378E-2</v>
      </c>
      <c r="D55" s="4">
        <f>IFERROR(Target1[[#This Row],[Target Return]]+1,"-")</f>
        <v>1.0154952885117714</v>
      </c>
      <c r="E55" s="6">
        <f>B55-MAX($B$2:B55)</f>
        <v>-0.47000000000000242</v>
      </c>
      <c r="F55" s="80">
        <f t="shared" si="0"/>
        <v>29</v>
      </c>
      <c r="G55" s="77">
        <f>Target1[[#This Row],[Target Drawdown]]/MAX($B$2:B55)</f>
        <v>-2.6067665002773289E-2</v>
      </c>
      <c r="H55" s="1" t="str">
        <f>IF(SUM(COUNTIF(Benchmark1[Benchmark '#1 Dates],Target1[[#This Row],[Target Dates]]),COUNTIF(Benchmark2[Benchmark '#2 Dates],Target1[[#This Row],[Target Dates]]))=2,"Pass","Fail")</f>
        <v>Pass</v>
      </c>
      <c r="I55" s="78">
        <f t="shared" si="1"/>
        <v>-0.47000000000000242</v>
      </c>
      <c r="K55" s="72">
        <f>Target1[[#This Row],[Target Price]]/$B$2*100</f>
        <v>102.15241419429898</v>
      </c>
      <c r="R55">
        <f>B56/Target1[[#This Row],[Target Price]]-1</f>
        <v>4.5558086560364419E-3</v>
      </c>
    </row>
    <row r="56" spans="1:18">
      <c r="A56" s="96">
        <v>43363</v>
      </c>
      <c r="B56" s="101">
        <v>17.64</v>
      </c>
      <c r="C56" s="4">
        <f t="shared" si="2"/>
        <v>4.5454623716746382E-3</v>
      </c>
      <c r="D56" s="4">
        <f>IFERROR(Target1[[#This Row],[Target Return]]+1,"-")</f>
        <v>1.0045454623716747</v>
      </c>
      <c r="E56" s="6">
        <f>B56-MAX($B$2:B56)</f>
        <v>-0.39000000000000057</v>
      </c>
      <c r="F56" s="80">
        <f t="shared" si="0"/>
        <v>30</v>
      </c>
      <c r="G56" s="77">
        <f>Target1[[#This Row],[Target Drawdown]]/MAX($B$2:B56)</f>
        <v>-2.1630615640599031E-2</v>
      </c>
      <c r="H56" s="1" t="str">
        <f>IF(SUM(COUNTIF(Benchmark1[Benchmark '#1 Dates],Target1[[#This Row],[Target Dates]]),COUNTIF(Benchmark2[Benchmark '#2 Dates],Target1[[#This Row],[Target Dates]]))=2,"Pass","Fail")</f>
        <v>Pass</v>
      </c>
      <c r="I56" s="78">
        <f t="shared" si="1"/>
        <v>-0.39000000000000057</v>
      </c>
      <c r="K56" s="72">
        <f>Target1[[#This Row],[Target Price]]/$B$2*100</f>
        <v>102.61780104712042</v>
      </c>
      <c r="R56">
        <f>B57/Target1[[#This Row],[Target Price]]-1</f>
        <v>-4.5351473922903285E-3</v>
      </c>
    </row>
    <row r="57" spans="1:18">
      <c r="A57" s="96">
        <v>43364</v>
      </c>
      <c r="B57" s="101">
        <v>17.559999999999999</v>
      </c>
      <c r="C57" s="4">
        <f t="shared" si="2"/>
        <v>-4.5454623716747224E-3</v>
      </c>
      <c r="D57" s="4">
        <f>IFERROR(Target1[[#This Row],[Target Return]]+1,"-")</f>
        <v>0.99545453762832525</v>
      </c>
      <c r="E57" s="6">
        <f>B57-MAX($B$2:B57)</f>
        <v>-0.47000000000000242</v>
      </c>
      <c r="F57" s="80">
        <f t="shared" si="0"/>
        <v>31</v>
      </c>
      <c r="G57" s="77">
        <f>Target1[[#This Row],[Target Drawdown]]/MAX($B$2:B57)</f>
        <v>-2.6067665002773289E-2</v>
      </c>
      <c r="H57" s="1" t="str">
        <f>IF(SUM(COUNTIF(Benchmark1[Benchmark '#1 Dates],Target1[[#This Row],[Target Dates]]),COUNTIF(Benchmark2[Benchmark '#2 Dates],Target1[[#This Row],[Target Dates]]))=2,"Pass","Fail")</f>
        <v>Pass</v>
      </c>
      <c r="I57" s="78">
        <f t="shared" si="1"/>
        <v>-0.47000000000000242</v>
      </c>
      <c r="K57" s="72">
        <f>Target1[[#This Row],[Target Price]]/$B$2*100</f>
        <v>102.15241419429898</v>
      </c>
      <c r="R57">
        <f>B58/Target1[[#This Row],[Target Price]]-1</f>
        <v>2.8473804100228595E-3</v>
      </c>
    </row>
    <row r="58" spans="1:18">
      <c r="A58" s="96">
        <v>43367</v>
      </c>
      <c r="B58" s="101">
        <v>17.61</v>
      </c>
      <c r="C58" s="4">
        <f t="shared" si="2"/>
        <v>2.8433343011442509E-3</v>
      </c>
      <c r="D58" s="4">
        <f>IFERROR(Target1[[#This Row],[Target Return]]+1,"-")</f>
        <v>1.0028433343011443</v>
      </c>
      <c r="E58" s="6">
        <f>B58-MAX($B$2:B58)</f>
        <v>-0.42000000000000171</v>
      </c>
      <c r="F58" s="80">
        <f t="shared" si="0"/>
        <v>32</v>
      </c>
      <c r="G58" s="77">
        <f>Target1[[#This Row],[Target Drawdown]]/MAX($B$2:B58)</f>
        <v>-2.3294509151414403E-2</v>
      </c>
      <c r="H58" s="1" t="str">
        <f>IF(SUM(COUNTIF(Benchmark1[Benchmark '#1 Dates],Target1[[#This Row],[Target Dates]]),COUNTIF(Benchmark2[Benchmark '#2 Dates],Target1[[#This Row],[Target Dates]]))=2,"Pass","Fail")</f>
        <v>Pass</v>
      </c>
      <c r="I58" s="78">
        <f t="shared" si="1"/>
        <v>-0.42000000000000171</v>
      </c>
      <c r="K58" s="72">
        <f>Target1[[#This Row],[Target Price]]/$B$2*100</f>
        <v>102.44328097731238</v>
      </c>
      <c r="R58">
        <f>B59/Target1[[#This Row],[Target Price]]-1</f>
        <v>1.7603634298694049E-2</v>
      </c>
    </row>
    <row r="59" spans="1:18">
      <c r="A59" s="96">
        <v>43368</v>
      </c>
      <c r="B59" s="101">
        <v>17.920000000000002</v>
      </c>
      <c r="C59" s="4">
        <f t="shared" si="2"/>
        <v>1.7450485038669764E-2</v>
      </c>
      <c r="D59" s="4">
        <f>IFERROR(Target1[[#This Row],[Target Return]]+1,"-")</f>
        <v>1.0174504850386699</v>
      </c>
      <c r="E59" s="6">
        <f>B59-MAX($B$2:B59)</f>
        <v>-0.10999999999999943</v>
      </c>
      <c r="F59" s="80">
        <f t="shared" si="0"/>
        <v>33</v>
      </c>
      <c r="G59" s="77">
        <f>Target1[[#This Row],[Target Drawdown]]/MAX($B$2:B59)</f>
        <v>-6.1009428729894297E-3</v>
      </c>
      <c r="H59" s="1" t="str">
        <f>IF(SUM(COUNTIF(Benchmark1[Benchmark '#1 Dates],Target1[[#This Row],[Target Dates]]),COUNTIF(Benchmark2[Benchmark '#2 Dates],Target1[[#This Row],[Target Dates]]))=2,"Pass","Fail")</f>
        <v>Pass</v>
      </c>
      <c r="I59" s="78">
        <f t="shared" si="1"/>
        <v>-0.10999999999999943</v>
      </c>
      <c r="K59" s="72">
        <f>Target1[[#This Row],[Target Price]]/$B$2*100</f>
        <v>104.24665503199535</v>
      </c>
      <c r="R59">
        <f>B60/Target1[[#This Row],[Target Price]]-1</f>
        <v>5.5803571428569843E-3</v>
      </c>
    </row>
    <row r="60" spans="1:18">
      <c r="A60" s="96">
        <v>43369</v>
      </c>
      <c r="B60" s="101">
        <v>18.02</v>
      </c>
      <c r="C60" s="4">
        <f t="shared" si="2"/>
        <v>5.564844633407286E-3</v>
      </c>
      <c r="D60" s="4">
        <f>IFERROR(Target1[[#This Row],[Target Return]]+1,"-")</f>
        <v>1.0055648446334073</v>
      </c>
      <c r="E60" s="6">
        <f>B60-MAX($B$2:B60)</f>
        <v>-1.0000000000001563E-2</v>
      </c>
      <c r="F60" s="80">
        <f t="shared" si="0"/>
        <v>34</v>
      </c>
      <c r="G60" s="77">
        <f>Target1[[#This Row],[Target Drawdown]]/MAX($B$2:B60)</f>
        <v>-5.5463117027185595E-4</v>
      </c>
      <c r="H60" s="1" t="str">
        <f>IF(SUM(COUNTIF(Benchmark1[Benchmark '#1 Dates],Target1[[#This Row],[Target Dates]]),COUNTIF(Benchmark2[Benchmark '#2 Dates],Target1[[#This Row],[Target Dates]]))=2,"Pass","Fail")</f>
        <v>Pass</v>
      </c>
      <c r="I60" s="78">
        <f t="shared" si="1"/>
        <v>-1.0000000000001563E-2</v>
      </c>
      <c r="K60" s="72">
        <f>Target1[[#This Row],[Target Price]]/$B$2*100</f>
        <v>104.8283885980221</v>
      </c>
      <c r="R60">
        <f>B61/Target1[[#This Row],[Target Price]]-1</f>
        <v>-1.7758046614872347E-2</v>
      </c>
    </row>
    <row r="61" spans="1:18">
      <c r="A61" s="96">
        <v>43370</v>
      </c>
      <c r="B61" s="101">
        <v>17.7</v>
      </c>
      <c r="C61" s="4">
        <f t="shared" si="2"/>
        <v>-1.7917612600408382E-2</v>
      </c>
      <c r="D61" s="4">
        <f>IFERROR(Target1[[#This Row],[Target Return]]+1,"-")</f>
        <v>0.98208238739959164</v>
      </c>
      <c r="E61" s="6">
        <f>B61-MAX($B$2:B61)</f>
        <v>-0.33000000000000185</v>
      </c>
      <c r="F61" s="80">
        <f t="shared" si="0"/>
        <v>35</v>
      </c>
      <c r="G61" s="77">
        <f>Target1[[#This Row],[Target Drawdown]]/MAX($B$2:B61)</f>
        <v>-1.8302828618968488E-2</v>
      </c>
      <c r="H61" s="1" t="str">
        <f>IF(SUM(COUNTIF(Benchmark1[Benchmark '#1 Dates],Target1[[#This Row],[Target Dates]]),COUNTIF(Benchmark2[Benchmark '#2 Dates],Target1[[#This Row],[Target Dates]]))=2,"Pass","Fail")</f>
        <v>Pass</v>
      </c>
      <c r="I61" s="78">
        <f t="shared" si="1"/>
        <v>-0.33000000000000185</v>
      </c>
      <c r="K61" s="72">
        <f>Target1[[#This Row],[Target Price]]/$B$2*100</f>
        <v>102.96684118673647</v>
      </c>
      <c r="R61">
        <f>B62/Target1[[#This Row],[Target Price]]-1</f>
        <v>0</v>
      </c>
    </row>
    <row r="62" spans="1:18">
      <c r="A62" s="96">
        <v>43371</v>
      </c>
      <c r="B62" s="101">
        <v>17.7</v>
      </c>
      <c r="C62" s="4">
        <f t="shared" si="2"/>
        <v>0</v>
      </c>
      <c r="D62" s="4">
        <f>IFERROR(Target1[[#This Row],[Target Return]]+1,"-")</f>
        <v>1</v>
      </c>
      <c r="E62" s="6">
        <f>B62-MAX($B$2:B62)</f>
        <v>-0.33000000000000185</v>
      </c>
      <c r="F62" s="80">
        <f t="shared" si="0"/>
        <v>36</v>
      </c>
      <c r="G62" s="77">
        <f>Target1[[#This Row],[Target Drawdown]]/MAX($B$2:B62)</f>
        <v>-1.8302828618968488E-2</v>
      </c>
      <c r="H62" s="1" t="str">
        <f>IF(SUM(COUNTIF(Benchmark1[Benchmark '#1 Dates],Target1[[#This Row],[Target Dates]]),COUNTIF(Benchmark2[Benchmark '#2 Dates],Target1[[#This Row],[Target Dates]]))=2,"Pass","Fail")</f>
        <v>Pass</v>
      </c>
      <c r="I62" s="78">
        <f t="shared" si="1"/>
        <v>-0.33000000000000185</v>
      </c>
      <c r="K62" s="72">
        <f>Target1[[#This Row],[Target Price]]/$B$2*100</f>
        <v>102.96684118673647</v>
      </c>
      <c r="R62">
        <f>B63/Target1[[#This Row],[Target Price]]-1</f>
        <v>-1.6949152542371504E-3</v>
      </c>
    </row>
    <row r="63" spans="1:18">
      <c r="A63" s="96">
        <v>43374</v>
      </c>
      <c r="B63" s="101">
        <v>17.670000000000002</v>
      </c>
      <c r="C63" s="4">
        <f t="shared" si="2"/>
        <v>-1.6963532481782907E-3</v>
      </c>
      <c r="D63" s="4">
        <f>IFERROR(Target1[[#This Row],[Target Return]]+1,"-")</f>
        <v>0.9983036467518217</v>
      </c>
      <c r="E63" s="6">
        <f>B63-MAX($B$2:B63)</f>
        <v>-0.35999999999999943</v>
      </c>
      <c r="F63" s="80">
        <f t="shared" si="0"/>
        <v>37</v>
      </c>
      <c r="G63" s="77">
        <f>Target1[[#This Row],[Target Drawdown]]/MAX($B$2:B63)</f>
        <v>-1.9966722129783662E-2</v>
      </c>
      <c r="H63" s="1" t="str">
        <f>IF(SUM(COUNTIF(Benchmark1[Benchmark '#1 Dates],Target1[[#This Row],[Target Dates]]),COUNTIF(Benchmark2[Benchmark '#2 Dates],Target1[[#This Row],[Target Dates]]))=2,"Pass","Fail")</f>
        <v>Pass</v>
      </c>
      <c r="I63" s="78">
        <f t="shared" si="1"/>
        <v>-0.35999999999999943</v>
      </c>
      <c r="K63" s="72">
        <f>Target1[[#This Row],[Target Price]]/$B$2*100</f>
        <v>102.79232111692845</v>
      </c>
      <c r="R63">
        <f>B64/Target1[[#This Row],[Target Price]]-1</f>
        <v>-5.6593095642343272E-4</v>
      </c>
    </row>
    <row r="64" spans="1:18">
      <c r="A64" s="96">
        <v>43375</v>
      </c>
      <c r="B64" s="101">
        <v>17.66</v>
      </c>
      <c r="C64" s="4">
        <f t="shared" si="2"/>
        <v>-5.6609115579119083E-4</v>
      </c>
      <c r="D64" s="4">
        <f>IFERROR(Target1[[#This Row],[Target Return]]+1,"-")</f>
        <v>0.9994339088442088</v>
      </c>
      <c r="E64" s="6">
        <f>B64-MAX($B$2:B64)</f>
        <v>-0.37000000000000099</v>
      </c>
      <c r="F64" s="80">
        <f t="shared" si="0"/>
        <v>38</v>
      </c>
      <c r="G64" s="77">
        <f>Target1[[#This Row],[Target Drawdown]]/MAX($B$2:B64)</f>
        <v>-2.0521353300055518E-2</v>
      </c>
      <c r="H64" s="1" t="str">
        <f>IF(SUM(COUNTIF(Benchmark1[Benchmark '#1 Dates],Target1[[#This Row],[Target Dates]]),COUNTIF(Benchmark2[Benchmark '#2 Dates],Target1[[#This Row],[Target Dates]]))=2,"Pass","Fail")</f>
        <v>Pass</v>
      </c>
      <c r="I64" s="78">
        <f t="shared" si="1"/>
        <v>-0.37000000000000099</v>
      </c>
      <c r="K64" s="72">
        <f>Target1[[#This Row],[Target Price]]/$B$2*100</f>
        <v>102.73414776032577</v>
      </c>
      <c r="R64">
        <f>B65/Target1[[#This Row],[Target Price]]-1</f>
        <v>-1.5288788221970551E-2</v>
      </c>
    </row>
    <row r="65" spans="1:18">
      <c r="A65" s="96">
        <v>43376</v>
      </c>
      <c r="B65" s="101">
        <v>17.39</v>
      </c>
      <c r="C65" s="4">
        <f t="shared" si="2"/>
        <v>-1.5406866809622288E-2</v>
      </c>
      <c r="D65" s="4">
        <f>IFERROR(Target1[[#This Row],[Target Return]]+1,"-")</f>
        <v>0.98459313319037767</v>
      </c>
      <c r="E65" s="6">
        <f>B65-MAX($B$2:B65)</f>
        <v>-0.64000000000000057</v>
      </c>
      <c r="F65" s="80">
        <f t="shared" si="0"/>
        <v>39</v>
      </c>
      <c r="G65" s="77">
        <f>Target1[[#This Row],[Target Drawdown]]/MAX($B$2:B65)</f>
        <v>-3.5496394897393264E-2</v>
      </c>
      <c r="H65" s="1" t="str">
        <f>IF(SUM(COUNTIF(Benchmark1[Benchmark '#1 Dates],Target1[[#This Row],[Target Dates]]),COUNTIF(Benchmark2[Benchmark '#2 Dates],Target1[[#This Row],[Target Dates]]))=2,"Pass","Fail")</f>
        <v>Pass</v>
      </c>
      <c r="I65" s="78">
        <f t="shared" si="1"/>
        <v>-0.64000000000000057</v>
      </c>
      <c r="K65" s="72">
        <f>Target1[[#This Row],[Target Price]]/$B$2*100</f>
        <v>101.16346713205351</v>
      </c>
      <c r="R65">
        <f>B66/Target1[[#This Row],[Target Price]]-1</f>
        <v>-2.87521564117309E-2</v>
      </c>
    </row>
    <row r="66" spans="1:18">
      <c r="A66" s="96">
        <v>43377</v>
      </c>
      <c r="B66" s="101">
        <v>16.89</v>
      </c>
      <c r="C66" s="4">
        <f t="shared" ref="C66:C129" si="3">IFERROR(IF(B66="","-",LN(B66/B65)),"-")</f>
        <v>-2.9173597546482979E-2</v>
      </c>
      <c r="D66" s="4">
        <f>IFERROR(Target1[[#This Row],[Target Return]]+1,"-")</f>
        <v>0.97082640245351703</v>
      </c>
      <c r="E66" s="6">
        <f>B66-MAX($B$2:B66)</f>
        <v>-1.1400000000000006</v>
      </c>
      <c r="F66" s="80">
        <f t="shared" ref="F66:F129" si="4">IF(E66=0,0,F65+1)</f>
        <v>40</v>
      </c>
      <c r="G66" s="77">
        <f>Target1[[#This Row],[Target Drawdown]]/MAX($B$2:B66)</f>
        <v>-6.3227953410981724E-2</v>
      </c>
      <c r="H66" s="1" t="str">
        <f>IF(SUM(COUNTIF(Benchmark1[Benchmark '#1 Dates],Target1[[#This Row],[Target Dates]]),COUNTIF(Benchmark2[Benchmark '#2 Dates],Target1[[#This Row],[Target Dates]]))=2,"Pass","Fail")</f>
        <v>Pass</v>
      </c>
      <c r="I66" s="78">
        <f t="shared" ref="I66:I129" si="5">$E$2+E66</f>
        <v>-1.1400000000000006</v>
      </c>
      <c r="K66" s="72">
        <f>Target1[[#This Row],[Target Price]]/$B$2*100</f>
        <v>98.254799301919718</v>
      </c>
      <c r="R66">
        <f>B67/Target1[[#This Row],[Target Price]]-1</f>
        <v>1.9538188277086865E-2</v>
      </c>
    </row>
    <row r="67" spans="1:18">
      <c r="A67" s="96">
        <v>43378</v>
      </c>
      <c r="B67" s="101">
        <v>17.22</v>
      </c>
      <c r="C67" s="4">
        <f t="shared" si="3"/>
        <v>1.9349768179875871E-2</v>
      </c>
      <c r="D67" s="4">
        <f>IFERROR(Target1[[#This Row],[Target Return]]+1,"-")</f>
        <v>1.0193497681798758</v>
      </c>
      <c r="E67" s="6">
        <f>B67-MAX($B$2:B67)</f>
        <v>-0.81000000000000227</v>
      </c>
      <c r="F67" s="80">
        <f t="shared" si="4"/>
        <v>41</v>
      </c>
      <c r="G67" s="77">
        <f>Target1[[#This Row],[Target Drawdown]]/MAX($B$2:B67)</f>
        <v>-4.4925124792013438E-2</v>
      </c>
      <c r="H67" s="1" t="str">
        <f>IF(SUM(COUNTIF(Benchmark1[Benchmark '#1 Dates],Target1[[#This Row],[Target Dates]]),COUNTIF(Benchmark2[Benchmark '#2 Dates],Target1[[#This Row],[Target Dates]]))=2,"Pass","Fail")</f>
        <v>Pass</v>
      </c>
      <c r="I67" s="78">
        <f t="shared" si="5"/>
        <v>-0.81000000000000227</v>
      </c>
      <c r="K67" s="72">
        <f>Target1[[#This Row],[Target Price]]/$B$2*100</f>
        <v>100.17452006980801</v>
      </c>
      <c r="R67">
        <f>B68/Target1[[#This Row],[Target Price]]-1</f>
        <v>3.4843205574914826E-3</v>
      </c>
    </row>
    <row r="68" spans="1:18">
      <c r="A68" s="96">
        <v>43381</v>
      </c>
      <c r="B68" s="101">
        <v>17.28</v>
      </c>
      <c r="C68" s="4">
        <f t="shared" si="3"/>
        <v>3.4782643763250137E-3</v>
      </c>
      <c r="D68" s="4">
        <f>IFERROR(Target1[[#This Row],[Target Return]]+1,"-")</f>
        <v>1.0034782643763249</v>
      </c>
      <c r="E68" s="6">
        <f>B68-MAX($B$2:B68)</f>
        <v>-0.75</v>
      </c>
      <c r="F68" s="80">
        <f t="shared" si="4"/>
        <v>42</v>
      </c>
      <c r="G68" s="77">
        <f>Target1[[#This Row],[Target Drawdown]]/MAX($B$2:B68)</f>
        <v>-4.1597337770382693E-2</v>
      </c>
      <c r="H68" s="1" t="str">
        <f>IF(SUM(COUNTIF(Benchmark1[Benchmark '#1 Dates],Target1[[#This Row],[Target Dates]]),COUNTIF(Benchmark2[Benchmark '#2 Dates],Target1[[#This Row],[Target Dates]]))=2,"Pass","Fail")</f>
        <v>Pass</v>
      </c>
      <c r="I68" s="78">
        <f t="shared" si="5"/>
        <v>-0.75</v>
      </c>
      <c r="K68" s="72">
        <f>Target1[[#This Row],[Target Price]]/$B$2*100</f>
        <v>100.52356020942408</v>
      </c>
      <c r="R68">
        <f>B69/Target1[[#This Row],[Target Price]]-1</f>
        <v>2.8935185185183787E-3</v>
      </c>
    </row>
    <row r="69" spans="1:18">
      <c r="A69" s="96">
        <v>43382</v>
      </c>
      <c r="B69" s="101">
        <v>17.329999999999998</v>
      </c>
      <c r="C69" s="4">
        <f t="shared" si="3"/>
        <v>2.8893403516050097E-3</v>
      </c>
      <c r="D69" s="4">
        <f>IFERROR(Target1[[#This Row],[Target Return]]+1,"-")</f>
        <v>1.002889340351605</v>
      </c>
      <c r="E69" s="6">
        <f>B69-MAX($B$2:B69)</f>
        <v>-0.70000000000000284</v>
      </c>
      <c r="F69" s="80">
        <f t="shared" si="4"/>
        <v>43</v>
      </c>
      <c r="G69" s="77">
        <f>Target1[[#This Row],[Target Drawdown]]/MAX($B$2:B69)</f>
        <v>-3.8824181919024002E-2</v>
      </c>
      <c r="H69" s="1" t="str">
        <f>IF(SUM(COUNTIF(Benchmark1[Benchmark '#1 Dates],Target1[[#This Row],[Target Dates]]),COUNTIF(Benchmark2[Benchmark '#2 Dates],Target1[[#This Row],[Target Dates]]))=2,"Pass","Fail")</f>
        <v>Pass</v>
      </c>
      <c r="I69" s="78">
        <f t="shared" si="5"/>
        <v>-0.70000000000000284</v>
      </c>
      <c r="K69" s="72">
        <f>Target1[[#This Row],[Target Price]]/$B$2*100</f>
        <v>100.81442699243746</v>
      </c>
      <c r="R69">
        <f>B70/Target1[[#This Row],[Target Price]]-1</f>
        <v>-1.4425851125216438E-2</v>
      </c>
    </row>
    <row r="70" spans="1:18">
      <c r="A70" s="96">
        <v>43383</v>
      </c>
      <c r="B70" s="101">
        <v>17.079999999999998</v>
      </c>
      <c r="C70" s="4">
        <f t="shared" si="3"/>
        <v>-1.4530915367090958E-2</v>
      </c>
      <c r="D70" s="4">
        <f>IFERROR(Target1[[#This Row],[Target Return]]+1,"-")</f>
        <v>0.98546908463290905</v>
      </c>
      <c r="E70" s="6">
        <f>B70-MAX($B$2:B70)</f>
        <v>-0.95000000000000284</v>
      </c>
      <c r="F70" s="80">
        <f t="shared" si="4"/>
        <v>44</v>
      </c>
      <c r="G70" s="77">
        <f>Target1[[#This Row],[Target Drawdown]]/MAX($B$2:B70)</f>
        <v>-5.2689961175818235E-2</v>
      </c>
      <c r="H70" s="1" t="str">
        <f>IF(SUM(COUNTIF(Benchmark1[Benchmark '#1 Dates],Target1[[#This Row],[Target Dates]]),COUNTIF(Benchmark2[Benchmark '#2 Dates],Target1[[#This Row],[Target Dates]]))=2,"Pass","Fail")</f>
        <v>Pass</v>
      </c>
      <c r="I70" s="78">
        <f t="shared" si="5"/>
        <v>-0.95000000000000284</v>
      </c>
      <c r="K70" s="72">
        <f>Target1[[#This Row],[Target Price]]/$B$2*100</f>
        <v>99.36009307737055</v>
      </c>
      <c r="R70">
        <f>B71/Target1[[#This Row],[Target Price]]-1</f>
        <v>-2.4590163934426146E-2</v>
      </c>
    </row>
    <row r="71" spans="1:18">
      <c r="A71" s="96">
        <v>43384</v>
      </c>
      <c r="B71" s="101">
        <v>16.66</v>
      </c>
      <c r="C71" s="4">
        <f t="shared" si="3"/>
        <v>-2.4897551621727087E-2</v>
      </c>
      <c r="D71" s="4">
        <f>IFERROR(Target1[[#This Row],[Target Return]]+1,"-")</f>
        <v>0.97510244837827287</v>
      </c>
      <c r="E71" s="6">
        <f>B71-MAX($B$2:B71)</f>
        <v>-1.370000000000001</v>
      </c>
      <c r="F71" s="80">
        <f t="shared" si="4"/>
        <v>45</v>
      </c>
      <c r="G71" s="77">
        <f>Target1[[#This Row],[Target Drawdown]]/MAX($B$2:B71)</f>
        <v>-7.5984470327232434E-2</v>
      </c>
      <c r="H71" s="1" t="str">
        <f>IF(SUM(COUNTIF(Benchmark1[Benchmark '#1 Dates],Target1[[#This Row],[Target Dates]]),COUNTIF(Benchmark2[Benchmark '#2 Dates],Target1[[#This Row],[Target Dates]]))=2,"Pass","Fail")</f>
        <v>Pass</v>
      </c>
      <c r="I71" s="78">
        <f t="shared" si="5"/>
        <v>-1.370000000000001</v>
      </c>
      <c r="K71" s="72">
        <f>Target1[[#This Row],[Target Price]]/$B$2*100</f>
        <v>96.916812100058166</v>
      </c>
      <c r="R71">
        <f>B72/Target1[[#This Row],[Target Price]]-1</f>
        <v>-1.6806722689075682E-2</v>
      </c>
    </row>
    <row r="72" spans="1:18">
      <c r="A72" s="96">
        <v>43385</v>
      </c>
      <c r="B72" s="101">
        <v>16.38</v>
      </c>
      <c r="C72" s="4">
        <f t="shared" si="3"/>
        <v>-1.694955831377332E-2</v>
      </c>
      <c r="D72" s="4">
        <f>IFERROR(Target1[[#This Row],[Target Return]]+1,"-")</f>
        <v>0.98305044168622668</v>
      </c>
      <c r="E72" s="6">
        <f>B72-MAX($B$2:B72)</f>
        <v>-1.6500000000000021</v>
      </c>
      <c r="F72" s="80">
        <f t="shared" si="4"/>
        <v>46</v>
      </c>
      <c r="G72" s="77">
        <f>Target1[[#This Row],[Target Drawdown]]/MAX($B$2:B72)</f>
        <v>-9.1514143094842043E-2</v>
      </c>
      <c r="H72" s="1" t="str">
        <f>IF(SUM(COUNTIF(Benchmark1[Benchmark '#1 Dates],Target1[[#This Row],[Target Dates]]),COUNTIF(Benchmark2[Benchmark '#2 Dates],Target1[[#This Row],[Target Dates]]))=2,"Pass","Fail")</f>
        <v>Pass</v>
      </c>
      <c r="I72" s="78">
        <f t="shared" si="5"/>
        <v>-1.6500000000000021</v>
      </c>
      <c r="K72" s="72">
        <f>Target1[[#This Row],[Target Price]]/$B$2*100</f>
        <v>95.28795811518323</v>
      </c>
      <c r="R72">
        <f>B73/Target1[[#This Row],[Target Price]]-1</f>
        <v>2.1367521367521514E-2</v>
      </c>
    </row>
    <row r="73" spans="1:18">
      <c r="A73" s="96">
        <v>43388</v>
      </c>
      <c r="B73" s="101">
        <v>16.73</v>
      </c>
      <c r="C73" s="4">
        <f t="shared" si="3"/>
        <v>2.1142436573809383E-2</v>
      </c>
      <c r="D73" s="4">
        <f>IFERROR(Target1[[#This Row],[Target Return]]+1,"-")</f>
        <v>1.0211424365738093</v>
      </c>
      <c r="E73" s="6">
        <f>B73-MAX($B$2:B73)</f>
        <v>-1.3000000000000007</v>
      </c>
      <c r="F73" s="80">
        <f t="shared" si="4"/>
        <v>47</v>
      </c>
      <c r="G73" s="77">
        <f>Target1[[#This Row],[Target Drawdown]]/MAX($B$2:B73)</f>
        <v>-7.2102052135330039E-2</v>
      </c>
      <c r="H73" s="1" t="str">
        <f>IF(SUM(COUNTIF(Benchmark1[Benchmark '#1 Dates],Target1[[#This Row],[Target Dates]]),COUNTIF(Benchmark2[Benchmark '#2 Dates],Target1[[#This Row],[Target Dates]]))=2,"Pass","Fail")</f>
        <v>Pass</v>
      </c>
      <c r="I73" s="78">
        <f t="shared" si="5"/>
        <v>-1.3000000000000007</v>
      </c>
      <c r="K73" s="72">
        <f>Target1[[#This Row],[Target Price]]/$B$2*100</f>
        <v>97.324025596276897</v>
      </c>
      <c r="R73">
        <f>B74/Target1[[#This Row],[Target Price]]-1</f>
        <v>2.3909145248057317E-2</v>
      </c>
    </row>
    <row r="74" spans="1:18">
      <c r="A74" s="96">
        <v>43389</v>
      </c>
      <c r="B74" s="101">
        <v>17.13</v>
      </c>
      <c r="C74" s="4">
        <f t="shared" si="3"/>
        <v>2.3627797337295874E-2</v>
      </c>
      <c r="D74" s="4">
        <f>IFERROR(Target1[[#This Row],[Target Return]]+1,"-")</f>
        <v>1.0236277973372958</v>
      </c>
      <c r="E74" s="6">
        <f>B74-MAX($B$2:B74)</f>
        <v>-0.90000000000000213</v>
      </c>
      <c r="F74" s="80">
        <f t="shared" si="4"/>
        <v>48</v>
      </c>
      <c r="G74" s="77">
        <f>Target1[[#This Row],[Target Drawdown]]/MAX($B$2:B74)</f>
        <v>-4.991680532445935E-2</v>
      </c>
      <c r="H74" s="1" t="str">
        <f>IF(SUM(COUNTIF(Benchmark1[Benchmark '#1 Dates],Target1[[#This Row],[Target Dates]]),COUNTIF(Benchmark2[Benchmark '#2 Dates],Target1[[#This Row],[Target Dates]]))=2,"Pass","Fail")</f>
        <v>Pass</v>
      </c>
      <c r="I74" s="78">
        <f t="shared" si="5"/>
        <v>-0.90000000000000213</v>
      </c>
      <c r="K74" s="72">
        <f>Target1[[#This Row],[Target Price]]/$B$2*100</f>
        <v>99.650959860383935</v>
      </c>
      <c r="R74">
        <f>B75/Target1[[#This Row],[Target Price]]-1</f>
        <v>-9.3403385872737887E-3</v>
      </c>
    </row>
    <row r="75" spans="1:18">
      <c r="A75" s="96">
        <v>43390</v>
      </c>
      <c r="B75" s="101">
        <v>16.97</v>
      </c>
      <c r="C75" s="4">
        <f t="shared" si="3"/>
        <v>-9.3842330898935931E-3</v>
      </c>
      <c r="D75" s="4">
        <f>IFERROR(Target1[[#This Row],[Target Return]]+1,"-")</f>
        <v>0.99061576691010644</v>
      </c>
      <c r="E75" s="6">
        <f>B75-MAX($B$2:B75)</f>
        <v>-1.0600000000000023</v>
      </c>
      <c r="F75" s="80">
        <f t="shared" si="4"/>
        <v>49</v>
      </c>
      <c r="G75" s="77">
        <f>Target1[[#This Row],[Target Drawdown]]/MAX($B$2:B75)</f>
        <v>-5.8790904048807664E-2</v>
      </c>
      <c r="H75" s="1" t="str">
        <f>IF(SUM(COUNTIF(Benchmark1[Benchmark '#1 Dates],Target1[[#This Row],[Target Dates]]),COUNTIF(Benchmark2[Benchmark '#2 Dates],Target1[[#This Row],[Target Dates]]))=2,"Pass","Fail")</f>
        <v>Pass</v>
      </c>
      <c r="I75" s="78">
        <f t="shared" si="5"/>
        <v>-1.0600000000000023</v>
      </c>
      <c r="K75" s="72">
        <f>Target1[[#This Row],[Target Price]]/$B$2*100</f>
        <v>98.720186154741114</v>
      </c>
      <c r="R75">
        <f>B76/Target1[[#This Row],[Target Price]]-1</f>
        <v>-1.7678255745431359E-3</v>
      </c>
    </row>
    <row r="76" spans="1:18">
      <c r="A76" s="96">
        <v>43391</v>
      </c>
      <c r="B76" s="101">
        <v>16.940000000000001</v>
      </c>
      <c r="C76" s="4">
        <f t="shared" si="3"/>
        <v>-1.7693900222264366E-3</v>
      </c>
      <c r="D76" s="4">
        <f>IFERROR(Target1[[#This Row],[Target Return]]+1,"-")</f>
        <v>0.99823060997777358</v>
      </c>
      <c r="E76" s="6">
        <f>B76-MAX($B$2:B76)</f>
        <v>-1.0899999999999999</v>
      </c>
      <c r="F76" s="80">
        <f t="shared" si="4"/>
        <v>50</v>
      </c>
      <c r="G76" s="77">
        <f>Target1[[#This Row],[Target Drawdown]]/MAX($B$2:B76)</f>
        <v>-6.0454797559622839E-2</v>
      </c>
      <c r="H76" s="1" t="str">
        <f>IF(SUM(COUNTIF(Benchmark1[Benchmark '#1 Dates],Target1[[#This Row],[Target Dates]]),COUNTIF(Benchmark2[Benchmark '#2 Dates],Target1[[#This Row],[Target Dates]]))=2,"Pass","Fail")</f>
        <v>Pass</v>
      </c>
      <c r="I76" s="78">
        <f t="shared" si="5"/>
        <v>-1.0899999999999999</v>
      </c>
      <c r="K76" s="72">
        <f>Target1[[#This Row],[Target Price]]/$B$2*100</f>
        <v>98.545666084933103</v>
      </c>
      <c r="R76">
        <f>B77/Target1[[#This Row],[Target Price]]-1</f>
        <v>1.0625737898465104E-2</v>
      </c>
    </row>
    <row r="77" spans="1:18">
      <c r="A77" s="96">
        <v>43392</v>
      </c>
      <c r="B77" s="101">
        <v>17.12</v>
      </c>
      <c r="C77" s="4">
        <f t="shared" si="3"/>
        <v>1.0569681489687642E-2</v>
      </c>
      <c r="D77" s="4">
        <f>IFERROR(Target1[[#This Row],[Target Return]]+1,"-")</f>
        <v>1.0105696814896876</v>
      </c>
      <c r="E77" s="6">
        <f>B77-MAX($B$2:B77)</f>
        <v>-0.91000000000000014</v>
      </c>
      <c r="F77" s="80">
        <f t="shared" si="4"/>
        <v>51</v>
      </c>
      <c r="G77" s="77">
        <f>Target1[[#This Row],[Target Drawdown]]/MAX($B$2:B77)</f>
        <v>-5.0471436494731008E-2</v>
      </c>
      <c r="H77" s="1" t="str">
        <f>IF(SUM(COUNTIF(Benchmark1[Benchmark '#1 Dates],Target1[[#This Row],[Target Dates]]),COUNTIF(Benchmark2[Benchmark '#2 Dates],Target1[[#This Row],[Target Dates]]))=2,"Pass","Fail")</f>
        <v>Pass</v>
      </c>
      <c r="I77" s="78">
        <f t="shared" si="5"/>
        <v>-0.91000000000000014</v>
      </c>
      <c r="K77" s="72">
        <f>Target1[[#This Row],[Target Price]]/$B$2*100</f>
        <v>99.592786503781269</v>
      </c>
      <c r="R77">
        <f>B78/Target1[[#This Row],[Target Price]]-1</f>
        <v>-9.3457943925233655E-3</v>
      </c>
    </row>
    <row r="78" spans="1:18">
      <c r="A78" s="96">
        <v>43395</v>
      </c>
      <c r="B78" s="101">
        <v>16.96</v>
      </c>
      <c r="C78" s="4">
        <f t="shared" si="3"/>
        <v>-9.3897403498390316E-3</v>
      </c>
      <c r="D78" s="4">
        <f>IFERROR(Target1[[#This Row],[Target Return]]+1,"-")</f>
        <v>0.99061025965016092</v>
      </c>
      <c r="E78" s="6">
        <f>B78-MAX($B$2:B78)</f>
        <v>-1.0700000000000003</v>
      </c>
      <c r="F78" s="80">
        <f t="shared" si="4"/>
        <v>52</v>
      </c>
      <c r="G78" s="77">
        <f>Target1[[#This Row],[Target Drawdown]]/MAX($B$2:B78)</f>
        <v>-5.9345535219079322E-2</v>
      </c>
      <c r="H78" s="1" t="str">
        <f>IF(SUM(COUNTIF(Benchmark1[Benchmark '#1 Dates],Target1[[#This Row],[Target Dates]]),COUNTIF(Benchmark2[Benchmark '#2 Dates],Target1[[#This Row],[Target Dates]]))=2,"Pass","Fail")</f>
        <v>Pass</v>
      </c>
      <c r="I78" s="78">
        <f t="shared" si="5"/>
        <v>-1.0700000000000003</v>
      </c>
      <c r="K78" s="72">
        <f>Target1[[#This Row],[Target Price]]/$B$2*100</f>
        <v>98.662012798138448</v>
      </c>
      <c r="R78">
        <f>B79/Target1[[#This Row],[Target Price]]-1</f>
        <v>2.1816037735848948E-2</v>
      </c>
    </row>
    <row r="79" spans="1:18">
      <c r="A79" s="96">
        <v>43396</v>
      </c>
      <c r="B79" s="101">
        <v>17.329999999999998</v>
      </c>
      <c r="C79" s="4">
        <f t="shared" si="3"/>
        <v>2.1581473363757594E-2</v>
      </c>
      <c r="D79" s="4">
        <f>IFERROR(Target1[[#This Row],[Target Return]]+1,"-")</f>
        <v>1.0215814733637576</v>
      </c>
      <c r="E79" s="6">
        <f>B79-MAX($B$2:B79)</f>
        <v>-0.70000000000000284</v>
      </c>
      <c r="F79" s="80">
        <f t="shared" si="4"/>
        <v>53</v>
      </c>
      <c r="G79" s="77">
        <f>Target1[[#This Row],[Target Drawdown]]/MAX($B$2:B79)</f>
        <v>-3.8824181919024002E-2</v>
      </c>
      <c r="H79" s="1" t="str">
        <f>IF(SUM(COUNTIF(Benchmark1[Benchmark '#1 Dates],Target1[[#This Row],[Target Dates]]),COUNTIF(Benchmark2[Benchmark '#2 Dates],Target1[[#This Row],[Target Dates]]))=2,"Pass","Fail")</f>
        <v>Pass</v>
      </c>
      <c r="I79" s="78">
        <f t="shared" si="5"/>
        <v>-0.70000000000000284</v>
      </c>
      <c r="K79" s="72">
        <f>Target1[[#This Row],[Target Price]]/$B$2*100</f>
        <v>100.81442699243746</v>
      </c>
      <c r="R79">
        <f>B80/Target1[[#This Row],[Target Price]]-1</f>
        <v>0.19849971148297763</v>
      </c>
    </row>
    <row r="80" spans="1:18">
      <c r="A80" s="96">
        <v>43397</v>
      </c>
      <c r="B80" s="101">
        <v>20.77</v>
      </c>
      <c r="C80" s="4">
        <f t="shared" si="3"/>
        <v>0.18107053416050634</v>
      </c>
      <c r="D80" s="4">
        <f>IFERROR(Target1[[#This Row],[Target Return]]+1,"-")</f>
        <v>1.1810705341605063</v>
      </c>
      <c r="E80" s="6">
        <f>B80-MAX($B$2:B80)</f>
        <v>0</v>
      </c>
      <c r="F80" s="80">
        <f t="shared" si="4"/>
        <v>0</v>
      </c>
      <c r="G80" s="77">
        <f>Target1[[#This Row],[Target Drawdown]]/MAX($B$2:B80)</f>
        <v>0</v>
      </c>
      <c r="H80" s="1" t="str">
        <f>IF(SUM(COUNTIF(Benchmark1[Benchmark '#1 Dates],Target1[[#This Row],[Target Dates]]),COUNTIF(Benchmark2[Benchmark '#2 Dates],Target1[[#This Row],[Target Dates]]))=2,"Pass","Fail")</f>
        <v>Pass</v>
      </c>
      <c r="I80" s="78">
        <f t="shared" si="5"/>
        <v>0</v>
      </c>
      <c r="K80" s="72">
        <f>Target1[[#This Row],[Target Price]]/$B$2*100</f>
        <v>120.82606166375798</v>
      </c>
      <c r="R80">
        <f>B81/Target1[[#This Row],[Target Price]]-1</f>
        <v>-9.6292729898894702E-4</v>
      </c>
    </row>
    <row r="81" spans="1:18">
      <c r="A81" s="96">
        <v>43398</v>
      </c>
      <c r="B81" s="101">
        <v>20.75</v>
      </c>
      <c r="C81" s="4">
        <f t="shared" si="3"/>
        <v>-9.6339121131365361E-4</v>
      </c>
      <c r="D81" s="4">
        <f>IFERROR(Target1[[#This Row],[Target Return]]+1,"-")</f>
        <v>0.99903660878868639</v>
      </c>
      <c r="E81" s="6">
        <f>B81-MAX($B$2:B81)</f>
        <v>-1.9999999999999574E-2</v>
      </c>
      <c r="F81" s="80">
        <f t="shared" si="4"/>
        <v>1</v>
      </c>
      <c r="G81" s="77">
        <f>Target1[[#This Row],[Target Drawdown]]/MAX($B$2:B81)</f>
        <v>-9.6292729898890582E-4</v>
      </c>
      <c r="H81" s="1" t="str">
        <f>IF(SUM(COUNTIF(Benchmark1[Benchmark '#1 Dates],Target1[[#This Row],[Target Dates]]),COUNTIF(Benchmark2[Benchmark '#2 Dates],Target1[[#This Row],[Target Dates]]))=2,"Pass","Fail")</f>
        <v>Pass</v>
      </c>
      <c r="I81" s="78">
        <f t="shared" si="5"/>
        <v>-1.9999999999999574E-2</v>
      </c>
      <c r="K81" s="72">
        <f>Target1[[#This Row],[Target Price]]/$B$2*100</f>
        <v>120.70971495055265</v>
      </c>
      <c r="R81">
        <f>B82/Target1[[#This Row],[Target Price]]-1</f>
        <v>5.0120481927710792E-2</v>
      </c>
    </row>
    <row r="82" spans="1:18">
      <c r="A82" s="96">
        <v>43399</v>
      </c>
      <c r="B82" s="101">
        <v>21.79</v>
      </c>
      <c r="C82" s="4">
        <f t="shared" si="3"/>
        <v>4.8904902279821152E-2</v>
      </c>
      <c r="D82" s="4">
        <f>IFERROR(Target1[[#This Row],[Target Return]]+1,"-")</f>
        <v>1.0489049022798211</v>
      </c>
      <c r="E82" s="6">
        <f>B82-MAX($B$2:B82)</f>
        <v>0</v>
      </c>
      <c r="F82" s="80">
        <f t="shared" si="4"/>
        <v>0</v>
      </c>
      <c r="G82" s="77">
        <f>Target1[[#This Row],[Target Drawdown]]/MAX($B$2:B82)</f>
        <v>0</v>
      </c>
      <c r="H82" s="1" t="str">
        <f>IF(SUM(COUNTIF(Benchmark1[Benchmark '#1 Dates],Target1[[#This Row],[Target Dates]]),COUNTIF(Benchmark2[Benchmark '#2 Dates],Target1[[#This Row],[Target Dates]]))=2,"Pass","Fail")</f>
        <v>Pass</v>
      </c>
      <c r="I82" s="78">
        <f t="shared" si="5"/>
        <v>0</v>
      </c>
      <c r="K82" s="72">
        <f>Target1[[#This Row],[Target Price]]/$B$2*100</f>
        <v>126.75974403723093</v>
      </c>
      <c r="R82">
        <f>B83/Target1[[#This Row],[Target Price]]-1</f>
        <v>2.8453418999541125E-2</v>
      </c>
    </row>
    <row r="83" spans="1:18">
      <c r="A83" s="96">
        <v>43402</v>
      </c>
      <c r="B83" s="101">
        <v>22.41</v>
      </c>
      <c r="C83" s="4">
        <f t="shared" si="3"/>
        <v>2.8056138856307172E-2</v>
      </c>
      <c r="D83" s="4">
        <f>IFERROR(Target1[[#This Row],[Target Return]]+1,"-")</f>
        <v>1.0280561388563072</v>
      </c>
      <c r="E83" s="6">
        <f>B83-MAX($B$2:B83)</f>
        <v>0</v>
      </c>
      <c r="F83" s="80">
        <f t="shared" si="4"/>
        <v>0</v>
      </c>
      <c r="G83" s="77">
        <f>Target1[[#This Row],[Target Drawdown]]/MAX($B$2:B83)</f>
        <v>0</v>
      </c>
      <c r="H83" s="1" t="str">
        <f>IF(SUM(COUNTIF(Benchmark1[Benchmark '#1 Dates],Target1[[#This Row],[Target Dates]]),COUNTIF(Benchmark2[Benchmark '#2 Dates],Target1[[#This Row],[Target Dates]]))=2,"Pass","Fail")</f>
        <v>Pass</v>
      </c>
      <c r="I83" s="78">
        <f t="shared" si="5"/>
        <v>0</v>
      </c>
      <c r="K83" s="72">
        <f>Target1[[#This Row],[Target Price]]/$B$2*100</f>
        <v>130.36649214659687</v>
      </c>
      <c r="R83">
        <f>B84/Target1[[#This Row],[Target Price]]-1</f>
        <v>-1.9187862561356517E-2</v>
      </c>
    </row>
    <row r="84" spans="1:18">
      <c r="A84" s="96">
        <v>43403</v>
      </c>
      <c r="B84" s="101">
        <v>21.98</v>
      </c>
      <c r="C84" s="4">
        <f t="shared" si="3"/>
        <v>-1.9374338837360304E-2</v>
      </c>
      <c r="D84" s="4">
        <f>IFERROR(Target1[[#This Row],[Target Return]]+1,"-")</f>
        <v>0.98062566116263972</v>
      </c>
      <c r="E84" s="6">
        <f>B84-MAX($B$2:B84)</f>
        <v>-0.42999999999999972</v>
      </c>
      <c r="F84" s="80">
        <f t="shared" si="4"/>
        <v>1</v>
      </c>
      <c r="G84" s="77">
        <f>Target1[[#This Row],[Target Drawdown]]/MAX($B$2:B84)</f>
        <v>-1.9187862561356524E-2</v>
      </c>
      <c r="H84" s="1" t="str">
        <f>IF(SUM(COUNTIF(Benchmark1[Benchmark '#1 Dates],Target1[[#This Row],[Target Dates]]),COUNTIF(Benchmark2[Benchmark '#2 Dates],Target1[[#This Row],[Target Dates]]))=2,"Pass","Fail")</f>
        <v>Pass</v>
      </c>
      <c r="I84" s="78">
        <f t="shared" si="5"/>
        <v>-0.42999999999999972</v>
      </c>
      <c r="K84" s="72">
        <f>Target1[[#This Row],[Target Price]]/$B$2*100</f>
        <v>127.86503781268179</v>
      </c>
      <c r="R84">
        <f>B85/Target1[[#This Row],[Target Price]]-1</f>
        <v>-2.5932666060054621E-2</v>
      </c>
    </row>
    <row r="85" spans="1:18">
      <c r="A85" s="96">
        <v>43404</v>
      </c>
      <c r="B85" s="101">
        <v>21.41</v>
      </c>
      <c r="C85" s="4">
        <f t="shared" si="3"/>
        <v>-2.6274846373883901E-2</v>
      </c>
      <c r="D85" s="4">
        <f>IFERROR(Target1[[#This Row],[Target Return]]+1,"-")</f>
        <v>0.97372515362611611</v>
      </c>
      <c r="E85" s="6">
        <f>B85-MAX($B$2:B85)</f>
        <v>-1</v>
      </c>
      <c r="F85" s="80">
        <f t="shared" si="4"/>
        <v>2</v>
      </c>
      <c r="G85" s="77">
        <f>Target1[[#This Row],[Target Drawdown]]/MAX($B$2:B85)</f>
        <v>-4.4622936189201247E-2</v>
      </c>
      <c r="H85" s="1" t="str">
        <f>IF(SUM(COUNTIF(Benchmark1[Benchmark '#1 Dates],Target1[[#This Row],[Target Dates]]),COUNTIF(Benchmark2[Benchmark '#2 Dates],Target1[[#This Row],[Target Dates]]))=2,"Pass","Fail")</f>
        <v>Pass</v>
      </c>
      <c r="I85" s="78">
        <f t="shared" si="5"/>
        <v>-1</v>
      </c>
      <c r="K85" s="72">
        <f>Target1[[#This Row],[Target Price]]/$B$2*100</f>
        <v>124.54915648632925</v>
      </c>
      <c r="R85">
        <f>B86/Target1[[#This Row],[Target Price]]-1</f>
        <v>1.9149929939280774E-2</v>
      </c>
    </row>
    <row r="86" spans="1:18">
      <c r="A86" s="96">
        <v>43405</v>
      </c>
      <c r="B86" s="101">
        <v>21.82</v>
      </c>
      <c r="C86" s="4">
        <f t="shared" si="3"/>
        <v>1.8968877803333395E-2</v>
      </c>
      <c r="D86" s="4">
        <f>IFERROR(Target1[[#This Row],[Target Return]]+1,"-")</f>
        <v>1.0189688778033335</v>
      </c>
      <c r="E86" s="6">
        <f>B86-MAX($B$2:B86)</f>
        <v>-0.58999999999999986</v>
      </c>
      <c r="F86" s="80">
        <f t="shared" si="4"/>
        <v>3</v>
      </c>
      <c r="G86" s="77">
        <f>Target1[[#This Row],[Target Drawdown]]/MAX($B$2:B86)</f>
        <v>-2.632753235162873E-2</v>
      </c>
      <c r="H86" s="1" t="str">
        <f>IF(SUM(COUNTIF(Benchmark1[Benchmark '#1 Dates],Target1[[#This Row],[Target Dates]]),COUNTIF(Benchmark2[Benchmark '#2 Dates],Target1[[#This Row],[Target Dates]]))=2,"Pass","Fail")</f>
        <v>Pass</v>
      </c>
      <c r="I86" s="78">
        <f t="shared" si="5"/>
        <v>-0.58999999999999986</v>
      </c>
      <c r="K86" s="72">
        <f>Target1[[#This Row],[Target Price]]/$B$2*100</f>
        <v>126.93426410703896</v>
      </c>
      <c r="R86">
        <f>B87/Target1[[#This Row],[Target Price]]-1</f>
        <v>1.3748854262144894E-2</v>
      </c>
    </row>
    <row r="87" spans="1:18">
      <c r="A87" s="96">
        <v>43406</v>
      </c>
      <c r="B87" s="101">
        <v>22.12</v>
      </c>
      <c r="C87" s="4">
        <f t="shared" si="3"/>
        <v>1.3655196249209361E-2</v>
      </c>
      <c r="D87" s="4">
        <f>IFERROR(Target1[[#This Row],[Target Return]]+1,"-")</f>
        <v>1.0136551962492093</v>
      </c>
      <c r="E87" s="6">
        <f>B87-MAX($B$2:B87)</f>
        <v>-0.28999999999999915</v>
      </c>
      <c r="F87" s="80">
        <f t="shared" si="4"/>
        <v>4</v>
      </c>
      <c r="G87" s="77">
        <f>Target1[[#This Row],[Target Drawdown]]/MAX($B$2:B87)</f>
        <v>-1.2940651494868324E-2</v>
      </c>
      <c r="H87" s="1" t="str">
        <f>IF(SUM(COUNTIF(Benchmark1[Benchmark '#1 Dates],Target1[[#This Row],[Target Dates]]),COUNTIF(Benchmark2[Benchmark '#2 Dates],Target1[[#This Row],[Target Dates]]))=2,"Pass","Fail")</f>
        <v>Pass</v>
      </c>
      <c r="I87" s="78">
        <f t="shared" si="5"/>
        <v>-0.28999999999999915</v>
      </c>
      <c r="K87" s="72">
        <f>Target1[[#This Row],[Target Price]]/$B$2*100</f>
        <v>128.67946480511924</v>
      </c>
      <c r="R87">
        <f>B88/Target1[[#This Row],[Target Price]]-1</f>
        <v>-1.401446654611227E-2</v>
      </c>
    </row>
    <row r="88" spans="1:18">
      <c r="A88" s="96">
        <v>43409</v>
      </c>
      <c r="B88" s="101">
        <v>21.81</v>
      </c>
      <c r="C88" s="4">
        <f t="shared" si="3"/>
        <v>-1.4113596440596517E-2</v>
      </c>
      <c r="D88" s="4">
        <f>IFERROR(Target1[[#This Row],[Target Return]]+1,"-")</f>
        <v>0.98588640355940349</v>
      </c>
      <c r="E88" s="6">
        <f>B88-MAX($B$2:B88)</f>
        <v>-0.60000000000000142</v>
      </c>
      <c r="F88" s="80">
        <f t="shared" si="4"/>
        <v>5</v>
      </c>
      <c r="G88" s="77">
        <f>Target1[[#This Row],[Target Drawdown]]/MAX($B$2:B88)</f>
        <v>-2.6773761713520812E-2</v>
      </c>
      <c r="H88" s="1" t="str">
        <f>IF(SUM(COUNTIF(Benchmark1[Benchmark '#1 Dates],Target1[[#This Row],[Target Dates]]),COUNTIF(Benchmark2[Benchmark '#2 Dates],Target1[[#This Row],[Target Dates]]))=2,"Pass","Fail")</f>
        <v>Pass</v>
      </c>
      <c r="I88" s="78">
        <f t="shared" si="5"/>
        <v>-0.60000000000000142</v>
      </c>
      <c r="K88" s="72">
        <f>Target1[[#This Row],[Target Price]]/$B$2*100</f>
        <v>126.87609075043629</v>
      </c>
      <c r="R88">
        <f>B89/Target1[[#This Row],[Target Price]]-1</f>
        <v>1.6964695093993676E-2</v>
      </c>
    </row>
    <row r="89" spans="1:18">
      <c r="A89" s="96">
        <v>43410</v>
      </c>
      <c r="B89" s="101">
        <v>22.18</v>
      </c>
      <c r="C89" s="4">
        <f t="shared" si="3"/>
        <v>1.682240170868338E-2</v>
      </c>
      <c r="D89" s="4">
        <f>IFERROR(Target1[[#This Row],[Target Return]]+1,"-")</f>
        <v>1.0168224017086833</v>
      </c>
      <c r="E89" s="6">
        <f>B89-MAX($B$2:B89)</f>
        <v>-0.23000000000000043</v>
      </c>
      <c r="F89" s="80">
        <f t="shared" si="4"/>
        <v>6</v>
      </c>
      <c r="G89" s="77">
        <f>Target1[[#This Row],[Target Drawdown]]/MAX($B$2:B89)</f>
        <v>-1.0263275323516306E-2</v>
      </c>
      <c r="H89" s="1" t="str">
        <f>IF(SUM(COUNTIF(Benchmark1[Benchmark '#1 Dates],Target1[[#This Row],[Target Dates]]),COUNTIF(Benchmark2[Benchmark '#2 Dates],Target1[[#This Row],[Target Dates]]))=2,"Pass","Fail")</f>
        <v>Pass</v>
      </c>
      <c r="I89" s="78">
        <f t="shared" si="5"/>
        <v>-0.23000000000000043</v>
      </c>
      <c r="K89" s="72">
        <f>Target1[[#This Row],[Target Price]]/$B$2*100</f>
        <v>129.02850494473529</v>
      </c>
      <c r="R89">
        <f>B90/Target1[[#This Row],[Target Price]]-1</f>
        <v>4.2831379621280474E-2</v>
      </c>
    </row>
    <row r="90" spans="1:18">
      <c r="A90" s="96">
        <v>43411</v>
      </c>
      <c r="B90" s="101">
        <v>23.13</v>
      </c>
      <c r="C90" s="4">
        <f t="shared" si="3"/>
        <v>4.1939494321126876E-2</v>
      </c>
      <c r="D90" s="4">
        <f>IFERROR(Target1[[#This Row],[Target Return]]+1,"-")</f>
        <v>1.0419394943211269</v>
      </c>
      <c r="E90" s="6">
        <f>B90-MAX($B$2:B90)</f>
        <v>0</v>
      </c>
      <c r="F90" s="80">
        <f t="shared" si="4"/>
        <v>0</v>
      </c>
      <c r="G90" s="77">
        <f>Target1[[#This Row],[Target Drawdown]]/MAX($B$2:B90)</f>
        <v>0</v>
      </c>
      <c r="H90" s="1" t="str">
        <f>IF(SUM(COUNTIF(Benchmark1[Benchmark '#1 Dates],Target1[[#This Row],[Target Dates]]),COUNTIF(Benchmark2[Benchmark '#2 Dates],Target1[[#This Row],[Target Dates]]))=2,"Pass","Fail")</f>
        <v>Pass</v>
      </c>
      <c r="I90" s="78">
        <f t="shared" si="5"/>
        <v>0</v>
      </c>
      <c r="K90" s="72">
        <f>Target1[[#This Row],[Target Price]]/$B$2*100</f>
        <v>134.55497382198951</v>
      </c>
      <c r="R90">
        <f>B91/Target1[[#This Row],[Target Price]]-1</f>
        <v>3.4587116299178433E-3</v>
      </c>
    </row>
    <row r="91" spans="1:18">
      <c r="A91" s="96">
        <v>43412</v>
      </c>
      <c r="B91" s="101">
        <v>23.21</v>
      </c>
      <c r="C91" s="4">
        <f t="shared" si="3"/>
        <v>3.4527440429978464E-3</v>
      </c>
      <c r="D91" s="4">
        <f>IFERROR(Target1[[#This Row],[Target Return]]+1,"-")</f>
        <v>1.0034527440429979</v>
      </c>
      <c r="E91" s="6">
        <f>B91-MAX($B$2:B91)</f>
        <v>0</v>
      </c>
      <c r="F91" s="80">
        <f t="shared" si="4"/>
        <v>0</v>
      </c>
      <c r="G91" s="77">
        <f>Target1[[#This Row],[Target Drawdown]]/MAX($B$2:B91)</f>
        <v>0</v>
      </c>
      <c r="H91" s="1" t="str">
        <f>IF(SUM(COUNTIF(Benchmark1[Benchmark '#1 Dates],Target1[[#This Row],[Target Dates]]),COUNTIF(Benchmark2[Benchmark '#2 Dates],Target1[[#This Row],[Target Dates]]))=2,"Pass","Fail")</f>
        <v>Pass</v>
      </c>
      <c r="I91" s="78">
        <f t="shared" si="5"/>
        <v>0</v>
      </c>
      <c r="K91" s="72">
        <f>Target1[[#This Row],[Target Price]]/$B$2*100</f>
        <v>135.02036067481095</v>
      </c>
      <c r="R91">
        <f>B92/Target1[[#This Row],[Target Price]]-1</f>
        <v>-8.6169754416198785E-4</v>
      </c>
    </row>
    <row r="92" spans="1:18">
      <c r="A92" s="96">
        <v>43413</v>
      </c>
      <c r="B92" s="101">
        <v>23.19</v>
      </c>
      <c r="C92" s="4">
        <f t="shared" si="3"/>
        <v>-8.6206901890537545E-4</v>
      </c>
      <c r="D92" s="4">
        <f>IFERROR(Target1[[#This Row],[Target Return]]+1,"-")</f>
        <v>0.9991379309810946</v>
      </c>
      <c r="E92" s="6">
        <f>B92-MAX($B$2:B92)</f>
        <v>-1.9999999999999574E-2</v>
      </c>
      <c r="F92" s="80">
        <f t="shared" si="4"/>
        <v>1</v>
      </c>
      <c r="G92" s="77">
        <f>Target1[[#This Row],[Target Drawdown]]/MAX($B$2:B92)</f>
        <v>-8.6169754416198069E-4</v>
      </c>
      <c r="H92" s="1" t="str">
        <f>IF(SUM(COUNTIF(Benchmark1[Benchmark '#1 Dates],Target1[[#This Row],[Target Dates]]),COUNTIF(Benchmark2[Benchmark '#2 Dates],Target1[[#This Row],[Target Dates]]))=2,"Pass","Fail")</f>
        <v>Pass</v>
      </c>
      <c r="I92" s="78">
        <f t="shared" si="5"/>
        <v>-1.9999999999999574E-2</v>
      </c>
      <c r="K92" s="72">
        <f>Target1[[#This Row],[Target Price]]/$B$2*100</f>
        <v>134.90401396160559</v>
      </c>
      <c r="R92">
        <f>B93/Target1[[#This Row],[Target Price]]-1</f>
        <v>-2.5873221216042852E-3</v>
      </c>
    </row>
    <row r="93" spans="1:18">
      <c r="A93" s="96">
        <v>43416</v>
      </c>
      <c r="B93" s="101">
        <v>23.13</v>
      </c>
      <c r="C93" s="4">
        <f t="shared" si="3"/>
        <v>-2.5906750240926178E-3</v>
      </c>
      <c r="D93" s="4">
        <f>IFERROR(Target1[[#This Row],[Target Return]]+1,"-")</f>
        <v>0.9974093249759074</v>
      </c>
      <c r="E93" s="6">
        <f>B93-MAX($B$2:B93)</f>
        <v>-8.0000000000001847E-2</v>
      </c>
      <c r="F93" s="80">
        <f t="shared" si="4"/>
        <v>2</v>
      </c>
      <c r="G93" s="77">
        <f>Target1[[#This Row],[Target Drawdown]]/MAX($B$2:B93)</f>
        <v>-3.4467901766480759E-3</v>
      </c>
      <c r="H93" s="1" t="str">
        <f>IF(SUM(COUNTIF(Benchmark1[Benchmark '#1 Dates],Target1[[#This Row],[Target Dates]]),COUNTIF(Benchmark2[Benchmark '#2 Dates],Target1[[#This Row],[Target Dates]]))=2,"Pass","Fail")</f>
        <v>Pass</v>
      </c>
      <c r="I93" s="78">
        <f t="shared" si="5"/>
        <v>-8.0000000000001847E-2</v>
      </c>
      <c r="K93" s="72">
        <f>Target1[[#This Row],[Target Price]]/$B$2*100</f>
        <v>134.55497382198951</v>
      </c>
      <c r="R93">
        <f>B94/Target1[[#This Row],[Target Price]]-1</f>
        <v>3.4587116299178433E-3</v>
      </c>
    </row>
    <row r="94" spans="1:18">
      <c r="A94" s="96">
        <v>43417</v>
      </c>
      <c r="B94" s="101">
        <v>23.21</v>
      </c>
      <c r="C94" s="4">
        <f t="shared" si="3"/>
        <v>3.4527440429978464E-3</v>
      </c>
      <c r="D94" s="4">
        <f>IFERROR(Target1[[#This Row],[Target Return]]+1,"-")</f>
        <v>1.0034527440429979</v>
      </c>
      <c r="E94" s="6">
        <f>B94-MAX($B$2:B94)</f>
        <v>0</v>
      </c>
      <c r="F94" s="80">
        <f t="shared" si="4"/>
        <v>0</v>
      </c>
      <c r="G94" s="77">
        <f>Target1[[#This Row],[Target Drawdown]]/MAX($B$2:B94)</f>
        <v>0</v>
      </c>
      <c r="H94" s="1" t="str">
        <f>IF(SUM(COUNTIF(Benchmark1[Benchmark '#1 Dates],Target1[[#This Row],[Target Dates]]),COUNTIF(Benchmark2[Benchmark '#2 Dates],Target1[[#This Row],[Target Dates]]))=2,"Pass","Fail")</f>
        <v>Pass</v>
      </c>
      <c r="I94" s="78">
        <f t="shared" si="5"/>
        <v>0</v>
      </c>
      <c r="K94" s="72">
        <f>Target1[[#This Row],[Target Price]]/$B$2*100</f>
        <v>135.02036067481095</v>
      </c>
      <c r="R94">
        <f>B95/Target1[[#This Row],[Target Price]]-1</f>
        <v>-4.3084877208110495E-4</v>
      </c>
    </row>
    <row r="95" spans="1:18">
      <c r="A95" s="96">
        <v>43418</v>
      </c>
      <c r="B95" s="101">
        <v>23.2</v>
      </c>
      <c r="C95" s="4">
        <f t="shared" si="3"/>
        <v>-4.3094161408150576E-4</v>
      </c>
      <c r="D95" s="4">
        <f>IFERROR(Target1[[#This Row],[Target Return]]+1,"-")</f>
        <v>0.99956905838591847</v>
      </c>
      <c r="E95" s="6">
        <f>B95-MAX($B$2:B95)</f>
        <v>-1.0000000000001563E-2</v>
      </c>
      <c r="F95" s="80">
        <f t="shared" si="4"/>
        <v>1</v>
      </c>
      <c r="G95" s="77">
        <f>Target1[[#This Row],[Target Drawdown]]/MAX($B$2:B95)</f>
        <v>-4.3084877208106689E-4</v>
      </c>
      <c r="H95" s="1" t="str">
        <f>IF(SUM(COUNTIF(Benchmark1[Benchmark '#1 Dates],Target1[[#This Row],[Target Dates]]),COUNTIF(Benchmark2[Benchmark '#2 Dates],Target1[[#This Row],[Target Dates]]))=2,"Pass","Fail")</f>
        <v>Pass</v>
      </c>
      <c r="I95" s="78">
        <f t="shared" si="5"/>
        <v>-1.0000000000001563E-2</v>
      </c>
      <c r="K95" s="72">
        <f>Target1[[#This Row],[Target Price]]/$B$2*100</f>
        <v>134.96218731820824</v>
      </c>
      <c r="R95">
        <f>B96/Target1[[#This Row],[Target Price]]-1</f>
        <v>-8.1896551724136568E-3</v>
      </c>
    </row>
    <row r="96" spans="1:18">
      <c r="A96" s="96">
        <v>43419</v>
      </c>
      <c r="B96" s="101">
        <v>23.01</v>
      </c>
      <c r="C96" s="4">
        <f t="shared" si="3"/>
        <v>-8.2233746249896246E-3</v>
      </c>
      <c r="D96" s="4">
        <f>IFERROR(Target1[[#This Row],[Target Return]]+1,"-")</f>
        <v>0.99177662537501032</v>
      </c>
      <c r="E96" s="6">
        <f>B96-MAX($B$2:B96)</f>
        <v>-0.19999999999999929</v>
      </c>
      <c r="F96" s="80">
        <f t="shared" si="4"/>
        <v>2</v>
      </c>
      <c r="G96" s="77">
        <f>Target1[[#This Row],[Target Drawdown]]/MAX($B$2:B96)</f>
        <v>-8.61697544161996E-3</v>
      </c>
      <c r="H96" s="1" t="str">
        <f>IF(SUM(COUNTIF(Benchmark1[Benchmark '#1 Dates],Target1[[#This Row],[Target Dates]]),COUNTIF(Benchmark2[Benchmark '#2 Dates],Target1[[#This Row],[Target Dates]]))=2,"Pass","Fail")</f>
        <v>Pass</v>
      </c>
      <c r="I96" s="78">
        <f t="shared" si="5"/>
        <v>-0.19999999999999929</v>
      </c>
      <c r="K96" s="72">
        <f>Target1[[#This Row],[Target Price]]/$B$2*100</f>
        <v>133.85689354275743</v>
      </c>
      <c r="R96">
        <f>B97/Target1[[#This Row],[Target Price]]-1</f>
        <v>-1.3472403302911884E-2</v>
      </c>
    </row>
    <row r="97" spans="1:18">
      <c r="A97" s="96">
        <v>43420</v>
      </c>
      <c r="B97" s="101">
        <v>22.7</v>
      </c>
      <c r="C97" s="4">
        <f t="shared" si="3"/>
        <v>-1.3563979559917626E-2</v>
      </c>
      <c r="D97" s="4">
        <f>IFERROR(Target1[[#This Row],[Target Return]]+1,"-")</f>
        <v>0.98643602044008238</v>
      </c>
      <c r="E97" s="6">
        <f>B97-MAX($B$2:B97)</f>
        <v>-0.51000000000000156</v>
      </c>
      <c r="F97" s="80">
        <f t="shared" si="4"/>
        <v>3</v>
      </c>
      <c r="G97" s="77">
        <f>Target1[[#This Row],[Target Drawdown]]/MAX($B$2:B97)</f>
        <v>-2.1973287376131044E-2</v>
      </c>
      <c r="H97" s="1" t="str">
        <f>IF(SUM(COUNTIF(Benchmark1[Benchmark '#1 Dates],Target1[[#This Row],[Target Dates]]),COUNTIF(Benchmark2[Benchmark '#2 Dates],Target1[[#This Row],[Target Dates]]))=2,"Pass","Fail")</f>
        <v>Pass</v>
      </c>
      <c r="I97" s="78">
        <f t="shared" si="5"/>
        <v>-0.51000000000000156</v>
      </c>
      <c r="K97" s="72">
        <f>Target1[[#This Row],[Target Price]]/$B$2*100</f>
        <v>132.05351948807444</v>
      </c>
      <c r="R97">
        <f>B98/Target1[[#This Row],[Target Price]]-1</f>
        <v>5.726872246696102E-3</v>
      </c>
    </row>
    <row r="98" spans="1:18">
      <c r="A98" s="96">
        <v>43423</v>
      </c>
      <c r="B98" s="101">
        <v>22.83</v>
      </c>
      <c r="C98" s="4">
        <f t="shared" si="3"/>
        <v>5.7105360543472355E-3</v>
      </c>
      <c r="D98" s="4">
        <f>IFERROR(Target1[[#This Row],[Target Return]]+1,"-")</f>
        <v>1.0057105360543472</v>
      </c>
      <c r="E98" s="6">
        <f>B98-MAX($B$2:B98)</f>
        <v>-0.38000000000000256</v>
      </c>
      <c r="F98" s="80">
        <f t="shared" si="4"/>
        <v>4</v>
      </c>
      <c r="G98" s="77">
        <f>Target1[[#This Row],[Target Drawdown]]/MAX($B$2:B98)</f>
        <v>-1.6372253339078092E-2</v>
      </c>
      <c r="H98" s="1" t="str">
        <f>IF(SUM(COUNTIF(Benchmark1[Benchmark '#1 Dates],Target1[[#This Row],[Target Dates]]),COUNTIF(Benchmark2[Benchmark '#2 Dates],Target1[[#This Row],[Target Dates]]))=2,"Pass","Fail")</f>
        <v>Pass</v>
      </c>
      <c r="I98" s="78">
        <f t="shared" si="5"/>
        <v>-0.38000000000000256</v>
      </c>
      <c r="K98" s="72">
        <f>Target1[[#This Row],[Target Price]]/$B$2*100</f>
        <v>132.80977312390922</v>
      </c>
      <c r="R98">
        <f>B99/Target1[[#This Row],[Target Price]]-1</f>
        <v>2.6281208935612366E-3</v>
      </c>
    </row>
    <row r="99" spans="1:18">
      <c r="A99" s="96">
        <v>43424</v>
      </c>
      <c r="B99" s="101">
        <v>22.89</v>
      </c>
      <c r="C99" s="4">
        <f t="shared" si="3"/>
        <v>2.6246734227713016E-3</v>
      </c>
      <c r="D99" s="4">
        <f>IFERROR(Target1[[#This Row],[Target Return]]+1,"-")</f>
        <v>1.0026246734227713</v>
      </c>
      <c r="E99" s="6">
        <f>B99-MAX($B$2:B99)</f>
        <v>-0.32000000000000028</v>
      </c>
      <c r="F99" s="80">
        <f t="shared" si="4"/>
        <v>5</v>
      </c>
      <c r="G99" s="77">
        <f>Target1[[#This Row],[Target Drawdown]]/MAX($B$2:B99)</f>
        <v>-1.3787160706591998E-2</v>
      </c>
      <c r="H99" s="1" t="str">
        <f>IF(SUM(COUNTIF(Benchmark1[Benchmark '#1 Dates],Target1[[#This Row],[Target Dates]]),COUNTIF(Benchmark2[Benchmark '#2 Dates],Target1[[#This Row],[Target Dates]]))=2,"Pass","Fail")</f>
        <v>Pass</v>
      </c>
      <c r="I99" s="78">
        <f t="shared" si="5"/>
        <v>-0.32000000000000028</v>
      </c>
      <c r="K99" s="72">
        <f>Target1[[#This Row],[Target Price]]/$B$2*100</f>
        <v>133.1588132635253</v>
      </c>
      <c r="R99">
        <f>B100/Target1[[#This Row],[Target Price]]-1</f>
        <v>1.0484927916120546E-2</v>
      </c>
    </row>
    <row r="100" spans="1:18">
      <c r="A100" s="96">
        <v>43425</v>
      </c>
      <c r="B100" s="101">
        <v>23.13</v>
      </c>
      <c r="C100" s="4">
        <f t="shared" si="3"/>
        <v>1.0430342278872453E-2</v>
      </c>
      <c r="D100" s="4">
        <f>IFERROR(Target1[[#This Row],[Target Return]]+1,"-")</f>
        <v>1.0104303422788725</v>
      </c>
      <c r="E100" s="6">
        <f>B100-MAX($B$2:B100)</f>
        <v>-8.0000000000001847E-2</v>
      </c>
      <c r="F100" s="80">
        <f t="shared" si="4"/>
        <v>6</v>
      </c>
      <c r="G100" s="77">
        <f>Target1[[#This Row],[Target Drawdown]]/MAX($B$2:B100)</f>
        <v>-3.4467901766480759E-3</v>
      </c>
      <c r="H100" s="1" t="str">
        <f>IF(SUM(COUNTIF(Benchmark1[Benchmark '#1 Dates],Target1[[#This Row],[Target Dates]]),COUNTIF(Benchmark2[Benchmark '#2 Dates],Target1[[#This Row],[Target Dates]]))=2,"Pass","Fail")</f>
        <v>Pass</v>
      </c>
      <c r="I100" s="78">
        <f t="shared" si="5"/>
        <v>-8.0000000000001847E-2</v>
      </c>
      <c r="K100" s="72">
        <f>Target1[[#This Row],[Target Price]]/$B$2*100</f>
        <v>134.55497382198951</v>
      </c>
      <c r="R100">
        <f>B101/Target1[[#This Row],[Target Price]]-1</f>
        <v>-5.6204063986164954E-3</v>
      </c>
    </row>
    <row r="101" spans="1:18">
      <c r="A101" s="96">
        <v>43427</v>
      </c>
      <c r="B101" s="101">
        <v>23</v>
      </c>
      <c r="C101" s="4">
        <f t="shared" si="3"/>
        <v>-5.6362603141981021E-3</v>
      </c>
      <c r="D101" s="4">
        <f>IFERROR(Target1[[#This Row],[Target Return]]+1,"-")</f>
        <v>0.99436373968580194</v>
      </c>
      <c r="E101" s="6">
        <f>B101-MAX($B$2:B101)</f>
        <v>-0.21000000000000085</v>
      </c>
      <c r="F101" s="80">
        <f t="shared" si="4"/>
        <v>7</v>
      </c>
      <c r="G101" s="77">
        <f>Target1[[#This Row],[Target Drawdown]]/MAX($B$2:B101)</f>
        <v>-9.0478242137010268E-3</v>
      </c>
      <c r="H101" s="1" t="str">
        <f>IF(SUM(COUNTIF(Benchmark1[Benchmark '#1 Dates],Target1[[#This Row],[Target Dates]]),COUNTIF(Benchmark2[Benchmark '#2 Dates],Target1[[#This Row],[Target Dates]]))=2,"Pass","Fail")</f>
        <v>Pass</v>
      </c>
      <c r="I101" s="78">
        <f t="shared" si="5"/>
        <v>-0.21000000000000085</v>
      </c>
      <c r="K101" s="72">
        <f>Target1[[#This Row],[Target Price]]/$B$2*100</f>
        <v>133.79872018615472</v>
      </c>
      <c r="R101">
        <f>B102/Target1[[#This Row],[Target Price]]-1</f>
        <v>-2.6086956521738092E-3</v>
      </c>
    </row>
    <row r="102" spans="1:18">
      <c r="A102" s="96">
        <v>43430</v>
      </c>
      <c r="B102" s="101">
        <v>22.94</v>
      </c>
      <c r="C102" s="4">
        <f t="shared" si="3"/>
        <v>-2.612104227924955E-3</v>
      </c>
      <c r="D102" s="4">
        <f>IFERROR(Target1[[#This Row],[Target Return]]+1,"-")</f>
        <v>0.99738789577207509</v>
      </c>
      <c r="E102" s="6">
        <f>B102-MAX($B$2:B102)</f>
        <v>-0.26999999999999957</v>
      </c>
      <c r="F102" s="80">
        <f t="shared" si="4"/>
        <v>8</v>
      </c>
      <c r="G102" s="77">
        <f>Target1[[#This Row],[Target Drawdown]]/MAX($B$2:B102)</f>
        <v>-1.163291684618697E-2</v>
      </c>
      <c r="H102" s="1" t="str">
        <f>IF(SUM(COUNTIF(Benchmark1[Benchmark '#1 Dates],Target1[[#This Row],[Target Dates]]),COUNTIF(Benchmark2[Benchmark '#2 Dates],Target1[[#This Row],[Target Dates]]))=2,"Pass","Fail")</f>
        <v>Pass</v>
      </c>
      <c r="I102" s="78">
        <f t="shared" si="5"/>
        <v>-0.26999999999999957</v>
      </c>
      <c r="K102" s="72">
        <f>Target1[[#This Row],[Target Price]]/$B$2*100</f>
        <v>133.44968004653867</v>
      </c>
      <c r="R102">
        <f>B103/Target1[[#This Row],[Target Price]]-1</f>
        <v>2.1795989537922722E-3</v>
      </c>
    </row>
    <row r="103" spans="1:18">
      <c r="A103" s="96">
        <v>43431</v>
      </c>
      <c r="B103" s="101">
        <v>22.99</v>
      </c>
      <c r="C103" s="4">
        <f t="shared" si="3"/>
        <v>2.1772270738653191E-3</v>
      </c>
      <c r="D103" s="4">
        <f>IFERROR(Target1[[#This Row],[Target Return]]+1,"-")</f>
        <v>1.0021772270738654</v>
      </c>
      <c r="E103" s="6">
        <f>B103-MAX($B$2:B103)</f>
        <v>-0.22000000000000242</v>
      </c>
      <c r="F103" s="80">
        <f t="shared" si="4"/>
        <v>9</v>
      </c>
      <c r="G103" s="77">
        <f>Target1[[#This Row],[Target Drawdown]]/MAX($B$2:B103)</f>
        <v>-9.4786729857820936E-3</v>
      </c>
      <c r="H103" s="1" t="str">
        <f>IF(SUM(COUNTIF(Benchmark1[Benchmark '#1 Dates],Target1[[#This Row],[Target Dates]]),COUNTIF(Benchmark2[Benchmark '#2 Dates],Target1[[#This Row],[Target Dates]]))=2,"Pass","Fail")</f>
        <v>Pass</v>
      </c>
      <c r="I103" s="78">
        <f t="shared" si="5"/>
        <v>-0.22000000000000242</v>
      </c>
      <c r="K103" s="72">
        <f>Target1[[#This Row],[Target Price]]/$B$2*100</f>
        <v>133.74054682955204</v>
      </c>
      <c r="R103">
        <f>B104/Target1[[#This Row],[Target Price]]-1</f>
        <v>2.1748586341887588E-3</v>
      </c>
    </row>
    <row r="104" spans="1:18">
      <c r="A104" s="96">
        <v>43432</v>
      </c>
      <c r="B104" s="101">
        <v>23.04</v>
      </c>
      <c r="C104" s="4">
        <f t="shared" si="3"/>
        <v>2.1724970526002911E-3</v>
      </c>
      <c r="D104" s="4">
        <f>IFERROR(Target1[[#This Row],[Target Return]]+1,"-")</f>
        <v>1.0021724970526003</v>
      </c>
      <c r="E104" s="6">
        <f>B104-MAX($B$2:B104)</f>
        <v>-0.17000000000000171</v>
      </c>
      <c r="F104" s="80">
        <f t="shared" si="4"/>
        <v>10</v>
      </c>
      <c r="G104" s="77">
        <f>Target1[[#This Row],[Target Drawdown]]/MAX($B$2:B104)</f>
        <v>-7.3244291253770659E-3</v>
      </c>
      <c r="H104" s="1" t="str">
        <f>IF(SUM(COUNTIF(Benchmark1[Benchmark '#1 Dates],Target1[[#This Row],[Target Dates]]),COUNTIF(Benchmark2[Benchmark '#2 Dates],Target1[[#This Row],[Target Dates]]))=2,"Pass","Fail")</f>
        <v>Pass</v>
      </c>
      <c r="I104" s="78">
        <f t="shared" si="5"/>
        <v>-0.17000000000000171</v>
      </c>
      <c r="K104" s="72">
        <f>Target1[[#This Row],[Target Price]]/$B$2*100</f>
        <v>134.03141361256544</v>
      </c>
      <c r="R104">
        <f>B105/Target1[[#This Row],[Target Price]]-1</f>
        <v>3.993055555555558E-2</v>
      </c>
    </row>
    <row r="105" spans="1:18">
      <c r="A105" s="96">
        <v>43433</v>
      </c>
      <c r="B105" s="101">
        <v>23.96</v>
      </c>
      <c r="C105" s="4">
        <f t="shared" si="3"/>
        <v>3.9153937419558131E-2</v>
      </c>
      <c r="D105" s="4">
        <f>IFERROR(Target1[[#This Row],[Target Return]]+1,"-")</f>
        <v>1.0391539374195582</v>
      </c>
      <c r="E105" s="6">
        <f>B105-MAX($B$2:B105)</f>
        <v>0</v>
      </c>
      <c r="F105" s="80">
        <f t="shared" si="4"/>
        <v>0</v>
      </c>
      <c r="G105" s="77">
        <f>Target1[[#This Row],[Target Drawdown]]/MAX($B$2:B105)</f>
        <v>0</v>
      </c>
      <c r="H105" s="1" t="str">
        <f>IF(SUM(COUNTIF(Benchmark1[Benchmark '#1 Dates],Target1[[#This Row],[Target Dates]]),COUNTIF(Benchmark2[Benchmark '#2 Dates],Target1[[#This Row],[Target Dates]]))=2,"Pass","Fail")</f>
        <v>Pass</v>
      </c>
      <c r="I105" s="78">
        <f t="shared" si="5"/>
        <v>0</v>
      </c>
      <c r="K105" s="72">
        <f>Target1[[#This Row],[Target Price]]/$B$2*100</f>
        <v>139.38336242001162</v>
      </c>
      <c r="R105">
        <f>B106/Target1[[#This Row],[Target Price]]-1</f>
        <v>-4.1736227045076069E-3</v>
      </c>
    </row>
    <row r="106" spans="1:18">
      <c r="A106" s="96">
        <v>43434</v>
      </c>
      <c r="B106" s="101">
        <v>23.86</v>
      </c>
      <c r="C106" s="4">
        <f t="shared" si="3"/>
        <v>-4.1823565774786395E-3</v>
      </c>
      <c r="D106" s="4">
        <f>IFERROR(Target1[[#This Row],[Target Return]]+1,"-")</f>
        <v>0.99581764342252133</v>
      </c>
      <c r="E106" s="6">
        <f>B106-MAX($B$2:B106)</f>
        <v>-0.10000000000000142</v>
      </c>
      <c r="F106" s="80">
        <f t="shared" si="4"/>
        <v>1</v>
      </c>
      <c r="G106" s="77">
        <f>Target1[[#This Row],[Target Drawdown]]/MAX($B$2:B106)</f>
        <v>-4.1736227045075713E-3</v>
      </c>
      <c r="H106" s="1" t="str">
        <f>IF(SUM(COUNTIF(Benchmark1[Benchmark '#1 Dates],Target1[[#This Row],[Target Dates]]),COUNTIF(Benchmark2[Benchmark '#2 Dates],Target1[[#This Row],[Target Dates]]))=2,"Pass","Fail")</f>
        <v>Pass</v>
      </c>
      <c r="I106" s="78">
        <f t="shared" si="5"/>
        <v>-0.10000000000000142</v>
      </c>
      <c r="K106" s="72">
        <f>Target1[[#This Row],[Target Price]]/$B$2*100</f>
        <v>138.80162885398485</v>
      </c>
      <c r="R106">
        <f>B107/Target1[[#This Row],[Target Price]]-1</f>
        <v>1.2154233025984951E-2</v>
      </c>
    </row>
    <row r="107" spans="1:18">
      <c r="A107" s="96">
        <v>43437</v>
      </c>
      <c r="B107" s="101">
        <v>24.15</v>
      </c>
      <c r="C107" s="4">
        <f t="shared" si="3"/>
        <v>1.2080963428811677E-2</v>
      </c>
      <c r="D107" s="4">
        <f>IFERROR(Target1[[#This Row],[Target Return]]+1,"-")</f>
        <v>1.0120809634288117</v>
      </c>
      <c r="E107" s="6">
        <f>B107-MAX($B$2:B107)</f>
        <v>0</v>
      </c>
      <c r="F107" s="80">
        <f t="shared" si="4"/>
        <v>0</v>
      </c>
      <c r="G107" s="77">
        <f>Target1[[#This Row],[Target Drawdown]]/MAX($B$2:B107)</f>
        <v>0</v>
      </c>
      <c r="H107" s="1" t="str">
        <f>IF(SUM(COUNTIF(Benchmark1[Benchmark '#1 Dates],Target1[[#This Row],[Target Dates]]),COUNTIF(Benchmark2[Benchmark '#2 Dates],Target1[[#This Row],[Target Dates]]))=2,"Pass","Fail")</f>
        <v>Pass</v>
      </c>
      <c r="I107" s="78">
        <f t="shared" si="5"/>
        <v>0</v>
      </c>
      <c r="K107" s="72">
        <f>Target1[[#This Row],[Target Price]]/$B$2*100</f>
        <v>140.48865619546248</v>
      </c>
      <c r="R107">
        <f>B108/Target1[[#This Row],[Target Price]]-1</f>
        <v>-1.200828157349898E-2</v>
      </c>
    </row>
    <row r="108" spans="1:18">
      <c r="A108" s="96">
        <v>43438</v>
      </c>
      <c r="B108" s="101">
        <v>23.86</v>
      </c>
      <c r="C108" s="4">
        <f t="shared" si="3"/>
        <v>-1.2080963428811655E-2</v>
      </c>
      <c r="D108" s="4">
        <f>IFERROR(Target1[[#This Row],[Target Return]]+1,"-")</f>
        <v>0.98791903657118829</v>
      </c>
      <c r="E108" s="6">
        <f>B108-MAX($B$2:B108)</f>
        <v>-0.28999999999999915</v>
      </c>
      <c r="F108" s="80">
        <f t="shared" si="4"/>
        <v>1</v>
      </c>
      <c r="G108" s="77">
        <f>Target1[[#This Row],[Target Drawdown]]/MAX($B$2:B108)</f>
        <v>-1.200828157349893E-2</v>
      </c>
      <c r="H108" s="1" t="str">
        <f>IF(SUM(COUNTIF(Benchmark1[Benchmark '#1 Dates],Target1[[#This Row],[Target Dates]]),COUNTIF(Benchmark2[Benchmark '#2 Dates],Target1[[#This Row],[Target Dates]]))=2,"Pass","Fail")</f>
        <v>Pass</v>
      </c>
      <c r="I108" s="78">
        <f t="shared" si="5"/>
        <v>-0.28999999999999915</v>
      </c>
      <c r="K108" s="72">
        <f>Target1[[#This Row],[Target Price]]/$B$2*100</f>
        <v>138.80162885398485</v>
      </c>
      <c r="R108">
        <f>B109/Target1[[#This Row],[Target Price]]-1</f>
        <v>-2.053646269907794E-2</v>
      </c>
    </row>
    <row r="109" spans="1:18">
      <c r="A109" s="96">
        <v>43440</v>
      </c>
      <c r="B109" s="101">
        <v>23.37</v>
      </c>
      <c r="C109" s="4">
        <f t="shared" si="3"/>
        <v>-2.0750268119003452E-2</v>
      </c>
      <c r="D109" s="4">
        <f>IFERROR(Target1[[#This Row],[Target Return]]+1,"-")</f>
        <v>0.97924973188099651</v>
      </c>
      <c r="E109" s="6">
        <f>B109-MAX($B$2:B109)</f>
        <v>-0.77999999999999758</v>
      </c>
      <c r="F109" s="80">
        <f t="shared" si="4"/>
        <v>2</v>
      </c>
      <c r="G109" s="77">
        <f>Target1[[#This Row],[Target Drawdown]]/MAX($B$2:B109)</f>
        <v>-3.2298136645962636E-2</v>
      </c>
      <c r="H109" s="1" t="str">
        <f>IF(SUM(COUNTIF(Benchmark1[Benchmark '#1 Dates],Target1[[#This Row],[Target Dates]]),COUNTIF(Benchmark2[Benchmark '#2 Dates],Target1[[#This Row],[Target Dates]]))=2,"Pass","Fail")</f>
        <v>Pass</v>
      </c>
      <c r="I109" s="78">
        <f t="shared" si="5"/>
        <v>-0.77999999999999758</v>
      </c>
      <c r="K109" s="72">
        <f>Target1[[#This Row],[Target Price]]/$B$2*100</f>
        <v>135.95113438045374</v>
      </c>
      <c r="R109">
        <f>B110/Target1[[#This Row],[Target Price]]-1</f>
        <v>-1.6260162601626105E-2</v>
      </c>
    </row>
    <row r="110" spans="1:18">
      <c r="A110" s="96">
        <v>43441</v>
      </c>
      <c r="B110" s="101">
        <v>22.99</v>
      </c>
      <c r="C110" s="4">
        <f t="shared" si="3"/>
        <v>-1.6393809775676497E-2</v>
      </c>
      <c r="D110" s="4">
        <f>IFERROR(Target1[[#This Row],[Target Return]]+1,"-")</f>
        <v>0.9836061902243235</v>
      </c>
      <c r="E110" s="6">
        <f>B110-MAX($B$2:B110)</f>
        <v>-1.1600000000000001</v>
      </c>
      <c r="F110" s="80">
        <f t="shared" si="4"/>
        <v>3</v>
      </c>
      <c r="G110" s="77">
        <f>Target1[[#This Row],[Target Drawdown]]/MAX($B$2:B110)</f>
        <v>-4.8033126293995865E-2</v>
      </c>
      <c r="H110" s="1" t="str">
        <f>IF(SUM(COUNTIF(Benchmark1[Benchmark '#1 Dates],Target1[[#This Row],[Target Dates]]),COUNTIF(Benchmark2[Benchmark '#2 Dates],Target1[[#This Row],[Target Dates]]))=2,"Pass","Fail")</f>
        <v>Pass</v>
      </c>
      <c r="I110" s="78">
        <f t="shared" si="5"/>
        <v>-1.1600000000000001</v>
      </c>
      <c r="K110" s="72">
        <f>Target1[[#This Row],[Target Price]]/$B$2*100</f>
        <v>133.74054682955204</v>
      </c>
      <c r="R110">
        <f>B111/Target1[[#This Row],[Target Price]]-1</f>
        <v>-1.2614180078294845E-2</v>
      </c>
    </row>
    <row r="111" spans="1:18">
      <c r="A111" s="96">
        <v>43444</v>
      </c>
      <c r="B111" s="101">
        <v>22.7</v>
      </c>
      <c r="C111" s="4">
        <f t="shared" si="3"/>
        <v>-1.2694414287733123E-2</v>
      </c>
      <c r="D111" s="4">
        <f>IFERROR(Target1[[#This Row],[Target Return]]+1,"-")</f>
        <v>0.9873055857122669</v>
      </c>
      <c r="E111" s="6">
        <f>B111-MAX($B$2:B111)</f>
        <v>-1.4499999999999993</v>
      </c>
      <c r="F111" s="80">
        <f t="shared" si="4"/>
        <v>4</v>
      </c>
      <c r="G111" s="77">
        <f>Target1[[#This Row],[Target Drawdown]]/MAX($B$2:B111)</f>
        <v>-6.0041407867494796E-2</v>
      </c>
      <c r="H111" s="1" t="str">
        <f>IF(SUM(COUNTIF(Benchmark1[Benchmark '#1 Dates],Target1[[#This Row],[Target Dates]]),COUNTIF(Benchmark2[Benchmark '#2 Dates],Target1[[#This Row],[Target Dates]]))=2,"Pass","Fail")</f>
        <v>Pass</v>
      </c>
      <c r="I111" s="78">
        <f t="shared" si="5"/>
        <v>-1.4499999999999993</v>
      </c>
      <c r="K111" s="72">
        <f>Target1[[#This Row],[Target Price]]/$B$2*100</f>
        <v>132.05351948807444</v>
      </c>
      <c r="R111">
        <f>B112/Target1[[#This Row],[Target Price]]-1</f>
        <v>2.2907488986784186E-2</v>
      </c>
    </row>
    <row r="112" spans="1:18">
      <c r="A112" s="96">
        <v>43445</v>
      </c>
      <c r="B112" s="101">
        <v>23.22</v>
      </c>
      <c r="C112" s="4">
        <f t="shared" si="3"/>
        <v>2.2649051782388491E-2</v>
      </c>
      <c r="D112" s="4">
        <f>IFERROR(Target1[[#This Row],[Target Return]]+1,"-")</f>
        <v>1.0226490517823885</v>
      </c>
      <c r="E112" s="6">
        <f>B112-MAX($B$2:B112)</f>
        <v>-0.92999999999999972</v>
      </c>
      <c r="F112" s="80">
        <f t="shared" si="4"/>
        <v>5</v>
      </c>
      <c r="G112" s="77">
        <f>Target1[[#This Row],[Target Drawdown]]/MAX($B$2:B112)</f>
        <v>-3.8509316770186326E-2</v>
      </c>
      <c r="H112" s="1" t="str">
        <f>IF(SUM(COUNTIF(Benchmark1[Benchmark '#1 Dates],Target1[[#This Row],[Target Dates]]),COUNTIF(Benchmark2[Benchmark '#2 Dates],Target1[[#This Row],[Target Dates]]))=2,"Pass","Fail")</f>
        <v>Pass</v>
      </c>
      <c r="I112" s="78">
        <f t="shared" si="5"/>
        <v>-0.92999999999999972</v>
      </c>
      <c r="K112" s="72">
        <f>Target1[[#This Row],[Target Price]]/$B$2*100</f>
        <v>135.0785340314136</v>
      </c>
      <c r="R112">
        <f>B113/Target1[[#This Row],[Target Price]]-1</f>
        <v>-8.6132644272174375E-4</v>
      </c>
    </row>
    <row r="113" spans="1:18">
      <c r="A113" s="96">
        <v>43446</v>
      </c>
      <c r="B113" s="101">
        <v>23.2</v>
      </c>
      <c r="C113" s="4">
        <f t="shared" si="3"/>
        <v>-8.6169759748111973E-4</v>
      </c>
      <c r="D113" s="4">
        <f>IFERROR(Target1[[#This Row],[Target Return]]+1,"-")</f>
        <v>0.99913830240251889</v>
      </c>
      <c r="E113" s="6">
        <f>B113-MAX($B$2:B113)</f>
        <v>-0.94999999999999929</v>
      </c>
      <c r="F113" s="80">
        <f t="shared" si="4"/>
        <v>6</v>
      </c>
      <c r="G113" s="77">
        <f>Target1[[#This Row],[Target Drawdown]]/MAX($B$2:B113)</f>
        <v>-3.9337474120082788E-2</v>
      </c>
      <c r="H113" s="1" t="str">
        <f>IF(SUM(COUNTIF(Benchmark1[Benchmark '#1 Dates],Target1[[#This Row],[Target Dates]]),COUNTIF(Benchmark2[Benchmark '#2 Dates],Target1[[#This Row],[Target Dates]]))=2,"Pass","Fail")</f>
        <v>Pass</v>
      </c>
      <c r="I113" s="78">
        <f t="shared" si="5"/>
        <v>-0.94999999999999929</v>
      </c>
      <c r="K113" s="72">
        <f>Target1[[#This Row],[Target Price]]/$B$2*100</f>
        <v>134.96218731820824</v>
      </c>
      <c r="R113">
        <f>B114/Target1[[#This Row],[Target Price]]-1</f>
        <v>-1.5086206896551602E-2</v>
      </c>
    </row>
    <row r="114" spans="1:18">
      <c r="A114" s="96">
        <v>43447</v>
      </c>
      <c r="B114" s="101">
        <v>22.85</v>
      </c>
      <c r="C114" s="4">
        <f t="shared" si="3"/>
        <v>-1.520116133205044E-2</v>
      </c>
      <c r="D114" s="4">
        <f>IFERROR(Target1[[#This Row],[Target Return]]+1,"-")</f>
        <v>0.98479883866794959</v>
      </c>
      <c r="E114" s="6">
        <f>B114-MAX($B$2:B114)</f>
        <v>-1.2999999999999972</v>
      </c>
      <c r="F114" s="80">
        <f t="shared" si="4"/>
        <v>7</v>
      </c>
      <c r="G114" s="77">
        <f>Target1[[#This Row],[Target Drawdown]]/MAX($B$2:B114)</f>
        <v>-5.3830227743271106E-2</v>
      </c>
      <c r="H114" s="1" t="str">
        <f>IF(SUM(COUNTIF(Benchmark1[Benchmark '#1 Dates],Target1[[#This Row],[Target Dates]]),COUNTIF(Benchmark2[Benchmark '#2 Dates],Target1[[#This Row],[Target Dates]]))=2,"Pass","Fail")</f>
        <v>Pass</v>
      </c>
      <c r="I114" s="78">
        <f t="shared" si="5"/>
        <v>-1.2999999999999972</v>
      </c>
      <c r="K114" s="72">
        <f>Target1[[#This Row],[Target Price]]/$B$2*100</f>
        <v>132.92611983711458</v>
      </c>
      <c r="R114">
        <f>B115/Target1[[#This Row],[Target Price]]-1</f>
        <v>-5.2516411378555894E-3</v>
      </c>
    </row>
    <row r="115" spans="1:18">
      <c r="A115" s="96">
        <v>43448</v>
      </c>
      <c r="B115" s="101">
        <v>22.73</v>
      </c>
      <c r="C115" s="4">
        <f t="shared" si="3"/>
        <v>-5.2654794757618778E-3</v>
      </c>
      <c r="D115" s="4">
        <f>IFERROR(Target1[[#This Row],[Target Return]]+1,"-")</f>
        <v>0.99473452052423816</v>
      </c>
      <c r="E115" s="6">
        <f>B115-MAX($B$2:B115)</f>
        <v>-1.4199999999999982</v>
      </c>
      <c r="F115" s="80">
        <f t="shared" si="4"/>
        <v>8</v>
      </c>
      <c r="G115" s="77">
        <f>Target1[[#This Row],[Target Drawdown]]/MAX($B$2:B115)</f>
        <v>-5.879917184265003E-2</v>
      </c>
      <c r="H115" s="1" t="str">
        <f>IF(SUM(COUNTIF(Benchmark1[Benchmark '#1 Dates],Target1[[#This Row],[Target Dates]]),COUNTIF(Benchmark2[Benchmark '#2 Dates],Target1[[#This Row],[Target Dates]]))=2,"Pass","Fail")</f>
        <v>Pass</v>
      </c>
      <c r="I115" s="78">
        <f t="shared" si="5"/>
        <v>-1.4199999999999982</v>
      </c>
      <c r="K115" s="72">
        <f>Target1[[#This Row],[Target Price]]/$B$2*100</f>
        <v>132.22803955788248</v>
      </c>
      <c r="R115">
        <f>B116/Target1[[#This Row],[Target Price]]-1</f>
        <v>0</v>
      </c>
    </row>
    <row r="116" spans="1:18">
      <c r="A116" s="96">
        <v>43451</v>
      </c>
      <c r="B116" s="101">
        <v>22.73</v>
      </c>
      <c r="C116" s="4">
        <f t="shared" si="3"/>
        <v>0</v>
      </c>
      <c r="D116" s="4">
        <f>IFERROR(Target1[[#This Row],[Target Return]]+1,"-")</f>
        <v>1</v>
      </c>
      <c r="E116" s="6">
        <f>B116-MAX($B$2:B116)</f>
        <v>-1.4199999999999982</v>
      </c>
      <c r="F116" s="80">
        <f t="shared" si="4"/>
        <v>9</v>
      </c>
      <c r="G116" s="77">
        <f>Target1[[#This Row],[Target Drawdown]]/MAX($B$2:B116)</f>
        <v>-5.879917184265003E-2</v>
      </c>
      <c r="H116" s="1" t="str">
        <f>IF(SUM(COUNTIF(Benchmark1[Benchmark '#1 Dates],Target1[[#This Row],[Target Dates]]),COUNTIF(Benchmark2[Benchmark '#2 Dates],Target1[[#This Row],[Target Dates]]))=2,"Pass","Fail")</f>
        <v>Pass</v>
      </c>
      <c r="I116" s="78">
        <f t="shared" si="5"/>
        <v>-1.4199999999999982</v>
      </c>
      <c r="K116" s="72">
        <f>Target1[[#This Row],[Target Price]]/$B$2*100</f>
        <v>132.22803955788248</v>
      </c>
      <c r="R116">
        <f>B117/Target1[[#This Row],[Target Price]]-1</f>
        <v>1.2318521777386682E-2</v>
      </c>
    </row>
    <row r="117" spans="1:18">
      <c r="A117" s="96">
        <v>43452</v>
      </c>
      <c r="B117" s="101">
        <v>23.01</v>
      </c>
      <c r="C117" s="4">
        <f t="shared" si="3"/>
        <v>1.2243266182822642E-2</v>
      </c>
      <c r="D117" s="4">
        <f>IFERROR(Target1[[#This Row],[Target Return]]+1,"-")</f>
        <v>1.0122432661828227</v>
      </c>
      <c r="E117" s="6">
        <f>B117-MAX($B$2:B117)</f>
        <v>-1.139999999999997</v>
      </c>
      <c r="F117" s="80">
        <f t="shared" si="4"/>
        <v>10</v>
      </c>
      <c r="G117" s="77">
        <f>Target1[[#This Row],[Target Drawdown]]/MAX($B$2:B117)</f>
        <v>-4.7204968944099257E-2</v>
      </c>
      <c r="H117" s="1" t="str">
        <f>IF(SUM(COUNTIF(Benchmark1[Benchmark '#1 Dates],Target1[[#This Row],[Target Dates]]),COUNTIF(Benchmark2[Benchmark '#2 Dates],Target1[[#This Row],[Target Dates]]))=2,"Pass","Fail")</f>
        <v>Pass</v>
      </c>
      <c r="I117" s="78">
        <f t="shared" si="5"/>
        <v>-1.139999999999997</v>
      </c>
      <c r="K117" s="72">
        <f>Target1[[#This Row],[Target Price]]/$B$2*100</f>
        <v>133.85689354275743</v>
      </c>
      <c r="R117">
        <f>B118/Target1[[#This Row],[Target Price]]-1</f>
        <v>-6.9534984789222376E-3</v>
      </c>
    </row>
    <row r="118" spans="1:18">
      <c r="A118" s="96">
        <v>43453</v>
      </c>
      <c r="B118" s="101">
        <v>22.85</v>
      </c>
      <c r="C118" s="4">
        <f t="shared" si="3"/>
        <v>-6.9777867070608341E-3</v>
      </c>
      <c r="D118" s="4">
        <f>IFERROR(Target1[[#This Row],[Target Return]]+1,"-")</f>
        <v>0.99302221329293916</v>
      </c>
      <c r="E118" s="6">
        <f>B118-MAX($B$2:B118)</f>
        <v>-1.2999999999999972</v>
      </c>
      <c r="F118" s="80">
        <f t="shared" si="4"/>
        <v>11</v>
      </c>
      <c r="G118" s="77">
        <f>Target1[[#This Row],[Target Drawdown]]/MAX($B$2:B118)</f>
        <v>-5.3830227743271106E-2</v>
      </c>
      <c r="H118" s="1" t="str">
        <f>IF(SUM(COUNTIF(Benchmark1[Benchmark '#1 Dates],Target1[[#This Row],[Target Dates]]),COUNTIF(Benchmark2[Benchmark '#2 Dates],Target1[[#This Row],[Target Dates]]))=2,"Pass","Fail")</f>
        <v>Pass</v>
      </c>
      <c r="I118" s="78">
        <f t="shared" si="5"/>
        <v>-1.2999999999999972</v>
      </c>
      <c r="K118" s="72">
        <f>Target1[[#This Row],[Target Price]]/$B$2*100</f>
        <v>132.92611983711458</v>
      </c>
      <c r="R118">
        <f>B119/Target1[[#This Row],[Target Price]]-1</f>
        <v>1.3129102844638751E-2</v>
      </c>
    </row>
    <row r="119" spans="1:18">
      <c r="A119" s="96">
        <v>43454</v>
      </c>
      <c r="B119" s="101">
        <v>23.15</v>
      </c>
      <c r="C119" s="4">
        <f t="shared" si="3"/>
        <v>1.3043663192029179E-2</v>
      </c>
      <c r="D119" s="4">
        <f>IFERROR(Target1[[#This Row],[Target Return]]+1,"-")</f>
        <v>1.0130436631920292</v>
      </c>
      <c r="E119" s="6">
        <f>B119-MAX($B$2:B119)</f>
        <v>-1</v>
      </c>
      <c r="F119" s="80">
        <f t="shared" si="4"/>
        <v>12</v>
      </c>
      <c r="G119" s="77">
        <f>Target1[[#This Row],[Target Drawdown]]/MAX($B$2:B119)</f>
        <v>-4.1407867494824016E-2</v>
      </c>
      <c r="H119" s="1" t="str">
        <f>IF(SUM(COUNTIF(Benchmark1[Benchmark '#1 Dates],Target1[[#This Row],[Target Dates]]),COUNTIF(Benchmark2[Benchmark '#2 Dates],Target1[[#This Row],[Target Dates]]))=2,"Pass","Fail")</f>
        <v>Pass</v>
      </c>
      <c r="I119" s="78">
        <f t="shared" si="5"/>
        <v>-1</v>
      </c>
      <c r="K119" s="72">
        <f>Target1[[#This Row],[Target Price]]/$B$2*100</f>
        <v>134.67132053519487</v>
      </c>
      <c r="R119">
        <f>B120/Target1[[#This Row],[Target Price]]-1</f>
        <v>-2.1598272138228958E-2</v>
      </c>
    </row>
    <row r="120" spans="1:18">
      <c r="A120" s="96">
        <v>43455</v>
      </c>
      <c r="B120" s="101">
        <v>22.65</v>
      </c>
      <c r="C120" s="4">
        <f t="shared" si="3"/>
        <v>-2.183492860320007E-2</v>
      </c>
      <c r="D120" s="4">
        <f>IFERROR(Target1[[#This Row],[Target Return]]+1,"-")</f>
        <v>0.97816507139679998</v>
      </c>
      <c r="E120" s="6">
        <f>B120-MAX($B$2:B120)</f>
        <v>-1.5</v>
      </c>
      <c r="F120" s="80">
        <f t="shared" si="4"/>
        <v>13</v>
      </c>
      <c r="G120" s="77">
        <f>Target1[[#This Row],[Target Drawdown]]/MAX($B$2:B120)</f>
        <v>-6.2111801242236031E-2</v>
      </c>
      <c r="H120" s="1" t="str">
        <f>IF(SUM(COUNTIF(Benchmark1[Benchmark '#1 Dates],Target1[[#This Row],[Target Dates]]),COUNTIF(Benchmark2[Benchmark '#2 Dates],Target1[[#This Row],[Target Dates]]))=2,"Pass","Fail")</f>
        <v>Pass</v>
      </c>
      <c r="I120" s="78">
        <f t="shared" si="5"/>
        <v>-1.5</v>
      </c>
      <c r="K120" s="72">
        <f>Target1[[#This Row],[Target Price]]/$B$2*100</f>
        <v>131.76265270506107</v>
      </c>
      <c r="R120">
        <f>B121/Target1[[#This Row],[Target Price]]-1</f>
        <v>-1.3245033112582183E-3</v>
      </c>
    </row>
    <row r="121" spans="1:18">
      <c r="A121" s="96">
        <v>43458</v>
      </c>
      <c r="B121" s="101">
        <v>22.62</v>
      </c>
      <c r="C121" s="4">
        <f t="shared" si="3"/>
        <v>-1.3253812410685707E-3</v>
      </c>
      <c r="D121" s="4">
        <f>IFERROR(Target1[[#This Row],[Target Return]]+1,"-")</f>
        <v>0.99867461875893138</v>
      </c>
      <c r="E121" s="6">
        <f>B121-MAX($B$2:B121)</f>
        <v>-1.5299999999999976</v>
      </c>
      <c r="F121" s="80">
        <f t="shared" si="4"/>
        <v>14</v>
      </c>
      <c r="G121" s="77">
        <f>Target1[[#This Row],[Target Drawdown]]/MAX($B$2:B121)</f>
        <v>-6.3354037267080651E-2</v>
      </c>
      <c r="H121" s="1" t="str">
        <f>IF(SUM(COUNTIF(Benchmark1[Benchmark '#1 Dates],Target1[[#This Row],[Target Dates]]),COUNTIF(Benchmark2[Benchmark '#2 Dates],Target1[[#This Row],[Target Dates]]))=2,"Pass","Fail")</f>
        <v>Pass</v>
      </c>
      <c r="I121" s="78">
        <f t="shared" si="5"/>
        <v>-1.5299999999999976</v>
      </c>
      <c r="K121" s="72">
        <f>Target1[[#This Row],[Target Price]]/$B$2*100</f>
        <v>131.58813263525303</v>
      </c>
      <c r="R121">
        <f>B122/Target1[[#This Row],[Target Price]]-1</f>
        <v>3.9787798408488007E-2</v>
      </c>
    </row>
    <row r="122" spans="1:18">
      <c r="A122" s="96">
        <v>43460</v>
      </c>
      <c r="B122" s="101">
        <v>23.52</v>
      </c>
      <c r="C122" s="4">
        <f t="shared" si="3"/>
        <v>3.9016652342451719E-2</v>
      </c>
      <c r="D122" s="4">
        <f>IFERROR(Target1[[#This Row],[Target Return]]+1,"-")</f>
        <v>1.0390166523424518</v>
      </c>
      <c r="E122" s="6">
        <f>B122-MAX($B$2:B122)</f>
        <v>-0.62999999999999901</v>
      </c>
      <c r="F122" s="80">
        <f t="shared" si="4"/>
        <v>15</v>
      </c>
      <c r="G122" s="77">
        <f>Target1[[#This Row],[Target Drawdown]]/MAX($B$2:B122)</f>
        <v>-2.6086956521739091E-2</v>
      </c>
      <c r="H122" s="1" t="str">
        <f>IF(SUM(COUNTIF(Benchmark1[Benchmark '#1 Dates],Target1[[#This Row],[Target Dates]]),COUNTIF(Benchmark2[Benchmark '#2 Dates],Target1[[#This Row],[Target Dates]]))=2,"Pass","Fail")</f>
        <v>Pass</v>
      </c>
      <c r="I122" s="78">
        <f t="shared" si="5"/>
        <v>-0.62999999999999901</v>
      </c>
      <c r="K122" s="72">
        <f>Target1[[#This Row],[Target Price]]/$B$2*100</f>
        <v>136.82373472949388</v>
      </c>
      <c r="R122">
        <f>B123/Target1[[#This Row],[Target Price]]-1</f>
        <v>1.6581632653061229E-2</v>
      </c>
    </row>
    <row r="123" spans="1:18">
      <c r="A123" s="96">
        <v>43461</v>
      </c>
      <c r="B123" s="101">
        <v>23.91</v>
      </c>
      <c r="C123" s="4">
        <f t="shared" si="3"/>
        <v>1.6445658439807196E-2</v>
      </c>
      <c r="D123" s="4">
        <f>IFERROR(Target1[[#This Row],[Target Return]]+1,"-")</f>
        <v>1.0164456584398072</v>
      </c>
      <c r="E123" s="6">
        <f>B123-MAX($B$2:B123)</f>
        <v>-0.23999999999999844</v>
      </c>
      <c r="F123" s="80">
        <f t="shared" si="4"/>
        <v>16</v>
      </c>
      <c r="G123" s="77">
        <f>Target1[[#This Row],[Target Drawdown]]/MAX($B$2:B123)</f>
        <v>-9.9378881987577002E-3</v>
      </c>
      <c r="H123" s="1" t="str">
        <f>IF(SUM(COUNTIF(Benchmark1[Benchmark '#1 Dates],Target1[[#This Row],[Target Dates]]),COUNTIF(Benchmark2[Benchmark '#2 Dates],Target1[[#This Row],[Target Dates]]))=2,"Pass","Fail")</f>
        <v>Pass</v>
      </c>
      <c r="I123" s="78">
        <f t="shared" si="5"/>
        <v>-0.23999999999999844</v>
      </c>
      <c r="K123" s="72">
        <f>Target1[[#This Row],[Target Price]]/$B$2*100</f>
        <v>139.09249563699825</v>
      </c>
      <c r="R123">
        <f>B124/Target1[[#This Row],[Target Price]]-1</f>
        <v>2.1329987452948673E-2</v>
      </c>
    </row>
    <row r="124" spans="1:18">
      <c r="A124" s="96">
        <v>43462</v>
      </c>
      <c r="B124" s="101">
        <v>24.42</v>
      </c>
      <c r="C124" s="4">
        <f t="shared" si="3"/>
        <v>2.1105687212325374E-2</v>
      </c>
      <c r="D124" s="4">
        <f>IFERROR(Target1[[#This Row],[Target Return]]+1,"-")</f>
        <v>1.0211056872123254</v>
      </c>
      <c r="E124" s="6">
        <f>B124-MAX($B$2:B124)</f>
        <v>0</v>
      </c>
      <c r="F124" s="80">
        <f t="shared" si="4"/>
        <v>0</v>
      </c>
      <c r="G124" s="77">
        <f>Target1[[#This Row],[Target Drawdown]]/MAX($B$2:B124)</f>
        <v>0</v>
      </c>
      <c r="H124" s="1" t="str">
        <f>IF(SUM(COUNTIF(Benchmark1[Benchmark '#1 Dates],Target1[[#This Row],[Target Dates]]),COUNTIF(Benchmark2[Benchmark '#2 Dates],Target1[[#This Row],[Target Dates]]))=2,"Pass","Fail")</f>
        <v>Pass</v>
      </c>
      <c r="I124" s="78">
        <f t="shared" si="5"/>
        <v>0</v>
      </c>
      <c r="K124" s="72">
        <f>Target1[[#This Row],[Target Price]]/$B$2*100</f>
        <v>142.05933682373472</v>
      </c>
      <c r="R124">
        <f>B125/Target1[[#This Row],[Target Price]]-1</f>
        <v>1.5151515151515138E-2</v>
      </c>
    </row>
    <row r="125" spans="1:18">
      <c r="A125" s="96">
        <v>43465</v>
      </c>
      <c r="B125" s="101">
        <v>24.79</v>
      </c>
      <c r="C125" s="4">
        <f t="shared" si="3"/>
        <v>1.5037877364540502E-2</v>
      </c>
      <c r="D125" s="4">
        <f>IFERROR(Target1[[#This Row],[Target Return]]+1,"-")</f>
        <v>1.0150378773645405</v>
      </c>
      <c r="E125" s="6">
        <f>B125-MAX($B$2:B125)</f>
        <v>0</v>
      </c>
      <c r="F125" s="80">
        <f t="shared" si="4"/>
        <v>0</v>
      </c>
      <c r="G125" s="77">
        <f>Target1[[#This Row],[Target Drawdown]]/MAX($B$2:B125)</f>
        <v>0</v>
      </c>
      <c r="H125" s="1" t="str">
        <f>IF(SUM(COUNTIF(Benchmark1[Benchmark '#1 Dates],Target1[[#This Row],[Target Dates]]),COUNTIF(Benchmark2[Benchmark '#2 Dates],Target1[[#This Row],[Target Dates]]))=2,"Pass","Fail")</f>
        <v>Pass</v>
      </c>
      <c r="I125" s="78">
        <f t="shared" si="5"/>
        <v>0</v>
      </c>
      <c r="K125" s="72">
        <f>Target1[[#This Row],[Target Price]]/$B$2*100</f>
        <v>144.21175101803371</v>
      </c>
      <c r="R125">
        <f>B126/Target1[[#This Row],[Target Price]]-1</f>
        <v>-3.307785397337637E-2</v>
      </c>
    </row>
    <row r="126" spans="1:18">
      <c r="A126" s="96">
        <v>43467</v>
      </c>
      <c r="B126" s="101">
        <v>23.97</v>
      </c>
      <c r="C126" s="4">
        <f t="shared" si="3"/>
        <v>-3.3637297600806151E-2</v>
      </c>
      <c r="D126" s="4">
        <f>IFERROR(Target1[[#This Row],[Target Return]]+1,"-")</f>
        <v>0.96636270239919386</v>
      </c>
      <c r="E126" s="6">
        <f>B126-MAX($B$2:B126)</f>
        <v>-0.82000000000000028</v>
      </c>
      <c r="F126" s="80">
        <f t="shared" si="4"/>
        <v>1</v>
      </c>
      <c r="G126" s="77">
        <f>Target1[[#This Row],[Target Drawdown]]/MAX($B$2:B126)</f>
        <v>-3.3077853973376377E-2</v>
      </c>
      <c r="H126" s="1" t="str">
        <f>IF(SUM(COUNTIF(Benchmark1[Benchmark '#1 Dates],Target1[[#This Row],[Target Dates]]),COUNTIF(Benchmark2[Benchmark '#2 Dates],Target1[[#This Row],[Target Dates]]))=2,"Pass","Fail")</f>
        <v>Pass</v>
      </c>
      <c r="I126" s="78">
        <f t="shared" si="5"/>
        <v>-0.82000000000000028</v>
      </c>
      <c r="K126" s="72">
        <f>Target1[[#This Row],[Target Price]]/$B$2*100</f>
        <v>139.4415357766143</v>
      </c>
      <c r="R126">
        <f>B127/Target1[[#This Row],[Target Price]]-1</f>
        <v>-1.6687526074259385E-3</v>
      </c>
    </row>
    <row r="127" spans="1:18">
      <c r="A127" s="96">
        <v>43468</v>
      </c>
      <c r="B127" s="101">
        <v>23.93</v>
      </c>
      <c r="C127" s="4">
        <f t="shared" si="3"/>
        <v>-1.6701465260110246E-3</v>
      </c>
      <c r="D127" s="4">
        <f>IFERROR(Target1[[#This Row],[Target Return]]+1,"-")</f>
        <v>0.99832985347398895</v>
      </c>
      <c r="E127" s="6">
        <f>B127-MAX($B$2:B127)</f>
        <v>-0.85999999999999943</v>
      </c>
      <c r="F127" s="80">
        <f t="shared" si="4"/>
        <v>2</v>
      </c>
      <c r="G127" s="77">
        <f>Target1[[#This Row],[Target Drawdown]]/MAX($B$2:B127)</f>
        <v>-3.469140782573616E-2</v>
      </c>
      <c r="H127" s="1" t="str">
        <f>IF(SUM(COUNTIF(Benchmark1[Benchmark '#1 Dates],Target1[[#This Row],[Target Dates]]),COUNTIF(Benchmark2[Benchmark '#2 Dates],Target1[[#This Row],[Target Dates]]))=2,"Pass","Fail")</f>
        <v>Pass</v>
      </c>
      <c r="I127" s="78">
        <f t="shared" si="5"/>
        <v>-0.85999999999999943</v>
      </c>
      <c r="K127" s="72">
        <f>Target1[[#This Row],[Target Price]]/$B$2*100</f>
        <v>139.20884235020358</v>
      </c>
      <c r="R127">
        <f>B128/Target1[[#This Row],[Target Price]]-1</f>
        <v>7.1040534893440643E-3</v>
      </c>
    </row>
    <row r="128" spans="1:18">
      <c r="A128" s="96">
        <v>43469</v>
      </c>
      <c r="B128" s="101">
        <v>24.1</v>
      </c>
      <c r="C128" s="4">
        <f t="shared" si="3"/>
        <v>7.0789385763274995E-3</v>
      </c>
      <c r="D128" s="4">
        <f>IFERROR(Target1[[#This Row],[Target Return]]+1,"-")</f>
        <v>1.0070789385763275</v>
      </c>
      <c r="E128" s="6">
        <f>B128-MAX($B$2:B128)</f>
        <v>-0.68999999999999773</v>
      </c>
      <c r="F128" s="80">
        <f t="shared" si="4"/>
        <v>3</v>
      </c>
      <c r="G128" s="77">
        <f>Target1[[#This Row],[Target Drawdown]]/MAX($B$2:B128)</f>
        <v>-2.7833803953206847E-2</v>
      </c>
      <c r="H128" s="1" t="str">
        <f>IF(SUM(COUNTIF(Benchmark1[Benchmark '#1 Dates],Target1[[#This Row],[Target Dates]]),COUNTIF(Benchmark2[Benchmark '#2 Dates],Target1[[#This Row],[Target Dates]]))=2,"Pass","Fail")</f>
        <v>Pass</v>
      </c>
      <c r="I128" s="78">
        <f t="shared" si="5"/>
        <v>-0.68999999999999773</v>
      </c>
      <c r="K128" s="72">
        <f>Target1[[#This Row],[Target Price]]/$B$2*100</f>
        <v>140.19778941244908</v>
      </c>
      <c r="R128">
        <f>B129/Target1[[#This Row],[Target Price]]-1</f>
        <v>6.6390041493775698E-3</v>
      </c>
    </row>
    <row r="129" spans="1:18">
      <c r="A129" s="96">
        <v>43472</v>
      </c>
      <c r="B129" s="101">
        <v>24.26</v>
      </c>
      <c r="C129" s="4">
        <f t="shared" si="3"/>
        <v>6.6170630192947371E-3</v>
      </c>
      <c r="D129" s="4">
        <f>IFERROR(Target1[[#This Row],[Target Return]]+1,"-")</f>
        <v>1.0066170630192948</v>
      </c>
      <c r="E129" s="6">
        <f>B129-MAX($B$2:B129)</f>
        <v>-0.52999999999999758</v>
      </c>
      <c r="F129" s="80">
        <f t="shared" si="4"/>
        <v>4</v>
      </c>
      <c r="G129" s="77">
        <f>Target1[[#This Row],[Target Drawdown]]/MAX($B$2:B129)</f>
        <v>-2.137958854376755E-2</v>
      </c>
      <c r="H129" s="1" t="str">
        <f>IF(SUM(COUNTIF(Benchmark1[Benchmark '#1 Dates],Target1[[#This Row],[Target Dates]]),COUNTIF(Benchmark2[Benchmark '#2 Dates],Target1[[#This Row],[Target Dates]]))=2,"Pass","Fail")</f>
        <v>Pass</v>
      </c>
      <c r="I129" s="78">
        <f t="shared" si="5"/>
        <v>-0.52999999999999758</v>
      </c>
      <c r="K129" s="72">
        <f>Target1[[#This Row],[Target Price]]/$B$2*100</f>
        <v>141.12856311809193</v>
      </c>
      <c r="R129">
        <f>B130/Target1[[#This Row],[Target Price]]-1</f>
        <v>8.244023083263663E-4</v>
      </c>
    </row>
    <row r="130" spans="1:18">
      <c r="A130" s="96">
        <v>43473</v>
      </c>
      <c r="B130" s="101">
        <v>24.28</v>
      </c>
      <c r="C130" s="4">
        <f t="shared" ref="C130:C193" si="6">IFERROR(IF(B130="","-",LN(B130/B129)),"-")</f>
        <v>8.2406267539334387E-4</v>
      </c>
      <c r="D130" s="4">
        <f>IFERROR(Target1[[#This Row],[Target Return]]+1,"-")</f>
        <v>1.0008240626753933</v>
      </c>
      <c r="E130" s="6">
        <f>B130-MAX($B$2:B130)</f>
        <v>-0.50999999999999801</v>
      </c>
      <c r="F130" s="80">
        <f t="shared" ref="F130:F193" si="7">IF(E130=0,0,F129+1)</f>
        <v>5</v>
      </c>
      <c r="G130" s="77">
        <f>Target1[[#This Row],[Target Drawdown]]/MAX($B$2:B130)</f>
        <v>-2.0572811617587658E-2</v>
      </c>
      <c r="H130" s="1" t="str">
        <f>IF(SUM(COUNTIF(Benchmark1[Benchmark '#1 Dates],Target1[[#This Row],[Target Dates]]),COUNTIF(Benchmark2[Benchmark '#2 Dates],Target1[[#This Row],[Target Dates]]))=2,"Pass","Fail")</f>
        <v>Pass</v>
      </c>
      <c r="I130" s="78">
        <f t="shared" ref="I130:I193" si="8">$E$2+E130</f>
        <v>-0.50999999999999801</v>
      </c>
      <c r="K130" s="72">
        <f>Target1[[#This Row],[Target Price]]/$B$2*100</f>
        <v>141.24490983129726</v>
      </c>
      <c r="R130">
        <f>B131/Target1[[#This Row],[Target Price]]-1</f>
        <v>3.0477759472817167E-2</v>
      </c>
    </row>
    <row r="131" spans="1:18">
      <c r="A131" s="96">
        <v>43474</v>
      </c>
      <c r="B131" s="101">
        <v>25.02</v>
      </c>
      <c r="C131" s="4">
        <f t="shared" si="6"/>
        <v>3.0022538847467601E-2</v>
      </c>
      <c r="D131" s="4">
        <f>IFERROR(Target1[[#This Row],[Target Return]]+1,"-")</f>
        <v>1.0300225388474675</v>
      </c>
      <c r="E131" s="6">
        <f>B131-MAX($B$2:B131)</f>
        <v>0</v>
      </c>
      <c r="F131" s="80">
        <f t="shared" si="7"/>
        <v>0</v>
      </c>
      <c r="G131" s="77">
        <f>Target1[[#This Row],[Target Drawdown]]/MAX($B$2:B131)</f>
        <v>0</v>
      </c>
      <c r="H131" s="1" t="str">
        <f>IF(SUM(COUNTIF(Benchmark1[Benchmark '#1 Dates],Target1[[#This Row],[Target Dates]]),COUNTIF(Benchmark2[Benchmark '#2 Dates],Target1[[#This Row],[Target Dates]]))=2,"Pass","Fail")</f>
        <v>Pass</v>
      </c>
      <c r="I131" s="78">
        <f t="shared" si="8"/>
        <v>0</v>
      </c>
      <c r="K131" s="72">
        <f>Target1[[#This Row],[Target Price]]/$B$2*100</f>
        <v>145.54973821989529</v>
      </c>
      <c r="R131">
        <f>B132/Target1[[#This Row],[Target Price]]-1</f>
        <v>-3.1974420463628528E-3</v>
      </c>
    </row>
    <row r="132" spans="1:18">
      <c r="A132" s="96">
        <v>43475</v>
      </c>
      <c r="B132" s="101">
        <v>24.94</v>
      </c>
      <c r="C132" s="4">
        <f t="shared" si="6"/>
        <v>-3.2025647868746321E-3</v>
      </c>
      <c r="D132" s="4">
        <f>IFERROR(Target1[[#This Row],[Target Return]]+1,"-")</f>
        <v>0.99679743521312536</v>
      </c>
      <c r="E132" s="6">
        <f>B132-MAX($B$2:B132)</f>
        <v>-7.9999999999998295E-2</v>
      </c>
      <c r="F132" s="80">
        <f t="shared" si="7"/>
        <v>1</v>
      </c>
      <c r="G132" s="77">
        <f>Target1[[#This Row],[Target Drawdown]]/MAX($B$2:B132)</f>
        <v>-3.1974420463628415E-3</v>
      </c>
      <c r="H132" s="1" t="str">
        <f>IF(SUM(COUNTIF(Benchmark1[Benchmark '#1 Dates],Target1[[#This Row],[Target Dates]]),COUNTIF(Benchmark2[Benchmark '#2 Dates],Target1[[#This Row],[Target Dates]]))=2,"Pass","Fail")</f>
        <v>Pass</v>
      </c>
      <c r="I132" s="78">
        <f t="shared" si="8"/>
        <v>-7.9999999999998295E-2</v>
      </c>
      <c r="K132" s="72">
        <f>Target1[[#This Row],[Target Price]]/$B$2*100</f>
        <v>145.08435136707388</v>
      </c>
      <c r="R132">
        <f>B133/Target1[[#This Row],[Target Price]]-1</f>
        <v>-1.443464314354459E-2</v>
      </c>
    </row>
    <row r="133" spans="1:18">
      <c r="A133" s="96">
        <v>43476</v>
      </c>
      <c r="B133" s="101">
        <v>24.58</v>
      </c>
      <c r="C133" s="4">
        <f t="shared" si="6"/>
        <v>-1.4539836114001713E-2</v>
      </c>
      <c r="D133" s="4">
        <f>IFERROR(Target1[[#This Row],[Target Return]]+1,"-")</f>
        <v>0.98546016388599833</v>
      </c>
      <c r="E133" s="6">
        <f>B133-MAX($B$2:B133)</f>
        <v>-0.44000000000000128</v>
      </c>
      <c r="F133" s="80">
        <f t="shared" si="7"/>
        <v>2</v>
      </c>
      <c r="G133" s="77">
        <f>Target1[[#This Row],[Target Drawdown]]/MAX($B$2:B133)</f>
        <v>-1.7585931254996055E-2</v>
      </c>
      <c r="H133" s="1" t="str">
        <f>IF(SUM(COUNTIF(Benchmark1[Benchmark '#1 Dates],Target1[[#This Row],[Target Dates]]),COUNTIF(Benchmark2[Benchmark '#2 Dates],Target1[[#This Row],[Target Dates]]))=2,"Pass","Fail")</f>
        <v>Pass</v>
      </c>
      <c r="I133" s="78">
        <f t="shared" si="8"/>
        <v>-0.44000000000000128</v>
      </c>
      <c r="K133" s="72">
        <f>Target1[[#This Row],[Target Price]]/$B$2*100</f>
        <v>142.99011052937755</v>
      </c>
      <c r="R133">
        <f>B134/Target1[[#This Row],[Target Price]]-1</f>
        <v>-1.5052888527257835E-2</v>
      </c>
    </row>
    <row r="134" spans="1:18">
      <c r="A134" s="96">
        <v>43479</v>
      </c>
      <c r="B134" s="101">
        <v>24.21</v>
      </c>
      <c r="C134" s="4">
        <f t="shared" si="6"/>
        <v>-1.5167333187921541E-2</v>
      </c>
      <c r="D134" s="4">
        <f>IFERROR(Target1[[#This Row],[Target Return]]+1,"-")</f>
        <v>0.98483266681207848</v>
      </c>
      <c r="E134" s="6">
        <f>B134-MAX($B$2:B134)</f>
        <v>-0.80999999999999872</v>
      </c>
      <c r="F134" s="80">
        <f t="shared" si="7"/>
        <v>3</v>
      </c>
      <c r="G134" s="77">
        <f>Target1[[#This Row],[Target Drawdown]]/MAX($B$2:B134)</f>
        <v>-3.2374100719424412E-2</v>
      </c>
      <c r="H134" s="1" t="str">
        <f>IF(SUM(COUNTIF(Benchmark1[Benchmark '#1 Dates],Target1[[#This Row],[Target Dates]]),COUNTIF(Benchmark2[Benchmark '#2 Dates],Target1[[#This Row],[Target Dates]]))=2,"Pass","Fail")</f>
        <v>Pass</v>
      </c>
      <c r="I134" s="78">
        <f t="shared" si="8"/>
        <v>-0.80999999999999872</v>
      </c>
      <c r="K134" s="72">
        <f>Target1[[#This Row],[Target Price]]/$B$2*100</f>
        <v>140.83769633507853</v>
      </c>
      <c r="R134">
        <f>B135/Target1[[#This Row],[Target Price]]-1</f>
        <v>2.7674514663362126E-2</v>
      </c>
    </row>
    <row r="135" spans="1:18">
      <c r="A135" s="96">
        <v>43480</v>
      </c>
      <c r="B135" s="101">
        <v>24.88</v>
      </c>
      <c r="C135" s="4">
        <f t="shared" si="6"/>
        <v>2.7298496921011457E-2</v>
      </c>
      <c r="D135" s="4">
        <f>IFERROR(Target1[[#This Row],[Target Return]]+1,"-")</f>
        <v>1.0272984969210115</v>
      </c>
      <c r="E135" s="6">
        <f>B135-MAX($B$2:B135)</f>
        <v>-0.14000000000000057</v>
      </c>
      <c r="F135" s="80">
        <f t="shared" si="7"/>
        <v>4</v>
      </c>
      <c r="G135" s="77">
        <f>Target1[[#This Row],[Target Drawdown]]/MAX($B$2:B135)</f>
        <v>-5.5955235811351147E-3</v>
      </c>
      <c r="H135" s="1" t="str">
        <f>IF(SUM(COUNTIF(Benchmark1[Benchmark '#1 Dates],Target1[[#This Row],[Target Dates]]),COUNTIF(Benchmark2[Benchmark '#2 Dates],Target1[[#This Row],[Target Dates]]))=2,"Pass","Fail")</f>
        <v>Pass</v>
      </c>
      <c r="I135" s="78">
        <f t="shared" si="8"/>
        <v>-0.14000000000000057</v>
      </c>
      <c r="K135" s="72">
        <f>Target1[[#This Row],[Target Price]]/$B$2*100</f>
        <v>144.7353112274578</v>
      </c>
      <c r="R135">
        <f>B136/Target1[[#This Row],[Target Price]]-1</f>
        <v>4.0192926045024002E-4</v>
      </c>
    </row>
    <row r="136" spans="1:18">
      <c r="A136" s="96">
        <v>43481</v>
      </c>
      <c r="B136" s="101">
        <v>24.89</v>
      </c>
      <c r="C136" s="4">
        <f t="shared" si="6"/>
        <v>4.0184850852202094E-4</v>
      </c>
      <c r="D136" s="4">
        <f>IFERROR(Target1[[#This Row],[Target Return]]+1,"-")</f>
        <v>1.000401848508522</v>
      </c>
      <c r="E136" s="6">
        <f>B136-MAX($B$2:B136)</f>
        <v>-0.12999999999999901</v>
      </c>
      <c r="F136" s="80">
        <f t="shared" si="7"/>
        <v>5</v>
      </c>
      <c r="G136" s="77">
        <f>Target1[[#This Row],[Target Drawdown]]/MAX($B$2:B136)</f>
        <v>-5.1958433253396887E-3</v>
      </c>
      <c r="H136" s="1" t="str">
        <f>IF(SUM(COUNTIF(Benchmark1[Benchmark '#1 Dates],Target1[[#This Row],[Target Dates]]),COUNTIF(Benchmark2[Benchmark '#2 Dates],Target1[[#This Row],[Target Dates]]))=2,"Pass","Fail")</f>
        <v>Pass</v>
      </c>
      <c r="I136" s="78">
        <f t="shared" si="8"/>
        <v>-0.12999999999999901</v>
      </c>
      <c r="K136" s="72">
        <f>Target1[[#This Row],[Target Price]]/$B$2*100</f>
        <v>144.79348458406051</v>
      </c>
      <c r="R136">
        <f>B137/Target1[[#This Row],[Target Price]]-1</f>
        <v>1.0847730012053081E-2</v>
      </c>
    </row>
    <row r="137" spans="1:18">
      <c r="A137" s="96">
        <v>43482</v>
      </c>
      <c r="B137" s="101">
        <v>25.16</v>
      </c>
      <c r="C137" s="4">
        <f t="shared" si="6"/>
        <v>1.0789315452739185E-2</v>
      </c>
      <c r="D137" s="4">
        <f>IFERROR(Target1[[#This Row],[Target Return]]+1,"-")</f>
        <v>1.0107893154527392</v>
      </c>
      <c r="E137" s="6">
        <f>B137-MAX($B$2:B137)</f>
        <v>0</v>
      </c>
      <c r="F137" s="80">
        <f t="shared" si="7"/>
        <v>0</v>
      </c>
      <c r="G137" s="77">
        <f>Target1[[#This Row],[Target Drawdown]]/MAX($B$2:B137)</f>
        <v>0</v>
      </c>
      <c r="H137" s="1" t="str">
        <f>IF(SUM(COUNTIF(Benchmark1[Benchmark '#1 Dates],Target1[[#This Row],[Target Dates]]),COUNTIF(Benchmark2[Benchmark '#2 Dates],Target1[[#This Row],[Target Dates]]))=2,"Pass","Fail")</f>
        <v>Pass</v>
      </c>
      <c r="I137" s="78">
        <f t="shared" si="8"/>
        <v>0</v>
      </c>
      <c r="K137" s="72">
        <f>Target1[[#This Row],[Target Price]]/$B$2*100</f>
        <v>146.36416521233272</v>
      </c>
      <c r="R137">
        <f>B138/Target1[[#This Row],[Target Price]]-1</f>
        <v>1.70906200317964E-2</v>
      </c>
    </row>
    <row r="138" spans="1:18">
      <c r="A138" s="96">
        <v>43483</v>
      </c>
      <c r="B138" s="101">
        <v>25.59</v>
      </c>
      <c r="C138" s="4">
        <f t="shared" si="6"/>
        <v>1.6946218339457565E-2</v>
      </c>
      <c r="D138" s="4">
        <f>IFERROR(Target1[[#This Row],[Target Return]]+1,"-")</f>
        <v>1.0169462183394575</v>
      </c>
      <c r="E138" s="6">
        <f>B138-MAX($B$2:B138)</f>
        <v>0</v>
      </c>
      <c r="F138" s="80">
        <f t="shared" si="7"/>
        <v>0</v>
      </c>
      <c r="G138" s="77">
        <f>Target1[[#This Row],[Target Drawdown]]/MAX($B$2:B138)</f>
        <v>0</v>
      </c>
      <c r="H138" s="1" t="str">
        <f>IF(SUM(COUNTIF(Benchmark1[Benchmark '#1 Dates],Target1[[#This Row],[Target Dates]]),COUNTIF(Benchmark2[Benchmark '#2 Dates],Target1[[#This Row],[Target Dates]]))=2,"Pass","Fail")</f>
        <v>Pass</v>
      </c>
      <c r="I138" s="78">
        <f t="shared" si="8"/>
        <v>0</v>
      </c>
      <c r="K138" s="72">
        <f>Target1[[#This Row],[Target Price]]/$B$2*100</f>
        <v>148.86561954624779</v>
      </c>
      <c r="R138">
        <f>B139/Target1[[#This Row],[Target Price]]-1</f>
        <v>1.0550996483001063E-2</v>
      </c>
    </row>
    <row r="139" spans="1:18">
      <c r="A139" s="96">
        <v>43487</v>
      </c>
      <c r="B139" s="101">
        <v>25.86</v>
      </c>
      <c r="C139" s="4">
        <f t="shared" si="6"/>
        <v>1.049572317201387E-2</v>
      </c>
      <c r="D139" s="4">
        <f>IFERROR(Target1[[#This Row],[Target Return]]+1,"-")</f>
        <v>1.010495723172014</v>
      </c>
      <c r="E139" s="6">
        <f>B139-MAX($B$2:B139)</f>
        <v>0</v>
      </c>
      <c r="F139" s="80">
        <f t="shared" si="7"/>
        <v>0</v>
      </c>
      <c r="G139" s="77">
        <f>Target1[[#This Row],[Target Drawdown]]/MAX($B$2:B139)</f>
        <v>0</v>
      </c>
      <c r="H139" s="1" t="str">
        <f>IF(SUM(COUNTIF(Benchmark1[Benchmark '#1 Dates],Target1[[#This Row],[Target Dates]]),COUNTIF(Benchmark2[Benchmark '#2 Dates],Target1[[#This Row],[Target Dates]]))=2,"Pass","Fail")</f>
        <v>Pass</v>
      </c>
      <c r="I139" s="78">
        <f t="shared" si="8"/>
        <v>0</v>
      </c>
      <c r="K139" s="72">
        <f>Target1[[#This Row],[Target Price]]/$B$2*100</f>
        <v>150.43630017452006</v>
      </c>
      <c r="R139">
        <f>B140/Target1[[#This Row],[Target Price]]-1</f>
        <v>0.14617169373549888</v>
      </c>
    </row>
    <row r="140" spans="1:18">
      <c r="A140" s="96">
        <v>43488</v>
      </c>
      <c r="B140" s="101">
        <v>29.64</v>
      </c>
      <c r="C140" s="4">
        <f t="shared" si="6"/>
        <v>0.13642742708417474</v>
      </c>
      <c r="D140" s="4">
        <f>IFERROR(Target1[[#This Row],[Target Return]]+1,"-")</f>
        <v>1.1364274270841748</v>
      </c>
      <c r="E140" s="6">
        <f>B140-MAX($B$2:B140)</f>
        <v>0</v>
      </c>
      <c r="F140" s="80">
        <f t="shared" si="7"/>
        <v>0</v>
      </c>
      <c r="G140" s="77">
        <f>Target1[[#This Row],[Target Drawdown]]/MAX($B$2:B140)</f>
        <v>0</v>
      </c>
      <c r="H140" s="1" t="str">
        <f>IF(SUM(COUNTIF(Benchmark1[Benchmark '#1 Dates],Target1[[#This Row],[Target Dates]]),COUNTIF(Benchmark2[Benchmark '#2 Dates],Target1[[#This Row],[Target Dates]]))=2,"Pass","Fail")</f>
        <v>Pass</v>
      </c>
      <c r="I140" s="78">
        <f t="shared" si="8"/>
        <v>0</v>
      </c>
      <c r="K140" s="72">
        <f>Target1[[#This Row],[Target Price]]/$B$2*100</f>
        <v>172.42582897033159</v>
      </c>
      <c r="R140">
        <f>B141/Target1[[#This Row],[Target Price]]-1</f>
        <v>1.8893387314439902E-2</v>
      </c>
    </row>
    <row r="141" spans="1:18">
      <c r="A141" s="96">
        <v>43489</v>
      </c>
      <c r="B141" s="101">
        <v>30.2</v>
      </c>
      <c r="C141" s="4">
        <f t="shared" si="6"/>
        <v>1.8717123952937773E-2</v>
      </c>
      <c r="D141" s="4">
        <f>IFERROR(Target1[[#This Row],[Target Return]]+1,"-")</f>
        <v>1.0187171239529378</v>
      </c>
      <c r="E141" s="6">
        <f>B141-MAX($B$2:B141)</f>
        <v>0</v>
      </c>
      <c r="F141" s="80">
        <f t="shared" si="7"/>
        <v>0</v>
      </c>
      <c r="G141" s="77">
        <f>Target1[[#This Row],[Target Drawdown]]/MAX($B$2:B141)</f>
        <v>0</v>
      </c>
      <c r="H141" s="1" t="str">
        <f>IF(SUM(COUNTIF(Benchmark1[Benchmark '#1 Dates],Target1[[#This Row],[Target Dates]]),COUNTIF(Benchmark2[Benchmark '#2 Dates],Target1[[#This Row],[Target Dates]]))=2,"Pass","Fail")</f>
        <v>Pass</v>
      </c>
      <c r="I141" s="78">
        <f t="shared" si="8"/>
        <v>0</v>
      </c>
      <c r="K141" s="72">
        <f>Target1[[#This Row],[Target Price]]/$B$2*100</f>
        <v>175.68353694008144</v>
      </c>
      <c r="R141">
        <f>B142/Target1[[#This Row],[Target Price]]-1</f>
        <v>-2.6490066225165587E-2</v>
      </c>
    </row>
    <row r="142" spans="1:18">
      <c r="A142" s="96">
        <v>43490</v>
      </c>
      <c r="B142" s="101">
        <v>29.4</v>
      </c>
      <c r="C142" s="4">
        <f t="shared" si="6"/>
        <v>-2.6847250036188052E-2</v>
      </c>
      <c r="D142" s="4">
        <f>IFERROR(Target1[[#This Row],[Target Return]]+1,"-")</f>
        <v>0.97315274996381196</v>
      </c>
      <c r="E142" s="6">
        <f>B142-MAX($B$2:B142)</f>
        <v>-0.80000000000000071</v>
      </c>
      <c r="F142" s="80">
        <f t="shared" si="7"/>
        <v>1</v>
      </c>
      <c r="G142" s="77">
        <f>Target1[[#This Row],[Target Drawdown]]/MAX($B$2:B142)</f>
        <v>-2.6490066225165587E-2</v>
      </c>
      <c r="H142" s="1" t="str">
        <f>IF(SUM(COUNTIF(Benchmark1[Benchmark '#1 Dates],Target1[[#This Row],[Target Dates]]),COUNTIF(Benchmark2[Benchmark '#2 Dates],Target1[[#This Row],[Target Dates]]))=2,"Pass","Fail")</f>
        <v>Pass</v>
      </c>
      <c r="I142" s="78">
        <f t="shared" si="8"/>
        <v>-0.80000000000000071</v>
      </c>
      <c r="K142" s="72">
        <f>Target1[[#This Row],[Target Price]]/$B$2*100</f>
        <v>171.02966841186736</v>
      </c>
      <c r="R142">
        <f>B143/Target1[[#This Row],[Target Price]]-1</f>
        <v>2.7210884353741083E-3</v>
      </c>
    </row>
    <row r="143" spans="1:18">
      <c r="A143" s="96">
        <v>43493</v>
      </c>
      <c r="B143" s="101">
        <v>29.48</v>
      </c>
      <c r="C143" s="4">
        <f t="shared" si="6"/>
        <v>2.7173929764998861E-3</v>
      </c>
      <c r="D143" s="4">
        <f>IFERROR(Target1[[#This Row],[Target Return]]+1,"-")</f>
        <v>1.0027173929764999</v>
      </c>
      <c r="E143" s="6">
        <f>B143-MAX($B$2:B143)</f>
        <v>-0.71999999999999886</v>
      </c>
      <c r="F143" s="80">
        <f t="shared" si="7"/>
        <v>2</v>
      </c>
      <c r="G143" s="77">
        <f>Target1[[#This Row],[Target Drawdown]]/MAX($B$2:B143)</f>
        <v>-2.384105960264897E-2</v>
      </c>
      <c r="H143" s="1" t="str">
        <f>IF(SUM(COUNTIF(Benchmark1[Benchmark '#1 Dates],Target1[[#This Row],[Target Dates]]),COUNTIF(Benchmark2[Benchmark '#2 Dates],Target1[[#This Row],[Target Dates]]))=2,"Pass","Fail")</f>
        <v>Pass</v>
      </c>
      <c r="I143" s="78">
        <f t="shared" si="8"/>
        <v>-0.71999999999999886</v>
      </c>
      <c r="K143" s="72">
        <f>Target1[[#This Row],[Target Price]]/$B$2*100</f>
        <v>171.49505526468874</v>
      </c>
      <c r="R143">
        <f>B144/Target1[[#This Row],[Target Price]]-1</f>
        <v>1.4246947082767969E-2</v>
      </c>
    </row>
    <row r="144" spans="1:18">
      <c r="A144" s="96">
        <v>43494</v>
      </c>
      <c r="B144" s="101">
        <v>29.9</v>
      </c>
      <c r="C144" s="4">
        <f t="shared" si="6"/>
        <v>1.4146413075504878E-2</v>
      </c>
      <c r="D144" s="4">
        <f>IFERROR(Target1[[#This Row],[Target Return]]+1,"-")</f>
        <v>1.0141464130755049</v>
      </c>
      <c r="E144" s="6">
        <f>B144-MAX($B$2:B144)</f>
        <v>-0.30000000000000071</v>
      </c>
      <c r="F144" s="80">
        <f t="shared" si="7"/>
        <v>3</v>
      </c>
      <c r="G144" s="77">
        <f>Target1[[#This Row],[Target Drawdown]]/MAX($B$2:B144)</f>
        <v>-9.9337748344371091E-3</v>
      </c>
      <c r="H144" s="1" t="str">
        <f>IF(SUM(COUNTIF(Benchmark1[Benchmark '#1 Dates],Target1[[#This Row],[Target Dates]]),COUNTIF(Benchmark2[Benchmark '#2 Dates],Target1[[#This Row],[Target Dates]]))=2,"Pass","Fail")</f>
        <v>Pass</v>
      </c>
      <c r="I144" s="78">
        <f t="shared" si="8"/>
        <v>-0.30000000000000071</v>
      </c>
      <c r="K144" s="72">
        <f>Target1[[#This Row],[Target Price]]/$B$2*100</f>
        <v>173.93833624200116</v>
      </c>
      <c r="R144">
        <f>B145/Target1[[#This Row],[Target Price]]-1</f>
        <v>1.0033444816053283E-3</v>
      </c>
    </row>
    <row r="145" spans="1:18">
      <c r="A145" s="96">
        <v>43495</v>
      </c>
      <c r="B145" s="101">
        <v>29.93</v>
      </c>
      <c r="C145" s="4">
        <f t="shared" si="6"/>
        <v>1.0028414679667992E-3</v>
      </c>
      <c r="D145" s="4">
        <f>IFERROR(Target1[[#This Row],[Target Return]]+1,"-")</f>
        <v>1.0010028414679668</v>
      </c>
      <c r="E145" s="6">
        <f>B145-MAX($B$2:B145)</f>
        <v>-0.26999999999999957</v>
      </c>
      <c r="F145" s="80">
        <f t="shared" si="7"/>
        <v>4</v>
      </c>
      <c r="G145" s="77">
        <f>Target1[[#This Row],[Target Drawdown]]/MAX($B$2:B145)</f>
        <v>-8.9403973509933638E-3</v>
      </c>
      <c r="H145" s="1" t="str">
        <f>IF(SUM(COUNTIF(Benchmark1[Benchmark '#1 Dates],Target1[[#This Row],[Target Dates]]),COUNTIF(Benchmark2[Benchmark '#2 Dates],Target1[[#This Row],[Target Dates]]))=2,"Pass","Fail")</f>
        <v>Pass</v>
      </c>
      <c r="I145" s="78">
        <f t="shared" si="8"/>
        <v>-0.26999999999999957</v>
      </c>
      <c r="K145" s="72">
        <f>Target1[[#This Row],[Target Price]]/$B$2*100</f>
        <v>174.11285631180917</v>
      </c>
      <c r="R145">
        <f>B146/Target1[[#This Row],[Target Price]]-1</f>
        <v>5.2789842966922906E-2</v>
      </c>
    </row>
    <row r="146" spans="1:18">
      <c r="A146" s="96">
        <v>43496</v>
      </c>
      <c r="B146" s="101">
        <v>31.51</v>
      </c>
      <c r="C146" s="4">
        <f t="shared" si="6"/>
        <v>5.1443633904575757E-2</v>
      </c>
      <c r="D146" s="4">
        <f>IFERROR(Target1[[#This Row],[Target Return]]+1,"-")</f>
        <v>1.0514436339045758</v>
      </c>
      <c r="E146" s="6">
        <f>B146-MAX($B$2:B146)</f>
        <v>0</v>
      </c>
      <c r="F146" s="80">
        <f t="shared" si="7"/>
        <v>0</v>
      </c>
      <c r="G146" s="77">
        <f>Target1[[#This Row],[Target Drawdown]]/MAX($B$2:B146)</f>
        <v>0</v>
      </c>
      <c r="H146" s="1" t="str">
        <f>IF(SUM(COUNTIF(Benchmark1[Benchmark '#1 Dates],Target1[[#This Row],[Target Dates]]),COUNTIF(Benchmark2[Benchmark '#2 Dates],Target1[[#This Row],[Target Dates]]))=2,"Pass","Fail")</f>
        <v>Pass</v>
      </c>
      <c r="I146" s="78">
        <f t="shared" si="8"/>
        <v>0</v>
      </c>
      <c r="K146" s="72">
        <f>Target1[[#This Row],[Target Price]]/$B$2*100</f>
        <v>183.30424665503199</v>
      </c>
      <c r="R146">
        <f>B147/Target1[[#This Row],[Target Price]]-1</f>
        <v>3.8083148206917716E-3</v>
      </c>
    </row>
    <row r="147" spans="1:18">
      <c r="A147" s="96">
        <v>43497</v>
      </c>
      <c r="B147" s="101">
        <v>31.63</v>
      </c>
      <c r="C147" s="4">
        <f t="shared" si="6"/>
        <v>3.8010815483741625E-3</v>
      </c>
      <c r="D147" s="4">
        <f>IFERROR(Target1[[#This Row],[Target Return]]+1,"-")</f>
        <v>1.0038010815483742</v>
      </c>
      <c r="E147" s="6">
        <f>B147-MAX($B$2:B147)</f>
        <v>0</v>
      </c>
      <c r="F147" s="80">
        <f t="shared" si="7"/>
        <v>0</v>
      </c>
      <c r="G147" s="77">
        <f>Target1[[#This Row],[Target Drawdown]]/MAX($B$2:B147)</f>
        <v>0</v>
      </c>
      <c r="H147" s="1" t="str">
        <f>IF(SUM(COUNTIF(Benchmark1[Benchmark '#1 Dates],Target1[[#This Row],[Target Dates]]),COUNTIF(Benchmark2[Benchmark '#2 Dates],Target1[[#This Row],[Target Dates]]))=2,"Pass","Fail")</f>
        <v>Pass</v>
      </c>
      <c r="I147" s="78">
        <f t="shared" si="8"/>
        <v>0</v>
      </c>
      <c r="K147" s="72">
        <f>Target1[[#This Row],[Target Price]]/$B$2*100</f>
        <v>184.00232693426409</v>
      </c>
      <c r="R147">
        <f>B148/Target1[[#This Row],[Target Price]]-1</f>
        <v>6.3231109705974564E-3</v>
      </c>
    </row>
    <row r="148" spans="1:18">
      <c r="A148" s="96">
        <v>43500</v>
      </c>
      <c r="B148" s="101">
        <v>31.83</v>
      </c>
      <c r="C148" s="4">
        <f t="shared" si="6"/>
        <v>6.3032039764439086E-3</v>
      </c>
      <c r="D148" s="4">
        <f>IFERROR(Target1[[#This Row],[Target Return]]+1,"-")</f>
        <v>1.0063032039764439</v>
      </c>
      <c r="E148" s="6">
        <f>B148-MAX($B$2:B148)</f>
        <v>0</v>
      </c>
      <c r="F148" s="80">
        <f t="shared" si="7"/>
        <v>0</v>
      </c>
      <c r="G148" s="77">
        <f>Target1[[#This Row],[Target Drawdown]]/MAX($B$2:B148)</f>
        <v>0</v>
      </c>
      <c r="H148" s="1" t="str">
        <f>IF(SUM(COUNTIF(Benchmark1[Benchmark '#1 Dates],Target1[[#This Row],[Target Dates]]),COUNTIF(Benchmark2[Benchmark '#2 Dates],Target1[[#This Row],[Target Dates]]))=2,"Pass","Fail")</f>
        <v>Pass</v>
      </c>
      <c r="I148" s="78">
        <f t="shared" si="8"/>
        <v>0</v>
      </c>
      <c r="K148" s="72">
        <f>Target1[[#This Row],[Target Price]]/$B$2*100</f>
        <v>185.1657940663176</v>
      </c>
      <c r="R148">
        <f>B149/Target1[[#This Row],[Target Price]]-1</f>
        <v>2.827521206409056E-3</v>
      </c>
    </row>
    <row r="149" spans="1:18">
      <c r="A149" s="96">
        <v>43501</v>
      </c>
      <c r="B149" s="101">
        <v>31.92</v>
      </c>
      <c r="C149" s="4">
        <f t="shared" si="6"/>
        <v>2.8235312876065664E-3</v>
      </c>
      <c r="D149" s="4">
        <f>IFERROR(Target1[[#This Row],[Target Return]]+1,"-")</f>
        <v>1.0028235312876066</v>
      </c>
      <c r="E149" s="6">
        <f>B149-MAX($B$2:B149)</f>
        <v>0</v>
      </c>
      <c r="F149" s="80">
        <f t="shared" si="7"/>
        <v>0</v>
      </c>
      <c r="G149" s="77">
        <f>Target1[[#This Row],[Target Drawdown]]/MAX($B$2:B149)</f>
        <v>0</v>
      </c>
      <c r="H149" s="1" t="str">
        <f>IF(SUM(COUNTIF(Benchmark1[Benchmark '#1 Dates],Target1[[#This Row],[Target Dates]]),COUNTIF(Benchmark2[Benchmark '#2 Dates],Target1[[#This Row],[Target Dates]]))=2,"Pass","Fail")</f>
        <v>Pass</v>
      </c>
      <c r="I149" s="78">
        <f t="shared" si="8"/>
        <v>0</v>
      </c>
      <c r="K149" s="72">
        <f>Target1[[#This Row],[Target Price]]/$B$2*100</f>
        <v>185.68935427574172</v>
      </c>
      <c r="R149">
        <f>B150/Target1[[#This Row],[Target Price]]-1</f>
        <v>-2.4436090225563922E-2</v>
      </c>
    </row>
    <row r="150" spans="1:18">
      <c r="A150" s="96">
        <v>43502</v>
      </c>
      <c r="B150" s="101">
        <v>31.14</v>
      </c>
      <c r="C150" s="4">
        <f t="shared" si="6"/>
        <v>-2.4739606175755758E-2</v>
      </c>
      <c r="D150" s="4">
        <f>IFERROR(Target1[[#This Row],[Target Return]]+1,"-")</f>
        <v>0.97526039382424423</v>
      </c>
      <c r="E150" s="6">
        <f>B150-MAX($B$2:B150)</f>
        <v>-0.78000000000000114</v>
      </c>
      <c r="F150" s="80">
        <f t="shared" si="7"/>
        <v>1</v>
      </c>
      <c r="G150" s="77">
        <f>Target1[[#This Row],[Target Drawdown]]/MAX($B$2:B150)</f>
        <v>-2.4436090225563943E-2</v>
      </c>
      <c r="H150" s="1" t="str">
        <f>IF(SUM(COUNTIF(Benchmark1[Benchmark '#1 Dates],Target1[[#This Row],[Target Dates]]),COUNTIF(Benchmark2[Benchmark '#2 Dates],Target1[[#This Row],[Target Dates]]))=2,"Pass","Fail")</f>
        <v>Pass</v>
      </c>
      <c r="I150" s="78">
        <f t="shared" si="8"/>
        <v>-0.78000000000000114</v>
      </c>
      <c r="K150" s="72">
        <f>Target1[[#This Row],[Target Price]]/$B$2*100</f>
        <v>181.15183246073298</v>
      </c>
      <c r="R150">
        <f>B151/Target1[[#This Row],[Target Price]]-1</f>
        <v>-9.633911368015502E-4</v>
      </c>
    </row>
    <row r="151" spans="1:18">
      <c r="A151" s="96">
        <v>43503</v>
      </c>
      <c r="B151" s="101">
        <v>31.11</v>
      </c>
      <c r="C151" s="4">
        <f t="shared" si="6"/>
        <v>-9.6385549630662753E-4</v>
      </c>
      <c r="D151" s="4">
        <f>IFERROR(Target1[[#This Row],[Target Return]]+1,"-")</f>
        <v>0.99903614450369338</v>
      </c>
      <c r="E151" s="6">
        <f>B151-MAX($B$2:B151)</f>
        <v>-0.81000000000000227</v>
      </c>
      <c r="F151" s="80">
        <f t="shared" si="7"/>
        <v>2</v>
      </c>
      <c r="G151" s="77">
        <f>Target1[[#This Row],[Target Drawdown]]/MAX($B$2:B151)</f>
        <v>-2.5375939849624132E-2</v>
      </c>
      <c r="H151" s="1" t="str">
        <f>IF(SUM(COUNTIF(Benchmark1[Benchmark '#1 Dates],Target1[[#This Row],[Target Dates]]),COUNTIF(Benchmark2[Benchmark '#2 Dates],Target1[[#This Row],[Target Dates]]))=2,"Pass","Fail")</f>
        <v>Pass</v>
      </c>
      <c r="I151" s="78">
        <f t="shared" si="8"/>
        <v>-0.81000000000000227</v>
      </c>
      <c r="K151" s="72">
        <f>Target1[[#This Row],[Target Price]]/$B$2*100</f>
        <v>180.97731239092494</v>
      </c>
      <c r="R151">
        <f>B152/Target1[[#This Row],[Target Price]]-1</f>
        <v>2.2500803600129515E-3</v>
      </c>
    </row>
    <row r="152" spans="1:18">
      <c r="A152" s="96">
        <v>43504</v>
      </c>
      <c r="B152" s="101">
        <v>31.18</v>
      </c>
      <c r="C152" s="4">
        <f t="shared" si="6"/>
        <v>2.2475527200849022E-3</v>
      </c>
      <c r="D152" s="4">
        <f>IFERROR(Target1[[#This Row],[Target Return]]+1,"-")</f>
        <v>1.0022475527200849</v>
      </c>
      <c r="E152" s="6">
        <f>B152-MAX($B$2:B152)</f>
        <v>-0.74000000000000199</v>
      </c>
      <c r="F152" s="80">
        <f t="shared" si="7"/>
        <v>3</v>
      </c>
      <c r="G152" s="77">
        <f>Target1[[#This Row],[Target Drawdown]]/MAX($B$2:B152)</f>
        <v>-2.318295739348377E-2</v>
      </c>
      <c r="H152" s="1" t="str">
        <f>IF(SUM(COUNTIF(Benchmark1[Benchmark '#1 Dates],Target1[[#This Row],[Target Dates]]),COUNTIF(Benchmark2[Benchmark '#2 Dates],Target1[[#This Row],[Target Dates]]))=2,"Pass","Fail")</f>
        <v>Pass</v>
      </c>
      <c r="I152" s="78">
        <f t="shared" si="8"/>
        <v>-0.74000000000000199</v>
      </c>
      <c r="K152" s="72">
        <f>Target1[[#This Row],[Target Price]]/$B$2*100</f>
        <v>181.38452588714367</v>
      </c>
      <c r="R152">
        <f>B153/Target1[[#This Row],[Target Price]]-1</f>
        <v>2.4695317511225223E-2</v>
      </c>
    </row>
    <row r="153" spans="1:18">
      <c r="A153" s="96">
        <v>43507</v>
      </c>
      <c r="B153" s="101">
        <v>31.95</v>
      </c>
      <c r="C153" s="4">
        <f t="shared" si="6"/>
        <v>2.4395317193913427E-2</v>
      </c>
      <c r="D153" s="4">
        <f>IFERROR(Target1[[#This Row],[Target Return]]+1,"-")</f>
        <v>1.0243953171939135</v>
      </c>
      <c r="E153" s="6">
        <f>B153-MAX($B$2:B153)</f>
        <v>0</v>
      </c>
      <c r="F153" s="80">
        <f t="shared" si="7"/>
        <v>0</v>
      </c>
      <c r="G153" s="77">
        <f>Target1[[#This Row],[Target Drawdown]]/MAX($B$2:B153)</f>
        <v>0</v>
      </c>
      <c r="H153" s="1" t="str">
        <f>IF(SUM(COUNTIF(Benchmark1[Benchmark '#1 Dates],Target1[[#This Row],[Target Dates]]),COUNTIF(Benchmark2[Benchmark '#2 Dates],Target1[[#This Row],[Target Dates]]))=2,"Pass","Fail")</f>
        <v>Pass</v>
      </c>
      <c r="I153" s="78">
        <f t="shared" si="8"/>
        <v>0</v>
      </c>
      <c r="K153" s="72">
        <f>Target1[[#This Row],[Target Price]]/$B$2*100</f>
        <v>185.86387434554973</v>
      </c>
      <c r="R153">
        <f>B154/Target1[[#This Row],[Target Price]]-1</f>
        <v>1.5649452269170805E-3</v>
      </c>
    </row>
    <row r="154" spans="1:18">
      <c r="A154" s="96">
        <v>43508</v>
      </c>
      <c r="B154" s="101">
        <v>32</v>
      </c>
      <c r="C154" s="4">
        <f t="shared" si="6"/>
        <v>1.5637219761827589E-3</v>
      </c>
      <c r="D154" s="4">
        <f>IFERROR(Target1[[#This Row],[Target Return]]+1,"-")</f>
        <v>1.0015637219761828</v>
      </c>
      <c r="E154" s="6">
        <f>B154-MAX($B$2:B154)</f>
        <v>0</v>
      </c>
      <c r="F154" s="80">
        <f t="shared" si="7"/>
        <v>0</v>
      </c>
      <c r="G154" s="77">
        <f>Target1[[#This Row],[Target Drawdown]]/MAX($B$2:B154)</f>
        <v>0</v>
      </c>
      <c r="H154" s="1" t="str">
        <f>IF(SUM(COUNTIF(Benchmark1[Benchmark '#1 Dates],Target1[[#This Row],[Target Dates]]),COUNTIF(Benchmark2[Benchmark '#2 Dates],Target1[[#This Row],[Target Dates]]))=2,"Pass","Fail")</f>
        <v>Pass</v>
      </c>
      <c r="I154" s="78">
        <f t="shared" si="8"/>
        <v>0</v>
      </c>
      <c r="K154" s="72">
        <f>Target1[[#This Row],[Target Price]]/$B$2*100</f>
        <v>186.1547411285631</v>
      </c>
      <c r="R154">
        <f>B155/Target1[[#This Row],[Target Price]]-1</f>
        <v>4.9999999999998934E-3</v>
      </c>
    </row>
    <row r="155" spans="1:18">
      <c r="A155" s="96">
        <v>43509</v>
      </c>
      <c r="B155" s="101">
        <v>32.159999999999997</v>
      </c>
      <c r="C155" s="4">
        <f t="shared" si="6"/>
        <v>4.9875415110389679E-3</v>
      </c>
      <c r="D155" s="4">
        <f>IFERROR(Target1[[#This Row],[Target Return]]+1,"-")</f>
        <v>1.004987541511039</v>
      </c>
      <c r="E155" s="6">
        <f>B155-MAX($B$2:B155)</f>
        <v>0</v>
      </c>
      <c r="F155" s="80">
        <f t="shared" si="7"/>
        <v>0</v>
      </c>
      <c r="G155" s="77">
        <f>Target1[[#This Row],[Target Drawdown]]/MAX($B$2:B155)</f>
        <v>0</v>
      </c>
      <c r="H155" s="1" t="str">
        <f>IF(SUM(COUNTIF(Benchmark1[Benchmark '#1 Dates],Target1[[#This Row],[Target Dates]]),COUNTIF(Benchmark2[Benchmark '#2 Dates],Target1[[#This Row],[Target Dates]]))=2,"Pass","Fail")</f>
        <v>Pass</v>
      </c>
      <c r="I155" s="78">
        <f t="shared" si="8"/>
        <v>0</v>
      </c>
      <c r="K155" s="72">
        <f>Target1[[#This Row],[Target Price]]/$B$2*100</f>
        <v>187.0855148342059</v>
      </c>
      <c r="R155">
        <f>B156/Target1[[#This Row],[Target Price]]-1</f>
        <v>-5.5970149253730117E-3</v>
      </c>
    </row>
    <row r="156" spans="1:18">
      <c r="A156" s="96">
        <v>43510</v>
      </c>
      <c r="B156" s="101">
        <v>31.98</v>
      </c>
      <c r="C156" s="4">
        <f t="shared" si="6"/>
        <v>-5.6127369049573245E-3</v>
      </c>
      <c r="D156" s="4">
        <f>IFERROR(Target1[[#This Row],[Target Return]]+1,"-")</f>
        <v>0.99438726309504266</v>
      </c>
      <c r="E156" s="6">
        <f>B156-MAX($B$2:B156)</f>
        <v>-0.17999999999999616</v>
      </c>
      <c r="F156" s="80">
        <f t="shared" si="7"/>
        <v>1</v>
      </c>
      <c r="G156" s="77">
        <f>Target1[[#This Row],[Target Drawdown]]/MAX($B$2:B156)</f>
        <v>-5.597014925373016E-3</v>
      </c>
      <c r="H156" s="1" t="str">
        <f>IF(SUM(COUNTIF(Benchmark1[Benchmark '#1 Dates],Target1[[#This Row],[Target Dates]]),COUNTIF(Benchmark2[Benchmark '#2 Dates],Target1[[#This Row],[Target Dates]]))=2,"Pass","Fail")</f>
        <v>Pass</v>
      </c>
      <c r="I156" s="78">
        <f t="shared" si="8"/>
        <v>-0.17999999999999616</v>
      </c>
      <c r="K156" s="72">
        <f>Target1[[#This Row],[Target Price]]/$B$2*100</f>
        <v>186.03839441535774</v>
      </c>
      <c r="R156">
        <f>B157/Target1[[#This Row],[Target Price]]-1</f>
        <v>2.5015634771732298E-3</v>
      </c>
    </row>
    <row r="157" spans="1:18">
      <c r="A157" s="96">
        <v>43511</v>
      </c>
      <c r="B157" s="101">
        <v>32.06</v>
      </c>
      <c r="C157" s="4">
        <f t="shared" si="6"/>
        <v>2.4984397755987188E-3</v>
      </c>
      <c r="D157" s="4">
        <f>IFERROR(Target1[[#This Row],[Target Return]]+1,"-")</f>
        <v>1.0024984397755987</v>
      </c>
      <c r="E157" s="6">
        <f>B157-MAX($B$2:B157)</f>
        <v>-9.9999999999994316E-2</v>
      </c>
      <c r="F157" s="80">
        <f t="shared" si="7"/>
        <v>2</v>
      </c>
      <c r="G157" s="77">
        <f>Target1[[#This Row],[Target Drawdown]]/MAX($B$2:B157)</f>
        <v>-3.1094527363182316E-3</v>
      </c>
      <c r="H157" s="1" t="str">
        <f>IF(SUM(COUNTIF(Benchmark1[Benchmark '#1 Dates],Target1[[#This Row],[Target Dates]]),COUNTIF(Benchmark2[Benchmark '#2 Dates],Target1[[#This Row],[Target Dates]]))=2,"Pass","Fail")</f>
        <v>Pass</v>
      </c>
      <c r="I157" s="78">
        <f t="shared" si="8"/>
        <v>-9.9999999999994316E-2</v>
      </c>
      <c r="K157" s="72">
        <f>Target1[[#This Row],[Target Price]]/$B$2*100</f>
        <v>186.50378126817918</v>
      </c>
      <c r="R157">
        <f>B158/Target1[[#This Row],[Target Price]]-1</f>
        <v>5.3025577043042116E-3</v>
      </c>
    </row>
    <row r="158" spans="1:18">
      <c r="A158" s="96">
        <v>43515</v>
      </c>
      <c r="B158" s="101">
        <v>32.229999999999997</v>
      </c>
      <c r="C158" s="4">
        <f t="shared" si="6"/>
        <v>5.2885486459393703E-3</v>
      </c>
      <c r="D158" s="4">
        <f>IFERROR(Target1[[#This Row],[Target Return]]+1,"-")</f>
        <v>1.0052885486459393</v>
      </c>
      <c r="E158" s="6">
        <f>B158-MAX($B$2:B158)</f>
        <v>0</v>
      </c>
      <c r="F158" s="80">
        <f t="shared" si="7"/>
        <v>0</v>
      </c>
      <c r="G158" s="77">
        <f>Target1[[#This Row],[Target Drawdown]]/MAX($B$2:B158)</f>
        <v>0</v>
      </c>
      <c r="H158" s="1" t="str">
        <f>IF(SUM(COUNTIF(Benchmark1[Benchmark '#1 Dates],Target1[[#This Row],[Target Dates]]),COUNTIF(Benchmark2[Benchmark '#2 Dates],Target1[[#This Row],[Target Dates]]))=2,"Pass","Fail")</f>
        <v>Pass</v>
      </c>
      <c r="I158" s="78">
        <f t="shared" si="8"/>
        <v>0</v>
      </c>
      <c r="K158" s="72">
        <f>Target1[[#This Row],[Target Price]]/$B$2*100</f>
        <v>187.49272833042463</v>
      </c>
      <c r="R158">
        <f>B159/Target1[[#This Row],[Target Price]]-1</f>
        <v>-7.1362085013960685E-3</v>
      </c>
    </row>
    <row r="159" spans="1:18">
      <c r="A159" s="96">
        <v>43516</v>
      </c>
      <c r="B159" s="101">
        <v>32</v>
      </c>
      <c r="C159" s="4">
        <f t="shared" si="6"/>
        <v>-7.161793027619788E-3</v>
      </c>
      <c r="D159" s="4">
        <f>IFERROR(Target1[[#This Row],[Target Return]]+1,"-")</f>
        <v>0.99283820697238023</v>
      </c>
      <c r="E159" s="6">
        <f>B159-MAX($B$2:B159)</f>
        <v>-0.22999999999999687</v>
      </c>
      <c r="F159" s="80">
        <f t="shared" si="7"/>
        <v>1</v>
      </c>
      <c r="G159" s="77">
        <f>Target1[[#This Row],[Target Drawdown]]/MAX($B$2:B159)</f>
        <v>-7.136208501396118E-3</v>
      </c>
      <c r="H159" s="1" t="str">
        <f>IF(SUM(COUNTIF(Benchmark1[Benchmark '#1 Dates],Target1[[#This Row],[Target Dates]]),COUNTIF(Benchmark2[Benchmark '#2 Dates],Target1[[#This Row],[Target Dates]]))=2,"Pass","Fail")</f>
        <v>Pass</v>
      </c>
      <c r="I159" s="78">
        <f t="shared" si="8"/>
        <v>-0.22999999999999687</v>
      </c>
      <c r="K159" s="72">
        <f>Target1[[#This Row],[Target Price]]/$B$2*100</f>
        <v>186.1547411285631</v>
      </c>
      <c r="R159">
        <f>B160/Target1[[#This Row],[Target Price]]-1</f>
        <v>2.0624999999999893E-2</v>
      </c>
    </row>
    <row r="160" spans="1:18">
      <c r="A160" s="96">
        <v>43517</v>
      </c>
      <c r="B160" s="101">
        <v>32.659999999999997</v>
      </c>
      <c r="C160" s="4">
        <f t="shared" si="6"/>
        <v>2.0415184742592404E-2</v>
      </c>
      <c r="D160" s="4">
        <f>IFERROR(Target1[[#This Row],[Target Return]]+1,"-")</f>
        <v>1.0204151847425924</v>
      </c>
      <c r="E160" s="6">
        <f>B160-MAX($B$2:B160)</f>
        <v>0</v>
      </c>
      <c r="F160" s="80">
        <f t="shared" si="7"/>
        <v>0</v>
      </c>
      <c r="G160" s="77">
        <f>Target1[[#This Row],[Target Drawdown]]/MAX($B$2:B160)</f>
        <v>0</v>
      </c>
      <c r="H160" s="1" t="str">
        <f>IF(SUM(COUNTIF(Benchmark1[Benchmark '#1 Dates],Target1[[#This Row],[Target Dates]]),COUNTIF(Benchmark2[Benchmark '#2 Dates],Target1[[#This Row],[Target Dates]]))=2,"Pass","Fail")</f>
        <v>Pass</v>
      </c>
      <c r="I160" s="78">
        <f t="shared" si="8"/>
        <v>0</v>
      </c>
      <c r="K160" s="72">
        <f>Target1[[#This Row],[Target Price]]/$B$2*100</f>
        <v>189.99418266433969</v>
      </c>
      <c r="R160">
        <f>B161/Target1[[#This Row],[Target Price]]-1</f>
        <v>5.5113288426211771E-3</v>
      </c>
    </row>
    <row r="161" spans="1:18">
      <c r="A161" s="96">
        <v>43518</v>
      </c>
      <c r="B161" s="101">
        <v>32.840000000000003</v>
      </c>
      <c r="C161" s="4">
        <f t="shared" si="6"/>
        <v>5.4961970419086514E-3</v>
      </c>
      <c r="D161" s="4">
        <f>IFERROR(Target1[[#This Row],[Target Return]]+1,"-")</f>
        <v>1.0054961970419087</v>
      </c>
      <c r="E161" s="6">
        <f>B161-MAX($B$2:B161)</f>
        <v>0</v>
      </c>
      <c r="F161" s="80">
        <f t="shared" si="7"/>
        <v>0</v>
      </c>
      <c r="G161" s="77">
        <f>Target1[[#This Row],[Target Drawdown]]/MAX($B$2:B161)</f>
        <v>0</v>
      </c>
      <c r="H161" s="1" t="str">
        <f>IF(SUM(COUNTIF(Benchmark1[Benchmark '#1 Dates],Target1[[#This Row],[Target Dates]]),COUNTIF(Benchmark2[Benchmark '#2 Dates],Target1[[#This Row],[Target Dates]]))=2,"Pass","Fail")</f>
        <v>Pass</v>
      </c>
      <c r="I161" s="78">
        <f t="shared" si="8"/>
        <v>0</v>
      </c>
      <c r="K161" s="72">
        <f>Target1[[#This Row],[Target Price]]/$B$2*100</f>
        <v>191.0413030831879</v>
      </c>
      <c r="R161">
        <f>B162/Target1[[#This Row],[Target Price]]-1</f>
        <v>-5.1766138855054988E-3</v>
      </c>
    </row>
    <row r="162" spans="1:18">
      <c r="A162" s="96">
        <v>43521</v>
      </c>
      <c r="B162" s="101">
        <v>32.67</v>
      </c>
      <c r="C162" s="4">
        <f t="shared" si="6"/>
        <v>-5.1900589712486961E-3</v>
      </c>
      <c r="D162" s="4">
        <f>IFERROR(Target1[[#This Row],[Target Return]]+1,"-")</f>
        <v>0.99480994102875131</v>
      </c>
      <c r="E162" s="6">
        <f>B162-MAX($B$2:B162)</f>
        <v>-0.17000000000000171</v>
      </c>
      <c r="F162" s="80">
        <f t="shared" si="7"/>
        <v>1</v>
      </c>
      <c r="G162" s="77">
        <f>Target1[[#This Row],[Target Drawdown]]/MAX($B$2:B162)</f>
        <v>-5.1766138855055327E-3</v>
      </c>
      <c r="H162" s="1" t="str">
        <f>IF(SUM(COUNTIF(Benchmark1[Benchmark '#1 Dates],Target1[[#This Row],[Target Dates]]),COUNTIF(Benchmark2[Benchmark '#2 Dates],Target1[[#This Row],[Target Dates]]))=2,"Pass","Fail")</f>
        <v>Pass</v>
      </c>
      <c r="I162" s="78">
        <f t="shared" si="8"/>
        <v>-0.17000000000000171</v>
      </c>
      <c r="K162" s="72">
        <f>Target1[[#This Row],[Target Price]]/$B$2*100</f>
        <v>190.05235602094243</v>
      </c>
      <c r="R162">
        <f>B163/Target1[[#This Row],[Target Price]]-1</f>
        <v>-7.9583715947353362E-3</v>
      </c>
    </row>
    <row r="163" spans="1:18">
      <c r="A163" s="96">
        <v>43522</v>
      </c>
      <c r="B163" s="101">
        <v>32.409999999999997</v>
      </c>
      <c r="C163" s="4">
        <f t="shared" si="6"/>
        <v>-7.9902084595228889E-3</v>
      </c>
      <c r="D163" s="4">
        <f>IFERROR(Target1[[#This Row],[Target Return]]+1,"-")</f>
        <v>0.99200979154047708</v>
      </c>
      <c r="E163" s="6">
        <f>B163-MAX($B$2:B163)</f>
        <v>-0.43000000000000682</v>
      </c>
      <c r="F163" s="80">
        <f t="shared" si="7"/>
        <v>2</v>
      </c>
      <c r="G163" s="77">
        <f>Target1[[#This Row],[Target Drawdown]]/MAX($B$2:B163)</f>
        <v>-1.3093788063337599E-2</v>
      </c>
      <c r="H163" s="1" t="str">
        <f>IF(SUM(COUNTIF(Benchmark1[Benchmark '#1 Dates],Target1[[#This Row],[Target Dates]]),COUNTIF(Benchmark2[Benchmark '#2 Dates],Target1[[#This Row],[Target Dates]]))=2,"Pass","Fail")</f>
        <v>Pass</v>
      </c>
      <c r="I163" s="78">
        <f t="shared" si="8"/>
        <v>-0.43000000000000682</v>
      </c>
      <c r="K163" s="72">
        <f>Target1[[#This Row],[Target Price]]/$B$2*100</f>
        <v>188.53984874927281</v>
      </c>
      <c r="R163">
        <f>B164/Target1[[#This Row],[Target Price]]-1</f>
        <v>-5.5538414069731257E-3</v>
      </c>
    </row>
    <row r="164" spans="1:18">
      <c r="A164" s="96">
        <v>43523</v>
      </c>
      <c r="B164" s="101">
        <v>32.229999999999997</v>
      </c>
      <c r="C164" s="4">
        <f t="shared" si="6"/>
        <v>-5.5693213261094983E-3</v>
      </c>
      <c r="D164" s="4">
        <f>IFERROR(Target1[[#This Row],[Target Return]]+1,"-")</f>
        <v>0.99443067867389046</v>
      </c>
      <c r="E164" s="6">
        <f>B164-MAX($B$2:B164)</f>
        <v>-0.61000000000000654</v>
      </c>
      <c r="F164" s="80">
        <f t="shared" si="7"/>
        <v>3</v>
      </c>
      <c r="G164" s="77">
        <f>Target1[[#This Row],[Target Drawdown]]/MAX($B$2:B164)</f>
        <v>-1.8574908647990454E-2</v>
      </c>
      <c r="H164" s="1" t="str">
        <f>IF(SUM(COUNTIF(Benchmark1[Benchmark '#1 Dates],Target1[[#This Row],[Target Dates]]),COUNTIF(Benchmark2[Benchmark '#2 Dates],Target1[[#This Row],[Target Dates]]))=2,"Pass","Fail")</f>
        <v>Pass</v>
      </c>
      <c r="I164" s="78">
        <f t="shared" si="8"/>
        <v>-0.61000000000000654</v>
      </c>
      <c r="K164" s="72">
        <f>Target1[[#This Row],[Target Price]]/$B$2*100</f>
        <v>187.49272833042463</v>
      </c>
      <c r="R164">
        <f>B165/Target1[[#This Row],[Target Price]]-1</f>
        <v>-5.8951287620229165E-3</v>
      </c>
    </row>
    <row r="165" spans="1:18">
      <c r="A165" s="96">
        <v>43524</v>
      </c>
      <c r="B165" s="101">
        <v>32.04</v>
      </c>
      <c r="C165" s="4">
        <f t="shared" si="6"/>
        <v>-5.9125736271879665E-3</v>
      </c>
      <c r="D165" s="4">
        <f>IFERROR(Target1[[#This Row],[Target Return]]+1,"-")</f>
        <v>0.994087426372812</v>
      </c>
      <c r="E165" s="6">
        <f>B165-MAX($B$2:B165)</f>
        <v>-0.80000000000000426</v>
      </c>
      <c r="F165" s="80">
        <f t="shared" si="7"/>
        <v>4</v>
      </c>
      <c r="G165" s="77">
        <f>Target1[[#This Row],[Target Drawdown]]/MAX($B$2:B165)</f>
        <v>-2.4360535931790626E-2</v>
      </c>
      <c r="H165" s="1" t="str">
        <f>IF(SUM(COUNTIF(Benchmark1[Benchmark '#1 Dates],Target1[[#This Row],[Target Dates]]),COUNTIF(Benchmark2[Benchmark '#2 Dates],Target1[[#This Row],[Target Dates]]))=2,"Pass","Fail")</f>
        <v>Pass</v>
      </c>
      <c r="I165" s="78">
        <f t="shared" si="8"/>
        <v>-0.80000000000000426</v>
      </c>
      <c r="K165" s="72">
        <f>Target1[[#This Row],[Target Price]]/$B$2*100</f>
        <v>186.38743455497379</v>
      </c>
      <c r="R165">
        <f>B166/Target1[[#This Row],[Target Price]]-1</f>
        <v>1.8102372034956238E-2</v>
      </c>
    </row>
    <row r="166" spans="1:18">
      <c r="A166" s="96">
        <v>43525</v>
      </c>
      <c r="B166" s="101">
        <v>32.619999999999997</v>
      </c>
      <c r="C166" s="4">
        <f t="shared" si="6"/>
        <v>1.7940474992709274E-2</v>
      </c>
      <c r="D166" s="4">
        <f>IFERROR(Target1[[#This Row],[Target Return]]+1,"-")</f>
        <v>1.0179404749927092</v>
      </c>
      <c r="E166" s="6">
        <f>B166-MAX($B$2:B166)</f>
        <v>-0.22000000000000597</v>
      </c>
      <c r="F166" s="80">
        <f t="shared" si="7"/>
        <v>5</v>
      </c>
      <c r="G166" s="77">
        <f>Target1[[#This Row],[Target Drawdown]]/MAX($B$2:B166)</f>
        <v>-6.6991473812425687E-3</v>
      </c>
      <c r="H166" s="1" t="str">
        <f>IF(SUM(COUNTIF(Benchmark1[Benchmark '#1 Dates],Target1[[#This Row],[Target Dates]]),COUNTIF(Benchmark2[Benchmark '#2 Dates],Target1[[#This Row],[Target Dates]]))=2,"Pass","Fail")</f>
        <v>Pass</v>
      </c>
      <c r="I166" s="78">
        <f t="shared" si="8"/>
        <v>-0.22000000000000597</v>
      </c>
      <c r="K166" s="72">
        <f>Target1[[#This Row],[Target Price]]/$B$2*100</f>
        <v>189.761489237929</v>
      </c>
      <c r="R166">
        <f>B167/Target1[[#This Row],[Target Price]]-1</f>
        <v>-8.5836909871243039E-3</v>
      </c>
    </row>
    <row r="167" spans="1:18">
      <c r="A167" s="96">
        <v>43528</v>
      </c>
      <c r="B167" s="101">
        <v>32.340000000000003</v>
      </c>
      <c r="C167" s="4">
        <f t="shared" si="6"/>
        <v>-8.6207430439068644E-3</v>
      </c>
      <c r="D167" s="4">
        <f>IFERROR(Target1[[#This Row],[Target Return]]+1,"-")</f>
        <v>0.99137925695609308</v>
      </c>
      <c r="E167" s="6">
        <f>B167-MAX($B$2:B167)</f>
        <v>-0.5</v>
      </c>
      <c r="F167" s="80">
        <f t="shared" si="7"/>
        <v>6</v>
      </c>
      <c r="G167" s="77">
        <f>Target1[[#This Row],[Target Drawdown]]/MAX($B$2:B167)</f>
        <v>-1.5225334957369061E-2</v>
      </c>
      <c r="H167" s="1" t="str">
        <f>IF(SUM(COUNTIF(Benchmark1[Benchmark '#1 Dates],Target1[[#This Row],[Target Dates]]),COUNTIF(Benchmark2[Benchmark '#2 Dates],Target1[[#This Row],[Target Dates]]))=2,"Pass","Fail")</f>
        <v>Pass</v>
      </c>
      <c r="I167" s="78">
        <f t="shared" si="8"/>
        <v>-0.5</v>
      </c>
      <c r="K167" s="72">
        <f>Target1[[#This Row],[Target Price]]/$B$2*100</f>
        <v>188.1326352530541</v>
      </c>
      <c r="R167">
        <f>B168/Target1[[#This Row],[Target Price]]-1</f>
        <v>1.5460729746443747E-3</v>
      </c>
    </row>
    <row r="168" spans="1:18">
      <c r="A168" s="96">
        <v>43529</v>
      </c>
      <c r="B168" s="101">
        <v>32.39</v>
      </c>
      <c r="C168" s="4">
        <f t="shared" si="6"/>
        <v>1.5448790342771144E-3</v>
      </c>
      <c r="D168" s="4">
        <f>IFERROR(Target1[[#This Row],[Target Return]]+1,"-")</f>
        <v>1.0015448790342771</v>
      </c>
      <c r="E168" s="6">
        <f>B168-MAX($B$2:B168)</f>
        <v>-0.45000000000000284</v>
      </c>
      <c r="F168" s="80">
        <f t="shared" si="7"/>
        <v>7</v>
      </c>
      <c r="G168" s="77">
        <f>Target1[[#This Row],[Target Drawdown]]/MAX($B$2:B168)</f>
        <v>-1.3702801461632242E-2</v>
      </c>
      <c r="H168" s="1" t="str">
        <f>IF(SUM(COUNTIF(Benchmark1[Benchmark '#1 Dates],Target1[[#This Row],[Target Dates]]),COUNTIF(Benchmark2[Benchmark '#2 Dates],Target1[[#This Row],[Target Dates]]))=2,"Pass","Fail")</f>
        <v>Pass</v>
      </c>
      <c r="I168" s="78">
        <f t="shared" si="8"/>
        <v>-0.45000000000000284</v>
      </c>
      <c r="K168" s="72">
        <f>Target1[[#This Row],[Target Price]]/$B$2*100</f>
        <v>188.42350203606748</v>
      </c>
      <c r="R168">
        <f>B169/Target1[[#This Row],[Target Price]]-1</f>
        <v>1.5436863229389974E-3</v>
      </c>
    </row>
    <row r="169" spans="1:18">
      <c r="A169" s="96">
        <v>43530</v>
      </c>
      <c r="B169" s="101">
        <v>32.44</v>
      </c>
      <c r="C169" s="4">
        <f t="shared" si="6"/>
        <v>1.542496063974061E-3</v>
      </c>
      <c r="D169" s="4">
        <f>IFERROR(Target1[[#This Row],[Target Return]]+1,"-")</f>
        <v>1.0015424960639741</v>
      </c>
      <c r="E169" s="6">
        <f>B169-MAX($B$2:B169)</f>
        <v>-0.40000000000000568</v>
      </c>
      <c r="F169" s="80">
        <f t="shared" si="7"/>
        <v>8</v>
      </c>
      <c r="G169" s="77">
        <f>Target1[[#This Row],[Target Drawdown]]/MAX($B$2:B169)</f>
        <v>-1.2180267965895421E-2</v>
      </c>
      <c r="H169" s="1" t="str">
        <f>IF(SUM(COUNTIF(Benchmark1[Benchmark '#1 Dates],Target1[[#This Row],[Target Dates]]),COUNTIF(Benchmark2[Benchmark '#2 Dates],Target1[[#This Row],[Target Dates]]))=2,"Pass","Fail")</f>
        <v>Pass</v>
      </c>
      <c r="I169" s="78">
        <f t="shared" si="8"/>
        <v>-0.40000000000000568</v>
      </c>
      <c r="K169" s="72">
        <f>Target1[[#This Row],[Target Price]]/$B$2*100</f>
        <v>188.71436881908085</v>
      </c>
      <c r="R169">
        <f>B170/Target1[[#This Row],[Target Price]]-1</f>
        <v>0</v>
      </c>
    </row>
    <row r="170" spans="1:18">
      <c r="A170" s="96">
        <v>43531</v>
      </c>
      <c r="B170" s="101">
        <v>32.44</v>
      </c>
      <c r="C170" s="4">
        <f t="shared" si="6"/>
        <v>0</v>
      </c>
      <c r="D170" s="4">
        <f>IFERROR(Target1[[#This Row],[Target Return]]+1,"-")</f>
        <v>1</v>
      </c>
      <c r="E170" s="6">
        <f>B170-MAX($B$2:B170)</f>
        <v>-0.40000000000000568</v>
      </c>
      <c r="F170" s="80">
        <f t="shared" si="7"/>
        <v>9</v>
      </c>
      <c r="G170" s="77">
        <f>Target1[[#This Row],[Target Drawdown]]/MAX($B$2:B170)</f>
        <v>-1.2180267965895421E-2</v>
      </c>
      <c r="H170" s="1" t="str">
        <f>IF(SUM(COUNTIF(Benchmark1[Benchmark '#1 Dates],Target1[[#This Row],[Target Dates]]),COUNTIF(Benchmark2[Benchmark '#2 Dates],Target1[[#This Row],[Target Dates]]))=2,"Pass","Fail")</f>
        <v>Pass</v>
      </c>
      <c r="I170" s="78">
        <f t="shared" si="8"/>
        <v>-0.40000000000000568</v>
      </c>
      <c r="K170" s="72">
        <f>Target1[[#This Row],[Target Price]]/$B$2*100</f>
        <v>188.71436881908085</v>
      </c>
      <c r="R170">
        <f>B171/Target1[[#This Row],[Target Price]]-1</f>
        <v>3.6991368680643344E-3</v>
      </c>
    </row>
    <row r="171" spans="1:18">
      <c r="A171" s="96">
        <v>43532</v>
      </c>
      <c r="B171" s="101">
        <v>32.56</v>
      </c>
      <c r="C171" s="4">
        <f t="shared" si="6"/>
        <v>3.6923118871275921E-3</v>
      </c>
      <c r="D171" s="4">
        <f>IFERROR(Target1[[#This Row],[Target Return]]+1,"-")</f>
        <v>1.0036923118871275</v>
      </c>
      <c r="E171" s="6">
        <f>B171-MAX($B$2:B171)</f>
        <v>-0.28000000000000114</v>
      </c>
      <c r="F171" s="80">
        <f t="shared" si="7"/>
        <v>10</v>
      </c>
      <c r="G171" s="77">
        <f>Target1[[#This Row],[Target Drawdown]]/MAX($B$2:B171)</f>
        <v>-8.5261875761267081E-3</v>
      </c>
      <c r="H171" s="1" t="str">
        <f>IF(SUM(COUNTIF(Benchmark1[Benchmark '#1 Dates],Target1[[#This Row],[Target Dates]]),COUNTIF(Benchmark2[Benchmark '#2 Dates],Target1[[#This Row],[Target Dates]]))=2,"Pass","Fail")</f>
        <v>Pass</v>
      </c>
      <c r="I171" s="78">
        <f t="shared" si="8"/>
        <v>-0.28000000000000114</v>
      </c>
      <c r="K171" s="72">
        <f>Target1[[#This Row],[Target Price]]/$B$2*100</f>
        <v>189.41244909831298</v>
      </c>
      <c r="R171">
        <f>B172/Target1[[#This Row],[Target Price]]-1</f>
        <v>2.518427518427524E-2</v>
      </c>
    </row>
    <row r="172" spans="1:18">
      <c r="A172" s="96">
        <v>43535</v>
      </c>
      <c r="B172" s="101">
        <v>33.380000000000003</v>
      </c>
      <c r="C172" s="4">
        <f t="shared" si="6"/>
        <v>2.4872377099349523E-2</v>
      </c>
      <c r="D172" s="4">
        <f>IFERROR(Target1[[#This Row],[Target Return]]+1,"-")</f>
        <v>1.0248723770993495</v>
      </c>
      <c r="E172" s="6">
        <f>B172-MAX($B$2:B172)</f>
        <v>0</v>
      </c>
      <c r="F172" s="80">
        <f t="shared" si="7"/>
        <v>0</v>
      </c>
      <c r="G172" s="77">
        <f>Target1[[#This Row],[Target Drawdown]]/MAX($B$2:B172)</f>
        <v>0</v>
      </c>
      <c r="H172" s="1" t="str">
        <f>IF(SUM(COUNTIF(Benchmark1[Benchmark '#1 Dates],Target1[[#This Row],[Target Dates]]),COUNTIF(Benchmark2[Benchmark '#2 Dates],Target1[[#This Row],[Target Dates]]))=2,"Pass","Fail")</f>
        <v>Pass</v>
      </c>
      <c r="I172" s="78">
        <f t="shared" si="8"/>
        <v>0</v>
      </c>
      <c r="K172" s="72">
        <f>Target1[[#This Row],[Target Price]]/$B$2*100</f>
        <v>194.18266433973241</v>
      </c>
      <c r="R172">
        <f>B173/Target1[[#This Row],[Target Price]]-1</f>
        <v>2.6962252846014501E-3</v>
      </c>
    </row>
    <row r="173" spans="1:18">
      <c r="A173" s="96">
        <v>43536</v>
      </c>
      <c r="B173" s="101">
        <v>33.47</v>
      </c>
      <c r="C173" s="4">
        <f t="shared" si="6"/>
        <v>2.6925969895461167E-3</v>
      </c>
      <c r="D173" s="4">
        <f>IFERROR(Target1[[#This Row],[Target Return]]+1,"-")</f>
        <v>1.0026925969895462</v>
      </c>
      <c r="E173" s="6">
        <f>B173-MAX($B$2:B173)</f>
        <v>0</v>
      </c>
      <c r="F173" s="80">
        <f t="shared" si="7"/>
        <v>0</v>
      </c>
      <c r="G173" s="77">
        <f>Target1[[#This Row],[Target Drawdown]]/MAX($B$2:B173)</f>
        <v>0</v>
      </c>
      <c r="H173" s="1" t="str">
        <f>IF(SUM(COUNTIF(Benchmark1[Benchmark '#1 Dates],Target1[[#This Row],[Target Dates]]),COUNTIF(Benchmark2[Benchmark '#2 Dates],Target1[[#This Row],[Target Dates]]))=2,"Pass","Fail")</f>
        <v>Pass</v>
      </c>
      <c r="I173" s="78">
        <f t="shared" si="8"/>
        <v>0</v>
      </c>
      <c r="K173" s="72">
        <f>Target1[[#This Row],[Target Price]]/$B$2*100</f>
        <v>194.70622454915647</v>
      </c>
      <c r="R173">
        <f>B174/Target1[[#This Row],[Target Price]]-1</f>
        <v>7.1706005377951687E-3</v>
      </c>
    </row>
    <row r="174" spans="1:18">
      <c r="A174" s="96">
        <v>43537</v>
      </c>
      <c r="B174" s="101">
        <v>33.71</v>
      </c>
      <c r="C174" s="4">
        <f t="shared" si="6"/>
        <v>7.1450140227342432E-3</v>
      </c>
      <c r="D174" s="4">
        <f>IFERROR(Target1[[#This Row],[Target Return]]+1,"-")</f>
        <v>1.0071450140227343</v>
      </c>
      <c r="E174" s="6">
        <f>B174-MAX($B$2:B174)</f>
        <v>0</v>
      </c>
      <c r="F174" s="80">
        <f t="shared" si="7"/>
        <v>0</v>
      </c>
      <c r="G174" s="77">
        <f>Target1[[#This Row],[Target Drawdown]]/MAX($B$2:B174)</f>
        <v>0</v>
      </c>
      <c r="H174" s="1" t="str">
        <f>IF(SUM(COUNTIF(Benchmark1[Benchmark '#1 Dates],Target1[[#This Row],[Target Dates]]),COUNTIF(Benchmark2[Benchmark '#2 Dates],Target1[[#This Row],[Target Dates]]))=2,"Pass","Fail")</f>
        <v>Pass</v>
      </c>
      <c r="I174" s="78">
        <f t="shared" si="8"/>
        <v>0</v>
      </c>
      <c r="K174" s="72">
        <f>Target1[[#This Row],[Target Price]]/$B$2*100</f>
        <v>196.10238510762071</v>
      </c>
      <c r="R174">
        <f>B175/Target1[[#This Row],[Target Price]]-1</f>
        <v>-2.6698309107090479E-3</v>
      </c>
    </row>
    <row r="175" spans="1:18">
      <c r="A175" s="96">
        <v>43538</v>
      </c>
      <c r="B175" s="101">
        <v>33.619999999999997</v>
      </c>
      <c r="C175" s="4">
        <f t="shared" si="6"/>
        <v>-2.6734012654998683E-3</v>
      </c>
      <c r="D175" s="4">
        <f>IFERROR(Target1[[#This Row],[Target Return]]+1,"-")</f>
        <v>0.99732659873450014</v>
      </c>
      <c r="E175" s="6">
        <f>B175-MAX($B$2:B175)</f>
        <v>-9.0000000000003411E-2</v>
      </c>
      <c r="F175" s="80">
        <f t="shared" si="7"/>
        <v>1</v>
      </c>
      <c r="G175" s="77">
        <f>Target1[[#This Row],[Target Drawdown]]/MAX($B$2:B175)</f>
        <v>-2.6698309107090895E-3</v>
      </c>
      <c r="H175" s="1" t="str">
        <f>IF(SUM(COUNTIF(Benchmark1[Benchmark '#1 Dates],Target1[[#This Row],[Target Dates]]),COUNTIF(Benchmark2[Benchmark '#2 Dates],Target1[[#This Row],[Target Dates]]))=2,"Pass","Fail")</f>
        <v>Pass</v>
      </c>
      <c r="I175" s="78">
        <f t="shared" si="8"/>
        <v>-9.0000000000003411E-2</v>
      </c>
      <c r="K175" s="72">
        <f>Target1[[#This Row],[Target Price]]/$B$2*100</f>
        <v>195.57882489819661</v>
      </c>
      <c r="R175">
        <f>B176/Target1[[#This Row],[Target Price]]-1</f>
        <v>4.7590719809638138E-3</v>
      </c>
    </row>
    <row r="176" spans="1:18">
      <c r="A176" s="96">
        <v>43539</v>
      </c>
      <c r="B176" s="101">
        <v>33.78</v>
      </c>
      <c r="C176" s="4">
        <f t="shared" si="6"/>
        <v>4.7477833991845667E-3</v>
      </c>
      <c r="D176" s="4">
        <f>IFERROR(Target1[[#This Row],[Target Return]]+1,"-")</f>
        <v>1.0047477833991845</v>
      </c>
      <c r="E176" s="6">
        <f>B176-MAX($B$2:B176)</f>
        <v>0</v>
      </c>
      <c r="F176" s="80">
        <f t="shared" si="7"/>
        <v>0</v>
      </c>
      <c r="G176" s="77">
        <f>Target1[[#This Row],[Target Drawdown]]/MAX($B$2:B176)</f>
        <v>0</v>
      </c>
      <c r="H176" s="1" t="str">
        <f>IF(SUM(COUNTIF(Benchmark1[Benchmark '#1 Dates],Target1[[#This Row],[Target Dates]]),COUNTIF(Benchmark2[Benchmark '#2 Dates],Target1[[#This Row],[Target Dates]]))=2,"Pass","Fail")</f>
        <v>Pass</v>
      </c>
      <c r="I176" s="78">
        <f t="shared" si="8"/>
        <v>0</v>
      </c>
      <c r="K176" s="72">
        <f>Target1[[#This Row],[Target Price]]/$B$2*100</f>
        <v>196.50959860383944</v>
      </c>
      <c r="R176">
        <f>B177/Target1[[#This Row],[Target Price]]-1</f>
        <v>-1.4801657785671996E-2</v>
      </c>
    </row>
    <row r="177" spans="1:18">
      <c r="A177" s="96">
        <v>43542</v>
      </c>
      <c r="B177" s="101">
        <v>33.28</v>
      </c>
      <c r="C177" s="4">
        <f t="shared" si="6"/>
        <v>-1.4912295426646172E-2</v>
      </c>
      <c r="D177" s="4">
        <f>IFERROR(Target1[[#This Row],[Target Return]]+1,"-")</f>
        <v>0.98508770457335382</v>
      </c>
      <c r="E177" s="6">
        <f>B177-MAX($B$2:B177)</f>
        <v>-0.5</v>
      </c>
      <c r="F177" s="80">
        <f t="shared" si="7"/>
        <v>1</v>
      </c>
      <c r="G177" s="77">
        <f>Target1[[#This Row],[Target Drawdown]]/MAX($B$2:B177)</f>
        <v>-1.4801657785671996E-2</v>
      </c>
      <c r="H177" s="1" t="str">
        <f>IF(SUM(COUNTIF(Benchmark1[Benchmark '#1 Dates],Target1[[#This Row],[Target Dates]]),COUNTIF(Benchmark2[Benchmark '#2 Dates],Target1[[#This Row],[Target Dates]]))=2,"Pass","Fail")</f>
        <v>Pass</v>
      </c>
      <c r="I177" s="78">
        <f t="shared" si="8"/>
        <v>-0.5</v>
      </c>
      <c r="K177" s="72">
        <f>Target1[[#This Row],[Target Price]]/$B$2*100</f>
        <v>193.60093077370564</v>
      </c>
      <c r="R177">
        <f>B178/Target1[[#This Row],[Target Price]]-1</f>
        <v>6.0096153846145306E-4</v>
      </c>
    </row>
    <row r="178" spans="1:18">
      <c r="A178" s="96">
        <v>43543</v>
      </c>
      <c r="B178" s="101">
        <v>33.299999999999997</v>
      </c>
      <c r="C178" s="4">
        <f t="shared" si="6"/>
        <v>6.0078103339021441E-4</v>
      </c>
      <c r="D178" s="4">
        <f>IFERROR(Target1[[#This Row],[Target Return]]+1,"-")</f>
        <v>1.0006007810333901</v>
      </c>
      <c r="E178" s="6">
        <f>B178-MAX($B$2:B178)</f>
        <v>-0.48000000000000398</v>
      </c>
      <c r="F178" s="80">
        <f t="shared" si="7"/>
        <v>2</v>
      </c>
      <c r="G178" s="77">
        <f>Target1[[#This Row],[Target Drawdown]]/MAX($B$2:B178)</f>
        <v>-1.4209591474245232E-2</v>
      </c>
      <c r="H178" s="1" t="str">
        <f>IF(SUM(COUNTIF(Benchmark1[Benchmark '#1 Dates],Target1[[#This Row],[Target Dates]]),COUNTIF(Benchmark2[Benchmark '#2 Dates],Target1[[#This Row],[Target Dates]]))=2,"Pass","Fail")</f>
        <v>Pass</v>
      </c>
      <c r="I178" s="78">
        <f t="shared" si="8"/>
        <v>-0.48000000000000398</v>
      </c>
      <c r="K178" s="72">
        <f>Target1[[#This Row],[Target Price]]/$B$2*100</f>
        <v>193.71727748691097</v>
      </c>
      <c r="R178">
        <f>B179/Target1[[#This Row],[Target Price]]-1</f>
        <v>-1.2312312312312224E-2</v>
      </c>
    </row>
    <row r="179" spans="1:18">
      <c r="A179" s="96">
        <v>43544</v>
      </c>
      <c r="B179" s="101">
        <v>32.89</v>
      </c>
      <c r="C179" s="4">
        <f t="shared" si="6"/>
        <v>-1.2388736785432451E-2</v>
      </c>
      <c r="D179" s="4">
        <f>IFERROR(Target1[[#This Row],[Target Return]]+1,"-")</f>
        <v>0.9876112632145676</v>
      </c>
      <c r="E179" s="6">
        <f>B179-MAX($B$2:B179)</f>
        <v>-0.89000000000000057</v>
      </c>
      <c r="F179" s="80">
        <f t="shared" si="7"/>
        <v>3</v>
      </c>
      <c r="G179" s="77">
        <f>Target1[[#This Row],[Target Drawdown]]/MAX($B$2:B179)</f>
        <v>-2.6346950858496167E-2</v>
      </c>
      <c r="H179" s="1" t="str">
        <f>IF(SUM(COUNTIF(Benchmark1[Benchmark '#1 Dates],Target1[[#This Row],[Target Dates]]),COUNTIF(Benchmark2[Benchmark '#2 Dates],Target1[[#This Row],[Target Dates]]))=2,"Pass","Fail")</f>
        <v>Pass</v>
      </c>
      <c r="I179" s="78">
        <f t="shared" si="8"/>
        <v>-0.89000000000000057</v>
      </c>
      <c r="K179" s="72">
        <f>Target1[[#This Row],[Target Price]]/$B$2*100</f>
        <v>191.33216986620127</v>
      </c>
      <c r="R179">
        <f>B180/Target1[[#This Row],[Target Price]]-1</f>
        <v>1.0337488598358036E-2</v>
      </c>
    </row>
    <row r="180" spans="1:18">
      <c r="A180" s="96">
        <v>43545</v>
      </c>
      <c r="B180" s="101">
        <v>33.229999999999997</v>
      </c>
      <c r="C180" s="4">
        <f t="shared" si="6"/>
        <v>1.0284422165537183E-2</v>
      </c>
      <c r="D180" s="4">
        <f>IFERROR(Target1[[#This Row],[Target Return]]+1,"-")</f>
        <v>1.0102844221655372</v>
      </c>
      <c r="E180" s="6">
        <f>B180-MAX($B$2:B180)</f>
        <v>-0.55000000000000426</v>
      </c>
      <c r="F180" s="80">
        <f t="shared" si="7"/>
        <v>4</v>
      </c>
      <c r="G180" s="77">
        <f>Target1[[#This Row],[Target Drawdown]]/MAX($B$2:B180)</f>
        <v>-1.6281823564239319E-2</v>
      </c>
      <c r="H180" s="1" t="str">
        <f>IF(SUM(COUNTIF(Benchmark1[Benchmark '#1 Dates],Target1[[#This Row],[Target Dates]]),COUNTIF(Benchmark2[Benchmark '#2 Dates],Target1[[#This Row],[Target Dates]]))=2,"Pass","Fail")</f>
        <v>Pass</v>
      </c>
      <c r="I180" s="78">
        <f t="shared" si="8"/>
        <v>-0.55000000000000426</v>
      </c>
      <c r="K180" s="72">
        <f>Target1[[#This Row],[Target Price]]/$B$2*100</f>
        <v>193.31006399069224</v>
      </c>
      <c r="R180">
        <f>B181/Target1[[#This Row],[Target Price]]-1</f>
        <v>-1.8958772193800599E-2</v>
      </c>
    </row>
    <row r="181" spans="1:18">
      <c r="A181" s="96">
        <v>43546</v>
      </c>
      <c r="B181" s="101">
        <v>32.6</v>
      </c>
      <c r="C181" s="4">
        <f t="shared" si="6"/>
        <v>-1.9140793993840766E-2</v>
      </c>
      <c r="D181" s="4">
        <f>IFERROR(Target1[[#This Row],[Target Return]]+1,"-")</f>
        <v>0.98085920600615928</v>
      </c>
      <c r="E181" s="6">
        <f>B181-MAX($B$2:B181)</f>
        <v>-1.1799999999999997</v>
      </c>
      <c r="F181" s="80">
        <f t="shared" si="7"/>
        <v>5</v>
      </c>
      <c r="G181" s="77">
        <f>Target1[[#This Row],[Target Drawdown]]/MAX($B$2:B181)</f>
        <v>-3.49319123741859E-2</v>
      </c>
      <c r="H181" s="1" t="str">
        <f>IF(SUM(COUNTIF(Benchmark1[Benchmark '#1 Dates],Target1[[#This Row],[Target Dates]]),COUNTIF(Benchmark2[Benchmark '#2 Dates],Target1[[#This Row],[Target Dates]]))=2,"Pass","Fail")</f>
        <v>Pass</v>
      </c>
      <c r="I181" s="78">
        <f t="shared" si="8"/>
        <v>-1.1799999999999997</v>
      </c>
      <c r="K181" s="72">
        <f>Target1[[#This Row],[Target Price]]/$B$2*100</f>
        <v>189.64514252472367</v>
      </c>
      <c r="R181">
        <f>B182/Target1[[#This Row],[Target Price]]-1</f>
        <v>1.8404907975460238E-2</v>
      </c>
    </row>
    <row r="182" spans="1:18">
      <c r="A182" s="96">
        <v>43549</v>
      </c>
      <c r="B182" s="101">
        <v>33.200000000000003</v>
      </c>
      <c r="C182" s="4">
        <f t="shared" si="6"/>
        <v>1.8237587549781012E-2</v>
      </c>
      <c r="D182" s="4">
        <f>IFERROR(Target1[[#This Row],[Target Return]]+1,"-")</f>
        <v>1.0182375875497811</v>
      </c>
      <c r="E182" s="6">
        <f>B182-MAX($B$2:B182)</f>
        <v>-0.57999999999999829</v>
      </c>
      <c r="F182" s="80">
        <f t="shared" si="7"/>
        <v>6</v>
      </c>
      <c r="G182" s="77">
        <f>Target1[[#This Row],[Target Drawdown]]/MAX($B$2:B182)</f>
        <v>-1.7169923031379465E-2</v>
      </c>
      <c r="H182" s="1" t="str">
        <f>IF(SUM(COUNTIF(Benchmark1[Benchmark '#1 Dates],Target1[[#This Row],[Target Dates]]),COUNTIF(Benchmark2[Benchmark '#2 Dates],Target1[[#This Row],[Target Dates]]))=2,"Pass","Fail")</f>
        <v>Pass</v>
      </c>
      <c r="I182" s="78">
        <f t="shared" si="8"/>
        <v>-0.57999999999999829</v>
      </c>
      <c r="K182" s="72">
        <f>Target1[[#This Row],[Target Price]]/$B$2*100</f>
        <v>193.13554392088423</v>
      </c>
      <c r="R182">
        <f>B183/Target1[[#This Row],[Target Price]]-1</f>
        <v>9.036144578311589E-4</v>
      </c>
    </row>
    <row r="183" spans="1:18">
      <c r="A183" s="96">
        <v>43550</v>
      </c>
      <c r="B183" s="101">
        <v>33.229999999999997</v>
      </c>
      <c r="C183" s="4">
        <f t="shared" si="6"/>
        <v>9.032064440598871E-4</v>
      </c>
      <c r="D183" s="4">
        <f>IFERROR(Target1[[#This Row],[Target Return]]+1,"-")</f>
        <v>1.0009032064440599</v>
      </c>
      <c r="E183" s="6">
        <f>B183-MAX($B$2:B183)</f>
        <v>-0.55000000000000426</v>
      </c>
      <c r="F183" s="80">
        <f t="shared" si="7"/>
        <v>7</v>
      </c>
      <c r="G183" s="77">
        <f>Target1[[#This Row],[Target Drawdown]]/MAX($B$2:B183)</f>
        <v>-1.6281823564239319E-2</v>
      </c>
      <c r="H183" s="1" t="str">
        <f>IF(SUM(COUNTIF(Benchmark1[Benchmark '#1 Dates],Target1[[#This Row],[Target Dates]]),COUNTIF(Benchmark2[Benchmark '#2 Dates],Target1[[#This Row],[Target Dates]]))=2,"Pass","Fail")</f>
        <v>Pass</v>
      </c>
      <c r="I183" s="78">
        <f t="shared" si="8"/>
        <v>-0.55000000000000426</v>
      </c>
      <c r="K183" s="72">
        <f>Target1[[#This Row],[Target Price]]/$B$2*100</f>
        <v>193.31006399069224</v>
      </c>
      <c r="R183">
        <f>B184/Target1[[#This Row],[Target Price]]-1</f>
        <v>8.4261209750227106E-3</v>
      </c>
    </row>
    <row r="184" spans="1:18">
      <c r="A184" s="96">
        <v>43551</v>
      </c>
      <c r="B184" s="101">
        <v>33.51</v>
      </c>
      <c r="C184" s="4">
        <f t="shared" si="6"/>
        <v>8.3908193827162605E-3</v>
      </c>
      <c r="D184" s="4">
        <f>IFERROR(Target1[[#This Row],[Target Return]]+1,"-")</f>
        <v>1.0083908193827162</v>
      </c>
      <c r="E184" s="6">
        <f>B184-MAX($B$2:B184)</f>
        <v>-0.27000000000000313</v>
      </c>
      <c r="F184" s="80">
        <f t="shared" si="7"/>
        <v>8</v>
      </c>
      <c r="G184" s="77">
        <f>Target1[[#This Row],[Target Drawdown]]/MAX($B$2:B184)</f>
        <v>-7.9928952042629692E-3</v>
      </c>
      <c r="H184" s="1" t="str">
        <f>IF(SUM(COUNTIF(Benchmark1[Benchmark '#1 Dates],Target1[[#This Row],[Target Dates]]),COUNTIF(Benchmark2[Benchmark '#2 Dates],Target1[[#This Row],[Target Dates]]))=2,"Pass","Fail")</f>
        <v>Pass</v>
      </c>
      <c r="I184" s="78">
        <f t="shared" si="8"/>
        <v>-0.27000000000000313</v>
      </c>
      <c r="K184" s="72">
        <f>Target1[[#This Row],[Target Price]]/$B$2*100</f>
        <v>194.93891797556716</v>
      </c>
      <c r="R184">
        <f>B185/Target1[[#This Row],[Target Price]]-1</f>
        <v>1.5517755893763141E-2</v>
      </c>
    </row>
    <row r="185" spans="1:18">
      <c r="A185" s="96">
        <v>43552</v>
      </c>
      <c r="B185" s="101">
        <v>34.03</v>
      </c>
      <c r="C185" s="4">
        <f t="shared" si="6"/>
        <v>1.5398586763595411E-2</v>
      </c>
      <c r="D185" s="4">
        <f>IFERROR(Target1[[#This Row],[Target Return]]+1,"-")</f>
        <v>1.0153985867635955</v>
      </c>
      <c r="E185" s="6">
        <f>B185-MAX($B$2:B185)</f>
        <v>0</v>
      </c>
      <c r="F185" s="80">
        <f t="shared" si="7"/>
        <v>0</v>
      </c>
      <c r="G185" s="77">
        <f>Target1[[#This Row],[Target Drawdown]]/MAX($B$2:B185)</f>
        <v>0</v>
      </c>
      <c r="H185" s="1" t="str">
        <f>IF(SUM(COUNTIF(Benchmark1[Benchmark '#1 Dates],Target1[[#This Row],[Target Dates]]),COUNTIF(Benchmark2[Benchmark '#2 Dates],Target1[[#This Row],[Target Dates]]))=2,"Pass","Fail")</f>
        <v>Pass</v>
      </c>
      <c r="I185" s="78">
        <f t="shared" si="8"/>
        <v>0</v>
      </c>
      <c r="K185" s="72">
        <f>Target1[[#This Row],[Target Price]]/$B$2*100</f>
        <v>197.96393251890635</v>
      </c>
      <c r="R185">
        <f>B186/Target1[[#This Row],[Target Price]]-1</f>
        <v>2.9385836027036039E-3</v>
      </c>
    </row>
    <row r="186" spans="1:18">
      <c r="A186" s="96">
        <v>43553</v>
      </c>
      <c r="B186" s="101">
        <v>34.130000000000003</v>
      </c>
      <c r="C186" s="4">
        <f t="shared" si="6"/>
        <v>2.9342744058014204E-3</v>
      </c>
      <c r="D186" s="4">
        <f>IFERROR(Target1[[#This Row],[Target Return]]+1,"-")</f>
        <v>1.0029342744058014</v>
      </c>
      <c r="E186" s="6">
        <f>B186-MAX($B$2:B186)</f>
        <v>0</v>
      </c>
      <c r="F186" s="80">
        <f t="shared" si="7"/>
        <v>0</v>
      </c>
      <c r="G186" s="77">
        <f>Target1[[#This Row],[Target Drawdown]]/MAX($B$2:B186)</f>
        <v>0</v>
      </c>
      <c r="H186" s="1" t="str">
        <f>IF(SUM(COUNTIF(Benchmark1[Benchmark '#1 Dates],Target1[[#This Row],[Target Dates]]),COUNTIF(Benchmark2[Benchmark '#2 Dates],Target1[[#This Row],[Target Dates]]))=2,"Pass","Fail")</f>
        <v>Pass</v>
      </c>
      <c r="I186" s="78">
        <f t="shared" si="8"/>
        <v>0</v>
      </c>
      <c r="K186" s="72">
        <f>Target1[[#This Row],[Target Price]]/$B$2*100</f>
        <v>198.54566608493309</v>
      </c>
      <c r="R186">
        <f>B187/Target1[[#This Row],[Target Price]]-1</f>
        <v>1.4649868151186407E-3</v>
      </c>
    </row>
    <row r="187" spans="1:18">
      <c r="A187" s="96">
        <v>43556</v>
      </c>
      <c r="B187" s="101">
        <v>34.18</v>
      </c>
      <c r="C187" s="4">
        <f t="shared" si="6"/>
        <v>1.4639147688291349E-3</v>
      </c>
      <c r="D187" s="4">
        <f>IFERROR(Target1[[#This Row],[Target Return]]+1,"-")</f>
        <v>1.0014639147688291</v>
      </c>
      <c r="E187" s="6">
        <f>B187-MAX($B$2:B187)</f>
        <v>0</v>
      </c>
      <c r="F187" s="80">
        <f t="shared" si="7"/>
        <v>0</v>
      </c>
      <c r="G187" s="77">
        <f>Target1[[#This Row],[Target Drawdown]]/MAX($B$2:B187)</f>
        <v>0</v>
      </c>
      <c r="H187" s="1" t="str">
        <f>IF(SUM(COUNTIF(Benchmark1[Benchmark '#1 Dates],Target1[[#This Row],[Target Dates]]),COUNTIF(Benchmark2[Benchmark '#2 Dates],Target1[[#This Row],[Target Dates]]))=2,"Pass","Fail")</f>
        <v>Pass</v>
      </c>
      <c r="I187" s="78">
        <f t="shared" si="8"/>
        <v>0</v>
      </c>
      <c r="K187" s="72">
        <f>Target1[[#This Row],[Target Price]]/$B$2*100</f>
        <v>198.83653286794646</v>
      </c>
      <c r="R187">
        <f>B188/Target1[[#This Row],[Target Price]]-1</f>
        <v>2.0479812755997973E-3</v>
      </c>
    </row>
    <row r="188" spans="1:18">
      <c r="A188" s="96">
        <v>43557</v>
      </c>
      <c r="B188" s="101">
        <v>34.25</v>
      </c>
      <c r="C188" s="4">
        <f t="shared" si="6"/>
        <v>2.0458870207894966E-3</v>
      </c>
      <c r="D188" s="4">
        <f>IFERROR(Target1[[#This Row],[Target Return]]+1,"-")</f>
        <v>1.0020458870207896</v>
      </c>
      <c r="E188" s="6">
        <f>B188-MAX($B$2:B188)</f>
        <v>0</v>
      </c>
      <c r="F188" s="80">
        <f t="shared" si="7"/>
        <v>0</v>
      </c>
      <c r="G188" s="77">
        <f>Target1[[#This Row],[Target Drawdown]]/MAX($B$2:B188)</f>
        <v>0</v>
      </c>
      <c r="H188" s="1" t="str">
        <f>IF(SUM(COUNTIF(Benchmark1[Benchmark '#1 Dates],Target1[[#This Row],[Target Dates]]),COUNTIF(Benchmark2[Benchmark '#2 Dates],Target1[[#This Row],[Target Dates]]))=2,"Pass","Fail")</f>
        <v>Pass</v>
      </c>
      <c r="I188" s="78">
        <f t="shared" si="8"/>
        <v>0</v>
      </c>
      <c r="K188" s="72">
        <f>Target1[[#This Row],[Target Price]]/$B$2*100</f>
        <v>199.24374636416519</v>
      </c>
      <c r="R188">
        <f>B189/Target1[[#This Row],[Target Price]]-1</f>
        <v>2.481751824817513E-2</v>
      </c>
    </row>
    <row r="189" spans="1:18">
      <c r="A189" s="96">
        <v>43558</v>
      </c>
      <c r="B189" s="101">
        <v>35.1</v>
      </c>
      <c r="C189" s="4">
        <f t="shared" si="6"/>
        <v>2.451456576358578E-2</v>
      </c>
      <c r="D189" s="4">
        <f>IFERROR(Target1[[#This Row],[Target Return]]+1,"-")</f>
        <v>1.0245145657635857</v>
      </c>
      <c r="E189" s="6">
        <f>B189-MAX($B$2:B189)</f>
        <v>0</v>
      </c>
      <c r="F189" s="80">
        <f t="shared" si="7"/>
        <v>0</v>
      </c>
      <c r="G189" s="77">
        <f>Target1[[#This Row],[Target Drawdown]]/MAX($B$2:B189)</f>
        <v>0</v>
      </c>
      <c r="H189" s="1" t="str">
        <f>IF(SUM(COUNTIF(Benchmark1[Benchmark '#1 Dates],Target1[[#This Row],[Target Dates]]),COUNTIF(Benchmark2[Benchmark '#2 Dates],Target1[[#This Row],[Target Dates]]))=2,"Pass","Fail")</f>
        <v>Pass</v>
      </c>
      <c r="I189" s="78">
        <f t="shared" si="8"/>
        <v>0</v>
      </c>
      <c r="K189" s="72">
        <f>Target1[[#This Row],[Target Price]]/$B$2*100</f>
        <v>204.18848167539267</v>
      </c>
      <c r="R189">
        <f>B190/Target1[[#This Row],[Target Price]]-1</f>
        <v>1.9373219373219452E-2</v>
      </c>
    </row>
    <row r="190" spans="1:18">
      <c r="A190" s="96">
        <v>43559</v>
      </c>
      <c r="B190" s="101">
        <v>35.78</v>
      </c>
      <c r="C190" s="4">
        <f t="shared" si="6"/>
        <v>1.9187947608753052E-2</v>
      </c>
      <c r="D190" s="4">
        <f>IFERROR(Target1[[#This Row],[Target Return]]+1,"-")</f>
        <v>1.0191879476087531</v>
      </c>
      <c r="E190" s="6">
        <f>B190-MAX($B$2:B190)</f>
        <v>0</v>
      </c>
      <c r="F190" s="80">
        <f t="shared" si="7"/>
        <v>0</v>
      </c>
      <c r="G190" s="77">
        <f>Target1[[#This Row],[Target Drawdown]]/MAX($B$2:B190)</f>
        <v>0</v>
      </c>
      <c r="H190" s="1" t="str">
        <f>IF(SUM(COUNTIF(Benchmark1[Benchmark '#1 Dates],Target1[[#This Row],[Target Dates]]),COUNTIF(Benchmark2[Benchmark '#2 Dates],Target1[[#This Row],[Target Dates]]))=2,"Pass","Fail")</f>
        <v>Pass</v>
      </c>
      <c r="I190" s="78">
        <f t="shared" si="8"/>
        <v>0</v>
      </c>
      <c r="K190" s="72">
        <f>Target1[[#This Row],[Target Price]]/$B$2*100</f>
        <v>208.14426992437464</v>
      </c>
      <c r="R190">
        <f>B191/Target1[[#This Row],[Target Price]]-1</f>
        <v>8.1050866405814048E-3</v>
      </c>
    </row>
    <row r="191" spans="1:18">
      <c r="A191" s="96">
        <v>43560</v>
      </c>
      <c r="B191" s="101">
        <v>36.07</v>
      </c>
      <c r="C191" s="4">
        <f t="shared" si="6"/>
        <v>8.0724168348745972E-3</v>
      </c>
      <c r="D191" s="4">
        <f>IFERROR(Target1[[#This Row],[Target Return]]+1,"-")</f>
        <v>1.0080724168348747</v>
      </c>
      <c r="E191" s="6">
        <f>B191-MAX($B$2:B191)</f>
        <v>0</v>
      </c>
      <c r="F191" s="80">
        <f t="shared" si="7"/>
        <v>0</v>
      </c>
      <c r="G191" s="77">
        <f>Target1[[#This Row],[Target Drawdown]]/MAX($B$2:B191)</f>
        <v>0</v>
      </c>
      <c r="H191" s="1" t="str">
        <f>IF(SUM(COUNTIF(Benchmark1[Benchmark '#1 Dates],Target1[[#This Row],[Target Dates]]),COUNTIF(Benchmark2[Benchmark '#2 Dates],Target1[[#This Row],[Target Dates]]))=2,"Pass","Fail")</f>
        <v>Pass</v>
      </c>
      <c r="I191" s="78">
        <f t="shared" si="8"/>
        <v>0</v>
      </c>
      <c r="K191" s="72">
        <f>Target1[[#This Row],[Target Price]]/$B$2*100</f>
        <v>209.83129726585221</v>
      </c>
      <c r="R191">
        <f>B192/Target1[[#This Row],[Target Price]]-1</f>
        <v>-1.1921264208483495E-2</v>
      </c>
    </row>
    <row r="192" spans="1:18">
      <c r="A192" s="96">
        <v>43563</v>
      </c>
      <c r="B192" s="101">
        <v>35.64</v>
      </c>
      <c r="C192" s="4">
        <f t="shared" si="6"/>
        <v>-1.1992892312839055E-2</v>
      </c>
      <c r="D192" s="4">
        <f>IFERROR(Target1[[#This Row],[Target Return]]+1,"-")</f>
        <v>0.98800710768716093</v>
      </c>
      <c r="E192" s="6">
        <f>B192-MAX($B$2:B192)</f>
        <v>-0.42999999999999972</v>
      </c>
      <c r="F192" s="80">
        <f t="shared" si="7"/>
        <v>1</v>
      </c>
      <c r="G192" s="77">
        <f>Target1[[#This Row],[Target Drawdown]]/MAX($B$2:B192)</f>
        <v>-1.1921264208483497E-2</v>
      </c>
      <c r="H192" s="1" t="str">
        <f>IF(SUM(COUNTIF(Benchmark1[Benchmark '#1 Dates],Target1[[#This Row],[Target Dates]]),COUNTIF(Benchmark2[Benchmark '#2 Dates],Target1[[#This Row],[Target Dates]]))=2,"Pass","Fail")</f>
        <v>Pass</v>
      </c>
      <c r="I192" s="78">
        <f t="shared" si="8"/>
        <v>-0.42999999999999972</v>
      </c>
      <c r="K192" s="72">
        <f>Target1[[#This Row],[Target Price]]/$B$2*100</f>
        <v>207.32984293193715</v>
      </c>
      <c r="R192">
        <f>B193/Target1[[#This Row],[Target Price]]-1</f>
        <v>1.6273849607182811E-2</v>
      </c>
    </row>
    <row r="193" spans="1:18">
      <c r="A193" s="96">
        <v>43564</v>
      </c>
      <c r="B193" s="101">
        <v>36.22</v>
      </c>
      <c r="C193" s="4">
        <f t="shared" si="6"/>
        <v>1.6142849852658635E-2</v>
      </c>
      <c r="D193" s="4">
        <f>IFERROR(Target1[[#This Row],[Target Return]]+1,"-")</f>
        <v>1.0161428498526586</v>
      </c>
      <c r="E193" s="6">
        <f>B193-MAX($B$2:B193)</f>
        <v>0</v>
      </c>
      <c r="F193" s="80">
        <f t="shared" si="7"/>
        <v>0</v>
      </c>
      <c r="G193" s="77">
        <f>Target1[[#This Row],[Target Drawdown]]/MAX($B$2:B193)</f>
        <v>0</v>
      </c>
      <c r="H193" s="1" t="str">
        <f>IF(SUM(COUNTIF(Benchmark1[Benchmark '#1 Dates],Target1[[#This Row],[Target Dates]]),COUNTIF(Benchmark2[Benchmark '#2 Dates],Target1[[#This Row],[Target Dates]]))=2,"Pass","Fail")</f>
        <v>Pass</v>
      </c>
      <c r="I193" s="78">
        <f t="shared" si="8"/>
        <v>0</v>
      </c>
      <c r="K193" s="72">
        <f>Target1[[#This Row],[Target Price]]/$B$2*100</f>
        <v>210.70389761489236</v>
      </c>
      <c r="R193">
        <f>B194/Target1[[#This Row],[Target Price]]-1</f>
        <v>9.9392600773053896E-3</v>
      </c>
    </row>
    <row r="194" spans="1:18">
      <c r="A194" s="96">
        <v>43565</v>
      </c>
      <c r="B194" s="101">
        <v>36.58</v>
      </c>
      <c r="C194" s="4">
        <f t="shared" ref="C194:C257" si="9">IFERROR(IF(B194="","-",LN(B194/B193)),"-")</f>
        <v>9.8901905074523476E-3</v>
      </c>
      <c r="D194" s="4">
        <f>IFERROR(Target1[[#This Row],[Target Return]]+1,"-")</f>
        <v>1.0098901905074524</v>
      </c>
      <c r="E194" s="6">
        <f>B194-MAX($B$2:B194)</f>
        <v>0</v>
      </c>
      <c r="F194" s="80">
        <f t="shared" ref="F194:F257" si="10">IF(E194=0,0,F193+1)</f>
        <v>0</v>
      </c>
      <c r="G194" s="77">
        <f>Target1[[#This Row],[Target Drawdown]]/MAX($B$2:B194)</f>
        <v>0</v>
      </c>
      <c r="H194" s="1" t="str">
        <f>IF(SUM(COUNTIF(Benchmark1[Benchmark '#1 Dates],Target1[[#This Row],[Target Dates]]),COUNTIF(Benchmark2[Benchmark '#2 Dates],Target1[[#This Row],[Target Dates]]))=2,"Pass","Fail")</f>
        <v>Pass</v>
      </c>
      <c r="I194" s="78">
        <f t="shared" ref="I194:I257" si="11">$E$2+E194</f>
        <v>0</v>
      </c>
      <c r="K194" s="72">
        <f>Target1[[#This Row],[Target Price]]/$B$2*100</f>
        <v>212.79813845258869</v>
      </c>
      <c r="R194">
        <f>B195/Target1[[#This Row],[Target Price]]-1</f>
        <v>7.3810825587754536E-3</v>
      </c>
    </row>
    <row r="195" spans="1:18">
      <c r="A195" s="96">
        <v>43566</v>
      </c>
      <c r="B195" s="101">
        <v>36.85</v>
      </c>
      <c r="C195" s="4">
        <f t="shared" si="9"/>
        <v>7.3539756726261375E-3</v>
      </c>
      <c r="D195" s="4">
        <f>IFERROR(Target1[[#This Row],[Target Return]]+1,"-")</f>
        <v>1.0073539756726262</v>
      </c>
      <c r="E195" s="6">
        <f>B195-MAX($B$2:B195)</f>
        <v>0</v>
      </c>
      <c r="F195" s="80">
        <f t="shared" si="10"/>
        <v>0</v>
      </c>
      <c r="G195" s="77">
        <f>Target1[[#This Row],[Target Drawdown]]/MAX($B$2:B195)</f>
        <v>0</v>
      </c>
      <c r="H195" s="1" t="str">
        <f>IF(SUM(COUNTIF(Benchmark1[Benchmark '#1 Dates],Target1[[#This Row],[Target Dates]]),COUNTIF(Benchmark2[Benchmark '#2 Dates],Target1[[#This Row],[Target Dates]]))=2,"Pass","Fail")</f>
        <v>Pass</v>
      </c>
      <c r="I195" s="78">
        <f t="shared" si="11"/>
        <v>0</v>
      </c>
      <c r="K195" s="72">
        <f>Target1[[#This Row],[Target Price]]/$B$2*100</f>
        <v>214.36881908086093</v>
      </c>
      <c r="R195">
        <f>B196/Target1[[#This Row],[Target Price]]-1</f>
        <v>-1.0583446404341945E-2</v>
      </c>
    </row>
    <row r="196" spans="1:18">
      <c r="A196" s="96">
        <v>43567</v>
      </c>
      <c r="B196" s="101">
        <v>36.46</v>
      </c>
      <c r="C196" s="4">
        <f t="shared" si="9"/>
        <v>-1.063984938482865E-2</v>
      </c>
      <c r="D196" s="4">
        <f>IFERROR(Target1[[#This Row],[Target Return]]+1,"-")</f>
        <v>0.98936015061517135</v>
      </c>
      <c r="E196" s="6">
        <f>B196-MAX($B$2:B196)</f>
        <v>-0.39000000000000057</v>
      </c>
      <c r="F196" s="80">
        <f t="shared" si="10"/>
        <v>1</v>
      </c>
      <c r="G196" s="77">
        <f>Target1[[#This Row],[Target Drawdown]]/MAX($B$2:B196)</f>
        <v>-1.0583446404341942E-2</v>
      </c>
      <c r="H196" s="1" t="str">
        <f>IF(SUM(COUNTIF(Benchmark1[Benchmark '#1 Dates],Target1[[#This Row],[Target Dates]]),COUNTIF(Benchmark2[Benchmark '#2 Dates],Target1[[#This Row],[Target Dates]]))=2,"Pass","Fail")</f>
        <v>Pass</v>
      </c>
      <c r="I196" s="78">
        <f t="shared" si="11"/>
        <v>-0.39000000000000057</v>
      </c>
      <c r="K196" s="72">
        <f>Target1[[#This Row],[Target Price]]/$B$2*100</f>
        <v>212.10005817335659</v>
      </c>
      <c r="R196">
        <f>B197/Target1[[#This Row],[Target Price]]-1</f>
        <v>1.3439385628085665E-2</v>
      </c>
    </row>
    <row r="197" spans="1:18">
      <c r="A197" s="96">
        <v>43570</v>
      </c>
      <c r="B197" s="101">
        <v>36.950000000000003</v>
      </c>
      <c r="C197" s="4">
        <f t="shared" si="9"/>
        <v>1.3349878143693893E-2</v>
      </c>
      <c r="D197" s="4">
        <f>IFERROR(Target1[[#This Row],[Target Return]]+1,"-")</f>
        <v>1.0133498781436938</v>
      </c>
      <c r="E197" s="6">
        <f>B197-MAX($B$2:B197)</f>
        <v>0</v>
      </c>
      <c r="F197" s="80">
        <f t="shared" si="10"/>
        <v>0</v>
      </c>
      <c r="G197" s="77">
        <f>Target1[[#This Row],[Target Drawdown]]/MAX($B$2:B197)</f>
        <v>0</v>
      </c>
      <c r="H197" s="1" t="str">
        <f>IF(SUM(COUNTIF(Benchmark1[Benchmark '#1 Dates],Target1[[#This Row],[Target Dates]]),COUNTIF(Benchmark2[Benchmark '#2 Dates],Target1[[#This Row],[Target Dates]]))=2,"Pass","Fail")</f>
        <v>Pass</v>
      </c>
      <c r="I197" s="78">
        <f t="shared" si="11"/>
        <v>0</v>
      </c>
      <c r="K197" s="72">
        <f>Target1[[#This Row],[Target Price]]/$B$2*100</f>
        <v>214.95055264688773</v>
      </c>
      <c r="R197">
        <f>B198/Target1[[#This Row],[Target Price]]-1</f>
        <v>1.3531799729362692E-3</v>
      </c>
    </row>
    <row r="198" spans="1:18">
      <c r="A198" s="96">
        <v>43571</v>
      </c>
      <c r="B198" s="101">
        <v>37</v>
      </c>
      <c r="C198" s="4">
        <f t="shared" si="9"/>
        <v>1.3522652500135325E-3</v>
      </c>
      <c r="D198" s="4">
        <f>IFERROR(Target1[[#This Row],[Target Return]]+1,"-")</f>
        <v>1.0013522652500135</v>
      </c>
      <c r="E198" s="6">
        <f>B198-MAX($B$2:B198)</f>
        <v>0</v>
      </c>
      <c r="F198" s="80">
        <f t="shared" si="10"/>
        <v>0</v>
      </c>
      <c r="G198" s="77">
        <f>Target1[[#This Row],[Target Drawdown]]/MAX($B$2:B198)</f>
        <v>0</v>
      </c>
      <c r="H198" s="1" t="str">
        <f>IF(SUM(COUNTIF(Benchmark1[Benchmark '#1 Dates],Target1[[#This Row],[Target Dates]]),COUNTIF(Benchmark2[Benchmark '#2 Dates],Target1[[#This Row],[Target Dates]]))=2,"Pass","Fail")</f>
        <v>Pass</v>
      </c>
      <c r="I198" s="78">
        <f t="shared" si="11"/>
        <v>0</v>
      </c>
      <c r="K198" s="72">
        <f>Target1[[#This Row],[Target Price]]/$B$2*100</f>
        <v>215.2414194299011</v>
      </c>
      <c r="R198">
        <f>B199/Target1[[#This Row],[Target Price]]-1</f>
        <v>-2.7837837837837887E-2</v>
      </c>
    </row>
    <row r="199" spans="1:18">
      <c r="A199" s="96">
        <v>43572</v>
      </c>
      <c r="B199" s="101">
        <v>35.97</v>
      </c>
      <c r="C199" s="4">
        <f t="shared" si="9"/>
        <v>-2.8232654936691928E-2</v>
      </c>
      <c r="D199" s="4">
        <f>IFERROR(Target1[[#This Row],[Target Return]]+1,"-")</f>
        <v>0.97176734506330809</v>
      </c>
      <c r="E199" s="6">
        <f>B199-MAX($B$2:B199)</f>
        <v>-1.0300000000000011</v>
      </c>
      <c r="F199" s="80">
        <f t="shared" si="10"/>
        <v>1</v>
      </c>
      <c r="G199" s="77">
        <f>Target1[[#This Row],[Target Drawdown]]/MAX($B$2:B199)</f>
        <v>-2.7837837837837869E-2</v>
      </c>
      <c r="H199" s="1" t="str">
        <f>IF(SUM(COUNTIF(Benchmark1[Benchmark '#1 Dates],Target1[[#This Row],[Target Dates]]),COUNTIF(Benchmark2[Benchmark '#2 Dates],Target1[[#This Row],[Target Dates]]))=2,"Pass","Fail")</f>
        <v>Pass</v>
      </c>
      <c r="I199" s="78">
        <f t="shared" si="11"/>
        <v>-1.0300000000000011</v>
      </c>
      <c r="K199" s="72">
        <f>Target1[[#This Row],[Target Price]]/$B$2*100</f>
        <v>209.24956369982544</v>
      </c>
      <c r="R199">
        <f>B200/Target1[[#This Row],[Target Price]]-1</f>
        <v>-1.5290519877675712E-2</v>
      </c>
    </row>
    <row r="200" spans="1:18">
      <c r="A200" s="96">
        <v>43573</v>
      </c>
      <c r="B200" s="101">
        <v>35.42</v>
      </c>
      <c r="C200" s="4">
        <f t="shared" si="9"/>
        <v>-1.5408625352844955E-2</v>
      </c>
      <c r="D200" s="4">
        <f>IFERROR(Target1[[#This Row],[Target Return]]+1,"-")</f>
        <v>0.98459137464715507</v>
      </c>
      <c r="E200" s="6">
        <f>B200-MAX($B$2:B200)</f>
        <v>-1.5799999999999983</v>
      </c>
      <c r="F200" s="80">
        <f t="shared" si="10"/>
        <v>2</v>
      </c>
      <c r="G200" s="77">
        <f>Target1[[#This Row],[Target Drawdown]]/MAX($B$2:B200)</f>
        <v>-4.2702702702702655E-2</v>
      </c>
      <c r="H200" s="1" t="str">
        <f>IF(SUM(COUNTIF(Benchmark1[Benchmark '#1 Dates],Target1[[#This Row],[Target Dates]]),COUNTIF(Benchmark2[Benchmark '#2 Dates],Target1[[#This Row],[Target Dates]]))=2,"Pass","Fail")</f>
        <v>Pass</v>
      </c>
      <c r="I200" s="78">
        <f t="shared" si="11"/>
        <v>-1.5799999999999983</v>
      </c>
      <c r="K200" s="72">
        <f>Target1[[#This Row],[Target Price]]/$B$2*100</f>
        <v>206.05002908667828</v>
      </c>
      <c r="R200">
        <f>B201/Target1[[#This Row],[Target Price]]-1</f>
        <v>-5.6465273856587395E-4</v>
      </c>
    </row>
    <row r="201" spans="1:18">
      <c r="A201" s="96">
        <v>43577</v>
      </c>
      <c r="B201" s="101">
        <v>35.4</v>
      </c>
      <c r="C201" s="4">
        <f t="shared" si="9"/>
        <v>-5.6481221495880589E-4</v>
      </c>
      <c r="D201" s="4">
        <f>IFERROR(Target1[[#This Row],[Target Return]]+1,"-")</f>
        <v>0.99943518778504115</v>
      </c>
      <c r="E201" s="6">
        <f>B201-MAX($B$2:B201)</f>
        <v>-1.6000000000000014</v>
      </c>
      <c r="F201" s="80">
        <f t="shared" si="10"/>
        <v>3</v>
      </c>
      <c r="G201" s="77">
        <f>Target1[[#This Row],[Target Drawdown]]/MAX($B$2:B201)</f>
        <v>-4.324324324324328E-2</v>
      </c>
      <c r="H201" s="1" t="str">
        <f>IF(SUM(COUNTIF(Benchmark1[Benchmark '#1 Dates],Target1[[#This Row],[Target Dates]]),COUNTIF(Benchmark2[Benchmark '#2 Dates],Target1[[#This Row],[Target Dates]]))=2,"Pass","Fail")</f>
        <v>Pass</v>
      </c>
      <c r="I201" s="78">
        <f t="shared" si="11"/>
        <v>-1.6000000000000014</v>
      </c>
      <c r="K201" s="72">
        <f>Target1[[#This Row],[Target Price]]/$B$2*100</f>
        <v>205.93368237347295</v>
      </c>
      <c r="R201">
        <f>B202/Target1[[#This Row],[Target Price]]-1</f>
        <v>2.3163841807909646E-2</v>
      </c>
    </row>
    <row r="202" spans="1:18">
      <c r="A202" s="96">
        <v>43578</v>
      </c>
      <c r="B202" s="101">
        <v>36.22</v>
      </c>
      <c r="C202" s="4">
        <f t="shared" si="9"/>
        <v>2.2899632315538598E-2</v>
      </c>
      <c r="D202" s="4">
        <f>IFERROR(Target1[[#This Row],[Target Return]]+1,"-")</f>
        <v>1.0228996323155386</v>
      </c>
      <c r="E202" s="6">
        <f>B202-MAX($B$2:B202)</f>
        <v>-0.78000000000000114</v>
      </c>
      <c r="F202" s="80">
        <f t="shared" si="10"/>
        <v>4</v>
      </c>
      <c r="G202" s="77">
        <f>Target1[[#This Row],[Target Drawdown]]/MAX($B$2:B202)</f>
        <v>-2.1081081081081112E-2</v>
      </c>
      <c r="H202" s="1" t="str">
        <f>IF(SUM(COUNTIF(Benchmark1[Benchmark '#1 Dates],Target1[[#This Row],[Target Dates]]),COUNTIF(Benchmark2[Benchmark '#2 Dates],Target1[[#This Row],[Target Dates]]))=2,"Pass","Fail")</f>
        <v>Pass</v>
      </c>
      <c r="I202" s="78">
        <f t="shared" si="11"/>
        <v>-0.78000000000000114</v>
      </c>
      <c r="K202" s="72">
        <f>Target1[[#This Row],[Target Price]]/$B$2*100</f>
        <v>210.70389761489236</v>
      </c>
      <c r="R202">
        <f>B203/Target1[[#This Row],[Target Price]]-1</f>
        <v>-0.13445610160132515</v>
      </c>
    </row>
    <row r="203" spans="1:18">
      <c r="A203" s="96">
        <v>43579</v>
      </c>
      <c r="B203" s="101">
        <v>31.35</v>
      </c>
      <c r="C203" s="4">
        <f t="shared" si="9"/>
        <v>-0.14439718537633753</v>
      </c>
      <c r="D203" s="4">
        <f>IFERROR(Target1[[#This Row],[Target Return]]+1,"-")</f>
        <v>0.8556028146236625</v>
      </c>
      <c r="E203" s="6">
        <f>B203-MAX($B$2:B203)</f>
        <v>-5.6499999999999986</v>
      </c>
      <c r="F203" s="80">
        <f t="shared" si="10"/>
        <v>5</v>
      </c>
      <c r="G203" s="77">
        <f>Target1[[#This Row],[Target Drawdown]]/MAX($B$2:B203)</f>
        <v>-0.15270270270270267</v>
      </c>
      <c r="H203" s="1" t="str">
        <f>IF(SUM(COUNTIF(Benchmark1[Benchmark '#1 Dates],Target1[[#This Row],[Target Dates]]),COUNTIF(Benchmark2[Benchmark '#2 Dates],Target1[[#This Row],[Target Dates]]))=2,"Pass","Fail")</f>
        <v>Pass</v>
      </c>
      <c r="I203" s="78">
        <f t="shared" si="11"/>
        <v>-5.6499999999999986</v>
      </c>
      <c r="K203" s="72">
        <f>Target1[[#This Row],[Target Price]]/$B$2*100</f>
        <v>182.37347294938917</v>
      </c>
      <c r="R203">
        <f>B204/Target1[[#This Row],[Target Price]]-1</f>
        <v>-2.169059011164276E-2</v>
      </c>
    </row>
    <row r="204" spans="1:18">
      <c r="A204" s="96">
        <v>43580</v>
      </c>
      <c r="B204" s="101">
        <v>30.67</v>
      </c>
      <c r="C204" s="4">
        <f t="shared" si="9"/>
        <v>-2.1929288952769552E-2</v>
      </c>
      <c r="D204" s="4">
        <f>IFERROR(Target1[[#This Row],[Target Return]]+1,"-")</f>
        <v>0.97807071104723042</v>
      </c>
      <c r="E204" s="6">
        <f>B204-MAX($B$2:B204)</f>
        <v>-6.3299999999999983</v>
      </c>
      <c r="F204" s="80">
        <f t="shared" si="10"/>
        <v>6</v>
      </c>
      <c r="G204" s="77">
        <f>Target1[[#This Row],[Target Drawdown]]/MAX($B$2:B204)</f>
        <v>-0.17108108108108103</v>
      </c>
      <c r="H204" s="1" t="str">
        <f>IF(SUM(COUNTIF(Benchmark1[Benchmark '#1 Dates],Target1[[#This Row],[Target Dates]]),COUNTIF(Benchmark2[Benchmark '#2 Dates],Target1[[#This Row],[Target Dates]]))=2,"Pass","Fail")</f>
        <v>Pass</v>
      </c>
      <c r="I204" s="78">
        <f t="shared" si="11"/>
        <v>-6.3299999999999983</v>
      </c>
      <c r="K204" s="72">
        <f>Target1[[#This Row],[Target Price]]/$B$2*100</f>
        <v>178.41768470040722</v>
      </c>
      <c r="R204">
        <f>B205/Target1[[#This Row],[Target Price]]-1</f>
        <v>2.0541245516791706E-2</v>
      </c>
    </row>
    <row r="205" spans="1:18">
      <c r="A205" s="96">
        <v>43581</v>
      </c>
      <c r="B205" s="101">
        <v>31.3</v>
      </c>
      <c r="C205" s="4">
        <f t="shared" si="9"/>
        <v>2.0333119419947417E-2</v>
      </c>
      <c r="D205" s="4">
        <f>IFERROR(Target1[[#This Row],[Target Return]]+1,"-")</f>
        <v>1.0203331194199474</v>
      </c>
      <c r="E205" s="6">
        <f>B205-MAX($B$2:B205)</f>
        <v>-5.6999999999999993</v>
      </c>
      <c r="F205" s="80">
        <f t="shared" si="10"/>
        <v>7</v>
      </c>
      <c r="G205" s="77">
        <f>Target1[[#This Row],[Target Drawdown]]/MAX($B$2:B205)</f>
        <v>-0.15405405405405403</v>
      </c>
      <c r="H205" s="1" t="str">
        <f>IF(SUM(COUNTIF(Benchmark1[Benchmark '#1 Dates],Target1[[#This Row],[Target Dates]]),COUNTIF(Benchmark2[Benchmark '#2 Dates],Target1[[#This Row],[Target Dates]]))=2,"Pass","Fail")</f>
        <v>Pass</v>
      </c>
      <c r="I205" s="78">
        <f t="shared" si="11"/>
        <v>-5.6999999999999993</v>
      </c>
      <c r="K205" s="72">
        <f>Target1[[#This Row],[Target Price]]/$B$2*100</f>
        <v>182.0826061663758</v>
      </c>
      <c r="R205">
        <f>B206/Target1[[#This Row],[Target Price]]-1</f>
        <v>-2.3003194888179035E-2</v>
      </c>
    </row>
    <row r="206" spans="1:18">
      <c r="A206" s="96">
        <v>43584</v>
      </c>
      <c r="B206" s="101">
        <v>30.58</v>
      </c>
      <c r="C206" s="4">
        <f t="shared" si="9"/>
        <v>-2.3271897045191413E-2</v>
      </c>
      <c r="D206" s="4">
        <f>IFERROR(Target1[[#This Row],[Target Return]]+1,"-")</f>
        <v>0.97672810295480861</v>
      </c>
      <c r="E206" s="6">
        <f>B206-MAX($B$2:B206)</f>
        <v>-6.4200000000000017</v>
      </c>
      <c r="F206" s="80">
        <f t="shared" si="10"/>
        <v>8</v>
      </c>
      <c r="G206" s="77">
        <f>Target1[[#This Row],[Target Drawdown]]/MAX($B$2:B206)</f>
        <v>-0.17351351351351357</v>
      </c>
      <c r="H206" s="1" t="str">
        <f>IF(SUM(COUNTIF(Benchmark1[Benchmark '#1 Dates],Target1[[#This Row],[Target Dates]]),COUNTIF(Benchmark2[Benchmark '#2 Dates],Target1[[#This Row],[Target Dates]]))=2,"Pass","Fail")</f>
        <v>Pass</v>
      </c>
      <c r="I206" s="78">
        <f t="shared" si="11"/>
        <v>-6.4200000000000017</v>
      </c>
      <c r="K206" s="72">
        <f>Target1[[#This Row],[Target Price]]/$B$2*100</f>
        <v>177.8941244909831</v>
      </c>
      <c r="R206">
        <f>B207/Target1[[#This Row],[Target Price]]-1</f>
        <v>-1.504251144538904E-2</v>
      </c>
    </row>
    <row r="207" spans="1:18">
      <c r="A207" s="96">
        <v>43585</v>
      </c>
      <c r="B207" s="101">
        <v>30.12</v>
      </c>
      <c r="C207" s="4">
        <f t="shared" si="9"/>
        <v>-1.5156797569223309E-2</v>
      </c>
      <c r="D207" s="4">
        <f>IFERROR(Target1[[#This Row],[Target Return]]+1,"-")</f>
        <v>0.98484320243077672</v>
      </c>
      <c r="E207" s="6">
        <f>B207-MAX($B$2:B207)</f>
        <v>-6.879999999999999</v>
      </c>
      <c r="F207" s="80">
        <f t="shared" si="10"/>
        <v>9</v>
      </c>
      <c r="G207" s="77">
        <f>Target1[[#This Row],[Target Drawdown]]/MAX($B$2:B207)</f>
        <v>-0.18594594594594591</v>
      </c>
      <c r="H207" s="1" t="str">
        <f>IF(SUM(COUNTIF(Benchmark1[Benchmark '#1 Dates],Target1[[#This Row],[Target Dates]]),COUNTIF(Benchmark2[Benchmark '#2 Dates],Target1[[#This Row],[Target Dates]]))=2,"Pass","Fail")</f>
        <v>Pass</v>
      </c>
      <c r="I207" s="78">
        <f t="shared" si="11"/>
        <v>-6.879999999999999</v>
      </c>
      <c r="K207" s="72">
        <f>Target1[[#This Row],[Target Price]]/$B$2*100</f>
        <v>175.21815008726003</v>
      </c>
      <c r="R207">
        <f>B208/Target1[[#This Row],[Target Price]]-1</f>
        <v>2.6560424966799445E-3</v>
      </c>
    </row>
    <row r="208" spans="1:18">
      <c r="A208" s="96">
        <v>43586</v>
      </c>
      <c r="B208" s="101">
        <v>30.2</v>
      </c>
      <c r="C208" s="4">
        <f t="shared" si="9"/>
        <v>2.6525214491311235E-3</v>
      </c>
      <c r="D208" s="4">
        <f>IFERROR(Target1[[#This Row],[Target Return]]+1,"-")</f>
        <v>1.0026525214491311</v>
      </c>
      <c r="E208" s="6">
        <f>B208-MAX($B$2:B208)</f>
        <v>-6.8000000000000007</v>
      </c>
      <c r="F208" s="80">
        <f t="shared" si="10"/>
        <v>10</v>
      </c>
      <c r="G208" s="77">
        <f>Target1[[#This Row],[Target Drawdown]]/MAX($B$2:B208)</f>
        <v>-0.18378378378378379</v>
      </c>
      <c r="H208" s="1" t="str">
        <f>IF(SUM(COUNTIF(Benchmark1[Benchmark '#1 Dates],Target1[[#This Row],[Target Dates]]),COUNTIF(Benchmark2[Benchmark '#2 Dates],Target1[[#This Row],[Target Dates]]))=2,"Pass","Fail")</f>
        <v>Pass</v>
      </c>
      <c r="I208" s="78">
        <f t="shared" si="11"/>
        <v>-6.8000000000000007</v>
      </c>
      <c r="K208" s="72">
        <f>Target1[[#This Row],[Target Price]]/$B$2*100</f>
        <v>175.68353694008144</v>
      </c>
      <c r="R208">
        <f>B209/Target1[[#This Row],[Target Price]]-1</f>
        <v>-5.2980132450330952E-3</v>
      </c>
    </row>
    <row r="209" spans="1:18">
      <c r="A209" s="96">
        <v>43587</v>
      </c>
      <c r="B209" s="101">
        <v>30.04</v>
      </c>
      <c r="C209" s="4">
        <f t="shared" si="9"/>
        <v>-5.3120974848899416E-3</v>
      </c>
      <c r="D209" s="4">
        <f>IFERROR(Target1[[#This Row],[Target Return]]+1,"-")</f>
        <v>0.99468790251511008</v>
      </c>
      <c r="E209" s="6">
        <f>B209-MAX($B$2:B209)</f>
        <v>-6.9600000000000009</v>
      </c>
      <c r="F209" s="80">
        <f t="shared" si="10"/>
        <v>11</v>
      </c>
      <c r="G209" s="77">
        <f>Target1[[#This Row],[Target Drawdown]]/MAX($B$2:B209)</f>
        <v>-0.18810810810810813</v>
      </c>
      <c r="H209" s="1" t="str">
        <f>IF(SUM(COUNTIF(Benchmark1[Benchmark '#1 Dates],Target1[[#This Row],[Target Dates]]),COUNTIF(Benchmark2[Benchmark '#2 Dates],Target1[[#This Row],[Target Dates]]))=2,"Pass","Fail")</f>
        <v>Pass</v>
      </c>
      <c r="I209" s="78">
        <f t="shared" si="11"/>
        <v>-6.9600000000000009</v>
      </c>
      <c r="K209" s="72">
        <f>Target1[[#This Row],[Target Price]]/$B$2*100</f>
        <v>174.75276323443859</v>
      </c>
      <c r="R209">
        <f>B210/Target1[[#This Row],[Target Price]]-1</f>
        <v>9.6537949400798961E-3</v>
      </c>
    </row>
    <row r="210" spans="1:18">
      <c r="A210" s="96">
        <v>43588</v>
      </c>
      <c r="B210" s="101">
        <v>30.33</v>
      </c>
      <c r="C210" s="4">
        <f t="shared" si="9"/>
        <v>9.6074948045557461E-3</v>
      </c>
      <c r="D210" s="4">
        <f>IFERROR(Target1[[#This Row],[Target Return]]+1,"-")</f>
        <v>1.0096074948045557</v>
      </c>
      <c r="E210" s="6">
        <f>B210-MAX($B$2:B210)</f>
        <v>-6.6700000000000017</v>
      </c>
      <c r="F210" s="80">
        <f t="shared" si="10"/>
        <v>12</v>
      </c>
      <c r="G210" s="77">
        <f>Target1[[#This Row],[Target Drawdown]]/MAX($B$2:B210)</f>
        <v>-0.18027027027027032</v>
      </c>
      <c r="H210" s="1" t="str">
        <f>IF(SUM(COUNTIF(Benchmark1[Benchmark '#1 Dates],Target1[[#This Row],[Target Dates]]),COUNTIF(Benchmark2[Benchmark '#2 Dates],Target1[[#This Row],[Target Dates]]))=2,"Pass","Fail")</f>
        <v>Pass</v>
      </c>
      <c r="I210" s="78">
        <f t="shared" si="11"/>
        <v>-6.6700000000000017</v>
      </c>
      <c r="K210" s="72">
        <f>Target1[[#This Row],[Target Price]]/$B$2*100</f>
        <v>176.43979057591622</v>
      </c>
      <c r="R210">
        <f>B211/Target1[[#This Row],[Target Price]]-1</f>
        <v>2.0112100230794683E-2</v>
      </c>
    </row>
    <row r="211" spans="1:18">
      <c r="A211" s="96">
        <v>43591</v>
      </c>
      <c r="B211" s="101">
        <v>30.94</v>
      </c>
      <c r="C211" s="4">
        <f t="shared" si="9"/>
        <v>1.9912523444430411E-2</v>
      </c>
      <c r="D211" s="4">
        <f>IFERROR(Target1[[#This Row],[Target Return]]+1,"-")</f>
        <v>1.0199125234444304</v>
      </c>
      <c r="E211" s="6">
        <f>B211-MAX($B$2:B211)</f>
        <v>-6.0599999999999987</v>
      </c>
      <c r="F211" s="80">
        <f t="shared" si="10"/>
        <v>13</v>
      </c>
      <c r="G211" s="77">
        <f>Target1[[#This Row],[Target Drawdown]]/MAX($B$2:B211)</f>
        <v>-0.16378378378378375</v>
      </c>
      <c r="H211" s="1" t="str">
        <f>IF(SUM(COUNTIF(Benchmark1[Benchmark '#1 Dates],Target1[[#This Row],[Target Dates]]),COUNTIF(Benchmark2[Benchmark '#2 Dates],Target1[[#This Row],[Target Dates]]))=2,"Pass","Fail")</f>
        <v>Pass</v>
      </c>
      <c r="I211" s="78">
        <f t="shared" si="11"/>
        <v>-6.0599999999999987</v>
      </c>
      <c r="K211" s="72">
        <f>Target1[[#This Row],[Target Price]]/$B$2*100</f>
        <v>179.98836532867946</v>
      </c>
      <c r="R211">
        <f>B212/Target1[[#This Row],[Target Price]]-1</f>
        <v>1.6160310277957279E-3</v>
      </c>
    </row>
    <row r="212" spans="1:18">
      <c r="A212" s="96">
        <v>43592</v>
      </c>
      <c r="B212" s="101">
        <v>30.99</v>
      </c>
      <c r="C212" s="4">
        <f t="shared" si="9"/>
        <v>1.6147266547368014E-3</v>
      </c>
      <c r="D212" s="4">
        <f>IFERROR(Target1[[#This Row],[Target Return]]+1,"-")</f>
        <v>1.0016147266547368</v>
      </c>
      <c r="E212" s="6">
        <f>B212-MAX($B$2:B212)</f>
        <v>-6.0100000000000016</v>
      </c>
      <c r="F212" s="80">
        <f t="shared" si="10"/>
        <v>14</v>
      </c>
      <c r="G212" s="77">
        <f>Target1[[#This Row],[Target Drawdown]]/MAX($B$2:B212)</f>
        <v>-0.16243243243243247</v>
      </c>
      <c r="H212" s="1" t="str">
        <f>IF(SUM(COUNTIF(Benchmark1[Benchmark '#1 Dates],Target1[[#This Row],[Target Dates]]),COUNTIF(Benchmark2[Benchmark '#2 Dates],Target1[[#This Row],[Target Dates]]))=2,"Pass","Fail")</f>
        <v>Pass</v>
      </c>
      <c r="I212" s="78">
        <f t="shared" si="11"/>
        <v>-6.0100000000000016</v>
      </c>
      <c r="K212" s="72">
        <f>Target1[[#This Row],[Target Price]]/$B$2*100</f>
        <v>180.27923211169283</v>
      </c>
      <c r="R212">
        <f>B213/Target1[[#This Row],[Target Price]]-1</f>
        <v>-1.6779606324620833E-2</v>
      </c>
    </row>
    <row r="213" spans="1:18">
      <c r="A213" s="96">
        <v>43593</v>
      </c>
      <c r="B213" s="101">
        <v>30.47</v>
      </c>
      <c r="C213" s="4">
        <f t="shared" si="9"/>
        <v>-1.6921978802039182E-2</v>
      </c>
      <c r="D213" s="4">
        <f>IFERROR(Target1[[#This Row],[Target Return]]+1,"-")</f>
        <v>0.98307802119796084</v>
      </c>
      <c r="E213" s="6">
        <f>B213-MAX($B$2:B213)</f>
        <v>-6.5300000000000011</v>
      </c>
      <c r="F213" s="80">
        <f t="shared" si="10"/>
        <v>15</v>
      </c>
      <c r="G213" s="77">
        <f>Target1[[#This Row],[Target Drawdown]]/MAX($B$2:B213)</f>
        <v>-0.17648648648648652</v>
      </c>
      <c r="H213" s="1" t="str">
        <f>IF(SUM(COUNTIF(Benchmark1[Benchmark '#1 Dates],Target1[[#This Row],[Target Dates]]),COUNTIF(Benchmark2[Benchmark '#2 Dates],Target1[[#This Row],[Target Dates]]))=2,"Pass","Fail")</f>
        <v>Pass</v>
      </c>
      <c r="I213" s="78">
        <f t="shared" si="11"/>
        <v>-6.5300000000000011</v>
      </c>
      <c r="K213" s="72">
        <f>Target1[[#This Row],[Target Price]]/$B$2*100</f>
        <v>177.25421756835368</v>
      </c>
      <c r="R213">
        <f>B214/Target1[[#This Row],[Target Price]]-1</f>
        <v>1.7394158188382081E-2</v>
      </c>
    </row>
    <row r="214" spans="1:18">
      <c r="A214" s="96">
        <v>43594</v>
      </c>
      <c r="B214" s="101">
        <v>31</v>
      </c>
      <c r="C214" s="4">
        <f t="shared" si="9"/>
        <v>1.7244611487528635E-2</v>
      </c>
      <c r="D214" s="4">
        <f>IFERROR(Target1[[#This Row],[Target Return]]+1,"-")</f>
        <v>1.0172446114875286</v>
      </c>
      <c r="E214" s="6">
        <f>B214-MAX($B$2:B214)</f>
        <v>-6</v>
      </c>
      <c r="F214" s="80">
        <f t="shared" si="10"/>
        <v>16</v>
      </c>
      <c r="G214" s="77">
        <f>Target1[[#This Row],[Target Drawdown]]/MAX($B$2:B214)</f>
        <v>-0.16216216216216217</v>
      </c>
      <c r="H214" s="1" t="str">
        <f>IF(SUM(COUNTIF(Benchmark1[Benchmark '#1 Dates],Target1[[#This Row],[Target Dates]]),COUNTIF(Benchmark2[Benchmark '#2 Dates],Target1[[#This Row],[Target Dates]]))=2,"Pass","Fail")</f>
        <v>Pass</v>
      </c>
      <c r="I214" s="78">
        <f t="shared" si="11"/>
        <v>-6</v>
      </c>
      <c r="K214" s="72">
        <f>Target1[[#This Row],[Target Price]]/$B$2*100</f>
        <v>180.33740546829551</v>
      </c>
      <c r="R214">
        <f>B215/Target1[[#This Row],[Target Price]]-1</f>
        <v>2.2903225806451655E-2</v>
      </c>
    </row>
    <row r="215" spans="1:18">
      <c r="A215" s="96">
        <v>43595</v>
      </c>
      <c r="B215" s="101">
        <v>31.71</v>
      </c>
      <c r="C215" s="4">
        <f t="shared" si="9"/>
        <v>2.2644884065109751E-2</v>
      </c>
      <c r="D215" s="4">
        <f>IFERROR(Target1[[#This Row],[Target Return]]+1,"-")</f>
        <v>1.0226448840651097</v>
      </c>
      <c r="E215" s="6">
        <f>B215-MAX($B$2:B215)</f>
        <v>-5.2899999999999991</v>
      </c>
      <c r="F215" s="80">
        <f t="shared" si="10"/>
        <v>17</v>
      </c>
      <c r="G215" s="77">
        <f>Target1[[#This Row],[Target Drawdown]]/MAX($B$2:B215)</f>
        <v>-0.14297297297297296</v>
      </c>
      <c r="H215" s="1" t="str">
        <f>IF(SUM(COUNTIF(Benchmark1[Benchmark '#1 Dates],Target1[[#This Row],[Target Dates]]),COUNTIF(Benchmark2[Benchmark '#2 Dates],Target1[[#This Row],[Target Dates]]))=2,"Pass","Fail")</f>
        <v>Pass</v>
      </c>
      <c r="I215" s="78">
        <f t="shared" si="11"/>
        <v>-5.2899999999999991</v>
      </c>
      <c r="K215" s="72">
        <f>Target1[[#This Row],[Target Price]]/$B$2*100</f>
        <v>184.4677137870855</v>
      </c>
      <c r="R215">
        <f>B216/Target1[[#This Row],[Target Price]]-1</f>
        <v>-1.0722169662567005E-2</v>
      </c>
    </row>
    <row r="216" spans="1:18">
      <c r="A216" s="96">
        <v>43598</v>
      </c>
      <c r="B216" s="101">
        <v>31.37</v>
      </c>
      <c r="C216" s="4">
        <f t="shared" si="9"/>
        <v>-1.0780066347669167E-2</v>
      </c>
      <c r="D216" s="4">
        <f>IFERROR(Target1[[#This Row],[Target Return]]+1,"-")</f>
        <v>0.98921993365233085</v>
      </c>
      <c r="E216" s="6">
        <f>B216-MAX($B$2:B216)</f>
        <v>-5.629999999999999</v>
      </c>
      <c r="F216" s="80">
        <f t="shared" si="10"/>
        <v>18</v>
      </c>
      <c r="G216" s="77">
        <f>Target1[[#This Row],[Target Drawdown]]/MAX($B$2:B216)</f>
        <v>-0.15216216216216213</v>
      </c>
      <c r="H216" s="1" t="str">
        <f>IF(SUM(COUNTIF(Benchmark1[Benchmark '#1 Dates],Target1[[#This Row],[Target Dates]]),COUNTIF(Benchmark2[Benchmark '#2 Dates],Target1[[#This Row],[Target Dates]]))=2,"Pass","Fail")</f>
        <v>Pass</v>
      </c>
      <c r="I216" s="78">
        <f t="shared" si="11"/>
        <v>-5.629999999999999</v>
      </c>
      <c r="K216" s="72">
        <f>Target1[[#This Row],[Target Price]]/$B$2*100</f>
        <v>182.48981966259453</v>
      </c>
      <c r="R216">
        <f>B217/Target1[[#This Row],[Target Price]]-1</f>
        <v>9.8820529167995552E-3</v>
      </c>
    </row>
    <row r="217" spans="1:18">
      <c r="A217" s="96">
        <v>43599</v>
      </c>
      <c r="B217" s="101">
        <v>31.68</v>
      </c>
      <c r="C217" s="4">
        <f t="shared" si="9"/>
        <v>9.8335447436383901E-3</v>
      </c>
      <c r="D217" s="4">
        <f>IFERROR(Target1[[#This Row],[Target Return]]+1,"-")</f>
        <v>1.0098335447436384</v>
      </c>
      <c r="E217" s="6">
        <f>B217-MAX($B$2:B217)</f>
        <v>-5.32</v>
      </c>
      <c r="F217" s="80">
        <f t="shared" si="10"/>
        <v>19</v>
      </c>
      <c r="G217" s="77">
        <f>Target1[[#This Row],[Target Drawdown]]/MAX($B$2:B217)</f>
        <v>-0.14378378378378379</v>
      </c>
      <c r="H217" s="1" t="str">
        <f>IF(SUM(COUNTIF(Benchmark1[Benchmark '#1 Dates],Target1[[#This Row],[Target Dates]]),COUNTIF(Benchmark2[Benchmark '#2 Dates],Target1[[#This Row],[Target Dates]]))=2,"Pass","Fail")</f>
        <v>Pass</v>
      </c>
      <c r="I217" s="78">
        <f t="shared" si="11"/>
        <v>-5.32</v>
      </c>
      <c r="K217" s="72">
        <f>Target1[[#This Row],[Target Price]]/$B$2*100</f>
        <v>184.29319371727749</v>
      </c>
      <c r="R217">
        <f>B218/Target1[[#This Row],[Target Price]]-1</f>
        <v>1.4835858585858563E-2</v>
      </c>
    </row>
    <row r="218" spans="1:18">
      <c r="A218" s="96">
        <v>43600</v>
      </c>
      <c r="B218" s="101">
        <v>32.15</v>
      </c>
      <c r="C218" s="4">
        <f t="shared" si="9"/>
        <v>1.4726883737403267E-2</v>
      </c>
      <c r="D218" s="4">
        <f>IFERROR(Target1[[#This Row],[Target Return]]+1,"-")</f>
        <v>1.0147268837374033</v>
      </c>
      <c r="E218" s="6">
        <f>B218-MAX($B$2:B218)</f>
        <v>-4.8500000000000014</v>
      </c>
      <c r="F218" s="80">
        <f t="shared" si="10"/>
        <v>20</v>
      </c>
      <c r="G218" s="77">
        <f>Target1[[#This Row],[Target Drawdown]]/MAX($B$2:B218)</f>
        <v>-0.13108108108108113</v>
      </c>
      <c r="H218" s="1" t="str">
        <f>IF(SUM(COUNTIF(Benchmark1[Benchmark '#1 Dates],Target1[[#This Row],[Target Dates]]),COUNTIF(Benchmark2[Benchmark '#2 Dates],Target1[[#This Row],[Target Dates]]))=2,"Pass","Fail")</f>
        <v>Pass</v>
      </c>
      <c r="I218" s="78">
        <f t="shared" si="11"/>
        <v>-4.8500000000000014</v>
      </c>
      <c r="K218" s="72">
        <f>Target1[[#This Row],[Target Price]]/$B$2*100</f>
        <v>187.02734147760322</v>
      </c>
      <c r="R218">
        <f>B219/Target1[[#This Row],[Target Price]]-1</f>
        <v>6.2208398133749565E-3</v>
      </c>
    </row>
    <row r="219" spans="1:18">
      <c r="A219" s="96">
        <v>43601</v>
      </c>
      <c r="B219" s="101">
        <v>32.35</v>
      </c>
      <c r="C219" s="4">
        <f t="shared" si="9"/>
        <v>6.2015702632813273E-3</v>
      </c>
      <c r="D219" s="4">
        <f>IFERROR(Target1[[#This Row],[Target Return]]+1,"-")</f>
        <v>1.0062015702632814</v>
      </c>
      <c r="E219" s="6">
        <f>B219-MAX($B$2:B219)</f>
        <v>-4.6499999999999986</v>
      </c>
      <c r="F219" s="80">
        <f t="shared" si="10"/>
        <v>21</v>
      </c>
      <c r="G219" s="77">
        <f>Target1[[#This Row],[Target Drawdown]]/MAX($B$2:B219)</f>
        <v>-0.12567567567567564</v>
      </c>
      <c r="H219" s="1" t="str">
        <f>IF(SUM(COUNTIF(Benchmark1[Benchmark '#1 Dates],Target1[[#This Row],[Target Dates]]),COUNTIF(Benchmark2[Benchmark '#2 Dates],Target1[[#This Row],[Target Dates]]))=2,"Pass","Fail")</f>
        <v>Pass</v>
      </c>
      <c r="I219" s="78">
        <f t="shared" si="11"/>
        <v>-4.6499999999999986</v>
      </c>
      <c r="K219" s="72">
        <f>Target1[[#This Row],[Target Price]]/$B$2*100</f>
        <v>188.19080860965678</v>
      </c>
      <c r="R219">
        <f>B220/Target1[[#This Row],[Target Price]]-1</f>
        <v>-1.7619783616692475E-2</v>
      </c>
    </row>
    <row r="220" spans="1:18">
      <c r="A220" s="96">
        <v>43602</v>
      </c>
      <c r="B220" s="101">
        <v>31.78</v>
      </c>
      <c r="C220" s="4">
        <f t="shared" si="9"/>
        <v>-1.7776859838339699E-2</v>
      </c>
      <c r="D220" s="4">
        <f>IFERROR(Target1[[#This Row],[Target Return]]+1,"-")</f>
        <v>0.98222314016166035</v>
      </c>
      <c r="E220" s="6">
        <f>B220-MAX($B$2:B220)</f>
        <v>-5.2199999999999989</v>
      </c>
      <c r="F220" s="80">
        <f t="shared" si="10"/>
        <v>22</v>
      </c>
      <c r="G220" s="77">
        <f>Target1[[#This Row],[Target Drawdown]]/MAX($B$2:B220)</f>
        <v>-0.14108108108108106</v>
      </c>
      <c r="H220" s="1" t="str">
        <f>IF(SUM(COUNTIF(Benchmark1[Benchmark '#1 Dates],Target1[[#This Row],[Target Dates]]),COUNTIF(Benchmark2[Benchmark '#2 Dates],Target1[[#This Row],[Target Dates]]))=2,"Pass","Fail")</f>
        <v>Pass</v>
      </c>
      <c r="I220" s="78">
        <f t="shared" si="11"/>
        <v>-5.2199999999999989</v>
      </c>
      <c r="K220" s="72">
        <f>Target1[[#This Row],[Target Price]]/$B$2*100</f>
        <v>184.87492728330423</v>
      </c>
      <c r="R220">
        <f>B221/Target1[[#This Row],[Target Price]]-1</f>
        <v>-9.4398993077406956E-3</v>
      </c>
    </row>
    <row r="221" spans="1:18">
      <c r="A221" s="96">
        <v>43605</v>
      </c>
      <c r="B221" s="101">
        <v>31.48</v>
      </c>
      <c r="C221" s="4">
        <f t="shared" si="9"/>
        <v>-9.4847375593674222E-3</v>
      </c>
      <c r="D221" s="4">
        <f>IFERROR(Target1[[#This Row],[Target Return]]+1,"-")</f>
        <v>0.99051526244063259</v>
      </c>
      <c r="E221" s="6">
        <f>B221-MAX($B$2:B221)</f>
        <v>-5.52</v>
      </c>
      <c r="F221" s="80">
        <f t="shared" si="10"/>
        <v>23</v>
      </c>
      <c r="G221" s="77">
        <f>Target1[[#This Row],[Target Drawdown]]/MAX($B$2:B221)</f>
        <v>-0.14918918918918916</v>
      </c>
      <c r="H221" s="1" t="str">
        <f>IF(SUM(COUNTIF(Benchmark1[Benchmark '#1 Dates],Target1[[#This Row],[Target Dates]]),COUNTIF(Benchmark2[Benchmark '#2 Dates],Target1[[#This Row],[Target Dates]]))=2,"Pass","Fail")</f>
        <v>Pass</v>
      </c>
      <c r="I221" s="78">
        <f t="shared" si="11"/>
        <v>-5.52</v>
      </c>
      <c r="K221" s="72">
        <f>Target1[[#This Row],[Target Price]]/$B$2*100</f>
        <v>183.12972658522395</v>
      </c>
      <c r="R221">
        <f>B222/Target1[[#This Row],[Target Price]]-1</f>
        <v>1.3977128335451061E-2</v>
      </c>
    </row>
    <row r="222" spans="1:18">
      <c r="A222" s="96">
        <v>43606</v>
      </c>
      <c r="B222" s="101">
        <v>31.92</v>
      </c>
      <c r="C222" s="4">
        <f t="shared" si="9"/>
        <v>1.3880349032405519E-2</v>
      </c>
      <c r="D222" s="4">
        <f>IFERROR(Target1[[#This Row],[Target Return]]+1,"-")</f>
        <v>1.0138803490324055</v>
      </c>
      <c r="E222" s="6">
        <f>B222-MAX($B$2:B222)</f>
        <v>-5.0799999999999983</v>
      </c>
      <c r="F222" s="80">
        <f t="shared" si="10"/>
        <v>24</v>
      </c>
      <c r="G222" s="77">
        <f>Target1[[#This Row],[Target Drawdown]]/MAX($B$2:B222)</f>
        <v>-0.13729729729729725</v>
      </c>
      <c r="H222" s="1" t="str">
        <f>IF(SUM(COUNTIF(Benchmark1[Benchmark '#1 Dates],Target1[[#This Row],[Target Dates]]),COUNTIF(Benchmark2[Benchmark '#2 Dates],Target1[[#This Row],[Target Dates]]))=2,"Pass","Fail")</f>
        <v>Pass</v>
      </c>
      <c r="I222" s="78">
        <f t="shared" si="11"/>
        <v>-5.0799999999999983</v>
      </c>
      <c r="K222" s="72">
        <f>Target1[[#This Row],[Target Price]]/$B$2*100</f>
        <v>185.68935427574172</v>
      </c>
      <c r="R222">
        <f>B223/Target1[[#This Row],[Target Price]]-1</f>
        <v>-2.8195488721806106E-3</v>
      </c>
    </row>
    <row r="223" spans="1:18">
      <c r="A223" s="96">
        <v>43607</v>
      </c>
      <c r="B223" s="101">
        <v>31.83</v>
      </c>
      <c r="C223" s="4">
        <f t="shared" si="9"/>
        <v>-2.8235312876067182E-3</v>
      </c>
      <c r="D223" s="4">
        <f>IFERROR(Target1[[#This Row],[Target Return]]+1,"-")</f>
        <v>0.99717646871239329</v>
      </c>
      <c r="E223" s="6">
        <f>B223-MAX($B$2:B223)</f>
        <v>-5.1700000000000017</v>
      </c>
      <c r="F223" s="80">
        <f t="shared" si="10"/>
        <v>25</v>
      </c>
      <c r="G223" s="77">
        <f>Target1[[#This Row],[Target Drawdown]]/MAX($B$2:B223)</f>
        <v>-0.13972972972972977</v>
      </c>
      <c r="H223" s="1" t="str">
        <f>IF(SUM(COUNTIF(Benchmark1[Benchmark '#1 Dates],Target1[[#This Row],[Target Dates]]),COUNTIF(Benchmark2[Benchmark '#2 Dates],Target1[[#This Row],[Target Dates]]))=2,"Pass","Fail")</f>
        <v>Pass</v>
      </c>
      <c r="I223" s="78">
        <f t="shared" si="11"/>
        <v>-5.1700000000000017</v>
      </c>
      <c r="K223" s="72">
        <f>Target1[[#This Row],[Target Price]]/$B$2*100</f>
        <v>185.1657940663176</v>
      </c>
      <c r="R223">
        <f>B224/Target1[[#This Row],[Target Price]]-1</f>
        <v>-3.1416902293432969E-3</v>
      </c>
    </row>
    <row r="224" spans="1:18">
      <c r="A224" s="96">
        <v>43608</v>
      </c>
      <c r="B224" s="101">
        <v>31.73</v>
      </c>
      <c r="C224" s="4">
        <f t="shared" si="9"/>
        <v>-3.1466356988971689E-3</v>
      </c>
      <c r="D224" s="4">
        <f>IFERROR(Target1[[#This Row],[Target Return]]+1,"-")</f>
        <v>0.99685336430110283</v>
      </c>
      <c r="E224" s="6">
        <f>B224-MAX($B$2:B224)</f>
        <v>-5.27</v>
      </c>
      <c r="F224" s="80">
        <f t="shared" si="10"/>
        <v>26</v>
      </c>
      <c r="G224" s="77">
        <f>Target1[[#This Row],[Target Drawdown]]/MAX($B$2:B224)</f>
        <v>-0.14243243243243242</v>
      </c>
      <c r="H224" s="1" t="str">
        <f>IF(SUM(COUNTIF(Benchmark1[Benchmark '#1 Dates],Target1[[#This Row],[Target Dates]]),COUNTIF(Benchmark2[Benchmark '#2 Dates],Target1[[#This Row],[Target Dates]]))=2,"Pass","Fail")</f>
        <v>Pass</v>
      </c>
      <c r="I224" s="78">
        <f t="shared" si="11"/>
        <v>-5.27</v>
      </c>
      <c r="K224" s="72">
        <f>Target1[[#This Row],[Target Price]]/$B$2*100</f>
        <v>184.58406050029086</v>
      </c>
      <c r="R224">
        <f>B225/Target1[[#This Row],[Target Price]]-1</f>
        <v>7.8789788843365294E-3</v>
      </c>
    </row>
    <row r="225" spans="1:18">
      <c r="A225" s="96">
        <v>43609</v>
      </c>
      <c r="B225" s="101">
        <v>31.98</v>
      </c>
      <c r="C225" s="4">
        <f t="shared" si="9"/>
        <v>7.8481018107039134E-3</v>
      </c>
      <c r="D225" s="4">
        <f>IFERROR(Target1[[#This Row],[Target Return]]+1,"-")</f>
        <v>1.0078481018107039</v>
      </c>
      <c r="E225" s="6">
        <f>B225-MAX($B$2:B225)</f>
        <v>-5.0199999999999996</v>
      </c>
      <c r="F225" s="80">
        <f t="shared" si="10"/>
        <v>27</v>
      </c>
      <c r="G225" s="77">
        <f>Target1[[#This Row],[Target Drawdown]]/MAX($B$2:B225)</f>
        <v>-0.13567567567567568</v>
      </c>
      <c r="H225" s="1" t="str">
        <f>IF(SUM(COUNTIF(Benchmark1[Benchmark '#1 Dates],Target1[[#This Row],[Target Dates]]),COUNTIF(Benchmark2[Benchmark '#2 Dates],Target1[[#This Row],[Target Dates]]))=2,"Pass","Fail")</f>
        <v>Pass</v>
      </c>
      <c r="I225" s="78">
        <f t="shared" si="11"/>
        <v>-5.0199999999999996</v>
      </c>
      <c r="K225" s="72">
        <f>Target1[[#This Row],[Target Price]]/$B$2*100</f>
        <v>186.03839441535774</v>
      </c>
      <c r="R225">
        <f>B226/Target1[[#This Row],[Target Price]]-1</f>
        <v>-1.7510944340212609E-2</v>
      </c>
    </row>
    <row r="226" spans="1:18">
      <c r="A226" s="96">
        <v>43613</v>
      </c>
      <c r="B226" s="101">
        <v>31.42</v>
      </c>
      <c r="C226" s="4">
        <f t="shared" si="9"/>
        <v>-1.7666074578333048E-2</v>
      </c>
      <c r="D226" s="4">
        <f>IFERROR(Target1[[#This Row],[Target Return]]+1,"-")</f>
        <v>0.98233392542166698</v>
      </c>
      <c r="E226" s="6">
        <f>B226-MAX($B$2:B226)</f>
        <v>-5.5799999999999983</v>
      </c>
      <c r="F226" s="80">
        <f t="shared" si="10"/>
        <v>28</v>
      </c>
      <c r="G226" s="77">
        <f>Target1[[#This Row],[Target Drawdown]]/MAX($B$2:B226)</f>
        <v>-0.15081081081081077</v>
      </c>
      <c r="H226" s="1" t="str">
        <f>IF(SUM(COUNTIF(Benchmark1[Benchmark '#1 Dates],Target1[[#This Row],[Target Dates]]),COUNTIF(Benchmark2[Benchmark '#2 Dates],Target1[[#This Row],[Target Dates]]))=2,"Pass","Fail")</f>
        <v>Pass</v>
      </c>
      <c r="I226" s="78">
        <f t="shared" si="11"/>
        <v>-5.5799999999999983</v>
      </c>
      <c r="K226" s="72">
        <f>Target1[[#This Row],[Target Price]]/$B$2*100</f>
        <v>182.7806864456079</v>
      </c>
      <c r="R226">
        <f>B227/Target1[[#This Row],[Target Price]]-1</f>
        <v>-2.6098026734563962E-2</v>
      </c>
    </row>
    <row r="227" spans="1:18">
      <c r="A227" s="96">
        <v>43614</v>
      </c>
      <c r="B227" s="101">
        <v>30.6</v>
      </c>
      <c r="C227" s="4">
        <f t="shared" si="9"/>
        <v>-2.644462386914E-2</v>
      </c>
      <c r="D227" s="4">
        <f>IFERROR(Target1[[#This Row],[Target Return]]+1,"-")</f>
        <v>0.97355537613085996</v>
      </c>
      <c r="E227" s="6">
        <f>B227-MAX($B$2:B227)</f>
        <v>-6.3999999999999986</v>
      </c>
      <c r="F227" s="80">
        <f t="shared" si="10"/>
        <v>29</v>
      </c>
      <c r="G227" s="77">
        <f>Target1[[#This Row],[Target Drawdown]]/MAX($B$2:B227)</f>
        <v>-0.17297297297297293</v>
      </c>
      <c r="H227" s="1" t="str">
        <f>IF(SUM(COUNTIF(Benchmark1[Benchmark '#1 Dates],Target1[[#This Row],[Target Dates]]),COUNTIF(Benchmark2[Benchmark '#2 Dates],Target1[[#This Row],[Target Dates]]))=2,"Pass","Fail")</f>
        <v>Pass</v>
      </c>
      <c r="I227" s="78">
        <f t="shared" si="11"/>
        <v>-6.3999999999999986</v>
      </c>
      <c r="K227" s="72">
        <f>Target1[[#This Row],[Target Price]]/$B$2*100</f>
        <v>178.01047120418846</v>
      </c>
      <c r="R227">
        <f>B228/Target1[[#This Row],[Target Price]]-1</f>
        <v>2.614379084967311E-3</v>
      </c>
    </row>
    <row r="228" spans="1:18">
      <c r="A228" s="96">
        <v>43615</v>
      </c>
      <c r="B228" s="101">
        <v>30.68</v>
      </c>
      <c r="C228" s="4">
        <f t="shared" si="9"/>
        <v>2.6109675407203397E-3</v>
      </c>
      <c r="D228" s="4">
        <f>IFERROR(Target1[[#This Row],[Target Return]]+1,"-")</f>
        <v>1.0026109675407204</v>
      </c>
      <c r="E228" s="6">
        <f>B228-MAX($B$2:B228)</f>
        <v>-6.32</v>
      </c>
      <c r="F228" s="80">
        <f t="shared" si="10"/>
        <v>30</v>
      </c>
      <c r="G228" s="77">
        <f>Target1[[#This Row],[Target Drawdown]]/MAX($B$2:B228)</f>
        <v>-0.17081081081081081</v>
      </c>
      <c r="H228" s="1" t="str">
        <f>IF(SUM(COUNTIF(Benchmark1[Benchmark '#1 Dates],Target1[[#This Row],[Target Dates]]),COUNTIF(Benchmark2[Benchmark '#2 Dates],Target1[[#This Row],[Target Dates]]))=2,"Pass","Fail")</f>
        <v>Pass</v>
      </c>
      <c r="I228" s="78">
        <f t="shared" si="11"/>
        <v>-6.32</v>
      </c>
      <c r="K228" s="72">
        <f>Target1[[#This Row],[Target Price]]/$B$2*100</f>
        <v>178.47585805700987</v>
      </c>
      <c r="R228">
        <f>B229/Target1[[#This Row],[Target Price]]-1</f>
        <v>-3.5853976531942111E-3</v>
      </c>
    </row>
    <row r="229" spans="1:18">
      <c r="A229" s="96">
        <v>43616</v>
      </c>
      <c r="B229" s="101">
        <v>30.57</v>
      </c>
      <c r="C229" s="4">
        <f t="shared" si="9"/>
        <v>-3.5918405963122481E-3</v>
      </c>
      <c r="D229" s="4">
        <f>IFERROR(Target1[[#This Row],[Target Return]]+1,"-")</f>
        <v>0.99640815940368777</v>
      </c>
      <c r="E229" s="6">
        <f>B229-MAX($B$2:B229)</f>
        <v>-6.43</v>
      </c>
      <c r="F229" s="80">
        <f t="shared" si="10"/>
        <v>31</v>
      </c>
      <c r="G229" s="77">
        <f>Target1[[#This Row],[Target Drawdown]]/MAX($B$2:B229)</f>
        <v>-0.17378378378378379</v>
      </c>
      <c r="H229" s="1" t="str">
        <f>IF(SUM(COUNTIF(Benchmark1[Benchmark '#1 Dates],Target1[[#This Row],[Target Dates]]),COUNTIF(Benchmark2[Benchmark '#2 Dates],Target1[[#This Row],[Target Dates]]))=2,"Pass","Fail")</f>
        <v>Pass</v>
      </c>
      <c r="I229" s="78">
        <f t="shared" si="11"/>
        <v>-6.43</v>
      </c>
      <c r="K229" s="72">
        <f>Target1[[#This Row],[Target Price]]/$B$2*100</f>
        <v>177.83595113438045</v>
      </c>
      <c r="R229">
        <f>B230/Target1[[#This Row],[Target Price]]-1</f>
        <v>3.4674517500817847E-2</v>
      </c>
    </row>
    <row r="230" spans="1:18">
      <c r="A230" s="96">
        <v>43619</v>
      </c>
      <c r="B230" s="101">
        <v>31.63</v>
      </c>
      <c r="C230" s="4">
        <f t="shared" si="9"/>
        <v>3.4086901414814387E-2</v>
      </c>
      <c r="D230" s="4">
        <f>IFERROR(Target1[[#This Row],[Target Return]]+1,"-")</f>
        <v>1.0340869014148144</v>
      </c>
      <c r="E230" s="6">
        <f>B230-MAX($B$2:B230)</f>
        <v>-5.370000000000001</v>
      </c>
      <c r="F230" s="80">
        <f t="shared" si="10"/>
        <v>32</v>
      </c>
      <c r="G230" s="77">
        <f>Target1[[#This Row],[Target Drawdown]]/MAX($B$2:B230)</f>
        <v>-0.14513513513513515</v>
      </c>
      <c r="H230" s="1" t="str">
        <f>IF(SUM(COUNTIF(Benchmark1[Benchmark '#1 Dates],Target1[[#This Row],[Target Dates]]),COUNTIF(Benchmark2[Benchmark '#2 Dates],Target1[[#This Row],[Target Dates]]))=2,"Pass","Fail")</f>
        <v>Pass</v>
      </c>
      <c r="I230" s="78">
        <f t="shared" si="11"/>
        <v>-5.370000000000001</v>
      </c>
      <c r="K230" s="72">
        <f>Target1[[#This Row],[Target Price]]/$B$2*100</f>
        <v>184.00232693426409</v>
      </c>
      <c r="R230">
        <f>B231/Target1[[#This Row],[Target Price]]-1</f>
        <v>3.3512488144166852E-2</v>
      </c>
    </row>
    <row r="231" spans="1:18">
      <c r="A231" s="96">
        <v>43620</v>
      </c>
      <c r="B231" s="101">
        <v>32.69</v>
      </c>
      <c r="C231" s="4">
        <f t="shared" si="9"/>
        <v>3.2963183418561699E-2</v>
      </c>
      <c r="D231" s="4">
        <f>IFERROR(Target1[[#This Row],[Target Return]]+1,"-")</f>
        <v>1.0329631834185617</v>
      </c>
      <c r="E231" s="6">
        <f>B231-MAX($B$2:B231)</f>
        <v>-4.3100000000000023</v>
      </c>
      <c r="F231" s="80">
        <f t="shared" si="10"/>
        <v>33</v>
      </c>
      <c r="G231" s="77">
        <f>Target1[[#This Row],[Target Drawdown]]/MAX($B$2:B231)</f>
        <v>-0.11648648648648655</v>
      </c>
      <c r="H231" s="1" t="str">
        <f>IF(SUM(COUNTIF(Benchmark1[Benchmark '#1 Dates],Target1[[#This Row],[Target Dates]]),COUNTIF(Benchmark2[Benchmark '#2 Dates],Target1[[#This Row],[Target Dates]]))=2,"Pass","Fail")</f>
        <v>Pass</v>
      </c>
      <c r="I231" s="78">
        <f t="shared" si="11"/>
        <v>-4.3100000000000023</v>
      </c>
      <c r="K231" s="72">
        <f>Target1[[#This Row],[Target Price]]/$B$2*100</f>
        <v>190.16870273414776</v>
      </c>
      <c r="R231">
        <f>B232/Target1[[#This Row],[Target Price]]-1</f>
        <v>-2.3860507800550601E-2</v>
      </c>
    </row>
    <row r="232" spans="1:18">
      <c r="A232" s="96">
        <v>43621</v>
      </c>
      <c r="B232" s="101">
        <v>31.91</v>
      </c>
      <c r="C232" s="4">
        <f t="shared" si="9"/>
        <v>-2.4149780445967082E-2</v>
      </c>
      <c r="D232" s="4">
        <f>IFERROR(Target1[[#This Row],[Target Return]]+1,"-")</f>
        <v>0.97585021955403295</v>
      </c>
      <c r="E232" s="6">
        <f>B232-MAX($B$2:B232)</f>
        <v>-5.09</v>
      </c>
      <c r="F232" s="80">
        <f t="shared" si="10"/>
        <v>34</v>
      </c>
      <c r="G232" s="77">
        <f>Target1[[#This Row],[Target Drawdown]]/MAX($B$2:B232)</f>
        <v>-0.13756756756756755</v>
      </c>
      <c r="H232" s="1" t="str">
        <f>IF(SUM(COUNTIF(Benchmark1[Benchmark '#1 Dates],Target1[[#This Row],[Target Dates]]),COUNTIF(Benchmark2[Benchmark '#2 Dates],Target1[[#This Row],[Target Dates]]))=2,"Pass","Fail")</f>
        <v>Pass</v>
      </c>
      <c r="I232" s="78">
        <f t="shared" si="11"/>
        <v>-5.09</v>
      </c>
      <c r="K232" s="72">
        <f>Target1[[#This Row],[Target Price]]/$B$2*100</f>
        <v>185.63118091913901</v>
      </c>
      <c r="R232">
        <f>B233/Target1[[#This Row],[Target Price]]-1</f>
        <v>-9.4014415543717256E-3</v>
      </c>
    </row>
    <row r="233" spans="1:18">
      <c r="A233" s="96">
        <v>43622</v>
      </c>
      <c r="B233" s="101">
        <v>31.61</v>
      </c>
      <c r="C233" s="4">
        <f t="shared" si="9"/>
        <v>-9.4459140626258365E-3</v>
      </c>
      <c r="D233" s="4">
        <f>IFERROR(Target1[[#This Row],[Target Return]]+1,"-")</f>
        <v>0.99055408593737415</v>
      </c>
      <c r="E233" s="6">
        <f>B233-MAX($B$2:B233)</f>
        <v>-5.3900000000000006</v>
      </c>
      <c r="F233" s="80">
        <f t="shared" si="10"/>
        <v>35</v>
      </c>
      <c r="G233" s="77">
        <f>Target1[[#This Row],[Target Drawdown]]/MAX($B$2:B233)</f>
        <v>-0.14567567567567569</v>
      </c>
      <c r="H233" s="1" t="str">
        <f>IF(SUM(COUNTIF(Benchmark1[Benchmark '#1 Dates],Target1[[#This Row],[Target Dates]]),COUNTIF(Benchmark2[Benchmark '#2 Dates],Target1[[#This Row],[Target Dates]]))=2,"Pass","Fail")</f>
        <v>Pass</v>
      </c>
      <c r="I233" s="78">
        <f t="shared" si="11"/>
        <v>-5.3900000000000006</v>
      </c>
      <c r="K233" s="72">
        <f>Target1[[#This Row],[Target Price]]/$B$2*100</f>
        <v>183.88598022105873</v>
      </c>
      <c r="R233">
        <f>B234/Target1[[#This Row],[Target Price]]-1</f>
        <v>1.2654223347041693E-3</v>
      </c>
    </row>
    <row r="234" spans="1:18">
      <c r="A234" s="96">
        <v>43623</v>
      </c>
      <c r="B234" s="101">
        <v>31.65</v>
      </c>
      <c r="C234" s="4">
        <f t="shared" si="9"/>
        <v>1.264622362658796E-3</v>
      </c>
      <c r="D234" s="4">
        <f>IFERROR(Target1[[#This Row],[Target Return]]+1,"-")</f>
        <v>1.0012646223626589</v>
      </c>
      <c r="E234" s="6">
        <f>B234-MAX($B$2:B234)</f>
        <v>-5.3500000000000014</v>
      </c>
      <c r="F234" s="80">
        <f t="shared" si="10"/>
        <v>36</v>
      </c>
      <c r="G234" s="77">
        <f>Target1[[#This Row],[Target Drawdown]]/MAX($B$2:B234)</f>
        <v>-0.14459459459459464</v>
      </c>
      <c r="H234" s="1" t="str">
        <f>IF(SUM(COUNTIF(Benchmark1[Benchmark '#1 Dates],Target1[[#This Row],[Target Dates]]),COUNTIF(Benchmark2[Benchmark '#2 Dates],Target1[[#This Row],[Target Dates]]))=2,"Pass","Fail")</f>
        <v>Pass</v>
      </c>
      <c r="I234" s="78">
        <f t="shared" si="11"/>
        <v>-5.3500000000000014</v>
      </c>
      <c r="K234" s="72">
        <f>Target1[[#This Row],[Target Price]]/$B$2*100</f>
        <v>184.11867364746942</v>
      </c>
      <c r="R234">
        <f>B235/Target1[[#This Row],[Target Price]]-1</f>
        <v>0</v>
      </c>
    </row>
    <row r="235" spans="1:18">
      <c r="A235" s="96">
        <v>43626</v>
      </c>
      <c r="B235" s="101">
        <v>31.65</v>
      </c>
      <c r="C235" s="4">
        <f t="shared" si="9"/>
        <v>0</v>
      </c>
      <c r="D235" s="4">
        <f>IFERROR(Target1[[#This Row],[Target Return]]+1,"-")</f>
        <v>1</v>
      </c>
      <c r="E235" s="6">
        <f>B235-MAX($B$2:B235)</f>
        <v>-5.3500000000000014</v>
      </c>
      <c r="F235" s="80">
        <f t="shared" si="10"/>
        <v>37</v>
      </c>
      <c r="G235" s="77">
        <f>Target1[[#This Row],[Target Drawdown]]/MAX($B$2:B235)</f>
        <v>-0.14459459459459464</v>
      </c>
      <c r="H235" s="1" t="str">
        <f>IF(SUM(COUNTIF(Benchmark1[Benchmark '#1 Dates],Target1[[#This Row],[Target Dates]]),COUNTIF(Benchmark2[Benchmark '#2 Dates],Target1[[#This Row],[Target Dates]]))=2,"Pass","Fail")</f>
        <v>Pass</v>
      </c>
      <c r="I235" s="78">
        <f t="shared" si="11"/>
        <v>-5.3500000000000014</v>
      </c>
      <c r="K235" s="72">
        <f>Target1[[#This Row],[Target Price]]/$B$2*100</f>
        <v>184.11867364746942</v>
      </c>
      <c r="R235">
        <f>B236/Target1[[#This Row],[Target Price]]-1</f>
        <v>-2.4328593996840397E-2</v>
      </c>
    </row>
    <row r="236" spans="1:18">
      <c r="A236" s="96">
        <v>43627</v>
      </c>
      <c r="B236" s="101">
        <v>30.88</v>
      </c>
      <c r="C236" s="4">
        <f t="shared" si="9"/>
        <v>-2.4629423433609725E-2</v>
      </c>
      <c r="D236" s="4">
        <f>IFERROR(Target1[[#This Row],[Target Return]]+1,"-")</f>
        <v>0.97537057656639026</v>
      </c>
      <c r="E236" s="6">
        <f>B236-MAX($B$2:B236)</f>
        <v>-6.120000000000001</v>
      </c>
      <c r="F236" s="80">
        <f t="shared" si="10"/>
        <v>38</v>
      </c>
      <c r="G236" s="77">
        <f>Target1[[#This Row],[Target Drawdown]]/MAX($B$2:B236)</f>
        <v>-0.16540540540540544</v>
      </c>
      <c r="H236" s="1" t="str">
        <f>IF(SUM(COUNTIF(Benchmark1[Benchmark '#1 Dates],Target1[[#This Row],[Target Dates]]),COUNTIF(Benchmark2[Benchmark '#2 Dates],Target1[[#This Row],[Target Dates]]))=2,"Pass","Fail")</f>
        <v>Pass</v>
      </c>
      <c r="I236" s="78">
        <f t="shared" si="11"/>
        <v>-6.120000000000001</v>
      </c>
      <c r="K236" s="72">
        <f>Target1[[#This Row],[Target Price]]/$B$2*100</f>
        <v>179.63932518906338</v>
      </c>
      <c r="R236">
        <f>B237/Target1[[#This Row],[Target Price]]-1</f>
        <v>7.7720207253886286E-3</v>
      </c>
    </row>
    <row r="237" spans="1:18">
      <c r="A237" s="96">
        <v>43628</v>
      </c>
      <c r="B237" s="101">
        <v>31.12</v>
      </c>
      <c r="C237" s="4">
        <f t="shared" si="9"/>
        <v>7.7419741536154593E-3</v>
      </c>
      <c r="D237" s="4">
        <f>IFERROR(Target1[[#This Row],[Target Return]]+1,"-")</f>
        <v>1.0077419741536155</v>
      </c>
      <c r="E237" s="6">
        <f>B237-MAX($B$2:B237)</f>
        <v>-5.879999999999999</v>
      </c>
      <c r="F237" s="80">
        <f t="shared" si="10"/>
        <v>39</v>
      </c>
      <c r="G237" s="77">
        <f>Target1[[#This Row],[Target Drawdown]]/MAX($B$2:B237)</f>
        <v>-0.15891891891891891</v>
      </c>
      <c r="H237" s="1" t="str">
        <f>IF(SUM(COUNTIF(Benchmark1[Benchmark '#1 Dates],Target1[[#This Row],[Target Dates]]),COUNTIF(Benchmark2[Benchmark '#2 Dates],Target1[[#This Row],[Target Dates]]))=2,"Pass","Fail")</f>
        <v>Pass</v>
      </c>
      <c r="I237" s="78">
        <f t="shared" si="11"/>
        <v>-5.879999999999999</v>
      </c>
      <c r="K237" s="72">
        <f>Target1[[#This Row],[Target Price]]/$B$2*100</f>
        <v>181.03548574752762</v>
      </c>
      <c r="R237">
        <f>B238/Target1[[#This Row],[Target Price]]-1</f>
        <v>9.6401028277637302E-4</v>
      </c>
    </row>
    <row r="238" spans="1:18">
      <c r="A238" s="96">
        <v>43629</v>
      </c>
      <c r="B238" s="101">
        <v>31.15</v>
      </c>
      <c r="C238" s="4">
        <f t="shared" si="9"/>
        <v>9.635459232713203E-4</v>
      </c>
      <c r="D238" s="4">
        <f>IFERROR(Target1[[#This Row],[Target Return]]+1,"-")</f>
        <v>1.0009635459232713</v>
      </c>
      <c r="E238" s="6">
        <f>B238-MAX($B$2:B238)</f>
        <v>-5.8500000000000014</v>
      </c>
      <c r="F238" s="80">
        <f t="shared" si="10"/>
        <v>40</v>
      </c>
      <c r="G238" s="77">
        <f>Target1[[#This Row],[Target Drawdown]]/MAX($B$2:B238)</f>
        <v>-0.15810810810810816</v>
      </c>
      <c r="H238" s="1" t="str">
        <f>IF(SUM(COUNTIF(Benchmark1[Benchmark '#1 Dates],Target1[[#This Row],[Target Dates]]),COUNTIF(Benchmark2[Benchmark '#2 Dates],Target1[[#This Row],[Target Dates]]))=2,"Pass","Fail")</f>
        <v>Pass</v>
      </c>
      <c r="I238" s="78">
        <f t="shared" si="11"/>
        <v>-5.8500000000000014</v>
      </c>
      <c r="K238" s="72">
        <f>Target1[[#This Row],[Target Price]]/$B$2*100</f>
        <v>181.21000581733563</v>
      </c>
      <c r="R238">
        <f>B239/Target1[[#This Row],[Target Price]]-1</f>
        <v>-1.2520064205457371E-2</v>
      </c>
    </row>
    <row r="239" spans="1:18">
      <c r="A239" s="96">
        <v>43630</v>
      </c>
      <c r="B239" s="101">
        <v>30.76</v>
      </c>
      <c r="C239" s="4">
        <f t="shared" si="9"/>
        <v>-1.259910059601883E-2</v>
      </c>
      <c r="D239" s="4">
        <f>IFERROR(Target1[[#This Row],[Target Return]]+1,"-")</f>
        <v>0.98740089940398112</v>
      </c>
      <c r="E239" s="6">
        <f>B239-MAX($B$2:B239)</f>
        <v>-6.2399999999999984</v>
      </c>
      <c r="F239" s="80">
        <f t="shared" si="10"/>
        <v>41</v>
      </c>
      <c r="G239" s="77">
        <f>Target1[[#This Row],[Target Drawdown]]/MAX($B$2:B239)</f>
        <v>-0.16864864864864862</v>
      </c>
      <c r="H239" s="1" t="str">
        <f>IF(SUM(COUNTIF(Benchmark1[Benchmark '#1 Dates],Target1[[#This Row],[Target Dates]]),COUNTIF(Benchmark2[Benchmark '#2 Dates],Target1[[#This Row],[Target Dates]]))=2,"Pass","Fail")</f>
        <v>Pass</v>
      </c>
      <c r="I239" s="78">
        <f t="shared" si="11"/>
        <v>-6.2399999999999984</v>
      </c>
      <c r="K239" s="72">
        <f>Target1[[#This Row],[Target Price]]/$B$2*100</f>
        <v>178.94124490983131</v>
      </c>
      <c r="R239">
        <f>B240/Target1[[#This Row],[Target Price]]-1</f>
        <v>-6.5019505851756643E-3</v>
      </c>
    </row>
    <row r="240" spans="1:18">
      <c r="A240" s="96">
        <v>43633</v>
      </c>
      <c r="B240" s="101">
        <v>30.56</v>
      </c>
      <c r="C240" s="4">
        <f t="shared" si="9"/>
        <v>-6.5231803391235955E-3</v>
      </c>
      <c r="D240" s="4">
        <f>IFERROR(Target1[[#This Row],[Target Return]]+1,"-")</f>
        <v>0.99347681966087642</v>
      </c>
      <c r="E240" s="6">
        <f>B240-MAX($B$2:B240)</f>
        <v>-6.4400000000000013</v>
      </c>
      <c r="F240" s="80">
        <f t="shared" si="10"/>
        <v>42</v>
      </c>
      <c r="G240" s="77">
        <f>Target1[[#This Row],[Target Drawdown]]/MAX($B$2:B240)</f>
        <v>-0.17405405405405408</v>
      </c>
      <c r="H240" s="1" t="str">
        <f>IF(SUM(COUNTIF(Benchmark1[Benchmark '#1 Dates],Target1[[#This Row],[Target Dates]]),COUNTIF(Benchmark2[Benchmark '#2 Dates],Target1[[#This Row],[Target Dates]]))=2,"Pass","Fail")</f>
        <v>Pass</v>
      </c>
      <c r="I240" s="78">
        <f t="shared" si="11"/>
        <v>-6.4400000000000013</v>
      </c>
      <c r="K240" s="72">
        <f>Target1[[#This Row],[Target Price]]/$B$2*100</f>
        <v>177.77777777777777</v>
      </c>
      <c r="R240">
        <f>B241/Target1[[#This Row],[Target Price]]-1</f>
        <v>-2.8141361256544539E-2</v>
      </c>
    </row>
    <row r="241" spans="1:18">
      <c r="A241" s="96">
        <v>43634</v>
      </c>
      <c r="B241" s="101">
        <v>29.7</v>
      </c>
      <c r="C241" s="4">
        <f t="shared" si="9"/>
        <v>-2.8544918489665845E-2</v>
      </c>
      <c r="D241" s="4">
        <f>IFERROR(Target1[[#This Row],[Target Return]]+1,"-")</f>
        <v>0.97145508151033411</v>
      </c>
      <c r="E241" s="6">
        <f>B241-MAX($B$2:B241)</f>
        <v>-7.3000000000000007</v>
      </c>
      <c r="F241" s="80">
        <f t="shared" si="10"/>
        <v>43</v>
      </c>
      <c r="G241" s="77">
        <f>Target1[[#This Row],[Target Drawdown]]/MAX($B$2:B241)</f>
        <v>-0.19729729729729731</v>
      </c>
      <c r="H241" s="1" t="str">
        <f>IF(SUM(COUNTIF(Benchmark1[Benchmark '#1 Dates],Target1[[#This Row],[Target Dates]]),COUNTIF(Benchmark2[Benchmark '#2 Dates],Target1[[#This Row],[Target Dates]]))=2,"Pass","Fail")</f>
        <v>Pass</v>
      </c>
      <c r="I241" s="78">
        <f t="shared" si="11"/>
        <v>-7.3000000000000007</v>
      </c>
      <c r="K241" s="72">
        <f>Target1[[#This Row],[Target Price]]/$B$2*100</f>
        <v>172.77486910994764</v>
      </c>
      <c r="R241">
        <f>B242/Target1[[#This Row],[Target Price]]-1</f>
        <v>2.8282828282828243E-2</v>
      </c>
    </row>
    <row r="242" spans="1:18">
      <c r="A242" s="96">
        <v>43635</v>
      </c>
      <c r="B242" s="101">
        <v>30.54</v>
      </c>
      <c r="C242" s="4">
        <f t="shared" si="9"/>
        <v>2.7890253981832404E-2</v>
      </c>
      <c r="D242" s="4">
        <f>IFERROR(Target1[[#This Row],[Target Return]]+1,"-")</f>
        <v>1.0278902539818324</v>
      </c>
      <c r="E242" s="6">
        <f>B242-MAX($B$2:B242)</f>
        <v>-6.4600000000000009</v>
      </c>
      <c r="F242" s="80">
        <f t="shared" si="10"/>
        <v>44</v>
      </c>
      <c r="G242" s="77">
        <f>Target1[[#This Row],[Target Drawdown]]/MAX($B$2:B242)</f>
        <v>-0.17459459459459462</v>
      </c>
      <c r="H242" s="1" t="str">
        <f>IF(SUM(COUNTIF(Benchmark1[Benchmark '#1 Dates],Target1[[#This Row],[Target Dates]]),COUNTIF(Benchmark2[Benchmark '#2 Dates],Target1[[#This Row],[Target Dates]]))=2,"Pass","Fail")</f>
        <v>Pass</v>
      </c>
      <c r="I242" s="78">
        <f t="shared" si="11"/>
        <v>-6.4600000000000009</v>
      </c>
      <c r="K242" s="72">
        <f>Target1[[#This Row],[Target Price]]/$B$2*100</f>
        <v>177.66143106457241</v>
      </c>
      <c r="R242">
        <f>B243/Target1[[#This Row],[Target Price]]-1</f>
        <v>-1.1460379829731471E-2</v>
      </c>
    </row>
    <row r="243" spans="1:18">
      <c r="A243" s="96">
        <v>43636</v>
      </c>
      <c r="B243" s="101">
        <v>30.19</v>
      </c>
      <c r="C243" s="4">
        <f t="shared" si="9"/>
        <v>-1.1526556071738912E-2</v>
      </c>
      <c r="D243" s="4">
        <f>IFERROR(Target1[[#This Row],[Target Return]]+1,"-")</f>
        <v>0.98847344392826109</v>
      </c>
      <c r="E243" s="6">
        <f>B243-MAX($B$2:B243)</f>
        <v>-6.8099999999999987</v>
      </c>
      <c r="F243" s="80">
        <f t="shared" si="10"/>
        <v>45</v>
      </c>
      <c r="G243" s="77">
        <f>Target1[[#This Row],[Target Drawdown]]/MAX($B$2:B243)</f>
        <v>-0.18405405405405401</v>
      </c>
      <c r="H243" s="1" t="str">
        <f>IF(SUM(COUNTIF(Benchmark1[Benchmark '#1 Dates],Target1[[#This Row],[Target Dates]]),COUNTIF(Benchmark2[Benchmark '#2 Dates],Target1[[#This Row],[Target Dates]]))=2,"Pass","Fail")</f>
        <v>Pass</v>
      </c>
      <c r="I243" s="78">
        <f t="shared" si="11"/>
        <v>-6.8099999999999987</v>
      </c>
      <c r="K243" s="72">
        <f>Target1[[#This Row],[Target Price]]/$B$2*100</f>
        <v>175.62536358347876</v>
      </c>
      <c r="R243">
        <f>B244/Target1[[#This Row],[Target Price]]-1</f>
        <v>-2.5836369658827518E-2</v>
      </c>
    </row>
    <row r="244" spans="1:18">
      <c r="A244" s="96">
        <v>43637</v>
      </c>
      <c r="B244" s="101">
        <v>29.41</v>
      </c>
      <c r="C244" s="4">
        <f t="shared" si="9"/>
        <v>-2.6175991152843869E-2</v>
      </c>
      <c r="D244" s="4">
        <f>IFERROR(Target1[[#This Row],[Target Return]]+1,"-")</f>
        <v>0.97382400884715614</v>
      </c>
      <c r="E244" s="6">
        <f>B244-MAX($B$2:B244)</f>
        <v>-7.59</v>
      </c>
      <c r="F244" s="80">
        <f t="shared" si="10"/>
        <v>46</v>
      </c>
      <c r="G244" s="77">
        <f>Target1[[#This Row],[Target Drawdown]]/MAX($B$2:B244)</f>
        <v>-0.20513513513513512</v>
      </c>
      <c r="H244" s="1" t="str">
        <f>IF(SUM(COUNTIF(Benchmark1[Benchmark '#1 Dates],Target1[[#This Row],[Target Dates]]),COUNTIF(Benchmark2[Benchmark '#2 Dates],Target1[[#This Row],[Target Dates]]))=2,"Pass","Fail")</f>
        <v>Pass</v>
      </c>
      <c r="I244" s="78">
        <f t="shared" si="11"/>
        <v>-7.59</v>
      </c>
      <c r="K244" s="72">
        <f>Target1[[#This Row],[Target Price]]/$B$2*100</f>
        <v>171.08784176847001</v>
      </c>
      <c r="R244">
        <f>B245/Target1[[#This Row],[Target Price]]-1</f>
        <v>-4.4202652159128775E-3</v>
      </c>
    </row>
    <row r="245" spans="1:18">
      <c r="A245" s="96">
        <v>43640</v>
      </c>
      <c r="B245" s="101">
        <v>29.28</v>
      </c>
      <c r="C245" s="4">
        <f t="shared" si="9"/>
        <v>-4.4300634727927717E-3</v>
      </c>
      <c r="D245" s="4">
        <f>IFERROR(Target1[[#This Row],[Target Return]]+1,"-")</f>
        <v>0.99556993652720727</v>
      </c>
      <c r="E245" s="6">
        <f>B245-MAX($B$2:B245)</f>
        <v>-7.7199999999999989</v>
      </c>
      <c r="F245" s="80">
        <f t="shared" si="10"/>
        <v>47</v>
      </c>
      <c r="G245" s="77">
        <f>Target1[[#This Row],[Target Drawdown]]/MAX($B$2:B245)</f>
        <v>-0.20864864864864863</v>
      </c>
      <c r="H245" s="1" t="str">
        <f>IF(SUM(COUNTIF(Benchmark1[Benchmark '#1 Dates],Target1[[#This Row],[Target Dates]]),COUNTIF(Benchmark2[Benchmark '#2 Dates],Target1[[#This Row],[Target Dates]]))=2,"Pass","Fail")</f>
        <v>Pass</v>
      </c>
      <c r="I245" s="78">
        <f t="shared" si="11"/>
        <v>-7.7199999999999989</v>
      </c>
      <c r="K245" s="72">
        <f>Target1[[#This Row],[Target Price]]/$B$2*100</f>
        <v>170.33158813263526</v>
      </c>
      <c r="R245">
        <f>B246/Target1[[#This Row],[Target Price]]-1</f>
        <v>-3.1079234972677616E-2</v>
      </c>
    </row>
    <row r="246" spans="1:18">
      <c r="A246" s="96">
        <v>43641</v>
      </c>
      <c r="B246" s="101">
        <v>28.37</v>
      </c>
      <c r="C246" s="4">
        <f t="shared" si="9"/>
        <v>-3.157244027235085E-2</v>
      </c>
      <c r="D246" s="4">
        <f>IFERROR(Target1[[#This Row],[Target Return]]+1,"-")</f>
        <v>0.96842755972764916</v>
      </c>
      <c r="E246" s="6">
        <f>B246-MAX($B$2:B246)</f>
        <v>-8.629999999999999</v>
      </c>
      <c r="F246" s="80">
        <f t="shared" si="10"/>
        <v>48</v>
      </c>
      <c r="G246" s="77">
        <f>Target1[[#This Row],[Target Drawdown]]/MAX($B$2:B246)</f>
        <v>-0.23324324324324322</v>
      </c>
      <c r="H246" s="1" t="str">
        <f>IF(SUM(COUNTIF(Benchmark1[Benchmark '#1 Dates],Target1[[#This Row],[Target Dates]]),COUNTIF(Benchmark2[Benchmark '#2 Dates],Target1[[#This Row],[Target Dates]]))=2,"Pass","Fail")</f>
        <v>Pass</v>
      </c>
      <c r="I246" s="78">
        <f t="shared" si="11"/>
        <v>-8.629999999999999</v>
      </c>
      <c r="K246" s="72">
        <f>Target1[[#This Row],[Target Price]]/$B$2*100</f>
        <v>165.03781268179173</v>
      </c>
      <c r="R246">
        <f>B247/Target1[[#This Row],[Target Price]]-1</f>
        <v>1.4099400775466897E-2</v>
      </c>
    </row>
    <row r="247" spans="1:18">
      <c r="A247" s="96">
        <v>43642</v>
      </c>
      <c r="B247" s="101">
        <v>28.77</v>
      </c>
      <c r="C247" s="4">
        <f t="shared" si="9"/>
        <v>1.4000928742696419E-2</v>
      </c>
      <c r="D247" s="4">
        <f>IFERROR(Target1[[#This Row],[Target Return]]+1,"-")</f>
        <v>1.0140009287426963</v>
      </c>
      <c r="E247" s="6">
        <f>B247-MAX($B$2:B247)</f>
        <v>-8.23</v>
      </c>
      <c r="F247" s="80">
        <f t="shared" si="10"/>
        <v>49</v>
      </c>
      <c r="G247" s="77">
        <f>Target1[[#This Row],[Target Drawdown]]/MAX($B$2:B247)</f>
        <v>-0.22243243243243244</v>
      </c>
      <c r="H247" s="1" t="str">
        <f>IF(SUM(COUNTIF(Benchmark1[Benchmark '#1 Dates],Target1[[#This Row],[Target Dates]]),COUNTIF(Benchmark2[Benchmark '#2 Dates],Target1[[#This Row],[Target Dates]]))=2,"Pass","Fail")</f>
        <v>Pass</v>
      </c>
      <c r="I247" s="78">
        <f t="shared" si="11"/>
        <v>-8.23</v>
      </c>
      <c r="K247" s="72">
        <f>Target1[[#This Row],[Target Price]]/$B$2*100</f>
        <v>167.36474694589876</v>
      </c>
      <c r="R247">
        <f>B248/Target1[[#This Row],[Target Price]]-1</f>
        <v>2.5721237400069485E-2</v>
      </c>
    </row>
    <row r="248" spans="1:18">
      <c r="A248" s="96">
        <v>43643</v>
      </c>
      <c r="B248" s="101">
        <v>29.51</v>
      </c>
      <c r="C248" s="4">
        <f t="shared" si="9"/>
        <v>2.5396011391391467E-2</v>
      </c>
      <c r="D248" s="4">
        <f>IFERROR(Target1[[#This Row],[Target Return]]+1,"-")</f>
        <v>1.0253960113913914</v>
      </c>
      <c r="E248" s="6">
        <f>B248-MAX($B$2:B248)</f>
        <v>-7.4899999999999984</v>
      </c>
      <c r="F248" s="80">
        <f t="shared" si="10"/>
        <v>50</v>
      </c>
      <c r="G248" s="77">
        <f>Target1[[#This Row],[Target Drawdown]]/MAX($B$2:B248)</f>
        <v>-0.20243243243243239</v>
      </c>
      <c r="H248" s="1" t="str">
        <f>IF(SUM(COUNTIF(Benchmark1[Benchmark '#1 Dates],Target1[[#This Row],[Target Dates]]),COUNTIF(Benchmark2[Benchmark '#2 Dates],Target1[[#This Row],[Target Dates]]))=2,"Pass","Fail")</f>
        <v>Pass</v>
      </c>
      <c r="I248" s="78">
        <f t="shared" si="11"/>
        <v>-7.4899999999999984</v>
      </c>
      <c r="K248" s="72">
        <f>Target1[[#This Row],[Target Price]]/$B$2*100</f>
        <v>171.66957533449681</v>
      </c>
      <c r="R248">
        <f>B249/Target1[[#This Row],[Target Price]]-1</f>
        <v>3.0498136225008521E-2</v>
      </c>
    </row>
    <row r="249" spans="1:18">
      <c r="A249" s="96">
        <v>43644</v>
      </c>
      <c r="B249" s="101">
        <v>30.41</v>
      </c>
      <c r="C249" s="4">
        <f t="shared" si="9"/>
        <v>3.0042312734425283E-2</v>
      </c>
      <c r="D249" s="4">
        <f>IFERROR(Target1[[#This Row],[Target Return]]+1,"-")</f>
        <v>1.0300423127344254</v>
      </c>
      <c r="E249" s="6">
        <f>B249-MAX($B$2:B249)</f>
        <v>-6.59</v>
      </c>
      <c r="F249" s="80">
        <f t="shared" si="10"/>
        <v>51</v>
      </c>
      <c r="G249" s="77">
        <f>Target1[[#This Row],[Target Drawdown]]/MAX($B$2:B249)</f>
        <v>-0.17810810810810809</v>
      </c>
      <c r="H249" s="1" t="str">
        <f>IF(SUM(COUNTIF(Benchmark1[Benchmark '#1 Dates],Target1[[#This Row],[Target Dates]]),COUNTIF(Benchmark2[Benchmark '#2 Dates],Target1[[#This Row],[Target Dates]]))=2,"Pass","Fail")</f>
        <v>Pass</v>
      </c>
      <c r="I249" s="78">
        <f t="shared" si="11"/>
        <v>-6.59</v>
      </c>
      <c r="K249" s="72">
        <f>Target1[[#This Row],[Target Price]]/$B$2*100</f>
        <v>176.90517742873763</v>
      </c>
      <c r="R249">
        <f>B250/Target1[[#This Row],[Target Price]]-1</f>
        <v>-1.4140085498191346E-2</v>
      </c>
    </row>
    <row r="250" spans="1:18">
      <c r="A250" s="96">
        <v>43647</v>
      </c>
      <c r="B250" s="101">
        <v>29.98</v>
      </c>
      <c r="C250" s="4">
        <f t="shared" si="9"/>
        <v>-1.4241009014821594E-2</v>
      </c>
      <c r="D250" s="4">
        <f>IFERROR(Target1[[#This Row],[Target Return]]+1,"-")</f>
        <v>0.98575899098517838</v>
      </c>
      <c r="E250" s="6">
        <f>B250-MAX($B$2:B250)</f>
        <v>-7.02</v>
      </c>
      <c r="F250" s="80">
        <f t="shared" si="10"/>
        <v>52</v>
      </c>
      <c r="G250" s="77">
        <f>Target1[[#This Row],[Target Drawdown]]/MAX($B$2:B250)</f>
        <v>-0.18972972972972971</v>
      </c>
      <c r="H250" s="1" t="str">
        <f>IF(SUM(COUNTIF(Benchmark1[Benchmark '#1 Dates],Target1[[#This Row],[Target Dates]]),COUNTIF(Benchmark2[Benchmark '#2 Dates],Target1[[#This Row],[Target Dates]]))=2,"Pass","Fail")</f>
        <v>Pass</v>
      </c>
      <c r="I250" s="78">
        <f t="shared" si="11"/>
        <v>-7.02</v>
      </c>
      <c r="K250" s="72">
        <f>Target1[[#This Row],[Target Price]]/$B$2*100</f>
        <v>174.40372309482257</v>
      </c>
      <c r="R250">
        <f>B251/Target1[[#This Row],[Target Price]]-1</f>
        <v>7.0046697798533675E-3</v>
      </c>
    </row>
    <row r="251" spans="1:18">
      <c r="A251" s="96">
        <v>43648</v>
      </c>
      <c r="B251" s="101">
        <v>30.19</v>
      </c>
      <c r="C251" s="4">
        <f t="shared" si="9"/>
        <v>6.98025104429592E-3</v>
      </c>
      <c r="D251" s="4">
        <f>IFERROR(Target1[[#This Row],[Target Return]]+1,"-")</f>
        <v>1.006980251044296</v>
      </c>
      <c r="E251" s="6">
        <f>B251-MAX($B$2:B251)</f>
        <v>-6.8099999999999987</v>
      </c>
      <c r="F251" s="80">
        <f t="shared" si="10"/>
        <v>53</v>
      </c>
      <c r="G251" s="77">
        <f>Target1[[#This Row],[Target Drawdown]]/MAX($B$2:B251)</f>
        <v>-0.18405405405405401</v>
      </c>
      <c r="H251" s="1" t="str">
        <f>IF(SUM(COUNTIF(Benchmark1[Benchmark '#1 Dates],Target1[[#This Row],[Target Dates]]),COUNTIF(Benchmark2[Benchmark '#2 Dates],Target1[[#This Row],[Target Dates]]))=2,"Pass","Fail")</f>
        <v>Pass</v>
      </c>
      <c r="I251" s="78">
        <f t="shared" si="11"/>
        <v>-6.8099999999999987</v>
      </c>
      <c r="K251" s="72">
        <f>Target1[[#This Row],[Target Price]]/$B$2*100</f>
        <v>175.62536358347876</v>
      </c>
      <c r="R251">
        <f>B252/Target1[[#This Row],[Target Price]]-1</f>
        <v>2.0536601523683196E-2</v>
      </c>
    </row>
    <row r="252" spans="1:18">
      <c r="A252" s="96">
        <v>43649</v>
      </c>
      <c r="B252" s="101">
        <v>30.81</v>
      </c>
      <c r="C252" s="4">
        <f t="shared" si="9"/>
        <v>2.032856888982898E-2</v>
      </c>
      <c r="D252" s="4">
        <f>IFERROR(Target1[[#This Row],[Target Return]]+1,"-")</f>
        <v>1.0203285688898289</v>
      </c>
      <c r="E252" s="6">
        <f>B252-MAX($B$2:B252)</f>
        <v>-6.1900000000000013</v>
      </c>
      <c r="F252" s="80">
        <f t="shared" si="10"/>
        <v>54</v>
      </c>
      <c r="G252" s="77">
        <f>Target1[[#This Row],[Target Drawdown]]/MAX($B$2:B252)</f>
        <v>-0.16729729729729734</v>
      </c>
      <c r="H252" s="1" t="str">
        <f>IF(SUM(COUNTIF(Benchmark1[Benchmark '#1 Dates],Target1[[#This Row],[Target Dates]]),COUNTIF(Benchmark2[Benchmark '#2 Dates],Target1[[#This Row],[Target Dates]]))=2,"Pass","Fail")</f>
        <v>Pass</v>
      </c>
      <c r="I252" s="78">
        <f t="shared" si="11"/>
        <v>-6.1900000000000013</v>
      </c>
      <c r="K252" s="72">
        <f>Target1[[#This Row],[Target Price]]/$B$2*100</f>
        <v>179.23211169284465</v>
      </c>
      <c r="R252">
        <f>B253/Target1[[#This Row],[Target Price]]-1</f>
        <v>2.4018175916910245E-2</v>
      </c>
    </row>
    <row r="253" spans="1:18">
      <c r="A253" s="96">
        <v>43651</v>
      </c>
      <c r="B253" s="101">
        <v>31.55</v>
      </c>
      <c r="C253" s="4">
        <f t="shared" si="9"/>
        <v>2.3734276378645759E-2</v>
      </c>
      <c r="D253" s="4">
        <f>IFERROR(Target1[[#This Row],[Target Return]]+1,"-")</f>
        <v>1.0237342763786457</v>
      </c>
      <c r="E253" s="6">
        <f>B253-MAX($B$2:B253)</f>
        <v>-5.4499999999999993</v>
      </c>
      <c r="F253" s="80">
        <f t="shared" si="10"/>
        <v>55</v>
      </c>
      <c r="G253" s="77">
        <f>Target1[[#This Row],[Target Drawdown]]/MAX($B$2:B253)</f>
        <v>-0.14729729729729729</v>
      </c>
      <c r="H253" s="1" t="str">
        <f>IF(SUM(COUNTIF(Benchmark1[Benchmark '#1 Dates],Target1[[#This Row],[Target Dates]]),COUNTIF(Benchmark2[Benchmark '#2 Dates],Target1[[#This Row],[Target Dates]]))=2,"Pass","Fail")</f>
        <v>Pass</v>
      </c>
      <c r="I253" s="78">
        <f t="shared" si="11"/>
        <v>-5.4499999999999993</v>
      </c>
      <c r="K253" s="72">
        <f>Target1[[#This Row],[Target Price]]/$B$2*100</f>
        <v>183.53694008144268</v>
      </c>
      <c r="R253">
        <f>B254/Target1[[#This Row],[Target Price]]-1</f>
        <v>-2.1870047543581683E-2</v>
      </c>
    </row>
    <row r="254" spans="1:18">
      <c r="A254" s="96">
        <v>43654</v>
      </c>
      <c r="B254" s="101">
        <v>30.86</v>
      </c>
      <c r="C254" s="4">
        <f t="shared" si="9"/>
        <v>-2.2112742052207451E-2</v>
      </c>
      <c r="D254" s="4">
        <f>IFERROR(Target1[[#This Row],[Target Return]]+1,"-")</f>
        <v>0.97788725794779252</v>
      </c>
      <c r="E254" s="6">
        <f>B254-MAX($B$2:B254)</f>
        <v>-6.1400000000000006</v>
      </c>
      <c r="F254" s="80">
        <f t="shared" si="10"/>
        <v>56</v>
      </c>
      <c r="G254" s="77">
        <f>Target1[[#This Row],[Target Drawdown]]/MAX($B$2:B254)</f>
        <v>-0.16594594594594597</v>
      </c>
      <c r="H254" s="1" t="str">
        <f>IF(SUM(COUNTIF(Benchmark1[Benchmark '#1 Dates],Target1[[#This Row],[Target Dates]]),COUNTIF(Benchmark2[Benchmark '#2 Dates],Target1[[#This Row],[Target Dates]]))=2,"Pass","Fail")</f>
        <v>Pass</v>
      </c>
      <c r="I254" s="78">
        <f t="shared" si="11"/>
        <v>-6.1400000000000006</v>
      </c>
      <c r="K254" s="72">
        <f>Target1[[#This Row],[Target Price]]/$B$2*100</f>
        <v>179.52297847585803</v>
      </c>
      <c r="R254">
        <f>B255/Target1[[#This Row],[Target Price]]-1</f>
        <v>-1.5878159429682404E-2</v>
      </c>
    </row>
    <row r="255" spans="1:18">
      <c r="A255" s="96">
        <v>43655</v>
      </c>
      <c r="B255" s="101">
        <v>30.37</v>
      </c>
      <c r="C255" s="4">
        <f t="shared" si="9"/>
        <v>-1.6005567877357348E-2</v>
      </c>
      <c r="D255" s="4">
        <f>IFERROR(Target1[[#This Row],[Target Return]]+1,"-")</f>
        <v>0.9839944321226427</v>
      </c>
      <c r="E255" s="6">
        <f>B255-MAX($B$2:B255)</f>
        <v>-6.629999999999999</v>
      </c>
      <c r="F255" s="80">
        <f t="shared" si="10"/>
        <v>57</v>
      </c>
      <c r="G255" s="77">
        <f>Target1[[#This Row],[Target Drawdown]]/MAX($B$2:B255)</f>
        <v>-0.17918918918918916</v>
      </c>
      <c r="H255" s="1" t="str">
        <f>IF(SUM(COUNTIF(Benchmark1[Benchmark '#1 Dates],Target1[[#This Row],[Target Dates]]),COUNTIF(Benchmark2[Benchmark '#2 Dates],Target1[[#This Row],[Target Dates]]))=2,"Pass","Fail")</f>
        <v>Pass</v>
      </c>
      <c r="I255" s="78">
        <f t="shared" si="11"/>
        <v>-6.629999999999999</v>
      </c>
      <c r="K255" s="72">
        <f>Target1[[#This Row],[Target Price]]/$B$2*100</f>
        <v>176.67248400232694</v>
      </c>
      <c r="R255">
        <f>B256/Target1[[#This Row],[Target Price]]-1</f>
        <v>-7.2439907803754089E-3</v>
      </c>
    </row>
    <row r="256" spans="1:18">
      <c r="A256" s="96">
        <v>43656</v>
      </c>
      <c r="B256" s="101">
        <v>30.15</v>
      </c>
      <c r="C256" s="4">
        <f t="shared" si="9"/>
        <v>-7.270355884462989E-3</v>
      </c>
      <c r="D256" s="4">
        <f>IFERROR(Target1[[#This Row],[Target Return]]+1,"-")</f>
        <v>0.99272964411553699</v>
      </c>
      <c r="E256" s="6">
        <f>B256-MAX($B$2:B256)</f>
        <v>-6.8500000000000014</v>
      </c>
      <c r="F256" s="80">
        <f t="shared" si="10"/>
        <v>58</v>
      </c>
      <c r="G256" s="77">
        <f>Target1[[#This Row],[Target Drawdown]]/MAX($B$2:B256)</f>
        <v>-0.18513513513513519</v>
      </c>
      <c r="H256" s="1" t="str">
        <f>IF(SUM(COUNTIF(Benchmark1[Benchmark '#1 Dates],Target1[[#This Row],[Target Dates]]),COUNTIF(Benchmark2[Benchmark '#2 Dates],Target1[[#This Row],[Target Dates]]))=2,"Pass","Fail")</f>
        <v>Pass</v>
      </c>
      <c r="I256" s="78">
        <f t="shared" si="11"/>
        <v>-6.8500000000000014</v>
      </c>
      <c r="K256" s="72">
        <f>Target1[[#This Row],[Target Price]]/$B$2*100</f>
        <v>175.39267015706804</v>
      </c>
      <c r="R256">
        <f>B257/Target1[[#This Row],[Target Price]]-1</f>
        <v>2.4875621890547261E-2</v>
      </c>
    </row>
    <row r="257" spans="1:18">
      <c r="A257" s="96">
        <v>43657</v>
      </c>
      <c r="B257" s="101">
        <v>30.9</v>
      </c>
      <c r="C257" s="4">
        <f t="shared" si="9"/>
        <v>2.4571260730505327E-2</v>
      </c>
      <c r="D257" s="4">
        <f>IFERROR(Target1[[#This Row],[Target Return]]+1,"-")</f>
        <v>1.0245712607305053</v>
      </c>
      <c r="E257" s="6">
        <f>B257-MAX($B$2:B257)</f>
        <v>-6.1000000000000014</v>
      </c>
      <c r="F257" s="80">
        <f t="shared" si="10"/>
        <v>59</v>
      </c>
      <c r="G257" s="77">
        <f>Target1[[#This Row],[Target Drawdown]]/MAX($B$2:B257)</f>
        <v>-0.1648648648648649</v>
      </c>
      <c r="H257" s="1" t="str">
        <f>IF(SUM(COUNTIF(Benchmark1[Benchmark '#1 Dates],Target1[[#This Row],[Target Dates]]),COUNTIF(Benchmark2[Benchmark '#2 Dates],Target1[[#This Row],[Target Dates]]))=2,"Pass","Fail")</f>
        <v>Pass</v>
      </c>
      <c r="I257" s="78">
        <f t="shared" si="11"/>
        <v>-6.1000000000000014</v>
      </c>
      <c r="K257" s="72">
        <f>Target1[[#This Row],[Target Price]]/$B$2*100</f>
        <v>179.75567190226874</v>
      </c>
      <c r="R257">
        <f>B258/Target1[[#This Row],[Target Price]]-1</f>
        <v>1.1326860841424091E-2</v>
      </c>
    </row>
    <row r="258" spans="1:18">
      <c r="A258" s="96">
        <v>43658</v>
      </c>
      <c r="B258" s="101">
        <v>31.25</v>
      </c>
      <c r="C258" s="4">
        <f t="shared" ref="C258:C321" si="12">IFERROR(IF(B258="","-",LN(B258/B257)),"-")</f>
        <v>1.1263192278710869E-2</v>
      </c>
      <c r="D258" s="4">
        <f>IFERROR(Target1[[#This Row],[Target Return]]+1,"-")</f>
        <v>1.011263192278711</v>
      </c>
      <c r="E258" s="6">
        <f>B258-MAX($B$2:B258)</f>
        <v>-5.75</v>
      </c>
      <c r="F258" s="80">
        <f t="shared" ref="F258:F321" si="13">IF(E258=0,0,F257+1)</f>
        <v>60</v>
      </c>
      <c r="G258" s="77">
        <f>Target1[[#This Row],[Target Drawdown]]/MAX($B$2:B258)</f>
        <v>-0.1554054054054054</v>
      </c>
      <c r="H258" s="1" t="str">
        <f>IF(SUM(COUNTIF(Benchmark1[Benchmark '#1 Dates],Target1[[#This Row],[Target Dates]]),COUNTIF(Benchmark2[Benchmark '#2 Dates],Target1[[#This Row],[Target Dates]]))=2,"Pass","Fail")</f>
        <v>Pass</v>
      </c>
      <c r="I258" s="78">
        <f t="shared" ref="I258:I321" si="14">$E$2+E258</f>
        <v>-5.75</v>
      </c>
      <c r="K258" s="72">
        <f>Target1[[#This Row],[Target Price]]/$B$2*100</f>
        <v>181.79173938336243</v>
      </c>
      <c r="R258">
        <f>B259/Target1[[#This Row],[Target Price]]-1</f>
        <v>3.5199999999999676E-3</v>
      </c>
    </row>
    <row r="259" spans="1:18">
      <c r="A259" s="96">
        <v>43661</v>
      </c>
      <c r="B259" s="101">
        <v>31.36</v>
      </c>
      <c r="C259" s="4">
        <f t="shared" si="12"/>
        <v>3.5138192997965613E-3</v>
      </c>
      <c r="D259" s="4">
        <f>IFERROR(Target1[[#This Row],[Target Return]]+1,"-")</f>
        <v>1.0035138192997966</v>
      </c>
      <c r="E259" s="6">
        <f>B259-MAX($B$2:B259)</f>
        <v>-5.6400000000000006</v>
      </c>
      <c r="F259" s="80">
        <f t="shared" si="13"/>
        <v>61</v>
      </c>
      <c r="G259" s="77">
        <f>Target1[[#This Row],[Target Drawdown]]/MAX($B$2:B259)</f>
        <v>-0.15243243243243246</v>
      </c>
      <c r="H259" s="1" t="str">
        <f>IF(SUM(COUNTIF(Benchmark1[Benchmark '#1 Dates],Target1[[#This Row],[Target Dates]]),COUNTIF(Benchmark2[Benchmark '#2 Dates],Target1[[#This Row],[Target Dates]]))=2,"Pass","Fail")</f>
        <v>Pass</v>
      </c>
      <c r="I259" s="78">
        <f t="shared" si="14"/>
        <v>-5.6400000000000006</v>
      </c>
      <c r="K259" s="72">
        <f>Target1[[#This Row],[Target Price]]/$B$2*100</f>
        <v>182.43164630599185</v>
      </c>
      <c r="R259">
        <f>B260/Target1[[#This Row],[Target Price]]-1</f>
        <v>-2.168367346938771E-2</v>
      </c>
    </row>
    <row r="260" spans="1:18">
      <c r="A260" s="96">
        <v>43662</v>
      </c>
      <c r="B260" s="101">
        <v>30.68</v>
      </c>
      <c r="C260" s="4">
        <f t="shared" si="12"/>
        <v>-2.1922218983151616E-2</v>
      </c>
      <c r="D260" s="4">
        <f>IFERROR(Target1[[#This Row],[Target Return]]+1,"-")</f>
        <v>0.97807778101684839</v>
      </c>
      <c r="E260" s="6">
        <f>B260-MAX($B$2:B260)</f>
        <v>-6.32</v>
      </c>
      <c r="F260" s="80">
        <f t="shared" si="13"/>
        <v>62</v>
      </c>
      <c r="G260" s="77">
        <f>Target1[[#This Row],[Target Drawdown]]/MAX($B$2:B260)</f>
        <v>-0.17081081081081081</v>
      </c>
      <c r="H260" s="1" t="str">
        <f>IF(SUM(COUNTIF(Benchmark1[Benchmark '#1 Dates],Target1[[#This Row],[Target Dates]]),COUNTIF(Benchmark2[Benchmark '#2 Dates],Target1[[#This Row],[Target Dates]]))=2,"Pass","Fail")</f>
        <v>Pass</v>
      </c>
      <c r="I260" s="78">
        <f t="shared" si="14"/>
        <v>-6.32</v>
      </c>
      <c r="K260" s="72">
        <f>Target1[[#This Row],[Target Price]]/$B$2*100</f>
        <v>178.47585805700987</v>
      </c>
      <c r="R260">
        <f>B261/Target1[[#This Row],[Target Price]]-1</f>
        <v>3.2594524119948787E-3</v>
      </c>
    </row>
    <row r="261" spans="1:18">
      <c r="A261" s="96">
        <v>43663</v>
      </c>
      <c r="B261" s="101">
        <v>30.78</v>
      </c>
      <c r="C261" s="4">
        <f t="shared" si="12"/>
        <v>3.2541519116778229E-3</v>
      </c>
      <c r="D261" s="4">
        <f>IFERROR(Target1[[#This Row],[Target Return]]+1,"-")</f>
        <v>1.0032541519116778</v>
      </c>
      <c r="E261" s="6">
        <f>B261-MAX($B$2:B261)</f>
        <v>-6.2199999999999989</v>
      </c>
      <c r="F261" s="80">
        <f t="shared" si="13"/>
        <v>63</v>
      </c>
      <c r="G261" s="77">
        <f>Target1[[#This Row],[Target Drawdown]]/MAX($B$2:B261)</f>
        <v>-0.16810810810810808</v>
      </c>
      <c r="H261" s="1" t="str">
        <f>IF(SUM(COUNTIF(Benchmark1[Benchmark '#1 Dates],Target1[[#This Row],[Target Dates]]),COUNTIF(Benchmark2[Benchmark '#2 Dates],Target1[[#This Row],[Target Dates]]))=2,"Pass","Fail")</f>
        <v>Pass</v>
      </c>
      <c r="I261" s="78">
        <f t="shared" si="14"/>
        <v>-6.2199999999999989</v>
      </c>
      <c r="K261" s="72">
        <f>Target1[[#This Row],[Target Price]]/$B$2*100</f>
        <v>179.05759162303664</v>
      </c>
      <c r="R261">
        <f>B262/Target1[[#This Row],[Target Price]]-1</f>
        <v>9.7465886939569479E-3</v>
      </c>
    </row>
    <row r="262" spans="1:18">
      <c r="A262" s="96">
        <v>43664</v>
      </c>
      <c r="B262" s="101">
        <v>31.08</v>
      </c>
      <c r="C262" s="4">
        <f t="shared" si="12"/>
        <v>9.6993970887133598E-3</v>
      </c>
      <c r="D262" s="4">
        <f>IFERROR(Target1[[#This Row],[Target Return]]+1,"-")</f>
        <v>1.0096993970887134</v>
      </c>
      <c r="E262" s="6">
        <f>B262-MAX($B$2:B262)</f>
        <v>-5.9200000000000017</v>
      </c>
      <c r="F262" s="80">
        <f t="shared" si="13"/>
        <v>64</v>
      </c>
      <c r="G262" s="77">
        <f>Target1[[#This Row],[Target Drawdown]]/MAX($B$2:B262)</f>
        <v>-0.16000000000000006</v>
      </c>
      <c r="H262" s="1" t="str">
        <f>IF(SUM(COUNTIF(Benchmark1[Benchmark '#1 Dates],Target1[[#This Row],[Target Dates]]),COUNTIF(Benchmark2[Benchmark '#2 Dates],Target1[[#This Row],[Target Dates]]))=2,"Pass","Fail")</f>
        <v>Pass</v>
      </c>
      <c r="I262" s="78">
        <f t="shared" si="14"/>
        <v>-5.9200000000000017</v>
      </c>
      <c r="K262" s="72">
        <f>Target1[[#This Row],[Target Price]]/$B$2*100</f>
        <v>180.80279232111693</v>
      </c>
      <c r="R262">
        <f>B263/Target1[[#This Row],[Target Price]]-1</f>
        <v>-2.8314028314028294E-2</v>
      </c>
    </row>
    <row r="263" spans="1:18">
      <c r="A263" s="96">
        <v>43665</v>
      </c>
      <c r="B263" s="101">
        <v>30.2</v>
      </c>
      <c r="C263" s="4">
        <f t="shared" si="12"/>
        <v>-2.8722601118622716E-2</v>
      </c>
      <c r="D263" s="4">
        <f>IFERROR(Target1[[#This Row],[Target Return]]+1,"-")</f>
        <v>0.97127739888137732</v>
      </c>
      <c r="E263" s="6">
        <f>B263-MAX($B$2:B263)</f>
        <v>-6.8000000000000007</v>
      </c>
      <c r="F263" s="80">
        <f t="shared" si="13"/>
        <v>65</v>
      </c>
      <c r="G263" s="77">
        <f>Target1[[#This Row],[Target Drawdown]]/MAX($B$2:B263)</f>
        <v>-0.18378378378378379</v>
      </c>
      <c r="H263" s="1" t="str">
        <f>IF(SUM(COUNTIF(Benchmark1[Benchmark '#1 Dates],Target1[[#This Row],[Target Dates]]),COUNTIF(Benchmark2[Benchmark '#2 Dates],Target1[[#This Row],[Target Dates]]))=2,"Pass","Fail")</f>
        <v>Pass</v>
      </c>
      <c r="I263" s="78">
        <f t="shared" si="14"/>
        <v>-6.8000000000000007</v>
      </c>
      <c r="K263" s="72">
        <f>Target1[[#This Row],[Target Price]]/$B$2*100</f>
        <v>175.68353694008144</v>
      </c>
      <c r="R263">
        <f>B264/Target1[[#This Row],[Target Price]]-1</f>
        <v>-1.5231788079470232E-2</v>
      </c>
    </row>
    <row r="264" spans="1:18">
      <c r="A264" s="96">
        <v>43668</v>
      </c>
      <c r="B264" s="101">
        <v>29.74</v>
      </c>
      <c r="C264" s="4">
        <f t="shared" si="12"/>
        <v>-1.5348983348814974E-2</v>
      </c>
      <c r="D264" s="4">
        <f>IFERROR(Target1[[#This Row],[Target Return]]+1,"-")</f>
        <v>0.98465101665118504</v>
      </c>
      <c r="E264" s="6">
        <f>B264-MAX($B$2:B264)</f>
        <v>-7.2600000000000016</v>
      </c>
      <c r="F264" s="80">
        <f t="shared" si="13"/>
        <v>66</v>
      </c>
      <c r="G264" s="77">
        <f>Target1[[#This Row],[Target Drawdown]]/MAX($B$2:B264)</f>
        <v>-0.19621621621621627</v>
      </c>
      <c r="H264" s="1" t="str">
        <f>IF(SUM(COUNTIF(Benchmark1[Benchmark '#1 Dates],Target1[[#This Row],[Target Dates]]),COUNTIF(Benchmark2[Benchmark '#2 Dates],Target1[[#This Row],[Target Dates]]))=2,"Pass","Fail")</f>
        <v>Pass</v>
      </c>
      <c r="I264" s="78">
        <f t="shared" si="14"/>
        <v>-7.2600000000000016</v>
      </c>
      <c r="K264" s="72">
        <f>Target1[[#This Row],[Target Price]]/$B$2*100</f>
        <v>173.00756253635831</v>
      </c>
      <c r="R264">
        <f>B265/Target1[[#This Row],[Target Price]]-1</f>
        <v>1.5467383994619999E-2</v>
      </c>
    </row>
    <row r="265" spans="1:18">
      <c r="A265" s="96">
        <v>43669</v>
      </c>
      <c r="B265" s="101">
        <v>30.2</v>
      </c>
      <c r="C265" s="4">
        <f t="shared" si="12"/>
        <v>1.5348983348814899E-2</v>
      </c>
      <c r="D265" s="4">
        <f>IFERROR(Target1[[#This Row],[Target Return]]+1,"-")</f>
        <v>1.015348983348815</v>
      </c>
      <c r="E265" s="6">
        <f>B265-MAX($B$2:B265)</f>
        <v>-6.8000000000000007</v>
      </c>
      <c r="F265" s="80">
        <f t="shared" si="13"/>
        <v>67</v>
      </c>
      <c r="G265" s="77">
        <f>Target1[[#This Row],[Target Drawdown]]/MAX($B$2:B265)</f>
        <v>-0.18378378378378379</v>
      </c>
      <c r="H265" s="1" t="str">
        <f>IF(SUM(COUNTIF(Benchmark1[Benchmark '#1 Dates],Target1[[#This Row],[Target Dates]]),COUNTIF(Benchmark2[Benchmark '#2 Dates],Target1[[#This Row],[Target Dates]]))=2,"Pass","Fail")</f>
        <v>Pass</v>
      </c>
      <c r="I265" s="78">
        <f t="shared" si="14"/>
        <v>-6.8000000000000007</v>
      </c>
      <c r="K265" s="72">
        <f>Target1[[#This Row],[Target Price]]/$B$2*100</f>
        <v>175.68353694008144</v>
      </c>
      <c r="R265">
        <f>B266/Target1[[#This Row],[Target Price]]-1</f>
        <v>1.7549668874172308E-2</v>
      </c>
    </row>
    <row r="266" spans="1:18">
      <c r="A266" s="96">
        <v>43670</v>
      </c>
      <c r="B266" s="101">
        <v>30.73</v>
      </c>
      <c r="C266" s="4">
        <f t="shared" si="12"/>
        <v>1.7397451761569455E-2</v>
      </c>
      <c r="D266" s="4">
        <f>IFERROR(Target1[[#This Row],[Target Return]]+1,"-")</f>
        <v>1.0173974517615694</v>
      </c>
      <c r="E266" s="6">
        <f>B266-MAX($B$2:B266)</f>
        <v>-6.27</v>
      </c>
      <c r="F266" s="80">
        <f t="shared" si="13"/>
        <v>68</v>
      </c>
      <c r="G266" s="77">
        <f>Target1[[#This Row],[Target Drawdown]]/MAX($B$2:B266)</f>
        <v>-0.16945945945945945</v>
      </c>
      <c r="H266" s="1" t="str">
        <f>IF(SUM(COUNTIF(Benchmark1[Benchmark '#1 Dates],Target1[[#This Row],[Target Dates]]),COUNTIF(Benchmark2[Benchmark '#2 Dates],Target1[[#This Row],[Target Dates]]))=2,"Pass","Fail")</f>
        <v>Pass</v>
      </c>
      <c r="I266" s="78">
        <f t="shared" si="14"/>
        <v>-6.27</v>
      </c>
      <c r="K266" s="72">
        <f>Target1[[#This Row],[Target Price]]/$B$2*100</f>
        <v>178.76672484002324</v>
      </c>
      <c r="R266">
        <f>B267/Target1[[#This Row],[Target Price]]-1</f>
        <v>-2.4080702896192685E-2</v>
      </c>
    </row>
    <row r="267" spans="1:18">
      <c r="A267" s="96">
        <v>43671</v>
      </c>
      <c r="B267" s="101">
        <v>29.99</v>
      </c>
      <c r="C267" s="4">
        <f t="shared" si="12"/>
        <v>-2.4375383381475609E-2</v>
      </c>
      <c r="D267" s="4">
        <f>IFERROR(Target1[[#This Row],[Target Return]]+1,"-")</f>
        <v>0.9756246166185244</v>
      </c>
      <c r="E267" s="6">
        <f>B267-MAX($B$2:B267)</f>
        <v>-7.0100000000000016</v>
      </c>
      <c r="F267" s="80">
        <f t="shared" si="13"/>
        <v>69</v>
      </c>
      <c r="G267" s="77">
        <f>Target1[[#This Row],[Target Drawdown]]/MAX($B$2:B267)</f>
        <v>-0.18945945945945949</v>
      </c>
      <c r="H267" s="1" t="str">
        <f>IF(SUM(COUNTIF(Benchmark1[Benchmark '#1 Dates],Target1[[#This Row],[Target Dates]]),COUNTIF(Benchmark2[Benchmark '#2 Dates],Target1[[#This Row],[Target Dates]]))=2,"Pass","Fail")</f>
        <v>Pass</v>
      </c>
      <c r="I267" s="78">
        <f t="shared" si="14"/>
        <v>-7.0100000000000016</v>
      </c>
      <c r="K267" s="72">
        <f>Target1[[#This Row],[Target Price]]/$B$2*100</f>
        <v>174.46189645142522</v>
      </c>
      <c r="R267">
        <f>B268/Target1[[#This Row],[Target Price]]-1</f>
        <v>2.0673557852617597E-2</v>
      </c>
    </row>
    <row r="268" spans="1:18">
      <c r="A268" s="96">
        <v>43672</v>
      </c>
      <c r="B268" s="101">
        <v>30.61</v>
      </c>
      <c r="C268" s="4">
        <f t="shared" si="12"/>
        <v>2.0462760196403473E-2</v>
      </c>
      <c r="D268" s="4">
        <f>IFERROR(Target1[[#This Row],[Target Return]]+1,"-")</f>
        <v>1.0204627601964034</v>
      </c>
      <c r="E268" s="6">
        <f>B268-MAX($B$2:B268)</f>
        <v>-6.3900000000000006</v>
      </c>
      <c r="F268" s="80">
        <f t="shared" si="13"/>
        <v>70</v>
      </c>
      <c r="G268" s="77">
        <f>Target1[[#This Row],[Target Drawdown]]/MAX($B$2:B268)</f>
        <v>-0.17270270270270272</v>
      </c>
      <c r="H268" s="1" t="str">
        <f>IF(SUM(COUNTIF(Benchmark1[Benchmark '#1 Dates],Target1[[#This Row],[Target Dates]]),COUNTIF(Benchmark2[Benchmark '#2 Dates],Target1[[#This Row],[Target Dates]]))=2,"Pass","Fail")</f>
        <v>Pass</v>
      </c>
      <c r="I268" s="78">
        <f t="shared" si="14"/>
        <v>-6.3900000000000006</v>
      </c>
      <c r="K268" s="72">
        <f>Target1[[#This Row],[Target Price]]/$B$2*100</f>
        <v>178.06864456079114</v>
      </c>
      <c r="R268">
        <f>B269/Target1[[#This Row],[Target Price]]-1</f>
        <v>-5.8804312316236285E-3</v>
      </c>
    </row>
    <row r="269" spans="1:18">
      <c r="A269" s="96">
        <v>43675</v>
      </c>
      <c r="B269" s="101">
        <v>30.43</v>
      </c>
      <c r="C269" s="4">
        <f t="shared" si="12"/>
        <v>-5.897789048441405E-3</v>
      </c>
      <c r="D269" s="4">
        <f>IFERROR(Target1[[#This Row],[Target Return]]+1,"-")</f>
        <v>0.9941022109515586</v>
      </c>
      <c r="E269" s="6">
        <f>B269-MAX($B$2:B269)</f>
        <v>-6.57</v>
      </c>
      <c r="F269" s="80">
        <f t="shared" si="13"/>
        <v>71</v>
      </c>
      <c r="G269" s="77">
        <f>Target1[[#This Row],[Target Drawdown]]/MAX($B$2:B269)</f>
        <v>-0.17756756756756759</v>
      </c>
      <c r="H269" s="1" t="str">
        <f>IF(SUM(COUNTIF(Benchmark1[Benchmark '#1 Dates],Target1[[#This Row],[Target Dates]]),COUNTIF(Benchmark2[Benchmark '#2 Dates],Target1[[#This Row],[Target Dates]]))=2,"Pass","Fail")</f>
        <v>Pass</v>
      </c>
      <c r="I269" s="78">
        <f t="shared" si="14"/>
        <v>-6.57</v>
      </c>
      <c r="K269" s="72">
        <f>Target1[[#This Row],[Target Price]]/$B$2*100</f>
        <v>177.02152414194296</v>
      </c>
      <c r="R269">
        <f>B270/Target1[[#This Row],[Target Price]]-1</f>
        <v>1.3802168912257606E-2</v>
      </c>
    </row>
    <row r="270" spans="1:18">
      <c r="A270" s="96">
        <v>43676</v>
      </c>
      <c r="B270" s="101">
        <v>30.85</v>
      </c>
      <c r="C270" s="4">
        <f t="shared" si="12"/>
        <v>1.3707786442517078E-2</v>
      </c>
      <c r="D270" s="4">
        <f>IFERROR(Target1[[#This Row],[Target Return]]+1,"-")</f>
        <v>1.013707786442517</v>
      </c>
      <c r="E270" s="6">
        <f>B270-MAX($B$2:B270)</f>
        <v>-6.1499999999999986</v>
      </c>
      <c r="F270" s="80">
        <f t="shared" si="13"/>
        <v>72</v>
      </c>
      <c r="G270" s="77">
        <f>Target1[[#This Row],[Target Drawdown]]/MAX($B$2:B270)</f>
        <v>-0.16621621621621618</v>
      </c>
      <c r="H270" s="1" t="str">
        <f>IF(SUM(COUNTIF(Benchmark1[Benchmark '#1 Dates],Target1[[#This Row],[Target Dates]]),COUNTIF(Benchmark2[Benchmark '#2 Dates],Target1[[#This Row],[Target Dates]]))=2,"Pass","Fail")</f>
        <v>Pass</v>
      </c>
      <c r="I270" s="78">
        <f t="shared" si="14"/>
        <v>-6.1499999999999986</v>
      </c>
      <c r="K270" s="72">
        <f>Target1[[#This Row],[Target Price]]/$B$2*100</f>
        <v>179.46480511925537</v>
      </c>
      <c r="R270">
        <f>B271/Target1[[#This Row],[Target Price]]-1</f>
        <v>-3.2414910858995172E-2</v>
      </c>
    </row>
    <row r="271" spans="1:18">
      <c r="A271" s="96">
        <v>43677</v>
      </c>
      <c r="B271" s="101">
        <v>29.85</v>
      </c>
      <c r="C271" s="4">
        <f t="shared" si="12"/>
        <v>-3.2951910512785759E-2</v>
      </c>
      <c r="D271" s="4">
        <f>IFERROR(Target1[[#This Row],[Target Return]]+1,"-")</f>
        <v>0.96704808948721421</v>
      </c>
      <c r="E271" s="6">
        <f>B271-MAX($B$2:B271)</f>
        <v>-7.1499999999999986</v>
      </c>
      <c r="F271" s="80">
        <f t="shared" si="13"/>
        <v>73</v>
      </c>
      <c r="G271" s="77">
        <f>Target1[[#This Row],[Target Drawdown]]/MAX($B$2:B271)</f>
        <v>-0.19324324324324321</v>
      </c>
      <c r="H271" s="1" t="str">
        <f>IF(SUM(COUNTIF(Benchmark1[Benchmark '#1 Dates],Target1[[#This Row],[Target Dates]]),COUNTIF(Benchmark2[Benchmark '#2 Dates],Target1[[#This Row],[Target Dates]]))=2,"Pass","Fail")</f>
        <v>Pass</v>
      </c>
      <c r="I271" s="78">
        <f t="shared" si="14"/>
        <v>-7.1499999999999986</v>
      </c>
      <c r="K271" s="72">
        <f>Target1[[#This Row],[Target Price]]/$B$2*100</f>
        <v>173.64746945898776</v>
      </c>
      <c r="R271">
        <f>B272/Target1[[#This Row],[Target Price]]-1</f>
        <v>-1.6750418760469454E-3</v>
      </c>
    </row>
    <row r="272" spans="1:18">
      <c r="A272" s="96">
        <v>43678</v>
      </c>
      <c r="B272" s="101">
        <v>29.8</v>
      </c>
      <c r="C272" s="4">
        <f t="shared" si="12"/>
        <v>-1.6764463272523713E-3</v>
      </c>
      <c r="D272" s="4">
        <f>IFERROR(Target1[[#This Row],[Target Return]]+1,"-")</f>
        <v>0.99832355367274761</v>
      </c>
      <c r="E272" s="6">
        <f>B272-MAX($B$2:B272)</f>
        <v>-7.1999999999999993</v>
      </c>
      <c r="F272" s="80">
        <f t="shared" si="13"/>
        <v>74</v>
      </c>
      <c r="G272" s="77">
        <f>Target1[[#This Row],[Target Drawdown]]/MAX($B$2:B272)</f>
        <v>-0.19459459459459458</v>
      </c>
      <c r="H272" s="1" t="str">
        <f>IF(SUM(COUNTIF(Benchmark1[Benchmark '#1 Dates],Target1[[#This Row],[Target Dates]]),COUNTIF(Benchmark2[Benchmark '#2 Dates],Target1[[#This Row],[Target Dates]]))=2,"Pass","Fail")</f>
        <v>Pass</v>
      </c>
      <c r="I272" s="78">
        <f t="shared" si="14"/>
        <v>-7.1999999999999993</v>
      </c>
      <c r="K272" s="72">
        <f>Target1[[#This Row],[Target Price]]/$B$2*100</f>
        <v>173.35660267597439</v>
      </c>
      <c r="R272">
        <f>B273/Target1[[#This Row],[Target Price]]-1</f>
        <v>-4.4630872483221506E-2</v>
      </c>
    </row>
    <row r="273" spans="1:18">
      <c r="A273" s="96">
        <v>43679</v>
      </c>
      <c r="B273" s="101">
        <v>28.47</v>
      </c>
      <c r="C273" s="4">
        <f t="shared" si="12"/>
        <v>-4.5657492221412611E-2</v>
      </c>
      <c r="D273" s="4">
        <f>IFERROR(Target1[[#This Row],[Target Return]]+1,"-")</f>
        <v>0.95434250777858742</v>
      </c>
      <c r="E273" s="6">
        <f>B273-MAX($B$2:B273)</f>
        <v>-8.5300000000000011</v>
      </c>
      <c r="F273" s="80">
        <f t="shared" si="13"/>
        <v>75</v>
      </c>
      <c r="G273" s="77">
        <f>Target1[[#This Row],[Target Drawdown]]/MAX($B$2:B273)</f>
        <v>-0.23054054054054057</v>
      </c>
      <c r="H273" s="1" t="str">
        <f>IF(SUM(COUNTIF(Benchmark1[Benchmark '#1 Dates],Target1[[#This Row],[Target Dates]]),COUNTIF(Benchmark2[Benchmark '#2 Dates],Target1[[#This Row],[Target Dates]]))=2,"Pass","Fail")</f>
        <v>Pass</v>
      </c>
      <c r="I273" s="78">
        <f t="shared" si="14"/>
        <v>-8.5300000000000011</v>
      </c>
      <c r="K273" s="72">
        <f>Target1[[#This Row],[Target Price]]/$B$2*100</f>
        <v>165.61954624781848</v>
      </c>
      <c r="R273">
        <f>B274/Target1[[#This Row],[Target Price]]-1</f>
        <v>2.77485072005621E-2</v>
      </c>
    </row>
    <row r="274" spans="1:18">
      <c r="A274" s="96">
        <v>43682</v>
      </c>
      <c r="B274" s="101">
        <v>29.26</v>
      </c>
      <c r="C274" s="4">
        <f t="shared" si="12"/>
        <v>2.7370494302032165E-2</v>
      </c>
      <c r="D274" s="4">
        <f>IFERROR(Target1[[#This Row],[Target Return]]+1,"-")</f>
        <v>1.0273704943020321</v>
      </c>
      <c r="E274" s="6">
        <f>B274-MAX($B$2:B274)</f>
        <v>-7.7399999999999984</v>
      </c>
      <c r="F274" s="80">
        <f t="shared" si="13"/>
        <v>76</v>
      </c>
      <c r="G274" s="77">
        <f>Target1[[#This Row],[Target Drawdown]]/MAX($B$2:B274)</f>
        <v>-0.20918918918918913</v>
      </c>
      <c r="H274" s="1" t="str">
        <f>IF(SUM(COUNTIF(Benchmark1[Benchmark '#1 Dates],Target1[[#This Row],[Target Dates]]),COUNTIF(Benchmark2[Benchmark '#2 Dates],Target1[[#This Row],[Target Dates]]))=2,"Pass","Fail")</f>
        <v>Pass</v>
      </c>
      <c r="I274" s="78">
        <f t="shared" si="14"/>
        <v>-7.7399999999999984</v>
      </c>
      <c r="K274" s="72">
        <f>Target1[[#This Row],[Target Price]]/$B$2*100</f>
        <v>170.2152414194299</v>
      </c>
      <c r="R274">
        <f>B275/Target1[[#This Row],[Target Price]]-1</f>
        <v>-2.5632262474367784E-2</v>
      </c>
    </row>
    <row r="275" spans="1:18">
      <c r="A275" s="96">
        <v>43683</v>
      </c>
      <c r="B275" s="101">
        <v>28.51</v>
      </c>
      <c r="C275" s="4">
        <f t="shared" si="12"/>
        <v>-2.5966492667397673E-2</v>
      </c>
      <c r="D275" s="4">
        <f>IFERROR(Target1[[#This Row],[Target Return]]+1,"-")</f>
        <v>0.9740335073326023</v>
      </c>
      <c r="E275" s="6">
        <f>B275-MAX($B$2:B275)</f>
        <v>-8.4899999999999984</v>
      </c>
      <c r="F275" s="80">
        <f t="shared" si="13"/>
        <v>77</v>
      </c>
      <c r="G275" s="77">
        <f>Target1[[#This Row],[Target Drawdown]]/MAX($B$2:B275)</f>
        <v>-0.22945945945945942</v>
      </c>
      <c r="H275" s="1" t="str">
        <f>IF(SUM(COUNTIF(Benchmark1[Benchmark '#1 Dates],Target1[[#This Row],[Target Dates]]),COUNTIF(Benchmark2[Benchmark '#2 Dates],Target1[[#This Row],[Target Dates]]))=2,"Pass","Fail")</f>
        <v>Pass</v>
      </c>
      <c r="I275" s="78">
        <f t="shared" si="14"/>
        <v>-8.4899999999999984</v>
      </c>
      <c r="K275" s="72">
        <f>Target1[[#This Row],[Target Price]]/$B$2*100</f>
        <v>165.8522396742292</v>
      </c>
      <c r="R275">
        <f>B276/Target1[[#This Row],[Target Price]]-1</f>
        <v>-4.3142756927393888E-2</v>
      </c>
    </row>
    <row r="276" spans="1:18">
      <c r="A276" s="96">
        <v>43684</v>
      </c>
      <c r="B276" s="101">
        <v>27.28</v>
      </c>
      <c r="C276" s="4">
        <f t="shared" si="12"/>
        <v>-4.4101069949319269E-2</v>
      </c>
      <c r="D276" s="4">
        <f>IFERROR(Target1[[#This Row],[Target Return]]+1,"-")</f>
        <v>0.95589893005068072</v>
      </c>
      <c r="E276" s="6">
        <f>B276-MAX($B$2:B276)</f>
        <v>-9.7199999999999989</v>
      </c>
      <c r="F276" s="80">
        <f t="shared" si="13"/>
        <v>78</v>
      </c>
      <c r="G276" s="77">
        <f>Target1[[#This Row],[Target Drawdown]]/MAX($B$2:B276)</f>
        <v>-0.26270270270270268</v>
      </c>
      <c r="H276" s="1" t="str">
        <f>IF(SUM(COUNTIF(Benchmark1[Benchmark '#1 Dates],Target1[[#This Row],[Target Dates]]),COUNTIF(Benchmark2[Benchmark '#2 Dates],Target1[[#This Row],[Target Dates]]))=2,"Pass","Fail")</f>
        <v>Pass</v>
      </c>
      <c r="I276" s="78">
        <f t="shared" si="14"/>
        <v>-9.7199999999999989</v>
      </c>
      <c r="K276" s="72">
        <f>Target1[[#This Row],[Target Price]]/$B$2*100</f>
        <v>158.69691681210006</v>
      </c>
      <c r="R276">
        <f>B277/Target1[[#This Row],[Target Price]]-1</f>
        <v>5.2419354838709742E-2</v>
      </c>
    </row>
    <row r="277" spans="1:18">
      <c r="A277" s="96">
        <v>43685</v>
      </c>
      <c r="B277" s="101">
        <v>28.71</v>
      </c>
      <c r="C277" s="4">
        <f t="shared" si="12"/>
        <v>5.1091661157711299E-2</v>
      </c>
      <c r="D277" s="4">
        <f>IFERROR(Target1[[#This Row],[Target Return]]+1,"-")</f>
        <v>1.0510916611577112</v>
      </c>
      <c r="E277" s="6">
        <f>B277-MAX($B$2:B277)</f>
        <v>-8.2899999999999991</v>
      </c>
      <c r="F277" s="80">
        <f t="shared" si="13"/>
        <v>79</v>
      </c>
      <c r="G277" s="77">
        <f>Target1[[#This Row],[Target Drawdown]]/MAX($B$2:B277)</f>
        <v>-0.22405405405405404</v>
      </c>
      <c r="H277" s="1" t="str">
        <f>IF(SUM(COUNTIF(Benchmark1[Benchmark '#1 Dates],Target1[[#This Row],[Target Dates]]),COUNTIF(Benchmark2[Benchmark '#2 Dates],Target1[[#This Row],[Target Dates]]))=2,"Pass","Fail")</f>
        <v>Pass</v>
      </c>
      <c r="I277" s="78">
        <f t="shared" si="14"/>
        <v>-8.2899999999999991</v>
      </c>
      <c r="K277" s="72">
        <f>Target1[[#This Row],[Target Price]]/$B$2*100</f>
        <v>167.01570680628271</v>
      </c>
      <c r="R277">
        <f>B278/Target1[[#This Row],[Target Price]]-1</f>
        <v>8.3594566353186739E-3</v>
      </c>
    </row>
    <row r="278" spans="1:18">
      <c r="A278" s="96">
        <v>43686</v>
      </c>
      <c r="B278" s="101">
        <v>28.95</v>
      </c>
      <c r="C278" s="4">
        <f t="shared" si="12"/>
        <v>8.3247098860316331E-3</v>
      </c>
      <c r="D278" s="4">
        <f>IFERROR(Target1[[#This Row],[Target Return]]+1,"-")</f>
        <v>1.0083247098860317</v>
      </c>
      <c r="E278" s="6">
        <f>B278-MAX($B$2:B278)</f>
        <v>-8.0500000000000007</v>
      </c>
      <c r="F278" s="80">
        <f t="shared" si="13"/>
        <v>80</v>
      </c>
      <c r="G278" s="77">
        <f>Target1[[#This Row],[Target Drawdown]]/MAX($B$2:B278)</f>
        <v>-0.21756756756756759</v>
      </c>
      <c r="H278" s="1" t="str">
        <f>IF(SUM(COUNTIF(Benchmark1[Benchmark '#1 Dates],Target1[[#This Row],[Target Dates]]),COUNTIF(Benchmark2[Benchmark '#2 Dates],Target1[[#This Row],[Target Dates]]))=2,"Pass","Fail")</f>
        <v>Pass</v>
      </c>
      <c r="I278" s="78">
        <f t="shared" si="14"/>
        <v>-8.0500000000000007</v>
      </c>
      <c r="K278" s="72">
        <f>Target1[[#This Row],[Target Price]]/$B$2*100</f>
        <v>168.41186736474694</v>
      </c>
      <c r="R278">
        <f>B279/Target1[[#This Row],[Target Price]]-1</f>
        <v>-1.2780656303972404E-2</v>
      </c>
    </row>
    <row r="279" spans="1:18">
      <c r="A279" s="96">
        <v>43689</v>
      </c>
      <c r="B279" s="101">
        <v>28.58</v>
      </c>
      <c r="C279" s="4">
        <f t="shared" si="12"/>
        <v>-1.2863031517282941E-2</v>
      </c>
      <c r="D279" s="4">
        <f>IFERROR(Target1[[#This Row],[Target Return]]+1,"-")</f>
        <v>0.98713696848271704</v>
      </c>
      <c r="E279" s="6">
        <f>B279-MAX($B$2:B279)</f>
        <v>-8.4200000000000017</v>
      </c>
      <c r="F279" s="80">
        <f t="shared" si="13"/>
        <v>81</v>
      </c>
      <c r="G279" s="77">
        <f>Target1[[#This Row],[Target Drawdown]]/MAX($B$2:B279)</f>
        <v>-0.2275675675675676</v>
      </c>
      <c r="H279" s="1" t="str">
        <f>IF(SUM(COUNTIF(Benchmark1[Benchmark '#1 Dates],Target1[[#This Row],[Target Dates]]),COUNTIF(Benchmark2[Benchmark '#2 Dates],Target1[[#This Row],[Target Dates]]))=2,"Pass","Fail")</f>
        <v>Pass</v>
      </c>
      <c r="I279" s="78">
        <f t="shared" si="14"/>
        <v>-8.4200000000000017</v>
      </c>
      <c r="K279" s="72">
        <f>Target1[[#This Row],[Target Price]]/$B$2*100</f>
        <v>166.2594531704479</v>
      </c>
      <c r="R279">
        <f>B280/Target1[[#This Row],[Target Price]]-1</f>
        <v>-2.2393282015395255E-2</v>
      </c>
    </row>
    <row r="280" spans="1:18">
      <c r="A280" s="96">
        <v>43690</v>
      </c>
      <c r="B280" s="101">
        <v>27.94</v>
      </c>
      <c r="C280" s="4">
        <f t="shared" si="12"/>
        <v>-2.2647818672905461E-2</v>
      </c>
      <c r="D280" s="4">
        <f>IFERROR(Target1[[#This Row],[Target Return]]+1,"-")</f>
        <v>0.97735218132709456</v>
      </c>
      <c r="E280" s="6">
        <f>B280-MAX($B$2:B280)</f>
        <v>-9.0599999999999987</v>
      </c>
      <c r="F280" s="80">
        <f t="shared" si="13"/>
        <v>82</v>
      </c>
      <c r="G280" s="77">
        <f>Target1[[#This Row],[Target Drawdown]]/MAX($B$2:B280)</f>
        <v>-0.24486486486486483</v>
      </c>
      <c r="H280" s="1" t="str">
        <f>IF(SUM(COUNTIF(Benchmark1[Benchmark '#1 Dates],Target1[[#This Row],[Target Dates]]),COUNTIF(Benchmark2[Benchmark '#2 Dates],Target1[[#This Row],[Target Dates]]))=2,"Pass","Fail")</f>
        <v>Pass</v>
      </c>
      <c r="I280" s="78">
        <f t="shared" si="14"/>
        <v>-9.0599999999999987</v>
      </c>
      <c r="K280" s="72">
        <f>Target1[[#This Row],[Target Price]]/$B$2*100</f>
        <v>162.53635834787667</v>
      </c>
      <c r="R280">
        <f>B281/Target1[[#This Row],[Target Price]]-1</f>
        <v>7.158196134573469E-4</v>
      </c>
    </row>
    <row r="281" spans="1:18">
      <c r="A281" s="96">
        <v>43691</v>
      </c>
      <c r="B281" s="101">
        <v>27.96</v>
      </c>
      <c r="C281" s="4">
        <f t="shared" si="12"/>
        <v>7.155635367936872E-4</v>
      </c>
      <c r="D281" s="4">
        <f>IFERROR(Target1[[#This Row],[Target Return]]+1,"-")</f>
        <v>1.0007155635367937</v>
      </c>
      <c r="E281" s="6">
        <f>B281-MAX($B$2:B281)</f>
        <v>-9.0399999999999991</v>
      </c>
      <c r="F281" s="80">
        <f t="shared" si="13"/>
        <v>83</v>
      </c>
      <c r="G281" s="77">
        <f>Target1[[#This Row],[Target Drawdown]]/MAX($B$2:B281)</f>
        <v>-0.2443243243243243</v>
      </c>
      <c r="H281" s="1" t="str">
        <f>IF(SUM(COUNTIF(Benchmark1[Benchmark '#1 Dates],Target1[[#This Row],[Target Dates]]),COUNTIF(Benchmark2[Benchmark '#2 Dates],Target1[[#This Row],[Target Dates]]))=2,"Pass","Fail")</f>
        <v>Pass</v>
      </c>
      <c r="I281" s="78">
        <f t="shared" si="14"/>
        <v>-9.0399999999999991</v>
      </c>
      <c r="K281" s="72">
        <f>Target1[[#This Row],[Target Price]]/$B$2*100</f>
        <v>162.65270506108203</v>
      </c>
      <c r="R281">
        <f>B282/Target1[[#This Row],[Target Price]]-1</f>
        <v>-1.7882689556509845E-3</v>
      </c>
    </row>
    <row r="282" spans="1:18">
      <c r="A282" s="96">
        <v>43692</v>
      </c>
      <c r="B282" s="101">
        <v>27.91</v>
      </c>
      <c r="C282" s="4">
        <f t="shared" si="12"/>
        <v>-1.7898698173787601E-3</v>
      </c>
      <c r="D282" s="4">
        <f>IFERROR(Target1[[#This Row],[Target Return]]+1,"-")</f>
        <v>0.99821013018262128</v>
      </c>
      <c r="E282" s="6">
        <f>B282-MAX($B$2:B282)</f>
        <v>-9.09</v>
      </c>
      <c r="F282" s="80">
        <f t="shared" si="13"/>
        <v>84</v>
      </c>
      <c r="G282" s="77">
        <f>Target1[[#This Row],[Target Drawdown]]/MAX($B$2:B282)</f>
        <v>-0.24567567567567566</v>
      </c>
      <c r="H282" s="1" t="str">
        <f>IF(SUM(COUNTIF(Benchmark1[Benchmark '#1 Dates],Target1[[#This Row],[Target Dates]]),COUNTIF(Benchmark2[Benchmark '#2 Dates],Target1[[#This Row],[Target Dates]]))=2,"Pass","Fail")</f>
        <v>Pass</v>
      </c>
      <c r="I282" s="78">
        <f t="shared" si="14"/>
        <v>-9.09</v>
      </c>
      <c r="K282" s="72">
        <f>Target1[[#This Row],[Target Price]]/$B$2*100</f>
        <v>162.36183827806863</v>
      </c>
      <c r="R282">
        <f>B283/Target1[[#This Row],[Target Price]]-1</f>
        <v>-6.4493013256896603E-3</v>
      </c>
    </row>
    <row r="283" spans="1:18">
      <c r="A283" s="96">
        <v>43693</v>
      </c>
      <c r="B283" s="101">
        <v>27.73</v>
      </c>
      <c r="C283" s="4">
        <f t="shared" si="12"/>
        <v>-6.4701879205440755E-3</v>
      </c>
      <c r="D283" s="4">
        <f>IFERROR(Target1[[#This Row],[Target Return]]+1,"-")</f>
        <v>0.9935298120794559</v>
      </c>
      <c r="E283" s="6">
        <f>B283-MAX($B$2:B283)</f>
        <v>-9.27</v>
      </c>
      <c r="F283" s="80">
        <f t="shared" si="13"/>
        <v>85</v>
      </c>
      <c r="G283" s="77">
        <f>Target1[[#This Row],[Target Drawdown]]/MAX($B$2:B283)</f>
        <v>-0.25054054054054054</v>
      </c>
      <c r="H283" s="1" t="str">
        <f>IF(SUM(COUNTIF(Benchmark1[Benchmark '#1 Dates],Target1[[#This Row],[Target Dates]]),COUNTIF(Benchmark2[Benchmark '#2 Dates],Target1[[#This Row],[Target Dates]]))=2,"Pass","Fail")</f>
        <v>Pass</v>
      </c>
      <c r="I283" s="78">
        <f t="shared" si="14"/>
        <v>-9.27</v>
      </c>
      <c r="K283" s="72">
        <f>Target1[[#This Row],[Target Price]]/$B$2*100</f>
        <v>161.31471785922048</v>
      </c>
      <c r="R283">
        <f>B284/Target1[[#This Row],[Target Price]]-1</f>
        <v>3.4980165885322823E-2</v>
      </c>
    </row>
    <row r="284" spans="1:18">
      <c r="A284" s="96">
        <v>43696</v>
      </c>
      <c r="B284" s="101">
        <v>28.7</v>
      </c>
      <c r="C284" s="4">
        <f t="shared" si="12"/>
        <v>3.4382263137888822E-2</v>
      </c>
      <c r="D284" s="4">
        <f>IFERROR(Target1[[#This Row],[Target Return]]+1,"-")</f>
        <v>1.0343822631378887</v>
      </c>
      <c r="E284" s="6">
        <f>B284-MAX($B$2:B284)</f>
        <v>-8.3000000000000007</v>
      </c>
      <c r="F284" s="80">
        <f t="shared" si="13"/>
        <v>86</v>
      </c>
      <c r="G284" s="77">
        <f>Target1[[#This Row],[Target Drawdown]]/MAX($B$2:B284)</f>
        <v>-0.22432432432432434</v>
      </c>
      <c r="H284" s="1" t="str">
        <f>IF(SUM(COUNTIF(Benchmark1[Benchmark '#1 Dates],Target1[[#This Row],[Target Dates]]),COUNTIF(Benchmark2[Benchmark '#2 Dates],Target1[[#This Row],[Target Dates]]))=2,"Pass","Fail")</f>
        <v>Pass</v>
      </c>
      <c r="I284" s="78">
        <f t="shared" si="14"/>
        <v>-8.3000000000000007</v>
      </c>
      <c r="K284" s="72">
        <f>Target1[[#This Row],[Target Price]]/$B$2*100</f>
        <v>166.95753344968003</v>
      </c>
      <c r="R284">
        <f>B285/Target1[[#This Row],[Target Price]]-1</f>
        <v>-3.4843205574912606E-3</v>
      </c>
    </row>
    <row r="285" spans="1:18">
      <c r="A285" s="96">
        <v>43697</v>
      </c>
      <c r="B285" s="101">
        <v>28.6</v>
      </c>
      <c r="C285" s="4">
        <f t="shared" si="12"/>
        <v>-3.4904049397684908E-3</v>
      </c>
      <c r="D285" s="4">
        <f>IFERROR(Target1[[#This Row],[Target Return]]+1,"-")</f>
        <v>0.99650959506023151</v>
      </c>
      <c r="E285" s="6">
        <f>B285-MAX($B$2:B285)</f>
        <v>-8.3999999999999986</v>
      </c>
      <c r="F285" s="80">
        <f t="shared" si="13"/>
        <v>87</v>
      </c>
      <c r="G285" s="77">
        <f>Target1[[#This Row],[Target Drawdown]]/MAX($B$2:B285)</f>
        <v>-0.22702702702702698</v>
      </c>
      <c r="H285" s="1" t="str">
        <f>IF(SUM(COUNTIF(Benchmark1[Benchmark '#1 Dates],Target1[[#This Row],[Target Dates]]),COUNTIF(Benchmark2[Benchmark '#2 Dates],Target1[[#This Row],[Target Dates]]))=2,"Pass","Fail")</f>
        <v>Pass</v>
      </c>
      <c r="I285" s="78">
        <f t="shared" si="14"/>
        <v>-8.3999999999999986</v>
      </c>
      <c r="K285" s="72">
        <f>Target1[[#This Row],[Target Price]]/$B$2*100</f>
        <v>166.37579988365329</v>
      </c>
      <c r="R285">
        <f>B286/Target1[[#This Row],[Target Price]]-1</f>
        <v>3.8461538461538325E-2</v>
      </c>
    </row>
    <row r="286" spans="1:18">
      <c r="A286" s="96">
        <v>43698</v>
      </c>
      <c r="B286" s="101">
        <v>29.7</v>
      </c>
      <c r="C286" s="4">
        <f t="shared" si="12"/>
        <v>3.7740327982846898E-2</v>
      </c>
      <c r="D286" s="4">
        <f>IFERROR(Target1[[#This Row],[Target Return]]+1,"-")</f>
        <v>1.037740327982847</v>
      </c>
      <c r="E286" s="6">
        <f>B286-MAX($B$2:B286)</f>
        <v>-7.3000000000000007</v>
      </c>
      <c r="F286" s="80">
        <f t="shared" si="13"/>
        <v>88</v>
      </c>
      <c r="G286" s="77">
        <f>Target1[[#This Row],[Target Drawdown]]/MAX($B$2:B286)</f>
        <v>-0.19729729729729731</v>
      </c>
      <c r="H286" s="1" t="str">
        <f>IF(SUM(COUNTIF(Benchmark1[Benchmark '#1 Dates],Target1[[#This Row],[Target Dates]]),COUNTIF(Benchmark2[Benchmark '#2 Dates],Target1[[#This Row],[Target Dates]]))=2,"Pass","Fail")</f>
        <v>Pass</v>
      </c>
      <c r="I286" s="78">
        <f t="shared" si="14"/>
        <v>-7.3000000000000007</v>
      </c>
      <c r="K286" s="72">
        <f>Target1[[#This Row],[Target Price]]/$B$2*100</f>
        <v>172.77486910994764</v>
      </c>
      <c r="R286">
        <f>B287/Target1[[#This Row],[Target Price]]-1</f>
        <v>-4.1414141414141459E-2</v>
      </c>
    </row>
    <row r="287" spans="1:18">
      <c r="A287" s="96">
        <v>43699</v>
      </c>
      <c r="B287" s="101">
        <v>28.47</v>
      </c>
      <c r="C287" s="4">
        <f t="shared" si="12"/>
        <v>-4.2296144518707793E-2</v>
      </c>
      <c r="D287" s="4">
        <f>IFERROR(Target1[[#This Row],[Target Return]]+1,"-")</f>
        <v>0.95770385548129222</v>
      </c>
      <c r="E287" s="6">
        <f>B287-MAX($B$2:B287)</f>
        <v>-8.5300000000000011</v>
      </c>
      <c r="F287" s="80">
        <f t="shared" si="13"/>
        <v>89</v>
      </c>
      <c r="G287" s="77">
        <f>Target1[[#This Row],[Target Drawdown]]/MAX($B$2:B287)</f>
        <v>-0.23054054054054057</v>
      </c>
      <c r="H287" s="1" t="str">
        <f>IF(SUM(COUNTIF(Benchmark1[Benchmark '#1 Dates],Target1[[#This Row],[Target Dates]]),COUNTIF(Benchmark2[Benchmark '#2 Dates],Target1[[#This Row],[Target Dates]]))=2,"Pass","Fail")</f>
        <v>Pass</v>
      </c>
      <c r="I287" s="78">
        <f t="shared" si="14"/>
        <v>-8.5300000000000011</v>
      </c>
      <c r="K287" s="72">
        <f>Target1[[#This Row],[Target Price]]/$B$2*100</f>
        <v>165.61954624781848</v>
      </c>
      <c r="R287">
        <f>B288/Target1[[#This Row],[Target Price]]-1</f>
        <v>-3.1963470319634757E-2</v>
      </c>
    </row>
    <row r="288" spans="1:18">
      <c r="A288" s="96">
        <v>43700</v>
      </c>
      <c r="B288" s="101">
        <v>27.56</v>
      </c>
      <c r="C288" s="4">
        <f t="shared" si="12"/>
        <v>-3.2485455144488425E-2</v>
      </c>
      <c r="D288" s="4">
        <f>IFERROR(Target1[[#This Row],[Target Return]]+1,"-")</f>
        <v>0.96751454485551158</v>
      </c>
      <c r="E288" s="6">
        <f>B288-MAX($B$2:B288)</f>
        <v>-9.4400000000000013</v>
      </c>
      <c r="F288" s="80">
        <f t="shared" si="13"/>
        <v>90</v>
      </c>
      <c r="G288" s="77">
        <f>Target1[[#This Row],[Target Drawdown]]/MAX($B$2:B288)</f>
        <v>-0.25513513513513519</v>
      </c>
      <c r="H288" s="1" t="str">
        <f>IF(SUM(COUNTIF(Benchmark1[Benchmark '#1 Dates],Target1[[#This Row],[Target Dates]]),COUNTIF(Benchmark2[Benchmark '#2 Dates],Target1[[#This Row],[Target Dates]]))=2,"Pass","Fail")</f>
        <v>Pass</v>
      </c>
      <c r="I288" s="78">
        <f t="shared" si="14"/>
        <v>-9.4400000000000013</v>
      </c>
      <c r="K288" s="72">
        <f>Target1[[#This Row],[Target Price]]/$B$2*100</f>
        <v>160.32577079697495</v>
      </c>
      <c r="R288">
        <f>B289/Target1[[#This Row],[Target Price]]-1</f>
        <v>3.6284470246734646E-3</v>
      </c>
    </row>
    <row r="289" spans="1:18">
      <c r="A289" s="96">
        <v>43703</v>
      </c>
      <c r="B289" s="101">
        <v>27.66</v>
      </c>
      <c r="C289" s="4">
        <f t="shared" si="12"/>
        <v>3.621880091154355E-3</v>
      </c>
      <c r="D289" s="4">
        <f>IFERROR(Target1[[#This Row],[Target Return]]+1,"-")</f>
        <v>1.0036218800911543</v>
      </c>
      <c r="E289" s="6">
        <f>B289-MAX($B$2:B289)</f>
        <v>-9.34</v>
      </c>
      <c r="F289" s="80">
        <f t="shared" si="13"/>
        <v>91</v>
      </c>
      <c r="G289" s="77">
        <f>Target1[[#This Row],[Target Drawdown]]/MAX($B$2:B289)</f>
        <v>-0.25243243243243241</v>
      </c>
      <c r="H289" s="1" t="str">
        <f>IF(SUM(COUNTIF(Benchmark1[Benchmark '#1 Dates],Target1[[#This Row],[Target Dates]]),COUNTIF(Benchmark2[Benchmark '#2 Dates],Target1[[#This Row],[Target Dates]]))=2,"Pass","Fail")</f>
        <v>Pass</v>
      </c>
      <c r="I289" s="78">
        <f t="shared" si="14"/>
        <v>-9.34</v>
      </c>
      <c r="K289" s="72">
        <f>Target1[[#This Row],[Target Price]]/$B$2*100</f>
        <v>160.90750436300175</v>
      </c>
      <c r="R289">
        <f>B290/Target1[[#This Row],[Target Price]]-1</f>
        <v>-3.2899493853940753E-2</v>
      </c>
    </row>
    <row r="290" spans="1:18">
      <c r="A290" s="96">
        <v>43704</v>
      </c>
      <c r="B290" s="101">
        <v>26.75</v>
      </c>
      <c r="C290" s="4">
        <f t="shared" si="12"/>
        <v>-3.3452852894596645E-2</v>
      </c>
      <c r="D290" s="4">
        <f>IFERROR(Target1[[#This Row],[Target Return]]+1,"-")</f>
        <v>0.96654714710540335</v>
      </c>
      <c r="E290" s="6">
        <f>B290-MAX($B$2:B290)</f>
        <v>-10.25</v>
      </c>
      <c r="F290" s="80">
        <f t="shared" si="13"/>
        <v>92</v>
      </c>
      <c r="G290" s="77">
        <f>Target1[[#This Row],[Target Drawdown]]/MAX($B$2:B290)</f>
        <v>-0.27702702702702703</v>
      </c>
      <c r="H290" s="1" t="str">
        <f>IF(SUM(COUNTIF(Benchmark1[Benchmark '#1 Dates],Target1[[#This Row],[Target Dates]]),COUNTIF(Benchmark2[Benchmark '#2 Dates],Target1[[#This Row],[Target Dates]]))=2,"Pass","Fail")</f>
        <v>Pass</v>
      </c>
      <c r="I290" s="78">
        <f t="shared" si="14"/>
        <v>-10.25</v>
      </c>
      <c r="K290" s="72">
        <f>Target1[[#This Row],[Target Price]]/$B$2*100</f>
        <v>155.61372891215822</v>
      </c>
      <c r="R290">
        <f>B291/Target1[[#This Row],[Target Price]]-1</f>
        <v>3.3644859813084516E-3</v>
      </c>
    </row>
    <row r="291" spans="1:18">
      <c r="A291" s="96">
        <v>43705</v>
      </c>
      <c r="B291" s="101">
        <v>26.84</v>
      </c>
      <c r="C291" s="4">
        <f t="shared" si="12"/>
        <v>3.3588387614655294E-3</v>
      </c>
      <c r="D291" s="4">
        <f>IFERROR(Target1[[#This Row],[Target Return]]+1,"-")</f>
        <v>1.0033588387614656</v>
      </c>
      <c r="E291" s="6">
        <f>B291-MAX($B$2:B291)</f>
        <v>-10.16</v>
      </c>
      <c r="F291" s="80">
        <f t="shared" si="13"/>
        <v>93</v>
      </c>
      <c r="G291" s="77">
        <f>Target1[[#This Row],[Target Drawdown]]/MAX($B$2:B291)</f>
        <v>-0.27459459459459462</v>
      </c>
      <c r="H291" s="1" t="str">
        <f>IF(SUM(COUNTIF(Benchmark1[Benchmark '#1 Dates],Target1[[#This Row],[Target Dates]]),COUNTIF(Benchmark2[Benchmark '#2 Dates],Target1[[#This Row],[Target Dates]]))=2,"Pass","Fail")</f>
        <v>Pass</v>
      </c>
      <c r="I291" s="78">
        <f t="shared" si="14"/>
        <v>-10.16</v>
      </c>
      <c r="K291" s="72">
        <f>Target1[[#This Row],[Target Price]]/$B$2*100</f>
        <v>156.13728912158231</v>
      </c>
      <c r="R291">
        <f>B292/Target1[[#This Row],[Target Price]]-1</f>
        <v>-4.8435171385990961E-3</v>
      </c>
    </row>
    <row r="292" spans="1:18">
      <c r="A292" s="96">
        <v>43706</v>
      </c>
      <c r="B292" s="101">
        <v>26.71</v>
      </c>
      <c r="C292" s="4">
        <f t="shared" si="12"/>
        <v>-4.855284981611533E-3</v>
      </c>
      <c r="D292" s="4">
        <f>IFERROR(Target1[[#This Row],[Target Return]]+1,"-")</f>
        <v>0.99514471501838841</v>
      </c>
      <c r="E292" s="6">
        <f>B292-MAX($B$2:B292)</f>
        <v>-10.29</v>
      </c>
      <c r="F292" s="80">
        <f t="shared" si="13"/>
        <v>94</v>
      </c>
      <c r="G292" s="77">
        <f>Target1[[#This Row],[Target Drawdown]]/MAX($B$2:B292)</f>
        <v>-0.2781081081081081</v>
      </c>
      <c r="H292" s="1" t="str">
        <f>IF(SUM(COUNTIF(Benchmark1[Benchmark '#1 Dates],Target1[[#This Row],[Target Dates]]),COUNTIF(Benchmark2[Benchmark '#2 Dates],Target1[[#This Row],[Target Dates]]))=2,"Pass","Fail")</f>
        <v>Pass</v>
      </c>
      <c r="I292" s="78">
        <f t="shared" si="14"/>
        <v>-10.29</v>
      </c>
      <c r="K292" s="72">
        <f>Target1[[#This Row],[Target Price]]/$B$2*100</f>
        <v>155.38103548574753</v>
      </c>
      <c r="R292">
        <f>B293/Target1[[#This Row],[Target Price]]-1</f>
        <v>-1.3478098090602741E-2</v>
      </c>
    </row>
    <row r="293" spans="1:18">
      <c r="A293" s="96">
        <v>43707</v>
      </c>
      <c r="B293" s="101">
        <v>26.35</v>
      </c>
      <c r="C293" s="4">
        <f t="shared" si="12"/>
        <v>-1.3569752134498139E-2</v>
      </c>
      <c r="D293" s="4">
        <f>IFERROR(Target1[[#This Row],[Target Return]]+1,"-")</f>
        <v>0.98643024786550182</v>
      </c>
      <c r="E293" s="6">
        <f>B293-MAX($B$2:B293)</f>
        <v>-10.649999999999999</v>
      </c>
      <c r="F293" s="80">
        <f t="shared" si="13"/>
        <v>95</v>
      </c>
      <c r="G293" s="77">
        <f>Target1[[#This Row],[Target Drawdown]]/MAX($B$2:B293)</f>
        <v>-0.28783783783783778</v>
      </c>
      <c r="H293" s="1" t="str">
        <f>IF(SUM(COUNTIF(Benchmark1[Benchmark '#1 Dates],Target1[[#This Row],[Target Dates]]),COUNTIF(Benchmark2[Benchmark '#2 Dates],Target1[[#This Row],[Target Dates]]))=2,"Pass","Fail")</f>
        <v>Pass</v>
      </c>
      <c r="I293" s="78">
        <f t="shared" si="14"/>
        <v>-10.649999999999999</v>
      </c>
      <c r="K293" s="72">
        <f>Target1[[#This Row],[Target Price]]/$B$2*100</f>
        <v>153.2867946480512</v>
      </c>
      <c r="R293">
        <f>B294/Target1[[#This Row],[Target Price]]-1</f>
        <v>-7.5901328273245694E-3</v>
      </c>
    </row>
    <row r="294" spans="1:18">
      <c r="A294" s="96">
        <v>43711</v>
      </c>
      <c r="B294" s="101">
        <v>26.15</v>
      </c>
      <c r="C294" s="4">
        <f t="shared" si="12"/>
        <v>-7.6190844764395171E-3</v>
      </c>
      <c r="D294" s="4">
        <f>IFERROR(Target1[[#This Row],[Target Return]]+1,"-")</f>
        <v>0.99238091552356045</v>
      </c>
      <c r="E294" s="6">
        <f>B294-MAX($B$2:B294)</f>
        <v>-10.850000000000001</v>
      </c>
      <c r="F294" s="80">
        <f t="shared" si="13"/>
        <v>96</v>
      </c>
      <c r="G294" s="77">
        <f>Target1[[#This Row],[Target Drawdown]]/MAX($B$2:B294)</f>
        <v>-0.2932432432432433</v>
      </c>
      <c r="H294" s="1" t="str">
        <f>IF(SUM(COUNTIF(Benchmark1[Benchmark '#1 Dates],Target1[[#This Row],[Target Dates]]),COUNTIF(Benchmark2[Benchmark '#2 Dates],Target1[[#This Row],[Target Dates]]))=2,"Pass","Fail")</f>
        <v>Pass</v>
      </c>
      <c r="I294" s="78">
        <f t="shared" si="14"/>
        <v>-10.850000000000001</v>
      </c>
      <c r="K294" s="72">
        <f>Target1[[#This Row],[Target Price]]/$B$2*100</f>
        <v>152.12332751599766</v>
      </c>
      <c r="R294">
        <f>B295/Target1[[#This Row],[Target Price]]-1</f>
        <v>-5.7361376673039643E-3</v>
      </c>
    </row>
    <row r="295" spans="1:18">
      <c r="A295" s="96">
        <v>43712</v>
      </c>
      <c r="B295" s="101">
        <v>26</v>
      </c>
      <c r="C295" s="4">
        <f t="shared" si="12"/>
        <v>-5.752652489449811E-3</v>
      </c>
      <c r="D295" s="4">
        <f>IFERROR(Target1[[#This Row],[Target Return]]+1,"-")</f>
        <v>0.99424734751055022</v>
      </c>
      <c r="E295" s="6">
        <f>B295-MAX($B$2:B295)</f>
        <v>-11</v>
      </c>
      <c r="F295" s="80">
        <f t="shared" si="13"/>
        <v>97</v>
      </c>
      <c r="G295" s="77">
        <f>Target1[[#This Row],[Target Drawdown]]/MAX($B$2:B295)</f>
        <v>-0.29729729729729731</v>
      </c>
      <c r="H295" s="1" t="str">
        <f>IF(SUM(COUNTIF(Benchmark1[Benchmark '#1 Dates],Target1[[#This Row],[Target Dates]]),COUNTIF(Benchmark2[Benchmark '#2 Dates],Target1[[#This Row],[Target Dates]]))=2,"Pass","Fail")</f>
        <v>Pass</v>
      </c>
      <c r="I295" s="78">
        <f t="shared" si="14"/>
        <v>-11</v>
      </c>
      <c r="K295" s="72">
        <f>Target1[[#This Row],[Target Price]]/$B$2*100</f>
        <v>151.25072716695755</v>
      </c>
      <c r="R295">
        <f>B296/Target1[[#This Row],[Target Price]]-1</f>
        <v>3.5384615384615348E-2</v>
      </c>
    </row>
    <row r="296" spans="1:18">
      <c r="A296" s="96">
        <v>43713</v>
      </c>
      <c r="B296" s="101">
        <v>26.92</v>
      </c>
      <c r="C296" s="4">
        <f t="shared" si="12"/>
        <v>3.4772966755044973E-2</v>
      </c>
      <c r="D296" s="4">
        <f>IFERROR(Target1[[#This Row],[Target Return]]+1,"-")</f>
        <v>1.0347729667550449</v>
      </c>
      <c r="E296" s="6">
        <f>B296-MAX($B$2:B296)</f>
        <v>-10.079999999999998</v>
      </c>
      <c r="F296" s="80">
        <f t="shared" si="13"/>
        <v>98</v>
      </c>
      <c r="G296" s="77">
        <f>Target1[[#This Row],[Target Drawdown]]/MAX($B$2:B296)</f>
        <v>-0.27243243243243237</v>
      </c>
      <c r="H296" s="1" t="str">
        <f>IF(SUM(COUNTIF(Benchmark1[Benchmark '#1 Dates],Target1[[#This Row],[Target Dates]]),COUNTIF(Benchmark2[Benchmark '#2 Dates],Target1[[#This Row],[Target Dates]]))=2,"Pass","Fail")</f>
        <v>Pass</v>
      </c>
      <c r="I296" s="78">
        <f t="shared" si="14"/>
        <v>-10.079999999999998</v>
      </c>
      <c r="K296" s="72">
        <f>Target1[[#This Row],[Target Price]]/$B$2*100</f>
        <v>156.60267597440372</v>
      </c>
      <c r="R296">
        <f>B297/Target1[[#This Row],[Target Price]]-1</f>
        <v>1.2630014858840966E-2</v>
      </c>
    </row>
    <row r="297" spans="1:18">
      <c r="A297" s="96">
        <v>43714</v>
      </c>
      <c r="B297" s="101">
        <v>27.26</v>
      </c>
      <c r="C297" s="4">
        <f t="shared" si="12"/>
        <v>1.2550921491859456E-2</v>
      </c>
      <c r="D297" s="4">
        <f>IFERROR(Target1[[#This Row],[Target Return]]+1,"-")</f>
        <v>1.0125509214918595</v>
      </c>
      <c r="E297" s="6">
        <f>B297-MAX($B$2:B297)</f>
        <v>-9.7399999999999984</v>
      </c>
      <c r="F297" s="80">
        <f t="shared" si="13"/>
        <v>99</v>
      </c>
      <c r="G297" s="77">
        <f>Target1[[#This Row],[Target Drawdown]]/MAX($B$2:B297)</f>
        <v>-0.26324324324324322</v>
      </c>
      <c r="H297" s="1" t="str">
        <f>IF(SUM(COUNTIF(Benchmark1[Benchmark '#1 Dates],Target1[[#This Row],[Target Dates]]),COUNTIF(Benchmark2[Benchmark '#2 Dates],Target1[[#This Row],[Target Dates]]))=2,"Pass","Fail")</f>
        <v>Pass</v>
      </c>
      <c r="I297" s="78">
        <f t="shared" si="14"/>
        <v>-9.7399999999999984</v>
      </c>
      <c r="K297" s="72">
        <f>Target1[[#This Row],[Target Price]]/$B$2*100</f>
        <v>158.5805700988947</v>
      </c>
      <c r="R297">
        <f>B298/Target1[[#This Row],[Target Price]]-1</f>
        <v>4.4020542920029104E-3</v>
      </c>
    </row>
    <row r="298" spans="1:18">
      <c r="A298" s="96">
        <v>43717</v>
      </c>
      <c r="B298" s="101">
        <v>27.38</v>
      </c>
      <c r="C298" s="4">
        <f t="shared" si="12"/>
        <v>4.3923935919162509E-3</v>
      </c>
      <c r="D298" s="4">
        <f>IFERROR(Target1[[#This Row],[Target Return]]+1,"-")</f>
        <v>1.0043923935919163</v>
      </c>
      <c r="E298" s="6">
        <f>B298-MAX($B$2:B298)</f>
        <v>-9.620000000000001</v>
      </c>
      <c r="F298" s="80">
        <f t="shared" si="13"/>
        <v>100</v>
      </c>
      <c r="G298" s="77">
        <f>Target1[[#This Row],[Target Drawdown]]/MAX($B$2:B298)</f>
        <v>-0.26</v>
      </c>
      <c r="H298" s="1" t="str">
        <f>IF(SUM(COUNTIF(Benchmark1[Benchmark '#1 Dates],Target1[[#This Row],[Target Dates]]),COUNTIF(Benchmark2[Benchmark '#2 Dates],Target1[[#This Row],[Target Dates]]))=2,"Pass","Fail")</f>
        <v>Pass</v>
      </c>
      <c r="I298" s="78">
        <f t="shared" si="14"/>
        <v>-9.620000000000001</v>
      </c>
      <c r="K298" s="72">
        <f>Target1[[#This Row],[Target Price]]/$B$2*100</f>
        <v>159.2786503781268</v>
      </c>
      <c r="R298">
        <f>B299/Target1[[#This Row],[Target Price]]-1</f>
        <v>-1.753104455807164E-2</v>
      </c>
    </row>
    <row r="299" spans="1:18">
      <c r="A299" s="96">
        <v>43718</v>
      </c>
      <c r="B299" s="101">
        <v>26.9</v>
      </c>
      <c r="C299" s="4">
        <f t="shared" si="12"/>
        <v>-1.7686533252509466E-2</v>
      </c>
      <c r="D299" s="4">
        <f>IFERROR(Target1[[#This Row],[Target Return]]+1,"-")</f>
        <v>0.98231346674749054</v>
      </c>
      <c r="E299" s="6">
        <f>B299-MAX($B$2:B299)</f>
        <v>-10.100000000000001</v>
      </c>
      <c r="F299" s="80">
        <f t="shared" si="13"/>
        <v>101</v>
      </c>
      <c r="G299" s="77">
        <f>Target1[[#This Row],[Target Drawdown]]/MAX($B$2:B299)</f>
        <v>-0.27297297297297302</v>
      </c>
      <c r="H299" s="1" t="str">
        <f>IF(SUM(COUNTIF(Benchmark1[Benchmark '#1 Dates],Target1[[#This Row],[Target Dates]]),COUNTIF(Benchmark2[Benchmark '#2 Dates],Target1[[#This Row],[Target Dates]]))=2,"Pass","Fail")</f>
        <v>Pass</v>
      </c>
      <c r="I299" s="78">
        <f t="shared" si="14"/>
        <v>-10.100000000000001</v>
      </c>
      <c r="K299" s="72">
        <f>Target1[[#This Row],[Target Price]]/$B$2*100</f>
        <v>156.48632926119834</v>
      </c>
      <c r="R299">
        <f>B300/Target1[[#This Row],[Target Price]]-1</f>
        <v>5.8364312267658036E-2</v>
      </c>
    </row>
    <row r="300" spans="1:18">
      <c r="A300" s="96">
        <v>43719</v>
      </c>
      <c r="B300" s="101">
        <v>28.47</v>
      </c>
      <c r="C300" s="4">
        <f t="shared" si="12"/>
        <v>5.6724614682152806E-2</v>
      </c>
      <c r="D300" s="4">
        <f>IFERROR(Target1[[#This Row],[Target Return]]+1,"-")</f>
        <v>1.0567246146821527</v>
      </c>
      <c r="E300" s="6">
        <f>B300-MAX($B$2:B300)</f>
        <v>-8.5300000000000011</v>
      </c>
      <c r="F300" s="80">
        <f t="shared" si="13"/>
        <v>102</v>
      </c>
      <c r="G300" s="77">
        <f>Target1[[#This Row],[Target Drawdown]]/MAX($B$2:B300)</f>
        <v>-0.23054054054054057</v>
      </c>
      <c r="H300" s="1" t="str">
        <f>IF(SUM(COUNTIF(Benchmark1[Benchmark '#1 Dates],Target1[[#This Row],[Target Dates]]),COUNTIF(Benchmark2[Benchmark '#2 Dates],Target1[[#This Row],[Target Dates]]))=2,"Pass","Fail")</f>
        <v>Pass</v>
      </c>
      <c r="I300" s="78">
        <f t="shared" si="14"/>
        <v>-8.5300000000000011</v>
      </c>
      <c r="K300" s="72">
        <f>Target1[[#This Row],[Target Price]]/$B$2*100</f>
        <v>165.61954624781848</v>
      </c>
      <c r="R300">
        <f>B301/Target1[[#This Row],[Target Price]]-1</f>
        <v>2.1074815595363283E-3</v>
      </c>
    </row>
    <row r="301" spans="1:18">
      <c r="A301" s="96">
        <v>43720</v>
      </c>
      <c r="B301" s="101">
        <v>28.53</v>
      </c>
      <c r="C301" s="4">
        <f t="shared" si="12"/>
        <v>2.1052639354624146E-3</v>
      </c>
      <c r="D301" s="4">
        <f>IFERROR(Target1[[#This Row],[Target Return]]+1,"-")</f>
        <v>1.0021052639354624</v>
      </c>
      <c r="E301" s="6">
        <f>B301-MAX($B$2:B301)</f>
        <v>-8.4699999999999989</v>
      </c>
      <c r="F301" s="80">
        <f t="shared" si="13"/>
        <v>103</v>
      </c>
      <c r="G301" s="77">
        <f>Target1[[#This Row],[Target Drawdown]]/MAX($B$2:B301)</f>
        <v>-0.22891891891891888</v>
      </c>
      <c r="H301" s="1" t="str">
        <f>IF(SUM(COUNTIF(Benchmark1[Benchmark '#1 Dates],Target1[[#This Row],[Target Dates]]),COUNTIF(Benchmark2[Benchmark '#2 Dates],Target1[[#This Row],[Target Dates]]))=2,"Pass","Fail")</f>
        <v>Pass</v>
      </c>
      <c r="I301" s="78">
        <f t="shared" si="14"/>
        <v>-8.4699999999999989</v>
      </c>
      <c r="K301" s="72">
        <f>Target1[[#This Row],[Target Price]]/$B$2*100</f>
        <v>165.96858638743456</v>
      </c>
      <c r="R301">
        <f>B302/Target1[[#This Row],[Target Price]]-1</f>
        <v>6.3091482649841879E-3</v>
      </c>
    </row>
    <row r="302" spans="1:18">
      <c r="A302" s="96">
        <v>43721</v>
      </c>
      <c r="B302" s="101">
        <v>28.71</v>
      </c>
      <c r="C302" s="4">
        <f t="shared" si="12"/>
        <v>6.2893289075639184E-3</v>
      </c>
      <c r="D302" s="4">
        <f>IFERROR(Target1[[#This Row],[Target Return]]+1,"-")</f>
        <v>1.0062893289075638</v>
      </c>
      <c r="E302" s="6">
        <f>B302-MAX($B$2:B302)</f>
        <v>-8.2899999999999991</v>
      </c>
      <c r="F302" s="80">
        <f t="shared" si="13"/>
        <v>104</v>
      </c>
      <c r="G302" s="77">
        <f>Target1[[#This Row],[Target Drawdown]]/MAX($B$2:B302)</f>
        <v>-0.22405405405405404</v>
      </c>
      <c r="H302" s="1" t="str">
        <f>IF(SUM(COUNTIF(Benchmark1[Benchmark '#1 Dates],Target1[[#This Row],[Target Dates]]),COUNTIF(Benchmark2[Benchmark '#2 Dates],Target1[[#This Row],[Target Dates]]))=2,"Pass","Fail")</f>
        <v>Pass</v>
      </c>
      <c r="I302" s="78">
        <f t="shared" si="14"/>
        <v>-8.2899999999999991</v>
      </c>
      <c r="K302" s="72">
        <f>Target1[[#This Row],[Target Price]]/$B$2*100</f>
        <v>167.01570680628271</v>
      </c>
      <c r="R302">
        <f>B303/Target1[[#This Row],[Target Price]]-1</f>
        <v>1.9157088122605304E-2</v>
      </c>
    </row>
    <row r="303" spans="1:18">
      <c r="A303" s="96">
        <v>43724</v>
      </c>
      <c r="B303" s="101">
        <v>29.26</v>
      </c>
      <c r="C303" s="4">
        <f t="shared" si="12"/>
        <v>1.8975901459005604E-2</v>
      </c>
      <c r="D303" s="4">
        <f>IFERROR(Target1[[#This Row],[Target Return]]+1,"-")</f>
        <v>1.0189759014590056</v>
      </c>
      <c r="E303" s="6">
        <f>B303-MAX($B$2:B303)</f>
        <v>-7.7399999999999984</v>
      </c>
      <c r="F303" s="80">
        <f t="shared" si="13"/>
        <v>105</v>
      </c>
      <c r="G303" s="77">
        <f>Target1[[#This Row],[Target Drawdown]]/MAX($B$2:B303)</f>
        <v>-0.20918918918918913</v>
      </c>
      <c r="H303" s="1" t="str">
        <f>IF(SUM(COUNTIF(Benchmark1[Benchmark '#1 Dates],Target1[[#This Row],[Target Dates]]),COUNTIF(Benchmark2[Benchmark '#2 Dates],Target1[[#This Row],[Target Dates]]))=2,"Pass","Fail")</f>
        <v>Pass</v>
      </c>
      <c r="I303" s="78">
        <f t="shared" si="14"/>
        <v>-7.7399999999999984</v>
      </c>
      <c r="K303" s="72">
        <f>Target1[[#This Row],[Target Price]]/$B$2*100</f>
        <v>170.2152414194299</v>
      </c>
      <c r="R303">
        <f>B304/Target1[[#This Row],[Target Price]]-1</f>
        <v>-1.9138755980861344E-2</v>
      </c>
    </row>
    <row r="304" spans="1:18">
      <c r="A304" s="96">
        <v>43725</v>
      </c>
      <c r="B304" s="101">
        <v>28.7</v>
      </c>
      <c r="C304" s="4">
        <f t="shared" si="12"/>
        <v>-1.9324272826402929E-2</v>
      </c>
      <c r="D304" s="4">
        <f>IFERROR(Target1[[#This Row],[Target Return]]+1,"-")</f>
        <v>0.98067572717359708</v>
      </c>
      <c r="E304" s="6">
        <f>B304-MAX($B$2:B304)</f>
        <v>-8.3000000000000007</v>
      </c>
      <c r="F304" s="80">
        <f t="shared" si="13"/>
        <v>106</v>
      </c>
      <c r="G304" s="77">
        <f>Target1[[#This Row],[Target Drawdown]]/MAX($B$2:B304)</f>
        <v>-0.22432432432432434</v>
      </c>
      <c r="H304" s="1" t="str">
        <f>IF(SUM(COUNTIF(Benchmark1[Benchmark '#1 Dates],Target1[[#This Row],[Target Dates]]),COUNTIF(Benchmark2[Benchmark '#2 Dates],Target1[[#This Row],[Target Dates]]))=2,"Pass","Fail")</f>
        <v>Pass</v>
      </c>
      <c r="I304" s="78">
        <f t="shared" si="14"/>
        <v>-8.3000000000000007</v>
      </c>
      <c r="K304" s="72">
        <f>Target1[[#This Row],[Target Price]]/$B$2*100</f>
        <v>166.95753344968003</v>
      </c>
      <c r="R304">
        <f>B305/Target1[[#This Row],[Target Price]]-1</f>
        <v>-8.3623693379790698E-3</v>
      </c>
    </row>
    <row r="305" spans="1:18">
      <c r="A305" s="96">
        <v>43726</v>
      </c>
      <c r="B305" s="101">
        <v>28.46</v>
      </c>
      <c r="C305" s="4">
        <f t="shared" si="12"/>
        <v>-8.3975301038690907E-3</v>
      </c>
      <c r="D305" s="4">
        <f>IFERROR(Target1[[#This Row],[Target Return]]+1,"-")</f>
        <v>0.99160246989613088</v>
      </c>
      <c r="E305" s="6">
        <f>B305-MAX($B$2:B305)</f>
        <v>-8.5399999999999991</v>
      </c>
      <c r="F305" s="80">
        <f t="shared" si="13"/>
        <v>107</v>
      </c>
      <c r="G305" s="77">
        <f>Target1[[#This Row],[Target Drawdown]]/MAX($B$2:B305)</f>
        <v>-0.23081081081081078</v>
      </c>
      <c r="H305" s="1" t="str">
        <f>IF(SUM(COUNTIF(Benchmark1[Benchmark '#1 Dates],Target1[[#This Row],[Target Dates]]),COUNTIF(Benchmark2[Benchmark '#2 Dates],Target1[[#This Row],[Target Dates]]))=2,"Pass","Fail")</f>
        <v>Pass</v>
      </c>
      <c r="I305" s="78">
        <f t="shared" si="14"/>
        <v>-8.5399999999999991</v>
      </c>
      <c r="K305" s="72">
        <f>Target1[[#This Row],[Target Price]]/$B$2*100</f>
        <v>165.56137289121583</v>
      </c>
      <c r="R305">
        <f>B306/Target1[[#This Row],[Target Price]]-1</f>
        <v>-1.018973998594519E-2</v>
      </c>
    </row>
    <row r="306" spans="1:18">
      <c r="A306" s="96">
        <v>43727</v>
      </c>
      <c r="B306" s="101">
        <v>28.17</v>
      </c>
      <c r="C306" s="4">
        <f t="shared" si="12"/>
        <v>-1.0242010773425082E-2</v>
      </c>
      <c r="D306" s="4">
        <f>IFERROR(Target1[[#This Row],[Target Return]]+1,"-")</f>
        <v>0.98975798922657487</v>
      </c>
      <c r="E306" s="6">
        <f>B306-MAX($B$2:B306)</f>
        <v>-8.8299999999999983</v>
      </c>
      <c r="F306" s="80">
        <f t="shared" si="13"/>
        <v>108</v>
      </c>
      <c r="G306" s="77">
        <f>Target1[[#This Row],[Target Drawdown]]/MAX($B$2:B306)</f>
        <v>-0.2386486486486486</v>
      </c>
      <c r="H306" s="1" t="str">
        <f>IF(SUM(COUNTIF(Benchmark1[Benchmark '#1 Dates],Target1[[#This Row],[Target Dates]]),COUNTIF(Benchmark2[Benchmark '#2 Dates],Target1[[#This Row],[Target Dates]]))=2,"Pass","Fail")</f>
        <v>Pass</v>
      </c>
      <c r="I306" s="78">
        <f t="shared" si="14"/>
        <v>-8.8299999999999983</v>
      </c>
      <c r="K306" s="72">
        <f>Target1[[#This Row],[Target Price]]/$B$2*100</f>
        <v>163.87434554973822</v>
      </c>
      <c r="R306">
        <f>B307/Target1[[#This Row],[Target Price]]-1</f>
        <v>-7.454739084132056E-2</v>
      </c>
    </row>
    <row r="307" spans="1:18">
      <c r="A307" s="96">
        <v>43728</v>
      </c>
      <c r="B307" s="101">
        <v>26.07</v>
      </c>
      <c r="C307" s="4">
        <f t="shared" si="12"/>
        <v>-7.7472353942870872E-2</v>
      </c>
      <c r="D307" s="4">
        <f>IFERROR(Target1[[#This Row],[Target Return]]+1,"-")</f>
        <v>0.92252764605712911</v>
      </c>
      <c r="E307" s="6">
        <f>B307-MAX($B$2:B307)</f>
        <v>-10.93</v>
      </c>
      <c r="F307" s="80">
        <f t="shared" si="13"/>
        <v>109</v>
      </c>
      <c r="G307" s="77">
        <f>Target1[[#This Row],[Target Drawdown]]/MAX($B$2:B307)</f>
        <v>-0.29540540540540539</v>
      </c>
      <c r="H307" s="1" t="str">
        <f>IF(SUM(COUNTIF(Benchmark1[Benchmark '#1 Dates],Target1[[#This Row],[Target Dates]]),COUNTIF(Benchmark2[Benchmark '#2 Dates],Target1[[#This Row],[Target Dates]]))=2,"Pass","Fail")</f>
        <v>Pass</v>
      </c>
      <c r="I307" s="78">
        <f t="shared" si="14"/>
        <v>-10.93</v>
      </c>
      <c r="K307" s="72">
        <f>Target1[[#This Row],[Target Price]]/$B$2*100</f>
        <v>151.65794066317625</v>
      </c>
      <c r="R307">
        <f>B308/Target1[[#This Row],[Target Price]]-1</f>
        <v>3.7591100882240047E-2</v>
      </c>
    </row>
    <row r="308" spans="1:18">
      <c r="A308" s="96">
        <v>43731</v>
      </c>
      <c r="B308" s="101">
        <v>27.05</v>
      </c>
      <c r="C308" s="4">
        <f t="shared" si="12"/>
        <v>3.6901777347080091E-2</v>
      </c>
      <c r="D308" s="4">
        <f>IFERROR(Target1[[#This Row],[Target Return]]+1,"-")</f>
        <v>1.0369017773470801</v>
      </c>
      <c r="E308" s="6">
        <f>B308-MAX($B$2:B308)</f>
        <v>-9.9499999999999993</v>
      </c>
      <c r="F308" s="80">
        <f t="shared" si="13"/>
        <v>110</v>
      </c>
      <c r="G308" s="77">
        <f>Target1[[#This Row],[Target Drawdown]]/MAX($B$2:B308)</f>
        <v>-0.26891891891891889</v>
      </c>
      <c r="H308" s="1" t="str">
        <f>IF(SUM(COUNTIF(Benchmark1[Benchmark '#1 Dates],Target1[[#This Row],[Target Dates]]),COUNTIF(Benchmark2[Benchmark '#2 Dates],Target1[[#This Row],[Target Dates]]))=2,"Pass","Fail")</f>
        <v>Pass</v>
      </c>
      <c r="I308" s="78">
        <f t="shared" si="14"/>
        <v>-9.9499999999999993</v>
      </c>
      <c r="K308" s="72">
        <f>Target1[[#This Row],[Target Price]]/$B$2*100</f>
        <v>157.3589296102385</v>
      </c>
      <c r="R308">
        <f>B309/Target1[[#This Row],[Target Price]]-1</f>
        <v>1.848428835489857E-3</v>
      </c>
    </row>
    <row r="309" spans="1:18">
      <c r="A309" s="96">
        <v>43732</v>
      </c>
      <c r="B309" s="101">
        <v>27.1</v>
      </c>
      <c r="C309" s="4">
        <f t="shared" si="12"/>
        <v>1.8467225931647112E-3</v>
      </c>
      <c r="D309" s="4">
        <f>IFERROR(Target1[[#This Row],[Target Return]]+1,"-")</f>
        <v>1.0018467225931647</v>
      </c>
      <c r="E309" s="6">
        <f>B309-MAX($B$2:B309)</f>
        <v>-9.8999999999999986</v>
      </c>
      <c r="F309" s="80">
        <f t="shared" si="13"/>
        <v>111</v>
      </c>
      <c r="G309" s="77">
        <f>Target1[[#This Row],[Target Drawdown]]/MAX($B$2:B309)</f>
        <v>-0.26756756756756755</v>
      </c>
      <c r="H309" s="1" t="str">
        <f>IF(SUM(COUNTIF(Benchmark1[Benchmark '#1 Dates],Target1[[#This Row],[Target Dates]]),COUNTIF(Benchmark2[Benchmark '#2 Dates],Target1[[#This Row],[Target Dates]]))=2,"Pass","Fail")</f>
        <v>Pass</v>
      </c>
      <c r="I309" s="78">
        <f t="shared" si="14"/>
        <v>-9.8999999999999986</v>
      </c>
      <c r="K309" s="72">
        <f>Target1[[#This Row],[Target Price]]/$B$2*100</f>
        <v>157.6497963932519</v>
      </c>
      <c r="R309">
        <f>B310/Target1[[#This Row],[Target Price]]-1</f>
        <v>-7.7490774907749138E-3</v>
      </c>
    </row>
    <row r="310" spans="1:18">
      <c r="A310" s="96">
        <v>43733</v>
      </c>
      <c r="B310" s="101">
        <v>26.89</v>
      </c>
      <c r="C310" s="4">
        <f t="shared" si="12"/>
        <v>-7.779257604881921E-3</v>
      </c>
      <c r="D310" s="4">
        <f>IFERROR(Target1[[#This Row],[Target Return]]+1,"-")</f>
        <v>0.99222074239511804</v>
      </c>
      <c r="E310" s="6">
        <f>B310-MAX($B$2:B310)</f>
        <v>-10.11</v>
      </c>
      <c r="F310" s="80">
        <f t="shared" si="13"/>
        <v>112</v>
      </c>
      <c r="G310" s="77">
        <f>Target1[[#This Row],[Target Drawdown]]/MAX($B$2:B310)</f>
        <v>-0.27324324324324323</v>
      </c>
      <c r="H310" s="1" t="str">
        <f>IF(SUM(COUNTIF(Benchmark1[Benchmark '#1 Dates],Target1[[#This Row],[Target Dates]]),COUNTIF(Benchmark2[Benchmark '#2 Dates],Target1[[#This Row],[Target Dates]]))=2,"Pass","Fail")</f>
        <v>Pass</v>
      </c>
      <c r="I310" s="78">
        <f t="shared" si="14"/>
        <v>-10.11</v>
      </c>
      <c r="K310" s="72">
        <f>Target1[[#This Row],[Target Price]]/$B$2*100</f>
        <v>156.42815590459568</v>
      </c>
      <c r="R310">
        <f>B311/Target1[[#This Row],[Target Price]]-1</f>
        <v>-1.74786165860914E-2</v>
      </c>
    </row>
    <row r="311" spans="1:18">
      <c r="A311" s="96">
        <v>43734</v>
      </c>
      <c r="B311" s="101">
        <v>26.42</v>
      </c>
      <c r="C311" s="4">
        <f t="shared" si="12"/>
        <v>-1.7633171186593955E-2</v>
      </c>
      <c r="D311" s="4">
        <f>IFERROR(Target1[[#This Row],[Target Return]]+1,"-")</f>
        <v>0.98236682881340609</v>
      </c>
      <c r="E311" s="6">
        <f>B311-MAX($B$2:B311)</f>
        <v>-10.579999999999998</v>
      </c>
      <c r="F311" s="80">
        <f t="shared" si="13"/>
        <v>113</v>
      </c>
      <c r="G311" s="77">
        <f>Target1[[#This Row],[Target Drawdown]]/MAX($B$2:B311)</f>
        <v>-0.28594594594594591</v>
      </c>
      <c r="H311" s="1" t="str">
        <f>IF(SUM(COUNTIF(Benchmark1[Benchmark '#1 Dates],Target1[[#This Row],[Target Dates]]),COUNTIF(Benchmark2[Benchmark '#2 Dates],Target1[[#This Row],[Target Dates]]))=2,"Pass","Fail")</f>
        <v>Pass</v>
      </c>
      <c r="I311" s="78">
        <f t="shared" si="14"/>
        <v>-10.579999999999998</v>
      </c>
      <c r="K311" s="72">
        <f>Target1[[#This Row],[Target Price]]/$B$2*100</f>
        <v>153.69400814426993</v>
      </c>
      <c r="R311">
        <f>B312/Target1[[#This Row],[Target Price]]-1</f>
        <v>2.2710068130202821E-3</v>
      </c>
    </row>
    <row r="312" spans="1:18">
      <c r="A312" s="96">
        <v>43735</v>
      </c>
      <c r="B312" s="101">
        <v>26.48</v>
      </c>
      <c r="C312" s="4">
        <f t="shared" si="12"/>
        <v>2.2684319746280441E-3</v>
      </c>
      <c r="D312" s="4">
        <f>IFERROR(Target1[[#This Row],[Target Return]]+1,"-")</f>
        <v>1.002268431974628</v>
      </c>
      <c r="E312" s="6">
        <f>B312-MAX($B$2:B312)</f>
        <v>-10.52</v>
      </c>
      <c r="F312" s="80">
        <f t="shared" si="13"/>
        <v>114</v>
      </c>
      <c r="G312" s="77">
        <f>Target1[[#This Row],[Target Drawdown]]/MAX($B$2:B312)</f>
        <v>-0.28432432432432431</v>
      </c>
      <c r="H312" s="1" t="str">
        <f>IF(SUM(COUNTIF(Benchmark1[Benchmark '#1 Dates],Target1[[#This Row],[Target Dates]]),COUNTIF(Benchmark2[Benchmark '#2 Dates],Target1[[#This Row],[Target Dates]]))=2,"Pass","Fail")</f>
        <v>Pass</v>
      </c>
      <c r="I312" s="78">
        <f t="shared" si="14"/>
        <v>-10.52</v>
      </c>
      <c r="K312" s="72">
        <f>Target1[[#This Row],[Target Price]]/$B$2*100</f>
        <v>154.04304828388598</v>
      </c>
      <c r="R312">
        <f>B313/Target1[[#This Row],[Target Price]]-1</f>
        <v>-3.0211480362538623E-3</v>
      </c>
    </row>
    <row r="313" spans="1:18">
      <c r="A313" s="96">
        <v>43738</v>
      </c>
      <c r="B313" s="101">
        <v>26.4</v>
      </c>
      <c r="C313" s="4">
        <f t="shared" si="12"/>
        <v>-3.0257209165370676E-3</v>
      </c>
      <c r="D313" s="4">
        <f>IFERROR(Target1[[#This Row],[Target Return]]+1,"-")</f>
        <v>0.99697427908346292</v>
      </c>
      <c r="E313" s="6">
        <f>B313-MAX($B$2:B313)</f>
        <v>-10.600000000000001</v>
      </c>
      <c r="F313" s="80">
        <f t="shared" si="13"/>
        <v>115</v>
      </c>
      <c r="G313" s="77">
        <f>Target1[[#This Row],[Target Drawdown]]/MAX($B$2:B313)</f>
        <v>-0.2864864864864865</v>
      </c>
      <c r="H313" s="1" t="str">
        <f>IF(SUM(COUNTIF(Benchmark1[Benchmark '#1 Dates],Target1[[#This Row],[Target Dates]]),COUNTIF(Benchmark2[Benchmark '#2 Dates],Target1[[#This Row],[Target Dates]]))=2,"Pass","Fail")</f>
        <v>Pass</v>
      </c>
      <c r="I313" s="78">
        <f t="shared" si="14"/>
        <v>-10.600000000000001</v>
      </c>
      <c r="K313" s="72">
        <f>Target1[[#This Row],[Target Price]]/$B$2*100</f>
        <v>153.57766143106454</v>
      </c>
      <c r="R313">
        <f>B314/Target1[[#This Row],[Target Price]]-1</f>
        <v>1.5151515151516914E-3</v>
      </c>
    </row>
    <row r="314" spans="1:18">
      <c r="A314" s="96">
        <v>43739</v>
      </c>
      <c r="B314" s="101">
        <v>26.44</v>
      </c>
      <c r="C314" s="4">
        <f t="shared" si="12"/>
        <v>1.5140048312152329E-3</v>
      </c>
      <c r="D314" s="4">
        <f>IFERROR(Target1[[#This Row],[Target Return]]+1,"-")</f>
        <v>1.0015140048312152</v>
      </c>
      <c r="E314" s="6">
        <f>B314-MAX($B$2:B314)</f>
        <v>-10.559999999999999</v>
      </c>
      <c r="F314" s="80">
        <f t="shared" si="13"/>
        <v>116</v>
      </c>
      <c r="G314" s="77">
        <f>Target1[[#This Row],[Target Drawdown]]/MAX($B$2:B314)</f>
        <v>-0.28540540540540538</v>
      </c>
      <c r="H314" s="1" t="str">
        <f>IF(SUM(COUNTIF(Benchmark1[Benchmark '#1 Dates],Target1[[#This Row],[Target Dates]]),COUNTIF(Benchmark2[Benchmark '#2 Dates],Target1[[#This Row],[Target Dates]]))=2,"Pass","Fail")</f>
        <v>Pass</v>
      </c>
      <c r="I314" s="78">
        <f t="shared" si="14"/>
        <v>-10.559999999999999</v>
      </c>
      <c r="K314" s="72">
        <f>Target1[[#This Row],[Target Price]]/$B$2*100</f>
        <v>153.81035485747526</v>
      </c>
      <c r="R314">
        <f>B315/Target1[[#This Row],[Target Price]]-1</f>
        <v>-3.7821482602118373E-4</v>
      </c>
    </row>
    <row r="315" spans="1:18">
      <c r="A315" s="96">
        <v>43740</v>
      </c>
      <c r="B315" s="101">
        <v>26.43</v>
      </c>
      <c r="C315" s="4">
        <f t="shared" si="12"/>
        <v>-3.7828636728770863E-4</v>
      </c>
      <c r="D315" s="4">
        <f>IFERROR(Target1[[#This Row],[Target Return]]+1,"-")</f>
        <v>0.99962171363271224</v>
      </c>
      <c r="E315" s="6">
        <f>B315-MAX($B$2:B315)</f>
        <v>-10.57</v>
      </c>
      <c r="F315" s="80">
        <f t="shared" si="13"/>
        <v>117</v>
      </c>
      <c r="G315" s="77">
        <f>Target1[[#This Row],[Target Drawdown]]/MAX($B$2:B315)</f>
        <v>-0.2856756756756757</v>
      </c>
      <c r="H315" s="1" t="str">
        <f>IF(SUM(COUNTIF(Benchmark1[Benchmark '#1 Dates],Target1[[#This Row],[Target Dates]]),COUNTIF(Benchmark2[Benchmark '#2 Dates],Target1[[#This Row],[Target Dates]]))=2,"Pass","Fail")</f>
        <v>Pass</v>
      </c>
      <c r="I315" s="78">
        <f t="shared" si="14"/>
        <v>-10.57</v>
      </c>
      <c r="K315" s="72">
        <f>Target1[[#This Row],[Target Price]]/$B$2*100</f>
        <v>153.75218150087261</v>
      </c>
      <c r="R315">
        <f>B316/Target1[[#This Row],[Target Price]]-1</f>
        <v>-1.2485811577752526E-2</v>
      </c>
    </row>
    <row r="316" spans="1:18">
      <c r="A316" s="96">
        <v>43741</v>
      </c>
      <c r="B316" s="101">
        <v>26.1</v>
      </c>
      <c r="C316" s="4">
        <f t="shared" si="12"/>
        <v>-1.2564414287550077E-2</v>
      </c>
      <c r="D316" s="4">
        <f>IFERROR(Target1[[#This Row],[Target Return]]+1,"-")</f>
        <v>0.98743558571244994</v>
      </c>
      <c r="E316" s="6">
        <f>B316-MAX($B$2:B316)</f>
        <v>-10.899999999999999</v>
      </c>
      <c r="F316" s="80">
        <f t="shared" si="13"/>
        <v>118</v>
      </c>
      <c r="G316" s="77">
        <f>Target1[[#This Row],[Target Drawdown]]/MAX($B$2:B316)</f>
        <v>-0.29459459459459458</v>
      </c>
      <c r="H316" s="1" t="str">
        <f>IF(SUM(COUNTIF(Benchmark1[Benchmark '#1 Dates],Target1[[#This Row],[Target Dates]]),COUNTIF(Benchmark2[Benchmark '#2 Dates],Target1[[#This Row],[Target Dates]]))=2,"Pass","Fail")</f>
        <v>Pass</v>
      </c>
      <c r="I316" s="78">
        <f t="shared" si="14"/>
        <v>-10.899999999999999</v>
      </c>
      <c r="K316" s="72">
        <f>Target1[[#This Row],[Target Price]]/$B$2*100</f>
        <v>151.83246073298429</v>
      </c>
      <c r="R316">
        <f>B317/Target1[[#This Row],[Target Price]]-1</f>
        <v>5.7471264367816577E-3</v>
      </c>
    </row>
    <row r="317" spans="1:18">
      <c r="A317" s="96">
        <v>43742</v>
      </c>
      <c r="B317" s="101">
        <v>26.25</v>
      </c>
      <c r="C317" s="4">
        <f t="shared" si="12"/>
        <v>5.7306747089850745E-3</v>
      </c>
      <c r="D317" s="4">
        <f>IFERROR(Target1[[#This Row],[Target Return]]+1,"-")</f>
        <v>1.0057306747089851</v>
      </c>
      <c r="E317" s="6">
        <f>B317-MAX($B$2:B317)</f>
        <v>-10.75</v>
      </c>
      <c r="F317" s="80">
        <f t="shared" si="13"/>
        <v>119</v>
      </c>
      <c r="G317" s="77">
        <f>Target1[[#This Row],[Target Drawdown]]/MAX($B$2:B317)</f>
        <v>-0.29054054054054052</v>
      </c>
      <c r="H317" s="1" t="str">
        <f>IF(SUM(COUNTIF(Benchmark1[Benchmark '#1 Dates],Target1[[#This Row],[Target Dates]]),COUNTIF(Benchmark2[Benchmark '#2 Dates],Target1[[#This Row],[Target Dates]]))=2,"Pass","Fail")</f>
        <v>Pass</v>
      </c>
      <c r="I317" s="78">
        <f t="shared" si="14"/>
        <v>-10.75</v>
      </c>
      <c r="K317" s="72">
        <f>Target1[[#This Row],[Target Price]]/$B$2*100</f>
        <v>152.70506108202443</v>
      </c>
      <c r="R317">
        <f>B318/Target1[[#This Row],[Target Price]]-1</f>
        <v>-2.2857142857142243E-3</v>
      </c>
    </row>
    <row r="318" spans="1:18">
      <c r="A318" s="96">
        <v>43745</v>
      </c>
      <c r="B318" s="101">
        <v>26.19</v>
      </c>
      <c r="C318" s="4">
        <f t="shared" si="12"/>
        <v>-2.2883305180121626E-3</v>
      </c>
      <c r="D318" s="4">
        <f>IFERROR(Target1[[#This Row],[Target Return]]+1,"-")</f>
        <v>0.99771166948198786</v>
      </c>
      <c r="E318" s="6">
        <f>B318-MAX($B$2:B318)</f>
        <v>-10.809999999999999</v>
      </c>
      <c r="F318" s="80">
        <f t="shared" si="13"/>
        <v>120</v>
      </c>
      <c r="G318" s="77">
        <f>Target1[[#This Row],[Target Drawdown]]/MAX($B$2:B318)</f>
        <v>-0.29216216216216212</v>
      </c>
      <c r="H318" s="1" t="str">
        <f>IF(SUM(COUNTIF(Benchmark1[Benchmark '#1 Dates],Target1[[#This Row],[Target Dates]]),COUNTIF(Benchmark2[Benchmark '#2 Dates],Target1[[#This Row],[Target Dates]]))=2,"Pass","Fail")</f>
        <v>Pass</v>
      </c>
      <c r="I318" s="78">
        <f t="shared" si="14"/>
        <v>-10.809999999999999</v>
      </c>
      <c r="K318" s="72">
        <f>Target1[[#This Row],[Target Price]]/$B$2*100</f>
        <v>152.35602094240838</v>
      </c>
      <c r="R318">
        <f>B319/Target1[[#This Row],[Target Price]]-1</f>
        <v>-1.9473081328751474E-2</v>
      </c>
    </row>
    <row r="319" spans="1:18">
      <c r="A319" s="96">
        <v>43746</v>
      </c>
      <c r="B319" s="101">
        <v>25.68</v>
      </c>
      <c r="C319" s="4">
        <f t="shared" si="12"/>
        <v>-1.9665179697860146E-2</v>
      </c>
      <c r="D319" s="4">
        <f>IFERROR(Target1[[#This Row],[Target Return]]+1,"-")</f>
        <v>0.98033482030213981</v>
      </c>
      <c r="E319" s="6">
        <f>B319-MAX($B$2:B319)</f>
        <v>-11.32</v>
      </c>
      <c r="F319" s="80">
        <f t="shared" si="13"/>
        <v>121</v>
      </c>
      <c r="G319" s="77">
        <f>Target1[[#This Row],[Target Drawdown]]/MAX($B$2:B319)</f>
        <v>-0.30594594594594593</v>
      </c>
      <c r="H319" s="1" t="str">
        <f>IF(SUM(COUNTIF(Benchmark1[Benchmark '#1 Dates],Target1[[#This Row],[Target Dates]]),COUNTIF(Benchmark2[Benchmark '#2 Dates],Target1[[#This Row],[Target Dates]]))=2,"Pass","Fail")</f>
        <v>Pass</v>
      </c>
      <c r="I319" s="78">
        <f t="shared" si="14"/>
        <v>-11.32</v>
      </c>
      <c r="K319" s="72">
        <f>Target1[[#This Row],[Target Price]]/$B$2*100</f>
        <v>149.3891797556719</v>
      </c>
      <c r="R319">
        <f>B320/Target1[[#This Row],[Target Price]]-1</f>
        <v>-3.8940809968848189E-3</v>
      </c>
    </row>
    <row r="320" spans="1:18">
      <c r="A320" s="96">
        <v>43747</v>
      </c>
      <c r="B320" s="101">
        <v>25.58</v>
      </c>
      <c r="C320" s="4">
        <f t="shared" si="12"/>
        <v>-3.9016826710638777E-3</v>
      </c>
      <c r="D320" s="4">
        <f>IFERROR(Target1[[#This Row],[Target Return]]+1,"-")</f>
        <v>0.99609831732893617</v>
      </c>
      <c r="E320" s="6">
        <f>B320-MAX($B$2:B320)</f>
        <v>-11.420000000000002</v>
      </c>
      <c r="F320" s="80">
        <f t="shared" si="13"/>
        <v>122</v>
      </c>
      <c r="G320" s="77">
        <f>Target1[[#This Row],[Target Drawdown]]/MAX($B$2:B320)</f>
        <v>-0.30864864864864872</v>
      </c>
      <c r="H320" s="1" t="str">
        <f>IF(SUM(COUNTIF(Benchmark1[Benchmark '#1 Dates],Target1[[#This Row],[Target Dates]]),COUNTIF(Benchmark2[Benchmark '#2 Dates],Target1[[#This Row],[Target Dates]]))=2,"Pass","Fail")</f>
        <v>Pass</v>
      </c>
      <c r="I320" s="78">
        <f t="shared" si="14"/>
        <v>-11.420000000000002</v>
      </c>
      <c r="K320" s="72">
        <f>Target1[[#This Row],[Target Price]]/$B$2*100</f>
        <v>148.80744618964513</v>
      </c>
      <c r="R320">
        <f>B321/Target1[[#This Row],[Target Price]]-1</f>
        <v>-1.0946051602814588E-2</v>
      </c>
    </row>
    <row r="321" spans="1:18">
      <c r="A321" s="96">
        <v>43748</v>
      </c>
      <c r="B321" s="101">
        <v>25.3</v>
      </c>
      <c r="C321" s="4">
        <f t="shared" si="12"/>
        <v>-1.1006400417221968E-2</v>
      </c>
      <c r="D321" s="4">
        <f>IFERROR(Target1[[#This Row],[Target Return]]+1,"-")</f>
        <v>0.98899359958277799</v>
      </c>
      <c r="E321" s="6">
        <f>B321-MAX($B$2:B321)</f>
        <v>-11.7</v>
      </c>
      <c r="F321" s="80">
        <f t="shared" si="13"/>
        <v>123</v>
      </c>
      <c r="G321" s="77">
        <f>Target1[[#This Row],[Target Drawdown]]/MAX($B$2:B321)</f>
        <v>-0.31621621621621621</v>
      </c>
      <c r="H321" s="1" t="str">
        <f>IF(SUM(COUNTIF(Benchmark1[Benchmark '#1 Dates],Target1[[#This Row],[Target Dates]]),COUNTIF(Benchmark2[Benchmark '#2 Dates],Target1[[#This Row],[Target Dates]]))=2,"Pass","Fail")</f>
        <v>Pass</v>
      </c>
      <c r="I321" s="78">
        <f t="shared" si="14"/>
        <v>-11.7</v>
      </c>
      <c r="K321" s="72">
        <f>Target1[[#This Row],[Target Price]]/$B$2*100</f>
        <v>147.17859220477021</v>
      </c>
      <c r="R321">
        <f>B322/Target1[[#This Row],[Target Price]]-1</f>
        <v>1.5810276679841806E-2</v>
      </c>
    </row>
    <row r="322" spans="1:18">
      <c r="A322" s="96">
        <v>43749</v>
      </c>
      <c r="B322" s="101">
        <v>25.7</v>
      </c>
      <c r="C322" s="4">
        <f t="shared" ref="C322:C385" si="15">IFERROR(IF(B322="","-",LN(B322/B321)),"-")</f>
        <v>1.5686596167699473E-2</v>
      </c>
      <c r="D322" s="4">
        <f>IFERROR(Target1[[#This Row],[Target Return]]+1,"-")</f>
        <v>1.0156865961676995</v>
      </c>
      <c r="E322" s="6">
        <f>B322-MAX($B$2:B322)</f>
        <v>-11.3</v>
      </c>
      <c r="F322" s="80">
        <f t="shared" ref="F322:F385" si="16">IF(E322=0,0,F321+1)</f>
        <v>124</v>
      </c>
      <c r="G322" s="77">
        <f>Target1[[#This Row],[Target Drawdown]]/MAX($B$2:B322)</f>
        <v>-0.30540540540540545</v>
      </c>
      <c r="H322" s="1" t="str">
        <f>IF(SUM(COUNTIF(Benchmark1[Benchmark '#1 Dates],Target1[[#This Row],[Target Dates]]),COUNTIF(Benchmark2[Benchmark '#2 Dates],Target1[[#This Row],[Target Dates]]))=2,"Pass","Fail")</f>
        <v>Pass</v>
      </c>
      <c r="I322" s="78">
        <f t="shared" ref="I322:I385" si="17">$E$2+E322</f>
        <v>-11.3</v>
      </c>
      <c r="K322" s="72">
        <f>Target1[[#This Row],[Target Price]]/$B$2*100</f>
        <v>149.50552646887724</v>
      </c>
      <c r="R322">
        <f>B323/Target1[[#This Row],[Target Price]]-1</f>
        <v>-5.4474708171206032E-3</v>
      </c>
    </row>
    <row r="323" spans="1:18">
      <c r="A323" s="96">
        <v>43752</v>
      </c>
      <c r="B323" s="101">
        <v>25.56</v>
      </c>
      <c r="C323" s="4">
        <f t="shared" si="15"/>
        <v>-5.4623623918400397E-3</v>
      </c>
      <c r="D323" s="4">
        <f>IFERROR(Target1[[#This Row],[Target Return]]+1,"-")</f>
        <v>0.99453763760815994</v>
      </c>
      <c r="E323" s="6">
        <f>B323-MAX($B$2:B323)</f>
        <v>-11.440000000000001</v>
      </c>
      <c r="F323" s="80">
        <f t="shared" si="16"/>
        <v>125</v>
      </c>
      <c r="G323" s="77">
        <f>Target1[[#This Row],[Target Drawdown]]/MAX($B$2:B323)</f>
        <v>-0.30918918918918925</v>
      </c>
      <c r="H323" s="1" t="str">
        <f>IF(SUM(COUNTIF(Benchmark1[Benchmark '#1 Dates],Target1[[#This Row],[Target Dates]]),COUNTIF(Benchmark2[Benchmark '#2 Dates],Target1[[#This Row],[Target Dates]]))=2,"Pass","Fail")</f>
        <v>Pass</v>
      </c>
      <c r="I323" s="78">
        <f t="shared" si="17"/>
        <v>-11.440000000000001</v>
      </c>
      <c r="K323" s="72">
        <f>Target1[[#This Row],[Target Price]]/$B$2*100</f>
        <v>148.69109947643977</v>
      </c>
      <c r="R323">
        <f>B324/Target1[[#This Row],[Target Price]]-1</f>
        <v>-1.4866979655712043E-2</v>
      </c>
    </row>
    <row r="324" spans="1:18">
      <c r="A324" s="96">
        <v>43753</v>
      </c>
      <c r="B324" s="101">
        <v>25.18</v>
      </c>
      <c r="C324" s="4">
        <f t="shared" si="15"/>
        <v>-1.4978600893132939E-2</v>
      </c>
      <c r="D324" s="4">
        <f>IFERROR(Target1[[#This Row],[Target Return]]+1,"-")</f>
        <v>0.98502139910686703</v>
      </c>
      <c r="E324" s="6">
        <f>B324-MAX($B$2:B324)</f>
        <v>-11.82</v>
      </c>
      <c r="F324" s="80">
        <f t="shared" si="16"/>
        <v>126</v>
      </c>
      <c r="G324" s="77">
        <f>Target1[[#This Row],[Target Drawdown]]/MAX($B$2:B324)</f>
        <v>-0.31945945945945947</v>
      </c>
      <c r="H324" s="1" t="str">
        <f>IF(SUM(COUNTIF(Benchmark1[Benchmark '#1 Dates],Target1[[#This Row],[Target Dates]]),COUNTIF(Benchmark2[Benchmark '#2 Dates],Target1[[#This Row],[Target Dates]]))=2,"Pass","Fail")</f>
        <v>Pass</v>
      </c>
      <c r="I324" s="78">
        <f t="shared" si="17"/>
        <v>-11.82</v>
      </c>
      <c r="K324" s="72">
        <f>Target1[[#This Row],[Target Price]]/$B$2*100</f>
        <v>146.48051192553808</v>
      </c>
      <c r="R324">
        <f>B325/Target1[[#This Row],[Target Price]]-1</f>
        <v>-4.3685464654487083E-3</v>
      </c>
    </row>
    <row r="325" spans="1:18">
      <c r="A325" s="96">
        <v>43754</v>
      </c>
      <c r="B325" s="101">
        <v>25.07</v>
      </c>
      <c r="C325" s="4">
        <f t="shared" si="15"/>
        <v>-4.3781164459990238E-3</v>
      </c>
      <c r="D325" s="4">
        <f>IFERROR(Target1[[#This Row],[Target Return]]+1,"-")</f>
        <v>0.99562188355400094</v>
      </c>
      <c r="E325" s="6">
        <f>B325-MAX($B$2:B325)</f>
        <v>-11.93</v>
      </c>
      <c r="F325" s="80">
        <f t="shared" si="16"/>
        <v>127</v>
      </c>
      <c r="G325" s="77">
        <f>Target1[[#This Row],[Target Drawdown]]/MAX($B$2:B325)</f>
        <v>-0.32243243243243241</v>
      </c>
      <c r="H325" s="1" t="str">
        <f>IF(SUM(COUNTIF(Benchmark1[Benchmark '#1 Dates],Target1[[#This Row],[Target Dates]]),COUNTIF(Benchmark2[Benchmark '#2 Dates],Target1[[#This Row],[Target Dates]]))=2,"Pass","Fail")</f>
        <v>Pass</v>
      </c>
      <c r="I325" s="78">
        <f t="shared" si="17"/>
        <v>-11.93</v>
      </c>
      <c r="K325" s="72">
        <f>Target1[[#This Row],[Target Price]]/$B$2*100</f>
        <v>145.84060500290866</v>
      </c>
      <c r="R325">
        <f>B326/Target1[[#This Row],[Target Price]]-1</f>
        <v>3.9888312724367658E-4</v>
      </c>
    </row>
    <row r="326" spans="1:18">
      <c r="A326" s="96">
        <v>43755</v>
      </c>
      <c r="B326" s="101">
        <v>25.08</v>
      </c>
      <c r="C326" s="4">
        <f t="shared" si="15"/>
        <v>3.9880359451788212E-4</v>
      </c>
      <c r="D326" s="4">
        <f>IFERROR(Target1[[#This Row],[Target Return]]+1,"-")</f>
        <v>1.0003988035945179</v>
      </c>
      <c r="E326" s="6">
        <f>B326-MAX($B$2:B326)</f>
        <v>-11.920000000000002</v>
      </c>
      <c r="F326" s="80">
        <f t="shared" si="16"/>
        <v>128</v>
      </c>
      <c r="G326" s="77">
        <f>Target1[[#This Row],[Target Drawdown]]/MAX($B$2:B326)</f>
        <v>-0.3221621621621622</v>
      </c>
      <c r="H326" s="1" t="str">
        <f>IF(SUM(COUNTIF(Benchmark1[Benchmark '#1 Dates],Target1[[#This Row],[Target Dates]]),COUNTIF(Benchmark2[Benchmark '#2 Dates],Target1[[#This Row],[Target Dates]]))=2,"Pass","Fail")</f>
        <v>Pass</v>
      </c>
      <c r="I326" s="78">
        <f t="shared" si="17"/>
        <v>-11.920000000000002</v>
      </c>
      <c r="K326" s="72">
        <f>Target1[[#This Row],[Target Price]]/$B$2*100</f>
        <v>145.89877835951134</v>
      </c>
      <c r="R326">
        <f>B327/Target1[[#This Row],[Target Price]]-1</f>
        <v>-1.3157894736842035E-2</v>
      </c>
    </row>
    <row r="327" spans="1:18">
      <c r="A327" s="96">
        <v>43756</v>
      </c>
      <c r="B327" s="101">
        <v>24.75</v>
      </c>
      <c r="C327" s="4">
        <f t="shared" si="15"/>
        <v>-1.3245226750020567E-2</v>
      </c>
      <c r="D327" s="4">
        <f>IFERROR(Target1[[#This Row],[Target Return]]+1,"-")</f>
        <v>0.9867547732499794</v>
      </c>
      <c r="E327" s="6">
        <f>B327-MAX($B$2:B327)</f>
        <v>-12.25</v>
      </c>
      <c r="F327" s="80">
        <f t="shared" si="16"/>
        <v>129</v>
      </c>
      <c r="G327" s="77">
        <f>Target1[[#This Row],[Target Drawdown]]/MAX($B$2:B327)</f>
        <v>-0.33108108108108109</v>
      </c>
      <c r="H327" s="1" t="str">
        <f>IF(SUM(COUNTIF(Benchmark1[Benchmark '#1 Dates],Target1[[#This Row],[Target Dates]]),COUNTIF(Benchmark2[Benchmark '#2 Dates],Target1[[#This Row],[Target Dates]]))=2,"Pass","Fail")</f>
        <v>Pass</v>
      </c>
      <c r="I327" s="78">
        <f t="shared" si="17"/>
        <v>-12.25</v>
      </c>
      <c r="K327" s="72">
        <f>Target1[[#This Row],[Target Price]]/$B$2*100</f>
        <v>143.97905759162302</v>
      </c>
      <c r="R327">
        <f>B328/Target1[[#This Row],[Target Price]]-1</f>
        <v>2.4242424242424399E-2</v>
      </c>
    </row>
    <row r="328" spans="1:18">
      <c r="A328" s="96">
        <v>43759</v>
      </c>
      <c r="B328" s="101">
        <v>25.35</v>
      </c>
      <c r="C328" s="4">
        <f t="shared" si="15"/>
        <v>2.3953241022493015E-2</v>
      </c>
      <c r="D328" s="4">
        <f>IFERROR(Target1[[#This Row],[Target Return]]+1,"-")</f>
        <v>1.023953241022493</v>
      </c>
      <c r="E328" s="6">
        <f>B328-MAX($B$2:B328)</f>
        <v>-11.649999999999999</v>
      </c>
      <c r="F328" s="80">
        <f t="shared" si="16"/>
        <v>130</v>
      </c>
      <c r="G328" s="77">
        <f>Target1[[#This Row],[Target Drawdown]]/MAX($B$2:B328)</f>
        <v>-0.31486486486486481</v>
      </c>
      <c r="H328" s="1" t="str">
        <f>IF(SUM(COUNTIF(Benchmark1[Benchmark '#1 Dates],Target1[[#This Row],[Target Dates]]),COUNTIF(Benchmark2[Benchmark '#2 Dates],Target1[[#This Row],[Target Dates]]))=2,"Pass","Fail")</f>
        <v>Pass</v>
      </c>
      <c r="I328" s="78">
        <f t="shared" si="17"/>
        <v>-11.649999999999999</v>
      </c>
      <c r="K328" s="72">
        <f>Target1[[#This Row],[Target Price]]/$B$2*100</f>
        <v>147.46945898778358</v>
      </c>
      <c r="R328">
        <f>B329/Target1[[#This Row],[Target Price]]-1</f>
        <v>-1.9329388560157867E-2</v>
      </c>
    </row>
    <row r="329" spans="1:18">
      <c r="A329" s="96">
        <v>43760</v>
      </c>
      <c r="B329" s="101">
        <v>24.86</v>
      </c>
      <c r="C329" s="4">
        <f t="shared" si="15"/>
        <v>-1.9518643954627195E-2</v>
      </c>
      <c r="D329" s="4">
        <f>IFERROR(Target1[[#This Row],[Target Return]]+1,"-")</f>
        <v>0.98048135604537279</v>
      </c>
      <c r="E329" s="6">
        <f>B329-MAX($B$2:B329)</f>
        <v>-12.14</v>
      </c>
      <c r="F329" s="80">
        <f t="shared" si="16"/>
        <v>131</v>
      </c>
      <c r="G329" s="77">
        <f>Target1[[#This Row],[Target Drawdown]]/MAX($B$2:B329)</f>
        <v>-0.32810810810810814</v>
      </c>
      <c r="H329" s="1" t="str">
        <f>IF(SUM(COUNTIF(Benchmark1[Benchmark '#1 Dates],Target1[[#This Row],[Target Dates]]),COUNTIF(Benchmark2[Benchmark '#2 Dates],Target1[[#This Row],[Target Dates]]))=2,"Pass","Fail")</f>
        <v>Pass</v>
      </c>
      <c r="I329" s="78">
        <f t="shared" si="17"/>
        <v>-12.14</v>
      </c>
      <c r="K329" s="72">
        <f>Target1[[#This Row],[Target Price]]/$B$2*100</f>
        <v>144.61896451425247</v>
      </c>
      <c r="R329">
        <f>B330/Target1[[#This Row],[Target Price]]-1</f>
        <v>-0.15164923572003219</v>
      </c>
    </row>
    <row r="330" spans="1:18">
      <c r="A330" s="96">
        <v>43761</v>
      </c>
      <c r="B330" s="101">
        <v>21.09</v>
      </c>
      <c r="C330" s="4">
        <f t="shared" si="15"/>
        <v>-0.16446109159188185</v>
      </c>
      <c r="D330" s="4">
        <f>IFERROR(Target1[[#This Row],[Target Return]]+1,"-")</f>
        <v>0.83553890840811817</v>
      </c>
      <c r="E330" s="6">
        <f>B330-MAX($B$2:B330)</f>
        <v>-15.91</v>
      </c>
      <c r="F330" s="80">
        <f t="shared" si="16"/>
        <v>132</v>
      </c>
      <c r="G330" s="77">
        <f>Target1[[#This Row],[Target Drawdown]]/MAX($B$2:B330)</f>
        <v>-0.43</v>
      </c>
      <c r="H330" s="1" t="str">
        <f>IF(SUM(COUNTIF(Benchmark1[Benchmark '#1 Dates],Target1[[#This Row],[Target Dates]]),COUNTIF(Benchmark2[Benchmark '#2 Dates],Target1[[#This Row],[Target Dates]]))=2,"Pass","Fail")</f>
        <v>Pass</v>
      </c>
      <c r="I330" s="78">
        <f t="shared" si="17"/>
        <v>-15.91</v>
      </c>
      <c r="K330" s="72">
        <f>Target1[[#This Row],[Target Price]]/$B$2*100</f>
        <v>122.68760907504361</v>
      </c>
      <c r="R330">
        <f>B331/Target1[[#This Row],[Target Price]]-1</f>
        <v>-4.8838311996206807E-2</v>
      </c>
    </row>
    <row r="331" spans="1:18">
      <c r="A331" s="96">
        <v>43762</v>
      </c>
      <c r="B331" s="101">
        <v>20.059999999999999</v>
      </c>
      <c r="C331" s="4">
        <f t="shared" si="15"/>
        <v>-5.0071211956893832E-2</v>
      </c>
      <c r="D331" s="4">
        <f>IFERROR(Target1[[#This Row],[Target Return]]+1,"-")</f>
        <v>0.94992878804310621</v>
      </c>
      <c r="E331" s="6">
        <f>B331-MAX($B$2:B331)</f>
        <v>-16.940000000000001</v>
      </c>
      <c r="F331" s="80">
        <f t="shared" si="16"/>
        <v>133</v>
      </c>
      <c r="G331" s="77">
        <f>Target1[[#This Row],[Target Drawdown]]/MAX($B$2:B331)</f>
        <v>-0.45783783783783788</v>
      </c>
      <c r="H331" s="1" t="str">
        <f>IF(SUM(COUNTIF(Benchmark1[Benchmark '#1 Dates],Target1[[#This Row],[Target Dates]]),COUNTIF(Benchmark2[Benchmark '#2 Dates],Target1[[#This Row],[Target Dates]]))=2,"Pass","Fail")</f>
        <v>Pass</v>
      </c>
      <c r="I331" s="78">
        <f t="shared" si="17"/>
        <v>-16.940000000000001</v>
      </c>
      <c r="K331" s="72">
        <f>Target1[[#This Row],[Target Price]]/$B$2*100</f>
        <v>116.69575334496798</v>
      </c>
      <c r="R331">
        <f>B332/Target1[[#This Row],[Target Price]]-1</f>
        <v>7.0787637088733923E-2</v>
      </c>
    </row>
    <row r="332" spans="1:18">
      <c r="A332" s="96">
        <v>43763</v>
      </c>
      <c r="B332" s="101">
        <v>21.48</v>
      </c>
      <c r="C332" s="4">
        <f t="shared" si="15"/>
        <v>6.8394487106874582E-2</v>
      </c>
      <c r="D332" s="4">
        <f>IFERROR(Target1[[#This Row],[Target Return]]+1,"-")</f>
        <v>1.0683944871068747</v>
      </c>
      <c r="E332" s="6">
        <f>B332-MAX($B$2:B332)</f>
        <v>-15.52</v>
      </c>
      <c r="F332" s="80">
        <f t="shared" si="16"/>
        <v>134</v>
      </c>
      <c r="G332" s="77">
        <f>Target1[[#This Row],[Target Drawdown]]/MAX($B$2:B332)</f>
        <v>-0.41945945945945945</v>
      </c>
      <c r="H332" s="1" t="str">
        <f>IF(SUM(COUNTIF(Benchmark1[Benchmark '#1 Dates],Target1[[#This Row],[Target Dates]]),COUNTIF(Benchmark2[Benchmark '#2 Dates],Target1[[#This Row],[Target Dates]]))=2,"Pass","Fail")</f>
        <v>Pass</v>
      </c>
      <c r="I332" s="78">
        <f t="shared" si="17"/>
        <v>-15.52</v>
      </c>
      <c r="K332" s="72">
        <f>Target1[[#This Row],[Target Price]]/$B$2*100</f>
        <v>124.95636998254798</v>
      </c>
      <c r="R332">
        <f>B333/Target1[[#This Row],[Target Price]]-1</f>
        <v>-1.3035381750465591E-2</v>
      </c>
    </row>
    <row r="333" spans="1:18">
      <c r="A333" s="96">
        <v>43766</v>
      </c>
      <c r="B333" s="101">
        <v>21.2</v>
      </c>
      <c r="C333" s="4">
        <f t="shared" si="15"/>
        <v>-1.3121087962697212E-2</v>
      </c>
      <c r="D333" s="4">
        <f>IFERROR(Target1[[#This Row],[Target Return]]+1,"-")</f>
        <v>0.98687891203730282</v>
      </c>
      <c r="E333" s="6">
        <f>B333-MAX($B$2:B333)</f>
        <v>-15.8</v>
      </c>
      <c r="F333" s="80">
        <f t="shared" si="16"/>
        <v>135</v>
      </c>
      <c r="G333" s="77">
        <f>Target1[[#This Row],[Target Drawdown]]/MAX($B$2:B333)</f>
        <v>-0.42702702702702705</v>
      </c>
      <c r="H333" s="1" t="str">
        <f>IF(SUM(COUNTIF(Benchmark1[Benchmark '#1 Dates],Target1[[#This Row],[Target Dates]]),COUNTIF(Benchmark2[Benchmark '#2 Dates],Target1[[#This Row],[Target Dates]]))=2,"Pass","Fail")</f>
        <v>Pass</v>
      </c>
      <c r="I333" s="78">
        <f t="shared" si="17"/>
        <v>-15.8</v>
      </c>
      <c r="K333" s="72">
        <f>Target1[[#This Row],[Target Price]]/$B$2*100</f>
        <v>123.32751599767305</v>
      </c>
      <c r="R333">
        <f>B334/Target1[[#This Row],[Target Price]]-1</f>
        <v>-1.6509433962264008E-2</v>
      </c>
    </row>
    <row r="334" spans="1:18">
      <c r="A334" s="96">
        <v>43767</v>
      </c>
      <c r="B334" s="101">
        <v>20.85</v>
      </c>
      <c r="C334" s="4">
        <f t="shared" si="15"/>
        <v>-1.6647233433156168E-2</v>
      </c>
      <c r="D334" s="4">
        <f>IFERROR(Target1[[#This Row],[Target Return]]+1,"-")</f>
        <v>0.98335276656684378</v>
      </c>
      <c r="E334" s="6">
        <f>B334-MAX($B$2:B334)</f>
        <v>-16.149999999999999</v>
      </c>
      <c r="F334" s="80">
        <f t="shared" si="16"/>
        <v>136</v>
      </c>
      <c r="G334" s="77">
        <f>Target1[[#This Row],[Target Drawdown]]/MAX($B$2:B334)</f>
        <v>-0.43648648648648647</v>
      </c>
      <c r="H334" s="1" t="str">
        <f>IF(SUM(COUNTIF(Benchmark1[Benchmark '#1 Dates],Target1[[#This Row],[Target Dates]]),COUNTIF(Benchmark2[Benchmark '#2 Dates],Target1[[#This Row],[Target Dates]]))=2,"Pass","Fail")</f>
        <v>Pass</v>
      </c>
      <c r="I334" s="78">
        <f t="shared" si="17"/>
        <v>-16.149999999999999</v>
      </c>
      <c r="K334" s="72">
        <f>Target1[[#This Row],[Target Price]]/$B$2*100</f>
        <v>121.29144851657941</v>
      </c>
      <c r="R334">
        <f>B335/Target1[[#This Row],[Target Price]]-1</f>
        <v>-3.3573141486810676E-2</v>
      </c>
    </row>
    <row r="335" spans="1:18">
      <c r="A335" s="96">
        <v>43768</v>
      </c>
      <c r="B335" s="101">
        <v>20.149999999999999</v>
      </c>
      <c r="C335" s="4">
        <f t="shared" si="15"/>
        <v>-3.4149659852118597E-2</v>
      </c>
      <c r="D335" s="4">
        <f>IFERROR(Target1[[#This Row],[Target Return]]+1,"-")</f>
        <v>0.9658503401478814</v>
      </c>
      <c r="E335" s="6">
        <f>B335-MAX($B$2:B335)</f>
        <v>-16.850000000000001</v>
      </c>
      <c r="F335" s="80">
        <f t="shared" si="16"/>
        <v>137</v>
      </c>
      <c r="G335" s="77">
        <f>Target1[[#This Row],[Target Drawdown]]/MAX($B$2:B335)</f>
        <v>-0.45540540540540542</v>
      </c>
      <c r="H335" s="1" t="str">
        <f>IF(SUM(COUNTIF(Benchmark1[Benchmark '#1 Dates],Target1[[#This Row],[Target Dates]]),COUNTIF(Benchmark2[Benchmark '#2 Dates],Target1[[#This Row],[Target Dates]]))=2,"Pass","Fail")</f>
        <v>Pass</v>
      </c>
      <c r="I335" s="78">
        <f t="shared" si="17"/>
        <v>-16.850000000000001</v>
      </c>
      <c r="K335" s="72">
        <f>Target1[[#This Row],[Target Price]]/$B$2*100</f>
        <v>117.21931355439207</v>
      </c>
      <c r="R335">
        <f>B336/Target1[[#This Row],[Target Price]]-1</f>
        <v>-1.7866004962779125E-2</v>
      </c>
    </row>
    <row r="336" spans="1:18">
      <c r="A336" s="96">
        <v>43769</v>
      </c>
      <c r="B336" s="101">
        <v>19.79</v>
      </c>
      <c r="C336" s="4">
        <f t="shared" si="15"/>
        <v>-1.8027528778217599E-2</v>
      </c>
      <c r="D336" s="4">
        <f>IFERROR(Target1[[#This Row],[Target Return]]+1,"-")</f>
        <v>0.98197247122178244</v>
      </c>
      <c r="E336" s="6">
        <f>B336-MAX($B$2:B336)</f>
        <v>-17.21</v>
      </c>
      <c r="F336" s="80">
        <f t="shared" si="16"/>
        <v>138</v>
      </c>
      <c r="G336" s="77">
        <f>Target1[[#This Row],[Target Drawdown]]/MAX($B$2:B336)</f>
        <v>-0.46513513513513516</v>
      </c>
      <c r="H336" s="1" t="str">
        <f>IF(SUM(COUNTIF(Benchmark1[Benchmark '#1 Dates],Target1[[#This Row],[Target Dates]]),COUNTIF(Benchmark2[Benchmark '#2 Dates],Target1[[#This Row],[Target Dates]]))=2,"Pass","Fail")</f>
        <v>Pass</v>
      </c>
      <c r="I336" s="78">
        <f t="shared" si="17"/>
        <v>-17.21</v>
      </c>
      <c r="K336" s="72">
        <f>Target1[[#This Row],[Target Price]]/$B$2*100</f>
        <v>115.12507271669574</v>
      </c>
      <c r="R336">
        <f>B337/Target1[[#This Row],[Target Price]]-1</f>
        <v>3.0318342597273062E-3</v>
      </c>
    </row>
    <row r="337" spans="1:18">
      <c r="A337" s="96">
        <v>43770</v>
      </c>
      <c r="B337" s="101">
        <v>19.850000000000001</v>
      </c>
      <c r="C337" s="4">
        <f t="shared" si="15"/>
        <v>3.0272475187252314E-3</v>
      </c>
      <c r="D337" s="4">
        <f>IFERROR(Target1[[#This Row],[Target Return]]+1,"-")</f>
        <v>1.0030272475187252</v>
      </c>
      <c r="E337" s="6">
        <f>B337-MAX($B$2:B337)</f>
        <v>-17.149999999999999</v>
      </c>
      <c r="F337" s="80">
        <f t="shared" si="16"/>
        <v>139</v>
      </c>
      <c r="G337" s="77">
        <f>Target1[[#This Row],[Target Drawdown]]/MAX($B$2:B337)</f>
        <v>-0.4635135135135135</v>
      </c>
      <c r="H337" s="1" t="str">
        <f>IF(SUM(COUNTIF(Benchmark1[Benchmark '#1 Dates],Target1[[#This Row],[Target Dates]]),COUNTIF(Benchmark2[Benchmark '#2 Dates],Target1[[#This Row],[Target Dates]]))=2,"Pass","Fail")</f>
        <v>Pass</v>
      </c>
      <c r="I337" s="78">
        <f t="shared" si="17"/>
        <v>-17.149999999999999</v>
      </c>
      <c r="K337" s="72">
        <f>Target1[[#This Row],[Target Price]]/$B$2*100</f>
        <v>115.47411285631182</v>
      </c>
      <c r="R337">
        <f>B338/Target1[[#This Row],[Target Price]]-1</f>
        <v>6.0453400503777122E-3</v>
      </c>
    </row>
    <row r="338" spans="1:18">
      <c r="A338" s="96">
        <v>43773</v>
      </c>
      <c r="B338" s="101">
        <v>19.97</v>
      </c>
      <c r="C338" s="4">
        <f t="shared" si="15"/>
        <v>6.0271402945243071E-3</v>
      </c>
      <c r="D338" s="4">
        <f>IFERROR(Target1[[#This Row],[Target Return]]+1,"-")</f>
        <v>1.0060271402945242</v>
      </c>
      <c r="E338" s="6">
        <f>B338-MAX($B$2:B338)</f>
        <v>-17.03</v>
      </c>
      <c r="F338" s="80">
        <f t="shared" si="16"/>
        <v>140</v>
      </c>
      <c r="G338" s="77">
        <f>Target1[[#This Row],[Target Drawdown]]/MAX($B$2:B338)</f>
        <v>-0.46027027027027029</v>
      </c>
      <c r="H338" s="1" t="str">
        <f>IF(SUM(COUNTIF(Benchmark1[Benchmark '#1 Dates],Target1[[#This Row],[Target Dates]]),COUNTIF(Benchmark2[Benchmark '#2 Dates],Target1[[#This Row],[Target Dates]]))=2,"Pass","Fail")</f>
        <v>Pass</v>
      </c>
      <c r="I338" s="78">
        <f t="shared" si="17"/>
        <v>-17.03</v>
      </c>
      <c r="K338" s="72">
        <f>Target1[[#This Row],[Target Price]]/$B$2*100</f>
        <v>116.17219313554389</v>
      </c>
      <c r="R338">
        <f>B339/Target1[[#This Row],[Target Price]]-1</f>
        <v>7.5112669003505328E-3</v>
      </c>
    </row>
    <row r="339" spans="1:18">
      <c r="A339" s="96">
        <v>43774</v>
      </c>
      <c r="B339" s="101">
        <v>20.12</v>
      </c>
      <c r="C339" s="4">
        <f t="shared" si="15"/>
        <v>7.483197803814616E-3</v>
      </c>
      <c r="D339" s="4">
        <f>IFERROR(Target1[[#This Row],[Target Return]]+1,"-")</f>
        <v>1.0074831978038146</v>
      </c>
      <c r="E339" s="6">
        <f>B339-MAX($B$2:B339)</f>
        <v>-16.88</v>
      </c>
      <c r="F339" s="80">
        <f t="shared" si="16"/>
        <v>141</v>
      </c>
      <c r="G339" s="77">
        <f>Target1[[#This Row],[Target Drawdown]]/MAX($B$2:B339)</f>
        <v>-0.45621621621621616</v>
      </c>
      <c r="H339" s="1" t="str">
        <f>IF(SUM(COUNTIF(Benchmark1[Benchmark '#1 Dates],Target1[[#This Row],[Target Dates]]),COUNTIF(Benchmark2[Benchmark '#2 Dates],Target1[[#This Row],[Target Dates]]))=2,"Pass","Fail")</f>
        <v>Pass</v>
      </c>
      <c r="I339" s="78">
        <f t="shared" si="17"/>
        <v>-16.88</v>
      </c>
      <c r="K339" s="72">
        <f>Target1[[#This Row],[Target Price]]/$B$2*100</f>
        <v>117.04479348458405</v>
      </c>
      <c r="R339">
        <f>B340/Target1[[#This Row],[Target Price]]-1</f>
        <v>-4.970178926442248E-4</v>
      </c>
    </row>
    <row r="340" spans="1:18">
      <c r="A340" s="96">
        <v>43775</v>
      </c>
      <c r="B340" s="101">
        <v>20.11</v>
      </c>
      <c r="C340" s="4">
        <f t="shared" si="15"/>
        <v>-4.9714144697786812E-4</v>
      </c>
      <c r="D340" s="4">
        <f>IFERROR(Target1[[#This Row],[Target Return]]+1,"-")</f>
        <v>0.99950285855302212</v>
      </c>
      <c r="E340" s="6">
        <f>B340-MAX($B$2:B340)</f>
        <v>-16.89</v>
      </c>
      <c r="F340" s="80">
        <f t="shared" si="16"/>
        <v>142</v>
      </c>
      <c r="G340" s="77">
        <f>Target1[[#This Row],[Target Drawdown]]/MAX($B$2:B340)</f>
        <v>-0.45648648648648649</v>
      </c>
      <c r="H340" s="1" t="str">
        <f>IF(SUM(COUNTIF(Benchmark1[Benchmark '#1 Dates],Target1[[#This Row],[Target Dates]]),COUNTIF(Benchmark2[Benchmark '#2 Dates],Target1[[#This Row],[Target Dates]]))=2,"Pass","Fail")</f>
        <v>Pass</v>
      </c>
      <c r="I340" s="78">
        <f t="shared" si="17"/>
        <v>-16.89</v>
      </c>
      <c r="K340" s="72">
        <f>Target1[[#This Row],[Target Price]]/$B$2*100</f>
        <v>116.98662012798138</v>
      </c>
      <c r="R340">
        <f>B341/Target1[[#This Row],[Target Price]]-1</f>
        <v>-1.54152163102933E-2</v>
      </c>
    </row>
    <row r="341" spans="1:18">
      <c r="A341" s="96">
        <v>43776</v>
      </c>
      <c r="B341" s="101">
        <v>19.8</v>
      </c>
      <c r="C341" s="4">
        <f t="shared" si="15"/>
        <v>-1.5535266084071039E-2</v>
      </c>
      <c r="D341" s="4">
        <f>IFERROR(Target1[[#This Row],[Target Return]]+1,"-")</f>
        <v>0.98446473391592892</v>
      </c>
      <c r="E341" s="6">
        <f>B341-MAX($B$2:B341)</f>
        <v>-17.2</v>
      </c>
      <c r="F341" s="80">
        <f t="shared" si="16"/>
        <v>143</v>
      </c>
      <c r="G341" s="77">
        <f>Target1[[#This Row],[Target Drawdown]]/MAX($B$2:B341)</f>
        <v>-0.46486486486486484</v>
      </c>
      <c r="H341" s="1" t="str">
        <f>IF(SUM(COUNTIF(Benchmark1[Benchmark '#1 Dates],Target1[[#This Row],[Target Dates]]),COUNTIF(Benchmark2[Benchmark '#2 Dates],Target1[[#This Row],[Target Dates]]))=2,"Pass","Fail")</f>
        <v>Pass</v>
      </c>
      <c r="I341" s="78">
        <f t="shared" si="17"/>
        <v>-17.2</v>
      </c>
      <c r="K341" s="72">
        <f>Target1[[#This Row],[Target Price]]/$B$2*100</f>
        <v>115.18324607329842</v>
      </c>
      <c r="R341">
        <f>B342/Target1[[#This Row],[Target Price]]-1</f>
        <v>2.525252525252597E-3</v>
      </c>
    </row>
    <row r="342" spans="1:18">
      <c r="A342" s="96">
        <v>43777</v>
      </c>
      <c r="B342" s="101">
        <v>19.850000000000001</v>
      </c>
      <c r="C342" s="4">
        <f t="shared" si="15"/>
        <v>2.5220694327099391E-3</v>
      </c>
      <c r="D342" s="4">
        <f>IFERROR(Target1[[#This Row],[Target Return]]+1,"-")</f>
        <v>1.0025220694327099</v>
      </c>
      <c r="E342" s="6">
        <f>B342-MAX($B$2:B342)</f>
        <v>-17.149999999999999</v>
      </c>
      <c r="F342" s="80">
        <f t="shared" si="16"/>
        <v>144</v>
      </c>
      <c r="G342" s="77">
        <f>Target1[[#This Row],[Target Drawdown]]/MAX($B$2:B342)</f>
        <v>-0.4635135135135135</v>
      </c>
      <c r="H342" s="1" t="str">
        <f>IF(SUM(COUNTIF(Benchmark1[Benchmark '#1 Dates],Target1[[#This Row],[Target Dates]]),COUNTIF(Benchmark2[Benchmark '#2 Dates],Target1[[#This Row],[Target Dates]]))=2,"Pass","Fail")</f>
        <v>Pass</v>
      </c>
      <c r="I342" s="78">
        <f t="shared" si="17"/>
        <v>-17.149999999999999</v>
      </c>
      <c r="K342" s="72">
        <f>Target1[[#This Row],[Target Price]]/$B$2*100</f>
        <v>115.47411285631182</v>
      </c>
      <c r="R342">
        <f>B343/Target1[[#This Row],[Target Price]]-1</f>
        <v>3.0226700251887451E-3</v>
      </c>
    </row>
    <row r="343" spans="1:18">
      <c r="A343" s="96">
        <v>43780</v>
      </c>
      <c r="B343" s="101">
        <v>19.91</v>
      </c>
      <c r="C343" s="4">
        <f t="shared" si="15"/>
        <v>3.018110942905332E-3</v>
      </c>
      <c r="D343" s="4">
        <f>IFERROR(Target1[[#This Row],[Target Return]]+1,"-")</f>
        <v>1.0030181109429053</v>
      </c>
      <c r="E343" s="6">
        <f>B343-MAX($B$2:B343)</f>
        <v>-17.09</v>
      </c>
      <c r="F343" s="80">
        <f t="shared" si="16"/>
        <v>145</v>
      </c>
      <c r="G343" s="77">
        <f>Target1[[#This Row],[Target Drawdown]]/MAX($B$2:B343)</f>
        <v>-0.46189189189189189</v>
      </c>
      <c r="H343" s="1" t="str">
        <f>IF(SUM(COUNTIF(Benchmark1[Benchmark '#1 Dates],Target1[[#This Row],[Target Dates]]),COUNTIF(Benchmark2[Benchmark '#2 Dates],Target1[[#This Row],[Target Dates]]))=2,"Pass","Fail")</f>
        <v>Pass</v>
      </c>
      <c r="I343" s="78">
        <f t="shared" si="17"/>
        <v>-17.09</v>
      </c>
      <c r="K343" s="72">
        <f>Target1[[#This Row],[Target Price]]/$B$2*100</f>
        <v>115.82315299592784</v>
      </c>
      <c r="R343">
        <f>B344/Target1[[#This Row],[Target Price]]-1</f>
        <v>3.0135610246107003E-3</v>
      </c>
    </row>
    <row r="344" spans="1:18">
      <c r="A344" s="96">
        <v>43781</v>
      </c>
      <c r="B344" s="101">
        <v>19.97</v>
      </c>
      <c r="C344" s="4">
        <f t="shared" si="15"/>
        <v>3.0090293516188771E-3</v>
      </c>
      <c r="D344" s="4">
        <f>IFERROR(Target1[[#This Row],[Target Return]]+1,"-")</f>
        <v>1.003009029351619</v>
      </c>
      <c r="E344" s="6">
        <f>B344-MAX($B$2:B344)</f>
        <v>-17.03</v>
      </c>
      <c r="F344" s="80">
        <f t="shared" si="16"/>
        <v>146</v>
      </c>
      <c r="G344" s="77">
        <f>Target1[[#This Row],[Target Drawdown]]/MAX($B$2:B344)</f>
        <v>-0.46027027027027029</v>
      </c>
      <c r="H344" s="1" t="str">
        <f>IF(SUM(COUNTIF(Benchmark1[Benchmark '#1 Dates],Target1[[#This Row],[Target Dates]]),COUNTIF(Benchmark2[Benchmark '#2 Dates],Target1[[#This Row],[Target Dates]]))=2,"Pass","Fail")</f>
        <v>Pass</v>
      </c>
      <c r="I344" s="78">
        <f t="shared" si="17"/>
        <v>-17.03</v>
      </c>
      <c r="K344" s="72">
        <f>Target1[[#This Row],[Target Price]]/$B$2*100</f>
        <v>116.17219313554389</v>
      </c>
      <c r="R344">
        <f>B345/Target1[[#This Row],[Target Price]]-1</f>
        <v>-7.0105157736605195E-3</v>
      </c>
    </row>
    <row r="345" spans="1:18">
      <c r="A345" s="96">
        <v>43782</v>
      </c>
      <c r="B345" s="101">
        <v>19.829999999999998</v>
      </c>
      <c r="C345" s="4">
        <f t="shared" si="15"/>
        <v>-7.0352048960192672E-3</v>
      </c>
      <c r="D345" s="4">
        <f>IFERROR(Target1[[#This Row],[Target Return]]+1,"-")</f>
        <v>0.99296479510398072</v>
      </c>
      <c r="E345" s="6">
        <f>B345-MAX($B$2:B345)</f>
        <v>-17.170000000000002</v>
      </c>
      <c r="F345" s="80">
        <f t="shared" si="16"/>
        <v>147</v>
      </c>
      <c r="G345" s="77">
        <f>Target1[[#This Row],[Target Drawdown]]/MAX($B$2:B345)</f>
        <v>-0.46405405405405409</v>
      </c>
      <c r="H345" s="1" t="str">
        <f>IF(SUM(COUNTIF(Benchmark1[Benchmark '#1 Dates],Target1[[#This Row],[Target Dates]]),COUNTIF(Benchmark2[Benchmark '#2 Dates],Target1[[#This Row],[Target Dates]]))=2,"Pass","Fail")</f>
        <v>Pass</v>
      </c>
      <c r="I345" s="78">
        <f t="shared" si="17"/>
        <v>-17.170000000000002</v>
      </c>
      <c r="K345" s="72">
        <f>Target1[[#This Row],[Target Price]]/$B$2*100</f>
        <v>115.35776614310645</v>
      </c>
      <c r="R345">
        <f>B346/Target1[[#This Row],[Target Price]]-1</f>
        <v>1.1094301563288056E-2</v>
      </c>
    </row>
    <row r="346" spans="1:18">
      <c r="A346" s="96">
        <v>43783</v>
      </c>
      <c r="B346" s="101">
        <v>20.05</v>
      </c>
      <c r="C346" s="4">
        <f t="shared" si="15"/>
        <v>1.103321122087369E-2</v>
      </c>
      <c r="D346" s="4">
        <f>IFERROR(Target1[[#This Row],[Target Return]]+1,"-")</f>
        <v>1.0110332112208738</v>
      </c>
      <c r="E346" s="6">
        <f>B346-MAX($B$2:B346)</f>
        <v>-16.95</v>
      </c>
      <c r="F346" s="80">
        <f t="shared" si="16"/>
        <v>148</v>
      </c>
      <c r="G346" s="77">
        <f>Target1[[#This Row],[Target Drawdown]]/MAX($B$2:B346)</f>
        <v>-0.45810810810810809</v>
      </c>
      <c r="H346" s="1" t="str">
        <f>IF(SUM(COUNTIF(Benchmark1[Benchmark '#1 Dates],Target1[[#This Row],[Target Dates]]),COUNTIF(Benchmark2[Benchmark '#2 Dates],Target1[[#This Row],[Target Dates]]))=2,"Pass","Fail")</f>
        <v>Pass</v>
      </c>
      <c r="I346" s="78">
        <f t="shared" si="17"/>
        <v>-16.95</v>
      </c>
      <c r="K346" s="72">
        <f>Target1[[#This Row],[Target Price]]/$B$2*100</f>
        <v>116.63757998836533</v>
      </c>
      <c r="R346">
        <f>B347/Target1[[#This Row],[Target Price]]-1</f>
        <v>5.9850374064838174E-3</v>
      </c>
    </row>
    <row r="347" spans="1:18">
      <c r="A347" s="96">
        <v>43784</v>
      </c>
      <c r="B347" s="101">
        <v>20.170000000000002</v>
      </c>
      <c r="C347" s="4">
        <f t="shared" si="15"/>
        <v>5.9671982135422385E-3</v>
      </c>
      <c r="D347" s="4">
        <f>IFERROR(Target1[[#This Row],[Target Return]]+1,"-")</f>
        <v>1.0059671982135423</v>
      </c>
      <c r="E347" s="6">
        <f>B347-MAX($B$2:B347)</f>
        <v>-16.829999999999998</v>
      </c>
      <c r="F347" s="80">
        <f t="shared" si="16"/>
        <v>149</v>
      </c>
      <c r="G347" s="77">
        <f>Target1[[#This Row],[Target Drawdown]]/MAX($B$2:B347)</f>
        <v>-0.45486486486486483</v>
      </c>
      <c r="H347" s="1" t="str">
        <f>IF(SUM(COUNTIF(Benchmark1[Benchmark '#1 Dates],Target1[[#This Row],[Target Dates]]),COUNTIF(Benchmark2[Benchmark '#2 Dates],Target1[[#This Row],[Target Dates]]))=2,"Pass","Fail")</f>
        <v>Pass</v>
      </c>
      <c r="I347" s="78">
        <f t="shared" si="17"/>
        <v>-16.829999999999998</v>
      </c>
      <c r="K347" s="72">
        <f>Target1[[#This Row],[Target Price]]/$B$2*100</f>
        <v>117.33566026759745</v>
      </c>
      <c r="R347">
        <f>B348/Target1[[#This Row],[Target Price]]-1</f>
        <v>-1.983143282102251E-3</v>
      </c>
    </row>
    <row r="348" spans="1:18">
      <c r="A348" s="96">
        <v>43787</v>
      </c>
      <c r="B348" s="101">
        <v>20.13</v>
      </c>
      <c r="C348" s="4">
        <f t="shared" si="15"/>
        <v>-1.9851123144204075E-3</v>
      </c>
      <c r="D348" s="4">
        <f>IFERROR(Target1[[#This Row],[Target Return]]+1,"-")</f>
        <v>0.99801488768557955</v>
      </c>
      <c r="E348" s="6">
        <f>B348-MAX($B$2:B348)</f>
        <v>-16.87</v>
      </c>
      <c r="F348" s="80">
        <f t="shared" si="16"/>
        <v>150</v>
      </c>
      <c r="G348" s="77">
        <f>Target1[[#This Row],[Target Drawdown]]/MAX($B$2:B348)</f>
        <v>-0.45594594594594595</v>
      </c>
      <c r="H348" s="1" t="str">
        <f>IF(SUM(COUNTIF(Benchmark1[Benchmark '#1 Dates],Target1[[#This Row],[Target Dates]]),COUNTIF(Benchmark2[Benchmark '#2 Dates],Target1[[#This Row],[Target Dates]]))=2,"Pass","Fail")</f>
        <v>Pass</v>
      </c>
      <c r="I348" s="78">
        <f t="shared" si="17"/>
        <v>-16.87</v>
      </c>
      <c r="K348" s="72">
        <f>Target1[[#This Row],[Target Price]]/$B$2*100</f>
        <v>117.10296684118673</v>
      </c>
      <c r="R348">
        <f>B349/Target1[[#This Row],[Target Price]]-1</f>
        <v>-2.3348236462990557E-2</v>
      </c>
    </row>
    <row r="349" spans="1:18">
      <c r="A349" s="96">
        <v>43788</v>
      </c>
      <c r="B349" s="101">
        <v>19.66</v>
      </c>
      <c r="C349" s="4">
        <f t="shared" si="15"/>
        <v>-2.3625124932679618E-2</v>
      </c>
      <c r="D349" s="4">
        <f>IFERROR(Target1[[#This Row],[Target Return]]+1,"-")</f>
        <v>0.97637487506732035</v>
      </c>
      <c r="E349" s="6">
        <f>B349-MAX($B$2:B349)</f>
        <v>-17.34</v>
      </c>
      <c r="F349" s="80">
        <f t="shared" si="16"/>
        <v>151</v>
      </c>
      <c r="G349" s="77">
        <f>Target1[[#This Row],[Target Drawdown]]/MAX($B$2:B349)</f>
        <v>-0.46864864864864864</v>
      </c>
      <c r="H349" s="1" t="str">
        <f>IF(SUM(COUNTIF(Benchmark1[Benchmark '#1 Dates],Target1[[#This Row],[Target Dates]]),COUNTIF(Benchmark2[Benchmark '#2 Dates],Target1[[#This Row],[Target Dates]]))=2,"Pass","Fail")</f>
        <v>Pass</v>
      </c>
      <c r="I349" s="78">
        <f t="shared" si="17"/>
        <v>-17.34</v>
      </c>
      <c r="K349" s="72">
        <f>Target1[[#This Row],[Target Price]]/$B$2*100</f>
        <v>114.36881908086096</v>
      </c>
      <c r="R349">
        <f>B350/Target1[[#This Row],[Target Price]]-1</f>
        <v>4.0691759918616288E-3</v>
      </c>
    </row>
    <row r="350" spans="1:18">
      <c r="A350" s="96">
        <v>43789</v>
      </c>
      <c r="B350" s="101">
        <v>19.739999999999998</v>
      </c>
      <c r="C350" s="4">
        <f t="shared" si="15"/>
        <v>4.0609192863150121E-3</v>
      </c>
      <c r="D350" s="4">
        <f>IFERROR(Target1[[#This Row],[Target Return]]+1,"-")</f>
        <v>1.004060919286315</v>
      </c>
      <c r="E350" s="6">
        <f>B350-MAX($B$2:B350)</f>
        <v>-17.260000000000002</v>
      </c>
      <c r="F350" s="80">
        <f t="shared" si="16"/>
        <v>152</v>
      </c>
      <c r="G350" s="77">
        <f>Target1[[#This Row],[Target Drawdown]]/MAX($B$2:B350)</f>
        <v>-0.46648648648648655</v>
      </c>
      <c r="H350" s="1" t="str">
        <f>IF(SUM(COUNTIF(Benchmark1[Benchmark '#1 Dates],Target1[[#This Row],[Target Dates]]),COUNTIF(Benchmark2[Benchmark '#2 Dates],Target1[[#This Row],[Target Dates]]))=2,"Pass","Fail")</f>
        <v>Pass</v>
      </c>
      <c r="I350" s="78">
        <f t="shared" si="17"/>
        <v>-17.260000000000002</v>
      </c>
      <c r="K350" s="72">
        <f>Target1[[#This Row],[Target Price]]/$B$2*100</f>
        <v>114.83420593368237</v>
      </c>
      <c r="R350">
        <f>B351/Target1[[#This Row],[Target Price]]-1</f>
        <v>2.6849037487335359E-2</v>
      </c>
    </row>
    <row r="351" spans="1:18">
      <c r="A351" s="96">
        <v>43790</v>
      </c>
      <c r="B351" s="101">
        <v>20.27</v>
      </c>
      <c r="C351" s="4">
        <f t="shared" si="15"/>
        <v>2.6494926458573143E-2</v>
      </c>
      <c r="D351" s="4">
        <f>IFERROR(Target1[[#This Row],[Target Return]]+1,"-")</f>
        <v>1.0264949264585732</v>
      </c>
      <c r="E351" s="6">
        <f>B351-MAX($B$2:B351)</f>
        <v>-16.73</v>
      </c>
      <c r="F351" s="80">
        <f t="shared" si="16"/>
        <v>153</v>
      </c>
      <c r="G351" s="77">
        <f>Target1[[#This Row],[Target Drawdown]]/MAX($B$2:B351)</f>
        <v>-0.45216216216216215</v>
      </c>
      <c r="H351" s="1" t="str">
        <f>IF(SUM(COUNTIF(Benchmark1[Benchmark '#1 Dates],Target1[[#This Row],[Target Dates]]),COUNTIF(Benchmark2[Benchmark '#2 Dates],Target1[[#This Row],[Target Dates]]))=2,"Pass","Fail")</f>
        <v>Pass</v>
      </c>
      <c r="I351" s="78">
        <f t="shared" si="17"/>
        <v>-16.73</v>
      </c>
      <c r="K351" s="72">
        <f>Target1[[#This Row],[Target Price]]/$B$2*100</f>
        <v>117.91739383362419</v>
      </c>
      <c r="R351">
        <f>B352/Target1[[#This Row],[Target Price]]-1</f>
        <v>-1.7760236803157303E-2</v>
      </c>
    </row>
    <row r="352" spans="1:18">
      <c r="A352" s="96">
        <v>43791</v>
      </c>
      <c r="B352" s="101">
        <v>19.91</v>
      </c>
      <c r="C352" s="4">
        <f t="shared" si="15"/>
        <v>-1.7919842387803673E-2</v>
      </c>
      <c r="D352" s="4">
        <f>IFERROR(Target1[[#This Row],[Target Return]]+1,"-")</f>
        <v>0.98208015761219636</v>
      </c>
      <c r="E352" s="6">
        <f>B352-MAX($B$2:B352)</f>
        <v>-17.09</v>
      </c>
      <c r="F352" s="80">
        <f t="shared" si="16"/>
        <v>154</v>
      </c>
      <c r="G352" s="77">
        <f>Target1[[#This Row],[Target Drawdown]]/MAX($B$2:B352)</f>
        <v>-0.46189189189189189</v>
      </c>
      <c r="H352" s="1" t="str">
        <f>IF(SUM(COUNTIF(Benchmark1[Benchmark '#1 Dates],Target1[[#This Row],[Target Dates]]),COUNTIF(Benchmark2[Benchmark '#2 Dates],Target1[[#This Row],[Target Dates]]))=2,"Pass","Fail")</f>
        <v>Pass</v>
      </c>
      <c r="I352" s="78">
        <f t="shared" si="17"/>
        <v>-17.09</v>
      </c>
      <c r="K352" s="72">
        <f>Target1[[#This Row],[Target Price]]/$B$2*100</f>
        <v>115.82315299592784</v>
      </c>
      <c r="R352">
        <f>B353/Target1[[#This Row],[Target Price]]-1</f>
        <v>1.2054244098443023E-2</v>
      </c>
    </row>
    <row r="353" spans="1:18">
      <c r="A353" s="96">
        <v>43794</v>
      </c>
      <c r="B353" s="101">
        <v>20.149999999999999</v>
      </c>
      <c r="C353" s="4">
        <f t="shared" si="15"/>
        <v>1.1982170316587095E-2</v>
      </c>
      <c r="D353" s="4">
        <f>IFERROR(Target1[[#This Row],[Target Return]]+1,"-")</f>
        <v>1.011982170316587</v>
      </c>
      <c r="E353" s="6">
        <f>B353-MAX($B$2:B353)</f>
        <v>-16.850000000000001</v>
      </c>
      <c r="F353" s="80">
        <f t="shared" si="16"/>
        <v>155</v>
      </c>
      <c r="G353" s="77">
        <f>Target1[[#This Row],[Target Drawdown]]/MAX($B$2:B353)</f>
        <v>-0.45540540540540542</v>
      </c>
      <c r="H353" s="1" t="str">
        <f>IF(SUM(COUNTIF(Benchmark1[Benchmark '#1 Dates],Target1[[#This Row],[Target Dates]]),COUNTIF(Benchmark2[Benchmark '#2 Dates],Target1[[#This Row],[Target Dates]]))=2,"Pass","Fail")</f>
        <v>Pass</v>
      </c>
      <c r="I353" s="78">
        <f t="shared" si="17"/>
        <v>-16.850000000000001</v>
      </c>
      <c r="K353" s="72">
        <f>Target1[[#This Row],[Target Price]]/$B$2*100</f>
        <v>117.21931355439207</v>
      </c>
      <c r="R353">
        <f>B354/Target1[[#This Row],[Target Price]]-1</f>
        <v>-3.4243176178659906E-2</v>
      </c>
    </row>
    <row r="354" spans="1:18">
      <c r="A354" s="96">
        <v>43795</v>
      </c>
      <c r="B354" s="101">
        <v>19.46</v>
      </c>
      <c r="C354" s="4">
        <f t="shared" si="15"/>
        <v>-3.4843211634832838E-2</v>
      </c>
      <c r="D354" s="4">
        <f>IFERROR(Target1[[#This Row],[Target Return]]+1,"-")</f>
        <v>0.96515678836516716</v>
      </c>
      <c r="E354" s="6">
        <f>B354-MAX($B$2:B354)</f>
        <v>-17.54</v>
      </c>
      <c r="F354" s="80">
        <f t="shared" si="16"/>
        <v>156</v>
      </c>
      <c r="G354" s="77">
        <f>Target1[[#This Row],[Target Drawdown]]/MAX($B$2:B354)</f>
        <v>-0.47405405405405404</v>
      </c>
      <c r="H354" s="1" t="str">
        <f>IF(SUM(COUNTIF(Benchmark1[Benchmark '#1 Dates],Target1[[#This Row],[Target Dates]]),COUNTIF(Benchmark2[Benchmark '#2 Dates],Target1[[#This Row],[Target Dates]]))=2,"Pass","Fail")</f>
        <v>Pass</v>
      </c>
      <c r="I354" s="78">
        <f t="shared" si="17"/>
        <v>-17.54</v>
      </c>
      <c r="K354" s="72">
        <f>Target1[[#This Row],[Target Price]]/$B$2*100</f>
        <v>113.20535194880745</v>
      </c>
      <c r="R354">
        <f>B355/Target1[[#This Row],[Target Price]]-1</f>
        <v>2.0041109969167525E-2</v>
      </c>
    </row>
    <row r="355" spans="1:18">
      <c r="A355" s="96">
        <v>43796</v>
      </c>
      <c r="B355" s="101">
        <v>19.850000000000001</v>
      </c>
      <c r="C355" s="4">
        <f t="shared" si="15"/>
        <v>1.9842930375340417E-2</v>
      </c>
      <c r="D355" s="4">
        <f>IFERROR(Target1[[#This Row],[Target Return]]+1,"-")</f>
        <v>1.0198429303753405</v>
      </c>
      <c r="E355" s="6">
        <f>B355-MAX($B$2:B355)</f>
        <v>-17.149999999999999</v>
      </c>
      <c r="F355" s="80">
        <f t="shared" si="16"/>
        <v>157</v>
      </c>
      <c r="G355" s="77">
        <f>Target1[[#This Row],[Target Drawdown]]/MAX($B$2:B355)</f>
        <v>-0.4635135135135135</v>
      </c>
      <c r="H355" s="1" t="str">
        <f>IF(SUM(COUNTIF(Benchmark1[Benchmark '#1 Dates],Target1[[#This Row],[Target Dates]]),COUNTIF(Benchmark2[Benchmark '#2 Dates],Target1[[#This Row],[Target Dates]]))=2,"Pass","Fail")</f>
        <v>Pass</v>
      </c>
      <c r="I355" s="78">
        <f t="shared" si="17"/>
        <v>-17.149999999999999</v>
      </c>
      <c r="K355" s="72">
        <f>Target1[[#This Row],[Target Price]]/$B$2*100</f>
        <v>115.47411285631182</v>
      </c>
      <c r="R355">
        <f>B356/Target1[[#This Row],[Target Price]]-1</f>
        <v>-1.0075566750629816E-2</v>
      </c>
    </row>
    <row r="356" spans="1:18">
      <c r="A356" s="96">
        <v>43798</v>
      </c>
      <c r="B356" s="101">
        <v>19.649999999999999</v>
      </c>
      <c r="C356" s="4">
        <f t="shared" si="15"/>
        <v>-1.0126668817929271E-2</v>
      </c>
      <c r="D356" s="4">
        <f>IFERROR(Target1[[#This Row],[Target Return]]+1,"-")</f>
        <v>0.98987333118207077</v>
      </c>
      <c r="E356" s="6">
        <f>B356-MAX($B$2:B356)</f>
        <v>-17.350000000000001</v>
      </c>
      <c r="F356" s="80">
        <f t="shared" si="16"/>
        <v>158</v>
      </c>
      <c r="G356" s="77">
        <f>Target1[[#This Row],[Target Drawdown]]/MAX($B$2:B356)</f>
        <v>-0.46891891891891896</v>
      </c>
      <c r="H356" s="1" t="str">
        <f>IF(SUM(COUNTIF(Benchmark1[Benchmark '#1 Dates],Target1[[#This Row],[Target Dates]]),COUNTIF(Benchmark2[Benchmark '#2 Dates],Target1[[#This Row],[Target Dates]]))=2,"Pass","Fail")</f>
        <v>Pass</v>
      </c>
      <c r="I356" s="78">
        <f t="shared" si="17"/>
        <v>-17.350000000000001</v>
      </c>
      <c r="K356" s="72">
        <f>Target1[[#This Row],[Target Price]]/$B$2*100</f>
        <v>114.31064572425826</v>
      </c>
      <c r="R356">
        <f>B357/Target1[[#This Row],[Target Price]]-1</f>
        <v>-1.781170483460548E-2</v>
      </c>
    </row>
    <row r="357" spans="1:18">
      <c r="A357" s="96">
        <v>43801</v>
      </c>
      <c r="B357" s="101">
        <v>19.3</v>
      </c>
      <c r="C357" s="4">
        <f t="shared" si="15"/>
        <v>-1.7972242404430253E-2</v>
      </c>
      <c r="D357" s="4">
        <f>IFERROR(Target1[[#This Row],[Target Return]]+1,"-")</f>
        <v>0.98202775759556971</v>
      </c>
      <c r="E357" s="6">
        <f>B357-MAX($B$2:B357)</f>
        <v>-17.7</v>
      </c>
      <c r="F357" s="80">
        <f t="shared" si="16"/>
        <v>159</v>
      </c>
      <c r="G357" s="77">
        <f>Target1[[#This Row],[Target Drawdown]]/MAX($B$2:B357)</f>
        <v>-0.47837837837837838</v>
      </c>
      <c r="H357" s="1" t="str">
        <f>IF(SUM(COUNTIF(Benchmark1[Benchmark '#1 Dates],Target1[[#This Row],[Target Dates]]),COUNTIF(Benchmark2[Benchmark '#2 Dates],Target1[[#This Row],[Target Dates]]))=2,"Pass","Fail")</f>
        <v>Pass</v>
      </c>
      <c r="I357" s="78">
        <f t="shared" si="17"/>
        <v>-17.7</v>
      </c>
      <c r="K357" s="72">
        <f>Target1[[#This Row],[Target Price]]/$B$2*100</f>
        <v>112.27457824316463</v>
      </c>
      <c r="R357">
        <f>B358/Target1[[#This Row],[Target Price]]-1</f>
        <v>6.2176165803109473E-3</v>
      </c>
    </row>
    <row r="358" spans="1:18">
      <c r="A358" s="96">
        <v>43802</v>
      </c>
      <c r="B358" s="101">
        <v>19.420000000000002</v>
      </c>
      <c r="C358" s="4">
        <f t="shared" si="15"/>
        <v>6.1983669523390508E-3</v>
      </c>
      <c r="D358" s="4">
        <f>IFERROR(Target1[[#This Row],[Target Return]]+1,"-")</f>
        <v>1.0061983669523391</v>
      </c>
      <c r="E358" s="6">
        <f>B358-MAX($B$2:B358)</f>
        <v>-17.579999999999998</v>
      </c>
      <c r="F358" s="80">
        <f t="shared" si="16"/>
        <v>160</v>
      </c>
      <c r="G358" s="77">
        <f>Target1[[#This Row],[Target Drawdown]]/MAX($B$2:B358)</f>
        <v>-0.47513513513513511</v>
      </c>
      <c r="H358" s="1" t="str">
        <f>IF(SUM(COUNTIF(Benchmark1[Benchmark '#1 Dates],Target1[[#This Row],[Target Dates]]),COUNTIF(Benchmark2[Benchmark '#2 Dates],Target1[[#This Row],[Target Dates]]))=2,"Pass","Fail")</f>
        <v>Pass</v>
      </c>
      <c r="I358" s="78">
        <f t="shared" si="17"/>
        <v>-17.579999999999998</v>
      </c>
      <c r="K358" s="72">
        <f>Target1[[#This Row],[Target Price]]/$B$2*100</f>
        <v>112.97265852239676</v>
      </c>
      <c r="R358">
        <f>B359/Target1[[#This Row],[Target Price]]-1</f>
        <v>-3.08959835221434E-3</v>
      </c>
    </row>
    <row r="359" spans="1:18">
      <c r="A359" s="96">
        <v>43803</v>
      </c>
      <c r="B359" s="101">
        <v>19.36</v>
      </c>
      <c r="C359" s="4">
        <f t="shared" si="15"/>
        <v>-3.0943810147480229E-3</v>
      </c>
      <c r="D359" s="4">
        <f>IFERROR(Target1[[#This Row],[Target Return]]+1,"-")</f>
        <v>0.99690561898525198</v>
      </c>
      <c r="E359" s="6">
        <f>B359-MAX($B$2:B359)</f>
        <v>-17.64</v>
      </c>
      <c r="F359" s="80">
        <f t="shared" si="16"/>
        <v>161</v>
      </c>
      <c r="G359" s="77">
        <f>Target1[[#This Row],[Target Drawdown]]/MAX($B$2:B359)</f>
        <v>-0.47675675675675677</v>
      </c>
      <c r="H359" s="1" t="str">
        <f>IF(SUM(COUNTIF(Benchmark1[Benchmark '#1 Dates],Target1[[#This Row],[Target Dates]]),COUNTIF(Benchmark2[Benchmark '#2 Dates],Target1[[#This Row],[Target Dates]]))=2,"Pass","Fail")</f>
        <v>Pass</v>
      </c>
      <c r="I359" s="78">
        <f t="shared" si="17"/>
        <v>-17.64</v>
      </c>
      <c r="K359" s="72">
        <f>Target1[[#This Row],[Target Price]]/$B$2*100</f>
        <v>112.62361838278068</v>
      </c>
      <c r="R359">
        <f>B360/Target1[[#This Row],[Target Price]]-1</f>
        <v>-2.066115702479332E-2</v>
      </c>
    </row>
    <row r="360" spans="1:18">
      <c r="A360" s="96">
        <v>43804</v>
      </c>
      <c r="B360" s="101">
        <v>18.96</v>
      </c>
      <c r="C360" s="4">
        <f t="shared" si="15"/>
        <v>-2.087758502155514E-2</v>
      </c>
      <c r="D360" s="4">
        <f>IFERROR(Target1[[#This Row],[Target Return]]+1,"-")</f>
        <v>0.97912241497844488</v>
      </c>
      <c r="E360" s="6">
        <f>B360-MAX($B$2:B360)</f>
        <v>-18.04</v>
      </c>
      <c r="F360" s="80">
        <f t="shared" si="16"/>
        <v>162</v>
      </c>
      <c r="G360" s="77">
        <f>Target1[[#This Row],[Target Drawdown]]/MAX($B$2:B360)</f>
        <v>-0.48756756756756753</v>
      </c>
      <c r="H360" s="1" t="str">
        <f>IF(SUM(COUNTIF(Benchmark1[Benchmark '#1 Dates],Target1[[#This Row],[Target Dates]]),COUNTIF(Benchmark2[Benchmark '#2 Dates],Target1[[#This Row],[Target Dates]]))=2,"Pass","Fail")</f>
        <v>Pass</v>
      </c>
      <c r="I360" s="78">
        <f t="shared" si="17"/>
        <v>-18.04</v>
      </c>
      <c r="K360" s="72">
        <f>Target1[[#This Row],[Target Price]]/$B$2*100</f>
        <v>110.29668411867364</v>
      </c>
      <c r="R360">
        <f>B361/Target1[[#This Row],[Target Price]]-1</f>
        <v>1.371308016877637E-2</v>
      </c>
    </row>
    <row r="361" spans="1:18">
      <c r="A361" s="96">
        <v>43805</v>
      </c>
      <c r="B361" s="101">
        <v>19.22</v>
      </c>
      <c r="C361" s="4">
        <f t="shared" si="15"/>
        <v>1.3619906715270686E-2</v>
      </c>
      <c r="D361" s="4">
        <f>IFERROR(Target1[[#This Row],[Target Return]]+1,"-")</f>
        <v>1.0136199067152707</v>
      </c>
      <c r="E361" s="6">
        <f>B361-MAX($B$2:B361)</f>
        <v>-17.78</v>
      </c>
      <c r="F361" s="80">
        <f t="shared" si="16"/>
        <v>163</v>
      </c>
      <c r="G361" s="77">
        <f>Target1[[#This Row],[Target Drawdown]]/MAX($B$2:B361)</f>
        <v>-0.48054054054054057</v>
      </c>
      <c r="H361" s="1" t="str">
        <f>IF(SUM(COUNTIF(Benchmark1[Benchmark '#1 Dates],Target1[[#This Row],[Target Dates]]),COUNTIF(Benchmark2[Benchmark '#2 Dates],Target1[[#This Row],[Target Dates]]))=2,"Pass","Fail")</f>
        <v>Pass</v>
      </c>
      <c r="I361" s="78">
        <f t="shared" si="17"/>
        <v>-17.78</v>
      </c>
      <c r="K361" s="72">
        <f>Target1[[#This Row],[Target Price]]/$B$2*100</f>
        <v>111.8091913903432</v>
      </c>
      <c r="R361">
        <f>B362/Target1[[#This Row],[Target Price]]-1</f>
        <v>1.4047866805410925E-2</v>
      </c>
    </row>
    <row r="362" spans="1:18">
      <c r="A362" s="96">
        <v>43808</v>
      </c>
      <c r="B362" s="101">
        <v>19.489999999999998</v>
      </c>
      <c r="C362" s="4">
        <f t="shared" si="15"/>
        <v>1.3950109977322905E-2</v>
      </c>
      <c r="D362" s="4">
        <f>IFERROR(Target1[[#This Row],[Target Return]]+1,"-")</f>
        <v>1.0139501099773229</v>
      </c>
      <c r="E362" s="6">
        <f>B362-MAX($B$2:B362)</f>
        <v>-17.510000000000002</v>
      </c>
      <c r="F362" s="80">
        <f t="shared" si="16"/>
        <v>164</v>
      </c>
      <c r="G362" s="77">
        <f>Target1[[#This Row],[Target Drawdown]]/MAX($B$2:B362)</f>
        <v>-0.47324324324324329</v>
      </c>
      <c r="H362" s="1" t="str">
        <f>IF(SUM(COUNTIF(Benchmark1[Benchmark '#1 Dates],Target1[[#This Row],[Target Dates]]),COUNTIF(Benchmark2[Benchmark '#2 Dates],Target1[[#This Row],[Target Dates]]))=2,"Pass","Fail")</f>
        <v>Pass</v>
      </c>
      <c r="I362" s="78">
        <f t="shared" si="17"/>
        <v>-17.510000000000002</v>
      </c>
      <c r="K362" s="72">
        <f>Target1[[#This Row],[Target Price]]/$B$2*100</f>
        <v>113.37987201861546</v>
      </c>
      <c r="R362">
        <f>B363/Target1[[#This Row],[Target Price]]-1</f>
        <v>3.0785017957928318E-3</v>
      </c>
    </row>
    <row r="363" spans="1:18">
      <c r="A363" s="96">
        <v>43809</v>
      </c>
      <c r="B363" s="101">
        <v>19.55</v>
      </c>
      <c r="C363" s="4">
        <f t="shared" si="15"/>
        <v>3.073772911905452E-3</v>
      </c>
      <c r="D363" s="4">
        <f>IFERROR(Target1[[#This Row],[Target Return]]+1,"-")</f>
        <v>1.0030737729119055</v>
      </c>
      <c r="E363" s="6">
        <f>B363-MAX($B$2:B363)</f>
        <v>-17.45</v>
      </c>
      <c r="F363" s="80">
        <f t="shared" si="16"/>
        <v>165</v>
      </c>
      <c r="G363" s="77">
        <f>Target1[[#This Row],[Target Drawdown]]/MAX($B$2:B363)</f>
        <v>-0.47162162162162158</v>
      </c>
      <c r="H363" s="1" t="str">
        <f>IF(SUM(COUNTIF(Benchmark1[Benchmark '#1 Dates],Target1[[#This Row],[Target Dates]]),COUNTIF(Benchmark2[Benchmark '#2 Dates],Target1[[#This Row],[Target Dates]]))=2,"Pass","Fail")</f>
        <v>Pass</v>
      </c>
      <c r="I363" s="78">
        <f t="shared" si="17"/>
        <v>-17.45</v>
      </c>
      <c r="K363" s="72">
        <f>Target1[[#This Row],[Target Price]]/$B$2*100</f>
        <v>113.72891215823154</v>
      </c>
      <c r="R363">
        <f>B364/Target1[[#This Row],[Target Price]]-1</f>
        <v>4.6035805626598592E-3</v>
      </c>
    </row>
    <row r="364" spans="1:18">
      <c r="A364" s="96">
        <v>43810</v>
      </c>
      <c r="B364" s="101">
        <v>19.64</v>
      </c>
      <c r="C364" s="4">
        <f t="shared" si="15"/>
        <v>4.5930164949450642E-3</v>
      </c>
      <c r="D364" s="4">
        <f>IFERROR(Target1[[#This Row],[Target Return]]+1,"-")</f>
        <v>1.004593016494945</v>
      </c>
      <c r="E364" s="6">
        <f>B364-MAX($B$2:B364)</f>
        <v>-17.36</v>
      </c>
      <c r="F364" s="80">
        <f t="shared" si="16"/>
        <v>166</v>
      </c>
      <c r="G364" s="77">
        <f>Target1[[#This Row],[Target Drawdown]]/MAX($B$2:B364)</f>
        <v>-0.46918918918918917</v>
      </c>
      <c r="H364" s="1" t="str">
        <f>IF(SUM(COUNTIF(Benchmark1[Benchmark '#1 Dates],Target1[[#This Row],[Target Dates]]),COUNTIF(Benchmark2[Benchmark '#2 Dates],Target1[[#This Row],[Target Dates]]))=2,"Pass","Fail")</f>
        <v>Pass</v>
      </c>
      <c r="I364" s="78">
        <f t="shared" si="17"/>
        <v>-17.36</v>
      </c>
      <c r="K364" s="72">
        <f>Target1[[#This Row],[Target Price]]/$B$2*100</f>
        <v>114.25247236765561</v>
      </c>
      <c r="R364">
        <f>B365/Target1[[#This Row],[Target Price]]-1</f>
        <v>4.5824847250508505E-3</v>
      </c>
    </row>
    <row r="365" spans="1:18">
      <c r="A365" s="96">
        <v>43811</v>
      </c>
      <c r="B365" s="101">
        <v>19.73</v>
      </c>
      <c r="C365" s="4">
        <f t="shared" si="15"/>
        <v>4.5720171082040831E-3</v>
      </c>
      <c r="D365" s="4">
        <f>IFERROR(Target1[[#This Row],[Target Return]]+1,"-")</f>
        <v>1.004572017108204</v>
      </c>
      <c r="E365" s="6">
        <f>B365-MAX($B$2:B365)</f>
        <v>-17.27</v>
      </c>
      <c r="F365" s="80">
        <f t="shared" si="16"/>
        <v>167</v>
      </c>
      <c r="G365" s="77">
        <f>Target1[[#This Row],[Target Drawdown]]/MAX($B$2:B365)</f>
        <v>-0.46675675675675676</v>
      </c>
      <c r="H365" s="1" t="str">
        <f>IF(SUM(COUNTIF(Benchmark1[Benchmark '#1 Dates],Target1[[#This Row],[Target Dates]]),COUNTIF(Benchmark2[Benchmark '#2 Dates],Target1[[#This Row],[Target Dates]]))=2,"Pass","Fail")</f>
        <v>Pass</v>
      </c>
      <c r="I365" s="78">
        <f t="shared" si="17"/>
        <v>-17.27</v>
      </c>
      <c r="K365" s="72">
        <f>Target1[[#This Row],[Target Price]]/$B$2*100</f>
        <v>114.77603257707969</v>
      </c>
      <c r="R365">
        <f>B366/Target1[[#This Row],[Target Price]]-1</f>
        <v>-8.1094779523568361E-3</v>
      </c>
    </row>
    <row r="366" spans="1:18">
      <c r="A366" s="96">
        <v>43812</v>
      </c>
      <c r="B366" s="101">
        <v>19.57</v>
      </c>
      <c r="C366" s="4">
        <f t="shared" si="15"/>
        <v>-8.1425386265391343E-3</v>
      </c>
      <c r="D366" s="4">
        <f>IFERROR(Target1[[#This Row],[Target Return]]+1,"-")</f>
        <v>0.99185746137346087</v>
      </c>
      <c r="E366" s="6">
        <f>B366-MAX($B$2:B366)</f>
        <v>-17.43</v>
      </c>
      <c r="F366" s="80">
        <f t="shared" si="16"/>
        <v>168</v>
      </c>
      <c r="G366" s="77">
        <f>Target1[[#This Row],[Target Drawdown]]/MAX($B$2:B366)</f>
        <v>-0.4710810810810811</v>
      </c>
      <c r="H366" s="1" t="str">
        <f>IF(SUM(COUNTIF(Benchmark1[Benchmark '#1 Dates],Target1[[#This Row],[Target Dates]]),COUNTIF(Benchmark2[Benchmark '#2 Dates],Target1[[#This Row],[Target Dates]]))=2,"Pass","Fail")</f>
        <v>Pass</v>
      </c>
      <c r="I366" s="78">
        <f t="shared" si="17"/>
        <v>-17.43</v>
      </c>
      <c r="K366" s="72">
        <f>Target1[[#This Row],[Target Price]]/$B$2*100</f>
        <v>113.84525887143688</v>
      </c>
      <c r="R366">
        <f>B367/Target1[[#This Row],[Target Price]]-1</f>
        <v>1.124169647419504E-2</v>
      </c>
    </row>
    <row r="367" spans="1:18">
      <c r="A367" s="96">
        <v>43815</v>
      </c>
      <c r="B367" s="101">
        <v>19.79</v>
      </c>
      <c r="C367" s="4">
        <f t="shared" si="15"/>
        <v>1.117897820648934E-2</v>
      </c>
      <c r="D367" s="4">
        <f>IFERROR(Target1[[#This Row],[Target Return]]+1,"-")</f>
        <v>1.0111789782064893</v>
      </c>
      <c r="E367" s="6">
        <f>B367-MAX($B$2:B367)</f>
        <v>-17.21</v>
      </c>
      <c r="F367" s="80">
        <f t="shared" si="16"/>
        <v>169</v>
      </c>
      <c r="G367" s="77">
        <f>Target1[[#This Row],[Target Drawdown]]/MAX($B$2:B367)</f>
        <v>-0.46513513513513516</v>
      </c>
      <c r="H367" s="1" t="str">
        <f>IF(SUM(COUNTIF(Benchmark1[Benchmark '#1 Dates],Target1[[#This Row],[Target Dates]]),COUNTIF(Benchmark2[Benchmark '#2 Dates],Target1[[#This Row],[Target Dates]]))=2,"Pass","Fail")</f>
        <v>Pass</v>
      </c>
      <c r="I367" s="78">
        <f t="shared" si="17"/>
        <v>-17.21</v>
      </c>
      <c r="K367" s="72">
        <f>Target1[[#This Row],[Target Price]]/$B$2*100</f>
        <v>115.12507271669574</v>
      </c>
      <c r="R367">
        <f>B368/Target1[[#This Row],[Target Price]]-1</f>
        <v>3.0318342597271508E-2</v>
      </c>
    </row>
    <row r="368" spans="1:18">
      <c r="A368" s="96">
        <v>43816</v>
      </c>
      <c r="B368" s="101">
        <v>20.39</v>
      </c>
      <c r="C368" s="4">
        <f t="shared" si="15"/>
        <v>2.9867824971889605E-2</v>
      </c>
      <c r="D368" s="4">
        <f>IFERROR(Target1[[#This Row],[Target Return]]+1,"-")</f>
        <v>1.0298678249718896</v>
      </c>
      <c r="E368" s="6">
        <f>B368-MAX($B$2:B368)</f>
        <v>-16.61</v>
      </c>
      <c r="F368" s="80">
        <f t="shared" si="16"/>
        <v>170</v>
      </c>
      <c r="G368" s="77">
        <f>Target1[[#This Row],[Target Drawdown]]/MAX($B$2:B368)</f>
        <v>-0.44891891891891889</v>
      </c>
      <c r="H368" s="1" t="str">
        <f>IF(SUM(COUNTIF(Benchmark1[Benchmark '#1 Dates],Target1[[#This Row],[Target Dates]]),COUNTIF(Benchmark2[Benchmark '#2 Dates],Target1[[#This Row],[Target Dates]]))=2,"Pass","Fail")</f>
        <v>Pass</v>
      </c>
      <c r="I368" s="78">
        <f t="shared" si="17"/>
        <v>-16.61</v>
      </c>
      <c r="K368" s="72">
        <f>Target1[[#This Row],[Target Price]]/$B$2*100</f>
        <v>118.6154741128563</v>
      </c>
      <c r="R368">
        <f>B369/Target1[[#This Row],[Target Price]]-1</f>
        <v>-1.6184404119666596E-2</v>
      </c>
    </row>
    <row r="369" spans="1:18">
      <c r="A369" s="96">
        <v>43817</v>
      </c>
      <c r="B369" s="101">
        <v>20.059999999999999</v>
      </c>
      <c r="C369" s="4">
        <f t="shared" si="15"/>
        <v>-1.6316802052574429E-2</v>
      </c>
      <c r="D369" s="4">
        <f>IFERROR(Target1[[#This Row],[Target Return]]+1,"-")</f>
        <v>0.98368319794742554</v>
      </c>
      <c r="E369" s="6">
        <f>B369-MAX($B$2:B369)</f>
        <v>-16.940000000000001</v>
      </c>
      <c r="F369" s="80">
        <f t="shared" si="16"/>
        <v>171</v>
      </c>
      <c r="G369" s="77">
        <f>Target1[[#This Row],[Target Drawdown]]/MAX($B$2:B369)</f>
        <v>-0.45783783783783788</v>
      </c>
      <c r="H369" s="1" t="str">
        <f>IF(SUM(COUNTIF(Benchmark1[Benchmark '#1 Dates],Target1[[#This Row],[Target Dates]]),COUNTIF(Benchmark2[Benchmark '#2 Dates],Target1[[#This Row],[Target Dates]]))=2,"Pass","Fail")</f>
        <v>Pass</v>
      </c>
      <c r="I369" s="78">
        <f t="shared" si="17"/>
        <v>-16.940000000000001</v>
      </c>
      <c r="K369" s="72">
        <f>Target1[[#This Row],[Target Price]]/$B$2*100</f>
        <v>116.69575334496798</v>
      </c>
      <c r="R369">
        <f>B370/Target1[[#This Row],[Target Price]]-1</f>
        <v>-1.4456630109670909E-2</v>
      </c>
    </row>
    <row r="370" spans="1:18">
      <c r="A370" s="96">
        <v>43818</v>
      </c>
      <c r="B370" s="101">
        <v>19.77</v>
      </c>
      <c r="C370" s="4">
        <f t="shared" si="15"/>
        <v>-1.4562145351263852E-2</v>
      </c>
      <c r="D370" s="4">
        <f>IFERROR(Target1[[#This Row],[Target Return]]+1,"-")</f>
        <v>0.98543785464873612</v>
      </c>
      <c r="E370" s="6">
        <f>B370-MAX($B$2:B370)</f>
        <v>-17.23</v>
      </c>
      <c r="F370" s="80">
        <f t="shared" si="16"/>
        <v>172</v>
      </c>
      <c r="G370" s="77">
        <f>Target1[[#This Row],[Target Drawdown]]/MAX($B$2:B370)</f>
        <v>-0.46567567567567569</v>
      </c>
      <c r="H370" s="1" t="str">
        <f>IF(SUM(COUNTIF(Benchmark1[Benchmark '#1 Dates],Target1[[#This Row],[Target Dates]]),COUNTIF(Benchmark2[Benchmark '#2 Dates],Target1[[#This Row],[Target Dates]]))=2,"Pass","Fail")</f>
        <v>Pass</v>
      </c>
      <c r="I370" s="78">
        <f t="shared" si="17"/>
        <v>-17.23</v>
      </c>
      <c r="K370" s="72">
        <f>Target1[[#This Row],[Target Price]]/$B$2*100</f>
        <v>115.00872600349039</v>
      </c>
      <c r="R370">
        <f>B371/Target1[[#This Row],[Target Price]]-1</f>
        <v>1.3151239251391056E-2</v>
      </c>
    </row>
    <row r="371" spans="1:18">
      <c r="A371" s="96">
        <v>43819</v>
      </c>
      <c r="B371" s="101">
        <v>20.03</v>
      </c>
      <c r="C371" s="4">
        <f t="shared" si="15"/>
        <v>1.3065512495201402E-2</v>
      </c>
      <c r="D371" s="4">
        <f>IFERROR(Target1[[#This Row],[Target Return]]+1,"-")</f>
        <v>1.0130655124952015</v>
      </c>
      <c r="E371" s="6">
        <f>B371-MAX($B$2:B371)</f>
        <v>-16.97</v>
      </c>
      <c r="F371" s="80">
        <f t="shared" si="16"/>
        <v>173</v>
      </c>
      <c r="G371" s="77">
        <f>Target1[[#This Row],[Target Drawdown]]/MAX($B$2:B371)</f>
        <v>-0.45864864864864863</v>
      </c>
      <c r="H371" s="1" t="str">
        <f>IF(SUM(COUNTIF(Benchmark1[Benchmark '#1 Dates],Target1[[#This Row],[Target Dates]]),COUNTIF(Benchmark2[Benchmark '#2 Dates],Target1[[#This Row],[Target Dates]]))=2,"Pass","Fail")</f>
        <v>Pass</v>
      </c>
      <c r="I371" s="78">
        <f t="shared" si="17"/>
        <v>-16.97</v>
      </c>
      <c r="K371" s="72">
        <f>Target1[[#This Row],[Target Price]]/$B$2*100</f>
        <v>116.52123327515997</v>
      </c>
      <c r="R371">
        <f>B372/Target1[[#This Row],[Target Price]]-1</f>
        <v>-5.9910134797803716E-3</v>
      </c>
    </row>
    <row r="372" spans="1:18">
      <c r="A372" s="96">
        <v>43822</v>
      </c>
      <c r="B372" s="101">
        <v>19.91</v>
      </c>
      <c r="C372" s="4">
        <f t="shared" si="15"/>
        <v>-6.0090316016220046E-3</v>
      </c>
      <c r="D372" s="4">
        <f>IFERROR(Target1[[#This Row],[Target Return]]+1,"-")</f>
        <v>0.99399096839837797</v>
      </c>
      <c r="E372" s="6">
        <f>B372-MAX($B$2:B372)</f>
        <v>-17.09</v>
      </c>
      <c r="F372" s="80">
        <f t="shared" si="16"/>
        <v>174</v>
      </c>
      <c r="G372" s="77">
        <f>Target1[[#This Row],[Target Drawdown]]/MAX($B$2:B372)</f>
        <v>-0.46189189189189189</v>
      </c>
      <c r="H372" s="1" t="str">
        <f>IF(SUM(COUNTIF(Benchmark1[Benchmark '#1 Dates],Target1[[#This Row],[Target Dates]]),COUNTIF(Benchmark2[Benchmark '#2 Dates],Target1[[#This Row],[Target Dates]]))=2,"Pass","Fail")</f>
        <v>Pass</v>
      </c>
      <c r="I372" s="78">
        <f t="shared" si="17"/>
        <v>-17.09</v>
      </c>
      <c r="K372" s="72">
        <f>Target1[[#This Row],[Target Price]]/$B$2*100</f>
        <v>115.82315299592784</v>
      </c>
      <c r="R372">
        <f>B373/Target1[[#This Row],[Target Price]]-1</f>
        <v>7.0316423907583747E-3</v>
      </c>
    </row>
    <row r="373" spans="1:18">
      <c r="A373" s="96">
        <v>43823</v>
      </c>
      <c r="B373" s="101">
        <v>20.05</v>
      </c>
      <c r="C373" s="4">
        <f t="shared" si="15"/>
        <v>7.0070356764732316E-3</v>
      </c>
      <c r="D373" s="4">
        <f>IFERROR(Target1[[#This Row],[Target Return]]+1,"-")</f>
        <v>1.0070070356764733</v>
      </c>
      <c r="E373" s="6">
        <f>B373-MAX($B$2:B373)</f>
        <v>-16.95</v>
      </c>
      <c r="F373" s="80">
        <f t="shared" si="16"/>
        <v>175</v>
      </c>
      <c r="G373" s="77">
        <f>Target1[[#This Row],[Target Drawdown]]/MAX($B$2:B373)</f>
        <v>-0.45810810810810809</v>
      </c>
      <c r="H373" s="1" t="str">
        <f>IF(SUM(COUNTIF(Benchmark1[Benchmark '#1 Dates],Target1[[#This Row],[Target Dates]]),COUNTIF(Benchmark2[Benchmark '#2 Dates],Target1[[#This Row],[Target Dates]]))=2,"Pass","Fail")</f>
        <v>Pass</v>
      </c>
      <c r="I373" s="78">
        <f t="shared" si="17"/>
        <v>-16.95</v>
      </c>
      <c r="K373" s="72">
        <f>Target1[[#This Row],[Target Price]]/$B$2*100</f>
        <v>116.63757998836533</v>
      </c>
      <c r="R373">
        <f>B374/Target1[[#This Row],[Target Price]]-1</f>
        <v>-5.4862842892767771E-3</v>
      </c>
    </row>
    <row r="374" spans="1:18">
      <c r="A374" s="96">
        <v>43825</v>
      </c>
      <c r="B374" s="101">
        <v>19.940000000000001</v>
      </c>
      <c r="C374" s="4">
        <f t="shared" si="15"/>
        <v>-5.5013892188858901E-3</v>
      </c>
      <c r="D374" s="4">
        <f>IFERROR(Target1[[#This Row],[Target Return]]+1,"-")</f>
        <v>0.99449861078111412</v>
      </c>
      <c r="E374" s="6">
        <f>B374-MAX($B$2:B374)</f>
        <v>-17.059999999999999</v>
      </c>
      <c r="F374" s="80">
        <f t="shared" si="16"/>
        <v>176</v>
      </c>
      <c r="G374" s="77">
        <f>Target1[[#This Row],[Target Drawdown]]/MAX($B$2:B374)</f>
        <v>-0.46108108108108103</v>
      </c>
      <c r="H374" s="1" t="str">
        <f>IF(SUM(COUNTIF(Benchmark1[Benchmark '#1 Dates],Target1[[#This Row],[Target Dates]]),COUNTIF(Benchmark2[Benchmark '#2 Dates],Target1[[#This Row],[Target Dates]]))=2,"Pass","Fail")</f>
        <v>Pass</v>
      </c>
      <c r="I374" s="78">
        <f t="shared" si="17"/>
        <v>-17.059999999999999</v>
      </c>
      <c r="K374" s="72">
        <f>Target1[[#This Row],[Target Price]]/$B$2*100</f>
        <v>115.9976730657359</v>
      </c>
      <c r="R374">
        <f>B375/Target1[[#This Row],[Target Price]]-1</f>
        <v>-4.0120361083250122E-3</v>
      </c>
    </row>
    <row r="375" spans="1:18">
      <c r="A375" s="96">
        <v>43826</v>
      </c>
      <c r="B375" s="101">
        <v>19.86</v>
      </c>
      <c r="C375" s="4">
        <f t="shared" si="15"/>
        <v>-4.0201059166657758E-3</v>
      </c>
      <c r="D375" s="4">
        <f>IFERROR(Target1[[#This Row],[Target Return]]+1,"-")</f>
        <v>0.99597989408333421</v>
      </c>
      <c r="E375" s="6">
        <f>B375-MAX($B$2:B375)</f>
        <v>-17.14</v>
      </c>
      <c r="F375" s="80">
        <f t="shared" si="16"/>
        <v>177</v>
      </c>
      <c r="G375" s="77">
        <f>Target1[[#This Row],[Target Drawdown]]/MAX($B$2:B375)</f>
        <v>-0.46324324324324329</v>
      </c>
      <c r="H375" s="1" t="str">
        <f>IF(SUM(COUNTIF(Benchmark1[Benchmark '#1 Dates],Target1[[#This Row],[Target Dates]]),COUNTIF(Benchmark2[Benchmark '#2 Dates],Target1[[#This Row],[Target Dates]]))=2,"Pass","Fail")</f>
        <v>Pass</v>
      </c>
      <c r="I375" s="78">
        <f t="shared" si="17"/>
        <v>-17.14</v>
      </c>
      <c r="K375" s="72">
        <f>Target1[[#This Row],[Target Price]]/$B$2*100</f>
        <v>115.53228621291447</v>
      </c>
      <c r="R375">
        <f>B376/Target1[[#This Row],[Target Price]]-1</f>
        <v>-5.0352467270886603E-4</v>
      </c>
    </row>
    <row r="376" spans="1:18">
      <c r="A376" s="96">
        <v>43829</v>
      </c>
      <c r="B376" s="101">
        <v>19.850000000000001</v>
      </c>
      <c r="C376" s="4">
        <f t="shared" si="15"/>
        <v>-5.0365148382701711E-4</v>
      </c>
      <c r="D376" s="4">
        <f>IFERROR(Target1[[#This Row],[Target Return]]+1,"-")</f>
        <v>0.99949634851617297</v>
      </c>
      <c r="E376" s="6">
        <f>B376-MAX($B$2:B376)</f>
        <v>-17.149999999999999</v>
      </c>
      <c r="F376" s="80">
        <f t="shared" si="16"/>
        <v>178</v>
      </c>
      <c r="G376" s="77">
        <f>Target1[[#This Row],[Target Drawdown]]/MAX($B$2:B376)</f>
        <v>-0.4635135135135135</v>
      </c>
      <c r="H376" s="1" t="str">
        <f>IF(SUM(COUNTIF(Benchmark1[Benchmark '#1 Dates],Target1[[#This Row],[Target Dates]]),COUNTIF(Benchmark2[Benchmark '#2 Dates],Target1[[#This Row],[Target Dates]]))=2,"Pass","Fail")</f>
        <v>Pass</v>
      </c>
      <c r="I376" s="78">
        <f t="shared" si="17"/>
        <v>-17.149999999999999</v>
      </c>
      <c r="K376" s="72">
        <f>Target1[[#This Row],[Target Price]]/$B$2*100</f>
        <v>115.47411285631182</v>
      </c>
      <c r="R376">
        <f>B377/Target1[[#This Row],[Target Price]]-1</f>
        <v>2.5188916876574208E-2</v>
      </c>
    </row>
    <row r="377" spans="1:18">
      <c r="A377" s="96">
        <v>43830</v>
      </c>
      <c r="B377" s="101">
        <v>20.350000000000001</v>
      </c>
      <c r="C377" s="4">
        <f t="shared" si="15"/>
        <v>2.4876904755404477E-2</v>
      </c>
      <c r="D377" s="4">
        <f>IFERROR(Target1[[#This Row],[Target Return]]+1,"-")</f>
        <v>1.0248769047554045</v>
      </c>
      <c r="E377" s="6">
        <f>B377-MAX($B$2:B377)</f>
        <v>-16.649999999999999</v>
      </c>
      <c r="F377" s="80">
        <f t="shared" si="16"/>
        <v>179</v>
      </c>
      <c r="G377" s="77">
        <f>Target1[[#This Row],[Target Drawdown]]/MAX($B$2:B377)</f>
        <v>-0.44999999999999996</v>
      </c>
      <c r="H377" s="1" t="str">
        <f>IF(SUM(COUNTIF(Benchmark1[Benchmark '#1 Dates],Target1[[#This Row],[Target Dates]]),COUNTIF(Benchmark2[Benchmark '#2 Dates],Target1[[#This Row],[Target Dates]]))=2,"Pass","Fail")</f>
        <v>Pass</v>
      </c>
      <c r="I377" s="78">
        <f t="shared" si="17"/>
        <v>-16.649999999999999</v>
      </c>
      <c r="K377" s="72">
        <f>Target1[[#This Row],[Target Price]]/$B$2*100</f>
        <v>118.38278068644561</v>
      </c>
      <c r="R377">
        <f>B378/Target1[[#This Row],[Target Price]]-1</f>
        <v>-1.0810810810810922E-2</v>
      </c>
    </row>
    <row r="378" spans="1:18">
      <c r="A378" s="96">
        <v>43832</v>
      </c>
      <c r="B378" s="101">
        <v>20.13</v>
      </c>
      <c r="C378" s="4">
        <f t="shared" si="15"/>
        <v>-1.0869672236903992E-2</v>
      </c>
      <c r="D378" s="4">
        <f>IFERROR(Target1[[#This Row],[Target Return]]+1,"-")</f>
        <v>0.98913032776309606</v>
      </c>
      <c r="E378" s="6">
        <f>B378-MAX($B$2:B378)</f>
        <v>-16.87</v>
      </c>
      <c r="F378" s="80">
        <f t="shared" si="16"/>
        <v>180</v>
      </c>
      <c r="G378" s="77">
        <f>Target1[[#This Row],[Target Drawdown]]/MAX($B$2:B378)</f>
        <v>-0.45594594594594595</v>
      </c>
      <c r="H378" s="1" t="str">
        <f>IF(SUM(COUNTIF(Benchmark1[Benchmark '#1 Dates],Target1[[#This Row],[Target Dates]]),COUNTIF(Benchmark2[Benchmark '#2 Dates],Target1[[#This Row],[Target Dates]]))=2,"Pass","Fail")</f>
        <v>Pass</v>
      </c>
      <c r="I378" s="78">
        <f t="shared" si="17"/>
        <v>-16.87</v>
      </c>
      <c r="K378" s="72">
        <f>Target1[[#This Row],[Target Price]]/$B$2*100</f>
        <v>117.10296684118673</v>
      </c>
      <c r="R378">
        <f>B379/Target1[[#This Row],[Target Price]]-1</f>
        <v>1.0432190760059745E-2</v>
      </c>
    </row>
    <row r="379" spans="1:18">
      <c r="A379" s="96">
        <v>43833</v>
      </c>
      <c r="B379" s="101">
        <v>20.34</v>
      </c>
      <c r="C379" s="4">
        <f t="shared" si="15"/>
        <v>1.0378150968713909E-2</v>
      </c>
      <c r="D379" s="4">
        <f>IFERROR(Target1[[#This Row],[Target Return]]+1,"-")</f>
        <v>1.010378150968714</v>
      </c>
      <c r="E379" s="6">
        <f>B379-MAX($B$2:B379)</f>
        <v>-16.66</v>
      </c>
      <c r="F379" s="80">
        <f t="shared" si="16"/>
        <v>181</v>
      </c>
      <c r="G379" s="77">
        <f>Target1[[#This Row],[Target Drawdown]]/MAX($B$2:B379)</f>
        <v>-0.45027027027027028</v>
      </c>
      <c r="H379" s="1" t="str">
        <f>IF(SUM(COUNTIF(Benchmark1[Benchmark '#1 Dates],Target1[[#This Row],[Target Dates]]),COUNTIF(Benchmark2[Benchmark '#2 Dates],Target1[[#This Row],[Target Dates]]))=2,"Pass","Fail")</f>
        <v>Pass</v>
      </c>
      <c r="I379" s="78">
        <f t="shared" si="17"/>
        <v>-16.66</v>
      </c>
      <c r="K379" s="72">
        <f>Target1[[#This Row],[Target Price]]/$B$2*100</f>
        <v>118.32460732984291</v>
      </c>
      <c r="R379">
        <f>B380/Target1[[#This Row],[Target Price]]-1</f>
        <v>7.8662733529990536E-3</v>
      </c>
    </row>
    <row r="380" spans="1:18">
      <c r="A380" s="96">
        <v>43836</v>
      </c>
      <c r="B380" s="101">
        <v>20.5</v>
      </c>
      <c r="C380" s="4">
        <f t="shared" si="15"/>
        <v>7.8354955239486376E-3</v>
      </c>
      <c r="D380" s="4">
        <f>IFERROR(Target1[[#This Row],[Target Return]]+1,"-")</f>
        <v>1.0078354955239486</v>
      </c>
      <c r="E380" s="6">
        <f>B380-MAX($B$2:B380)</f>
        <v>-16.5</v>
      </c>
      <c r="F380" s="80">
        <f t="shared" si="16"/>
        <v>182</v>
      </c>
      <c r="G380" s="77">
        <f>Target1[[#This Row],[Target Drawdown]]/MAX($B$2:B380)</f>
        <v>-0.44594594594594594</v>
      </c>
      <c r="H380" s="1" t="str">
        <f>IF(SUM(COUNTIF(Benchmark1[Benchmark '#1 Dates],Target1[[#This Row],[Target Dates]]),COUNTIF(Benchmark2[Benchmark '#2 Dates],Target1[[#This Row],[Target Dates]]))=2,"Pass","Fail")</f>
        <v>Pass</v>
      </c>
      <c r="I380" s="78">
        <f t="shared" si="17"/>
        <v>-16.5</v>
      </c>
      <c r="K380" s="72">
        <f>Target1[[#This Row],[Target Price]]/$B$2*100</f>
        <v>119.25538103548574</v>
      </c>
      <c r="R380">
        <f>B381/Target1[[#This Row],[Target Price]]-1</f>
        <v>9.7560975609756184E-3</v>
      </c>
    </row>
    <row r="381" spans="1:18">
      <c r="A381" s="96">
        <v>43837</v>
      </c>
      <c r="B381" s="101">
        <v>20.7</v>
      </c>
      <c r="C381" s="4">
        <f t="shared" si="15"/>
        <v>9.7088141269609032E-3</v>
      </c>
      <c r="D381" s="4">
        <f>IFERROR(Target1[[#This Row],[Target Return]]+1,"-")</f>
        <v>1.009708814126961</v>
      </c>
      <c r="E381" s="6">
        <f>B381-MAX($B$2:B381)</f>
        <v>-16.3</v>
      </c>
      <c r="F381" s="80">
        <f t="shared" si="16"/>
        <v>183</v>
      </c>
      <c r="G381" s="77">
        <f>Target1[[#This Row],[Target Drawdown]]/MAX($B$2:B381)</f>
        <v>-0.44054054054054054</v>
      </c>
      <c r="H381" s="1" t="str">
        <f>IF(SUM(COUNTIF(Benchmark1[Benchmark '#1 Dates],Target1[[#This Row],[Target Dates]]),COUNTIF(Benchmark2[Benchmark '#2 Dates],Target1[[#This Row],[Target Dates]]))=2,"Pass","Fail")</f>
        <v>Pass</v>
      </c>
      <c r="I381" s="78">
        <f t="shared" si="17"/>
        <v>-16.3</v>
      </c>
      <c r="K381" s="72">
        <f>Target1[[#This Row],[Target Price]]/$B$2*100</f>
        <v>120.41884816753925</v>
      </c>
      <c r="R381">
        <f>B382/Target1[[#This Row],[Target Price]]-1</f>
        <v>-5.3140096618357058E-3</v>
      </c>
    </row>
    <row r="382" spans="1:18">
      <c r="A382" s="96">
        <v>43838</v>
      </c>
      <c r="B382" s="101">
        <v>20.59</v>
      </c>
      <c r="C382" s="4">
        <f t="shared" si="15"/>
        <v>-5.3281792316252656E-3</v>
      </c>
      <c r="D382" s="4">
        <f>IFERROR(Target1[[#This Row],[Target Return]]+1,"-")</f>
        <v>0.99467182076837468</v>
      </c>
      <c r="E382" s="6">
        <f>B382-MAX($B$2:B382)</f>
        <v>-16.41</v>
      </c>
      <c r="F382" s="80">
        <f t="shared" si="16"/>
        <v>184</v>
      </c>
      <c r="G382" s="77">
        <f>Target1[[#This Row],[Target Drawdown]]/MAX($B$2:B382)</f>
        <v>-0.44351351351351354</v>
      </c>
      <c r="H382" s="1" t="str">
        <f>IF(SUM(COUNTIF(Benchmark1[Benchmark '#1 Dates],Target1[[#This Row],[Target Dates]]),COUNTIF(Benchmark2[Benchmark '#2 Dates],Target1[[#This Row],[Target Dates]]))=2,"Pass","Fail")</f>
        <v>Pass</v>
      </c>
      <c r="I382" s="78">
        <f t="shared" si="17"/>
        <v>-16.41</v>
      </c>
      <c r="K382" s="72">
        <f>Target1[[#This Row],[Target Price]]/$B$2*100</f>
        <v>119.77894124490982</v>
      </c>
      <c r="R382">
        <f>B383/Target1[[#This Row],[Target Price]]-1</f>
        <v>-1.0199125789218111E-2</v>
      </c>
    </row>
    <row r="383" spans="1:18">
      <c r="A383" s="96">
        <v>43839</v>
      </c>
      <c r="B383" s="101">
        <v>20.38</v>
      </c>
      <c r="C383" s="4">
        <f t="shared" si="15"/>
        <v>-1.025149324511937E-2</v>
      </c>
      <c r="D383" s="4">
        <f>IFERROR(Target1[[#This Row],[Target Return]]+1,"-")</f>
        <v>0.98974850675488057</v>
      </c>
      <c r="E383" s="6">
        <f>B383-MAX($B$2:B383)</f>
        <v>-16.62</v>
      </c>
      <c r="F383" s="80">
        <f t="shared" si="16"/>
        <v>185</v>
      </c>
      <c r="G383" s="77">
        <f>Target1[[#This Row],[Target Drawdown]]/MAX($B$2:B383)</f>
        <v>-0.44918918918918921</v>
      </c>
      <c r="H383" s="1" t="str">
        <f>IF(SUM(COUNTIF(Benchmark1[Benchmark '#1 Dates],Target1[[#This Row],[Target Dates]]),COUNTIF(Benchmark2[Benchmark '#2 Dates],Target1[[#This Row],[Target Dates]]))=2,"Pass","Fail")</f>
        <v>Pass</v>
      </c>
      <c r="I383" s="78">
        <f t="shared" si="17"/>
        <v>-16.62</v>
      </c>
      <c r="K383" s="72">
        <f>Target1[[#This Row],[Target Price]]/$B$2*100</f>
        <v>118.55730075625361</v>
      </c>
      <c r="R383">
        <f>B384/Target1[[#This Row],[Target Price]]-1</f>
        <v>-1.0304219823356053E-2</v>
      </c>
    </row>
    <row r="384" spans="1:18">
      <c r="A384" s="96">
        <v>43840</v>
      </c>
      <c r="B384" s="101">
        <v>20.170000000000002</v>
      </c>
      <c r="C384" s="4">
        <f t="shared" si="15"/>
        <v>-1.035767582845817E-2</v>
      </c>
      <c r="D384" s="4">
        <f>IFERROR(Target1[[#This Row],[Target Return]]+1,"-")</f>
        <v>0.98964232417154185</v>
      </c>
      <c r="E384" s="6">
        <f>B384-MAX($B$2:B384)</f>
        <v>-16.829999999999998</v>
      </c>
      <c r="F384" s="80">
        <f t="shared" si="16"/>
        <v>186</v>
      </c>
      <c r="G384" s="77">
        <f>Target1[[#This Row],[Target Drawdown]]/MAX($B$2:B384)</f>
        <v>-0.45486486486486483</v>
      </c>
      <c r="H384" s="1" t="str">
        <f>IF(SUM(COUNTIF(Benchmark1[Benchmark '#1 Dates],Target1[[#This Row],[Target Dates]]),COUNTIF(Benchmark2[Benchmark '#2 Dates],Target1[[#This Row],[Target Dates]]))=2,"Pass","Fail")</f>
        <v>Pass</v>
      </c>
      <c r="I384" s="78">
        <f t="shared" si="17"/>
        <v>-16.829999999999998</v>
      </c>
      <c r="K384" s="72">
        <f>Target1[[#This Row],[Target Price]]/$B$2*100</f>
        <v>117.33566026759745</v>
      </c>
      <c r="R384">
        <f>B385/Target1[[#This Row],[Target Price]]-1</f>
        <v>2.3301933564700006E-2</v>
      </c>
    </row>
    <row r="385" spans="1:18">
      <c r="A385" s="96">
        <v>43843</v>
      </c>
      <c r="B385" s="101">
        <v>20.64</v>
      </c>
      <c r="C385" s="4">
        <f t="shared" si="15"/>
        <v>2.3034588647241536E-2</v>
      </c>
      <c r="D385" s="4">
        <f>IFERROR(Target1[[#This Row],[Target Return]]+1,"-")</f>
        <v>1.0230345886472416</v>
      </c>
      <c r="E385" s="6">
        <f>B385-MAX($B$2:B385)</f>
        <v>-16.36</v>
      </c>
      <c r="F385" s="80">
        <f t="shared" si="16"/>
        <v>187</v>
      </c>
      <c r="G385" s="77">
        <f>Target1[[#This Row],[Target Drawdown]]/MAX($B$2:B385)</f>
        <v>-0.44216216216216214</v>
      </c>
      <c r="H385" s="1" t="str">
        <f>IF(SUM(COUNTIF(Benchmark1[Benchmark '#1 Dates],Target1[[#This Row],[Target Dates]]),COUNTIF(Benchmark2[Benchmark '#2 Dates],Target1[[#This Row],[Target Dates]]))=2,"Pass","Fail")</f>
        <v>Pass</v>
      </c>
      <c r="I385" s="78">
        <f t="shared" si="17"/>
        <v>-16.36</v>
      </c>
      <c r="K385" s="72">
        <f>Target1[[#This Row],[Target Price]]/$B$2*100</f>
        <v>120.0698080279232</v>
      </c>
      <c r="R385">
        <f>B386/Target1[[#This Row],[Target Price]]-1</f>
        <v>-2.1317829457364379E-2</v>
      </c>
    </row>
    <row r="386" spans="1:18">
      <c r="A386" s="96">
        <v>43844</v>
      </c>
      <c r="B386" s="101">
        <v>20.2</v>
      </c>
      <c r="C386" s="4">
        <f t="shared" ref="C386:C449" si="18">IFERROR(IF(B386="","-",LN(B386/B385)),"-")</f>
        <v>-2.1548336206202948E-2</v>
      </c>
      <c r="D386" s="4">
        <f>IFERROR(Target1[[#This Row],[Target Return]]+1,"-")</f>
        <v>0.978451663793797</v>
      </c>
      <c r="E386" s="6">
        <f>B386-MAX($B$2:B386)</f>
        <v>-16.8</v>
      </c>
      <c r="F386" s="80">
        <f t="shared" ref="F386:F449" si="19">IF(E386=0,0,F385+1)</f>
        <v>188</v>
      </c>
      <c r="G386" s="77">
        <f>Target1[[#This Row],[Target Drawdown]]/MAX($B$2:B386)</f>
        <v>-0.45405405405405408</v>
      </c>
      <c r="H386" s="1" t="str">
        <f>IF(SUM(COUNTIF(Benchmark1[Benchmark '#1 Dates],Target1[[#This Row],[Target Dates]]),COUNTIF(Benchmark2[Benchmark '#2 Dates],Target1[[#This Row],[Target Dates]]))=2,"Pass","Fail")</f>
        <v>Pass</v>
      </c>
      <c r="I386" s="78">
        <f t="shared" ref="I386:I449" si="20">$E$2+E386</f>
        <v>-16.8</v>
      </c>
      <c r="K386" s="72">
        <f>Target1[[#This Row],[Target Price]]/$B$2*100</f>
        <v>117.51018033740546</v>
      </c>
      <c r="R386">
        <f>B387/Target1[[#This Row],[Target Price]]-1</f>
        <v>1.534653465346536E-2</v>
      </c>
    </row>
    <row r="387" spans="1:18">
      <c r="A387" s="96">
        <v>43845</v>
      </c>
      <c r="B387" s="101">
        <v>20.51</v>
      </c>
      <c r="C387" s="4">
        <f t="shared" si="18"/>
        <v>1.5229967677130181E-2</v>
      </c>
      <c r="D387" s="4">
        <f>IFERROR(Target1[[#This Row],[Target Return]]+1,"-")</f>
        <v>1.0152299676771301</v>
      </c>
      <c r="E387" s="6">
        <f>B387-MAX($B$2:B387)</f>
        <v>-16.489999999999998</v>
      </c>
      <c r="F387" s="80">
        <f t="shared" si="19"/>
        <v>189</v>
      </c>
      <c r="G387" s="77">
        <f>Target1[[#This Row],[Target Drawdown]]/MAX($B$2:B387)</f>
        <v>-0.44567567567567562</v>
      </c>
      <c r="H387" s="1" t="str">
        <f>IF(SUM(COUNTIF(Benchmark1[Benchmark '#1 Dates],Target1[[#This Row],[Target Dates]]),COUNTIF(Benchmark2[Benchmark '#2 Dates],Target1[[#This Row],[Target Dates]]))=2,"Pass","Fail")</f>
        <v>Pass</v>
      </c>
      <c r="I387" s="78">
        <f t="shared" si="20"/>
        <v>-16.489999999999998</v>
      </c>
      <c r="K387" s="72">
        <f>Target1[[#This Row],[Target Price]]/$B$2*100</f>
        <v>119.31355439208842</v>
      </c>
      <c r="R387">
        <f>B388/Target1[[#This Row],[Target Price]]-1</f>
        <v>1.9990248659190746E-2</v>
      </c>
    </row>
    <row r="388" spans="1:18">
      <c r="A388" s="96">
        <v>43846</v>
      </c>
      <c r="B388" s="101">
        <v>20.92</v>
      </c>
      <c r="C388" s="4">
        <f t="shared" si="18"/>
        <v>1.9793067112433015E-2</v>
      </c>
      <c r="D388" s="4">
        <f>IFERROR(Target1[[#This Row],[Target Return]]+1,"-")</f>
        <v>1.0197930671124331</v>
      </c>
      <c r="E388" s="6">
        <f>B388-MAX($B$2:B388)</f>
        <v>-16.079999999999998</v>
      </c>
      <c r="F388" s="80">
        <f t="shared" si="19"/>
        <v>190</v>
      </c>
      <c r="G388" s="77">
        <f>Target1[[#This Row],[Target Drawdown]]/MAX($B$2:B388)</f>
        <v>-0.43459459459459454</v>
      </c>
      <c r="H388" s="1" t="str">
        <f>IF(SUM(COUNTIF(Benchmark1[Benchmark '#1 Dates],Target1[[#This Row],[Target Dates]]),COUNTIF(Benchmark2[Benchmark '#2 Dates],Target1[[#This Row],[Target Dates]]))=2,"Pass","Fail")</f>
        <v>Pass</v>
      </c>
      <c r="I388" s="78">
        <f t="shared" si="20"/>
        <v>-16.079999999999998</v>
      </c>
      <c r="K388" s="72">
        <f>Target1[[#This Row],[Target Price]]/$B$2*100</f>
        <v>121.69866201279814</v>
      </c>
      <c r="R388">
        <f>B389/Target1[[#This Row],[Target Price]]-1</f>
        <v>-5.258126195028856E-3</v>
      </c>
    </row>
    <row r="389" spans="1:18">
      <c r="A389" s="96">
        <v>43847</v>
      </c>
      <c r="B389" s="101">
        <v>20.81</v>
      </c>
      <c r="C389" s="4">
        <f t="shared" si="18"/>
        <v>-5.2719987911792705E-3</v>
      </c>
      <c r="D389" s="4">
        <f>IFERROR(Target1[[#This Row],[Target Return]]+1,"-")</f>
        <v>0.99472800120882077</v>
      </c>
      <c r="E389" s="6">
        <f>B389-MAX($B$2:B389)</f>
        <v>-16.190000000000001</v>
      </c>
      <c r="F389" s="80">
        <f t="shared" si="19"/>
        <v>191</v>
      </c>
      <c r="G389" s="77">
        <f>Target1[[#This Row],[Target Drawdown]]/MAX($B$2:B389)</f>
        <v>-0.43756756756756759</v>
      </c>
      <c r="H389" s="1" t="str">
        <f>IF(SUM(COUNTIF(Benchmark1[Benchmark '#1 Dates],Target1[[#This Row],[Target Dates]]),COUNTIF(Benchmark2[Benchmark '#2 Dates],Target1[[#This Row],[Target Dates]]))=2,"Pass","Fail")</f>
        <v>Pass</v>
      </c>
      <c r="I389" s="78">
        <f t="shared" si="20"/>
        <v>-16.190000000000001</v>
      </c>
      <c r="K389" s="72">
        <f>Target1[[#This Row],[Target Price]]/$B$2*100</f>
        <v>121.05875509016867</v>
      </c>
      <c r="R389">
        <f>B390/Target1[[#This Row],[Target Price]]-1</f>
        <v>-2.2104757328207492E-2</v>
      </c>
    </row>
    <row r="390" spans="1:18">
      <c r="A390" s="96">
        <v>43851</v>
      </c>
      <c r="B390" s="101">
        <v>20.350000000000001</v>
      </c>
      <c r="C390" s="4">
        <f t="shared" si="18"/>
        <v>-2.2352728516938959E-2</v>
      </c>
      <c r="D390" s="4">
        <f>IFERROR(Target1[[#This Row],[Target Return]]+1,"-")</f>
        <v>0.97764727148306108</v>
      </c>
      <c r="E390" s="6">
        <f>B390-MAX($B$2:B390)</f>
        <v>-16.649999999999999</v>
      </c>
      <c r="F390" s="80">
        <f t="shared" si="19"/>
        <v>192</v>
      </c>
      <c r="G390" s="77">
        <f>Target1[[#This Row],[Target Drawdown]]/MAX($B$2:B390)</f>
        <v>-0.44999999999999996</v>
      </c>
      <c r="H390" s="1" t="str">
        <f>IF(SUM(COUNTIF(Benchmark1[Benchmark '#1 Dates],Target1[[#This Row],[Target Dates]]),COUNTIF(Benchmark2[Benchmark '#2 Dates],Target1[[#This Row],[Target Dates]]))=2,"Pass","Fail")</f>
        <v>Pass</v>
      </c>
      <c r="I390" s="78">
        <f t="shared" si="20"/>
        <v>-16.649999999999999</v>
      </c>
      <c r="K390" s="72">
        <f>Target1[[#This Row],[Target Price]]/$B$2*100</f>
        <v>118.38278068644561</v>
      </c>
      <c r="R390">
        <f>B391/Target1[[#This Row],[Target Price]]-1</f>
        <v>-2.4570024570025328E-3</v>
      </c>
    </row>
    <row r="391" spans="1:18">
      <c r="A391" s="96">
        <v>43852</v>
      </c>
      <c r="B391" s="101">
        <v>20.3</v>
      </c>
      <c r="C391" s="4">
        <f t="shared" si="18"/>
        <v>-2.4600258408624229E-3</v>
      </c>
      <c r="D391" s="4">
        <f>IFERROR(Target1[[#This Row],[Target Return]]+1,"-")</f>
        <v>0.99753997415913753</v>
      </c>
      <c r="E391" s="6">
        <f>B391-MAX($B$2:B391)</f>
        <v>-16.7</v>
      </c>
      <c r="F391" s="80">
        <f t="shared" si="19"/>
        <v>193</v>
      </c>
      <c r="G391" s="77">
        <f>Target1[[#This Row],[Target Drawdown]]/MAX($B$2:B391)</f>
        <v>-0.45135135135135135</v>
      </c>
      <c r="H391" s="1" t="str">
        <f>IF(SUM(COUNTIF(Benchmark1[Benchmark '#1 Dates],Target1[[#This Row],[Target Dates]]),COUNTIF(Benchmark2[Benchmark '#2 Dates],Target1[[#This Row],[Target Dates]]))=2,"Pass","Fail")</f>
        <v>Pass</v>
      </c>
      <c r="I391" s="78">
        <f t="shared" si="20"/>
        <v>-16.7</v>
      </c>
      <c r="K391" s="72">
        <f>Target1[[#This Row],[Target Price]]/$B$2*100</f>
        <v>118.09191390343223</v>
      </c>
      <c r="R391">
        <f>B392/Target1[[#This Row],[Target Price]]-1</f>
        <v>-1.2807881773399088E-2</v>
      </c>
    </row>
    <row r="392" spans="1:18">
      <c r="A392" s="96">
        <v>43853</v>
      </c>
      <c r="B392" s="101">
        <v>20.04</v>
      </c>
      <c r="C392" s="4">
        <f t="shared" si="18"/>
        <v>-1.2890609831077673E-2</v>
      </c>
      <c r="D392" s="4">
        <f>IFERROR(Target1[[#This Row],[Target Return]]+1,"-")</f>
        <v>0.9871093901689223</v>
      </c>
      <c r="E392" s="6">
        <f>B392-MAX($B$2:B392)</f>
        <v>-16.96</v>
      </c>
      <c r="F392" s="80">
        <f t="shared" si="19"/>
        <v>194</v>
      </c>
      <c r="G392" s="77">
        <f>Target1[[#This Row],[Target Drawdown]]/MAX($B$2:B392)</f>
        <v>-0.45837837837837841</v>
      </c>
      <c r="H392" s="1" t="str">
        <f>IF(SUM(COUNTIF(Benchmark1[Benchmark '#1 Dates],Target1[[#This Row],[Target Dates]]),COUNTIF(Benchmark2[Benchmark '#2 Dates],Target1[[#This Row],[Target Dates]]))=2,"Pass","Fail")</f>
        <v>Pass</v>
      </c>
      <c r="I392" s="78">
        <f t="shared" si="20"/>
        <v>-16.96</v>
      </c>
      <c r="K392" s="72">
        <f>Target1[[#This Row],[Target Price]]/$B$2*100</f>
        <v>116.57940663176265</v>
      </c>
      <c r="R392">
        <f>B393/Target1[[#This Row],[Target Price]]-1</f>
        <v>-1.6966067864271461E-2</v>
      </c>
    </row>
    <row r="393" spans="1:18">
      <c r="A393" s="96">
        <v>43854</v>
      </c>
      <c r="B393" s="101">
        <v>19.7</v>
      </c>
      <c r="C393" s="4">
        <f t="shared" si="18"/>
        <v>-1.7111640472721231E-2</v>
      </c>
      <c r="D393" s="4">
        <f>IFERROR(Target1[[#This Row],[Target Return]]+1,"-")</f>
        <v>0.98288835952727882</v>
      </c>
      <c r="E393" s="6">
        <f>B393-MAX($B$2:B393)</f>
        <v>-17.3</v>
      </c>
      <c r="F393" s="80">
        <f t="shared" si="19"/>
        <v>195</v>
      </c>
      <c r="G393" s="77">
        <f>Target1[[#This Row],[Target Drawdown]]/MAX($B$2:B393)</f>
        <v>-0.46756756756756757</v>
      </c>
      <c r="H393" s="1" t="str">
        <f>IF(SUM(COUNTIF(Benchmark1[Benchmark '#1 Dates],Target1[[#This Row],[Target Dates]]),COUNTIF(Benchmark2[Benchmark '#2 Dates],Target1[[#This Row],[Target Dates]]))=2,"Pass","Fail")</f>
        <v>Pass</v>
      </c>
      <c r="I393" s="78">
        <f t="shared" si="20"/>
        <v>-17.3</v>
      </c>
      <c r="K393" s="72">
        <f>Target1[[#This Row],[Target Price]]/$B$2*100</f>
        <v>114.60151250727166</v>
      </c>
      <c r="R393">
        <f>B394/Target1[[#This Row],[Target Price]]-1</f>
        <v>-6.0913705583757194E-3</v>
      </c>
    </row>
    <row r="394" spans="1:18">
      <c r="A394" s="96">
        <v>43857</v>
      </c>
      <c r="B394" s="101">
        <v>19.579999999999998</v>
      </c>
      <c r="C394" s="4">
        <f t="shared" si="18"/>
        <v>-6.1099986415785847E-3</v>
      </c>
      <c r="D394" s="4">
        <f>IFERROR(Target1[[#This Row],[Target Return]]+1,"-")</f>
        <v>0.99389000135842143</v>
      </c>
      <c r="E394" s="6">
        <f>B394-MAX($B$2:B394)</f>
        <v>-17.420000000000002</v>
      </c>
      <c r="F394" s="80">
        <f t="shared" si="19"/>
        <v>196</v>
      </c>
      <c r="G394" s="77">
        <f>Target1[[#This Row],[Target Drawdown]]/MAX($B$2:B394)</f>
        <v>-0.47081081081081083</v>
      </c>
      <c r="H394" s="1" t="str">
        <f>IF(SUM(COUNTIF(Benchmark1[Benchmark '#1 Dates],Target1[[#This Row],[Target Dates]]),COUNTIF(Benchmark2[Benchmark '#2 Dates],Target1[[#This Row],[Target Dates]]))=2,"Pass","Fail")</f>
        <v>Pass</v>
      </c>
      <c r="I394" s="78">
        <f t="shared" si="20"/>
        <v>-17.420000000000002</v>
      </c>
      <c r="K394" s="72">
        <f>Target1[[#This Row],[Target Price]]/$B$2*100</f>
        <v>113.90343222803953</v>
      </c>
      <c r="R394">
        <f>B395/Target1[[#This Row],[Target Price]]-1</f>
        <v>-0.15117466802860047</v>
      </c>
    </row>
    <row r="395" spans="1:18">
      <c r="A395" s="96">
        <v>43858</v>
      </c>
      <c r="B395" s="101">
        <v>16.62</v>
      </c>
      <c r="C395" s="4">
        <f t="shared" si="18"/>
        <v>-0.16390184767506202</v>
      </c>
      <c r="D395" s="4">
        <f>IFERROR(Target1[[#This Row],[Target Return]]+1,"-")</f>
        <v>0.836098152324938</v>
      </c>
      <c r="E395" s="6">
        <f>B395-MAX($B$2:B395)</f>
        <v>-20.38</v>
      </c>
      <c r="F395" s="80">
        <f t="shared" si="19"/>
        <v>197</v>
      </c>
      <c r="G395" s="77">
        <f>Target1[[#This Row],[Target Drawdown]]/MAX($B$2:B395)</f>
        <v>-0.55081081081081074</v>
      </c>
      <c r="H395" s="1" t="str">
        <f>IF(SUM(COUNTIF(Benchmark1[Benchmark '#1 Dates],Target1[[#This Row],[Target Dates]]),COUNTIF(Benchmark2[Benchmark '#2 Dates],Target1[[#This Row],[Target Dates]]))=2,"Pass","Fail")</f>
        <v>Pass</v>
      </c>
      <c r="I395" s="78">
        <f t="shared" si="20"/>
        <v>-20.38</v>
      </c>
      <c r="K395" s="72">
        <f>Target1[[#This Row],[Target Price]]/$B$2*100</f>
        <v>96.684118673647461</v>
      </c>
      <c r="R395">
        <f>B396/Target1[[#This Row],[Target Price]]-1</f>
        <v>-1.9253910950661868E-2</v>
      </c>
    </row>
    <row r="396" spans="1:18">
      <c r="A396" s="96">
        <v>43859</v>
      </c>
      <c r="B396" s="101">
        <v>16.3</v>
      </c>
      <c r="C396" s="4">
        <f t="shared" si="18"/>
        <v>-1.9441681614585496E-2</v>
      </c>
      <c r="D396" s="4">
        <f>IFERROR(Target1[[#This Row],[Target Return]]+1,"-")</f>
        <v>0.98055831838541452</v>
      </c>
      <c r="E396" s="6">
        <f>B396-MAX($B$2:B396)</f>
        <v>-20.7</v>
      </c>
      <c r="F396" s="80">
        <f t="shared" si="19"/>
        <v>198</v>
      </c>
      <c r="G396" s="77">
        <f>Target1[[#This Row],[Target Drawdown]]/MAX($B$2:B396)</f>
        <v>-0.55945945945945941</v>
      </c>
      <c r="H396" s="1" t="str">
        <f>IF(SUM(COUNTIF(Benchmark1[Benchmark '#1 Dates],Target1[[#This Row],[Target Dates]]),COUNTIF(Benchmark2[Benchmark '#2 Dates],Target1[[#This Row],[Target Dates]]))=2,"Pass","Fail")</f>
        <v>Pass</v>
      </c>
      <c r="I396" s="78">
        <f t="shared" si="20"/>
        <v>-20.7</v>
      </c>
      <c r="K396" s="72">
        <f>Target1[[#This Row],[Target Price]]/$B$2*100</f>
        <v>94.822571262361834</v>
      </c>
      <c r="R396">
        <f>B397/Target1[[#This Row],[Target Price]]-1</f>
        <v>1.2269938650306678E-3</v>
      </c>
    </row>
    <row r="397" spans="1:18">
      <c r="A397" s="96">
        <v>43860</v>
      </c>
      <c r="B397" s="101">
        <v>16.32</v>
      </c>
      <c r="C397" s="4">
        <f t="shared" si="18"/>
        <v>1.2262417232442935E-3</v>
      </c>
      <c r="D397" s="4">
        <f>IFERROR(Target1[[#This Row],[Target Return]]+1,"-")</f>
        <v>1.0012262417232443</v>
      </c>
      <c r="E397" s="6">
        <f>B397-MAX($B$2:B397)</f>
        <v>-20.68</v>
      </c>
      <c r="F397" s="80">
        <f t="shared" si="19"/>
        <v>199</v>
      </c>
      <c r="G397" s="77">
        <f>Target1[[#This Row],[Target Drawdown]]/MAX($B$2:B397)</f>
        <v>-0.55891891891891887</v>
      </c>
      <c r="H397" s="1" t="str">
        <f>IF(SUM(COUNTIF(Benchmark1[Benchmark '#1 Dates],Target1[[#This Row],[Target Dates]]),COUNTIF(Benchmark2[Benchmark '#2 Dates],Target1[[#This Row],[Target Dates]]))=2,"Pass","Fail")</f>
        <v>Pass</v>
      </c>
      <c r="I397" s="78">
        <f t="shared" si="20"/>
        <v>-20.68</v>
      </c>
      <c r="K397" s="72">
        <f>Target1[[#This Row],[Target Price]]/$B$2*100</f>
        <v>94.938917975567179</v>
      </c>
      <c r="R397">
        <f>B398/Target1[[#This Row],[Target Price]]-1</f>
        <v>-1.1029411764705843E-2</v>
      </c>
    </row>
    <row r="398" spans="1:18">
      <c r="A398" s="96">
        <v>43861</v>
      </c>
      <c r="B398" s="101">
        <v>16.14</v>
      </c>
      <c r="C398" s="4">
        <f t="shared" si="18"/>
        <v>-1.1090686694158173E-2</v>
      </c>
      <c r="D398" s="4">
        <f>IFERROR(Target1[[#This Row],[Target Return]]+1,"-")</f>
        <v>0.98890931330584186</v>
      </c>
      <c r="E398" s="6">
        <f>B398-MAX($B$2:B398)</f>
        <v>-20.86</v>
      </c>
      <c r="F398" s="80">
        <f t="shared" si="19"/>
        <v>200</v>
      </c>
      <c r="G398" s="77">
        <f>Target1[[#This Row],[Target Drawdown]]/MAX($B$2:B398)</f>
        <v>-0.5637837837837838</v>
      </c>
      <c r="H398" s="1" t="str">
        <f>IF(SUM(COUNTIF(Benchmark1[Benchmark '#1 Dates],Target1[[#This Row],[Target Dates]]),COUNTIF(Benchmark2[Benchmark '#2 Dates],Target1[[#This Row],[Target Dates]]))=2,"Pass","Fail")</f>
        <v>Pass</v>
      </c>
      <c r="I398" s="78">
        <f t="shared" si="20"/>
        <v>-20.86</v>
      </c>
      <c r="K398" s="72">
        <f>Target1[[#This Row],[Target Price]]/$B$2*100</f>
        <v>93.891797556719013</v>
      </c>
      <c r="R398">
        <f>B399/Target1[[#This Row],[Target Price]]-1</f>
        <v>-9.2936802973977439E-3</v>
      </c>
    </row>
    <row r="399" spans="1:18">
      <c r="A399" s="96">
        <v>43864</v>
      </c>
      <c r="B399" s="101">
        <v>15.99</v>
      </c>
      <c r="C399" s="4">
        <f t="shared" si="18"/>
        <v>-9.3371359959398496E-3</v>
      </c>
      <c r="D399" s="4">
        <f>IFERROR(Target1[[#This Row],[Target Return]]+1,"-")</f>
        <v>0.99066286400406012</v>
      </c>
      <c r="E399" s="6">
        <f>B399-MAX($B$2:B399)</f>
        <v>-21.009999999999998</v>
      </c>
      <c r="F399" s="80">
        <f t="shared" si="19"/>
        <v>201</v>
      </c>
      <c r="G399" s="77">
        <f>Target1[[#This Row],[Target Drawdown]]/MAX($B$2:B399)</f>
        <v>-0.56783783783783781</v>
      </c>
      <c r="H399" s="1" t="str">
        <f>IF(SUM(COUNTIF(Benchmark1[Benchmark '#1 Dates],Target1[[#This Row],[Target Dates]]),COUNTIF(Benchmark2[Benchmark '#2 Dates],Target1[[#This Row],[Target Dates]]))=2,"Pass","Fail")</f>
        <v>Pass</v>
      </c>
      <c r="I399" s="78">
        <f t="shared" si="20"/>
        <v>-21.009999999999998</v>
      </c>
      <c r="K399" s="72">
        <f>Target1[[#This Row],[Target Price]]/$B$2*100</f>
        <v>93.019197207678872</v>
      </c>
      <c r="R399">
        <f>B400/Target1[[#This Row],[Target Price]]-1</f>
        <v>2.2514071294559068E-2</v>
      </c>
    </row>
    <row r="400" spans="1:18">
      <c r="A400" s="96">
        <v>43865</v>
      </c>
      <c r="B400" s="101">
        <v>16.350000000000001</v>
      </c>
      <c r="C400" s="4">
        <f t="shared" si="18"/>
        <v>2.2264370497399506E-2</v>
      </c>
      <c r="D400" s="4">
        <f>IFERROR(Target1[[#This Row],[Target Return]]+1,"-")</f>
        <v>1.0222643704973995</v>
      </c>
      <c r="E400" s="6">
        <f>B400-MAX($B$2:B400)</f>
        <v>-20.65</v>
      </c>
      <c r="F400" s="80">
        <f t="shared" si="19"/>
        <v>202</v>
      </c>
      <c r="G400" s="77">
        <f>Target1[[#This Row],[Target Drawdown]]/MAX($B$2:B400)</f>
        <v>-0.55810810810810807</v>
      </c>
      <c r="H400" s="1" t="str">
        <f>IF(SUM(COUNTIF(Benchmark1[Benchmark '#1 Dates],Target1[[#This Row],[Target Dates]]),COUNTIF(Benchmark2[Benchmark '#2 Dates],Target1[[#This Row],[Target Dates]]))=2,"Pass","Fail")</f>
        <v>Pass</v>
      </c>
      <c r="I400" s="78">
        <f t="shared" si="20"/>
        <v>-20.65</v>
      </c>
      <c r="K400" s="72">
        <f>Target1[[#This Row],[Target Price]]/$B$2*100</f>
        <v>95.113438045375219</v>
      </c>
      <c r="R400">
        <f>B401/Target1[[#This Row],[Target Price]]-1</f>
        <v>3.9143730886849859E-2</v>
      </c>
    </row>
    <row r="401" spans="1:18">
      <c r="A401" s="96">
        <v>43866</v>
      </c>
      <c r="B401" s="101">
        <v>16.989999999999998</v>
      </c>
      <c r="C401" s="4">
        <f t="shared" si="18"/>
        <v>3.8397038340577977E-2</v>
      </c>
      <c r="D401" s="4">
        <f>IFERROR(Target1[[#This Row],[Target Return]]+1,"-")</f>
        <v>1.0383970383405781</v>
      </c>
      <c r="E401" s="6">
        <f>B401-MAX($B$2:B401)</f>
        <v>-20.010000000000002</v>
      </c>
      <c r="F401" s="80">
        <f t="shared" si="19"/>
        <v>203</v>
      </c>
      <c r="G401" s="77">
        <f>Target1[[#This Row],[Target Drawdown]]/MAX($B$2:B401)</f>
        <v>-0.54081081081081084</v>
      </c>
      <c r="H401" s="1" t="str">
        <f>IF(SUM(COUNTIF(Benchmark1[Benchmark '#1 Dates],Target1[[#This Row],[Target Dates]]),COUNTIF(Benchmark2[Benchmark '#2 Dates],Target1[[#This Row],[Target Dates]]))=2,"Pass","Fail")</f>
        <v>Pass</v>
      </c>
      <c r="I401" s="78">
        <f t="shared" si="20"/>
        <v>-20.010000000000002</v>
      </c>
      <c r="K401" s="72">
        <f>Target1[[#This Row],[Target Price]]/$B$2*100</f>
        <v>98.836532867946474</v>
      </c>
      <c r="R401">
        <f>B402/Target1[[#This Row],[Target Price]]-1</f>
        <v>-1.9423190111830357E-2</v>
      </c>
    </row>
    <row r="402" spans="1:18">
      <c r="A402" s="96">
        <v>43867</v>
      </c>
      <c r="B402" s="101">
        <v>16.66</v>
      </c>
      <c r="C402" s="4">
        <f t="shared" si="18"/>
        <v>-1.9614298945143889E-2</v>
      </c>
      <c r="D402" s="4">
        <f>IFERROR(Target1[[#This Row],[Target Return]]+1,"-")</f>
        <v>0.98038570105485612</v>
      </c>
      <c r="E402" s="6">
        <f>B402-MAX($B$2:B402)</f>
        <v>-20.34</v>
      </c>
      <c r="F402" s="80">
        <f t="shared" si="19"/>
        <v>204</v>
      </c>
      <c r="G402" s="77">
        <f>Target1[[#This Row],[Target Drawdown]]/MAX($B$2:B402)</f>
        <v>-0.54972972972972978</v>
      </c>
      <c r="H402" s="1" t="str">
        <f>IF(SUM(COUNTIF(Benchmark1[Benchmark '#1 Dates],Target1[[#This Row],[Target Dates]]),COUNTIF(Benchmark2[Benchmark '#2 Dates],Target1[[#This Row],[Target Dates]]))=2,"Pass","Fail")</f>
        <v>Pass</v>
      </c>
      <c r="I402" s="78">
        <f t="shared" si="20"/>
        <v>-20.34</v>
      </c>
      <c r="K402" s="72">
        <f>Target1[[#This Row],[Target Price]]/$B$2*100</f>
        <v>96.916812100058166</v>
      </c>
      <c r="R402">
        <f>B403/Target1[[#This Row],[Target Price]]-1</f>
        <v>-3.7815126050420145E-2</v>
      </c>
    </row>
    <row r="403" spans="1:18">
      <c r="A403" s="96">
        <v>43868</v>
      </c>
      <c r="B403" s="101">
        <v>16.03</v>
      </c>
      <c r="C403" s="4">
        <f t="shared" si="18"/>
        <v>-3.854867011723502E-2</v>
      </c>
      <c r="D403" s="4">
        <f>IFERROR(Target1[[#This Row],[Target Return]]+1,"-")</f>
        <v>0.96145132988276494</v>
      </c>
      <c r="E403" s="6">
        <f>B403-MAX($B$2:B403)</f>
        <v>-20.97</v>
      </c>
      <c r="F403" s="80">
        <f t="shared" si="19"/>
        <v>205</v>
      </c>
      <c r="G403" s="77">
        <f>Target1[[#This Row],[Target Drawdown]]/MAX($B$2:B403)</f>
        <v>-0.56675675675675674</v>
      </c>
      <c r="H403" s="1" t="str">
        <f>IF(SUM(COUNTIF(Benchmark1[Benchmark '#1 Dates],Target1[[#This Row],[Target Dates]]),COUNTIF(Benchmark2[Benchmark '#2 Dates],Target1[[#This Row],[Target Dates]]))=2,"Pass","Fail")</f>
        <v>Pass</v>
      </c>
      <c r="I403" s="78">
        <f t="shared" si="20"/>
        <v>-20.97</v>
      </c>
      <c r="K403" s="72">
        <f>Target1[[#This Row],[Target Price]]/$B$2*100</f>
        <v>93.251890634089591</v>
      </c>
      <c r="R403">
        <f>B404/Target1[[#This Row],[Target Price]]-1</f>
        <v>-1.0605115408608978E-2</v>
      </c>
    </row>
    <row r="404" spans="1:18">
      <c r="A404" s="96">
        <v>43871</v>
      </c>
      <c r="B404" s="101">
        <v>15.86</v>
      </c>
      <c r="C404" s="4">
        <f t="shared" si="18"/>
        <v>-1.066175041475978E-2</v>
      </c>
      <c r="D404" s="4">
        <f>IFERROR(Target1[[#This Row],[Target Return]]+1,"-")</f>
        <v>0.98933824958524019</v>
      </c>
      <c r="E404" s="6">
        <f>B404-MAX($B$2:B404)</f>
        <v>-21.14</v>
      </c>
      <c r="F404" s="80">
        <f t="shared" si="19"/>
        <v>206</v>
      </c>
      <c r="G404" s="77">
        <f>Target1[[#This Row],[Target Drawdown]]/MAX($B$2:B404)</f>
        <v>-0.5713513513513514</v>
      </c>
      <c r="H404" s="1" t="str">
        <f>IF(SUM(COUNTIF(Benchmark1[Benchmark '#1 Dates],Target1[[#This Row],[Target Dates]]),COUNTIF(Benchmark2[Benchmark '#2 Dates],Target1[[#This Row],[Target Dates]]))=2,"Pass","Fail")</f>
        <v>Pass</v>
      </c>
      <c r="I404" s="78">
        <f t="shared" si="20"/>
        <v>-21.14</v>
      </c>
      <c r="K404" s="72">
        <f>Target1[[#This Row],[Target Price]]/$B$2*100</f>
        <v>92.262943571844076</v>
      </c>
      <c r="R404">
        <f>B405/Target1[[#This Row],[Target Price]]-1</f>
        <v>1.6393442622950838E-2</v>
      </c>
    </row>
    <row r="405" spans="1:18">
      <c r="A405" s="96">
        <v>43872</v>
      </c>
      <c r="B405" s="101">
        <v>16.12</v>
      </c>
      <c r="C405" s="4">
        <f t="shared" si="18"/>
        <v>1.6260520871780326E-2</v>
      </c>
      <c r="D405" s="4">
        <f>IFERROR(Target1[[#This Row],[Target Return]]+1,"-")</f>
        <v>1.0162605208717803</v>
      </c>
      <c r="E405" s="6">
        <f>B405-MAX($B$2:B405)</f>
        <v>-20.88</v>
      </c>
      <c r="F405" s="80">
        <f t="shared" si="19"/>
        <v>207</v>
      </c>
      <c r="G405" s="77">
        <f>Target1[[#This Row],[Target Drawdown]]/MAX($B$2:B405)</f>
        <v>-0.56432432432432433</v>
      </c>
      <c r="H405" s="1" t="str">
        <f>IF(SUM(COUNTIF(Benchmark1[Benchmark '#1 Dates],Target1[[#This Row],[Target Dates]]),COUNTIF(Benchmark2[Benchmark '#2 Dates],Target1[[#This Row],[Target Dates]]))=2,"Pass","Fail")</f>
        <v>Pass</v>
      </c>
      <c r="I405" s="78">
        <f t="shared" si="20"/>
        <v>-20.88</v>
      </c>
      <c r="K405" s="72">
        <f>Target1[[#This Row],[Target Price]]/$B$2*100</f>
        <v>93.775450843513681</v>
      </c>
      <c r="R405">
        <f>B406/Target1[[#This Row],[Target Price]]-1</f>
        <v>3.9081885856079301E-2</v>
      </c>
    </row>
    <row r="406" spans="1:18">
      <c r="A406" s="96">
        <v>43873</v>
      </c>
      <c r="B406" s="101">
        <v>16.75</v>
      </c>
      <c r="C406" s="4">
        <f t="shared" si="18"/>
        <v>3.8337521192593108E-2</v>
      </c>
      <c r="D406" s="4">
        <f>IFERROR(Target1[[#This Row],[Target Return]]+1,"-")</f>
        <v>1.0383375211925931</v>
      </c>
      <c r="E406" s="6">
        <f>B406-MAX($B$2:B406)</f>
        <v>-20.25</v>
      </c>
      <c r="F406" s="80">
        <f t="shared" si="19"/>
        <v>208</v>
      </c>
      <c r="G406" s="77">
        <f>Target1[[#This Row],[Target Drawdown]]/MAX($B$2:B406)</f>
        <v>-0.54729729729729726</v>
      </c>
      <c r="H406" s="1" t="str">
        <f>IF(SUM(COUNTIF(Benchmark1[Benchmark '#1 Dates],Target1[[#This Row],[Target Dates]]),COUNTIF(Benchmark2[Benchmark '#2 Dates],Target1[[#This Row],[Target Dates]]))=2,"Pass","Fail")</f>
        <v>Pass</v>
      </c>
      <c r="I406" s="78">
        <f t="shared" si="20"/>
        <v>-20.25</v>
      </c>
      <c r="K406" s="72">
        <f>Target1[[#This Row],[Target Price]]/$B$2*100</f>
        <v>97.440372309482242</v>
      </c>
      <c r="R406">
        <f>B407/Target1[[#This Row],[Target Price]]-1</f>
        <v>2.2089552238806043E-2</v>
      </c>
    </row>
    <row r="407" spans="1:18">
      <c r="A407" s="96">
        <v>43874</v>
      </c>
      <c r="B407" s="101">
        <v>17.12</v>
      </c>
      <c r="C407" s="4">
        <f t="shared" si="18"/>
        <v>2.1849112442520673E-2</v>
      </c>
      <c r="D407" s="4">
        <f>IFERROR(Target1[[#This Row],[Target Return]]+1,"-")</f>
        <v>1.0218491124425206</v>
      </c>
      <c r="E407" s="6">
        <f>B407-MAX($B$2:B407)</f>
        <v>-19.88</v>
      </c>
      <c r="F407" s="80">
        <f t="shared" si="19"/>
        <v>209</v>
      </c>
      <c r="G407" s="77">
        <f>Target1[[#This Row],[Target Drawdown]]/MAX($B$2:B407)</f>
        <v>-0.53729729729729725</v>
      </c>
      <c r="H407" s="1" t="str">
        <f>IF(SUM(COUNTIF(Benchmark1[Benchmark '#1 Dates],Target1[[#This Row],[Target Dates]]),COUNTIF(Benchmark2[Benchmark '#2 Dates],Target1[[#This Row],[Target Dates]]))=2,"Pass","Fail")</f>
        <v>Pass</v>
      </c>
      <c r="I407" s="78">
        <f t="shared" si="20"/>
        <v>-19.88</v>
      </c>
      <c r="K407" s="72">
        <f>Target1[[#This Row],[Target Price]]/$B$2*100</f>
        <v>99.592786503781269</v>
      </c>
      <c r="R407">
        <f>B408/Target1[[#This Row],[Target Price]]-1</f>
        <v>2.3364485981307581E-3</v>
      </c>
    </row>
    <row r="408" spans="1:18">
      <c r="A408" s="96">
        <v>43875</v>
      </c>
      <c r="B408" s="101">
        <v>17.16</v>
      </c>
      <c r="C408" s="4">
        <f t="shared" si="18"/>
        <v>2.3337233462200966E-3</v>
      </c>
      <c r="D408" s="4">
        <f>IFERROR(Target1[[#This Row],[Target Return]]+1,"-")</f>
        <v>1.0023337233462202</v>
      </c>
      <c r="E408" s="6">
        <f>B408-MAX($B$2:B408)</f>
        <v>-19.84</v>
      </c>
      <c r="F408" s="80">
        <f t="shared" si="19"/>
        <v>210</v>
      </c>
      <c r="G408" s="77">
        <f>Target1[[#This Row],[Target Drawdown]]/MAX($B$2:B408)</f>
        <v>-0.53621621621621618</v>
      </c>
      <c r="H408" s="1" t="str">
        <f>IF(SUM(COUNTIF(Benchmark1[Benchmark '#1 Dates],Target1[[#This Row],[Target Dates]]),COUNTIF(Benchmark2[Benchmark '#2 Dates],Target1[[#This Row],[Target Dates]]))=2,"Pass","Fail")</f>
        <v>Pass</v>
      </c>
      <c r="I408" s="78">
        <f t="shared" si="20"/>
        <v>-19.84</v>
      </c>
      <c r="K408" s="72">
        <f>Target1[[#This Row],[Target Price]]/$B$2*100</f>
        <v>99.82547993019196</v>
      </c>
      <c r="R408">
        <f>B409/Target1[[#This Row],[Target Price]]-1</f>
        <v>-1.6899766899766799E-2</v>
      </c>
    </row>
    <row r="409" spans="1:18">
      <c r="A409" s="96">
        <v>43879</v>
      </c>
      <c r="B409" s="101">
        <v>16.87</v>
      </c>
      <c r="C409" s="4">
        <f t="shared" si="18"/>
        <v>-1.7044197501939189E-2</v>
      </c>
      <c r="D409" s="4">
        <f>IFERROR(Target1[[#This Row],[Target Return]]+1,"-")</f>
        <v>0.9829558024980608</v>
      </c>
      <c r="E409" s="6">
        <f>B409-MAX($B$2:B409)</f>
        <v>-20.13</v>
      </c>
      <c r="F409" s="80">
        <f t="shared" si="19"/>
        <v>211</v>
      </c>
      <c r="G409" s="77">
        <f>Target1[[#This Row],[Target Drawdown]]/MAX($B$2:B409)</f>
        <v>-0.54405405405405405</v>
      </c>
      <c r="H409" s="1" t="str">
        <f>IF(SUM(COUNTIF(Benchmark1[Benchmark '#1 Dates],Target1[[#This Row],[Target Dates]]),COUNTIF(Benchmark2[Benchmark '#2 Dates],Target1[[#This Row],[Target Dates]]))=2,"Pass","Fail")</f>
        <v>Pass</v>
      </c>
      <c r="I409" s="78">
        <f t="shared" si="20"/>
        <v>-20.13</v>
      </c>
      <c r="K409" s="72">
        <f>Target1[[#This Row],[Target Price]]/$B$2*100</f>
        <v>98.138452588714358</v>
      </c>
      <c r="R409">
        <f>B410/Target1[[#This Row],[Target Price]]-1</f>
        <v>2.0154119739181908E-2</v>
      </c>
    </row>
    <row r="410" spans="1:18">
      <c r="A410" s="96">
        <v>43880</v>
      </c>
      <c r="B410" s="101">
        <v>17.21</v>
      </c>
      <c r="C410" s="4">
        <f t="shared" si="18"/>
        <v>1.9953713665571048E-2</v>
      </c>
      <c r="D410" s="4">
        <f>IFERROR(Target1[[#This Row],[Target Return]]+1,"-")</f>
        <v>1.019953713665571</v>
      </c>
      <c r="E410" s="6">
        <f>B410-MAX($B$2:B410)</f>
        <v>-19.79</v>
      </c>
      <c r="F410" s="80">
        <f t="shared" si="19"/>
        <v>212</v>
      </c>
      <c r="G410" s="77">
        <f>Target1[[#This Row],[Target Drawdown]]/MAX($B$2:B410)</f>
        <v>-0.53486486486486484</v>
      </c>
      <c r="H410" s="1" t="str">
        <f>IF(SUM(COUNTIF(Benchmark1[Benchmark '#1 Dates],Target1[[#This Row],[Target Dates]]),COUNTIF(Benchmark2[Benchmark '#2 Dates],Target1[[#This Row],[Target Dates]]))=2,"Pass","Fail")</f>
        <v>Pass</v>
      </c>
      <c r="I410" s="78">
        <f t="shared" si="20"/>
        <v>-19.79</v>
      </c>
      <c r="K410" s="72">
        <f>Target1[[#This Row],[Target Price]]/$B$2*100</f>
        <v>100.11634671320535</v>
      </c>
      <c r="R410">
        <f>B411/Target1[[#This Row],[Target Price]]-1</f>
        <v>-1.9174898314933242E-2</v>
      </c>
    </row>
    <row r="411" spans="1:18">
      <c r="A411" s="96">
        <v>43881</v>
      </c>
      <c r="B411" s="101">
        <v>16.88</v>
      </c>
      <c r="C411" s="4">
        <f t="shared" si="18"/>
        <v>-1.9361121055637059E-2</v>
      </c>
      <c r="D411" s="4">
        <f>IFERROR(Target1[[#This Row],[Target Return]]+1,"-")</f>
        <v>0.98063887894436297</v>
      </c>
      <c r="E411" s="6">
        <f>B411-MAX($B$2:B411)</f>
        <v>-20.12</v>
      </c>
      <c r="F411" s="80">
        <f t="shared" si="19"/>
        <v>213</v>
      </c>
      <c r="G411" s="77">
        <f>Target1[[#This Row],[Target Drawdown]]/MAX($B$2:B411)</f>
        <v>-0.54378378378378378</v>
      </c>
      <c r="H411" s="1" t="str">
        <f>IF(SUM(COUNTIF(Benchmark1[Benchmark '#1 Dates],Target1[[#This Row],[Target Dates]]),COUNTIF(Benchmark2[Benchmark '#2 Dates],Target1[[#This Row],[Target Dates]]))=2,"Pass","Fail")</f>
        <v>Pass</v>
      </c>
      <c r="I411" s="78">
        <f t="shared" si="20"/>
        <v>-20.12</v>
      </c>
      <c r="K411" s="72">
        <f>Target1[[#This Row],[Target Price]]/$B$2*100</f>
        <v>98.196625945317024</v>
      </c>
      <c r="R411">
        <f>B412/Target1[[#This Row],[Target Price]]-1</f>
        <v>-7.1090047393362887E-3</v>
      </c>
    </row>
    <row r="412" spans="1:18">
      <c r="A412" s="96">
        <v>43882</v>
      </c>
      <c r="B412" s="101">
        <v>16.760000000000002</v>
      </c>
      <c r="C412" s="4">
        <f t="shared" si="18"/>
        <v>-7.1343941138738683E-3</v>
      </c>
      <c r="D412" s="4">
        <f>IFERROR(Target1[[#This Row],[Target Return]]+1,"-")</f>
        <v>0.99286560588612616</v>
      </c>
      <c r="E412" s="6">
        <f>B412-MAX($B$2:B412)</f>
        <v>-20.239999999999998</v>
      </c>
      <c r="F412" s="80">
        <f t="shared" si="19"/>
        <v>214</v>
      </c>
      <c r="G412" s="77">
        <f>Target1[[#This Row],[Target Drawdown]]/MAX($B$2:B412)</f>
        <v>-0.54702702702702699</v>
      </c>
      <c r="H412" s="1" t="str">
        <f>IF(SUM(COUNTIF(Benchmark1[Benchmark '#1 Dates],Target1[[#This Row],[Target Dates]]),COUNTIF(Benchmark2[Benchmark '#2 Dates],Target1[[#This Row],[Target Dates]]))=2,"Pass","Fail")</f>
        <v>Pass</v>
      </c>
      <c r="I412" s="78">
        <f t="shared" si="20"/>
        <v>-20.239999999999998</v>
      </c>
      <c r="K412" s="72">
        <f>Target1[[#This Row],[Target Price]]/$B$2*100</f>
        <v>97.498545666084937</v>
      </c>
      <c r="R412">
        <f>B413/Target1[[#This Row],[Target Price]]-1</f>
        <v>-3.699284009546544E-2</v>
      </c>
    </row>
    <row r="413" spans="1:18">
      <c r="A413" s="96">
        <v>43885</v>
      </c>
      <c r="B413" s="101">
        <v>16.14</v>
      </c>
      <c r="C413" s="4">
        <f t="shared" si="18"/>
        <v>-3.7694432212134289E-2</v>
      </c>
      <c r="D413" s="4">
        <f>IFERROR(Target1[[#This Row],[Target Return]]+1,"-")</f>
        <v>0.96230556778786569</v>
      </c>
      <c r="E413" s="6">
        <f>B413-MAX($B$2:B413)</f>
        <v>-20.86</v>
      </c>
      <c r="F413" s="80">
        <f t="shared" si="19"/>
        <v>215</v>
      </c>
      <c r="G413" s="77">
        <f>Target1[[#This Row],[Target Drawdown]]/MAX($B$2:B413)</f>
        <v>-0.5637837837837838</v>
      </c>
      <c r="H413" s="1" t="str">
        <f>IF(SUM(COUNTIF(Benchmark1[Benchmark '#1 Dates],Target1[[#This Row],[Target Dates]]),COUNTIF(Benchmark2[Benchmark '#2 Dates],Target1[[#This Row],[Target Dates]]))=2,"Pass","Fail")</f>
        <v>Pass</v>
      </c>
      <c r="I413" s="78">
        <f t="shared" si="20"/>
        <v>-20.86</v>
      </c>
      <c r="K413" s="72">
        <f>Target1[[#This Row],[Target Price]]/$B$2*100</f>
        <v>93.891797556719013</v>
      </c>
      <c r="R413">
        <f>B414/Target1[[#This Row],[Target Price]]-1</f>
        <v>-4.3370508054523249E-3</v>
      </c>
    </row>
    <row r="414" spans="1:18">
      <c r="A414" s="96">
        <v>43886</v>
      </c>
      <c r="B414" s="101">
        <v>16.07</v>
      </c>
      <c r="C414" s="4">
        <f t="shared" si="18"/>
        <v>-4.3464830923815529E-3</v>
      </c>
      <c r="D414" s="4">
        <f>IFERROR(Target1[[#This Row],[Target Return]]+1,"-")</f>
        <v>0.9956535169076185</v>
      </c>
      <c r="E414" s="6">
        <f>B414-MAX($B$2:B414)</f>
        <v>-20.93</v>
      </c>
      <c r="F414" s="80">
        <f t="shared" si="19"/>
        <v>216</v>
      </c>
      <c r="G414" s="77">
        <f>Target1[[#This Row],[Target Drawdown]]/MAX($B$2:B414)</f>
        <v>-0.56567567567567567</v>
      </c>
      <c r="H414" s="1" t="str">
        <f>IF(SUM(COUNTIF(Benchmark1[Benchmark '#1 Dates],Target1[[#This Row],[Target Dates]]),COUNTIF(Benchmark2[Benchmark '#2 Dates],Target1[[#This Row],[Target Dates]]))=2,"Pass","Fail")</f>
        <v>Pass</v>
      </c>
      <c r="I414" s="78">
        <f t="shared" si="20"/>
        <v>-20.93</v>
      </c>
      <c r="K414" s="72">
        <f>Target1[[#This Row],[Target Price]]/$B$2*100</f>
        <v>93.484584060500282</v>
      </c>
      <c r="R414">
        <f>B415/Target1[[#This Row],[Target Price]]-1</f>
        <v>1.7423771001866983E-2</v>
      </c>
    </row>
    <row r="415" spans="1:18">
      <c r="A415" s="96">
        <v>43887</v>
      </c>
      <c r="B415" s="101">
        <v>16.350000000000001</v>
      </c>
      <c r="C415" s="4">
        <f t="shared" si="18"/>
        <v>1.7273717593841328E-2</v>
      </c>
      <c r="D415" s="4">
        <f>IFERROR(Target1[[#This Row],[Target Return]]+1,"-")</f>
        <v>1.0172737175938413</v>
      </c>
      <c r="E415" s="6">
        <f>B415-MAX($B$2:B415)</f>
        <v>-20.65</v>
      </c>
      <c r="F415" s="80">
        <f t="shared" si="19"/>
        <v>217</v>
      </c>
      <c r="G415" s="77">
        <f>Target1[[#This Row],[Target Drawdown]]/MAX($B$2:B415)</f>
        <v>-0.55810810810810807</v>
      </c>
      <c r="H415" s="1" t="str">
        <f>IF(SUM(COUNTIF(Benchmark1[Benchmark '#1 Dates],Target1[[#This Row],[Target Dates]]),COUNTIF(Benchmark2[Benchmark '#2 Dates],Target1[[#This Row],[Target Dates]]))=2,"Pass","Fail")</f>
        <v>Pass</v>
      </c>
      <c r="I415" s="78">
        <f t="shared" si="20"/>
        <v>-20.65</v>
      </c>
      <c r="K415" s="72">
        <f>Target1[[#This Row],[Target Price]]/$B$2*100</f>
        <v>95.113438045375219</v>
      </c>
      <c r="R415">
        <f>B416/Target1[[#This Row],[Target Price]]-1</f>
        <v>0.13149847094801204</v>
      </c>
    </row>
    <row r="416" spans="1:18">
      <c r="A416" s="96">
        <v>43888</v>
      </c>
      <c r="B416" s="101">
        <v>18.5</v>
      </c>
      <c r="C416" s="4">
        <f t="shared" si="18"/>
        <v>0.12354283474101656</v>
      </c>
      <c r="D416" s="4">
        <f>IFERROR(Target1[[#This Row],[Target Return]]+1,"-")</f>
        <v>1.1235428347410166</v>
      </c>
      <c r="E416" s="6">
        <f>B416-MAX($B$2:B416)</f>
        <v>-18.5</v>
      </c>
      <c r="F416" s="80">
        <f t="shared" si="19"/>
        <v>218</v>
      </c>
      <c r="G416" s="77">
        <f>Target1[[#This Row],[Target Drawdown]]/MAX($B$2:B416)</f>
        <v>-0.5</v>
      </c>
      <c r="H416" s="1" t="str">
        <f>IF(SUM(COUNTIF(Benchmark1[Benchmark '#1 Dates],Target1[[#This Row],[Target Dates]]),COUNTIF(Benchmark2[Benchmark '#2 Dates],Target1[[#This Row],[Target Dates]]))=2,"Pass","Fail")</f>
        <v>Pass</v>
      </c>
      <c r="I416" s="78">
        <f t="shared" si="20"/>
        <v>-18.5</v>
      </c>
      <c r="K416" s="72">
        <f>Target1[[#This Row],[Target Price]]/$B$2*100</f>
        <v>107.62070971495055</v>
      </c>
      <c r="R416">
        <f>B417/Target1[[#This Row],[Target Price]]-1</f>
        <v>7.4594594594594499E-2</v>
      </c>
    </row>
    <row r="417" spans="1:18">
      <c r="A417" s="96">
        <v>43889</v>
      </c>
      <c r="B417" s="101">
        <v>19.88</v>
      </c>
      <c r="C417" s="4">
        <f t="shared" si="18"/>
        <v>7.1943469144148758E-2</v>
      </c>
      <c r="D417" s="4">
        <f>IFERROR(Target1[[#This Row],[Target Return]]+1,"-")</f>
        <v>1.0719434691441487</v>
      </c>
      <c r="E417" s="6">
        <f>B417-MAX($B$2:B417)</f>
        <v>-17.12</v>
      </c>
      <c r="F417" s="80">
        <f t="shared" si="19"/>
        <v>219</v>
      </c>
      <c r="G417" s="77">
        <f>Target1[[#This Row],[Target Drawdown]]/MAX($B$2:B417)</f>
        <v>-0.46270270270270275</v>
      </c>
      <c r="H417" s="1" t="str">
        <f>IF(SUM(COUNTIF(Benchmark1[Benchmark '#1 Dates],Target1[[#This Row],[Target Dates]]),COUNTIF(Benchmark2[Benchmark '#2 Dates],Target1[[#This Row],[Target Dates]]))=2,"Pass","Fail")</f>
        <v>Pass</v>
      </c>
      <c r="I417" s="78">
        <f t="shared" si="20"/>
        <v>-17.12</v>
      </c>
      <c r="K417" s="72">
        <f>Target1[[#This Row],[Target Price]]/$B$2*100</f>
        <v>115.64863292611982</v>
      </c>
      <c r="R417">
        <f>B418/Target1[[#This Row],[Target Price]]-1</f>
        <v>-2.8672032193158947E-2</v>
      </c>
    </row>
    <row r="418" spans="1:18">
      <c r="A418" s="96">
        <v>43892</v>
      </c>
      <c r="B418" s="101">
        <v>19.309999999999999</v>
      </c>
      <c r="C418" s="4">
        <f t="shared" si="18"/>
        <v>-2.9091104788004897E-2</v>
      </c>
      <c r="D418" s="4">
        <f>IFERROR(Target1[[#This Row],[Target Return]]+1,"-")</f>
        <v>0.97090889521199508</v>
      </c>
      <c r="E418" s="6">
        <f>B418-MAX($B$2:B418)</f>
        <v>-17.690000000000001</v>
      </c>
      <c r="F418" s="80">
        <f t="shared" si="19"/>
        <v>220</v>
      </c>
      <c r="G418" s="77">
        <f>Target1[[#This Row],[Target Drawdown]]/MAX($B$2:B418)</f>
        <v>-0.47810810810810817</v>
      </c>
      <c r="H418" s="1" t="str">
        <f>IF(SUM(COUNTIF(Benchmark1[Benchmark '#1 Dates],Target1[[#This Row],[Target Dates]]),COUNTIF(Benchmark2[Benchmark '#2 Dates],Target1[[#This Row],[Target Dates]]))=2,"Pass","Fail")</f>
        <v>Pass</v>
      </c>
      <c r="I418" s="78">
        <f t="shared" si="20"/>
        <v>-17.690000000000001</v>
      </c>
      <c r="K418" s="72">
        <f>Target1[[#This Row],[Target Price]]/$B$2*100</f>
        <v>112.33275159976731</v>
      </c>
      <c r="R418">
        <f>B419/Target1[[#This Row],[Target Price]]-1</f>
        <v>5.282237182806826E-2</v>
      </c>
    </row>
    <row r="419" spans="1:18">
      <c r="A419" s="96">
        <v>43893</v>
      </c>
      <c r="B419" s="101">
        <v>20.329999999999998</v>
      </c>
      <c r="C419" s="4">
        <f t="shared" si="18"/>
        <v>5.1474531199832099E-2</v>
      </c>
      <c r="D419" s="4">
        <f>IFERROR(Target1[[#This Row],[Target Return]]+1,"-")</f>
        <v>1.0514745311998321</v>
      </c>
      <c r="E419" s="6">
        <f>B419-MAX($B$2:B419)</f>
        <v>-16.670000000000002</v>
      </c>
      <c r="F419" s="80">
        <f t="shared" si="19"/>
        <v>221</v>
      </c>
      <c r="G419" s="77">
        <f>Target1[[#This Row],[Target Drawdown]]/MAX($B$2:B419)</f>
        <v>-0.4505405405405406</v>
      </c>
      <c r="H419" s="1" t="str">
        <f>IF(SUM(COUNTIF(Benchmark1[Benchmark '#1 Dates],Target1[[#This Row],[Target Dates]]),COUNTIF(Benchmark2[Benchmark '#2 Dates],Target1[[#This Row],[Target Dates]]))=2,"Pass","Fail")</f>
        <v>Pass</v>
      </c>
      <c r="I419" s="78">
        <f t="shared" si="20"/>
        <v>-16.670000000000002</v>
      </c>
      <c r="K419" s="72">
        <f>Target1[[#This Row],[Target Price]]/$B$2*100</f>
        <v>118.26643397324024</v>
      </c>
      <c r="R419">
        <f>B420/Target1[[#This Row],[Target Price]]-1</f>
        <v>4.9188391539600751E-4</v>
      </c>
    </row>
    <row r="420" spans="1:18">
      <c r="A420" s="96">
        <v>43894</v>
      </c>
      <c r="B420" s="101">
        <v>20.34</v>
      </c>
      <c r="C420" s="4">
        <f t="shared" si="18"/>
        <v>4.9176298015866839E-4</v>
      </c>
      <c r="D420" s="4">
        <f>IFERROR(Target1[[#This Row],[Target Return]]+1,"-")</f>
        <v>1.0004917629801586</v>
      </c>
      <c r="E420" s="6">
        <f>B420-MAX($B$2:B420)</f>
        <v>-16.66</v>
      </c>
      <c r="F420" s="80">
        <f t="shared" si="19"/>
        <v>222</v>
      </c>
      <c r="G420" s="77">
        <f>Target1[[#This Row],[Target Drawdown]]/MAX($B$2:B420)</f>
        <v>-0.45027027027027028</v>
      </c>
      <c r="H420" s="1" t="str">
        <f>IF(SUM(COUNTIF(Benchmark1[Benchmark '#1 Dates],Target1[[#This Row],[Target Dates]]),COUNTIF(Benchmark2[Benchmark '#2 Dates],Target1[[#This Row],[Target Dates]]))=2,"Pass","Fail")</f>
        <v>Pass</v>
      </c>
      <c r="I420" s="78">
        <f t="shared" si="20"/>
        <v>-16.66</v>
      </c>
      <c r="K420" s="72">
        <f>Target1[[#This Row],[Target Price]]/$B$2*100</f>
        <v>118.32460732984291</v>
      </c>
      <c r="R420">
        <f>B421/Target1[[#This Row],[Target Price]]-1</f>
        <v>2.015732546705995E-2</v>
      </c>
    </row>
    <row r="421" spans="1:18">
      <c r="A421" s="96">
        <v>43895</v>
      </c>
      <c r="B421" s="101">
        <v>20.75</v>
      </c>
      <c r="C421" s="4">
        <f t="shared" si="18"/>
        <v>1.9956856056293382E-2</v>
      </c>
      <c r="D421" s="4">
        <f>IFERROR(Target1[[#This Row],[Target Return]]+1,"-")</f>
        <v>1.0199568560562935</v>
      </c>
      <c r="E421" s="6">
        <f>B421-MAX($B$2:B421)</f>
        <v>-16.25</v>
      </c>
      <c r="F421" s="80">
        <f t="shared" si="19"/>
        <v>223</v>
      </c>
      <c r="G421" s="77">
        <f>Target1[[#This Row],[Target Drawdown]]/MAX($B$2:B421)</f>
        <v>-0.4391891891891892</v>
      </c>
      <c r="H421" s="1" t="str">
        <f>IF(SUM(COUNTIF(Benchmark1[Benchmark '#1 Dates],Target1[[#This Row],[Target Dates]]),COUNTIF(Benchmark2[Benchmark '#2 Dates],Target1[[#This Row],[Target Dates]]))=2,"Pass","Fail")</f>
        <v>Pass</v>
      </c>
      <c r="I421" s="78">
        <f t="shared" si="20"/>
        <v>-16.25</v>
      </c>
      <c r="K421" s="72">
        <f>Target1[[#This Row],[Target Price]]/$B$2*100</f>
        <v>120.70971495055265</v>
      </c>
      <c r="R421">
        <f>B422/Target1[[#This Row],[Target Price]]-1</f>
        <v>-1.2048192771084376E-2</v>
      </c>
    </row>
    <row r="422" spans="1:18">
      <c r="A422" s="96">
        <v>43896</v>
      </c>
      <c r="B422" s="101">
        <v>20.5</v>
      </c>
      <c r="C422" s="4">
        <f t="shared" si="18"/>
        <v>-1.212136053234485E-2</v>
      </c>
      <c r="D422" s="4">
        <f>IFERROR(Target1[[#This Row],[Target Return]]+1,"-")</f>
        <v>0.9878786394676552</v>
      </c>
      <c r="E422" s="6">
        <f>B422-MAX($B$2:B422)</f>
        <v>-16.5</v>
      </c>
      <c r="F422" s="80">
        <f t="shared" si="19"/>
        <v>224</v>
      </c>
      <c r="G422" s="77">
        <f>Target1[[#This Row],[Target Drawdown]]/MAX($B$2:B422)</f>
        <v>-0.44594594594594594</v>
      </c>
      <c r="H422" s="1" t="str">
        <f>IF(SUM(COUNTIF(Benchmark1[Benchmark '#1 Dates],Target1[[#This Row],[Target Dates]]),COUNTIF(Benchmark2[Benchmark '#2 Dates],Target1[[#This Row],[Target Dates]]))=2,"Pass","Fail")</f>
        <v>Pass</v>
      </c>
      <c r="I422" s="78">
        <f t="shared" si="20"/>
        <v>-16.5</v>
      </c>
      <c r="K422" s="72">
        <f>Target1[[#This Row],[Target Price]]/$B$2*100</f>
        <v>119.25538103548574</v>
      </c>
      <c r="R422">
        <f>B423/Target1[[#This Row],[Target Price]]-1</f>
        <v>-5.1707317073170667E-2</v>
      </c>
    </row>
    <row r="423" spans="1:18">
      <c r="A423" s="96">
        <v>43899</v>
      </c>
      <c r="B423" s="101">
        <v>19.440000000000001</v>
      </c>
      <c r="C423" s="4">
        <f t="shared" si="18"/>
        <v>-5.3092087112069405E-2</v>
      </c>
      <c r="D423" s="4">
        <f>IFERROR(Target1[[#This Row],[Target Return]]+1,"-")</f>
        <v>0.94690791288793064</v>
      </c>
      <c r="E423" s="6">
        <f>B423-MAX($B$2:B423)</f>
        <v>-17.559999999999999</v>
      </c>
      <c r="F423" s="80">
        <f t="shared" si="19"/>
        <v>225</v>
      </c>
      <c r="G423" s="77">
        <f>Target1[[#This Row],[Target Drawdown]]/MAX($B$2:B423)</f>
        <v>-0.47459459459459458</v>
      </c>
      <c r="H423" s="1" t="str">
        <f>IF(SUM(COUNTIF(Benchmark1[Benchmark '#1 Dates],Target1[[#This Row],[Target Dates]]),COUNTIF(Benchmark2[Benchmark '#2 Dates],Target1[[#This Row],[Target Dates]]))=2,"Pass","Fail")</f>
        <v>Pass</v>
      </c>
      <c r="I423" s="78">
        <f t="shared" si="20"/>
        <v>-17.559999999999999</v>
      </c>
      <c r="K423" s="72">
        <f>Target1[[#This Row],[Target Price]]/$B$2*100</f>
        <v>113.0890052356021</v>
      </c>
      <c r="R423">
        <f>B424/Target1[[#This Row],[Target Price]]-1</f>
        <v>-5.8127572016461015E-2</v>
      </c>
    </row>
    <row r="424" spans="1:18">
      <c r="A424" s="96">
        <v>43900</v>
      </c>
      <c r="B424" s="101">
        <v>18.309999999999999</v>
      </c>
      <c r="C424" s="4">
        <f t="shared" si="18"/>
        <v>-5.9885440345873793E-2</v>
      </c>
      <c r="D424" s="4">
        <f>IFERROR(Target1[[#This Row],[Target Return]]+1,"-")</f>
        <v>0.94011455965412616</v>
      </c>
      <c r="E424" s="6">
        <f>B424-MAX($B$2:B424)</f>
        <v>-18.690000000000001</v>
      </c>
      <c r="F424" s="80">
        <f t="shared" si="19"/>
        <v>226</v>
      </c>
      <c r="G424" s="77">
        <f>Target1[[#This Row],[Target Drawdown]]/MAX($B$2:B424)</f>
        <v>-0.50513513513513519</v>
      </c>
      <c r="H424" s="1" t="str">
        <f>IF(SUM(COUNTIF(Benchmark1[Benchmark '#1 Dates],Target1[[#This Row],[Target Dates]]),COUNTIF(Benchmark2[Benchmark '#2 Dates],Target1[[#This Row],[Target Dates]]))=2,"Pass","Fail")</f>
        <v>Pass</v>
      </c>
      <c r="I424" s="78">
        <f t="shared" si="20"/>
        <v>-18.690000000000001</v>
      </c>
      <c r="K424" s="72">
        <f>Target1[[#This Row],[Target Price]]/$B$2*100</f>
        <v>106.51541593949969</v>
      </c>
      <c r="R424">
        <f>B425/Target1[[#This Row],[Target Price]]-1</f>
        <v>-6.2807209175314016E-2</v>
      </c>
    </row>
    <row r="425" spans="1:18">
      <c r="A425" s="96">
        <v>43901</v>
      </c>
      <c r="B425" s="101">
        <v>17.16</v>
      </c>
      <c r="C425" s="4">
        <f t="shared" si="18"/>
        <v>-6.4866264626603096E-2</v>
      </c>
      <c r="D425" s="4">
        <f>IFERROR(Target1[[#This Row],[Target Return]]+1,"-")</f>
        <v>0.93513373537339695</v>
      </c>
      <c r="E425" s="6">
        <f>B425-MAX($B$2:B425)</f>
        <v>-19.84</v>
      </c>
      <c r="F425" s="80">
        <f t="shared" si="19"/>
        <v>227</v>
      </c>
      <c r="G425" s="77">
        <f>Target1[[#This Row],[Target Drawdown]]/MAX($B$2:B425)</f>
        <v>-0.53621621621621618</v>
      </c>
      <c r="H425" s="1" t="str">
        <f>IF(SUM(COUNTIF(Benchmark1[Benchmark '#1 Dates],Target1[[#This Row],[Target Dates]]),COUNTIF(Benchmark2[Benchmark '#2 Dates],Target1[[#This Row],[Target Dates]]))=2,"Pass","Fail")</f>
        <v>Pass</v>
      </c>
      <c r="I425" s="78">
        <f t="shared" si="20"/>
        <v>-19.84</v>
      </c>
      <c r="K425" s="72">
        <f>Target1[[#This Row],[Target Price]]/$B$2*100</f>
        <v>99.82547993019196</v>
      </c>
      <c r="R425">
        <f>B426/Target1[[#This Row],[Target Price]]-1</f>
        <v>0.20804195804195813</v>
      </c>
    </row>
    <row r="426" spans="1:18">
      <c r="A426" s="96">
        <v>43902</v>
      </c>
      <c r="B426" s="101">
        <v>20.73</v>
      </c>
      <c r="C426" s="4">
        <f t="shared" si="18"/>
        <v>0.18900083238787208</v>
      </c>
      <c r="D426" s="4">
        <f>IFERROR(Target1[[#This Row],[Target Return]]+1,"-")</f>
        <v>1.189000832387872</v>
      </c>
      <c r="E426" s="6">
        <f>B426-MAX($B$2:B426)</f>
        <v>-16.27</v>
      </c>
      <c r="F426" s="80">
        <f t="shared" si="19"/>
        <v>228</v>
      </c>
      <c r="G426" s="77">
        <f>Target1[[#This Row],[Target Drawdown]]/MAX($B$2:B426)</f>
        <v>-0.43972972972972973</v>
      </c>
      <c r="H426" s="1" t="str">
        <f>IF(SUM(COUNTIF(Benchmark1[Benchmark '#1 Dates],Target1[[#This Row],[Target Dates]]),COUNTIF(Benchmark2[Benchmark '#2 Dates],Target1[[#This Row],[Target Dates]]))=2,"Pass","Fail")</f>
        <v>Pass</v>
      </c>
      <c r="I426" s="78">
        <f t="shared" si="20"/>
        <v>-16.27</v>
      </c>
      <c r="K426" s="72">
        <f>Target1[[#This Row],[Target Price]]/$B$2*100</f>
        <v>120.59336823734729</v>
      </c>
      <c r="R426">
        <f>B427/Target1[[#This Row],[Target Price]]-1</f>
        <v>0.15484804630969617</v>
      </c>
    </row>
    <row r="427" spans="1:18">
      <c r="A427" s="96">
        <v>43903</v>
      </c>
      <c r="B427" s="101">
        <v>23.94</v>
      </c>
      <c r="C427" s="4">
        <f t="shared" si="18"/>
        <v>0.14396877368213895</v>
      </c>
      <c r="D427" s="4">
        <f>IFERROR(Target1[[#This Row],[Target Return]]+1,"-")</f>
        <v>1.1439687736821389</v>
      </c>
      <c r="E427" s="6">
        <f>B427-MAX($B$2:B427)</f>
        <v>-13.059999999999999</v>
      </c>
      <c r="F427" s="80">
        <f t="shared" si="19"/>
        <v>229</v>
      </c>
      <c r="G427" s="77">
        <f>Target1[[#This Row],[Target Drawdown]]/MAX($B$2:B427)</f>
        <v>-0.35297297297297292</v>
      </c>
      <c r="H427" s="1" t="str">
        <f>IF(SUM(COUNTIF(Benchmark1[Benchmark '#1 Dates],Target1[[#This Row],[Target Dates]]),COUNTIF(Benchmark2[Benchmark '#2 Dates],Target1[[#This Row],[Target Dates]]))=2,"Pass","Fail")</f>
        <v>Pass</v>
      </c>
      <c r="I427" s="78">
        <f t="shared" si="20"/>
        <v>-13.059999999999999</v>
      </c>
      <c r="K427" s="72">
        <f>Target1[[#This Row],[Target Price]]/$B$2*100</f>
        <v>139.26701570680629</v>
      </c>
      <c r="R427">
        <f>B428/Target1[[#This Row],[Target Price]]-1</f>
        <v>-0.10609857978279047</v>
      </c>
    </row>
    <row r="428" spans="1:18">
      <c r="A428" s="96">
        <v>43906</v>
      </c>
      <c r="B428" s="101">
        <v>21.4</v>
      </c>
      <c r="C428" s="4">
        <f t="shared" si="18"/>
        <v>-0.11215977810202148</v>
      </c>
      <c r="D428" s="4">
        <f>IFERROR(Target1[[#This Row],[Target Return]]+1,"-")</f>
        <v>0.88784022189797851</v>
      </c>
      <c r="E428" s="6">
        <f>B428-MAX($B$2:B428)</f>
        <v>-15.600000000000001</v>
      </c>
      <c r="F428" s="80">
        <f t="shared" si="19"/>
        <v>230</v>
      </c>
      <c r="G428" s="77">
        <f>Target1[[#This Row],[Target Drawdown]]/MAX($B$2:B428)</f>
        <v>-0.42162162162162165</v>
      </c>
      <c r="H428" s="1" t="str">
        <f>IF(SUM(COUNTIF(Benchmark1[Benchmark '#1 Dates],Target1[[#This Row],[Target Dates]]),COUNTIF(Benchmark2[Benchmark '#2 Dates],Target1[[#This Row],[Target Dates]]))=2,"Pass","Fail")</f>
        <v>Pass</v>
      </c>
      <c r="I428" s="78">
        <f t="shared" si="20"/>
        <v>-15.600000000000001</v>
      </c>
      <c r="K428" s="72">
        <f>Target1[[#This Row],[Target Price]]/$B$2*100</f>
        <v>124.49098312972657</v>
      </c>
      <c r="R428">
        <f>B429/Target1[[#This Row],[Target Price]]-1</f>
        <v>-0.13037383177570094</v>
      </c>
    </row>
    <row r="429" spans="1:18">
      <c r="A429" s="96">
        <v>43907</v>
      </c>
      <c r="B429" s="101">
        <v>18.61</v>
      </c>
      <c r="C429" s="4">
        <f t="shared" si="18"/>
        <v>-0.13969185137364643</v>
      </c>
      <c r="D429" s="4">
        <f>IFERROR(Target1[[#This Row],[Target Return]]+1,"-")</f>
        <v>0.86030814862635352</v>
      </c>
      <c r="E429" s="6">
        <f>B429-MAX($B$2:B429)</f>
        <v>-18.39</v>
      </c>
      <c r="F429" s="80">
        <f t="shared" si="19"/>
        <v>231</v>
      </c>
      <c r="G429" s="77">
        <f>Target1[[#This Row],[Target Drawdown]]/MAX($B$2:B429)</f>
        <v>-0.49702702702702706</v>
      </c>
      <c r="H429" s="1" t="str">
        <f>IF(SUM(COUNTIF(Benchmark1[Benchmark '#1 Dates],Target1[[#This Row],[Target Dates]]),COUNTIF(Benchmark2[Benchmark '#2 Dates],Target1[[#This Row],[Target Dates]]))=2,"Pass","Fail")</f>
        <v>Pass</v>
      </c>
      <c r="I429" s="78">
        <f t="shared" si="20"/>
        <v>-18.39</v>
      </c>
      <c r="K429" s="72">
        <f>Target1[[#This Row],[Target Price]]/$B$2*100</f>
        <v>108.26061663757997</v>
      </c>
      <c r="R429">
        <f>B430/Target1[[#This Row],[Target Price]]-1</f>
        <v>-0.11069317571198278</v>
      </c>
    </row>
    <row r="430" spans="1:18">
      <c r="A430" s="96">
        <v>43908</v>
      </c>
      <c r="B430" s="101">
        <v>16.55</v>
      </c>
      <c r="C430" s="4">
        <f t="shared" si="18"/>
        <v>-0.11731296883108745</v>
      </c>
      <c r="D430" s="4">
        <f>IFERROR(Target1[[#This Row],[Target Return]]+1,"-")</f>
        <v>0.88268703116891256</v>
      </c>
      <c r="E430" s="6">
        <f>B430-MAX($B$2:B430)</f>
        <v>-20.45</v>
      </c>
      <c r="F430" s="80">
        <f t="shared" si="19"/>
        <v>232</v>
      </c>
      <c r="G430" s="77">
        <f>Target1[[#This Row],[Target Drawdown]]/MAX($B$2:B430)</f>
        <v>-0.55270270270270272</v>
      </c>
      <c r="H430" s="1" t="str">
        <f>IF(SUM(COUNTIF(Benchmark1[Benchmark '#1 Dates],Target1[[#This Row],[Target Dates]]),COUNTIF(Benchmark2[Benchmark '#2 Dates],Target1[[#This Row],[Target Dates]]))=2,"Pass","Fail")</f>
        <v>Pass</v>
      </c>
      <c r="I430" s="78">
        <f t="shared" si="20"/>
        <v>-20.45</v>
      </c>
      <c r="K430" s="72">
        <f>Target1[[#This Row],[Target Price]]/$B$2*100</f>
        <v>96.276905177428745</v>
      </c>
      <c r="R430">
        <f>B431/Target1[[#This Row],[Target Price]]-1</f>
        <v>5.1963746223564922E-2</v>
      </c>
    </row>
    <row r="431" spans="1:18">
      <c r="A431" s="96">
        <v>43909</v>
      </c>
      <c r="B431" s="101">
        <v>17.41</v>
      </c>
      <c r="C431" s="4">
        <f t="shared" si="18"/>
        <v>5.0658651957025735E-2</v>
      </c>
      <c r="D431" s="4">
        <f>IFERROR(Target1[[#This Row],[Target Return]]+1,"-")</f>
        <v>1.0506586519570258</v>
      </c>
      <c r="E431" s="6">
        <f>B431-MAX($B$2:B431)</f>
        <v>-19.59</v>
      </c>
      <c r="F431" s="80">
        <f t="shared" si="19"/>
        <v>233</v>
      </c>
      <c r="G431" s="77">
        <f>Target1[[#This Row],[Target Drawdown]]/MAX($B$2:B431)</f>
        <v>-0.52945945945945949</v>
      </c>
      <c r="H431" s="1" t="str">
        <f>IF(SUM(COUNTIF(Benchmark1[Benchmark '#1 Dates],Target1[[#This Row],[Target Dates]]),COUNTIF(Benchmark2[Benchmark '#2 Dates],Target1[[#This Row],[Target Dates]]))=2,"Pass","Fail")</f>
        <v>Pass</v>
      </c>
      <c r="I431" s="78">
        <f t="shared" si="20"/>
        <v>-19.59</v>
      </c>
      <c r="K431" s="72">
        <f>Target1[[#This Row],[Target Price]]/$B$2*100</f>
        <v>101.27981384525886</v>
      </c>
      <c r="R431">
        <f>B432/Target1[[#This Row],[Target Price]]-1</f>
        <v>-6.8925904652498482E-2</v>
      </c>
    </row>
    <row r="432" spans="1:18">
      <c r="A432" s="96">
        <v>43910</v>
      </c>
      <c r="B432" s="101">
        <v>16.21</v>
      </c>
      <c r="C432" s="4">
        <f t="shared" si="18"/>
        <v>-7.1416418032512849E-2</v>
      </c>
      <c r="D432" s="4">
        <f>IFERROR(Target1[[#This Row],[Target Return]]+1,"-")</f>
        <v>0.92858358196748714</v>
      </c>
      <c r="E432" s="6">
        <f>B432-MAX($B$2:B432)</f>
        <v>-20.79</v>
      </c>
      <c r="F432" s="80">
        <f t="shared" si="19"/>
        <v>234</v>
      </c>
      <c r="G432" s="77">
        <f>Target1[[#This Row],[Target Drawdown]]/MAX($B$2:B432)</f>
        <v>-0.56189189189189181</v>
      </c>
      <c r="H432" s="1" t="str">
        <f>IF(SUM(COUNTIF(Benchmark1[Benchmark '#1 Dates],Target1[[#This Row],[Target Dates]]),COUNTIF(Benchmark2[Benchmark '#2 Dates],Target1[[#This Row],[Target Dates]]))=2,"Pass","Fail")</f>
        <v>Pass</v>
      </c>
      <c r="I432" s="78">
        <f t="shared" si="20"/>
        <v>-20.79</v>
      </c>
      <c r="K432" s="72">
        <f>Target1[[#This Row],[Target Price]]/$B$2*100</f>
        <v>94.299011052937757</v>
      </c>
      <c r="R432">
        <f>B433/Target1[[#This Row],[Target Price]]-1</f>
        <v>3.6397285626156739E-2</v>
      </c>
    </row>
    <row r="433" spans="1:18">
      <c r="A433" s="96">
        <v>43913</v>
      </c>
      <c r="B433" s="101">
        <v>16.8</v>
      </c>
      <c r="C433" s="4">
        <f t="shared" si="18"/>
        <v>3.575055066162855E-2</v>
      </c>
      <c r="D433" s="4">
        <f>IFERROR(Target1[[#This Row],[Target Return]]+1,"-")</f>
        <v>1.0357505506616285</v>
      </c>
      <c r="E433" s="6">
        <f>B433-MAX($B$2:B433)</f>
        <v>-20.2</v>
      </c>
      <c r="F433" s="80">
        <f t="shared" si="19"/>
        <v>235</v>
      </c>
      <c r="G433" s="77">
        <f>Target1[[#This Row],[Target Drawdown]]/MAX($B$2:B433)</f>
        <v>-0.54594594594594592</v>
      </c>
      <c r="H433" s="1" t="str">
        <f>IF(SUM(COUNTIF(Benchmark1[Benchmark '#1 Dates],Target1[[#This Row],[Target Dates]]),COUNTIF(Benchmark2[Benchmark '#2 Dates],Target1[[#This Row],[Target Dates]]))=2,"Pass","Fail")</f>
        <v>Pass</v>
      </c>
      <c r="I433" s="78">
        <f t="shared" si="20"/>
        <v>-20.2</v>
      </c>
      <c r="K433" s="72">
        <f>Target1[[#This Row],[Target Price]]/$B$2*100</f>
        <v>97.731239092495642</v>
      </c>
      <c r="R433">
        <f>B434/Target1[[#This Row],[Target Price]]-1</f>
        <v>-2.7380952380952395E-2</v>
      </c>
    </row>
    <row r="434" spans="1:18">
      <c r="A434" s="96">
        <v>43914</v>
      </c>
      <c r="B434" s="101">
        <v>16.34</v>
      </c>
      <c r="C434" s="4">
        <f t="shared" si="18"/>
        <v>-2.7762796977356431E-2</v>
      </c>
      <c r="D434" s="4">
        <f>IFERROR(Target1[[#This Row],[Target Return]]+1,"-")</f>
        <v>0.9722372030226436</v>
      </c>
      <c r="E434" s="6">
        <f>B434-MAX($B$2:B434)</f>
        <v>-20.66</v>
      </c>
      <c r="F434" s="80">
        <f t="shared" si="19"/>
        <v>236</v>
      </c>
      <c r="G434" s="77">
        <f>Target1[[#This Row],[Target Drawdown]]/MAX($B$2:B434)</f>
        <v>-0.55837837837837834</v>
      </c>
      <c r="H434" s="1" t="str">
        <f>IF(SUM(COUNTIF(Benchmark1[Benchmark '#1 Dates],Target1[[#This Row],[Target Dates]]),COUNTIF(Benchmark2[Benchmark '#2 Dates],Target1[[#This Row],[Target Dates]]))=2,"Pass","Fail")</f>
        <v>Pass</v>
      </c>
      <c r="I434" s="78">
        <f t="shared" si="20"/>
        <v>-20.66</v>
      </c>
      <c r="K434" s="72">
        <f>Target1[[#This Row],[Target Price]]/$B$2*100</f>
        <v>95.055264688772539</v>
      </c>
      <c r="R434">
        <f>B435/Target1[[#This Row],[Target Price]]-1</f>
        <v>3.9167686658506673E-2</v>
      </c>
    </row>
    <row r="435" spans="1:18">
      <c r="A435" s="96">
        <v>43915</v>
      </c>
      <c r="B435" s="101">
        <v>16.98</v>
      </c>
      <c r="C435" s="4">
        <f t="shared" si="18"/>
        <v>3.8420091451344375E-2</v>
      </c>
      <c r="D435" s="4">
        <f>IFERROR(Target1[[#This Row],[Target Return]]+1,"-")</f>
        <v>1.0384200914513444</v>
      </c>
      <c r="E435" s="6">
        <f>B435-MAX($B$2:B435)</f>
        <v>-20.02</v>
      </c>
      <c r="F435" s="80">
        <f t="shared" si="19"/>
        <v>237</v>
      </c>
      <c r="G435" s="77">
        <f>Target1[[#This Row],[Target Drawdown]]/MAX($B$2:B435)</f>
        <v>-0.54108108108108111</v>
      </c>
      <c r="H435" s="1" t="str">
        <f>IF(SUM(COUNTIF(Benchmark1[Benchmark '#1 Dates],Target1[[#This Row],[Target Dates]]),COUNTIF(Benchmark2[Benchmark '#2 Dates],Target1[[#This Row],[Target Dates]]))=2,"Pass","Fail")</f>
        <v>Pass</v>
      </c>
      <c r="I435" s="78">
        <f t="shared" si="20"/>
        <v>-20.02</v>
      </c>
      <c r="K435" s="72">
        <f>Target1[[#This Row],[Target Price]]/$B$2*100</f>
        <v>98.778359511343808</v>
      </c>
      <c r="R435">
        <f>B436/Target1[[#This Row],[Target Price]]-1</f>
        <v>-1.4134275618374659E-2</v>
      </c>
    </row>
    <row r="436" spans="1:18">
      <c r="A436" s="96">
        <v>43916</v>
      </c>
      <c r="B436" s="101">
        <v>16.739999999999998</v>
      </c>
      <c r="C436" s="4">
        <f t="shared" si="18"/>
        <v>-1.4235115821872098E-2</v>
      </c>
      <c r="D436" s="4">
        <f>IFERROR(Target1[[#This Row],[Target Return]]+1,"-")</f>
        <v>0.98576488417812791</v>
      </c>
      <c r="E436" s="6">
        <f>B436-MAX($B$2:B436)</f>
        <v>-20.260000000000002</v>
      </c>
      <c r="F436" s="80">
        <f t="shared" si="19"/>
        <v>238</v>
      </c>
      <c r="G436" s="77">
        <f>Target1[[#This Row],[Target Drawdown]]/MAX($B$2:B436)</f>
        <v>-0.54756756756756764</v>
      </c>
      <c r="H436" s="1" t="str">
        <f>IF(SUM(COUNTIF(Benchmark1[Benchmark '#1 Dates],Target1[[#This Row],[Target Dates]]),COUNTIF(Benchmark2[Benchmark '#2 Dates],Target1[[#This Row],[Target Dates]]))=2,"Pass","Fail")</f>
        <v>Pass</v>
      </c>
      <c r="I436" s="78">
        <f t="shared" si="20"/>
        <v>-20.260000000000002</v>
      </c>
      <c r="K436" s="72">
        <f>Target1[[#This Row],[Target Price]]/$B$2*100</f>
        <v>97.382198952879563</v>
      </c>
      <c r="R436">
        <f>B437/Target1[[#This Row],[Target Price]]-1</f>
        <v>4.5400238948626104E-2</v>
      </c>
    </row>
    <row r="437" spans="1:18">
      <c r="A437" s="96">
        <v>43917</v>
      </c>
      <c r="B437" s="101">
        <v>17.5</v>
      </c>
      <c r="C437" s="4">
        <f t="shared" si="18"/>
        <v>4.4399815868139167E-2</v>
      </c>
      <c r="D437" s="4">
        <f>IFERROR(Target1[[#This Row],[Target Return]]+1,"-")</f>
        <v>1.0443998158681391</v>
      </c>
      <c r="E437" s="6">
        <f>B437-MAX($B$2:B437)</f>
        <v>-19.5</v>
      </c>
      <c r="F437" s="80">
        <f t="shared" si="19"/>
        <v>239</v>
      </c>
      <c r="G437" s="77">
        <f>Target1[[#This Row],[Target Drawdown]]/MAX($B$2:B437)</f>
        <v>-0.52702702702702697</v>
      </c>
      <c r="H437" s="1" t="str">
        <f>IF(SUM(COUNTIF(Benchmark1[Benchmark '#1 Dates],Target1[[#This Row],[Target Dates]]),COUNTIF(Benchmark2[Benchmark '#2 Dates],Target1[[#This Row],[Target Dates]]))=2,"Pass","Fail")</f>
        <v>Pass</v>
      </c>
      <c r="I437" s="78">
        <f t="shared" si="20"/>
        <v>-19.5</v>
      </c>
      <c r="K437" s="72">
        <f>Target1[[#This Row],[Target Price]]/$B$2*100</f>
        <v>101.80337405468293</v>
      </c>
      <c r="R437">
        <f>B438/Target1[[#This Row],[Target Price]]-1</f>
        <v>6.1142857142857165E-2</v>
      </c>
    </row>
    <row r="438" spans="1:18">
      <c r="A438" s="96">
        <v>43920</v>
      </c>
      <c r="B438" s="101">
        <v>18.57</v>
      </c>
      <c r="C438" s="4">
        <f t="shared" si="18"/>
        <v>5.9346494435146079E-2</v>
      </c>
      <c r="D438" s="4">
        <f>IFERROR(Target1[[#This Row],[Target Return]]+1,"-")</f>
        <v>1.0593464944351461</v>
      </c>
      <c r="E438" s="6">
        <f>B438-MAX($B$2:B438)</f>
        <v>-18.43</v>
      </c>
      <c r="F438" s="80">
        <f t="shared" si="19"/>
        <v>240</v>
      </c>
      <c r="G438" s="77">
        <f>Target1[[#This Row],[Target Drawdown]]/MAX($B$2:B438)</f>
        <v>-0.49810810810810813</v>
      </c>
      <c r="H438" s="1" t="str">
        <f>IF(SUM(COUNTIF(Benchmark1[Benchmark '#1 Dates],Target1[[#This Row],[Target Dates]]),COUNTIF(Benchmark2[Benchmark '#2 Dates],Target1[[#This Row],[Target Dates]]))=2,"Pass","Fail")</f>
        <v>Pass</v>
      </c>
      <c r="I438" s="78">
        <f t="shared" si="20"/>
        <v>-18.43</v>
      </c>
      <c r="K438" s="72">
        <f>Target1[[#This Row],[Target Price]]/$B$2*100</f>
        <v>108.02792321116928</v>
      </c>
      <c r="R438">
        <f>B439/Target1[[#This Row],[Target Price]]-1</f>
        <v>1.5616585891222279E-2</v>
      </c>
    </row>
    <row r="439" spans="1:18">
      <c r="A439" s="96">
        <v>43921</v>
      </c>
      <c r="B439" s="101">
        <v>18.86</v>
      </c>
      <c r="C439" s="4">
        <f t="shared" si="18"/>
        <v>1.549590184069689E-2</v>
      </c>
      <c r="D439" s="4">
        <f>IFERROR(Target1[[#This Row],[Target Return]]+1,"-")</f>
        <v>1.0154959018406968</v>
      </c>
      <c r="E439" s="6">
        <f>B439-MAX($B$2:B439)</f>
        <v>-18.14</v>
      </c>
      <c r="F439" s="80">
        <f t="shared" si="19"/>
        <v>241</v>
      </c>
      <c r="G439" s="77">
        <f>Target1[[#This Row],[Target Drawdown]]/MAX($B$2:B439)</f>
        <v>-0.49027027027027026</v>
      </c>
      <c r="H439" s="1" t="str">
        <f>IF(SUM(COUNTIF(Benchmark1[Benchmark '#1 Dates],Target1[[#This Row],[Target Dates]]),COUNTIF(Benchmark2[Benchmark '#2 Dates],Target1[[#This Row],[Target Dates]]))=2,"Pass","Fail")</f>
        <v>Pass</v>
      </c>
      <c r="I439" s="78">
        <f t="shared" si="20"/>
        <v>-18.14</v>
      </c>
      <c r="K439" s="72">
        <f>Target1[[#This Row],[Target Price]]/$B$2*100</f>
        <v>109.71495055264688</v>
      </c>
      <c r="R439">
        <f>B440/Target1[[#This Row],[Target Price]]-1</f>
        <v>-5.3552492046659461E-2</v>
      </c>
    </row>
    <row r="440" spans="1:18">
      <c r="A440" s="96">
        <v>43922</v>
      </c>
      <c r="B440" s="101">
        <v>17.850000000000001</v>
      </c>
      <c r="C440" s="4">
        <f t="shared" si="18"/>
        <v>-5.5039768979663208E-2</v>
      </c>
      <c r="D440" s="4">
        <f>IFERROR(Target1[[#This Row],[Target Return]]+1,"-")</f>
        <v>0.94496023102033677</v>
      </c>
      <c r="E440" s="6">
        <f>B440-MAX($B$2:B440)</f>
        <v>-19.149999999999999</v>
      </c>
      <c r="F440" s="80">
        <f t="shared" si="19"/>
        <v>242</v>
      </c>
      <c r="G440" s="77">
        <f>Target1[[#This Row],[Target Drawdown]]/MAX($B$2:B440)</f>
        <v>-0.5175675675675675</v>
      </c>
      <c r="H440" s="1" t="str">
        <f>IF(SUM(COUNTIF(Benchmark1[Benchmark '#1 Dates],Target1[[#This Row],[Target Dates]]),COUNTIF(Benchmark2[Benchmark '#2 Dates],Target1[[#This Row],[Target Dates]]))=2,"Pass","Fail")</f>
        <v>Pass</v>
      </c>
      <c r="I440" s="78">
        <f t="shared" si="20"/>
        <v>-19.149999999999999</v>
      </c>
      <c r="K440" s="72">
        <f>Target1[[#This Row],[Target Price]]/$B$2*100</f>
        <v>103.83944153577661</v>
      </c>
      <c r="R440">
        <f>B441/Target1[[#This Row],[Target Price]]-1</f>
        <v>0.14677871148459376</v>
      </c>
    </row>
    <row r="441" spans="1:18">
      <c r="A441" s="96">
        <v>43923</v>
      </c>
      <c r="B441" s="101">
        <v>20.47</v>
      </c>
      <c r="C441" s="4">
        <f t="shared" si="18"/>
        <v>0.13695689144755002</v>
      </c>
      <c r="D441" s="4">
        <f>IFERROR(Target1[[#This Row],[Target Return]]+1,"-")</f>
        <v>1.1369568914475501</v>
      </c>
      <c r="E441" s="6">
        <f>B441-MAX($B$2:B441)</f>
        <v>-16.53</v>
      </c>
      <c r="F441" s="80">
        <f t="shared" si="19"/>
        <v>243</v>
      </c>
      <c r="G441" s="77">
        <f>Target1[[#This Row],[Target Drawdown]]/MAX($B$2:B441)</f>
        <v>-0.4467567567567568</v>
      </c>
      <c r="H441" s="1" t="str">
        <f>IF(SUM(COUNTIF(Benchmark1[Benchmark '#1 Dates],Target1[[#This Row],[Target Dates]]),COUNTIF(Benchmark2[Benchmark '#2 Dates],Target1[[#This Row],[Target Dates]]))=2,"Pass","Fail")</f>
        <v>Pass</v>
      </c>
      <c r="I441" s="78">
        <f t="shared" si="20"/>
        <v>-16.53</v>
      </c>
      <c r="K441" s="72">
        <f>Target1[[#This Row],[Target Price]]/$B$2*100</f>
        <v>119.08086096567772</v>
      </c>
      <c r="R441">
        <f>B442/Target1[[#This Row],[Target Price]]-1</f>
        <v>1.319003419638487E-2</v>
      </c>
    </row>
    <row r="442" spans="1:18">
      <c r="A442" s="96">
        <v>43924</v>
      </c>
      <c r="B442" s="101">
        <v>20.74</v>
      </c>
      <c r="C442" s="4">
        <f t="shared" si="18"/>
        <v>1.3103803128183027E-2</v>
      </c>
      <c r="D442" s="4">
        <f>IFERROR(Target1[[#This Row],[Target Return]]+1,"-")</f>
        <v>1.0131038031281829</v>
      </c>
      <c r="E442" s="6">
        <f>B442-MAX($B$2:B442)</f>
        <v>-16.260000000000002</v>
      </c>
      <c r="F442" s="80">
        <f t="shared" si="19"/>
        <v>244</v>
      </c>
      <c r="G442" s="77">
        <f>Target1[[#This Row],[Target Drawdown]]/MAX($B$2:B442)</f>
        <v>-0.43945945945945952</v>
      </c>
      <c r="H442" s="1" t="str">
        <f>IF(SUM(COUNTIF(Benchmark1[Benchmark '#1 Dates],Target1[[#This Row],[Target Dates]]),COUNTIF(Benchmark2[Benchmark '#2 Dates],Target1[[#This Row],[Target Dates]]))=2,"Pass","Fail")</f>
        <v>Pass</v>
      </c>
      <c r="I442" s="78">
        <f t="shared" si="20"/>
        <v>-16.260000000000002</v>
      </c>
      <c r="K442" s="72">
        <f>Target1[[#This Row],[Target Price]]/$B$2*100</f>
        <v>120.65154159394996</v>
      </c>
      <c r="R442">
        <f>B443/Target1[[#This Row],[Target Price]]-1</f>
        <v>4.8698167791706881E-2</v>
      </c>
    </row>
    <row r="443" spans="1:18">
      <c r="A443" s="96">
        <v>43927</v>
      </c>
      <c r="B443" s="101">
        <v>21.75</v>
      </c>
      <c r="C443" s="4">
        <f t="shared" si="18"/>
        <v>4.7549554733311863E-2</v>
      </c>
      <c r="D443" s="4">
        <f>IFERROR(Target1[[#This Row],[Target Return]]+1,"-")</f>
        <v>1.0475495547333118</v>
      </c>
      <c r="E443" s="6">
        <f>B443-MAX($B$2:B443)</f>
        <v>-15.25</v>
      </c>
      <c r="F443" s="80">
        <f t="shared" si="19"/>
        <v>245</v>
      </c>
      <c r="G443" s="77">
        <f>Target1[[#This Row],[Target Drawdown]]/MAX($B$2:B443)</f>
        <v>-0.41216216216216217</v>
      </c>
      <c r="H443" s="1" t="str">
        <f>IF(SUM(COUNTIF(Benchmark1[Benchmark '#1 Dates],Target1[[#This Row],[Target Dates]]),COUNTIF(Benchmark2[Benchmark '#2 Dates],Target1[[#This Row],[Target Dates]]))=2,"Pass","Fail")</f>
        <v>Pass</v>
      </c>
      <c r="I443" s="78">
        <f t="shared" si="20"/>
        <v>-15.25</v>
      </c>
      <c r="K443" s="72">
        <f>Target1[[#This Row],[Target Price]]/$B$2*100</f>
        <v>126.52705061082024</v>
      </c>
      <c r="R443">
        <f>B444/Target1[[#This Row],[Target Price]]-1</f>
        <v>1.8390804597701038E-3</v>
      </c>
    </row>
    <row r="444" spans="1:18">
      <c r="A444" s="96">
        <v>43928</v>
      </c>
      <c r="B444" s="101">
        <v>21.79</v>
      </c>
      <c r="C444" s="4">
        <f t="shared" si="18"/>
        <v>1.8373914218353965E-3</v>
      </c>
      <c r="D444" s="4">
        <f>IFERROR(Target1[[#This Row],[Target Return]]+1,"-")</f>
        <v>1.0018373914218355</v>
      </c>
      <c r="E444" s="6">
        <f>B444-MAX($B$2:B444)</f>
        <v>-15.21</v>
      </c>
      <c r="F444" s="80">
        <f t="shared" si="19"/>
        <v>246</v>
      </c>
      <c r="G444" s="77">
        <f>Target1[[#This Row],[Target Drawdown]]/MAX($B$2:B444)</f>
        <v>-0.4110810810810811</v>
      </c>
      <c r="H444" s="1" t="str">
        <f>IF(SUM(COUNTIF(Benchmark1[Benchmark '#1 Dates],Target1[[#This Row],[Target Dates]]),COUNTIF(Benchmark2[Benchmark '#2 Dates],Target1[[#This Row],[Target Dates]]))=2,"Pass","Fail")</f>
        <v>Pass</v>
      </c>
      <c r="I444" s="78">
        <f t="shared" si="20"/>
        <v>-15.21</v>
      </c>
      <c r="K444" s="72">
        <f>Target1[[#This Row],[Target Price]]/$B$2*100</f>
        <v>126.75974403723093</v>
      </c>
      <c r="R444">
        <f>B445/Target1[[#This Row],[Target Price]]-1</f>
        <v>6.6544286369894401E-2</v>
      </c>
    </row>
    <row r="445" spans="1:18">
      <c r="A445" s="96">
        <v>43929</v>
      </c>
      <c r="B445" s="101">
        <v>23.24</v>
      </c>
      <c r="C445" s="4">
        <f t="shared" si="18"/>
        <v>6.4423783027181936E-2</v>
      </c>
      <c r="D445" s="4">
        <f>IFERROR(Target1[[#This Row],[Target Return]]+1,"-")</f>
        <v>1.0644237830271819</v>
      </c>
      <c r="E445" s="6">
        <f>B445-MAX($B$2:B445)</f>
        <v>-13.760000000000002</v>
      </c>
      <c r="F445" s="80">
        <f t="shared" si="19"/>
        <v>247</v>
      </c>
      <c r="G445" s="77">
        <f>Target1[[#This Row],[Target Drawdown]]/MAX($B$2:B445)</f>
        <v>-0.37189189189189192</v>
      </c>
      <c r="H445" s="1" t="str">
        <f>IF(SUM(COUNTIF(Benchmark1[Benchmark '#1 Dates],Target1[[#This Row],[Target Dates]]),COUNTIF(Benchmark2[Benchmark '#2 Dates],Target1[[#This Row],[Target Dates]]))=2,"Pass","Fail")</f>
        <v>Pass</v>
      </c>
      <c r="I445" s="78">
        <f t="shared" si="20"/>
        <v>-13.760000000000002</v>
      </c>
      <c r="K445" s="72">
        <f>Target1[[#This Row],[Target Price]]/$B$2*100</f>
        <v>135.19488074461893</v>
      </c>
      <c r="R445">
        <f>B446/Target1[[#This Row],[Target Price]]-1</f>
        <v>-4.0447504302925874E-2</v>
      </c>
    </row>
    <row r="446" spans="1:18">
      <c r="A446" s="96">
        <v>43930</v>
      </c>
      <c r="B446" s="101">
        <v>22.3</v>
      </c>
      <c r="C446" s="4">
        <f t="shared" si="18"/>
        <v>-4.1288253517637284E-2</v>
      </c>
      <c r="D446" s="4">
        <f>IFERROR(Target1[[#This Row],[Target Return]]+1,"-")</f>
        <v>0.95871174648236268</v>
      </c>
      <c r="E446" s="6">
        <f>B446-MAX($B$2:B446)</f>
        <v>-14.7</v>
      </c>
      <c r="F446" s="80">
        <f t="shared" si="19"/>
        <v>248</v>
      </c>
      <c r="G446" s="77">
        <f>Target1[[#This Row],[Target Drawdown]]/MAX($B$2:B446)</f>
        <v>-0.39729729729729729</v>
      </c>
      <c r="H446" s="1" t="str">
        <f>IF(SUM(COUNTIF(Benchmark1[Benchmark '#1 Dates],Target1[[#This Row],[Target Dates]]),COUNTIF(Benchmark2[Benchmark '#2 Dates],Target1[[#This Row],[Target Dates]]))=2,"Pass","Fail")</f>
        <v>Pass</v>
      </c>
      <c r="I446" s="78">
        <f t="shared" si="20"/>
        <v>-14.7</v>
      </c>
      <c r="K446" s="72">
        <f>Target1[[#This Row],[Target Price]]/$B$2*100</f>
        <v>129.72658522396742</v>
      </c>
      <c r="R446">
        <f>B447/Target1[[#This Row],[Target Price]]-1</f>
        <v>3.1390134529147851E-2</v>
      </c>
    </row>
    <row r="447" spans="1:18">
      <c r="A447" s="96">
        <v>43934</v>
      </c>
      <c r="B447" s="101">
        <v>23</v>
      </c>
      <c r="C447" s="4">
        <f t="shared" si="18"/>
        <v>3.0907537463076489E-2</v>
      </c>
      <c r="D447" s="4">
        <f>IFERROR(Target1[[#This Row],[Target Return]]+1,"-")</f>
        <v>1.0309075374630765</v>
      </c>
      <c r="E447" s="6">
        <f>B447-MAX($B$2:B447)</f>
        <v>-14</v>
      </c>
      <c r="F447" s="80">
        <f t="shared" si="19"/>
        <v>249</v>
      </c>
      <c r="G447" s="77">
        <f>Target1[[#This Row],[Target Drawdown]]/MAX($B$2:B447)</f>
        <v>-0.3783783783783784</v>
      </c>
      <c r="H447" s="1" t="str">
        <f>IF(SUM(COUNTIF(Benchmark1[Benchmark '#1 Dates],Target1[[#This Row],[Target Dates]]),COUNTIF(Benchmark2[Benchmark '#2 Dates],Target1[[#This Row],[Target Dates]]))=2,"Pass","Fail")</f>
        <v>Pass</v>
      </c>
      <c r="I447" s="78">
        <f t="shared" si="20"/>
        <v>-14</v>
      </c>
      <c r="K447" s="72">
        <f>Target1[[#This Row],[Target Price]]/$B$2*100</f>
        <v>133.79872018615472</v>
      </c>
      <c r="R447">
        <f>B448/Target1[[#This Row],[Target Price]]-1</f>
        <v>-5.5652173913043557E-2</v>
      </c>
    </row>
    <row r="448" spans="1:18">
      <c r="A448" s="96">
        <v>43935</v>
      </c>
      <c r="B448" s="101">
        <v>21.72</v>
      </c>
      <c r="C448" s="4">
        <f t="shared" si="18"/>
        <v>-5.7260720863415084E-2</v>
      </c>
      <c r="D448" s="4">
        <f>IFERROR(Target1[[#This Row],[Target Return]]+1,"-")</f>
        <v>0.94273927913658495</v>
      </c>
      <c r="E448" s="6">
        <f>B448-MAX($B$2:B448)</f>
        <v>-15.280000000000001</v>
      </c>
      <c r="F448" s="80">
        <f t="shared" si="19"/>
        <v>250</v>
      </c>
      <c r="G448" s="77">
        <f>Target1[[#This Row],[Target Drawdown]]/MAX($B$2:B448)</f>
        <v>-0.41297297297297303</v>
      </c>
      <c r="H448" s="1" t="str">
        <f>IF(SUM(COUNTIF(Benchmark1[Benchmark '#1 Dates],Target1[[#This Row],[Target Dates]]),COUNTIF(Benchmark2[Benchmark '#2 Dates],Target1[[#This Row],[Target Dates]]))=2,"Pass","Fail")</f>
        <v>Pass</v>
      </c>
      <c r="I448" s="78">
        <f t="shared" si="20"/>
        <v>-15.280000000000001</v>
      </c>
      <c r="K448" s="72">
        <f>Target1[[#This Row],[Target Price]]/$B$2*100</f>
        <v>126.35253054101221</v>
      </c>
      <c r="R448">
        <f>B449/Target1[[#This Row],[Target Price]]-1</f>
        <v>5.5248618784530468E-2</v>
      </c>
    </row>
    <row r="449" spans="1:18">
      <c r="A449" s="96">
        <v>43936</v>
      </c>
      <c r="B449" s="101">
        <v>22.92</v>
      </c>
      <c r="C449" s="4">
        <f t="shared" si="18"/>
        <v>5.3776396780804203E-2</v>
      </c>
      <c r="D449" s="4">
        <f>IFERROR(Target1[[#This Row],[Target Return]]+1,"-")</f>
        <v>1.0537763967808043</v>
      </c>
      <c r="E449" s="6">
        <f>B449-MAX($B$2:B449)</f>
        <v>-14.079999999999998</v>
      </c>
      <c r="F449" s="80">
        <f t="shared" si="19"/>
        <v>251</v>
      </c>
      <c r="G449" s="77">
        <f>Target1[[#This Row],[Target Drawdown]]/MAX($B$2:B449)</f>
        <v>-0.38054054054054048</v>
      </c>
      <c r="H449" s="1" t="str">
        <f>IF(SUM(COUNTIF(Benchmark1[Benchmark '#1 Dates],Target1[[#This Row],[Target Dates]]),COUNTIF(Benchmark2[Benchmark '#2 Dates],Target1[[#This Row],[Target Dates]]))=2,"Pass","Fail")</f>
        <v>Pass</v>
      </c>
      <c r="I449" s="78">
        <f t="shared" si="20"/>
        <v>-14.079999999999998</v>
      </c>
      <c r="K449" s="72">
        <f>Target1[[#This Row],[Target Price]]/$B$2*100</f>
        <v>133.33333333333331</v>
      </c>
      <c r="R449">
        <f>B450/Target1[[#This Row],[Target Price]]-1</f>
        <v>2.9232111692844676E-2</v>
      </c>
    </row>
    <row r="450" spans="1:18">
      <c r="A450" s="96">
        <v>43937</v>
      </c>
      <c r="B450" s="101">
        <v>23.59</v>
      </c>
      <c r="C450" s="4">
        <f t="shared" ref="C450:C513" si="21">IFERROR(IF(B450="","-",LN(B450/B449)),"-")</f>
        <v>2.8813001573044845E-2</v>
      </c>
      <c r="D450" s="4">
        <f>IFERROR(Target1[[#This Row],[Target Return]]+1,"-")</f>
        <v>1.0288130015730448</v>
      </c>
      <c r="E450" s="6">
        <f>B450-MAX($B$2:B450)</f>
        <v>-13.41</v>
      </c>
      <c r="F450" s="80">
        <f t="shared" ref="F450:F513" si="22">IF(E450=0,0,F449+1)</f>
        <v>252</v>
      </c>
      <c r="G450" s="77">
        <f>Target1[[#This Row],[Target Drawdown]]/MAX($B$2:B450)</f>
        <v>-0.36243243243243245</v>
      </c>
      <c r="H450" s="1" t="str">
        <f>IF(SUM(COUNTIF(Benchmark1[Benchmark '#1 Dates],Target1[[#This Row],[Target Dates]]),COUNTIF(Benchmark2[Benchmark '#2 Dates],Target1[[#This Row],[Target Dates]]))=2,"Pass","Fail")</f>
        <v>Pass</v>
      </c>
      <c r="I450" s="78">
        <f t="shared" ref="I450:I513" si="23">$E$2+E450</f>
        <v>-13.41</v>
      </c>
      <c r="K450" s="72">
        <f>Target1[[#This Row],[Target Price]]/$B$2*100</f>
        <v>137.23094822571261</v>
      </c>
      <c r="R450">
        <f>B451/Target1[[#This Row],[Target Price]]-1</f>
        <v>2.7130139889783855E-2</v>
      </c>
    </row>
    <row r="451" spans="1:18">
      <c r="A451" s="96">
        <v>43938</v>
      </c>
      <c r="B451" s="101">
        <v>24.23</v>
      </c>
      <c r="C451" s="4">
        <f t="shared" si="21"/>
        <v>2.6768641408850751E-2</v>
      </c>
      <c r="D451" s="4">
        <f>IFERROR(Target1[[#This Row],[Target Return]]+1,"-")</f>
        <v>1.0267686414088508</v>
      </c>
      <c r="E451" s="6">
        <f>B451-MAX($B$2:B451)</f>
        <v>-12.77</v>
      </c>
      <c r="F451" s="80">
        <f t="shared" si="22"/>
        <v>253</v>
      </c>
      <c r="G451" s="77">
        <f>Target1[[#This Row],[Target Drawdown]]/MAX($B$2:B451)</f>
        <v>-0.34513513513513511</v>
      </c>
      <c r="H451" s="1" t="str">
        <f>IF(SUM(COUNTIF(Benchmark1[Benchmark '#1 Dates],Target1[[#This Row],[Target Dates]]),COUNTIF(Benchmark2[Benchmark '#2 Dates],Target1[[#This Row],[Target Dates]]))=2,"Pass","Fail")</f>
        <v>Pass</v>
      </c>
      <c r="I451" s="78">
        <f t="shared" si="23"/>
        <v>-12.77</v>
      </c>
      <c r="K451" s="72">
        <f>Target1[[#This Row],[Target Price]]/$B$2*100</f>
        <v>140.95404304828386</v>
      </c>
      <c r="R451">
        <f>B452/Target1[[#This Row],[Target Price]]-1</f>
        <v>-2.1048287247214303E-2</v>
      </c>
    </row>
    <row r="452" spans="1:18">
      <c r="A452" s="96">
        <v>43941</v>
      </c>
      <c r="B452" s="101">
        <v>23.72</v>
      </c>
      <c r="C452" s="4">
        <f t="shared" si="21"/>
        <v>-2.1272960698909767E-2</v>
      </c>
      <c r="D452" s="4">
        <f>IFERROR(Target1[[#This Row],[Target Return]]+1,"-")</f>
        <v>0.97872703930109028</v>
      </c>
      <c r="E452" s="6">
        <f>B452-MAX($B$2:B452)</f>
        <v>-13.280000000000001</v>
      </c>
      <c r="F452" s="80">
        <f t="shared" si="22"/>
        <v>254</v>
      </c>
      <c r="G452" s="77">
        <f>Target1[[#This Row],[Target Drawdown]]/MAX($B$2:B452)</f>
        <v>-0.35891891891891897</v>
      </c>
      <c r="H452" s="1" t="str">
        <f>IF(SUM(COUNTIF(Benchmark1[Benchmark '#1 Dates],Target1[[#This Row],[Target Dates]]),COUNTIF(Benchmark2[Benchmark '#2 Dates],Target1[[#This Row],[Target Dates]]))=2,"Pass","Fail")</f>
        <v>Pass</v>
      </c>
      <c r="I452" s="78">
        <f t="shared" si="23"/>
        <v>-13.280000000000001</v>
      </c>
      <c r="K452" s="72">
        <f>Target1[[#This Row],[Target Price]]/$B$2*100</f>
        <v>137.98720186154739</v>
      </c>
      <c r="R452">
        <f>B453/Target1[[#This Row],[Target Price]]-1</f>
        <v>1.8549747048903997E-2</v>
      </c>
    </row>
    <row r="453" spans="1:18">
      <c r="A453" s="96">
        <v>43942</v>
      </c>
      <c r="B453" s="101">
        <v>24.16</v>
      </c>
      <c r="C453" s="4">
        <f t="shared" si="21"/>
        <v>1.837979893708961E-2</v>
      </c>
      <c r="D453" s="4">
        <f>IFERROR(Target1[[#This Row],[Target Return]]+1,"-")</f>
        <v>1.0183797989370895</v>
      </c>
      <c r="E453" s="6">
        <f>B453-MAX($B$2:B453)</f>
        <v>-12.84</v>
      </c>
      <c r="F453" s="80">
        <f t="shared" si="22"/>
        <v>255</v>
      </c>
      <c r="G453" s="77">
        <f>Target1[[#This Row],[Target Drawdown]]/MAX($B$2:B453)</f>
        <v>-0.34702702702702704</v>
      </c>
      <c r="H453" s="1" t="str">
        <f>IF(SUM(COUNTIF(Benchmark1[Benchmark '#1 Dates],Target1[[#This Row],[Target Dates]]),COUNTIF(Benchmark2[Benchmark '#2 Dates],Target1[[#This Row],[Target Dates]]))=2,"Pass","Fail")</f>
        <v>Pass</v>
      </c>
      <c r="I453" s="78">
        <f t="shared" si="23"/>
        <v>-12.84</v>
      </c>
      <c r="K453" s="72">
        <f>Target1[[#This Row],[Target Price]]/$B$2*100</f>
        <v>140.54682955206513</v>
      </c>
      <c r="R453">
        <f>B454/Target1[[#This Row],[Target Price]]-1</f>
        <v>5.3807947019868241E-3</v>
      </c>
    </row>
    <row r="454" spans="1:18">
      <c r="A454" s="96">
        <v>43943</v>
      </c>
      <c r="B454" s="101">
        <v>24.29</v>
      </c>
      <c r="C454" s="4">
        <f t="shared" si="21"/>
        <v>5.366369947467E-3</v>
      </c>
      <c r="D454" s="4">
        <f>IFERROR(Target1[[#This Row],[Target Return]]+1,"-")</f>
        <v>1.0053663699474671</v>
      </c>
      <c r="E454" s="6">
        <f>B454-MAX($B$2:B454)</f>
        <v>-12.71</v>
      </c>
      <c r="F454" s="80">
        <f t="shared" si="22"/>
        <v>256</v>
      </c>
      <c r="G454" s="77">
        <f>Target1[[#This Row],[Target Drawdown]]/MAX($B$2:B454)</f>
        <v>-0.34351351351351356</v>
      </c>
      <c r="H454" s="1" t="str">
        <f>IF(SUM(COUNTIF(Benchmark1[Benchmark '#1 Dates],Target1[[#This Row],[Target Dates]]),COUNTIF(Benchmark2[Benchmark '#2 Dates],Target1[[#This Row],[Target Dates]]))=2,"Pass","Fail")</f>
        <v>Pass</v>
      </c>
      <c r="I454" s="78">
        <f t="shared" si="23"/>
        <v>-12.71</v>
      </c>
      <c r="K454" s="72">
        <f>Target1[[#This Row],[Target Price]]/$B$2*100</f>
        <v>141.30308318789992</v>
      </c>
      <c r="R454">
        <f>B455/Target1[[#This Row],[Target Price]]-1</f>
        <v>-3.2523672293124695E-2</v>
      </c>
    </row>
    <row r="455" spans="1:18">
      <c r="A455" s="96">
        <v>43944</v>
      </c>
      <c r="B455" s="101">
        <v>23.5</v>
      </c>
      <c r="C455" s="4">
        <f t="shared" si="21"/>
        <v>-3.3064321863967801E-2</v>
      </c>
      <c r="D455" s="4">
        <f>IFERROR(Target1[[#This Row],[Target Return]]+1,"-")</f>
        <v>0.96693567813603221</v>
      </c>
      <c r="E455" s="6">
        <f>B455-MAX($B$2:B455)</f>
        <v>-13.5</v>
      </c>
      <c r="F455" s="80">
        <f t="shared" si="22"/>
        <v>257</v>
      </c>
      <c r="G455" s="77">
        <f>Target1[[#This Row],[Target Drawdown]]/MAX($B$2:B455)</f>
        <v>-0.36486486486486486</v>
      </c>
      <c r="H455" s="1" t="str">
        <f>IF(SUM(COUNTIF(Benchmark1[Benchmark '#1 Dates],Target1[[#This Row],[Target Dates]]),COUNTIF(Benchmark2[Benchmark '#2 Dates],Target1[[#This Row],[Target Dates]]))=2,"Pass","Fail")</f>
        <v>Pass</v>
      </c>
      <c r="I455" s="78">
        <f t="shared" si="23"/>
        <v>-13.5</v>
      </c>
      <c r="K455" s="72">
        <f>Target1[[#This Row],[Target Price]]/$B$2*100</f>
        <v>136.70738801628852</v>
      </c>
      <c r="R455">
        <f>B456/Target1[[#This Row],[Target Price]]-1</f>
        <v>4.6808510638297829E-2</v>
      </c>
    </row>
    <row r="456" spans="1:18">
      <c r="A456" s="96">
        <v>43945</v>
      </c>
      <c r="B456" s="101">
        <v>24.6</v>
      </c>
      <c r="C456" s="4">
        <f t="shared" si="21"/>
        <v>4.5746021788203799E-2</v>
      </c>
      <c r="D456" s="4">
        <f>IFERROR(Target1[[#This Row],[Target Return]]+1,"-")</f>
        <v>1.0457460217882038</v>
      </c>
      <c r="E456" s="6">
        <f>B456-MAX($B$2:B456)</f>
        <v>-12.399999999999999</v>
      </c>
      <c r="F456" s="80">
        <f t="shared" si="22"/>
        <v>258</v>
      </c>
      <c r="G456" s="77">
        <f>Target1[[#This Row],[Target Drawdown]]/MAX($B$2:B456)</f>
        <v>-0.3351351351351351</v>
      </c>
      <c r="H456" s="1" t="str">
        <f>IF(SUM(COUNTIF(Benchmark1[Benchmark '#1 Dates],Target1[[#This Row],[Target Dates]]),COUNTIF(Benchmark2[Benchmark '#2 Dates],Target1[[#This Row],[Target Dates]]))=2,"Pass","Fail")</f>
        <v>Pass</v>
      </c>
      <c r="I456" s="78">
        <f t="shared" si="23"/>
        <v>-12.399999999999999</v>
      </c>
      <c r="K456" s="72">
        <f>Target1[[#This Row],[Target Price]]/$B$2*100</f>
        <v>143.10645724258288</v>
      </c>
      <c r="R456">
        <f>B457/Target1[[#This Row],[Target Price]]-1</f>
        <v>1.788617886178856E-2</v>
      </c>
    </row>
    <row r="457" spans="1:18">
      <c r="A457" s="96">
        <v>43948</v>
      </c>
      <c r="B457" s="101">
        <v>25.04</v>
      </c>
      <c r="C457" s="4">
        <f t="shared" si="21"/>
        <v>1.7728103293580599E-2</v>
      </c>
      <c r="D457" s="4">
        <f>IFERROR(Target1[[#This Row],[Target Return]]+1,"-")</f>
        <v>1.0177281032935805</v>
      </c>
      <c r="E457" s="6">
        <f>B457-MAX($B$2:B457)</f>
        <v>-11.96</v>
      </c>
      <c r="F457" s="80">
        <f t="shared" si="22"/>
        <v>259</v>
      </c>
      <c r="G457" s="77">
        <f>Target1[[#This Row],[Target Drawdown]]/MAX($B$2:B457)</f>
        <v>-0.32324324324324327</v>
      </c>
      <c r="H457" s="1" t="str">
        <f>IF(SUM(COUNTIF(Benchmark1[Benchmark '#1 Dates],Target1[[#This Row],[Target Dates]]),COUNTIF(Benchmark2[Benchmark '#2 Dates],Target1[[#This Row],[Target Dates]]))=2,"Pass","Fail")</f>
        <v>Pass</v>
      </c>
      <c r="I457" s="78">
        <f t="shared" si="23"/>
        <v>-11.96</v>
      </c>
      <c r="K457" s="72">
        <f>Target1[[#This Row],[Target Price]]/$B$2*100</f>
        <v>145.66608493310062</v>
      </c>
      <c r="R457">
        <f>B458/Target1[[#This Row],[Target Price]]-1</f>
        <v>-0.12100638977635769</v>
      </c>
    </row>
    <row r="458" spans="1:18">
      <c r="A458" s="96">
        <v>43949</v>
      </c>
      <c r="B458" s="101">
        <v>22.01</v>
      </c>
      <c r="C458" s="4">
        <f t="shared" si="21"/>
        <v>-0.12897765069352732</v>
      </c>
      <c r="D458" s="4">
        <f>IFERROR(Target1[[#This Row],[Target Return]]+1,"-")</f>
        <v>0.87102234930647271</v>
      </c>
      <c r="E458" s="6">
        <f>B458-MAX($B$2:B458)</f>
        <v>-14.989999999999998</v>
      </c>
      <c r="F458" s="80">
        <f t="shared" si="22"/>
        <v>260</v>
      </c>
      <c r="G458" s="77">
        <f>Target1[[#This Row],[Target Drawdown]]/MAX($B$2:B458)</f>
        <v>-0.4051351351351351</v>
      </c>
      <c r="H458" s="1" t="str">
        <f>IF(SUM(COUNTIF(Benchmark1[Benchmark '#1 Dates],Target1[[#This Row],[Target Dates]]),COUNTIF(Benchmark2[Benchmark '#2 Dates],Target1[[#This Row],[Target Dates]]))=2,"Pass","Fail")</f>
        <v>Pass</v>
      </c>
      <c r="I458" s="78">
        <f t="shared" si="23"/>
        <v>-14.989999999999998</v>
      </c>
      <c r="K458" s="72">
        <f>Target1[[#This Row],[Target Price]]/$B$2*100</f>
        <v>128.03955788248982</v>
      </c>
      <c r="R458">
        <f>B459/Target1[[#This Row],[Target Price]]-1</f>
        <v>-2.635165833711961E-2</v>
      </c>
    </row>
    <row r="459" spans="1:18">
      <c r="A459" s="96">
        <v>43950</v>
      </c>
      <c r="B459" s="101">
        <v>21.43</v>
      </c>
      <c r="C459" s="4">
        <f t="shared" si="21"/>
        <v>-2.6705086052884772E-2</v>
      </c>
      <c r="D459" s="4">
        <f>IFERROR(Target1[[#This Row],[Target Return]]+1,"-")</f>
        <v>0.9732949139471152</v>
      </c>
      <c r="E459" s="6">
        <f>B459-MAX($B$2:B459)</f>
        <v>-15.57</v>
      </c>
      <c r="F459" s="80">
        <f t="shared" si="22"/>
        <v>261</v>
      </c>
      <c r="G459" s="77">
        <f>Target1[[#This Row],[Target Drawdown]]/MAX($B$2:B459)</f>
        <v>-0.42081081081081084</v>
      </c>
      <c r="H459" s="1" t="str">
        <f>IF(SUM(COUNTIF(Benchmark1[Benchmark '#1 Dates],Target1[[#This Row],[Target Dates]]),COUNTIF(Benchmark2[Benchmark '#2 Dates],Target1[[#This Row],[Target Dates]]))=2,"Pass","Fail")</f>
        <v>Pass</v>
      </c>
      <c r="I459" s="78">
        <f t="shared" si="23"/>
        <v>-15.57</v>
      </c>
      <c r="K459" s="72">
        <f>Target1[[#This Row],[Target Price]]/$B$2*100</f>
        <v>124.6655031995346</v>
      </c>
      <c r="R459">
        <f>B460/Target1[[#This Row],[Target Price]]-1</f>
        <v>5.9729351376574868E-2</v>
      </c>
    </row>
    <row r="460" spans="1:18">
      <c r="A460" s="96">
        <v>43951</v>
      </c>
      <c r="B460" s="101">
        <v>22.71</v>
      </c>
      <c r="C460" s="4">
        <f t="shared" si="21"/>
        <v>5.8013546631981425E-2</v>
      </c>
      <c r="D460" s="4">
        <f>IFERROR(Target1[[#This Row],[Target Return]]+1,"-")</f>
        <v>1.0580135466319813</v>
      </c>
      <c r="E460" s="6">
        <f>B460-MAX($B$2:B460)</f>
        <v>-14.29</v>
      </c>
      <c r="F460" s="80">
        <f t="shared" si="22"/>
        <v>262</v>
      </c>
      <c r="G460" s="77">
        <f>Target1[[#This Row],[Target Drawdown]]/MAX($B$2:B460)</f>
        <v>-0.38621621621621621</v>
      </c>
      <c r="H460" s="1" t="str">
        <f>IF(SUM(COUNTIF(Benchmark1[Benchmark '#1 Dates],Target1[[#This Row],[Target Dates]]),COUNTIF(Benchmark2[Benchmark '#2 Dates],Target1[[#This Row],[Target Dates]]))=2,"Pass","Fail")</f>
        <v>Pass</v>
      </c>
      <c r="I460" s="78">
        <f t="shared" si="23"/>
        <v>-14.29</v>
      </c>
      <c r="K460" s="72">
        <f>Target1[[#This Row],[Target Price]]/$B$2*100</f>
        <v>132.11169284467715</v>
      </c>
      <c r="R460">
        <f>B461/Target1[[#This Row],[Target Price]]-1</f>
        <v>1.1448701012769513E-2</v>
      </c>
    </row>
    <row r="461" spans="1:18">
      <c r="A461" s="96">
        <v>43952</v>
      </c>
      <c r="B461" s="101">
        <v>22.97</v>
      </c>
      <c r="C461" s="4">
        <f t="shared" si="21"/>
        <v>1.1383660583539594E-2</v>
      </c>
      <c r="D461" s="4">
        <f>IFERROR(Target1[[#This Row],[Target Return]]+1,"-")</f>
        <v>1.0113836605835396</v>
      </c>
      <c r="E461" s="6">
        <f>B461-MAX($B$2:B461)</f>
        <v>-14.030000000000001</v>
      </c>
      <c r="F461" s="80">
        <f t="shared" si="22"/>
        <v>263</v>
      </c>
      <c r="G461" s="77">
        <f>Target1[[#This Row],[Target Drawdown]]/MAX($B$2:B461)</f>
        <v>-0.3791891891891892</v>
      </c>
      <c r="H461" s="1" t="str">
        <f>IF(SUM(COUNTIF(Benchmark1[Benchmark '#1 Dates],Target1[[#This Row],[Target Dates]]),COUNTIF(Benchmark2[Benchmark '#2 Dates],Target1[[#This Row],[Target Dates]]))=2,"Pass","Fail")</f>
        <v>Pass</v>
      </c>
      <c r="I461" s="78">
        <f t="shared" si="23"/>
        <v>-14.030000000000001</v>
      </c>
      <c r="K461" s="72">
        <f>Target1[[#This Row],[Target Price]]/$B$2*100</f>
        <v>133.62420011634671</v>
      </c>
      <c r="R461">
        <f>B462/Target1[[#This Row],[Target Price]]-1</f>
        <v>-1.2625163256421379E-2</v>
      </c>
    </row>
    <row r="462" spans="1:18">
      <c r="A462" s="96">
        <v>43955</v>
      </c>
      <c r="B462" s="101">
        <v>22.68</v>
      </c>
      <c r="C462" s="4">
        <f t="shared" si="21"/>
        <v>-1.2705537841455521E-2</v>
      </c>
      <c r="D462" s="4">
        <f>IFERROR(Target1[[#This Row],[Target Return]]+1,"-")</f>
        <v>0.98729446215854444</v>
      </c>
      <c r="E462" s="6">
        <f>B462-MAX($B$2:B462)</f>
        <v>-14.32</v>
      </c>
      <c r="F462" s="80">
        <f t="shared" si="22"/>
        <v>264</v>
      </c>
      <c r="G462" s="77">
        <f>Target1[[#This Row],[Target Drawdown]]/MAX($B$2:B462)</f>
        <v>-0.38702702702702702</v>
      </c>
      <c r="H462" s="1" t="str">
        <f>IF(SUM(COUNTIF(Benchmark1[Benchmark '#1 Dates],Target1[[#This Row],[Target Dates]]),COUNTIF(Benchmark2[Benchmark '#2 Dates],Target1[[#This Row],[Target Dates]]))=2,"Pass","Fail")</f>
        <v>Pass</v>
      </c>
      <c r="I462" s="78">
        <f t="shared" si="23"/>
        <v>-14.32</v>
      </c>
      <c r="K462" s="72">
        <f>Target1[[#This Row],[Target Price]]/$B$2*100</f>
        <v>131.93717277486908</v>
      </c>
      <c r="R462">
        <f>B463/Target1[[#This Row],[Target Price]]-1</f>
        <v>1.6313932980599688E-2</v>
      </c>
    </row>
    <row r="463" spans="1:18">
      <c r="A463" s="96">
        <v>43956</v>
      </c>
      <c r="B463" s="101">
        <v>23.05</v>
      </c>
      <c r="C463" s="4">
        <f t="shared" si="21"/>
        <v>1.6182290583106242E-2</v>
      </c>
      <c r="D463" s="4">
        <f>IFERROR(Target1[[#This Row],[Target Return]]+1,"-")</f>
        <v>1.0161822905831062</v>
      </c>
      <c r="E463" s="6">
        <f>B463-MAX($B$2:B463)</f>
        <v>-13.95</v>
      </c>
      <c r="F463" s="80">
        <f t="shared" si="22"/>
        <v>265</v>
      </c>
      <c r="G463" s="77">
        <f>Target1[[#This Row],[Target Drawdown]]/MAX($B$2:B463)</f>
        <v>-0.37702702702702701</v>
      </c>
      <c r="H463" s="1" t="str">
        <f>IF(SUM(COUNTIF(Benchmark1[Benchmark '#1 Dates],Target1[[#This Row],[Target Dates]]),COUNTIF(Benchmark2[Benchmark '#2 Dates],Target1[[#This Row],[Target Dates]]))=2,"Pass","Fail")</f>
        <v>Pass</v>
      </c>
      <c r="I463" s="78">
        <f t="shared" si="23"/>
        <v>-13.95</v>
      </c>
      <c r="K463" s="72">
        <f>Target1[[#This Row],[Target Price]]/$B$2*100</f>
        <v>134.0895869691681</v>
      </c>
      <c r="R463">
        <f>B464/Target1[[#This Row],[Target Price]]-1</f>
        <v>-2.0390455531453466E-2</v>
      </c>
    </row>
    <row r="464" spans="1:18">
      <c r="A464" s="96">
        <v>43957</v>
      </c>
      <c r="B464" s="101">
        <v>22.58</v>
      </c>
      <c r="C464" s="4">
        <f t="shared" si="21"/>
        <v>-2.0601210721141672E-2</v>
      </c>
      <c r="D464" s="4">
        <f>IFERROR(Target1[[#This Row],[Target Return]]+1,"-")</f>
        <v>0.97939878927885837</v>
      </c>
      <c r="E464" s="6">
        <f>B464-MAX($B$2:B464)</f>
        <v>-14.420000000000002</v>
      </c>
      <c r="F464" s="80">
        <f t="shared" si="22"/>
        <v>266</v>
      </c>
      <c r="G464" s="77">
        <f>Target1[[#This Row],[Target Drawdown]]/MAX($B$2:B464)</f>
        <v>-0.3897297297297298</v>
      </c>
      <c r="H464" s="1" t="str">
        <f>IF(SUM(COUNTIF(Benchmark1[Benchmark '#1 Dates],Target1[[#This Row],[Target Dates]]),COUNTIF(Benchmark2[Benchmark '#2 Dates],Target1[[#This Row],[Target Dates]]))=2,"Pass","Fail")</f>
        <v>Pass</v>
      </c>
      <c r="I464" s="78">
        <f t="shared" si="23"/>
        <v>-14.420000000000002</v>
      </c>
      <c r="K464" s="72">
        <f>Target1[[#This Row],[Target Price]]/$B$2*100</f>
        <v>131.35543920884234</v>
      </c>
      <c r="R464">
        <f>B465/Target1[[#This Row],[Target Price]]-1</f>
        <v>-2.1257750221434724E-2</v>
      </c>
    </row>
    <row r="465" spans="1:18">
      <c r="A465" s="96">
        <v>43958</v>
      </c>
      <c r="B465" s="101">
        <v>22.1</v>
      </c>
      <c r="C465" s="4">
        <f t="shared" si="21"/>
        <v>-2.1486950197808649E-2</v>
      </c>
      <c r="D465" s="4">
        <f>IFERROR(Target1[[#This Row],[Target Return]]+1,"-")</f>
        <v>0.97851304980219134</v>
      </c>
      <c r="E465" s="6">
        <f>B465-MAX($B$2:B465)</f>
        <v>-14.899999999999999</v>
      </c>
      <c r="F465" s="80">
        <f t="shared" si="22"/>
        <v>267</v>
      </c>
      <c r="G465" s="77">
        <f>Target1[[#This Row],[Target Drawdown]]/MAX($B$2:B465)</f>
        <v>-0.40270270270270264</v>
      </c>
      <c r="H465" s="1" t="str">
        <f>IF(SUM(COUNTIF(Benchmark1[Benchmark '#1 Dates],Target1[[#This Row],[Target Dates]]),COUNTIF(Benchmark2[Benchmark '#2 Dates],Target1[[#This Row],[Target Dates]]))=2,"Pass","Fail")</f>
        <v>Pass</v>
      </c>
      <c r="I465" s="78">
        <f t="shared" si="23"/>
        <v>-14.899999999999999</v>
      </c>
      <c r="K465" s="72">
        <f>Target1[[#This Row],[Target Price]]/$B$2*100</f>
        <v>128.56311809191391</v>
      </c>
      <c r="R465">
        <f>B466/Target1[[#This Row],[Target Price]]-1</f>
        <v>3.9366515837103933E-2</v>
      </c>
    </row>
    <row r="466" spans="1:18">
      <c r="A466" s="96">
        <v>43959</v>
      </c>
      <c r="B466" s="101">
        <v>22.97</v>
      </c>
      <c r="C466" s="4">
        <f t="shared" si="21"/>
        <v>3.8611408177299619E-2</v>
      </c>
      <c r="D466" s="4">
        <f>IFERROR(Target1[[#This Row],[Target Return]]+1,"-")</f>
        <v>1.0386114081772997</v>
      </c>
      <c r="E466" s="6">
        <f>B466-MAX($B$2:B466)</f>
        <v>-14.030000000000001</v>
      </c>
      <c r="F466" s="80">
        <f t="shared" si="22"/>
        <v>268</v>
      </c>
      <c r="G466" s="77">
        <f>Target1[[#This Row],[Target Drawdown]]/MAX($B$2:B466)</f>
        <v>-0.3791891891891892</v>
      </c>
      <c r="H466" s="1" t="str">
        <f>IF(SUM(COUNTIF(Benchmark1[Benchmark '#1 Dates],Target1[[#This Row],[Target Dates]]),COUNTIF(Benchmark2[Benchmark '#2 Dates],Target1[[#This Row],[Target Dates]]))=2,"Pass","Fail")</f>
        <v>Pass</v>
      </c>
      <c r="I466" s="78">
        <f t="shared" si="23"/>
        <v>-14.030000000000001</v>
      </c>
      <c r="K466" s="72">
        <f>Target1[[#This Row],[Target Price]]/$B$2*100</f>
        <v>133.62420011634671</v>
      </c>
      <c r="R466">
        <f>B467/Target1[[#This Row],[Target Price]]-1</f>
        <v>2.525032651284298E-2</v>
      </c>
    </row>
    <row r="467" spans="1:18">
      <c r="A467" s="96">
        <v>43962</v>
      </c>
      <c r="B467" s="101">
        <v>23.55</v>
      </c>
      <c r="C467" s="4">
        <f t="shared" si="21"/>
        <v>2.4936803761420011E-2</v>
      </c>
      <c r="D467" s="4">
        <f>IFERROR(Target1[[#This Row],[Target Return]]+1,"-")</f>
        <v>1.0249368037614199</v>
      </c>
      <c r="E467" s="6">
        <f>B467-MAX($B$2:B467)</f>
        <v>-13.45</v>
      </c>
      <c r="F467" s="80">
        <f t="shared" si="22"/>
        <v>269</v>
      </c>
      <c r="G467" s="77">
        <f>Target1[[#This Row],[Target Drawdown]]/MAX($B$2:B467)</f>
        <v>-0.36351351351351352</v>
      </c>
      <c r="H467" s="1" t="str">
        <f>IF(SUM(COUNTIF(Benchmark1[Benchmark '#1 Dates],Target1[[#This Row],[Target Dates]]),COUNTIF(Benchmark2[Benchmark '#2 Dates],Target1[[#This Row],[Target Dates]]))=2,"Pass","Fail")</f>
        <v>Pass</v>
      </c>
      <c r="I467" s="78">
        <f t="shared" si="23"/>
        <v>-13.45</v>
      </c>
      <c r="K467" s="72">
        <f>Target1[[#This Row],[Target Price]]/$B$2*100</f>
        <v>136.99825479930192</v>
      </c>
      <c r="R467">
        <f>B468/Target1[[#This Row],[Target Price]]-1</f>
        <v>-5.9447983014861983E-3</v>
      </c>
    </row>
    <row r="468" spans="1:18">
      <c r="A468" s="96">
        <v>43963</v>
      </c>
      <c r="B468" s="101">
        <v>23.41</v>
      </c>
      <c r="C468" s="4">
        <f t="shared" si="21"/>
        <v>-5.9625389596073561E-3</v>
      </c>
      <c r="D468" s="4">
        <f>IFERROR(Target1[[#This Row],[Target Return]]+1,"-")</f>
        <v>0.99403746104039259</v>
      </c>
      <c r="E468" s="6">
        <f>B468-MAX($B$2:B468)</f>
        <v>-13.59</v>
      </c>
      <c r="F468" s="80">
        <f t="shared" si="22"/>
        <v>270</v>
      </c>
      <c r="G468" s="77">
        <f>Target1[[#This Row],[Target Drawdown]]/MAX($B$2:B468)</f>
        <v>-0.36729729729729732</v>
      </c>
      <c r="H468" s="1" t="str">
        <f>IF(SUM(COUNTIF(Benchmark1[Benchmark '#1 Dates],Target1[[#This Row],[Target Dates]]),COUNTIF(Benchmark2[Benchmark '#2 Dates],Target1[[#This Row],[Target Dates]]))=2,"Pass","Fail")</f>
        <v>Pass</v>
      </c>
      <c r="I468" s="78">
        <f t="shared" si="23"/>
        <v>-13.59</v>
      </c>
      <c r="K468" s="72">
        <f>Target1[[#This Row],[Target Price]]/$B$2*100</f>
        <v>136.18382780686446</v>
      </c>
      <c r="R468">
        <f>B469/Target1[[#This Row],[Target Price]]-1</f>
        <v>0</v>
      </c>
    </row>
    <row r="469" spans="1:18">
      <c r="A469" s="96">
        <v>43964</v>
      </c>
      <c r="B469" s="101">
        <v>23.41</v>
      </c>
      <c r="C469" s="4">
        <f t="shared" si="21"/>
        <v>0</v>
      </c>
      <c r="D469" s="4">
        <f>IFERROR(Target1[[#This Row],[Target Return]]+1,"-")</f>
        <v>1</v>
      </c>
      <c r="E469" s="6">
        <f>B469-MAX($B$2:B469)</f>
        <v>-13.59</v>
      </c>
      <c r="F469" s="80">
        <f t="shared" si="22"/>
        <v>271</v>
      </c>
      <c r="G469" s="77">
        <f>Target1[[#This Row],[Target Drawdown]]/MAX($B$2:B469)</f>
        <v>-0.36729729729729732</v>
      </c>
      <c r="H469" s="1" t="str">
        <f>IF(SUM(COUNTIF(Benchmark1[Benchmark '#1 Dates],Target1[[#This Row],[Target Dates]]),COUNTIF(Benchmark2[Benchmark '#2 Dates],Target1[[#This Row],[Target Dates]]))=2,"Pass","Fail")</f>
        <v>Pass</v>
      </c>
      <c r="I469" s="78">
        <f t="shared" si="23"/>
        <v>-13.59</v>
      </c>
      <c r="K469" s="72">
        <f>Target1[[#This Row],[Target Price]]/$B$2*100</f>
        <v>136.18382780686446</v>
      </c>
      <c r="R469">
        <f>B470/Target1[[#This Row],[Target Price]]-1</f>
        <v>-2.9901751388295539E-2</v>
      </c>
    </row>
    <row r="470" spans="1:18">
      <c r="A470" s="96">
        <v>43965</v>
      </c>
      <c r="B470" s="101">
        <v>22.71</v>
      </c>
      <c r="C470" s="4">
        <f t="shared" si="21"/>
        <v>-3.0357925385352234E-2</v>
      </c>
      <c r="D470" s="4">
        <f>IFERROR(Target1[[#This Row],[Target Return]]+1,"-")</f>
        <v>0.9696420746146478</v>
      </c>
      <c r="E470" s="6">
        <f>B470-MAX($B$2:B470)</f>
        <v>-14.29</v>
      </c>
      <c r="F470" s="80">
        <f t="shared" si="22"/>
        <v>272</v>
      </c>
      <c r="G470" s="77">
        <f>Target1[[#This Row],[Target Drawdown]]/MAX($B$2:B470)</f>
        <v>-0.38621621621621621</v>
      </c>
      <c r="H470" s="1" t="str">
        <f>IF(SUM(COUNTIF(Benchmark1[Benchmark '#1 Dates],Target1[[#This Row],[Target Dates]]),COUNTIF(Benchmark2[Benchmark '#2 Dates],Target1[[#This Row],[Target Dates]]))=2,"Pass","Fail")</f>
        <v>Pass</v>
      </c>
      <c r="I470" s="78">
        <f t="shared" si="23"/>
        <v>-14.29</v>
      </c>
      <c r="K470" s="72">
        <f>Target1[[#This Row],[Target Price]]/$B$2*100</f>
        <v>132.11169284467715</v>
      </c>
      <c r="R470">
        <f>B471/Target1[[#This Row],[Target Price]]-1</f>
        <v>4.4914134742404244E-2</v>
      </c>
    </row>
    <row r="471" spans="1:18">
      <c r="A471" s="96">
        <v>43966</v>
      </c>
      <c r="B471" s="101">
        <v>23.73</v>
      </c>
      <c r="C471" s="4">
        <f t="shared" si="21"/>
        <v>4.3934714330205113E-2</v>
      </c>
      <c r="D471" s="4">
        <f>IFERROR(Target1[[#This Row],[Target Return]]+1,"-")</f>
        <v>1.0439347143302051</v>
      </c>
      <c r="E471" s="6">
        <f>B471-MAX($B$2:B471)</f>
        <v>-13.27</v>
      </c>
      <c r="F471" s="80">
        <f t="shared" si="22"/>
        <v>273</v>
      </c>
      <c r="G471" s="77">
        <f>Target1[[#This Row],[Target Drawdown]]/MAX($B$2:B471)</f>
        <v>-0.35864864864864865</v>
      </c>
      <c r="H471" s="1" t="str">
        <f>IF(SUM(COUNTIF(Benchmark1[Benchmark '#1 Dates],Target1[[#This Row],[Target Dates]]),COUNTIF(Benchmark2[Benchmark '#2 Dates],Target1[[#This Row],[Target Dates]]))=2,"Pass","Fail")</f>
        <v>Pass</v>
      </c>
      <c r="I471" s="78">
        <f t="shared" si="23"/>
        <v>-13.27</v>
      </c>
      <c r="K471" s="72">
        <f>Target1[[#This Row],[Target Price]]/$B$2*100</f>
        <v>138.04537521815007</v>
      </c>
      <c r="R471">
        <f>B472/Target1[[#This Row],[Target Price]]-1</f>
        <v>-1.4749262536873253E-2</v>
      </c>
    </row>
    <row r="472" spans="1:18">
      <c r="A472" s="96">
        <v>43969</v>
      </c>
      <c r="B472" s="101">
        <v>23.38</v>
      </c>
      <c r="C472" s="4">
        <f t="shared" si="21"/>
        <v>-1.4859114403749941E-2</v>
      </c>
      <c r="D472" s="4">
        <f>IFERROR(Target1[[#This Row],[Target Return]]+1,"-")</f>
        <v>0.98514088559625002</v>
      </c>
      <c r="E472" s="6">
        <f>B472-MAX($B$2:B472)</f>
        <v>-13.620000000000001</v>
      </c>
      <c r="F472" s="80">
        <f t="shared" si="22"/>
        <v>274</v>
      </c>
      <c r="G472" s="77">
        <f>Target1[[#This Row],[Target Drawdown]]/MAX($B$2:B472)</f>
        <v>-0.36810810810810812</v>
      </c>
      <c r="H472" s="1" t="str">
        <f>IF(SUM(COUNTIF(Benchmark1[Benchmark '#1 Dates],Target1[[#This Row],[Target Dates]]),COUNTIF(Benchmark2[Benchmark '#2 Dates],Target1[[#This Row],[Target Dates]]))=2,"Pass","Fail")</f>
        <v>Pass</v>
      </c>
      <c r="I472" s="78">
        <f t="shared" si="23"/>
        <v>-13.620000000000001</v>
      </c>
      <c r="K472" s="72">
        <f>Target1[[#This Row],[Target Price]]/$B$2*100</f>
        <v>136.00930773705642</v>
      </c>
      <c r="R472">
        <f>B473/Target1[[#This Row],[Target Price]]-1</f>
        <v>-1.6253207869974307E-2</v>
      </c>
    </row>
    <row r="473" spans="1:18">
      <c r="A473" s="96">
        <v>43970</v>
      </c>
      <c r="B473" s="101">
        <v>23</v>
      </c>
      <c r="C473" s="4">
        <f t="shared" si="21"/>
        <v>-1.6386740114772633E-2</v>
      </c>
      <c r="D473" s="4">
        <f>IFERROR(Target1[[#This Row],[Target Return]]+1,"-")</f>
        <v>0.98361325988522741</v>
      </c>
      <c r="E473" s="6">
        <f>B473-MAX($B$2:B473)</f>
        <v>-14</v>
      </c>
      <c r="F473" s="80">
        <f t="shared" si="22"/>
        <v>275</v>
      </c>
      <c r="G473" s="77">
        <f>Target1[[#This Row],[Target Drawdown]]/MAX($B$2:B473)</f>
        <v>-0.3783783783783784</v>
      </c>
      <c r="H473" s="1" t="str">
        <f>IF(SUM(COUNTIF(Benchmark1[Benchmark '#1 Dates],Target1[[#This Row],[Target Dates]]),COUNTIF(Benchmark2[Benchmark '#2 Dates],Target1[[#This Row],[Target Dates]]))=2,"Pass","Fail")</f>
        <v>Pass</v>
      </c>
      <c r="I473" s="78">
        <f t="shared" si="23"/>
        <v>-14</v>
      </c>
      <c r="K473" s="72">
        <f>Target1[[#This Row],[Target Price]]/$B$2*100</f>
        <v>133.79872018615472</v>
      </c>
      <c r="R473">
        <f>B474/Target1[[#This Row],[Target Price]]-1</f>
        <v>2.565217391304353E-2</v>
      </c>
    </row>
    <row r="474" spans="1:18">
      <c r="A474" s="96">
        <v>43971</v>
      </c>
      <c r="B474" s="101">
        <v>23.59</v>
      </c>
      <c r="C474" s="4">
        <f t="shared" si="21"/>
        <v>2.5328677490434021E-2</v>
      </c>
      <c r="D474" s="4">
        <f>IFERROR(Target1[[#This Row],[Target Return]]+1,"-")</f>
        <v>1.025328677490434</v>
      </c>
      <c r="E474" s="6">
        <f>B474-MAX($B$2:B474)</f>
        <v>-13.41</v>
      </c>
      <c r="F474" s="80">
        <f t="shared" si="22"/>
        <v>276</v>
      </c>
      <c r="G474" s="77">
        <f>Target1[[#This Row],[Target Drawdown]]/MAX($B$2:B474)</f>
        <v>-0.36243243243243245</v>
      </c>
      <c r="H474" s="1" t="str">
        <f>IF(SUM(COUNTIF(Benchmark1[Benchmark '#1 Dates],Target1[[#This Row],[Target Dates]]),COUNTIF(Benchmark2[Benchmark '#2 Dates],Target1[[#This Row],[Target Dates]]))=2,"Pass","Fail")</f>
        <v>Pass</v>
      </c>
      <c r="I474" s="78">
        <f t="shared" si="23"/>
        <v>-13.41</v>
      </c>
      <c r="K474" s="72">
        <f>Target1[[#This Row],[Target Price]]/$B$2*100</f>
        <v>137.23094822571261</v>
      </c>
      <c r="R474">
        <f>B475/Target1[[#This Row],[Target Price]]-1</f>
        <v>1.9499788045782118E-2</v>
      </c>
    </row>
    <row r="475" spans="1:18">
      <c r="A475" s="96">
        <v>43972</v>
      </c>
      <c r="B475" s="101">
        <v>24.05</v>
      </c>
      <c r="C475" s="4">
        <f t="shared" si="21"/>
        <v>1.9312103132186533E-2</v>
      </c>
      <c r="D475" s="4">
        <f>IFERROR(Target1[[#This Row],[Target Return]]+1,"-")</f>
        <v>1.0193121031321866</v>
      </c>
      <c r="E475" s="6">
        <f>B475-MAX($B$2:B475)</f>
        <v>-12.95</v>
      </c>
      <c r="F475" s="80">
        <f t="shared" si="22"/>
        <v>277</v>
      </c>
      <c r="G475" s="77">
        <f>Target1[[#This Row],[Target Drawdown]]/MAX($B$2:B475)</f>
        <v>-0.35</v>
      </c>
      <c r="H475" s="1" t="str">
        <f>IF(SUM(COUNTIF(Benchmark1[Benchmark '#1 Dates],Target1[[#This Row],[Target Dates]]),COUNTIF(Benchmark2[Benchmark '#2 Dates],Target1[[#This Row],[Target Dates]]))=2,"Pass","Fail")</f>
        <v>Pass</v>
      </c>
      <c r="I475" s="78">
        <f t="shared" si="23"/>
        <v>-12.95</v>
      </c>
      <c r="K475" s="72">
        <f>Target1[[#This Row],[Target Price]]/$B$2*100</f>
        <v>139.90692262943571</v>
      </c>
      <c r="R475">
        <f>B476/Target1[[#This Row],[Target Price]]-1</f>
        <v>1.496881496881497E-2</v>
      </c>
    </row>
    <row r="476" spans="1:18">
      <c r="A476" s="96">
        <v>43973</v>
      </c>
      <c r="B476" s="101">
        <v>24.41</v>
      </c>
      <c r="C476" s="4">
        <f t="shared" si="21"/>
        <v>1.4857887853098516E-2</v>
      </c>
      <c r="D476" s="4">
        <f>IFERROR(Target1[[#This Row],[Target Return]]+1,"-")</f>
        <v>1.0148578878530985</v>
      </c>
      <c r="E476" s="6">
        <f>B476-MAX($B$2:B476)</f>
        <v>-12.59</v>
      </c>
      <c r="F476" s="80">
        <f t="shared" si="22"/>
        <v>278</v>
      </c>
      <c r="G476" s="77">
        <f>Target1[[#This Row],[Target Drawdown]]/MAX($B$2:B476)</f>
        <v>-0.34027027027027029</v>
      </c>
      <c r="H476" s="1" t="str">
        <f>IF(SUM(COUNTIF(Benchmark1[Benchmark '#1 Dates],Target1[[#This Row],[Target Dates]]),COUNTIF(Benchmark2[Benchmark '#2 Dates],Target1[[#This Row],[Target Dates]]))=2,"Pass","Fail")</f>
        <v>Pass</v>
      </c>
      <c r="I476" s="78">
        <f t="shared" si="23"/>
        <v>-12.59</v>
      </c>
      <c r="K476" s="72">
        <f>Target1[[#This Row],[Target Price]]/$B$2*100</f>
        <v>142.00116346713205</v>
      </c>
      <c r="R476">
        <f>B477/Target1[[#This Row],[Target Price]]-1</f>
        <v>-3.2773453502663585E-3</v>
      </c>
    </row>
    <row r="477" spans="1:18">
      <c r="A477" s="96">
        <v>43977</v>
      </c>
      <c r="B477" s="101">
        <v>24.33</v>
      </c>
      <c r="C477" s="4">
        <f t="shared" si="21"/>
        <v>-3.2827276094375309E-3</v>
      </c>
      <c r="D477" s="4">
        <f>IFERROR(Target1[[#This Row],[Target Return]]+1,"-")</f>
        <v>0.99671727239056251</v>
      </c>
      <c r="E477" s="6">
        <f>B477-MAX($B$2:B477)</f>
        <v>-12.670000000000002</v>
      </c>
      <c r="F477" s="80">
        <f t="shared" si="22"/>
        <v>279</v>
      </c>
      <c r="G477" s="77">
        <f>Target1[[#This Row],[Target Drawdown]]/MAX($B$2:B477)</f>
        <v>-0.34243243243243249</v>
      </c>
      <c r="H477" s="1" t="str">
        <f>IF(SUM(COUNTIF(Benchmark1[Benchmark '#1 Dates],Target1[[#This Row],[Target Dates]]),COUNTIF(Benchmark2[Benchmark '#2 Dates],Target1[[#This Row],[Target Dates]]))=2,"Pass","Fail")</f>
        <v>Pass</v>
      </c>
      <c r="I477" s="78">
        <f t="shared" si="23"/>
        <v>-12.670000000000002</v>
      </c>
      <c r="K477" s="72">
        <f>Target1[[#This Row],[Target Price]]/$B$2*100</f>
        <v>141.53577661431063</v>
      </c>
      <c r="R477">
        <f>B478/Target1[[#This Row],[Target Price]]-1</f>
        <v>-4.521167283189409E-3</v>
      </c>
    </row>
    <row r="478" spans="1:18">
      <c r="A478" s="96">
        <v>43978</v>
      </c>
      <c r="B478" s="101">
        <v>24.22</v>
      </c>
      <c r="C478" s="4">
        <f t="shared" si="21"/>
        <v>-4.5314186704849815E-3</v>
      </c>
      <c r="D478" s="4">
        <f>IFERROR(Target1[[#This Row],[Target Return]]+1,"-")</f>
        <v>0.99546858132951499</v>
      </c>
      <c r="E478" s="6">
        <f>B478-MAX($B$2:B478)</f>
        <v>-12.780000000000001</v>
      </c>
      <c r="F478" s="80">
        <f t="shared" si="22"/>
        <v>280</v>
      </c>
      <c r="G478" s="77">
        <f>Target1[[#This Row],[Target Drawdown]]/MAX($B$2:B478)</f>
        <v>-0.34540540540540543</v>
      </c>
      <c r="H478" s="1" t="str">
        <f>IF(SUM(COUNTIF(Benchmark1[Benchmark '#1 Dates],Target1[[#This Row],[Target Dates]]),COUNTIF(Benchmark2[Benchmark '#2 Dates],Target1[[#This Row],[Target Dates]]))=2,"Pass","Fail")</f>
        <v>Pass</v>
      </c>
      <c r="I478" s="78">
        <f t="shared" si="23"/>
        <v>-12.780000000000001</v>
      </c>
      <c r="K478" s="72">
        <f>Target1[[#This Row],[Target Price]]/$B$2*100</f>
        <v>140.89586969168118</v>
      </c>
      <c r="R478">
        <f>B479/Target1[[#This Row],[Target Price]]-1</f>
        <v>-1.2386457473161361E-3</v>
      </c>
    </row>
    <row r="479" spans="1:18">
      <c r="A479" s="96">
        <v>43979</v>
      </c>
      <c r="B479" s="101">
        <v>24.19</v>
      </c>
      <c r="C479" s="4">
        <f t="shared" si="21"/>
        <v>-1.2394135030101754E-3</v>
      </c>
      <c r="D479" s="4">
        <f>IFERROR(Target1[[#This Row],[Target Return]]+1,"-")</f>
        <v>0.99876058649698984</v>
      </c>
      <c r="E479" s="6">
        <f>B479-MAX($B$2:B479)</f>
        <v>-12.809999999999999</v>
      </c>
      <c r="F479" s="80">
        <f t="shared" si="22"/>
        <v>281</v>
      </c>
      <c r="G479" s="77">
        <f>Target1[[#This Row],[Target Drawdown]]/MAX($B$2:B479)</f>
        <v>-0.34621621621621618</v>
      </c>
      <c r="H479" s="1" t="str">
        <f>IF(SUM(COUNTIF(Benchmark1[Benchmark '#1 Dates],Target1[[#This Row],[Target Dates]]),COUNTIF(Benchmark2[Benchmark '#2 Dates],Target1[[#This Row],[Target Dates]]))=2,"Pass","Fail")</f>
        <v>Pass</v>
      </c>
      <c r="I479" s="78">
        <f t="shared" si="23"/>
        <v>-12.809999999999999</v>
      </c>
      <c r="K479" s="72">
        <f>Target1[[#This Row],[Target Price]]/$B$2*100</f>
        <v>140.72134962187317</v>
      </c>
      <c r="R479">
        <f>B480/Target1[[#This Row],[Target Price]]-1</f>
        <v>1.777594047126918E-2</v>
      </c>
    </row>
    <row r="480" spans="1:18">
      <c r="A480" s="96">
        <v>43980</v>
      </c>
      <c r="B480" s="101">
        <v>24.62</v>
      </c>
      <c r="C480" s="4">
        <f t="shared" si="21"/>
        <v>1.7619796134371625E-2</v>
      </c>
      <c r="D480" s="4">
        <f>IFERROR(Target1[[#This Row],[Target Return]]+1,"-")</f>
        <v>1.0176197961343716</v>
      </c>
      <c r="E480" s="6">
        <f>B480-MAX($B$2:B480)</f>
        <v>-12.379999999999999</v>
      </c>
      <c r="F480" s="80">
        <f t="shared" si="22"/>
        <v>282</v>
      </c>
      <c r="G480" s="77">
        <f>Target1[[#This Row],[Target Drawdown]]/MAX($B$2:B480)</f>
        <v>-0.33459459459459456</v>
      </c>
      <c r="H480" s="1" t="str">
        <f>IF(SUM(COUNTIF(Benchmark1[Benchmark '#1 Dates],Target1[[#This Row],[Target Dates]]),COUNTIF(Benchmark2[Benchmark '#2 Dates],Target1[[#This Row],[Target Dates]]))=2,"Pass","Fail")</f>
        <v>Pass</v>
      </c>
      <c r="I480" s="78">
        <f t="shared" si="23"/>
        <v>-12.379999999999999</v>
      </c>
      <c r="K480" s="72">
        <f>Target1[[#This Row],[Target Price]]/$B$2*100</f>
        <v>143.22280395578824</v>
      </c>
      <c r="R480">
        <f>B481/Target1[[#This Row],[Target Price]]-1</f>
        <v>2.5995125913891082E-2</v>
      </c>
    </row>
    <row r="481" spans="1:18">
      <c r="A481" s="96">
        <v>43983</v>
      </c>
      <c r="B481" s="101">
        <v>25.26</v>
      </c>
      <c r="C481" s="4">
        <f t="shared" si="21"/>
        <v>2.5662996166037538E-2</v>
      </c>
      <c r="D481" s="4">
        <f>IFERROR(Target1[[#This Row],[Target Return]]+1,"-")</f>
        <v>1.0256629961660375</v>
      </c>
      <c r="E481" s="6">
        <f>B481-MAX($B$2:B481)</f>
        <v>-11.739999999999998</v>
      </c>
      <c r="F481" s="80">
        <f t="shared" si="22"/>
        <v>283</v>
      </c>
      <c r="G481" s="77">
        <f>Target1[[#This Row],[Target Drawdown]]/MAX($B$2:B481)</f>
        <v>-0.31729729729729728</v>
      </c>
      <c r="H481" s="1" t="str">
        <f>IF(SUM(COUNTIF(Benchmark1[Benchmark '#1 Dates],Target1[[#This Row],[Target Dates]]),COUNTIF(Benchmark2[Benchmark '#2 Dates],Target1[[#This Row],[Target Dates]]))=2,"Pass","Fail")</f>
        <v>Pass</v>
      </c>
      <c r="I481" s="78">
        <f t="shared" si="23"/>
        <v>-11.739999999999998</v>
      </c>
      <c r="K481" s="72">
        <f>Target1[[#This Row],[Target Price]]/$B$2*100</f>
        <v>146.94589877835952</v>
      </c>
      <c r="R481">
        <f>B482/Target1[[#This Row],[Target Price]]-1</f>
        <v>2.6920031670625511E-2</v>
      </c>
    </row>
    <row r="482" spans="1:18">
      <c r="A482" s="96">
        <v>43984</v>
      </c>
      <c r="B482" s="101">
        <v>25.94</v>
      </c>
      <c r="C482" s="4">
        <f t="shared" si="21"/>
        <v>2.656406196595279E-2</v>
      </c>
      <c r="D482" s="4">
        <f>IFERROR(Target1[[#This Row],[Target Return]]+1,"-")</f>
        <v>1.0265640619659528</v>
      </c>
      <c r="E482" s="6">
        <f>B482-MAX($B$2:B482)</f>
        <v>-11.059999999999999</v>
      </c>
      <c r="F482" s="80">
        <f t="shared" si="22"/>
        <v>284</v>
      </c>
      <c r="G482" s="77">
        <f>Target1[[#This Row],[Target Drawdown]]/MAX($B$2:B482)</f>
        <v>-0.29891891891891886</v>
      </c>
      <c r="H482" s="1" t="str">
        <f>IF(SUM(COUNTIF(Benchmark1[Benchmark '#1 Dates],Target1[[#This Row],[Target Dates]]),COUNTIF(Benchmark2[Benchmark '#2 Dates],Target1[[#This Row],[Target Dates]]))=2,"Pass","Fail")</f>
        <v>Pass</v>
      </c>
      <c r="I482" s="78">
        <f t="shared" si="23"/>
        <v>-11.059999999999999</v>
      </c>
      <c r="K482" s="72">
        <f>Target1[[#This Row],[Target Price]]/$B$2*100</f>
        <v>150.90168702734147</v>
      </c>
      <c r="R482">
        <f>B483/Target1[[#This Row],[Target Price]]-1</f>
        <v>3.4695451040862579E-3</v>
      </c>
    </row>
    <row r="483" spans="1:18">
      <c r="A483" s="96">
        <v>43985</v>
      </c>
      <c r="B483" s="101">
        <v>26.03</v>
      </c>
      <c r="C483" s="4">
        <f t="shared" si="21"/>
        <v>3.4635401181760889E-3</v>
      </c>
      <c r="D483" s="4">
        <f>IFERROR(Target1[[#This Row],[Target Return]]+1,"-")</f>
        <v>1.0034635401181762</v>
      </c>
      <c r="E483" s="6">
        <f>B483-MAX($B$2:B483)</f>
        <v>-10.969999999999999</v>
      </c>
      <c r="F483" s="80">
        <f t="shared" si="22"/>
        <v>285</v>
      </c>
      <c r="G483" s="77">
        <f>Target1[[#This Row],[Target Drawdown]]/MAX($B$2:B483)</f>
        <v>-0.29648648648648646</v>
      </c>
      <c r="H483" s="1" t="str">
        <f>IF(SUM(COUNTIF(Benchmark1[Benchmark '#1 Dates],Target1[[#This Row],[Target Dates]]),COUNTIF(Benchmark2[Benchmark '#2 Dates],Target1[[#This Row],[Target Dates]]))=2,"Pass","Fail")</f>
        <v>Pass</v>
      </c>
      <c r="I483" s="78">
        <f t="shared" si="23"/>
        <v>-10.969999999999999</v>
      </c>
      <c r="K483" s="72">
        <f>Target1[[#This Row],[Target Price]]/$B$2*100</f>
        <v>151.42524723676556</v>
      </c>
      <c r="R483">
        <f>B484/Target1[[#This Row],[Target Price]]-1</f>
        <v>2.3818670764502503E-2</v>
      </c>
    </row>
    <row r="484" spans="1:18">
      <c r="A484" s="96">
        <v>43986</v>
      </c>
      <c r="B484" s="101">
        <v>26.65</v>
      </c>
      <c r="C484" s="4">
        <f t="shared" si="21"/>
        <v>2.3539431605379545E-2</v>
      </c>
      <c r="D484" s="4">
        <f>IFERROR(Target1[[#This Row],[Target Return]]+1,"-")</f>
        <v>1.0235394316053796</v>
      </c>
      <c r="E484" s="6">
        <f>B484-MAX($B$2:B484)</f>
        <v>-10.350000000000001</v>
      </c>
      <c r="F484" s="80">
        <f t="shared" si="22"/>
        <v>286</v>
      </c>
      <c r="G484" s="77">
        <f>Target1[[#This Row],[Target Drawdown]]/MAX($B$2:B484)</f>
        <v>-0.27972972972972976</v>
      </c>
      <c r="H484" s="1" t="str">
        <f>IF(SUM(COUNTIF(Benchmark1[Benchmark '#1 Dates],Target1[[#This Row],[Target Dates]]),COUNTIF(Benchmark2[Benchmark '#2 Dates],Target1[[#This Row],[Target Dates]]))=2,"Pass","Fail")</f>
        <v>Pass</v>
      </c>
      <c r="I484" s="78">
        <f t="shared" si="23"/>
        <v>-10.350000000000001</v>
      </c>
      <c r="K484" s="72">
        <f>Target1[[#This Row],[Target Price]]/$B$2*100</f>
        <v>155.03199534613145</v>
      </c>
      <c r="R484">
        <f>B485/Target1[[#This Row],[Target Price]]-1</f>
        <v>1.5009380863039379E-2</v>
      </c>
    </row>
    <row r="485" spans="1:18">
      <c r="A485" s="96">
        <v>43987</v>
      </c>
      <c r="B485" s="101">
        <v>27.05</v>
      </c>
      <c r="C485" s="4">
        <f t="shared" si="21"/>
        <v>1.489785468063696E-2</v>
      </c>
      <c r="D485" s="4">
        <f>IFERROR(Target1[[#This Row],[Target Return]]+1,"-")</f>
        <v>1.0148978546806369</v>
      </c>
      <c r="E485" s="6">
        <f>B485-MAX($B$2:B485)</f>
        <v>-9.9499999999999993</v>
      </c>
      <c r="F485" s="80">
        <f t="shared" si="22"/>
        <v>287</v>
      </c>
      <c r="G485" s="77">
        <f>Target1[[#This Row],[Target Drawdown]]/MAX($B$2:B485)</f>
        <v>-0.26891891891891889</v>
      </c>
      <c r="H485" s="1" t="str">
        <f>IF(SUM(COUNTIF(Benchmark1[Benchmark '#1 Dates],Target1[[#This Row],[Target Dates]]),COUNTIF(Benchmark2[Benchmark '#2 Dates],Target1[[#This Row],[Target Dates]]))=2,"Pass","Fail")</f>
        <v>Pass</v>
      </c>
      <c r="I485" s="78">
        <f t="shared" si="23"/>
        <v>-9.9499999999999993</v>
      </c>
      <c r="K485" s="72">
        <f>Target1[[#This Row],[Target Price]]/$B$2*100</f>
        <v>157.3589296102385</v>
      </c>
      <c r="R485">
        <f>B486/Target1[[#This Row],[Target Price]]-1</f>
        <v>3.4380776340110941E-2</v>
      </c>
    </row>
    <row r="486" spans="1:18">
      <c r="A486" s="96">
        <v>43990</v>
      </c>
      <c r="B486" s="101">
        <v>27.98</v>
      </c>
      <c r="C486" s="4">
        <f t="shared" si="21"/>
        <v>3.3802963944844625E-2</v>
      </c>
      <c r="D486" s="4">
        <f>IFERROR(Target1[[#This Row],[Target Return]]+1,"-")</f>
        <v>1.0338029639448447</v>
      </c>
      <c r="E486" s="6">
        <f>B486-MAX($B$2:B486)</f>
        <v>-9.02</v>
      </c>
      <c r="F486" s="80">
        <f t="shared" si="22"/>
        <v>288</v>
      </c>
      <c r="G486" s="77">
        <f>Target1[[#This Row],[Target Drawdown]]/MAX($B$2:B486)</f>
        <v>-0.24378378378378376</v>
      </c>
      <c r="H486" s="1" t="str">
        <f>IF(SUM(COUNTIF(Benchmark1[Benchmark '#1 Dates],Target1[[#This Row],[Target Dates]]),COUNTIF(Benchmark2[Benchmark '#2 Dates],Target1[[#This Row],[Target Dates]]))=2,"Pass","Fail")</f>
        <v>Pass</v>
      </c>
      <c r="I486" s="78">
        <f t="shared" si="23"/>
        <v>-9.02</v>
      </c>
      <c r="K486" s="72">
        <f>Target1[[#This Row],[Target Price]]/$B$2*100</f>
        <v>162.76905177428739</v>
      </c>
      <c r="R486">
        <f>B487/Target1[[#This Row],[Target Price]]-1</f>
        <v>-4.0743388134381719E-2</v>
      </c>
    </row>
    <row r="487" spans="1:18">
      <c r="A487" s="96">
        <v>43991</v>
      </c>
      <c r="B487" s="101">
        <v>26.84</v>
      </c>
      <c r="C487" s="4">
        <f t="shared" si="21"/>
        <v>-4.159665713385409E-2</v>
      </c>
      <c r="D487" s="4">
        <f>IFERROR(Target1[[#This Row],[Target Return]]+1,"-")</f>
        <v>0.95840334286614592</v>
      </c>
      <c r="E487" s="6">
        <f>B487-MAX($B$2:B487)</f>
        <v>-10.16</v>
      </c>
      <c r="F487" s="80">
        <f t="shared" si="22"/>
        <v>289</v>
      </c>
      <c r="G487" s="77">
        <f>Target1[[#This Row],[Target Drawdown]]/MAX($B$2:B487)</f>
        <v>-0.27459459459459462</v>
      </c>
      <c r="H487" s="1" t="str">
        <f>IF(SUM(COUNTIF(Benchmark1[Benchmark '#1 Dates],Target1[[#This Row],[Target Dates]]),COUNTIF(Benchmark2[Benchmark '#2 Dates],Target1[[#This Row],[Target Dates]]))=2,"Pass","Fail")</f>
        <v>Pass</v>
      </c>
      <c r="I487" s="78">
        <f t="shared" si="23"/>
        <v>-10.16</v>
      </c>
      <c r="K487" s="72">
        <f>Target1[[#This Row],[Target Price]]/$B$2*100</f>
        <v>156.13728912158231</v>
      </c>
      <c r="R487">
        <f>B488/Target1[[#This Row],[Target Price]]-1</f>
        <v>-4.4709388971684305E-3</v>
      </c>
    </row>
    <row r="488" spans="1:18">
      <c r="A488" s="96">
        <v>43992</v>
      </c>
      <c r="B488" s="101">
        <v>26.72</v>
      </c>
      <c r="C488" s="4">
        <f t="shared" si="21"/>
        <v>-4.4809634350360924E-3</v>
      </c>
      <c r="D488" s="4">
        <f>IFERROR(Target1[[#This Row],[Target Return]]+1,"-")</f>
        <v>0.99551903656496388</v>
      </c>
      <c r="E488" s="6">
        <f>B488-MAX($B$2:B488)</f>
        <v>-10.280000000000001</v>
      </c>
      <c r="F488" s="80">
        <f t="shared" si="22"/>
        <v>290</v>
      </c>
      <c r="G488" s="77">
        <f>Target1[[#This Row],[Target Drawdown]]/MAX($B$2:B488)</f>
        <v>-0.27783783783783789</v>
      </c>
      <c r="H488" s="1" t="str">
        <f>IF(SUM(COUNTIF(Benchmark1[Benchmark '#1 Dates],Target1[[#This Row],[Target Dates]]),COUNTIF(Benchmark2[Benchmark '#2 Dates],Target1[[#This Row],[Target Dates]]))=2,"Pass","Fail")</f>
        <v>Pass</v>
      </c>
      <c r="I488" s="78">
        <f t="shared" si="23"/>
        <v>-10.280000000000001</v>
      </c>
      <c r="K488" s="72">
        <f>Target1[[#This Row],[Target Price]]/$B$2*100</f>
        <v>155.43920884235018</v>
      </c>
      <c r="R488">
        <f>B489/Target1[[#This Row],[Target Price]]-1</f>
        <v>-8.1961077844311281E-2</v>
      </c>
    </row>
    <row r="489" spans="1:18">
      <c r="A489" s="96">
        <v>43993</v>
      </c>
      <c r="B489" s="101">
        <v>24.53</v>
      </c>
      <c r="C489" s="4">
        <f t="shared" si="21"/>
        <v>-8.5515490398046942E-2</v>
      </c>
      <c r="D489" s="4">
        <f>IFERROR(Target1[[#This Row],[Target Return]]+1,"-")</f>
        <v>0.91448450960195304</v>
      </c>
      <c r="E489" s="6">
        <f>B489-MAX($B$2:B489)</f>
        <v>-12.469999999999999</v>
      </c>
      <c r="F489" s="80">
        <f t="shared" si="22"/>
        <v>291</v>
      </c>
      <c r="G489" s="77">
        <f>Target1[[#This Row],[Target Drawdown]]/MAX($B$2:B489)</f>
        <v>-0.33702702702702697</v>
      </c>
      <c r="H489" s="1" t="str">
        <f>IF(SUM(COUNTIF(Benchmark1[Benchmark '#1 Dates],Target1[[#This Row],[Target Dates]]),COUNTIF(Benchmark2[Benchmark '#2 Dates],Target1[[#This Row],[Target Dates]]))=2,"Pass","Fail")</f>
        <v>Pass</v>
      </c>
      <c r="I489" s="78">
        <f t="shared" si="23"/>
        <v>-12.469999999999999</v>
      </c>
      <c r="K489" s="72">
        <f>Target1[[#This Row],[Target Price]]/$B$2*100</f>
        <v>142.69924374636415</v>
      </c>
      <c r="R489">
        <f>B490/Target1[[#This Row],[Target Price]]-1</f>
        <v>-1.2637586628618136E-2</v>
      </c>
    </row>
    <row r="490" spans="1:18">
      <c r="A490" s="96">
        <v>43994</v>
      </c>
      <c r="B490" s="101">
        <v>24.22</v>
      </c>
      <c r="C490" s="4">
        <f t="shared" si="21"/>
        <v>-1.271812014545186E-2</v>
      </c>
      <c r="D490" s="4">
        <f>IFERROR(Target1[[#This Row],[Target Return]]+1,"-")</f>
        <v>0.98728187985454818</v>
      </c>
      <c r="E490" s="6">
        <f>B490-MAX($B$2:B490)</f>
        <v>-12.780000000000001</v>
      </c>
      <c r="F490" s="80">
        <f t="shared" si="22"/>
        <v>292</v>
      </c>
      <c r="G490" s="77">
        <f>Target1[[#This Row],[Target Drawdown]]/MAX($B$2:B490)</f>
        <v>-0.34540540540540543</v>
      </c>
      <c r="H490" s="1" t="str">
        <f>IF(SUM(COUNTIF(Benchmark1[Benchmark '#1 Dates],Target1[[#This Row],[Target Dates]]),COUNTIF(Benchmark2[Benchmark '#2 Dates],Target1[[#This Row],[Target Dates]]))=2,"Pass","Fail")</f>
        <v>Pass</v>
      </c>
      <c r="I490" s="78">
        <f t="shared" si="23"/>
        <v>-12.780000000000001</v>
      </c>
      <c r="K490" s="72">
        <f>Target1[[#This Row],[Target Price]]/$B$2*100</f>
        <v>140.89586969168118</v>
      </c>
      <c r="R490">
        <f>B491/Target1[[#This Row],[Target Price]]-1</f>
        <v>1.2386457473162693E-2</v>
      </c>
    </row>
    <row r="491" spans="1:18">
      <c r="A491" s="96">
        <v>43997</v>
      </c>
      <c r="B491" s="101">
        <v>24.52</v>
      </c>
      <c r="C491" s="4">
        <f t="shared" si="21"/>
        <v>1.2310372943064474E-2</v>
      </c>
      <c r="D491" s="4">
        <f>IFERROR(Target1[[#This Row],[Target Return]]+1,"-")</f>
        <v>1.0123103729430645</v>
      </c>
      <c r="E491" s="6">
        <f>B491-MAX($B$2:B491)</f>
        <v>-12.48</v>
      </c>
      <c r="F491" s="80">
        <f t="shared" si="22"/>
        <v>293</v>
      </c>
      <c r="G491" s="77">
        <f>Target1[[#This Row],[Target Drawdown]]/MAX($B$2:B491)</f>
        <v>-0.33729729729729729</v>
      </c>
      <c r="H491" s="1" t="str">
        <f>IF(SUM(COUNTIF(Benchmark1[Benchmark '#1 Dates],Target1[[#This Row],[Target Dates]]),COUNTIF(Benchmark2[Benchmark '#2 Dates],Target1[[#This Row],[Target Dates]]))=2,"Pass","Fail")</f>
        <v>Pass</v>
      </c>
      <c r="I491" s="78">
        <f t="shared" si="23"/>
        <v>-12.48</v>
      </c>
      <c r="K491" s="72">
        <f>Target1[[#This Row],[Target Price]]/$B$2*100</f>
        <v>142.6410703897615</v>
      </c>
      <c r="R491">
        <f>B492/Target1[[#This Row],[Target Price]]-1</f>
        <v>1.8352365415986949E-2</v>
      </c>
    </row>
    <row r="492" spans="1:18">
      <c r="A492" s="96">
        <v>43998</v>
      </c>
      <c r="B492" s="101">
        <v>24.97</v>
      </c>
      <c r="C492" s="4">
        <f t="shared" si="21"/>
        <v>1.8185993223671201E-2</v>
      </c>
      <c r="D492" s="4">
        <f>IFERROR(Target1[[#This Row],[Target Return]]+1,"-")</f>
        <v>1.0181859932236712</v>
      </c>
      <c r="E492" s="6">
        <f>B492-MAX($B$2:B492)</f>
        <v>-12.030000000000001</v>
      </c>
      <c r="F492" s="80">
        <f t="shared" si="22"/>
        <v>294</v>
      </c>
      <c r="G492" s="77">
        <f>Target1[[#This Row],[Target Drawdown]]/MAX($B$2:B492)</f>
        <v>-0.32513513513513514</v>
      </c>
      <c r="H492" s="1" t="str">
        <f>IF(SUM(COUNTIF(Benchmark1[Benchmark '#1 Dates],Target1[[#This Row],[Target Dates]]),COUNTIF(Benchmark2[Benchmark '#2 Dates],Target1[[#This Row],[Target Dates]]))=2,"Pass","Fail")</f>
        <v>Pass</v>
      </c>
      <c r="I492" s="78">
        <f t="shared" si="23"/>
        <v>-12.030000000000001</v>
      </c>
      <c r="K492" s="72">
        <f>Target1[[#This Row],[Target Price]]/$B$2*100</f>
        <v>145.25887143688189</v>
      </c>
      <c r="R492">
        <f>B493/Target1[[#This Row],[Target Price]]-1</f>
        <v>-1.601922306768111E-2</v>
      </c>
    </row>
    <row r="493" spans="1:18">
      <c r="A493" s="96">
        <v>43999</v>
      </c>
      <c r="B493" s="101">
        <v>24.57</v>
      </c>
      <c r="C493" s="4">
        <f t="shared" si="21"/>
        <v>-1.6148917758593995E-2</v>
      </c>
      <c r="D493" s="4">
        <f>IFERROR(Target1[[#This Row],[Target Return]]+1,"-")</f>
        <v>0.98385108224140605</v>
      </c>
      <c r="E493" s="6">
        <f>B493-MAX($B$2:B493)</f>
        <v>-12.43</v>
      </c>
      <c r="F493" s="80">
        <f t="shared" si="22"/>
        <v>295</v>
      </c>
      <c r="G493" s="77">
        <f>Target1[[#This Row],[Target Drawdown]]/MAX($B$2:B493)</f>
        <v>-0.33594594594594596</v>
      </c>
      <c r="H493" s="1" t="str">
        <f>IF(SUM(COUNTIF(Benchmark1[Benchmark '#1 Dates],Target1[[#This Row],[Target Dates]]),COUNTIF(Benchmark2[Benchmark '#2 Dates],Target1[[#This Row],[Target Dates]]))=2,"Pass","Fail")</f>
        <v>Pass</v>
      </c>
      <c r="I493" s="78">
        <f t="shared" si="23"/>
        <v>-12.43</v>
      </c>
      <c r="K493" s="72">
        <f>Target1[[#This Row],[Target Price]]/$B$2*100</f>
        <v>142.93193717277487</v>
      </c>
      <c r="R493">
        <f>B494/Target1[[#This Row],[Target Price]]-1</f>
        <v>2.0350020350020426E-2</v>
      </c>
    </row>
    <row r="494" spans="1:18">
      <c r="A494" s="96">
        <v>44000</v>
      </c>
      <c r="B494" s="101">
        <v>25.07</v>
      </c>
      <c r="C494" s="4">
        <f t="shared" si="21"/>
        <v>2.0145725637114351E-2</v>
      </c>
      <c r="D494" s="4">
        <f>IFERROR(Target1[[#This Row],[Target Return]]+1,"-")</f>
        <v>1.0201457256371143</v>
      </c>
      <c r="E494" s="6">
        <f>B494-MAX($B$2:B494)</f>
        <v>-11.93</v>
      </c>
      <c r="F494" s="80">
        <f t="shared" si="22"/>
        <v>296</v>
      </c>
      <c r="G494" s="77">
        <f>Target1[[#This Row],[Target Drawdown]]/MAX($B$2:B494)</f>
        <v>-0.32243243243243241</v>
      </c>
      <c r="H494" s="1" t="str">
        <f>IF(SUM(COUNTIF(Benchmark1[Benchmark '#1 Dates],Target1[[#This Row],[Target Dates]]),COUNTIF(Benchmark2[Benchmark '#2 Dates],Target1[[#This Row],[Target Dates]]))=2,"Pass","Fail")</f>
        <v>Pass</v>
      </c>
      <c r="I494" s="78">
        <f t="shared" si="23"/>
        <v>-11.93</v>
      </c>
      <c r="K494" s="72">
        <f>Target1[[#This Row],[Target Price]]/$B$2*100</f>
        <v>145.84060500290866</v>
      </c>
      <c r="R494">
        <f>B495/Target1[[#This Row],[Target Price]]-1</f>
        <v>4.6270442760271147E-2</v>
      </c>
    </row>
    <row r="495" spans="1:18">
      <c r="A495" s="96">
        <v>44001</v>
      </c>
      <c r="B495" s="101">
        <v>26.23</v>
      </c>
      <c r="C495" s="4">
        <f t="shared" si="21"/>
        <v>4.5231881708580189E-2</v>
      </c>
      <c r="D495" s="4">
        <f>IFERROR(Target1[[#This Row],[Target Return]]+1,"-")</f>
        <v>1.0452318817085802</v>
      </c>
      <c r="E495" s="6">
        <f>B495-MAX($B$2:B495)</f>
        <v>-10.77</v>
      </c>
      <c r="F495" s="80">
        <f t="shared" si="22"/>
        <v>297</v>
      </c>
      <c r="G495" s="77">
        <f>Target1[[#This Row],[Target Drawdown]]/MAX($B$2:B495)</f>
        <v>-0.29108108108108105</v>
      </c>
      <c r="H495" s="1" t="str">
        <f>IF(SUM(COUNTIF(Benchmark1[Benchmark '#1 Dates],Target1[[#This Row],[Target Dates]]),COUNTIF(Benchmark2[Benchmark '#2 Dates],Target1[[#This Row],[Target Dates]]))=2,"Pass","Fail")</f>
        <v>Pass</v>
      </c>
      <c r="I495" s="78">
        <f t="shared" si="23"/>
        <v>-10.77</v>
      </c>
      <c r="K495" s="72">
        <f>Target1[[#This Row],[Target Price]]/$B$2*100</f>
        <v>152.58871436881907</v>
      </c>
      <c r="R495">
        <f>B496/Target1[[#This Row],[Target Price]]-1</f>
        <v>1.0674799847502969E-2</v>
      </c>
    </row>
    <row r="496" spans="1:18">
      <c r="A496" s="96">
        <v>44004</v>
      </c>
      <c r="B496" s="101">
        <v>26.51</v>
      </c>
      <c r="C496" s="4">
        <f t="shared" si="21"/>
        <v>1.0618226422151976E-2</v>
      </c>
      <c r="D496" s="4">
        <f>IFERROR(Target1[[#This Row],[Target Return]]+1,"-")</f>
        <v>1.0106182264221519</v>
      </c>
      <c r="E496" s="6">
        <f>B496-MAX($B$2:B496)</f>
        <v>-10.489999999999998</v>
      </c>
      <c r="F496" s="80">
        <f t="shared" si="22"/>
        <v>298</v>
      </c>
      <c r="G496" s="77">
        <f>Target1[[#This Row],[Target Drawdown]]/MAX($B$2:B496)</f>
        <v>-0.28351351351351345</v>
      </c>
      <c r="H496" s="1" t="str">
        <f>IF(SUM(COUNTIF(Benchmark1[Benchmark '#1 Dates],Target1[[#This Row],[Target Dates]]),COUNTIF(Benchmark2[Benchmark '#2 Dates],Target1[[#This Row],[Target Dates]]))=2,"Pass","Fail")</f>
        <v>Pass</v>
      </c>
      <c r="I496" s="78">
        <f t="shared" si="23"/>
        <v>-10.489999999999998</v>
      </c>
      <c r="K496" s="72">
        <f>Target1[[#This Row],[Target Price]]/$B$2*100</f>
        <v>154.21756835369399</v>
      </c>
      <c r="R496">
        <f>B497/Target1[[#This Row],[Target Price]]-1</f>
        <v>-2.1878536401358062E-2</v>
      </c>
    </row>
    <row r="497" spans="1:18">
      <c r="A497" s="96">
        <v>44005</v>
      </c>
      <c r="B497" s="101">
        <v>25.93</v>
      </c>
      <c r="C497" s="4">
        <f t="shared" si="21"/>
        <v>-2.2121420750361241E-2</v>
      </c>
      <c r="D497" s="4">
        <f>IFERROR(Target1[[#This Row],[Target Return]]+1,"-")</f>
        <v>0.97787857924963872</v>
      </c>
      <c r="E497" s="6">
        <f>B497-MAX($B$2:B497)</f>
        <v>-11.07</v>
      </c>
      <c r="F497" s="80">
        <f t="shared" si="22"/>
        <v>299</v>
      </c>
      <c r="G497" s="77">
        <f>Target1[[#This Row],[Target Drawdown]]/MAX($B$2:B497)</f>
        <v>-0.29918918918918919</v>
      </c>
      <c r="H497" s="1" t="str">
        <f>IF(SUM(COUNTIF(Benchmark1[Benchmark '#1 Dates],Target1[[#This Row],[Target Dates]]),COUNTIF(Benchmark2[Benchmark '#2 Dates],Target1[[#This Row],[Target Dates]]))=2,"Pass","Fail")</f>
        <v>Pass</v>
      </c>
      <c r="I497" s="78">
        <f t="shared" si="23"/>
        <v>-11.07</v>
      </c>
      <c r="K497" s="72">
        <f>Target1[[#This Row],[Target Price]]/$B$2*100</f>
        <v>150.84351367073879</v>
      </c>
      <c r="R497">
        <f>B498/Target1[[#This Row],[Target Price]]-1</f>
        <v>-9.2556883918241128E-3</v>
      </c>
    </row>
    <row r="498" spans="1:18">
      <c r="A498" s="96">
        <v>44006</v>
      </c>
      <c r="B498" s="101">
        <v>25.69</v>
      </c>
      <c r="C498" s="4">
        <f t="shared" si="21"/>
        <v>-9.2987884287807788E-3</v>
      </c>
      <c r="D498" s="4">
        <f>IFERROR(Target1[[#This Row],[Target Return]]+1,"-")</f>
        <v>0.99070121157121926</v>
      </c>
      <c r="E498" s="6">
        <f>B498-MAX($B$2:B498)</f>
        <v>-11.309999999999999</v>
      </c>
      <c r="F498" s="80">
        <f t="shared" si="22"/>
        <v>300</v>
      </c>
      <c r="G498" s="77">
        <f>Target1[[#This Row],[Target Drawdown]]/MAX($B$2:B498)</f>
        <v>-0.30567567567567566</v>
      </c>
      <c r="H498" s="1" t="str">
        <f>IF(SUM(COUNTIF(Benchmark1[Benchmark '#1 Dates],Target1[[#This Row],[Target Dates]]),COUNTIF(Benchmark2[Benchmark '#2 Dates],Target1[[#This Row],[Target Dates]]))=2,"Pass","Fail")</f>
        <v>Pass</v>
      </c>
      <c r="I498" s="78">
        <f t="shared" si="23"/>
        <v>-11.309999999999999</v>
      </c>
      <c r="K498" s="72">
        <f>Target1[[#This Row],[Target Price]]/$B$2*100</f>
        <v>149.44735311227458</v>
      </c>
      <c r="R498">
        <f>B499/Target1[[#This Row],[Target Price]]-1</f>
        <v>2.2966134682755879E-2</v>
      </c>
    </row>
    <row r="499" spans="1:18">
      <c r="A499" s="96">
        <v>44007</v>
      </c>
      <c r="B499" s="101">
        <v>26.28</v>
      </c>
      <c r="C499" s="4">
        <f t="shared" si="21"/>
        <v>2.2706382494617497E-2</v>
      </c>
      <c r="D499" s="4">
        <f>IFERROR(Target1[[#This Row],[Target Return]]+1,"-")</f>
        <v>1.0227063824946174</v>
      </c>
      <c r="E499" s="6">
        <f>B499-MAX($B$2:B499)</f>
        <v>-10.719999999999999</v>
      </c>
      <c r="F499" s="80">
        <f t="shared" si="22"/>
        <v>301</v>
      </c>
      <c r="G499" s="77">
        <f>Target1[[#This Row],[Target Drawdown]]/MAX($B$2:B499)</f>
        <v>-0.28972972972972971</v>
      </c>
      <c r="H499" s="1" t="str">
        <f>IF(SUM(COUNTIF(Benchmark1[Benchmark '#1 Dates],Target1[[#This Row],[Target Dates]]),COUNTIF(Benchmark2[Benchmark '#2 Dates],Target1[[#This Row],[Target Dates]]))=2,"Pass","Fail")</f>
        <v>Pass</v>
      </c>
      <c r="I499" s="78">
        <f t="shared" si="23"/>
        <v>-10.719999999999999</v>
      </c>
      <c r="K499" s="72">
        <f>Target1[[#This Row],[Target Price]]/$B$2*100</f>
        <v>152.87958115183247</v>
      </c>
      <c r="R499">
        <f>B500/Target1[[#This Row],[Target Price]]-1</f>
        <v>4.9467275494672336E-3</v>
      </c>
    </row>
    <row r="500" spans="1:18">
      <c r="A500" s="96">
        <v>44008</v>
      </c>
      <c r="B500" s="101">
        <v>26.41</v>
      </c>
      <c r="C500" s="4">
        <f t="shared" si="21"/>
        <v>4.9345326926310447E-3</v>
      </c>
      <c r="D500" s="4">
        <f>IFERROR(Target1[[#This Row],[Target Return]]+1,"-")</f>
        <v>1.0049345326926311</v>
      </c>
      <c r="E500" s="6">
        <f>B500-MAX($B$2:B500)</f>
        <v>-10.59</v>
      </c>
      <c r="F500" s="80">
        <f t="shared" si="22"/>
        <v>302</v>
      </c>
      <c r="G500" s="77">
        <f>Target1[[#This Row],[Target Drawdown]]/MAX($B$2:B500)</f>
        <v>-0.28621621621621623</v>
      </c>
      <c r="H500" s="1" t="str">
        <f>IF(SUM(COUNTIF(Benchmark1[Benchmark '#1 Dates],Target1[[#This Row],[Target Dates]]),COUNTIF(Benchmark2[Benchmark '#2 Dates],Target1[[#This Row],[Target Dates]]))=2,"Pass","Fail")</f>
        <v>Pass</v>
      </c>
      <c r="I500" s="78">
        <f t="shared" si="23"/>
        <v>-10.59</v>
      </c>
      <c r="K500" s="72">
        <f>Target1[[#This Row],[Target Price]]/$B$2*100</f>
        <v>153.63583478766725</v>
      </c>
      <c r="R500">
        <f>B501/Target1[[#This Row],[Target Price]]-1</f>
        <v>1.1737978038621755E-2</v>
      </c>
    </row>
    <row r="501" spans="1:18">
      <c r="A501" s="96">
        <v>44011</v>
      </c>
      <c r="B501" s="101">
        <v>26.72</v>
      </c>
      <c r="C501" s="4">
        <f t="shared" si="21"/>
        <v>1.1669622359404148E-2</v>
      </c>
      <c r="D501" s="4">
        <f>IFERROR(Target1[[#This Row],[Target Return]]+1,"-")</f>
        <v>1.0116696223594042</v>
      </c>
      <c r="E501" s="6">
        <f>B501-MAX($B$2:B501)</f>
        <v>-10.280000000000001</v>
      </c>
      <c r="F501" s="80">
        <f t="shared" si="22"/>
        <v>303</v>
      </c>
      <c r="G501" s="77">
        <f>Target1[[#This Row],[Target Drawdown]]/MAX($B$2:B501)</f>
        <v>-0.27783783783783789</v>
      </c>
      <c r="H501" s="1" t="str">
        <f>IF(SUM(COUNTIF(Benchmark1[Benchmark '#1 Dates],Target1[[#This Row],[Target Dates]]),COUNTIF(Benchmark2[Benchmark '#2 Dates],Target1[[#This Row],[Target Dates]]))=2,"Pass","Fail")</f>
        <v>Pass</v>
      </c>
      <c r="I501" s="78">
        <f t="shared" si="23"/>
        <v>-10.280000000000001</v>
      </c>
      <c r="K501" s="72">
        <f>Target1[[#This Row],[Target Price]]/$B$2*100</f>
        <v>155.43920884235018</v>
      </c>
      <c r="R501">
        <f>B502/Target1[[#This Row],[Target Price]]-1</f>
        <v>1.9461077844311392E-2</v>
      </c>
    </row>
    <row r="502" spans="1:18">
      <c r="A502" s="96">
        <v>44012</v>
      </c>
      <c r="B502" s="101">
        <v>27.24</v>
      </c>
      <c r="C502" s="4">
        <f t="shared" si="21"/>
        <v>1.9274132612866656E-2</v>
      </c>
      <c r="D502" s="4">
        <f>IFERROR(Target1[[#This Row],[Target Return]]+1,"-")</f>
        <v>1.0192741326128667</v>
      </c>
      <c r="E502" s="6">
        <f>B502-MAX($B$2:B502)</f>
        <v>-9.7600000000000016</v>
      </c>
      <c r="F502" s="80">
        <f t="shared" si="22"/>
        <v>304</v>
      </c>
      <c r="G502" s="77">
        <f>Target1[[#This Row],[Target Drawdown]]/MAX($B$2:B502)</f>
        <v>-0.26378378378378381</v>
      </c>
      <c r="H502" s="1" t="str">
        <f>IF(SUM(COUNTIF(Benchmark1[Benchmark '#1 Dates],Target1[[#This Row],[Target Dates]]),COUNTIF(Benchmark2[Benchmark '#2 Dates],Target1[[#This Row],[Target Dates]]))=2,"Pass","Fail")</f>
        <v>Pass</v>
      </c>
      <c r="I502" s="78">
        <f t="shared" si="23"/>
        <v>-9.7600000000000016</v>
      </c>
      <c r="K502" s="72">
        <f>Target1[[#This Row],[Target Price]]/$B$2*100</f>
        <v>158.46422338568934</v>
      </c>
      <c r="R502">
        <f>B503/Target1[[#This Row],[Target Price]]-1</f>
        <v>6.1306901615271636E-2</v>
      </c>
    </row>
    <row r="503" spans="1:18">
      <c r="A503" s="96">
        <v>44013</v>
      </c>
      <c r="B503" s="101">
        <v>28.91</v>
      </c>
      <c r="C503" s="4">
        <f t="shared" si="21"/>
        <v>5.9501074746943057E-2</v>
      </c>
      <c r="D503" s="4">
        <f>IFERROR(Target1[[#This Row],[Target Return]]+1,"-")</f>
        <v>1.0595010747469431</v>
      </c>
      <c r="E503" s="6">
        <f>B503-MAX($B$2:B503)</f>
        <v>-8.09</v>
      </c>
      <c r="F503" s="80">
        <f t="shared" si="22"/>
        <v>305</v>
      </c>
      <c r="G503" s="77">
        <f>Target1[[#This Row],[Target Drawdown]]/MAX($B$2:B503)</f>
        <v>-0.21864864864864864</v>
      </c>
      <c r="H503" s="1" t="str">
        <f>IF(SUM(COUNTIF(Benchmark1[Benchmark '#1 Dates],Target1[[#This Row],[Target Dates]]),COUNTIF(Benchmark2[Benchmark '#2 Dates],Target1[[#This Row],[Target Dates]]))=2,"Pass","Fail")</f>
        <v>Pass</v>
      </c>
      <c r="I503" s="78">
        <f t="shared" si="23"/>
        <v>-8.09</v>
      </c>
      <c r="K503" s="72">
        <f>Target1[[#This Row],[Target Price]]/$B$2*100</f>
        <v>168.17917393833625</v>
      </c>
      <c r="R503">
        <f>B504/Target1[[#This Row],[Target Price]]-1</f>
        <v>8.3708059494984388E-2</v>
      </c>
    </row>
    <row r="504" spans="1:18">
      <c r="A504" s="96">
        <v>44014</v>
      </c>
      <c r="B504" s="101">
        <v>31.33</v>
      </c>
      <c r="C504" s="4">
        <f t="shared" si="21"/>
        <v>8.0388548935845627E-2</v>
      </c>
      <c r="D504" s="4">
        <f>IFERROR(Target1[[#This Row],[Target Return]]+1,"-")</f>
        <v>1.0803885489358456</v>
      </c>
      <c r="E504" s="6">
        <f>B504-MAX($B$2:B504)</f>
        <v>-5.6700000000000017</v>
      </c>
      <c r="F504" s="80">
        <f t="shared" si="22"/>
        <v>306</v>
      </c>
      <c r="G504" s="77">
        <f>Target1[[#This Row],[Target Drawdown]]/MAX($B$2:B504)</f>
        <v>-0.15324324324324329</v>
      </c>
      <c r="H504" s="1" t="str">
        <f>IF(SUM(COUNTIF(Benchmark1[Benchmark '#1 Dates],Target1[[#This Row],[Target Dates]]),COUNTIF(Benchmark2[Benchmark '#2 Dates],Target1[[#This Row],[Target Dates]]))=2,"Pass","Fail")</f>
        <v>Pass</v>
      </c>
      <c r="I504" s="78">
        <f t="shared" si="23"/>
        <v>-5.6700000000000017</v>
      </c>
      <c r="K504" s="72">
        <f>Target1[[#This Row],[Target Price]]/$B$2*100</f>
        <v>182.25712623618381</v>
      </c>
      <c r="R504">
        <f>B505/Target1[[#This Row],[Target Price]]-1</f>
        <v>3.6706032556654833E-2</v>
      </c>
    </row>
    <row r="505" spans="1:18">
      <c r="A505" s="96">
        <v>44018</v>
      </c>
      <c r="B505" s="101">
        <v>32.479999999999997</v>
      </c>
      <c r="C505" s="4">
        <f t="shared" si="21"/>
        <v>3.6048410329376709E-2</v>
      </c>
      <c r="D505" s="4">
        <f>IFERROR(Target1[[#This Row],[Target Return]]+1,"-")</f>
        <v>1.0360484103293768</v>
      </c>
      <c r="E505" s="6">
        <f>B505-MAX($B$2:B505)</f>
        <v>-4.5200000000000031</v>
      </c>
      <c r="F505" s="80">
        <f t="shared" si="22"/>
        <v>307</v>
      </c>
      <c r="G505" s="77">
        <f>Target1[[#This Row],[Target Drawdown]]/MAX($B$2:B505)</f>
        <v>-0.12216216216216225</v>
      </c>
      <c r="H505" s="1" t="str">
        <f>IF(SUM(COUNTIF(Benchmark1[Benchmark '#1 Dates],Target1[[#This Row],[Target Dates]]),COUNTIF(Benchmark2[Benchmark '#2 Dates],Target1[[#This Row],[Target Dates]]))=2,"Pass","Fail")</f>
        <v>Pass</v>
      </c>
      <c r="I505" s="78">
        <f t="shared" si="23"/>
        <v>-4.5200000000000031</v>
      </c>
      <c r="K505" s="72">
        <f>Target1[[#This Row],[Target Price]]/$B$2*100</f>
        <v>188.94706224549154</v>
      </c>
      <c r="R505">
        <f>B506/Target1[[#This Row],[Target Price]]-1</f>
        <v>8.6206896551723755E-3</v>
      </c>
    </row>
    <row r="506" spans="1:18">
      <c r="A506" s="96">
        <v>44019</v>
      </c>
      <c r="B506" s="101">
        <v>32.76</v>
      </c>
      <c r="C506" s="4">
        <f t="shared" si="21"/>
        <v>8.583743691391435E-3</v>
      </c>
      <c r="D506" s="4">
        <f>IFERROR(Target1[[#This Row],[Target Return]]+1,"-")</f>
        <v>1.0085837436913914</v>
      </c>
      <c r="E506" s="6">
        <f>B506-MAX($B$2:B506)</f>
        <v>-4.240000000000002</v>
      </c>
      <c r="F506" s="80">
        <f t="shared" si="22"/>
        <v>308</v>
      </c>
      <c r="G506" s="77">
        <f>Target1[[#This Row],[Target Drawdown]]/MAX($B$2:B506)</f>
        <v>-0.11459459459459465</v>
      </c>
      <c r="H506" s="1" t="str">
        <f>IF(SUM(COUNTIF(Benchmark1[Benchmark '#1 Dates],Target1[[#This Row],[Target Dates]]),COUNTIF(Benchmark2[Benchmark '#2 Dates],Target1[[#This Row],[Target Dates]]))=2,"Pass","Fail")</f>
        <v>Pass</v>
      </c>
      <c r="I506" s="78">
        <f t="shared" si="23"/>
        <v>-4.240000000000002</v>
      </c>
      <c r="K506" s="72">
        <f>Target1[[#This Row],[Target Price]]/$B$2*100</f>
        <v>190.57591623036646</v>
      </c>
      <c r="R506">
        <f>B507/Target1[[#This Row],[Target Price]]-1</f>
        <v>4.9450549450549497E-2</v>
      </c>
    </row>
    <row r="507" spans="1:18">
      <c r="A507" s="96">
        <v>44020</v>
      </c>
      <c r="B507" s="101">
        <v>34.380000000000003</v>
      </c>
      <c r="C507" s="4">
        <f t="shared" si="21"/>
        <v>4.8266740969834569E-2</v>
      </c>
      <c r="D507" s="4">
        <f>IFERROR(Target1[[#This Row],[Target Return]]+1,"-")</f>
        <v>1.0482667409698345</v>
      </c>
      <c r="E507" s="6">
        <f>B507-MAX($B$2:B507)</f>
        <v>-2.6199999999999974</v>
      </c>
      <c r="F507" s="80">
        <f t="shared" si="22"/>
        <v>309</v>
      </c>
      <c r="G507" s="77">
        <f>Target1[[#This Row],[Target Drawdown]]/MAX($B$2:B507)</f>
        <v>-7.081081081081074E-2</v>
      </c>
      <c r="H507" s="1" t="str">
        <f>IF(SUM(COUNTIF(Benchmark1[Benchmark '#1 Dates],Target1[[#This Row],[Target Dates]]),COUNTIF(Benchmark2[Benchmark '#2 Dates],Target1[[#This Row],[Target Dates]]))=2,"Pass","Fail")</f>
        <v>Pass</v>
      </c>
      <c r="I507" s="78">
        <f t="shared" si="23"/>
        <v>-2.6199999999999974</v>
      </c>
      <c r="K507" s="72">
        <f>Target1[[#This Row],[Target Price]]/$B$2*100</f>
        <v>200</v>
      </c>
      <c r="R507">
        <f>B508/Target1[[#This Row],[Target Price]]-1</f>
        <v>-5.6428155904595823E-2</v>
      </c>
    </row>
    <row r="508" spans="1:18">
      <c r="A508" s="96">
        <v>44021</v>
      </c>
      <c r="B508" s="101">
        <v>32.44</v>
      </c>
      <c r="C508" s="4">
        <f t="shared" si="21"/>
        <v>-5.8082770707491162E-2</v>
      </c>
      <c r="D508" s="4">
        <f>IFERROR(Target1[[#This Row],[Target Return]]+1,"-")</f>
        <v>0.94191722929250887</v>
      </c>
      <c r="E508" s="6">
        <f>B508-MAX($B$2:B508)</f>
        <v>-4.5600000000000023</v>
      </c>
      <c r="F508" s="80">
        <f t="shared" si="22"/>
        <v>310</v>
      </c>
      <c r="G508" s="77">
        <f>Target1[[#This Row],[Target Drawdown]]/MAX($B$2:B508)</f>
        <v>-0.1232432432432433</v>
      </c>
      <c r="H508" s="1" t="str">
        <f>IF(SUM(COUNTIF(Benchmark1[Benchmark '#1 Dates],Target1[[#This Row],[Target Dates]]),COUNTIF(Benchmark2[Benchmark '#2 Dates],Target1[[#This Row],[Target Dates]]))=2,"Pass","Fail")</f>
        <v>Pass</v>
      </c>
      <c r="I508" s="78">
        <f t="shared" si="23"/>
        <v>-4.5600000000000023</v>
      </c>
      <c r="K508" s="72">
        <f>Target1[[#This Row],[Target Price]]/$B$2*100</f>
        <v>188.71436881908085</v>
      </c>
      <c r="R508">
        <f>B509/Target1[[#This Row],[Target Price]]-1</f>
        <v>4.5930949445129432E-2</v>
      </c>
    </row>
    <row r="509" spans="1:18">
      <c r="A509" s="96">
        <v>44022</v>
      </c>
      <c r="B509" s="101">
        <v>33.93</v>
      </c>
      <c r="C509" s="4">
        <f t="shared" si="21"/>
        <v>4.490734954892657E-2</v>
      </c>
      <c r="D509" s="4">
        <f>IFERROR(Target1[[#This Row],[Target Return]]+1,"-")</f>
        <v>1.0449073495489265</v>
      </c>
      <c r="E509" s="6">
        <f>B509-MAX($B$2:B509)</f>
        <v>-3.0700000000000003</v>
      </c>
      <c r="F509" s="80">
        <f t="shared" si="22"/>
        <v>311</v>
      </c>
      <c r="G509" s="77">
        <f>Target1[[#This Row],[Target Drawdown]]/MAX($B$2:B509)</f>
        <v>-8.2972972972972986E-2</v>
      </c>
      <c r="H509" s="1" t="str">
        <f>IF(SUM(COUNTIF(Benchmark1[Benchmark '#1 Dates],Target1[[#This Row],[Target Dates]]),COUNTIF(Benchmark2[Benchmark '#2 Dates],Target1[[#This Row],[Target Dates]]))=2,"Pass","Fail")</f>
        <v>Pass</v>
      </c>
      <c r="I509" s="78">
        <f t="shared" si="23"/>
        <v>-3.0700000000000003</v>
      </c>
      <c r="K509" s="72">
        <f>Target1[[#This Row],[Target Price]]/$B$2*100</f>
        <v>197.38219895287955</v>
      </c>
      <c r="R509">
        <f>B510/Target1[[#This Row],[Target Price]]-1</f>
        <v>3.3893309755378631E-2</v>
      </c>
    </row>
    <row r="510" spans="1:18">
      <c r="A510" s="96">
        <v>44025</v>
      </c>
      <c r="B510" s="101">
        <v>35.08</v>
      </c>
      <c r="C510" s="4">
        <f t="shared" si="21"/>
        <v>3.3331588707843425E-2</v>
      </c>
      <c r="D510" s="4">
        <f>IFERROR(Target1[[#This Row],[Target Return]]+1,"-")</f>
        <v>1.0333315887078434</v>
      </c>
      <c r="E510" s="6">
        <f>B510-MAX($B$2:B510)</f>
        <v>-1.9200000000000017</v>
      </c>
      <c r="F510" s="80">
        <f t="shared" si="22"/>
        <v>312</v>
      </c>
      <c r="G510" s="77">
        <f>Target1[[#This Row],[Target Drawdown]]/MAX($B$2:B510)</f>
        <v>-5.1891891891891938E-2</v>
      </c>
      <c r="H510" s="1" t="str">
        <f>IF(SUM(COUNTIF(Benchmark1[Benchmark '#1 Dates],Target1[[#This Row],[Target Dates]]),COUNTIF(Benchmark2[Benchmark '#2 Dates],Target1[[#This Row],[Target Dates]]))=2,"Pass","Fail")</f>
        <v>Pass</v>
      </c>
      <c r="I510" s="78">
        <f t="shared" si="23"/>
        <v>-1.9200000000000017</v>
      </c>
      <c r="K510" s="72">
        <f>Target1[[#This Row],[Target Price]]/$B$2*100</f>
        <v>204.07213496218728</v>
      </c>
      <c r="R510">
        <f>B511/Target1[[#This Row],[Target Price]]-1</f>
        <v>0.12001140250855191</v>
      </c>
    </row>
    <row r="511" spans="1:18">
      <c r="A511" s="96">
        <v>44026</v>
      </c>
      <c r="B511" s="101">
        <v>39.29</v>
      </c>
      <c r="C511" s="4">
        <f t="shared" si="21"/>
        <v>0.11333886606638613</v>
      </c>
      <c r="D511" s="4">
        <f>IFERROR(Target1[[#This Row],[Target Return]]+1,"-")</f>
        <v>1.1133388660663861</v>
      </c>
      <c r="E511" s="6">
        <f>B511-MAX($B$2:B511)</f>
        <v>0</v>
      </c>
      <c r="F511" s="80">
        <f t="shared" si="22"/>
        <v>0</v>
      </c>
      <c r="G511" s="77">
        <f>Target1[[#This Row],[Target Drawdown]]/MAX($B$2:B511)</f>
        <v>0</v>
      </c>
      <c r="H511" s="1" t="str">
        <f>IF(SUM(COUNTIF(Benchmark1[Benchmark '#1 Dates],Target1[[#This Row],[Target Dates]]),COUNTIF(Benchmark2[Benchmark '#2 Dates],Target1[[#This Row],[Target Dates]]))=2,"Pass","Fail")</f>
        <v>Pass</v>
      </c>
      <c r="I511" s="78">
        <f t="shared" si="23"/>
        <v>0</v>
      </c>
      <c r="K511" s="72">
        <f>Target1[[#This Row],[Target Price]]/$B$2*100</f>
        <v>228.56311809191388</v>
      </c>
      <c r="R511">
        <f>B512/Target1[[#This Row],[Target Price]]-1</f>
        <v>9.6971239501145279E-2</v>
      </c>
    </row>
    <row r="512" spans="1:18">
      <c r="A512" s="96">
        <v>44027</v>
      </c>
      <c r="B512" s="101">
        <v>43.1</v>
      </c>
      <c r="C512" s="4">
        <f t="shared" si="21"/>
        <v>9.2552963539333663E-2</v>
      </c>
      <c r="D512" s="4">
        <f>IFERROR(Target1[[#This Row],[Target Return]]+1,"-")</f>
        <v>1.0925529635393336</v>
      </c>
      <c r="E512" s="6">
        <f>B512-MAX($B$2:B512)</f>
        <v>0</v>
      </c>
      <c r="F512" s="80">
        <f t="shared" si="22"/>
        <v>0</v>
      </c>
      <c r="G512" s="77">
        <f>Target1[[#This Row],[Target Drawdown]]/MAX($B$2:B512)</f>
        <v>0</v>
      </c>
      <c r="H512" s="1" t="str">
        <f>IF(SUM(COUNTIF(Benchmark1[Benchmark '#1 Dates],Target1[[#This Row],[Target Dates]]),COUNTIF(Benchmark2[Benchmark '#2 Dates],Target1[[#This Row],[Target Dates]]))=2,"Pass","Fail")</f>
        <v>Pass</v>
      </c>
      <c r="I512" s="78">
        <f t="shared" si="23"/>
        <v>0</v>
      </c>
      <c r="K512" s="72">
        <f>Target1[[#This Row],[Target Price]]/$B$2*100</f>
        <v>250.72716695753346</v>
      </c>
      <c r="R512">
        <f>B513/Target1[[#This Row],[Target Price]]-1</f>
        <v>0.11229698375870067</v>
      </c>
    </row>
    <row r="513" spans="1:18">
      <c r="A513" s="96">
        <v>44028</v>
      </c>
      <c r="B513" s="101">
        <v>47.94</v>
      </c>
      <c r="C513" s="4">
        <f t="shared" si="21"/>
        <v>0.10642723189653618</v>
      </c>
      <c r="D513" s="4">
        <f>IFERROR(Target1[[#This Row],[Target Return]]+1,"-")</f>
        <v>1.1064272318965362</v>
      </c>
      <c r="E513" s="6">
        <f>B513-MAX($B$2:B513)</f>
        <v>0</v>
      </c>
      <c r="F513" s="80">
        <f t="shared" si="22"/>
        <v>0</v>
      </c>
      <c r="G513" s="77">
        <f>Target1[[#This Row],[Target Drawdown]]/MAX($B$2:B513)</f>
        <v>0</v>
      </c>
      <c r="H513" s="1" t="str">
        <f>IF(SUM(COUNTIF(Benchmark1[Benchmark '#1 Dates],Target1[[#This Row],[Target Dates]]),COUNTIF(Benchmark2[Benchmark '#2 Dates],Target1[[#This Row],[Target Dates]]))=2,"Pass","Fail")</f>
        <v>Pass</v>
      </c>
      <c r="I513" s="78">
        <f t="shared" si="23"/>
        <v>0</v>
      </c>
      <c r="K513" s="72">
        <f>Target1[[#This Row],[Target Price]]/$B$2*100</f>
        <v>278.8830715532286</v>
      </c>
      <c r="R513">
        <f>B514/Target1[[#This Row],[Target Price]]-1</f>
        <v>-2.7951606174384525E-2</v>
      </c>
    </row>
    <row r="514" spans="1:18">
      <c r="A514" s="96">
        <v>44029</v>
      </c>
      <c r="B514" s="101">
        <v>46.6</v>
      </c>
      <c r="C514" s="4">
        <f t="shared" ref="C514:C577" si="24">IFERROR(IF(B514="","-",LN(B514/B513)),"-")</f>
        <v>-2.8349687874637982E-2</v>
      </c>
      <c r="D514" s="4">
        <f>IFERROR(Target1[[#This Row],[Target Return]]+1,"-")</f>
        <v>0.97165031212536201</v>
      </c>
      <c r="E514" s="6">
        <f>B514-MAX($B$2:B514)</f>
        <v>-1.3399999999999963</v>
      </c>
      <c r="F514" s="80">
        <f t="shared" ref="F514:F577" si="25">IF(E514=0,0,F513+1)</f>
        <v>1</v>
      </c>
      <c r="G514" s="77">
        <f>Target1[[#This Row],[Target Drawdown]]/MAX($B$2:B514)</f>
        <v>-2.7951606174384573E-2</v>
      </c>
      <c r="H514" s="1" t="str">
        <f>IF(SUM(COUNTIF(Benchmark1[Benchmark '#1 Dates],Target1[[#This Row],[Target Dates]]),COUNTIF(Benchmark2[Benchmark '#2 Dates],Target1[[#This Row],[Target Dates]]))=2,"Pass","Fail")</f>
        <v>Pass</v>
      </c>
      <c r="I514" s="78">
        <f t="shared" ref="I514:I577" si="26">$E$2+E514</f>
        <v>-1.3399999999999963</v>
      </c>
      <c r="K514" s="72">
        <f>Target1[[#This Row],[Target Price]]/$B$2*100</f>
        <v>271.08784176847001</v>
      </c>
      <c r="R514">
        <f>B515/Target1[[#This Row],[Target Price]]-1</f>
        <v>-2.489270386266107E-2</v>
      </c>
    </row>
    <row r="515" spans="1:18">
      <c r="A515" s="96">
        <v>44032</v>
      </c>
      <c r="B515" s="101">
        <v>45.44</v>
      </c>
      <c r="C515" s="4">
        <f t="shared" si="24"/>
        <v>-2.5207766718704408E-2</v>
      </c>
      <c r="D515" s="4">
        <f>IFERROR(Target1[[#This Row],[Target Return]]+1,"-")</f>
        <v>0.97479223328129561</v>
      </c>
      <c r="E515" s="6">
        <f>B515-MAX($B$2:B515)</f>
        <v>-2.5</v>
      </c>
      <c r="F515" s="80">
        <f t="shared" si="25"/>
        <v>2</v>
      </c>
      <c r="G515" s="77">
        <f>Target1[[#This Row],[Target Drawdown]]/MAX($B$2:B515)</f>
        <v>-5.214851898206091E-2</v>
      </c>
      <c r="H515" s="1" t="str">
        <f>IF(SUM(COUNTIF(Benchmark1[Benchmark '#1 Dates],Target1[[#This Row],[Target Dates]]),COUNTIF(Benchmark2[Benchmark '#2 Dates],Target1[[#This Row],[Target Dates]]))=2,"Pass","Fail")</f>
        <v>Pass</v>
      </c>
      <c r="I515" s="78">
        <f t="shared" si="26"/>
        <v>-2.5</v>
      </c>
      <c r="K515" s="72">
        <f>Target1[[#This Row],[Target Price]]/$B$2*100</f>
        <v>264.3397324025596</v>
      </c>
      <c r="R515">
        <f>B516/Target1[[#This Row],[Target Price]]-1</f>
        <v>3.0809859154929731E-2</v>
      </c>
    </row>
    <row r="516" spans="1:18">
      <c r="A516" s="96">
        <v>44033</v>
      </c>
      <c r="B516" s="101">
        <v>46.84</v>
      </c>
      <c r="C516" s="4">
        <f t="shared" si="24"/>
        <v>3.034476431662083E-2</v>
      </c>
      <c r="D516" s="4">
        <f>IFERROR(Target1[[#This Row],[Target Return]]+1,"-")</f>
        <v>1.0303447643166208</v>
      </c>
      <c r="E516" s="6">
        <f>B516-MAX($B$2:B516)</f>
        <v>-1.0999999999999943</v>
      </c>
      <c r="F516" s="80">
        <f t="shared" si="25"/>
        <v>3</v>
      </c>
      <c r="G516" s="77">
        <f>Target1[[#This Row],[Target Drawdown]]/MAX($B$2:B516)</f>
        <v>-2.2945348352106681E-2</v>
      </c>
      <c r="H516" s="1" t="str">
        <f>IF(SUM(COUNTIF(Benchmark1[Benchmark '#1 Dates],Target1[[#This Row],[Target Dates]]),COUNTIF(Benchmark2[Benchmark '#2 Dates],Target1[[#This Row],[Target Dates]]))=2,"Pass","Fail")</f>
        <v>Pass</v>
      </c>
      <c r="I516" s="78">
        <f t="shared" si="26"/>
        <v>-1.0999999999999943</v>
      </c>
      <c r="K516" s="72">
        <f>Target1[[#This Row],[Target Price]]/$B$2*100</f>
        <v>272.48400232693427</v>
      </c>
      <c r="R516">
        <f>B517/Target1[[#This Row],[Target Price]]-1</f>
        <v>5.4440649017933218E-2</v>
      </c>
    </row>
    <row r="517" spans="1:18">
      <c r="A517" s="96">
        <v>44034</v>
      </c>
      <c r="B517" s="101">
        <v>49.39</v>
      </c>
      <c r="C517" s="4">
        <f t="shared" si="24"/>
        <v>5.3010435823016712E-2</v>
      </c>
      <c r="D517" s="4">
        <f>IFERROR(Target1[[#This Row],[Target Return]]+1,"-")</f>
        <v>1.0530104358230168</v>
      </c>
      <c r="E517" s="6">
        <f>B517-MAX($B$2:B517)</f>
        <v>0</v>
      </c>
      <c r="F517" s="80">
        <f t="shared" si="25"/>
        <v>0</v>
      </c>
      <c r="G517" s="77">
        <f>Target1[[#This Row],[Target Drawdown]]/MAX($B$2:B517)</f>
        <v>0</v>
      </c>
      <c r="H517" s="1" t="str">
        <f>IF(SUM(COUNTIF(Benchmark1[Benchmark '#1 Dates],Target1[[#This Row],[Target Dates]]),COUNTIF(Benchmark2[Benchmark '#2 Dates],Target1[[#This Row],[Target Dates]]))=2,"Pass","Fail")</f>
        <v>Pass</v>
      </c>
      <c r="I517" s="78">
        <f t="shared" si="26"/>
        <v>0</v>
      </c>
      <c r="K517" s="72">
        <f>Target1[[#This Row],[Target Price]]/$B$2*100</f>
        <v>287.31820826061664</v>
      </c>
      <c r="R517">
        <f>B518/Target1[[#This Row],[Target Price]]-1</f>
        <v>-6.1955861510427312E-2</v>
      </c>
    </row>
    <row r="518" spans="1:18">
      <c r="A518" s="96">
        <v>44035</v>
      </c>
      <c r="B518" s="101">
        <v>46.33</v>
      </c>
      <c r="C518" s="4">
        <f t="shared" si="24"/>
        <v>-6.3958275123976574E-2</v>
      </c>
      <c r="D518" s="4">
        <f>IFERROR(Target1[[#This Row],[Target Return]]+1,"-")</f>
        <v>0.93604172487602344</v>
      </c>
      <c r="E518" s="6">
        <f>B518-MAX($B$2:B518)</f>
        <v>-3.0600000000000023</v>
      </c>
      <c r="F518" s="80">
        <f t="shared" si="25"/>
        <v>1</v>
      </c>
      <c r="G518" s="77">
        <f>Target1[[#This Row],[Target Drawdown]]/MAX($B$2:B518)</f>
        <v>-6.1955861510427257E-2</v>
      </c>
      <c r="H518" s="1" t="str">
        <f>IF(SUM(COUNTIF(Benchmark1[Benchmark '#1 Dates],Target1[[#This Row],[Target Dates]]),COUNTIF(Benchmark2[Benchmark '#2 Dates],Target1[[#This Row],[Target Dates]]))=2,"Pass","Fail")</f>
        <v>Pass</v>
      </c>
      <c r="I518" s="78">
        <f t="shared" si="26"/>
        <v>-3.0600000000000023</v>
      </c>
      <c r="K518" s="72">
        <f>Target1[[#This Row],[Target Price]]/$B$2*100</f>
        <v>269.51716114019774</v>
      </c>
      <c r="R518">
        <f>B519/Target1[[#This Row],[Target Price]]-1</f>
        <v>2.6764515432764924E-2</v>
      </c>
    </row>
    <row r="519" spans="1:18">
      <c r="A519" s="96">
        <v>44036</v>
      </c>
      <c r="B519" s="101">
        <v>47.57</v>
      </c>
      <c r="C519" s="4">
        <f t="shared" si="24"/>
        <v>2.6412611015633084E-2</v>
      </c>
      <c r="D519" s="4">
        <f>IFERROR(Target1[[#This Row],[Target Return]]+1,"-")</f>
        <v>1.0264126110156331</v>
      </c>
      <c r="E519" s="6">
        <f>B519-MAX($B$2:B519)</f>
        <v>-1.8200000000000003</v>
      </c>
      <c r="F519" s="80">
        <f t="shared" si="25"/>
        <v>2</v>
      </c>
      <c r="G519" s="77">
        <f>Target1[[#This Row],[Target Drawdown]]/MAX($B$2:B519)</f>
        <v>-3.6849564689208344E-2</v>
      </c>
      <c r="H519" s="1" t="str">
        <f>IF(SUM(COUNTIF(Benchmark1[Benchmark '#1 Dates],Target1[[#This Row],[Target Dates]]),COUNTIF(Benchmark2[Benchmark '#2 Dates],Target1[[#This Row],[Target Dates]]))=2,"Pass","Fail")</f>
        <v>Pass</v>
      </c>
      <c r="I519" s="78">
        <f t="shared" si="26"/>
        <v>-1.8200000000000003</v>
      </c>
      <c r="K519" s="72">
        <f>Target1[[#This Row],[Target Price]]/$B$2*100</f>
        <v>276.73065735892959</v>
      </c>
      <c r="R519">
        <f>B520/Target1[[#This Row],[Target Price]]-1</f>
        <v>-1.6186672272440639E-2</v>
      </c>
    </row>
    <row r="520" spans="1:18">
      <c r="A520" s="96">
        <v>44039</v>
      </c>
      <c r="B520" s="101">
        <v>46.8</v>
      </c>
      <c r="C520" s="4">
        <f t="shared" si="24"/>
        <v>-1.6319107520589085E-2</v>
      </c>
      <c r="D520" s="4">
        <f>IFERROR(Target1[[#This Row],[Target Return]]+1,"-")</f>
        <v>0.98368089247941093</v>
      </c>
      <c r="E520" s="6">
        <f>B520-MAX($B$2:B520)</f>
        <v>-2.5900000000000034</v>
      </c>
      <c r="F520" s="80">
        <f t="shared" si="25"/>
        <v>3</v>
      </c>
      <c r="G520" s="77">
        <f>Target1[[#This Row],[Target Drawdown]]/MAX($B$2:B520)</f>
        <v>-5.2439765134642706E-2</v>
      </c>
      <c r="H520" s="1" t="str">
        <f>IF(SUM(COUNTIF(Benchmark1[Benchmark '#1 Dates],Target1[[#This Row],[Target Dates]]),COUNTIF(Benchmark2[Benchmark '#2 Dates],Target1[[#This Row],[Target Dates]]))=2,"Pass","Fail")</f>
        <v>Pass</v>
      </c>
      <c r="I520" s="78">
        <f t="shared" si="26"/>
        <v>-2.5900000000000034</v>
      </c>
      <c r="K520" s="72">
        <f>Target1[[#This Row],[Target Price]]/$B$2*100</f>
        <v>272.25130890052355</v>
      </c>
      <c r="R520">
        <f>B521/Target1[[#This Row],[Target Price]]-1</f>
        <v>3.8461538461538325E-3</v>
      </c>
    </row>
    <row r="521" spans="1:18">
      <c r="A521" s="96">
        <v>44040</v>
      </c>
      <c r="B521" s="101">
        <v>46.98</v>
      </c>
      <c r="C521" s="4">
        <f t="shared" si="24"/>
        <v>3.8387763071656669E-3</v>
      </c>
      <c r="D521" s="4">
        <f>IFERROR(Target1[[#This Row],[Target Return]]+1,"-")</f>
        <v>1.0038387763071657</v>
      </c>
      <c r="E521" s="6">
        <f>B521-MAX($B$2:B521)</f>
        <v>-2.4100000000000037</v>
      </c>
      <c r="F521" s="80">
        <f t="shared" si="25"/>
        <v>4</v>
      </c>
      <c r="G521" s="77">
        <f>Target1[[#This Row],[Target Drawdown]]/MAX($B$2:B521)</f>
        <v>-4.8795302692852878E-2</v>
      </c>
      <c r="H521" s="1" t="str">
        <f>IF(SUM(COUNTIF(Benchmark1[Benchmark '#1 Dates],Target1[[#This Row],[Target Dates]]),COUNTIF(Benchmark2[Benchmark '#2 Dates],Target1[[#This Row],[Target Dates]]))=2,"Pass","Fail")</f>
        <v>Pass</v>
      </c>
      <c r="I521" s="78">
        <f t="shared" si="26"/>
        <v>-2.4100000000000037</v>
      </c>
      <c r="K521" s="72">
        <f>Target1[[#This Row],[Target Price]]/$B$2*100</f>
        <v>273.29842931937168</v>
      </c>
      <c r="R521">
        <f>B522/Target1[[#This Row],[Target Price]]-1</f>
        <v>3.4482758620689724E-2</v>
      </c>
    </row>
    <row r="522" spans="1:18">
      <c r="A522" s="96">
        <v>44041</v>
      </c>
      <c r="B522" s="101">
        <v>48.6</v>
      </c>
      <c r="C522" s="4">
        <f t="shared" si="24"/>
        <v>3.3901551675681416E-2</v>
      </c>
      <c r="D522" s="4">
        <f>IFERROR(Target1[[#This Row],[Target Return]]+1,"-")</f>
        <v>1.0339015516756813</v>
      </c>
      <c r="E522" s="6">
        <f>B522-MAX($B$2:B522)</f>
        <v>-0.78999999999999915</v>
      </c>
      <c r="F522" s="80">
        <f t="shared" si="25"/>
        <v>5</v>
      </c>
      <c r="G522" s="77">
        <f>Target1[[#This Row],[Target Drawdown]]/MAX($B$2:B522)</f>
        <v>-1.5995140716744263E-2</v>
      </c>
      <c r="H522" s="1" t="str">
        <f>IF(SUM(COUNTIF(Benchmark1[Benchmark '#1 Dates],Target1[[#This Row],[Target Dates]]),COUNTIF(Benchmark2[Benchmark '#2 Dates],Target1[[#This Row],[Target Dates]]))=2,"Pass","Fail")</f>
        <v>Pass</v>
      </c>
      <c r="I522" s="78">
        <f t="shared" si="26"/>
        <v>-0.78999999999999915</v>
      </c>
      <c r="K522" s="72">
        <f>Target1[[#This Row],[Target Price]]/$B$2*100</f>
        <v>282.72251308900519</v>
      </c>
      <c r="R522">
        <f>B523/Target1[[#This Row],[Target Price]]-1</f>
        <v>-1.7489711934156382E-2</v>
      </c>
    </row>
    <row r="523" spans="1:18">
      <c r="A523" s="96">
        <v>44042</v>
      </c>
      <c r="B523" s="101">
        <v>47.75</v>
      </c>
      <c r="C523" s="4">
        <f t="shared" si="24"/>
        <v>-1.7644463979708831E-2</v>
      </c>
      <c r="D523" s="4">
        <f>IFERROR(Target1[[#This Row],[Target Return]]+1,"-")</f>
        <v>0.98235553602029113</v>
      </c>
      <c r="E523" s="6">
        <f>B523-MAX($B$2:B523)</f>
        <v>-1.6400000000000006</v>
      </c>
      <c r="F523" s="80">
        <f t="shared" si="25"/>
        <v>6</v>
      </c>
      <c r="G523" s="77">
        <f>Target1[[#This Row],[Target Drawdown]]/MAX($B$2:B523)</f>
        <v>-3.3205102247418516E-2</v>
      </c>
      <c r="H523" s="1" t="str">
        <f>IF(SUM(COUNTIF(Benchmark1[Benchmark '#1 Dates],Target1[[#This Row],[Target Dates]]),COUNTIF(Benchmark2[Benchmark '#2 Dates],Target1[[#This Row],[Target Dates]]))=2,"Pass","Fail")</f>
        <v>Pass</v>
      </c>
      <c r="I523" s="78">
        <f t="shared" si="26"/>
        <v>-1.6400000000000006</v>
      </c>
      <c r="K523" s="72">
        <f>Target1[[#This Row],[Target Price]]/$B$2*100</f>
        <v>277.77777777777777</v>
      </c>
      <c r="R523">
        <f>B524/Target1[[#This Row],[Target Price]]-1</f>
        <v>-4.1047120418848171E-2</v>
      </c>
    </row>
    <row r="524" spans="1:18">
      <c r="A524" s="96">
        <v>44043</v>
      </c>
      <c r="B524" s="101">
        <v>45.79</v>
      </c>
      <c r="C524" s="4">
        <f t="shared" si="24"/>
        <v>-4.1913340257735167E-2</v>
      </c>
      <c r="D524" s="4">
        <f>IFERROR(Target1[[#This Row],[Target Return]]+1,"-")</f>
        <v>0.95808665974226481</v>
      </c>
      <c r="E524" s="6">
        <f>B524-MAX($B$2:B524)</f>
        <v>-3.6000000000000014</v>
      </c>
      <c r="F524" s="80">
        <f t="shared" si="25"/>
        <v>7</v>
      </c>
      <c r="G524" s="77">
        <f>Target1[[#This Row],[Target Drawdown]]/MAX($B$2:B524)</f>
        <v>-7.2889248835796741E-2</v>
      </c>
      <c r="H524" s="1" t="str">
        <f>IF(SUM(COUNTIF(Benchmark1[Benchmark '#1 Dates],Target1[[#This Row],[Target Dates]]),COUNTIF(Benchmark2[Benchmark '#2 Dates],Target1[[#This Row],[Target Dates]]))=2,"Pass","Fail")</f>
        <v>Pass</v>
      </c>
      <c r="I524" s="78">
        <f t="shared" si="26"/>
        <v>-3.6000000000000014</v>
      </c>
      <c r="K524" s="72">
        <f>Target1[[#This Row],[Target Price]]/$B$2*100</f>
        <v>266.37579988365326</v>
      </c>
      <c r="R524">
        <f>B525/Target1[[#This Row],[Target Price]]-1</f>
        <v>1.6379122079056563E-2</v>
      </c>
    </row>
    <row r="525" spans="1:18">
      <c r="A525" s="96">
        <v>44046</v>
      </c>
      <c r="B525" s="101">
        <v>46.54</v>
      </c>
      <c r="C525" s="4">
        <f t="shared" si="24"/>
        <v>1.6246431205141586E-2</v>
      </c>
      <c r="D525" s="4">
        <f>IFERROR(Target1[[#This Row],[Target Return]]+1,"-")</f>
        <v>1.0162464312051416</v>
      </c>
      <c r="E525" s="6">
        <f>B525-MAX($B$2:B525)</f>
        <v>-2.8500000000000014</v>
      </c>
      <c r="F525" s="80">
        <f t="shared" si="25"/>
        <v>8</v>
      </c>
      <c r="G525" s="77">
        <f>Target1[[#This Row],[Target Drawdown]]/MAX($B$2:B525)</f>
        <v>-5.770398866167243E-2</v>
      </c>
      <c r="H525" s="1" t="str">
        <f>IF(SUM(COUNTIF(Benchmark1[Benchmark '#1 Dates],Target1[[#This Row],[Target Dates]]),COUNTIF(Benchmark2[Benchmark '#2 Dates],Target1[[#This Row],[Target Dates]]))=2,"Pass","Fail")</f>
        <v>Pass</v>
      </c>
      <c r="I525" s="78">
        <f t="shared" si="26"/>
        <v>-2.8500000000000014</v>
      </c>
      <c r="K525" s="72">
        <f>Target1[[#This Row],[Target Price]]/$B$2*100</f>
        <v>270.73880162885399</v>
      </c>
      <c r="R525">
        <f>B526/Target1[[#This Row],[Target Price]]-1</f>
        <v>1.1602922217447409E-2</v>
      </c>
    </row>
    <row r="526" spans="1:18">
      <c r="A526" s="96">
        <v>44047</v>
      </c>
      <c r="B526" s="101">
        <v>47.08</v>
      </c>
      <c r="C526" s="4">
        <f t="shared" si="24"/>
        <v>1.1536124517930346E-2</v>
      </c>
      <c r="D526" s="4">
        <f>IFERROR(Target1[[#This Row],[Target Return]]+1,"-")</f>
        <v>1.0115361245179304</v>
      </c>
      <c r="E526" s="6">
        <f>B526-MAX($B$2:B526)</f>
        <v>-2.3100000000000023</v>
      </c>
      <c r="F526" s="80">
        <f t="shared" si="25"/>
        <v>9</v>
      </c>
      <c r="G526" s="77">
        <f>Target1[[#This Row],[Target Drawdown]]/MAX($B$2:B526)</f>
        <v>-4.6770601336302939E-2</v>
      </c>
      <c r="H526" s="1" t="str">
        <f>IF(SUM(COUNTIF(Benchmark1[Benchmark '#1 Dates],Target1[[#This Row],[Target Dates]]),COUNTIF(Benchmark2[Benchmark '#2 Dates],Target1[[#This Row],[Target Dates]]))=2,"Pass","Fail")</f>
        <v>Pass</v>
      </c>
      <c r="I526" s="78">
        <f t="shared" si="26"/>
        <v>-2.3100000000000023</v>
      </c>
      <c r="K526" s="72">
        <f>Target1[[#This Row],[Target Price]]/$B$2*100</f>
        <v>273.88016288539848</v>
      </c>
      <c r="R526">
        <f>B527/Target1[[#This Row],[Target Price]]-1</f>
        <v>9.6006796941376482E-2</v>
      </c>
    </row>
    <row r="527" spans="1:18">
      <c r="A527" s="96">
        <v>44048</v>
      </c>
      <c r="B527" s="101">
        <v>51.6</v>
      </c>
      <c r="C527" s="4">
        <f t="shared" si="24"/>
        <v>9.1673390095441176E-2</v>
      </c>
      <c r="D527" s="4">
        <f>IFERROR(Target1[[#This Row],[Target Return]]+1,"-")</f>
        <v>1.0916733900954412</v>
      </c>
      <c r="E527" s="6">
        <f>B527-MAX($B$2:B527)</f>
        <v>0</v>
      </c>
      <c r="F527" s="80">
        <f t="shared" si="25"/>
        <v>0</v>
      </c>
      <c r="G527" s="77">
        <f>Target1[[#This Row],[Target Drawdown]]/MAX($B$2:B527)</f>
        <v>0</v>
      </c>
      <c r="H527" s="1" t="str">
        <f>IF(SUM(COUNTIF(Benchmark1[Benchmark '#1 Dates],Target1[[#This Row],[Target Dates]]),COUNTIF(Benchmark2[Benchmark '#2 Dates],Target1[[#This Row],[Target Dates]]))=2,"Pass","Fail")</f>
        <v>Pass</v>
      </c>
      <c r="I527" s="78">
        <f t="shared" si="26"/>
        <v>0</v>
      </c>
      <c r="K527" s="72">
        <f>Target1[[#This Row],[Target Price]]/$B$2*100</f>
        <v>300.17452006980801</v>
      </c>
      <c r="R527">
        <f>B528/Target1[[#This Row],[Target Price]]-1</f>
        <v>-4.3410852713178349E-2</v>
      </c>
    </row>
    <row r="528" spans="1:18">
      <c r="A528" s="96">
        <v>44049</v>
      </c>
      <c r="B528" s="101">
        <v>49.36</v>
      </c>
      <c r="C528" s="4">
        <f t="shared" si="24"/>
        <v>-4.4381292890384734E-2</v>
      </c>
      <c r="D528" s="4">
        <f>IFERROR(Target1[[#This Row],[Target Return]]+1,"-")</f>
        <v>0.95561870710961527</v>
      </c>
      <c r="E528" s="6">
        <f>B528-MAX($B$2:B528)</f>
        <v>-2.240000000000002</v>
      </c>
      <c r="F528" s="80">
        <f t="shared" si="25"/>
        <v>1</v>
      </c>
      <c r="G528" s="77">
        <f>Target1[[#This Row],[Target Drawdown]]/MAX($B$2:B528)</f>
        <v>-4.3410852713178329E-2</v>
      </c>
      <c r="H528" s="1" t="str">
        <f>IF(SUM(COUNTIF(Benchmark1[Benchmark '#1 Dates],Target1[[#This Row],[Target Dates]]),COUNTIF(Benchmark2[Benchmark '#2 Dates],Target1[[#This Row],[Target Dates]]))=2,"Pass","Fail")</f>
        <v>Pass</v>
      </c>
      <c r="I528" s="78">
        <f t="shared" si="26"/>
        <v>-2.240000000000002</v>
      </c>
      <c r="K528" s="72">
        <f>Target1[[#This Row],[Target Price]]/$B$2*100</f>
        <v>287.14368819080858</v>
      </c>
      <c r="R528">
        <f>B529/Target1[[#This Row],[Target Price]]-1</f>
        <v>4.2544570502431878E-3</v>
      </c>
    </row>
    <row r="529" spans="1:18">
      <c r="A529" s="96">
        <v>44050</v>
      </c>
      <c r="B529" s="101">
        <v>49.57</v>
      </c>
      <c r="C529" s="4">
        <f t="shared" si="24"/>
        <v>4.2454324353502241E-3</v>
      </c>
      <c r="D529" s="4">
        <f>IFERROR(Target1[[#This Row],[Target Return]]+1,"-")</f>
        <v>1.0042454324353502</v>
      </c>
      <c r="E529" s="6">
        <f>B529-MAX($B$2:B529)</f>
        <v>-2.0300000000000011</v>
      </c>
      <c r="F529" s="80">
        <f t="shared" si="25"/>
        <v>2</v>
      </c>
      <c r="G529" s="77">
        <f>Target1[[#This Row],[Target Drawdown]]/MAX($B$2:B529)</f>
        <v>-3.9341085271317848E-2</v>
      </c>
      <c r="H529" s="1" t="str">
        <f>IF(SUM(COUNTIF(Benchmark1[Benchmark '#1 Dates],Target1[[#This Row],[Target Dates]]),COUNTIF(Benchmark2[Benchmark '#2 Dates],Target1[[#This Row],[Target Dates]]))=2,"Pass","Fail")</f>
        <v>Pass</v>
      </c>
      <c r="I529" s="78">
        <f t="shared" si="26"/>
        <v>-2.0300000000000011</v>
      </c>
      <c r="K529" s="72">
        <f>Target1[[#This Row],[Target Price]]/$B$2*100</f>
        <v>288.36532867946477</v>
      </c>
      <c r="R529">
        <f>B530/Target1[[#This Row],[Target Price]]-1</f>
        <v>-3.1672382489408957E-2</v>
      </c>
    </row>
    <row r="530" spans="1:18">
      <c r="A530" s="96">
        <v>44053</v>
      </c>
      <c r="B530" s="101">
        <v>48</v>
      </c>
      <c r="C530" s="4">
        <f t="shared" si="24"/>
        <v>-3.2184801124591635E-2</v>
      </c>
      <c r="D530" s="4">
        <f>IFERROR(Target1[[#This Row],[Target Return]]+1,"-")</f>
        <v>0.96781519887540834</v>
      </c>
      <c r="E530" s="6">
        <f>B530-MAX($B$2:B530)</f>
        <v>-3.6000000000000014</v>
      </c>
      <c r="F530" s="80">
        <f t="shared" si="25"/>
        <v>3</v>
      </c>
      <c r="G530" s="77">
        <f>Target1[[#This Row],[Target Drawdown]]/MAX($B$2:B530)</f>
        <v>-6.9767441860465143E-2</v>
      </c>
      <c r="H530" s="1" t="str">
        <f>IF(SUM(COUNTIF(Benchmark1[Benchmark '#1 Dates],Target1[[#This Row],[Target Dates]]),COUNTIF(Benchmark2[Benchmark '#2 Dates],Target1[[#This Row],[Target Dates]]))=2,"Pass","Fail")</f>
        <v>Pass</v>
      </c>
      <c r="I530" s="78">
        <f t="shared" si="26"/>
        <v>-3.6000000000000014</v>
      </c>
      <c r="K530" s="72">
        <f>Target1[[#This Row],[Target Price]]/$B$2*100</f>
        <v>279.23211169284468</v>
      </c>
      <c r="R530">
        <f>B531/Target1[[#This Row],[Target Price]]-1</f>
        <v>-1.9375000000000031E-2</v>
      </c>
    </row>
    <row r="531" spans="1:18">
      <c r="A531" s="96">
        <v>44054</v>
      </c>
      <c r="B531" s="101">
        <v>47.07</v>
      </c>
      <c r="C531" s="4">
        <f t="shared" si="24"/>
        <v>-1.9565155494840045E-2</v>
      </c>
      <c r="D531" s="4">
        <f>IFERROR(Target1[[#This Row],[Target Return]]+1,"-")</f>
        <v>0.98043484450515994</v>
      </c>
      <c r="E531" s="6">
        <f>B531-MAX($B$2:B531)</f>
        <v>-4.5300000000000011</v>
      </c>
      <c r="F531" s="80">
        <f t="shared" si="25"/>
        <v>4</v>
      </c>
      <c r="G531" s="77">
        <f>Target1[[#This Row],[Target Drawdown]]/MAX($B$2:B531)</f>
        <v>-8.7790697674418619E-2</v>
      </c>
      <c r="H531" s="1" t="str">
        <f>IF(SUM(COUNTIF(Benchmark1[Benchmark '#1 Dates],Target1[[#This Row],[Target Dates]]),COUNTIF(Benchmark2[Benchmark '#2 Dates],Target1[[#This Row],[Target Dates]]))=2,"Pass","Fail")</f>
        <v>Pass</v>
      </c>
      <c r="I531" s="78">
        <f t="shared" si="26"/>
        <v>-4.5300000000000011</v>
      </c>
      <c r="K531" s="72">
        <f>Target1[[#This Row],[Target Price]]/$B$2*100</f>
        <v>273.82198952879577</v>
      </c>
      <c r="R531">
        <f>B532/Target1[[#This Row],[Target Price]]-1</f>
        <v>-4.2914807733163474E-2</v>
      </c>
    </row>
    <row r="532" spans="1:18">
      <c r="A532" s="96">
        <v>44055</v>
      </c>
      <c r="B532" s="101">
        <v>45.05</v>
      </c>
      <c r="C532" s="4">
        <f t="shared" si="24"/>
        <v>-4.3862871358704099E-2</v>
      </c>
      <c r="D532" s="4">
        <f>IFERROR(Target1[[#This Row],[Target Return]]+1,"-")</f>
        <v>0.95613712864129585</v>
      </c>
      <c r="E532" s="6">
        <f>B532-MAX($B$2:B532)</f>
        <v>-6.5500000000000043</v>
      </c>
      <c r="F532" s="80">
        <f t="shared" si="25"/>
        <v>5</v>
      </c>
      <c r="G532" s="77">
        <f>Target1[[#This Row],[Target Drawdown]]/MAX($B$2:B532)</f>
        <v>-0.12693798449612412</v>
      </c>
      <c r="H532" s="1" t="str">
        <f>IF(SUM(COUNTIF(Benchmark1[Benchmark '#1 Dates],Target1[[#This Row],[Target Dates]]),COUNTIF(Benchmark2[Benchmark '#2 Dates],Target1[[#This Row],[Target Dates]]))=2,"Pass","Fail")</f>
        <v>Pass</v>
      </c>
      <c r="I532" s="78">
        <f t="shared" si="26"/>
        <v>-6.5500000000000043</v>
      </c>
      <c r="K532" s="72">
        <f>Target1[[#This Row],[Target Price]]/$B$2*100</f>
        <v>262.07097149505523</v>
      </c>
      <c r="R532">
        <f>B533/Target1[[#This Row],[Target Price]]-1</f>
        <v>9.7669256381798242E-3</v>
      </c>
    </row>
    <row r="533" spans="1:18">
      <c r="A533" s="96">
        <v>44056</v>
      </c>
      <c r="B533" s="101">
        <v>45.49</v>
      </c>
      <c r="C533" s="4">
        <f t="shared" si="24"/>
        <v>9.7195375275658212E-3</v>
      </c>
      <c r="D533" s="4">
        <f>IFERROR(Target1[[#This Row],[Target Return]]+1,"-")</f>
        <v>1.0097195375275658</v>
      </c>
      <c r="E533" s="6">
        <f>B533-MAX($B$2:B533)</f>
        <v>-6.1099999999999994</v>
      </c>
      <c r="F533" s="80">
        <f t="shared" si="25"/>
        <v>6</v>
      </c>
      <c r="G533" s="77">
        <f>Target1[[#This Row],[Target Drawdown]]/MAX($B$2:B533)</f>
        <v>-0.11841085271317828</v>
      </c>
      <c r="H533" s="1" t="str">
        <f>IF(SUM(COUNTIF(Benchmark1[Benchmark '#1 Dates],Target1[[#This Row],[Target Dates]]),COUNTIF(Benchmark2[Benchmark '#2 Dates],Target1[[#This Row],[Target Dates]]))=2,"Pass","Fail")</f>
        <v>Pass</v>
      </c>
      <c r="I533" s="78">
        <f t="shared" si="26"/>
        <v>-6.1099999999999994</v>
      </c>
      <c r="K533" s="72">
        <f>Target1[[#This Row],[Target Price]]/$B$2*100</f>
        <v>264.63059918557298</v>
      </c>
      <c r="R533">
        <f>B534/Target1[[#This Row],[Target Price]]-1</f>
        <v>5.7155418773355837E-3</v>
      </c>
    </row>
    <row r="534" spans="1:18">
      <c r="A534" s="96">
        <v>44057</v>
      </c>
      <c r="B534" s="101">
        <v>45.75</v>
      </c>
      <c r="C534" s="4">
        <f t="shared" si="24"/>
        <v>5.6992701396175087E-3</v>
      </c>
      <c r="D534" s="4">
        <f>IFERROR(Target1[[#This Row],[Target Return]]+1,"-")</f>
        <v>1.0056992701396175</v>
      </c>
      <c r="E534" s="6">
        <f>B534-MAX($B$2:B534)</f>
        <v>-5.8500000000000014</v>
      </c>
      <c r="F534" s="80">
        <f t="shared" si="25"/>
        <v>7</v>
      </c>
      <c r="G534" s="77">
        <f>Target1[[#This Row],[Target Drawdown]]/MAX($B$2:B534)</f>
        <v>-0.11337209302325583</v>
      </c>
      <c r="H534" s="1" t="str">
        <f>IF(SUM(COUNTIF(Benchmark1[Benchmark '#1 Dates],Target1[[#This Row],[Target Dates]]),COUNTIF(Benchmark2[Benchmark '#2 Dates],Target1[[#This Row],[Target Dates]]))=2,"Pass","Fail")</f>
        <v>Pass</v>
      </c>
      <c r="I534" s="78">
        <f t="shared" si="26"/>
        <v>-5.8500000000000014</v>
      </c>
      <c r="K534" s="72">
        <f>Target1[[#This Row],[Target Price]]/$B$2*100</f>
        <v>266.14310645724254</v>
      </c>
      <c r="R534">
        <f>B535/Target1[[#This Row],[Target Price]]-1</f>
        <v>-1.1584699453551894E-2</v>
      </c>
    </row>
    <row r="535" spans="1:18">
      <c r="A535" s="96">
        <v>44060</v>
      </c>
      <c r="B535" s="101">
        <v>45.22</v>
      </c>
      <c r="C535" s="4">
        <f t="shared" si="24"/>
        <v>-1.1652324871706516E-2</v>
      </c>
      <c r="D535" s="4">
        <f>IFERROR(Target1[[#This Row],[Target Return]]+1,"-")</f>
        <v>0.98834767512829347</v>
      </c>
      <c r="E535" s="6">
        <f>B535-MAX($B$2:B535)</f>
        <v>-6.3800000000000026</v>
      </c>
      <c r="F535" s="80">
        <f t="shared" si="25"/>
        <v>8</v>
      </c>
      <c r="G535" s="77">
        <f>Target1[[#This Row],[Target Drawdown]]/MAX($B$2:B535)</f>
        <v>-0.12364341085271323</v>
      </c>
      <c r="H535" s="1" t="str">
        <f>IF(SUM(COUNTIF(Benchmark1[Benchmark '#1 Dates],Target1[[#This Row],[Target Dates]]),COUNTIF(Benchmark2[Benchmark '#2 Dates],Target1[[#This Row],[Target Dates]]))=2,"Pass","Fail")</f>
        <v>Pass</v>
      </c>
      <c r="I535" s="78">
        <f t="shared" si="26"/>
        <v>-6.3800000000000026</v>
      </c>
      <c r="K535" s="72">
        <f>Target1[[#This Row],[Target Price]]/$B$2*100</f>
        <v>263.0599185573007</v>
      </c>
      <c r="R535">
        <f>B536/Target1[[#This Row],[Target Price]]-1</f>
        <v>-2.05661211853162E-2</v>
      </c>
    </row>
    <row r="536" spans="1:18">
      <c r="A536" s="96">
        <v>44061</v>
      </c>
      <c r="B536" s="101">
        <v>44.29</v>
      </c>
      <c r="C536" s="4">
        <f t="shared" si="24"/>
        <v>-2.0780548914716927E-2</v>
      </c>
      <c r="D536" s="4">
        <f>IFERROR(Target1[[#This Row],[Target Return]]+1,"-")</f>
        <v>0.97921945108528308</v>
      </c>
      <c r="E536" s="6">
        <f>B536-MAX($B$2:B536)</f>
        <v>-7.3100000000000023</v>
      </c>
      <c r="F536" s="80">
        <f t="shared" si="25"/>
        <v>9</v>
      </c>
      <c r="G536" s="77">
        <f>Target1[[#This Row],[Target Drawdown]]/MAX($B$2:B536)</f>
        <v>-0.14166666666666672</v>
      </c>
      <c r="H536" s="1" t="str">
        <f>IF(SUM(COUNTIF(Benchmark1[Benchmark '#1 Dates],Target1[[#This Row],[Target Dates]]),COUNTIF(Benchmark2[Benchmark '#2 Dates],Target1[[#This Row],[Target Dates]]))=2,"Pass","Fail")</f>
        <v>Pass</v>
      </c>
      <c r="I536" s="78">
        <f t="shared" si="26"/>
        <v>-7.3100000000000023</v>
      </c>
      <c r="K536" s="72">
        <f>Target1[[#This Row],[Target Price]]/$B$2*100</f>
        <v>257.64979639325185</v>
      </c>
      <c r="R536">
        <f>B537/Target1[[#This Row],[Target Price]]-1</f>
        <v>-3.1384059607134862E-2</v>
      </c>
    </row>
    <row r="537" spans="1:18">
      <c r="A537" s="96">
        <v>44062</v>
      </c>
      <c r="B537" s="101">
        <v>42.9</v>
      </c>
      <c r="C537" s="4">
        <f t="shared" si="24"/>
        <v>-3.1887092001135611E-2</v>
      </c>
      <c r="D537" s="4">
        <f>IFERROR(Target1[[#This Row],[Target Return]]+1,"-")</f>
        <v>0.9681129079988644</v>
      </c>
      <c r="E537" s="6">
        <f>B537-MAX($B$2:B537)</f>
        <v>-8.7000000000000028</v>
      </c>
      <c r="F537" s="80">
        <f t="shared" si="25"/>
        <v>10</v>
      </c>
      <c r="G537" s="77">
        <f>Target1[[#This Row],[Target Drawdown]]/MAX($B$2:B537)</f>
        <v>-0.16860465116279075</v>
      </c>
      <c r="H537" s="1" t="str">
        <f>IF(SUM(COUNTIF(Benchmark1[Benchmark '#1 Dates],Target1[[#This Row],[Target Dates]]),COUNTIF(Benchmark2[Benchmark '#2 Dates],Target1[[#This Row],[Target Dates]]))=2,"Pass","Fail")</f>
        <v>Pass</v>
      </c>
      <c r="I537" s="78">
        <f t="shared" si="26"/>
        <v>-8.7000000000000028</v>
      </c>
      <c r="K537" s="72">
        <f>Target1[[#This Row],[Target Price]]/$B$2*100</f>
        <v>249.56369982547989</v>
      </c>
      <c r="R537">
        <f>B538/Target1[[#This Row],[Target Price]]-1</f>
        <v>6.9930069930079775E-4</v>
      </c>
    </row>
    <row r="538" spans="1:18">
      <c r="A538" s="96">
        <v>44063</v>
      </c>
      <c r="B538" s="101">
        <v>42.93</v>
      </c>
      <c r="C538" s="4">
        <f t="shared" si="24"/>
        <v>6.9905630249804255E-4</v>
      </c>
      <c r="D538" s="4">
        <f>IFERROR(Target1[[#This Row],[Target Return]]+1,"-")</f>
        <v>1.000699056302498</v>
      </c>
      <c r="E538" s="6">
        <f>B538-MAX($B$2:B538)</f>
        <v>-8.6700000000000017</v>
      </c>
      <c r="F538" s="80">
        <f t="shared" si="25"/>
        <v>11</v>
      </c>
      <c r="G538" s="77">
        <f>Target1[[#This Row],[Target Drawdown]]/MAX($B$2:B538)</f>
        <v>-0.16802325581395353</v>
      </c>
      <c r="H538" s="1" t="str">
        <f>IF(SUM(COUNTIF(Benchmark1[Benchmark '#1 Dates],Target1[[#This Row],[Target Dates]]),COUNTIF(Benchmark2[Benchmark '#2 Dates],Target1[[#This Row],[Target Dates]]))=2,"Pass","Fail")</f>
        <v>Pass</v>
      </c>
      <c r="I538" s="78">
        <f t="shared" si="26"/>
        <v>-8.6700000000000017</v>
      </c>
      <c r="K538" s="72">
        <f>Target1[[#This Row],[Target Price]]/$B$2*100</f>
        <v>249.73821989528795</v>
      </c>
      <c r="R538">
        <f>B539/Target1[[#This Row],[Target Price]]-1</f>
        <v>-2.7486606102958278E-2</v>
      </c>
    </row>
    <row r="539" spans="1:18">
      <c r="A539" s="96">
        <v>44064</v>
      </c>
      <c r="B539" s="101">
        <v>41.75</v>
      </c>
      <c r="C539" s="4">
        <f t="shared" si="24"/>
        <v>-2.7871430939604716E-2</v>
      </c>
      <c r="D539" s="4">
        <f>IFERROR(Target1[[#This Row],[Target Return]]+1,"-")</f>
        <v>0.97212856906039524</v>
      </c>
      <c r="E539" s="6">
        <f>B539-MAX($B$2:B539)</f>
        <v>-9.8500000000000014</v>
      </c>
      <c r="F539" s="80">
        <f t="shared" si="25"/>
        <v>12</v>
      </c>
      <c r="G539" s="77">
        <f>Target1[[#This Row],[Target Drawdown]]/MAX($B$2:B539)</f>
        <v>-0.19089147286821709</v>
      </c>
      <c r="H539" s="1" t="str">
        <f>IF(SUM(COUNTIF(Benchmark1[Benchmark '#1 Dates],Target1[[#This Row],[Target Dates]]),COUNTIF(Benchmark2[Benchmark '#2 Dates],Target1[[#This Row],[Target Dates]]))=2,"Pass","Fail")</f>
        <v>Pass</v>
      </c>
      <c r="I539" s="78">
        <f t="shared" si="26"/>
        <v>-9.8500000000000014</v>
      </c>
      <c r="K539" s="72">
        <f>Target1[[#This Row],[Target Price]]/$B$2*100</f>
        <v>242.87376381617216</v>
      </c>
      <c r="R539">
        <f>B540/Target1[[#This Row],[Target Price]]-1</f>
        <v>-2.7065868263473125E-2</v>
      </c>
    </row>
    <row r="540" spans="1:18">
      <c r="A540" s="96">
        <v>44067</v>
      </c>
      <c r="B540" s="101">
        <v>40.619999999999997</v>
      </c>
      <c r="C540" s="4">
        <f t="shared" si="24"/>
        <v>-2.7438895144625934E-2</v>
      </c>
      <c r="D540" s="4">
        <f>IFERROR(Target1[[#This Row],[Target Return]]+1,"-")</f>
        <v>0.97256110485537406</v>
      </c>
      <c r="E540" s="6">
        <f>B540-MAX($B$2:B540)</f>
        <v>-10.980000000000004</v>
      </c>
      <c r="F540" s="80">
        <f t="shared" si="25"/>
        <v>13</v>
      </c>
      <c r="G540" s="77">
        <f>Target1[[#This Row],[Target Drawdown]]/MAX($B$2:B540)</f>
        <v>-0.21279069767441869</v>
      </c>
      <c r="H540" s="1" t="str">
        <f>IF(SUM(COUNTIF(Benchmark1[Benchmark '#1 Dates],Target1[[#This Row],[Target Dates]]),COUNTIF(Benchmark2[Benchmark '#2 Dates],Target1[[#This Row],[Target Dates]]))=2,"Pass","Fail")</f>
        <v>Pass</v>
      </c>
      <c r="I540" s="78">
        <f t="shared" si="26"/>
        <v>-10.980000000000004</v>
      </c>
      <c r="K540" s="72">
        <f>Target1[[#This Row],[Target Price]]/$B$2*100</f>
        <v>236.30017452006976</v>
      </c>
      <c r="R540">
        <f>B541/Target1[[#This Row],[Target Price]]-1</f>
        <v>7.2624322993599222E-2</v>
      </c>
    </row>
    <row r="541" spans="1:18">
      <c r="A541" s="96">
        <v>44068</v>
      </c>
      <c r="B541" s="101">
        <v>43.57</v>
      </c>
      <c r="C541" s="4">
        <f t="shared" si="24"/>
        <v>7.0108283977112135E-2</v>
      </c>
      <c r="D541" s="4">
        <f>IFERROR(Target1[[#This Row],[Target Return]]+1,"-")</f>
        <v>1.0701082839771121</v>
      </c>
      <c r="E541" s="6">
        <f>B541-MAX($B$2:B541)</f>
        <v>-8.0300000000000011</v>
      </c>
      <c r="F541" s="80">
        <f t="shared" si="25"/>
        <v>14</v>
      </c>
      <c r="G541" s="77">
        <f>Target1[[#This Row],[Target Drawdown]]/MAX($B$2:B541)</f>
        <v>-0.1556201550387597</v>
      </c>
      <c r="H541" s="1" t="str">
        <f>IF(SUM(COUNTIF(Benchmark1[Benchmark '#1 Dates],Target1[[#This Row],[Target Dates]]),COUNTIF(Benchmark2[Benchmark '#2 Dates],Target1[[#This Row],[Target Dates]]))=2,"Pass","Fail")</f>
        <v>Pass</v>
      </c>
      <c r="I541" s="78">
        <f t="shared" si="26"/>
        <v>-8.0300000000000011</v>
      </c>
      <c r="K541" s="72">
        <f>Target1[[#This Row],[Target Price]]/$B$2*100</f>
        <v>253.46131471785921</v>
      </c>
      <c r="R541">
        <f>B542/Target1[[#This Row],[Target Price]]-1</f>
        <v>-0.10098691760385581</v>
      </c>
    </row>
    <row r="542" spans="1:18">
      <c r="A542" s="96">
        <v>44069</v>
      </c>
      <c r="B542" s="101">
        <v>39.17</v>
      </c>
      <c r="C542" s="4">
        <f t="shared" si="24"/>
        <v>-0.10645769245161074</v>
      </c>
      <c r="D542" s="4">
        <f>IFERROR(Target1[[#This Row],[Target Return]]+1,"-")</f>
        <v>0.89354230754838926</v>
      </c>
      <c r="E542" s="6">
        <f>B542-MAX($B$2:B542)</f>
        <v>-12.43</v>
      </c>
      <c r="F542" s="80">
        <f t="shared" si="25"/>
        <v>15</v>
      </c>
      <c r="G542" s="77">
        <f>Target1[[#This Row],[Target Drawdown]]/MAX($B$2:B542)</f>
        <v>-0.24089147286821705</v>
      </c>
      <c r="H542" s="1" t="str">
        <f>IF(SUM(COUNTIF(Benchmark1[Benchmark '#1 Dates],Target1[[#This Row],[Target Dates]]),COUNTIF(Benchmark2[Benchmark '#2 Dates],Target1[[#This Row],[Target Dates]]))=2,"Pass","Fail")</f>
        <v>Pass</v>
      </c>
      <c r="I542" s="78">
        <f t="shared" si="26"/>
        <v>-12.43</v>
      </c>
      <c r="K542" s="72">
        <f>Target1[[#This Row],[Target Price]]/$B$2*100</f>
        <v>227.86503781268178</v>
      </c>
      <c r="R542">
        <f>B543/Target1[[#This Row],[Target Price]]-1</f>
        <v>-3.7528720959918327E-2</v>
      </c>
    </row>
    <row r="543" spans="1:18">
      <c r="A543" s="96">
        <v>44070</v>
      </c>
      <c r="B543" s="101">
        <v>37.700000000000003</v>
      </c>
      <c r="C543" s="4">
        <f t="shared" si="24"/>
        <v>-3.8251053223774881E-2</v>
      </c>
      <c r="D543" s="4">
        <f>IFERROR(Target1[[#This Row],[Target Return]]+1,"-")</f>
        <v>0.96174894677622513</v>
      </c>
      <c r="E543" s="6">
        <f>B543-MAX($B$2:B543)</f>
        <v>-13.899999999999999</v>
      </c>
      <c r="F543" s="80">
        <f t="shared" si="25"/>
        <v>16</v>
      </c>
      <c r="G543" s="77">
        <f>Target1[[#This Row],[Target Drawdown]]/MAX($B$2:B543)</f>
        <v>-0.26937984496124029</v>
      </c>
      <c r="H543" s="1" t="str">
        <f>IF(SUM(COUNTIF(Benchmark1[Benchmark '#1 Dates],Target1[[#This Row],[Target Dates]]),COUNTIF(Benchmark2[Benchmark '#2 Dates],Target1[[#This Row],[Target Dates]]))=2,"Pass","Fail")</f>
        <v>Pass</v>
      </c>
      <c r="I543" s="78">
        <f t="shared" si="26"/>
        <v>-13.899999999999999</v>
      </c>
      <c r="K543" s="72">
        <f>Target1[[#This Row],[Target Price]]/$B$2*100</f>
        <v>219.31355439208841</v>
      </c>
      <c r="R543">
        <f>B544/Target1[[#This Row],[Target Price]]-1</f>
        <v>-3.0503978779841012E-2</v>
      </c>
    </row>
    <row r="544" spans="1:18">
      <c r="A544" s="96">
        <v>44071</v>
      </c>
      <c r="B544" s="101">
        <v>36.549999999999997</v>
      </c>
      <c r="C544" s="4">
        <f t="shared" si="24"/>
        <v>-3.0978908258177739E-2</v>
      </c>
      <c r="D544" s="4">
        <f>IFERROR(Target1[[#This Row],[Target Return]]+1,"-")</f>
        <v>0.96902109174182227</v>
      </c>
      <c r="E544" s="6">
        <f>B544-MAX($B$2:B544)</f>
        <v>-15.050000000000004</v>
      </c>
      <c r="F544" s="80">
        <f t="shared" si="25"/>
        <v>17</v>
      </c>
      <c r="G544" s="77">
        <f>Target1[[#This Row],[Target Drawdown]]/MAX($B$2:B544)</f>
        <v>-0.29166666666666674</v>
      </c>
      <c r="H544" s="1" t="str">
        <f>IF(SUM(COUNTIF(Benchmark1[Benchmark '#1 Dates],Target1[[#This Row],[Target Dates]]),COUNTIF(Benchmark2[Benchmark '#2 Dates],Target1[[#This Row],[Target Dates]]))=2,"Pass","Fail")</f>
        <v>Pass</v>
      </c>
      <c r="I544" s="78">
        <f t="shared" si="26"/>
        <v>-15.050000000000004</v>
      </c>
      <c r="K544" s="72">
        <f>Target1[[#This Row],[Target Price]]/$B$2*100</f>
        <v>212.62361838278062</v>
      </c>
      <c r="R544">
        <f>B545/Target1[[#This Row],[Target Price]]-1</f>
        <v>1.8057455540355871E-2</v>
      </c>
    </row>
    <row r="545" spans="1:18">
      <c r="A545" s="96">
        <v>44074</v>
      </c>
      <c r="B545" s="101">
        <v>37.21</v>
      </c>
      <c r="C545" s="4">
        <f t="shared" si="24"/>
        <v>1.789635616274381E-2</v>
      </c>
      <c r="D545" s="4">
        <f>IFERROR(Target1[[#This Row],[Target Return]]+1,"-")</f>
        <v>1.0178963561627439</v>
      </c>
      <c r="E545" s="6">
        <f>B545-MAX($B$2:B545)</f>
        <v>-14.39</v>
      </c>
      <c r="F545" s="80">
        <f t="shared" si="25"/>
        <v>18</v>
      </c>
      <c r="G545" s="77">
        <f>Target1[[#This Row],[Target Drawdown]]/MAX($B$2:B545)</f>
        <v>-0.27887596899224809</v>
      </c>
      <c r="H545" s="1" t="str">
        <f>IF(SUM(COUNTIF(Benchmark1[Benchmark '#1 Dates],Target1[[#This Row],[Target Dates]]),COUNTIF(Benchmark2[Benchmark '#2 Dates],Target1[[#This Row],[Target Dates]]))=2,"Pass","Fail")</f>
        <v>Pass</v>
      </c>
      <c r="I545" s="78">
        <f t="shared" si="26"/>
        <v>-14.39</v>
      </c>
      <c r="K545" s="72">
        <f>Target1[[#This Row],[Target Price]]/$B$2*100</f>
        <v>216.46305991855729</v>
      </c>
      <c r="R545">
        <f>B546/Target1[[#This Row],[Target Price]]-1</f>
        <v>4.4074173609244927E-2</v>
      </c>
    </row>
    <row r="546" spans="1:18">
      <c r="A546" s="96">
        <v>44075</v>
      </c>
      <c r="B546" s="101">
        <v>38.85</v>
      </c>
      <c r="C546" s="4">
        <f t="shared" si="24"/>
        <v>4.3130534455125415E-2</v>
      </c>
      <c r="D546" s="4">
        <f>IFERROR(Target1[[#This Row],[Target Return]]+1,"-")</f>
        <v>1.0431305344551254</v>
      </c>
      <c r="E546" s="6">
        <f>B546-MAX($B$2:B546)</f>
        <v>-12.75</v>
      </c>
      <c r="F546" s="80">
        <f t="shared" si="25"/>
        <v>19</v>
      </c>
      <c r="G546" s="77">
        <f>Target1[[#This Row],[Target Drawdown]]/MAX($B$2:B546)</f>
        <v>-0.24709302325581395</v>
      </c>
      <c r="H546" s="1" t="str">
        <f>IF(SUM(COUNTIF(Benchmark1[Benchmark '#1 Dates],Target1[[#This Row],[Target Dates]]),COUNTIF(Benchmark2[Benchmark '#2 Dates],Target1[[#This Row],[Target Dates]]))=2,"Pass","Fail")</f>
        <v>Pass</v>
      </c>
      <c r="I546" s="78">
        <f t="shared" si="26"/>
        <v>-12.75</v>
      </c>
      <c r="K546" s="72">
        <f>Target1[[#This Row],[Target Price]]/$B$2*100</f>
        <v>226.00349040139616</v>
      </c>
      <c r="R546">
        <f>B547/Target1[[#This Row],[Target Price]]-1</f>
        <v>-3.346203346203358E-2</v>
      </c>
    </row>
    <row r="547" spans="1:18">
      <c r="A547" s="96">
        <v>44076</v>
      </c>
      <c r="B547" s="101">
        <v>37.549999999999997</v>
      </c>
      <c r="C547" s="4">
        <f t="shared" si="24"/>
        <v>-3.4034698603512818E-2</v>
      </c>
      <c r="D547" s="4">
        <f>IFERROR(Target1[[#This Row],[Target Return]]+1,"-")</f>
        <v>0.96596530139648717</v>
      </c>
      <c r="E547" s="6">
        <f>B547-MAX($B$2:B547)</f>
        <v>-14.050000000000004</v>
      </c>
      <c r="F547" s="80">
        <f t="shared" si="25"/>
        <v>20</v>
      </c>
      <c r="G547" s="77">
        <f>Target1[[#This Row],[Target Drawdown]]/MAX($B$2:B547)</f>
        <v>-0.27228682170542645</v>
      </c>
      <c r="H547" s="1" t="str">
        <f>IF(SUM(COUNTIF(Benchmark1[Benchmark '#1 Dates],Target1[[#This Row],[Target Dates]]),COUNTIF(Benchmark2[Benchmark '#2 Dates],Target1[[#This Row],[Target Dates]]))=2,"Pass","Fail")</f>
        <v>Pass</v>
      </c>
      <c r="I547" s="78">
        <f t="shared" si="26"/>
        <v>-14.050000000000004</v>
      </c>
      <c r="K547" s="72">
        <f>Target1[[#This Row],[Target Price]]/$B$2*100</f>
        <v>218.44095404304827</v>
      </c>
      <c r="R547">
        <f>B548/Target1[[#This Row],[Target Price]]-1</f>
        <v>-7.0838881491344763E-2</v>
      </c>
    </row>
    <row r="548" spans="1:18">
      <c r="A548" s="96">
        <v>44077</v>
      </c>
      <c r="B548" s="101">
        <v>34.89</v>
      </c>
      <c r="C548" s="4">
        <f t="shared" si="24"/>
        <v>-7.3473123011460889E-2</v>
      </c>
      <c r="D548" s="4">
        <f>IFERROR(Target1[[#This Row],[Target Return]]+1,"-")</f>
        <v>0.92652687698853908</v>
      </c>
      <c r="E548" s="6">
        <f>B548-MAX($B$2:B548)</f>
        <v>-16.71</v>
      </c>
      <c r="F548" s="80">
        <f t="shared" si="25"/>
        <v>21</v>
      </c>
      <c r="G548" s="77">
        <f>Target1[[#This Row],[Target Drawdown]]/MAX($B$2:B548)</f>
        <v>-0.32383720930232557</v>
      </c>
      <c r="H548" s="1" t="str">
        <f>IF(SUM(COUNTIF(Benchmark1[Benchmark '#1 Dates],Target1[[#This Row],[Target Dates]]),COUNTIF(Benchmark2[Benchmark '#2 Dates],Target1[[#This Row],[Target Dates]]))=2,"Pass","Fail")</f>
        <v>Pass</v>
      </c>
      <c r="I548" s="78">
        <f t="shared" si="26"/>
        <v>-16.71</v>
      </c>
      <c r="K548" s="72">
        <f>Target1[[#This Row],[Target Price]]/$B$2*100</f>
        <v>202.96684118673647</v>
      </c>
      <c r="R548">
        <f>B549/Target1[[#This Row],[Target Price]]-1</f>
        <v>-1.748351963313266E-2</v>
      </c>
    </row>
    <row r="549" spans="1:18">
      <c r="A549" s="96">
        <v>44078</v>
      </c>
      <c r="B549" s="101">
        <v>34.28</v>
      </c>
      <c r="C549" s="4">
        <f t="shared" si="24"/>
        <v>-1.7638161469103665E-2</v>
      </c>
      <c r="D549" s="4">
        <f>IFERROR(Target1[[#This Row],[Target Return]]+1,"-")</f>
        <v>0.98236183853089631</v>
      </c>
      <c r="E549" s="6">
        <f>B549-MAX($B$2:B549)</f>
        <v>-17.32</v>
      </c>
      <c r="F549" s="80">
        <f t="shared" si="25"/>
        <v>22</v>
      </c>
      <c r="G549" s="77">
        <f>Target1[[#This Row],[Target Drawdown]]/MAX($B$2:B549)</f>
        <v>-0.33565891472868215</v>
      </c>
      <c r="H549" s="1" t="str">
        <f>IF(SUM(COUNTIF(Benchmark1[Benchmark '#1 Dates],Target1[[#This Row],[Target Dates]]),COUNTIF(Benchmark2[Benchmark '#2 Dates],Target1[[#This Row],[Target Dates]]))=2,"Pass","Fail")</f>
        <v>Pass</v>
      </c>
      <c r="I549" s="78">
        <f t="shared" si="26"/>
        <v>-17.32</v>
      </c>
      <c r="K549" s="72">
        <f>Target1[[#This Row],[Target Price]]/$B$2*100</f>
        <v>199.41826643397323</v>
      </c>
      <c r="R549">
        <f>B550/Target1[[#This Row],[Target Price]]-1</f>
        <v>-1.1668611435239118E-2</v>
      </c>
    </row>
    <row r="550" spans="1:18">
      <c r="A550" s="96">
        <v>44082</v>
      </c>
      <c r="B550" s="101">
        <v>33.880000000000003</v>
      </c>
      <c r="C550" s="4">
        <f t="shared" si="24"/>
        <v>-1.1737223945725307E-2</v>
      </c>
      <c r="D550" s="4">
        <f>IFERROR(Target1[[#This Row],[Target Return]]+1,"-")</f>
        <v>0.98826277605427471</v>
      </c>
      <c r="E550" s="6">
        <f>B550-MAX($B$2:B550)</f>
        <v>-17.72</v>
      </c>
      <c r="F550" s="80">
        <f t="shared" si="25"/>
        <v>23</v>
      </c>
      <c r="G550" s="77">
        <f>Target1[[#This Row],[Target Drawdown]]/MAX($B$2:B550)</f>
        <v>-0.34341085271317828</v>
      </c>
      <c r="H550" s="1" t="str">
        <f>IF(SUM(COUNTIF(Benchmark1[Benchmark '#1 Dates],Target1[[#This Row],[Target Dates]]),COUNTIF(Benchmark2[Benchmark '#2 Dates],Target1[[#This Row],[Target Dates]]))=2,"Pass","Fail")</f>
        <v>Pass</v>
      </c>
      <c r="I550" s="78">
        <f t="shared" si="26"/>
        <v>-17.72</v>
      </c>
      <c r="K550" s="72">
        <f>Target1[[#This Row],[Target Price]]/$B$2*100</f>
        <v>197.09133216986621</v>
      </c>
      <c r="R550">
        <f>B551/Target1[[#This Row],[Target Price]]-1</f>
        <v>-3.5419126328218864E-3</v>
      </c>
    </row>
    <row r="551" spans="1:18">
      <c r="A551" s="96">
        <v>44083</v>
      </c>
      <c r="B551" s="101">
        <v>33.76</v>
      </c>
      <c r="C551" s="4">
        <f t="shared" si="24"/>
        <v>-3.5482000560974418E-3</v>
      </c>
      <c r="D551" s="4">
        <f>IFERROR(Target1[[#This Row],[Target Return]]+1,"-")</f>
        <v>0.99645179994390254</v>
      </c>
      <c r="E551" s="6">
        <f>B551-MAX($B$2:B551)</f>
        <v>-17.840000000000003</v>
      </c>
      <c r="F551" s="80">
        <f t="shared" si="25"/>
        <v>24</v>
      </c>
      <c r="G551" s="77">
        <f>Target1[[#This Row],[Target Drawdown]]/MAX($B$2:B551)</f>
        <v>-0.34573643410852717</v>
      </c>
      <c r="H551" s="1" t="str">
        <f>IF(SUM(COUNTIF(Benchmark1[Benchmark '#1 Dates],Target1[[#This Row],[Target Dates]]),COUNTIF(Benchmark2[Benchmark '#2 Dates],Target1[[#This Row],[Target Dates]]))=2,"Pass","Fail")</f>
        <v>Pass</v>
      </c>
      <c r="I551" s="78">
        <f t="shared" si="26"/>
        <v>-17.840000000000003</v>
      </c>
      <c r="K551" s="72">
        <f>Target1[[#This Row],[Target Price]]/$B$2*100</f>
        <v>196.39325189063405</v>
      </c>
      <c r="R551">
        <f>B552/Target1[[#This Row],[Target Price]]-1</f>
        <v>-9.5082938388625471E-2</v>
      </c>
    </row>
    <row r="552" spans="1:18">
      <c r="A552" s="96">
        <v>44084</v>
      </c>
      <c r="B552" s="101">
        <v>30.55</v>
      </c>
      <c r="C552" s="4">
        <f t="shared" si="24"/>
        <v>-9.9911984110151897E-2</v>
      </c>
      <c r="D552" s="4">
        <f>IFERROR(Target1[[#This Row],[Target Return]]+1,"-")</f>
        <v>0.9000880158898481</v>
      </c>
      <c r="E552" s="6">
        <f>B552-MAX($B$2:B552)</f>
        <v>-21.05</v>
      </c>
      <c r="F552" s="80">
        <f t="shared" si="25"/>
        <v>25</v>
      </c>
      <c r="G552" s="77">
        <f>Target1[[#This Row],[Target Drawdown]]/MAX($B$2:B552)</f>
        <v>-0.40794573643410853</v>
      </c>
      <c r="H552" s="1" t="str">
        <f>IF(SUM(COUNTIF(Benchmark1[Benchmark '#1 Dates],Target1[[#This Row],[Target Dates]]),COUNTIF(Benchmark2[Benchmark '#2 Dates],Target1[[#This Row],[Target Dates]]))=2,"Pass","Fail")</f>
        <v>Pass</v>
      </c>
      <c r="I552" s="78">
        <f t="shared" si="26"/>
        <v>-21.05</v>
      </c>
      <c r="K552" s="72">
        <f>Target1[[#This Row],[Target Price]]/$B$2*100</f>
        <v>177.71960442117509</v>
      </c>
      <c r="R552">
        <f>B553/Target1[[#This Row],[Target Price]]-1</f>
        <v>1.0147299509001506E-2</v>
      </c>
    </row>
    <row r="553" spans="1:18">
      <c r="A553" s="96">
        <v>44085</v>
      </c>
      <c r="B553" s="101">
        <v>30.86</v>
      </c>
      <c r="C553" s="4">
        <f t="shared" si="24"/>
        <v>1.0096161317410321E-2</v>
      </c>
      <c r="D553" s="4">
        <f>IFERROR(Target1[[#This Row],[Target Return]]+1,"-")</f>
        <v>1.0100961613174104</v>
      </c>
      <c r="E553" s="6">
        <f>B553-MAX($B$2:B553)</f>
        <v>-20.740000000000002</v>
      </c>
      <c r="F553" s="80">
        <f t="shared" si="25"/>
        <v>26</v>
      </c>
      <c r="G553" s="77">
        <f>Target1[[#This Row],[Target Drawdown]]/MAX($B$2:B553)</f>
        <v>-0.40193798449612406</v>
      </c>
      <c r="H553" s="1" t="str">
        <f>IF(SUM(COUNTIF(Benchmark1[Benchmark '#1 Dates],Target1[[#This Row],[Target Dates]]),COUNTIF(Benchmark2[Benchmark '#2 Dates],Target1[[#This Row],[Target Dates]]))=2,"Pass","Fail")</f>
        <v>Pass</v>
      </c>
      <c r="I553" s="78">
        <f t="shared" si="26"/>
        <v>-20.740000000000002</v>
      </c>
      <c r="K553" s="72">
        <f>Target1[[#This Row],[Target Price]]/$B$2*100</f>
        <v>179.52297847585803</v>
      </c>
      <c r="R553">
        <f>B554/Target1[[#This Row],[Target Price]]-1</f>
        <v>8.4251458198314477E-3</v>
      </c>
    </row>
    <row r="554" spans="1:18">
      <c r="A554" s="96">
        <v>44088</v>
      </c>
      <c r="B554" s="101">
        <v>31.12</v>
      </c>
      <c r="C554" s="4">
        <f t="shared" si="24"/>
        <v>8.3898523751760237E-3</v>
      </c>
      <c r="D554" s="4">
        <f>IFERROR(Target1[[#This Row],[Target Return]]+1,"-")</f>
        <v>1.008389852375176</v>
      </c>
      <c r="E554" s="6">
        <f>B554-MAX($B$2:B554)</f>
        <v>-20.48</v>
      </c>
      <c r="F554" s="80">
        <f t="shared" si="25"/>
        <v>27</v>
      </c>
      <c r="G554" s="77">
        <f>Target1[[#This Row],[Target Drawdown]]/MAX($B$2:B554)</f>
        <v>-0.39689922480620154</v>
      </c>
      <c r="H554" s="1" t="str">
        <f>IF(SUM(COUNTIF(Benchmark1[Benchmark '#1 Dates],Target1[[#This Row],[Target Dates]]),COUNTIF(Benchmark2[Benchmark '#2 Dates],Target1[[#This Row],[Target Dates]]))=2,"Pass","Fail")</f>
        <v>Pass</v>
      </c>
      <c r="I554" s="78">
        <f t="shared" si="26"/>
        <v>-20.48</v>
      </c>
      <c r="K554" s="72">
        <f>Target1[[#This Row],[Target Price]]/$B$2*100</f>
        <v>181.03548574752762</v>
      </c>
      <c r="R554">
        <f>B555/Target1[[#This Row],[Target Price]]-1</f>
        <v>-6.4267352185090054E-3</v>
      </c>
    </row>
    <row r="555" spans="1:18">
      <c r="A555" s="96">
        <v>44089</v>
      </c>
      <c r="B555" s="101">
        <v>30.92</v>
      </c>
      <c r="C555" s="4">
        <f t="shared" si="24"/>
        <v>-6.4474755909696485E-3</v>
      </c>
      <c r="D555" s="4">
        <f>IFERROR(Target1[[#This Row],[Target Return]]+1,"-")</f>
        <v>0.9935525244090303</v>
      </c>
      <c r="E555" s="6">
        <f>B555-MAX($B$2:B555)</f>
        <v>-20.68</v>
      </c>
      <c r="F555" s="80">
        <f t="shared" si="25"/>
        <v>28</v>
      </c>
      <c r="G555" s="77">
        <f>Target1[[#This Row],[Target Drawdown]]/MAX($B$2:B555)</f>
        <v>-0.40077519379844961</v>
      </c>
      <c r="H555" s="1" t="str">
        <f>IF(SUM(COUNTIF(Benchmark1[Benchmark '#1 Dates],Target1[[#This Row],[Target Dates]]),COUNTIF(Benchmark2[Benchmark '#2 Dates],Target1[[#This Row],[Target Dates]]))=2,"Pass","Fail")</f>
        <v>Pass</v>
      </c>
      <c r="I555" s="78">
        <f t="shared" si="26"/>
        <v>-20.68</v>
      </c>
      <c r="K555" s="72">
        <f>Target1[[#This Row],[Target Price]]/$B$2*100</f>
        <v>179.8720186154741</v>
      </c>
      <c r="R555">
        <f>B556/Target1[[#This Row],[Target Price]]-1</f>
        <v>-4.2043984476067275E-2</v>
      </c>
    </row>
    <row r="556" spans="1:18">
      <c r="A556" s="96">
        <v>44090</v>
      </c>
      <c r="B556" s="101">
        <v>29.62</v>
      </c>
      <c r="C556" s="4">
        <f t="shared" si="24"/>
        <v>-4.2953414879568497E-2</v>
      </c>
      <c r="D556" s="4">
        <f>IFERROR(Target1[[#This Row],[Target Return]]+1,"-")</f>
        <v>0.9570465851204315</v>
      </c>
      <c r="E556" s="6">
        <f>B556-MAX($B$2:B556)</f>
        <v>-21.98</v>
      </c>
      <c r="F556" s="80">
        <f t="shared" si="25"/>
        <v>29</v>
      </c>
      <c r="G556" s="77">
        <f>Target1[[#This Row],[Target Drawdown]]/MAX($B$2:B556)</f>
        <v>-0.42596899224806201</v>
      </c>
      <c r="H556" s="1" t="str">
        <f>IF(SUM(COUNTIF(Benchmark1[Benchmark '#1 Dates],Target1[[#This Row],[Target Dates]]),COUNTIF(Benchmark2[Benchmark '#2 Dates],Target1[[#This Row],[Target Dates]]))=2,"Pass","Fail")</f>
        <v>Pass</v>
      </c>
      <c r="I556" s="78">
        <f t="shared" si="26"/>
        <v>-21.98</v>
      </c>
      <c r="K556" s="72">
        <f>Target1[[#This Row],[Target Price]]/$B$2*100</f>
        <v>172.30948225712623</v>
      </c>
      <c r="R556">
        <f>B557/Target1[[#This Row],[Target Price]]-1</f>
        <v>-4.4564483457123605E-2</v>
      </c>
    </row>
    <row r="557" spans="1:18">
      <c r="A557" s="96">
        <v>44091</v>
      </c>
      <c r="B557" s="101">
        <v>28.3</v>
      </c>
      <c r="C557" s="4">
        <f t="shared" si="24"/>
        <v>-4.5588004190460822E-2</v>
      </c>
      <c r="D557" s="4">
        <f>IFERROR(Target1[[#This Row],[Target Return]]+1,"-")</f>
        <v>0.95441199580953917</v>
      </c>
      <c r="E557" s="6">
        <f>B557-MAX($B$2:B557)</f>
        <v>-23.3</v>
      </c>
      <c r="F557" s="80">
        <f t="shared" si="25"/>
        <v>30</v>
      </c>
      <c r="G557" s="77">
        <f>Target1[[#This Row],[Target Drawdown]]/MAX($B$2:B557)</f>
        <v>-0.45155038759689925</v>
      </c>
      <c r="H557" s="1" t="str">
        <f>IF(SUM(COUNTIF(Benchmark1[Benchmark '#1 Dates],Target1[[#This Row],[Target Dates]]),COUNTIF(Benchmark2[Benchmark '#2 Dates],Target1[[#This Row],[Target Dates]]))=2,"Pass","Fail")</f>
        <v>Pass</v>
      </c>
      <c r="I557" s="78">
        <f t="shared" si="26"/>
        <v>-23.3</v>
      </c>
      <c r="K557" s="72">
        <f>Target1[[#This Row],[Target Price]]/$B$2*100</f>
        <v>164.63059918557298</v>
      </c>
      <c r="R557">
        <f>B558/Target1[[#This Row],[Target Price]]-1</f>
        <v>-3.8515901060070634E-2</v>
      </c>
    </row>
    <row r="558" spans="1:18">
      <c r="A558" s="96">
        <v>44092</v>
      </c>
      <c r="B558" s="101">
        <v>27.21</v>
      </c>
      <c r="C558" s="4">
        <f t="shared" si="24"/>
        <v>-3.9277251854036972E-2</v>
      </c>
      <c r="D558" s="4">
        <f>IFERROR(Target1[[#This Row],[Target Return]]+1,"-")</f>
        <v>0.96072274814596303</v>
      </c>
      <c r="E558" s="6">
        <f>B558-MAX($B$2:B558)</f>
        <v>-24.39</v>
      </c>
      <c r="F558" s="80">
        <f t="shared" si="25"/>
        <v>31</v>
      </c>
      <c r="G558" s="77">
        <f>Target1[[#This Row],[Target Drawdown]]/MAX($B$2:B558)</f>
        <v>-0.47267441860465115</v>
      </c>
      <c r="H558" s="1" t="str">
        <f>IF(SUM(COUNTIF(Benchmark1[Benchmark '#1 Dates],Target1[[#This Row],[Target Dates]]),COUNTIF(Benchmark2[Benchmark '#2 Dates],Target1[[#This Row],[Target Dates]]))=2,"Pass","Fail")</f>
        <v>Pass</v>
      </c>
      <c r="I558" s="78">
        <f t="shared" si="26"/>
        <v>-24.39</v>
      </c>
      <c r="K558" s="72">
        <f>Target1[[#This Row],[Target Price]]/$B$2*100</f>
        <v>158.28970331588133</v>
      </c>
      <c r="R558">
        <f>B559/Target1[[#This Row],[Target Price]]-1</f>
        <v>2.7195883866225623E-2</v>
      </c>
    </row>
    <row r="559" spans="1:18">
      <c r="A559" s="96">
        <v>44095</v>
      </c>
      <c r="B559" s="101">
        <v>27.95</v>
      </c>
      <c r="C559" s="4">
        <f t="shared" si="24"/>
        <v>2.6832646805953212E-2</v>
      </c>
      <c r="D559" s="4">
        <f>IFERROR(Target1[[#This Row],[Target Return]]+1,"-")</f>
        <v>1.0268326468059532</v>
      </c>
      <c r="E559" s="6">
        <f>B559-MAX($B$2:B559)</f>
        <v>-23.650000000000002</v>
      </c>
      <c r="F559" s="80">
        <f t="shared" si="25"/>
        <v>32</v>
      </c>
      <c r="G559" s="77">
        <f>Target1[[#This Row],[Target Drawdown]]/MAX($B$2:B559)</f>
        <v>-0.45833333333333337</v>
      </c>
      <c r="H559" s="1" t="str">
        <f>IF(SUM(COUNTIF(Benchmark1[Benchmark '#1 Dates],Target1[[#This Row],[Target Dates]]),COUNTIF(Benchmark2[Benchmark '#2 Dates],Target1[[#This Row],[Target Dates]]))=2,"Pass","Fail")</f>
        <v>Pass</v>
      </c>
      <c r="I559" s="78">
        <f t="shared" si="26"/>
        <v>-23.650000000000002</v>
      </c>
      <c r="K559" s="72">
        <f>Target1[[#This Row],[Target Price]]/$B$2*100</f>
        <v>162.59453170447932</v>
      </c>
      <c r="R559">
        <f>B560/Target1[[#This Row],[Target Price]]-1</f>
        <v>-2.4686940966010651E-2</v>
      </c>
    </row>
    <row r="560" spans="1:18">
      <c r="A560" s="96">
        <v>44096</v>
      </c>
      <c r="B560" s="101">
        <v>27.26</v>
      </c>
      <c r="C560" s="4">
        <f t="shared" si="24"/>
        <v>-2.4996773332721527E-2</v>
      </c>
      <c r="D560" s="4">
        <f>IFERROR(Target1[[#This Row],[Target Return]]+1,"-")</f>
        <v>0.97500322666727846</v>
      </c>
      <c r="E560" s="6">
        <f>B560-MAX($B$2:B560)</f>
        <v>-24.34</v>
      </c>
      <c r="F560" s="80">
        <f t="shared" si="25"/>
        <v>33</v>
      </c>
      <c r="G560" s="77">
        <f>Target1[[#This Row],[Target Drawdown]]/MAX($B$2:B560)</f>
        <v>-0.47170542635658913</v>
      </c>
      <c r="H560" s="1" t="str">
        <f>IF(SUM(COUNTIF(Benchmark1[Benchmark '#1 Dates],Target1[[#This Row],[Target Dates]]),COUNTIF(Benchmark2[Benchmark '#2 Dates],Target1[[#This Row],[Target Dates]]))=2,"Pass","Fail")</f>
        <v>Pass</v>
      </c>
      <c r="I560" s="78">
        <f t="shared" si="26"/>
        <v>-24.34</v>
      </c>
      <c r="K560" s="72">
        <f>Target1[[#This Row],[Target Price]]/$B$2*100</f>
        <v>158.5805700988947</v>
      </c>
      <c r="R560">
        <f>B561/Target1[[#This Row],[Target Price]]-1</f>
        <v>-6.236243580337586E-3</v>
      </c>
    </row>
    <row r="561" spans="1:18">
      <c r="A561" s="96">
        <v>44097</v>
      </c>
      <c r="B561" s="101">
        <v>27.09</v>
      </c>
      <c r="C561" s="4">
        <f t="shared" si="24"/>
        <v>-6.2557701713829078E-3</v>
      </c>
      <c r="D561" s="4">
        <f>IFERROR(Target1[[#This Row],[Target Return]]+1,"-")</f>
        <v>0.9937442298286171</v>
      </c>
      <c r="E561" s="6">
        <f>B561-MAX($B$2:B561)</f>
        <v>-24.51</v>
      </c>
      <c r="F561" s="80">
        <f t="shared" si="25"/>
        <v>34</v>
      </c>
      <c r="G561" s="77">
        <f>Target1[[#This Row],[Target Drawdown]]/MAX($B$2:B561)</f>
        <v>-0.47500000000000003</v>
      </c>
      <c r="H561" s="1" t="str">
        <f>IF(SUM(COUNTIF(Benchmark1[Benchmark '#1 Dates],Target1[[#This Row],[Target Dates]]),COUNTIF(Benchmark2[Benchmark '#2 Dates],Target1[[#This Row],[Target Dates]]))=2,"Pass","Fail")</f>
        <v>Pass</v>
      </c>
      <c r="I561" s="78">
        <f t="shared" si="26"/>
        <v>-24.51</v>
      </c>
      <c r="K561" s="72">
        <f>Target1[[#This Row],[Target Price]]/$B$2*100</f>
        <v>157.5916230366492</v>
      </c>
      <c r="R561">
        <f>B562/Target1[[#This Row],[Target Price]]-1</f>
        <v>-2.7316352897748142E-2</v>
      </c>
    </row>
    <row r="562" spans="1:18">
      <c r="A562" s="96">
        <v>44098</v>
      </c>
      <c r="B562" s="101">
        <v>26.35</v>
      </c>
      <c r="C562" s="4">
        <f t="shared" si="24"/>
        <v>-2.7696381109632302E-2</v>
      </c>
      <c r="D562" s="4">
        <f>IFERROR(Target1[[#This Row],[Target Return]]+1,"-")</f>
        <v>0.97230361889036765</v>
      </c>
      <c r="E562" s="6">
        <f>B562-MAX($B$2:B562)</f>
        <v>-25.25</v>
      </c>
      <c r="F562" s="80">
        <f t="shared" si="25"/>
        <v>35</v>
      </c>
      <c r="G562" s="77">
        <f>Target1[[#This Row],[Target Drawdown]]/MAX($B$2:B562)</f>
        <v>-0.48934108527131781</v>
      </c>
      <c r="H562" s="1" t="str">
        <f>IF(SUM(COUNTIF(Benchmark1[Benchmark '#1 Dates],Target1[[#This Row],[Target Dates]]),COUNTIF(Benchmark2[Benchmark '#2 Dates],Target1[[#This Row],[Target Dates]]))=2,"Pass","Fail")</f>
        <v>Pass</v>
      </c>
      <c r="I562" s="78">
        <f t="shared" si="26"/>
        <v>-25.25</v>
      </c>
      <c r="K562" s="72">
        <f>Target1[[#This Row],[Target Price]]/$B$2*100</f>
        <v>153.2867946480512</v>
      </c>
      <c r="R562">
        <f>B563/Target1[[#This Row],[Target Price]]-1</f>
        <v>6.0721062618596111E-3</v>
      </c>
    </row>
    <row r="563" spans="1:18">
      <c r="A563" s="96">
        <v>44099</v>
      </c>
      <c r="B563" s="101">
        <v>26.51</v>
      </c>
      <c r="C563" s="4">
        <f t="shared" si="24"/>
        <v>6.0537453135628668E-3</v>
      </c>
      <c r="D563" s="4">
        <f>IFERROR(Target1[[#This Row],[Target Return]]+1,"-")</f>
        <v>1.006053745313563</v>
      </c>
      <c r="E563" s="6">
        <f>B563-MAX($B$2:B563)</f>
        <v>-25.09</v>
      </c>
      <c r="F563" s="80">
        <f t="shared" si="25"/>
        <v>36</v>
      </c>
      <c r="G563" s="77">
        <f>Target1[[#This Row],[Target Drawdown]]/MAX($B$2:B563)</f>
        <v>-0.48624031007751939</v>
      </c>
      <c r="H563" s="1" t="str">
        <f>IF(SUM(COUNTIF(Benchmark1[Benchmark '#1 Dates],Target1[[#This Row],[Target Dates]]),COUNTIF(Benchmark2[Benchmark '#2 Dates],Target1[[#This Row],[Target Dates]]))=2,"Pass","Fail")</f>
        <v>Pass</v>
      </c>
      <c r="I563" s="78">
        <f t="shared" si="26"/>
        <v>-25.09</v>
      </c>
      <c r="K563" s="72">
        <f>Target1[[#This Row],[Target Price]]/$B$2*100</f>
        <v>154.21756835369399</v>
      </c>
      <c r="R563">
        <f>B564/Target1[[#This Row],[Target Price]]-1</f>
        <v>3.6589966050546874E-2</v>
      </c>
    </row>
    <row r="564" spans="1:18">
      <c r="A564" s="96">
        <v>44102</v>
      </c>
      <c r="B564" s="101">
        <v>27.48</v>
      </c>
      <c r="C564" s="4">
        <f t="shared" si="24"/>
        <v>3.5936447053214332E-2</v>
      </c>
      <c r="D564" s="4">
        <f>IFERROR(Target1[[#This Row],[Target Return]]+1,"-")</f>
        <v>1.0359364470532144</v>
      </c>
      <c r="E564" s="6">
        <f>B564-MAX($B$2:B564)</f>
        <v>-24.12</v>
      </c>
      <c r="F564" s="80">
        <f t="shared" si="25"/>
        <v>37</v>
      </c>
      <c r="G564" s="77">
        <f>Target1[[#This Row],[Target Drawdown]]/MAX($B$2:B564)</f>
        <v>-0.46744186046511627</v>
      </c>
      <c r="H564" s="1" t="str">
        <f>IF(SUM(COUNTIF(Benchmark1[Benchmark '#1 Dates],Target1[[#This Row],[Target Dates]]),COUNTIF(Benchmark2[Benchmark '#2 Dates],Target1[[#This Row],[Target Dates]]))=2,"Pass","Fail")</f>
        <v>Pass</v>
      </c>
      <c r="I564" s="78">
        <f t="shared" si="26"/>
        <v>-24.12</v>
      </c>
      <c r="K564" s="72">
        <f>Target1[[#This Row],[Target Price]]/$B$2*100</f>
        <v>159.86038394415357</v>
      </c>
      <c r="R564">
        <f>B565/Target1[[#This Row],[Target Price]]-1</f>
        <v>-1.455604075691419E-2</v>
      </c>
    </row>
    <row r="565" spans="1:18">
      <c r="A565" s="96">
        <v>44103</v>
      </c>
      <c r="B565" s="101">
        <v>27.08</v>
      </c>
      <c r="C565" s="4">
        <f t="shared" si="24"/>
        <v>-1.4663019310074419E-2</v>
      </c>
      <c r="D565" s="4">
        <f>IFERROR(Target1[[#This Row],[Target Return]]+1,"-")</f>
        <v>0.98533698068992559</v>
      </c>
      <c r="E565" s="6">
        <f>B565-MAX($B$2:B565)</f>
        <v>-24.520000000000003</v>
      </c>
      <c r="F565" s="80">
        <f t="shared" si="25"/>
        <v>38</v>
      </c>
      <c r="G565" s="77">
        <f>Target1[[#This Row],[Target Drawdown]]/MAX($B$2:B565)</f>
        <v>-0.47519379844961246</v>
      </c>
      <c r="H565" s="1" t="str">
        <f>IF(SUM(COUNTIF(Benchmark1[Benchmark '#1 Dates],Target1[[#This Row],[Target Dates]]),COUNTIF(Benchmark2[Benchmark '#2 Dates],Target1[[#This Row],[Target Dates]]))=2,"Pass","Fail")</f>
        <v>Pass</v>
      </c>
      <c r="I565" s="78">
        <f t="shared" si="26"/>
        <v>-24.520000000000003</v>
      </c>
      <c r="K565" s="72">
        <f>Target1[[#This Row],[Target Price]]/$B$2*100</f>
        <v>157.53344968004652</v>
      </c>
      <c r="R565">
        <f>B566/Target1[[#This Row],[Target Price]]-1</f>
        <v>-2.7326440177252498E-2</v>
      </c>
    </row>
    <row r="566" spans="1:18">
      <c r="A566" s="96">
        <v>44104</v>
      </c>
      <c r="B566" s="101">
        <v>26.34</v>
      </c>
      <c r="C566" s="4">
        <f t="shared" si="24"/>
        <v>-2.7706751728939171E-2</v>
      </c>
      <c r="D566" s="4">
        <f>IFERROR(Target1[[#This Row],[Target Return]]+1,"-")</f>
        <v>0.97229324827106078</v>
      </c>
      <c r="E566" s="6">
        <f>B566-MAX($B$2:B566)</f>
        <v>-25.26</v>
      </c>
      <c r="F566" s="80">
        <f t="shared" si="25"/>
        <v>39</v>
      </c>
      <c r="G566" s="77">
        <f>Target1[[#This Row],[Target Drawdown]]/MAX($B$2:B566)</f>
        <v>-0.48953488372093024</v>
      </c>
      <c r="H566" s="1" t="str">
        <f>IF(SUM(COUNTIF(Benchmark1[Benchmark '#1 Dates],Target1[[#This Row],[Target Dates]]),COUNTIF(Benchmark2[Benchmark '#2 Dates],Target1[[#This Row],[Target Dates]]))=2,"Pass","Fail")</f>
        <v>Pass</v>
      </c>
      <c r="I566" s="78">
        <f t="shared" si="26"/>
        <v>-25.26</v>
      </c>
      <c r="K566" s="72">
        <f>Target1[[#This Row],[Target Price]]/$B$2*100</f>
        <v>153.22862129144849</v>
      </c>
      <c r="R566">
        <f>B567/Target1[[#This Row],[Target Price]]-1</f>
        <v>2.6955201214882374E-2</v>
      </c>
    </row>
    <row r="567" spans="1:18">
      <c r="A567" s="96">
        <v>44105</v>
      </c>
      <c r="B567" s="101">
        <v>27.05</v>
      </c>
      <c r="C567" s="4">
        <f t="shared" si="24"/>
        <v>2.6598308977355611E-2</v>
      </c>
      <c r="D567" s="4">
        <f>IFERROR(Target1[[#This Row],[Target Return]]+1,"-")</f>
        <v>1.0265983089773556</v>
      </c>
      <c r="E567" s="6">
        <f>B567-MAX($B$2:B567)</f>
        <v>-24.55</v>
      </c>
      <c r="F567" s="80">
        <f t="shared" si="25"/>
        <v>40</v>
      </c>
      <c r="G567" s="77">
        <f>Target1[[#This Row],[Target Drawdown]]/MAX($B$2:B567)</f>
        <v>-0.47577519379844962</v>
      </c>
      <c r="H567" s="1" t="str">
        <f>IF(SUM(COUNTIF(Benchmark1[Benchmark '#1 Dates],Target1[[#This Row],[Target Dates]]),COUNTIF(Benchmark2[Benchmark '#2 Dates],Target1[[#This Row],[Target Dates]]))=2,"Pass","Fail")</f>
        <v>Pass</v>
      </c>
      <c r="I567" s="78">
        <f t="shared" si="26"/>
        <v>-24.55</v>
      </c>
      <c r="K567" s="72">
        <f>Target1[[#This Row],[Target Price]]/$B$2*100</f>
        <v>157.3589296102385</v>
      </c>
      <c r="R567">
        <f>B568/Target1[[#This Row],[Target Price]]-1</f>
        <v>-1.1460258780037091E-2</v>
      </c>
    </row>
    <row r="568" spans="1:18">
      <c r="A568" s="96">
        <v>44106</v>
      </c>
      <c r="B568" s="101">
        <v>26.74</v>
      </c>
      <c r="C568" s="4">
        <f t="shared" si="24"/>
        <v>-1.1526433618693533E-2</v>
      </c>
      <c r="D568" s="4">
        <f>IFERROR(Target1[[#This Row],[Target Return]]+1,"-")</f>
        <v>0.98847356638130646</v>
      </c>
      <c r="E568" s="6">
        <f>B568-MAX($B$2:B568)</f>
        <v>-24.860000000000003</v>
      </c>
      <c r="F568" s="80">
        <f t="shared" si="25"/>
        <v>41</v>
      </c>
      <c r="G568" s="77">
        <f>Target1[[#This Row],[Target Drawdown]]/MAX($B$2:B568)</f>
        <v>-0.48178294573643415</v>
      </c>
      <c r="H568" s="1" t="str">
        <f>IF(SUM(COUNTIF(Benchmark1[Benchmark '#1 Dates],Target1[[#This Row],[Target Dates]]),COUNTIF(Benchmark2[Benchmark '#2 Dates],Target1[[#This Row],[Target Dates]]))=2,"Pass","Fail")</f>
        <v>Pass</v>
      </c>
      <c r="I568" s="78">
        <f t="shared" si="26"/>
        <v>-24.860000000000003</v>
      </c>
      <c r="K568" s="72">
        <f>Target1[[#This Row],[Target Price]]/$B$2*100</f>
        <v>155.55555555555554</v>
      </c>
      <c r="R568">
        <f>B569/Target1[[#This Row],[Target Price]]-1</f>
        <v>8.2273747195213298E-2</v>
      </c>
    </row>
    <row r="569" spans="1:18">
      <c r="A569" s="96">
        <v>44109</v>
      </c>
      <c r="B569" s="101">
        <v>28.94</v>
      </c>
      <c r="C569" s="4">
        <f t="shared" si="24"/>
        <v>7.9064149529540814E-2</v>
      </c>
      <c r="D569" s="4">
        <f>IFERROR(Target1[[#This Row],[Target Return]]+1,"-")</f>
        <v>1.0790641495295408</v>
      </c>
      <c r="E569" s="6">
        <f>B569-MAX($B$2:B569)</f>
        <v>-22.66</v>
      </c>
      <c r="F569" s="80">
        <f t="shared" si="25"/>
        <v>42</v>
      </c>
      <c r="G569" s="77">
        <f>Target1[[#This Row],[Target Drawdown]]/MAX($B$2:B569)</f>
        <v>-0.4391472868217054</v>
      </c>
      <c r="H569" s="1" t="str">
        <f>IF(SUM(COUNTIF(Benchmark1[Benchmark '#1 Dates],Target1[[#This Row],[Target Dates]]),COUNTIF(Benchmark2[Benchmark '#2 Dates],Target1[[#This Row],[Target Dates]]))=2,"Pass","Fail")</f>
        <v>Pass</v>
      </c>
      <c r="I569" s="78">
        <f t="shared" si="26"/>
        <v>-22.66</v>
      </c>
      <c r="K569" s="72">
        <f>Target1[[#This Row],[Target Price]]/$B$2*100</f>
        <v>168.35369400814426</v>
      </c>
      <c r="R569">
        <f>B570/Target1[[#This Row],[Target Price]]-1</f>
        <v>3.4554250172771361E-3</v>
      </c>
    </row>
    <row r="570" spans="1:18">
      <c r="A570" s="96">
        <v>44110</v>
      </c>
      <c r="B570" s="101">
        <v>29.04</v>
      </c>
      <c r="C570" s="4">
        <f t="shared" si="24"/>
        <v>3.4494687532575482E-3</v>
      </c>
      <c r="D570" s="4">
        <f>IFERROR(Target1[[#This Row],[Target Return]]+1,"-")</f>
        <v>1.0034494687532576</v>
      </c>
      <c r="E570" s="6">
        <f>B570-MAX($B$2:B570)</f>
        <v>-22.560000000000002</v>
      </c>
      <c r="F570" s="80">
        <f t="shared" si="25"/>
        <v>43</v>
      </c>
      <c r="G570" s="77">
        <f>Target1[[#This Row],[Target Drawdown]]/MAX($B$2:B570)</f>
        <v>-0.43720930232558142</v>
      </c>
      <c r="H570" s="1" t="str">
        <f>IF(SUM(COUNTIF(Benchmark1[Benchmark '#1 Dates],Target1[[#This Row],[Target Dates]]),COUNTIF(Benchmark2[Benchmark '#2 Dates],Target1[[#This Row],[Target Dates]]))=2,"Pass","Fail")</f>
        <v>Pass</v>
      </c>
      <c r="I570" s="78">
        <f t="shared" si="26"/>
        <v>-22.560000000000002</v>
      </c>
      <c r="K570" s="72">
        <f>Target1[[#This Row],[Target Price]]/$B$2*100</f>
        <v>168.935427574171</v>
      </c>
      <c r="R570">
        <f>B571/Target1[[#This Row],[Target Price]]-1</f>
        <v>2.7203856749311361E-2</v>
      </c>
    </row>
    <row r="571" spans="1:18">
      <c r="A571" s="96">
        <v>44111</v>
      </c>
      <c r="B571" s="101">
        <v>29.83</v>
      </c>
      <c r="C571" s="4">
        <f t="shared" si="24"/>
        <v>2.6840408570061876E-2</v>
      </c>
      <c r="D571" s="4">
        <f>IFERROR(Target1[[#This Row],[Target Return]]+1,"-")</f>
        <v>1.026840408570062</v>
      </c>
      <c r="E571" s="6">
        <f>B571-MAX($B$2:B571)</f>
        <v>-21.770000000000003</v>
      </c>
      <c r="F571" s="80">
        <f t="shared" si="25"/>
        <v>44</v>
      </c>
      <c r="G571" s="77">
        <f>Target1[[#This Row],[Target Drawdown]]/MAX($B$2:B571)</f>
        <v>-0.42189922480620162</v>
      </c>
      <c r="H571" s="1" t="str">
        <f>IF(SUM(COUNTIF(Benchmark1[Benchmark '#1 Dates],Target1[[#This Row],[Target Dates]]),COUNTIF(Benchmark2[Benchmark '#2 Dates],Target1[[#This Row],[Target Dates]]))=2,"Pass","Fail")</f>
        <v>Pass</v>
      </c>
      <c r="I571" s="78">
        <f t="shared" si="26"/>
        <v>-21.770000000000003</v>
      </c>
      <c r="K571" s="72">
        <f>Target1[[#This Row],[Target Price]]/$B$2*100</f>
        <v>173.53112274578243</v>
      </c>
      <c r="R571">
        <f>B572/Target1[[#This Row],[Target Price]]-1</f>
        <v>-8.7160576600736617E-3</v>
      </c>
    </row>
    <row r="572" spans="1:18">
      <c r="A572" s="96">
        <v>44112</v>
      </c>
      <c r="B572" s="101">
        <v>29.57</v>
      </c>
      <c r="C572" s="4">
        <f t="shared" si="24"/>
        <v>-8.7542646622712095E-3</v>
      </c>
      <c r="D572" s="4">
        <f>IFERROR(Target1[[#This Row],[Target Return]]+1,"-")</f>
        <v>0.99124573533772875</v>
      </c>
      <c r="E572" s="6">
        <f>B572-MAX($B$2:B572)</f>
        <v>-22.03</v>
      </c>
      <c r="F572" s="80">
        <f t="shared" si="25"/>
        <v>45</v>
      </c>
      <c r="G572" s="77">
        <f>Target1[[#This Row],[Target Drawdown]]/MAX($B$2:B572)</f>
        <v>-0.42693798449612402</v>
      </c>
      <c r="H572" s="1" t="str">
        <f>IF(SUM(COUNTIF(Benchmark1[Benchmark '#1 Dates],Target1[[#This Row],[Target Dates]]),COUNTIF(Benchmark2[Benchmark '#2 Dates],Target1[[#This Row],[Target Dates]]))=2,"Pass","Fail")</f>
        <v>Pass</v>
      </c>
      <c r="I572" s="78">
        <f t="shared" si="26"/>
        <v>-22.03</v>
      </c>
      <c r="K572" s="72">
        <f>Target1[[#This Row],[Target Price]]/$B$2*100</f>
        <v>172.01861547411283</v>
      </c>
      <c r="R572">
        <f>B573/Target1[[#This Row],[Target Price]]-1</f>
        <v>2.9421711193777567E-2</v>
      </c>
    </row>
    <row r="573" spans="1:18">
      <c r="A573" s="96">
        <v>44113</v>
      </c>
      <c r="B573" s="101">
        <v>30.44</v>
      </c>
      <c r="C573" s="4">
        <f t="shared" si="24"/>
        <v>2.8997199129099326E-2</v>
      </c>
      <c r="D573" s="4">
        <f>IFERROR(Target1[[#This Row],[Target Return]]+1,"-")</f>
        <v>1.0289971991290994</v>
      </c>
      <c r="E573" s="6">
        <f>B573-MAX($B$2:B573)</f>
        <v>-21.16</v>
      </c>
      <c r="F573" s="80">
        <f t="shared" si="25"/>
        <v>46</v>
      </c>
      <c r="G573" s="77">
        <f>Target1[[#This Row],[Target Drawdown]]/MAX($B$2:B573)</f>
        <v>-0.41007751937984493</v>
      </c>
      <c r="H573" s="1" t="str">
        <f>IF(SUM(COUNTIF(Benchmark1[Benchmark '#1 Dates],Target1[[#This Row],[Target Dates]]),COUNTIF(Benchmark2[Benchmark '#2 Dates],Target1[[#This Row],[Target Dates]]))=2,"Pass","Fail")</f>
        <v>Pass</v>
      </c>
      <c r="I573" s="78">
        <f t="shared" si="26"/>
        <v>-21.16</v>
      </c>
      <c r="K573" s="72">
        <f>Target1[[#This Row],[Target Price]]/$B$2*100</f>
        <v>177.07969749854567</v>
      </c>
      <c r="R573">
        <f>B574/Target1[[#This Row],[Target Price]]-1</f>
        <v>6.5703022339036465E-4</v>
      </c>
    </row>
    <row r="574" spans="1:18">
      <c r="A574" s="96">
        <v>44116</v>
      </c>
      <c r="B574" s="101">
        <v>30.46</v>
      </c>
      <c r="C574" s="4">
        <f t="shared" si="24"/>
        <v>6.5681447353075359E-4</v>
      </c>
      <c r="D574" s="4">
        <f>IFERROR(Target1[[#This Row],[Target Return]]+1,"-")</f>
        <v>1.0006568144735308</v>
      </c>
      <c r="E574" s="6">
        <f>B574-MAX($B$2:B574)</f>
        <v>-21.14</v>
      </c>
      <c r="F574" s="80">
        <f t="shared" si="25"/>
        <v>47</v>
      </c>
      <c r="G574" s="77">
        <f>Target1[[#This Row],[Target Drawdown]]/MAX($B$2:B574)</f>
        <v>-0.40968992248062014</v>
      </c>
      <c r="H574" s="1" t="str">
        <f>IF(SUM(COUNTIF(Benchmark1[Benchmark '#1 Dates],Target1[[#This Row],[Target Dates]]),COUNTIF(Benchmark2[Benchmark '#2 Dates],Target1[[#This Row],[Target Dates]]))=2,"Pass","Fail")</f>
        <v>Pass</v>
      </c>
      <c r="I574" s="78">
        <f t="shared" si="26"/>
        <v>-21.14</v>
      </c>
      <c r="K574" s="72">
        <f>Target1[[#This Row],[Target Price]]/$B$2*100</f>
        <v>177.196044211751</v>
      </c>
      <c r="R574">
        <f>B575/Target1[[#This Row],[Target Price]]-1</f>
        <v>1.7399868680236352E-2</v>
      </c>
    </row>
    <row r="575" spans="1:18">
      <c r="A575" s="96">
        <v>44117</v>
      </c>
      <c r="B575" s="101">
        <v>30.99</v>
      </c>
      <c r="C575" s="4">
        <f t="shared" si="24"/>
        <v>1.7250224332641093E-2</v>
      </c>
      <c r="D575" s="4">
        <f>IFERROR(Target1[[#This Row],[Target Return]]+1,"-")</f>
        <v>1.0172502243326411</v>
      </c>
      <c r="E575" s="6">
        <f>B575-MAX($B$2:B575)</f>
        <v>-20.610000000000003</v>
      </c>
      <c r="F575" s="80">
        <f t="shared" si="25"/>
        <v>48</v>
      </c>
      <c r="G575" s="77">
        <f>Target1[[#This Row],[Target Drawdown]]/MAX($B$2:B575)</f>
        <v>-0.39941860465116286</v>
      </c>
      <c r="H575" s="1" t="str">
        <f>IF(SUM(COUNTIF(Benchmark1[Benchmark '#1 Dates],Target1[[#This Row],[Target Dates]]),COUNTIF(Benchmark2[Benchmark '#2 Dates],Target1[[#This Row],[Target Dates]]))=2,"Pass","Fail")</f>
        <v>Pass</v>
      </c>
      <c r="I575" s="78">
        <f t="shared" si="26"/>
        <v>-20.610000000000003</v>
      </c>
      <c r="K575" s="72">
        <f>Target1[[#This Row],[Target Price]]/$B$2*100</f>
        <v>180.27923211169283</v>
      </c>
      <c r="R575">
        <f>B576/Target1[[#This Row],[Target Price]]-1</f>
        <v>-2.5492094223943162E-2</v>
      </c>
    </row>
    <row r="576" spans="1:18">
      <c r="A576" s="96">
        <v>44118</v>
      </c>
      <c r="B576" s="101">
        <v>30.2</v>
      </c>
      <c r="C576" s="4">
        <f t="shared" si="24"/>
        <v>-2.5822647418832868E-2</v>
      </c>
      <c r="D576" s="4">
        <f>IFERROR(Target1[[#This Row],[Target Return]]+1,"-")</f>
        <v>0.97417735258116711</v>
      </c>
      <c r="E576" s="6">
        <f>B576-MAX($B$2:B576)</f>
        <v>-21.400000000000002</v>
      </c>
      <c r="F576" s="80">
        <f t="shared" si="25"/>
        <v>49</v>
      </c>
      <c r="G576" s="77">
        <f>Target1[[#This Row],[Target Drawdown]]/MAX($B$2:B576)</f>
        <v>-0.41472868217054265</v>
      </c>
      <c r="H576" s="1" t="str">
        <f>IF(SUM(COUNTIF(Benchmark1[Benchmark '#1 Dates],Target1[[#This Row],[Target Dates]]),COUNTIF(Benchmark2[Benchmark '#2 Dates],Target1[[#This Row],[Target Dates]]))=2,"Pass","Fail")</f>
        <v>Pass</v>
      </c>
      <c r="I576" s="78">
        <f t="shared" si="26"/>
        <v>-21.400000000000002</v>
      </c>
      <c r="K576" s="72">
        <f>Target1[[#This Row],[Target Price]]/$B$2*100</f>
        <v>175.68353694008144</v>
      </c>
      <c r="R576">
        <f>B577/Target1[[#This Row],[Target Price]]-1</f>
        <v>-3.6423841059602946E-3</v>
      </c>
    </row>
    <row r="577" spans="1:18">
      <c r="A577" s="96">
        <v>44119</v>
      </c>
      <c r="B577" s="101">
        <v>30.09</v>
      </c>
      <c r="C577" s="4">
        <f t="shared" si="24"/>
        <v>-3.6490337388701299E-3</v>
      </c>
      <c r="D577" s="4">
        <f>IFERROR(Target1[[#This Row],[Target Return]]+1,"-")</f>
        <v>0.99635096626112984</v>
      </c>
      <c r="E577" s="6">
        <f>B577-MAX($B$2:B577)</f>
        <v>-21.51</v>
      </c>
      <c r="F577" s="80">
        <f t="shared" si="25"/>
        <v>50</v>
      </c>
      <c r="G577" s="77">
        <f>Target1[[#This Row],[Target Drawdown]]/MAX($B$2:B577)</f>
        <v>-0.41686046511627911</v>
      </c>
      <c r="H577" s="1" t="str">
        <f>IF(SUM(COUNTIF(Benchmark1[Benchmark '#1 Dates],Target1[[#This Row],[Target Dates]]),COUNTIF(Benchmark2[Benchmark '#2 Dates],Target1[[#This Row],[Target Dates]]))=2,"Pass","Fail")</f>
        <v>Pass</v>
      </c>
      <c r="I577" s="78">
        <f t="shared" si="26"/>
        <v>-21.51</v>
      </c>
      <c r="K577" s="72">
        <f>Target1[[#This Row],[Target Price]]/$B$2*100</f>
        <v>175.04363001745199</v>
      </c>
      <c r="R577">
        <f>B578/Target1[[#This Row],[Target Price]]-1</f>
        <v>-2.4260551678298437E-2</v>
      </c>
    </row>
    <row r="578" spans="1:18">
      <c r="A578" s="96">
        <v>44120</v>
      </c>
      <c r="B578" s="101">
        <v>29.36</v>
      </c>
      <c r="C578" s="4">
        <f t="shared" ref="C578:C641" si="27">IFERROR(IF(B578="","-",LN(B578/B577)),"-")</f>
        <v>-2.4559686895639022E-2</v>
      </c>
      <c r="D578" s="4">
        <f>IFERROR(Target1[[#This Row],[Target Return]]+1,"-")</f>
        <v>0.97544031310436097</v>
      </c>
      <c r="E578" s="6">
        <f>B578-MAX($B$2:B578)</f>
        <v>-22.240000000000002</v>
      </c>
      <c r="F578" s="80">
        <f t="shared" ref="F578:F641" si="28">IF(E578=0,0,F577+1)</f>
        <v>51</v>
      </c>
      <c r="G578" s="77">
        <f>Target1[[#This Row],[Target Drawdown]]/MAX($B$2:B578)</f>
        <v>-0.43100775193798452</v>
      </c>
      <c r="H578" s="1" t="str">
        <f>IF(SUM(COUNTIF(Benchmark1[Benchmark '#1 Dates],Target1[[#This Row],[Target Dates]]),COUNTIF(Benchmark2[Benchmark '#2 Dates],Target1[[#This Row],[Target Dates]]))=2,"Pass","Fail")</f>
        <v>Pass</v>
      </c>
      <c r="I578" s="78">
        <f t="shared" ref="I578:I641" si="29">$E$2+E578</f>
        <v>-22.240000000000002</v>
      </c>
      <c r="K578" s="72">
        <f>Target1[[#This Row],[Target Price]]/$B$2*100</f>
        <v>170.79697498545664</v>
      </c>
      <c r="R578">
        <f>B579/Target1[[#This Row],[Target Price]]-1</f>
        <v>-1.1920980926430458E-2</v>
      </c>
    </row>
    <row r="579" spans="1:18">
      <c r="A579" s="96">
        <v>44123</v>
      </c>
      <c r="B579" s="101">
        <v>29.01</v>
      </c>
      <c r="C579" s="4">
        <f t="shared" si="27"/>
        <v>-1.1992605613002123E-2</v>
      </c>
      <c r="D579" s="4">
        <f>IFERROR(Target1[[#This Row],[Target Return]]+1,"-")</f>
        <v>0.98800739438699792</v>
      </c>
      <c r="E579" s="6">
        <f>B579-MAX($B$2:B579)</f>
        <v>-22.59</v>
      </c>
      <c r="F579" s="80">
        <f t="shared" si="28"/>
        <v>52</v>
      </c>
      <c r="G579" s="77">
        <f>Target1[[#This Row],[Target Drawdown]]/MAX($B$2:B579)</f>
        <v>-0.43779069767441858</v>
      </c>
      <c r="H579" s="1" t="str">
        <f>IF(SUM(COUNTIF(Benchmark1[Benchmark '#1 Dates],Target1[[#This Row],[Target Dates]]),COUNTIF(Benchmark2[Benchmark '#2 Dates],Target1[[#This Row],[Target Dates]]))=2,"Pass","Fail")</f>
        <v>Pass</v>
      </c>
      <c r="I579" s="78">
        <f t="shared" si="29"/>
        <v>-22.59</v>
      </c>
      <c r="K579" s="72">
        <f>Target1[[#This Row],[Target Price]]/$B$2*100</f>
        <v>168.76090750436299</v>
      </c>
      <c r="R579">
        <f>B580/Target1[[#This Row],[Target Price]]-1</f>
        <v>4.8259220958288829E-3</v>
      </c>
    </row>
    <row r="580" spans="1:18">
      <c r="A580" s="96">
        <v>44124</v>
      </c>
      <c r="B580" s="101">
        <v>29.15</v>
      </c>
      <c r="C580" s="4">
        <f t="shared" si="27"/>
        <v>4.8143146631885944E-3</v>
      </c>
      <c r="D580" s="4">
        <f>IFERROR(Target1[[#This Row],[Target Return]]+1,"-")</f>
        <v>1.0048143146631885</v>
      </c>
      <c r="E580" s="6">
        <f>B580-MAX($B$2:B580)</f>
        <v>-22.450000000000003</v>
      </c>
      <c r="F580" s="80">
        <f t="shared" si="28"/>
        <v>53</v>
      </c>
      <c r="G580" s="77">
        <f>Target1[[#This Row],[Target Drawdown]]/MAX($B$2:B580)</f>
        <v>-0.43507751937984501</v>
      </c>
      <c r="H580" s="1" t="str">
        <f>IF(SUM(COUNTIF(Benchmark1[Benchmark '#1 Dates],Target1[[#This Row],[Target Dates]]),COUNTIF(Benchmark2[Benchmark '#2 Dates],Target1[[#This Row],[Target Dates]]))=2,"Pass","Fail")</f>
        <v>Pass</v>
      </c>
      <c r="I580" s="78">
        <f t="shared" si="29"/>
        <v>-22.450000000000003</v>
      </c>
      <c r="K580" s="72">
        <f>Target1[[#This Row],[Target Price]]/$B$2*100</f>
        <v>169.57533449680045</v>
      </c>
      <c r="R580">
        <f>B581/Target1[[#This Row],[Target Price]]-1</f>
        <v>-2.3327615780445954E-2</v>
      </c>
    </row>
    <row r="581" spans="1:18">
      <c r="A581" s="96">
        <v>44125</v>
      </c>
      <c r="B581" s="101">
        <v>28.47</v>
      </c>
      <c r="C581" s="4">
        <f t="shared" si="27"/>
        <v>-2.3604011506555181E-2</v>
      </c>
      <c r="D581" s="4">
        <f>IFERROR(Target1[[#This Row],[Target Return]]+1,"-")</f>
        <v>0.97639598849344478</v>
      </c>
      <c r="E581" s="6">
        <f>B581-MAX($B$2:B581)</f>
        <v>-23.130000000000003</v>
      </c>
      <c r="F581" s="80">
        <f t="shared" si="28"/>
        <v>54</v>
      </c>
      <c r="G581" s="77">
        <f>Target1[[#This Row],[Target Drawdown]]/MAX($B$2:B581)</f>
        <v>-0.4482558139534884</v>
      </c>
      <c r="H581" s="1" t="str">
        <f>IF(SUM(COUNTIF(Benchmark1[Benchmark '#1 Dates],Target1[[#This Row],[Target Dates]]),COUNTIF(Benchmark2[Benchmark '#2 Dates],Target1[[#This Row],[Target Dates]]))=2,"Pass","Fail")</f>
        <v>Pass</v>
      </c>
      <c r="I581" s="78">
        <f t="shared" si="29"/>
        <v>-23.130000000000003</v>
      </c>
      <c r="K581" s="72">
        <f>Target1[[#This Row],[Target Price]]/$B$2*100</f>
        <v>165.61954624781848</v>
      </c>
      <c r="R581">
        <f>B582/Target1[[#This Row],[Target Price]]-1</f>
        <v>1.6157358623112072E-2</v>
      </c>
    </row>
    <row r="582" spans="1:18">
      <c r="A582" s="96">
        <v>44126</v>
      </c>
      <c r="B582" s="101">
        <v>28.93</v>
      </c>
      <c r="C582" s="4">
        <f t="shared" si="27"/>
        <v>1.6028217698097563E-2</v>
      </c>
      <c r="D582" s="4">
        <f>IFERROR(Target1[[#This Row],[Target Return]]+1,"-")</f>
        <v>1.0160282176980975</v>
      </c>
      <c r="E582" s="6">
        <f>B582-MAX($B$2:B582)</f>
        <v>-22.67</v>
      </c>
      <c r="F582" s="80">
        <f t="shared" si="28"/>
        <v>55</v>
      </c>
      <c r="G582" s="77">
        <f>Target1[[#This Row],[Target Drawdown]]/MAX($B$2:B582)</f>
        <v>-0.43934108527131788</v>
      </c>
      <c r="H582" s="1" t="str">
        <f>IF(SUM(COUNTIF(Benchmark1[Benchmark '#1 Dates],Target1[[#This Row],[Target Dates]]),COUNTIF(Benchmark2[Benchmark '#2 Dates],Target1[[#This Row],[Target Dates]]))=2,"Pass","Fail")</f>
        <v>Pass</v>
      </c>
      <c r="I582" s="78">
        <f t="shared" si="29"/>
        <v>-22.67</v>
      </c>
      <c r="K582" s="72">
        <f>Target1[[#This Row],[Target Price]]/$B$2*100</f>
        <v>168.29552065154158</v>
      </c>
      <c r="R582">
        <f>B583/Target1[[#This Row],[Target Price]]-1</f>
        <v>-7.9502246802627408E-3</v>
      </c>
    </row>
    <row r="583" spans="1:18">
      <c r="A583" s="96">
        <v>44127</v>
      </c>
      <c r="B583" s="101">
        <v>28.7</v>
      </c>
      <c r="C583" s="4">
        <f t="shared" si="27"/>
        <v>-7.9819962224683405E-3</v>
      </c>
      <c r="D583" s="4">
        <f>IFERROR(Target1[[#This Row],[Target Return]]+1,"-")</f>
        <v>0.99201800377753169</v>
      </c>
      <c r="E583" s="6">
        <f>B583-MAX($B$2:B583)</f>
        <v>-22.900000000000002</v>
      </c>
      <c r="F583" s="80">
        <f t="shared" si="28"/>
        <v>56</v>
      </c>
      <c r="G583" s="77">
        <f>Target1[[#This Row],[Target Drawdown]]/MAX($B$2:B583)</f>
        <v>-0.44379844961240311</v>
      </c>
      <c r="H583" s="1" t="str">
        <f>IF(SUM(COUNTIF(Benchmark1[Benchmark '#1 Dates],Target1[[#This Row],[Target Dates]]),COUNTIF(Benchmark2[Benchmark '#2 Dates],Target1[[#This Row],[Target Dates]]))=2,"Pass","Fail")</f>
        <v>Pass</v>
      </c>
      <c r="I583" s="78">
        <f t="shared" si="29"/>
        <v>-22.900000000000002</v>
      </c>
      <c r="K583" s="72">
        <f>Target1[[#This Row],[Target Price]]/$B$2*100</f>
        <v>166.95753344968003</v>
      </c>
      <c r="R583">
        <f>B584/Target1[[#This Row],[Target Price]]-1</f>
        <v>-1.6376306620209058E-2</v>
      </c>
    </row>
    <row r="584" spans="1:18">
      <c r="A584" s="96">
        <v>44130</v>
      </c>
      <c r="B584" s="101">
        <v>28.23</v>
      </c>
      <c r="C584" s="4">
        <f t="shared" si="27"/>
        <v>-1.6511880500177465E-2</v>
      </c>
      <c r="D584" s="4">
        <f>IFERROR(Target1[[#This Row],[Target Return]]+1,"-")</f>
        <v>0.98348811949982251</v>
      </c>
      <c r="E584" s="6">
        <f>B584-MAX($B$2:B584)</f>
        <v>-23.37</v>
      </c>
      <c r="F584" s="80">
        <f t="shared" si="28"/>
        <v>57</v>
      </c>
      <c r="G584" s="77">
        <f>Target1[[#This Row],[Target Drawdown]]/MAX($B$2:B584)</f>
        <v>-0.45290697674418606</v>
      </c>
      <c r="H584" s="1" t="str">
        <f>IF(SUM(COUNTIF(Benchmark1[Benchmark '#1 Dates],Target1[[#This Row],[Target Dates]]),COUNTIF(Benchmark2[Benchmark '#2 Dates],Target1[[#This Row],[Target Dates]]))=2,"Pass","Fail")</f>
        <v>Pass</v>
      </c>
      <c r="I584" s="78">
        <f t="shared" si="29"/>
        <v>-23.37</v>
      </c>
      <c r="K584" s="72">
        <f>Target1[[#This Row],[Target Price]]/$B$2*100</f>
        <v>164.22338568935427</v>
      </c>
      <c r="R584">
        <f>B585/Target1[[#This Row],[Target Price]]-1</f>
        <v>2.4796315975912142E-2</v>
      </c>
    </row>
    <row r="585" spans="1:18">
      <c r="A585" s="96">
        <v>44131</v>
      </c>
      <c r="B585" s="101">
        <v>28.93</v>
      </c>
      <c r="C585" s="4">
        <f t="shared" si="27"/>
        <v>2.449387672264576E-2</v>
      </c>
      <c r="D585" s="4">
        <f>IFERROR(Target1[[#This Row],[Target Return]]+1,"-")</f>
        <v>1.0244938767226457</v>
      </c>
      <c r="E585" s="6">
        <f>B585-MAX($B$2:B585)</f>
        <v>-22.67</v>
      </c>
      <c r="F585" s="80">
        <f t="shared" si="28"/>
        <v>58</v>
      </c>
      <c r="G585" s="77">
        <f>Target1[[#This Row],[Target Drawdown]]/MAX($B$2:B585)</f>
        <v>-0.43934108527131788</v>
      </c>
      <c r="H585" s="1" t="str">
        <f>IF(SUM(COUNTIF(Benchmark1[Benchmark '#1 Dates],Target1[[#This Row],[Target Dates]]),COUNTIF(Benchmark2[Benchmark '#2 Dates],Target1[[#This Row],[Target Dates]]))=2,"Pass","Fail")</f>
        <v>Pass</v>
      </c>
      <c r="I585" s="78">
        <f t="shared" si="29"/>
        <v>-22.67</v>
      </c>
      <c r="K585" s="72">
        <f>Target1[[#This Row],[Target Price]]/$B$2*100</f>
        <v>168.29552065154158</v>
      </c>
      <c r="R585">
        <f>B586/Target1[[#This Row],[Target Price]]-1</f>
        <v>-6.3947459384721794E-2</v>
      </c>
    </row>
    <row r="586" spans="1:18">
      <c r="A586" s="96">
        <v>44132</v>
      </c>
      <c r="B586" s="101">
        <v>27.08</v>
      </c>
      <c r="C586" s="4">
        <f t="shared" si="27"/>
        <v>-6.6083670943969539E-2</v>
      </c>
      <c r="D586" s="4">
        <f>IFERROR(Target1[[#This Row],[Target Return]]+1,"-")</f>
        <v>0.9339163290560305</v>
      </c>
      <c r="E586" s="6">
        <f>B586-MAX($B$2:B586)</f>
        <v>-24.520000000000003</v>
      </c>
      <c r="F586" s="80">
        <f t="shared" si="28"/>
        <v>59</v>
      </c>
      <c r="G586" s="77">
        <f>Target1[[#This Row],[Target Drawdown]]/MAX($B$2:B586)</f>
        <v>-0.47519379844961246</v>
      </c>
      <c r="H586" s="1" t="str">
        <f>IF(SUM(COUNTIF(Benchmark1[Benchmark '#1 Dates],Target1[[#This Row],[Target Dates]]),COUNTIF(Benchmark2[Benchmark '#2 Dates],Target1[[#This Row],[Target Dates]]))=2,"Pass","Fail")</f>
        <v>Pass</v>
      </c>
      <c r="I586" s="78">
        <f t="shared" si="29"/>
        <v>-24.520000000000003</v>
      </c>
      <c r="K586" s="72">
        <f>Target1[[#This Row],[Target Price]]/$B$2*100</f>
        <v>157.53344968004652</v>
      </c>
      <c r="R586">
        <f>B587/Target1[[#This Row],[Target Price]]-1</f>
        <v>-7.0162481536188981E-2</v>
      </c>
    </row>
    <row r="587" spans="1:18">
      <c r="A587" s="96">
        <v>44133</v>
      </c>
      <c r="B587" s="101">
        <v>25.18</v>
      </c>
      <c r="C587" s="4">
        <f t="shared" si="27"/>
        <v>-7.2745419427873034E-2</v>
      </c>
      <c r="D587" s="4">
        <f>IFERROR(Target1[[#This Row],[Target Return]]+1,"-")</f>
        <v>0.92725458057212695</v>
      </c>
      <c r="E587" s="6">
        <f>B587-MAX($B$2:B587)</f>
        <v>-26.42</v>
      </c>
      <c r="F587" s="80">
        <f t="shared" si="28"/>
        <v>60</v>
      </c>
      <c r="G587" s="77">
        <f>Target1[[#This Row],[Target Drawdown]]/MAX($B$2:B587)</f>
        <v>-0.51201550387596906</v>
      </c>
      <c r="H587" s="1" t="str">
        <f>IF(SUM(COUNTIF(Benchmark1[Benchmark '#1 Dates],Target1[[#This Row],[Target Dates]]),COUNTIF(Benchmark2[Benchmark '#2 Dates],Target1[[#This Row],[Target Dates]]))=2,"Pass","Fail")</f>
        <v>Pass</v>
      </c>
      <c r="I587" s="78">
        <f t="shared" si="29"/>
        <v>-26.42</v>
      </c>
      <c r="K587" s="72">
        <f>Target1[[#This Row],[Target Price]]/$B$2*100</f>
        <v>146.48051192553808</v>
      </c>
      <c r="R587">
        <f>B588/Target1[[#This Row],[Target Price]]-1</f>
        <v>-5.2025416997617091E-2</v>
      </c>
    </row>
    <row r="588" spans="1:18">
      <c r="A588" s="96">
        <v>44134</v>
      </c>
      <c r="B588" s="101">
        <v>23.87</v>
      </c>
      <c r="C588" s="4">
        <f t="shared" si="27"/>
        <v>-5.342758826546231E-2</v>
      </c>
      <c r="D588" s="4">
        <f>IFERROR(Target1[[#This Row],[Target Return]]+1,"-")</f>
        <v>0.94657241173453766</v>
      </c>
      <c r="E588" s="6">
        <f>B588-MAX($B$2:B588)</f>
        <v>-27.73</v>
      </c>
      <c r="F588" s="80">
        <f t="shared" si="28"/>
        <v>61</v>
      </c>
      <c r="G588" s="77">
        <f>Target1[[#This Row],[Target Drawdown]]/MAX($B$2:B588)</f>
        <v>-0.53740310077519382</v>
      </c>
      <c r="H588" s="1" t="str">
        <f>IF(SUM(COUNTIF(Benchmark1[Benchmark '#1 Dates],Target1[[#This Row],[Target Dates]]),COUNTIF(Benchmark2[Benchmark '#2 Dates],Target1[[#This Row],[Target Dates]]))=2,"Pass","Fail")</f>
        <v>Pass</v>
      </c>
      <c r="I588" s="78">
        <f t="shared" si="29"/>
        <v>-27.73</v>
      </c>
      <c r="K588" s="72">
        <f>Target1[[#This Row],[Target Price]]/$B$2*100</f>
        <v>138.85980221058756</v>
      </c>
      <c r="R588">
        <f>B589/Target1[[#This Row],[Target Price]]-1</f>
        <v>-1.1311269375785526E-2</v>
      </c>
    </row>
    <row r="589" spans="1:18">
      <c r="A589" s="96">
        <v>44137</v>
      </c>
      <c r="B589" s="101">
        <v>23.6</v>
      </c>
      <c r="C589" s="4">
        <f t="shared" si="27"/>
        <v>-1.1375728319174364E-2</v>
      </c>
      <c r="D589" s="4">
        <f>IFERROR(Target1[[#This Row],[Target Return]]+1,"-")</f>
        <v>0.98862427168082567</v>
      </c>
      <c r="E589" s="6">
        <f>B589-MAX($B$2:B589)</f>
        <v>-28</v>
      </c>
      <c r="F589" s="80">
        <f t="shared" si="28"/>
        <v>62</v>
      </c>
      <c r="G589" s="77">
        <f>Target1[[#This Row],[Target Drawdown]]/MAX($B$2:B589)</f>
        <v>-0.54263565891472865</v>
      </c>
      <c r="H589" s="1" t="str">
        <f>IF(SUM(COUNTIF(Benchmark1[Benchmark '#1 Dates],Target1[[#This Row],[Target Dates]]),COUNTIF(Benchmark2[Benchmark '#2 Dates],Target1[[#This Row],[Target Dates]]))=2,"Pass","Fail")</f>
        <v>Pass</v>
      </c>
      <c r="I589" s="78">
        <f t="shared" si="29"/>
        <v>-28</v>
      </c>
      <c r="K589" s="72">
        <f>Target1[[#This Row],[Target Price]]/$B$2*100</f>
        <v>137.28912158231529</v>
      </c>
      <c r="R589">
        <f>B590/Target1[[#This Row],[Target Price]]-1</f>
        <v>3.0084745762711806E-2</v>
      </c>
    </row>
    <row r="590" spans="1:18">
      <c r="A590" s="96">
        <v>44138</v>
      </c>
      <c r="B590" s="101">
        <v>24.31</v>
      </c>
      <c r="C590" s="4">
        <f t="shared" si="27"/>
        <v>2.9641076296467551E-2</v>
      </c>
      <c r="D590" s="4">
        <f>IFERROR(Target1[[#This Row],[Target Return]]+1,"-")</f>
        <v>1.0296410762964676</v>
      </c>
      <c r="E590" s="6">
        <f>B590-MAX($B$2:B590)</f>
        <v>-27.290000000000003</v>
      </c>
      <c r="F590" s="80">
        <f t="shared" si="28"/>
        <v>63</v>
      </c>
      <c r="G590" s="77">
        <f>Target1[[#This Row],[Target Drawdown]]/MAX($B$2:B590)</f>
        <v>-0.52887596899224809</v>
      </c>
      <c r="H590" s="1" t="str">
        <f>IF(SUM(COUNTIF(Benchmark1[Benchmark '#1 Dates],Target1[[#This Row],[Target Dates]]),COUNTIF(Benchmark2[Benchmark '#2 Dates],Target1[[#This Row],[Target Dates]]))=2,"Pass","Fail")</f>
        <v>Pass</v>
      </c>
      <c r="I590" s="78">
        <f t="shared" si="29"/>
        <v>-27.290000000000003</v>
      </c>
      <c r="K590" s="72">
        <f>Target1[[#This Row],[Target Price]]/$B$2*100</f>
        <v>141.41942990110527</v>
      </c>
      <c r="R590">
        <f>B591/Target1[[#This Row],[Target Price]]-1</f>
        <v>5.3887289181406839E-2</v>
      </c>
    </row>
    <row r="591" spans="1:18">
      <c r="A591" s="96">
        <v>44139</v>
      </c>
      <c r="B591" s="101">
        <v>25.62</v>
      </c>
      <c r="C591" s="4">
        <f t="shared" si="27"/>
        <v>5.2485508140556206E-2</v>
      </c>
      <c r="D591" s="4">
        <f>IFERROR(Target1[[#This Row],[Target Return]]+1,"-")</f>
        <v>1.0524855081405562</v>
      </c>
      <c r="E591" s="6">
        <f>B591-MAX($B$2:B591)</f>
        <v>-25.98</v>
      </c>
      <c r="F591" s="80">
        <f t="shared" si="28"/>
        <v>64</v>
      </c>
      <c r="G591" s="77">
        <f>Target1[[#This Row],[Target Drawdown]]/MAX($B$2:B591)</f>
        <v>-0.50348837209302322</v>
      </c>
      <c r="H591" s="1" t="str">
        <f>IF(SUM(COUNTIF(Benchmark1[Benchmark '#1 Dates],Target1[[#This Row],[Target Dates]]),COUNTIF(Benchmark2[Benchmark '#2 Dates],Target1[[#This Row],[Target Dates]]))=2,"Pass","Fail")</f>
        <v>Pass</v>
      </c>
      <c r="I591" s="78">
        <f t="shared" si="29"/>
        <v>-25.98</v>
      </c>
      <c r="K591" s="72">
        <f>Target1[[#This Row],[Target Price]]/$B$2*100</f>
        <v>149.04013961605585</v>
      </c>
      <c r="R591">
        <f>B592/Target1[[#This Row],[Target Price]]-1</f>
        <v>-1.87353629976581E-2</v>
      </c>
    </row>
    <row r="592" spans="1:18">
      <c r="A592" s="96">
        <v>44140</v>
      </c>
      <c r="B592" s="101">
        <v>25.14</v>
      </c>
      <c r="C592" s="4">
        <f t="shared" si="27"/>
        <v>-1.8913093306486845E-2</v>
      </c>
      <c r="D592" s="4">
        <f>IFERROR(Target1[[#This Row],[Target Return]]+1,"-")</f>
        <v>0.98108690669351317</v>
      </c>
      <c r="E592" s="6">
        <f>B592-MAX($B$2:B592)</f>
        <v>-26.46</v>
      </c>
      <c r="F592" s="80">
        <f t="shared" si="28"/>
        <v>65</v>
      </c>
      <c r="G592" s="77">
        <f>Target1[[#This Row],[Target Drawdown]]/MAX($B$2:B592)</f>
        <v>-0.51279069767441865</v>
      </c>
      <c r="H592" s="1" t="str">
        <f>IF(SUM(COUNTIF(Benchmark1[Benchmark '#1 Dates],Target1[[#This Row],[Target Dates]]),COUNTIF(Benchmark2[Benchmark '#2 Dates],Target1[[#This Row],[Target Dates]]))=2,"Pass","Fail")</f>
        <v>Pass</v>
      </c>
      <c r="I592" s="78">
        <f t="shared" si="29"/>
        <v>-26.46</v>
      </c>
      <c r="K592" s="72">
        <f>Target1[[#This Row],[Target Price]]/$B$2*100</f>
        <v>146.24781849912739</v>
      </c>
      <c r="R592">
        <f>B593/Target1[[#This Row],[Target Price]]-1</f>
        <v>-4.3754972155926053E-3</v>
      </c>
    </row>
    <row r="593" spans="1:18">
      <c r="A593" s="96">
        <v>44141</v>
      </c>
      <c r="B593" s="101">
        <v>25.03</v>
      </c>
      <c r="C593" s="4">
        <f t="shared" si="27"/>
        <v>-4.3850977184184412E-3</v>
      </c>
      <c r="D593" s="4">
        <f>IFERROR(Target1[[#This Row],[Target Return]]+1,"-")</f>
        <v>0.99561490228158156</v>
      </c>
      <c r="E593" s="6">
        <f>B593-MAX($B$2:B593)</f>
        <v>-26.57</v>
      </c>
      <c r="F593" s="80">
        <f t="shared" si="28"/>
        <v>66</v>
      </c>
      <c r="G593" s="77">
        <f>Target1[[#This Row],[Target Drawdown]]/MAX($B$2:B593)</f>
        <v>-0.514922480620155</v>
      </c>
      <c r="H593" s="1" t="str">
        <f>IF(SUM(COUNTIF(Benchmark1[Benchmark '#1 Dates],Target1[[#This Row],[Target Dates]]),COUNTIF(Benchmark2[Benchmark '#2 Dates],Target1[[#This Row],[Target Dates]]))=2,"Pass","Fail")</f>
        <v>Pass</v>
      </c>
      <c r="I593" s="78">
        <f t="shared" si="29"/>
        <v>-26.57</v>
      </c>
      <c r="K593" s="72">
        <f>Target1[[#This Row],[Target Price]]/$B$2*100</f>
        <v>145.60791157649794</v>
      </c>
      <c r="R593">
        <f>B594/Target1[[#This Row],[Target Price]]-1</f>
        <v>-0.13703555733120254</v>
      </c>
    </row>
    <row r="594" spans="1:18">
      <c r="A594" s="96">
        <v>44144</v>
      </c>
      <c r="B594" s="101">
        <v>21.6</v>
      </c>
      <c r="C594" s="4">
        <f t="shared" si="27"/>
        <v>-0.1473817907535635</v>
      </c>
      <c r="D594" s="4">
        <f>IFERROR(Target1[[#This Row],[Target Return]]+1,"-")</f>
        <v>0.8526182092464365</v>
      </c>
      <c r="E594" s="6">
        <f>B594-MAX($B$2:B594)</f>
        <v>-30</v>
      </c>
      <c r="F594" s="80">
        <f t="shared" si="28"/>
        <v>67</v>
      </c>
      <c r="G594" s="77">
        <f>Target1[[#This Row],[Target Drawdown]]/MAX($B$2:B594)</f>
        <v>-0.58139534883720934</v>
      </c>
      <c r="H594" s="1" t="str">
        <f>IF(SUM(COUNTIF(Benchmark1[Benchmark '#1 Dates],Target1[[#This Row],[Target Dates]]),COUNTIF(Benchmark2[Benchmark '#2 Dates],Target1[[#This Row],[Target Dates]]))=2,"Pass","Fail")</f>
        <v>Pass</v>
      </c>
      <c r="I594" s="78">
        <f t="shared" si="29"/>
        <v>-30</v>
      </c>
      <c r="K594" s="72">
        <f>Target1[[#This Row],[Target Price]]/$B$2*100</f>
        <v>125.6544502617801</v>
      </c>
      <c r="R594">
        <f>B595/Target1[[#This Row],[Target Price]]-1</f>
        <v>-2.5462962962963021E-2</v>
      </c>
    </row>
    <row r="595" spans="1:18">
      <c r="A595" s="96">
        <v>44145</v>
      </c>
      <c r="B595" s="101">
        <v>21.05</v>
      </c>
      <c r="C595" s="4">
        <f t="shared" si="27"/>
        <v>-2.5792754561728953E-2</v>
      </c>
      <c r="D595" s="4">
        <f>IFERROR(Target1[[#This Row],[Target Return]]+1,"-")</f>
        <v>0.97420724543827109</v>
      </c>
      <c r="E595" s="6">
        <f>B595-MAX($B$2:B595)</f>
        <v>-30.55</v>
      </c>
      <c r="F595" s="80">
        <f t="shared" si="28"/>
        <v>68</v>
      </c>
      <c r="G595" s="77">
        <f>Target1[[#This Row],[Target Drawdown]]/MAX($B$2:B595)</f>
        <v>-0.59205426356589153</v>
      </c>
      <c r="H595" s="1" t="str">
        <f>IF(SUM(COUNTIF(Benchmark1[Benchmark '#1 Dates],Target1[[#This Row],[Target Dates]]),COUNTIF(Benchmark2[Benchmark '#2 Dates],Target1[[#This Row],[Target Dates]]))=2,"Pass","Fail")</f>
        <v>Pass</v>
      </c>
      <c r="I595" s="78">
        <f t="shared" si="29"/>
        <v>-30.55</v>
      </c>
      <c r="K595" s="72">
        <f>Target1[[#This Row],[Target Price]]/$B$2*100</f>
        <v>122.45491564863291</v>
      </c>
      <c r="R595">
        <f>B596/Target1[[#This Row],[Target Price]]-1</f>
        <v>2.4703087885985742E-2</v>
      </c>
    </row>
    <row r="596" spans="1:18">
      <c r="A596" s="96">
        <v>44146</v>
      </c>
      <c r="B596" s="101">
        <v>21.57</v>
      </c>
      <c r="C596" s="4">
        <f t="shared" si="27"/>
        <v>2.4402900272674583E-2</v>
      </c>
      <c r="D596" s="4">
        <f>IFERROR(Target1[[#This Row],[Target Return]]+1,"-")</f>
        <v>1.0244029002726747</v>
      </c>
      <c r="E596" s="6">
        <f>B596-MAX($B$2:B596)</f>
        <v>-30.03</v>
      </c>
      <c r="F596" s="80">
        <f t="shared" si="28"/>
        <v>69</v>
      </c>
      <c r="G596" s="77">
        <f>Target1[[#This Row],[Target Drawdown]]/MAX($B$2:B596)</f>
        <v>-0.5819767441860465</v>
      </c>
      <c r="H596" s="1" t="str">
        <f>IF(SUM(COUNTIF(Benchmark1[Benchmark '#1 Dates],Target1[[#This Row],[Target Dates]]),COUNTIF(Benchmark2[Benchmark '#2 Dates],Target1[[#This Row],[Target Dates]]))=2,"Pass","Fail")</f>
        <v>Pass</v>
      </c>
      <c r="I596" s="78">
        <f t="shared" si="29"/>
        <v>-30.03</v>
      </c>
      <c r="K596" s="72">
        <f>Target1[[#This Row],[Target Price]]/$B$2*100</f>
        <v>125.47993019197207</v>
      </c>
      <c r="R596">
        <f>B597/Target1[[#This Row],[Target Price]]-1</f>
        <v>8.8085303662495118E-3</v>
      </c>
    </row>
    <row r="597" spans="1:18">
      <c r="A597" s="96">
        <v>44147</v>
      </c>
      <c r="B597" s="101">
        <v>21.76</v>
      </c>
      <c r="C597" s="4">
        <f t="shared" si="27"/>
        <v>8.7699615866769567E-3</v>
      </c>
      <c r="D597" s="4">
        <f>IFERROR(Target1[[#This Row],[Target Return]]+1,"-")</f>
        <v>1.008769961586677</v>
      </c>
      <c r="E597" s="6">
        <f>B597-MAX($B$2:B597)</f>
        <v>-29.84</v>
      </c>
      <c r="F597" s="80">
        <f t="shared" si="28"/>
        <v>70</v>
      </c>
      <c r="G597" s="77">
        <f>Target1[[#This Row],[Target Drawdown]]/MAX($B$2:B597)</f>
        <v>-0.57829457364341086</v>
      </c>
      <c r="H597" s="1" t="str">
        <f>IF(SUM(COUNTIF(Benchmark1[Benchmark '#1 Dates],Target1[[#This Row],[Target Dates]]),COUNTIF(Benchmark2[Benchmark '#2 Dates],Target1[[#This Row],[Target Dates]]))=2,"Pass","Fail")</f>
        <v>Pass</v>
      </c>
      <c r="I597" s="78">
        <f t="shared" si="29"/>
        <v>-29.84</v>
      </c>
      <c r="K597" s="72">
        <f>Target1[[#This Row],[Target Price]]/$B$2*100</f>
        <v>126.58522396742291</v>
      </c>
      <c r="R597">
        <f>B598/Target1[[#This Row],[Target Price]]-1</f>
        <v>6.1121323529411686E-2</v>
      </c>
    </row>
    <row r="598" spans="1:18">
      <c r="A598" s="96">
        <v>44148</v>
      </c>
      <c r="B598" s="101">
        <v>23.09</v>
      </c>
      <c r="C598" s="4">
        <f t="shared" si="27"/>
        <v>5.9326201378662034E-2</v>
      </c>
      <c r="D598" s="4">
        <f>IFERROR(Target1[[#This Row],[Target Return]]+1,"-")</f>
        <v>1.059326201378662</v>
      </c>
      <c r="E598" s="6">
        <f>B598-MAX($B$2:B598)</f>
        <v>-28.51</v>
      </c>
      <c r="F598" s="80">
        <f t="shared" si="28"/>
        <v>71</v>
      </c>
      <c r="G598" s="77">
        <f>Target1[[#This Row],[Target Drawdown]]/MAX($B$2:B598)</f>
        <v>-0.55251937984496124</v>
      </c>
      <c r="H598" s="1" t="str">
        <f>IF(SUM(COUNTIF(Benchmark1[Benchmark '#1 Dates],Target1[[#This Row],[Target Dates]]),COUNTIF(Benchmark2[Benchmark '#2 Dates],Target1[[#This Row],[Target Dates]]))=2,"Pass","Fail")</f>
        <v>Pass</v>
      </c>
      <c r="I598" s="78">
        <f t="shared" si="29"/>
        <v>-28.51</v>
      </c>
      <c r="K598" s="72">
        <f>Target1[[#This Row],[Target Price]]/$B$2*100</f>
        <v>134.32228039557882</v>
      </c>
      <c r="R598">
        <f>B599/Target1[[#This Row],[Target Price]]-1</f>
        <v>-1.9488956258120416E-2</v>
      </c>
    </row>
    <row r="599" spans="1:18">
      <c r="A599" s="96">
        <v>44151</v>
      </c>
      <c r="B599" s="101">
        <v>22.64</v>
      </c>
      <c r="C599" s="4">
        <f t="shared" si="27"/>
        <v>-1.968137003142182E-2</v>
      </c>
      <c r="D599" s="4">
        <f>IFERROR(Target1[[#This Row],[Target Return]]+1,"-")</f>
        <v>0.98031862996857821</v>
      </c>
      <c r="E599" s="6">
        <f>B599-MAX($B$2:B599)</f>
        <v>-28.96</v>
      </c>
      <c r="F599" s="80">
        <f t="shared" si="28"/>
        <v>72</v>
      </c>
      <c r="G599" s="77">
        <f>Target1[[#This Row],[Target Drawdown]]/MAX($B$2:B599)</f>
        <v>-0.5612403100775194</v>
      </c>
      <c r="H599" s="1" t="str">
        <f>IF(SUM(COUNTIF(Benchmark1[Benchmark '#1 Dates],Target1[[#This Row],[Target Dates]]),COUNTIF(Benchmark2[Benchmark '#2 Dates],Target1[[#This Row],[Target Dates]]))=2,"Pass","Fail")</f>
        <v>Pass</v>
      </c>
      <c r="I599" s="78">
        <f t="shared" si="29"/>
        <v>-28.96</v>
      </c>
      <c r="K599" s="72">
        <f>Target1[[#This Row],[Target Price]]/$B$2*100</f>
        <v>131.70447934845839</v>
      </c>
      <c r="R599">
        <f>B600/Target1[[#This Row],[Target Price]]-1</f>
        <v>-1.9876325088339142E-2</v>
      </c>
    </row>
    <row r="600" spans="1:18">
      <c r="A600" s="96">
        <v>44152</v>
      </c>
      <c r="B600" s="101">
        <v>22.19</v>
      </c>
      <c r="C600" s="4">
        <f t="shared" si="27"/>
        <v>-2.0076516390479551E-2</v>
      </c>
      <c r="D600" s="4">
        <f>IFERROR(Target1[[#This Row],[Target Return]]+1,"-")</f>
        <v>0.97992348360952042</v>
      </c>
      <c r="E600" s="6">
        <f>B600-MAX($B$2:B600)</f>
        <v>-29.41</v>
      </c>
      <c r="F600" s="80">
        <f t="shared" si="28"/>
        <v>73</v>
      </c>
      <c r="G600" s="77">
        <f>Target1[[#This Row],[Target Drawdown]]/MAX($B$2:B600)</f>
        <v>-0.56996124031007755</v>
      </c>
      <c r="H600" s="1" t="str">
        <f>IF(SUM(COUNTIF(Benchmark1[Benchmark '#1 Dates],Target1[[#This Row],[Target Dates]]),COUNTIF(Benchmark2[Benchmark '#2 Dates],Target1[[#This Row],[Target Dates]]))=2,"Pass","Fail")</f>
        <v>Pass</v>
      </c>
      <c r="I600" s="78">
        <f t="shared" si="29"/>
        <v>-29.41</v>
      </c>
      <c r="K600" s="72">
        <f>Target1[[#This Row],[Target Price]]/$B$2*100</f>
        <v>129.08667830133797</v>
      </c>
      <c r="R600">
        <f>B601/Target1[[#This Row],[Target Price]]-1</f>
        <v>7.7963046417305115E-2</v>
      </c>
    </row>
    <row r="601" spans="1:18">
      <c r="A601" s="96">
        <v>44153</v>
      </c>
      <c r="B601" s="101">
        <v>23.92</v>
      </c>
      <c r="C601" s="4">
        <f t="shared" si="27"/>
        <v>7.5073192137928457E-2</v>
      </c>
      <c r="D601" s="4">
        <f>IFERROR(Target1[[#This Row],[Target Return]]+1,"-")</f>
        <v>1.0750731921379284</v>
      </c>
      <c r="E601" s="6">
        <f>B601-MAX($B$2:B601)</f>
        <v>-27.68</v>
      </c>
      <c r="F601" s="80">
        <f t="shared" si="28"/>
        <v>74</v>
      </c>
      <c r="G601" s="77">
        <f>Target1[[#This Row],[Target Drawdown]]/MAX($B$2:B601)</f>
        <v>-0.5364341085271318</v>
      </c>
      <c r="H601" s="1" t="str">
        <f>IF(SUM(COUNTIF(Benchmark1[Benchmark '#1 Dates],Target1[[#This Row],[Target Dates]]),COUNTIF(Benchmark2[Benchmark '#2 Dates],Target1[[#This Row],[Target Dates]]))=2,"Pass","Fail")</f>
        <v>Pass</v>
      </c>
      <c r="I601" s="78">
        <f t="shared" si="29"/>
        <v>-27.68</v>
      </c>
      <c r="K601" s="72">
        <f>Target1[[#This Row],[Target Price]]/$B$2*100</f>
        <v>139.15066899360093</v>
      </c>
      <c r="R601">
        <f>B602/Target1[[#This Row],[Target Price]]-1</f>
        <v>9.6153846153845812E-3</v>
      </c>
    </row>
    <row r="602" spans="1:18">
      <c r="A602" s="96">
        <v>44154</v>
      </c>
      <c r="B602" s="101">
        <v>24.15</v>
      </c>
      <c r="C602" s="4">
        <f t="shared" si="27"/>
        <v>9.5694510161506725E-3</v>
      </c>
      <c r="D602" s="4">
        <f>IFERROR(Target1[[#This Row],[Target Return]]+1,"-")</f>
        <v>1.0095694510161506</v>
      </c>
      <c r="E602" s="6">
        <f>B602-MAX($B$2:B602)</f>
        <v>-27.450000000000003</v>
      </c>
      <c r="F602" s="80">
        <f t="shared" si="28"/>
        <v>75</v>
      </c>
      <c r="G602" s="77">
        <f>Target1[[#This Row],[Target Drawdown]]/MAX($B$2:B602)</f>
        <v>-0.53197674418604657</v>
      </c>
      <c r="H602" s="1" t="str">
        <f>IF(SUM(COUNTIF(Benchmark1[Benchmark '#1 Dates],Target1[[#This Row],[Target Dates]]),COUNTIF(Benchmark2[Benchmark '#2 Dates],Target1[[#This Row],[Target Dates]]))=2,"Pass","Fail")</f>
        <v>Pass</v>
      </c>
      <c r="I602" s="78">
        <f t="shared" si="29"/>
        <v>-27.450000000000003</v>
      </c>
      <c r="K602" s="72">
        <f>Target1[[#This Row],[Target Price]]/$B$2*100</f>
        <v>140.48865619546248</v>
      </c>
      <c r="R602">
        <f>B603/Target1[[#This Row],[Target Price]]-1</f>
        <v>-1.4078674948240111E-2</v>
      </c>
    </row>
    <row r="603" spans="1:18">
      <c r="A603" s="96">
        <v>44155</v>
      </c>
      <c r="B603" s="101">
        <v>23.81</v>
      </c>
      <c r="C603" s="4">
        <f t="shared" si="27"/>
        <v>-1.4178719599810225E-2</v>
      </c>
      <c r="D603" s="4">
        <f>IFERROR(Target1[[#This Row],[Target Return]]+1,"-")</f>
        <v>0.98582128040018979</v>
      </c>
      <c r="E603" s="6">
        <f>B603-MAX($B$2:B603)</f>
        <v>-27.790000000000003</v>
      </c>
      <c r="F603" s="80">
        <f t="shared" si="28"/>
        <v>76</v>
      </c>
      <c r="G603" s="77">
        <f>Target1[[#This Row],[Target Drawdown]]/MAX($B$2:B603)</f>
        <v>-0.53856589147286826</v>
      </c>
      <c r="H603" s="1" t="str">
        <f>IF(SUM(COUNTIF(Benchmark1[Benchmark '#1 Dates],Target1[[#This Row],[Target Dates]]),COUNTIF(Benchmark2[Benchmark '#2 Dates],Target1[[#This Row],[Target Dates]]))=2,"Pass","Fail")</f>
        <v>Pass</v>
      </c>
      <c r="I603" s="78">
        <f t="shared" si="29"/>
        <v>-27.790000000000003</v>
      </c>
      <c r="K603" s="72">
        <f>Target1[[#This Row],[Target Price]]/$B$2*100</f>
        <v>138.51076207097148</v>
      </c>
      <c r="R603">
        <f>B604/Target1[[#This Row],[Target Price]]-1</f>
        <v>-1.0499790004199872E-2</v>
      </c>
    </row>
    <row r="604" spans="1:18">
      <c r="A604" s="96">
        <v>44158</v>
      </c>
      <c r="B604" s="101">
        <v>23.56</v>
      </c>
      <c r="C604" s="4">
        <f t="shared" si="27"/>
        <v>-1.055530171538541E-2</v>
      </c>
      <c r="D604" s="4">
        <f>IFERROR(Target1[[#This Row],[Target Return]]+1,"-")</f>
        <v>0.98944469828461457</v>
      </c>
      <c r="E604" s="6">
        <f>B604-MAX($B$2:B604)</f>
        <v>-28.040000000000003</v>
      </c>
      <c r="F604" s="80">
        <f t="shared" si="28"/>
        <v>77</v>
      </c>
      <c r="G604" s="77">
        <f>Target1[[#This Row],[Target Drawdown]]/MAX($B$2:B604)</f>
        <v>-0.54341085271317835</v>
      </c>
      <c r="H604" s="1" t="str">
        <f>IF(SUM(COUNTIF(Benchmark1[Benchmark '#1 Dates],Target1[[#This Row],[Target Dates]]),COUNTIF(Benchmark2[Benchmark '#2 Dates],Target1[[#This Row],[Target Dates]]))=2,"Pass","Fail")</f>
        <v>Pass</v>
      </c>
      <c r="I604" s="78">
        <f t="shared" si="29"/>
        <v>-28.040000000000003</v>
      </c>
      <c r="K604" s="72">
        <f>Target1[[#This Row],[Target Price]]/$B$2*100</f>
        <v>137.05642815590457</v>
      </c>
      <c r="R604">
        <f>B605/Target1[[#This Row],[Target Price]]-1</f>
        <v>-3.0984719864176613E-2</v>
      </c>
    </row>
    <row r="605" spans="1:18">
      <c r="A605" s="96">
        <v>44159</v>
      </c>
      <c r="B605" s="101">
        <v>22.83</v>
      </c>
      <c r="C605" s="4">
        <f t="shared" si="27"/>
        <v>-3.1474898241681842E-2</v>
      </c>
      <c r="D605" s="4">
        <f>IFERROR(Target1[[#This Row],[Target Return]]+1,"-")</f>
        <v>0.96852510175831819</v>
      </c>
      <c r="E605" s="6">
        <f>B605-MAX($B$2:B605)</f>
        <v>-28.770000000000003</v>
      </c>
      <c r="F605" s="80">
        <f t="shared" si="28"/>
        <v>78</v>
      </c>
      <c r="G605" s="77">
        <f>Target1[[#This Row],[Target Drawdown]]/MAX($B$2:B605)</f>
        <v>-0.55755813953488376</v>
      </c>
      <c r="H605" s="1" t="str">
        <f>IF(SUM(COUNTIF(Benchmark1[Benchmark '#1 Dates],Target1[[#This Row],[Target Dates]]),COUNTIF(Benchmark2[Benchmark '#2 Dates],Target1[[#This Row],[Target Dates]]))=2,"Pass","Fail")</f>
        <v>Pass</v>
      </c>
      <c r="I605" s="78">
        <f t="shared" si="29"/>
        <v>-28.770000000000003</v>
      </c>
      <c r="K605" s="72">
        <f>Target1[[#This Row],[Target Price]]/$B$2*100</f>
        <v>132.80977312390922</v>
      </c>
      <c r="R605">
        <f>B606/Target1[[#This Row],[Target Price]]-1</f>
        <v>8.7604029785370852E-3</v>
      </c>
    </row>
    <row r="606" spans="1:18">
      <c r="A606" s="96">
        <v>44160</v>
      </c>
      <c r="B606" s="101">
        <v>23.03</v>
      </c>
      <c r="C606" s="4">
        <f t="shared" si="27"/>
        <v>8.7222532908897404E-3</v>
      </c>
      <c r="D606" s="4">
        <f>IFERROR(Target1[[#This Row],[Target Return]]+1,"-")</f>
        <v>1.0087222532908897</v>
      </c>
      <c r="E606" s="6">
        <f>B606-MAX($B$2:B606)</f>
        <v>-28.57</v>
      </c>
      <c r="F606" s="80">
        <f t="shared" si="28"/>
        <v>79</v>
      </c>
      <c r="G606" s="77">
        <f>Target1[[#This Row],[Target Drawdown]]/MAX($B$2:B606)</f>
        <v>-0.55368217054263569</v>
      </c>
      <c r="H606" s="1" t="str">
        <f>IF(SUM(COUNTIF(Benchmark1[Benchmark '#1 Dates],Target1[[#This Row],[Target Dates]]),COUNTIF(Benchmark2[Benchmark '#2 Dates],Target1[[#This Row],[Target Dates]]))=2,"Pass","Fail")</f>
        <v>Pass</v>
      </c>
      <c r="I606" s="78">
        <f t="shared" si="29"/>
        <v>-28.57</v>
      </c>
      <c r="K606" s="72">
        <f>Target1[[#This Row],[Target Price]]/$B$2*100</f>
        <v>133.97324025596276</v>
      </c>
      <c r="R606">
        <f>B607/Target1[[#This Row],[Target Price]]-1</f>
        <v>3.1263569257490076E-2</v>
      </c>
    </row>
    <row r="607" spans="1:18">
      <c r="A607" s="96">
        <v>44162</v>
      </c>
      <c r="B607" s="101">
        <v>23.75</v>
      </c>
      <c r="C607" s="4">
        <f t="shared" si="27"/>
        <v>3.0784816648056237E-2</v>
      </c>
      <c r="D607" s="4">
        <f>IFERROR(Target1[[#This Row],[Target Return]]+1,"-")</f>
        <v>1.0307848166480562</v>
      </c>
      <c r="E607" s="6">
        <f>B607-MAX($B$2:B607)</f>
        <v>-27.85</v>
      </c>
      <c r="F607" s="80">
        <f t="shared" si="28"/>
        <v>80</v>
      </c>
      <c r="G607" s="77">
        <f>Target1[[#This Row],[Target Drawdown]]/MAX($B$2:B607)</f>
        <v>-0.5397286821705426</v>
      </c>
      <c r="H607" s="1" t="str">
        <f>IF(SUM(COUNTIF(Benchmark1[Benchmark '#1 Dates],Target1[[#This Row],[Target Dates]]),COUNTIF(Benchmark2[Benchmark '#2 Dates],Target1[[#This Row],[Target Dates]]))=2,"Pass","Fail")</f>
        <v>Pass</v>
      </c>
      <c r="I607" s="78">
        <f t="shared" si="29"/>
        <v>-27.85</v>
      </c>
      <c r="K607" s="72">
        <f>Target1[[#This Row],[Target Price]]/$B$2*100</f>
        <v>138.16172193135543</v>
      </c>
      <c r="R607">
        <f>B608/Target1[[#This Row],[Target Price]]-1</f>
        <v>-1.7684210526315858E-2</v>
      </c>
    </row>
    <row r="608" spans="1:18">
      <c r="A608" s="96">
        <v>44165</v>
      </c>
      <c r="B608" s="101">
        <v>23.33</v>
      </c>
      <c r="C608" s="4">
        <f t="shared" si="27"/>
        <v>-1.7842444447311683E-2</v>
      </c>
      <c r="D608" s="4">
        <f>IFERROR(Target1[[#This Row],[Target Return]]+1,"-")</f>
        <v>0.98215755555268835</v>
      </c>
      <c r="E608" s="6">
        <f>B608-MAX($B$2:B608)</f>
        <v>-28.270000000000003</v>
      </c>
      <c r="F608" s="80">
        <f t="shared" si="28"/>
        <v>81</v>
      </c>
      <c r="G608" s="77">
        <f>Target1[[#This Row],[Target Drawdown]]/MAX($B$2:B608)</f>
        <v>-0.54786821705426358</v>
      </c>
      <c r="H608" s="1" t="str">
        <f>IF(SUM(COUNTIF(Benchmark1[Benchmark '#1 Dates],Target1[[#This Row],[Target Dates]]),COUNTIF(Benchmark2[Benchmark '#2 Dates],Target1[[#This Row],[Target Dates]]))=2,"Pass","Fail")</f>
        <v>Pass</v>
      </c>
      <c r="I608" s="78">
        <f t="shared" si="29"/>
        <v>-28.270000000000003</v>
      </c>
      <c r="K608" s="72">
        <f>Target1[[#This Row],[Target Price]]/$B$2*100</f>
        <v>135.71844095404302</v>
      </c>
      <c r="R608">
        <f>B609/Target1[[#This Row],[Target Price]]-1</f>
        <v>-1.7145306472352573E-3</v>
      </c>
    </row>
    <row r="609" spans="1:18">
      <c r="A609" s="96">
        <v>44166</v>
      </c>
      <c r="B609" s="101">
        <v>23.29</v>
      </c>
      <c r="C609" s="4">
        <f t="shared" si="27"/>
        <v>-1.7160021370889111E-3</v>
      </c>
      <c r="D609" s="4">
        <f>IFERROR(Target1[[#This Row],[Target Return]]+1,"-")</f>
        <v>0.99828399786291111</v>
      </c>
      <c r="E609" s="6">
        <f>B609-MAX($B$2:B609)</f>
        <v>-28.310000000000002</v>
      </c>
      <c r="F609" s="80">
        <f t="shared" si="28"/>
        <v>82</v>
      </c>
      <c r="G609" s="77">
        <f>Target1[[#This Row],[Target Drawdown]]/MAX($B$2:B609)</f>
        <v>-0.54864341085271318</v>
      </c>
      <c r="H609" s="1" t="str">
        <f>IF(SUM(COUNTIF(Benchmark1[Benchmark '#1 Dates],Target1[[#This Row],[Target Dates]]),COUNTIF(Benchmark2[Benchmark '#2 Dates],Target1[[#This Row],[Target Dates]]))=2,"Pass","Fail")</f>
        <v>Pass</v>
      </c>
      <c r="I609" s="78">
        <f t="shared" si="29"/>
        <v>-28.310000000000002</v>
      </c>
      <c r="K609" s="72">
        <f>Target1[[#This Row],[Target Price]]/$B$2*100</f>
        <v>135.48574752763233</v>
      </c>
      <c r="R609">
        <f>B610/Target1[[#This Row],[Target Price]]-1</f>
        <v>-4.5513095749248555E-2</v>
      </c>
    </row>
    <row r="610" spans="1:18">
      <c r="A610" s="96">
        <v>44167</v>
      </c>
      <c r="B610" s="101">
        <v>22.23</v>
      </c>
      <c r="C610" s="4">
        <f t="shared" si="27"/>
        <v>-4.6581355920144368E-2</v>
      </c>
      <c r="D610" s="4">
        <f>IFERROR(Target1[[#This Row],[Target Return]]+1,"-")</f>
        <v>0.95341864407985566</v>
      </c>
      <c r="E610" s="6">
        <f>B610-MAX($B$2:B610)</f>
        <v>-29.37</v>
      </c>
      <c r="F610" s="80">
        <f t="shared" si="28"/>
        <v>83</v>
      </c>
      <c r="G610" s="77">
        <f>Target1[[#This Row],[Target Drawdown]]/MAX($B$2:B610)</f>
        <v>-0.56918604651162796</v>
      </c>
      <c r="H610" s="1" t="str">
        <f>IF(SUM(COUNTIF(Benchmark1[Benchmark '#1 Dates],Target1[[#This Row],[Target Dates]]),COUNTIF(Benchmark2[Benchmark '#2 Dates],Target1[[#This Row],[Target Dates]]))=2,"Pass","Fail")</f>
        <v>Pass</v>
      </c>
      <c r="I610" s="78">
        <f t="shared" si="29"/>
        <v>-29.37</v>
      </c>
      <c r="K610" s="72">
        <f>Target1[[#This Row],[Target Price]]/$B$2*100</f>
        <v>129.31937172774869</v>
      </c>
      <c r="R610">
        <f>B611/Target1[[#This Row],[Target Price]]-1</f>
        <v>-1.124606387764282E-2</v>
      </c>
    </row>
    <row r="611" spans="1:18">
      <c r="A611" s="96">
        <v>44168</v>
      </c>
      <c r="B611" s="101">
        <v>21.98</v>
      </c>
      <c r="C611" s="4">
        <f t="shared" si="27"/>
        <v>-1.1309779000629901E-2</v>
      </c>
      <c r="D611" s="4">
        <f>IFERROR(Target1[[#This Row],[Target Return]]+1,"-")</f>
        <v>0.9886902209993701</v>
      </c>
      <c r="E611" s="6">
        <f>B611-MAX($B$2:B611)</f>
        <v>-29.62</v>
      </c>
      <c r="F611" s="80">
        <f t="shared" si="28"/>
        <v>84</v>
      </c>
      <c r="G611" s="77">
        <f>Target1[[#This Row],[Target Drawdown]]/MAX($B$2:B611)</f>
        <v>-0.57403100775193794</v>
      </c>
      <c r="H611" s="1" t="str">
        <f>IF(SUM(COUNTIF(Benchmark1[Benchmark '#1 Dates],Target1[[#This Row],[Target Dates]]),COUNTIF(Benchmark2[Benchmark '#2 Dates],Target1[[#This Row],[Target Dates]]))=2,"Pass","Fail")</f>
        <v>Pass</v>
      </c>
      <c r="I611" s="78">
        <f t="shared" si="29"/>
        <v>-29.62</v>
      </c>
      <c r="K611" s="72">
        <f>Target1[[#This Row],[Target Price]]/$B$2*100</f>
        <v>127.86503781268179</v>
      </c>
      <c r="R611">
        <f>B612/Target1[[#This Row],[Target Price]]-1</f>
        <v>1.5923566878980777E-2</v>
      </c>
    </row>
    <row r="612" spans="1:18">
      <c r="A612" s="96">
        <v>44169</v>
      </c>
      <c r="B612" s="101">
        <v>22.33</v>
      </c>
      <c r="C612" s="4">
        <f t="shared" si="27"/>
        <v>1.5798116876591092E-2</v>
      </c>
      <c r="D612" s="4">
        <f>IFERROR(Target1[[#This Row],[Target Return]]+1,"-")</f>
        <v>1.0157981168765911</v>
      </c>
      <c r="E612" s="6">
        <f>B612-MAX($B$2:B612)</f>
        <v>-29.270000000000003</v>
      </c>
      <c r="F612" s="80">
        <f t="shared" si="28"/>
        <v>85</v>
      </c>
      <c r="G612" s="77">
        <f>Target1[[#This Row],[Target Drawdown]]/MAX($B$2:B612)</f>
        <v>-0.56724806201550393</v>
      </c>
      <c r="H612" s="1" t="str">
        <f>IF(SUM(COUNTIF(Benchmark1[Benchmark '#1 Dates],Target1[[#This Row],[Target Dates]]),COUNTIF(Benchmark2[Benchmark '#2 Dates],Target1[[#This Row],[Target Dates]]))=2,"Pass","Fail")</f>
        <v>Pass</v>
      </c>
      <c r="I612" s="78">
        <f t="shared" si="29"/>
        <v>-29.270000000000003</v>
      </c>
      <c r="K612" s="72">
        <f>Target1[[#This Row],[Target Price]]/$B$2*100</f>
        <v>129.90110529377543</v>
      </c>
      <c r="R612">
        <f>B613/Target1[[#This Row],[Target Price]]-1</f>
        <v>-8.5087326466636304E-3</v>
      </c>
    </row>
    <row r="613" spans="1:18">
      <c r="A613" s="96">
        <v>44172</v>
      </c>
      <c r="B613" s="101">
        <v>22.14</v>
      </c>
      <c r="C613" s="4">
        <f t="shared" si="27"/>
        <v>-8.5451385715756382E-3</v>
      </c>
      <c r="D613" s="4">
        <f>IFERROR(Target1[[#This Row],[Target Return]]+1,"-")</f>
        <v>0.99145486142842432</v>
      </c>
      <c r="E613" s="6">
        <f>B613-MAX($B$2:B613)</f>
        <v>-29.46</v>
      </c>
      <c r="F613" s="80">
        <f t="shared" si="28"/>
        <v>86</v>
      </c>
      <c r="G613" s="77">
        <f>Target1[[#This Row],[Target Drawdown]]/MAX($B$2:B613)</f>
        <v>-0.57093023255813957</v>
      </c>
      <c r="H613" s="1" t="str">
        <f>IF(SUM(COUNTIF(Benchmark1[Benchmark '#1 Dates],Target1[[#This Row],[Target Dates]]),COUNTIF(Benchmark2[Benchmark '#2 Dates],Target1[[#This Row],[Target Dates]]))=2,"Pass","Fail")</f>
        <v>Pass</v>
      </c>
      <c r="I613" s="78">
        <f t="shared" si="29"/>
        <v>-29.46</v>
      </c>
      <c r="K613" s="72">
        <f>Target1[[#This Row],[Target Price]]/$B$2*100</f>
        <v>128.7958115183246</v>
      </c>
      <c r="R613">
        <f>B614/Target1[[#This Row],[Target Price]]-1</f>
        <v>-9.033423667569318E-4</v>
      </c>
    </row>
    <row r="614" spans="1:18">
      <c r="A614" s="96">
        <v>44173</v>
      </c>
      <c r="B614" s="101">
        <v>22.12</v>
      </c>
      <c r="C614" s="4">
        <f t="shared" si="27"/>
        <v>-9.0375062635670016E-4</v>
      </c>
      <c r="D614" s="4">
        <f>IFERROR(Target1[[#This Row],[Target Return]]+1,"-")</f>
        <v>0.99909624937364327</v>
      </c>
      <c r="E614" s="6">
        <f>B614-MAX($B$2:B614)</f>
        <v>-29.48</v>
      </c>
      <c r="F614" s="80">
        <f t="shared" si="28"/>
        <v>87</v>
      </c>
      <c r="G614" s="77">
        <f>Target1[[#This Row],[Target Drawdown]]/MAX($B$2:B614)</f>
        <v>-0.57131782945736431</v>
      </c>
      <c r="H614" s="1" t="str">
        <f>IF(SUM(COUNTIF(Benchmark1[Benchmark '#1 Dates],Target1[[#This Row],[Target Dates]]),COUNTIF(Benchmark2[Benchmark '#2 Dates],Target1[[#This Row],[Target Dates]]))=2,"Pass","Fail")</f>
        <v>Pass</v>
      </c>
      <c r="I614" s="78">
        <f t="shared" si="29"/>
        <v>-29.48</v>
      </c>
      <c r="K614" s="72">
        <f>Target1[[#This Row],[Target Price]]/$B$2*100</f>
        <v>128.67946480511924</v>
      </c>
      <c r="R614">
        <f>B615/Target1[[#This Row],[Target Price]]-1</f>
        <v>-5.8770343580470952E-3</v>
      </c>
    </row>
    <row r="615" spans="1:18">
      <c r="A615" s="96">
        <v>44174</v>
      </c>
      <c r="B615" s="101">
        <v>21.99</v>
      </c>
      <c r="C615" s="4">
        <f t="shared" si="27"/>
        <v>-5.8943720874643137E-3</v>
      </c>
      <c r="D615" s="4">
        <f>IFERROR(Target1[[#This Row],[Target Return]]+1,"-")</f>
        <v>0.99410562791253565</v>
      </c>
      <c r="E615" s="6">
        <f>B615-MAX($B$2:B615)</f>
        <v>-29.610000000000003</v>
      </c>
      <c r="F615" s="80">
        <f t="shared" si="28"/>
        <v>88</v>
      </c>
      <c r="G615" s="77">
        <f>Target1[[#This Row],[Target Drawdown]]/MAX($B$2:B615)</f>
        <v>-0.57383720930232562</v>
      </c>
      <c r="H615" s="1" t="str">
        <f>IF(SUM(COUNTIF(Benchmark1[Benchmark '#1 Dates],Target1[[#This Row],[Target Dates]]),COUNTIF(Benchmark2[Benchmark '#2 Dates],Target1[[#This Row],[Target Dates]]))=2,"Pass","Fail")</f>
        <v>Pass</v>
      </c>
      <c r="I615" s="78">
        <f t="shared" si="29"/>
        <v>-29.610000000000003</v>
      </c>
      <c r="K615" s="72">
        <f>Target1[[#This Row],[Target Price]]/$B$2*100</f>
        <v>127.92321116928444</v>
      </c>
      <c r="R615">
        <f>B616/Target1[[#This Row],[Target Price]]-1</f>
        <v>3.0013642564802101E-2</v>
      </c>
    </row>
    <row r="616" spans="1:18">
      <c r="A616" s="96">
        <v>44175</v>
      </c>
      <c r="B616" s="101">
        <v>22.65</v>
      </c>
      <c r="C616" s="4">
        <f t="shared" si="27"/>
        <v>2.9572047362373132E-2</v>
      </c>
      <c r="D616" s="4">
        <f>IFERROR(Target1[[#This Row],[Target Return]]+1,"-")</f>
        <v>1.0295720473623731</v>
      </c>
      <c r="E616" s="6">
        <f>B616-MAX($B$2:B616)</f>
        <v>-28.950000000000003</v>
      </c>
      <c r="F616" s="80">
        <f t="shared" si="28"/>
        <v>89</v>
      </c>
      <c r="G616" s="77">
        <f>Target1[[#This Row],[Target Drawdown]]/MAX($B$2:B616)</f>
        <v>-0.56104651162790697</v>
      </c>
      <c r="H616" s="1" t="str">
        <f>IF(SUM(COUNTIF(Benchmark1[Benchmark '#1 Dates],Target1[[#This Row],[Target Dates]]),COUNTIF(Benchmark2[Benchmark '#2 Dates],Target1[[#This Row],[Target Dates]]))=2,"Pass","Fail")</f>
        <v>Pass</v>
      </c>
      <c r="I616" s="78">
        <f t="shared" si="29"/>
        <v>-28.950000000000003</v>
      </c>
      <c r="K616" s="72">
        <f>Target1[[#This Row],[Target Price]]/$B$2*100</f>
        <v>131.76265270506107</v>
      </c>
      <c r="R616">
        <f>B617/Target1[[#This Row],[Target Price]]-1</f>
        <v>3.090507726269287E-3</v>
      </c>
    </row>
    <row r="617" spans="1:18">
      <c r="A617" s="96">
        <v>44176</v>
      </c>
      <c r="B617" s="101">
        <v>22.72</v>
      </c>
      <c r="C617" s="4">
        <f t="shared" si="27"/>
        <v>3.085741923907545E-3</v>
      </c>
      <c r="D617" s="4">
        <f>IFERROR(Target1[[#This Row],[Target Return]]+1,"-")</f>
        <v>1.0030857419239076</v>
      </c>
      <c r="E617" s="6">
        <f>B617-MAX($B$2:B617)</f>
        <v>-28.880000000000003</v>
      </c>
      <c r="F617" s="80">
        <f t="shared" si="28"/>
        <v>90</v>
      </c>
      <c r="G617" s="77">
        <f>Target1[[#This Row],[Target Drawdown]]/MAX($B$2:B617)</f>
        <v>-0.55968992248062022</v>
      </c>
      <c r="H617" s="1" t="str">
        <f>IF(SUM(COUNTIF(Benchmark1[Benchmark '#1 Dates],Target1[[#This Row],[Target Dates]]),COUNTIF(Benchmark2[Benchmark '#2 Dates],Target1[[#This Row],[Target Dates]]))=2,"Pass","Fail")</f>
        <v>Pass</v>
      </c>
      <c r="I617" s="78">
        <f t="shared" si="29"/>
        <v>-28.880000000000003</v>
      </c>
      <c r="K617" s="72">
        <f>Target1[[#This Row],[Target Price]]/$B$2*100</f>
        <v>132.1698662012798</v>
      </c>
      <c r="R617">
        <f>B618/Target1[[#This Row],[Target Price]]-1</f>
        <v>3.2570422535211252E-2</v>
      </c>
    </row>
    <row r="618" spans="1:18">
      <c r="A618" s="96">
        <v>44179</v>
      </c>
      <c r="B618" s="101">
        <v>23.46</v>
      </c>
      <c r="C618" s="4">
        <f t="shared" si="27"/>
        <v>3.2051249372378791E-2</v>
      </c>
      <c r="D618" s="4">
        <f>IFERROR(Target1[[#This Row],[Target Return]]+1,"-")</f>
        <v>1.0320512493723788</v>
      </c>
      <c r="E618" s="6">
        <f>B618-MAX($B$2:B618)</f>
        <v>-28.14</v>
      </c>
      <c r="F618" s="80">
        <f t="shared" si="28"/>
        <v>91</v>
      </c>
      <c r="G618" s="77">
        <f>Target1[[#This Row],[Target Drawdown]]/MAX($B$2:B618)</f>
        <v>-0.54534883720930227</v>
      </c>
      <c r="H618" s="1" t="str">
        <f>IF(SUM(COUNTIF(Benchmark1[Benchmark '#1 Dates],Target1[[#This Row],[Target Dates]]),COUNTIF(Benchmark2[Benchmark '#2 Dates],Target1[[#This Row],[Target Dates]]))=2,"Pass","Fail")</f>
        <v>Pass</v>
      </c>
      <c r="I618" s="78">
        <f t="shared" si="29"/>
        <v>-28.14</v>
      </c>
      <c r="K618" s="72">
        <f>Target1[[#This Row],[Target Price]]/$B$2*100</f>
        <v>136.47469458987783</v>
      </c>
      <c r="R618">
        <f>B619/Target1[[#This Row],[Target Price]]-1</f>
        <v>1.6197783461210591E-2</v>
      </c>
    </row>
    <row r="619" spans="1:18">
      <c r="A619" s="96">
        <v>44180</v>
      </c>
      <c r="B619" s="101">
        <v>23.84</v>
      </c>
      <c r="C619" s="4">
        <f t="shared" si="27"/>
        <v>1.6067998971819625E-2</v>
      </c>
      <c r="D619" s="4">
        <f>IFERROR(Target1[[#This Row],[Target Return]]+1,"-")</f>
        <v>1.0160679989718195</v>
      </c>
      <c r="E619" s="6">
        <f>B619-MAX($B$2:B619)</f>
        <v>-27.76</v>
      </c>
      <c r="F619" s="80">
        <f t="shared" si="28"/>
        <v>92</v>
      </c>
      <c r="G619" s="77">
        <f>Target1[[#This Row],[Target Drawdown]]/MAX($B$2:B619)</f>
        <v>-0.53798449612403099</v>
      </c>
      <c r="H619" s="1" t="str">
        <f>IF(SUM(COUNTIF(Benchmark1[Benchmark '#1 Dates],Target1[[#This Row],[Target Dates]]),COUNTIF(Benchmark2[Benchmark '#2 Dates],Target1[[#This Row],[Target Dates]]))=2,"Pass","Fail")</f>
        <v>Pass</v>
      </c>
      <c r="I619" s="78">
        <f t="shared" si="29"/>
        <v>-27.76</v>
      </c>
      <c r="K619" s="72">
        <f>Target1[[#This Row],[Target Price]]/$B$2*100</f>
        <v>138.68528214077952</v>
      </c>
      <c r="R619">
        <f>B620/Target1[[#This Row],[Target Price]]-1</f>
        <v>-2.8942953020134277E-2</v>
      </c>
    </row>
    <row r="620" spans="1:18">
      <c r="A620" s="96">
        <v>44181</v>
      </c>
      <c r="B620" s="101">
        <v>23.15</v>
      </c>
      <c r="C620" s="4">
        <f t="shared" si="27"/>
        <v>-2.937006166490598E-2</v>
      </c>
      <c r="D620" s="4">
        <f>IFERROR(Target1[[#This Row],[Target Return]]+1,"-")</f>
        <v>0.97062993833509403</v>
      </c>
      <c r="E620" s="6">
        <f>B620-MAX($B$2:B620)</f>
        <v>-28.450000000000003</v>
      </c>
      <c r="F620" s="80">
        <f t="shared" si="28"/>
        <v>93</v>
      </c>
      <c r="G620" s="77">
        <f>Target1[[#This Row],[Target Drawdown]]/MAX($B$2:B620)</f>
        <v>-0.55135658914728691</v>
      </c>
      <c r="H620" s="1" t="str">
        <f>IF(SUM(COUNTIF(Benchmark1[Benchmark '#1 Dates],Target1[[#This Row],[Target Dates]]),COUNTIF(Benchmark2[Benchmark '#2 Dates],Target1[[#This Row],[Target Dates]]))=2,"Pass","Fail")</f>
        <v>Pass</v>
      </c>
      <c r="I620" s="78">
        <f t="shared" si="29"/>
        <v>-28.450000000000003</v>
      </c>
      <c r="K620" s="72">
        <f>Target1[[#This Row],[Target Price]]/$B$2*100</f>
        <v>134.67132053519487</v>
      </c>
      <c r="R620">
        <f>B621/Target1[[#This Row],[Target Price]]-1</f>
        <v>-8.6393088552915165E-3</v>
      </c>
    </row>
    <row r="621" spans="1:18">
      <c r="A621" s="96">
        <v>44182</v>
      </c>
      <c r="B621" s="101">
        <v>22.95</v>
      </c>
      <c r="C621" s="4">
        <f t="shared" si="27"/>
        <v>-8.6768440256888586E-3</v>
      </c>
      <c r="D621" s="4">
        <f>IFERROR(Target1[[#This Row],[Target Return]]+1,"-")</f>
        <v>0.99132315597431109</v>
      </c>
      <c r="E621" s="6">
        <f>B621-MAX($B$2:B621)</f>
        <v>-28.650000000000002</v>
      </c>
      <c r="F621" s="80">
        <f t="shared" si="28"/>
        <v>94</v>
      </c>
      <c r="G621" s="77">
        <f>Target1[[#This Row],[Target Drawdown]]/MAX($B$2:B621)</f>
        <v>-0.55523255813953487</v>
      </c>
      <c r="H621" s="1" t="str">
        <f>IF(SUM(COUNTIF(Benchmark1[Benchmark '#1 Dates],Target1[[#This Row],[Target Dates]]),COUNTIF(Benchmark2[Benchmark '#2 Dates],Target1[[#This Row],[Target Dates]]))=2,"Pass","Fail")</f>
        <v>Pass</v>
      </c>
      <c r="I621" s="78">
        <f t="shared" si="29"/>
        <v>-28.650000000000002</v>
      </c>
      <c r="K621" s="72">
        <f>Target1[[#This Row],[Target Price]]/$B$2*100</f>
        <v>133.50785340314135</v>
      </c>
      <c r="R621">
        <f>B622/Target1[[#This Row],[Target Price]]-1</f>
        <v>-5.228758169934733E-3</v>
      </c>
    </row>
    <row r="622" spans="1:18">
      <c r="A622" s="96">
        <v>44183</v>
      </c>
      <c r="B622" s="101">
        <v>22.83</v>
      </c>
      <c r="C622" s="4">
        <f t="shared" si="27"/>
        <v>-5.2424759648500938E-3</v>
      </c>
      <c r="D622" s="4">
        <f>IFERROR(Target1[[#This Row],[Target Return]]+1,"-")</f>
        <v>0.99475752403514994</v>
      </c>
      <c r="E622" s="6">
        <f>B622-MAX($B$2:B622)</f>
        <v>-28.770000000000003</v>
      </c>
      <c r="F622" s="80">
        <f t="shared" si="28"/>
        <v>95</v>
      </c>
      <c r="G622" s="77">
        <f>Target1[[#This Row],[Target Drawdown]]/MAX($B$2:B622)</f>
        <v>-0.55755813953488376</v>
      </c>
      <c r="H622" s="1" t="str">
        <f>IF(SUM(COUNTIF(Benchmark1[Benchmark '#1 Dates],Target1[[#This Row],[Target Dates]]),COUNTIF(Benchmark2[Benchmark '#2 Dates],Target1[[#This Row],[Target Dates]]))=2,"Pass","Fail")</f>
        <v>Pass</v>
      </c>
      <c r="I622" s="78">
        <f t="shared" si="29"/>
        <v>-28.770000000000003</v>
      </c>
      <c r="K622" s="72">
        <f>Target1[[#This Row],[Target Price]]/$B$2*100</f>
        <v>132.80977312390922</v>
      </c>
      <c r="R622">
        <f>B623/Target1[[#This Row],[Target Price]]-1</f>
        <v>-4.8182216381953413E-3</v>
      </c>
    </row>
    <row r="623" spans="1:18">
      <c r="A623" s="96">
        <v>44186</v>
      </c>
      <c r="B623" s="101">
        <v>22.72</v>
      </c>
      <c r="C623" s="4">
        <f t="shared" si="27"/>
        <v>-4.8298666887535433E-3</v>
      </c>
      <c r="D623" s="4">
        <f>IFERROR(Target1[[#This Row],[Target Return]]+1,"-")</f>
        <v>0.99517013331124649</v>
      </c>
      <c r="E623" s="6">
        <f>B623-MAX($B$2:B623)</f>
        <v>-28.880000000000003</v>
      </c>
      <c r="F623" s="80">
        <f t="shared" si="28"/>
        <v>96</v>
      </c>
      <c r="G623" s="77">
        <f>Target1[[#This Row],[Target Drawdown]]/MAX($B$2:B623)</f>
        <v>-0.55968992248062022</v>
      </c>
      <c r="H623" s="1" t="str">
        <f>IF(SUM(COUNTIF(Benchmark1[Benchmark '#1 Dates],Target1[[#This Row],[Target Dates]]),COUNTIF(Benchmark2[Benchmark '#2 Dates],Target1[[#This Row],[Target Dates]]))=2,"Pass","Fail")</f>
        <v>Pass</v>
      </c>
      <c r="I623" s="78">
        <f t="shared" si="29"/>
        <v>-28.880000000000003</v>
      </c>
      <c r="K623" s="72">
        <f>Target1[[#This Row],[Target Price]]/$B$2*100</f>
        <v>132.1698662012798</v>
      </c>
      <c r="R623">
        <f>B624/Target1[[#This Row],[Target Price]]-1</f>
        <v>-1.0123239436619746E-2</v>
      </c>
    </row>
    <row r="624" spans="1:18">
      <c r="A624" s="96">
        <v>44187</v>
      </c>
      <c r="B624" s="101">
        <v>22.49</v>
      </c>
      <c r="C624" s="4">
        <f t="shared" si="27"/>
        <v>-1.0174827881726314E-2</v>
      </c>
      <c r="D624" s="4">
        <f>IFERROR(Target1[[#This Row],[Target Return]]+1,"-")</f>
        <v>0.9898251721182737</v>
      </c>
      <c r="E624" s="6">
        <f>B624-MAX($B$2:B624)</f>
        <v>-29.110000000000003</v>
      </c>
      <c r="F624" s="80">
        <f t="shared" si="28"/>
        <v>97</v>
      </c>
      <c r="G624" s="77">
        <f>Target1[[#This Row],[Target Drawdown]]/MAX($B$2:B624)</f>
        <v>-0.56414728682170545</v>
      </c>
      <c r="H624" s="1" t="str">
        <f>IF(SUM(COUNTIF(Benchmark1[Benchmark '#1 Dates],Target1[[#This Row],[Target Dates]]),COUNTIF(Benchmark2[Benchmark '#2 Dates],Target1[[#This Row],[Target Dates]]))=2,"Pass","Fail")</f>
        <v>Pass</v>
      </c>
      <c r="I624" s="78">
        <f t="shared" si="29"/>
        <v>-29.110000000000003</v>
      </c>
      <c r="K624" s="72">
        <f>Target1[[#This Row],[Target Price]]/$B$2*100</f>
        <v>130.83187899941825</v>
      </c>
      <c r="R624">
        <f>B625/Target1[[#This Row],[Target Price]]-1</f>
        <v>-1.156069364161838E-2</v>
      </c>
    </row>
    <row r="625" spans="1:18">
      <c r="A625" s="96">
        <v>44188</v>
      </c>
      <c r="B625" s="101">
        <v>22.23</v>
      </c>
      <c r="C625" s="4">
        <f t="shared" si="27"/>
        <v>-1.1628037995118986E-2</v>
      </c>
      <c r="D625" s="4">
        <f>IFERROR(Target1[[#This Row],[Target Return]]+1,"-")</f>
        <v>0.98837196200488098</v>
      </c>
      <c r="E625" s="6">
        <f>B625-MAX($B$2:B625)</f>
        <v>-29.37</v>
      </c>
      <c r="F625" s="80">
        <f t="shared" si="28"/>
        <v>98</v>
      </c>
      <c r="G625" s="77">
        <f>Target1[[#This Row],[Target Drawdown]]/MAX($B$2:B625)</f>
        <v>-0.56918604651162796</v>
      </c>
      <c r="H625" s="1" t="str">
        <f>IF(SUM(COUNTIF(Benchmark1[Benchmark '#1 Dates],Target1[[#This Row],[Target Dates]]),COUNTIF(Benchmark2[Benchmark '#2 Dates],Target1[[#This Row],[Target Dates]]))=2,"Pass","Fail")</f>
        <v>Pass</v>
      </c>
      <c r="I625" s="78">
        <f t="shared" si="29"/>
        <v>-29.37</v>
      </c>
      <c r="K625" s="72">
        <f>Target1[[#This Row],[Target Price]]/$B$2*100</f>
        <v>129.31937172774869</v>
      </c>
      <c r="R625">
        <f>B626/Target1[[#This Row],[Target Price]]-1</f>
        <v>8.9968511021143449E-4</v>
      </c>
    </row>
    <row r="626" spans="1:18">
      <c r="A626" s="96">
        <v>44189</v>
      </c>
      <c r="B626" s="101">
        <v>22.25</v>
      </c>
      <c r="C626" s="4">
        <f t="shared" si="27"/>
        <v>8.9928063614401715E-4</v>
      </c>
      <c r="D626" s="4">
        <f>IFERROR(Target1[[#This Row],[Target Return]]+1,"-")</f>
        <v>1.0008992806361441</v>
      </c>
      <c r="E626" s="6">
        <f>B626-MAX($B$2:B626)</f>
        <v>-29.35</v>
      </c>
      <c r="F626" s="80">
        <f t="shared" si="28"/>
        <v>99</v>
      </c>
      <c r="G626" s="77">
        <f>Target1[[#This Row],[Target Drawdown]]/MAX($B$2:B626)</f>
        <v>-0.56879844961240311</v>
      </c>
      <c r="H626" s="1" t="str">
        <f>IF(SUM(COUNTIF(Benchmark1[Benchmark '#1 Dates],Target1[[#This Row],[Target Dates]]),COUNTIF(Benchmark2[Benchmark '#2 Dates],Target1[[#This Row],[Target Dates]]))=2,"Pass","Fail")</f>
        <v>Pass</v>
      </c>
      <c r="I626" s="78">
        <f t="shared" si="29"/>
        <v>-29.35</v>
      </c>
      <c r="K626" s="72">
        <f>Target1[[#This Row],[Target Price]]/$B$2*100</f>
        <v>129.43571844095402</v>
      </c>
      <c r="R626">
        <f>B627/Target1[[#This Row],[Target Price]]-1</f>
        <v>-2.2471910112359605E-2</v>
      </c>
    </row>
    <row r="627" spans="1:18">
      <c r="A627" s="96">
        <v>44193</v>
      </c>
      <c r="B627" s="101">
        <v>21.75</v>
      </c>
      <c r="C627" s="4">
        <f t="shared" si="27"/>
        <v>-2.2728251077556175E-2</v>
      </c>
      <c r="D627" s="4">
        <f>IFERROR(Target1[[#This Row],[Target Return]]+1,"-")</f>
        <v>0.97727174892244384</v>
      </c>
      <c r="E627" s="6">
        <f>B627-MAX($B$2:B627)</f>
        <v>-29.85</v>
      </c>
      <c r="F627" s="80">
        <f t="shared" si="28"/>
        <v>100</v>
      </c>
      <c r="G627" s="77">
        <f>Target1[[#This Row],[Target Drawdown]]/MAX($B$2:B627)</f>
        <v>-0.57848837209302328</v>
      </c>
      <c r="H627" s="1" t="str">
        <f>IF(SUM(COUNTIF(Benchmark1[Benchmark '#1 Dates],Target1[[#This Row],[Target Dates]]),COUNTIF(Benchmark2[Benchmark '#2 Dates],Target1[[#This Row],[Target Dates]]))=2,"Pass","Fail")</f>
        <v>Pass</v>
      </c>
      <c r="I627" s="78">
        <f t="shared" si="29"/>
        <v>-29.85</v>
      </c>
      <c r="K627" s="72">
        <f>Target1[[#This Row],[Target Price]]/$B$2*100</f>
        <v>126.52705061082024</v>
      </c>
      <c r="R627">
        <f>B628/Target1[[#This Row],[Target Price]]-1</f>
        <v>-3.1724137931034568E-2</v>
      </c>
    </row>
    <row r="628" spans="1:18">
      <c r="A628" s="96">
        <v>44194</v>
      </c>
      <c r="B628" s="101">
        <v>21.06</v>
      </c>
      <c r="C628" s="4">
        <f t="shared" si="27"/>
        <v>-3.2238250828863745E-2</v>
      </c>
      <c r="D628" s="4">
        <f>IFERROR(Target1[[#This Row],[Target Return]]+1,"-")</f>
        <v>0.96776174917113622</v>
      </c>
      <c r="E628" s="6">
        <f>B628-MAX($B$2:B628)</f>
        <v>-30.540000000000003</v>
      </c>
      <c r="F628" s="80">
        <f t="shared" si="28"/>
        <v>101</v>
      </c>
      <c r="G628" s="77">
        <f>Target1[[#This Row],[Target Drawdown]]/MAX($B$2:B628)</f>
        <v>-0.5918604651162791</v>
      </c>
      <c r="H628" s="1" t="str">
        <f>IF(SUM(COUNTIF(Benchmark1[Benchmark '#1 Dates],Target1[[#This Row],[Target Dates]]),COUNTIF(Benchmark2[Benchmark '#2 Dates],Target1[[#This Row],[Target Dates]]))=2,"Pass","Fail")</f>
        <v>Pass</v>
      </c>
      <c r="I628" s="78">
        <f t="shared" si="29"/>
        <v>-30.540000000000003</v>
      </c>
      <c r="K628" s="72">
        <f>Target1[[#This Row],[Target Price]]/$B$2*100</f>
        <v>122.51308900523559</v>
      </c>
      <c r="R628">
        <f>B629/Target1[[#This Row],[Target Price]]-1</f>
        <v>2.4691358024691246E-2</v>
      </c>
    </row>
    <row r="629" spans="1:18">
      <c r="A629" s="96">
        <v>44195</v>
      </c>
      <c r="B629" s="101">
        <v>21.58</v>
      </c>
      <c r="C629" s="4">
        <f t="shared" si="27"/>
        <v>2.4391453124159048E-2</v>
      </c>
      <c r="D629" s="4">
        <f>IFERROR(Target1[[#This Row],[Target Return]]+1,"-")</f>
        <v>1.0243914531241591</v>
      </c>
      <c r="E629" s="6">
        <f>B629-MAX($B$2:B629)</f>
        <v>-30.020000000000003</v>
      </c>
      <c r="F629" s="80">
        <f t="shared" si="28"/>
        <v>102</v>
      </c>
      <c r="G629" s="77">
        <f>Target1[[#This Row],[Target Drawdown]]/MAX($B$2:B629)</f>
        <v>-0.58178294573643419</v>
      </c>
      <c r="H629" s="1" t="str">
        <f>IF(SUM(COUNTIF(Benchmark1[Benchmark '#1 Dates],Target1[[#This Row],[Target Dates]]),COUNTIF(Benchmark2[Benchmark '#2 Dates],Target1[[#This Row],[Target Dates]]))=2,"Pass","Fail")</f>
        <v>Pass</v>
      </c>
      <c r="I629" s="78">
        <f t="shared" si="29"/>
        <v>-30.020000000000003</v>
      </c>
      <c r="K629" s="72">
        <f>Target1[[#This Row],[Target Price]]/$B$2*100</f>
        <v>125.53810354857472</v>
      </c>
      <c r="R629">
        <f>B630/Target1[[#This Row],[Target Price]]-1</f>
        <v>-1.6218721037998041E-2</v>
      </c>
    </row>
    <row r="630" spans="1:18">
      <c r="A630" s="96">
        <v>44196</v>
      </c>
      <c r="B630" s="101">
        <v>21.23</v>
      </c>
      <c r="C630" s="4">
        <f t="shared" si="27"/>
        <v>-1.6351684114823767E-2</v>
      </c>
      <c r="D630" s="4">
        <f>IFERROR(Target1[[#This Row],[Target Return]]+1,"-")</f>
        <v>0.98364831588517621</v>
      </c>
      <c r="E630" s="6">
        <f>B630-MAX($B$2:B630)</f>
        <v>-30.37</v>
      </c>
      <c r="F630" s="80">
        <f t="shared" si="28"/>
        <v>103</v>
      </c>
      <c r="G630" s="77">
        <f>Target1[[#This Row],[Target Drawdown]]/MAX($B$2:B630)</f>
        <v>-0.5885658914728682</v>
      </c>
      <c r="H630" s="1" t="str">
        <f>IF(SUM(COUNTIF(Benchmark1[Benchmark '#1 Dates],Target1[[#This Row],[Target Dates]]),COUNTIF(Benchmark2[Benchmark '#2 Dates],Target1[[#This Row],[Target Dates]]))=2,"Pass","Fail")</f>
        <v>Pass</v>
      </c>
      <c r="I630" s="78">
        <f t="shared" si="29"/>
        <v>-30.37</v>
      </c>
      <c r="K630" s="72">
        <f>Target1[[#This Row],[Target Price]]/$B$2*100</f>
        <v>123.50203606748109</v>
      </c>
      <c r="R630">
        <f>B631/Target1[[#This Row],[Target Price]]-1</f>
        <v>-1.0362694300518061E-2</v>
      </c>
    </row>
    <row r="631" spans="1:18">
      <c r="A631" s="96">
        <v>44200</v>
      </c>
      <c r="B631" s="101">
        <v>21.01</v>
      </c>
      <c r="C631" s="4">
        <f t="shared" si="27"/>
        <v>-1.0416760858255604E-2</v>
      </c>
      <c r="D631" s="4">
        <f>IFERROR(Target1[[#This Row],[Target Return]]+1,"-")</f>
        <v>0.9895832391417444</v>
      </c>
      <c r="E631" s="6">
        <f>B631-MAX($B$2:B631)</f>
        <v>-30.59</v>
      </c>
      <c r="F631" s="80">
        <f t="shared" si="28"/>
        <v>104</v>
      </c>
      <c r="G631" s="77">
        <f>Target1[[#This Row],[Target Drawdown]]/MAX($B$2:B631)</f>
        <v>-0.59282945736434112</v>
      </c>
      <c r="H631" s="1" t="str">
        <f>IF(SUM(COUNTIF(Benchmark1[Benchmark '#1 Dates],Target1[[#This Row],[Target Dates]]),COUNTIF(Benchmark2[Benchmark '#2 Dates],Target1[[#This Row],[Target Dates]]))=2,"Pass","Fail")</f>
        <v>Pass</v>
      </c>
      <c r="I631" s="78">
        <f t="shared" si="29"/>
        <v>-30.59</v>
      </c>
      <c r="K631" s="72">
        <f>Target1[[#This Row],[Target Price]]/$B$2*100</f>
        <v>122.22222222222223</v>
      </c>
      <c r="R631">
        <f>B632/Target1[[#This Row],[Target Price]]-1</f>
        <v>2.9509757258448177E-2</v>
      </c>
    </row>
    <row r="632" spans="1:18">
      <c r="A632" s="96">
        <v>44201</v>
      </c>
      <c r="B632" s="101">
        <v>21.63</v>
      </c>
      <c r="C632" s="4">
        <f t="shared" si="27"/>
        <v>2.9082725108058174E-2</v>
      </c>
      <c r="D632" s="4">
        <f>IFERROR(Target1[[#This Row],[Target Return]]+1,"-")</f>
        <v>1.0290827251080581</v>
      </c>
      <c r="E632" s="6">
        <f>B632-MAX($B$2:B632)</f>
        <v>-29.970000000000002</v>
      </c>
      <c r="F632" s="80">
        <f t="shared" si="28"/>
        <v>105</v>
      </c>
      <c r="G632" s="77">
        <f>Target1[[#This Row],[Target Drawdown]]/MAX($B$2:B632)</f>
        <v>-0.58081395348837217</v>
      </c>
      <c r="H632" s="1" t="str">
        <f>IF(SUM(COUNTIF(Benchmark1[Benchmark '#1 Dates],Target1[[#This Row],[Target Dates]]),COUNTIF(Benchmark2[Benchmark '#2 Dates],Target1[[#This Row],[Target Dates]]))=2,"Pass","Fail")</f>
        <v>Pass</v>
      </c>
      <c r="I632" s="78">
        <f t="shared" si="29"/>
        <v>-29.970000000000002</v>
      </c>
      <c r="K632" s="72">
        <f>Target1[[#This Row],[Target Price]]/$B$2*100</f>
        <v>125.82897033158811</v>
      </c>
      <c r="R632">
        <f>B633/Target1[[#This Row],[Target Price]]-1</f>
        <v>-3.4211742949606938E-2</v>
      </c>
    </row>
    <row r="633" spans="1:18">
      <c r="A633" s="96">
        <v>44202</v>
      </c>
      <c r="B633" s="101">
        <v>20.89</v>
      </c>
      <c r="C633" s="4">
        <f t="shared" si="27"/>
        <v>-3.4810664396492885E-2</v>
      </c>
      <c r="D633" s="4">
        <f>IFERROR(Target1[[#This Row],[Target Return]]+1,"-")</f>
        <v>0.96518933560350706</v>
      </c>
      <c r="E633" s="6">
        <f>B633-MAX($B$2:B633)</f>
        <v>-30.71</v>
      </c>
      <c r="F633" s="80">
        <f t="shared" si="28"/>
        <v>106</v>
      </c>
      <c r="G633" s="77">
        <f>Target1[[#This Row],[Target Drawdown]]/MAX($B$2:B633)</f>
        <v>-0.59515503875968989</v>
      </c>
      <c r="H633" s="1" t="str">
        <f>IF(SUM(COUNTIF(Benchmark1[Benchmark '#1 Dates],Target1[[#This Row],[Target Dates]]),COUNTIF(Benchmark2[Benchmark '#2 Dates],Target1[[#This Row],[Target Dates]]))=2,"Pass","Fail")</f>
        <v>Pass</v>
      </c>
      <c r="I633" s="78">
        <f t="shared" si="29"/>
        <v>-30.71</v>
      </c>
      <c r="K633" s="72">
        <f>Target1[[#This Row],[Target Price]]/$B$2*100</f>
        <v>121.5241419429901</v>
      </c>
      <c r="R633">
        <f>B634/Target1[[#This Row],[Target Price]]-1</f>
        <v>3.8774533269506861E-2</v>
      </c>
    </row>
    <row r="634" spans="1:18">
      <c r="A634" s="96">
        <v>44203</v>
      </c>
      <c r="B634" s="101">
        <v>21.7</v>
      </c>
      <c r="C634" s="4">
        <f t="shared" si="27"/>
        <v>3.8041684977939375E-2</v>
      </c>
      <c r="D634" s="4">
        <f>IFERROR(Target1[[#This Row],[Target Return]]+1,"-")</f>
        <v>1.0380416849779395</v>
      </c>
      <c r="E634" s="6">
        <f>B634-MAX($B$2:B634)</f>
        <v>-29.900000000000002</v>
      </c>
      <c r="F634" s="80">
        <f t="shared" si="28"/>
        <v>107</v>
      </c>
      <c r="G634" s="77">
        <f>Target1[[#This Row],[Target Drawdown]]/MAX($B$2:B634)</f>
        <v>-0.5794573643410853</v>
      </c>
      <c r="H634" s="1" t="str">
        <f>IF(SUM(COUNTIF(Benchmark1[Benchmark '#1 Dates],Target1[[#This Row],[Target Dates]]),COUNTIF(Benchmark2[Benchmark '#2 Dates],Target1[[#This Row],[Target Dates]]))=2,"Pass","Fail")</f>
        <v>Pass</v>
      </c>
      <c r="I634" s="78">
        <f t="shared" si="29"/>
        <v>-29.900000000000002</v>
      </c>
      <c r="K634" s="72">
        <f>Target1[[#This Row],[Target Price]]/$B$2*100</f>
        <v>126.23618382780685</v>
      </c>
      <c r="R634">
        <f>B635/Target1[[#This Row],[Target Price]]-1</f>
        <v>9.6774193548387899E-3</v>
      </c>
    </row>
    <row r="635" spans="1:18">
      <c r="A635" s="96">
        <v>44204</v>
      </c>
      <c r="B635" s="101">
        <v>21.91</v>
      </c>
      <c r="C635" s="4">
        <f t="shared" si="27"/>
        <v>9.6308930609613659E-3</v>
      </c>
      <c r="D635" s="4">
        <f>IFERROR(Target1[[#This Row],[Target Return]]+1,"-")</f>
        <v>1.0096308930609614</v>
      </c>
      <c r="E635" s="6">
        <f>B635-MAX($B$2:B635)</f>
        <v>-29.69</v>
      </c>
      <c r="F635" s="80">
        <f t="shared" si="28"/>
        <v>108</v>
      </c>
      <c r="G635" s="77">
        <f>Target1[[#This Row],[Target Drawdown]]/MAX($B$2:B635)</f>
        <v>-0.57538759689922481</v>
      </c>
      <c r="H635" s="1" t="str">
        <f>IF(SUM(COUNTIF(Benchmark1[Benchmark '#1 Dates],Target1[[#This Row],[Target Dates]]),COUNTIF(Benchmark2[Benchmark '#2 Dates],Target1[[#This Row],[Target Dates]]))=2,"Pass","Fail")</f>
        <v>Pass</v>
      </c>
      <c r="I635" s="78">
        <f t="shared" si="29"/>
        <v>-29.69</v>
      </c>
      <c r="K635" s="72">
        <f>Target1[[#This Row],[Target Price]]/$B$2*100</f>
        <v>127.45782431646305</v>
      </c>
      <c r="R635">
        <f>B636/Target1[[#This Row],[Target Price]]-1</f>
        <v>2.0538566864445329E-2</v>
      </c>
    </row>
    <row r="636" spans="1:18">
      <c r="A636" s="96">
        <v>44207</v>
      </c>
      <c r="B636" s="101">
        <v>22.36</v>
      </c>
      <c r="C636" s="4">
        <f t="shared" si="27"/>
        <v>2.033049467952313E-2</v>
      </c>
      <c r="D636" s="4">
        <f>IFERROR(Target1[[#This Row],[Target Return]]+1,"-")</f>
        <v>1.0203304946795231</v>
      </c>
      <c r="E636" s="6">
        <f>B636-MAX($B$2:B636)</f>
        <v>-29.240000000000002</v>
      </c>
      <c r="F636" s="80">
        <f t="shared" si="28"/>
        <v>109</v>
      </c>
      <c r="G636" s="77">
        <f>Target1[[#This Row],[Target Drawdown]]/MAX($B$2:B636)</f>
        <v>-0.56666666666666665</v>
      </c>
      <c r="H636" s="1" t="str">
        <f>IF(SUM(COUNTIF(Benchmark1[Benchmark '#1 Dates],Target1[[#This Row],[Target Dates]]),COUNTIF(Benchmark2[Benchmark '#2 Dates],Target1[[#This Row],[Target Dates]]))=2,"Pass","Fail")</f>
        <v>Pass</v>
      </c>
      <c r="I636" s="78">
        <f t="shared" si="29"/>
        <v>-29.240000000000002</v>
      </c>
      <c r="K636" s="72">
        <f>Target1[[#This Row],[Target Price]]/$B$2*100</f>
        <v>130.07562536358347</v>
      </c>
      <c r="R636">
        <f>B637/Target1[[#This Row],[Target Price]]-1</f>
        <v>1.5205724508050134E-2</v>
      </c>
    </row>
    <row r="637" spans="1:18">
      <c r="A637" s="96">
        <v>44208</v>
      </c>
      <c r="B637" s="101">
        <v>22.7</v>
      </c>
      <c r="C637" s="4">
        <f t="shared" si="27"/>
        <v>1.5091276200458624E-2</v>
      </c>
      <c r="D637" s="4">
        <f>IFERROR(Target1[[#This Row],[Target Return]]+1,"-")</f>
        <v>1.0150912762004587</v>
      </c>
      <c r="E637" s="6">
        <f>B637-MAX($B$2:B637)</f>
        <v>-28.900000000000002</v>
      </c>
      <c r="F637" s="80">
        <f t="shared" si="28"/>
        <v>110</v>
      </c>
      <c r="G637" s="77">
        <f>Target1[[#This Row],[Target Drawdown]]/MAX($B$2:B637)</f>
        <v>-0.56007751937984496</v>
      </c>
      <c r="H637" s="1" t="str">
        <f>IF(SUM(COUNTIF(Benchmark1[Benchmark '#1 Dates],Target1[[#This Row],[Target Dates]]),COUNTIF(Benchmark2[Benchmark '#2 Dates],Target1[[#This Row],[Target Dates]]))=2,"Pass","Fail")</f>
        <v>Pass</v>
      </c>
      <c r="I637" s="78">
        <f t="shared" si="29"/>
        <v>-28.900000000000002</v>
      </c>
      <c r="K637" s="72">
        <f>Target1[[#This Row],[Target Price]]/$B$2*100</f>
        <v>132.05351948807444</v>
      </c>
      <c r="R637">
        <f>B638/Target1[[#This Row],[Target Price]]-1</f>
        <v>2.4229074889867919E-2</v>
      </c>
    </row>
    <row r="638" spans="1:18">
      <c r="A638" s="96">
        <v>44209</v>
      </c>
      <c r="B638" s="101">
        <v>23.25</v>
      </c>
      <c r="C638" s="4">
        <f t="shared" si="27"/>
        <v>2.3940207546008403E-2</v>
      </c>
      <c r="D638" s="4">
        <f>IFERROR(Target1[[#This Row],[Target Return]]+1,"-")</f>
        <v>1.0239402075460085</v>
      </c>
      <c r="E638" s="6">
        <f>B638-MAX($B$2:B638)</f>
        <v>-28.35</v>
      </c>
      <c r="F638" s="80">
        <f t="shared" si="28"/>
        <v>111</v>
      </c>
      <c r="G638" s="77">
        <f>Target1[[#This Row],[Target Drawdown]]/MAX($B$2:B638)</f>
        <v>-0.54941860465116277</v>
      </c>
      <c r="H638" s="1" t="str">
        <f>IF(SUM(COUNTIF(Benchmark1[Benchmark '#1 Dates],Target1[[#This Row],[Target Dates]]),COUNTIF(Benchmark2[Benchmark '#2 Dates],Target1[[#This Row],[Target Dates]]))=2,"Pass","Fail")</f>
        <v>Pass</v>
      </c>
      <c r="I638" s="78">
        <f t="shared" si="29"/>
        <v>-28.35</v>
      </c>
      <c r="K638" s="72">
        <f>Target1[[#This Row],[Target Price]]/$B$2*100</f>
        <v>135.25305410122164</v>
      </c>
      <c r="R638">
        <f>B639/Target1[[#This Row],[Target Price]]-1</f>
        <v>1.9354838709677358E-2</v>
      </c>
    </row>
    <row r="639" spans="1:18">
      <c r="A639" s="96">
        <v>44210</v>
      </c>
      <c r="B639" s="101">
        <v>23.7</v>
      </c>
      <c r="C639" s="4">
        <f t="shared" si="27"/>
        <v>1.9169916107720123E-2</v>
      </c>
      <c r="D639" s="4">
        <f>IFERROR(Target1[[#This Row],[Target Return]]+1,"-")</f>
        <v>1.0191699161077201</v>
      </c>
      <c r="E639" s="6">
        <f>B639-MAX($B$2:B639)</f>
        <v>-27.900000000000002</v>
      </c>
      <c r="F639" s="80">
        <f t="shared" si="28"/>
        <v>112</v>
      </c>
      <c r="G639" s="77">
        <f>Target1[[#This Row],[Target Drawdown]]/MAX($B$2:B639)</f>
        <v>-0.54069767441860472</v>
      </c>
      <c r="H639" s="1" t="str">
        <f>IF(SUM(COUNTIF(Benchmark1[Benchmark '#1 Dates],Target1[[#This Row],[Target Dates]]),COUNTIF(Benchmark2[Benchmark '#2 Dates],Target1[[#This Row],[Target Dates]]))=2,"Pass","Fail")</f>
        <v>Pass</v>
      </c>
      <c r="I639" s="78">
        <f t="shared" si="29"/>
        <v>-27.900000000000002</v>
      </c>
      <c r="K639" s="72">
        <f>Target1[[#This Row],[Target Price]]/$B$2*100</f>
        <v>137.87085514834206</v>
      </c>
      <c r="R639">
        <f>B640/Target1[[#This Row],[Target Price]]-1</f>
        <v>5.9071729957806962E-3</v>
      </c>
    </row>
    <row r="640" spans="1:18">
      <c r="A640" s="96">
        <v>44211</v>
      </c>
      <c r="B640" s="101">
        <v>23.84</v>
      </c>
      <c r="C640" s="4">
        <f t="shared" si="27"/>
        <v>5.8897940560636141E-3</v>
      </c>
      <c r="D640" s="4">
        <f>IFERROR(Target1[[#This Row],[Target Return]]+1,"-")</f>
        <v>1.0058897940560636</v>
      </c>
      <c r="E640" s="6">
        <f>B640-MAX($B$2:B640)</f>
        <v>-27.76</v>
      </c>
      <c r="F640" s="80">
        <f t="shared" si="28"/>
        <v>113</v>
      </c>
      <c r="G640" s="77">
        <f>Target1[[#This Row],[Target Drawdown]]/MAX($B$2:B640)</f>
        <v>-0.53798449612403099</v>
      </c>
      <c r="H640" s="1" t="str">
        <f>IF(SUM(COUNTIF(Benchmark1[Benchmark '#1 Dates],Target1[[#This Row],[Target Dates]]),COUNTIF(Benchmark2[Benchmark '#2 Dates],Target1[[#This Row],[Target Dates]]))=2,"Pass","Fail")</f>
        <v>Pass</v>
      </c>
      <c r="I640" s="78">
        <f t="shared" si="29"/>
        <v>-27.76</v>
      </c>
      <c r="K640" s="72">
        <f>Target1[[#This Row],[Target Price]]/$B$2*100</f>
        <v>138.68528214077952</v>
      </c>
      <c r="R640">
        <f>B641/Target1[[#This Row],[Target Price]]-1</f>
        <v>5.2013422818791843E-2</v>
      </c>
    </row>
    <row r="641" spans="1:18">
      <c r="A641" s="96">
        <v>44215</v>
      </c>
      <c r="B641" s="101">
        <v>25.08</v>
      </c>
      <c r="C641" s="4">
        <f t="shared" si="27"/>
        <v>5.0705873567570836E-2</v>
      </c>
      <c r="D641" s="4">
        <f>IFERROR(Target1[[#This Row],[Target Return]]+1,"-")</f>
        <v>1.0507058735675709</v>
      </c>
      <c r="E641" s="6">
        <f>B641-MAX($B$2:B641)</f>
        <v>-26.520000000000003</v>
      </c>
      <c r="F641" s="80">
        <f t="shared" si="28"/>
        <v>114</v>
      </c>
      <c r="G641" s="77">
        <f>Target1[[#This Row],[Target Drawdown]]/MAX($B$2:B641)</f>
        <v>-0.51395348837209309</v>
      </c>
      <c r="H641" s="1" t="str">
        <f>IF(SUM(COUNTIF(Benchmark1[Benchmark '#1 Dates],Target1[[#This Row],[Target Dates]]),COUNTIF(Benchmark2[Benchmark '#2 Dates],Target1[[#This Row],[Target Dates]]))=2,"Pass","Fail")</f>
        <v>Pass</v>
      </c>
      <c r="I641" s="78">
        <f t="shared" si="29"/>
        <v>-26.520000000000003</v>
      </c>
      <c r="K641" s="72">
        <f>Target1[[#This Row],[Target Price]]/$B$2*100</f>
        <v>145.89877835951134</v>
      </c>
      <c r="R641">
        <f>B642/Target1[[#This Row],[Target Price]]-1</f>
        <v>-2.6714513556618802E-2</v>
      </c>
    </row>
    <row r="642" spans="1:18">
      <c r="A642" s="96">
        <v>44216</v>
      </c>
      <c r="B642" s="101">
        <v>24.41</v>
      </c>
      <c r="C642" s="4">
        <f t="shared" ref="C642:C705" si="30">IFERROR(IF(B642="","-",LN(B642/B641)),"-")</f>
        <v>-2.7077831359851225E-2</v>
      </c>
      <c r="D642" s="4">
        <f>IFERROR(Target1[[#This Row],[Target Return]]+1,"-")</f>
        <v>0.9729221686401488</v>
      </c>
      <c r="E642" s="6">
        <f>B642-MAX($B$2:B642)</f>
        <v>-27.19</v>
      </c>
      <c r="F642" s="80">
        <f t="shared" ref="F642:F705" si="31">IF(E642=0,0,F641+1)</f>
        <v>115</v>
      </c>
      <c r="G642" s="77">
        <f>Target1[[#This Row],[Target Drawdown]]/MAX($B$2:B642)</f>
        <v>-0.52693798449612406</v>
      </c>
      <c r="H642" s="1" t="str">
        <f>IF(SUM(COUNTIF(Benchmark1[Benchmark '#1 Dates],Target1[[#This Row],[Target Dates]]),COUNTIF(Benchmark2[Benchmark '#2 Dates],Target1[[#This Row],[Target Dates]]))=2,"Pass","Fail")</f>
        <v>Pass</v>
      </c>
      <c r="I642" s="78">
        <f t="shared" ref="I642:I705" si="32">$E$2+E642</f>
        <v>-27.19</v>
      </c>
      <c r="K642" s="72">
        <f>Target1[[#This Row],[Target Price]]/$B$2*100</f>
        <v>142.00116346713205</v>
      </c>
      <c r="R642">
        <f>B643/Target1[[#This Row],[Target Price]]-1</f>
        <v>1.2699713232281695E-2</v>
      </c>
    </row>
    <row r="643" spans="1:18">
      <c r="A643" s="96">
        <v>44217</v>
      </c>
      <c r="B643" s="101">
        <v>24.72</v>
      </c>
      <c r="C643" s="4">
        <f t="shared" si="30"/>
        <v>1.2619748184621167E-2</v>
      </c>
      <c r="D643" s="4">
        <f>IFERROR(Target1[[#This Row],[Target Return]]+1,"-")</f>
        <v>1.0126197481846211</v>
      </c>
      <c r="E643" s="6">
        <f>B643-MAX($B$2:B643)</f>
        <v>-26.880000000000003</v>
      </c>
      <c r="F643" s="80">
        <f t="shared" si="31"/>
        <v>116</v>
      </c>
      <c r="G643" s="77">
        <f>Target1[[#This Row],[Target Drawdown]]/MAX($B$2:B643)</f>
        <v>-0.52093023255813953</v>
      </c>
      <c r="H643" s="1" t="str">
        <f>IF(SUM(COUNTIF(Benchmark1[Benchmark '#1 Dates],Target1[[#This Row],[Target Dates]]),COUNTIF(Benchmark2[Benchmark '#2 Dates],Target1[[#This Row],[Target Dates]]))=2,"Pass","Fail")</f>
        <v>Pass</v>
      </c>
      <c r="I643" s="78">
        <f t="shared" si="32"/>
        <v>-26.880000000000003</v>
      </c>
      <c r="K643" s="72">
        <f>Target1[[#This Row],[Target Price]]/$B$2*100</f>
        <v>143.80453752181498</v>
      </c>
      <c r="R643">
        <f>B644/Target1[[#This Row],[Target Price]]-1</f>
        <v>-8.0906148867310179E-4</v>
      </c>
    </row>
    <row r="644" spans="1:18">
      <c r="A644" s="96">
        <v>44218</v>
      </c>
      <c r="B644" s="101">
        <v>24.7</v>
      </c>
      <c r="C644" s="4">
        <f t="shared" si="30"/>
        <v>-8.0938895555847292E-4</v>
      </c>
      <c r="D644" s="4">
        <f>IFERROR(Target1[[#This Row],[Target Return]]+1,"-")</f>
        <v>0.99919061104444151</v>
      </c>
      <c r="E644" s="6">
        <f>B644-MAX($B$2:B644)</f>
        <v>-26.900000000000002</v>
      </c>
      <c r="F644" s="80">
        <f t="shared" si="31"/>
        <v>117</v>
      </c>
      <c r="G644" s="77">
        <f>Target1[[#This Row],[Target Drawdown]]/MAX($B$2:B644)</f>
        <v>-0.52131782945736438</v>
      </c>
      <c r="H644" s="1" t="str">
        <f>IF(SUM(COUNTIF(Benchmark1[Benchmark '#1 Dates],Target1[[#This Row],[Target Dates]]),COUNTIF(Benchmark2[Benchmark '#2 Dates],Target1[[#This Row],[Target Dates]]))=2,"Pass","Fail")</f>
        <v>Pass</v>
      </c>
      <c r="I644" s="78">
        <f t="shared" si="32"/>
        <v>-26.900000000000002</v>
      </c>
      <c r="K644" s="72">
        <f>Target1[[#This Row],[Target Price]]/$B$2*100</f>
        <v>143.68819080860965</v>
      </c>
      <c r="R644">
        <f>B645/Target1[[#This Row],[Target Price]]-1</f>
        <v>2.5506072874493801E-2</v>
      </c>
    </row>
    <row r="645" spans="1:18">
      <c r="A645" s="96">
        <v>44221</v>
      </c>
      <c r="B645" s="101">
        <v>25.33</v>
      </c>
      <c r="C645" s="4">
        <f t="shared" si="30"/>
        <v>2.5186220379652218E-2</v>
      </c>
      <c r="D645" s="4">
        <f>IFERROR(Target1[[#This Row],[Target Return]]+1,"-")</f>
        <v>1.0251862203796522</v>
      </c>
      <c r="E645" s="6">
        <f>B645-MAX($B$2:B645)</f>
        <v>-26.270000000000003</v>
      </c>
      <c r="F645" s="80">
        <f t="shared" si="31"/>
        <v>118</v>
      </c>
      <c r="G645" s="77">
        <f>Target1[[#This Row],[Target Drawdown]]/MAX($B$2:B645)</f>
        <v>-0.50910852713178301</v>
      </c>
      <c r="H645" s="1" t="str">
        <f>IF(SUM(COUNTIF(Benchmark1[Benchmark '#1 Dates],Target1[[#This Row],[Target Dates]]),COUNTIF(Benchmark2[Benchmark '#2 Dates],Target1[[#This Row],[Target Dates]]))=2,"Pass","Fail")</f>
        <v>Pass</v>
      </c>
      <c r="I645" s="78">
        <f t="shared" si="32"/>
        <v>-26.270000000000003</v>
      </c>
      <c r="K645" s="72">
        <f>Target1[[#This Row],[Target Price]]/$B$2*100</f>
        <v>147.35311227457822</v>
      </c>
      <c r="R645">
        <f>B646/Target1[[#This Row],[Target Price]]-1</f>
        <v>2.6056060007895843E-2</v>
      </c>
    </row>
    <row r="646" spans="1:18">
      <c r="A646" s="96">
        <v>44222</v>
      </c>
      <c r="B646" s="101">
        <v>25.99</v>
      </c>
      <c r="C646" s="4">
        <f t="shared" si="30"/>
        <v>2.5722384639815105E-2</v>
      </c>
      <c r="D646" s="4">
        <f>IFERROR(Target1[[#This Row],[Target Return]]+1,"-")</f>
        <v>1.0257223846398151</v>
      </c>
      <c r="E646" s="6">
        <f>B646-MAX($B$2:B646)</f>
        <v>-25.610000000000003</v>
      </c>
      <c r="F646" s="80">
        <f t="shared" si="31"/>
        <v>119</v>
      </c>
      <c r="G646" s="77">
        <f>Target1[[#This Row],[Target Drawdown]]/MAX($B$2:B646)</f>
        <v>-0.49631782945736441</v>
      </c>
      <c r="H646" s="1" t="str">
        <f>IF(SUM(COUNTIF(Benchmark1[Benchmark '#1 Dates],Target1[[#This Row],[Target Dates]]),COUNTIF(Benchmark2[Benchmark '#2 Dates],Target1[[#This Row],[Target Dates]]))=2,"Pass","Fail")</f>
        <v>Pass</v>
      </c>
      <c r="I646" s="78">
        <f t="shared" si="32"/>
        <v>-25.610000000000003</v>
      </c>
      <c r="K646" s="72">
        <f>Target1[[#This Row],[Target Price]]/$B$2*100</f>
        <v>151.19255381035484</v>
      </c>
      <c r="R646">
        <f>B647/Target1[[#This Row],[Target Price]]-1</f>
        <v>-4.3093497499038014E-2</v>
      </c>
    </row>
    <row r="647" spans="1:18">
      <c r="A647" s="96">
        <v>44223</v>
      </c>
      <c r="B647" s="101">
        <v>24.87</v>
      </c>
      <c r="C647" s="4">
        <f t="shared" si="30"/>
        <v>-4.404959083808551E-2</v>
      </c>
      <c r="D647" s="4">
        <f>IFERROR(Target1[[#This Row],[Target Return]]+1,"-")</f>
        <v>0.95595040916191454</v>
      </c>
      <c r="E647" s="6">
        <f>B647-MAX($B$2:B647)</f>
        <v>-26.73</v>
      </c>
      <c r="F647" s="80">
        <f t="shared" si="31"/>
        <v>120</v>
      </c>
      <c r="G647" s="77">
        <f>Target1[[#This Row],[Target Drawdown]]/MAX($B$2:B647)</f>
        <v>-0.51802325581395348</v>
      </c>
      <c r="H647" s="1" t="str">
        <f>IF(SUM(COUNTIF(Benchmark1[Benchmark '#1 Dates],Target1[[#This Row],[Target Dates]]),COUNTIF(Benchmark2[Benchmark '#2 Dates],Target1[[#This Row],[Target Dates]]))=2,"Pass","Fail")</f>
        <v>Pass</v>
      </c>
      <c r="I647" s="78">
        <f t="shared" si="32"/>
        <v>-26.73</v>
      </c>
      <c r="K647" s="72">
        <f>Target1[[#This Row],[Target Price]]/$B$2*100</f>
        <v>144.67713787085515</v>
      </c>
      <c r="R647">
        <f>B648/Target1[[#This Row],[Target Price]]-1</f>
        <v>-3.3775633293124274E-2</v>
      </c>
    </row>
    <row r="648" spans="1:18">
      <c r="A648" s="96">
        <v>44224</v>
      </c>
      <c r="B648" s="101">
        <v>24.03</v>
      </c>
      <c r="C648" s="4">
        <f t="shared" si="30"/>
        <v>-3.4359208066935785E-2</v>
      </c>
      <c r="D648" s="4">
        <f>IFERROR(Target1[[#This Row],[Target Return]]+1,"-")</f>
        <v>0.96564079193306418</v>
      </c>
      <c r="E648" s="6">
        <f>B648-MAX($B$2:B648)</f>
        <v>-27.57</v>
      </c>
      <c r="F648" s="80">
        <f t="shared" si="31"/>
        <v>121</v>
      </c>
      <c r="G648" s="77">
        <f>Target1[[#This Row],[Target Drawdown]]/MAX($B$2:B648)</f>
        <v>-0.53430232558139534</v>
      </c>
      <c r="H648" s="1" t="str">
        <f>IF(SUM(COUNTIF(Benchmark1[Benchmark '#1 Dates],Target1[[#This Row],[Target Dates]]),COUNTIF(Benchmark2[Benchmark '#2 Dates],Target1[[#This Row],[Target Dates]]))=2,"Pass","Fail")</f>
        <v>Pass</v>
      </c>
      <c r="I648" s="78">
        <f t="shared" si="32"/>
        <v>-27.57</v>
      </c>
      <c r="K648" s="72">
        <f>Target1[[#This Row],[Target Price]]/$B$2*100</f>
        <v>139.79057591623035</v>
      </c>
      <c r="R648">
        <f>B649/Target1[[#This Row],[Target Price]]-1</f>
        <v>7.1577195172700669E-2</v>
      </c>
    </row>
    <row r="649" spans="1:18">
      <c r="A649" s="96">
        <v>44225</v>
      </c>
      <c r="B649" s="101">
        <v>25.75</v>
      </c>
      <c r="C649" s="4">
        <f t="shared" si="30"/>
        <v>6.9131577361367491E-2</v>
      </c>
      <c r="D649" s="4">
        <f>IFERROR(Target1[[#This Row],[Target Return]]+1,"-")</f>
        <v>1.0691315773613674</v>
      </c>
      <c r="E649" s="6">
        <f>B649-MAX($B$2:B649)</f>
        <v>-25.85</v>
      </c>
      <c r="F649" s="80">
        <f t="shared" si="31"/>
        <v>122</v>
      </c>
      <c r="G649" s="77">
        <f>Target1[[#This Row],[Target Drawdown]]/MAX($B$2:B649)</f>
        <v>-0.50096899224806202</v>
      </c>
      <c r="H649" s="1" t="str">
        <f>IF(SUM(COUNTIF(Benchmark1[Benchmark '#1 Dates],Target1[[#This Row],[Target Dates]]),COUNTIF(Benchmark2[Benchmark '#2 Dates],Target1[[#This Row],[Target Dates]]))=2,"Pass","Fail")</f>
        <v>Pass</v>
      </c>
      <c r="I649" s="78">
        <f t="shared" si="32"/>
        <v>-25.85</v>
      </c>
      <c r="K649" s="72">
        <f>Target1[[#This Row],[Target Price]]/$B$2*100</f>
        <v>149.79639325189063</v>
      </c>
      <c r="R649">
        <f>B650/Target1[[#This Row],[Target Price]]-1</f>
        <v>5.4757281553398096E-2</v>
      </c>
    </row>
    <row r="650" spans="1:18">
      <c r="A650" s="96">
        <v>44228</v>
      </c>
      <c r="B650" s="101">
        <v>27.16</v>
      </c>
      <c r="C650" s="4">
        <f t="shared" si="30"/>
        <v>5.3310675580750262E-2</v>
      </c>
      <c r="D650" s="4">
        <f>IFERROR(Target1[[#This Row],[Target Return]]+1,"-")</f>
        <v>1.0533106755807502</v>
      </c>
      <c r="E650" s="6">
        <f>B650-MAX($B$2:B650)</f>
        <v>-24.44</v>
      </c>
      <c r="F650" s="80">
        <f t="shared" si="31"/>
        <v>123</v>
      </c>
      <c r="G650" s="77">
        <f>Target1[[#This Row],[Target Drawdown]]/MAX($B$2:B650)</f>
        <v>-0.47364341085271316</v>
      </c>
      <c r="H650" s="1" t="str">
        <f>IF(SUM(COUNTIF(Benchmark1[Benchmark '#1 Dates],Target1[[#This Row],[Target Dates]]),COUNTIF(Benchmark2[Benchmark '#2 Dates],Target1[[#This Row],[Target Dates]]))=2,"Pass","Fail")</f>
        <v>Pass</v>
      </c>
      <c r="I650" s="78">
        <f t="shared" si="32"/>
        <v>-24.44</v>
      </c>
      <c r="K650" s="72">
        <f>Target1[[#This Row],[Target Price]]/$B$2*100</f>
        <v>157.99883653286793</v>
      </c>
      <c r="R650">
        <f>B651/Target1[[#This Row],[Target Price]]-1</f>
        <v>5.8910162002945299E-3</v>
      </c>
    </row>
    <row r="651" spans="1:18">
      <c r="A651" s="96">
        <v>44229</v>
      </c>
      <c r="B651" s="101">
        <v>27.32</v>
      </c>
      <c r="C651" s="4">
        <f t="shared" si="30"/>
        <v>5.8737320120939157E-3</v>
      </c>
      <c r="D651" s="4">
        <f>IFERROR(Target1[[#This Row],[Target Return]]+1,"-")</f>
        <v>1.0058737320120938</v>
      </c>
      <c r="E651" s="6">
        <f>B651-MAX($B$2:B651)</f>
        <v>-24.28</v>
      </c>
      <c r="F651" s="80">
        <f t="shared" si="31"/>
        <v>124</v>
      </c>
      <c r="G651" s="77">
        <f>Target1[[#This Row],[Target Drawdown]]/MAX($B$2:B651)</f>
        <v>-0.47054263565891474</v>
      </c>
      <c r="H651" s="1" t="str">
        <f>IF(SUM(COUNTIF(Benchmark1[Benchmark '#1 Dates],Target1[[#This Row],[Target Dates]]),COUNTIF(Benchmark2[Benchmark '#2 Dates],Target1[[#This Row],[Target Dates]]))=2,"Pass","Fail")</f>
        <v>Pass</v>
      </c>
      <c r="I651" s="78">
        <f t="shared" si="32"/>
        <v>-24.28</v>
      </c>
      <c r="K651" s="72">
        <f>Target1[[#This Row],[Target Price]]/$B$2*100</f>
        <v>158.92961023851075</v>
      </c>
      <c r="R651">
        <f>B652/Target1[[#This Row],[Target Price]]-1</f>
        <v>1.4641288433382194E-2</v>
      </c>
    </row>
    <row r="652" spans="1:18">
      <c r="A652" s="96">
        <v>44230</v>
      </c>
      <c r="B652" s="101">
        <v>27.72</v>
      </c>
      <c r="C652" s="4">
        <f t="shared" si="30"/>
        <v>1.4535139619113223E-2</v>
      </c>
      <c r="D652" s="4">
        <f>IFERROR(Target1[[#This Row],[Target Return]]+1,"-")</f>
        <v>1.0145351396191131</v>
      </c>
      <c r="E652" s="6">
        <f>B652-MAX($B$2:B652)</f>
        <v>-23.880000000000003</v>
      </c>
      <c r="F652" s="80">
        <f t="shared" si="31"/>
        <v>125</v>
      </c>
      <c r="G652" s="77">
        <f>Target1[[#This Row],[Target Drawdown]]/MAX($B$2:B652)</f>
        <v>-0.46279069767441866</v>
      </c>
      <c r="H652" s="1" t="str">
        <f>IF(SUM(COUNTIF(Benchmark1[Benchmark '#1 Dates],Target1[[#This Row],[Target Dates]]),COUNTIF(Benchmark2[Benchmark '#2 Dates],Target1[[#This Row],[Target Dates]]))=2,"Pass","Fail")</f>
        <v>Pass</v>
      </c>
      <c r="I652" s="78">
        <f t="shared" si="32"/>
        <v>-23.880000000000003</v>
      </c>
      <c r="K652" s="72">
        <f>Target1[[#This Row],[Target Price]]/$B$2*100</f>
        <v>161.2565445026178</v>
      </c>
      <c r="R652">
        <f>B653/Target1[[#This Row],[Target Price]]-1</f>
        <v>-1.7676767676767624E-2</v>
      </c>
    </row>
    <row r="653" spans="1:18">
      <c r="A653" s="96">
        <v>44231</v>
      </c>
      <c r="B653" s="101">
        <v>27.23</v>
      </c>
      <c r="C653" s="4">
        <f t="shared" si="30"/>
        <v>-1.7834867636034198E-2</v>
      </c>
      <c r="D653" s="4">
        <f>IFERROR(Target1[[#This Row],[Target Return]]+1,"-")</f>
        <v>0.98216513236396585</v>
      </c>
      <c r="E653" s="6">
        <f>B653-MAX($B$2:B653)</f>
        <v>-24.37</v>
      </c>
      <c r="F653" s="80">
        <f t="shared" si="31"/>
        <v>126</v>
      </c>
      <c r="G653" s="77">
        <f>Target1[[#This Row],[Target Drawdown]]/MAX($B$2:B653)</f>
        <v>-0.47228682170542635</v>
      </c>
      <c r="H653" s="1" t="str">
        <f>IF(SUM(COUNTIF(Benchmark1[Benchmark '#1 Dates],Target1[[#This Row],[Target Dates]]),COUNTIF(Benchmark2[Benchmark '#2 Dates],Target1[[#This Row],[Target Dates]]))=2,"Pass","Fail")</f>
        <v>Pass</v>
      </c>
      <c r="I653" s="78">
        <f t="shared" si="32"/>
        <v>-24.37</v>
      </c>
      <c r="K653" s="72">
        <f>Target1[[#This Row],[Target Price]]/$B$2*100</f>
        <v>158.40605002908669</v>
      </c>
      <c r="R653">
        <f>B654/Target1[[#This Row],[Target Price]]-1</f>
        <v>-3.6724201248627963E-4</v>
      </c>
    </row>
    <row r="654" spans="1:18">
      <c r="A654" s="96">
        <v>44232</v>
      </c>
      <c r="B654" s="101">
        <v>27.22</v>
      </c>
      <c r="C654" s="4">
        <f t="shared" si="30"/>
        <v>-3.6730946234826798E-4</v>
      </c>
      <c r="D654" s="4">
        <f>IFERROR(Target1[[#This Row],[Target Return]]+1,"-")</f>
        <v>0.99963269053765169</v>
      </c>
      <c r="E654" s="6">
        <f>B654-MAX($B$2:B654)</f>
        <v>-24.380000000000003</v>
      </c>
      <c r="F654" s="80">
        <f t="shared" si="31"/>
        <v>127</v>
      </c>
      <c r="G654" s="77">
        <f>Target1[[#This Row],[Target Drawdown]]/MAX($B$2:B654)</f>
        <v>-0.47248062015503878</v>
      </c>
      <c r="H654" s="1" t="str">
        <f>IF(SUM(COUNTIF(Benchmark1[Benchmark '#1 Dates],Target1[[#This Row],[Target Dates]]),COUNTIF(Benchmark2[Benchmark '#2 Dates],Target1[[#This Row],[Target Dates]]))=2,"Pass","Fail")</f>
        <v>Pass</v>
      </c>
      <c r="I654" s="78">
        <f t="shared" si="32"/>
        <v>-24.380000000000003</v>
      </c>
      <c r="K654" s="72">
        <f>Target1[[#This Row],[Target Price]]/$B$2*100</f>
        <v>158.34787667248398</v>
      </c>
      <c r="R654">
        <f>B655/Target1[[#This Row],[Target Price]]-1</f>
        <v>1.7266715650257281E-2</v>
      </c>
    </row>
    <row r="655" spans="1:18">
      <c r="A655" s="96">
        <v>44235</v>
      </c>
      <c r="B655" s="101">
        <v>27.69</v>
      </c>
      <c r="C655" s="4">
        <f t="shared" si="30"/>
        <v>1.7119339959550582E-2</v>
      </c>
      <c r="D655" s="4">
        <f>IFERROR(Target1[[#This Row],[Target Return]]+1,"-")</f>
        <v>1.0171193399595506</v>
      </c>
      <c r="E655" s="6">
        <f>B655-MAX($B$2:B655)</f>
        <v>-23.91</v>
      </c>
      <c r="F655" s="80">
        <f t="shared" si="31"/>
        <v>128</v>
      </c>
      <c r="G655" s="77">
        <f>Target1[[#This Row],[Target Drawdown]]/MAX($B$2:B655)</f>
        <v>-0.46337209302325583</v>
      </c>
      <c r="H655" s="1" t="str">
        <f>IF(SUM(COUNTIF(Benchmark1[Benchmark '#1 Dates],Target1[[#This Row],[Target Dates]]),COUNTIF(Benchmark2[Benchmark '#2 Dates],Target1[[#This Row],[Target Dates]]))=2,"Pass","Fail")</f>
        <v>Pass</v>
      </c>
      <c r="I655" s="78">
        <f t="shared" si="32"/>
        <v>-23.91</v>
      </c>
      <c r="K655" s="72">
        <f>Target1[[#This Row],[Target Price]]/$B$2*100</f>
        <v>161.08202443280976</v>
      </c>
      <c r="R655">
        <f>B656/Target1[[#This Row],[Target Price]]-1</f>
        <v>1.6973636691946403E-2</v>
      </c>
    </row>
    <row r="656" spans="1:18">
      <c r="A656" s="96">
        <v>44236</v>
      </c>
      <c r="B656" s="101">
        <v>28.16</v>
      </c>
      <c r="C656" s="4">
        <f t="shared" si="30"/>
        <v>1.6831194106971026E-2</v>
      </c>
      <c r="D656" s="4">
        <f>IFERROR(Target1[[#This Row],[Target Return]]+1,"-")</f>
        <v>1.016831194106971</v>
      </c>
      <c r="E656" s="6">
        <f>B656-MAX($B$2:B656)</f>
        <v>-23.44</v>
      </c>
      <c r="F656" s="80">
        <f t="shared" si="31"/>
        <v>129</v>
      </c>
      <c r="G656" s="77">
        <f>Target1[[#This Row],[Target Drawdown]]/MAX($B$2:B656)</f>
        <v>-0.45426356589147288</v>
      </c>
      <c r="H656" s="1" t="str">
        <f>IF(SUM(COUNTIF(Benchmark1[Benchmark '#1 Dates],Target1[[#This Row],[Target Dates]]),COUNTIF(Benchmark2[Benchmark '#2 Dates],Target1[[#This Row],[Target Dates]]))=2,"Pass","Fail")</f>
        <v>Pass</v>
      </c>
      <c r="I656" s="78">
        <f t="shared" si="32"/>
        <v>-23.44</v>
      </c>
      <c r="K656" s="72">
        <f>Target1[[#This Row],[Target Price]]/$B$2*100</f>
        <v>163.81617219313554</v>
      </c>
      <c r="R656">
        <f>B657/Target1[[#This Row],[Target Price]]-1</f>
        <v>1.4559659090909172E-2</v>
      </c>
    </row>
    <row r="657" spans="1:18">
      <c r="A657" s="96">
        <v>44237</v>
      </c>
      <c r="B657" s="101">
        <v>28.57</v>
      </c>
      <c r="C657" s="4">
        <f t="shared" si="30"/>
        <v>1.4454684952840132E-2</v>
      </c>
      <c r="D657" s="4">
        <f>IFERROR(Target1[[#This Row],[Target Return]]+1,"-")</f>
        <v>1.0144546849528402</v>
      </c>
      <c r="E657" s="6">
        <f>B657-MAX($B$2:B657)</f>
        <v>-23.03</v>
      </c>
      <c r="F657" s="80">
        <f t="shared" si="31"/>
        <v>130</v>
      </c>
      <c r="G657" s="77">
        <f>Target1[[#This Row],[Target Drawdown]]/MAX($B$2:B657)</f>
        <v>-0.44631782945736437</v>
      </c>
      <c r="H657" s="1" t="str">
        <f>IF(SUM(COUNTIF(Benchmark1[Benchmark '#1 Dates],Target1[[#This Row],[Target Dates]]),COUNTIF(Benchmark2[Benchmark '#2 Dates],Target1[[#This Row],[Target Dates]]))=2,"Pass","Fail")</f>
        <v>Pass</v>
      </c>
      <c r="I657" s="78">
        <f t="shared" si="32"/>
        <v>-23.03</v>
      </c>
      <c r="K657" s="72">
        <f>Target1[[#This Row],[Target Price]]/$B$2*100</f>
        <v>166.20127981384525</v>
      </c>
      <c r="R657">
        <f>B658/Target1[[#This Row],[Target Price]]-1</f>
        <v>-4.2002100105005269E-3</v>
      </c>
    </row>
    <row r="658" spans="1:18">
      <c r="A658" s="96">
        <v>44238</v>
      </c>
      <c r="B658" s="101">
        <v>28.45</v>
      </c>
      <c r="C658" s="4">
        <f t="shared" si="30"/>
        <v>-4.2090556703417784E-3</v>
      </c>
      <c r="D658" s="4">
        <f>IFERROR(Target1[[#This Row],[Target Return]]+1,"-")</f>
        <v>0.9957909443296582</v>
      </c>
      <c r="E658" s="6">
        <f>B658-MAX($B$2:B658)</f>
        <v>-23.150000000000002</v>
      </c>
      <c r="F658" s="80">
        <f t="shared" si="31"/>
        <v>131</v>
      </c>
      <c r="G658" s="77">
        <f>Target1[[#This Row],[Target Drawdown]]/MAX($B$2:B658)</f>
        <v>-0.4486434108527132</v>
      </c>
      <c r="H658" s="1" t="str">
        <f>IF(SUM(COUNTIF(Benchmark1[Benchmark '#1 Dates],Target1[[#This Row],[Target Dates]]),COUNTIF(Benchmark2[Benchmark '#2 Dates],Target1[[#This Row],[Target Dates]]))=2,"Pass","Fail")</f>
        <v>Pass</v>
      </c>
      <c r="I658" s="78">
        <f t="shared" si="32"/>
        <v>-23.150000000000002</v>
      </c>
      <c r="K658" s="72">
        <f>Target1[[#This Row],[Target Price]]/$B$2*100</f>
        <v>165.50319953461312</v>
      </c>
      <c r="R658">
        <f>B659/Target1[[#This Row],[Target Price]]-1</f>
        <v>-6.3268892794375864E-3</v>
      </c>
    </row>
    <row r="659" spans="1:18">
      <c r="A659" s="96">
        <v>44239</v>
      </c>
      <c r="B659" s="101">
        <v>28.27</v>
      </c>
      <c r="C659" s="4">
        <f t="shared" si="30"/>
        <v>-6.3469888668409294E-3</v>
      </c>
      <c r="D659" s="4">
        <f>IFERROR(Target1[[#This Row],[Target Return]]+1,"-")</f>
        <v>0.99365301113315907</v>
      </c>
      <c r="E659" s="6">
        <f>B659-MAX($B$2:B659)</f>
        <v>-23.330000000000002</v>
      </c>
      <c r="F659" s="80">
        <f t="shared" si="31"/>
        <v>132</v>
      </c>
      <c r="G659" s="77">
        <f>Target1[[#This Row],[Target Drawdown]]/MAX($B$2:B659)</f>
        <v>-0.45213178294573647</v>
      </c>
      <c r="H659" s="1" t="str">
        <f>IF(SUM(COUNTIF(Benchmark1[Benchmark '#1 Dates],Target1[[#This Row],[Target Dates]]),COUNTIF(Benchmark2[Benchmark '#2 Dates],Target1[[#This Row],[Target Dates]]))=2,"Pass","Fail")</f>
        <v>Pass</v>
      </c>
      <c r="I659" s="78">
        <f t="shared" si="32"/>
        <v>-23.330000000000002</v>
      </c>
      <c r="K659" s="72">
        <f>Target1[[#This Row],[Target Price]]/$B$2*100</f>
        <v>164.45607911576496</v>
      </c>
      <c r="R659">
        <f>B660/Target1[[#This Row],[Target Price]]-1</f>
        <v>-3.1835868411743795E-2</v>
      </c>
    </row>
    <row r="660" spans="1:18">
      <c r="A660" s="96">
        <v>44243</v>
      </c>
      <c r="B660" s="101">
        <v>27.37</v>
      </c>
      <c r="C660" s="4">
        <f t="shared" si="30"/>
        <v>-3.2353648652911161E-2</v>
      </c>
      <c r="D660" s="4">
        <f>IFERROR(Target1[[#This Row],[Target Return]]+1,"-")</f>
        <v>0.96764635134708887</v>
      </c>
      <c r="E660" s="6">
        <f>B660-MAX($B$2:B660)</f>
        <v>-24.23</v>
      </c>
      <c r="F660" s="80">
        <f t="shared" si="31"/>
        <v>133</v>
      </c>
      <c r="G660" s="77">
        <f>Target1[[#This Row],[Target Drawdown]]/MAX($B$2:B660)</f>
        <v>-0.46957364341085273</v>
      </c>
      <c r="H660" s="1" t="str">
        <f>IF(SUM(COUNTIF(Benchmark1[Benchmark '#1 Dates],Target1[[#This Row],[Target Dates]]),COUNTIF(Benchmark2[Benchmark '#2 Dates],Target1[[#This Row],[Target Dates]]))=2,"Pass","Fail")</f>
        <v>Pass</v>
      </c>
      <c r="I660" s="78">
        <f t="shared" si="32"/>
        <v>-24.23</v>
      </c>
      <c r="K660" s="72">
        <f>Target1[[#This Row],[Target Price]]/$B$2*100</f>
        <v>159.22047702152412</v>
      </c>
      <c r="R660">
        <f>B661/Target1[[#This Row],[Target Price]]-1</f>
        <v>-4.1286079649251128E-2</v>
      </c>
    </row>
    <row r="661" spans="1:18">
      <c r="A661" s="96">
        <v>44244</v>
      </c>
      <c r="B661" s="101">
        <v>26.24</v>
      </c>
      <c r="C661" s="4">
        <f t="shared" si="30"/>
        <v>-4.2162558976699543E-2</v>
      </c>
      <c r="D661" s="4">
        <f>IFERROR(Target1[[#This Row],[Target Return]]+1,"-")</f>
        <v>0.95783744102330048</v>
      </c>
      <c r="E661" s="6">
        <f>B661-MAX($B$2:B661)</f>
        <v>-25.360000000000003</v>
      </c>
      <c r="F661" s="80">
        <f t="shared" si="31"/>
        <v>134</v>
      </c>
      <c r="G661" s="77">
        <f>Target1[[#This Row],[Target Drawdown]]/MAX($B$2:B661)</f>
        <v>-0.49147286821705433</v>
      </c>
      <c r="H661" s="1" t="str">
        <f>IF(SUM(COUNTIF(Benchmark1[Benchmark '#1 Dates],Target1[[#This Row],[Target Dates]]),COUNTIF(Benchmark2[Benchmark '#2 Dates],Target1[[#This Row],[Target Dates]]))=2,"Pass","Fail")</f>
        <v>Pass</v>
      </c>
      <c r="I661" s="78">
        <f t="shared" si="32"/>
        <v>-25.360000000000003</v>
      </c>
      <c r="K661" s="72">
        <f>Target1[[#This Row],[Target Price]]/$B$2*100</f>
        <v>152.64688772542175</v>
      </c>
      <c r="R661">
        <f>B662/Target1[[#This Row],[Target Price]]-1</f>
        <v>4.1920731707318915E-3</v>
      </c>
    </row>
    <row r="662" spans="1:18">
      <c r="A662" s="96">
        <v>44245</v>
      </c>
      <c r="B662" s="101">
        <v>26.35</v>
      </c>
      <c r="C662" s="4">
        <f t="shared" si="30"/>
        <v>4.1833109114832239E-3</v>
      </c>
      <c r="D662" s="4">
        <f>IFERROR(Target1[[#This Row],[Target Return]]+1,"-")</f>
        <v>1.0041833109114833</v>
      </c>
      <c r="E662" s="6">
        <f>B662-MAX($B$2:B662)</f>
        <v>-25.25</v>
      </c>
      <c r="F662" s="80">
        <f t="shared" si="31"/>
        <v>135</v>
      </c>
      <c r="G662" s="77">
        <f>Target1[[#This Row],[Target Drawdown]]/MAX($B$2:B662)</f>
        <v>-0.48934108527131781</v>
      </c>
      <c r="H662" s="1" t="str">
        <f>IF(SUM(COUNTIF(Benchmark1[Benchmark '#1 Dates],Target1[[#This Row],[Target Dates]]),COUNTIF(Benchmark2[Benchmark '#2 Dates],Target1[[#This Row],[Target Dates]]))=2,"Pass","Fail")</f>
        <v>Pass</v>
      </c>
      <c r="I662" s="78">
        <f t="shared" si="32"/>
        <v>-25.25</v>
      </c>
      <c r="K662" s="72">
        <f>Target1[[#This Row],[Target Price]]/$B$2*100</f>
        <v>153.2867946480512</v>
      </c>
      <c r="R662">
        <f>B663/Target1[[#This Row],[Target Price]]-1</f>
        <v>-2.9981024667931844E-2</v>
      </c>
    </row>
    <row r="663" spans="1:18">
      <c r="A663" s="96">
        <v>44246</v>
      </c>
      <c r="B663" s="101">
        <v>25.56</v>
      </c>
      <c r="C663" s="4">
        <f t="shared" si="30"/>
        <v>-3.0439645478037437E-2</v>
      </c>
      <c r="D663" s="4">
        <f>IFERROR(Target1[[#This Row],[Target Return]]+1,"-")</f>
        <v>0.96956035452196254</v>
      </c>
      <c r="E663" s="6">
        <f>B663-MAX($B$2:B663)</f>
        <v>-26.040000000000003</v>
      </c>
      <c r="F663" s="80">
        <f t="shared" si="31"/>
        <v>136</v>
      </c>
      <c r="G663" s="77">
        <f>Target1[[#This Row],[Target Drawdown]]/MAX($B$2:B663)</f>
        <v>-0.50465116279069766</v>
      </c>
      <c r="H663" s="1" t="str">
        <f>IF(SUM(COUNTIF(Benchmark1[Benchmark '#1 Dates],Target1[[#This Row],[Target Dates]]),COUNTIF(Benchmark2[Benchmark '#2 Dates],Target1[[#This Row],[Target Dates]]))=2,"Pass","Fail")</f>
        <v>Pass</v>
      </c>
      <c r="I663" s="78">
        <f t="shared" si="32"/>
        <v>-26.040000000000003</v>
      </c>
      <c r="K663" s="72">
        <f>Target1[[#This Row],[Target Price]]/$B$2*100</f>
        <v>148.69109947643977</v>
      </c>
      <c r="R663">
        <f>B664/Target1[[#This Row],[Target Price]]-1</f>
        <v>-1.9170579029733847E-2</v>
      </c>
    </row>
    <row r="664" spans="1:18">
      <c r="A664" s="96">
        <v>44249</v>
      </c>
      <c r="B664" s="101">
        <v>25.07</v>
      </c>
      <c r="C664" s="4">
        <f t="shared" si="30"/>
        <v>-1.9356717339131916E-2</v>
      </c>
      <c r="D664" s="4">
        <f>IFERROR(Target1[[#This Row],[Target Return]]+1,"-")</f>
        <v>0.98064328266086809</v>
      </c>
      <c r="E664" s="6">
        <f>B664-MAX($B$2:B664)</f>
        <v>-26.53</v>
      </c>
      <c r="F664" s="80">
        <f t="shared" si="31"/>
        <v>137</v>
      </c>
      <c r="G664" s="77">
        <f>Target1[[#This Row],[Target Drawdown]]/MAX($B$2:B664)</f>
        <v>-0.51414728682170541</v>
      </c>
      <c r="H664" s="1" t="str">
        <f>IF(SUM(COUNTIF(Benchmark1[Benchmark '#1 Dates],Target1[[#This Row],[Target Dates]]),COUNTIF(Benchmark2[Benchmark '#2 Dates],Target1[[#This Row],[Target Dates]]))=2,"Pass","Fail")</f>
        <v>Pass</v>
      </c>
      <c r="I664" s="78">
        <f t="shared" si="32"/>
        <v>-26.53</v>
      </c>
      <c r="K664" s="72">
        <f>Target1[[#This Row],[Target Price]]/$B$2*100</f>
        <v>145.84060500290866</v>
      </c>
      <c r="R664">
        <f>B665/Target1[[#This Row],[Target Price]]-1</f>
        <v>-1.3960909453530124E-2</v>
      </c>
    </row>
    <row r="665" spans="1:18">
      <c r="A665" s="96">
        <v>44250</v>
      </c>
      <c r="B665" s="101">
        <v>24.72</v>
      </c>
      <c r="C665" s="4">
        <f t="shared" si="30"/>
        <v>-1.4059279580712009E-2</v>
      </c>
      <c r="D665" s="4">
        <f>IFERROR(Target1[[#This Row],[Target Return]]+1,"-")</f>
        <v>0.98594072041928804</v>
      </c>
      <c r="E665" s="6">
        <f>B665-MAX($B$2:B665)</f>
        <v>-26.880000000000003</v>
      </c>
      <c r="F665" s="80">
        <f t="shared" si="31"/>
        <v>138</v>
      </c>
      <c r="G665" s="77">
        <f>Target1[[#This Row],[Target Drawdown]]/MAX($B$2:B665)</f>
        <v>-0.52093023255813953</v>
      </c>
      <c r="H665" s="1" t="str">
        <f>IF(SUM(COUNTIF(Benchmark1[Benchmark '#1 Dates],Target1[[#This Row],[Target Dates]]),COUNTIF(Benchmark2[Benchmark '#2 Dates],Target1[[#This Row],[Target Dates]]))=2,"Pass","Fail")</f>
        <v>Pass</v>
      </c>
      <c r="I665" s="78">
        <f t="shared" si="32"/>
        <v>-26.880000000000003</v>
      </c>
      <c r="K665" s="72">
        <f>Target1[[#This Row],[Target Price]]/$B$2*100</f>
        <v>143.80453752181498</v>
      </c>
      <c r="R665">
        <f>B666/Target1[[#This Row],[Target Price]]-1</f>
        <v>1.901294498381878E-2</v>
      </c>
    </row>
    <row r="666" spans="1:18">
      <c r="A666" s="96">
        <v>44251</v>
      </c>
      <c r="B666" s="101">
        <v>25.19</v>
      </c>
      <c r="C666" s="4">
        <f t="shared" si="30"/>
        <v>1.8834457775028811E-2</v>
      </c>
      <c r="D666" s="4">
        <f>IFERROR(Target1[[#This Row],[Target Return]]+1,"-")</f>
        <v>1.0188344577750288</v>
      </c>
      <c r="E666" s="6">
        <f>B666-MAX($B$2:B666)</f>
        <v>-26.41</v>
      </c>
      <c r="F666" s="80">
        <f t="shared" si="31"/>
        <v>139</v>
      </c>
      <c r="G666" s="77">
        <f>Target1[[#This Row],[Target Drawdown]]/MAX($B$2:B666)</f>
        <v>-0.51182170542635663</v>
      </c>
      <c r="H666" s="1" t="str">
        <f>IF(SUM(COUNTIF(Benchmark1[Benchmark '#1 Dates],Target1[[#This Row],[Target Dates]]),COUNTIF(Benchmark2[Benchmark '#2 Dates],Target1[[#This Row],[Target Dates]]))=2,"Pass","Fail")</f>
        <v>Pass</v>
      </c>
      <c r="I666" s="78">
        <f t="shared" si="32"/>
        <v>-26.41</v>
      </c>
      <c r="K666" s="72">
        <f>Target1[[#This Row],[Target Price]]/$B$2*100</f>
        <v>146.53868528214079</v>
      </c>
      <c r="R666">
        <f>B667/Target1[[#This Row],[Target Price]]-1</f>
        <v>-3.9698292973402438E-3</v>
      </c>
    </row>
    <row r="667" spans="1:18">
      <c r="A667" s="96">
        <v>44252</v>
      </c>
      <c r="B667" s="101">
        <v>25.09</v>
      </c>
      <c r="C667" s="4">
        <f t="shared" si="30"/>
        <v>-3.9777299861879344E-3</v>
      </c>
      <c r="D667" s="4">
        <f>IFERROR(Target1[[#This Row],[Target Return]]+1,"-")</f>
        <v>0.99602227001381205</v>
      </c>
      <c r="E667" s="6">
        <f>B667-MAX($B$2:B667)</f>
        <v>-26.51</v>
      </c>
      <c r="F667" s="80">
        <f t="shared" si="31"/>
        <v>140</v>
      </c>
      <c r="G667" s="77">
        <f>Target1[[#This Row],[Target Drawdown]]/MAX($B$2:B667)</f>
        <v>-0.51375968992248067</v>
      </c>
      <c r="H667" s="1" t="str">
        <f>IF(SUM(COUNTIF(Benchmark1[Benchmark '#1 Dates],Target1[[#This Row],[Target Dates]]),COUNTIF(Benchmark2[Benchmark '#2 Dates],Target1[[#This Row],[Target Dates]]))=2,"Pass","Fail")</f>
        <v>Pass</v>
      </c>
      <c r="I667" s="78">
        <f t="shared" si="32"/>
        <v>-26.51</v>
      </c>
      <c r="K667" s="72">
        <f>Target1[[#This Row],[Target Price]]/$B$2*100</f>
        <v>145.95695171611399</v>
      </c>
      <c r="R667">
        <f>B668/Target1[[#This Row],[Target Price]]-1</f>
        <v>-4.1450777202072464E-2</v>
      </c>
    </row>
    <row r="668" spans="1:18">
      <c r="A668" s="96">
        <v>44253</v>
      </c>
      <c r="B668" s="101">
        <v>24.05</v>
      </c>
      <c r="C668" s="4">
        <f t="shared" si="30"/>
        <v>-4.2334363826560653E-2</v>
      </c>
      <c r="D668" s="4">
        <f>IFERROR(Target1[[#This Row],[Target Return]]+1,"-")</f>
        <v>0.95766563617343936</v>
      </c>
      <c r="E668" s="6">
        <f>B668-MAX($B$2:B668)</f>
        <v>-27.55</v>
      </c>
      <c r="F668" s="80">
        <f t="shared" si="31"/>
        <v>141</v>
      </c>
      <c r="G668" s="77">
        <f>Target1[[#This Row],[Target Drawdown]]/MAX($B$2:B668)</f>
        <v>-0.53391472868217049</v>
      </c>
      <c r="H668" s="1" t="str">
        <f>IF(SUM(COUNTIF(Benchmark1[Benchmark '#1 Dates],Target1[[#This Row],[Target Dates]]),COUNTIF(Benchmark2[Benchmark '#2 Dates],Target1[[#This Row],[Target Dates]]))=2,"Pass","Fail")</f>
        <v>Pass</v>
      </c>
      <c r="I668" s="78">
        <f t="shared" si="32"/>
        <v>-27.55</v>
      </c>
      <c r="K668" s="72">
        <f>Target1[[#This Row],[Target Price]]/$B$2*100</f>
        <v>139.90692262943571</v>
      </c>
      <c r="R668">
        <f>B669/Target1[[#This Row],[Target Price]]-1</f>
        <v>5.3222453222453225E-2</v>
      </c>
    </row>
    <row r="669" spans="1:18">
      <c r="A669" s="96">
        <v>44256</v>
      </c>
      <c r="B669" s="101">
        <v>25.33</v>
      </c>
      <c r="C669" s="4">
        <f t="shared" si="30"/>
        <v>5.1854467461813672E-2</v>
      </c>
      <c r="D669" s="4">
        <f>IFERROR(Target1[[#This Row],[Target Return]]+1,"-")</f>
        <v>1.0518544674618138</v>
      </c>
      <c r="E669" s="6">
        <f>B669-MAX($B$2:B669)</f>
        <v>-26.270000000000003</v>
      </c>
      <c r="F669" s="80">
        <f t="shared" si="31"/>
        <v>142</v>
      </c>
      <c r="G669" s="77">
        <f>Target1[[#This Row],[Target Drawdown]]/MAX($B$2:B669)</f>
        <v>-0.50910852713178301</v>
      </c>
      <c r="H669" s="1" t="str">
        <f>IF(SUM(COUNTIF(Benchmark1[Benchmark '#1 Dates],Target1[[#This Row],[Target Dates]]),COUNTIF(Benchmark2[Benchmark '#2 Dates],Target1[[#This Row],[Target Dates]]))=2,"Pass","Fail")</f>
        <v>Pass</v>
      </c>
      <c r="I669" s="78">
        <f t="shared" si="32"/>
        <v>-26.270000000000003</v>
      </c>
      <c r="K669" s="72">
        <f>Target1[[#This Row],[Target Price]]/$B$2*100</f>
        <v>147.35311227457822</v>
      </c>
      <c r="R669">
        <f>B670/Target1[[#This Row],[Target Price]]-1</f>
        <v>-4.7374654559810492E-2</v>
      </c>
    </row>
    <row r="670" spans="1:18">
      <c r="A670" s="96">
        <v>44257</v>
      </c>
      <c r="B670" s="101">
        <v>24.13</v>
      </c>
      <c r="C670" s="4">
        <f t="shared" si="30"/>
        <v>-4.8533584376643478E-2</v>
      </c>
      <c r="D670" s="4">
        <f>IFERROR(Target1[[#This Row],[Target Return]]+1,"-")</f>
        <v>0.95146641562335654</v>
      </c>
      <c r="E670" s="6">
        <f>B670-MAX($B$2:B670)</f>
        <v>-27.470000000000002</v>
      </c>
      <c r="F670" s="80">
        <f t="shared" si="31"/>
        <v>143</v>
      </c>
      <c r="G670" s="77">
        <f>Target1[[#This Row],[Target Drawdown]]/MAX($B$2:B670)</f>
        <v>-0.53236434108527131</v>
      </c>
      <c r="H670" s="1" t="str">
        <f>IF(SUM(COUNTIF(Benchmark1[Benchmark '#1 Dates],Target1[[#This Row],[Target Dates]]),COUNTIF(Benchmark2[Benchmark '#2 Dates],Target1[[#This Row],[Target Dates]]))=2,"Pass","Fail")</f>
        <v>Pass</v>
      </c>
      <c r="I670" s="78">
        <f t="shared" si="32"/>
        <v>-27.470000000000002</v>
      </c>
      <c r="K670" s="72">
        <f>Target1[[#This Row],[Target Price]]/$B$2*100</f>
        <v>140.37230948225712</v>
      </c>
      <c r="R670">
        <f>B671/Target1[[#This Row],[Target Price]]-1</f>
        <v>8.2884376295067064E-4</v>
      </c>
    </row>
    <row r="671" spans="1:18">
      <c r="A671" s="96">
        <v>44258</v>
      </c>
      <c r="B671" s="101">
        <v>24.15</v>
      </c>
      <c r="C671" s="4">
        <f t="shared" si="30"/>
        <v>8.285004616413157E-4</v>
      </c>
      <c r="D671" s="4">
        <f>IFERROR(Target1[[#This Row],[Target Return]]+1,"-")</f>
        <v>1.0008285004616413</v>
      </c>
      <c r="E671" s="6">
        <f>B671-MAX($B$2:B671)</f>
        <v>-27.450000000000003</v>
      </c>
      <c r="F671" s="80">
        <f t="shared" si="31"/>
        <v>144</v>
      </c>
      <c r="G671" s="77">
        <f>Target1[[#This Row],[Target Drawdown]]/MAX($B$2:B671)</f>
        <v>-0.53197674418604657</v>
      </c>
      <c r="H671" s="1" t="str">
        <f>IF(SUM(COUNTIF(Benchmark1[Benchmark '#1 Dates],Target1[[#This Row],[Target Dates]]),COUNTIF(Benchmark2[Benchmark '#2 Dates],Target1[[#This Row],[Target Dates]]))=2,"Pass","Fail")</f>
        <v>Pass</v>
      </c>
      <c r="I671" s="78">
        <f t="shared" si="32"/>
        <v>-27.450000000000003</v>
      </c>
      <c r="K671" s="72">
        <f>Target1[[#This Row],[Target Price]]/$B$2*100</f>
        <v>140.48865619546248</v>
      </c>
      <c r="R671">
        <f>B672/Target1[[#This Row],[Target Price]]-1</f>
        <v>8.6956521739129933E-3</v>
      </c>
    </row>
    <row r="672" spans="1:18">
      <c r="A672" s="96">
        <v>44259</v>
      </c>
      <c r="B672" s="101">
        <v>24.36</v>
      </c>
      <c r="C672" s="4">
        <f t="shared" si="30"/>
        <v>8.6580627431145311E-3</v>
      </c>
      <c r="D672" s="4">
        <f>IFERROR(Target1[[#This Row],[Target Return]]+1,"-")</f>
        <v>1.0086580627431145</v>
      </c>
      <c r="E672" s="6">
        <f>B672-MAX($B$2:B672)</f>
        <v>-27.240000000000002</v>
      </c>
      <c r="F672" s="80">
        <f t="shared" si="31"/>
        <v>145</v>
      </c>
      <c r="G672" s="77">
        <f>Target1[[#This Row],[Target Drawdown]]/MAX($B$2:B672)</f>
        <v>-0.52790697674418607</v>
      </c>
      <c r="H672" s="1" t="str">
        <f>IF(SUM(COUNTIF(Benchmark1[Benchmark '#1 Dates],Target1[[#This Row],[Target Dates]]),COUNTIF(Benchmark2[Benchmark '#2 Dates],Target1[[#This Row],[Target Dates]]))=2,"Pass","Fail")</f>
        <v>Pass</v>
      </c>
      <c r="I672" s="78">
        <f t="shared" si="32"/>
        <v>-27.240000000000002</v>
      </c>
      <c r="K672" s="72">
        <f>Target1[[#This Row],[Target Price]]/$B$2*100</f>
        <v>141.71029668411865</v>
      </c>
      <c r="R672">
        <f>B673/Target1[[#This Row],[Target Price]]-1</f>
        <v>1.765188834154352E-2</v>
      </c>
    </row>
    <row r="673" spans="1:18">
      <c r="A673" s="96">
        <v>44260</v>
      </c>
      <c r="B673" s="101">
        <v>24.79</v>
      </c>
      <c r="C673" s="4">
        <f t="shared" si="30"/>
        <v>1.7497903205402867E-2</v>
      </c>
      <c r="D673" s="4">
        <f>IFERROR(Target1[[#This Row],[Target Return]]+1,"-")</f>
        <v>1.0174979032054028</v>
      </c>
      <c r="E673" s="6">
        <f>B673-MAX($B$2:B673)</f>
        <v>-26.810000000000002</v>
      </c>
      <c r="F673" s="80">
        <f t="shared" si="31"/>
        <v>146</v>
      </c>
      <c r="G673" s="77">
        <f>Target1[[#This Row],[Target Drawdown]]/MAX($B$2:B673)</f>
        <v>-0.51957364341085277</v>
      </c>
      <c r="H673" s="1" t="str">
        <f>IF(SUM(COUNTIF(Benchmark1[Benchmark '#1 Dates],Target1[[#This Row],[Target Dates]]),COUNTIF(Benchmark2[Benchmark '#2 Dates],Target1[[#This Row],[Target Dates]]))=2,"Pass","Fail")</f>
        <v>Pass</v>
      </c>
      <c r="I673" s="78">
        <f t="shared" si="32"/>
        <v>-26.810000000000002</v>
      </c>
      <c r="K673" s="72">
        <f>Target1[[#This Row],[Target Price]]/$B$2*100</f>
        <v>144.21175101803371</v>
      </c>
      <c r="R673">
        <f>B674/Target1[[#This Row],[Target Price]]-1</f>
        <v>-4.800322710770466E-2</v>
      </c>
    </row>
    <row r="674" spans="1:18">
      <c r="A674" s="96">
        <v>44263</v>
      </c>
      <c r="B674" s="101">
        <v>23.6</v>
      </c>
      <c r="C674" s="4">
        <f t="shared" si="30"/>
        <v>-4.9193634015534692E-2</v>
      </c>
      <c r="D674" s="4">
        <f>IFERROR(Target1[[#This Row],[Target Return]]+1,"-")</f>
        <v>0.95080636598446533</v>
      </c>
      <c r="E674" s="6">
        <f>B674-MAX($B$2:B674)</f>
        <v>-28</v>
      </c>
      <c r="F674" s="80">
        <f t="shared" si="31"/>
        <v>147</v>
      </c>
      <c r="G674" s="77">
        <f>Target1[[#This Row],[Target Drawdown]]/MAX($B$2:B674)</f>
        <v>-0.54263565891472865</v>
      </c>
      <c r="H674" s="1" t="str">
        <f>IF(SUM(COUNTIF(Benchmark1[Benchmark '#1 Dates],Target1[[#This Row],[Target Dates]]),COUNTIF(Benchmark2[Benchmark '#2 Dates],Target1[[#This Row],[Target Dates]]))=2,"Pass","Fail")</f>
        <v>Pass</v>
      </c>
      <c r="I674" s="78">
        <f t="shared" si="32"/>
        <v>-28</v>
      </c>
      <c r="K674" s="72">
        <f>Target1[[#This Row],[Target Price]]/$B$2*100</f>
        <v>137.28912158231529</v>
      </c>
      <c r="R674">
        <f>B675/Target1[[#This Row],[Target Price]]-1</f>
        <v>2.8389830508474434E-2</v>
      </c>
    </row>
    <row r="675" spans="1:18">
      <c r="A675" s="96">
        <v>44264</v>
      </c>
      <c r="B675" s="101">
        <v>24.27</v>
      </c>
      <c r="C675" s="4">
        <f t="shared" si="30"/>
        <v>2.7994307706945488E-2</v>
      </c>
      <c r="D675" s="4">
        <f>IFERROR(Target1[[#This Row],[Target Return]]+1,"-")</f>
        <v>1.0279943077069456</v>
      </c>
      <c r="E675" s="6">
        <f>B675-MAX($B$2:B675)</f>
        <v>-27.330000000000002</v>
      </c>
      <c r="F675" s="80">
        <f t="shared" si="31"/>
        <v>148</v>
      </c>
      <c r="G675" s="77">
        <f>Target1[[#This Row],[Target Drawdown]]/MAX($B$2:B675)</f>
        <v>-0.52965116279069768</v>
      </c>
      <c r="H675" s="1" t="str">
        <f>IF(SUM(COUNTIF(Benchmark1[Benchmark '#1 Dates],Target1[[#This Row],[Target Dates]]),COUNTIF(Benchmark2[Benchmark '#2 Dates],Target1[[#This Row],[Target Dates]]))=2,"Pass","Fail")</f>
        <v>Pass</v>
      </c>
      <c r="I675" s="78">
        <f t="shared" si="32"/>
        <v>-27.330000000000002</v>
      </c>
      <c r="K675" s="72">
        <f>Target1[[#This Row],[Target Price]]/$B$2*100</f>
        <v>141.18673647469458</v>
      </c>
      <c r="R675">
        <f>B676/Target1[[#This Row],[Target Price]]-1</f>
        <v>2.3485784919653918E-2</v>
      </c>
    </row>
    <row r="676" spans="1:18">
      <c r="A676" s="96">
        <v>44265</v>
      </c>
      <c r="B676" s="101">
        <v>24.84</v>
      </c>
      <c r="C676" s="4">
        <f t="shared" si="30"/>
        <v>2.3214237326768028E-2</v>
      </c>
      <c r="D676" s="4">
        <f>IFERROR(Target1[[#This Row],[Target Return]]+1,"-")</f>
        <v>1.0232142373267681</v>
      </c>
      <c r="E676" s="6">
        <f>B676-MAX($B$2:B676)</f>
        <v>-26.76</v>
      </c>
      <c r="F676" s="80">
        <f t="shared" si="31"/>
        <v>149</v>
      </c>
      <c r="G676" s="77">
        <f>Target1[[#This Row],[Target Drawdown]]/MAX($B$2:B676)</f>
        <v>-0.51860465116279075</v>
      </c>
      <c r="H676" s="1" t="str">
        <f>IF(SUM(COUNTIF(Benchmark1[Benchmark '#1 Dates],Target1[[#This Row],[Target Dates]]),COUNTIF(Benchmark2[Benchmark '#2 Dates],Target1[[#This Row],[Target Dates]]))=2,"Pass","Fail")</f>
        <v>Pass</v>
      </c>
      <c r="I676" s="78">
        <f t="shared" si="32"/>
        <v>-26.76</v>
      </c>
      <c r="K676" s="72">
        <f>Target1[[#This Row],[Target Price]]/$B$2*100</f>
        <v>144.50261780104711</v>
      </c>
      <c r="R676">
        <f>B677/Target1[[#This Row],[Target Price]]-1</f>
        <v>9.0177133655394481E-2</v>
      </c>
    </row>
    <row r="677" spans="1:18">
      <c r="A677" s="96">
        <v>44266</v>
      </c>
      <c r="B677" s="101">
        <v>27.08</v>
      </c>
      <c r="C677" s="4">
        <f t="shared" si="30"/>
        <v>8.6340190978796194E-2</v>
      </c>
      <c r="D677" s="4">
        <f>IFERROR(Target1[[#This Row],[Target Return]]+1,"-")</f>
        <v>1.0863401909787962</v>
      </c>
      <c r="E677" s="6">
        <f>B677-MAX($B$2:B677)</f>
        <v>-24.520000000000003</v>
      </c>
      <c r="F677" s="80">
        <f t="shared" si="31"/>
        <v>150</v>
      </c>
      <c r="G677" s="77">
        <f>Target1[[#This Row],[Target Drawdown]]/MAX($B$2:B677)</f>
        <v>-0.47519379844961246</v>
      </c>
      <c r="H677" s="1" t="str">
        <f>IF(SUM(COUNTIF(Benchmark1[Benchmark '#1 Dates],Target1[[#This Row],[Target Dates]]),COUNTIF(Benchmark2[Benchmark '#2 Dates],Target1[[#This Row],[Target Dates]]))=2,"Pass","Fail")</f>
        <v>Pass</v>
      </c>
      <c r="I677" s="78">
        <f t="shared" si="32"/>
        <v>-24.520000000000003</v>
      </c>
      <c r="K677" s="72">
        <f>Target1[[#This Row],[Target Price]]/$B$2*100</f>
        <v>157.53344968004652</v>
      </c>
      <c r="R677">
        <f>B678/Target1[[#This Row],[Target Price]]-1</f>
        <v>6.0930576070901132E-2</v>
      </c>
    </row>
    <row r="678" spans="1:18">
      <c r="A678" s="96">
        <v>44267</v>
      </c>
      <c r="B678" s="101">
        <v>28.73</v>
      </c>
      <c r="C678" s="4">
        <f t="shared" si="30"/>
        <v>5.9146424947124035E-2</v>
      </c>
      <c r="D678" s="4">
        <f>IFERROR(Target1[[#This Row],[Target Return]]+1,"-")</f>
        <v>1.0591464249471241</v>
      </c>
      <c r="E678" s="6">
        <f>B678-MAX($B$2:B678)</f>
        <v>-22.87</v>
      </c>
      <c r="F678" s="80">
        <f t="shared" si="31"/>
        <v>151</v>
      </c>
      <c r="G678" s="77">
        <f>Target1[[#This Row],[Target Drawdown]]/MAX($B$2:B678)</f>
        <v>-0.44321705426356589</v>
      </c>
      <c r="H678" s="1" t="str">
        <f>IF(SUM(COUNTIF(Benchmark1[Benchmark '#1 Dates],Target1[[#This Row],[Target Dates]]),COUNTIF(Benchmark2[Benchmark '#2 Dates],Target1[[#This Row],[Target Dates]]))=2,"Pass","Fail")</f>
        <v>Pass</v>
      </c>
      <c r="I678" s="78">
        <f t="shared" si="32"/>
        <v>-22.87</v>
      </c>
      <c r="K678" s="72">
        <f>Target1[[#This Row],[Target Price]]/$B$2*100</f>
        <v>167.13205351948807</v>
      </c>
      <c r="R678">
        <f>B679/Target1[[#This Row],[Target Price]]-1</f>
        <v>-1.7055342847198118E-2</v>
      </c>
    </row>
    <row r="679" spans="1:18">
      <c r="A679" s="96">
        <v>44270</v>
      </c>
      <c r="B679" s="101">
        <v>28.24</v>
      </c>
      <c r="C679" s="4">
        <f t="shared" si="30"/>
        <v>-1.7202460366156927E-2</v>
      </c>
      <c r="D679" s="4">
        <f>IFERROR(Target1[[#This Row],[Target Return]]+1,"-")</f>
        <v>0.98279753963384309</v>
      </c>
      <c r="E679" s="6">
        <f>B679-MAX($B$2:B679)</f>
        <v>-23.360000000000003</v>
      </c>
      <c r="F679" s="80">
        <f t="shared" si="31"/>
        <v>152</v>
      </c>
      <c r="G679" s="77">
        <f>Target1[[#This Row],[Target Drawdown]]/MAX($B$2:B679)</f>
        <v>-0.45271317829457369</v>
      </c>
      <c r="H679" s="1" t="str">
        <f>IF(SUM(COUNTIF(Benchmark1[Benchmark '#1 Dates],Target1[[#This Row],[Target Dates]]),COUNTIF(Benchmark2[Benchmark '#2 Dates],Target1[[#This Row],[Target Dates]]))=2,"Pass","Fail")</f>
        <v>Pass</v>
      </c>
      <c r="I679" s="78">
        <f t="shared" si="32"/>
        <v>-23.360000000000003</v>
      </c>
      <c r="K679" s="72">
        <f>Target1[[#This Row],[Target Price]]/$B$2*100</f>
        <v>164.28155904595693</v>
      </c>
      <c r="R679">
        <f>B680/Target1[[#This Row],[Target Price]]-1</f>
        <v>1.1331444759206777E-2</v>
      </c>
    </row>
    <row r="680" spans="1:18">
      <c r="A680" s="96">
        <v>44271</v>
      </c>
      <c r="B680" s="101">
        <v>28.56</v>
      </c>
      <c r="C680" s="4">
        <f t="shared" si="30"/>
        <v>1.1267724846342288E-2</v>
      </c>
      <c r="D680" s="4">
        <f>IFERROR(Target1[[#This Row],[Target Return]]+1,"-")</f>
        <v>1.0112677248463422</v>
      </c>
      <c r="E680" s="6">
        <f>B680-MAX($B$2:B680)</f>
        <v>-23.040000000000003</v>
      </c>
      <c r="F680" s="80">
        <f t="shared" si="31"/>
        <v>153</v>
      </c>
      <c r="G680" s="77">
        <f>Target1[[#This Row],[Target Drawdown]]/MAX($B$2:B680)</f>
        <v>-0.44651162790697679</v>
      </c>
      <c r="H680" s="1" t="str">
        <f>IF(SUM(COUNTIF(Benchmark1[Benchmark '#1 Dates],Target1[[#This Row],[Target Dates]]),COUNTIF(Benchmark2[Benchmark '#2 Dates],Target1[[#This Row],[Target Dates]]))=2,"Pass","Fail")</f>
        <v>Pass</v>
      </c>
      <c r="I680" s="78">
        <f t="shared" si="32"/>
        <v>-23.040000000000003</v>
      </c>
      <c r="K680" s="72">
        <f>Target1[[#This Row],[Target Price]]/$B$2*100</f>
        <v>166.14310645724257</v>
      </c>
      <c r="R680">
        <f>B681/Target1[[#This Row],[Target Price]]-1</f>
        <v>-1.4005602240896309E-2</v>
      </c>
    </row>
    <row r="681" spans="1:18">
      <c r="A681" s="96">
        <v>44272</v>
      </c>
      <c r="B681" s="101">
        <v>28.16</v>
      </c>
      <c r="C681" s="4">
        <f t="shared" si="30"/>
        <v>-1.4104606181541935E-2</v>
      </c>
      <c r="D681" s="4">
        <f>IFERROR(Target1[[#This Row],[Target Return]]+1,"-")</f>
        <v>0.98589539381845803</v>
      </c>
      <c r="E681" s="6">
        <f>B681-MAX($B$2:B681)</f>
        <v>-23.44</v>
      </c>
      <c r="F681" s="80">
        <f t="shared" si="31"/>
        <v>154</v>
      </c>
      <c r="G681" s="77">
        <f>Target1[[#This Row],[Target Drawdown]]/MAX($B$2:B681)</f>
        <v>-0.45426356589147288</v>
      </c>
      <c r="H681" s="1" t="str">
        <f>IF(SUM(COUNTIF(Benchmark1[Benchmark '#1 Dates],Target1[[#This Row],[Target Dates]]),COUNTIF(Benchmark2[Benchmark '#2 Dates],Target1[[#This Row],[Target Dates]]))=2,"Pass","Fail")</f>
        <v>Pass</v>
      </c>
      <c r="I681" s="78">
        <f t="shared" si="32"/>
        <v>-23.44</v>
      </c>
      <c r="K681" s="72">
        <f>Target1[[#This Row],[Target Price]]/$B$2*100</f>
        <v>163.81617219313554</v>
      </c>
      <c r="R681">
        <f>B682/Target1[[#This Row],[Target Price]]-1</f>
        <v>-1.6690340909090828E-2</v>
      </c>
    </row>
    <row r="682" spans="1:18">
      <c r="A682" s="96">
        <v>44273</v>
      </c>
      <c r="B682" s="101">
        <v>27.69</v>
      </c>
      <c r="C682" s="4">
        <f t="shared" si="30"/>
        <v>-1.6831194106971089E-2</v>
      </c>
      <c r="D682" s="4">
        <f>IFERROR(Target1[[#This Row],[Target Return]]+1,"-")</f>
        <v>0.98316880589302891</v>
      </c>
      <c r="E682" s="6">
        <f>B682-MAX($B$2:B682)</f>
        <v>-23.91</v>
      </c>
      <c r="F682" s="80">
        <f t="shared" si="31"/>
        <v>155</v>
      </c>
      <c r="G682" s="77">
        <f>Target1[[#This Row],[Target Drawdown]]/MAX($B$2:B682)</f>
        <v>-0.46337209302325583</v>
      </c>
      <c r="H682" s="1" t="str">
        <f>IF(SUM(COUNTIF(Benchmark1[Benchmark '#1 Dates],Target1[[#This Row],[Target Dates]]),COUNTIF(Benchmark2[Benchmark '#2 Dates],Target1[[#This Row],[Target Dates]]))=2,"Pass","Fail")</f>
        <v>Pass</v>
      </c>
      <c r="I682" s="78">
        <f t="shared" si="32"/>
        <v>-23.91</v>
      </c>
      <c r="K682" s="72">
        <f>Target1[[#This Row],[Target Price]]/$B$2*100</f>
        <v>161.08202443280976</v>
      </c>
      <c r="R682">
        <f>B683/Target1[[#This Row],[Target Price]]-1</f>
        <v>1.8418201516793076E-2</v>
      </c>
    </row>
    <row r="683" spans="1:18">
      <c r="A683" s="96">
        <v>44274</v>
      </c>
      <c r="B683" s="101">
        <v>28.2</v>
      </c>
      <c r="C683" s="4">
        <f t="shared" si="30"/>
        <v>1.8250640761197433E-2</v>
      </c>
      <c r="D683" s="4">
        <f>IFERROR(Target1[[#This Row],[Target Return]]+1,"-")</f>
        <v>1.0182506407611975</v>
      </c>
      <c r="E683" s="6">
        <f>B683-MAX($B$2:B683)</f>
        <v>-23.400000000000002</v>
      </c>
      <c r="F683" s="80">
        <f t="shared" si="31"/>
        <v>156</v>
      </c>
      <c r="G683" s="77">
        <f>Target1[[#This Row],[Target Drawdown]]/MAX($B$2:B683)</f>
        <v>-0.45348837209302328</v>
      </c>
      <c r="H683" s="1" t="str">
        <f>IF(SUM(COUNTIF(Benchmark1[Benchmark '#1 Dates],Target1[[#This Row],[Target Dates]]),COUNTIF(Benchmark2[Benchmark '#2 Dates],Target1[[#This Row],[Target Dates]]))=2,"Pass","Fail")</f>
        <v>Pass</v>
      </c>
      <c r="I683" s="78">
        <f t="shared" si="32"/>
        <v>-23.400000000000002</v>
      </c>
      <c r="K683" s="72">
        <f>Target1[[#This Row],[Target Price]]/$B$2*100</f>
        <v>164.04886561954623</v>
      </c>
      <c r="R683">
        <f>B684/Target1[[#This Row],[Target Price]]-1</f>
        <v>2.0212765957446921E-2</v>
      </c>
    </row>
    <row r="684" spans="1:18">
      <c r="A684" s="96">
        <v>44277</v>
      </c>
      <c r="B684" s="101">
        <v>28.77</v>
      </c>
      <c r="C684" s="4">
        <f t="shared" si="30"/>
        <v>2.0011199619388749E-2</v>
      </c>
      <c r="D684" s="4">
        <f>IFERROR(Target1[[#This Row],[Target Return]]+1,"-")</f>
        <v>1.0200111996193888</v>
      </c>
      <c r="E684" s="6">
        <f>B684-MAX($B$2:B684)</f>
        <v>-22.830000000000002</v>
      </c>
      <c r="F684" s="80">
        <f t="shared" si="31"/>
        <v>157</v>
      </c>
      <c r="G684" s="77">
        <f>Target1[[#This Row],[Target Drawdown]]/MAX($B$2:B684)</f>
        <v>-0.4424418604651163</v>
      </c>
      <c r="H684" s="1" t="str">
        <f>IF(SUM(COUNTIF(Benchmark1[Benchmark '#1 Dates],Target1[[#This Row],[Target Dates]]),COUNTIF(Benchmark2[Benchmark '#2 Dates],Target1[[#This Row],[Target Dates]]))=2,"Pass","Fail")</f>
        <v>Pass</v>
      </c>
      <c r="I684" s="78">
        <f t="shared" si="32"/>
        <v>-22.830000000000002</v>
      </c>
      <c r="K684" s="72">
        <f>Target1[[#This Row],[Target Price]]/$B$2*100</f>
        <v>167.36474694589876</v>
      </c>
      <c r="R684">
        <f>B685/Target1[[#This Row],[Target Price]]-1</f>
        <v>-1.3208202989224871E-2</v>
      </c>
    </row>
    <row r="685" spans="1:18">
      <c r="A685" s="96">
        <v>44278</v>
      </c>
      <c r="B685" s="101">
        <v>28.39</v>
      </c>
      <c r="C685" s="4">
        <f t="shared" si="30"/>
        <v>-1.3296207078576708E-2</v>
      </c>
      <c r="D685" s="4">
        <f>IFERROR(Target1[[#This Row],[Target Return]]+1,"-")</f>
        <v>0.98670379292142329</v>
      </c>
      <c r="E685" s="6">
        <f>B685-MAX($B$2:B685)</f>
        <v>-23.21</v>
      </c>
      <c r="F685" s="80">
        <f t="shared" si="31"/>
        <v>158</v>
      </c>
      <c r="G685" s="77">
        <f>Target1[[#This Row],[Target Drawdown]]/MAX($B$2:B685)</f>
        <v>-0.44980620155038759</v>
      </c>
      <c r="H685" s="1" t="str">
        <f>IF(SUM(COUNTIF(Benchmark1[Benchmark '#1 Dates],Target1[[#This Row],[Target Dates]]),COUNTIF(Benchmark2[Benchmark '#2 Dates],Target1[[#This Row],[Target Dates]]))=2,"Pass","Fail")</f>
        <v>Pass</v>
      </c>
      <c r="I685" s="78">
        <f t="shared" si="32"/>
        <v>-23.21</v>
      </c>
      <c r="K685" s="72">
        <f>Target1[[#This Row],[Target Price]]/$B$2*100</f>
        <v>165.15415939499709</v>
      </c>
      <c r="R685">
        <f>B686/Target1[[#This Row],[Target Price]]-1</f>
        <v>-5.6357872490313543E-3</v>
      </c>
    </row>
    <row r="686" spans="1:18">
      <c r="A686" s="96">
        <v>44279</v>
      </c>
      <c r="B686" s="101">
        <v>28.23</v>
      </c>
      <c r="C686" s="4">
        <f t="shared" si="30"/>
        <v>-5.6517282194818667E-3</v>
      </c>
      <c r="D686" s="4">
        <f>IFERROR(Target1[[#This Row],[Target Return]]+1,"-")</f>
        <v>0.9943482717805181</v>
      </c>
      <c r="E686" s="6">
        <f>B686-MAX($B$2:B686)</f>
        <v>-23.37</v>
      </c>
      <c r="F686" s="80">
        <f t="shared" si="31"/>
        <v>159</v>
      </c>
      <c r="G686" s="77">
        <f>Target1[[#This Row],[Target Drawdown]]/MAX($B$2:B686)</f>
        <v>-0.45290697674418606</v>
      </c>
      <c r="H686" s="1" t="str">
        <f>IF(SUM(COUNTIF(Benchmark1[Benchmark '#1 Dates],Target1[[#This Row],[Target Dates]]),COUNTIF(Benchmark2[Benchmark '#2 Dates],Target1[[#This Row],[Target Dates]]))=2,"Pass","Fail")</f>
        <v>Pass</v>
      </c>
      <c r="I686" s="78">
        <f t="shared" si="32"/>
        <v>-23.37</v>
      </c>
      <c r="K686" s="72">
        <f>Target1[[#This Row],[Target Price]]/$B$2*100</f>
        <v>164.22338568935427</v>
      </c>
      <c r="R686">
        <f>B687/Target1[[#This Row],[Target Price]]-1</f>
        <v>9.4580233793836177E-2</v>
      </c>
    </row>
    <row r="687" spans="1:18">
      <c r="A687" s="96">
        <v>44280</v>
      </c>
      <c r="B687" s="101">
        <v>30.9</v>
      </c>
      <c r="C687" s="4">
        <f t="shared" si="30"/>
        <v>9.0370941638301672E-2</v>
      </c>
      <c r="D687" s="4">
        <f>IFERROR(Target1[[#This Row],[Target Return]]+1,"-")</f>
        <v>1.0903709416383016</v>
      </c>
      <c r="E687" s="6">
        <f>B687-MAX($B$2:B687)</f>
        <v>-20.700000000000003</v>
      </c>
      <c r="F687" s="80">
        <f t="shared" si="31"/>
        <v>160</v>
      </c>
      <c r="G687" s="77">
        <f>Target1[[#This Row],[Target Drawdown]]/MAX($B$2:B687)</f>
        <v>-0.40116279069767447</v>
      </c>
      <c r="H687" s="1" t="str">
        <f>IF(SUM(COUNTIF(Benchmark1[Benchmark '#1 Dates],Target1[[#This Row],[Target Dates]]),COUNTIF(Benchmark2[Benchmark '#2 Dates],Target1[[#This Row],[Target Dates]]))=2,"Pass","Fail")</f>
        <v>Pass</v>
      </c>
      <c r="I687" s="78">
        <f t="shared" si="32"/>
        <v>-20.700000000000003</v>
      </c>
      <c r="K687" s="72">
        <f>Target1[[#This Row],[Target Price]]/$B$2*100</f>
        <v>179.75567190226874</v>
      </c>
      <c r="R687">
        <f>B688/Target1[[#This Row],[Target Price]]-1</f>
        <v>9.7087378640776656E-3</v>
      </c>
    </row>
    <row r="688" spans="1:18">
      <c r="A688" s="96">
        <v>44281</v>
      </c>
      <c r="B688" s="101">
        <v>31.2</v>
      </c>
      <c r="C688" s="4">
        <f t="shared" si="30"/>
        <v>9.6619109117368901E-3</v>
      </c>
      <c r="D688" s="4">
        <f>IFERROR(Target1[[#This Row],[Target Return]]+1,"-")</f>
        <v>1.0096619109117368</v>
      </c>
      <c r="E688" s="6">
        <f>B688-MAX($B$2:B688)</f>
        <v>-20.400000000000002</v>
      </c>
      <c r="F688" s="80">
        <f t="shared" si="31"/>
        <v>161</v>
      </c>
      <c r="G688" s="77">
        <f>Target1[[#This Row],[Target Drawdown]]/MAX($B$2:B688)</f>
        <v>-0.39534883720930236</v>
      </c>
      <c r="H688" s="1" t="str">
        <f>IF(SUM(COUNTIF(Benchmark1[Benchmark '#1 Dates],Target1[[#This Row],[Target Dates]]),COUNTIF(Benchmark2[Benchmark '#2 Dates],Target1[[#This Row],[Target Dates]]))=2,"Pass","Fail")</f>
        <v>Pass</v>
      </c>
      <c r="I688" s="78">
        <f t="shared" si="32"/>
        <v>-20.400000000000002</v>
      </c>
      <c r="K688" s="72">
        <f>Target1[[#This Row],[Target Price]]/$B$2*100</f>
        <v>181.50087260034903</v>
      </c>
      <c r="R688">
        <f>B689/Target1[[#This Row],[Target Price]]-1</f>
        <v>-6.8910256410256387E-2</v>
      </c>
    </row>
    <row r="689" spans="1:18">
      <c r="A689" s="96">
        <v>44284</v>
      </c>
      <c r="B689" s="101">
        <v>29.05</v>
      </c>
      <c r="C689" s="4">
        <f t="shared" si="30"/>
        <v>-7.1399611517516406E-2</v>
      </c>
      <c r="D689" s="4">
        <f>IFERROR(Target1[[#This Row],[Target Return]]+1,"-")</f>
        <v>0.92860038848248361</v>
      </c>
      <c r="E689" s="6">
        <f>B689-MAX($B$2:B689)</f>
        <v>-22.55</v>
      </c>
      <c r="F689" s="80">
        <f t="shared" si="31"/>
        <v>162</v>
      </c>
      <c r="G689" s="77">
        <f>Target1[[#This Row],[Target Drawdown]]/MAX($B$2:B689)</f>
        <v>-0.43701550387596899</v>
      </c>
      <c r="H689" s="1" t="str">
        <f>IF(SUM(COUNTIF(Benchmark1[Benchmark '#1 Dates],Target1[[#This Row],[Target Dates]]),COUNTIF(Benchmark2[Benchmark '#2 Dates],Target1[[#This Row],[Target Dates]]))=2,"Pass","Fail")</f>
        <v>Pass</v>
      </c>
      <c r="I689" s="78">
        <f t="shared" si="32"/>
        <v>-22.55</v>
      </c>
      <c r="K689" s="72">
        <f>Target1[[#This Row],[Target Price]]/$B$2*100</f>
        <v>168.99360093077368</v>
      </c>
      <c r="R689">
        <f>B690/Target1[[#This Row],[Target Price]]-1</f>
        <v>1.8932874354561147E-2</v>
      </c>
    </row>
    <row r="690" spans="1:18">
      <c r="A690" s="96">
        <v>44285</v>
      </c>
      <c r="B690" s="101">
        <v>29.6</v>
      </c>
      <c r="C690" s="4">
        <f t="shared" si="30"/>
        <v>1.8755878032094497E-2</v>
      </c>
      <c r="D690" s="4">
        <f>IFERROR(Target1[[#This Row],[Target Return]]+1,"-")</f>
        <v>1.0187558780320944</v>
      </c>
      <c r="E690" s="6">
        <f>B690-MAX($B$2:B690)</f>
        <v>-22</v>
      </c>
      <c r="F690" s="80">
        <f t="shared" si="31"/>
        <v>163</v>
      </c>
      <c r="G690" s="77">
        <f>Target1[[#This Row],[Target Drawdown]]/MAX($B$2:B690)</f>
        <v>-0.4263565891472868</v>
      </c>
      <c r="H690" s="1" t="str">
        <f>IF(SUM(COUNTIF(Benchmark1[Benchmark '#1 Dates],Target1[[#This Row],[Target Dates]]),COUNTIF(Benchmark2[Benchmark '#2 Dates],Target1[[#This Row],[Target Dates]]))=2,"Pass","Fail")</f>
        <v>Pass</v>
      </c>
      <c r="I690" s="78">
        <f t="shared" si="32"/>
        <v>-22</v>
      </c>
      <c r="K690" s="72">
        <f>Target1[[#This Row],[Target Price]]/$B$2*100</f>
        <v>172.19313554392087</v>
      </c>
      <c r="R690">
        <f>B691/Target1[[#This Row],[Target Price]]-1</f>
        <v>1.7229729729729693E-2</v>
      </c>
    </row>
    <row r="691" spans="1:18">
      <c r="A691" s="96">
        <v>44286</v>
      </c>
      <c r="B691" s="101">
        <v>30.11</v>
      </c>
      <c r="C691" s="4">
        <f t="shared" si="30"/>
        <v>1.7082981163627737E-2</v>
      </c>
      <c r="D691" s="4">
        <f>IFERROR(Target1[[#This Row],[Target Return]]+1,"-")</f>
        <v>1.0170829811636277</v>
      </c>
      <c r="E691" s="6">
        <f>B691-MAX($B$2:B691)</f>
        <v>-21.490000000000002</v>
      </c>
      <c r="F691" s="80">
        <f t="shared" si="31"/>
        <v>164</v>
      </c>
      <c r="G691" s="77">
        <f>Target1[[#This Row],[Target Drawdown]]/MAX($B$2:B691)</f>
        <v>-0.41647286821705432</v>
      </c>
      <c r="H691" s="1" t="str">
        <f>IF(SUM(COUNTIF(Benchmark1[Benchmark '#1 Dates],Target1[[#This Row],[Target Dates]]),COUNTIF(Benchmark2[Benchmark '#2 Dates],Target1[[#This Row],[Target Dates]]))=2,"Pass","Fail")</f>
        <v>Pass</v>
      </c>
      <c r="I691" s="78">
        <f t="shared" si="32"/>
        <v>-21.490000000000002</v>
      </c>
      <c r="K691" s="72">
        <f>Target1[[#This Row],[Target Price]]/$B$2*100</f>
        <v>175.15997673065735</v>
      </c>
      <c r="R691">
        <f>B692/Target1[[#This Row],[Target Price]]-1</f>
        <v>5.4466954500166143E-2</v>
      </c>
    </row>
    <row r="692" spans="1:18">
      <c r="A692" s="96">
        <v>44287</v>
      </c>
      <c r="B692" s="101">
        <v>31.75</v>
      </c>
      <c r="C692" s="4">
        <f t="shared" si="30"/>
        <v>5.3035382845058272E-2</v>
      </c>
      <c r="D692" s="4">
        <f>IFERROR(Target1[[#This Row],[Target Return]]+1,"-")</f>
        <v>1.0530353828450583</v>
      </c>
      <c r="E692" s="6">
        <f>B692-MAX($B$2:B692)</f>
        <v>-19.850000000000001</v>
      </c>
      <c r="F692" s="80">
        <f t="shared" si="31"/>
        <v>165</v>
      </c>
      <c r="G692" s="77">
        <f>Target1[[#This Row],[Target Drawdown]]/MAX($B$2:B692)</f>
        <v>-0.38468992248062017</v>
      </c>
      <c r="H692" s="1" t="str">
        <f>IF(SUM(COUNTIF(Benchmark1[Benchmark '#1 Dates],Target1[[#This Row],[Target Dates]]),COUNTIF(Benchmark2[Benchmark '#2 Dates],Target1[[#This Row],[Target Dates]]))=2,"Pass","Fail")</f>
        <v>Pass</v>
      </c>
      <c r="I692" s="78">
        <f t="shared" si="32"/>
        <v>-19.850000000000001</v>
      </c>
      <c r="K692" s="72">
        <f>Target1[[#This Row],[Target Price]]/$B$2*100</f>
        <v>184.70040721349622</v>
      </c>
      <c r="R692">
        <f>B693/Target1[[#This Row],[Target Price]]-1</f>
        <v>2.0157480314960674E-2</v>
      </c>
    </row>
    <row r="693" spans="1:18">
      <c r="A693" s="96">
        <v>44291</v>
      </c>
      <c r="B693" s="101">
        <v>32.39</v>
      </c>
      <c r="C693" s="4">
        <f t="shared" si="30"/>
        <v>1.9957007844537317E-2</v>
      </c>
      <c r="D693" s="4">
        <f>IFERROR(Target1[[#This Row],[Target Return]]+1,"-")</f>
        <v>1.0199570078445372</v>
      </c>
      <c r="E693" s="6">
        <f>B693-MAX($B$2:B693)</f>
        <v>-19.21</v>
      </c>
      <c r="F693" s="80">
        <f t="shared" si="31"/>
        <v>166</v>
      </c>
      <c r="G693" s="77">
        <f>Target1[[#This Row],[Target Drawdown]]/MAX($B$2:B693)</f>
        <v>-0.37228682170542637</v>
      </c>
      <c r="H693" s="1" t="str">
        <f>IF(SUM(COUNTIF(Benchmark1[Benchmark '#1 Dates],Target1[[#This Row],[Target Dates]]),COUNTIF(Benchmark2[Benchmark '#2 Dates],Target1[[#This Row],[Target Dates]]))=2,"Pass","Fail")</f>
        <v>Pass</v>
      </c>
      <c r="I693" s="78">
        <f t="shared" si="32"/>
        <v>-19.21</v>
      </c>
      <c r="K693" s="72">
        <f>Target1[[#This Row],[Target Price]]/$B$2*100</f>
        <v>188.42350203606748</v>
      </c>
      <c r="R693">
        <f>B694/Target1[[#This Row],[Target Price]]-1</f>
        <v>1.6671812287743171E-2</v>
      </c>
    </row>
    <row r="694" spans="1:18">
      <c r="A694" s="96">
        <v>44292</v>
      </c>
      <c r="B694" s="101">
        <v>32.93</v>
      </c>
      <c r="C694" s="4">
        <f t="shared" si="30"/>
        <v>1.6534363205035024E-2</v>
      </c>
      <c r="D694" s="4">
        <f>IFERROR(Target1[[#This Row],[Target Return]]+1,"-")</f>
        <v>1.016534363205035</v>
      </c>
      <c r="E694" s="6">
        <f>B694-MAX($B$2:B694)</f>
        <v>-18.670000000000002</v>
      </c>
      <c r="F694" s="80">
        <f t="shared" si="31"/>
        <v>167</v>
      </c>
      <c r="G694" s="77">
        <f>Target1[[#This Row],[Target Drawdown]]/MAX($B$2:B694)</f>
        <v>-0.36182170542635661</v>
      </c>
      <c r="H694" s="1" t="str">
        <f>IF(SUM(COUNTIF(Benchmark1[Benchmark '#1 Dates],Target1[[#This Row],[Target Dates]]),COUNTIF(Benchmark2[Benchmark '#2 Dates],Target1[[#This Row],[Target Dates]]))=2,"Pass","Fail")</f>
        <v>Pass</v>
      </c>
      <c r="I694" s="78">
        <f t="shared" si="32"/>
        <v>-18.670000000000002</v>
      </c>
      <c r="K694" s="72">
        <f>Target1[[#This Row],[Target Price]]/$B$2*100</f>
        <v>191.56486329261199</v>
      </c>
      <c r="R694">
        <f>B695/Target1[[#This Row],[Target Price]]-1</f>
        <v>-5.4661402976009521E-3</v>
      </c>
    </row>
    <row r="695" spans="1:18">
      <c r="A695" s="96">
        <v>44293</v>
      </c>
      <c r="B695" s="101">
        <v>32.75</v>
      </c>
      <c r="C695" s="4">
        <f t="shared" si="30"/>
        <v>-5.4811343070119692E-3</v>
      </c>
      <c r="D695" s="4">
        <f>IFERROR(Target1[[#This Row],[Target Return]]+1,"-")</f>
        <v>0.99451886569298809</v>
      </c>
      <c r="E695" s="6">
        <f>B695-MAX($B$2:B695)</f>
        <v>-18.850000000000001</v>
      </c>
      <c r="F695" s="80">
        <f t="shared" si="31"/>
        <v>168</v>
      </c>
      <c r="G695" s="77">
        <f>Target1[[#This Row],[Target Drawdown]]/MAX($B$2:B695)</f>
        <v>-0.36531007751937988</v>
      </c>
      <c r="H695" s="1" t="str">
        <f>IF(SUM(COUNTIF(Benchmark1[Benchmark '#1 Dates],Target1[[#This Row],[Target Dates]]),COUNTIF(Benchmark2[Benchmark '#2 Dates],Target1[[#This Row],[Target Dates]]))=2,"Pass","Fail")</f>
        <v>Pass</v>
      </c>
      <c r="I695" s="78">
        <f t="shared" si="32"/>
        <v>-18.850000000000001</v>
      </c>
      <c r="K695" s="72">
        <f>Target1[[#This Row],[Target Price]]/$B$2*100</f>
        <v>190.51774287376381</v>
      </c>
      <c r="R695">
        <f>B696/Target1[[#This Row],[Target Price]]-1</f>
        <v>5.1603053435114399E-2</v>
      </c>
    </row>
    <row r="696" spans="1:18">
      <c r="A696" s="96">
        <v>44294</v>
      </c>
      <c r="B696" s="101">
        <v>34.44</v>
      </c>
      <c r="C696" s="4">
        <f t="shared" si="30"/>
        <v>5.0315717478269024E-2</v>
      </c>
      <c r="D696" s="4">
        <f>IFERROR(Target1[[#This Row],[Target Return]]+1,"-")</f>
        <v>1.0503157174782691</v>
      </c>
      <c r="E696" s="6">
        <f>B696-MAX($B$2:B696)</f>
        <v>-17.160000000000004</v>
      </c>
      <c r="F696" s="80">
        <f t="shared" si="31"/>
        <v>169</v>
      </c>
      <c r="G696" s="77">
        <f>Target1[[#This Row],[Target Drawdown]]/MAX($B$2:B696)</f>
        <v>-0.33255813953488378</v>
      </c>
      <c r="H696" s="1" t="str">
        <f>IF(SUM(COUNTIF(Benchmark1[Benchmark '#1 Dates],Target1[[#This Row],[Target Dates]]),COUNTIF(Benchmark2[Benchmark '#2 Dates],Target1[[#This Row],[Target Dates]]))=2,"Pass","Fail")</f>
        <v>Pass</v>
      </c>
      <c r="I696" s="78">
        <f t="shared" si="32"/>
        <v>-17.160000000000004</v>
      </c>
      <c r="K696" s="72">
        <f>Target1[[#This Row],[Target Price]]/$B$2*100</f>
        <v>200.34904013961602</v>
      </c>
      <c r="R696">
        <f>B697/Target1[[#This Row],[Target Price]]-1</f>
        <v>-4.4134727061556189E-2</v>
      </c>
    </row>
    <row r="697" spans="1:18">
      <c r="A697" s="96">
        <v>44295</v>
      </c>
      <c r="B697" s="101">
        <v>32.92</v>
      </c>
      <c r="C697" s="4">
        <f t="shared" si="30"/>
        <v>-4.5138303750660844E-2</v>
      </c>
      <c r="D697" s="4">
        <f>IFERROR(Target1[[#This Row],[Target Return]]+1,"-")</f>
        <v>0.95486169624933914</v>
      </c>
      <c r="E697" s="6">
        <f>B697-MAX($B$2:B697)</f>
        <v>-18.68</v>
      </c>
      <c r="F697" s="80">
        <f t="shared" si="31"/>
        <v>170</v>
      </c>
      <c r="G697" s="77">
        <f>Target1[[#This Row],[Target Drawdown]]/MAX($B$2:B697)</f>
        <v>-0.36201550387596898</v>
      </c>
      <c r="H697" s="1" t="str">
        <f>IF(SUM(COUNTIF(Benchmark1[Benchmark '#1 Dates],Target1[[#This Row],[Target Dates]]),COUNTIF(Benchmark2[Benchmark '#2 Dates],Target1[[#This Row],[Target Dates]]))=2,"Pass","Fail")</f>
        <v>Pass</v>
      </c>
      <c r="I697" s="78">
        <f t="shared" si="32"/>
        <v>-18.68</v>
      </c>
      <c r="K697" s="72">
        <f>Target1[[#This Row],[Target Price]]/$B$2*100</f>
        <v>191.50668993600931</v>
      </c>
      <c r="R697">
        <f>B698/Target1[[#This Row],[Target Price]]-1</f>
        <v>-1.518833535844466E-2</v>
      </c>
    </row>
    <row r="698" spans="1:18">
      <c r="A698" s="96">
        <v>44298</v>
      </c>
      <c r="B698" s="101">
        <v>32.42</v>
      </c>
      <c r="C698" s="4">
        <f t="shared" si="30"/>
        <v>-1.5304859501338964E-2</v>
      </c>
      <c r="D698" s="4">
        <f>IFERROR(Target1[[#This Row],[Target Return]]+1,"-")</f>
        <v>0.98469514049866103</v>
      </c>
      <c r="E698" s="6">
        <f>B698-MAX($B$2:B698)</f>
        <v>-19.18</v>
      </c>
      <c r="F698" s="80">
        <f t="shared" si="31"/>
        <v>171</v>
      </c>
      <c r="G698" s="77">
        <f>Target1[[#This Row],[Target Drawdown]]/MAX($B$2:B698)</f>
        <v>-0.37170542635658915</v>
      </c>
      <c r="H698" s="1" t="str">
        <f>IF(SUM(COUNTIF(Benchmark1[Benchmark '#1 Dates],Target1[[#This Row],[Target Dates]]),COUNTIF(Benchmark2[Benchmark '#2 Dates],Target1[[#This Row],[Target Dates]]))=2,"Pass","Fail")</f>
        <v>Pass</v>
      </c>
      <c r="I698" s="78">
        <f t="shared" si="32"/>
        <v>-19.18</v>
      </c>
      <c r="K698" s="72">
        <f>Target1[[#This Row],[Target Price]]/$B$2*100</f>
        <v>188.59802210587551</v>
      </c>
      <c r="R698">
        <f>B699/Target1[[#This Row],[Target Price]]-1</f>
        <v>-3.0845157310303017E-3</v>
      </c>
    </row>
    <row r="699" spans="1:18">
      <c r="A699" s="96">
        <v>44299</v>
      </c>
      <c r="B699" s="101">
        <v>32.32</v>
      </c>
      <c r="C699" s="4">
        <f t="shared" si="30"/>
        <v>-3.0892826546354878E-3</v>
      </c>
      <c r="D699" s="4">
        <f>IFERROR(Target1[[#This Row],[Target Return]]+1,"-")</f>
        <v>0.99691071734536452</v>
      </c>
      <c r="E699" s="6">
        <f>B699-MAX($B$2:B699)</f>
        <v>-19.28</v>
      </c>
      <c r="F699" s="80">
        <f t="shared" si="31"/>
        <v>172</v>
      </c>
      <c r="G699" s="77">
        <f>Target1[[#This Row],[Target Drawdown]]/MAX($B$2:B699)</f>
        <v>-0.37364341085271319</v>
      </c>
      <c r="H699" s="1" t="str">
        <f>IF(SUM(COUNTIF(Benchmark1[Benchmark '#1 Dates],Target1[[#This Row],[Target Dates]]),COUNTIF(Benchmark2[Benchmark '#2 Dates],Target1[[#This Row],[Target Dates]]))=2,"Pass","Fail")</f>
        <v>Pass</v>
      </c>
      <c r="I699" s="78">
        <f t="shared" si="32"/>
        <v>-19.28</v>
      </c>
      <c r="K699" s="72">
        <f>Target1[[#This Row],[Target Price]]/$B$2*100</f>
        <v>188.01628853984874</v>
      </c>
      <c r="R699">
        <f>B700/Target1[[#This Row],[Target Price]]-1</f>
        <v>-2.0420792079207883E-2</v>
      </c>
    </row>
    <row r="700" spans="1:18">
      <c r="A700" s="96">
        <v>44300</v>
      </c>
      <c r="B700" s="101">
        <v>31.66</v>
      </c>
      <c r="C700" s="4">
        <f t="shared" si="30"/>
        <v>-2.0632179200028501E-2</v>
      </c>
      <c r="D700" s="4">
        <f>IFERROR(Target1[[#This Row],[Target Return]]+1,"-")</f>
        <v>0.97936782079997153</v>
      </c>
      <c r="E700" s="6">
        <f>B700-MAX($B$2:B700)</f>
        <v>-19.940000000000001</v>
      </c>
      <c r="F700" s="80">
        <f t="shared" si="31"/>
        <v>173</v>
      </c>
      <c r="G700" s="77">
        <f>Target1[[#This Row],[Target Drawdown]]/MAX($B$2:B700)</f>
        <v>-0.38643410852713178</v>
      </c>
      <c r="H700" s="1" t="str">
        <f>IF(SUM(COUNTIF(Benchmark1[Benchmark '#1 Dates],Target1[[#This Row],[Target Dates]]),COUNTIF(Benchmark2[Benchmark '#2 Dates],Target1[[#This Row],[Target Dates]]))=2,"Pass","Fail")</f>
        <v>Pass</v>
      </c>
      <c r="I700" s="78">
        <f t="shared" si="32"/>
        <v>-19.940000000000001</v>
      </c>
      <c r="K700" s="72">
        <f>Target1[[#This Row],[Target Price]]/$B$2*100</f>
        <v>184.17684700407213</v>
      </c>
      <c r="R700">
        <f>B701/Target1[[#This Row],[Target Price]]-1</f>
        <v>-7.580543272267759E-3</v>
      </c>
    </row>
    <row r="701" spans="1:18">
      <c r="A701" s="96">
        <v>44301</v>
      </c>
      <c r="B701" s="101">
        <v>31.42</v>
      </c>
      <c r="C701" s="4">
        <f t="shared" si="30"/>
        <v>-7.6094216253909039E-3</v>
      </c>
      <c r="D701" s="4">
        <f>IFERROR(Target1[[#This Row],[Target Return]]+1,"-")</f>
        <v>0.99239057837460909</v>
      </c>
      <c r="E701" s="6">
        <f>B701-MAX($B$2:B701)</f>
        <v>-20.18</v>
      </c>
      <c r="F701" s="80">
        <f t="shared" si="31"/>
        <v>174</v>
      </c>
      <c r="G701" s="77">
        <f>Target1[[#This Row],[Target Drawdown]]/MAX($B$2:B701)</f>
        <v>-0.39108527131782944</v>
      </c>
      <c r="H701" s="1" t="str">
        <f>IF(SUM(COUNTIF(Benchmark1[Benchmark '#1 Dates],Target1[[#This Row],[Target Dates]]),COUNTIF(Benchmark2[Benchmark '#2 Dates],Target1[[#This Row],[Target Dates]]))=2,"Pass","Fail")</f>
        <v>Pass</v>
      </c>
      <c r="I701" s="78">
        <f t="shared" si="32"/>
        <v>-20.18</v>
      </c>
      <c r="K701" s="72">
        <f>Target1[[#This Row],[Target Price]]/$B$2*100</f>
        <v>182.7806864456079</v>
      </c>
      <c r="R701">
        <f>B702/Target1[[#This Row],[Target Price]]-1</f>
        <v>2.9280712921705865E-2</v>
      </c>
    </row>
    <row r="702" spans="1:18">
      <c r="A702" s="96">
        <v>44302</v>
      </c>
      <c r="B702" s="101">
        <v>32.340000000000003</v>
      </c>
      <c r="C702" s="4">
        <f t="shared" si="30"/>
        <v>2.8860221321485635E-2</v>
      </c>
      <c r="D702" s="4">
        <f>IFERROR(Target1[[#This Row],[Target Return]]+1,"-")</f>
        <v>1.0288602213214857</v>
      </c>
      <c r="E702" s="6">
        <f>B702-MAX($B$2:B702)</f>
        <v>-19.259999999999998</v>
      </c>
      <c r="F702" s="80">
        <f t="shared" si="31"/>
        <v>175</v>
      </c>
      <c r="G702" s="77">
        <f>Target1[[#This Row],[Target Drawdown]]/MAX($B$2:B702)</f>
        <v>-0.37325581395348834</v>
      </c>
      <c r="H702" s="1" t="str">
        <f>IF(SUM(COUNTIF(Benchmark1[Benchmark '#1 Dates],Target1[[#This Row],[Target Dates]]),COUNTIF(Benchmark2[Benchmark '#2 Dates],Target1[[#This Row],[Target Dates]]))=2,"Pass","Fail")</f>
        <v>Pass</v>
      </c>
      <c r="I702" s="78">
        <f t="shared" si="32"/>
        <v>-19.259999999999998</v>
      </c>
      <c r="K702" s="72">
        <f>Target1[[#This Row],[Target Price]]/$B$2*100</f>
        <v>188.1326352530541</v>
      </c>
      <c r="R702">
        <f>B703/Target1[[#This Row],[Target Price]]-1</f>
        <v>-5.3184910327767509E-2</v>
      </c>
    </row>
    <row r="703" spans="1:18">
      <c r="A703" s="96">
        <v>44305</v>
      </c>
      <c r="B703" s="101">
        <v>30.62</v>
      </c>
      <c r="C703" s="4">
        <f t="shared" si="30"/>
        <v>-5.4651463919423132E-2</v>
      </c>
      <c r="D703" s="4">
        <f>IFERROR(Target1[[#This Row],[Target Return]]+1,"-")</f>
        <v>0.9453485360805769</v>
      </c>
      <c r="E703" s="6">
        <f>B703-MAX($B$2:B703)</f>
        <v>-20.98</v>
      </c>
      <c r="F703" s="80">
        <f t="shared" si="31"/>
        <v>176</v>
      </c>
      <c r="G703" s="77">
        <f>Target1[[#This Row],[Target Drawdown]]/MAX($B$2:B703)</f>
        <v>-0.40658914728682172</v>
      </c>
      <c r="H703" s="1" t="str">
        <f>IF(SUM(COUNTIF(Benchmark1[Benchmark '#1 Dates],Target1[[#This Row],[Target Dates]]),COUNTIF(Benchmark2[Benchmark '#2 Dates],Target1[[#This Row],[Target Dates]]))=2,"Pass","Fail")</f>
        <v>Pass</v>
      </c>
      <c r="I703" s="78">
        <f t="shared" si="32"/>
        <v>-20.98</v>
      </c>
      <c r="K703" s="72">
        <f>Target1[[#This Row],[Target Price]]/$B$2*100</f>
        <v>178.12681791739382</v>
      </c>
      <c r="R703">
        <f>B704/Target1[[#This Row],[Target Price]]-1</f>
        <v>-3.5924232527759781E-3</v>
      </c>
    </row>
    <row r="704" spans="1:18">
      <c r="A704" s="96">
        <v>44306</v>
      </c>
      <c r="B704" s="101">
        <v>30.51</v>
      </c>
      <c r="C704" s="4">
        <f t="shared" si="30"/>
        <v>-3.5988915009594357E-3</v>
      </c>
      <c r="D704" s="4">
        <f>IFERROR(Target1[[#This Row],[Target Return]]+1,"-")</f>
        <v>0.99640110849904051</v>
      </c>
      <c r="E704" s="6">
        <f>B704-MAX($B$2:B704)</f>
        <v>-21.09</v>
      </c>
      <c r="F704" s="80">
        <f t="shared" si="31"/>
        <v>177</v>
      </c>
      <c r="G704" s="77">
        <f>Target1[[#This Row],[Target Drawdown]]/MAX($B$2:B704)</f>
        <v>-0.40872093023255812</v>
      </c>
      <c r="H704" s="1" t="str">
        <f>IF(SUM(COUNTIF(Benchmark1[Benchmark '#1 Dates],Target1[[#This Row],[Target Dates]]),COUNTIF(Benchmark2[Benchmark '#2 Dates],Target1[[#This Row],[Target Dates]]))=2,"Pass","Fail")</f>
        <v>Pass</v>
      </c>
      <c r="I704" s="78">
        <f t="shared" si="32"/>
        <v>-21.09</v>
      </c>
      <c r="K704" s="72">
        <f>Target1[[#This Row],[Target Price]]/$B$2*100</f>
        <v>177.4869109947644</v>
      </c>
      <c r="R704">
        <f>B705/Target1[[#This Row],[Target Price]]-1</f>
        <v>-1.6715830875122961E-2</v>
      </c>
    </row>
    <row r="705" spans="1:18">
      <c r="A705" s="96">
        <v>44307</v>
      </c>
      <c r="B705" s="101">
        <v>30</v>
      </c>
      <c r="C705" s="4">
        <f t="shared" si="30"/>
        <v>-1.6857117066422952E-2</v>
      </c>
      <c r="D705" s="4">
        <f>IFERROR(Target1[[#This Row],[Target Return]]+1,"-")</f>
        <v>0.9831428829335771</v>
      </c>
      <c r="E705" s="6">
        <f>B705-MAX($B$2:B705)</f>
        <v>-21.6</v>
      </c>
      <c r="F705" s="80">
        <f t="shared" si="31"/>
        <v>178</v>
      </c>
      <c r="G705" s="77">
        <f>Target1[[#This Row],[Target Drawdown]]/MAX($B$2:B705)</f>
        <v>-0.41860465116279072</v>
      </c>
      <c r="H705" s="1" t="str">
        <f>IF(SUM(COUNTIF(Benchmark1[Benchmark '#1 Dates],Target1[[#This Row],[Target Dates]]),COUNTIF(Benchmark2[Benchmark '#2 Dates],Target1[[#This Row],[Target Dates]]))=2,"Pass","Fail")</f>
        <v>Pass</v>
      </c>
      <c r="I705" s="78">
        <f t="shared" si="32"/>
        <v>-21.6</v>
      </c>
      <c r="K705" s="72">
        <f>Target1[[#This Row],[Target Price]]/$B$2*100</f>
        <v>174.5200698080279</v>
      </c>
      <c r="R705">
        <f>B706/Target1[[#This Row],[Target Price]]-1</f>
        <v>3.4333333333333327E-2</v>
      </c>
    </row>
    <row r="706" spans="1:18">
      <c r="A706" s="96">
        <v>44308</v>
      </c>
      <c r="B706" s="101">
        <v>31.03</v>
      </c>
      <c r="C706" s="4">
        <f t="shared" ref="C706:C769" si="33">IFERROR(IF(B706="","-",LN(B706/B705)),"-")</f>
        <v>3.3757096798133449E-2</v>
      </c>
      <c r="D706" s="4">
        <f>IFERROR(Target1[[#This Row],[Target Return]]+1,"-")</f>
        <v>1.0337570967981335</v>
      </c>
      <c r="E706" s="6">
        <f>B706-MAX($B$2:B706)</f>
        <v>-20.57</v>
      </c>
      <c r="F706" s="80">
        <f t="shared" ref="F706:F769" si="34">IF(E706=0,0,F705+1)</f>
        <v>179</v>
      </c>
      <c r="G706" s="77">
        <f>Target1[[#This Row],[Target Drawdown]]/MAX($B$2:B706)</f>
        <v>-0.39864341085271315</v>
      </c>
      <c r="H706" s="1" t="str">
        <f>IF(SUM(COUNTIF(Benchmark1[Benchmark '#1 Dates],Target1[[#This Row],[Target Dates]]),COUNTIF(Benchmark2[Benchmark '#2 Dates],Target1[[#This Row],[Target Dates]]))=2,"Pass","Fail")</f>
        <v>Pass</v>
      </c>
      <c r="I706" s="78">
        <f t="shared" ref="I706:I769" si="35">$E$2+E706</f>
        <v>-20.57</v>
      </c>
      <c r="K706" s="72">
        <f>Target1[[#This Row],[Target Price]]/$B$2*100</f>
        <v>180.51192553810353</v>
      </c>
      <c r="R706">
        <f>B707/Target1[[#This Row],[Target Price]]-1</f>
        <v>1.1601675797615174E-2</v>
      </c>
    </row>
    <row r="707" spans="1:18">
      <c r="A707" s="96">
        <v>44309</v>
      </c>
      <c r="B707" s="101">
        <v>31.39</v>
      </c>
      <c r="C707" s="4">
        <f t="shared" si="33"/>
        <v>1.1534892393573316E-2</v>
      </c>
      <c r="D707" s="4">
        <f>IFERROR(Target1[[#This Row],[Target Return]]+1,"-")</f>
        <v>1.0115348923935734</v>
      </c>
      <c r="E707" s="6">
        <f>B707-MAX($B$2:B707)</f>
        <v>-20.21</v>
      </c>
      <c r="F707" s="80">
        <f t="shared" si="34"/>
        <v>180</v>
      </c>
      <c r="G707" s="77">
        <f>Target1[[#This Row],[Target Drawdown]]/MAX($B$2:B707)</f>
        <v>-0.39166666666666666</v>
      </c>
      <c r="H707" s="1" t="str">
        <f>IF(SUM(COUNTIF(Benchmark1[Benchmark '#1 Dates],Target1[[#This Row],[Target Dates]]),COUNTIF(Benchmark2[Benchmark '#2 Dates],Target1[[#This Row],[Target Dates]]))=2,"Pass","Fail")</f>
        <v>Pass</v>
      </c>
      <c r="I707" s="78">
        <f t="shared" si="35"/>
        <v>-20.21</v>
      </c>
      <c r="K707" s="72">
        <f>Target1[[#This Row],[Target Price]]/$B$2*100</f>
        <v>182.60616637579986</v>
      </c>
      <c r="R707">
        <f>B708/Target1[[#This Row],[Target Price]]-1</f>
        <v>-8.6014654348518516E-3</v>
      </c>
    </row>
    <row r="708" spans="1:18">
      <c r="A708" s="96">
        <v>44312</v>
      </c>
      <c r="B708" s="101">
        <v>31.12</v>
      </c>
      <c r="C708" s="4">
        <f t="shared" si="33"/>
        <v>-8.6386715436713186E-3</v>
      </c>
      <c r="D708" s="4">
        <f>IFERROR(Target1[[#This Row],[Target Return]]+1,"-")</f>
        <v>0.99136132845632863</v>
      </c>
      <c r="E708" s="6">
        <f>B708-MAX($B$2:B708)</f>
        <v>-20.48</v>
      </c>
      <c r="F708" s="80">
        <f t="shared" si="34"/>
        <v>181</v>
      </c>
      <c r="G708" s="77">
        <f>Target1[[#This Row],[Target Drawdown]]/MAX($B$2:B708)</f>
        <v>-0.39689922480620154</v>
      </c>
      <c r="H708" s="1" t="str">
        <f>IF(SUM(COUNTIF(Benchmark1[Benchmark '#1 Dates],Target1[[#This Row],[Target Dates]]),COUNTIF(Benchmark2[Benchmark '#2 Dates],Target1[[#This Row],[Target Dates]]))=2,"Pass","Fail")</f>
        <v>Pass</v>
      </c>
      <c r="I708" s="78">
        <f t="shared" si="35"/>
        <v>-20.48</v>
      </c>
      <c r="K708" s="72">
        <f>Target1[[#This Row],[Target Price]]/$B$2*100</f>
        <v>181.03548574752762</v>
      </c>
      <c r="R708">
        <f>B709/Target1[[#This Row],[Target Price]]-1</f>
        <v>-2.410025706940877E-2</v>
      </c>
    </row>
    <row r="709" spans="1:18">
      <c r="A709" s="96">
        <v>44313</v>
      </c>
      <c r="B709" s="101">
        <v>30.37</v>
      </c>
      <c r="C709" s="4">
        <f t="shared" si="33"/>
        <v>-2.4395420252533485E-2</v>
      </c>
      <c r="D709" s="4">
        <f>IFERROR(Target1[[#This Row],[Target Return]]+1,"-")</f>
        <v>0.9756045797474665</v>
      </c>
      <c r="E709" s="6">
        <f>B709-MAX($B$2:B709)</f>
        <v>-21.23</v>
      </c>
      <c r="F709" s="80">
        <f t="shared" si="34"/>
        <v>182</v>
      </c>
      <c r="G709" s="77">
        <f>Target1[[#This Row],[Target Drawdown]]/MAX($B$2:B709)</f>
        <v>-0.4114341085271318</v>
      </c>
      <c r="H709" s="1" t="str">
        <f>IF(SUM(COUNTIF(Benchmark1[Benchmark '#1 Dates],Target1[[#This Row],[Target Dates]]),COUNTIF(Benchmark2[Benchmark '#2 Dates],Target1[[#This Row],[Target Dates]]))=2,"Pass","Fail")</f>
        <v>Pass</v>
      </c>
      <c r="I709" s="78">
        <f t="shared" si="35"/>
        <v>-21.23</v>
      </c>
      <c r="K709" s="72">
        <f>Target1[[#This Row],[Target Price]]/$B$2*100</f>
        <v>176.67248400232694</v>
      </c>
      <c r="R709">
        <f>B710/Target1[[#This Row],[Target Price]]-1</f>
        <v>-3.1939413895291535E-2</v>
      </c>
    </row>
    <row r="710" spans="1:18">
      <c r="A710" s="96">
        <v>44314</v>
      </c>
      <c r="B710" s="101">
        <v>29.4</v>
      </c>
      <c r="C710" s="4">
        <f t="shared" si="33"/>
        <v>-3.2460604713021604E-2</v>
      </c>
      <c r="D710" s="4">
        <f>IFERROR(Target1[[#This Row],[Target Return]]+1,"-")</f>
        <v>0.96753939528697841</v>
      </c>
      <c r="E710" s="6">
        <f>B710-MAX($B$2:B710)</f>
        <v>-22.200000000000003</v>
      </c>
      <c r="F710" s="80">
        <f t="shared" si="34"/>
        <v>183</v>
      </c>
      <c r="G710" s="77">
        <f>Target1[[#This Row],[Target Drawdown]]/MAX($B$2:B710)</f>
        <v>-0.43023255813953493</v>
      </c>
      <c r="H710" s="1" t="str">
        <f>IF(SUM(COUNTIF(Benchmark1[Benchmark '#1 Dates],Target1[[#This Row],[Target Dates]]),COUNTIF(Benchmark2[Benchmark '#2 Dates],Target1[[#This Row],[Target Dates]]))=2,"Pass","Fail")</f>
        <v>Pass</v>
      </c>
      <c r="I710" s="78">
        <f t="shared" si="35"/>
        <v>-22.200000000000003</v>
      </c>
      <c r="K710" s="72">
        <f>Target1[[#This Row],[Target Price]]/$B$2*100</f>
        <v>171.02966841186736</v>
      </c>
      <c r="R710">
        <f>B711/Target1[[#This Row],[Target Price]]-1</f>
        <v>-1.0204081632652962E-2</v>
      </c>
    </row>
    <row r="711" spans="1:18">
      <c r="A711" s="96">
        <v>44315</v>
      </c>
      <c r="B711" s="101">
        <v>29.1</v>
      </c>
      <c r="C711" s="4">
        <f t="shared" si="33"/>
        <v>-1.0256500167188997E-2</v>
      </c>
      <c r="D711" s="4">
        <f>IFERROR(Target1[[#This Row],[Target Return]]+1,"-")</f>
        <v>0.98974349983281096</v>
      </c>
      <c r="E711" s="6">
        <f>B711-MAX($B$2:B711)</f>
        <v>-22.5</v>
      </c>
      <c r="F711" s="80">
        <f t="shared" si="34"/>
        <v>184</v>
      </c>
      <c r="G711" s="77">
        <f>Target1[[#This Row],[Target Drawdown]]/MAX($B$2:B711)</f>
        <v>-0.43604651162790697</v>
      </c>
      <c r="H711" s="1" t="str">
        <f>IF(SUM(COUNTIF(Benchmark1[Benchmark '#1 Dates],Target1[[#This Row],[Target Dates]]),COUNTIF(Benchmark2[Benchmark '#2 Dates],Target1[[#This Row],[Target Dates]]))=2,"Pass","Fail")</f>
        <v>Pass</v>
      </c>
      <c r="I711" s="78">
        <f t="shared" si="35"/>
        <v>-22.5</v>
      </c>
      <c r="K711" s="72">
        <f>Target1[[#This Row],[Target Price]]/$B$2*100</f>
        <v>169.28446771378708</v>
      </c>
      <c r="R711">
        <f>B712/Target1[[#This Row],[Target Price]]-1</f>
        <v>-1.6151202749140947E-2</v>
      </c>
    </row>
    <row r="712" spans="1:18">
      <c r="A712" s="96">
        <v>44316</v>
      </c>
      <c r="B712" s="101">
        <v>28.63</v>
      </c>
      <c r="C712" s="4">
        <f t="shared" si="33"/>
        <v>-1.62830550674232E-2</v>
      </c>
      <c r="D712" s="4">
        <f>IFERROR(Target1[[#This Row],[Target Return]]+1,"-")</f>
        <v>0.98371694493257678</v>
      </c>
      <c r="E712" s="6">
        <f>B712-MAX($B$2:B712)</f>
        <v>-22.970000000000002</v>
      </c>
      <c r="F712" s="80">
        <f t="shared" si="34"/>
        <v>185</v>
      </c>
      <c r="G712" s="77">
        <f>Target1[[#This Row],[Target Drawdown]]/MAX($B$2:B712)</f>
        <v>-0.44515503875968998</v>
      </c>
      <c r="H712" s="1" t="str">
        <f>IF(SUM(COUNTIF(Benchmark1[Benchmark '#1 Dates],Target1[[#This Row],[Target Dates]]),COUNTIF(Benchmark2[Benchmark '#2 Dates],Target1[[#This Row],[Target Dates]]))=2,"Pass","Fail")</f>
        <v>Pass</v>
      </c>
      <c r="I712" s="78">
        <f t="shared" si="35"/>
        <v>-22.970000000000002</v>
      </c>
      <c r="K712" s="72">
        <f>Target1[[#This Row],[Target Price]]/$B$2*100</f>
        <v>166.5503199534613</v>
      </c>
      <c r="R712">
        <f>B713/Target1[[#This Row],[Target Price]]-1</f>
        <v>-4.5406915822563398E-3</v>
      </c>
    </row>
    <row r="713" spans="1:18">
      <c r="A713" s="96">
        <v>44319</v>
      </c>
      <c r="B713" s="101">
        <v>28.5</v>
      </c>
      <c r="C713" s="4">
        <f t="shared" si="33"/>
        <v>-4.5510318354188058E-3</v>
      </c>
      <c r="D713" s="4">
        <f>IFERROR(Target1[[#This Row],[Target Return]]+1,"-")</f>
        <v>0.99544896816458117</v>
      </c>
      <c r="E713" s="6">
        <f>B713-MAX($B$2:B713)</f>
        <v>-23.1</v>
      </c>
      <c r="F713" s="80">
        <f t="shared" si="34"/>
        <v>186</v>
      </c>
      <c r="G713" s="77">
        <f>Target1[[#This Row],[Target Drawdown]]/MAX($B$2:B713)</f>
        <v>-0.44767441860465118</v>
      </c>
      <c r="H713" s="1" t="str">
        <f>IF(SUM(COUNTIF(Benchmark1[Benchmark '#1 Dates],Target1[[#This Row],[Target Dates]]),COUNTIF(Benchmark2[Benchmark '#2 Dates],Target1[[#This Row],[Target Dates]]))=2,"Pass","Fail")</f>
        <v>Pass</v>
      </c>
      <c r="I713" s="78">
        <f t="shared" si="35"/>
        <v>-23.1</v>
      </c>
      <c r="K713" s="72">
        <f>Target1[[#This Row],[Target Price]]/$B$2*100</f>
        <v>165.79406631762652</v>
      </c>
      <c r="R713">
        <f>B714/Target1[[#This Row],[Target Price]]-1</f>
        <v>-2.0000000000000018E-2</v>
      </c>
    </row>
    <row r="714" spans="1:18">
      <c r="A714" s="96">
        <v>44320</v>
      </c>
      <c r="B714" s="101">
        <v>27.93</v>
      </c>
      <c r="C714" s="4">
        <f t="shared" si="33"/>
        <v>-2.0202707317519466E-2</v>
      </c>
      <c r="D714" s="4">
        <f>IFERROR(Target1[[#This Row],[Target Return]]+1,"-")</f>
        <v>0.9797972926824805</v>
      </c>
      <c r="E714" s="6">
        <f>B714-MAX($B$2:B714)</f>
        <v>-23.67</v>
      </c>
      <c r="F714" s="80">
        <f t="shared" si="34"/>
        <v>187</v>
      </c>
      <c r="G714" s="77">
        <f>Target1[[#This Row],[Target Drawdown]]/MAX($B$2:B714)</f>
        <v>-0.45872093023255817</v>
      </c>
      <c r="H714" s="1" t="str">
        <f>IF(SUM(COUNTIF(Benchmark1[Benchmark '#1 Dates],Target1[[#This Row],[Target Dates]]),COUNTIF(Benchmark2[Benchmark '#2 Dates],Target1[[#This Row],[Target Dates]]))=2,"Pass","Fail")</f>
        <v>Pass</v>
      </c>
      <c r="I714" s="78">
        <f t="shared" si="35"/>
        <v>-23.67</v>
      </c>
      <c r="K714" s="72">
        <f>Target1[[#This Row],[Target Price]]/$B$2*100</f>
        <v>162.47818499127396</v>
      </c>
      <c r="R714">
        <f>B715/Target1[[#This Row],[Target Price]]-1</f>
        <v>3.2223415682062218E-3</v>
      </c>
    </row>
    <row r="715" spans="1:18">
      <c r="A715" s="96">
        <v>44321</v>
      </c>
      <c r="B715" s="101">
        <v>28.02</v>
      </c>
      <c r="C715" s="4">
        <f t="shared" si="33"/>
        <v>3.2171609517755427E-3</v>
      </c>
      <c r="D715" s="4">
        <f>IFERROR(Target1[[#This Row],[Target Return]]+1,"-")</f>
        <v>1.0032171609517755</v>
      </c>
      <c r="E715" s="6">
        <f>B715-MAX($B$2:B715)</f>
        <v>-23.580000000000002</v>
      </c>
      <c r="F715" s="80">
        <f t="shared" si="34"/>
        <v>188</v>
      </c>
      <c r="G715" s="77">
        <f>Target1[[#This Row],[Target Drawdown]]/MAX($B$2:B715)</f>
        <v>-0.45697674418604656</v>
      </c>
      <c r="H715" s="1" t="str">
        <f>IF(SUM(COUNTIF(Benchmark1[Benchmark '#1 Dates],Target1[[#This Row],[Target Dates]]),COUNTIF(Benchmark2[Benchmark '#2 Dates],Target1[[#This Row],[Target Dates]]))=2,"Pass","Fail")</f>
        <v>Pass</v>
      </c>
      <c r="I715" s="78">
        <f t="shared" si="35"/>
        <v>-23.580000000000002</v>
      </c>
      <c r="K715" s="72">
        <f>Target1[[#This Row],[Target Price]]/$B$2*100</f>
        <v>163.00174520069805</v>
      </c>
      <c r="R715">
        <f>B716/Target1[[#This Row],[Target Price]]-1</f>
        <v>-2.1413276231263323E-2</v>
      </c>
    </row>
    <row r="716" spans="1:18">
      <c r="A716" s="96">
        <v>44322</v>
      </c>
      <c r="B716" s="101">
        <v>27.42</v>
      </c>
      <c r="C716" s="4">
        <f t="shared" si="33"/>
        <v>-2.1645866774692549E-2</v>
      </c>
      <c r="D716" s="4">
        <f>IFERROR(Target1[[#This Row],[Target Return]]+1,"-")</f>
        <v>0.9783541332253074</v>
      </c>
      <c r="E716" s="6">
        <f>B716-MAX($B$2:B716)</f>
        <v>-24.18</v>
      </c>
      <c r="F716" s="80">
        <f t="shared" si="34"/>
        <v>189</v>
      </c>
      <c r="G716" s="77">
        <f>Target1[[#This Row],[Target Drawdown]]/MAX($B$2:B716)</f>
        <v>-0.46860465116279065</v>
      </c>
      <c r="H716" s="1" t="str">
        <f>IF(SUM(COUNTIF(Benchmark1[Benchmark '#1 Dates],Target1[[#This Row],[Target Dates]]),COUNTIF(Benchmark2[Benchmark '#2 Dates],Target1[[#This Row],[Target Dates]]))=2,"Pass","Fail")</f>
        <v>Pass</v>
      </c>
      <c r="I716" s="78">
        <f t="shared" si="35"/>
        <v>-24.18</v>
      </c>
      <c r="K716" s="72">
        <f>Target1[[#This Row],[Target Price]]/$B$2*100</f>
        <v>159.51134380453752</v>
      </c>
      <c r="R716">
        <f>B717/Target1[[#This Row],[Target Price]]-1</f>
        <v>3.5010940919037115E-2</v>
      </c>
    </row>
    <row r="717" spans="1:18">
      <c r="A717" s="96">
        <v>44323</v>
      </c>
      <c r="B717" s="101">
        <v>28.38</v>
      </c>
      <c r="C717" s="4">
        <f t="shared" si="33"/>
        <v>3.4411997597728186E-2</v>
      </c>
      <c r="D717" s="4">
        <f>IFERROR(Target1[[#This Row],[Target Return]]+1,"-")</f>
        <v>1.0344119975977282</v>
      </c>
      <c r="E717" s="6">
        <f>B717-MAX($B$2:B717)</f>
        <v>-23.220000000000002</v>
      </c>
      <c r="F717" s="80">
        <f t="shared" si="34"/>
        <v>190</v>
      </c>
      <c r="G717" s="77">
        <f>Target1[[#This Row],[Target Drawdown]]/MAX($B$2:B717)</f>
        <v>-0.45</v>
      </c>
      <c r="H717" s="1" t="str">
        <f>IF(SUM(COUNTIF(Benchmark1[Benchmark '#1 Dates],Target1[[#This Row],[Target Dates]]),COUNTIF(Benchmark2[Benchmark '#2 Dates],Target1[[#This Row],[Target Dates]]))=2,"Pass","Fail")</f>
        <v>Pass</v>
      </c>
      <c r="I717" s="78">
        <f t="shared" si="35"/>
        <v>-23.220000000000002</v>
      </c>
      <c r="K717" s="72">
        <f>Target1[[#This Row],[Target Price]]/$B$2*100</f>
        <v>165.09598603839439</v>
      </c>
      <c r="R717">
        <f>B718/Target1[[#This Row],[Target Price]]-1</f>
        <v>-3.100775193798444E-2</v>
      </c>
    </row>
    <row r="718" spans="1:18">
      <c r="A718" s="96">
        <v>44326</v>
      </c>
      <c r="B718" s="101">
        <v>27.5</v>
      </c>
      <c r="C718" s="4">
        <f t="shared" si="33"/>
        <v>-3.1498667059370933E-2</v>
      </c>
      <c r="D718" s="4">
        <f>IFERROR(Target1[[#This Row],[Target Return]]+1,"-")</f>
        <v>0.96850133294062912</v>
      </c>
      <c r="E718" s="6">
        <f>B718-MAX($B$2:B718)</f>
        <v>-24.1</v>
      </c>
      <c r="F718" s="80">
        <f t="shared" si="34"/>
        <v>191</v>
      </c>
      <c r="G718" s="77">
        <f>Target1[[#This Row],[Target Drawdown]]/MAX($B$2:B718)</f>
        <v>-0.46705426356589147</v>
      </c>
      <c r="H718" s="1" t="str">
        <f>IF(SUM(COUNTIF(Benchmark1[Benchmark '#1 Dates],Target1[[#This Row],[Target Dates]]),COUNTIF(Benchmark2[Benchmark '#2 Dates],Target1[[#This Row],[Target Dates]]))=2,"Pass","Fail")</f>
        <v>Pass</v>
      </c>
      <c r="I718" s="78">
        <f t="shared" si="35"/>
        <v>-24.1</v>
      </c>
      <c r="K718" s="72">
        <f>Target1[[#This Row],[Target Price]]/$B$2*100</f>
        <v>159.9767306573589</v>
      </c>
      <c r="R718">
        <f>B719/Target1[[#This Row],[Target Price]]-1</f>
        <v>-1.4909090909090872E-2</v>
      </c>
    </row>
    <row r="719" spans="1:18">
      <c r="A719" s="96">
        <v>44327</v>
      </c>
      <c r="B719" s="101">
        <v>27.09</v>
      </c>
      <c r="C719" s="4">
        <f t="shared" si="33"/>
        <v>-1.5021348575521828E-2</v>
      </c>
      <c r="D719" s="4">
        <f>IFERROR(Target1[[#This Row],[Target Return]]+1,"-")</f>
        <v>0.98497865142447816</v>
      </c>
      <c r="E719" s="6">
        <f>B719-MAX($B$2:B719)</f>
        <v>-24.51</v>
      </c>
      <c r="F719" s="80">
        <f t="shared" si="34"/>
        <v>192</v>
      </c>
      <c r="G719" s="77">
        <f>Target1[[#This Row],[Target Drawdown]]/MAX($B$2:B719)</f>
        <v>-0.47500000000000003</v>
      </c>
      <c r="H719" s="1" t="str">
        <f>IF(SUM(COUNTIF(Benchmark1[Benchmark '#1 Dates],Target1[[#This Row],[Target Dates]]),COUNTIF(Benchmark2[Benchmark '#2 Dates],Target1[[#This Row],[Target Dates]]))=2,"Pass","Fail")</f>
        <v>Pass</v>
      </c>
      <c r="I719" s="78">
        <f t="shared" si="35"/>
        <v>-24.51</v>
      </c>
      <c r="K719" s="72">
        <f>Target1[[#This Row],[Target Price]]/$B$2*100</f>
        <v>157.5916230366492</v>
      </c>
      <c r="R719">
        <f>B720/Target1[[#This Row],[Target Price]]-1</f>
        <v>-1.624215577703958E-2</v>
      </c>
    </row>
    <row r="720" spans="1:18">
      <c r="A720" s="96">
        <v>44328</v>
      </c>
      <c r="B720" s="101">
        <v>26.65</v>
      </c>
      <c r="C720" s="4">
        <f t="shared" si="33"/>
        <v>-1.637550548515028E-2</v>
      </c>
      <c r="D720" s="4">
        <f>IFERROR(Target1[[#This Row],[Target Return]]+1,"-")</f>
        <v>0.98362449451484968</v>
      </c>
      <c r="E720" s="6">
        <f>B720-MAX($B$2:B720)</f>
        <v>-24.950000000000003</v>
      </c>
      <c r="F720" s="80">
        <f t="shared" si="34"/>
        <v>193</v>
      </c>
      <c r="G720" s="77">
        <f>Target1[[#This Row],[Target Drawdown]]/MAX($B$2:B720)</f>
        <v>-0.48352713178294576</v>
      </c>
      <c r="H720" s="1" t="str">
        <f>IF(SUM(COUNTIF(Benchmark1[Benchmark '#1 Dates],Target1[[#This Row],[Target Dates]]),COUNTIF(Benchmark2[Benchmark '#2 Dates],Target1[[#This Row],[Target Dates]]))=2,"Pass","Fail")</f>
        <v>Pass</v>
      </c>
      <c r="I720" s="78">
        <f t="shared" si="35"/>
        <v>-24.950000000000003</v>
      </c>
      <c r="K720" s="72">
        <f>Target1[[#This Row],[Target Price]]/$B$2*100</f>
        <v>155.03199534613145</v>
      </c>
      <c r="R720">
        <f>B721/Target1[[#This Row],[Target Price]]-1</f>
        <v>4.502814258911858E-3</v>
      </c>
    </row>
    <row r="721" spans="1:18">
      <c r="A721" s="96">
        <v>44329</v>
      </c>
      <c r="B721" s="101">
        <v>26.77</v>
      </c>
      <c r="C721" s="4">
        <f t="shared" si="33"/>
        <v>4.492706920407632E-3</v>
      </c>
      <c r="D721" s="4">
        <f>IFERROR(Target1[[#This Row],[Target Return]]+1,"-")</f>
        <v>1.0044927069204077</v>
      </c>
      <c r="E721" s="6">
        <f>B721-MAX($B$2:B721)</f>
        <v>-24.830000000000002</v>
      </c>
      <c r="F721" s="80">
        <f t="shared" si="34"/>
        <v>194</v>
      </c>
      <c r="G721" s="77">
        <f>Target1[[#This Row],[Target Drawdown]]/MAX($B$2:B721)</f>
        <v>-0.48120155038759693</v>
      </c>
      <c r="H721" s="1" t="str">
        <f>IF(SUM(COUNTIF(Benchmark1[Benchmark '#1 Dates],Target1[[#This Row],[Target Dates]]),COUNTIF(Benchmark2[Benchmark '#2 Dates],Target1[[#This Row],[Target Dates]]))=2,"Pass","Fail")</f>
        <v>Pass</v>
      </c>
      <c r="I721" s="78">
        <f t="shared" si="35"/>
        <v>-24.830000000000002</v>
      </c>
      <c r="K721" s="72">
        <f>Target1[[#This Row],[Target Price]]/$B$2*100</f>
        <v>155.73007562536355</v>
      </c>
      <c r="R721">
        <f>B722/Target1[[#This Row],[Target Price]]-1</f>
        <v>2.9884198729921652E-2</v>
      </c>
    </row>
    <row r="722" spans="1:18">
      <c r="A722" s="96">
        <v>44330</v>
      </c>
      <c r="B722" s="101">
        <v>27.57</v>
      </c>
      <c r="C722" s="4">
        <f t="shared" si="33"/>
        <v>2.9446367503444329E-2</v>
      </c>
      <c r="D722" s="4">
        <f>IFERROR(Target1[[#This Row],[Target Return]]+1,"-")</f>
        <v>1.0294463675034444</v>
      </c>
      <c r="E722" s="6">
        <f>B722-MAX($B$2:B722)</f>
        <v>-24.03</v>
      </c>
      <c r="F722" s="80">
        <f t="shared" si="34"/>
        <v>195</v>
      </c>
      <c r="G722" s="77">
        <f>Target1[[#This Row],[Target Drawdown]]/MAX($B$2:B722)</f>
        <v>-0.46569767441860466</v>
      </c>
      <c r="H722" s="1" t="str">
        <f>IF(SUM(COUNTIF(Benchmark1[Benchmark '#1 Dates],Target1[[#This Row],[Target Dates]]),COUNTIF(Benchmark2[Benchmark '#2 Dates],Target1[[#This Row],[Target Dates]]))=2,"Pass","Fail")</f>
        <v>Pass</v>
      </c>
      <c r="I722" s="78">
        <f t="shared" si="35"/>
        <v>-24.03</v>
      </c>
      <c r="K722" s="72">
        <f>Target1[[#This Row],[Target Price]]/$B$2*100</f>
        <v>160.38394415357766</v>
      </c>
      <c r="R722">
        <f>B723/Target1[[#This Row],[Target Price]]-1</f>
        <v>3.1556039173014083E-2</v>
      </c>
    </row>
    <row r="723" spans="1:18">
      <c r="A723" s="96">
        <v>44333</v>
      </c>
      <c r="B723" s="101">
        <v>28.44</v>
      </c>
      <c r="C723" s="4">
        <f t="shared" si="33"/>
        <v>3.1068379899334694E-2</v>
      </c>
      <c r="D723" s="4">
        <f>IFERROR(Target1[[#This Row],[Target Return]]+1,"-")</f>
        <v>1.0310683798993348</v>
      </c>
      <c r="E723" s="6">
        <f>B723-MAX($B$2:B723)</f>
        <v>-23.16</v>
      </c>
      <c r="F723" s="80">
        <f t="shared" si="34"/>
        <v>196</v>
      </c>
      <c r="G723" s="77">
        <f>Target1[[#This Row],[Target Drawdown]]/MAX($B$2:B723)</f>
        <v>-0.44883720930232557</v>
      </c>
      <c r="H723" s="1" t="str">
        <f>IF(SUM(COUNTIF(Benchmark1[Benchmark '#1 Dates],Target1[[#This Row],[Target Dates]]),COUNTIF(Benchmark2[Benchmark '#2 Dates],Target1[[#This Row],[Target Dates]]))=2,"Pass","Fail")</f>
        <v>Pass</v>
      </c>
      <c r="I723" s="78">
        <f t="shared" si="35"/>
        <v>-23.16</v>
      </c>
      <c r="K723" s="72">
        <f>Target1[[#This Row],[Target Price]]/$B$2*100</f>
        <v>165.44502617801047</v>
      </c>
      <c r="R723">
        <f>B724/Target1[[#This Row],[Target Price]]-1</f>
        <v>1.1603375527426074E-2</v>
      </c>
    </row>
    <row r="724" spans="1:18">
      <c r="A724" s="96">
        <v>44334</v>
      </c>
      <c r="B724" s="101">
        <v>28.77</v>
      </c>
      <c r="C724" s="4">
        <f t="shared" si="33"/>
        <v>1.1536572628416331E-2</v>
      </c>
      <c r="D724" s="4">
        <f>IFERROR(Target1[[#This Row],[Target Return]]+1,"-")</f>
        <v>1.0115365726284162</v>
      </c>
      <c r="E724" s="6">
        <f>B724-MAX($B$2:B724)</f>
        <v>-22.830000000000002</v>
      </c>
      <c r="F724" s="80">
        <f t="shared" si="34"/>
        <v>197</v>
      </c>
      <c r="G724" s="77">
        <f>Target1[[#This Row],[Target Drawdown]]/MAX($B$2:B724)</f>
        <v>-0.4424418604651163</v>
      </c>
      <c r="H724" s="1" t="str">
        <f>IF(SUM(COUNTIF(Benchmark1[Benchmark '#1 Dates],Target1[[#This Row],[Target Dates]]),COUNTIF(Benchmark2[Benchmark '#2 Dates],Target1[[#This Row],[Target Dates]]))=2,"Pass","Fail")</f>
        <v>Pass</v>
      </c>
      <c r="I724" s="78">
        <f t="shared" si="35"/>
        <v>-22.830000000000002</v>
      </c>
      <c r="K724" s="72">
        <f>Target1[[#This Row],[Target Price]]/$B$2*100</f>
        <v>167.36474694589876</v>
      </c>
      <c r="R724">
        <f>B725/Target1[[#This Row],[Target Price]]-1</f>
        <v>-3.6843934654153587E-2</v>
      </c>
    </row>
    <row r="725" spans="1:18">
      <c r="A725" s="96">
        <v>44335</v>
      </c>
      <c r="B725" s="101">
        <v>27.71</v>
      </c>
      <c r="C725" s="4">
        <f t="shared" si="33"/>
        <v>-3.7539818688569454E-2</v>
      </c>
      <c r="D725" s="4">
        <f>IFERROR(Target1[[#This Row],[Target Return]]+1,"-")</f>
        <v>0.96246018131143052</v>
      </c>
      <c r="E725" s="6">
        <f>B725-MAX($B$2:B725)</f>
        <v>-23.89</v>
      </c>
      <c r="F725" s="80">
        <f t="shared" si="34"/>
        <v>198</v>
      </c>
      <c r="G725" s="77">
        <f>Target1[[#This Row],[Target Drawdown]]/MAX($B$2:B725)</f>
        <v>-0.46298449612403103</v>
      </c>
      <c r="H725" s="1" t="str">
        <f>IF(SUM(COUNTIF(Benchmark1[Benchmark '#1 Dates],Target1[[#This Row],[Target Dates]]),COUNTIF(Benchmark2[Benchmark '#2 Dates],Target1[[#This Row],[Target Dates]]))=2,"Pass","Fail")</f>
        <v>Pass</v>
      </c>
      <c r="I725" s="78">
        <f t="shared" si="35"/>
        <v>-23.89</v>
      </c>
      <c r="K725" s="72">
        <f>Target1[[#This Row],[Target Price]]/$B$2*100</f>
        <v>161.19837114601512</v>
      </c>
      <c r="R725">
        <f>B726/Target1[[#This Row],[Target Price]]-1</f>
        <v>9.7437748105377864E-3</v>
      </c>
    </row>
    <row r="726" spans="1:18">
      <c r="A726" s="96">
        <v>44336</v>
      </c>
      <c r="B726" s="101">
        <v>27.98</v>
      </c>
      <c r="C726" s="4">
        <f t="shared" si="33"/>
        <v>9.696610362448144E-3</v>
      </c>
      <c r="D726" s="4">
        <f>IFERROR(Target1[[#This Row],[Target Return]]+1,"-")</f>
        <v>1.0096966103624481</v>
      </c>
      <c r="E726" s="6">
        <f>B726-MAX($B$2:B726)</f>
        <v>-23.62</v>
      </c>
      <c r="F726" s="80">
        <f t="shared" si="34"/>
        <v>199</v>
      </c>
      <c r="G726" s="77">
        <f>Target1[[#This Row],[Target Drawdown]]/MAX($B$2:B726)</f>
        <v>-0.45775193798449615</v>
      </c>
      <c r="H726" s="1" t="str">
        <f>IF(SUM(COUNTIF(Benchmark1[Benchmark '#1 Dates],Target1[[#This Row],[Target Dates]]),COUNTIF(Benchmark2[Benchmark '#2 Dates],Target1[[#This Row],[Target Dates]]))=2,"Pass","Fail")</f>
        <v>Pass</v>
      </c>
      <c r="I726" s="78">
        <f t="shared" si="35"/>
        <v>-23.62</v>
      </c>
      <c r="K726" s="72">
        <f>Target1[[#This Row],[Target Price]]/$B$2*100</f>
        <v>162.76905177428739</v>
      </c>
      <c r="R726">
        <f>B727/Target1[[#This Row],[Target Price]]-1</f>
        <v>-1.0721944245890569E-3</v>
      </c>
    </row>
    <row r="727" spans="1:18">
      <c r="A727" s="96">
        <v>44337</v>
      </c>
      <c r="B727" s="101">
        <v>27.95</v>
      </c>
      <c r="C727" s="4">
        <f t="shared" si="33"/>
        <v>-1.0727696362270154E-3</v>
      </c>
      <c r="D727" s="4">
        <f>IFERROR(Target1[[#This Row],[Target Return]]+1,"-")</f>
        <v>0.99892723036377296</v>
      </c>
      <c r="E727" s="6">
        <f>B727-MAX($B$2:B727)</f>
        <v>-23.650000000000002</v>
      </c>
      <c r="F727" s="80">
        <f t="shared" si="34"/>
        <v>200</v>
      </c>
      <c r="G727" s="77">
        <f>Target1[[#This Row],[Target Drawdown]]/MAX($B$2:B727)</f>
        <v>-0.45833333333333337</v>
      </c>
      <c r="H727" s="1" t="str">
        <f>IF(SUM(COUNTIF(Benchmark1[Benchmark '#1 Dates],Target1[[#This Row],[Target Dates]]),COUNTIF(Benchmark2[Benchmark '#2 Dates],Target1[[#This Row],[Target Dates]]))=2,"Pass","Fail")</f>
        <v>Pass</v>
      </c>
      <c r="I727" s="78">
        <f t="shared" si="35"/>
        <v>-23.650000000000002</v>
      </c>
      <c r="K727" s="72">
        <f>Target1[[#This Row],[Target Price]]/$B$2*100</f>
        <v>162.59453170447932</v>
      </c>
      <c r="R727">
        <f>B728/Target1[[#This Row],[Target Price]]-1</f>
        <v>-1.1091234347048284E-2</v>
      </c>
    </row>
    <row r="728" spans="1:18">
      <c r="A728" s="96">
        <v>44340</v>
      </c>
      <c r="B728" s="101">
        <v>27.64</v>
      </c>
      <c r="C728" s="4">
        <f t="shared" si="33"/>
        <v>-1.1153200701639002E-2</v>
      </c>
      <c r="D728" s="4">
        <f>IFERROR(Target1[[#This Row],[Target Return]]+1,"-")</f>
        <v>0.98884679929836095</v>
      </c>
      <c r="E728" s="6">
        <f>B728-MAX($B$2:B728)</f>
        <v>-23.96</v>
      </c>
      <c r="F728" s="80">
        <f t="shared" si="34"/>
        <v>201</v>
      </c>
      <c r="G728" s="77">
        <f>Target1[[#This Row],[Target Drawdown]]/MAX($B$2:B728)</f>
        <v>-0.46434108527131784</v>
      </c>
      <c r="H728" s="1" t="str">
        <f>IF(SUM(COUNTIF(Benchmark1[Benchmark '#1 Dates],Target1[[#This Row],[Target Dates]]),COUNTIF(Benchmark2[Benchmark '#2 Dates],Target1[[#This Row],[Target Dates]]))=2,"Pass","Fail")</f>
        <v>Pass</v>
      </c>
      <c r="I728" s="78">
        <f t="shared" si="35"/>
        <v>-23.96</v>
      </c>
      <c r="K728" s="72">
        <f>Target1[[#This Row],[Target Price]]/$B$2*100</f>
        <v>160.79115764979639</v>
      </c>
      <c r="R728">
        <f>B729/Target1[[#This Row],[Target Price]]-1</f>
        <v>-2.0622286541244539E-2</v>
      </c>
    </row>
    <row r="729" spans="1:18">
      <c r="A729" s="96">
        <v>44341</v>
      </c>
      <c r="B729" s="101">
        <v>27.07</v>
      </c>
      <c r="C729" s="4">
        <f t="shared" si="33"/>
        <v>-2.0837895273259296E-2</v>
      </c>
      <c r="D729" s="4">
        <f>IFERROR(Target1[[#This Row],[Target Return]]+1,"-")</f>
        <v>0.9791621047267407</v>
      </c>
      <c r="E729" s="6">
        <f>B729-MAX($B$2:B729)</f>
        <v>-24.53</v>
      </c>
      <c r="F729" s="80">
        <f t="shared" si="34"/>
        <v>202</v>
      </c>
      <c r="G729" s="77">
        <f>Target1[[#This Row],[Target Drawdown]]/MAX($B$2:B729)</f>
        <v>-0.47538759689922483</v>
      </c>
      <c r="H729" s="1" t="str">
        <f>IF(SUM(COUNTIF(Benchmark1[Benchmark '#1 Dates],Target1[[#This Row],[Target Dates]]),COUNTIF(Benchmark2[Benchmark '#2 Dates],Target1[[#This Row],[Target Dates]]))=2,"Pass","Fail")</f>
        <v>Pass</v>
      </c>
      <c r="I729" s="78">
        <f t="shared" si="35"/>
        <v>-24.53</v>
      </c>
      <c r="K729" s="72">
        <f>Target1[[#This Row],[Target Price]]/$B$2*100</f>
        <v>157.47527632344384</v>
      </c>
      <c r="R729">
        <f>B730/Target1[[#This Row],[Target Price]]-1</f>
        <v>-2.6967122275581845E-2</v>
      </c>
    </row>
    <row r="730" spans="1:18">
      <c r="A730" s="96">
        <v>44342</v>
      </c>
      <c r="B730" s="101">
        <v>26.34</v>
      </c>
      <c r="C730" s="4">
        <f t="shared" si="33"/>
        <v>-2.7337407311074854E-2</v>
      </c>
      <c r="D730" s="4">
        <f>IFERROR(Target1[[#This Row],[Target Return]]+1,"-")</f>
        <v>0.97266259268892519</v>
      </c>
      <c r="E730" s="6">
        <f>B730-MAX($B$2:B730)</f>
        <v>-25.26</v>
      </c>
      <c r="F730" s="80">
        <f t="shared" si="34"/>
        <v>203</v>
      </c>
      <c r="G730" s="77">
        <f>Target1[[#This Row],[Target Drawdown]]/MAX($B$2:B730)</f>
        <v>-0.48953488372093024</v>
      </c>
      <c r="H730" s="1" t="str">
        <f>IF(SUM(COUNTIF(Benchmark1[Benchmark '#1 Dates],Target1[[#This Row],[Target Dates]]),COUNTIF(Benchmark2[Benchmark '#2 Dates],Target1[[#This Row],[Target Dates]]))=2,"Pass","Fail")</f>
        <v>Pass</v>
      </c>
      <c r="I730" s="78">
        <f t="shared" si="35"/>
        <v>-25.26</v>
      </c>
      <c r="K730" s="72">
        <f>Target1[[#This Row],[Target Price]]/$B$2*100</f>
        <v>153.22862129144849</v>
      </c>
      <c r="R730">
        <f>B731/Target1[[#This Row],[Target Price]]-1</f>
        <v>2.2399392558845932E-2</v>
      </c>
    </row>
    <row r="731" spans="1:18">
      <c r="A731" s="96">
        <v>44343</v>
      </c>
      <c r="B731" s="101">
        <v>26.93</v>
      </c>
      <c r="C731" s="4">
        <f t="shared" si="33"/>
        <v>2.2152210508372627E-2</v>
      </c>
      <c r="D731" s="4">
        <f>IFERROR(Target1[[#This Row],[Target Return]]+1,"-")</f>
        <v>1.0221522105083727</v>
      </c>
      <c r="E731" s="6">
        <f>B731-MAX($B$2:B731)</f>
        <v>-24.67</v>
      </c>
      <c r="F731" s="80">
        <f t="shared" si="34"/>
        <v>204</v>
      </c>
      <c r="G731" s="77">
        <f>Target1[[#This Row],[Target Drawdown]]/MAX($B$2:B731)</f>
        <v>-0.47810077519379846</v>
      </c>
      <c r="H731" s="1" t="str">
        <f>IF(SUM(COUNTIF(Benchmark1[Benchmark '#1 Dates],Target1[[#This Row],[Target Dates]]),COUNTIF(Benchmark2[Benchmark '#2 Dates],Target1[[#This Row],[Target Dates]]))=2,"Pass","Fail")</f>
        <v>Pass</v>
      </c>
      <c r="I731" s="78">
        <f t="shared" si="35"/>
        <v>-24.67</v>
      </c>
      <c r="K731" s="72">
        <f>Target1[[#This Row],[Target Price]]/$B$2*100</f>
        <v>156.6608493310064</v>
      </c>
      <c r="R731">
        <f>B732/Target1[[#This Row],[Target Price]]-1</f>
        <v>-1.8566654288897366E-3</v>
      </c>
    </row>
    <row r="732" spans="1:18">
      <c r="A732" s="96">
        <v>44344</v>
      </c>
      <c r="B732" s="101">
        <v>26.88</v>
      </c>
      <c r="C732" s="4">
        <f t="shared" si="33"/>
        <v>-1.858391168558769E-3</v>
      </c>
      <c r="D732" s="4">
        <f>IFERROR(Target1[[#This Row],[Target Return]]+1,"-")</f>
        <v>0.99814160883144121</v>
      </c>
      <c r="E732" s="6">
        <f>B732-MAX($B$2:B732)</f>
        <v>-24.720000000000002</v>
      </c>
      <c r="F732" s="80">
        <f t="shared" si="34"/>
        <v>205</v>
      </c>
      <c r="G732" s="77">
        <f>Target1[[#This Row],[Target Drawdown]]/MAX($B$2:B732)</f>
        <v>-0.47906976744186047</v>
      </c>
      <c r="H732" s="1" t="str">
        <f>IF(SUM(COUNTIF(Benchmark1[Benchmark '#1 Dates],Target1[[#This Row],[Target Dates]]),COUNTIF(Benchmark2[Benchmark '#2 Dates],Target1[[#This Row],[Target Dates]]))=2,"Pass","Fail")</f>
        <v>Pass</v>
      </c>
      <c r="I732" s="78">
        <f t="shared" si="35"/>
        <v>-24.720000000000002</v>
      </c>
      <c r="K732" s="72">
        <f>Target1[[#This Row],[Target Price]]/$B$2*100</f>
        <v>156.369982547993</v>
      </c>
      <c r="R732">
        <f>B733/Target1[[#This Row],[Target Price]]-1</f>
        <v>2.5669642857143016E-2</v>
      </c>
    </row>
    <row r="733" spans="1:18">
      <c r="A733" s="96">
        <v>44348</v>
      </c>
      <c r="B733" s="101">
        <v>27.57</v>
      </c>
      <c r="C733" s="4">
        <f t="shared" si="33"/>
        <v>2.5345709380756733E-2</v>
      </c>
      <c r="D733" s="4">
        <f>IFERROR(Target1[[#This Row],[Target Return]]+1,"-")</f>
        <v>1.0253457093807568</v>
      </c>
      <c r="E733" s="6">
        <f>B733-MAX($B$2:B733)</f>
        <v>-24.03</v>
      </c>
      <c r="F733" s="80">
        <f t="shared" si="34"/>
        <v>206</v>
      </c>
      <c r="G733" s="77">
        <f>Target1[[#This Row],[Target Drawdown]]/MAX($B$2:B733)</f>
        <v>-0.46569767441860466</v>
      </c>
      <c r="H733" s="1" t="str">
        <f>IF(SUM(COUNTIF(Benchmark1[Benchmark '#1 Dates],Target1[[#This Row],[Target Dates]]),COUNTIF(Benchmark2[Benchmark '#2 Dates],Target1[[#This Row],[Target Dates]]))=2,"Pass","Fail")</f>
        <v>Pass</v>
      </c>
      <c r="I733" s="78">
        <f t="shared" si="35"/>
        <v>-24.03</v>
      </c>
      <c r="K733" s="72">
        <f>Target1[[#This Row],[Target Price]]/$B$2*100</f>
        <v>160.38394415357766</v>
      </c>
      <c r="R733">
        <f>B734/Target1[[#This Row],[Target Price]]-1</f>
        <v>2.9017047515413896E-3</v>
      </c>
    </row>
    <row r="734" spans="1:18">
      <c r="A734" s="96">
        <v>44349</v>
      </c>
      <c r="B734" s="101">
        <v>27.65</v>
      </c>
      <c r="C734" s="4">
        <f t="shared" si="33"/>
        <v>2.8975029326382923E-3</v>
      </c>
      <c r="D734" s="4">
        <f>IFERROR(Target1[[#This Row],[Target Return]]+1,"-")</f>
        <v>1.0028975029326384</v>
      </c>
      <c r="E734" s="6">
        <f>B734-MAX($B$2:B734)</f>
        <v>-23.950000000000003</v>
      </c>
      <c r="F734" s="80">
        <f t="shared" si="34"/>
        <v>207</v>
      </c>
      <c r="G734" s="77">
        <f>Target1[[#This Row],[Target Drawdown]]/MAX($B$2:B734)</f>
        <v>-0.46414728682170547</v>
      </c>
      <c r="H734" s="1" t="str">
        <f>IF(SUM(COUNTIF(Benchmark1[Benchmark '#1 Dates],Target1[[#This Row],[Target Dates]]),COUNTIF(Benchmark2[Benchmark '#2 Dates],Target1[[#This Row],[Target Dates]]))=2,"Pass","Fail")</f>
        <v>Pass</v>
      </c>
      <c r="I734" s="78">
        <f t="shared" si="35"/>
        <v>-23.950000000000003</v>
      </c>
      <c r="K734" s="72">
        <f>Target1[[#This Row],[Target Price]]/$B$2*100</f>
        <v>160.84933100639904</v>
      </c>
      <c r="R734">
        <f>B735/Target1[[#This Row],[Target Price]]-1</f>
        <v>2.0614828209764902E-2</v>
      </c>
    </row>
    <row r="735" spans="1:18">
      <c r="A735" s="96">
        <v>44350</v>
      </c>
      <c r="B735" s="101">
        <v>28.22</v>
      </c>
      <c r="C735" s="4">
        <f t="shared" si="33"/>
        <v>2.0405218456324124E-2</v>
      </c>
      <c r="D735" s="4">
        <f>IFERROR(Target1[[#This Row],[Target Return]]+1,"-")</f>
        <v>1.0204052184563241</v>
      </c>
      <c r="E735" s="6">
        <f>B735-MAX($B$2:B735)</f>
        <v>-23.380000000000003</v>
      </c>
      <c r="F735" s="80">
        <f t="shared" si="34"/>
        <v>208</v>
      </c>
      <c r="G735" s="77">
        <f>Target1[[#This Row],[Target Drawdown]]/MAX($B$2:B735)</f>
        <v>-0.45310077519379849</v>
      </c>
      <c r="H735" s="1" t="str">
        <f>IF(SUM(COUNTIF(Benchmark1[Benchmark '#1 Dates],Target1[[#This Row],[Target Dates]]),COUNTIF(Benchmark2[Benchmark '#2 Dates],Target1[[#This Row],[Target Dates]]))=2,"Pass","Fail")</f>
        <v>Pass</v>
      </c>
      <c r="I735" s="78">
        <f t="shared" si="35"/>
        <v>-23.380000000000003</v>
      </c>
      <c r="K735" s="72">
        <f>Target1[[#This Row],[Target Price]]/$B$2*100</f>
        <v>164.16521233275159</v>
      </c>
      <c r="R735">
        <f>B736/Target1[[#This Row],[Target Price]]-1</f>
        <v>1.9844082211197822E-2</v>
      </c>
    </row>
    <row r="736" spans="1:18">
      <c r="A736" s="96">
        <v>44351</v>
      </c>
      <c r="B736" s="101">
        <v>28.78</v>
      </c>
      <c r="C736" s="4">
        <f t="shared" si="33"/>
        <v>1.9649755034553903E-2</v>
      </c>
      <c r="D736" s="4">
        <f>IFERROR(Target1[[#This Row],[Target Return]]+1,"-")</f>
        <v>1.0196497550345538</v>
      </c>
      <c r="E736" s="6">
        <f>B736-MAX($B$2:B736)</f>
        <v>-22.82</v>
      </c>
      <c r="F736" s="80">
        <f t="shared" si="34"/>
        <v>209</v>
      </c>
      <c r="G736" s="77">
        <f>Target1[[#This Row],[Target Drawdown]]/MAX($B$2:B736)</f>
        <v>-0.44224806201550387</v>
      </c>
      <c r="H736" s="1" t="str">
        <f>IF(SUM(COUNTIF(Benchmark1[Benchmark '#1 Dates],Target1[[#This Row],[Target Dates]]),COUNTIF(Benchmark2[Benchmark '#2 Dates],Target1[[#This Row],[Target Dates]]))=2,"Pass","Fail")</f>
        <v>Pass</v>
      </c>
      <c r="I736" s="78">
        <f t="shared" si="35"/>
        <v>-22.82</v>
      </c>
      <c r="K736" s="72">
        <f>Target1[[#This Row],[Target Price]]/$B$2*100</f>
        <v>167.42292030250147</v>
      </c>
      <c r="R736">
        <f>B737/Target1[[#This Row],[Target Price]]-1</f>
        <v>1.702571230020844E-2</v>
      </c>
    </row>
    <row r="737" spans="1:18">
      <c r="A737" s="96">
        <v>44354</v>
      </c>
      <c r="B737" s="101">
        <v>29.27</v>
      </c>
      <c r="C737" s="4">
        <f t="shared" si="33"/>
        <v>1.6882399244572684E-2</v>
      </c>
      <c r="D737" s="4">
        <f>IFERROR(Target1[[#This Row],[Target Return]]+1,"-")</f>
        <v>1.0168823992445726</v>
      </c>
      <c r="E737" s="6">
        <f>B737-MAX($B$2:B737)</f>
        <v>-22.330000000000002</v>
      </c>
      <c r="F737" s="80">
        <f t="shared" si="34"/>
        <v>210</v>
      </c>
      <c r="G737" s="77">
        <f>Target1[[#This Row],[Target Drawdown]]/MAX($B$2:B737)</f>
        <v>-0.43275193798449613</v>
      </c>
      <c r="H737" s="1" t="str">
        <f>IF(SUM(COUNTIF(Benchmark1[Benchmark '#1 Dates],Target1[[#This Row],[Target Dates]]),COUNTIF(Benchmark2[Benchmark '#2 Dates],Target1[[#This Row],[Target Dates]]))=2,"Pass","Fail")</f>
        <v>Pass</v>
      </c>
      <c r="I737" s="78">
        <f t="shared" si="35"/>
        <v>-22.330000000000002</v>
      </c>
      <c r="K737" s="72">
        <f>Target1[[#This Row],[Target Price]]/$B$2*100</f>
        <v>170.27341477603258</v>
      </c>
      <c r="R737">
        <f>B738/Target1[[#This Row],[Target Price]]-1</f>
        <v>1.9473864024598608E-2</v>
      </c>
    </row>
    <row r="738" spans="1:18">
      <c r="A738" s="96">
        <v>44355</v>
      </c>
      <c r="B738" s="101">
        <v>29.84</v>
      </c>
      <c r="C738" s="4">
        <f t="shared" si="33"/>
        <v>1.9286674631765664E-2</v>
      </c>
      <c r="D738" s="4">
        <f>IFERROR(Target1[[#This Row],[Target Return]]+1,"-")</f>
        <v>1.0192866746317657</v>
      </c>
      <c r="E738" s="6">
        <f>B738-MAX($B$2:B738)</f>
        <v>-21.76</v>
      </c>
      <c r="F738" s="80">
        <f t="shared" si="34"/>
        <v>211</v>
      </c>
      <c r="G738" s="77">
        <f>Target1[[#This Row],[Target Drawdown]]/MAX($B$2:B738)</f>
        <v>-0.42170542635658914</v>
      </c>
      <c r="H738" s="1" t="str">
        <f>IF(SUM(COUNTIF(Benchmark1[Benchmark '#1 Dates],Target1[[#This Row],[Target Dates]]),COUNTIF(Benchmark2[Benchmark '#2 Dates],Target1[[#This Row],[Target Dates]]))=2,"Pass","Fail")</f>
        <v>Pass</v>
      </c>
      <c r="I738" s="78">
        <f t="shared" si="35"/>
        <v>-21.76</v>
      </c>
      <c r="K738" s="72">
        <f>Target1[[#This Row],[Target Price]]/$B$2*100</f>
        <v>173.58929610238511</v>
      </c>
      <c r="R738">
        <f>B739/Target1[[#This Row],[Target Price]]-1</f>
        <v>-4.6916890080429541E-3</v>
      </c>
    </row>
    <row r="739" spans="1:18">
      <c r="A739" s="96">
        <v>44356</v>
      </c>
      <c r="B739" s="101">
        <v>29.7</v>
      </c>
      <c r="C739" s="4">
        <f t="shared" si="33"/>
        <v>-4.7027295269062262E-3</v>
      </c>
      <c r="D739" s="4">
        <f>IFERROR(Target1[[#This Row],[Target Return]]+1,"-")</f>
        <v>0.9952972704730938</v>
      </c>
      <c r="E739" s="6">
        <f>B739-MAX($B$2:B739)</f>
        <v>-21.900000000000002</v>
      </c>
      <c r="F739" s="80">
        <f t="shared" si="34"/>
        <v>212</v>
      </c>
      <c r="G739" s="77">
        <f>Target1[[#This Row],[Target Drawdown]]/MAX($B$2:B739)</f>
        <v>-0.42441860465116282</v>
      </c>
      <c r="H739" s="1" t="str">
        <f>IF(SUM(COUNTIF(Benchmark1[Benchmark '#1 Dates],Target1[[#This Row],[Target Dates]]),COUNTIF(Benchmark2[Benchmark '#2 Dates],Target1[[#This Row],[Target Dates]]))=2,"Pass","Fail")</f>
        <v>Pass</v>
      </c>
      <c r="I739" s="78">
        <f t="shared" si="35"/>
        <v>-21.900000000000002</v>
      </c>
      <c r="K739" s="72">
        <f>Target1[[#This Row],[Target Price]]/$B$2*100</f>
        <v>172.77486910994764</v>
      </c>
      <c r="R739">
        <f>B740/Target1[[#This Row],[Target Price]]-1</f>
        <v>1.6161616161616266E-2</v>
      </c>
    </row>
    <row r="740" spans="1:18">
      <c r="A740" s="96">
        <v>44357</v>
      </c>
      <c r="B740" s="101">
        <v>30.18</v>
      </c>
      <c r="C740" s="4">
        <f t="shared" si="33"/>
        <v>1.6032407531049009E-2</v>
      </c>
      <c r="D740" s="4">
        <f>IFERROR(Target1[[#This Row],[Target Return]]+1,"-")</f>
        <v>1.016032407531049</v>
      </c>
      <c r="E740" s="6">
        <f>B740-MAX($B$2:B740)</f>
        <v>-21.42</v>
      </c>
      <c r="F740" s="80">
        <f t="shared" si="34"/>
        <v>213</v>
      </c>
      <c r="G740" s="77">
        <f>Target1[[#This Row],[Target Drawdown]]/MAX($B$2:B740)</f>
        <v>-0.41511627906976745</v>
      </c>
      <c r="H740" s="1" t="str">
        <f>IF(SUM(COUNTIF(Benchmark1[Benchmark '#1 Dates],Target1[[#This Row],[Target Dates]]),COUNTIF(Benchmark2[Benchmark '#2 Dates],Target1[[#This Row],[Target Dates]]))=2,"Pass","Fail")</f>
        <v>Pass</v>
      </c>
      <c r="I740" s="78">
        <f t="shared" si="35"/>
        <v>-21.42</v>
      </c>
      <c r="K740" s="72">
        <f>Target1[[#This Row],[Target Price]]/$B$2*100</f>
        <v>175.56719022687608</v>
      </c>
      <c r="R740">
        <f>B741/Target1[[#This Row],[Target Price]]-1</f>
        <v>8.6149768058316756E-3</v>
      </c>
    </row>
    <row r="741" spans="1:18">
      <c r="A741" s="96">
        <v>44358</v>
      </c>
      <c r="B741" s="101">
        <v>30.44</v>
      </c>
      <c r="C741" s="4">
        <f t="shared" si="33"/>
        <v>8.5780796537822477E-3</v>
      </c>
      <c r="D741" s="4">
        <f>IFERROR(Target1[[#This Row],[Target Return]]+1,"-")</f>
        <v>1.0085780796537822</v>
      </c>
      <c r="E741" s="6">
        <f>B741-MAX($B$2:B741)</f>
        <v>-21.16</v>
      </c>
      <c r="F741" s="80">
        <f t="shared" si="34"/>
        <v>214</v>
      </c>
      <c r="G741" s="77">
        <f>Target1[[#This Row],[Target Drawdown]]/MAX($B$2:B741)</f>
        <v>-0.41007751937984493</v>
      </c>
      <c r="H741" s="1" t="str">
        <f>IF(SUM(COUNTIF(Benchmark1[Benchmark '#1 Dates],Target1[[#This Row],[Target Dates]]),COUNTIF(Benchmark2[Benchmark '#2 Dates],Target1[[#This Row],[Target Dates]]))=2,"Pass","Fail")</f>
        <v>Pass</v>
      </c>
      <c r="I741" s="78">
        <f t="shared" si="35"/>
        <v>-21.16</v>
      </c>
      <c r="K741" s="72">
        <f>Target1[[#This Row],[Target Price]]/$B$2*100</f>
        <v>177.07969749854567</v>
      </c>
      <c r="R741">
        <f>B742/Target1[[#This Row],[Target Price]]-1</f>
        <v>-8.8699080157687016E-3</v>
      </c>
    </row>
    <row r="742" spans="1:18">
      <c r="A742" s="96">
        <v>44361</v>
      </c>
      <c r="B742" s="101">
        <v>30.17</v>
      </c>
      <c r="C742" s="4">
        <f t="shared" si="33"/>
        <v>-8.9094798225153385E-3</v>
      </c>
      <c r="D742" s="4">
        <f>IFERROR(Target1[[#This Row],[Target Return]]+1,"-")</f>
        <v>0.99109052017748467</v>
      </c>
      <c r="E742" s="6">
        <f>B742-MAX($B$2:B742)</f>
        <v>-21.43</v>
      </c>
      <c r="F742" s="80">
        <f t="shared" si="34"/>
        <v>215</v>
      </c>
      <c r="G742" s="77">
        <f>Target1[[#This Row],[Target Drawdown]]/MAX($B$2:B742)</f>
        <v>-0.41531007751937982</v>
      </c>
      <c r="H742" s="1" t="str">
        <f>IF(SUM(COUNTIF(Benchmark1[Benchmark '#1 Dates],Target1[[#This Row],[Target Dates]]),COUNTIF(Benchmark2[Benchmark '#2 Dates],Target1[[#This Row],[Target Dates]]))=2,"Pass","Fail")</f>
        <v>Pass</v>
      </c>
      <c r="I742" s="78">
        <f t="shared" si="35"/>
        <v>-21.43</v>
      </c>
      <c r="K742" s="72">
        <f>Target1[[#This Row],[Target Price]]/$B$2*100</f>
        <v>175.5090168702734</v>
      </c>
      <c r="R742">
        <f>B743/Target1[[#This Row],[Target Price]]-1</f>
        <v>3.3145508783558597E-3</v>
      </c>
    </row>
    <row r="743" spans="1:18">
      <c r="A743" s="96">
        <v>44362</v>
      </c>
      <c r="B743" s="101">
        <v>30.27</v>
      </c>
      <c r="C743" s="4">
        <f t="shared" si="33"/>
        <v>3.3090698626574325E-3</v>
      </c>
      <c r="D743" s="4">
        <f>IFERROR(Target1[[#This Row],[Target Return]]+1,"-")</f>
        <v>1.0033090698626574</v>
      </c>
      <c r="E743" s="6">
        <f>B743-MAX($B$2:B743)</f>
        <v>-21.330000000000002</v>
      </c>
      <c r="F743" s="80">
        <f t="shared" si="34"/>
        <v>216</v>
      </c>
      <c r="G743" s="77">
        <f>Target1[[#This Row],[Target Drawdown]]/MAX($B$2:B743)</f>
        <v>-0.41337209302325584</v>
      </c>
      <c r="H743" s="1" t="str">
        <f>IF(SUM(COUNTIF(Benchmark1[Benchmark '#1 Dates],Target1[[#This Row],[Target Dates]]),COUNTIF(Benchmark2[Benchmark '#2 Dates],Target1[[#This Row],[Target Dates]]))=2,"Pass","Fail")</f>
        <v>Pass</v>
      </c>
      <c r="I743" s="78">
        <f t="shared" si="35"/>
        <v>-21.330000000000002</v>
      </c>
      <c r="K743" s="72">
        <f>Target1[[#This Row],[Target Price]]/$B$2*100</f>
        <v>176.09075043630017</v>
      </c>
      <c r="R743">
        <f>B744/Target1[[#This Row],[Target Price]]-1</f>
        <v>-2.3125206475057558E-3</v>
      </c>
    </row>
    <row r="744" spans="1:18">
      <c r="A744" s="96">
        <v>44363</v>
      </c>
      <c r="B744" s="101">
        <v>30.2</v>
      </c>
      <c r="C744" s="4">
        <f t="shared" si="33"/>
        <v>-2.3151986528033002E-3</v>
      </c>
      <c r="D744" s="4">
        <f>IFERROR(Target1[[#This Row],[Target Return]]+1,"-")</f>
        <v>0.99768480134719673</v>
      </c>
      <c r="E744" s="6">
        <f>B744-MAX($B$2:B744)</f>
        <v>-21.400000000000002</v>
      </c>
      <c r="F744" s="80">
        <f t="shared" si="34"/>
        <v>217</v>
      </c>
      <c r="G744" s="77">
        <f>Target1[[#This Row],[Target Drawdown]]/MAX($B$2:B744)</f>
        <v>-0.41472868217054265</v>
      </c>
      <c r="H744" s="1" t="str">
        <f>IF(SUM(COUNTIF(Benchmark1[Benchmark '#1 Dates],Target1[[#This Row],[Target Dates]]),COUNTIF(Benchmark2[Benchmark '#2 Dates],Target1[[#This Row],[Target Dates]]))=2,"Pass","Fail")</f>
        <v>Pass</v>
      </c>
      <c r="I744" s="78">
        <f t="shared" si="35"/>
        <v>-21.400000000000002</v>
      </c>
      <c r="K744" s="72">
        <f>Target1[[#This Row],[Target Price]]/$B$2*100</f>
        <v>175.68353694008144</v>
      </c>
      <c r="R744">
        <f>B745/Target1[[#This Row],[Target Price]]-1</f>
        <v>-1.8211920529801362E-2</v>
      </c>
    </row>
    <row r="745" spans="1:18">
      <c r="A745" s="96">
        <v>44364</v>
      </c>
      <c r="B745" s="101">
        <v>29.65</v>
      </c>
      <c r="C745" s="4">
        <f t="shared" si="33"/>
        <v>-1.8379798937089534E-2</v>
      </c>
      <c r="D745" s="4">
        <f>IFERROR(Target1[[#This Row],[Target Return]]+1,"-")</f>
        <v>0.98162020106291048</v>
      </c>
      <c r="E745" s="6">
        <f>B745-MAX($B$2:B745)</f>
        <v>-21.950000000000003</v>
      </c>
      <c r="F745" s="80">
        <f t="shared" si="34"/>
        <v>218</v>
      </c>
      <c r="G745" s="77">
        <f>Target1[[#This Row],[Target Drawdown]]/MAX($B$2:B745)</f>
        <v>-0.42538759689922484</v>
      </c>
      <c r="H745" s="1" t="str">
        <f>IF(SUM(COUNTIF(Benchmark1[Benchmark '#1 Dates],Target1[[#This Row],[Target Dates]]),COUNTIF(Benchmark2[Benchmark '#2 Dates],Target1[[#This Row],[Target Dates]]))=2,"Pass","Fail")</f>
        <v>Pass</v>
      </c>
      <c r="I745" s="78">
        <f t="shared" si="35"/>
        <v>-21.950000000000003</v>
      </c>
      <c r="K745" s="72">
        <f>Target1[[#This Row],[Target Price]]/$B$2*100</f>
        <v>172.48400232693425</v>
      </c>
      <c r="R745">
        <f>B746/Target1[[#This Row],[Target Price]]-1</f>
        <v>-1.6188870151770507E-2</v>
      </c>
    </row>
    <row r="746" spans="1:18">
      <c r="A746" s="96">
        <v>44365</v>
      </c>
      <c r="B746" s="101">
        <v>29.17</v>
      </c>
      <c r="C746" s="4">
        <f t="shared" si="33"/>
        <v>-1.6321341564104256E-2</v>
      </c>
      <c r="D746" s="4">
        <f>IFERROR(Target1[[#This Row],[Target Return]]+1,"-")</f>
        <v>0.98367865843589575</v>
      </c>
      <c r="E746" s="6">
        <f>B746-MAX($B$2:B746)</f>
        <v>-22.43</v>
      </c>
      <c r="F746" s="80">
        <f t="shared" si="34"/>
        <v>219</v>
      </c>
      <c r="G746" s="77">
        <f>Target1[[#This Row],[Target Drawdown]]/MAX($B$2:B746)</f>
        <v>-0.43468992248062016</v>
      </c>
      <c r="H746" s="1" t="str">
        <f>IF(SUM(COUNTIF(Benchmark1[Benchmark '#1 Dates],Target1[[#This Row],[Target Dates]]),COUNTIF(Benchmark2[Benchmark '#2 Dates],Target1[[#This Row],[Target Dates]]))=2,"Pass","Fail")</f>
        <v>Pass</v>
      </c>
      <c r="I746" s="78">
        <f t="shared" si="35"/>
        <v>-22.43</v>
      </c>
      <c r="K746" s="72">
        <f>Target1[[#This Row],[Target Price]]/$B$2*100</f>
        <v>169.69168121000581</v>
      </c>
      <c r="R746">
        <f>B747/Target1[[#This Row],[Target Price]]-1</f>
        <v>3.8052793966403708E-2</v>
      </c>
    </row>
    <row r="747" spans="1:18">
      <c r="A747" s="96">
        <v>44368</v>
      </c>
      <c r="B747" s="101">
        <v>30.28</v>
      </c>
      <c r="C747" s="4">
        <f t="shared" si="33"/>
        <v>3.7346644689617847E-2</v>
      </c>
      <c r="D747" s="4">
        <f>IFERROR(Target1[[#This Row],[Target Return]]+1,"-")</f>
        <v>1.0373466446896178</v>
      </c>
      <c r="E747" s="6">
        <f>B747-MAX($B$2:B747)</f>
        <v>-21.32</v>
      </c>
      <c r="F747" s="80">
        <f t="shared" si="34"/>
        <v>220</v>
      </c>
      <c r="G747" s="77">
        <f>Target1[[#This Row],[Target Drawdown]]/MAX($B$2:B747)</f>
        <v>-0.41317829457364341</v>
      </c>
      <c r="H747" s="1" t="str">
        <f>IF(SUM(COUNTIF(Benchmark1[Benchmark '#1 Dates],Target1[[#This Row],[Target Dates]]),COUNTIF(Benchmark2[Benchmark '#2 Dates],Target1[[#This Row],[Target Dates]]))=2,"Pass","Fail")</f>
        <v>Pass</v>
      </c>
      <c r="I747" s="78">
        <f t="shared" si="35"/>
        <v>-21.32</v>
      </c>
      <c r="K747" s="72">
        <f>Target1[[#This Row],[Target Price]]/$B$2*100</f>
        <v>176.14892379290282</v>
      </c>
      <c r="R747">
        <f>B748/Target1[[#This Row],[Target Price]]-1</f>
        <v>8.916776750330202E-3</v>
      </c>
    </row>
    <row r="748" spans="1:18">
      <c r="A748" s="96">
        <v>44369</v>
      </c>
      <c r="B748" s="101">
        <v>30.55</v>
      </c>
      <c r="C748" s="4">
        <f t="shared" si="33"/>
        <v>8.8772570483562543E-3</v>
      </c>
      <c r="D748" s="4">
        <f>IFERROR(Target1[[#This Row],[Target Return]]+1,"-")</f>
        <v>1.0088772570483562</v>
      </c>
      <c r="E748" s="6">
        <f>B748-MAX($B$2:B748)</f>
        <v>-21.05</v>
      </c>
      <c r="F748" s="80">
        <f t="shared" si="34"/>
        <v>221</v>
      </c>
      <c r="G748" s="77">
        <f>Target1[[#This Row],[Target Drawdown]]/MAX($B$2:B748)</f>
        <v>-0.40794573643410853</v>
      </c>
      <c r="H748" s="1" t="str">
        <f>IF(SUM(COUNTIF(Benchmark1[Benchmark '#1 Dates],Target1[[#This Row],[Target Dates]]),COUNTIF(Benchmark2[Benchmark '#2 Dates],Target1[[#This Row],[Target Dates]]))=2,"Pass","Fail")</f>
        <v>Pass</v>
      </c>
      <c r="I748" s="78">
        <f t="shared" si="35"/>
        <v>-21.05</v>
      </c>
      <c r="K748" s="72">
        <f>Target1[[#This Row],[Target Price]]/$B$2*100</f>
        <v>177.71960442117509</v>
      </c>
      <c r="R748">
        <f>B749/Target1[[#This Row],[Target Price]]-1</f>
        <v>3.5679214402618564E-2</v>
      </c>
    </row>
    <row r="749" spans="1:18">
      <c r="A749" s="96">
        <v>44370</v>
      </c>
      <c r="B749" s="101">
        <v>31.64</v>
      </c>
      <c r="C749" s="4">
        <f t="shared" si="33"/>
        <v>3.5057457281848704E-2</v>
      </c>
      <c r="D749" s="4">
        <f>IFERROR(Target1[[#This Row],[Target Return]]+1,"-")</f>
        <v>1.0350574572818487</v>
      </c>
      <c r="E749" s="6">
        <f>B749-MAX($B$2:B749)</f>
        <v>-19.96</v>
      </c>
      <c r="F749" s="80">
        <f t="shared" si="34"/>
        <v>222</v>
      </c>
      <c r="G749" s="77">
        <f>Target1[[#This Row],[Target Drawdown]]/MAX($B$2:B749)</f>
        <v>-0.38682170542635658</v>
      </c>
      <c r="H749" s="1" t="str">
        <f>IF(SUM(COUNTIF(Benchmark1[Benchmark '#1 Dates],Target1[[#This Row],[Target Dates]]),COUNTIF(Benchmark2[Benchmark '#2 Dates],Target1[[#This Row],[Target Dates]]))=2,"Pass","Fail")</f>
        <v>Pass</v>
      </c>
      <c r="I749" s="78">
        <f t="shared" si="35"/>
        <v>-19.96</v>
      </c>
      <c r="K749" s="72">
        <f>Target1[[#This Row],[Target Price]]/$B$2*100</f>
        <v>184.06050029086677</v>
      </c>
      <c r="R749">
        <f>B750/Target1[[#This Row],[Target Price]]-1</f>
        <v>5.0252844500632055E-2</v>
      </c>
    </row>
    <row r="750" spans="1:18">
      <c r="A750" s="96">
        <v>44371</v>
      </c>
      <c r="B750" s="101">
        <v>33.229999999999997</v>
      </c>
      <c r="C750" s="4">
        <f t="shared" si="33"/>
        <v>4.9030939467049735E-2</v>
      </c>
      <c r="D750" s="4">
        <f>IFERROR(Target1[[#This Row],[Target Return]]+1,"-")</f>
        <v>1.0490309394670498</v>
      </c>
      <c r="E750" s="6">
        <f>B750-MAX($B$2:B750)</f>
        <v>-18.370000000000005</v>
      </c>
      <c r="F750" s="80">
        <f t="shared" si="34"/>
        <v>223</v>
      </c>
      <c r="G750" s="77">
        <f>Target1[[#This Row],[Target Drawdown]]/MAX($B$2:B750)</f>
        <v>-0.35600775193798456</v>
      </c>
      <c r="H750" s="1" t="str">
        <f>IF(SUM(COUNTIF(Benchmark1[Benchmark '#1 Dates],Target1[[#This Row],[Target Dates]]),COUNTIF(Benchmark2[Benchmark '#2 Dates],Target1[[#This Row],[Target Dates]]))=2,"Pass","Fail")</f>
        <v>Pass</v>
      </c>
      <c r="I750" s="78">
        <f t="shared" si="35"/>
        <v>-18.370000000000005</v>
      </c>
      <c r="K750" s="72">
        <f>Target1[[#This Row],[Target Price]]/$B$2*100</f>
        <v>193.31006399069224</v>
      </c>
      <c r="R750">
        <f>B751/Target1[[#This Row],[Target Price]]-1</f>
        <v>-2.5278362925067577E-2</v>
      </c>
    </row>
    <row r="751" spans="1:18">
      <c r="A751" s="96">
        <v>44372</v>
      </c>
      <c r="B751" s="101">
        <v>32.39</v>
      </c>
      <c r="C751" s="4">
        <f t="shared" si="33"/>
        <v>-2.5603349183264845E-2</v>
      </c>
      <c r="D751" s="4">
        <f>IFERROR(Target1[[#This Row],[Target Return]]+1,"-")</f>
        <v>0.97439665081673521</v>
      </c>
      <c r="E751" s="6">
        <f>B751-MAX($B$2:B751)</f>
        <v>-19.21</v>
      </c>
      <c r="F751" s="80">
        <f t="shared" si="34"/>
        <v>224</v>
      </c>
      <c r="G751" s="77">
        <f>Target1[[#This Row],[Target Drawdown]]/MAX($B$2:B751)</f>
        <v>-0.37228682170542637</v>
      </c>
      <c r="H751" s="1" t="str">
        <f>IF(SUM(COUNTIF(Benchmark1[Benchmark '#1 Dates],Target1[[#This Row],[Target Dates]]),COUNTIF(Benchmark2[Benchmark '#2 Dates],Target1[[#This Row],[Target Dates]]))=2,"Pass","Fail")</f>
        <v>Pass</v>
      </c>
      <c r="I751" s="78">
        <f t="shared" si="35"/>
        <v>-19.21</v>
      </c>
      <c r="K751" s="72">
        <f>Target1[[#This Row],[Target Price]]/$B$2*100</f>
        <v>188.42350203606748</v>
      </c>
      <c r="R751">
        <f>B752/Target1[[#This Row],[Target Price]]-1</f>
        <v>1.852423587527019E-2</v>
      </c>
    </row>
    <row r="752" spans="1:18">
      <c r="A752" s="96">
        <v>44375</v>
      </c>
      <c r="B752" s="101">
        <v>32.99</v>
      </c>
      <c r="C752" s="4">
        <f t="shared" si="33"/>
        <v>1.835475205725217E-2</v>
      </c>
      <c r="D752" s="4">
        <f>IFERROR(Target1[[#This Row],[Target Return]]+1,"-")</f>
        <v>1.0183547520572522</v>
      </c>
      <c r="E752" s="6">
        <f>B752-MAX($B$2:B752)</f>
        <v>-18.61</v>
      </c>
      <c r="F752" s="80">
        <f t="shared" si="34"/>
        <v>225</v>
      </c>
      <c r="G752" s="77">
        <f>Target1[[#This Row],[Target Drawdown]]/MAX($B$2:B752)</f>
        <v>-0.36065891472868217</v>
      </c>
      <c r="H752" s="1" t="str">
        <f>IF(SUM(COUNTIF(Benchmark1[Benchmark '#1 Dates],Target1[[#This Row],[Target Dates]]),COUNTIF(Benchmark2[Benchmark '#2 Dates],Target1[[#This Row],[Target Dates]]))=2,"Pass","Fail")</f>
        <v>Pass</v>
      </c>
      <c r="I752" s="78">
        <f t="shared" si="35"/>
        <v>-18.61</v>
      </c>
      <c r="K752" s="72">
        <f>Target1[[#This Row],[Target Price]]/$B$2*100</f>
        <v>191.91390343222804</v>
      </c>
      <c r="R752">
        <f>B753/Target1[[#This Row],[Target Price]]-1</f>
        <v>-1.0912397696271614E-2</v>
      </c>
    </row>
    <row r="753" spans="1:18">
      <c r="A753" s="96">
        <v>44376</v>
      </c>
      <c r="B753" s="101">
        <v>32.630000000000003</v>
      </c>
      <c r="C753" s="4">
        <f t="shared" si="33"/>
        <v>-1.0972374635260818E-2</v>
      </c>
      <c r="D753" s="4">
        <f>IFERROR(Target1[[#This Row],[Target Return]]+1,"-")</f>
        <v>0.9890276253647392</v>
      </c>
      <c r="E753" s="6">
        <f>B753-MAX($B$2:B753)</f>
        <v>-18.97</v>
      </c>
      <c r="F753" s="80">
        <f t="shared" si="34"/>
        <v>226</v>
      </c>
      <c r="G753" s="77">
        <f>Target1[[#This Row],[Target Drawdown]]/MAX($B$2:B753)</f>
        <v>-0.36763565891472866</v>
      </c>
      <c r="H753" s="1" t="str">
        <f>IF(SUM(COUNTIF(Benchmark1[Benchmark '#1 Dates],Target1[[#This Row],[Target Dates]]),COUNTIF(Benchmark2[Benchmark '#2 Dates],Target1[[#This Row],[Target Dates]]))=2,"Pass","Fail")</f>
        <v>Pass</v>
      </c>
      <c r="I753" s="78">
        <f t="shared" si="35"/>
        <v>-18.97</v>
      </c>
      <c r="K753" s="72">
        <f>Target1[[#This Row],[Target Price]]/$B$2*100</f>
        <v>189.81966259453171</v>
      </c>
      <c r="R753">
        <f>B754/Target1[[#This Row],[Target Price]]-1</f>
        <v>-1.5323322096230441E-2</v>
      </c>
    </row>
    <row r="754" spans="1:18">
      <c r="A754" s="96">
        <v>44377</v>
      </c>
      <c r="B754" s="101">
        <v>32.130000000000003</v>
      </c>
      <c r="C754" s="4">
        <f t="shared" si="33"/>
        <v>-1.544193747746214E-2</v>
      </c>
      <c r="D754" s="4">
        <f>IFERROR(Target1[[#This Row],[Target Return]]+1,"-")</f>
        <v>0.98455806252253786</v>
      </c>
      <c r="E754" s="6">
        <f>B754-MAX($B$2:B754)</f>
        <v>-19.47</v>
      </c>
      <c r="F754" s="80">
        <f t="shared" si="34"/>
        <v>227</v>
      </c>
      <c r="G754" s="77">
        <f>Target1[[#This Row],[Target Drawdown]]/MAX($B$2:B754)</f>
        <v>-0.37732558139534883</v>
      </c>
      <c r="H754" s="1" t="str">
        <f>IF(SUM(COUNTIF(Benchmark1[Benchmark '#1 Dates],Target1[[#This Row],[Target Dates]]),COUNTIF(Benchmark2[Benchmark '#2 Dates],Target1[[#This Row],[Target Dates]]))=2,"Pass","Fail")</f>
        <v>Pass</v>
      </c>
      <c r="I754" s="78">
        <f t="shared" si="35"/>
        <v>-19.47</v>
      </c>
      <c r="K754" s="72">
        <f>Target1[[#This Row],[Target Price]]/$B$2*100</f>
        <v>186.91099476439788</v>
      </c>
      <c r="R754">
        <f>B755/Target1[[#This Row],[Target Price]]-1</f>
        <v>2.0230314347961409E-2</v>
      </c>
    </row>
    <row r="755" spans="1:18">
      <c r="A755" s="96">
        <v>44378</v>
      </c>
      <c r="B755" s="101">
        <v>32.78</v>
      </c>
      <c r="C755" s="4">
        <f t="shared" si="33"/>
        <v>2.0028400187916538E-2</v>
      </c>
      <c r="D755" s="4">
        <f>IFERROR(Target1[[#This Row],[Target Return]]+1,"-")</f>
        <v>1.0200284001879165</v>
      </c>
      <c r="E755" s="6">
        <f>B755-MAX($B$2:B755)</f>
        <v>-18.82</v>
      </c>
      <c r="F755" s="80">
        <f t="shared" si="34"/>
        <v>228</v>
      </c>
      <c r="G755" s="77">
        <f>Target1[[#This Row],[Target Drawdown]]/MAX($B$2:B755)</f>
        <v>-0.36472868217054261</v>
      </c>
      <c r="H755" s="1" t="str">
        <f>IF(SUM(COUNTIF(Benchmark1[Benchmark '#1 Dates],Target1[[#This Row],[Target Dates]]),COUNTIF(Benchmark2[Benchmark '#2 Dates],Target1[[#This Row],[Target Dates]]))=2,"Pass","Fail")</f>
        <v>Pass</v>
      </c>
      <c r="I755" s="78">
        <f t="shared" si="35"/>
        <v>-18.82</v>
      </c>
      <c r="K755" s="72">
        <f>Target1[[#This Row],[Target Price]]/$B$2*100</f>
        <v>190.69226294357185</v>
      </c>
      <c r="R755">
        <f>B756/Target1[[#This Row],[Target Price]]-1</f>
        <v>-5.7962172056130745E-3</v>
      </c>
    </row>
    <row r="756" spans="1:18">
      <c r="A756" s="96">
        <v>44379</v>
      </c>
      <c r="B756" s="101">
        <v>32.590000000000003</v>
      </c>
      <c r="C756" s="4">
        <f t="shared" si="33"/>
        <v>-5.8130804662133474E-3</v>
      </c>
      <c r="D756" s="4">
        <f>IFERROR(Target1[[#This Row],[Target Return]]+1,"-")</f>
        <v>0.99418691953378668</v>
      </c>
      <c r="E756" s="6">
        <f>B756-MAX($B$2:B756)</f>
        <v>-19.009999999999998</v>
      </c>
      <c r="F756" s="80">
        <f t="shared" si="34"/>
        <v>229</v>
      </c>
      <c r="G756" s="77">
        <f>Target1[[#This Row],[Target Drawdown]]/MAX($B$2:B756)</f>
        <v>-0.36841085271317825</v>
      </c>
      <c r="H756" s="1" t="str">
        <f>IF(SUM(COUNTIF(Benchmark1[Benchmark '#1 Dates],Target1[[#This Row],[Target Dates]]),COUNTIF(Benchmark2[Benchmark '#2 Dates],Target1[[#This Row],[Target Dates]]))=2,"Pass","Fail")</f>
        <v>Pass</v>
      </c>
      <c r="I756" s="78">
        <f t="shared" si="35"/>
        <v>-19.009999999999998</v>
      </c>
      <c r="K756" s="72">
        <f>Target1[[#This Row],[Target Price]]/$B$2*100</f>
        <v>189.58696916812102</v>
      </c>
      <c r="R756">
        <f>B757/Target1[[#This Row],[Target Price]]-1</f>
        <v>-0.12150966554157727</v>
      </c>
    </row>
    <row r="757" spans="1:18">
      <c r="A757" s="96">
        <v>44383</v>
      </c>
      <c r="B757" s="101">
        <v>28.63</v>
      </c>
      <c r="C757" s="4">
        <f t="shared" si="33"/>
        <v>-0.12955037373944661</v>
      </c>
      <c r="D757" s="4">
        <f>IFERROR(Target1[[#This Row],[Target Return]]+1,"-")</f>
        <v>0.87044962626055344</v>
      </c>
      <c r="E757" s="6">
        <f>B757-MAX($B$2:B757)</f>
        <v>-22.970000000000002</v>
      </c>
      <c r="F757" s="80">
        <f t="shared" si="34"/>
        <v>230</v>
      </c>
      <c r="G757" s="77">
        <f>Target1[[#This Row],[Target Drawdown]]/MAX($B$2:B757)</f>
        <v>-0.44515503875968998</v>
      </c>
      <c r="H757" s="1" t="str">
        <f>IF(SUM(COUNTIF(Benchmark1[Benchmark '#1 Dates],Target1[[#This Row],[Target Dates]]),COUNTIF(Benchmark2[Benchmark '#2 Dates],Target1[[#This Row],[Target Dates]]))=2,"Pass","Fail")</f>
        <v>Pass</v>
      </c>
      <c r="I757" s="78">
        <f t="shared" si="35"/>
        <v>-22.970000000000002</v>
      </c>
      <c r="K757" s="72">
        <f>Target1[[#This Row],[Target Price]]/$B$2*100</f>
        <v>166.5503199534613</v>
      </c>
      <c r="R757">
        <f>B758/Target1[[#This Row],[Target Price]]-1</f>
        <v>3.1086273140062959E-2</v>
      </c>
    </row>
    <row r="758" spans="1:18">
      <c r="A758" s="96">
        <v>44384</v>
      </c>
      <c r="B758" s="101">
        <v>29.52</v>
      </c>
      <c r="C758" s="4">
        <f t="shared" si="33"/>
        <v>3.0612880622248151E-2</v>
      </c>
      <c r="D758" s="4">
        <f>IFERROR(Target1[[#This Row],[Target Return]]+1,"-")</f>
        <v>1.0306128806222481</v>
      </c>
      <c r="E758" s="6">
        <f>B758-MAX($B$2:B758)</f>
        <v>-22.080000000000002</v>
      </c>
      <c r="F758" s="80">
        <f t="shared" si="34"/>
        <v>231</v>
      </c>
      <c r="G758" s="77">
        <f>Target1[[#This Row],[Target Drawdown]]/MAX($B$2:B758)</f>
        <v>-0.4279069767441861</v>
      </c>
      <c r="H758" s="1" t="str">
        <f>IF(SUM(COUNTIF(Benchmark1[Benchmark '#1 Dates],Target1[[#This Row],[Target Dates]]),COUNTIF(Benchmark2[Benchmark '#2 Dates],Target1[[#This Row],[Target Dates]]))=2,"Pass","Fail")</f>
        <v>Pass</v>
      </c>
      <c r="I758" s="78">
        <f t="shared" si="35"/>
        <v>-22.080000000000002</v>
      </c>
      <c r="K758" s="72">
        <f>Target1[[#This Row],[Target Price]]/$B$2*100</f>
        <v>171.72774869109946</v>
      </c>
      <c r="R758">
        <f>B759/Target1[[#This Row],[Target Price]]-1</f>
        <v>-2.8455284552845517E-2</v>
      </c>
    </row>
    <row r="759" spans="1:18">
      <c r="A759" s="96">
        <v>44385</v>
      </c>
      <c r="B759" s="101">
        <v>28.68</v>
      </c>
      <c r="C759" s="4">
        <f t="shared" si="33"/>
        <v>-2.8867984000852127E-2</v>
      </c>
      <c r="D759" s="4">
        <f>IFERROR(Target1[[#This Row],[Target Return]]+1,"-")</f>
        <v>0.97113201599914789</v>
      </c>
      <c r="E759" s="6">
        <f>B759-MAX($B$2:B759)</f>
        <v>-22.92</v>
      </c>
      <c r="F759" s="80">
        <f t="shared" si="34"/>
        <v>232</v>
      </c>
      <c r="G759" s="77">
        <f>Target1[[#This Row],[Target Drawdown]]/MAX($B$2:B759)</f>
        <v>-0.44418604651162791</v>
      </c>
      <c r="H759" s="1" t="str">
        <f>IF(SUM(COUNTIF(Benchmark1[Benchmark '#1 Dates],Target1[[#This Row],[Target Dates]]),COUNTIF(Benchmark2[Benchmark '#2 Dates],Target1[[#This Row],[Target Dates]]))=2,"Pass","Fail")</f>
        <v>Pass</v>
      </c>
      <c r="I759" s="78">
        <f t="shared" si="35"/>
        <v>-22.92</v>
      </c>
      <c r="K759" s="72">
        <f>Target1[[#This Row],[Target Price]]/$B$2*100</f>
        <v>166.84118673647467</v>
      </c>
      <c r="R759">
        <f>B760/Target1[[#This Row],[Target Price]]-1</f>
        <v>4.1143654114365491E-2</v>
      </c>
    </row>
    <row r="760" spans="1:18">
      <c r="A760" s="96">
        <v>44386</v>
      </c>
      <c r="B760" s="101">
        <v>29.86</v>
      </c>
      <c r="C760" s="4">
        <f t="shared" si="33"/>
        <v>4.0319776379624792E-2</v>
      </c>
      <c r="D760" s="4">
        <f>IFERROR(Target1[[#This Row],[Target Return]]+1,"-")</f>
        <v>1.0403197763796248</v>
      </c>
      <c r="E760" s="6">
        <f>B760-MAX($B$2:B760)</f>
        <v>-21.740000000000002</v>
      </c>
      <c r="F760" s="80">
        <f t="shared" si="34"/>
        <v>233</v>
      </c>
      <c r="G760" s="77">
        <f>Target1[[#This Row],[Target Drawdown]]/MAX($B$2:B760)</f>
        <v>-0.42131782945736435</v>
      </c>
      <c r="H760" s="1" t="str">
        <f>IF(SUM(COUNTIF(Benchmark1[Benchmark '#1 Dates],Target1[[#This Row],[Target Dates]]),COUNTIF(Benchmark2[Benchmark '#2 Dates],Target1[[#This Row],[Target Dates]]))=2,"Pass","Fail")</f>
        <v>Pass</v>
      </c>
      <c r="I760" s="78">
        <f t="shared" si="35"/>
        <v>-21.740000000000002</v>
      </c>
      <c r="K760" s="72">
        <f>Target1[[#This Row],[Target Price]]/$B$2*100</f>
        <v>173.70564281559044</v>
      </c>
      <c r="R760">
        <f>B761/Target1[[#This Row],[Target Price]]-1</f>
        <v>3.348961821835239E-2</v>
      </c>
    </row>
    <row r="761" spans="1:18">
      <c r="A761" s="96">
        <v>44389</v>
      </c>
      <c r="B761" s="101">
        <v>30.86</v>
      </c>
      <c r="C761" s="4">
        <f t="shared" si="33"/>
        <v>3.2941054823970528E-2</v>
      </c>
      <c r="D761" s="4">
        <f>IFERROR(Target1[[#This Row],[Target Return]]+1,"-")</f>
        <v>1.0329410548239706</v>
      </c>
      <c r="E761" s="6">
        <f>B761-MAX($B$2:B761)</f>
        <v>-20.740000000000002</v>
      </c>
      <c r="F761" s="80">
        <f t="shared" si="34"/>
        <v>234</v>
      </c>
      <c r="G761" s="77">
        <f>Target1[[#This Row],[Target Drawdown]]/MAX($B$2:B761)</f>
        <v>-0.40193798449612406</v>
      </c>
      <c r="H761" s="1" t="str">
        <f>IF(SUM(COUNTIF(Benchmark1[Benchmark '#1 Dates],Target1[[#This Row],[Target Dates]]),COUNTIF(Benchmark2[Benchmark '#2 Dates],Target1[[#This Row],[Target Dates]]))=2,"Pass","Fail")</f>
        <v>Pass</v>
      </c>
      <c r="I761" s="78">
        <f t="shared" si="35"/>
        <v>-20.740000000000002</v>
      </c>
      <c r="K761" s="72">
        <f>Target1[[#This Row],[Target Price]]/$B$2*100</f>
        <v>179.52297847585803</v>
      </c>
      <c r="R761">
        <f>B762/Target1[[#This Row],[Target Price]]-1</f>
        <v>2.2034996759559222E-2</v>
      </c>
    </row>
    <row r="762" spans="1:18">
      <c r="A762" s="96">
        <v>44390</v>
      </c>
      <c r="B762" s="101">
        <v>31.54</v>
      </c>
      <c r="C762" s="4">
        <f t="shared" si="33"/>
        <v>2.1795734599877468E-2</v>
      </c>
      <c r="D762" s="4">
        <f>IFERROR(Target1[[#This Row],[Target Return]]+1,"-")</f>
        <v>1.0217957345998774</v>
      </c>
      <c r="E762" s="6">
        <f>B762-MAX($B$2:B762)</f>
        <v>-20.060000000000002</v>
      </c>
      <c r="F762" s="80">
        <f t="shared" si="34"/>
        <v>235</v>
      </c>
      <c r="G762" s="77">
        <f>Target1[[#This Row],[Target Drawdown]]/MAX($B$2:B762)</f>
        <v>-0.38875968992248067</v>
      </c>
      <c r="H762" s="1" t="str">
        <f>IF(SUM(COUNTIF(Benchmark1[Benchmark '#1 Dates],Target1[[#This Row],[Target Dates]]),COUNTIF(Benchmark2[Benchmark '#2 Dates],Target1[[#This Row],[Target Dates]]))=2,"Pass","Fail")</f>
        <v>Pass</v>
      </c>
      <c r="I762" s="78">
        <f t="shared" si="35"/>
        <v>-20.060000000000002</v>
      </c>
      <c r="K762" s="72">
        <f>Target1[[#This Row],[Target Price]]/$B$2*100</f>
        <v>183.47876672484</v>
      </c>
      <c r="R762">
        <f>B763/Target1[[#This Row],[Target Price]]-1</f>
        <v>-1.9657577679137561E-2</v>
      </c>
    </row>
    <row r="763" spans="1:18">
      <c r="A763" s="96">
        <v>44391</v>
      </c>
      <c r="B763" s="101">
        <v>30.92</v>
      </c>
      <c r="C763" s="4">
        <f t="shared" si="33"/>
        <v>-1.9853357815671071E-2</v>
      </c>
      <c r="D763" s="4">
        <f>IFERROR(Target1[[#This Row],[Target Return]]+1,"-")</f>
        <v>0.9801466421843289</v>
      </c>
      <c r="E763" s="6">
        <f>B763-MAX($B$2:B763)</f>
        <v>-20.68</v>
      </c>
      <c r="F763" s="80">
        <f t="shared" si="34"/>
        <v>236</v>
      </c>
      <c r="G763" s="77">
        <f>Target1[[#This Row],[Target Drawdown]]/MAX($B$2:B763)</f>
        <v>-0.40077519379844961</v>
      </c>
      <c r="H763" s="1" t="str">
        <f>IF(SUM(COUNTIF(Benchmark1[Benchmark '#1 Dates],Target1[[#This Row],[Target Dates]]),COUNTIF(Benchmark2[Benchmark '#2 Dates],Target1[[#This Row],[Target Dates]]))=2,"Pass","Fail")</f>
        <v>Pass</v>
      </c>
      <c r="I763" s="78">
        <f t="shared" si="35"/>
        <v>-20.68</v>
      </c>
      <c r="K763" s="72">
        <f>Target1[[#This Row],[Target Price]]/$B$2*100</f>
        <v>179.8720186154741</v>
      </c>
      <c r="R763">
        <f>B764/Target1[[#This Row],[Target Price]]-1</f>
        <v>7.115135834411257E-3</v>
      </c>
    </row>
    <row r="764" spans="1:18">
      <c r="A764" s="96">
        <v>44392</v>
      </c>
      <c r="B764" s="101">
        <v>31.14</v>
      </c>
      <c r="C764" s="4">
        <f t="shared" si="33"/>
        <v>7.0899426866309319E-3</v>
      </c>
      <c r="D764" s="4">
        <f>IFERROR(Target1[[#This Row],[Target Return]]+1,"-")</f>
        <v>1.0070899426866309</v>
      </c>
      <c r="E764" s="6">
        <f>B764-MAX($B$2:B764)</f>
        <v>-20.46</v>
      </c>
      <c r="F764" s="80">
        <f t="shared" si="34"/>
        <v>237</v>
      </c>
      <c r="G764" s="77">
        <f>Target1[[#This Row],[Target Drawdown]]/MAX($B$2:B764)</f>
        <v>-0.39651162790697675</v>
      </c>
      <c r="H764" s="1" t="str">
        <f>IF(SUM(COUNTIF(Benchmark1[Benchmark '#1 Dates],Target1[[#This Row],[Target Dates]]),COUNTIF(Benchmark2[Benchmark '#2 Dates],Target1[[#This Row],[Target Dates]]))=2,"Pass","Fail")</f>
        <v>Pass</v>
      </c>
      <c r="I764" s="78">
        <f t="shared" si="35"/>
        <v>-20.46</v>
      </c>
      <c r="K764" s="72">
        <f>Target1[[#This Row],[Target Price]]/$B$2*100</f>
        <v>181.15183246073298</v>
      </c>
      <c r="R764">
        <f>B765/Target1[[#This Row],[Target Price]]-1</f>
        <v>1.5735388567758468E-2</v>
      </c>
    </row>
    <row r="765" spans="1:18">
      <c r="A765" s="96">
        <v>44393</v>
      </c>
      <c r="B765" s="101">
        <v>31.63</v>
      </c>
      <c r="C765" s="4">
        <f t="shared" si="33"/>
        <v>1.561287091170516E-2</v>
      </c>
      <c r="D765" s="4">
        <f>IFERROR(Target1[[#This Row],[Target Return]]+1,"-")</f>
        <v>1.0156128709117052</v>
      </c>
      <c r="E765" s="6">
        <f>B765-MAX($B$2:B765)</f>
        <v>-19.970000000000002</v>
      </c>
      <c r="F765" s="80">
        <f t="shared" si="34"/>
        <v>238</v>
      </c>
      <c r="G765" s="77">
        <f>Target1[[#This Row],[Target Drawdown]]/MAX($B$2:B765)</f>
        <v>-0.387015503875969</v>
      </c>
      <c r="H765" s="1" t="str">
        <f>IF(SUM(COUNTIF(Benchmark1[Benchmark '#1 Dates],Target1[[#This Row],[Target Dates]]),COUNTIF(Benchmark2[Benchmark '#2 Dates],Target1[[#This Row],[Target Dates]]))=2,"Pass","Fail")</f>
        <v>Pass</v>
      </c>
      <c r="I765" s="78">
        <f t="shared" si="35"/>
        <v>-19.970000000000002</v>
      </c>
      <c r="K765" s="72">
        <f>Target1[[#This Row],[Target Price]]/$B$2*100</f>
        <v>184.00232693426409</v>
      </c>
      <c r="R765">
        <f>B766/Target1[[#This Row],[Target Price]]-1</f>
        <v>6.0701865317736248E-2</v>
      </c>
    </row>
    <row r="766" spans="1:18">
      <c r="A766" s="96">
        <v>44396</v>
      </c>
      <c r="B766" s="101">
        <v>33.549999999999997</v>
      </c>
      <c r="C766" s="4">
        <f t="shared" si="33"/>
        <v>5.8930826100133255E-2</v>
      </c>
      <c r="D766" s="4">
        <f>IFERROR(Target1[[#This Row],[Target Return]]+1,"-")</f>
        <v>1.0589308261001333</v>
      </c>
      <c r="E766" s="6">
        <f>B766-MAX($B$2:B766)</f>
        <v>-18.050000000000004</v>
      </c>
      <c r="F766" s="80">
        <f t="shared" si="34"/>
        <v>239</v>
      </c>
      <c r="G766" s="77">
        <f>Target1[[#This Row],[Target Drawdown]]/MAX($B$2:B766)</f>
        <v>-0.34980620155038766</v>
      </c>
      <c r="H766" s="1" t="str">
        <f>IF(SUM(COUNTIF(Benchmark1[Benchmark '#1 Dates],Target1[[#This Row],[Target Dates]]),COUNTIF(Benchmark2[Benchmark '#2 Dates],Target1[[#This Row],[Target Dates]]))=2,"Pass","Fail")</f>
        <v>Pass</v>
      </c>
      <c r="I766" s="78">
        <f t="shared" si="35"/>
        <v>-18.050000000000004</v>
      </c>
      <c r="K766" s="72">
        <f>Target1[[#This Row],[Target Price]]/$B$2*100</f>
        <v>195.17161140197788</v>
      </c>
      <c r="R766">
        <f>B767/Target1[[#This Row],[Target Price]]-1</f>
        <v>-4.6199701937406745E-2</v>
      </c>
    </row>
    <row r="767" spans="1:18">
      <c r="A767" s="96">
        <v>44397</v>
      </c>
      <c r="B767" s="101">
        <v>32</v>
      </c>
      <c r="C767" s="4">
        <f t="shared" si="33"/>
        <v>-4.7300960617964134E-2</v>
      </c>
      <c r="D767" s="4">
        <f>IFERROR(Target1[[#This Row],[Target Return]]+1,"-")</f>
        <v>0.95269903938203582</v>
      </c>
      <c r="E767" s="6">
        <f>B767-MAX($B$2:B767)</f>
        <v>-19.600000000000001</v>
      </c>
      <c r="F767" s="80">
        <f t="shared" si="34"/>
        <v>240</v>
      </c>
      <c r="G767" s="77">
        <f>Target1[[#This Row],[Target Drawdown]]/MAX($B$2:B767)</f>
        <v>-0.37984496124031009</v>
      </c>
      <c r="H767" s="1" t="str">
        <f>IF(SUM(COUNTIF(Benchmark1[Benchmark '#1 Dates],Target1[[#This Row],[Target Dates]]),COUNTIF(Benchmark2[Benchmark '#2 Dates],Target1[[#This Row],[Target Dates]]))=2,"Pass","Fail")</f>
        <v>Pass</v>
      </c>
      <c r="I767" s="78">
        <f t="shared" si="35"/>
        <v>-19.600000000000001</v>
      </c>
      <c r="K767" s="72">
        <f>Target1[[#This Row],[Target Price]]/$B$2*100</f>
        <v>186.1547411285631</v>
      </c>
      <c r="R767">
        <f>B768/Target1[[#This Row],[Target Price]]-1</f>
        <v>5.6249999999999911E-3</v>
      </c>
    </row>
    <row r="768" spans="1:18">
      <c r="A768" s="96">
        <v>44398</v>
      </c>
      <c r="B768" s="101">
        <v>32.18</v>
      </c>
      <c r="C768" s="4">
        <f t="shared" si="33"/>
        <v>5.6092387645105945E-3</v>
      </c>
      <c r="D768" s="4">
        <f>IFERROR(Target1[[#This Row],[Target Return]]+1,"-")</f>
        <v>1.0056092387645106</v>
      </c>
      <c r="E768" s="6">
        <f>B768-MAX($B$2:B768)</f>
        <v>-19.420000000000002</v>
      </c>
      <c r="F768" s="80">
        <f t="shared" si="34"/>
        <v>241</v>
      </c>
      <c r="G768" s="77">
        <f>Target1[[#This Row],[Target Drawdown]]/MAX($B$2:B768)</f>
        <v>-0.37635658914728687</v>
      </c>
      <c r="H768" s="1" t="str">
        <f>IF(SUM(COUNTIF(Benchmark1[Benchmark '#1 Dates],Target1[[#This Row],[Target Dates]]),COUNTIF(Benchmark2[Benchmark '#2 Dates],Target1[[#This Row],[Target Dates]]))=2,"Pass","Fail")</f>
        <v>Pass</v>
      </c>
      <c r="I768" s="78">
        <f t="shared" si="35"/>
        <v>-19.420000000000002</v>
      </c>
      <c r="K768" s="72">
        <f>Target1[[#This Row],[Target Price]]/$B$2*100</f>
        <v>187.20186154741128</v>
      </c>
      <c r="R768">
        <f>B769/Target1[[#This Row],[Target Price]]-1</f>
        <v>-2.6724673710379121E-2</v>
      </c>
    </row>
    <row r="769" spans="1:18">
      <c r="A769" s="96">
        <v>44399</v>
      </c>
      <c r="B769" s="101">
        <v>31.32</v>
      </c>
      <c r="C769" s="4">
        <f t="shared" si="33"/>
        <v>-2.7088270441634803E-2</v>
      </c>
      <c r="D769" s="4">
        <f>IFERROR(Target1[[#This Row],[Target Return]]+1,"-")</f>
        <v>0.97291172955836525</v>
      </c>
      <c r="E769" s="6">
        <f>B769-MAX($B$2:B769)</f>
        <v>-20.28</v>
      </c>
      <c r="F769" s="80">
        <f t="shared" si="34"/>
        <v>242</v>
      </c>
      <c r="G769" s="77">
        <f>Target1[[#This Row],[Target Drawdown]]/MAX($B$2:B769)</f>
        <v>-0.39302325581395348</v>
      </c>
      <c r="H769" s="1" t="str">
        <f>IF(SUM(COUNTIF(Benchmark1[Benchmark '#1 Dates],Target1[[#This Row],[Target Dates]]),COUNTIF(Benchmark2[Benchmark '#2 Dates],Target1[[#This Row],[Target Dates]]))=2,"Pass","Fail")</f>
        <v>Pass</v>
      </c>
      <c r="I769" s="78">
        <f t="shared" si="35"/>
        <v>-20.28</v>
      </c>
      <c r="K769" s="72">
        <f>Target1[[#This Row],[Target Price]]/$B$2*100</f>
        <v>182.19895287958116</v>
      </c>
      <c r="R769">
        <f>B770/Target1[[#This Row],[Target Price]]-1</f>
        <v>-1.0855683269476391E-2</v>
      </c>
    </row>
    <row r="770" spans="1:18">
      <c r="A770" s="96">
        <v>44400</v>
      </c>
      <c r="B770" s="101">
        <v>30.98</v>
      </c>
      <c r="C770" s="4">
        <f t="shared" ref="C770:C833" si="36">IFERROR(IF(B770="","-",LN(B770/B769)),"-")</f>
        <v>-1.0915036133879797E-2</v>
      </c>
      <c r="D770" s="4">
        <f>IFERROR(Target1[[#This Row],[Target Return]]+1,"-")</f>
        <v>0.98908496386612021</v>
      </c>
      <c r="E770" s="6">
        <f>B770-MAX($B$2:B770)</f>
        <v>-20.62</v>
      </c>
      <c r="F770" s="80">
        <f t="shared" ref="F770:F833" si="37">IF(E770=0,0,F769+1)</f>
        <v>243</v>
      </c>
      <c r="G770" s="77">
        <f>Target1[[#This Row],[Target Drawdown]]/MAX($B$2:B770)</f>
        <v>-0.39961240310077523</v>
      </c>
      <c r="H770" s="1" t="str">
        <f>IF(SUM(COUNTIF(Benchmark1[Benchmark '#1 Dates],Target1[[#This Row],[Target Dates]]),COUNTIF(Benchmark2[Benchmark '#2 Dates],Target1[[#This Row],[Target Dates]]))=2,"Pass","Fail")</f>
        <v>Pass</v>
      </c>
      <c r="I770" s="78">
        <f t="shared" ref="I770:I833" si="38">$E$2+E770</f>
        <v>-20.62</v>
      </c>
      <c r="K770" s="72">
        <f>Target1[[#This Row],[Target Price]]/$B$2*100</f>
        <v>180.22105875509016</v>
      </c>
      <c r="R770">
        <f>B771/Target1[[#This Row],[Target Price]]-1</f>
        <v>-2.2595222724338226E-2</v>
      </c>
    </row>
    <row r="771" spans="1:18">
      <c r="A771" s="96">
        <v>44403</v>
      </c>
      <c r="B771" s="101">
        <v>30.28</v>
      </c>
      <c r="C771" s="4">
        <f t="shared" si="36"/>
        <v>-2.2854406419474487E-2</v>
      </c>
      <c r="D771" s="4">
        <f>IFERROR(Target1[[#This Row],[Target Return]]+1,"-")</f>
        <v>0.97714559358052555</v>
      </c>
      <c r="E771" s="6">
        <f>B771-MAX($B$2:B771)</f>
        <v>-21.32</v>
      </c>
      <c r="F771" s="80">
        <f t="shared" si="37"/>
        <v>244</v>
      </c>
      <c r="G771" s="77">
        <f>Target1[[#This Row],[Target Drawdown]]/MAX($B$2:B771)</f>
        <v>-0.41317829457364341</v>
      </c>
      <c r="H771" s="1" t="str">
        <f>IF(SUM(COUNTIF(Benchmark1[Benchmark '#1 Dates],Target1[[#This Row],[Target Dates]]),COUNTIF(Benchmark2[Benchmark '#2 Dates],Target1[[#This Row],[Target Dates]]))=2,"Pass","Fail")</f>
        <v>Pass</v>
      </c>
      <c r="I771" s="78">
        <f t="shared" si="38"/>
        <v>-21.32</v>
      </c>
      <c r="K771" s="72">
        <f>Target1[[#This Row],[Target Price]]/$B$2*100</f>
        <v>176.14892379290282</v>
      </c>
      <c r="R771">
        <f>B772/Target1[[#This Row],[Target Price]]-1</f>
        <v>-3.3025099075297271E-2</v>
      </c>
    </row>
    <row r="772" spans="1:18">
      <c r="A772" s="96">
        <v>44404</v>
      </c>
      <c r="B772" s="101">
        <v>29.28</v>
      </c>
      <c r="C772" s="4">
        <f t="shared" si="36"/>
        <v>-3.3582739476137262E-2</v>
      </c>
      <c r="D772" s="4">
        <f>IFERROR(Target1[[#This Row],[Target Return]]+1,"-")</f>
        <v>0.96641726052386279</v>
      </c>
      <c r="E772" s="6">
        <f>B772-MAX($B$2:B772)</f>
        <v>-22.32</v>
      </c>
      <c r="F772" s="80">
        <f t="shared" si="37"/>
        <v>245</v>
      </c>
      <c r="G772" s="77">
        <f>Target1[[#This Row],[Target Drawdown]]/MAX($B$2:B772)</f>
        <v>-0.4325581395348837</v>
      </c>
      <c r="H772" s="1" t="str">
        <f>IF(SUM(COUNTIF(Benchmark1[Benchmark '#1 Dates],Target1[[#This Row],[Target Dates]]),COUNTIF(Benchmark2[Benchmark '#2 Dates],Target1[[#This Row],[Target Dates]]))=2,"Pass","Fail")</f>
        <v>Pass</v>
      </c>
      <c r="I772" s="78">
        <f t="shared" si="38"/>
        <v>-22.32</v>
      </c>
      <c r="K772" s="72">
        <f>Target1[[#This Row],[Target Price]]/$B$2*100</f>
        <v>170.33158813263526</v>
      </c>
      <c r="R772">
        <f>B773/Target1[[#This Row],[Target Price]]-1</f>
        <v>3.0396174863388081E-2</v>
      </c>
    </row>
    <row r="773" spans="1:18">
      <c r="A773" s="96">
        <v>44405</v>
      </c>
      <c r="B773" s="101">
        <v>30.17</v>
      </c>
      <c r="C773" s="4">
        <f t="shared" si="36"/>
        <v>2.9943364077859014E-2</v>
      </c>
      <c r="D773" s="4">
        <f>IFERROR(Target1[[#This Row],[Target Return]]+1,"-")</f>
        <v>1.029943364077859</v>
      </c>
      <c r="E773" s="6">
        <f>B773-MAX($B$2:B773)</f>
        <v>-21.43</v>
      </c>
      <c r="F773" s="80">
        <f t="shared" si="37"/>
        <v>246</v>
      </c>
      <c r="G773" s="77">
        <f>Target1[[#This Row],[Target Drawdown]]/MAX($B$2:B773)</f>
        <v>-0.41531007751937982</v>
      </c>
      <c r="H773" s="1" t="str">
        <f>IF(SUM(COUNTIF(Benchmark1[Benchmark '#1 Dates],Target1[[#This Row],[Target Dates]]),COUNTIF(Benchmark2[Benchmark '#2 Dates],Target1[[#This Row],[Target Dates]]))=2,"Pass","Fail")</f>
        <v>Pass</v>
      </c>
      <c r="I773" s="78">
        <f t="shared" si="38"/>
        <v>-21.43</v>
      </c>
      <c r="K773" s="72">
        <f>Target1[[#This Row],[Target Price]]/$B$2*100</f>
        <v>175.5090168702734</v>
      </c>
      <c r="R773">
        <f>B774/Target1[[#This Row],[Target Price]]-1</f>
        <v>1.2595293337752667E-2</v>
      </c>
    </row>
    <row r="774" spans="1:18">
      <c r="A774" s="96">
        <v>44406</v>
      </c>
      <c r="B774" s="101">
        <v>30.55</v>
      </c>
      <c r="C774" s="4">
        <f t="shared" si="36"/>
        <v>1.2516632446634538E-2</v>
      </c>
      <c r="D774" s="4">
        <f>IFERROR(Target1[[#This Row],[Target Return]]+1,"-")</f>
        <v>1.0125166324466346</v>
      </c>
      <c r="E774" s="6">
        <f>B774-MAX($B$2:B774)</f>
        <v>-21.05</v>
      </c>
      <c r="F774" s="80">
        <f t="shared" si="37"/>
        <v>247</v>
      </c>
      <c r="G774" s="77">
        <f>Target1[[#This Row],[Target Drawdown]]/MAX($B$2:B774)</f>
        <v>-0.40794573643410853</v>
      </c>
      <c r="H774" s="1" t="str">
        <f>IF(SUM(COUNTIF(Benchmark1[Benchmark '#1 Dates],Target1[[#This Row],[Target Dates]]),COUNTIF(Benchmark2[Benchmark '#2 Dates],Target1[[#This Row],[Target Dates]]))=2,"Pass","Fail")</f>
        <v>Pass</v>
      </c>
      <c r="I774" s="78">
        <f t="shared" si="38"/>
        <v>-21.05</v>
      </c>
      <c r="K774" s="72">
        <f>Target1[[#This Row],[Target Price]]/$B$2*100</f>
        <v>177.71960442117509</v>
      </c>
      <c r="R774">
        <f>B775/Target1[[#This Row],[Target Price]]-1</f>
        <v>3.6006546644844484E-3</v>
      </c>
    </row>
    <row r="775" spans="1:18">
      <c r="A775" s="96">
        <v>44407</v>
      </c>
      <c r="B775" s="101">
        <v>30.66</v>
      </c>
      <c r="C775" s="4">
        <f t="shared" si="36"/>
        <v>3.5941878260637343E-3</v>
      </c>
      <c r="D775" s="4">
        <f>IFERROR(Target1[[#This Row],[Target Return]]+1,"-")</f>
        <v>1.0035941878260637</v>
      </c>
      <c r="E775" s="6">
        <f>B775-MAX($B$2:B775)</f>
        <v>-20.94</v>
      </c>
      <c r="F775" s="80">
        <f t="shared" si="37"/>
        <v>248</v>
      </c>
      <c r="G775" s="77">
        <f>Target1[[#This Row],[Target Drawdown]]/MAX($B$2:B775)</f>
        <v>-0.40581395348837213</v>
      </c>
      <c r="H775" s="1" t="str">
        <f>IF(SUM(COUNTIF(Benchmark1[Benchmark '#1 Dates],Target1[[#This Row],[Target Dates]]),COUNTIF(Benchmark2[Benchmark '#2 Dates],Target1[[#This Row],[Target Dates]]))=2,"Pass","Fail")</f>
        <v>Pass</v>
      </c>
      <c r="I775" s="78">
        <f t="shared" si="38"/>
        <v>-20.94</v>
      </c>
      <c r="K775" s="72">
        <f>Target1[[#This Row],[Target Price]]/$B$2*100</f>
        <v>178.35951134380451</v>
      </c>
      <c r="R775">
        <f>B776/Target1[[#This Row],[Target Price]]-1</f>
        <v>1.6307893020222064E-3</v>
      </c>
    </row>
    <row r="776" spans="1:18">
      <c r="A776" s="96">
        <v>44410</v>
      </c>
      <c r="B776" s="101">
        <v>30.71</v>
      </c>
      <c r="C776" s="4">
        <f t="shared" si="36"/>
        <v>1.6294610090629605E-3</v>
      </c>
      <c r="D776" s="4">
        <f>IFERROR(Target1[[#This Row],[Target Return]]+1,"-")</f>
        <v>1.001629461009063</v>
      </c>
      <c r="E776" s="6">
        <f>B776-MAX($B$2:B776)</f>
        <v>-20.89</v>
      </c>
      <c r="F776" s="80">
        <f t="shared" si="37"/>
        <v>249</v>
      </c>
      <c r="G776" s="77">
        <f>Target1[[#This Row],[Target Drawdown]]/MAX($B$2:B776)</f>
        <v>-0.40484496124031005</v>
      </c>
      <c r="H776" s="1" t="str">
        <f>IF(SUM(COUNTIF(Benchmark1[Benchmark '#1 Dates],Target1[[#This Row],[Target Dates]]),COUNTIF(Benchmark2[Benchmark '#2 Dates],Target1[[#This Row],[Target Dates]]))=2,"Pass","Fail")</f>
        <v>Pass</v>
      </c>
      <c r="I776" s="78">
        <f t="shared" si="38"/>
        <v>-20.89</v>
      </c>
      <c r="K776" s="72">
        <f>Target1[[#This Row],[Target Price]]/$B$2*100</f>
        <v>178.65037812681791</v>
      </c>
      <c r="R776">
        <f>B777/Target1[[#This Row],[Target Price]]-1</f>
        <v>1.7909475740801151E-2</v>
      </c>
    </row>
    <row r="777" spans="1:18">
      <c r="A777" s="96">
        <v>44411</v>
      </c>
      <c r="B777" s="101">
        <v>31.26</v>
      </c>
      <c r="C777" s="4">
        <f t="shared" si="36"/>
        <v>1.7750990540599657E-2</v>
      </c>
      <c r="D777" s="4">
        <f>IFERROR(Target1[[#This Row],[Target Return]]+1,"-")</f>
        <v>1.0177509905405997</v>
      </c>
      <c r="E777" s="6">
        <f>B777-MAX($B$2:B777)</f>
        <v>-20.34</v>
      </c>
      <c r="F777" s="80">
        <f t="shared" si="37"/>
        <v>250</v>
      </c>
      <c r="G777" s="77">
        <f>Target1[[#This Row],[Target Drawdown]]/MAX($B$2:B777)</f>
        <v>-0.39418604651162792</v>
      </c>
      <c r="H777" s="1" t="str">
        <f>IF(SUM(COUNTIF(Benchmark1[Benchmark '#1 Dates],Target1[[#This Row],[Target Dates]]),COUNTIF(Benchmark2[Benchmark '#2 Dates],Target1[[#This Row],[Target Dates]]))=2,"Pass","Fail")</f>
        <v>Pass</v>
      </c>
      <c r="I777" s="78">
        <f t="shared" si="38"/>
        <v>-20.34</v>
      </c>
      <c r="K777" s="72">
        <f>Target1[[#This Row],[Target Price]]/$B$2*100</f>
        <v>181.84991273996508</v>
      </c>
      <c r="R777">
        <f>B778/Target1[[#This Row],[Target Price]]-1</f>
        <v>-3.1669865642994344E-2</v>
      </c>
    </row>
    <row r="778" spans="1:18">
      <c r="A778" s="96">
        <v>44412</v>
      </c>
      <c r="B778" s="101">
        <v>30.27</v>
      </c>
      <c r="C778" s="4">
        <f t="shared" si="36"/>
        <v>-3.2182201959703373E-2</v>
      </c>
      <c r="D778" s="4">
        <f>IFERROR(Target1[[#This Row],[Target Return]]+1,"-")</f>
        <v>0.96781779804029666</v>
      </c>
      <c r="E778" s="6">
        <f>B778-MAX($B$2:B778)</f>
        <v>-21.330000000000002</v>
      </c>
      <c r="F778" s="80">
        <f t="shared" si="37"/>
        <v>251</v>
      </c>
      <c r="G778" s="77">
        <f>Target1[[#This Row],[Target Drawdown]]/MAX($B$2:B778)</f>
        <v>-0.41337209302325584</v>
      </c>
      <c r="H778" s="1" t="str">
        <f>IF(SUM(COUNTIF(Benchmark1[Benchmark '#1 Dates],Target1[[#This Row],[Target Dates]]),COUNTIF(Benchmark2[Benchmark '#2 Dates],Target1[[#This Row],[Target Dates]]))=2,"Pass","Fail")</f>
        <v>Pass</v>
      </c>
      <c r="I778" s="78">
        <f t="shared" si="38"/>
        <v>-21.330000000000002</v>
      </c>
      <c r="K778" s="72">
        <f>Target1[[#This Row],[Target Price]]/$B$2*100</f>
        <v>176.09075043630017</v>
      </c>
      <c r="R778">
        <f>B779/Target1[[#This Row],[Target Price]]-1</f>
        <v>4.9554013875123815E-3</v>
      </c>
    </row>
    <row r="779" spans="1:18">
      <c r="A779" s="96">
        <v>44413</v>
      </c>
      <c r="B779" s="101">
        <v>30.42</v>
      </c>
      <c r="C779" s="4">
        <f t="shared" si="36"/>
        <v>4.9431637975195092E-3</v>
      </c>
      <c r="D779" s="4">
        <f>IFERROR(Target1[[#This Row],[Target Return]]+1,"-")</f>
        <v>1.0049431637975195</v>
      </c>
      <c r="E779" s="6">
        <f>B779-MAX($B$2:B779)</f>
        <v>-21.18</v>
      </c>
      <c r="F779" s="80">
        <f t="shared" si="37"/>
        <v>252</v>
      </c>
      <c r="G779" s="77">
        <f>Target1[[#This Row],[Target Drawdown]]/MAX($B$2:B779)</f>
        <v>-0.41046511627906973</v>
      </c>
      <c r="H779" s="1" t="str">
        <f>IF(SUM(COUNTIF(Benchmark1[Benchmark '#1 Dates],Target1[[#This Row],[Target Dates]]),COUNTIF(Benchmark2[Benchmark '#2 Dates],Target1[[#This Row],[Target Dates]]))=2,"Pass","Fail")</f>
        <v>Pass</v>
      </c>
      <c r="I779" s="78">
        <f t="shared" si="38"/>
        <v>-21.18</v>
      </c>
      <c r="K779" s="72">
        <f>Target1[[#This Row],[Target Price]]/$B$2*100</f>
        <v>176.96335078534031</v>
      </c>
      <c r="R779">
        <f>B780/Target1[[#This Row],[Target Price]]-1</f>
        <v>-1.2820512820512886E-2</v>
      </c>
    </row>
    <row r="780" spans="1:18">
      <c r="A780" s="96">
        <v>44414</v>
      </c>
      <c r="B780" s="101">
        <v>30.03</v>
      </c>
      <c r="C780" s="4">
        <f t="shared" si="36"/>
        <v>-1.2903404835907954E-2</v>
      </c>
      <c r="D780" s="4">
        <f>IFERROR(Target1[[#This Row],[Target Return]]+1,"-")</f>
        <v>0.98709659516409209</v>
      </c>
      <c r="E780" s="6">
        <f>B780-MAX($B$2:B780)</f>
        <v>-21.57</v>
      </c>
      <c r="F780" s="80">
        <f t="shared" si="37"/>
        <v>253</v>
      </c>
      <c r="G780" s="77">
        <f>Target1[[#This Row],[Target Drawdown]]/MAX($B$2:B780)</f>
        <v>-0.4180232558139535</v>
      </c>
      <c r="H780" s="1" t="str">
        <f>IF(SUM(COUNTIF(Benchmark1[Benchmark '#1 Dates],Target1[[#This Row],[Target Dates]]),COUNTIF(Benchmark2[Benchmark '#2 Dates],Target1[[#This Row],[Target Dates]]))=2,"Pass","Fail")</f>
        <v>Pass</v>
      </c>
      <c r="I780" s="78">
        <f t="shared" si="38"/>
        <v>-21.57</v>
      </c>
      <c r="K780" s="72">
        <f>Target1[[#This Row],[Target Price]]/$B$2*100</f>
        <v>174.69458987783594</v>
      </c>
      <c r="R780">
        <f>B781/Target1[[#This Row],[Target Price]]-1</f>
        <v>2.397602397602383E-2</v>
      </c>
    </row>
    <row r="781" spans="1:18">
      <c r="A781" s="96">
        <v>44417</v>
      </c>
      <c r="B781" s="101">
        <v>30.75</v>
      </c>
      <c r="C781" s="4">
        <f t="shared" si="36"/>
        <v>2.3693112257287825E-2</v>
      </c>
      <c r="D781" s="4">
        <f>IFERROR(Target1[[#This Row],[Target Return]]+1,"-")</f>
        <v>1.0236931122572879</v>
      </c>
      <c r="E781" s="6">
        <f>B781-MAX($B$2:B781)</f>
        <v>-20.85</v>
      </c>
      <c r="F781" s="80">
        <f t="shared" si="37"/>
        <v>254</v>
      </c>
      <c r="G781" s="77">
        <f>Target1[[#This Row],[Target Drawdown]]/MAX($B$2:B781)</f>
        <v>-0.40406976744186046</v>
      </c>
      <c r="H781" s="1" t="str">
        <f>IF(SUM(COUNTIF(Benchmark1[Benchmark '#1 Dates],Target1[[#This Row],[Target Dates]]),COUNTIF(Benchmark2[Benchmark '#2 Dates],Target1[[#This Row],[Target Dates]]))=2,"Pass","Fail")</f>
        <v>Pass</v>
      </c>
      <c r="I781" s="78">
        <f t="shared" si="38"/>
        <v>-20.85</v>
      </c>
      <c r="K781" s="72">
        <f>Target1[[#This Row],[Target Price]]/$B$2*100</f>
        <v>178.8830715532286</v>
      </c>
      <c r="R781">
        <f>B782/Target1[[#This Row],[Target Price]]-1</f>
        <v>-1.6260162601626771E-3</v>
      </c>
    </row>
    <row r="782" spans="1:18">
      <c r="A782" s="96">
        <v>44418</v>
      </c>
      <c r="B782" s="101">
        <v>30.7</v>
      </c>
      <c r="C782" s="4">
        <f t="shared" si="36"/>
        <v>-1.6273396593754824E-3</v>
      </c>
      <c r="D782" s="4">
        <f>IFERROR(Target1[[#This Row],[Target Return]]+1,"-")</f>
        <v>0.99837266034062455</v>
      </c>
      <c r="E782" s="6">
        <f>B782-MAX($B$2:B782)</f>
        <v>-20.900000000000002</v>
      </c>
      <c r="F782" s="80">
        <f t="shared" si="37"/>
        <v>255</v>
      </c>
      <c r="G782" s="77">
        <f>Target1[[#This Row],[Target Drawdown]]/MAX($B$2:B782)</f>
        <v>-0.40503875968992253</v>
      </c>
      <c r="H782" s="1" t="str">
        <f>IF(SUM(COUNTIF(Benchmark1[Benchmark '#1 Dates],Target1[[#This Row],[Target Dates]]),COUNTIF(Benchmark2[Benchmark '#2 Dates],Target1[[#This Row],[Target Dates]]))=2,"Pass","Fail")</f>
        <v>Pass</v>
      </c>
      <c r="I782" s="78">
        <f t="shared" si="38"/>
        <v>-20.900000000000002</v>
      </c>
      <c r="K782" s="72">
        <f>Target1[[#This Row],[Target Price]]/$B$2*100</f>
        <v>178.59220477021523</v>
      </c>
      <c r="R782">
        <f>B783/Target1[[#This Row],[Target Price]]-1</f>
        <v>7.7850162866449635E-2</v>
      </c>
    </row>
    <row r="783" spans="1:18">
      <c r="A783" s="96">
        <v>44419</v>
      </c>
      <c r="B783" s="101">
        <v>33.090000000000003</v>
      </c>
      <c r="C783" s="4">
        <f t="shared" si="36"/>
        <v>7.4968467340369438E-2</v>
      </c>
      <c r="D783" s="4">
        <f>IFERROR(Target1[[#This Row],[Target Return]]+1,"-")</f>
        <v>1.0749684673403694</v>
      </c>
      <c r="E783" s="6">
        <f>B783-MAX($B$2:B783)</f>
        <v>-18.509999999999998</v>
      </c>
      <c r="F783" s="80">
        <f t="shared" si="37"/>
        <v>256</v>
      </c>
      <c r="G783" s="77">
        <f>Target1[[#This Row],[Target Drawdown]]/MAX($B$2:B783)</f>
        <v>-0.35872093023255808</v>
      </c>
      <c r="H783" s="1" t="str">
        <f>IF(SUM(COUNTIF(Benchmark1[Benchmark '#1 Dates],Target1[[#This Row],[Target Dates]]),COUNTIF(Benchmark2[Benchmark '#2 Dates],Target1[[#This Row],[Target Dates]]))=2,"Pass","Fail")</f>
        <v>Pass</v>
      </c>
      <c r="I783" s="78">
        <f t="shared" si="38"/>
        <v>-18.509999999999998</v>
      </c>
      <c r="K783" s="72">
        <f>Target1[[#This Row],[Target Price]]/$B$2*100</f>
        <v>192.49563699825481</v>
      </c>
      <c r="R783">
        <f>B784/Target1[[#This Row],[Target Price]]-1</f>
        <v>9.0661831368992196E-3</v>
      </c>
    </row>
    <row r="784" spans="1:18">
      <c r="A784" s="96">
        <v>44420</v>
      </c>
      <c r="B784" s="101">
        <v>33.39</v>
      </c>
      <c r="C784" s="4">
        <f t="shared" si="36"/>
        <v>9.0253320220422158E-3</v>
      </c>
      <c r="D784" s="4">
        <f>IFERROR(Target1[[#This Row],[Target Return]]+1,"-")</f>
        <v>1.0090253320220421</v>
      </c>
      <c r="E784" s="6">
        <f>B784-MAX($B$2:B784)</f>
        <v>-18.21</v>
      </c>
      <c r="F784" s="80">
        <f t="shared" si="37"/>
        <v>257</v>
      </c>
      <c r="G784" s="77">
        <f>Target1[[#This Row],[Target Drawdown]]/MAX($B$2:B784)</f>
        <v>-0.35290697674418603</v>
      </c>
      <c r="H784" s="1" t="str">
        <f>IF(SUM(COUNTIF(Benchmark1[Benchmark '#1 Dates],Target1[[#This Row],[Target Dates]]),COUNTIF(Benchmark2[Benchmark '#2 Dates],Target1[[#This Row],[Target Dates]]))=2,"Pass","Fail")</f>
        <v>Pass</v>
      </c>
      <c r="I784" s="78">
        <f t="shared" si="38"/>
        <v>-18.21</v>
      </c>
      <c r="K784" s="72">
        <f>Target1[[#This Row],[Target Price]]/$B$2*100</f>
        <v>194.24083769633506</v>
      </c>
      <c r="R784">
        <f>B785/Target1[[#This Row],[Target Price]]-1</f>
        <v>6.678646301287805E-2</v>
      </c>
    </row>
    <row r="785" spans="1:18">
      <c r="A785" s="96">
        <v>44421</v>
      </c>
      <c r="B785" s="101">
        <v>35.619999999999997</v>
      </c>
      <c r="C785" s="4">
        <f t="shared" si="36"/>
        <v>6.4650823905952379E-2</v>
      </c>
      <c r="D785" s="4">
        <f>IFERROR(Target1[[#This Row],[Target Return]]+1,"-")</f>
        <v>1.0646508239059524</v>
      </c>
      <c r="E785" s="6">
        <f>B785-MAX($B$2:B785)</f>
        <v>-15.980000000000004</v>
      </c>
      <c r="F785" s="80">
        <f t="shared" si="37"/>
        <v>258</v>
      </c>
      <c r="G785" s="77">
        <f>Target1[[#This Row],[Target Drawdown]]/MAX($B$2:B785)</f>
        <v>-0.30968992248062022</v>
      </c>
      <c r="H785" s="1" t="str">
        <f>IF(SUM(COUNTIF(Benchmark1[Benchmark '#1 Dates],Target1[[#This Row],[Target Dates]]),COUNTIF(Benchmark2[Benchmark '#2 Dates],Target1[[#This Row],[Target Dates]]))=2,"Pass","Fail")</f>
        <v>Pass</v>
      </c>
      <c r="I785" s="78">
        <f t="shared" si="38"/>
        <v>-15.980000000000004</v>
      </c>
      <c r="K785" s="72">
        <f>Target1[[#This Row],[Target Price]]/$B$2*100</f>
        <v>207.21349621873179</v>
      </c>
      <c r="R785">
        <f>B786/Target1[[#This Row],[Target Price]]-1</f>
        <v>-1.5721504772599482E-2</v>
      </c>
    </row>
    <row r="786" spans="1:18">
      <c r="A786" s="96">
        <v>44424</v>
      </c>
      <c r="B786" s="101">
        <v>35.06</v>
      </c>
      <c r="C786" s="4">
        <f t="shared" si="36"/>
        <v>-1.5846398368426967E-2</v>
      </c>
      <c r="D786" s="4">
        <f>IFERROR(Target1[[#This Row],[Target Return]]+1,"-")</f>
        <v>0.98415360163157306</v>
      </c>
      <c r="E786" s="6">
        <f>B786-MAX($B$2:B786)</f>
        <v>-16.54</v>
      </c>
      <c r="F786" s="80">
        <f t="shared" si="37"/>
        <v>259</v>
      </c>
      <c r="G786" s="77">
        <f>Target1[[#This Row],[Target Drawdown]]/MAX($B$2:B786)</f>
        <v>-0.32054263565891472</v>
      </c>
      <c r="H786" s="1" t="str">
        <f>IF(SUM(COUNTIF(Benchmark1[Benchmark '#1 Dates],Target1[[#This Row],[Target Dates]]),COUNTIF(Benchmark2[Benchmark '#2 Dates],Target1[[#This Row],[Target Dates]]))=2,"Pass","Fail")</f>
        <v>Pass</v>
      </c>
      <c r="I786" s="78">
        <f t="shared" si="38"/>
        <v>-16.54</v>
      </c>
      <c r="K786" s="72">
        <f>Target1[[#This Row],[Target Price]]/$B$2*100</f>
        <v>203.95578824898197</v>
      </c>
      <c r="R786">
        <f>B787/Target1[[#This Row],[Target Price]]-1</f>
        <v>-3.137478608100408E-2</v>
      </c>
    </row>
    <row r="787" spans="1:18">
      <c r="A787" s="96">
        <v>44425</v>
      </c>
      <c r="B787" s="101">
        <v>33.96</v>
      </c>
      <c r="C787" s="4">
        <f t="shared" si="36"/>
        <v>-3.1877518049941961E-2</v>
      </c>
      <c r="D787" s="4">
        <f>IFERROR(Target1[[#This Row],[Target Return]]+1,"-")</f>
        <v>0.96812248195005801</v>
      </c>
      <c r="E787" s="6">
        <f>B787-MAX($B$2:B787)</f>
        <v>-17.64</v>
      </c>
      <c r="F787" s="80">
        <f t="shared" si="37"/>
        <v>260</v>
      </c>
      <c r="G787" s="77">
        <f>Target1[[#This Row],[Target Drawdown]]/MAX($B$2:B787)</f>
        <v>-0.34186046511627904</v>
      </c>
      <c r="H787" s="1" t="str">
        <f>IF(SUM(COUNTIF(Benchmark1[Benchmark '#1 Dates],Target1[[#This Row],[Target Dates]]),COUNTIF(Benchmark2[Benchmark '#2 Dates],Target1[[#This Row],[Target Dates]]))=2,"Pass","Fail")</f>
        <v>Pass</v>
      </c>
      <c r="I787" s="78">
        <f t="shared" si="38"/>
        <v>-17.64</v>
      </c>
      <c r="K787" s="72">
        <f>Target1[[#This Row],[Target Price]]/$B$2*100</f>
        <v>197.55671902268762</v>
      </c>
      <c r="R787">
        <f>B788/Target1[[#This Row],[Target Price]]-1</f>
        <v>-2.2379269729092988E-2</v>
      </c>
    </row>
    <row r="788" spans="1:18">
      <c r="A788" s="96">
        <v>44426</v>
      </c>
      <c r="B788" s="101">
        <v>33.200000000000003</v>
      </c>
      <c r="C788" s="4">
        <f t="shared" si="36"/>
        <v>-2.2633485520703645E-2</v>
      </c>
      <c r="D788" s="4">
        <f>IFERROR(Target1[[#This Row],[Target Return]]+1,"-")</f>
        <v>0.97736651447929634</v>
      </c>
      <c r="E788" s="6">
        <f>B788-MAX($B$2:B788)</f>
        <v>-18.399999999999999</v>
      </c>
      <c r="F788" s="80">
        <f t="shared" si="37"/>
        <v>261</v>
      </c>
      <c r="G788" s="77">
        <f>Target1[[#This Row],[Target Drawdown]]/MAX($B$2:B788)</f>
        <v>-0.35658914728682167</v>
      </c>
      <c r="H788" s="1" t="str">
        <f>IF(SUM(COUNTIF(Benchmark1[Benchmark '#1 Dates],Target1[[#This Row],[Target Dates]]),COUNTIF(Benchmark2[Benchmark '#2 Dates],Target1[[#This Row],[Target Dates]]))=2,"Pass","Fail")</f>
        <v>Pass</v>
      </c>
      <c r="I788" s="78">
        <f t="shared" si="38"/>
        <v>-18.399999999999999</v>
      </c>
      <c r="K788" s="72">
        <f>Target1[[#This Row],[Target Price]]/$B$2*100</f>
        <v>193.13554392088423</v>
      </c>
      <c r="R788">
        <f>B789/Target1[[#This Row],[Target Price]]-1</f>
        <v>2.4999999999999911E-2</v>
      </c>
    </row>
    <row r="789" spans="1:18">
      <c r="A789" s="96">
        <v>44427</v>
      </c>
      <c r="B789" s="101">
        <v>34.03</v>
      </c>
      <c r="C789" s="4">
        <f t="shared" si="36"/>
        <v>2.4692612590371414E-2</v>
      </c>
      <c r="D789" s="4">
        <f>IFERROR(Target1[[#This Row],[Target Return]]+1,"-")</f>
        <v>1.0246926125903715</v>
      </c>
      <c r="E789" s="6">
        <f>B789-MAX($B$2:B789)</f>
        <v>-17.57</v>
      </c>
      <c r="F789" s="80">
        <f t="shared" si="37"/>
        <v>262</v>
      </c>
      <c r="G789" s="77">
        <f>Target1[[#This Row],[Target Drawdown]]/MAX($B$2:B789)</f>
        <v>-0.34050387596899223</v>
      </c>
      <c r="H789" s="1" t="str">
        <f>IF(SUM(COUNTIF(Benchmark1[Benchmark '#1 Dates],Target1[[#This Row],[Target Dates]]),COUNTIF(Benchmark2[Benchmark '#2 Dates],Target1[[#This Row],[Target Dates]]))=2,"Pass","Fail")</f>
        <v>Pass</v>
      </c>
      <c r="I789" s="78">
        <f t="shared" si="38"/>
        <v>-17.57</v>
      </c>
      <c r="K789" s="72">
        <f>Target1[[#This Row],[Target Price]]/$B$2*100</f>
        <v>197.96393251890635</v>
      </c>
      <c r="R789">
        <f>B790/Target1[[#This Row],[Target Price]]-1</f>
        <v>2.0570085218925005E-3</v>
      </c>
    </row>
    <row r="790" spans="1:18">
      <c r="A790" s="96">
        <v>44428</v>
      </c>
      <c r="B790" s="101">
        <v>34.1</v>
      </c>
      <c r="C790" s="4">
        <f t="shared" si="36"/>
        <v>2.0548957766567994E-3</v>
      </c>
      <c r="D790" s="4">
        <f>IFERROR(Target1[[#This Row],[Target Return]]+1,"-")</f>
        <v>1.0020548957766569</v>
      </c>
      <c r="E790" s="6">
        <f>B790-MAX($B$2:B790)</f>
        <v>-17.5</v>
      </c>
      <c r="F790" s="80">
        <f t="shared" si="37"/>
        <v>263</v>
      </c>
      <c r="G790" s="77">
        <f>Target1[[#This Row],[Target Drawdown]]/MAX($B$2:B790)</f>
        <v>-0.33914728682170542</v>
      </c>
      <c r="H790" s="1" t="str">
        <f>IF(SUM(COUNTIF(Benchmark1[Benchmark '#1 Dates],Target1[[#This Row],[Target Dates]]),COUNTIF(Benchmark2[Benchmark '#2 Dates],Target1[[#This Row],[Target Dates]]))=2,"Pass","Fail")</f>
        <v>Pass</v>
      </c>
      <c r="I790" s="78">
        <f t="shared" si="38"/>
        <v>-17.5</v>
      </c>
      <c r="K790" s="72">
        <f>Target1[[#This Row],[Target Price]]/$B$2*100</f>
        <v>198.37114601512508</v>
      </c>
      <c r="R790">
        <f>B791/Target1[[#This Row],[Target Price]]-1</f>
        <v>8.504398826979509E-3</v>
      </c>
    </row>
    <row r="791" spans="1:18">
      <c r="A791" s="96">
        <v>44431</v>
      </c>
      <c r="B791" s="101">
        <v>34.39</v>
      </c>
      <c r="C791" s="4">
        <f t="shared" si="36"/>
        <v>8.4684401547037696E-3</v>
      </c>
      <c r="D791" s="4">
        <f>IFERROR(Target1[[#This Row],[Target Return]]+1,"-")</f>
        <v>1.0084684401547037</v>
      </c>
      <c r="E791" s="6">
        <f>B791-MAX($B$2:B791)</f>
        <v>-17.21</v>
      </c>
      <c r="F791" s="80">
        <f t="shared" si="37"/>
        <v>264</v>
      </c>
      <c r="G791" s="77">
        <f>Target1[[#This Row],[Target Drawdown]]/MAX($B$2:B791)</f>
        <v>-0.33352713178294574</v>
      </c>
      <c r="H791" s="1" t="str">
        <f>IF(SUM(COUNTIF(Benchmark1[Benchmark '#1 Dates],Target1[[#This Row],[Target Dates]]),COUNTIF(Benchmark2[Benchmark '#2 Dates],Target1[[#This Row],[Target Dates]]))=2,"Pass","Fail")</f>
        <v>Pass</v>
      </c>
      <c r="I791" s="78">
        <f t="shared" si="38"/>
        <v>-17.21</v>
      </c>
      <c r="K791" s="72">
        <f>Target1[[#This Row],[Target Price]]/$B$2*100</f>
        <v>200.05817335660265</v>
      </c>
      <c r="R791">
        <f>B792/Target1[[#This Row],[Target Price]]-1</f>
        <v>-2.3553358534457725E-2</v>
      </c>
    </row>
    <row r="792" spans="1:18">
      <c r="A792" s="96">
        <v>44432</v>
      </c>
      <c r="B792" s="101">
        <v>33.58</v>
      </c>
      <c r="C792" s="4">
        <f t="shared" si="36"/>
        <v>-2.3835172794780111E-2</v>
      </c>
      <c r="D792" s="4">
        <f>IFERROR(Target1[[#This Row],[Target Return]]+1,"-")</f>
        <v>0.97616482720521991</v>
      </c>
      <c r="E792" s="6">
        <f>B792-MAX($B$2:B792)</f>
        <v>-18.020000000000003</v>
      </c>
      <c r="F792" s="80">
        <f t="shared" si="37"/>
        <v>265</v>
      </c>
      <c r="G792" s="77">
        <f>Target1[[#This Row],[Target Drawdown]]/MAX($B$2:B792)</f>
        <v>-0.34922480620155044</v>
      </c>
      <c r="H792" s="1" t="str">
        <f>IF(SUM(COUNTIF(Benchmark1[Benchmark '#1 Dates],Target1[[#This Row],[Target Dates]]),COUNTIF(Benchmark2[Benchmark '#2 Dates],Target1[[#This Row],[Target Dates]]))=2,"Pass","Fail")</f>
        <v>Pass</v>
      </c>
      <c r="I792" s="78">
        <f t="shared" si="38"/>
        <v>-18.020000000000003</v>
      </c>
      <c r="K792" s="72">
        <f>Target1[[#This Row],[Target Price]]/$B$2*100</f>
        <v>195.3461314717859</v>
      </c>
      <c r="R792">
        <f>B793/Target1[[#This Row],[Target Price]]-1</f>
        <v>2.9481834425253206E-2</v>
      </c>
    </row>
    <row r="793" spans="1:18">
      <c r="A793" s="96">
        <v>44433</v>
      </c>
      <c r="B793" s="101">
        <v>34.57</v>
      </c>
      <c r="C793" s="4">
        <f t="shared" si="36"/>
        <v>2.905560228413848E-2</v>
      </c>
      <c r="D793" s="4">
        <f>IFERROR(Target1[[#This Row],[Target Return]]+1,"-")</f>
        <v>1.0290556022841384</v>
      </c>
      <c r="E793" s="6">
        <f>B793-MAX($B$2:B793)</f>
        <v>-17.03</v>
      </c>
      <c r="F793" s="80">
        <f t="shared" si="37"/>
        <v>266</v>
      </c>
      <c r="G793" s="77">
        <f>Target1[[#This Row],[Target Drawdown]]/MAX($B$2:B793)</f>
        <v>-0.33003875968992247</v>
      </c>
      <c r="H793" s="1" t="str">
        <f>IF(SUM(COUNTIF(Benchmark1[Benchmark '#1 Dates],Target1[[#This Row],[Target Dates]]),COUNTIF(Benchmark2[Benchmark '#2 Dates],Target1[[#This Row],[Target Dates]]))=2,"Pass","Fail")</f>
        <v>Pass</v>
      </c>
      <c r="I793" s="78">
        <f t="shared" si="38"/>
        <v>-17.03</v>
      </c>
      <c r="K793" s="72">
        <f>Target1[[#This Row],[Target Price]]/$B$2*100</f>
        <v>201.1052937754508</v>
      </c>
      <c r="R793">
        <f>B794/Target1[[#This Row],[Target Price]]-1</f>
        <v>-2.0248770610356015E-3</v>
      </c>
    </row>
    <row r="794" spans="1:18">
      <c r="A794" s="96">
        <v>44434</v>
      </c>
      <c r="B794" s="101">
        <v>34.5</v>
      </c>
      <c r="C794" s="4">
        <f t="shared" si="36"/>
        <v>-2.0269298962191148E-3</v>
      </c>
      <c r="D794" s="4">
        <f>IFERROR(Target1[[#This Row],[Target Return]]+1,"-")</f>
        <v>0.99797307010378089</v>
      </c>
      <c r="E794" s="6">
        <f>B794-MAX($B$2:B794)</f>
        <v>-17.100000000000001</v>
      </c>
      <c r="F794" s="80">
        <f t="shared" si="37"/>
        <v>267</v>
      </c>
      <c r="G794" s="77">
        <f>Target1[[#This Row],[Target Drawdown]]/MAX($B$2:B794)</f>
        <v>-0.33139534883720934</v>
      </c>
      <c r="H794" s="1" t="str">
        <f>IF(SUM(COUNTIF(Benchmark1[Benchmark '#1 Dates],Target1[[#This Row],[Target Dates]]),COUNTIF(Benchmark2[Benchmark '#2 Dates],Target1[[#This Row],[Target Dates]]))=2,"Pass","Fail")</f>
        <v>Pass</v>
      </c>
      <c r="I794" s="78">
        <f t="shared" si="38"/>
        <v>-17.100000000000001</v>
      </c>
      <c r="K794" s="72">
        <f>Target1[[#This Row],[Target Price]]/$B$2*100</f>
        <v>200.6980802792321</v>
      </c>
      <c r="R794">
        <f>B795/Target1[[#This Row],[Target Price]]-1</f>
        <v>-2.6086956521740312E-3</v>
      </c>
    </row>
    <row r="795" spans="1:18">
      <c r="A795" s="96">
        <v>44435</v>
      </c>
      <c r="B795" s="101">
        <v>34.409999999999997</v>
      </c>
      <c r="C795" s="4">
        <f t="shared" si="36"/>
        <v>-2.6121042279251775E-3</v>
      </c>
      <c r="D795" s="4">
        <f>IFERROR(Target1[[#This Row],[Target Return]]+1,"-")</f>
        <v>0.99738789577207487</v>
      </c>
      <c r="E795" s="6">
        <f>B795-MAX($B$2:B795)</f>
        <v>-17.190000000000005</v>
      </c>
      <c r="F795" s="80">
        <f t="shared" si="37"/>
        <v>268</v>
      </c>
      <c r="G795" s="77">
        <f>Target1[[#This Row],[Target Drawdown]]/MAX($B$2:B795)</f>
        <v>-0.333139534883721</v>
      </c>
      <c r="H795" s="1" t="str">
        <f>IF(SUM(COUNTIF(Benchmark1[Benchmark '#1 Dates],Target1[[#This Row],[Target Dates]]),COUNTIF(Benchmark2[Benchmark '#2 Dates],Target1[[#This Row],[Target Dates]]))=2,"Pass","Fail")</f>
        <v>Pass</v>
      </c>
      <c r="I795" s="78">
        <f t="shared" si="38"/>
        <v>-17.190000000000005</v>
      </c>
      <c r="K795" s="72">
        <f>Target1[[#This Row],[Target Price]]/$B$2*100</f>
        <v>200.17452006980801</v>
      </c>
      <c r="R795">
        <f>B796/Target1[[#This Row],[Target Price]]-1</f>
        <v>2.6155187445511263E-3</v>
      </c>
    </row>
    <row r="796" spans="1:18">
      <c r="A796" s="96">
        <v>44438</v>
      </c>
      <c r="B796" s="101">
        <v>34.5</v>
      </c>
      <c r="C796" s="4">
        <f t="shared" si="36"/>
        <v>2.6121042279251827E-3</v>
      </c>
      <c r="D796" s="4">
        <f>IFERROR(Target1[[#This Row],[Target Return]]+1,"-")</f>
        <v>1.0026121042279252</v>
      </c>
      <c r="E796" s="6">
        <f>B796-MAX($B$2:B796)</f>
        <v>-17.100000000000001</v>
      </c>
      <c r="F796" s="80">
        <f t="shared" si="37"/>
        <v>269</v>
      </c>
      <c r="G796" s="77">
        <f>Target1[[#This Row],[Target Drawdown]]/MAX($B$2:B796)</f>
        <v>-0.33139534883720934</v>
      </c>
      <c r="H796" s="1" t="str">
        <f>IF(SUM(COUNTIF(Benchmark1[Benchmark '#1 Dates],Target1[[#This Row],[Target Dates]]),COUNTIF(Benchmark2[Benchmark '#2 Dates],Target1[[#This Row],[Target Dates]]))=2,"Pass","Fail")</f>
        <v>Pass</v>
      </c>
      <c r="I796" s="78">
        <f t="shared" si="38"/>
        <v>-17.100000000000001</v>
      </c>
      <c r="K796" s="72">
        <f>Target1[[#This Row],[Target Price]]/$B$2*100</f>
        <v>200.6980802792321</v>
      </c>
      <c r="R796">
        <f>B797/Target1[[#This Row],[Target Price]]-1</f>
        <v>-7.5362318840579423E-3</v>
      </c>
    </row>
    <row r="797" spans="1:18">
      <c r="A797" s="96">
        <v>44439</v>
      </c>
      <c r="B797" s="101">
        <v>34.24</v>
      </c>
      <c r="C797" s="4">
        <f t="shared" si="36"/>
        <v>-7.5647727637726918E-3</v>
      </c>
      <c r="D797" s="4">
        <f>IFERROR(Target1[[#This Row],[Target Return]]+1,"-")</f>
        <v>0.99243522723622735</v>
      </c>
      <c r="E797" s="6">
        <f>B797-MAX($B$2:B797)</f>
        <v>-17.36</v>
      </c>
      <c r="F797" s="80">
        <f t="shared" si="37"/>
        <v>270</v>
      </c>
      <c r="G797" s="77">
        <f>Target1[[#This Row],[Target Drawdown]]/MAX($B$2:B797)</f>
        <v>-0.33643410852713174</v>
      </c>
      <c r="H797" s="1" t="str">
        <f>IF(SUM(COUNTIF(Benchmark1[Benchmark '#1 Dates],Target1[[#This Row],[Target Dates]]),COUNTIF(Benchmark2[Benchmark '#2 Dates],Target1[[#This Row],[Target Dates]]))=2,"Pass","Fail")</f>
        <v>Pass</v>
      </c>
      <c r="I797" s="78">
        <f t="shared" si="38"/>
        <v>-17.36</v>
      </c>
      <c r="K797" s="72">
        <f>Target1[[#This Row],[Target Price]]/$B$2*100</f>
        <v>199.18557300756254</v>
      </c>
      <c r="R797">
        <f>B798/Target1[[#This Row],[Target Price]]-1</f>
        <v>6.4252336448598069E-3</v>
      </c>
    </row>
    <row r="798" spans="1:18">
      <c r="A798" s="96">
        <v>44440</v>
      </c>
      <c r="B798" s="101">
        <v>34.46</v>
      </c>
      <c r="C798" s="4">
        <f t="shared" si="36"/>
        <v>6.4046798262422048E-3</v>
      </c>
      <c r="D798" s="4">
        <f>IFERROR(Target1[[#This Row],[Target Return]]+1,"-")</f>
        <v>1.0064046798262423</v>
      </c>
      <c r="E798" s="6">
        <f>B798-MAX($B$2:B798)</f>
        <v>-17.14</v>
      </c>
      <c r="F798" s="80">
        <f t="shared" si="37"/>
        <v>271</v>
      </c>
      <c r="G798" s="77">
        <f>Target1[[#This Row],[Target Drawdown]]/MAX($B$2:B798)</f>
        <v>-0.33217054263565893</v>
      </c>
      <c r="H798" s="1" t="str">
        <f>IF(SUM(COUNTIF(Benchmark1[Benchmark '#1 Dates],Target1[[#This Row],[Target Dates]]),COUNTIF(Benchmark2[Benchmark '#2 Dates],Target1[[#This Row],[Target Dates]]))=2,"Pass","Fail")</f>
        <v>Pass</v>
      </c>
      <c r="I798" s="78">
        <f t="shared" si="38"/>
        <v>-17.14</v>
      </c>
      <c r="K798" s="72">
        <f>Target1[[#This Row],[Target Price]]/$B$2*100</f>
        <v>200.46538685282141</v>
      </c>
      <c r="R798">
        <f>B799/Target1[[#This Row],[Target Price]]-1</f>
        <v>-1.1607661056296514E-3</v>
      </c>
    </row>
    <row r="799" spans="1:18">
      <c r="A799" s="96">
        <v>44441</v>
      </c>
      <c r="B799" s="101">
        <v>34.42</v>
      </c>
      <c r="C799" s="4">
        <f t="shared" si="36"/>
        <v>-1.1614403163901388E-3</v>
      </c>
      <c r="D799" s="4">
        <f>IFERROR(Target1[[#This Row],[Target Return]]+1,"-")</f>
        <v>0.99883855968360991</v>
      </c>
      <c r="E799" s="6">
        <f>B799-MAX($B$2:B799)</f>
        <v>-17.18</v>
      </c>
      <c r="F799" s="80">
        <f t="shared" si="37"/>
        <v>272</v>
      </c>
      <c r="G799" s="77">
        <f>Target1[[#This Row],[Target Drawdown]]/MAX($B$2:B799)</f>
        <v>-0.33294573643410852</v>
      </c>
      <c r="H799" s="1" t="str">
        <f>IF(SUM(COUNTIF(Benchmark1[Benchmark '#1 Dates],Target1[[#This Row],[Target Dates]]),COUNTIF(Benchmark2[Benchmark '#2 Dates],Target1[[#This Row],[Target Dates]]))=2,"Pass","Fail")</f>
        <v>Pass</v>
      </c>
      <c r="I799" s="78">
        <f t="shared" si="38"/>
        <v>-17.18</v>
      </c>
      <c r="K799" s="72">
        <f>Target1[[#This Row],[Target Price]]/$B$2*100</f>
        <v>200.23269342641069</v>
      </c>
      <c r="R799">
        <f>B800/Target1[[#This Row],[Target Price]]-1</f>
        <v>-1.0749564206856577E-2</v>
      </c>
    </row>
    <row r="800" spans="1:18">
      <c r="A800" s="96">
        <v>44442</v>
      </c>
      <c r="B800" s="101">
        <v>34.049999999999997</v>
      </c>
      <c r="C800" s="4">
        <f t="shared" si="36"/>
        <v>-1.0807758187872087E-2</v>
      </c>
      <c r="D800" s="4">
        <f>IFERROR(Target1[[#This Row],[Target Return]]+1,"-")</f>
        <v>0.98919224181212795</v>
      </c>
      <c r="E800" s="6">
        <f>B800-MAX($B$2:B800)</f>
        <v>-17.550000000000004</v>
      </c>
      <c r="F800" s="80">
        <f t="shared" si="37"/>
        <v>273</v>
      </c>
      <c r="G800" s="77">
        <f>Target1[[#This Row],[Target Drawdown]]/MAX($B$2:B800)</f>
        <v>-0.34011627906976749</v>
      </c>
      <c r="H800" s="1" t="str">
        <f>IF(SUM(COUNTIF(Benchmark1[Benchmark '#1 Dates],Target1[[#This Row],[Target Dates]]),COUNTIF(Benchmark2[Benchmark '#2 Dates],Target1[[#This Row],[Target Dates]]))=2,"Pass","Fail")</f>
        <v>Pass</v>
      </c>
      <c r="I800" s="78">
        <f t="shared" si="38"/>
        <v>-17.550000000000004</v>
      </c>
      <c r="K800" s="72">
        <f>Target1[[#This Row],[Target Price]]/$B$2*100</f>
        <v>198.08027923211168</v>
      </c>
      <c r="R800">
        <f>B801/Target1[[#This Row],[Target Price]]-1</f>
        <v>-2.026431718061672E-2</v>
      </c>
    </row>
    <row r="801" spans="1:18">
      <c r="A801" s="96">
        <v>44446</v>
      </c>
      <c r="B801" s="101">
        <v>33.36</v>
      </c>
      <c r="C801" s="4">
        <f t="shared" si="36"/>
        <v>-2.0472455104975345E-2</v>
      </c>
      <c r="D801" s="4">
        <f>IFERROR(Target1[[#This Row],[Target Return]]+1,"-")</f>
        <v>0.97952754489502469</v>
      </c>
      <c r="E801" s="6">
        <f>B801-MAX($B$2:B801)</f>
        <v>-18.240000000000002</v>
      </c>
      <c r="F801" s="80">
        <f t="shared" si="37"/>
        <v>274</v>
      </c>
      <c r="G801" s="77">
        <f>Target1[[#This Row],[Target Drawdown]]/MAX($B$2:B801)</f>
        <v>-0.35348837209302331</v>
      </c>
      <c r="H801" s="1" t="str">
        <f>IF(SUM(COUNTIF(Benchmark1[Benchmark '#1 Dates],Target1[[#This Row],[Target Dates]]),COUNTIF(Benchmark2[Benchmark '#2 Dates],Target1[[#This Row],[Target Dates]]))=2,"Pass","Fail")</f>
        <v>Pass</v>
      </c>
      <c r="I801" s="78">
        <f t="shared" si="38"/>
        <v>-18.240000000000002</v>
      </c>
      <c r="K801" s="72">
        <f>Target1[[#This Row],[Target Price]]/$B$2*100</f>
        <v>194.06631762652705</v>
      </c>
      <c r="R801">
        <f>B802/Target1[[#This Row],[Target Price]]-1</f>
        <v>-3.896882494004883E-3</v>
      </c>
    </row>
    <row r="802" spans="1:18">
      <c r="A802" s="96">
        <v>44447</v>
      </c>
      <c r="B802" s="101">
        <v>33.229999999999997</v>
      </c>
      <c r="C802" s="4">
        <f t="shared" si="36"/>
        <v>-3.9044951240431842E-3</v>
      </c>
      <c r="D802" s="4">
        <f>IFERROR(Target1[[#This Row],[Target Return]]+1,"-")</f>
        <v>0.99609550487595677</v>
      </c>
      <c r="E802" s="6">
        <f>B802-MAX($B$2:B802)</f>
        <v>-18.370000000000005</v>
      </c>
      <c r="F802" s="80">
        <f t="shared" si="37"/>
        <v>275</v>
      </c>
      <c r="G802" s="77">
        <f>Target1[[#This Row],[Target Drawdown]]/MAX($B$2:B802)</f>
        <v>-0.35600775193798456</v>
      </c>
      <c r="H802" s="1" t="str">
        <f>IF(SUM(COUNTIF(Benchmark1[Benchmark '#1 Dates],Target1[[#This Row],[Target Dates]]),COUNTIF(Benchmark2[Benchmark '#2 Dates],Target1[[#This Row],[Target Dates]]))=2,"Pass","Fail")</f>
        <v>Pass</v>
      </c>
      <c r="I802" s="78">
        <f t="shared" si="38"/>
        <v>-18.370000000000005</v>
      </c>
      <c r="K802" s="72">
        <f>Target1[[#This Row],[Target Price]]/$B$2*100</f>
        <v>193.31006399069224</v>
      </c>
      <c r="R802">
        <f>B803/Target1[[#This Row],[Target Price]]-1</f>
        <v>1.956063797773111E-2</v>
      </c>
    </row>
    <row r="803" spans="1:18">
      <c r="A803" s="96">
        <v>44448</v>
      </c>
      <c r="B803" s="101">
        <v>33.880000000000003</v>
      </c>
      <c r="C803" s="4">
        <f t="shared" si="36"/>
        <v>1.9371787417350874E-2</v>
      </c>
      <c r="D803" s="4">
        <f>IFERROR(Target1[[#This Row],[Target Return]]+1,"-")</f>
        <v>1.0193717874173509</v>
      </c>
      <c r="E803" s="6">
        <f>B803-MAX($B$2:B803)</f>
        <v>-17.72</v>
      </c>
      <c r="F803" s="80">
        <f t="shared" si="37"/>
        <v>276</v>
      </c>
      <c r="G803" s="77">
        <f>Target1[[#This Row],[Target Drawdown]]/MAX($B$2:B803)</f>
        <v>-0.34341085271317828</v>
      </c>
      <c r="H803" s="1" t="str">
        <f>IF(SUM(COUNTIF(Benchmark1[Benchmark '#1 Dates],Target1[[#This Row],[Target Dates]]),COUNTIF(Benchmark2[Benchmark '#2 Dates],Target1[[#This Row],[Target Dates]]))=2,"Pass","Fail")</f>
        <v>Pass</v>
      </c>
      <c r="I803" s="78">
        <f t="shared" si="38"/>
        <v>-17.72</v>
      </c>
      <c r="K803" s="72">
        <f>Target1[[#This Row],[Target Price]]/$B$2*100</f>
        <v>197.09133216986621</v>
      </c>
      <c r="R803">
        <f>B804/Target1[[#This Row],[Target Price]]-1</f>
        <v>-1.2691853600944492E-2</v>
      </c>
    </row>
    <row r="804" spans="1:18">
      <c r="A804" s="96">
        <v>44449</v>
      </c>
      <c r="B804" s="101">
        <v>33.450000000000003</v>
      </c>
      <c r="C804" s="4">
        <f t="shared" si="36"/>
        <v>-1.2773083209616169E-2</v>
      </c>
      <c r="D804" s="4">
        <f>IFERROR(Target1[[#This Row],[Target Return]]+1,"-")</f>
        <v>0.98722691679038388</v>
      </c>
      <c r="E804" s="6">
        <f>B804-MAX($B$2:B804)</f>
        <v>-18.149999999999999</v>
      </c>
      <c r="F804" s="80">
        <f t="shared" si="37"/>
        <v>277</v>
      </c>
      <c r="G804" s="77">
        <f>Target1[[#This Row],[Target Drawdown]]/MAX($B$2:B804)</f>
        <v>-0.35174418604651159</v>
      </c>
      <c r="H804" s="1" t="str">
        <f>IF(SUM(COUNTIF(Benchmark1[Benchmark '#1 Dates],Target1[[#This Row],[Target Dates]]),COUNTIF(Benchmark2[Benchmark '#2 Dates],Target1[[#This Row],[Target Dates]]))=2,"Pass","Fail")</f>
        <v>Pass</v>
      </c>
      <c r="I804" s="78">
        <f t="shared" si="38"/>
        <v>-18.149999999999999</v>
      </c>
      <c r="K804" s="72">
        <f>Target1[[#This Row],[Target Price]]/$B$2*100</f>
        <v>194.58987783595114</v>
      </c>
      <c r="R804">
        <f>B805/Target1[[#This Row],[Target Price]]-1</f>
        <v>-4.7832585949179052E-3</v>
      </c>
    </row>
    <row r="805" spans="1:18">
      <c r="A805" s="96">
        <v>44452</v>
      </c>
      <c r="B805" s="101">
        <v>33.29</v>
      </c>
      <c r="C805" s="4">
        <f t="shared" si="36"/>
        <v>-4.794734987304E-3</v>
      </c>
      <c r="D805" s="4">
        <f>IFERROR(Target1[[#This Row],[Target Return]]+1,"-")</f>
        <v>0.99520526501269602</v>
      </c>
      <c r="E805" s="6">
        <f>B805-MAX($B$2:B805)</f>
        <v>-18.310000000000002</v>
      </c>
      <c r="F805" s="80">
        <f t="shared" si="37"/>
        <v>278</v>
      </c>
      <c r="G805" s="77">
        <f>Target1[[#This Row],[Target Drawdown]]/MAX($B$2:B805)</f>
        <v>-0.35484496124031012</v>
      </c>
      <c r="H805" s="1" t="str">
        <f>IF(SUM(COUNTIF(Benchmark1[Benchmark '#1 Dates],Target1[[#This Row],[Target Dates]]),COUNTIF(Benchmark2[Benchmark '#2 Dates],Target1[[#This Row],[Target Dates]]))=2,"Pass","Fail")</f>
        <v>Pass</v>
      </c>
      <c r="I805" s="78">
        <f t="shared" si="38"/>
        <v>-18.310000000000002</v>
      </c>
      <c r="K805" s="72">
        <f>Target1[[#This Row],[Target Price]]/$B$2*100</f>
        <v>193.65910413030829</v>
      </c>
      <c r="R805">
        <f>B806/Target1[[#This Row],[Target Price]]-1</f>
        <v>1.5019525382997889E-2</v>
      </c>
    </row>
    <row r="806" spans="1:18">
      <c r="A806" s="96">
        <v>44453</v>
      </c>
      <c r="B806" s="101">
        <v>33.79</v>
      </c>
      <c r="C806" s="4">
        <f t="shared" si="36"/>
        <v>1.4907849139264996E-2</v>
      </c>
      <c r="D806" s="4">
        <f>IFERROR(Target1[[#This Row],[Target Return]]+1,"-")</f>
        <v>1.0149078491392649</v>
      </c>
      <c r="E806" s="6">
        <f>B806-MAX($B$2:B806)</f>
        <v>-17.810000000000002</v>
      </c>
      <c r="F806" s="80">
        <f t="shared" si="37"/>
        <v>279</v>
      </c>
      <c r="G806" s="77">
        <f>Target1[[#This Row],[Target Drawdown]]/MAX($B$2:B806)</f>
        <v>-0.34515503875968995</v>
      </c>
      <c r="H806" s="1" t="str">
        <f>IF(SUM(COUNTIF(Benchmark1[Benchmark '#1 Dates],Target1[[#This Row],[Target Dates]]),COUNTIF(Benchmark2[Benchmark '#2 Dates],Target1[[#This Row],[Target Dates]]))=2,"Pass","Fail")</f>
        <v>Pass</v>
      </c>
      <c r="I806" s="78">
        <f t="shared" si="38"/>
        <v>-17.810000000000002</v>
      </c>
      <c r="K806" s="72">
        <f>Target1[[#This Row],[Target Price]]/$B$2*100</f>
        <v>196.56777196044212</v>
      </c>
      <c r="R806">
        <f>B807/Target1[[#This Row],[Target Price]]-1</f>
        <v>2.9594554601953149E-2</v>
      </c>
    </row>
    <row r="807" spans="1:18">
      <c r="A807" s="96">
        <v>44454</v>
      </c>
      <c r="B807" s="101">
        <v>34.79</v>
      </c>
      <c r="C807" s="4">
        <f t="shared" si="36"/>
        <v>2.9165088437651997E-2</v>
      </c>
      <c r="D807" s="4">
        <f>IFERROR(Target1[[#This Row],[Target Return]]+1,"-")</f>
        <v>1.029165088437652</v>
      </c>
      <c r="E807" s="6">
        <f>B807-MAX($B$2:B807)</f>
        <v>-16.810000000000002</v>
      </c>
      <c r="F807" s="80">
        <f t="shared" si="37"/>
        <v>280</v>
      </c>
      <c r="G807" s="77">
        <f>Target1[[#This Row],[Target Drawdown]]/MAX($B$2:B807)</f>
        <v>-0.32577519379844966</v>
      </c>
      <c r="H807" s="1" t="str">
        <f>IF(SUM(COUNTIF(Benchmark1[Benchmark '#1 Dates],Target1[[#This Row],[Target Dates]]),COUNTIF(Benchmark2[Benchmark '#2 Dates],Target1[[#This Row],[Target Dates]]))=2,"Pass","Fail")</f>
        <v>Pass</v>
      </c>
      <c r="I807" s="78">
        <f t="shared" si="38"/>
        <v>-16.810000000000002</v>
      </c>
      <c r="K807" s="72">
        <f>Target1[[#This Row],[Target Price]]/$B$2*100</f>
        <v>202.3851076207097</v>
      </c>
      <c r="R807">
        <f>B808/Target1[[#This Row],[Target Price]]-1</f>
        <v>4.0241448692153181E-3</v>
      </c>
    </row>
    <row r="808" spans="1:18">
      <c r="A808" s="96">
        <v>44455</v>
      </c>
      <c r="B808" s="101">
        <v>34.93</v>
      </c>
      <c r="C808" s="4">
        <f t="shared" si="36"/>
        <v>4.0160696548899649E-3</v>
      </c>
      <c r="D808" s="4">
        <f>IFERROR(Target1[[#This Row],[Target Return]]+1,"-")</f>
        <v>1.0040160696548899</v>
      </c>
      <c r="E808" s="6">
        <f>B808-MAX($B$2:B808)</f>
        <v>-16.670000000000002</v>
      </c>
      <c r="F808" s="80">
        <f t="shared" si="37"/>
        <v>281</v>
      </c>
      <c r="G808" s="77">
        <f>Target1[[#This Row],[Target Drawdown]]/MAX($B$2:B808)</f>
        <v>-0.32306201550387598</v>
      </c>
      <c r="H808" s="1" t="str">
        <f>IF(SUM(COUNTIF(Benchmark1[Benchmark '#1 Dates],Target1[[#This Row],[Target Dates]]),COUNTIF(Benchmark2[Benchmark '#2 Dates],Target1[[#This Row],[Target Dates]]))=2,"Pass","Fail")</f>
        <v>Pass</v>
      </c>
      <c r="I808" s="78">
        <f t="shared" si="38"/>
        <v>-16.670000000000002</v>
      </c>
      <c r="K808" s="72">
        <f>Target1[[#This Row],[Target Price]]/$B$2*100</f>
        <v>203.19953461314716</v>
      </c>
      <c r="R808">
        <f>B809/Target1[[#This Row],[Target Price]]-1</f>
        <v>2.1471514457486407E-2</v>
      </c>
    </row>
    <row r="809" spans="1:18">
      <c r="A809" s="96">
        <v>44456</v>
      </c>
      <c r="B809" s="101">
        <v>35.68</v>
      </c>
      <c r="C809" s="4">
        <f t="shared" si="36"/>
        <v>2.1244248893068033E-2</v>
      </c>
      <c r="D809" s="4">
        <f>IFERROR(Target1[[#This Row],[Target Return]]+1,"-")</f>
        <v>1.021244248893068</v>
      </c>
      <c r="E809" s="6">
        <f>B809-MAX($B$2:B809)</f>
        <v>-15.920000000000002</v>
      </c>
      <c r="F809" s="80">
        <f t="shared" si="37"/>
        <v>282</v>
      </c>
      <c r="G809" s="77">
        <f>Target1[[#This Row],[Target Drawdown]]/MAX($B$2:B809)</f>
        <v>-0.30852713178294577</v>
      </c>
      <c r="H809" s="1" t="str">
        <f>IF(SUM(COUNTIF(Benchmark1[Benchmark '#1 Dates],Target1[[#This Row],[Target Dates]]),COUNTIF(Benchmark2[Benchmark '#2 Dates],Target1[[#This Row],[Target Dates]]))=2,"Pass","Fail")</f>
        <v>Pass</v>
      </c>
      <c r="I809" s="78">
        <f t="shared" si="38"/>
        <v>-15.920000000000002</v>
      </c>
      <c r="K809" s="72">
        <f>Target1[[#This Row],[Target Price]]/$B$2*100</f>
        <v>207.56253635834784</v>
      </c>
      <c r="R809">
        <f>B810/Target1[[#This Row],[Target Price]]-1</f>
        <v>-8.1558295964125449E-2</v>
      </c>
    </row>
    <row r="810" spans="1:18">
      <c r="A810" s="96">
        <v>44459</v>
      </c>
      <c r="B810" s="101">
        <v>32.770000000000003</v>
      </c>
      <c r="C810" s="4">
        <f t="shared" si="36"/>
        <v>-8.5076845001085283E-2</v>
      </c>
      <c r="D810" s="4">
        <f>IFERROR(Target1[[#This Row],[Target Return]]+1,"-")</f>
        <v>0.91492315499891474</v>
      </c>
      <c r="E810" s="6">
        <f>B810-MAX($B$2:B810)</f>
        <v>-18.829999999999998</v>
      </c>
      <c r="F810" s="80">
        <f t="shared" si="37"/>
        <v>283</v>
      </c>
      <c r="G810" s="77">
        <f>Target1[[#This Row],[Target Drawdown]]/MAX($B$2:B810)</f>
        <v>-0.36492248062015498</v>
      </c>
      <c r="H810" s="1" t="str">
        <f>IF(SUM(COUNTIF(Benchmark1[Benchmark '#1 Dates],Target1[[#This Row],[Target Dates]]),COUNTIF(Benchmark2[Benchmark '#2 Dates],Target1[[#This Row],[Target Dates]]))=2,"Pass","Fail")</f>
        <v>Pass</v>
      </c>
      <c r="I810" s="78">
        <f t="shared" si="38"/>
        <v>-18.829999999999998</v>
      </c>
      <c r="K810" s="72">
        <f>Target1[[#This Row],[Target Price]]/$B$2*100</f>
        <v>190.63408958696917</v>
      </c>
      <c r="R810">
        <f>B811/Target1[[#This Row],[Target Price]]-1</f>
        <v>2.532804394263044E-2</v>
      </c>
    </row>
    <row r="811" spans="1:18">
      <c r="A811" s="96">
        <v>44460</v>
      </c>
      <c r="B811" s="101">
        <v>33.6</v>
      </c>
      <c r="C811" s="4">
        <f t="shared" si="36"/>
        <v>2.5012604258435309E-2</v>
      </c>
      <c r="D811" s="4">
        <f>IFERROR(Target1[[#This Row],[Target Return]]+1,"-")</f>
        <v>1.0250126042584353</v>
      </c>
      <c r="E811" s="6">
        <f>B811-MAX($B$2:B811)</f>
        <v>-18</v>
      </c>
      <c r="F811" s="80">
        <f t="shared" si="37"/>
        <v>284</v>
      </c>
      <c r="G811" s="77">
        <f>Target1[[#This Row],[Target Drawdown]]/MAX($B$2:B811)</f>
        <v>-0.34883720930232559</v>
      </c>
      <c r="H811" s="1" t="str">
        <f>IF(SUM(COUNTIF(Benchmark1[Benchmark '#1 Dates],Target1[[#This Row],[Target Dates]]),COUNTIF(Benchmark2[Benchmark '#2 Dates],Target1[[#This Row],[Target Dates]]))=2,"Pass","Fail")</f>
        <v>Pass</v>
      </c>
      <c r="I811" s="78">
        <f t="shared" si="38"/>
        <v>-18</v>
      </c>
      <c r="K811" s="72">
        <f>Target1[[#This Row],[Target Price]]/$B$2*100</f>
        <v>195.46247818499128</v>
      </c>
      <c r="R811">
        <f>B812/Target1[[#This Row],[Target Price]]-1</f>
        <v>1.8749999999999822E-2</v>
      </c>
    </row>
    <row r="812" spans="1:18">
      <c r="A812" s="96">
        <v>44461</v>
      </c>
      <c r="B812" s="101">
        <v>34.229999999999997</v>
      </c>
      <c r="C812" s="4">
        <f t="shared" si="36"/>
        <v>1.8576385572935238E-2</v>
      </c>
      <c r="D812" s="4">
        <f>IFERROR(Target1[[#This Row],[Target Return]]+1,"-")</f>
        <v>1.0185763855729353</v>
      </c>
      <c r="E812" s="6">
        <f>B812-MAX($B$2:B812)</f>
        <v>-17.370000000000005</v>
      </c>
      <c r="F812" s="80">
        <f t="shared" si="37"/>
        <v>285</v>
      </c>
      <c r="G812" s="77">
        <f>Target1[[#This Row],[Target Drawdown]]/MAX($B$2:B812)</f>
        <v>-0.33662790697674427</v>
      </c>
      <c r="H812" s="1" t="str">
        <f>IF(SUM(COUNTIF(Benchmark1[Benchmark '#1 Dates],Target1[[#This Row],[Target Dates]]),COUNTIF(Benchmark2[Benchmark '#2 Dates],Target1[[#This Row],[Target Dates]]))=2,"Pass","Fail")</f>
        <v>Pass</v>
      </c>
      <c r="I812" s="78">
        <f t="shared" si="38"/>
        <v>-17.370000000000005</v>
      </c>
      <c r="K812" s="72">
        <f>Target1[[#This Row],[Target Price]]/$B$2*100</f>
        <v>199.12739965095983</v>
      </c>
      <c r="R812">
        <f>B813/Target1[[#This Row],[Target Price]]-1</f>
        <v>2.3371311714870169E-2</v>
      </c>
    </row>
    <row r="813" spans="1:18">
      <c r="A813" s="96">
        <v>44462</v>
      </c>
      <c r="B813" s="101">
        <v>35.03</v>
      </c>
      <c r="C813" s="4">
        <f t="shared" si="36"/>
        <v>2.3102384667301652E-2</v>
      </c>
      <c r="D813" s="4">
        <f>IFERROR(Target1[[#This Row],[Target Return]]+1,"-")</f>
        <v>1.0231023846673017</v>
      </c>
      <c r="E813" s="6">
        <f>B813-MAX($B$2:B813)</f>
        <v>-16.57</v>
      </c>
      <c r="F813" s="80">
        <f t="shared" si="37"/>
        <v>286</v>
      </c>
      <c r="G813" s="77">
        <f>Target1[[#This Row],[Target Drawdown]]/MAX($B$2:B813)</f>
        <v>-0.32112403100775194</v>
      </c>
      <c r="H813" s="1" t="str">
        <f>IF(SUM(COUNTIF(Benchmark1[Benchmark '#1 Dates],Target1[[#This Row],[Target Dates]]),COUNTIF(Benchmark2[Benchmark '#2 Dates],Target1[[#This Row],[Target Dates]]))=2,"Pass","Fail")</f>
        <v>Pass</v>
      </c>
      <c r="I813" s="78">
        <f t="shared" si="38"/>
        <v>-16.57</v>
      </c>
      <c r="K813" s="72">
        <f>Target1[[#This Row],[Target Price]]/$B$2*100</f>
        <v>203.78126817917394</v>
      </c>
      <c r="R813">
        <f>B814/Target1[[#This Row],[Target Price]]-1</f>
        <v>2.8261490151298974E-2</v>
      </c>
    </row>
    <row r="814" spans="1:18">
      <c r="A814" s="96">
        <v>44463</v>
      </c>
      <c r="B814" s="101">
        <v>36.020000000000003</v>
      </c>
      <c r="C814" s="4">
        <f t="shared" si="36"/>
        <v>2.7869502538414657E-2</v>
      </c>
      <c r="D814" s="4">
        <f>IFERROR(Target1[[#This Row],[Target Return]]+1,"-")</f>
        <v>1.0278695025384146</v>
      </c>
      <c r="E814" s="6">
        <f>B814-MAX($B$2:B814)</f>
        <v>-15.579999999999998</v>
      </c>
      <c r="F814" s="80">
        <f t="shared" si="37"/>
        <v>287</v>
      </c>
      <c r="G814" s="77">
        <f>Target1[[#This Row],[Target Drawdown]]/MAX($B$2:B814)</f>
        <v>-0.30193798449612397</v>
      </c>
      <c r="H814" s="1" t="str">
        <f>IF(SUM(COUNTIF(Benchmark1[Benchmark '#1 Dates],Target1[[#This Row],[Target Dates]]),COUNTIF(Benchmark2[Benchmark '#2 Dates],Target1[[#This Row],[Target Dates]]))=2,"Pass","Fail")</f>
        <v>Pass</v>
      </c>
      <c r="I814" s="78">
        <f t="shared" si="38"/>
        <v>-15.579999999999998</v>
      </c>
      <c r="K814" s="72">
        <f>Target1[[#This Row],[Target Price]]/$B$2*100</f>
        <v>209.54043048283887</v>
      </c>
      <c r="R814">
        <f>B815/Target1[[#This Row],[Target Price]]-1</f>
        <v>9.7168239866738393E-3</v>
      </c>
    </row>
    <row r="815" spans="1:18">
      <c r="A815" s="96">
        <v>44466</v>
      </c>
      <c r="B815" s="101">
        <v>36.369999999999997</v>
      </c>
      <c r="C815" s="4">
        <f t="shared" si="36"/>
        <v>9.669919251087419E-3</v>
      </c>
      <c r="D815" s="4">
        <f>IFERROR(Target1[[#This Row],[Target Return]]+1,"-")</f>
        <v>1.0096699192510874</v>
      </c>
      <c r="E815" s="6">
        <f>B815-MAX($B$2:B815)</f>
        <v>-15.230000000000004</v>
      </c>
      <c r="F815" s="80">
        <f t="shared" si="37"/>
        <v>288</v>
      </c>
      <c r="G815" s="77">
        <f>Target1[[#This Row],[Target Drawdown]]/MAX($B$2:B815)</f>
        <v>-0.29515503875969001</v>
      </c>
      <c r="H815" s="1" t="str">
        <f>IF(SUM(COUNTIF(Benchmark1[Benchmark '#1 Dates],Target1[[#This Row],[Target Dates]]),COUNTIF(Benchmark2[Benchmark '#2 Dates],Target1[[#This Row],[Target Dates]]))=2,"Pass","Fail")</f>
        <v>Pass</v>
      </c>
      <c r="I815" s="78">
        <f t="shared" si="38"/>
        <v>-15.230000000000004</v>
      </c>
      <c r="K815" s="72">
        <f>Target1[[#This Row],[Target Price]]/$B$2*100</f>
        <v>211.57649796393247</v>
      </c>
      <c r="R815">
        <f>B816/Target1[[#This Row],[Target Price]]-1</f>
        <v>-2.8594995875721674E-2</v>
      </c>
    </row>
    <row r="816" spans="1:18">
      <c r="A816" s="96">
        <v>44467</v>
      </c>
      <c r="B816" s="101">
        <v>35.33</v>
      </c>
      <c r="C816" s="4">
        <f t="shared" si="36"/>
        <v>-2.9011797627843741E-2</v>
      </c>
      <c r="D816" s="4">
        <f>IFERROR(Target1[[#This Row],[Target Return]]+1,"-")</f>
        <v>0.97098820237215622</v>
      </c>
      <c r="E816" s="6">
        <f>B816-MAX($B$2:B816)</f>
        <v>-16.270000000000003</v>
      </c>
      <c r="F816" s="80">
        <f t="shared" si="37"/>
        <v>289</v>
      </c>
      <c r="G816" s="77">
        <f>Target1[[#This Row],[Target Drawdown]]/MAX($B$2:B816)</f>
        <v>-0.31531007751937989</v>
      </c>
      <c r="H816" s="1" t="str">
        <f>IF(SUM(COUNTIF(Benchmark1[Benchmark '#1 Dates],Target1[[#This Row],[Target Dates]]),COUNTIF(Benchmark2[Benchmark '#2 Dates],Target1[[#This Row],[Target Dates]]))=2,"Pass","Fail")</f>
        <v>Pass</v>
      </c>
      <c r="I816" s="78">
        <f t="shared" si="38"/>
        <v>-16.270000000000003</v>
      </c>
      <c r="K816" s="72">
        <f>Target1[[#This Row],[Target Price]]/$B$2*100</f>
        <v>205.52646887725419</v>
      </c>
      <c r="R816">
        <f>B817/Target1[[#This Row],[Target Price]]-1</f>
        <v>-7.3591848287574146E-3</v>
      </c>
    </row>
    <row r="817" spans="1:18">
      <c r="A817" s="96">
        <v>44468</v>
      </c>
      <c r="B817" s="101">
        <v>35.07</v>
      </c>
      <c r="C817" s="4">
        <f t="shared" si="36"/>
        <v>-7.3863972189670982E-3</v>
      </c>
      <c r="D817" s="4">
        <f>IFERROR(Target1[[#This Row],[Target Return]]+1,"-")</f>
        <v>0.99261360278103294</v>
      </c>
      <c r="E817" s="6">
        <f>B817-MAX($B$2:B817)</f>
        <v>-16.53</v>
      </c>
      <c r="F817" s="80">
        <f t="shared" si="37"/>
        <v>290</v>
      </c>
      <c r="G817" s="77">
        <f>Target1[[#This Row],[Target Drawdown]]/MAX($B$2:B817)</f>
        <v>-0.32034883720930235</v>
      </c>
      <c r="H817" s="1" t="str">
        <f>IF(SUM(COUNTIF(Benchmark1[Benchmark '#1 Dates],Target1[[#This Row],[Target Dates]]),COUNTIF(Benchmark2[Benchmark '#2 Dates],Target1[[#This Row],[Target Dates]]))=2,"Pass","Fail")</f>
        <v>Pass</v>
      </c>
      <c r="I817" s="78">
        <f t="shared" si="38"/>
        <v>-16.53</v>
      </c>
      <c r="K817" s="72">
        <f>Target1[[#This Row],[Target Price]]/$B$2*100</f>
        <v>204.01396160558463</v>
      </c>
      <c r="R817">
        <f>B818/Target1[[#This Row],[Target Price]]-1</f>
        <v>2.4807527801539608E-2</v>
      </c>
    </row>
    <row r="818" spans="1:18">
      <c r="A818" s="96">
        <v>44469</v>
      </c>
      <c r="B818" s="101">
        <v>35.94</v>
      </c>
      <c r="C818" s="4">
        <f t="shared" si="36"/>
        <v>2.450481720332608E-2</v>
      </c>
      <c r="D818" s="4">
        <f>IFERROR(Target1[[#This Row],[Target Return]]+1,"-")</f>
        <v>1.024504817203326</v>
      </c>
      <c r="E818" s="6">
        <f>B818-MAX($B$2:B818)</f>
        <v>-15.660000000000004</v>
      </c>
      <c r="F818" s="80">
        <f t="shared" si="37"/>
        <v>291</v>
      </c>
      <c r="G818" s="77">
        <f>Target1[[#This Row],[Target Drawdown]]/MAX($B$2:B818)</f>
        <v>-0.30348837209302332</v>
      </c>
      <c r="H818" s="1" t="str">
        <f>IF(SUM(COUNTIF(Benchmark1[Benchmark '#1 Dates],Target1[[#This Row],[Target Dates]]),COUNTIF(Benchmark2[Benchmark '#2 Dates],Target1[[#This Row],[Target Dates]]))=2,"Pass","Fail")</f>
        <v>Pass</v>
      </c>
      <c r="I818" s="78">
        <f t="shared" si="38"/>
        <v>-15.660000000000004</v>
      </c>
      <c r="K818" s="72">
        <f>Target1[[#This Row],[Target Price]]/$B$2*100</f>
        <v>209.0750436300174</v>
      </c>
      <c r="R818">
        <f>B819/Target1[[#This Row],[Target Price]]-1</f>
        <v>-6.1213132999443642E-3</v>
      </c>
    </row>
    <row r="819" spans="1:18">
      <c r="A819" s="96">
        <v>44470</v>
      </c>
      <c r="B819" s="101">
        <v>35.72</v>
      </c>
      <c r="C819" s="4">
        <f t="shared" si="36"/>
        <v>-6.140125347114697E-3</v>
      </c>
      <c r="D819" s="4">
        <f>IFERROR(Target1[[#This Row],[Target Return]]+1,"-")</f>
        <v>0.99385987465288528</v>
      </c>
      <c r="E819" s="6">
        <f>B819-MAX($B$2:B819)</f>
        <v>-15.880000000000003</v>
      </c>
      <c r="F819" s="80">
        <f t="shared" si="37"/>
        <v>292</v>
      </c>
      <c r="G819" s="77">
        <f>Target1[[#This Row],[Target Drawdown]]/MAX($B$2:B819)</f>
        <v>-0.30775193798449618</v>
      </c>
      <c r="H819" s="1" t="str">
        <f>IF(SUM(COUNTIF(Benchmark1[Benchmark '#1 Dates],Target1[[#This Row],[Target Dates]]),COUNTIF(Benchmark2[Benchmark '#2 Dates],Target1[[#This Row],[Target Dates]]))=2,"Pass","Fail")</f>
        <v>Pass</v>
      </c>
      <c r="I819" s="78">
        <f t="shared" si="38"/>
        <v>-15.880000000000003</v>
      </c>
      <c r="K819" s="72">
        <f>Target1[[#This Row],[Target Price]]/$B$2*100</f>
        <v>207.79522978475856</v>
      </c>
      <c r="R819">
        <f>B820/Target1[[#This Row],[Target Price]]-1</f>
        <v>6.9988801791713851E-3</v>
      </c>
    </row>
    <row r="820" spans="1:18">
      <c r="A820" s="96">
        <v>44473</v>
      </c>
      <c r="B820" s="101">
        <v>35.97</v>
      </c>
      <c r="C820" s="4">
        <f t="shared" si="36"/>
        <v>6.9745016992343225E-3</v>
      </c>
      <c r="D820" s="4">
        <f>IFERROR(Target1[[#This Row],[Target Return]]+1,"-")</f>
        <v>1.0069745016992344</v>
      </c>
      <c r="E820" s="6">
        <f>B820-MAX($B$2:B820)</f>
        <v>-15.630000000000003</v>
      </c>
      <c r="F820" s="80">
        <f t="shared" si="37"/>
        <v>293</v>
      </c>
      <c r="G820" s="77">
        <f>Target1[[#This Row],[Target Drawdown]]/MAX($B$2:B820)</f>
        <v>-0.3029069767441861</v>
      </c>
      <c r="H820" s="1" t="str">
        <f>IF(SUM(COUNTIF(Benchmark1[Benchmark '#1 Dates],Target1[[#This Row],[Target Dates]]),COUNTIF(Benchmark2[Benchmark '#2 Dates],Target1[[#This Row],[Target Dates]]))=2,"Pass","Fail")</f>
        <v>Pass</v>
      </c>
      <c r="I820" s="78">
        <f t="shared" si="38"/>
        <v>-15.630000000000003</v>
      </c>
      <c r="K820" s="72">
        <f>Target1[[#This Row],[Target Price]]/$B$2*100</f>
        <v>209.24956369982544</v>
      </c>
      <c r="R820">
        <f>B821/Target1[[#This Row],[Target Price]]-1</f>
        <v>1.1398387545176636E-2</v>
      </c>
    </row>
    <row r="821" spans="1:18">
      <c r="A821" s="96">
        <v>44474</v>
      </c>
      <c r="B821" s="101">
        <v>36.380000000000003</v>
      </c>
      <c r="C821" s="4">
        <f t="shared" si="36"/>
        <v>1.1333915382443726E-2</v>
      </c>
      <c r="D821" s="4">
        <f>IFERROR(Target1[[#This Row],[Target Return]]+1,"-")</f>
        <v>1.0113339153824437</v>
      </c>
      <c r="E821" s="6">
        <f>B821-MAX($B$2:B821)</f>
        <v>-15.219999999999999</v>
      </c>
      <c r="F821" s="80">
        <f t="shared" si="37"/>
        <v>294</v>
      </c>
      <c r="G821" s="77">
        <f>Target1[[#This Row],[Target Drawdown]]/MAX($B$2:B821)</f>
        <v>-0.29496124031007748</v>
      </c>
      <c r="H821" s="1" t="str">
        <f>IF(SUM(COUNTIF(Benchmark1[Benchmark '#1 Dates],Target1[[#This Row],[Target Dates]]),COUNTIF(Benchmark2[Benchmark '#2 Dates],Target1[[#This Row],[Target Dates]]))=2,"Pass","Fail")</f>
        <v>Pass</v>
      </c>
      <c r="I821" s="78">
        <f t="shared" si="38"/>
        <v>-15.219999999999999</v>
      </c>
      <c r="K821" s="72">
        <f>Target1[[#This Row],[Target Price]]/$B$2*100</f>
        <v>211.63467132053518</v>
      </c>
      <c r="R821">
        <f>B822/Target1[[#This Row],[Target Price]]-1</f>
        <v>3.0236393622868896E-3</v>
      </c>
    </row>
    <row r="822" spans="1:18">
      <c r="A822" s="96">
        <v>44475</v>
      </c>
      <c r="B822" s="101">
        <v>36.49</v>
      </c>
      <c r="C822" s="4">
        <f t="shared" si="36"/>
        <v>3.0190773583799982E-3</v>
      </c>
      <c r="D822" s="4">
        <f>IFERROR(Target1[[#This Row],[Target Return]]+1,"-")</f>
        <v>1.00301907735838</v>
      </c>
      <c r="E822" s="6">
        <f>B822-MAX($B$2:B822)</f>
        <v>-15.11</v>
      </c>
      <c r="F822" s="80">
        <f t="shared" si="37"/>
        <v>295</v>
      </c>
      <c r="G822" s="77">
        <f>Target1[[#This Row],[Target Drawdown]]/MAX($B$2:B822)</f>
        <v>-0.29282945736434107</v>
      </c>
      <c r="H822" s="1" t="str">
        <f>IF(SUM(COUNTIF(Benchmark1[Benchmark '#1 Dates],Target1[[#This Row],[Target Dates]]),COUNTIF(Benchmark2[Benchmark '#2 Dates],Target1[[#This Row],[Target Dates]]))=2,"Pass","Fail")</f>
        <v>Pass</v>
      </c>
      <c r="I822" s="78">
        <f t="shared" si="38"/>
        <v>-15.11</v>
      </c>
      <c r="K822" s="72">
        <f>Target1[[#This Row],[Target Price]]/$B$2*100</f>
        <v>212.27457824316463</v>
      </c>
      <c r="R822">
        <f>B823/Target1[[#This Row],[Target Price]]-1</f>
        <v>4.65881063305007E-3</v>
      </c>
    </row>
    <row r="823" spans="1:18">
      <c r="A823" s="96">
        <v>44476</v>
      </c>
      <c r="B823" s="101">
        <v>36.659999999999997</v>
      </c>
      <c r="C823" s="4">
        <f t="shared" si="36"/>
        <v>4.6479919632026008E-3</v>
      </c>
      <c r="D823" s="4">
        <f>IFERROR(Target1[[#This Row],[Target Return]]+1,"-")</f>
        <v>1.0046479919632025</v>
      </c>
      <c r="E823" s="6">
        <f>B823-MAX($B$2:B823)</f>
        <v>-14.940000000000005</v>
      </c>
      <c r="F823" s="80">
        <f t="shared" si="37"/>
        <v>296</v>
      </c>
      <c r="G823" s="77">
        <f>Target1[[#This Row],[Target Drawdown]]/MAX($B$2:B823)</f>
        <v>-0.28953488372093034</v>
      </c>
      <c r="H823" s="1" t="str">
        <f>IF(SUM(COUNTIF(Benchmark1[Benchmark '#1 Dates],Target1[[#This Row],[Target Dates]]),COUNTIF(Benchmark2[Benchmark '#2 Dates],Target1[[#This Row],[Target Dates]]))=2,"Pass","Fail")</f>
        <v>Pass</v>
      </c>
      <c r="I823" s="78">
        <f t="shared" si="38"/>
        <v>-14.940000000000005</v>
      </c>
      <c r="K823" s="72">
        <f>Target1[[#This Row],[Target Price]]/$B$2*100</f>
        <v>213.2635253054101</v>
      </c>
      <c r="R823">
        <f>B824/Target1[[#This Row],[Target Price]]-1</f>
        <v>7.9105291871250927E-3</v>
      </c>
    </row>
    <row r="824" spans="1:18">
      <c r="A824" s="96">
        <v>44477</v>
      </c>
      <c r="B824" s="101">
        <v>36.950000000000003</v>
      </c>
      <c r="C824" s="4">
        <f t="shared" si="36"/>
        <v>7.8794049826519854E-3</v>
      </c>
      <c r="D824" s="4">
        <f>IFERROR(Target1[[#This Row],[Target Return]]+1,"-")</f>
        <v>1.007879404982652</v>
      </c>
      <c r="E824" s="6">
        <f>B824-MAX($B$2:B824)</f>
        <v>-14.649999999999999</v>
      </c>
      <c r="F824" s="80">
        <f t="shared" si="37"/>
        <v>297</v>
      </c>
      <c r="G824" s="77">
        <f>Target1[[#This Row],[Target Drawdown]]/MAX($B$2:B824)</f>
        <v>-0.28391472868217049</v>
      </c>
      <c r="H824" s="1" t="str">
        <f>IF(SUM(COUNTIF(Benchmark1[Benchmark '#1 Dates],Target1[[#This Row],[Target Dates]]),COUNTIF(Benchmark2[Benchmark '#2 Dates],Target1[[#This Row],[Target Dates]]))=2,"Pass","Fail")</f>
        <v>Pass</v>
      </c>
      <c r="I824" s="78">
        <f t="shared" si="38"/>
        <v>-14.649999999999999</v>
      </c>
      <c r="K824" s="72">
        <f>Target1[[#This Row],[Target Price]]/$B$2*100</f>
        <v>214.95055264688773</v>
      </c>
      <c r="R824">
        <f>B825/Target1[[#This Row],[Target Price]]-1</f>
        <v>-4.5466847090663065E-2</v>
      </c>
    </row>
    <row r="825" spans="1:18">
      <c r="A825" s="96">
        <v>44480</v>
      </c>
      <c r="B825" s="101">
        <v>35.270000000000003</v>
      </c>
      <c r="C825" s="4">
        <f t="shared" si="36"/>
        <v>-4.6532903146250165E-2</v>
      </c>
      <c r="D825" s="4">
        <f>IFERROR(Target1[[#This Row],[Target Return]]+1,"-")</f>
        <v>0.95346709685374986</v>
      </c>
      <c r="E825" s="6">
        <f>B825-MAX($B$2:B825)</f>
        <v>-16.329999999999998</v>
      </c>
      <c r="F825" s="80">
        <f t="shared" si="37"/>
        <v>298</v>
      </c>
      <c r="G825" s="77">
        <f>Target1[[#This Row],[Target Drawdown]]/MAX($B$2:B825)</f>
        <v>-0.31647286821705423</v>
      </c>
      <c r="H825" s="1" t="str">
        <f>IF(SUM(COUNTIF(Benchmark1[Benchmark '#1 Dates],Target1[[#This Row],[Target Dates]]),COUNTIF(Benchmark2[Benchmark '#2 Dates],Target1[[#This Row],[Target Dates]]))=2,"Pass","Fail")</f>
        <v>Pass</v>
      </c>
      <c r="I825" s="78">
        <f t="shared" si="38"/>
        <v>-16.329999999999998</v>
      </c>
      <c r="K825" s="72">
        <f>Target1[[#This Row],[Target Price]]/$B$2*100</f>
        <v>205.17742873763817</v>
      </c>
      <c r="R825">
        <f>B826/Target1[[#This Row],[Target Price]]-1</f>
        <v>-2.1548057839523849E-2</v>
      </c>
    </row>
    <row r="826" spans="1:18">
      <c r="A826" s="96">
        <v>44481</v>
      </c>
      <c r="B826" s="101">
        <v>34.51</v>
      </c>
      <c r="C826" s="4">
        <f t="shared" si="36"/>
        <v>-2.178360713804876E-2</v>
      </c>
      <c r="D826" s="4">
        <f>IFERROR(Target1[[#This Row],[Target Return]]+1,"-")</f>
        <v>0.97821639286195128</v>
      </c>
      <c r="E826" s="6">
        <f>B826-MAX($B$2:B826)</f>
        <v>-17.090000000000003</v>
      </c>
      <c r="F826" s="80">
        <f t="shared" si="37"/>
        <v>299</v>
      </c>
      <c r="G826" s="77">
        <f>Target1[[#This Row],[Target Drawdown]]/MAX($B$2:B826)</f>
        <v>-0.33120155038759697</v>
      </c>
      <c r="H826" s="1" t="str">
        <f>IF(SUM(COUNTIF(Benchmark1[Benchmark '#1 Dates],Target1[[#This Row],[Target Dates]]),COUNTIF(Benchmark2[Benchmark '#2 Dates],Target1[[#This Row],[Target Dates]]))=2,"Pass","Fail")</f>
        <v>Pass</v>
      </c>
      <c r="I826" s="78">
        <f t="shared" si="38"/>
        <v>-17.090000000000003</v>
      </c>
      <c r="K826" s="72">
        <f>Target1[[#This Row],[Target Price]]/$B$2*100</f>
        <v>200.75625363583475</v>
      </c>
      <c r="R826">
        <f>B827/Target1[[#This Row],[Target Price]]-1</f>
        <v>-2.1153288901767486E-2</v>
      </c>
    </row>
    <row r="827" spans="1:18">
      <c r="A827" s="96">
        <v>44482</v>
      </c>
      <c r="B827" s="101">
        <v>33.78</v>
      </c>
      <c r="C827" s="4">
        <f t="shared" si="36"/>
        <v>-2.1380225730257909E-2</v>
      </c>
      <c r="D827" s="4">
        <f>IFERROR(Target1[[#This Row],[Target Return]]+1,"-")</f>
        <v>0.97861977426974212</v>
      </c>
      <c r="E827" s="6">
        <f>B827-MAX($B$2:B827)</f>
        <v>-17.82</v>
      </c>
      <c r="F827" s="80">
        <f t="shared" si="37"/>
        <v>300</v>
      </c>
      <c r="G827" s="77">
        <f>Target1[[#This Row],[Target Drawdown]]/MAX($B$2:B827)</f>
        <v>-0.34534883720930232</v>
      </c>
      <c r="H827" s="1" t="str">
        <f>IF(SUM(COUNTIF(Benchmark1[Benchmark '#1 Dates],Target1[[#This Row],[Target Dates]]),COUNTIF(Benchmark2[Benchmark '#2 Dates],Target1[[#This Row],[Target Dates]]))=2,"Pass","Fail")</f>
        <v>Pass</v>
      </c>
      <c r="I827" s="78">
        <f t="shared" si="38"/>
        <v>-17.82</v>
      </c>
      <c r="K827" s="72">
        <f>Target1[[#This Row],[Target Price]]/$B$2*100</f>
        <v>196.50959860383944</v>
      </c>
      <c r="R827">
        <f>B828/Target1[[#This Row],[Target Price]]-1</f>
        <v>2.3090586145648295E-2</v>
      </c>
    </row>
    <row r="828" spans="1:18">
      <c r="A828" s="96">
        <v>44483</v>
      </c>
      <c r="B828" s="101">
        <v>34.56</v>
      </c>
      <c r="C828" s="4">
        <f t="shared" si="36"/>
        <v>2.282803255620084E-2</v>
      </c>
      <c r="D828" s="4">
        <f>IFERROR(Target1[[#This Row],[Target Return]]+1,"-")</f>
        <v>1.0228280325562009</v>
      </c>
      <c r="E828" s="6">
        <f>B828-MAX($B$2:B828)</f>
        <v>-17.04</v>
      </c>
      <c r="F828" s="80">
        <f t="shared" si="37"/>
        <v>301</v>
      </c>
      <c r="G828" s="77">
        <f>Target1[[#This Row],[Target Drawdown]]/MAX($B$2:B828)</f>
        <v>-0.33023255813953484</v>
      </c>
      <c r="H828" s="1" t="str">
        <f>IF(SUM(COUNTIF(Benchmark1[Benchmark '#1 Dates],Target1[[#This Row],[Target Dates]]),COUNTIF(Benchmark2[Benchmark '#2 Dates],Target1[[#This Row],[Target Dates]]))=2,"Pass","Fail")</f>
        <v>Pass</v>
      </c>
      <c r="I828" s="78">
        <f t="shared" si="38"/>
        <v>-17.04</v>
      </c>
      <c r="K828" s="72">
        <f>Target1[[#This Row],[Target Price]]/$B$2*100</f>
        <v>201.04712041884815</v>
      </c>
      <c r="R828">
        <f>B829/Target1[[#This Row],[Target Price]]-1</f>
        <v>-7.812500000000111E-3</v>
      </c>
    </row>
    <row r="829" spans="1:18">
      <c r="A829" s="96">
        <v>44484</v>
      </c>
      <c r="B829" s="101">
        <v>34.29</v>
      </c>
      <c r="C829" s="4">
        <f t="shared" si="36"/>
        <v>-7.8431774610260054E-3</v>
      </c>
      <c r="D829" s="4">
        <f>IFERROR(Target1[[#This Row],[Target Return]]+1,"-")</f>
        <v>0.99215682253897397</v>
      </c>
      <c r="E829" s="6">
        <f>B829-MAX($B$2:B829)</f>
        <v>-17.310000000000002</v>
      </c>
      <c r="F829" s="80">
        <f t="shared" si="37"/>
        <v>302</v>
      </c>
      <c r="G829" s="77">
        <f>Target1[[#This Row],[Target Drawdown]]/MAX($B$2:B829)</f>
        <v>-0.33546511627906977</v>
      </c>
      <c r="H829" s="1" t="str">
        <f>IF(SUM(COUNTIF(Benchmark1[Benchmark '#1 Dates],Target1[[#This Row],[Target Dates]]),COUNTIF(Benchmark2[Benchmark '#2 Dates],Target1[[#This Row],[Target Dates]]))=2,"Pass","Fail")</f>
        <v>Pass</v>
      </c>
      <c r="I829" s="78">
        <f t="shared" si="38"/>
        <v>-17.310000000000002</v>
      </c>
      <c r="K829" s="72">
        <f>Target1[[#This Row],[Target Price]]/$B$2*100</f>
        <v>199.47643979057591</v>
      </c>
      <c r="R829">
        <f>B830/Target1[[#This Row],[Target Price]]-1</f>
        <v>-3.2662583843686144E-2</v>
      </c>
    </row>
    <row r="830" spans="1:18">
      <c r="A830" s="96">
        <v>44487</v>
      </c>
      <c r="B830" s="101">
        <v>33.17</v>
      </c>
      <c r="C830" s="4">
        <f t="shared" si="36"/>
        <v>-3.3207913515867861E-2</v>
      </c>
      <c r="D830" s="4">
        <f>IFERROR(Target1[[#This Row],[Target Return]]+1,"-")</f>
        <v>0.96679208648413217</v>
      </c>
      <c r="E830" s="6">
        <f>B830-MAX($B$2:B830)</f>
        <v>-18.43</v>
      </c>
      <c r="F830" s="80">
        <f t="shared" si="37"/>
        <v>303</v>
      </c>
      <c r="G830" s="77">
        <f>Target1[[#This Row],[Target Drawdown]]/MAX($B$2:B830)</f>
        <v>-0.35717054263565889</v>
      </c>
      <c r="H830" s="1" t="str">
        <f>IF(SUM(COUNTIF(Benchmark1[Benchmark '#1 Dates],Target1[[#This Row],[Target Dates]]),COUNTIF(Benchmark2[Benchmark '#2 Dates],Target1[[#This Row],[Target Dates]]))=2,"Pass","Fail")</f>
        <v>Pass</v>
      </c>
      <c r="I830" s="78">
        <f t="shared" si="38"/>
        <v>-18.43</v>
      </c>
      <c r="K830" s="72">
        <f>Target1[[#This Row],[Target Price]]/$B$2*100</f>
        <v>192.96102385107622</v>
      </c>
      <c r="R830">
        <f>B831/Target1[[#This Row],[Target Price]]-1</f>
        <v>3.0750678323786529E-2</v>
      </c>
    </row>
    <row r="831" spans="1:18">
      <c r="A831" s="96">
        <v>44488</v>
      </c>
      <c r="B831" s="101">
        <v>34.19</v>
      </c>
      <c r="C831" s="4">
        <f t="shared" si="36"/>
        <v>3.0287350692248843E-2</v>
      </c>
      <c r="D831" s="4">
        <f>IFERROR(Target1[[#This Row],[Target Return]]+1,"-")</f>
        <v>1.0302873506922487</v>
      </c>
      <c r="E831" s="6">
        <f>B831-MAX($B$2:B831)</f>
        <v>-17.410000000000004</v>
      </c>
      <c r="F831" s="80">
        <f t="shared" si="37"/>
        <v>304</v>
      </c>
      <c r="G831" s="77">
        <f>Target1[[#This Row],[Target Drawdown]]/MAX($B$2:B831)</f>
        <v>-0.33740310077519386</v>
      </c>
      <c r="H831" s="1" t="str">
        <f>IF(SUM(COUNTIF(Benchmark1[Benchmark '#1 Dates],Target1[[#This Row],[Target Dates]]),COUNTIF(Benchmark2[Benchmark '#2 Dates],Target1[[#This Row],[Target Dates]]))=2,"Pass","Fail")</f>
        <v>Pass</v>
      </c>
      <c r="I831" s="78">
        <f t="shared" si="38"/>
        <v>-17.410000000000004</v>
      </c>
      <c r="K831" s="72">
        <f>Target1[[#This Row],[Target Price]]/$B$2*100</f>
        <v>198.89470622454911</v>
      </c>
      <c r="R831">
        <f>B832/Target1[[#This Row],[Target Price]]-1</f>
        <v>3.0710734132787465E-2</v>
      </c>
    </row>
    <row r="832" spans="1:18">
      <c r="A832" s="96">
        <v>44489</v>
      </c>
      <c r="B832" s="101">
        <v>35.24</v>
      </c>
      <c r="C832" s="4">
        <f t="shared" si="36"/>
        <v>3.0248597416768937E-2</v>
      </c>
      <c r="D832" s="4">
        <f>IFERROR(Target1[[#This Row],[Target Return]]+1,"-")</f>
        <v>1.030248597416769</v>
      </c>
      <c r="E832" s="6">
        <f>B832-MAX($B$2:B832)</f>
        <v>-16.36</v>
      </c>
      <c r="F832" s="80">
        <f t="shared" si="37"/>
        <v>305</v>
      </c>
      <c r="G832" s="77">
        <f>Target1[[#This Row],[Target Drawdown]]/MAX($B$2:B832)</f>
        <v>-0.31705426356589145</v>
      </c>
      <c r="H832" s="1" t="str">
        <f>IF(SUM(COUNTIF(Benchmark1[Benchmark '#1 Dates],Target1[[#This Row],[Target Dates]]),COUNTIF(Benchmark2[Benchmark '#2 Dates],Target1[[#This Row],[Target Dates]]))=2,"Pass","Fail")</f>
        <v>Pass</v>
      </c>
      <c r="I832" s="78">
        <f t="shared" si="38"/>
        <v>-16.36</v>
      </c>
      <c r="K832" s="72">
        <f>Target1[[#This Row],[Target Price]]/$B$2*100</f>
        <v>205.00290866783013</v>
      </c>
      <c r="R832">
        <f>B833/Target1[[#This Row],[Target Price]]-1</f>
        <v>-2.6106696935300877E-2</v>
      </c>
    </row>
    <row r="833" spans="1:18">
      <c r="A833" s="96">
        <v>44490</v>
      </c>
      <c r="B833" s="101">
        <v>34.32</v>
      </c>
      <c r="C833" s="4">
        <f t="shared" si="36"/>
        <v>-2.6453526448217312E-2</v>
      </c>
      <c r="D833" s="4">
        <f>IFERROR(Target1[[#This Row],[Target Return]]+1,"-")</f>
        <v>0.9735464735517827</v>
      </c>
      <c r="E833" s="6">
        <f>B833-MAX($B$2:B833)</f>
        <v>-17.28</v>
      </c>
      <c r="F833" s="80">
        <f t="shared" si="37"/>
        <v>306</v>
      </c>
      <c r="G833" s="77">
        <f>Target1[[#This Row],[Target Drawdown]]/MAX($B$2:B833)</f>
        <v>-0.33488372093023255</v>
      </c>
      <c r="H833" s="1" t="str">
        <f>IF(SUM(COUNTIF(Benchmark1[Benchmark '#1 Dates],Target1[[#This Row],[Target Dates]]),COUNTIF(Benchmark2[Benchmark '#2 Dates],Target1[[#This Row],[Target Dates]]))=2,"Pass","Fail")</f>
        <v>Pass</v>
      </c>
      <c r="I833" s="78">
        <f t="shared" si="38"/>
        <v>-17.28</v>
      </c>
      <c r="K833" s="72">
        <f>Target1[[#This Row],[Target Price]]/$B$2*100</f>
        <v>199.65095986038392</v>
      </c>
      <c r="R833">
        <f>B834/Target1[[#This Row],[Target Price]]-1</f>
        <v>-2.7680652680652784E-2</v>
      </c>
    </row>
    <row r="834" spans="1:18">
      <c r="A834" s="96">
        <v>44491</v>
      </c>
      <c r="B834" s="101">
        <v>33.369999999999997</v>
      </c>
      <c r="C834" s="4">
        <f t="shared" ref="C834:C897" si="39">IFERROR(IF(B834="","-",LN(B834/B833)),"-")</f>
        <v>-2.8070981856478997E-2</v>
      </c>
      <c r="D834" s="4">
        <f>IFERROR(Target1[[#This Row],[Target Return]]+1,"-")</f>
        <v>0.97192901814352095</v>
      </c>
      <c r="E834" s="6">
        <f>B834-MAX($B$2:B834)</f>
        <v>-18.230000000000004</v>
      </c>
      <c r="F834" s="80">
        <f t="shared" ref="F834:F897" si="40">IF(E834=0,0,F833+1)</f>
        <v>307</v>
      </c>
      <c r="G834" s="77">
        <f>Target1[[#This Row],[Target Drawdown]]/MAX($B$2:B834)</f>
        <v>-0.35329457364341094</v>
      </c>
      <c r="H834" s="1" t="str">
        <f>IF(SUM(COUNTIF(Benchmark1[Benchmark '#1 Dates],Target1[[#This Row],[Target Dates]]),COUNTIF(Benchmark2[Benchmark '#2 Dates],Target1[[#This Row],[Target Dates]]))=2,"Pass","Fail")</f>
        <v>Pass</v>
      </c>
      <c r="I834" s="78">
        <f t="shared" ref="I834:I897" si="41">$E$2+E834</f>
        <v>-18.230000000000004</v>
      </c>
      <c r="K834" s="72">
        <f>Target1[[#This Row],[Target Price]]/$B$2*100</f>
        <v>194.1244909831297</v>
      </c>
      <c r="R834">
        <f>B835/Target1[[#This Row],[Target Price]]-1</f>
        <v>1.2885825591848921E-2</v>
      </c>
    </row>
    <row r="835" spans="1:18">
      <c r="A835" s="96">
        <v>44494</v>
      </c>
      <c r="B835" s="101">
        <v>33.799999999999997</v>
      </c>
      <c r="C835" s="4">
        <f t="shared" si="39"/>
        <v>1.2803509725690412E-2</v>
      </c>
      <c r="D835" s="4">
        <f>IFERROR(Target1[[#This Row],[Target Return]]+1,"-")</f>
        <v>1.0128035097256904</v>
      </c>
      <c r="E835" s="6">
        <f>B835-MAX($B$2:B835)</f>
        <v>-17.800000000000004</v>
      </c>
      <c r="F835" s="80">
        <f t="shared" si="40"/>
        <v>308</v>
      </c>
      <c r="G835" s="77">
        <f>Target1[[#This Row],[Target Drawdown]]/MAX($B$2:B835)</f>
        <v>-0.34496124031007758</v>
      </c>
      <c r="H835" s="1" t="str">
        <f>IF(SUM(COUNTIF(Benchmark1[Benchmark '#1 Dates],Target1[[#This Row],[Target Dates]]),COUNTIF(Benchmark2[Benchmark '#2 Dates],Target1[[#This Row],[Target Dates]]))=2,"Pass","Fail")</f>
        <v>Pass</v>
      </c>
      <c r="I835" s="78">
        <f t="shared" si="41"/>
        <v>-17.800000000000004</v>
      </c>
      <c r="K835" s="72">
        <f>Target1[[#This Row],[Target Price]]/$B$2*100</f>
        <v>196.62594531704477</v>
      </c>
      <c r="R835">
        <f>B836/Target1[[#This Row],[Target Price]]-1</f>
        <v>1.2130177514793061E-2</v>
      </c>
    </row>
    <row r="836" spans="1:18">
      <c r="A836" s="96">
        <v>44495</v>
      </c>
      <c r="B836" s="101">
        <v>34.21</v>
      </c>
      <c r="C836" s="4">
        <f t="shared" si="39"/>
        <v>1.2057196500540372E-2</v>
      </c>
      <c r="D836" s="4">
        <f>IFERROR(Target1[[#This Row],[Target Return]]+1,"-")</f>
        <v>1.0120571965005403</v>
      </c>
      <c r="E836" s="6">
        <f>B836-MAX($B$2:B836)</f>
        <v>-17.39</v>
      </c>
      <c r="F836" s="80">
        <f t="shared" si="40"/>
        <v>309</v>
      </c>
      <c r="G836" s="77">
        <f>Target1[[#This Row],[Target Drawdown]]/MAX($B$2:B836)</f>
        <v>-0.33701550387596901</v>
      </c>
      <c r="H836" s="1" t="str">
        <f>IF(SUM(COUNTIF(Benchmark1[Benchmark '#1 Dates],Target1[[#This Row],[Target Dates]]),COUNTIF(Benchmark2[Benchmark '#2 Dates],Target1[[#This Row],[Target Dates]]))=2,"Pass","Fail")</f>
        <v>Pass</v>
      </c>
      <c r="I836" s="78">
        <f t="shared" si="41"/>
        <v>-17.39</v>
      </c>
      <c r="K836" s="72">
        <f>Target1[[#This Row],[Target Price]]/$B$2*100</f>
        <v>199.0110529377545</v>
      </c>
      <c r="R836">
        <f>B837/Target1[[#This Row],[Target Price]]-1</f>
        <v>-1.05232388190587E-2</v>
      </c>
    </row>
    <row r="837" spans="1:18">
      <c r="A837" s="96">
        <v>44496</v>
      </c>
      <c r="B837" s="101">
        <v>33.85</v>
      </c>
      <c r="C837" s="4">
        <f t="shared" si="39"/>
        <v>-1.0578999631229255E-2</v>
      </c>
      <c r="D837" s="4">
        <f>IFERROR(Target1[[#This Row],[Target Return]]+1,"-")</f>
        <v>0.98942100036877079</v>
      </c>
      <c r="E837" s="6">
        <f>B837-MAX($B$2:B837)</f>
        <v>-17.75</v>
      </c>
      <c r="F837" s="80">
        <f t="shared" si="40"/>
        <v>310</v>
      </c>
      <c r="G837" s="77">
        <f>Target1[[#This Row],[Target Drawdown]]/MAX($B$2:B837)</f>
        <v>-0.3439922480620155</v>
      </c>
      <c r="H837" s="1" t="str">
        <f>IF(SUM(COUNTIF(Benchmark1[Benchmark '#1 Dates],Target1[[#This Row],[Target Dates]]),COUNTIF(Benchmark2[Benchmark '#2 Dates],Target1[[#This Row],[Target Dates]]))=2,"Pass","Fail")</f>
        <v>Pass</v>
      </c>
      <c r="I837" s="78">
        <f t="shared" si="41"/>
        <v>-17.75</v>
      </c>
      <c r="K837" s="72">
        <f>Target1[[#This Row],[Target Price]]/$B$2*100</f>
        <v>196.91681210005817</v>
      </c>
      <c r="R837">
        <f>B838/Target1[[#This Row],[Target Price]]-1</f>
        <v>3.2496307237814825E-3</v>
      </c>
    </row>
    <row r="838" spans="1:18">
      <c r="A838" s="96">
        <v>44497</v>
      </c>
      <c r="B838" s="101">
        <v>33.96</v>
      </c>
      <c r="C838" s="4">
        <f t="shared" si="39"/>
        <v>3.2443620848626609E-3</v>
      </c>
      <c r="D838" s="4">
        <f>IFERROR(Target1[[#This Row],[Target Return]]+1,"-")</f>
        <v>1.0032443620848626</v>
      </c>
      <c r="E838" s="6">
        <f>B838-MAX($B$2:B838)</f>
        <v>-17.64</v>
      </c>
      <c r="F838" s="80">
        <f t="shared" si="40"/>
        <v>311</v>
      </c>
      <c r="G838" s="77">
        <f>Target1[[#This Row],[Target Drawdown]]/MAX($B$2:B838)</f>
        <v>-0.34186046511627904</v>
      </c>
      <c r="H838" s="1" t="str">
        <f>IF(SUM(COUNTIF(Benchmark1[Benchmark '#1 Dates],Target1[[#This Row],[Target Dates]]),COUNTIF(Benchmark2[Benchmark '#2 Dates],Target1[[#This Row],[Target Dates]]))=2,"Pass","Fail")</f>
        <v>Pass</v>
      </c>
      <c r="I838" s="78">
        <f t="shared" si="41"/>
        <v>-17.64</v>
      </c>
      <c r="K838" s="72">
        <f>Target1[[#This Row],[Target Price]]/$B$2*100</f>
        <v>197.55671902268762</v>
      </c>
      <c r="R838">
        <f>B839/Target1[[#This Row],[Target Price]]-1</f>
        <v>4.5347467608951586E-2</v>
      </c>
    </row>
    <row r="839" spans="1:18">
      <c r="A839" s="96">
        <v>44498</v>
      </c>
      <c r="B839" s="101">
        <v>35.5</v>
      </c>
      <c r="C839" s="4">
        <f t="shared" si="39"/>
        <v>4.4349335038223428E-2</v>
      </c>
      <c r="D839" s="4">
        <f>IFERROR(Target1[[#This Row],[Target Return]]+1,"-")</f>
        <v>1.0443493350382234</v>
      </c>
      <c r="E839" s="6">
        <f>B839-MAX($B$2:B839)</f>
        <v>-16.100000000000001</v>
      </c>
      <c r="F839" s="80">
        <f t="shared" si="40"/>
        <v>312</v>
      </c>
      <c r="G839" s="77">
        <f>Target1[[#This Row],[Target Drawdown]]/MAX($B$2:B839)</f>
        <v>-0.31201550387596899</v>
      </c>
      <c r="H839" s="1" t="str">
        <f>IF(SUM(COUNTIF(Benchmark1[Benchmark '#1 Dates],Target1[[#This Row],[Target Dates]]),COUNTIF(Benchmark2[Benchmark '#2 Dates],Target1[[#This Row],[Target Dates]]))=2,"Pass","Fail")</f>
        <v>Pass</v>
      </c>
      <c r="I839" s="78">
        <f t="shared" si="41"/>
        <v>-16.100000000000001</v>
      </c>
      <c r="K839" s="72">
        <f>Target1[[#This Row],[Target Price]]/$B$2*100</f>
        <v>206.51541593949969</v>
      </c>
      <c r="R839">
        <f>B840/Target1[[#This Row],[Target Price]]-1</f>
        <v>6.1971830985915632E-2</v>
      </c>
    </row>
    <row r="840" spans="1:18">
      <c r="A840" s="96">
        <v>44501</v>
      </c>
      <c r="B840" s="101">
        <v>37.700000000000003</v>
      </c>
      <c r="C840" s="4">
        <f t="shared" si="39"/>
        <v>6.0127397972595101E-2</v>
      </c>
      <c r="D840" s="4">
        <f>IFERROR(Target1[[#This Row],[Target Return]]+1,"-")</f>
        <v>1.0601273979725951</v>
      </c>
      <c r="E840" s="6">
        <f>B840-MAX($B$2:B840)</f>
        <v>-13.899999999999999</v>
      </c>
      <c r="F840" s="80">
        <f t="shared" si="40"/>
        <v>313</v>
      </c>
      <c r="G840" s="77">
        <f>Target1[[#This Row],[Target Drawdown]]/MAX($B$2:B840)</f>
        <v>-0.26937984496124029</v>
      </c>
      <c r="H840" s="1" t="str">
        <f>IF(SUM(COUNTIF(Benchmark1[Benchmark '#1 Dates],Target1[[#This Row],[Target Dates]]),COUNTIF(Benchmark2[Benchmark '#2 Dates],Target1[[#This Row],[Target Dates]]))=2,"Pass","Fail")</f>
        <v>Pass</v>
      </c>
      <c r="I840" s="78">
        <f t="shared" si="41"/>
        <v>-13.899999999999999</v>
      </c>
      <c r="K840" s="72">
        <f>Target1[[#This Row],[Target Price]]/$B$2*100</f>
        <v>219.31355439208841</v>
      </c>
      <c r="R840">
        <f>B841/Target1[[#This Row],[Target Price]]-1</f>
        <v>-3.7931034482758585E-2</v>
      </c>
    </row>
    <row r="841" spans="1:18">
      <c r="A841" s="96">
        <v>44502</v>
      </c>
      <c r="B841" s="101">
        <v>36.270000000000003</v>
      </c>
      <c r="C841" s="4">
        <f t="shared" si="39"/>
        <v>-3.8669141159154048E-2</v>
      </c>
      <c r="D841" s="4">
        <f>IFERROR(Target1[[#This Row],[Target Return]]+1,"-")</f>
        <v>0.9613308588408459</v>
      </c>
      <c r="E841" s="6">
        <f>B841-MAX($B$2:B841)</f>
        <v>-15.329999999999998</v>
      </c>
      <c r="F841" s="80">
        <f t="shared" si="40"/>
        <v>314</v>
      </c>
      <c r="G841" s="77">
        <f>Target1[[#This Row],[Target Drawdown]]/MAX($B$2:B841)</f>
        <v>-0.29709302325581394</v>
      </c>
      <c r="H841" s="1" t="str">
        <f>IF(SUM(COUNTIF(Benchmark1[Benchmark '#1 Dates],Target1[[#This Row],[Target Dates]]),COUNTIF(Benchmark2[Benchmark '#2 Dates],Target1[[#This Row],[Target Dates]]))=2,"Pass","Fail")</f>
        <v>Pass</v>
      </c>
      <c r="I841" s="78">
        <f t="shared" si="41"/>
        <v>-15.329999999999998</v>
      </c>
      <c r="K841" s="72">
        <f>Target1[[#This Row],[Target Price]]/$B$2*100</f>
        <v>210.99476439790575</v>
      </c>
      <c r="R841">
        <f>B842/Target1[[#This Row],[Target Price]]-1</f>
        <v>2.0126826578439339E-2</v>
      </c>
    </row>
    <row r="842" spans="1:18">
      <c r="A842" s="96">
        <v>44503</v>
      </c>
      <c r="B842" s="101">
        <v>37</v>
      </c>
      <c r="C842" s="4">
        <f t="shared" si="39"/>
        <v>1.9926959349413308E-2</v>
      </c>
      <c r="D842" s="4">
        <f>IFERROR(Target1[[#This Row],[Target Return]]+1,"-")</f>
        <v>1.0199269593494134</v>
      </c>
      <c r="E842" s="6">
        <f>B842-MAX($B$2:B842)</f>
        <v>-14.600000000000001</v>
      </c>
      <c r="F842" s="80">
        <f t="shared" si="40"/>
        <v>315</v>
      </c>
      <c r="G842" s="77">
        <f>Target1[[#This Row],[Target Drawdown]]/MAX($B$2:B842)</f>
        <v>-0.28294573643410853</v>
      </c>
      <c r="H842" s="1" t="str">
        <f>IF(SUM(COUNTIF(Benchmark1[Benchmark '#1 Dates],Target1[[#This Row],[Target Dates]]),COUNTIF(Benchmark2[Benchmark '#2 Dates],Target1[[#This Row],[Target Dates]]))=2,"Pass","Fail")</f>
        <v>Pass</v>
      </c>
      <c r="I842" s="78">
        <f t="shared" si="41"/>
        <v>-14.600000000000001</v>
      </c>
      <c r="K842" s="72">
        <f>Target1[[#This Row],[Target Price]]/$B$2*100</f>
        <v>215.2414194299011</v>
      </c>
      <c r="R842">
        <f>B843/Target1[[#This Row],[Target Price]]-1</f>
        <v>-1.43243243243244E-2</v>
      </c>
    </row>
    <row r="843" spans="1:18">
      <c r="A843" s="96">
        <v>44504</v>
      </c>
      <c r="B843" s="101">
        <v>36.47</v>
      </c>
      <c r="C843" s="4">
        <f t="shared" si="39"/>
        <v>-1.4427907823635667E-2</v>
      </c>
      <c r="D843" s="4">
        <f>IFERROR(Target1[[#This Row],[Target Return]]+1,"-")</f>
        <v>0.98557209217636432</v>
      </c>
      <c r="E843" s="6">
        <f>B843-MAX($B$2:B843)</f>
        <v>-15.130000000000003</v>
      </c>
      <c r="F843" s="80">
        <f t="shared" si="40"/>
        <v>316</v>
      </c>
      <c r="G843" s="77">
        <f>Target1[[#This Row],[Target Drawdown]]/MAX($B$2:B843)</f>
        <v>-0.29321705426356592</v>
      </c>
      <c r="H843" s="1" t="str">
        <f>IF(SUM(COUNTIF(Benchmark1[Benchmark '#1 Dates],Target1[[#This Row],[Target Dates]]),COUNTIF(Benchmark2[Benchmark '#2 Dates],Target1[[#This Row],[Target Dates]]))=2,"Pass","Fail")</f>
        <v>Pass</v>
      </c>
      <c r="I843" s="78">
        <f t="shared" si="41"/>
        <v>-15.130000000000003</v>
      </c>
      <c r="K843" s="72">
        <f>Target1[[#This Row],[Target Price]]/$B$2*100</f>
        <v>212.15823152995927</v>
      </c>
      <c r="R843">
        <f>B844/Target1[[#This Row],[Target Price]]-1</f>
        <v>-7.1291472443103521E-3</v>
      </c>
    </row>
    <row r="844" spans="1:18">
      <c r="A844" s="96">
        <v>44505</v>
      </c>
      <c r="B844" s="101">
        <v>36.21</v>
      </c>
      <c r="C844" s="4">
        <f t="shared" si="39"/>
        <v>-7.1546810430389903E-3</v>
      </c>
      <c r="D844" s="4">
        <f>IFERROR(Target1[[#This Row],[Target Return]]+1,"-")</f>
        <v>0.99284531895696104</v>
      </c>
      <c r="E844" s="6">
        <f>B844-MAX($B$2:B844)</f>
        <v>-15.39</v>
      </c>
      <c r="F844" s="80">
        <f t="shared" si="40"/>
        <v>317</v>
      </c>
      <c r="G844" s="77">
        <f>Target1[[#This Row],[Target Drawdown]]/MAX($B$2:B844)</f>
        <v>-0.29825581395348838</v>
      </c>
      <c r="H844" s="1" t="str">
        <f>IF(SUM(COUNTIF(Benchmark1[Benchmark '#1 Dates],Target1[[#This Row],[Target Dates]]),COUNTIF(Benchmark2[Benchmark '#2 Dates],Target1[[#This Row],[Target Dates]]))=2,"Pass","Fail")</f>
        <v>Pass</v>
      </c>
      <c r="I844" s="78">
        <f t="shared" si="41"/>
        <v>-15.39</v>
      </c>
      <c r="K844" s="72">
        <f>Target1[[#This Row],[Target Price]]/$B$2*100</f>
        <v>210.6457242582897</v>
      </c>
      <c r="R844">
        <f>B845/Target1[[#This Row],[Target Price]]-1</f>
        <v>-8.285004142502217E-3</v>
      </c>
    </row>
    <row r="845" spans="1:18">
      <c r="A845" s="96">
        <v>44508</v>
      </c>
      <c r="B845" s="101">
        <v>35.909999999999997</v>
      </c>
      <c r="C845" s="4">
        <f t="shared" si="39"/>
        <v>-8.3195155395584999E-3</v>
      </c>
      <c r="D845" s="4">
        <f>IFERROR(Target1[[#This Row],[Target Return]]+1,"-")</f>
        <v>0.99168048446044155</v>
      </c>
      <c r="E845" s="6">
        <f>B845-MAX($B$2:B845)</f>
        <v>-15.690000000000005</v>
      </c>
      <c r="F845" s="80">
        <f t="shared" si="40"/>
        <v>318</v>
      </c>
      <c r="G845" s="77">
        <f>Target1[[#This Row],[Target Drawdown]]/MAX($B$2:B845)</f>
        <v>-0.30406976744186054</v>
      </c>
      <c r="H845" s="1" t="str">
        <f>IF(SUM(COUNTIF(Benchmark1[Benchmark '#1 Dates],Target1[[#This Row],[Target Dates]]),COUNTIF(Benchmark2[Benchmark '#2 Dates],Target1[[#This Row],[Target Dates]]))=2,"Pass","Fail")</f>
        <v>Pass</v>
      </c>
      <c r="I845" s="78">
        <f t="shared" si="41"/>
        <v>-15.690000000000005</v>
      </c>
      <c r="K845" s="72">
        <f>Target1[[#This Row],[Target Price]]/$B$2*100</f>
        <v>208.90052356020939</v>
      </c>
      <c r="R845">
        <f>B846/Target1[[#This Row],[Target Price]]-1</f>
        <v>-6.9618490671122801E-3</v>
      </c>
    </row>
    <row r="846" spans="1:18">
      <c r="A846" s="96">
        <v>44509</v>
      </c>
      <c r="B846" s="101">
        <v>35.659999999999997</v>
      </c>
      <c r="C846" s="4">
        <f t="shared" si="39"/>
        <v>-6.9861958029971772E-3</v>
      </c>
      <c r="D846" s="4">
        <f>IFERROR(Target1[[#This Row],[Target Return]]+1,"-")</f>
        <v>0.9930138041970028</v>
      </c>
      <c r="E846" s="6">
        <f>B846-MAX($B$2:B846)</f>
        <v>-15.940000000000005</v>
      </c>
      <c r="F846" s="80">
        <f t="shared" si="40"/>
        <v>319</v>
      </c>
      <c r="G846" s="77">
        <f>Target1[[#This Row],[Target Drawdown]]/MAX($B$2:B846)</f>
        <v>-0.30891472868217063</v>
      </c>
      <c r="H846" s="1" t="str">
        <f>IF(SUM(COUNTIF(Benchmark1[Benchmark '#1 Dates],Target1[[#This Row],[Target Dates]]),COUNTIF(Benchmark2[Benchmark '#2 Dates],Target1[[#This Row],[Target Dates]]))=2,"Pass","Fail")</f>
        <v>Pass</v>
      </c>
      <c r="I846" s="78">
        <f t="shared" si="41"/>
        <v>-15.940000000000005</v>
      </c>
      <c r="K846" s="72">
        <f>Target1[[#This Row],[Target Price]]/$B$2*100</f>
        <v>207.44618964514251</v>
      </c>
      <c r="R846">
        <f>B847/Target1[[#This Row],[Target Price]]-1</f>
        <v>2.5238362310713303E-3</v>
      </c>
    </row>
    <row r="847" spans="1:18">
      <c r="A847" s="96">
        <v>44510</v>
      </c>
      <c r="B847" s="101">
        <v>35.75</v>
      </c>
      <c r="C847" s="4">
        <f t="shared" si="39"/>
        <v>2.5206567050224133E-3</v>
      </c>
      <c r="D847" s="4">
        <f>IFERROR(Target1[[#This Row],[Target Return]]+1,"-")</f>
        <v>1.0025206567050224</v>
      </c>
      <c r="E847" s="6">
        <f>B847-MAX($B$2:B847)</f>
        <v>-15.850000000000001</v>
      </c>
      <c r="F847" s="80">
        <f t="shared" si="40"/>
        <v>320</v>
      </c>
      <c r="G847" s="77">
        <f>Target1[[#This Row],[Target Drawdown]]/MAX($B$2:B847)</f>
        <v>-0.30717054263565896</v>
      </c>
      <c r="H847" s="1" t="str">
        <f>IF(SUM(COUNTIF(Benchmark1[Benchmark '#1 Dates],Target1[[#This Row],[Target Dates]]),COUNTIF(Benchmark2[Benchmark '#2 Dates],Target1[[#This Row],[Target Dates]]))=2,"Pass","Fail")</f>
        <v>Pass</v>
      </c>
      <c r="I847" s="78">
        <f t="shared" si="41"/>
        <v>-15.850000000000001</v>
      </c>
      <c r="K847" s="72">
        <f>Target1[[#This Row],[Target Price]]/$B$2*100</f>
        <v>207.9697498545666</v>
      </c>
      <c r="R847">
        <f>B848/Target1[[#This Row],[Target Price]]-1</f>
        <v>-1.1188811188811432E-3</v>
      </c>
    </row>
    <row r="848" spans="1:18">
      <c r="A848" s="96">
        <v>44511</v>
      </c>
      <c r="B848" s="101">
        <v>35.71</v>
      </c>
      <c r="C848" s="4">
        <f t="shared" si="39"/>
        <v>-1.1195075336596094E-3</v>
      </c>
      <c r="D848" s="4">
        <f>IFERROR(Target1[[#This Row],[Target Return]]+1,"-")</f>
        <v>0.99888049246634036</v>
      </c>
      <c r="E848" s="6">
        <f>B848-MAX($B$2:B848)</f>
        <v>-15.89</v>
      </c>
      <c r="F848" s="80">
        <f t="shared" si="40"/>
        <v>321</v>
      </c>
      <c r="G848" s="77">
        <f>Target1[[#This Row],[Target Drawdown]]/MAX($B$2:B848)</f>
        <v>-0.30794573643410855</v>
      </c>
      <c r="H848" s="1" t="str">
        <f>IF(SUM(COUNTIF(Benchmark1[Benchmark '#1 Dates],Target1[[#This Row],[Target Dates]]),COUNTIF(Benchmark2[Benchmark '#2 Dates],Target1[[#This Row],[Target Dates]]))=2,"Pass","Fail")</f>
        <v>Pass</v>
      </c>
      <c r="I848" s="78">
        <f t="shared" si="41"/>
        <v>-15.89</v>
      </c>
      <c r="K848" s="72">
        <f>Target1[[#This Row],[Target Price]]/$B$2*100</f>
        <v>207.73705642815591</v>
      </c>
      <c r="R848">
        <f>B849/Target1[[#This Row],[Target Price]]-1</f>
        <v>1.4281713805656571E-2</v>
      </c>
    </row>
    <row r="849" spans="1:18">
      <c r="A849" s="96">
        <v>44512</v>
      </c>
      <c r="B849" s="101">
        <v>36.22</v>
      </c>
      <c r="C849" s="4">
        <f t="shared" si="39"/>
        <v>1.4180690848910141E-2</v>
      </c>
      <c r="D849" s="4">
        <f>IFERROR(Target1[[#This Row],[Target Return]]+1,"-")</f>
        <v>1.0141806908489102</v>
      </c>
      <c r="E849" s="6">
        <f>B849-MAX($B$2:B849)</f>
        <v>-15.380000000000003</v>
      </c>
      <c r="F849" s="80">
        <f t="shared" si="40"/>
        <v>322</v>
      </c>
      <c r="G849" s="77">
        <f>Target1[[#This Row],[Target Drawdown]]/MAX($B$2:B849)</f>
        <v>-0.29806201550387601</v>
      </c>
      <c r="H849" s="1" t="str">
        <f>IF(SUM(COUNTIF(Benchmark1[Benchmark '#1 Dates],Target1[[#This Row],[Target Dates]]),COUNTIF(Benchmark2[Benchmark '#2 Dates],Target1[[#This Row],[Target Dates]]))=2,"Pass","Fail")</f>
        <v>Pass</v>
      </c>
      <c r="I849" s="78">
        <f t="shared" si="41"/>
        <v>-15.380000000000003</v>
      </c>
      <c r="K849" s="72">
        <f>Target1[[#This Row],[Target Price]]/$B$2*100</f>
        <v>210.70389761489236</v>
      </c>
      <c r="R849">
        <f>B850/Target1[[#This Row],[Target Price]]-1</f>
        <v>-5.5218111540583648E-3</v>
      </c>
    </row>
    <row r="850" spans="1:18">
      <c r="A850" s="96">
        <v>44515</v>
      </c>
      <c r="B850" s="101">
        <v>36.020000000000003</v>
      </c>
      <c r="C850" s="4">
        <f t="shared" si="39"/>
        <v>-5.5371127074571366E-3</v>
      </c>
      <c r="D850" s="4">
        <f>IFERROR(Target1[[#This Row],[Target Return]]+1,"-")</f>
        <v>0.99446288729254284</v>
      </c>
      <c r="E850" s="6">
        <f>B850-MAX($B$2:B850)</f>
        <v>-15.579999999999998</v>
      </c>
      <c r="F850" s="80">
        <f t="shared" si="40"/>
        <v>323</v>
      </c>
      <c r="G850" s="77">
        <f>Target1[[#This Row],[Target Drawdown]]/MAX($B$2:B850)</f>
        <v>-0.30193798449612397</v>
      </c>
      <c r="H850" s="1" t="str">
        <f>IF(SUM(COUNTIF(Benchmark1[Benchmark '#1 Dates],Target1[[#This Row],[Target Dates]]),COUNTIF(Benchmark2[Benchmark '#2 Dates],Target1[[#This Row],[Target Dates]]))=2,"Pass","Fail")</f>
        <v>Pass</v>
      </c>
      <c r="I850" s="78">
        <f t="shared" si="41"/>
        <v>-15.579999999999998</v>
      </c>
      <c r="K850" s="72">
        <f>Target1[[#This Row],[Target Price]]/$B$2*100</f>
        <v>209.54043048283887</v>
      </c>
      <c r="R850">
        <f>B851/Target1[[#This Row],[Target Price]]-1</f>
        <v>7.4958356468628473E-3</v>
      </c>
    </row>
    <row r="851" spans="1:18">
      <c r="A851" s="96">
        <v>44516</v>
      </c>
      <c r="B851" s="101">
        <v>36.29</v>
      </c>
      <c r="C851" s="4">
        <f t="shared" si="39"/>
        <v>7.467881477168938E-3</v>
      </c>
      <c r="D851" s="4">
        <f>IFERROR(Target1[[#This Row],[Target Return]]+1,"-")</f>
        <v>1.0074678814771689</v>
      </c>
      <c r="E851" s="6">
        <f>B851-MAX($B$2:B851)</f>
        <v>-15.310000000000002</v>
      </c>
      <c r="F851" s="80">
        <f t="shared" si="40"/>
        <v>324</v>
      </c>
      <c r="G851" s="77">
        <f>Target1[[#This Row],[Target Drawdown]]/MAX($B$2:B851)</f>
        <v>-0.2967054263565892</v>
      </c>
      <c r="H851" s="1" t="str">
        <f>IF(SUM(COUNTIF(Benchmark1[Benchmark '#1 Dates],Target1[[#This Row],[Target Dates]]),COUNTIF(Benchmark2[Benchmark '#2 Dates],Target1[[#This Row],[Target Dates]]))=2,"Pass","Fail")</f>
        <v>Pass</v>
      </c>
      <c r="I851" s="78">
        <f t="shared" si="41"/>
        <v>-15.310000000000002</v>
      </c>
      <c r="K851" s="72">
        <f>Target1[[#This Row],[Target Price]]/$B$2*100</f>
        <v>211.11111111111109</v>
      </c>
      <c r="R851">
        <f>B852/Target1[[#This Row],[Target Price]]-1</f>
        <v>-6.3378341140809535E-3</v>
      </c>
    </row>
    <row r="852" spans="1:18">
      <c r="A852" s="96">
        <v>44517</v>
      </c>
      <c r="B852" s="101">
        <v>36.06</v>
      </c>
      <c r="C852" s="4">
        <f t="shared" si="39"/>
        <v>-6.3580034498076921E-3</v>
      </c>
      <c r="D852" s="4">
        <f>IFERROR(Target1[[#This Row],[Target Return]]+1,"-")</f>
        <v>0.99364199655019236</v>
      </c>
      <c r="E852" s="6">
        <f>B852-MAX($B$2:B852)</f>
        <v>-15.54</v>
      </c>
      <c r="F852" s="80">
        <f t="shared" si="40"/>
        <v>325</v>
      </c>
      <c r="G852" s="77">
        <f>Target1[[#This Row],[Target Drawdown]]/MAX($B$2:B852)</f>
        <v>-0.30116279069767438</v>
      </c>
      <c r="H852" s="1" t="str">
        <f>IF(SUM(COUNTIF(Benchmark1[Benchmark '#1 Dates],Target1[[#This Row],[Target Dates]]),COUNTIF(Benchmark2[Benchmark '#2 Dates],Target1[[#This Row],[Target Dates]]))=2,"Pass","Fail")</f>
        <v>Pass</v>
      </c>
      <c r="I852" s="78">
        <f t="shared" si="41"/>
        <v>-15.54</v>
      </c>
      <c r="K852" s="72">
        <f>Target1[[#This Row],[Target Price]]/$B$2*100</f>
        <v>209.77312390924956</v>
      </c>
      <c r="R852">
        <f>B853/Target1[[#This Row],[Target Price]]-1</f>
        <v>2.0798668885191329E-2</v>
      </c>
    </row>
    <row r="853" spans="1:18">
      <c r="A853" s="96">
        <v>44518</v>
      </c>
      <c r="B853" s="101">
        <v>36.81</v>
      </c>
      <c r="C853" s="4">
        <f t="shared" si="39"/>
        <v>2.058532961575853E-2</v>
      </c>
      <c r="D853" s="4">
        <f>IFERROR(Target1[[#This Row],[Target Return]]+1,"-")</f>
        <v>1.0205853296157585</v>
      </c>
      <c r="E853" s="6">
        <f>B853-MAX($B$2:B853)</f>
        <v>-14.79</v>
      </c>
      <c r="F853" s="80">
        <f t="shared" si="40"/>
        <v>326</v>
      </c>
      <c r="G853" s="77">
        <f>Target1[[#This Row],[Target Drawdown]]/MAX($B$2:B853)</f>
        <v>-0.28662790697674417</v>
      </c>
      <c r="H853" s="1" t="str">
        <f>IF(SUM(COUNTIF(Benchmark1[Benchmark '#1 Dates],Target1[[#This Row],[Target Dates]]),COUNTIF(Benchmark2[Benchmark '#2 Dates],Target1[[#This Row],[Target Dates]]))=2,"Pass","Fail")</f>
        <v>Pass</v>
      </c>
      <c r="I853" s="78">
        <f t="shared" si="41"/>
        <v>-14.79</v>
      </c>
      <c r="K853" s="72">
        <f>Target1[[#This Row],[Target Price]]/$B$2*100</f>
        <v>214.13612565445024</v>
      </c>
      <c r="R853">
        <f>B854/Target1[[#This Row],[Target Price]]-1</f>
        <v>7.8782939418635678E-3</v>
      </c>
    </row>
    <row r="854" spans="1:18">
      <c r="A854" s="96">
        <v>44519</v>
      </c>
      <c r="B854" s="101">
        <v>37.1</v>
      </c>
      <c r="C854" s="4">
        <f t="shared" si="39"/>
        <v>7.847422222459639E-3</v>
      </c>
      <c r="D854" s="4">
        <f>IFERROR(Target1[[#This Row],[Target Return]]+1,"-")</f>
        <v>1.0078474222224596</v>
      </c>
      <c r="E854" s="6">
        <f>B854-MAX($B$2:B854)</f>
        <v>-14.5</v>
      </c>
      <c r="F854" s="80">
        <f t="shared" si="40"/>
        <v>327</v>
      </c>
      <c r="G854" s="77">
        <f>Target1[[#This Row],[Target Drawdown]]/MAX($B$2:B854)</f>
        <v>-0.2810077519379845</v>
      </c>
      <c r="H854" s="1" t="str">
        <f>IF(SUM(COUNTIF(Benchmark1[Benchmark '#1 Dates],Target1[[#This Row],[Target Dates]]),COUNTIF(Benchmark2[Benchmark '#2 Dates],Target1[[#This Row],[Target Dates]]))=2,"Pass","Fail")</f>
        <v>Pass</v>
      </c>
      <c r="I854" s="78">
        <f t="shared" si="41"/>
        <v>-14.5</v>
      </c>
      <c r="K854" s="72">
        <f>Target1[[#This Row],[Target Price]]/$B$2*100</f>
        <v>215.82315299592784</v>
      </c>
      <c r="R854">
        <f>B855/Target1[[#This Row],[Target Price]]-1</f>
        <v>-1.913746630727764E-2</v>
      </c>
    </row>
    <row r="855" spans="1:18">
      <c r="A855" s="96">
        <v>44522</v>
      </c>
      <c r="B855" s="101">
        <v>36.39</v>
      </c>
      <c r="C855" s="4">
        <f t="shared" si="39"/>
        <v>-1.9322957989321012E-2</v>
      </c>
      <c r="D855" s="4">
        <f>IFERROR(Target1[[#This Row],[Target Return]]+1,"-")</f>
        <v>0.98067704201067896</v>
      </c>
      <c r="E855" s="6">
        <f>B855-MAX($B$2:B855)</f>
        <v>-15.21</v>
      </c>
      <c r="F855" s="80">
        <f t="shared" si="40"/>
        <v>328</v>
      </c>
      <c r="G855" s="77">
        <f>Target1[[#This Row],[Target Drawdown]]/MAX($B$2:B855)</f>
        <v>-0.29476744186046511</v>
      </c>
      <c r="H855" s="1" t="str">
        <f>IF(SUM(COUNTIF(Benchmark1[Benchmark '#1 Dates],Target1[[#This Row],[Target Dates]]),COUNTIF(Benchmark2[Benchmark '#2 Dates],Target1[[#This Row],[Target Dates]]))=2,"Pass","Fail")</f>
        <v>Pass</v>
      </c>
      <c r="I855" s="78">
        <f t="shared" si="41"/>
        <v>-15.21</v>
      </c>
      <c r="K855" s="72">
        <f>Target1[[#This Row],[Target Price]]/$B$2*100</f>
        <v>211.69284467713788</v>
      </c>
      <c r="R855">
        <f>B856/Target1[[#This Row],[Target Price]]-1</f>
        <v>-2.445726848035179E-2</v>
      </c>
    </row>
    <row r="856" spans="1:18">
      <c r="A856" s="96">
        <v>44523</v>
      </c>
      <c r="B856" s="101">
        <v>35.5</v>
      </c>
      <c r="C856" s="4">
        <f t="shared" si="39"/>
        <v>-2.476131514269839E-2</v>
      </c>
      <c r="D856" s="4">
        <f>IFERROR(Target1[[#This Row],[Target Return]]+1,"-")</f>
        <v>0.97523868485730159</v>
      </c>
      <c r="E856" s="6">
        <f>B856-MAX($B$2:B856)</f>
        <v>-16.100000000000001</v>
      </c>
      <c r="F856" s="80">
        <f t="shared" si="40"/>
        <v>329</v>
      </c>
      <c r="G856" s="77">
        <f>Target1[[#This Row],[Target Drawdown]]/MAX($B$2:B856)</f>
        <v>-0.31201550387596899</v>
      </c>
      <c r="H856" s="1" t="str">
        <f>IF(SUM(COUNTIF(Benchmark1[Benchmark '#1 Dates],Target1[[#This Row],[Target Dates]]),COUNTIF(Benchmark2[Benchmark '#2 Dates],Target1[[#This Row],[Target Dates]]))=2,"Pass","Fail")</f>
        <v>Pass</v>
      </c>
      <c r="I856" s="78">
        <f t="shared" si="41"/>
        <v>-16.100000000000001</v>
      </c>
      <c r="K856" s="72">
        <f>Target1[[#This Row],[Target Price]]/$B$2*100</f>
        <v>206.51541593949969</v>
      </c>
      <c r="R856">
        <f>B857/Target1[[#This Row],[Target Price]]-1</f>
        <v>1.9718309859155791E-3</v>
      </c>
    </row>
    <row r="857" spans="1:18">
      <c r="A857" s="96">
        <v>44524</v>
      </c>
      <c r="B857" s="101">
        <v>35.57</v>
      </c>
      <c r="C857" s="4">
        <f t="shared" si="39"/>
        <v>1.969889478993805E-3</v>
      </c>
      <c r="D857" s="4">
        <f>IFERROR(Target1[[#This Row],[Target Return]]+1,"-")</f>
        <v>1.0019698894789939</v>
      </c>
      <c r="E857" s="6">
        <f>B857-MAX($B$2:B857)</f>
        <v>-16.03</v>
      </c>
      <c r="F857" s="80">
        <f t="shared" si="40"/>
        <v>330</v>
      </c>
      <c r="G857" s="77">
        <f>Target1[[#This Row],[Target Drawdown]]/MAX($B$2:B857)</f>
        <v>-0.31065891472868218</v>
      </c>
      <c r="H857" s="1" t="str">
        <f>IF(SUM(COUNTIF(Benchmark1[Benchmark '#1 Dates],Target1[[#This Row],[Target Dates]]),COUNTIF(Benchmark2[Benchmark '#2 Dates],Target1[[#This Row],[Target Dates]]))=2,"Pass","Fail")</f>
        <v>Pass</v>
      </c>
      <c r="I857" s="78">
        <f t="shared" si="41"/>
        <v>-16.03</v>
      </c>
      <c r="K857" s="72">
        <f>Target1[[#This Row],[Target Price]]/$B$2*100</f>
        <v>206.92262943571845</v>
      </c>
      <c r="R857">
        <f>B858/Target1[[#This Row],[Target Price]]-1</f>
        <v>2.2209727298285076E-2</v>
      </c>
    </row>
    <row r="858" spans="1:18">
      <c r="A858" s="96">
        <v>44526</v>
      </c>
      <c r="B858" s="101">
        <v>36.36</v>
      </c>
      <c r="C858" s="4">
        <f t="shared" si="39"/>
        <v>2.1966683348914259E-2</v>
      </c>
      <c r="D858" s="4">
        <f>IFERROR(Target1[[#This Row],[Target Return]]+1,"-")</f>
        <v>1.0219666833489143</v>
      </c>
      <c r="E858" s="6">
        <f>B858-MAX($B$2:B858)</f>
        <v>-15.240000000000002</v>
      </c>
      <c r="F858" s="80">
        <f t="shared" si="40"/>
        <v>331</v>
      </c>
      <c r="G858" s="77">
        <f>Target1[[#This Row],[Target Drawdown]]/MAX($B$2:B858)</f>
        <v>-0.29534883720930233</v>
      </c>
      <c r="H858" s="1" t="str">
        <f>IF(SUM(COUNTIF(Benchmark1[Benchmark '#1 Dates],Target1[[#This Row],[Target Dates]]),COUNTIF(Benchmark2[Benchmark '#2 Dates],Target1[[#This Row],[Target Dates]]))=2,"Pass","Fail")</f>
        <v>Pass</v>
      </c>
      <c r="I858" s="78">
        <f t="shared" si="41"/>
        <v>-15.240000000000002</v>
      </c>
      <c r="K858" s="72">
        <f>Target1[[#This Row],[Target Price]]/$B$2*100</f>
        <v>211.51832460732982</v>
      </c>
      <c r="R858">
        <f>B859/Target1[[#This Row],[Target Price]]-1</f>
        <v>-5.3080308030803103E-2</v>
      </c>
    </row>
    <row r="859" spans="1:18">
      <c r="A859" s="96">
        <v>44529</v>
      </c>
      <c r="B859" s="101">
        <v>34.43</v>
      </c>
      <c r="C859" s="4">
        <f t="shared" si="39"/>
        <v>-5.4540991958845715E-2</v>
      </c>
      <c r="D859" s="4">
        <f>IFERROR(Target1[[#This Row],[Target Return]]+1,"-")</f>
        <v>0.94545900804115424</v>
      </c>
      <c r="E859" s="6">
        <f>B859-MAX($B$2:B859)</f>
        <v>-17.170000000000002</v>
      </c>
      <c r="F859" s="80">
        <f t="shared" si="40"/>
        <v>332</v>
      </c>
      <c r="G859" s="77">
        <f>Target1[[#This Row],[Target Drawdown]]/MAX($B$2:B859)</f>
        <v>-0.33275193798449615</v>
      </c>
      <c r="H859" s="1" t="str">
        <f>IF(SUM(COUNTIF(Benchmark1[Benchmark '#1 Dates],Target1[[#This Row],[Target Dates]]),COUNTIF(Benchmark2[Benchmark '#2 Dates],Target1[[#This Row],[Target Dates]]))=2,"Pass","Fail")</f>
        <v>Pass</v>
      </c>
      <c r="I859" s="78">
        <f t="shared" si="41"/>
        <v>-17.170000000000002</v>
      </c>
      <c r="K859" s="72">
        <f>Target1[[#This Row],[Target Price]]/$B$2*100</f>
        <v>200.29086678301334</v>
      </c>
      <c r="R859">
        <f>B860/Target1[[#This Row],[Target Price]]-1</f>
        <v>-8.7133313970373383E-3</v>
      </c>
    </row>
    <row r="860" spans="1:18">
      <c r="A860" s="96">
        <v>44530</v>
      </c>
      <c r="B860" s="101">
        <v>34.130000000000003</v>
      </c>
      <c r="C860" s="4">
        <f t="shared" si="39"/>
        <v>-8.7515144318165896E-3</v>
      </c>
      <c r="D860" s="4">
        <f>IFERROR(Target1[[#This Row],[Target Return]]+1,"-")</f>
        <v>0.99124848556818346</v>
      </c>
      <c r="E860" s="6">
        <f>B860-MAX($B$2:B860)</f>
        <v>-17.47</v>
      </c>
      <c r="F860" s="80">
        <f t="shared" si="40"/>
        <v>333</v>
      </c>
      <c r="G860" s="77">
        <f>Target1[[#This Row],[Target Drawdown]]/MAX($B$2:B860)</f>
        <v>-0.3385658914728682</v>
      </c>
      <c r="H860" s="1" t="str">
        <f>IF(SUM(COUNTIF(Benchmark1[Benchmark '#1 Dates],Target1[[#This Row],[Target Dates]]),COUNTIF(Benchmark2[Benchmark '#2 Dates],Target1[[#This Row],[Target Dates]]))=2,"Pass","Fail")</f>
        <v>Pass</v>
      </c>
      <c r="I860" s="78">
        <f t="shared" si="41"/>
        <v>-17.47</v>
      </c>
      <c r="K860" s="72">
        <f>Target1[[#This Row],[Target Price]]/$B$2*100</f>
        <v>198.54566608493309</v>
      </c>
      <c r="R860">
        <f>B861/Target1[[#This Row],[Target Price]]-1</f>
        <v>-2.6662760035159772E-2</v>
      </c>
    </row>
    <row r="861" spans="1:18">
      <c r="A861" s="96">
        <v>44531</v>
      </c>
      <c r="B861" s="101">
        <v>33.22</v>
      </c>
      <c r="C861" s="4">
        <f t="shared" si="39"/>
        <v>-2.702465873346695E-2</v>
      </c>
      <c r="D861" s="4">
        <f>IFERROR(Target1[[#This Row],[Target Return]]+1,"-")</f>
        <v>0.97297534126653307</v>
      </c>
      <c r="E861" s="6">
        <f>B861-MAX($B$2:B861)</f>
        <v>-18.380000000000003</v>
      </c>
      <c r="F861" s="80">
        <f t="shared" si="40"/>
        <v>334</v>
      </c>
      <c r="G861" s="77">
        <f>Target1[[#This Row],[Target Drawdown]]/MAX($B$2:B861)</f>
        <v>-0.35620155038759693</v>
      </c>
      <c r="H861" s="1" t="str">
        <f>IF(SUM(COUNTIF(Benchmark1[Benchmark '#1 Dates],Target1[[#This Row],[Target Dates]]),COUNTIF(Benchmark2[Benchmark '#2 Dates],Target1[[#This Row],[Target Dates]]))=2,"Pass","Fail")</f>
        <v>Pass</v>
      </c>
      <c r="I861" s="78">
        <f t="shared" si="41"/>
        <v>-18.380000000000003</v>
      </c>
      <c r="K861" s="72">
        <f>Target1[[#This Row],[Target Price]]/$B$2*100</f>
        <v>193.25189063408956</v>
      </c>
      <c r="R861">
        <f>B862/Target1[[#This Row],[Target Price]]-1</f>
        <v>7.8266104756170574E-3</v>
      </c>
    </row>
    <row r="862" spans="1:18">
      <c r="A862" s="96">
        <v>44532</v>
      </c>
      <c r="B862" s="101">
        <v>33.479999999999997</v>
      </c>
      <c r="C862" s="4">
        <f t="shared" si="39"/>
        <v>7.7961414361257166E-3</v>
      </c>
      <c r="D862" s="4">
        <f>IFERROR(Target1[[#This Row],[Target Return]]+1,"-")</f>
        <v>1.0077961414361256</v>
      </c>
      <c r="E862" s="6">
        <f>B862-MAX($B$2:B862)</f>
        <v>-18.120000000000005</v>
      </c>
      <c r="F862" s="80">
        <f t="shared" si="40"/>
        <v>335</v>
      </c>
      <c r="G862" s="77">
        <f>Target1[[#This Row],[Target Drawdown]]/MAX($B$2:B862)</f>
        <v>-0.35116279069767448</v>
      </c>
      <c r="H862" s="1" t="str">
        <f>IF(SUM(COUNTIF(Benchmark1[Benchmark '#1 Dates],Target1[[#This Row],[Target Dates]]),COUNTIF(Benchmark2[Benchmark '#2 Dates],Target1[[#This Row],[Target Dates]]))=2,"Pass","Fail")</f>
        <v>Pass</v>
      </c>
      <c r="I862" s="78">
        <f t="shared" si="41"/>
        <v>-18.120000000000005</v>
      </c>
      <c r="K862" s="72">
        <f>Target1[[#This Row],[Target Price]]/$B$2*100</f>
        <v>194.76439790575913</v>
      </c>
      <c r="R862">
        <f>B863/Target1[[#This Row],[Target Price]]-1</f>
        <v>-2.6284348864993867E-2</v>
      </c>
    </row>
    <row r="863" spans="1:18">
      <c r="A863" s="96">
        <v>44533</v>
      </c>
      <c r="B863" s="101">
        <v>32.6</v>
      </c>
      <c r="C863" s="4">
        <f t="shared" si="39"/>
        <v>-2.6635957248612448E-2</v>
      </c>
      <c r="D863" s="4">
        <f>IFERROR(Target1[[#This Row],[Target Return]]+1,"-")</f>
        <v>0.97336404275138755</v>
      </c>
      <c r="E863" s="6">
        <f>B863-MAX($B$2:B863)</f>
        <v>-19</v>
      </c>
      <c r="F863" s="80">
        <f t="shared" si="40"/>
        <v>336</v>
      </c>
      <c r="G863" s="77">
        <f>Target1[[#This Row],[Target Drawdown]]/MAX($B$2:B863)</f>
        <v>-0.36821705426356588</v>
      </c>
      <c r="H863" s="1" t="str">
        <f>IF(SUM(COUNTIF(Benchmark1[Benchmark '#1 Dates],Target1[[#This Row],[Target Dates]]),COUNTIF(Benchmark2[Benchmark '#2 Dates],Target1[[#This Row],[Target Dates]]))=2,"Pass","Fail")</f>
        <v>Pass</v>
      </c>
      <c r="I863" s="78">
        <f t="shared" si="41"/>
        <v>-19</v>
      </c>
      <c r="K863" s="72">
        <f>Target1[[#This Row],[Target Price]]/$B$2*100</f>
        <v>189.64514252472367</v>
      </c>
      <c r="R863">
        <f>B864/Target1[[#This Row],[Target Price]]-1</f>
        <v>9.2024539877311184E-4</v>
      </c>
    </row>
    <row r="864" spans="1:18">
      <c r="A864" s="96">
        <v>44536</v>
      </c>
      <c r="B864" s="101">
        <v>32.630000000000003</v>
      </c>
      <c r="C864" s="4">
        <f t="shared" si="39"/>
        <v>9.1982223256740039E-4</v>
      </c>
      <c r="D864" s="4">
        <f>IFERROR(Target1[[#This Row],[Target Return]]+1,"-")</f>
        <v>1.0009198222325675</v>
      </c>
      <c r="E864" s="6">
        <f>B864-MAX($B$2:B864)</f>
        <v>-18.97</v>
      </c>
      <c r="F864" s="80">
        <f t="shared" si="40"/>
        <v>337</v>
      </c>
      <c r="G864" s="77">
        <f>Target1[[#This Row],[Target Drawdown]]/MAX($B$2:B864)</f>
        <v>-0.36763565891472866</v>
      </c>
      <c r="H864" s="1" t="str">
        <f>IF(SUM(COUNTIF(Benchmark1[Benchmark '#1 Dates],Target1[[#This Row],[Target Dates]]),COUNTIF(Benchmark2[Benchmark '#2 Dates],Target1[[#This Row],[Target Dates]]))=2,"Pass","Fail")</f>
        <v>Pass</v>
      </c>
      <c r="I864" s="78">
        <f t="shared" si="41"/>
        <v>-18.97</v>
      </c>
      <c r="K864" s="72">
        <f>Target1[[#This Row],[Target Price]]/$B$2*100</f>
        <v>189.81966259453171</v>
      </c>
      <c r="R864">
        <f>B865/Target1[[#This Row],[Target Price]]-1</f>
        <v>2.2678516702420826E-2</v>
      </c>
    </row>
    <row r="865" spans="1:18">
      <c r="A865" s="96">
        <v>44537</v>
      </c>
      <c r="B865" s="101">
        <v>33.369999999999997</v>
      </c>
      <c r="C865" s="4">
        <f t="shared" si="39"/>
        <v>2.2425182158053131E-2</v>
      </c>
      <c r="D865" s="4">
        <f>IFERROR(Target1[[#This Row],[Target Return]]+1,"-")</f>
        <v>1.0224251821580532</v>
      </c>
      <c r="E865" s="6">
        <f>B865-MAX($B$2:B865)</f>
        <v>-18.230000000000004</v>
      </c>
      <c r="F865" s="80">
        <f t="shared" si="40"/>
        <v>338</v>
      </c>
      <c r="G865" s="77">
        <f>Target1[[#This Row],[Target Drawdown]]/MAX($B$2:B865)</f>
        <v>-0.35329457364341094</v>
      </c>
      <c r="H865" s="1" t="str">
        <f>IF(SUM(COUNTIF(Benchmark1[Benchmark '#1 Dates],Target1[[#This Row],[Target Dates]]),COUNTIF(Benchmark2[Benchmark '#2 Dates],Target1[[#This Row],[Target Dates]]))=2,"Pass","Fail")</f>
        <v>Pass</v>
      </c>
      <c r="I865" s="78">
        <f t="shared" si="41"/>
        <v>-18.230000000000004</v>
      </c>
      <c r="K865" s="72">
        <f>Target1[[#This Row],[Target Price]]/$B$2*100</f>
        <v>194.1244909831297</v>
      </c>
      <c r="R865">
        <f>B866/Target1[[#This Row],[Target Price]]-1</f>
        <v>2.1576266107282249E-2</v>
      </c>
    </row>
    <row r="866" spans="1:18">
      <c r="A866" s="96">
        <v>44538</v>
      </c>
      <c r="B866" s="101">
        <v>34.090000000000003</v>
      </c>
      <c r="C866" s="4">
        <f t="shared" si="39"/>
        <v>2.1346793386529343E-2</v>
      </c>
      <c r="D866" s="4">
        <f>IFERROR(Target1[[#This Row],[Target Return]]+1,"-")</f>
        <v>1.0213467933865295</v>
      </c>
      <c r="E866" s="6">
        <f>B866-MAX($B$2:B866)</f>
        <v>-17.509999999999998</v>
      </c>
      <c r="F866" s="80">
        <f t="shared" si="40"/>
        <v>339</v>
      </c>
      <c r="G866" s="77">
        <f>Target1[[#This Row],[Target Drawdown]]/MAX($B$2:B866)</f>
        <v>-0.33934108527131779</v>
      </c>
      <c r="H866" s="1" t="str">
        <f>IF(SUM(COUNTIF(Benchmark1[Benchmark '#1 Dates],Target1[[#This Row],[Target Dates]]),COUNTIF(Benchmark2[Benchmark '#2 Dates],Target1[[#This Row],[Target Dates]]))=2,"Pass","Fail")</f>
        <v>Pass</v>
      </c>
      <c r="I866" s="78">
        <f t="shared" si="41"/>
        <v>-17.509999999999998</v>
      </c>
      <c r="K866" s="72">
        <f>Target1[[#This Row],[Target Price]]/$B$2*100</f>
        <v>198.31297265852243</v>
      </c>
      <c r="R866">
        <f>B867/Target1[[#This Row],[Target Price]]-1</f>
        <v>-7.4215312408331013E-2</v>
      </c>
    </row>
    <row r="867" spans="1:18">
      <c r="A867" s="96">
        <v>44539</v>
      </c>
      <c r="B867" s="101">
        <v>31.56</v>
      </c>
      <c r="C867" s="4">
        <f t="shared" si="39"/>
        <v>-7.7113590172138369E-2</v>
      </c>
      <c r="D867" s="4">
        <f>IFERROR(Target1[[#This Row],[Target Return]]+1,"-")</f>
        <v>0.92288640982786163</v>
      </c>
      <c r="E867" s="6">
        <f>B867-MAX($B$2:B867)</f>
        <v>-20.040000000000003</v>
      </c>
      <c r="F867" s="80">
        <f t="shared" si="40"/>
        <v>340</v>
      </c>
      <c r="G867" s="77">
        <f>Target1[[#This Row],[Target Drawdown]]/MAX($B$2:B867)</f>
        <v>-0.38837209302325587</v>
      </c>
      <c r="H867" s="1" t="str">
        <f>IF(SUM(COUNTIF(Benchmark1[Benchmark '#1 Dates],Target1[[#This Row],[Target Dates]]),COUNTIF(Benchmark2[Benchmark '#2 Dates],Target1[[#This Row],[Target Dates]]))=2,"Pass","Fail")</f>
        <v>Pass</v>
      </c>
      <c r="I867" s="78">
        <f t="shared" si="41"/>
        <v>-20.040000000000003</v>
      </c>
      <c r="K867" s="72">
        <f>Target1[[#This Row],[Target Price]]/$B$2*100</f>
        <v>183.59511343804536</v>
      </c>
      <c r="R867">
        <f>B868/Target1[[#This Row],[Target Price]]-1</f>
        <v>6.0202788339671631E-3</v>
      </c>
    </row>
    <row r="868" spans="1:18">
      <c r="A868" s="96">
        <v>44540</v>
      </c>
      <c r="B868" s="101">
        <v>31.75</v>
      </c>
      <c r="C868" s="4">
        <f t="shared" si="39"/>
        <v>6.0022293610272762E-3</v>
      </c>
      <c r="D868" s="4">
        <f>IFERROR(Target1[[#This Row],[Target Return]]+1,"-")</f>
        <v>1.0060022293610273</v>
      </c>
      <c r="E868" s="6">
        <f>B868-MAX($B$2:B868)</f>
        <v>-19.850000000000001</v>
      </c>
      <c r="F868" s="80">
        <f t="shared" si="40"/>
        <v>341</v>
      </c>
      <c r="G868" s="77">
        <f>Target1[[#This Row],[Target Drawdown]]/MAX($B$2:B868)</f>
        <v>-0.38468992248062017</v>
      </c>
      <c r="H868" s="1" t="str">
        <f>IF(SUM(COUNTIF(Benchmark1[Benchmark '#1 Dates],Target1[[#This Row],[Target Dates]]),COUNTIF(Benchmark2[Benchmark '#2 Dates],Target1[[#This Row],[Target Dates]]))=2,"Pass","Fail")</f>
        <v>Pass</v>
      </c>
      <c r="I868" s="78">
        <f t="shared" si="41"/>
        <v>-19.850000000000001</v>
      </c>
      <c r="K868" s="72">
        <f>Target1[[#This Row],[Target Price]]/$B$2*100</f>
        <v>184.70040721349622</v>
      </c>
      <c r="R868">
        <f>B869/Target1[[#This Row],[Target Price]]-1</f>
        <v>0</v>
      </c>
    </row>
    <row r="869" spans="1:18">
      <c r="A869" s="96">
        <v>44543</v>
      </c>
      <c r="B869" s="101">
        <v>31.75</v>
      </c>
      <c r="C869" s="4">
        <f t="shared" si="39"/>
        <v>0</v>
      </c>
      <c r="D869" s="4">
        <f>IFERROR(Target1[[#This Row],[Target Return]]+1,"-")</f>
        <v>1</v>
      </c>
      <c r="E869" s="6">
        <f>B869-MAX($B$2:B869)</f>
        <v>-19.850000000000001</v>
      </c>
      <c r="F869" s="80">
        <f t="shared" si="40"/>
        <v>342</v>
      </c>
      <c r="G869" s="77">
        <f>Target1[[#This Row],[Target Drawdown]]/MAX($B$2:B869)</f>
        <v>-0.38468992248062017</v>
      </c>
      <c r="H869" s="1" t="str">
        <f>IF(SUM(COUNTIF(Benchmark1[Benchmark '#1 Dates],Target1[[#This Row],[Target Dates]]),COUNTIF(Benchmark2[Benchmark '#2 Dates],Target1[[#This Row],[Target Dates]]))=2,"Pass","Fail")</f>
        <v>Pass</v>
      </c>
      <c r="I869" s="78">
        <f t="shared" si="41"/>
        <v>-19.850000000000001</v>
      </c>
      <c r="K869" s="72">
        <f>Target1[[#This Row],[Target Price]]/$B$2*100</f>
        <v>184.70040721349622</v>
      </c>
      <c r="R869">
        <f>B870/Target1[[#This Row],[Target Price]]-1</f>
        <v>-3.1496062992126816E-3</v>
      </c>
    </row>
    <row r="870" spans="1:18">
      <c r="A870" s="96">
        <v>44544</v>
      </c>
      <c r="B870" s="101">
        <v>31.65</v>
      </c>
      <c r="C870" s="4">
        <f t="shared" si="39"/>
        <v>-3.1545767485155439E-3</v>
      </c>
      <c r="D870" s="4">
        <f>IFERROR(Target1[[#This Row],[Target Return]]+1,"-")</f>
        <v>0.99684542325148451</v>
      </c>
      <c r="E870" s="6">
        <f>B870-MAX($B$2:B870)</f>
        <v>-19.950000000000003</v>
      </c>
      <c r="F870" s="80">
        <f t="shared" si="40"/>
        <v>343</v>
      </c>
      <c r="G870" s="77">
        <f>Target1[[#This Row],[Target Drawdown]]/MAX($B$2:B870)</f>
        <v>-0.38662790697674421</v>
      </c>
      <c r="H870" s="1" t="str">
        <f>IF(SUM(COUNTIF(Benchmark1[Benchmark '#1 Dates],Target1[[#This Row],[Target Dates]]),COUNTIF(Benchmark2[Benchmark '#2 Dates],Target1[[#This Row],[Target Dates]]))=2,"Pass","Fail")</f>
        <v>Pass</v>
      </c>
      <c r="I870" s="78">
        <f t="shared" si="41"/>
        <v>-19.950000000000003</v>
      </c>
      <c r="K870" s="72">
        <f>Target1[[#This Row],[Target Price]]/$B$2*100</f>
        <v>184.11867364746942</v>
      </c>
      <c r="R870">
        <f>B871/Target1[[#This Row],[Target Price]]-1</f>
        <v>1.3902053712480322E-2</v>
      </c>
    </row>
    <row r="871" spans="1:18">
      <c r="A871" s="96">
        <v>44545</v>
      </c>
      <c r="B871" s="101">
        <v>32.090000000000003</v>
      </c>
      <c r="C871" s="4">
        <f t="shared" si="39"/>
        <v>1.3806306531580378E-2</v>
      </c>
      <c r="D871" s="4">
        <f>IFERROR(Target1[[#This Row],[Target Return]]+1,"-")</f>
        <v>1.0138063065315803</v>
      </c>
      <c r="E871" s="6">
        <f>B871-MAX($B$2:B871)</f>
        <v>-19.509999999999998</v>
      </c>
      <c r="F871" s="80">
        <f t="shared" si="40"/>
        <v>344</v>
      </c>
      <c r="G871" s="77">
        <f>Target1[[#This Row],[Target Drawdown]]/MAX($B$2:B871)</f>
        <v>-0.37810077519379842</v>
      </c>
      <c r="H871" s="1" t="str">
        <f>IF(SUM(COUNTIF(Benchmark1[Benchmark '#1 Dates],Target1[[#This Row],[Target Dates]]),COUNTIF(Benchmark2[Benchmark '#2 Dates],Target1[[#This Row],[Target Dates]]))=2,"Pass","Fail")</f>
        <v>Pass</v>
      </c>
      <c r="I871" s="78">
        <f t="shared" si="41"/>
        <v>-19.509999999999998</v>
      </c>
      <c r="K871" s="72">
        <f>Target1[[#This Row],[Target Price]]/$B$2*100</f>
        <v>186.67830133798722</v>
      </c>
      <c r="R871">
        <f>B872/Target1[[#This Row],[Target Price]]-1</f>
        <v>-1.2776565908382831E-2</v>
      </c>
    </row>
    <row r="872" spans="1:18">
      <c r="A872" s="96">
        <v>44546</v>
      </c>
      <c r="B872" s="101">
        <v>31.68</v>
      </c>
      <c r="C872" s="4">
        <f t="shared" si="39"/>
        <v>-1.2858888175540555E-2</v>
      </c>
      <c r="D872" s="4">
        <f>IFERROR(Target1[[#This Row],[Target Return]]+1,"-")</f>
        <v>0.98714111182445941</v>
      </c>
      <c r="E872" s="6">
        <f>B872-MAX($B$2:B872)</f>
        <v>-19.920000000000002</v>
      </c>
      <c r="F872" s="80">
        <f t="shared" si="40"/>
        <v>345</v>
      </c>
      <c r="G872" s="77">
        <f>Target1[[#This Row],[Target Drawdown]]/MAX($B$2:B872)</f>
        <v>-0.38604651162790699</v>
      </c>
      <c r="H872" s="1" t="str">
        <f>IF(SUM(COUNTIF(Benchmark1[Benchmark '#1 Dates],Target1[[#This Row],[Target Dates]]),COUNTIF(Benchmark2[Benchmark '#2 Dates],Target1[[#This Row],[Target Dates]]))=2,"Pass","Fail")</f>
        <v>Pass</v>
      </c>
      <c r="I872" s="78">
        <f t="shared" si="41"/>
        <v>-19.920000000000002</v>
      </c>
      <c r="K872" s="72">
        <f>Target1[[#This Row],[Target Price]]/$B$2*100</f>
        <v>184.29319371727749</v>
      </c>
      <c r="R872">
        <f>B873/Target1[[#This Row],[Target Price]]-1</f>
        <v>5.050505050504972E-3</v>
      </c>
    </row>
    <row r="873" spans="1:18">
      <c r="A873" s="96">
        <v>44547</v>
      </c>
      <c r="B873" s="101">
        <v>31.84</v>
      </c>
      <c r="C873" s="4">
        <f t="shared" si="39"/>
        <v>5.037794029957081E-3</v>
      </c>
      <c r="D873" s="4">
        <f>IFERROR(Target1[[#This Row],[Target Return]]+1,"-")</f>
        <v>1.0050377940299571</v>
      </c>
      <c r="E873" s="6">
        <f>B873-MAX($B$2:B873)</f>
        <v>-19.760000000000002</v>
      </c>
      <c r="F873" s="80">
        <f t="shared" si="40"/>
        <v>346</v>
      </c>
      <c r="G873" s="77">
        <f>Target1[[#This Row],[Target Drawdown]]/MAX($B$2:B873)</f>
        <v>-0.38294573643410856</v>
      </c>
      <c r="H873" s="1" t="str">
        <f>IF(SUM(COUNTIF(Benchmark1[Benchmark '#1 Dates],Target1[[#This Row],[Target Dates]]),COUNTIF(Benchmark2[Benchmark '#2 Dates],Target1[[#This Row],[Target Dates]]))=2,"Pass","Fail")</f>
        <v>Pass</v>
      </c>
      <c r="I873" s="78">
        <f t="shared" si="41"/>
        <v>-19.760000000000002</v>
      </c>
      <c r="K873" s="72">
        <f>Target1[[#This Row],[Target Price]]/$B$2*100</f>
        <v>185.22396742292028</v>
      </c>
      <c r="R873">
        <f>B874/Target1[[#This Row],[Target Price]]-1</f>
        <v>4.0829145728642491E-3</v>
      </c>
    </row>
    <row r="874" spans="1:18">
      <c r="A874" s="96">
        <v>44550</v>
      </c>
      <c r="B874" s="101">
        <v>31.97</v>
      </c>
      <c r="C874" s="4">
        <f t="shared" si="39"/>
        <v>4.074602095567743E-3</v>
      </c>
      <c r="D874" s="4">
        <f>IFERROR(Target1[[#This Row],[Target Return]]+1,"-")</f>
        <v>1.0040746020955678</v>
      </c>
      <c r="E874" s="6">
        <f>B874-MAX($B$2:B874)</f>
        <v>-19.630000000000003</v>
      </c>
      <c r="F874" s="80">
        <f t="shared" si="40"/>
        <v>347</v>
      </c>
      <c r="G874" s="77">
        <f>Target1[[#This Row],[Target Drawdown]]/MAX($B$2:B874)</f>
        <v>-0.38042635658914731</v>
      </c>
      <c r="H874" s="1" t="str">
        <f>IF(SUM(COUNTIF(Benchmark1[Benchmark '#1 Dates],Target1[[#This Row],[Target Dates]]),COUNTIF(Benchmark2[Benchmark '#2 Dates],Target1[[#This Row],[Target Dates]]))=2,"Pass","Fail")</f>
        <v>Pass</v>
      </c>
      <c r="I874" s="78">
        <f t="shared" si="41"/>
        <v>-19.630000000000003</v>
      </c>
      <c r="K874" s="72">
        <f>Target1[[#This Row],[Target Price]]/$B$2*100</f>
        <v>185.98022105875506</v>
      </c>
      <c r="R874">
        <f>B875/Target1[[#This Row],[Target Price]]-1</f>
        <v>2.9402564904597916E-2</v>
      </c>
    </row>
    <row r="875" spans="1:18">
      <c r="A875" s="96">
        <v>44551</v>
      </c>
      <c r="B875" s="101">
        <v>32.909999999999997</v>
      </c>
      <c r="C875" s="4">
        <f t="shared" si="39"/>
        <v>2.8978599883498348E-2</v>
      </c>
      <c r="D875" s="4">
        <f>IFERROR(Target1[[#This Row],[Target Return]]+1,"-")</f>
        <v>1.0289785998834984</v>
      </c>
      <c r="E875" s="6">
        <f>B875-MAX($B$2:B875)</f>
        <v>-18.690000000000005</v>
      </c>
      <c r="F875" s="80">
        <f t="shared" si="40"/>
        <v>348</v>
      </c>
      <c r="G875" s="77">
        <f>Target1[[#This Row],[Target Drawdown]]/MAX($B$2:B875)</f>
        <v>-0.36220930232558146</v>
      </c>
      <c r="H875" s="1" t="str">
        <f>IF(SUM(COUNTIF(Benchmark1[Benchmark '#1 Dates],Target1[[#This Row],[Target Dates]]),COUNTIF(Benchmark2[Benchmark '#2 Dates],Target1[[#This Row],[Target Dates]]))=2,"Pass","Fail")</f>
        <v>Pass</v>
      </c>
      <c r="I875" s="78">
        <f t="shared" si="41"/>
        <v>-18.690000000000005</v>
      </c>
      <c r="K875" s="72">
        <f>Target1[[#This Row],[Target Price]]/$B$2*100</f>
        <v>191.4485165794066</v>
      </c>
      <c r="R875">
        <f>B876/Target1[[#This Row],[Target Price]]-1</f>
        <v>1.823154056517895E-3</v>
      </c>
    </row>
    <row r="876" spans="1:18">
      <c r="A876" s="96">
        <v>44552</v>
      </c>
      <c r="B876" s="101">
        <v>32.97</v>
      </c>
      <c r="C876" s="4">
        <f t="shared" si="39"/>
        <v>1.8214941283912357E-3</v>
      </c>
      <c r="D876" s="4">
        <f>IFERROR(Target1[[#This Row],[Target Return]]+1,"-")</f>
        <v>1.0018214941283912</v>
      </c>
      <c r="E876" s="6">
        <f>B876-MAX($B$2:B876)</f>
        <v>-18.630000000000003</v>
      </c>
      <c r="F876" s="80">
        <f t="shared" si="40"/>
        <v>349</v>
      </c>
      <c r="G876" s="77">
        <f>Target1[[#This Row],[Target Drawdown]]/MAX($B$2:B876)</f>
        <v>-0.36104651162790702</v>
      </c>
      <c r="H876" s="1" t="str">
        <f>IF(SUM(COUNTIF(Benchmark1[Benchmark '#1 Dates],Target1[[#This Row],[Target Dates]]),COUNTIF(Benchmark2[Benchmark '#2 Dates],Target1[[#This Row],[Target Dates]]))=2,"Pass","Fail")</f>
        <v>Pass</v>
      </c>
      <c r="I876" s="78">
        <f t="shared" si="41"/>
        <v>-18.630000000000003</v>
      </c>
      <c r="K876" s="72">
        <f>Target1[[#This Row],[Target Price]]/$B$2*100</f>
        <v>191.79755671902268</v>
      </c>
      <c r="R876">
        <f>B877/Target1[[#This Row],[Target Price]]-1</f>
        <v>1.9714892326357258E-2</v>
      </c>
    </row>
    <row r="877" spans="1:18">
      <c r="A877" s="96">
        <v>44553</v>
      </c>
      <c r="B877" s="101">
        <v>33.619999999999997</v>
      </c>
      <c r="C877" s="4">
        <f t="shared" si="39"/>
        <v>1.9523070896829829E-2</v>
      </c>
      <c r="D877" s="4">
        <f>IFERROR(Target1[[#This Row],[Target Return]]+1,"-")</f>
        <v>1.0195230708968299</v>
      </c>
      <c r="E877" s="6">
        <f>B877-MAX($B$2:B877)</f>
        <v>-17.980000000000004</v>
      </c>
      <c r="F877" s="80">
        <f t="shared" si="40"/>
        <v>350</v>
      </c>
      <c r="G877" s="77">
        <f>Target1[[#This Row],[Target Drawdown]]/MAX($B$2:B877)</f>
        <v>-0.34844961240310085</v>
      </c>
      <c r="H877" s="1" t="str">
        <f>IF(SUM(COUNTIF(Benchmark1[Benchmark '#1 Dates],Target1[[#This Row],[Target Dates]]),COUNTIF(Benchmark2[Benchmark '#2 Dates],Target1[[#This Row],[Target Dates]]))=2,"Pass","Fail")</f>
        <v>Pass</v>
      </c>
      <c r="I877" s="78">
        <f t="shared" si="41"/>
        <v>-17.980000000000004</v>
      </c>
      <c r="K877" s="72">
        <f>Target1[[#This Row],[Target Price]]/$B$2*100</f>
        <v>195.57882489819661</v>
      </c>
      <c r="R877">
        <f>B878/Target1[[#This Row],[Target Price]]-1</f>
        <v>3.2718619869125387E-3</v>
      </c>
    </row>
    <row r="878" spans="1:18">
      <c r="A878" s="96">
        <v>44557</v>
      </c>
      <c r="B878" s="101">
        <v>33.729999999999997</v>
      </c>
      <c r="C878" s="4">
        <f t="shared" si="39"/>
        <v>3.2665210930893133E-3</v>
      </c>
      <c r="D878" s="4">
        <f>IFERROR(Target1[[#This Row],[Target Return]]+1,"-")</f>
        <v>1.0032665210930893</v>
      </c>
      <c r="E878" s="6">
        <f>B878-MAX($B$2:B878)</f>
        <v>-17.870000000000005</v>
      </c>
      <c r="F878" s="80">
        <f t="shared" si="40"/>
        <v>351</v>
      </c>
      <c r="G878" s="77">
        <f>Target1[[#This Row],[Target Drawdown]]/MAX($B$2:B878)</f>
        <v>-0.34631782945736445</v>
      </c>
      <c r="H878" s="1" t="str">
        <f>IF(SUM(COUNTIF(Benchmark1[Benchmark '#1 Dates],Target1[[#This Row],[Target Dates]]),COUNTIF(Benchmark2[Benchmark '#2 Dates],Target1[[#This Row],[Target Dates]]))=2,"Pass","Fail")</f>
        <v>Pass</v>
      </c>
      <c r="I878" s="78">
        <f t="shared" si="41"/>
        <v>-17.870000000000005</v>
      </c>
      <c r="K878" s="72">
        <f>Target1[[#This Row],[Target Price]]/$B$2*100</f>
        <v>196.21873182082604</v>
      </c>
      <c r="R878">
        <f>B879/Target1[[#This Row],[Target Price]]-1</f>
        <v>-1.4527127186480748E-2</v>
      </c>
    </row>
    <row r="879" spans="1:18">
      <c r="A879" s="96">
        <v>44558</v>
      </c>
      <c r="B879" s="101">
        <v>33.24</v>
      </c>
      <c r="C879" s="4">
        <f t="shared" si="39"/>
        <v>-1.4633679086311302E-2</v>
      </c>
      <c r="D879" s="4">
        <f>IFERROR(Target1[[#This Row],[Target Return]]+1,"-")</f>
        <v>0.9853663209136887</v>
      </c>
      <c r="E879" s="6">
        <f>B879-MAX($B$2:B879)</f>
        <v>-18.36</v>
      </c>
      <c r="F879" s="80">
        <f t="shared" si="40"/>
        <v>352</v>
      </c>
      <c r="G879" s="77">
        <f>Target1[[#This Row],[Target Drawdown]]/MAX($B$2:B879)</f>
        <v>-0.35581395348837208</v>
      </c>
      <c r="H879" s="1" t="str">
        <f>IF(SUM(COUNTIF(Benchmark1[Benchmark '#1 Dates],Target1[[#This Row],[Target Dates]]),COUNTIF(Benchmark2[Benchmark '#2 Dates],Target1[[#This Row],[Target Dates]]))=2,"Pass","Fail")</f>
        <v>Pass</v>
      </c>
      <c r="I879" s="78">
        <f t="shared" si="41"/>
        <v>-18.36</v>
      </c>
      <c r="K879" s="72">
        <f>Target1[[#This Row],[Target Price]]/$B$2*100</f>
        <v>193.36823734729492</v>
      </c>
      <c r="R879">
        <f>B880/Target1[[#This Row],[Target Price]]-1</f>
        <v>-1.0228640192539218E-2</v>
      </c>
    </row>
    <row r="880" spans="1:18">
      <c r="A880" s="96">
        <v>44559</v>
      </c>
      <c r="B880" s="101">
        <v>32.9</v>
      </c>
      <c r="C880" s="4">
        <f t="shared" si="39"/>
        <v>-1.0281312215921344E-2</v>
      </c>
      <c r="D880" s="4">
        <f>IFERROR(Target1[[#This Row],[Target Return]]+1,"-")</f>
        <v>0.98971868778407868</v>
      </c>
      <c r="E880" s="6">
        <f>B880-MAX($B$2:B880)</f>
        <v>-18.700000000000003</v>
      </c>
      <c r="F880" s="80">
        <f t="shared" si="40"/>
        <v>353</v>
      </c>
      <c r="G880" s="77">
        <f>Target1[[#This Row],[Target Drawdown]]/MAX($B$2:B880)</f>
        <v>-0.36240310077519383</v>
      </c>
      <c r="H880" s="1" t="str">
        <f>IF(SUM(COUNTIF(Benchmark1[Benchmark '#1 Dates],Target1[[#This Row],[Target Dates]]),COUNTIF(Benchmark2[Benchmark '#2 Dates],Target1[[#This Row],[Target Dates]]))=2,"Pass","Fail")</f>
        <v>Pass</v>
      </c>
      <c r="I880" s="78">
        <f t="shared" si="41"/>
        <v>-18.700000000000003</v>
      </c>
      <c r="K880" s="72">
        <f>Target1[[#This Row],[Target Price]]/$B$2*100</f>
        <v>191.39034322280392</v>
      </c>
      <c r="R880">
        <f>B881/Target1[[#This Row],[Target Price]]-1</f>
        <v>6.382978723404209E-3</v>
      </c>
    </row>
    <row r="881" spans="1:18">
      <c r="A881" s="96">
        <v>44560</v>
      </c>
      <c r="B881" s="101">
        <v>33.11</v>
      </c>
      <c r="C881" s="4">
        <f t="shared" si="39"/>
        <v>6.3626937878286504E-3</v>
      </c>
      <c r="D881" s="4">
        <f>IFERROR(Target1[[#This Row],[Target Return]]+1,"-")</f>
        <v>1.0063626937878287</v>
      </c>
      <c r="E881" s="6">
        <f>B881-MAX($B$2:B881)</f>
        <v>-18.490000000000002</v>
      </c>
      <c r="F881" s="80">
        <f t="shared" si="40"/>
        <v>354</v>
      </c>
      <c r="G881" s="77">
        <f>Target1[[#This Row],[Target Drawdown]]/MAX($B$2:B881)</f>
        <v>-0.35833333333333334</v>
      </c>
      <c r="H881" s="1" t="str">
        <f>IF(SUM(COUNTIF(Benchmark1[Benchmark '#1 Dates],Target1[[#This Row],[Target Dates]]),COUNTIF(Benchmark2[Benchmark '#2 Dates],Target1[[#This Row],[Target Dates]]))=2,"Pass","Fail")</f>
        <v>Pass</v>
      </c>
      <c r="I881" s="78">
        <f t="shared" si="41"/>
        <v>-18.490000000000002</v>
      </c>
      <c r="K881" s="72">
        <f>Target1[[#This Row],[Target Price]]/$B$2*100</f>
        <v>192.61198371146014</v>
      </c>
      <c r="R881">
        <f>B882/Target1[[#This Row],[Target Price]]-1</f>
        <v>6.6445182724252927E-3</v>
      </c>
    </row>
    <row r="882" spans="1:18">
      <c r="A882" s="96">
        <v>44561</v>
      </c>
      <c r="B882" s="101">
        <v>33.33</v>
      </c>
      <c r="C882" s="4">
        <f t="shared" si="39"/>
        <v>6.6225407604934569E-3</v>
      </c>
      <c r="D882" s="4">
        <f>IFERROR(Target1[[#This Row],[Target Return]]+1,"-")</f>
        <v>1.0066225407604934</v>
      </c>
      <c r="E882" s="6">
        <f>B882-MAX($B$2:B882)</f>
        <v>-18.270000000000003</v>
      </c>
      <c r="F882" s="80">
        <f t="shared" si="40"/>
        <v>355</v>
      </c>
      <c r="G882" s="77">
        <f>Target1[[#This Row],[Target Drawdown]]/MAX($B$2:B882)</f>
        <v>-0.35406976744186053</v>
      </c>
      <c r="H882" s="1" t="str">
        <f>IF(SUM(COUNTIF(Benchmark1[Benchmark '#1 Dates],Target1[[#This Row],[Target Dates]]),COUNTIF(Benchmark2[Benchmark '#2 Dates],Target1[[#This Row],[Target Dates]]))=2,"Pass","Fail")</f>
        <v>Pass</v>
      </c>
      <c r="I882" s="78">
        <f t="shared" si="41"/>
        <v>-18.270000000000003</v>
      </c>
      <c r="K882" s="72">
        <f>Target1[[#This Row],[Target Price]]/$B$2*100</f>
        <v>193.89179755671898</v>
      </c>
      <c r="R882">
        <f>B883/Target1[[#This Row],[Target Price]]-1</f>
        <v>-2.7002700270025715E-3</v>
      </c>
    </row>
    <row r="883" spans="1:18">
      <c r="A883" s="96">
        <v>44564</v>
      </c>
      <c r="B883" s="101">
        <v>33.24</v>
      </c>
      <c r="C883" s="4">
        <f t="shared" si="39"/>
        <v>-2.7039223324007472E-3</v>
      </c>
      <c r="D883" s="4">
        <f>IFERROR(Target1[[#This Row],[Target Return]]+1,"-")</f>
        <v>0.9972960776675992</v>
      </c>
      <c r="E883" s="6">
        <f>B883-MAX($B$2:B883)</f>
        <v>-18.36</v>
      </c>
      <c r="F883" s="80">
        <f t="shared" si="40"/>
        <v>356</v>
      </c>
      <c r="G883" s="77">
        <f>Target1[[#This Row],[Target Drawdown]]/MAX($B$2:B883)</f>
        <v>-0.35581395348837208</v>
      </c>
      <c r="H883" s="1" t="str">
        <f>IF(SUM(COUNTIF(Benchmark1[Benchmark '#1 Dates],Target1[[#This Row],[Target Dates]]),COUNTIF(Benchmark2[Benchmark '#2 Dates],Target1[[#This Row],[Target Dates]]))=2,"Pass","Fail")</f>
        <v>Pass</v>
      </c>
      <c r="I883" s="78">
        <f t="shared" si="41"/>
        <v>-18.36</v>
      </c>
      <c r="K883" s="72">
        <f>Target1[[#This Row],[Target Price]]/$B$2*100</f>
        <v>193.36823734729492</v>
      </c>
      <c r="R883">
        <f>B884/Target1[[#This Row],[Target Price]]-1</f>
        <v>-1.2033694344163459E-3</v>
      </c>
    </row>
    <row r="884" spans="1:18">
      <c r="A884" s="96">
        <v>44565</v>
      </c>
      <c r="B884" s="101">
        <v>33.200000000000003</v>
      </c>
      <c r="C884" s="4">
        <f t="shared" si="39"/>
        <v>-1.2040940648045638E-3</v>
      </c>
      <c r="D884" s="4">
        <f>IFERROR(Target1[[#This Row],[Target Return]]+1,"-")</f>
        <v>0.9987959059351954</v>
      </c>
      <c r="E884" s="6">
        <f>B884-MAX($B$2:B884)</f>
        <v>-18.399999999999999</v>
      </c>
      <c r="F884" s="80">
        <f t="shared" si="40"/>
        <v>357</v>
      </c>
      <c r="G884" s="77">
        <f>Target1[[#This Row],[Target Drawdown]]/MAX($B$2:B884)</f>
        <v>-0.35658914728682167</v>
      </c>
      <c r="H884" s="1" t="str">
        <f>IF(SUM(COUNTIF(Benchmark1[Benchmark '#1 Dates],Target1[[#This Row],[Target Dates]]),COUNTIF(Benchmark2[Benchmark '#2 Dates],Target1[[#This Row],[Target Dates]]))=2,"Pass","Fail")</f>
        <v>Pass</v>
      </c>
      <c r="I884" s="78">
        <f t="shared" si="41"/>
        <v>-18.399999999999999</v>
      </c>
      <c r="K884" s="72">
        <f>Target1[[#This Row],[Target Price]]/$B$2*100</f>
        <v>193.13554392088423</v>
      </c>
      <c r="R884">
        <f>B885/Target1[[#This Row],[Target Price]]-1</f>
        <v>-5.2409638554216875E-2</v>
      </c>
    </row>
    <row r="885" spans="1:18">
      <c r="A885" s="96">
        <v>44566</v>
      </c>
      <c r="B885" s="101">
        <v>31.46</v>
      </c>
      <c r="C885" s="4">
        <f t="shared" si="39"/>
        <v>-5.3832978292311102E-2</v>
      </c>
      <c r="D885" s="4">
        <f>IFERROR(Target1[[#This Row],[Target Return]]+1,"-")</f>
        <v>0.94616702170768885</v>
      </c>
      <c r="E885" s="6">
        <f>B885-MAX($B$2:B885)</f>
        <v>-20.14</v>
      </c>
      <c r="F885" s="80">
        <f t="shared" si="40"/>
        <v>358</v>
      </c>
      <c r="G885" s="77">
        <f>Target1[[#This Row],[Target Drawdown]]/MAX($B$2:B885)</f>
        <v>-0.39031007751937985</v>
      </c>
      <c r="H885" s="1" t="str">
        <f>IF(SUM(COUNTIF(Benchmark1[Benchmark '#1 Dates],Target1[[#This Row],[Target Dates]]),COUNTIF(Benchmark2[Benchmark '#2 Dates],Target1[[#This Row],[Target Dates]]))=2,"Pass","Fail")</f>
        <v>Pass</v>
      </c>
      <c r="I885" s="78">
        <f t="shared" si="41"/>
        <v>-20.14</v>
      </c>
      <c r="K885" s="72">
        <f>Target1[[#This Row],[Target Price]]/$B$2*100</f>
        <v>183.01337987201859</v>
      </c>
      <c r="R885">
        <f>B886/Target1[[#This Row],[Target Price]]-1</f>
        <v>1.557533375715181E-2</v>
      </c>
    </row>
    <row r="886" spans="1:18">
      <c r="A886" s="96">
        <v>44567</v>
      </c>
      <c r="B886" s="101">
        <v>31.95</v>
      </c>
      <c r="C886" s="4">
        <f t="shared" si="39"/>
        <v>1.5455283193411919E-2</v>
      </c>
      <c r="D886" s="4">
        <f>IFERROR(Target1[[#This Row],[Target Return]]+1,"-")</f>
        <v>1.0154552831934118</v>
      </c>
      <c r="E886" s="6">
        <f>B886-MAX($B$2:B886)</f>
        <v>-19.650000000000002</v>
      </c>
      <c r="F886" s="80">
        <f t="shared" si="40"/>
        <v>359</v>
      </c>
      <c r="G886" s="77">
        <f>Target1[[#This Row],[Target Drawdown]]/MAX($B$2:B886)</f>
        <v>-0.3808139534883721</v>
      </c>
      <c r="H886" s="1" t="str">
        <f>IF(SUM(COUNTIF(Benchmark1[Benchmark '#1 Dates],Target1[[#This Row],[Target Dates]]),COUNTIF(Benchmark2[Benchmark '#2 Dates],Target1[[#This Row],[Target Dates]]))=2,"Pass","Fail")</f>
        <v>Pass</v>
      </c>
      <c r="I886" s="78">
        <f t="shared" si="41"/>
        <v>-19.650000000000002</v>
      </c>
      <c r="K886" s="72">
        <f>Target1[[#This Row],[Target Price]]/$B$2*100</f>
        <v>185.86387434554973</v>
      </c>
      <c r="R886">
        <f>B887/Target1[[#This Row],[Target Price]]-1</f>
        <v>-1.2519561815336422E-2</v>
      </c>
    </row>
    <row r="887" spans="1:18">
      <c r="A887" s="96">
        <v>44568</v>
      </c>
      <c r="B887" s="101">
        <v>31.55</v>
      </c>
      <c r="C887" s="4">
        <f t="shared" si="39"/>
        <v>-1.2598591836321605E-2</v>
      </c>
      <c r="D887" s="4">
        <f>IFERROR(Target1[[#This Row],[Target Return]]+1,"-")</f>
        <v>0.98740140816367838</v>
      </c>
      <c r="E887" s="6">
        <f>B887-MAX($B$2:B887)</f>
        <v>-20.05</v>
      </c>
      <c r="F887" s="80">
        <f t="shared" si="40"/>
        <v>360</v>
      </c>
      <c r="G887" s="77">
        <f>Target1[[#This Row],[Target Drawdown]]/MAX($B$2:B887)</f>
        <v>-0.38856589147286824</v>
      </c>
      <c r="H887" s="1" t="str">
        <f>IF(SUM(COUNTIF(Benchmark1[Benchmark '#1 Dates],Target1[[#This Row],[Target Dates]]),COUNTIF(Benchmark2[Benchmark '#2 Dates],Target1[[#This Row],[Target Dates]]))=2,"Pass","Fail")</f>
        <v>Pass</v>
      </c>
      <c r="I887" s="78">
        <f t="shared" si="41"/>
        <v>-20.05</v>
      </c>
      <c r="K887" s="72">
        <f>Target1[[#This Row],[Target Price]]/$B$2*100</f>
        <v>183.53694008144268</v>
      </c>
      <c r="R887">
        <f>B888/Target1[[#This Row],[Target Price]]-1</f>
        <v>3.1695721077640293E-4</v>
      </c>
    </row>
    <row r="888" spans="1:18">
      <c r="A888" s="96">
        <v>44571</v>
      </c>
      <c r="B888" s="101">
        <v>31.56</v>
      </c>
      <c r="C888" s="4">
        <f t="shared" si="39"/>
        <v>3.1690699045118726E-4</v>
      </c>
      <c r="D888" s="4">
        <f>IFERROR(Target1[[#This Row],[Target Return]]+1,"-")</f>
        <v>1.0003169069904512</v>
      </c>
      <c r="E888" s="6">
        <f>B888-MAX($B$2:B888)</f>
        <v>-20.040000000000003</v>
      </c>
      <c r="F888" s="80">
        <f t="shared" si="40"/>
        <v>361</v>
      </c>
      <c r="G888" s="77">
        <f>Target1[[#This Row],[Target Drawdown]]/MAX($B$2:B888)</f>
        <v>-0.38837209302325587</v>
      </c>
      <c r="H888" s="1" t="str">
        <f>IF(SUM(COUNTIF(Benchmark1[Benchmark '#1 Dates],Target1[[#This Row],[Target Dates]]),COUNTIF(Benchmark2[Benchmark '#2 Dates],Target1[[#This Row],[Target Dates]]))=2,"Pass","Fail")</f>
        <v>Pass</v>
      </c>
      <c r="I888" s="78">
        <f t="shared" si="41"/>
        <v>-20.040000000000003</v>
      </c>
      <c r="K888" s="72">
        <f>Target1[[#This Row],[Target Price]]/$B$2*100</f>
        <v>183.59511343804536</v>
      </c>
      <c r="R888">
        <f>B889/Target1[[#This Row],[Target Price]]-1</f>
        <v>7.2877059569074198E-3</v>
      </c>
    </row>
    <row r="889" spans="1:18">
      <c r="A889" s="96">
        <v>44572</v>
      </c>
      <c r="B889" s="101">
        <v>31.79</v>
      </c>
      <c r="C889" s="4">
        <f t="shared" si="39"/>
        <v>7.2612789450377854E-3</v>
      </c>
      <c r="D889" s="4">
        <f>IFERROR(Target1[[#This Row],[Target Return]]+1,"-")</f>
        <v>1.0072612789450377</v>
      </c>
      <c r="E889" s="6">
        <f>B889-MAX($B$2:B889)</f>
        <v>-19.810000000000002</v>
      </c>
      <c r="F889" s="80">
        <f t="shared" si="40"/>
        <v>362</v>
      </c>
      <c r="G889" s="77">
        <f>Target1[[#This Row],[Target Drawdown]]/MAX($B$2:B889)</f>
        <v>-0.38391472868217058</v>
      </c>
      <c r="H889" s="1" t="str">
        <f>IF(SUM(COUNTIF(Benchmark1[Benchmark '#1 Dates],Target1[[#This Row],[Target Dates]]),COUNTIF(Benchmark2[Benchmark '#2 Dates],Target1[[#This Row],[Target Dates]]))=2,"Pass","Fail")</f>
        <v>Pass</v>
      </c>
      <c r="I889" s="78">
        <f t="shared" si="41"/>
        <v>-19.810000000000002</v>
      </c>
      <c r="K889" s="72">
        <f>Target1[[#This Row],[Target Price]]/$B$2*100</f>
        <v>184.93310063990691</v>
      </c>
      <c r="R889">
        <f>B890/Target1[[#This Row],[Target Price]]-1</f>
        <v>-1.6357345077068208E-2</v>
      </c>
    </row>
    <row r="890" spans="1:18">
      <c r="A890" s="96">
        <v>44573</v>
      </c>
      <c r="B890" s="101">
        <v>31.27</v>
      </c>
      <c r="C890" s="4">
        <f t="shared" si="39"/>
        <v>-1.6492603452961368E-2</v>
      </c>
      <c r="D890" s="4">
        <f>IFERROR(Target1[[#This Row],[Target Return]]+1,"-")</f>
        <v>0.98350739654703867</v>
      </c>
      <c r="E890" s="6">
        <f>B890-MAX($B$2:B890)</f>
        <v>-20.330000000000002</v>
      </c>
      <c r="F890" s="80">
        <f t="shared" si="40"/>
        <v>363</v>
      </c>
      <c r="G890" s="77">
        <f>Target1[[#This Row],[Target Drawdown]]/MAX($B$2:B890)</f>
        <v>-0.39399224806201555</v>
      </c>
      <c r="H890" s="1" t="str">
        <f>IF(SUM(COUNTIF(Benchmark1[Benchmark '#1 Dates],Target1[[#This Row],[Target Dates]]),COUNTIF(Benchmark2[Benchmark '#2 Dates],Target1[[#This Row],[Target Dates]]))=2,"Pass","Fail")</f>
        <v>Pass</v>
      </c>
      <c r="I890" s="78">
        <f t="shared" si="41"/>
        <v>-20.330000000000002</v>
      </c>
      <c r="K890" s="72">
        <f>Target1[[#This Row],[Target Price]]/$B$2*100</f>
        <v>181.90808609656776</v>
      </c>
      <c r="R890">
        <f>B891/Target1[[#This Row],[Target Price]]-1</f>
        <v>-3.5177486408698333E-2</v>
      </c>
    </row>
    <row r="891" spans="1:18">
      <c r="A891" s="96">
        <v>44574</v>
      </c>
      <c r="B891" s="101">
        <v>30.17</v>
      </c>
      <c r="C891" s="4">
        <f t="shared" si="39"/>
        <v>-3.5811118298780087E-2</v>
      </c>
      <c r="D891" s="4">
        <f>IFERROR(Target1[[#This Row],[Target Return]]+1,"-")</f>
        <v>0.96418888170121986</v>
      </c>
      <c r="E891" s="6">
        <f>B891-MAX($B$2:B891)</f>
        <v>-21.43</v>
      </c>
      <c r="F891" s="80">
        <f t="shared" si="40"/>
        <v>364</v>
      </c>
      <c r="G891" s="77">
        <f>Target1[[#This Row],[Target Drawdown]]/MAX($B$2:B891)</f>
        <v>-0.41531007751937982</v>
      </c>
      <c r="H891" s="1" t="str">
        <f>IF(SUM(COUNTIF(Benchmark1[Benchmark '#1 Dates],Target1[[#This Row],[Target Dates]]),COUNTIF(Benchmark2[Benchmark '#2 Dates],Target1[[#This Row],[Target Dates]]))=2,"Pass","Fail")</f>
        <v>Pass</v>
      </c>
      <c r="I891" s="78">
        <f t="shared" si="41"/>
        <v>-21.43</v>
      </c>
      <c r="K891" s="72">
        <f>Target1[[#This Row],[Target Price]]/$B$2*100</f>
        <v>175.5090168702734</v>
      </c>
      <c r="R891">
        <f>B892/Target1[[#This Row],[Target Price]]-1</f>
        <v>2.6516407026846434E-3</v>
      </c>
    </row>
    <row r="892" spans="1:18">
      <c r="A892" s="96">
        <v>44575</v>
      </c>
      <c r="B892" s="101">
        <v>30.25</v>
      </c>
      <c r="C892" s="4">
        <f t="shared" si="39"/>
        <v>2.6481313058806018E-3</v>
      </c>
      <c r="D892" s="4">
        <f>IFERROR(Target1[[#This Row],[Target Return]]+1,"-")</f>
        <v>1.0026481313058806</v>
      </c>
      <c r="E892" s="6">
        <f>B892-MAX($B$2:B892)</f>
        <v>-21.35</v>
      </c>
      <c r="F892" s="80">
        <f t="shared" si="40"/>
        <v>365</v>
      </c>
      <c r="G892" s="77">
        <f>Target1[[#This Row],[Target Drawdown]]/MAX($B$2:B892)</f>
        <v>-0.41375968992248063</v>
      </c>
      <c r="H892" s="1" t="str">
        <f>IF(SUM(COUNTIF(Benchmark1[Benchmark '#1 Dates],Target1[[#This Row],[Target Dates]]),COUNTIF(Benchmark2[Benchmark '#2 Dates],Target1[[#This Row],[Target Dates]]))=2,"Pass","Fail")</f>
        <v>Pass</v>
      </c>
      <c r="I892" s="78">
        <f t="shared" si="41"/>
        <v>-21.35</v>
      </c>
      <c r="K892" s="72">
        <f>Target1[[#This Row],[Target Price]]/$B$2*100</f>
        <v>175.97440372309481</v>
      </c>
      <c r="R892">
        <f>B893/Target1[[#This Row],[Target Price]]-1</f>
        <v>-2.3801652892561975E-2</v>
      </c>
    </row>
    <row r="893" spans="1:18">
      <c r="A893" s="96">
        <v>44579</v>
      </c>
      <c r="B893" s="101">
        <v>29.53</v>
      </c>
      <c r="C893" s="4">
        <f t="shared" si="39"/>
        <v>-2.408948872101916E-2</v>
      </c>
      <c r="D893" s="4">
        <f>IFERROR(Target1[[#This Row],[Target Return]]+1,"-")</f>
        <v>0.97591051127898087</v>
      </c>
      <c r="E893" s="6">
        <f>B893-MAX($B$2:B893)</f>
        <v>-22.07</v>
      </c>
      <c r="F893" s="80">
        <f t="shared" si="40"/>
        <v>366</v>
      </c>
      <c r="G893" s="77">
        <f>Target1[[#This Row],[Target Drawdown]]/MAX($B$2:B893)</f>
        <v>-0.42771317829457361</v>
      </c>
      <c r="H893" s="1" t="str">
        <f>IF(SUM(COUNTIF(Benchmark1[Benchmark '#1 Dates],Target1[[#This Row],[Target Dates]]),COUNTIF(Benchmark2[Benchmark '#2 Dates],Target1[[#This Row],[Target Dates]]))=2,"Pass","Fail")</f>
        <v>Pass</v>
      </c>
      <c r="I893" s="78">
        <f t="shared" si="41"/>
        <v>-22.07</v>
      </c>
      <c r="K893" s="72">
        <f>Target1[[#This Row],[Target Price]]/$B$2*100</f>
        <v>171.78592204770214</v>
      </c>
      <c r="R893">
        <f>B894/Target1[[#This Row],[Target Price]]-1</f>
        <v>-2.3704707077548348E-2</v>
      </c>
    </row>
    <row r="894" spans="1:18">
      <c r="A894" s="96">
        <v>44580</v>
      </c>
      <c r="B894" s="101">
        <v>28.83</v>
      </c>
      <c r="C894" s="4">
        <f t="shared" si="39"/>
        <v>-2.399018410552058E-2</v>
      </c>
      <c r="D894" s="4">
        <f>IFERROR(Target1[[#This Row],[Target Return]]+1,"-")</f>
        <v>0.97600981589447944</v>
      </c>
      <c r="E894" s="6">
        <f>B894-MAX($B$2:B894)</f>
        <v>-22.770000000000003</v>
      </c>
      <c r="F894" s="80">
        <f t="shared" si="40"/>
        <v>367</v>
      </c>
      <c r="G894" s="77">
        <f>Target1[[#This Row],[Target Drawdown]]/MAX($B$2:B894)</f>
        <v>-0.44127906976744191</v>
      </c>
      <c r="H894" s="1" t="str">
        <f>IF(SUM(COUNTIF(Benchmark1[Benchmark '#1 Dates],Target1[[#This Row],[Target Dates]]),COUNTIF(Benchmark2[Benchmark '#2 Dates],Target1[[#This Row],[Target Dates]]))=2,"Pass","Fail")</f>
        <v>Pass</v>
      </c>
      <c r="I894" s="78">
        <f t="shared" si="41"/>
        <v>-22.770000000000003</v>
      </c>
      <c r="K894" s="72">
        <f>Target1[[#This Row],[Target Price]]/$B$2*100</f>
        <v>167.71378708551481</v>
      </c>
      <c r="R894">
        <f>B895/Target1[[#This Row],[Target Price]]-1</f>
        <v>-3.5379812695109258E-2</v>
      </c>
    </row>
    <row r="895" spans="1:18">
      <c r="A895" s="96">
        <v>44581</v>
      </c>
      <c r="B895" s="101">
        <v>27.81</v>
      </c>
      <c r="C895" s="4">
        <f t="shared" si="39"/>
        <v>-3.6020843404437335E-2</v>
      </c>
      <c r="D895" s="4">
        <f>IFERROR(Target1[[#This Row],[Target Return]]+1,"-")</f>
        <v>0.96397915659556266</v>
      </c>
      <c r="E895" s="6">
        <f>B895-MAX($B$2:B895)</f>
        <v>-23.790000000000003</v>
      </c>
      <c r="F895" s="80">
        <f t="shared" si="40"/>
        <v>368</v>
      </c>
      <c r="G895" s="77">
        <f>Target1[[#This Row],[Target Drawdown]]/MAX($B$2:B895)</f>
        <v>-0.461046511627907</v>
      </c>
      <c r="H895" s="1" t="str">
        <f>IF(SUM(COUNTIF(Benchmark1[Benchmark '#1 Dates],Target1[[#This Row],[Target Dates]]),COUNTIF(Benchmark2[Benchmark '#2 Dates],Target1[[#This Row],[Target Dates]]))=2,"Pass","Fail")</f>
        <v>Pass</v>
      </c>
      <c r="I895" s="78">
        <f t="shared" si="41"/>
        <v>-23.790000000000003</v>
      </c>
      <c r="K895" s="72">
        <f>Target1[[#This Row],[Target Price]]/$B$2*100</f>
        <v>161.78010471204186</v>
      </c>
      <c r="R895">
        <f>B896/Target1[[#This Row],[Target Price]]-1</f>
        <v>-3.4160373966199198E-2</v>
      </c>
    </row>
    <row r="896" spans="1:18">
      <c r="A896" s="96">
        <v>44582</v>
      </c>
      <c r="B896" s="101">
        <v>26.86</v>
      </c>
      <c r="C896" s="4">
        <f t="shared" si="39"/>
        <v>-3.4757477150781951E-2</v>
      </c>
      <c r="D896" s="4">
        <f>IFERROR(Target1[[#This Row],[Target Return]]+1,"-")</f>
        <v>0.96524252284921808</v>
      </c>
      <c r="E896" s="6">
        <f>B896-MAX($B$2:B896)</f>
        <v>-24.740000000000002</v>
      </c>
      <c r="F896" s="80">
        <f t="shared" si="40"/>
        <v>369</v>
      </c>
      <c r="G896" s="77">
        <f>Target1[[#This Row],[Target Drawdown]]/MAX($B$2:B896)</f>
        <v>-0.47945736434108532</v>
      </c>
      <c r="H896" s="1" t="str">
        <f>IF(SUM(COUNTIF(Benchmark1[Benchmark '#1 Dates],Target1[[#This Row],[Target Dates]]),COUNTIF(Benchmark2[Benchmark '#2 Dates],Target1[[#This Row],[Target Dates]]))=2,"Pass","Fail")</f>
        <v>Pass</v>
      </c>
      <c r="I896" s="78">
        <f t="shared" si="41"/>
        <v>-24.740000000000002</v>
      </c>
      <c r="K896" s="72">
        <f>Target1[[#This Row],[Target Price]]/$B$2*100</f>
        <v>156.25363583478767</v>
      </c>
      <c r="R896">
        <f>B897/Target1[[#This Row],[Target Price]]-1</f>
        <v>2.6061057334326065E-2</v>
      </c>
    </row>
    <row r="897" spans="1:18">
      <c r="A897" s="96">
        <v>44585</v>
      </c>
      <c r="B897" s="101">
        <v>27.56</v>
      </c>
      <c r="C897" s="4">
        <f t="shared" si="39"/>
        <v>2.5727255050366236E-2</v>
      </c>
      <c r="D897" s="4">
        <f>IFERROR(Target1[[#This Row],[Target Return]]+1,"-")</f>
        <v>1.0257272550503662</v>
      </c>
      <c r="E897" s="6">
        <f>B897-MAX($B$2:B897)</f>
        <v>-24.040000000000003</v>
      </c>
      <c r="F897" s="80">
        <f t="shared" si="40"/>
        <v>370</v>
      </c>
      <c r="G897" s="77">
        <f>Target1[[#This Row],[Target Drawdown]]/MAX($B$2:B897)</f>
        <v>-0.46589147286821708</v>
      </c>
      <c r="H897" s="1" t="str">
        <f>IF(SUM(COUNTIF(Benchmark1[Benchmark '#1 Dates],Target1[[#This Row],[Target Dates]]),COUNTIF(Benchmark2[Benchmark '#2 Dates],Target1[[#This Row],[Target Dates]]))=2,"Pass","Fail")</f>
        <v>Pass</v>
      </c>
      <c r="I897" s="78">
        <f t="shared" si="41"/>
        <v>-24.040000000000003</v>
      </c>
      <c r="K897" s="72">
        <f>Target1[[#This Row],[Target Price]]/$B$2*100</f>
        <v>160.32577079697495</v>
      </c>
      <c r="R897">
        <f>B898/Target1[[#This Row],[Target Price]]-1</f>
        <v>-2.0319303338171224E-2</v>
      </c>
    </row>
    <row r="898" spans="1:18">
      <c r="A898" s="96">
        <v>44586</v>
      </c>
      <c r="B898" s="101">
        <v>27</v>
      </c>
      <c r="C898" s="4">
        <f t="shared" ref="C898:C961" si="42">IFERROR(IF(B898="","-",LN(B898/B897)),"-")</f>
        <v>-2.0528580141128707E-2</v>
      </c>
      <c r="D898" s="4">
        <f>IFERROR(Target1[[#This Row],[Target Return]]+1,"-")</f>
        <v>0.97947141985887132</v>
      </c>
      <c r="E898" s="6">
        <f>B898-MAX($B$2:B898)</f>
        <v>-24.6</v>
      </c>
      <c r="F898" s="80">
        <f t="shared" ref="F898:F961" si="43">IF(E898=0,0,F897+1)</f>
        <v>371</v>
      </c>
      <c r="G898" s="77">
        <f>Target1[[#This Row],[Target Drawdown]]/MAX($B$2:B898)</f>
        <v>-0.47674418604651164</v>
      </c>
      <c r="H898" s="1" t="str">
        <f>IF(SUM(COUNTIF(Benchmark1[Benchmark '#1 Dates],Target1[[#This Row],[Target Dates]]),COUNTIF(Benchmark2[Benchmark '#2 Dates],Target1[[#This Row],[Target Dates]]))=2,"Pass","Fail")</f>
        <v>Pass</v>
      </c>
      <c r="I898" s="78">
        <f t="shared" ref="I898:I961" si="44">$E$2+E898</f>
        <v>-24.6</v>
      </c>
      <c r="K898" s="72">
        <f>Target1[[#This Row],[Target Price]]/$B$2*100</f>
        <v>157.06806282722511</v>
      </c>
      <c r="R898">
        <f>B899/Target1[[#This Row],[Target Price]]-1</f>
        <v>0.25037037037037035</v>
      </c>
    </row>
    <row r="899" spans="1:18">
      <c r="A899" s="96">
        <v>44587</v>
      </c>
      <c r="B899" s="101">
        <v>33.76</v>
      </c>
      <c r="C899" s="4">
        <f t="shared" si="42"/>
        <v>0.22343980372342728</v>
      </c>
      <c r="D899" s="4">
        <f>IFERROR(Target1[[#This Row],[Target Return]]+1,"-")</f>
        <v>1.2234398037234273</v>
      </c>
      <c r="E899" s="6">
        <f>B899-MAX($B$2:B899)</f>
        <v>-17.840000000000003</v>
      </c>
      <c r="F899" s="80">
        <f t="shared" si="43"/>
        <v>372</v>
      </c>
      <c r="G899" s="77">
        <f>Target1[[#This Row],[Target Drawdown]]/MAX($B$2:B899)</f>
        <v>-0.34573643410852717</v>
      </c>
      <c r="H899" s="1" t="str">
        <f>IF(SUM(COUNTIF(Benchmark1[Benchmark '#1 Dates],Target1[[#This Row],[Target Dates]]),COUNTIF(Benchmark2[Benchmark '#2 Dates],Target1[[#This Row],[Target Dates]]))=2,"Pass","Fail")</f>
        <v>Pass</v>
      </c>
      <c r="I899" s="78">
        <f t="shared" si="44"/>
        <v>-17.840000000000003</v>
      </c>
      <c r="K899" s="72">
        <f>Target1[[#This Row],[Target Price]]/$B$2*100</f>
        <v>196.39325189063405</v>
      </c>
      <c r="R899">
        <f>B900/Target1[[#This Row],[Target Price]]-1</f>
        <v>5.6279620853081358E-3</v>
      </c>
    </row>
    <row r="900" spans="1:18">
      <c r="A900" s="96">
        <v>44588</v>
      </c>
      <c r="B900" s="101">
        <v>33.950000000000003</v>
      </c>
      <c r="C900" s="4">
        <f t="shared" si="42"/>
        <v>5.6121842769488468E-3</v>
      </c>
      <c r="D900" s="4">
        <f>IFERROR(Target1[[#This Row],[Target Return]]+1,"-")</f>
        <v>1.0056121842769488</v>
      </c>
      <c r="E900" s="6">
        <f>B900-MAX($B$2:B900)</f>
        <v>-17.649999999999999</v>
      </c>
      <c r="F900" s="80">
        <f t="shared" si="43"/>
        <v>373</v>
      </c>
      <c r="G900" s="77">
        <f>Target1[[#This Row],[Target Drawdown]]/MAX($B$2:B900)</f>
        <v>-0.34205426356589141</v>
      </c>
      <c r="H900" s="1" t="str">
        <f>IF(SUM(COUNTIF(Benchmark1[Benchmark '#1 Dates],Target1[[#This Row],[Target Dates]]),COUNTIF(Benchmark2[Benchmark '#2 Dates],Target1[[#This Row],[Target Dates]]))=2,"Pass","Fail")</f>
        <v>Pass</v>
      </c>
      <c r="I900" s="78">
        <f t="shared" si="44"/>
        <v>-17.649999999999999</v>
      </c>
      <c r="K900" s="72">
        <f>Target1[[#This Row],[Target Price]]/$B$2*100</f>
        <v>197.49854566608494</v>
      </c>
      <c r="R900">
        <f>B901/Target1[[#This Row],[Target Price]]-1</f>
        <v>1.4432989690721598E-2</v>
      </c>
    </row>
    <row r="901" spans="1:18">
      <c r="A901" s="96">
        <v>44589</v>
      </c>
      <c r="B901" s="101">
        <v>34.44</v>
      </c>
      <c r="C901" s="4">
        <f t="shared" si="42"/>
        <v>1.4329825554824868E-2</v>
      </c>
      <c r="D901" s="4">
        <f>IFERROR(Target1[[#This Row],[Target Return]]+1,"-")</f>
        <v>1.0143298255548248</v>
      </c>
      <c r="E901" s="6">
        <f>B901-MAX($B$2:B901)</f>
        <v>-17.160000000000004</v>
      </c>
      <c r="F901" s="80">
        <f t="shared" si="43"/>
        <v>374</v>
      </c>
      <c r="G901" s="77">
        <f>Target1[[#This Row],[Target Drawdown]]/MAX($B$2:B901)</f>
        <v>-0.33255813953488378</v>
      </c>
      <c r="H901" s="1" t="str">
        <f>IF(SUM(COUNTIF(Benchmark1[Benchmark '#1 Dates],Target1[[#This Row],[Target Dates]]),COUNTIF(Benchmark2[Benchmark '#2 Dates],Target1[[#This Row],[Target Dates]]))=2,"Pass","Fail")</f>
        <v>Pass</v>
      </c>
      <c r="I901" s="78">
        <f t="shared" si="44"/>
        <v>-17.160000000000004</v>
      </c>
      <c r="K901" s="72">
        <f>Target1[[#This Row],[Target Price]]/$B$2*100</f>
        <v>200.34904013961602</v>
      </c>
      <c r="R901">
        <f>B902/Target1[[#This Row],[Target Price]]-1</f>
        <v>1.8292682926829285E-2</v>
      </c>
    </row>
    <row r="902" spans="1:18">
      <c r="A902" s="96">
        <v>44592</v>
      </c>
      <c r="B902" s="101">
        <v>35.07</v>
      </c>
      <c r="C902" s="4">
        <f t="shared" si="42"/>
        <v>1.8127384592556701E-2</v>
      </c>
      <c r="D902" s="4">
        <f>IFERROR(Target1[[#This Row],[Target Return]]+1,"-")</f>
        <v>1.0181273845925567</v>
      </c>
      <c r="E902" s="6">
        <f>B902-MAX($B$2:B902)</f>
        <v>-16.53</v>
      </c>
      <c r="F902" s="80">
        <f t="shared" si="43"/>
        <v>375</v>
      </c>
      <c r="G902" s="77">
        <f>Target1[[#This Row],[Target Drawdown]]/MAX($B$2:B902)</f>
        <v>-0.32034883720930235</v>
      </c>
      <c r="H902" s="1" t="str">
        <f>IF(SUM(COUNTIF(Benchmark1[Benchmark '#1 Dates],Target1[[#This Row],[Target Dates]]),COUNTIF(Benchmark2[Benchmark '#2 Dates],Target1[[#This Row],[Target Dates]]))=2,"Pass","Fail")</f>
        <v>Pass</v>
      </c>
      <c r="I902" s="78">
        <f t="shared" si="44"/>
        <v>-16.53</v>
      </c>
      <c r="K902" s="72">
        <f>Target1[[#This Row],[Target Price]]/$B$2*100</f>
        <v>204.01396160558463</v>
      </c>
      <c r="R902">
        <f>B903/Target1[[#This Row],[Target Price]]-1</f>
        <v>2.8229255774165907E-2</v>
      </c>
    </row>
    <row r="903" spans="1:18">
      <c r="A903" s="96">
        <v>44593</v>
      </c>
      <c r="B903" s="101">
        <v>36.06</v>
      </c>
      <c r="C903" s="4">
        <f t="shared" si="42"/>
        <v>2.7838153623084432E-2</v>
      </c>
      <c r="D903" s="4">
        <f>IFERROR(Target1[[#This Row],[Target Return]]+1,"-")</f>
        <v>1.0278381536230845</v>
      </c>
      <c r="E903" s="6">
        <f>B903-MAX($B$2:B903)</f>
        <v>-15.54</v>
      </c>
      <c r="F903" s="80">
        <f t="shared" si="43"/>
        <v>376</v>
      </c>
      <c r="G903" s="77">
        <f>Target1[[#This Row],[Target Drawdown]]/MAX($B$2:B903)</f>
        <v>-0.30116279069767438</v>
      </c>
      <c r="H903" s="1" t="str">
        <f>IF(SUM(COUNTIF(Benchmark1[Benchmark '#1 Dates],Target1[[#This Row],[Target Dates]]),COUNTIF(Benchmark2[Benchmark '#2 Dates],Target1[[#This Row],[Target Dates]]))=2,"Pass","Fail")</f>
        <v>Pass</v>
      </c>
      <c r="I903" s="78">
        <f t="shared" si="44"/>
        <v>-15.54</v>
      </c>
      <c r="K903" s="72">
        <f>Target1[[#This Row],[Target Price]]/$B$2*100</f>
        <v>209.77312390924956</v>
      </c>
      <c r="R903">
        <f>B904/Target1[[#This Row],[Target Price]]-1</f>
        <v>4.4370493621741502E-3</v>
      </c>
    </row>
    <row r="904" spans="1:18">
      <c r="A904" s="96">
        <v>44594</v>
      </c>
      <c r="B904" s="101">
        <v>36.22</v>
      </c>
      <c r="C904" s="4">
        <f t="shared" si="42"/>
        <v>4.4272346800961074E-3</v>
      </c>
      <c r="D904" s="4">
        <f>IFERROR(Target1[[#This Row],[Target Return]]+1,"-")</f>
        <v>1.0044272346800962</v>
      </c>
      <c r="E904" s="6">
        <f>B904-MAX($B$2:B904)</f>
        <v>-15.380000000000003</v>
      </c>
      <c r="F904" s="80">
        <f t="shared" si="43"/>
        <v>377</v>
      </c>
      <c r="G904" s="77">
        <f>Target1[[#This Row],[Target Drawdown]]/MAX($B$2:B904)</f>
        <v>-0.29806201550387601</v>
      </c>
      <c r="H904" s="1" t="str">
        <f>IF(SUM(COUNTIF(Benchmark1[Benchmark '#1 Dates],Target1[[#This Row],[Target Dates]]),COUNTIF(Benchmark2[Benchmark '#2 Dates],Target1[[#This Row],[Target Dates]]))=2,"Pass","Fail")</f>
        <v>Pass</v>
      </c>
      <c r="I904" s="78">
        <f t="shared" si="44"/>
        <v>-15.380000000000003</v>
      </c>
      <c r="K904" s="72">
        <f>Target1[[#This Row],[Target Price]]/$B$2*100</f>
        <v>210.70389761489236</v>
      </c>
      <c r="R904">
        <f>B905/Target1[[#This Row],[Target Price]]-1</f>
        <v>-2.7332965212589766E-2</v>
      </c>
    </row>
    <row r="905" spans="1:18">
      <c r="A905" s="96">
        <v>44595</v>
      </c>
      <c r="B905" s="101">
        <v>35.229999999999997</v>
      </c>
      <c r="C905" s="4">
        <f t="shared" si="42"/>
        <v>-2.7713460102121092E-2</v>
      </c>
      <c r="D905" s="4">
        <f>IFERROR(Target1[[#This Row],[Target Return]]+1,"-")</f>
        <v>0.97228653989787894</v>
      </c>
      <c r="E905" s="6">
        <f>B905-MAX($B$2:B905)</f>
        <v>-16.370000000000005</v>
      </c>
      <c r="F905" s="80">
        <f t="shared" si="43"/>
        <v>378</v>
      </c>
      <c r="G905" s="77">
        <f>Target1[[#This Row],[Target Drawdown]]/MAX($B$2:B905)</f>
        <v>-0.31724806201550393</v>
      </c>
      <c r="H905" s="1" t="str">
        <f>IF(SUM(COUNTIF(Benchmark1[Benchmark '#1 Dates],Target1[[#This Row],[Target Dates]]),COUNTIF(Benchmark2[Benchmark '#2 Dates],Target1[[#This Row],[Target Dates]]))=2,"Pass","Fail")</f>
        <v>Pass</v>
      </c>
      <c r="I905" s="78">
        <f t="shared" si="44"/>
        <v>-16.370000000000005</v>
      </c>
      <c r="K905" s="72">
        <f>Target1[[#This Row],[Target Price]]/$B$2*100</f>
        <v>204.94473531122742</v>
      </c>
      <c r="R905">
        <f>B906/Target1[[#This Row],[Target Price]]-1</f>
        <v>-6.8123758160657522E-3</v>
      </c>
    </row>
    <row r="906" spans="1:18">
      <c r="A906" s="96">
        <v>44596</v>
      </c>
      <c r="B906" s="101">
        <v>34.99</v>
      </c>
      <c r="C906" s="4">
        <f t="shared" si="42"/>
        <v>-6.8356859735495077E-3</v>
      </c>
      <c r="D906" s="4">
        <f>IFERROR(Target1[[#This Row],[Target Return]]+1,"-")</f>
        <v>0.99316431402645045</v>
      </c>
      <c r="E906" s="6">
        <f>B906-MAX($B$2:B906)</f>
        <v>-16.61</v>
      </c>
      <c r="F906" s="80">
        <f t="shared" si="43"/>
        <v>379</v>
      </c>
      <c r="G906" s="77">
        <f>Target1[[#This Row],[Target Drawdown]]/MAX($B$2:B906)</f>
        <v>-0.32189922480620153</v>
      </c>
      <c r="H906" s="1" t="str">
        <f>IF(SUM(COUNTIF(Benchmark1[Benchmark '#1 Dates],Target1[[#This Row],[Target Dates]]),COUNTIF(Benchmark2[Benchmark '#2 Dates],Target1[[#This Row],[Target Dates]]))=2,"Pass","Fail")</f>
        <v>Pass</v>
      </c>
      <c r="I906" s="78">
        <f t="shared" si="44"/>
        <v>-16.61</v>
      </c>
      <c r="K906" s="72">
        <f>Target1[[#This Row],[Target Price]]/$B$2*100</f>
        <v>203.54857475276322</v>
      </c>
      <c r="R906">
        <f>B907/Target1[[#This Row],[Target Price]]-1</f>
        <v>-4.85853100885969E-3</v>
      </c>
    </row>
    <row r="907" spans="1:18">
      <c r="A907" s="96">
        <v>44599</v>
      </c>
      <c r="B907" s="101">
        <v>34.82</v>
      </c>
      <c r="C907" s="4">
        <f t="shared" si="42"/>
        <v>-4.8703720395536915E-3</v>
      </c>
      <c r="D907" s="4">
        <f>IFERROR(Target1[[#This Row],[Target Return]]+1,"-")</f>
        <v>0.99512962796044635</v>
      </c>
      <c r="E907" s="6">
        <f>B907-MAX($B$2:B907)</f>
        <v>-16.78</v>
      </c>
      <c r="F907" s="80">
        <f t="shared" si="43"/>
        <v>380</v>
      </c>
      <c r="G907" s="77">
        <f>Target1[[#This Row],[Target Drawdown]]/MAX($B$2:B907)</f>
        <v>-0.32519379844961244</v>
      </c>
      <c r="H907" s="1" t="str">
        <f>IF(SUM(COUNTIF(Benchmark1[Benchmark '#1 Dates],Target1[[#This Row],[Target Dates]]),COUNTIF(Benchmark2[Benchmark '#2 Dates],Target1[[#This Row],[Target Dates]]))=2,"Pass","Fail")</f>
        <v>Pass</v>
      </c>
      <c r="I907" s="78">
        <f t="shared" si="44"/>
        <v>-16.78</v>
      </c>
      <c r="K907" s="72">
        <f>Target1[[#This Row],[Target Price]]/$B$2*100</f>
        <v>202.55962769051771</v>
      </c>
      <c r="R907">
        <f>B908/Target1[[#This Row],[Target Price]]-1</f>
        <v>3.4462952326249408E-2</v>
      </c>
    </row>
    <row r="908" spans="1:18">
      <c r="A908" s="96">
        <v>44600</v>
      </c>
      <c r="B908" s="101">
        <v>36.020000000000003</v>
      </c>
      <c r="C908" s="4">
        <f t="shared" si="42"/>
        <v>3.3882405407767158E-2</v>
      </c>
      <c r="D908" s="4">
        <f>IFERROR(Target1[[#This Row],[Target Return]]+1,"-")</f>
        <v>1.0338824054077671</v>
      </c>
      <c r="E908" s="6">
        <f>B908-MAX($B$2:B908)</f>
        <v>-15.579999999999998</v>
      </c>
      <c r="F908" s="80">
        <f t="shared" si="43"/>
        <v>381</v>
      </c>
      <c r="G908" s="77">
        <f>Target1[[#This Row],[Target Drawdown]]/MAX($B$2:B908)</f>
        <v>-0.30193798449612397</v>
      </c>
      <c r="H908" s="1" t="str">
        <f>IF(SUM(COUNTIF(Benchmark1[Benchmark '#1 Dates],Target1[[#This Row],[Target Dates]]),COUNTIF(Benchmark2[Benchmark '#2 Dates],Target1[[#This Row],[Target Dates]]))=2,"Pass","Fail")</f>
        <v>Pass</v>
      </c>
      <c r="I908" s="78">
        <f t="shared" si="44"/>
        <v>-15.579999999999998</v>
      </c>
      <c r="K908" s="72">
        <f>Target1[[#This Row],[Target Price]]/$B$2*100</f>
        <v>209.54043048283887</v>
      </c>
      <c r="R908">
        <f>B909/Target1[[#This Row],[Target Price]]-1</f>
        <v>-1.41588006662966E-2</v>
      </c>
    </row>
    <row r="909" spans="1:18">
      <c r="A909" s="96">
        <v>44601</v>
      </c>
      <c r="B909" s="101">
        <v>35.51</v>
      </c>
      <c r="C909" s="4">
        <f t="shared" si="42"/>
        <v>-1.4259992792813593E-2</v>
      </c>
      <c r="D909" s="4">
        <f>IFERROR(Target1[[#This Row],[Target Return]]+1,"-")</f>
        <v>0.98574000720718635</v>
      </c>
      <c r="E909" s="6">
        <f>B909-MAX($B$2:B909)</f>
        <v>-16.090000000000003</v>
      </c>
      <c r="F909" s="80">
        <f t="shared" si="43"/>
        <v>382</v>
      </c>
      <c r="G909" s="77">
        <f>Target1[[#This Row],[Target Drawdown]]/MAX($B$2:B909)</f>
        <v>-0.31182170542635662</v>
      </c>
      <c r="H909" s="1" t="str">
        <f>IF(SUM(COUNTIF(Benchmark1[Benchmark '#1 Dates],Target1[[#This Row],[Target Dates]]),COUNTIF(Benchmark2[Benchmark '#2 Dates],Target1[[#This Row],[Target Dates]]))=2,"Pass","Fail")</f>
        <v>Pass</v>
      </c>
      <c r="I909" s="78">
        <f t="shared" si="44"/>
        <v>-16.090000000000003</v>
      </c>
      <c r="K909" s="72">
        <f>Target1[[#This Row],[Target Price]]/$B$2*100</f>
        <v>206.57358929610234</v>
      </c>
      <c r="R909">
        <f>B910/Target1[[#This Row],[Target Price]]-1</f>
        <v>-2.9569135454801332E-2</v>
      </c>
    </row>
    <row r="910" spans="1:18">
      <c r="A910" s="96">
        <v>44602</v>
      </c>
      <c r="B910" s="101">
        <v>34.46</v>
      </c>
      <c r="C910" s="4">
        <f t="shared" si="42"/>
        <v>-3.0015115855212826E-2</v>
      </c>
      <c r="D910" s="4">
        <f>IFERROR(Target1[[#This Row],[Target Return]]+1,"-")</f>
        <v>0.96998488414478712</v>
      </c>
      <c r="E910" s="6">
        <f>B910-MAX($B$2:B910)</f>
        <v>-17.14</v>
      </c>
      <c r="F910" s="80">
        <f t="shared" si="43"/>
        <v>383</v>
      </c>
      <c r="G910" s="77">
        <f>Target1[[#This Row],[Target Drawdown]]/MAX($B$2:B910)</f>
        <v>-0.33217054263565893</v>
      </c>
      <c r="H910" s="1" t="str">
        <f>IF(SUM(COUNTIF(Benchmark1[Benchmark '#1 Dates],Target1[[#This Row],[Target Dates]]),COUNTIF(Benchmark2[Benchmark '#2 Dates],Target1[[#This Row],[Target Dates]]))=2,"Pass","Fail")</f>
        <v>Pass</v>
      </c>
      <c r="I910" s="78">
        <f t="shared" si="44"/>
        <v>-17.14</v>
      </c>
      <c r="K910" s="72">
        <f>Target1[[#This Row],[Target Price]]/$B$2*100</f>
        <v>200.46538685282141</v>
      </c>
      <c r="R910">
        <f>B911/Target1[[#This Row],[Target Price]]-1</f>
        <v>-1.7991874637260485E-2</v>
      </c>
    </row>
    <row r="911" spans="1:18">
      <c r="A911" s="96">
        <v>44603</v>
      </c>
      <c r="B911" s="101">
        <v>33.840000000000003</v>
      </c>
      <c r="C911" s="4">
        <f t="shared" si="42"/>
        <v>-1.8155696361760926E-2</v>
      </c>
      <c r="D911" s="4">
        <f>IFERROR(Target1[[#This Row],[Target Return]]+1,"-")</f>
        <v>0.98184430363823905</v>
      </c>
      <c r="E911" s="6">
        <f>B911-MAX($B$2:B911)</f>
        <v>-17.759999999999998</v>
      </c>
      <c r="F911" s="80">
        <f t="shared" si="43"/>
        <v>384</v>
      </c>
      <c r="G911" s="77">
        <f>Target1[[#This Row],[Target Drawdown]]/MAX($B$2:B911)</f>
        <v>-0.34418604651162787</v>
      </c>
      <c r="H911" s="1" t="str">
        <f>IF(SUM(COUNTIF(Benchmark1[Benchmark '#1 Dates],Target1[[#This Row],[Target Dates]]),COUNTIF(Benchmark2[Benchmark '#2 Dates],Target1[[#This Row],[Target Dates]]))=2,"Pass","Fail")</f>
        <v>Pass</v>
      </c>
      <c r="I911" s="78">
        <f t="shared" si="44"/>
        <v>-17.759999999999998</v>
      </c>
      <c r="K911" s="72">
        <f>Target1[[#This Row],[Target Price]]/$B$2*100</f>
        <v>196.85863874345551</v>
      </c>
      <c r="R911">
        <f>B912/Target1[[#This Row],[Target Price]]-1</f>
        <v>0</v>
      </c>
    </row>
    <row r="912" spans="1:18">
      <c r="A912" s="96">
        <v>44606</v>
      </c>
      <c r="B912" s="101">
        <v>33.840000000000003</v>
      </c>
      <c r="C912" s="4">
        <f t="shared" si="42"/>
        <v>0</v>
      </c>
      <c r="D912" s="4">
        <f>IFERROR(Target1[[#This Row],[Target Return]]+1,"-")</f>
        <v>1</v>
      </c>
      <c r="E912" s="6">
        <f>B912-MAX($B$2:B912)</f>
        <v>-17.759999999999998</v>
      </c>
      <c r="F912" s="80">
        <f t="shared" si="43"/>
        <v>385</v>
      </c>
      <c r="G912" s="77">
        <f>Target1[[#This Row],[Target Drawdown]]/MAX($B$2:B912)</f>
        <v>-0.34418604651162787</v>
      </c>
      <c r="H912" s="1" t="str">
        <f>IF(SUM(COUNTIF(Benchmark1[Benchmark '#1 Dates],Target1[[#This Row],[Target Dates]]),COUNTIF(Benchmark2[Benchmark '#2 Dates],Target1[[#This Row],[Target Dates]]))=2,"Pass","Fail")</f>
        <v>Pass</v>
      </c>
      <c r="I912" s="78">
        <f t="shared" si="44"/>
        <v>-17.759999999999998</v>
      </c>
      <c r="K912" s="72">
        <f>Target1[[#This Row],[Target Price]]/$B$2*100</f>
        <v>196.85863874345551</v>
      </c>
      <c r="R912">
        <f>B913/Target1[[#This Row],[Target Price]]-1</f>
        <v>1.1524822695035297E-2</v>
      </c>
    </row>
    <row r="913" spans="1:18">
      <c r="A913" s="96">
        <v>44607</v>
      </c>
      <c r="B913" s="101">
        <v>34.229999999999997</v>
      </c>
      <c r="C913" s="4">
        <f t="shared" si="42"/>
        <v>1.145891780407127E-2</v>
      </c>
      <c r="D913" s="4">
        <f>IFERROR(Target1[[#This Row],[Target Return]]+1,"-")</f>
        <v>1.0114589178040714</v>
      </c>
      <c r="E913" s="6">
        <f>B913-MAX($B$2:B913)</f>
        <v>-17.370000000000005</v>
      </c>
      <c r="F913" s="80">
        <f t="shared" si="43"/>
        <v>386</v>
      </c>
      <c r="G913" s="77">
        <f>Target1[[#This Row],[Target Drawdown]]/MAX($B$2:B913)</f>
        <v>-0.33662790697674427</v>
      </c>
      <c r="H913" s="1" t="str">
        <f>IF(SUM(COUNTIF(Benchmark1[Benchmark '#1 Dates],Target1[[#This Row],[Target Dates]]),COUNTIF(Benchmark2[Benchmark '#2 Dates],Target1[[#This Row],[Target Dates]]))=2,"Pass","Fail")</f>
        <v>Pass</v>
      </c>
      <c r="I913" s="78">
        <f t="shared" si="44"/>
        <v>-17.370000000000005</v>
      </c>
      <c r="K913" s="72">
        <f>Target1[[#This Row],[Target Price]]/$B$2*100</f>
        <v>199.12739965095983</v>
      </c>
      <c r="R913">
        <f>B914/Target1[[#This Row],[Target Price]]-1</f>
        <v>4.0899795501023739E-3</v>
      </c>
    </row>
    <row r="914" spans="1:18">
      <c r="A914" s="96">
        <v>44608</v>
      </c>
      <c r="B914" s="101">
        <v>34.369999999999997</v>
      </c>
      <c r="C914" s="4">
        <f t="shared" si="42"/>
        <v>4.0816383196486776E-3</v>
      </c>
      <c r="D914" s="4">
        <f>IFERROR(Target1[[#This Row],[Target Return]]+1,"-")</f>
        <v>1.0040816383196487</v>
      </c>
      <c r="E914" s="6">
        <f>B914-MAX($B$2:B914)</f>
        <v>-17.230000000000004</v>
      </c>
      <c r="F914" s="80">
        <f t="shared" si="43"/>
        <v>387</v>
      </c>
      <c r="G914" s="77">
        <f>Target1[[#This Row],[Target Drawdown]]/MAX($B$2:B914)</f>
        <v>-0.33391472868217059</v>
      </c>
      <c r="H914" s="1" t="str">
        <f>IF(SUM(COUNTIF(Benchmark1[Benchmark '#1 Dates],Target1[[#This Row],[Target Dates]]),COUNTIF(Benchmark2[Benchmark '#2 Dates],Target1[[#This Row],[Target Dates]]))=2,"Pass","Fail")</f>
        <v>Pass</v>
      </c>
      <c r="I914" s="78">
        <f t="shared" si="44"/>
        <v>-17.230000000000004</v>
      </c>
      <c r="K914" s="72">
        <f>Target1[[#This Row],[Target Price]]/$B$2*100</f>
        <v>199.94182664339729</v>
      </c>
      <c r="R914">
        <f>B915/Target1[[#This Row],[Target Price]]-1</f>
        <v>-2.0657550189118412E-2</v>
      </c>
    </row>
    <row r="915" spans="1:18">
      <c r="A915" s="96">
        <v>44609</v>
      </c>
      <c r="B915" s="101">
        <v>33.659999999999997</v>
      </c>
      <c r="C915" s="4">
        <f t="shared" si="42"/>
        <v>-2.0873902099082561E-2</v>
      </c>
      <c r="D915" s="4">
        <f>IFERROR(Target1[[#This Row],[Target Return]]+1,"-")</f>
        <v>0.97912609790091742</v>
      </c>
      <c r="E915" s="6">
        <f>B915-MAX($B$2:B915)</f>
        <v>-17.940000000000005</v>
      </c>
      <c r="F915" s="80">
        <f t="shared" si="43"/>
        <v>388</v>
      </c>
      <c r="G915" s="77">
        <f>Target1[[#This Row],[Target Drawdown]]/MAX($B$2:B915)</f>
        <v>-0.34767441860465126</v>
      </c>
      <c r="H915" s="1" t="str">
        <f>IF(SUM(COUNTIF(Benchmark1[Benchmark '#1 Dates],Target1[[#This Row],[Target Dates]]),COUNTIF(Benchmark2[Benchmark '#2 Dates],Target1[[#This Row],[Target Dates]]))=2,"Pass","Fail")</f>
        <v>Pass</v>
      </c>
      <c r="I915" s="78">
        <f t="shared" si="44"/>
        <v>-17.940000000000005</v>
      </c>
      <c r="K915" s="72">
        <f>Target1[[#This Row],[Target Price]]/$B$2*100</f>
        <v>195.81151832460731</v>
      </c>
      <c r="R915">
        <f>B916/Target1[[#This Row],[Target Price]]-1</f>
        <v>9.8039215686276382E-3</v>
      </c>
    </row>
    <row r="916" spans="1:18">
      <c r="A916" s="96">
        <v>44610</v>
      </c>
      <c r="B916" s="101">
        <v>33.99</v>
      </c>
      <c r="C916" s="4">
        <f t="shared" si="42"/>
        <v>9.7561749453648743E-3</v>
      </c>
      <c r="D916" s="4">
        <f>IFERROR(Target1[[#This Row],[Target Return]]+1,"-")</f>
        <v>1.009756174945365</v>
      </c>
      <c r="E916" s="6">
        <f>B916-MAX($B$2:B916)</f>
        <v>-17.61</v>
      </c>
      <c r="F916" s="80">
        <f t="shared" si="43"/>
        <v>389</v>
      </c>
      <c r="G916" s="77">
        <f>Target1[[#This Row],[Target Drawdown]]/MAX($B$2:B916)</f>
        <v>-0.34127906976744182</v>
      </c>
      <c r="H916" s="1" t="str">
        <f>IF(SUM(COUNTIF(Benchmark1[Benchmark '#1 Dates],Target1[[#This Row],[Target Dates]]),COUNTIF(Benchmark2[Benchmark '#2 Dates],Target1[[#This Row],[Target Dates]]))=2,"Pass","Fail")</f>
        <v>Pass</v>
      </c>
      <c r="I916" s="78">
        <f t="shared" si="44"/>
        <v>-17.61</v>
      </c>
      <c r="K916" s="72">
        <f>Target1[[#This Row],[Target Price]]/$B$2*100</f>
        <v>197.73123909249563</v>
      </c>
      <c r="R916">
        <f>B917/Target1[[#This Row],[Target Price]]-1</f>
        <v>-2.5889967637540479E-2</v>
      </c>
    </row>
    <row r="917" spans="1:18">
      <c r="A917" s="96">
        <v>44614</v>
      </c>
      <c r="B917" s="101">
        <v>33.11</v>
      </c>
      <c r="C917" s="4">
        <f t="shared" si="42"/>
        <v>-2.6231012148869758E-2</v>
      </c>
      <c r="D917" s="4">
        <f>IFERROR(Target1[[#This Row],[Target Return]]+1,"-")</f>
        <v>0.9737689878511302</v>
      </c>
      <c r="E917" s="6">
        <f>B917-MAX($B$2:B917)</f>
        <v>-18.490000000000002</v>
      </c>
      <c r="F917" s="80">
        <f t="shared" si="43"/>
        <v>390</v>
      </c>
      <c r="G917" s="77">
        <f>Target1[[#This Row],[Target Drawdown]]/MAX($B$2:B917)</f>
        <v>-0.35833333333333334</v>
      </c>
      <c r="H917" s="1" t="str">
        <f>IF(SUM(COUNTIF(Benchmark1[Benchmark '#1 Dates],Target1[[#This Row],[Target Dates]]),COUNTIF(Benchmark2[Benchmark '#2 Dates],Target1[[#This Row],[Target Dates]]))=2,"Pass","Fail")</f>
        <v>Pass</v>
      </c>
      <c r="I917" s="78">
        <f t="shared" si="44"/>
        <v>-18.490000000000002</v>
      </c>
      <c r="K917" s="72">
        <f>Target1[[#This Row],[Target Price]]/$B$2*100</f>
        <v>192.61198371146014</v>
      </c>
      <c r="R917">
        <f>B918/Target1[[#This Row],[Target Price]]-1</f>
        <v>-7.5505889459377418E-3</v>
      </c>
    </row>
    <row r="918" spans="1:18">
      <c r="A918" s="96">
        <v>44615</v>
      </c>
      <c r="B918" s="101">
        <v>32.86</v>
      </c>
      <c r="C918" s="4">
        <f t="shared" si="42"/>
        <v>-7.5792389500328418E-3</v>
      </c>
      <c r="D918" s="4">
        <f>IFERROR(Target1[[#This Row],[Target Return]]+1,"-")</f>
        <v>0.99242076104996713</v>
      </c>
      <c r="E918" s="6">
        <f>B918-MAX($B$2:B918)</f>
        <v>-18.740000000000002</v>
      </c>
      <c r="F918" s="80">
        <f t="shared" si="43"/>
        <v>391</v>
      </c>
      <c r="G918" s="77">
        <f>Target1[[#This Row],[Target Drawdown]]/MAX($B$2:B918)</f>
        <v>-0.36317829457364342</v>
      </c>
      <c r="H918" s="1" t="str">
        <f>IF(SUM(COUNTIF(Benchmark1[Benchmark '#1 Dates],Target1[[#This Row],[Target Dates]]),COUNTIF(Benchmark2[Benchmark '#2 Dates],Target1[[#This Row],[Target Dates]]))=2,"Pass","Fail")</f>
        <v>Pass</v>
      </c>
      <c r="I918" s="78">
        <f t="shared" si="44"/>
        <v>-18.740000000000002</v>
      </c>
      <c r="K918" s="72">
        <f>Target1[[#This Row],[Target Price]]/$B$2*100</f>
        <v>191.15764979639323</v>
      </c>
      <c r="R918">
        <f>B919/Target1[[#This Row],[Target Price]]-1</f>
        <v>1.5824710894704941E-2</v>
      </c>
    </row>
    <row r="919" spans="1:18">
      <c r="A919" s="96">
        <v>44616</v>
      </c>
      <c r="B919" s="101">
        <v>33.380000000000003</v>
      </c>
      <c r="C919" s="4">
        <f t="shared" si="42"/>
        <v>1.5700805624567125E-2</v>
      </c>
      <c r="D919" s="4">
        <f>IFERROR(Target1[[#This Row],[Target Return]]+1,"-")</f>
        <v>1.0157008056245671</v>
      </c>
      <c r="E919" s="6">
        <f>B919-MAX($B$2:B919)</f>
        <v>-18.22</v>
      </c>
      <c r="F919" s="80">
        <f t="shared" si="43"/>
        <v>392</v>
      </c>
      <c r="G919" s="77">
        <f>Target1[[#This Row],[Target Drawdown]]/MAX($B$2:B919)</f>
        <v>-0.3531007751937984</v>
      </c>
      <c r="H919" s="1" t="str">
        <f>IF(SUM(COUNTIF(Benchmark1[Benchmark '#1 Dates],Target1[[#This Row],[Target Dates]]),COUNTIF(Benchmark2[Benchmark '#2 Dates],Target1[[#This Row],[Target Dates]]))=2,"Pass","Fail")</f>
        <v>Pass</v>
      </c>
      <c r="I919" s="78">
        <f t="shared" si="44"/>
        <v>-18.22</v>
      </c>
      <c r="K919" s="72">
        <f>Target1[[#This Row],[Target Price]]/$B$2*100</f>
        <v>194.18266433973241</v>
      </c>
      <c r="R919">
        <f>B920/Target1[[#This Row],[Target Price]]-1</f>
        <v>4.0143798681845366E-2</v>
      </c>
    </row>
    <row r="920" spans="1:18">
      <c r="A920" s="96">
        <v>44617</v>
      </c>
      <c r="B920" s="101">
        <v>34.72</v>
      </c>
      <c r="C920" s="4">
        <f t="shared" si="42"/>
        <v>3.9358971558460354E-2</v>
      </c>
      <c r="D920" s="4">
        <f>IFERROR(Target1[[#This Row],[Target Return]]+1,"-")</f>
        <v>1.0393589715584604</v>
      </c>
      <c r="E920" s="6">
        <f>B920-MAX($B$2:B920)</f>
        <v>-16.880000000000003</v>
      </c>
      <c r="F920" s="80">
        <f t="shared" si="43"/>
        <v>393</v>
      </c>
      <c r="G920" s="77">
        <f>Target1[[#This Row],[Target Drawdown]]/MAX($B$2:B920)</f>
        <v>-0.32713178294573647</v>
      </c>
      <c r="H920" s="1" t="str">
        <f>IF(SUM(COUNTIF(Benchmark1[Benchmark '#1 Dates],Target1[[#This Row],[Target Dates]]),COUNTIF(Benchmark2[Benchmark '#2 Dates],Target1[[#This Row],[Target Dates]]))=2,"Pass","Fail")</f>
        <v>Pass</v>
      </c>
      <c r="I920" s="78">
        <f t="shared" si="44"/>
        <v>-16.880000000000003</v>
      </c>
      <c r="K920" s="72">
        <f>Target1[[#This Row],[Target Price]]/$B$2*100</f>
        <v>201.97789412449097</v>
      </c>
      <c r="R920">
        <f>B921/Target1[[#This Row],[Target Price]]-1</f>
        <v>-3.2834101382488545E-2</v>
      </c>
    </row>
    <row r="921" spans="1:18">
      <c r="A921" s="96">
        <v>44620</v>
      </c>
      <c r="B921" s="101">
        <v>33.58</v>
      </c>
      <c r="C921" s="4">
        <f t="shared" si="42"/>
        <v>-3.3385238142754729E-2</v>
      </c>
      <c r="D921" s="4">
        <f>IFERROR(Target1[[#This Row],[Target Return]]+1,"-")</f>
        <v>0.96661476185724526</v>
      </c>
      <c r="E921" s="6">
        <f>B921-MAX($B$2:B921)</f>
        <v>-18.020000000000003</v>
      </c>
      <c r="F921" s="80">
        <f t="shared" si="43"/>
        <v>394</v>
      </c>
      <c r="G921" s="77">
        <f>Target1[[#This Row],[Target Drawdown]]/MAX($B$2:B921)</f>
        <v>-0.34922480620155044</v>
      </c>
      <c r="H921" s="1" t="str">
        <f>IF(SUM(COUNTIF(Benchmark1[Benchmark '#1 Dates],Target1[[#This Row],[Target Dates]]),COUNTIF(Benchmark2[Benchmark '#2 Dates],Target1[[#This Row],[Target Dates]]))=2,"Pass","Fail")</f>
        <v>Pass</v>
      </c>
      <c r="I921" s="78">
        <f t="shared" si="44"/>
        <v>-18.020000000000003</v>
      </c>
      <c r="K921" s="72">
        <f>Target1[[#This Row],[Target Price]]/$B$2*100</f>
        <v>195.3461314717859</v>
      </c>
      <c r="R921">
        <f>B922/Target1[[#This Row],[Target Price]]-1</f>
        <v>1.1911852293031711E-3</v>
      </c>
    </row>
    <row r="922" spans="1:18">
      <c r="A922" s="96">
        <v>44621</v>
      </c>
      <c r="B922" s="101">
        <v>33.619999999999997</v>
      </c>
      <c r="C922" s="4">
        <f t="shared" si="42"/>
        <v>1.1904763310748023E-3</v>
      </c>
      <c r="D922" s="4">
        <f>IFERROR(Target1[[#This Row],[Target Return]]+1,"-")</f>
        <v>1.0011904763310748</v>
      </c>
      <c r="E922" s="6">
        <f>B922-MAX($B$2:B922)</f>
        <v>-17.980000000000004</v>
      </c>
      <c r="F922" s="80">
        <f t="shared" si="43"/>
        <v>395</v>
      </c>
      <c r="G922" s="77">
        <f>Target1[[#This Row],[Target Drawdown]]/MAX($B$2:B922)</f>
        <v>-0.34844961240310085</v>
      </c>
      <c r="H922" s="1" t="str">
        <f>IF(SUM(COUNTIF(Benchmark1[Benchmark '#1 Dates],Target1[[#This Row],[Target Dates]]),COUNTIF(Benchmark2[Benchmark '#2 Dates],Target1[[#This Row],[Target Dates]]))=2,"Pass","Fail")</f>
        <v>Pass</v>
      </c>
      <c r="I922" s="78">
        <f t="shared" si="44"/>
        <v>-17.980000000000004</v>
      </c>
      <c r="K922" s="72">
        <f>Target1[[#This Row],[Target Price]]/$B$2*100</f>
        <v>195.57882489819661</v>
      </c>
      <c r="R922">
        <f>B923/Target1[[#This Row],[Target Price]]-1</f>
        <v>8.0309339678763525E-3</v>
      </c>
    </row>
    <row r="923" spans="1:18">
      <c r="A923" s="96">
        <v>44622</v>
      </c>
      <c r="B923" s="101">
        <v>33.89</v>
      </c>
      <c r="C923" s="4">
        <f t="shared" si="42"/>
        <v>7.9988576384905068E-3</v>
      </c>
      <c r="D923" s="4">
        <f>IFERROR(Target1[[#This Row],[Target Return]]+1,"-")</f>
        <v>1.0079988576384904</v>
      </c>
      <c r="E923" s="6">
        <f>B923-MAX($B$2:B923)</f>
        <v>-17.71</v>
      </c>
      <c r="F923" s="80">
        <f t="shared" si="43"/>
        <v>396</v>
      </c>
      <c r="G923" s="77">
        <f>Target1[[#This Row],[Target Drawdown]]/MAX($B$2:B923)</f>
        <v>-0.34321705426356591</v>
      </c>
      <c r="H923" s="1" t="str">
        <f>IF(SUM(COUNTIF(Benchmark1[Benchmark '#1 Dates],Target1[[#This Row],[Target Dates]]),COUNTIF(Benchmark2[Benchmark '#2 Dates],Target1[[#This Row],[Target Dates]]))=2,"Pass","Fail")</f>
        <v>Pass</v>
      </c>
      <c r="I923" s="78">
        <f t="shared" si="44"/>
        <v>-17.71</v>
      </c>
      <c r="K923" s="72">
        <f>Target1[[#This Row],[Target Price]]/$B$2*100</f>
        <v>197.14950552646886</v>
      </c>
      <c r="R923">
        <f>B924/Target1[[#This Row],[Target Price]]-1</f>
        <v>-2.5081144880495732E-2</v>
      </c>
    </row>
    <row r="924" spans="1:18">
      <c r="A924" s="96">
        <v>44623</v>
      </c>
      <c r="B924" s="101">
        <v>33.04</v>
      </c>
      <c r="C924" s="4">
        <f t="shared" si="42"/>
        <v>-2.5401036966182663E-2</v>
      </c>
      <c r="D924" s="4">
        <f>IFERROR(Target1[[#This Row],[Target Return]]+1,"-")</f>
        <v>0.97459896303381732</v>
      </c>
      <c r="E924" s="6">
        <f>B924-MAX($B$2:B924)</f>
        <v>-18.560000000000002</v>
      </c>
      <c r="F924" s="80">
        <f t="shared" si="43"/>
        <v>397</v>
      </c>
      <c r="G924" s="77">
        <f>Target1[[#This Row],[Target Drawdown]]/MAX($B$2:B924)</f>
        <v>-0.35968992248062021</v>
      </c>
      <c r="H924" s="1" t="str">
        <f>IF(SUM(COUNTIF(Benchmark1[Benchmark '#1 Dates],Target1[[#This Row],[Target Dates]]),COUNTIF(Benchmark2[Benchmark '#2 Dates],Target1[[#This Row],[Target Dates]]))=2,"Pass","Fail")</f>
        <v>Pass</v>
      </c>
      <c r="I924" s="78">
        <f t="shared" si="44"/>
        <v>-18.560000000000002</v>
      </c>
      <c r="K924" s="72">
        <f>Target1[[#This Row],[Target Price]]/$B$2*100</f>
        <v>192.20477021524141</v>
      </c>
      <c r="R924">
        <f>B925/Target1[[#This Row],[Target Price]]-1</f>
        <v>-1.967312348668282E-2</v>
      </c>
    </row>
    <row r="925" spans="1:18">
      <c r="A925" s="96">
        <v>44624</v>
      </c>
      <c r="B925" s="101">
        <v>32.39</v>
      </c>
      <c r="C925" s="4">
        <f t="shared" si="42"/>
        <v>-1.9869215469539396E-2</v>
      </c>
      <c r="D925" s="4">
        <f>IFERROR(Target1[[#This Row],[Target Return]]+1,"-")</f>
        <v>0.98013078453046065</v>
      </c>
      <c r="E925" s="6">
        <f>B925-MAX($B$2:B925)</f>
        <v>-19.21</v>
      </c>
      <c r="F925" s="80">
        <f t="shared" si="43"/>
        <v>398</v>
      </c>
      <c r="G925" s="77">
        <f>Target1[[#This Row],[Target Drawdown]]/MAX($B$2:B925)</f>
        <v>-0.37228682170542637</v>
      </c>
      <c r="H925" s="1" t="str">
        <f>IF(SUM(COUNTIF(Benchmark1[Benchmark '#1 Dates],Target1[[#This Row],[Target Dates]]),COUNTIF(Benchmark2[Benchmark '#2 Dates],Target1[[#This Row],[Target Dates]]))=2,"Pass","Fail")</f>
        <v>Pass</v>
      </c>
      <c r="I925" s="78">
        <f t="shared" si="44"/>
        <v>-19.21</v>
      </c>
      <c r="K925" s="72">
        <f>Target1[[#This Row],[Target Price]]/$B$2*100</f>
        <v>188.42350203606748</v>
      </c>
      <c r="R925">
        <f>B926/Target1[[#This Row],[Target Price]]-1</f>
        <v>-2.9638777400432303E-2</v>
      </c>
    </row>
    <row r="926" spans="1:18">
      <c r="A926" s="96">
        <v>44627</v>
      </c>
      <c r="B926" s="101">
        <v>31.43</v>
      </c>
      <c r="C926" s="4">
        <f t="shared" si="42"/>
        <v>-3.0086882373761774E-2</v>
      </c>
      <c r="D926" s="4">
        <f>IFERROR(Target1[[#This Row],[Target Return]]+1,"-")</f>
        <v>0.96991311762623822</v>
      </c>
      <c r="E926" s="6">
        <f>B926-MAX($B$2:B926)</f>
        <v>-20.170000000000002</v>
      </c>
      <c r="F926" s="80">
        <f t="shared" si="43"/>
        <v>399</v>
      </c>
      <c r="G926" s="77">
        <f>Target1[[#This Row],[Target Drawdown]]/MAX($B$2:B926)</f>
        <v>-0.39089147286821707</v>
      </c>
      <c r="H926" s="1" t="str">
        <f>IF(SUM(COUNTIF(Benchmark1[Benchmark '#1 Dates],Target1[[#This Row],[Target Dates]]),COUNTIF(Benchmark2[Benchmark '#2 Dates],Target1[[#This Row],[Target Dates]]))=2,"Pass","Fail")</f>
        <v>Pass</v>
      </c>
      <c r="I926" s="78">
        <f t="shared" si="44"/>
        <v>-20.170000000000002</v>
      </c>
      <c r="K926" s="72">
        <f>Target1[[#This Row],[Target Price]]/$B$2*100</f>
        <v>182.83885980221058</v>
      </c>
      <c r="R926">
        <f>B927/Target1[[#This Row],[Target Price]]-1</f>
        <v>1.3681196309258681E-2</v>
      </c>
    </row>
    <row r="927" spans="1:18">
      <c r="A927" s="96">
        <v>44628</v>
      </c>
      <c r="B927" s="101">
        <v>31.86</v>
      </c>
      <c r="C927" s="4">
        <f t="shared" si="42"/>
        <v>1.3588453672426247E-2</v>
      </c>
      <c r="D927" s="4">
        <f>IFERROR(Target1[[#This Row],[Target Return]]+1,"-")</f>
        <v>1.0135884536724262</v>
      </c>
      <c r="E927" s="6">
        <f>B927-MAX($B$2:B927)</f>
        <v>-19.740000000000002</v>
      </c>
      <c r="F927" s="80">
        <f t="shared" si="43"/>
        <v>400</v>
      </c>
      <c r="G927" s="77">
        <f>Target1[[#This Row],[Target Drawdown]]/MAX($B$2:B927)</f>
        <v>-0.38255813953488377</v>
      </c>
      <c r="H927" s="1" t="str">
        <f>IF(SUM(COUNTIF(Benchmark1[Benchmark '#1 Dates],Target1[[#This Row],[Target Dates]]),COUNTIF(Benchmark2[Benchmark '#2 Dates],Target1[[#This Row],[Target Dates]]))=2,"Pass","Fail")</f>
        <v>Pass</v>
      </c>
      <c r="I927" s="78">
        <f t="shared" si="44"/>
        <v>-19.740000000000002</v>
      </c>
      <c r="K927" s="72">
        <f>Target1[[#This Row],[Target Price]]/$B$2*100</f>
        <v>185.34031413612564</v>
      </c>
      <c r="R927">
        <f>B928/Target1[[#This Row],[Target Price]]-1</f>
        <v>1.6949152542372836E-2</v>
      </c>
    </row>
    <row r="928" spans="1:18">
      <c r="A928" s="96">
        <v>44629</v>
      </c>
      <c r="B928" s="101">
        <v>32.4</v>
      </c>
      <c r="C928" s="4">
        <f t="shared" si="42"/>
        <v>1.6807118316381191E-2</v>
      </c>
      <c r="D928" s="4">
        <f>IFERROR(Target1[[#This Row],[Target Return]]+1,"-")</f>
        <v>1.0168071183163812</v>
      </c>
      <c r="E928" s="6">
        <f>B928-MAX($B$2:B928)</f>
        <v>-19.200000000000003</v>
      </c>
      <c r="F928" s="80">
        <f t="shared" si="43"/>
        <v>401</v>
      </c>
      <c r="G928" s="77">
        <f>Target1[[#This Row],[Target Drawdown]]/MAX($B$2:B928)</f>
        <v>-0.372093023255814</v>
      </c>
      <c r="H928" s="1" t="str">
        <f>IF(SUM(COUNTIF(Benchmark1[Benchmark '#1 Dates],Target1[[#This Row],[Target Dates]]),COUNTIF(Benchmark2[Benchmark '#2 Dates],Target1[[#This Row],[Target Dates]]))=2,"Pass","Fail")</f>
        <v>Pass</v>
      </c>
      <c r="I928" s="78">
        <f t="shared" si="44"/>
        <v>-19.200000000000003</v>
      </c>
      <c r="K928" s="72">
        <f>Target1[[#This Row],[Target Price]]/$B$2*100</f>
        <v>188.48167539267013</v>
      </c>
      <c r="R928">
        <f>B929/Target1[[#This Row],[Target Price]]-1</f>
        <v>1.0802469135802406E-2</v>
      </c>
    </row>
    <row r="929" spans="1:18">
      <c r="A929" s="96">
        <v>44630</v>
      </c>
      <c r="B929" s="101">
        <v>32.75</v>
      </c>
      <c r="C929" s="4">
        <f t="shared" si="42"/>
        <v>1.0744539282977163E-2</v>
      </c>
      <c r="D929" s="4">
        <f>IFERROR(Target1[[#This Row],[Target Return]]+1,"-")</f>
        <v>1.0107445392829773</v>
      </c>
      <c r="E929" s="6">
        <f>B929-MAX($B$2:B929)</f>
        <v>-18.850000000000001</v>
      </c>
      <c r="F929" s="80">
        <f t="shared" si="43"/>
        <v>402</v>
      </c>
      <c r="G929" s="77">
        <f>Target1[[#This Row],[Target Drawdown]]/MAX($B$2:B929)</f>
        <v>-0.36531007751937988</v>
      </c>
      <c r="H929" s="1" t="str">
        <f>IF(SUM(COUNTIF(Benchmark1[Benchmark '#1 Dates],Target1[[#This Row],[Target Dates]]),COUNTIF(Benchmark2[Benchmark '#2 Dates],Target1[[#This Row],[Target Dates]]))=2,"Pass","Fail")</f>
        <v>Pass</v>
      </c>
      <c r="I929" s="78">
        <f t="shared" si="44"/>
        <v>-18.850000000000001</v>
      </c>
      <c r="K929" s="72">
        <f>Target1[[#This Row],[Target Price]]/$B$2*100</f>
        <v>190.51774287376381</v>
      </c>
      <c r="R929">
        <f>B930/Target1[[#This Row],[Target Price]]-1</f>
        <v>-1.4045801526717638E-2</v>
      </c>
    </row>
    <row r="930" spans="1:18">
      <c r="A930" s="96">
        <v>44631</v>
      </c>
      <c r="B930" s="101">
        <v>32.29</v>
      </c>
      <c r="C930" s="4">
        <f t="shared" si="42"/>
        <v>-1.4145377311077161E-2</v>
      </c>
      <c r="D930" s="4">
        <f>IFERROR(Target1[[#This Row],[Target Return]]+1,"-")</f>
        <v>0.98585462268892288</v>
      </c>
      <c r="E930" s="6">
        <f>B930-MAX($B$2:B930)</f>
        <v>-19.310000000000002</v>
      </c>
      <c r="F930" s="80">
        <f t="shared" si="43"/>
        <v>403</v>
      </c>
      <c r="G930" s="77">
        <f>Target1[[#This Row],[Target Drawdown]]/MAX($B$2:B930)</f>
        <v>-0.37422480620155041</v>
      </c>
      <c r="H930" s="1" t="str">
        <f>IF(SUM(COUNTIF(Benchmark1[Benchmark '#1 Dates],Target1[[#This Row],[Target Dates]]),COUNTIF(Benchmark2[Benchmark '#2 Dates],Target1[[#This Row],[Target Dates]]))=2,"Pass","Fail")</f>
        <v>Pass</v>
      </c>
      <c r="I930" s="78">
        <f t="shared" si="44"/>
        <v>-19.310000000000002</v>
      </c>
      <c r="K930" s="72">
        <f>Target1[[#This Row],[Target Price]]/$B$2*100</f>
        <v>187.84176847004071</v>
      </c>
      <c r="R930">
        <f>B931/Target1[[#This Row],[Target Price]]-1</f>
        <v>-8.6714152988541793E-3</v>
      </c>
    </row>
    <row r="931" spans="1:18">
      <c r="A931" s="96">
        <v>44634</v>
      </c>
      <c r="B931" s="101">
        <v>32.01</v>
      </c>
      <c r="C931" s="4">
        <f t="shared" si="42"/>
        <v>-8.7092307884122037E-3</v>
      </c>
      <c r="D931" s="4">
        <f>IFERROR(Target1[[#This Row],[Target Return]]+1,"-")</f>
        <v>0.99129076921158776</v>
      </c>
      <c r="E931" s="6">
        <f>B931-MAX($B$2:B931)</f>
        <v>-19.590000000000003</v>
      </c>
      <c r="F931" s="80">
        <f t="shared" si="43"/>
        <v>404</v>
      </c>
      <c r="G931" s="77">
        <f>Target1[[#This Row],[Target Drawdown]]/MAX($B$2:B931)</f>
        <v>-0.37965116279069772</v>
      </c>
      <c r="H931" s="1" t="str">
        <f>IF(SUM(COUNTIF(Benchmark1[Benchmark '#1 Dates],Target1[[#This Row],[Target Dates]]),COUNTIF(Benchmark2[Benchmark '#2 Dates],Target1[[#This Row],[Target Dates]]))=2,"Pass","Fail")</f>
        <v>Pass</v>
      </c>
      <c r="I931" s="78">
        <f t="shared" si="44"/>
        <v>-19.590000000000003</v>
      </c>
      <c r="K931" s="72">
        <f>Target1[[#This Row],[Target Price]]/$B$2*100</f>
        <v>186.21291448516578</v>
      </c>
      <c r="R931">
        <f>B932/Target1[[#This Row],[Target Price]]-1</f>
        <v>1.624492346141837E-2</v>
      </c>
    </row>
    <row r="932" spans="1:18">
      <c r="A932" s="96">
        <v>44635</v>
      </c>
      <c r="B932" s="101">
        <v>32.53</v>
      </c>
      <c r="C932" s="4">
        <f t="shared" si="42"/>
        <v>1.6114386503488461E-2</v>
      </c>
      <c r="D932" s="4">
        <f>IFERROR(Target1[[#This Row],[Target Return]]+1,"-")</f>
        <v>1.0161143865034885</v>
      </c>
      <c r="E932" s="6">
        <f>B932-MAX($B$2:B932)</f>
        <v>-19.07</v>
      </c>
      <c r="F932" s="80">
        <f t="shared" si="43"/>
        <v>405</v>
      </c>
      <c r="G932" s="77">
        <f>Target1[[#This Row],[Target Drawdown]]/MAX($B$2:B932)</f>
        <v>-0.36957364341085269</v>
      </c>
      <c r="H932" s="1" t="str">
        <f>IF(SUM(COUNTIF(Benchmark1[Benchmark '#1 Dates],Target1[[#This Row],[Target Dates]]),COUNTIF(Benchmark2[Benchmark '#2 Dates],Target1[[#This Row],[Target Dates]]))=2,"Pass","Fail")</f>
        <v>Pass</v>
      </c>
      <c r="I932" s="78">
        <f t="shared" si="44"/>
        <v>-19.07</v>
      </c>
      <c r="K932" s="72">
        <f>Target1[[#This Row],[Target Price]]/$B$2*100</f>
        <v>189.23792902850494</v>
      </c>
      <c r="R932">
        <f>B933/Target1[[#This Row],[Target Price]]-1</f>
        <v>4.1192745158315391E-2</v>
      </c>
    </row>
    <row r="933" spans="1:18">
      <c r="A933" s="96">
        <v>44636</v>
      </c>
      <c r="B933" s="101">
        <v>33.869999999999997</v>
      </c>
      <c r="C933" s="4">
        <f t="shared" si="42"/>
        <v>4.0366926344420247E-2</v>
      </c>
      <c r="D933" s="4">
        <f>IFERROR(Target1[[#This Row],[Target Return]]+1,"-")</f>
        <v>1.0403669263444202</v>
      </c>
      <c r="E933" s="6">
        <f>B933-MAX($B$2:B933)</f>
        <v>-17.730000000000004</v>
      </c>
      <c r="F933" s="80">
        <f t="shared" si="43"/>
        <v>406</v>
      </c>
      <c r="G933" s="77">
        <f>Target1[[#This Row],[Target Drawdown]]/MAX($B$2:B933)</f>
        <v>-0.34360465116279076</v>
      </c>
      <c r="H933" s="1" t="str">
        <f>IF(SUM(COUNTIF(Benchmark1[Benchmark '#1 Dates],Target1[[#This Row],[Target Dates]]),COUNTIF(Benchmark2[Benchmark '#2 Dates],Target1[[#This Row],[Target Dates]]))=2,"Pass","Fail")</f>
        <v>Pass</v>
      </c>
      <c r="I933" s="78">
        <f t="shared" si="44"/>
        <v>-17.730000000000004</v>
      </c>
      <c r="K933" s="72">
        <f>Target1[[#This Row],[Target Price]]/$B$2*100</f>
        <v>197.0331588132635</v>
      </c>
      <c r="R933">
        <f>B934/Target1[[#This Row],[Target Price]]-1</f>
        <v>1.712429878948929E-2</v>
      </c>
    </row>
    <row r="934" spans="1:18">
      <c r="A934" s="96">
        <v>44637</v>
      </c>
      <c r="B934" s="101">
        <v>34.450000000000003</v>
      </c>
      <c r="C934" s="4">
        <f t="shared" si="42"/>
        <v>1.6979330629987303E-2</v>
      </c>
      <c r="D934" s="4">
        <f>IFERROR(Target1[[#This Row],[Target Return]]+1,"-")</f>
        <v>1.0169793306299872</v>
      </c>
      <c r="E934" s="6">
        <f>B934-MAX($B$2:B934)</f>
        <v>-17.149999999999999</v>
      </c>
      <c r="F934" s="80">
        <f t="shared" si="43"/>
        <v>407</v>
      </c>
      <c r="G934" s="77">
        <f>Target1[[#This Row],[Target Drawdown]]/MAX($B$2:B934)</f>
        <v>-0.3323643410852713</v>
      </c>
      <c r="H934" s="1" t="str">
        <f>IF(SUM(COUNTIF(Benchmark1[Benchmark '#1 Dates],Target1[[#This Row],[Target Dates]]),COUNTIF(Benchmark2[Benchmark '#2 Dates],Target1[[#This Row],[Target Dates]]))=2,"Pass","Fail")</f>
        <v>Pass</v>
      </c>
      <c r="I934" s="78">
        <f t="shared" si="44"/>
        <v>-17.149999999999999</v>
      </c>
      <c r="K934" s="72">
        <f>Target1[[#This Row],[Target Price]]/$B$2*100</f>
        <v>200.40721349621876</v>
      </c>
      <c r="R934">
        <f>B935/Target1[[#This Row],[Target Price]]-1</f>
        <v>1.7416545718431653E-3</v>
      </c>
    </row>
    <row r="935" spans="1:18">
      <c r="A935" s="96">
        <v>44638</v>
      </c>
      <c r="B935" s="101">
        <v>34.51</v>
      </c>
      <c r="C935" s="4">
        <f t="shared" si="42"/>
        <v>1.7401396502443821E-3</v>
      </c>
      <c r="D935" s="4">
        <f>IFERROR(Target1[[#This Row],[Target Return]]+1,"-")</f>
        <v>1.0017401396502443</v>
      </c>
      <c r="E935" s="6">
        <f>B935-MAX($B$2:B935)</f>
        <v>-17.090000000000003</v>
      </c>
      <c r="F935" s="80">
        <f t="shared" si="43"/>
        <v>408</v>
      </c>
      <c r="G935" s="77">
        <f>Target1[[#This Row],[Target Drawdown]]/MAX($B$2:B935)</f>
        <v>-0.33120155038759697</v>
      </c>
      <c r="H935" s="1" t="str">
        <f>IF(SUM(COUNTIF(Benchmark1[Benchmark '#1 Dates],Target1[[#This Row],[Target Dates]]),COUNTIF(Benchmark2[Benchmark '#2 Dates],Target1[[#This Row],[Target Dates]]))=2,"Pass","Fail")</f>
        <v>Pass</v>
      </c>
      <c r="I935" s="78">
        <f t="shared" si="44"/>
        <v>-17.090000000000003</v>
      </c>
      <c r="K935" s="72">
        <f>Target1[[#This Row],[Target Price]]/$B$2*100</f>
        <v>200.75625363583475</v>
      </c>
      <c r="R935">
        <f>B936/Target1[[#This Row],[Target Price]]-1</f>
        <v>-4.6363372935379621E-3</v>
      </c>
    </row>
    <row r="936" spans="1:18">
      <c r="A936" s="96">
        <v>44641</v>
      </c>
      <c r="B936" s="101">
        <v>34.35</v>
      </c>
      <c r="C936" s="4">
        <f t="shared" si="42"/>
        <v>-4.6471184415535546E-3</v>
      </c>
      <c r="D936" s="4">
        <f>IFERROR(Target1[[#This Row],[Target Return]]+1,"-")</f>
        <v>0.99535288155844648</v>
      </c>
      <c r="E936" s="6">
        <f>B936-MAX($B$2:B936)</f>
        <v>-17.25</v>
      </c>
      <c r="F936" s="80">
        <f t="shared" si="43"/>
        <v>409</v>
      </c>
      <c r="G936" s="77">
        <f>Target1[[#This Row],[Target Drawdown]]/MAX($B$2:B936)</f>
        <v>-0.33430232558139533</v>
      </c>
      <c r="H936" s="1" t="str">
        <f>IF(SUM(COUNTIF(Benchmark1[Benchmark '#1 Dates],Target1[[#This Row],[Target Dates]]),COUNTIF(Benchmark2[Benchmark '#2 Dates],Target1[[#This Row],[Target Dates]]))=2,"Pass","Fail")</f>
        <v>Pass</v>
      </c>
      <c r="I936" s="78">
        <f t="shared" si="44"/>
        <v>-17.25</v>
      </c>
      <c r="K936" s="72">
        <f>Target1[[#This Row],[Target Price]]/$B$2*100</f>
        <v>199.82547993019196</v>
      </c>
      <c r="R936">
        <f>B937/Target1[[#This Row],[Target Price]]-1</f>
        <v>2.0087336244541509E-2</v>
      </c>
    </row>
    <row r="937" spans="1:18">
      <c r="A937" s="96">
        <v>44642</v>
      </c>
      <c r="B937" s="101">
        <v>35.04</v>
      </c>
      <c r="C937" s="4">
        <f t="shared" si="42"/>
        <v>1.9888247399832366E-2</v>
      </c>
      <c r="D937" s="4">
        <f>IFERROR(Target1[[#This Row],[Target Return]]+1,"-")</f>
        <v>1.0198882473998323</v>
      </c>
      <c r="E937" s="6">
        <f>B937-MAX($B$2:B937)</f>
        <v>-16.560000000000002</v>
      </c>
      <c r="F937" s="80">
        <f t="shared" si="43"/>
        <v>410</v>
      </c>
      <c r="G937" s="77">
        <f>Target1[[#This Row],[Target Drawdown]]/MAX($B$2:B937)</f>
        <v>-0.32093023255813957</v>
      </c>
      <c r="H937" s="1" t="str">
        <f>IF(SUM(COUNTIF(Benchmark1[Benchmark '#1 Dates],Target1[[#This Row],[Target Dates]]),COUNTIF(Benchmark2[Benchmark '#2 Dates],Target1[[#This Row],[Target Dates]]))=2,"Pass","Fail")</f>
        <v>Pass</v>
      </c>
      <c r="I937" s="78">
        <f t="shared" si="44"/>
        <v>-16.560000000000002</v>
      </c>
      <c r="K937" s="72">
        <f>Target1[[#This Row],[Target Price]]/$B$2*100</f>
        <v>203.83944153577659</v>
      </c>
      <c r="R937">
        <f>B938/Target1[[#This Row],[Target Price]]-1</f>
        <v>-1.5696347031963431E-2</v>
      </c>
    </row>
    <row r="938" spans="1:18">
      <c r="A938" s="96">
        <v>44643</v>
      </c>
      <c r="B938" s="101">
        <v>34.49</v>
      </c>
      <c r="C938" s="4">
        <f t="shared" si="42"/>
        <v>-1.5820839119441113E-2</v>
      </c>
      <c r="D938" s="4">
        <f>IFERROR(Target1[[#This Row],[Target Return]]+1,"-")</f>
        <v>0.9841791608805589</v>
      </c>
      <c r="E938" s="6">
        <f>B938-MAX($B$2:B938)</f>
        <v>-17.11</v>
      </c>
      <c r="F938" s="80">
        <f t="shared" si="43"/>
        <v>411</v>
      </c>
      <c r="G938" s="77">
        <f>Target1[[#This Row],[Target Drawdown]]/MAX($B$2:B938)</f>
        <v>-0.33158914728682171</v>
      </c>
      <c r="H938" s="1" t="str">
        <f>IF(SUM(COUNTIF(Benchmark1[Benchmark '#1 Dates],Target1[[#This Row],[Target Dates]]),COUNTIF(Benchmark2[Benchmark '#2 Dates],Target1[[#This Row],[Target Dates]]))=2,"Pass","Fail")</f>
        <v>Pass</v>
      </c>
      <c r="I938" s="78">
        <f t="shared" si="44"/>
        <v>-17.11</v>
      </c>
      <c r="K938" s="72">
        <f>Target1[[#This Row],[Target Price]]/$B$2*100</f>
        <v>200.63990692262945</v>
      </c>
      <c r="R938">
        <f>B939/Target1[[#This Row],[Target Price]]-1</f>
        <v>3.8561902000579851E-2</v>
      </c>
    </row>
    <row r="939" spans="1:18">
      <c r="A939" s="96">
        <v>44644</v>
      </c>
      <c r="B939" s="101">
        <v>35.82</v>
      </c>
      <c r="C939" s="4">
        <f t="shared" si="42"/>
        <v>3.7836969683816155E-2</v>
      </c>
      <c r="D939" s="4">
        <f>IFERROR(Target1[[#This Row],[Target Return]]+1,"-")</f>
        <v>1.0378369696838161</v>
      </c>
      <c r="E939" s="6">
        <f>B939-MAX($B$2:B939)</f>
        <v>-15.780000000000001</v>
      </c>
      <c r="F939" s="80">
        <f t="shared" si="43"/>
        <v>412</v>
      </c>
      <c r="G939" s="77">
        <f>Target1[[#This Row],[Target Drawdown]]/MAX($B$2:B939)</f>
        <v>-0.30581395348837209</v>
      </c>
      <c r="H939" s="1" t="str">
        <f>IF(SUM(COUNTIF(Benchmark1[Benchmark '#1 Dates],Target1[[#This Row],[Target Dates]]),COUNTIF(Benchmark2[Benchmark '#2 Dates],Target1[[#This Row],[Target Dates]]))=2,"Pass","Fail")</f>
        <v>Pass</v>
      </c>
      <c r="I939" s="78">
        <f t="shared" si="44"/>
        <v>-15.780000000000001</v>
      </c>
      <c r="K939" s="72">
        <f>Target1[[#This Row],[Target Price]]/$B$2*100</f>
        <v>208.3769633507853</v>
      </c>
      <c r="R939">
        <f>B940/Target1[[#This Row],[Target Price]]-1</f>
        <v>2.4008933556672218E-2</v>
      </c>
    </row>
    <row r="940" spans="1:18">
      <c r="A940" s="96">
        <v>44645</v>
      </c>
      <c r="B940" s="101">
        <v>36.68</v>
      </c>
      <c r="C940" s="4">
        <f t="shared" si="42"/>
        <v>2.3725250755698351E-2</v>
      </c>
      <c r="D940" s="4">
        <f>IFERROR(Target1[[#This Row],[Target Return]]+1,"-")</f>
        <v>1.0237252507556984</v>
      </c>
      <c r="E940" s="6">
        <f>B940-MAX($B$2:B940)</f>
        <v>-14.920000000000002</v>
      </c>
      <c r="F940" s="80">
        <f t="shared" si="43"/>
        <v>413</v>
      </c>
      <c r="G940" s="77">
        <f>Target1[[#This Row],[Target Drawdown]]/MAX($B$2:B940)</f>
        <v>-0.28914728682170543</v>
      </c>
      <c r="H940" s="1" t="str">
        <f>IF(SUM(COUNTIF(Benchmark1[Benchmark '#1 Dates],Target1[[#This Row],[Target Dates]]),COUNTIF(Benchmark2[Benchmark '#2 Dates],Target1[[#This Row],[Target Dates]]))=2,"Pass","Fail")</f>
        <v>Pass</v>
      </c>
      <c r="I940" s="78">
        <f t="shared" si="44"/>
        <v>-14.920000000000002</v>
      </c>
      <c r="K940" s="72">
        <f>Target1[[#This Row],[Target Price]]/$B$2*100</f>
        <v>213.37987201861543</v>
      </c>
      <c r="R940">
        <f>B941/Target1[[#This Row],[Target Price]]-1</f>
        <v>-2.6717557251908275E-2</v>
      </c>
    </row>
    <row r="941" spans="1:18">
      <c r="A941" s="96">
        <v>44648</v>
      </c>
      <c r="B941" s="101">
        <v>35.700000000000003</v>
      </c>
      <c r="C941" s="4">
        <f t="shared" si="42"/>
        <v>-2.7080958602670582E-2</v>
      </c>
      <c r="D941" s="4">
        <f>IFERROR(Target1[[#This Row],[Target Return]]+1,"-")</f>
        <v>0.97291904139732943</v>
      </c>
      <c r="E941" s="6">
        <f>B941-MAX($B$2:B941)</f>
        <v>-15.899999999999999</v>
      </c>
      <c r="F941" s="80">
        <f t="shared" si="43"/>
        <v>414</v>
      </c>
      <c r="G941" s="77">
        <f>Target1[[#This Row],[Target Drawdown]]/MAX($B$2:B941)</f>
        <v>-0.30813953488372087</v>
      </c>
      <c r="H941" s="1" t="str">
        <f>IF(SUM(COUNTIF(Benchmark1[Benchmark '#1 Dates],Target1[[#This Row],[Target Dates]]),COUNTIF(Benchmark2[Benchmark '#2 Dates],Target1[[#This Row],[Target Dates]]))=2,"Pass","Fail")</f>
        <v>Pass</v>
      </c>
      <c r="I941" s="78">
        <f t="shared" si="44"/>
        <v>-15.899999999999999</v>
      </c>
      <c r="K941" s="72">
        <f>Target1[[#This Row],[Target Price]]/$B$2*100</f>
        <v>207.67888307155323</v>
      </c>
      <c r="R941">
        <f>B942/Target1[[#This Row],[Target Price]]-1</f>
        <v>1.7927170868347275E-2</v>
      </c>
    </row>
    <row r="942" spans="1:18">
      <c r="A942" s="96">
        <v>44649</v>
      </c>
      <c r="B942" s="101">
        <v>36.340000000000003</v>
      </c>
      <c r="C942" s="4">
        <f t="shared" si="42"/>
        <v>1.776837418243167E-2</v>
      </c>
      <c r="D942" s="4">
        <f>IFERROR(Target1[[#This Row],[Target Return]]+1,"-")</f>
        <v>1.0177683741824317</v>
      </c>
      <c r="E942" s="6">
        <f>B942-MAX($B$2:B942)</f>
        <v>-15.259999999999998</v>
      </c>
      <c r="F942" s="80">
        <f t="shared" si="43"/>
        <v>415</v>
      </c>
      <c r="G942" s="77">
        <f>Target1[[#This Row],[Target Drawdown]]/MAX($B$2:B942)</f>
        <v>-0.29573643410852707</v>
      </c>
      <c r="H942" s="1" t="str">
        <f>IF(SUM(COUNTIF(Benchmark1[Benchmark '#1 Dates],Target1[[#This Row],[Target Dates]]),COUNTIF(Benchmark2[Benchmark '#2 Dates],Target1[[#This Row],[Target Dates]]))=2,"Pass","Fail")</f>
        <v>Pass</v>
      </c>
      <c r="I942" s="78">
        <f t="shared" si="44"/>
        <v>-15.259999999999998</v>
      </c>
      <c r="K942" s="72">
        <f>Target1[[#This Row],[Target Price]]/$B$2*100</f>
        <v>211.40197789412451</v>
      </c>
      <c r="R942">
        <f>B943/Target1[[#This Row],[Target Price]]-1</f>
        <v>-1.5685195376995087E-2</v>
      </c>
    </row>
    <row r="943" spans="1:18">
      <c r="A943" s="96">
        <v>44650</v>
      </c>
      <c r="B943" s="101">
        <v>35.770000000000003</v>
      </c>
      <c r="C943" s="4">
        <f t="shared" si="42"/>
        <v>-1.5809509697098795E-2</v>
      </c>
      <c r="D943" s="4">
        <f>IFERROR(Target1[[#This Row],[Target Return]]+1,"-")</f>
        <v>0.98419049030290118</v>
      </c>
      <c r="E943" s="6">
        <f>B943-MAX($B$2:B943)</f>
        <v>-15.829999999999998</v>
      </c>
      <c r="F943" s="80">
        <f t="shared" si="43"/>
        <v>416</v>
      </c>
      <c r="G943" s="77">
        <f>Target1[[#This Row],[Target Drawdown]]/MAX($B$2:B943)</f>
        <v>-0.30678294573643405</v>
      </c>
      <c r="H943" s="1" t="str">
        <f>IF(SUM(COUNTIF(Benchmark1[Benchmark '#1 Dates],Target1[[#This Row],[Target Dates]]),COUNTIF(Benchmark2[Benchmark '#2 Dates],Target1[[#This Row],[Target Dates]]))=2,"Pass","Fail")</f>
        <v>Pass</v>
      </c>
      <c r="I943" s="78">
        <f t="shared" si="44"/>
        <v>-15.829999999999998</v>
      </c>
      <c r="K943" s="72">
        <f>Target1[[#This Row],[Target Price]]/$B$2*100</f>
        <v>208.08609656777196</v>
      </c>
      <c r="R943">
        <f>B944/Target1[[#This Row],[Target Price]]-1</f>
        <v>1.5655577299412693E-2</v>
      </c>
    </row>
    <row r="944" spans="1:18">
      <c r="A944" s="96">
        <v>44651</v>
      </c>
      <c r="B944" s="101">
        <v>36.33</v>
      </c>
      <c r="C944" s="4">
        <f t="shared" si="42"/>
        <v>1.5534292962183985E-2</v>
      </c>
      <c r="D944" s="4">
        <f>IFERROR(Target1[[#This Row],[Target Return]]+1,"-")</f>
        <v>1.015534292962184</v>
      </c>
      <c r="E944" s="6">
        <f>B944-MAX($B$2:B944)</f>
        <v>-15.270000000000003</v>
      </c>
      <c r="F944" s="80">
        <f t="shared" si="43"/>
        <v>417</v>
      </c>
      <c r="G944" s="77">
        <f>Target1[[#This Row],[Target Drawdown]]/MAX($B$2:B944)</f>
        <v>-0.29593023255813961</v>
      </c>
      <c r="H944" s="1" t="str">
        <f>IF(SUM(COUNTIF(Benchmark1[Benchmark '#1 Dates],Target1[[#This Row],[Target Dates]]),COUNTIF(Benchmark2[Benchmark '#2 Dates],Target1[[#This Row],[Target Dates]]))=2,"Pass","Fail")</f>
        <v>Pass</v>
      </c>
      <c r="I944" s="78">
        <f t="shared" si="44"/>
        <v>-15.270000000000003</v>
      </c>
      <c r="K944" s="72">
        <f>Target1[[#This Row],[Target Price]]/$B$2*100</f>
        <v>211.34380453752178</v>
      </c>
      <c r="R944">
        <f>B945/Target1[[#This Row],[Target Price]]-1</f>
        <v>1.3212221304707006E-2</v>
      </c>
    </row>
    <row r="945" spans="1:18">
      <c r="A945" s="96">
        <v>44652</v>
      </c>
      <c r="B945" s="101">
        <v>36.81</v>
      </c>
      <c r="C945" s="4">
        <f t="shared" si="42"/>
        <v>1.3125701157819336E-2</v>
      </c>
      <c r="D945" s="4">
        <f>IFERROR(Target1[[#This Row],[Target Return]]+1,"-")</f>
        <v>1.0131257011578194</v>
      </c>
      <c r="E945" s="6">
        <f>B945-MAX($B$2:B945)</f>
        <v>-14.79</v>
      </c>
      <c r="F945" s="80">
        <f t="shared" si="43"/>
        <v>418</v>
      </c>
      <c r="G945" s="77">
        <f>Target1[[#This Row],[Target Drawdown]]/MAX($B$2:B945)</f>
        <v>-0.28662790697674417</v>
      </c>
      <c r="H945" s="1" t="str">
        <f>IF(SUM(COUNTIF(Benchmark1[Benchmark '#1 Dates],Target1[[#This Row],[Target Dates]]),COUNTIF(Benchmark2[Benchmark '#2 Dates],Target1[[#This Row],[Target Dates]]))=2,"Pass","Fail")</f>
        <v>Pass</v>
      </c>
      <c r="I945" s="78">
        <f t="shared" si="44"/>
        <v>-14.79</v>
      </c>
      <c r="K945" s="72">
        <f>Target1[[#This Row],[Target Price]]/$B$2*100</f>
        <v>214.13612565445024</v>
      </c>
      <c r="R945">
        <f>B946/Target1[[#This Row],[Target Price]]-1</f>
        <v>-2.1733224667211948E-3</v>
      </c>
    </row>
    <row r="946" spans="1:18">
      <c r="A946" s="96">
        <v>44655</v>
      </c>
      <c r="B946" s="101">
        <v>36.729999999999997</v>
      </c>
      <c r="C946" s="4">
        <f t="shared" si="42"/>
        <v>-2.1756875593540136E-3</v>
      </c>
      <c r="D946" s="4">
        <f>IFERROR(Target1[[#This Row],[Target Return]]+1,"-")</f>
        <v>0.99782431244064596</v>
      </c>
      <c r="E946" s="6">
        <f>B946-MAX($B$2:B946)</f>
        <v>-14.870000000000005</v>
      </c>
      <c r="F946" s="80">
        <f t="shared" si="43"/>
        <v>419</v>
      </c>
      <c r="G946" s="77">
        <f>Target1[[#This Row],[Target Drawdown]]/MAX($B$2:B946)</f>
        <v>-0.28817829457364347</v>
      </c>
      <c r="H946" s="1" t="str">
        <f>IF(SUM(COUNTIF(Benchmark1[Benchmark '#1 Dates],Target1[[#This Row],[Target Dates]]),COUNTIF(Benchmark2[Benchmark '#2 Dates],Target1[[#This Row],[Target Dates]]))=2,"Pass","Fail")</f>
        <v>Pass</v>
      </c>
      <c r="I946" s="78">
        <f t="shared" si="44"/>
        <v>-14.870000000000005</v>
      </c>
      <c r="K946" s="72">
        <f>Target1[[#This Row],[Target Price]]/$B$2*100</f>
        <v>213.67073880162883</v>
      </c>
      <c r="R946">
        <f>B947/Target1[[#This Row],[Target Price]]-1</f>
        <v>-1.9057990743261533E-2</v>
      </c>
    </row>
    <row r="947" spans="1:18">
      <c r="A947" s="96">
        <v>44656</v>
      </c>
      <c r="B947" s="101">
        <v>36.03</v>
      </c>
      <c r="C947" s="4">
        <f t="shared" si="42"/>
        <v>-1.9241935071573971E-2</v>
      </c>
      <c r="D947" s="4">
        <f>IFERROR(Target1[[#This Row],[Target Return]]+1,"-")</f>
        <v>0.98075806492842599</v>
      </c>
      <c r="E947" s="6">
        <f>B947-MAX($B$2:B947)</f>
        <v>-15.57</v>
      </c>
      <c r="F947" s="80">
        <f t="shared" si="43"/>
        <v>420</v>
      </c>
      <c r="G947" s="77">
        <f>Target1[[#This Row],[Target Drawdown]]/MAX($B$2:B947)</f>
        <v>-0.3017441860465116</v>
      </c>
      <c r="H947" s="1" t="str">
        <f>IF(SUM(COUNTIF(Benchmark1[Benchmark '#1 Dates],Target1[[#This Row],[Target Dates]]),COUNTIF(Benchmark2[Benchmark '#2 Dates],Target1[[#This Row],[Target Dates]]))=2,"Pass","Fail")</f>
        <v>Pass</v>
      </c>
      <c r="I947" s="78">
        <f t="shared" si="44"/>
        <v>-15.57</v>
      </c>
      <c r="K947" s="72">
        <f>Target1[[#This Row],[Target Price]]/$B$2*100</f>
        <v>209.59860383944152</v>
      </c>
      <c r="R947">
        <f>B948/Target1[[#This Row],[Target Price]]-1</f>
        <v>-7.7713016930336387E-3</v>
      </c>
    </row>
    <row r="948" spans="1:18">
      <c r="A948" s="96">
        <v>44657</v>
      </c>
      <c r="B948" s="101">
        <v>35.75</v>
      </c>
      <c r="C948" s="4">
        <f t="shared" si="42"/>
        <v>-7.8016556199852587E-3</v>
      </c>
      <c r="D948" s="4">
        <f>IFERROR(Target1[[#This Row],[Target Return]]+1,"-")</f>
        <v>0.99219834438001475</v>
      </c>
      <c r="E948" s="6">
        <f>B948-MAX($B$2:B948)</f>
        <v>-15.850000000000001</v>
      </c>
      <c r="F948" s="80">
        <f t="shared" si="43"/>
        <v>421</v>
      </c>
      <c r="G948" s="77">
        <f>Target1[[#This Row],[Target Drawdown]]/MAX($B$2:B948)</f>
        <v>-0.30717054263565896</v>
      </c>
      <c r="H948" s="1" t="str">
        <f>IF(SUM(COUNTIF(Benchmark1[Benchmark '#1 Dates],Target1[[#This Row],[Target Dates]]),COUNTIF(Benchmark2[Benchmark '#2 Dates],Target1[[#This Row],[Target Dates]]))=2,"Pass","Fail")</f>
        <v>Pass</v>
      </c>
      <c r="I948" s="78">
        <f t="shared" si="44"/>
        <v>-15.850000000000001</v>
      </c>
      <c r="K948" s="72">
        <f>Target1[[#This Row],[Target Price]]/$B$2*100</f>
        <v>207.9697498545666</v>
      </c>
      <c r="R948">
        <f>B949/Target1[[#This Row],[Target Price]]-1</f>
        <v>-2.3776223776223793E-2</v>
      </c>
    </row>
    <row r="949" spans="1:18">
      <c r="A949" s="96">
        <v>44658</v>
      </c>
      <c r="B949" s="101">
        <v>34.9</v>
      </c>
      <c r="C949" s="4">
        <f t="shared" si="42"/>
        <v>-2.4063439931635199E-2</v>
      </c>
      <c r="D949" s="4">
        <f>IFERROR(Target1[[#This Row],[Target Return]]+1,"-")</f>
        <v>0.97593656006836482</v>
      </c>
      <c r="E949" s="6">
        <f>B949-MAX($B$2:B949)</f>
        <v>-16.700000000000003</v>
      </c>
      <c r="F949" s="80">
        <f t="shared" si="43"/>
        <v>422</v>
      </c>
      <c r="G949" s="77">
        <f>Target1[[#This Row],[Target Drawdown]]/MAX($B$2:B949)</f>
        <v>-0.3236434108527132</v>
      </c>
      <c r="H949" s="1" t="str">
        <f>IF(SUM(COUNTIF(Benchmark1[Benchmark '#1 Dates],Target1[[#This Row],[Target Dates]]),COUNTIF(Benchmark2[Benchmark '#2 Dates],Target1[[#This Row],[Target Dates]]))=2,"Pass","Fail")</f>
        <v>Pass</v>
      </c>
      <c r="I949" s="78">
        <f t="shared" si="44"/>
        <v>-16.700000000000003</v>
      </c>
      <c r="K949" s="72">
        <f>Target1[[#This Row],[Target Price]]/$B$2*100</f>
        <v>203.02501454333913</v>
      </c>
      <c r="R949">
        <f>B950/Target1[[#This Row],[Target Price]]-1</f>
        <v>-1.2607449856733455E-2</v>
      </c>
    </row>
    <row r="950" spans="1:18">
      <c r="A950" s="96">
        <v>44659</v>
      </c>
      <c r="B950" s="101">
        <v>34.46</v>
      </c>
      <c r="C950" s="4">
        <f t="shared" si="42"/>
        <v>-1.2687598108597846E-2</v>
      </c>
      <c r="D950" s="4">
        <f>IFERROR(Target1[[#This Row],[Target Return]]+1,"-")</f>
        <v>0.98731240189140212</v>
      </c>
      <c r="E950" s="6">
        <f>B950-MAX($B$2:B950)</f>
        <v>-17.14</v>
      </c>
      <c r="F950" s="80">
        <f t="shared" si="43"/>
        <v>423</v>
      </c>
      <c r="G950" s="77">
        <f>Target1[[#This Row],[Target Drawdown]]/MAX($B$2:B950)</f>
        <v>-0.33217054263565893</v>
      </c>
      <c r="H950" s="1" t="str">
        <f>IF(SUM(COUNTIF(Benchmark1[Benchmark '#1 Dates],Target1[[#This Row],[Target Dates]]),COUNTIF(Benchmark2[Benchmark '#2 Dates],Target1[[#This Row],[Target Dates]]))=2,"Pass","Fail")</f>
        <v>Pass</v>
      </c>
      <c r="I950" s="78">
        <f t="shared" si="44"/>
        <v>-17.14</v>
      </c>
      <c r="K950" s="72">
        <f>Target1[[#This Row],[Target Price]]/$B$2*100</f>
        <v>200.46538685282141</v>
      </c>
      <c r="R950">
        <f>B951/Target1[[#This Row],[Target Price]]-1</f>
        <v>-2.901915264074284E-2</v>
      </c>
    </row>
    <row r="951" spans="1:18">
      <c r="A951" s="96">
        <v>44662</v>
      </c>
      <c r="B951" s="101">
        <v>33.46</v>
      </c>
      <c r="C951" s="4">
        <f t="shared" si="42"/>
        <v>-2.9448535541105599E-2</v>
      </c>
      <c r="D951" s="4">
        <f>IFERROR(Target1[[#This Row],[Target Return]]+1,"-")</f>
        <v>0.9705514644588944</v>
      </c>
      <c r="E951" s="6">
        <f>B951-MAX($B$2:B951)</f>
        <v>-18.14</v>
      </c>
      <c r="F951" s="80">
        <f t="shared" si="43"/>
        <v>424</v>
      </c>
      <c r="G951" s="77">
        <f>Target1[[#This Row],[Target Drawdown]]/MAX($B$2:B951)</f>
        <v>-0.35155038759689922</v>
      </c>
      <c r="H951" s="1" t="str">
        <f>IF(SUM(COUNTIF(Benchmark1[Benchmark '#1 Dates],Target1[[#This Row],[Target Dates]]),COUNTIF(Benchmark2[Benchmark '#2 Dates],Target1[[#This Row],[Target Dates]]))=2,"Pass","Fail")</f>
        <v>Pass</v>
      </c>
      <c r="I951" s="78">
        <f t="shared" si="44"/>
        <v>-18.14</v>
      </c>
      <c r="K951" s="72">
        <f>Target1[[#This Row],[Target Price]]/$B$2*100</f>
        <v>194.64805119255379</v>
      </c>
      <c r="R951">
        <f>B952/Target1[[#This Row],[Target Price]]-1</f>
        <v>2.2414823670053874E-2</v>
      </c>
    </row>
    <row r="952" spans="1:18">
      <c r="A952" s="96">
        <v>44663</v>
      </c>
      <c r="B952" s="101">
        <v>34.21</v>
      </c>
      <c r="C952" s="4">
        <f t="shared" si="42"/>
        <v>2.2167303430835474E-2</v>
      </c>
      <c r="D952" s="4">
        <f>IFERROR(Target1[[#This Row],[Target Return]]+1,"-")</f>
        <v>1.0221673034308354</v>
      </c>
      <c r="E952" s="6">
        <f>B952-MAX($B$2:B952)</f>
        <v>-17.39</v>
      </c>
      <c r="F952" s="80">
        <f t="shared" si="43"/>
        <v>425</v>
      </c>
      <c r="G952" s="77">
        <f>Target1[[#This Row],[Target Drawdown]]/MAX($B$2:B952)</f>
        <v>-0.33701550387596901</v>
      </c>
      <c r="H952" s="1" t="str">
        <f>IF(SUM(COUNTIF(Benchmark1[Benchmark '#1 Dates],Target1[[#This Row],[Target Dates]]),COUNTIF(Benchmark2[Benchmark '#2 Dates],Target1[[#This Row],[Target Dates]]))=2,"Pass","Fail")</f>
        <v>Pass</v>
      </c>
      <c r="I952" s="78">
        <f t="shared" si="44"/>
        <v>-17.39</v>
      </c>
      <c r="K952" s="72">
        <f>Target1[[#This Row],[Target Price]]/$B$2*100</f>
        <v>199.0110529377545</v>
      </c>
      <c r="R952">
        <f>B953/Target1[[#This Row],[Target Price]]-1</f>
        <v>2.5723472668810254E-2</v>
      </c>
    </row>
    <row r="953" spans="1:18">
      <c r="A953" s="96">
        <v>44664</v>
      </c>
      <c r="B953" s="101">
        <v>35.090000000000003</v>
      </c>
      <c r="C953" s="4">
        <f t="shared" si="42"/>
        <v>2.5398190605610403E-2</v>
      </c>
      <c r="D953" s="4">
        <f>IFERROR(Target1[[#This Row],[Target Return]]+1,"-")</f>
        <v>1.0253981906056104</v>
      </c>
      <c r="E953" s="6">
        <f>B953-MAX($B$2:B953)</f>
        <v>-16.509999999999998</v>
      </c>
      <c r="F953" s="80">
        <f t="shared" si="43"/>
        <v>426</v>
      </c>
      <c r="G953" s="77">
        <f>Target1[[#This Row],[Target Drawdown]]/MAX($B$2:B953)</f>
        <v>-0.3199612403100775</v>
      </c>
      <c r="H953" s="1" t="str">
        <f>IF(SUM(COUNTIF(Benchmark1[Benchmark '#1 Dates],Target1[[#This Row],[Target Dates]]),COUNTIF(Benchmark2[Benchmark '#2 Dates],Target1[[#This Row],[Target Dates]]))=2,"Pass","Fail")</f>
        <v>Pass</v>
      </c>
      <c r="I953" s="78">
        <f t="shared" si="44"/>
        <v>-16.509999999999998</v>
      </c>
      <c r="K953" s="72">
        <f>Target1[[#This Row],[Target Price]]/$B$2*100</f>
        <v>204.13030831878999</v>
      </c>
      <c r="R953">
        <f>B954/Target1[[#This Row],[Target Price]]-1</f>
        <v>-1.5673981191222652E-2</v>
      </c>
    </row>
    <row r="954" spans="1:18">
      <c r="A954" s="96">
        <v>44665</v>
      </c>
      <c r="B954" s="101">
        <v>34.54</v>
      </c>
      <c r="C954" s="4">
        <f t="shared" si="42"/>
        <v>-1.5798116876591287E-2</v>
      </c>
      <c r="D954" s="4">
        <f>IFERROR(Target1[[#This Row],[Target Return]]+1,"-")</f>
        <v>0.98420188312340873</v>
      </c>
      <c r="E954" s="6">
        <f>B954-MAX($B$2:B954)</f>
        <v>-17.060000000000002</v>
      </c>
      <c r="F954" s="80">
        <f t="shared" si="43"/>
        <v>427</v>
      </c>
      <c r="G954" s="77">
        <f>Target1[[#This Row],[Target Drawdown]]/MAX($B$2:B954)</f>
        <v>-0.33062015503875974</v>
      </c>
      <c r="H954" s="1" t="str">
        <f>IF(SUM(COUNTIF(Benchmark1[Benchmark '#1 Dates],Target1[[#This Row],[Target Dates]]),COUNTIF(Benchmark2[Benchmark '#2 Dates],Target1[[#This Row],[Target Dates]]))=2,"Pass","Fail")</f>
        <v>Pass</v>
      </c>
      <c r="I954" s="78">
        <f t="shared" si="44"/>
        <v>-17.060000000000002</v>
      </c>
      <c r="K954" s="72">
        <f>Target1[[#This Row],[Target Price]]/$B$2*100</f>
        <v>200.93077370564282</v>
      </c>
      <c r="R954">
        <f>B955/Target1[[#This Row],[Target Price]]-1</f>
        <v>9.2646207295890015E-3</v>
      </c>
    </row>
    <row r="955" spans="1:18">
      <c r="A955" s="96">
        <v>44669</v>
      </c>
      <c r="B955" s="101">
        <v>34.86</v>
      </c>
      <c r="C955" s="4">
        <f t="shared" si="42"/>
        <v>9.2219673733424361E-3</v>
      </c>
      <c r="D955" s="4">
        <f>IFERROR(Target1[[#This Row],[Target Return]]+1,"-")</f>
        <v>1.0092219673733425</v>
      </c>
      <c r="E955" s="6">
        <f>B955-MAX($B$2:B955)</f>
        <v>-16.740000000000002</v>
      </c>
      <c r="F955" s="80">
        <f t="shared" si="43"/>
        <v>428</v>
      </c>
      <c r="G955" s="77">
        <f>Target1[[#This Row],[Target Drawdown]]/MAX($B$2:B955)</f>
        <v>-0.32441860465116285</v>
      </c>
      <c r="H955" s="1" t="str">
        <f>IF(SUM(COUNTIF(Benchmark1[Benchmark '#1 Dates],Target1[[#This Row],[Target Dates]]),COUNTIF(Benchmark2[Benchmark '#2 Dates],Target1[[#This Row],[Target Dates]]))=2,"Pass","Fail")</f>
        <v>Pass</v>
      </c>
      <c r="I955" s="78">
        <f t="shared" si="44"/>
        <v>-16.740000000000002</v>
      </c>
      <c r="K955" s="72">
        <f>Target1[[#This Row],[Target Price]]/$B$2*100</f>
        <v>202.79232111692841</v>
      </c>
      <c r="R955">
        <f>B956/Target1[[#This Row],[Target Price]]-1</f>
        <v>1.57773952954674E-2</v>
      </c>
    </row>
    <row r="956" spans="1:18">
      <c r="A956" s="96">
        <v>44670</v>
      </c>
      <c r="B956" s="101">
        <v>35.409999999999997</v>
      </c>
      <c r="C956" s="4">
        <f t="shared" si="42"/>
        <v>1.5654226031937321E-2</v>
      </c>
      <c r="D956" s="4">
        <f>IFERROR(Target1[[#This Row],[Target Return]]+1,"-")</f>
        <v>1.0156542260319372</v>
      </c>
      <c r="E956" s="6">
        <f>B956-MAX($B$2:B956)</f>
        <v>-16.190000000000005</v>
      </c>
      <c r="F956" s="80">
        <f t="shared" si="43"/>
        <v>429</v>
      </c>
      <c r="G956" s="77">
        <f>Target1[[#This Row],[Target Drawdown]]/MAX($B$2:B956)</f>
        <v>-0.31375968992248071</v>
      </c>
      <c r="H956" s="1" t="str">
        <f>IF(SUM(COUNTIF(Benchmark1[Benchmark '#1 Dates],Target1[[#This Row],[Target Dates]]),COUNTIF(Benchmark2[Benchmark '#2 Dates],Target1[[#This Row],[Target Dates]]))=2,"Pass","Fail")</f>
        <v>Pass</v>
      </c>
      <c r="I956" s="78">
        <f t="shared" si="44"/>
        <v>-16.190000000000005</v>
      </c>
      <c r="K956" s="72">
        <f>Target1[[#This Row],[Target Price]]/$B$2*100</f>
        <v>205.9918557300756</v>
      </c>
      <c r="R956">
        <f>B957/Target1[[#This Row],[Target Price]]-1</f>
        <v>0.14656876588534318</v>
      </c>
    </row>
    <row r="957" spans="1:18">
      <c r="A957" s="96">
        <v>44671</v>
      </c>
      <c r="B957" s="101">
        <v>40.6</v>
      </c>
      <c r="C957" s="4">
        <f t="shared" si="42"/>
        <v>0.13677380048387464</v>
      </c>
      <c r="D957" s="4">
        <f>IFERROR(Target1[[#This Row],[Target Return]]+1,"-")</f>
        <v>1.1367738004838746</v>
      </c>
      <c r="E957" s="6">
        <f>B957-MAX($B$2:B957)</f>
        <v>-11</v>
      </c>
      <c r="F957" s="80">
        <f t="shared" si="43"/>
        <v>430</v>
      </c>
      <c r="G957" s="77">
        <f>Target1[[#This Row],[Target Drawdown]]/MAX($B$2:B957)</f>
        <v>-0.2131782945736434</v>
      </c>
      <c r="H957" s="1" t="str">
        <f>IF(SUM(COUNTIF(Benchmark1[Benchmark '#1 Dates],Target1[[#This Row],[Target Dates]]),COUNTIF(Benchmark2[Benchmark '#2 Dates],Target1[[#This Row],[Target Dates]]))=2,"Pass","Fail")</f>
        <v>Pass</v>
      </c>
      <c r="I957" s="78">
        <f t="shared" si="44"/>
        <v>-11</v>
      </c>
      <c r="K957" s="72">
        <f>Target1[[#This Row],[Target Price]]/$B$2*100</f>
        <v>236.18382780686446</v>
      </c>
      <c r="R957">
        <f>B958/Target1[[#This Row],[Target Price]]-1</f>
        <v>-8.3497536945812856E-2</v>
      </c>
    </row>
    <row r="958" spans="1:18">
      <c r="A958" s="96">
        <v>44672</v>
      </c>
      <c r="B958" s="101">
        <v>37.21</v>
      </c>
      <c r="C958" s="4">
        <f t="shared" si="42"/>
        <v>-8.7190524249155882E-2</v>
      </c>
      <c r="D958" s="4">
        <f>IFERROR(Target1[[#This Row],[Target Return]]+1,"-")</f>
        <v>0.91280947575084415</v>
      </c>
      <c r="E958" s="6">
        <f>B958-MAX($B$2:B958)</f>
        <v>-14.39</v>
      </c>
      <c r="F958" s="80">
        <f t="shared" si="43"/>
        <v>431</v>
      </c>
      <c r="G958" s="77">
        <f>Target1[[#This Row],[Target Drawdown]]/MAX($B$2:B958)</f>
        <v>-0.27887596899224809</v>
      </c>
      <c r="H958" s="1" t="str">
        <f>IF(SUM(COUNTIF(Benchmark1[Benchmark '#1 Dates],Target1[[#This Row],[Target Dates]]),COUNTIF(Benchmark2[Benchmark '#2 Dates],Target1[[#This Row],[Target Dates]]))=2,"Pass","Fail")</f>
        <v>Pass</v>
      </c>
      <c r="I958" s="78">
        <f t="shared" si="44"/>
        <v>-14.39</v>
      </c>
      <c r="K958" s="72">
        <f>Target1[[#This Row],[Target Price]]/$B$2*100</f>
        <v>216.46305991855729</v>
      </c>
      <c r="R958">
        <f>B959/Target1[[#This Row],[Target Price]]-1</f>
        <v>-9.6748185971512468E-3</v>
      </c>
    </row>
    <row r="959" spans="1:18">
      <c r="A959" s="96">
        <v>44673</v>
      </c>
      <c r="B959" s="101">
        <v>36.85</v>
      </c>
      <c r="C959" s="4">
        <f t="shared" si="42"/>
        <v>-9.7219237231854615E-3</v>
      </c>
      <c r="D959" s="4">
        <f>IFERROR(Target1[[#This Row],[Target Return]]+1,"-")</f>
        <v>0.99027807627681452</v>
      </c>
      <c r="E959" s="6">
        <f>B959-MAX($B$2:B959)</f>
        <v>-14.75</v>
      </c>
      <c r="F959" s="80">
        <f t="shared" si="43"/>
        <v>432</v>
      </c>
      <c r="G959" s="77">
        <f>Target1[[#This Row],[Target Drawdown]]/MAX($B$2:B959)</f>
        <v>-0.28585271317829458</v>
      </c>
      <c r="H959" s="1" t="str">
        <f>IF(SUM(COUNTIF(Benchmark1[Benchmark '#1 Dates],Target1[[#This Row],[Target Dates]]),COUNTIF(Benchmark2[Benchmark '#2 Dates],Target1[[#This Row],[Target Dates]]))=2,"Pass","Fail")</f>
        <v>Pass</v>
      </c>
      <c r="I959" s="78">
        <f t="shared" si="44"/>
        <v>-14.75</v>
      </c>
      <c r="K959" s="72">
        <f>Target1[[#This Row],[Target Price]]/$B$2*100</f>
        <v>214.36881908086093</v>
      </c>
      <c r="R959">
        <f>B960/Target1[[#This Row],[Target Price]]-1</f>
        <v>6.7842605156038793E-3</v>
      </c>
    </row>
    <row r="960" spans="1:18">
      <c r="A960" s="96">
        <v>44676</v>
      </c>
      <c r="B960" s="101">
        <v>37.1</v>
      </c>
      <c r="C960" s="4">
        <f t="shared" si="42"/>
        <v>6.7613509780439247E-3</v>
      </c>
      <c r="D960" s="4">
        <f>IFERROR(Target1[[#This Row],[Target Return]]+1,"-")</f>
        <v>1.006761350978044</v>
      </c>
      <c r="E960" s="6">
        <f>B960-MAX($B$2:B960)</f>
        <v>-14.5</v>
      </c>
      <c r="F960" s="80">
        <f t="shared" si="43"/>
        <v>433</v>
      </c>
      <c r="G960" s="77">
        <f>Target1[[#This Row],[Target Drawdown]]/MAX($B$2:B960)</f>
        <v>-0.2810077519379845</v>
      </c>
      <c r="H960" s="1" t="str">
        <f>IF(SUM(COUNTIF(Benchmark1[Benchmark '#1 Dates],Target1[[#This Row],[Target Dates]]),COUNTIF(Benchmark2[Benchmark '#2 Dates],Target1[[#This Row],[Target Dates]]))=2,"Pass","Fail")</f>
        <v>Pass</v>
      </c>
      <c r="I960" s="78">
        <f t="shared" si="44"/>
        <v>-14.5</v>
      </c>
      <c r="K960" s="72">
        <f>Target1[[#This Row],[Target Price]]/$B$2*100</f>
        <v>215.82315299592784</v>
      </c>
      <c r="R960">
        <f>B961/Target1[[#This Row],[Target Price]]-1</f>
        <v>-5.3908355795149188E-3</v>
      </c>
    </row>
    <row r="961" spans="1:18">
      <c r="A961" s="96">
        <v>44677</v>
      </c>
      <c r="B961" s="101">
        <v>36.9</v>
      </c>
      <c r="C961" s="4">
        <f t="shared" si="42"/>
        <v>-5.4054185669080469E-3</v>
      </c>
      <c r="D961" s="4">
        <f>IFERROR(Target1[[#This Row],[Target Return]]+1,"-")</f>
        <v>0.99459458143309198</v>
      </c>
      <c r="E961" s="6">
        <f>B961-MAX($B$2:B961)</f>
        <v>-14.700000000000003</v>
      </c>
      <c r="F961" s="80">
        <f t="shared" si="43"/>
        <v>434</v>
      </c>
      <c r="G961" s="77">
        <f>Target1[[#This Row],[Target Drawdown]]/MAX($B$2:B961)</f>
        <v>-0.28488372093023262</v>
      </c>
      <c r="H961" s="1" t="str">
        <f>IF(SUM(COUNTIF(Benchmark1[Benchmark '#1 Dates],Target1[[#This Row],[Target Dates]]),COUNTIF(Benchmark2[Benchmark '#2 Dates],Target1[[#This Row],[Target Dates]]))=2,"Pass","Fail")</f>
        <v>Pass</v>
      </c>
      <c r="I961" s="78">
        <f t="shared" si="44"/>
        <v>-14.700000000000003</v>
      </c>
      <c r="K961" s="72">
        <f>Target1[[#This Row],[Target Price]]/$B$2*100</f>
        <v>214.65968586387433</v>
      </c>
      <c r="R961">
        <f>B962/Target1[[#This Row],[Target Price]]-1</f>
        <v>2.0596205962059466E-2</v>
      </c>
    </row>
    <row r="962" spans="1:18">
      <c r="A962" s="96">
        <v>44678</v>
      </c>
      <c r="B962" s="101">
        <v>37.659999999999997</v>
      </c>
      <c r="C962" s="4">
        <f t="shared" ref="C962:C1025" si="45">IFERROR(IF(B962="","-",LN(B962/B961)),"-")</f>
        <v>2.03869721825247E-2</v>
      </c>
      <c r="D962" s="4">
        <f>IFERROR(Target1[[#This Row],[Target Return]]+1,"-")</f>
        <v>1.0203869721825247</v>
      </c>
      <c r="E962" s="6">
        <f>B962-MAX($B$2:B962)</f>
        <v>-13.940000000000005</v>
      </c>
      <c r="F962" s="80">
        <f t="shared" ref="F962:F1025" si="46">IF(E962=0,0,F961+1)</f>
        <v>435</v>
      </c>
      <c r="G962" s="77">
        <f>Target1[[#This Row],[Target Drawdown]]/MAX($B$2:B962)</f>
        <v>-0.27015503875968999</v>
      </c>
      <c r="H962" s="1" t="str">
        <f>IF(SUM(COUNTIF(Benchmark1[Benchmark '#1 Dates],Target1[[#This Row],[Target Dates]]),COUNTIF(Benchmark2[Benchmark '#2 Dates],Target1[[#This Row],[Target Dates]]))=2,"Pass","Fail")</f>
        <v>Pass</v>
      </c>
      <c r="I962" s="78">
        <f t="shared" ref="I962:I1025" si="47">$E$2+E962</f>
        <v>-13.940000000000005</v>
      </c>
      <c r="K962" s="72">
        <f>Target1[[#This Row],[Target Price]]/$B$2*100</f>
        <v>219.08086096567766</v>
      </c>
      <c r="R962">
        <f>B963/Target1[[#This Row],[Target Price]]-1</f>
        <v>3.4519383961763239E-2</v>
      </c>
    </row>
    <row r="963" spans="1:18">
      <c r="A963" s="96">
        <v>44679</v>
      </c>
      <c r="B963" s="101">
        <v>38.96</v>
      </c>
      <c r="C963" s="4">
        <f t="shared" si="45"/>
        <v>3.3936955545328093E-2</v>
      </c>
      <c r="D963" s="4">
        <f>IFERROR(Target1[[#This Row],[Target Return]]+1,"-")</f>
        <v>1.0339369555453282</v>
      </c>
      <c r="E963" s="6">
        <f>B963-MAX($B$2:B963)</f>
        <v>-12.64</v>
      </c>
      <c r="F963" s="80">
        <f t="shared" si="46"/>
        <v>436</v>
      </c>
      <c r="G963" s="77">
        <f>Target1[[#This Row],[Target Drawdown]]/MAX($B$2:B963)</f>
        <v>-0.24496124031007752</v>
      </c>
      <c r="H963" s="1" t="str">
        <f>IF(SUM(COUNTIF(Benchmark1[Benchmark '#1 Dates],Target1[[#This Row],[Target Dates]]),COUNTIF(Benchmark2[Benchmark '#2 Dates],Target1[[#This Row],[Target Dates]]))=2,"Pass","Fail")</f>
        <v>Pass</v>
      </c>
      <c r="I963" s="78">
        <f t="shared" si="47"/>
        <v>-12.64</v>
      </c>
      <c r="K963" s="72">
        <f>Target1[[#This Row],[Target Price]]/$B$2*100</f>
        <v>226.64339732402556</v>
      </c>
      <c r="R963">
        <f>B964/Target1[[#This Row],[Target Price]]-1</f>
        <v>8.7268993839835218E-3</v>
      </c>
    </row>
    <row r="964" spans="1:18">
      <c r="A964" s="96">
        <v>44680</v>
      </c>
      <c r="B964" s="101">
        <v>39.299999999999997</v>
      </c>
      <c r="C964" s="4">
        <f t="shared" si="45"/>
        <v>8.6890401008811492E-3</v>
      </c>
      <c r="D964" s="4">
        <f>IFERROR(Target1[[#This Row],[Target Return]]+1,"-")</f>
        <v>1.0086890401008812</v>
      </c>
      <c r="E964" s="6">
        <f>B964-MAX($B$2:B964)</f>
        <v>-12.300000000000004</v>
      </c>
      <c r="F964" s="80">
        <f t="shared" si="46"/>
        <v>437</v>
      </c>
      <c r="G964" s="77">
        <f>Target1[[#This Row],[Target Drawdown]]/MAX($B$2:B964)</f>
        <v>-0.23837209302325588</v>
      </c>
      <c r="H964" s="1" t="str">
        <f>IF(SUM(COUNTIF(Benchmark1[Benchmark '#1 Dates],Target1[[#This Row],[Target Dates]]),COUNTIF(Benchmark2[Benchmark '#2 Dates],Target1[[#This Row],[Target Dates]]))=2,"Pass","Fail")</f>
        <v>Pass</v>
      </c>
      <c r="I964" s="78">
        <f t="shared" si="47"/>
        <v>-12.300000000000004</v>
      </c>
      <c r="K964" s="72">
        <f>Target1[[#This Row],[Target Price]]/$B$2*100</f>
        <v>228.62129144851653</v>
      </c>
      <c r="R964">
        <f>B965/Target1[[#This Row],[Target Price]]-1</f>
        <v>-1.2977099236641143E-2</v>
      </c>
    </row>
    <row r="965" spans="1:18">
      <c r="A965" s="96">
        <v>44683</v>
      </c>
      <c r="B965" s="101">
        <v>38.79</v>
      </c>
      <c r="C965" s="4">
        <f t="shared" si="45"/>
        <v>-1.3062037423339669E-2</v>
      </c>
      <c r="D965" s="4">
        <f>IFERROR(Target1[[#This Row],[Target Return]]+1,"-")</f>
        <v>0.98693796257666033</v>
      </c>
      <c r="E965" s="6">
        <f>B965-MAX($B$2:B965)</f>
        <v>-12.810000000000002</v>
      </c>
      <c r="F965" s="80">
        <f t="shared" si="46"/>
        <v>438</v>
      </c>
      <c r="G965" s="77">
        <f>Target1[[#This Row],[Target Drawdown]]/MAX($B$2:B965)</f>
        <v>-0.24825581395348842</v>
      </c>
      <c r="H965" s="1" t="str">
        <f>IF(SUM(COUNTIF(Benchmark1[Benchmark '#1 Dates],Target1[[#This Row],[Target Dates]]),COUNTIF(Benchmark2[Benchmark '#2 Dates],Target1[[#This Row],[Target Dates]]))=2,"Pass","Fail")</f>
        <v>Pass</v>
      </c>
      <c r="I965" s="78">
        <f t="shared" si="47"/>
        <v>-12.810000000000002</v>
      </c>
      <c r="K965" s="72">
        <f>Target1[[#This Row],[Target Price]]/$B$2*100</f>
        <v>225.65445026178011</v>
      </c>
      <c r="R965">
        <f>B966/Target1[[#This Row],[Target Price]]-1</f>
        <v>-1.7530291312193858E-2</v>
      </c>
    </row>
    <row r="966" spans="1:18">
      <c r="A966" s="96">
        <v>44684</v>
      </c>
      <c r="B966" s="101">
        <v>38.11</v>
      </c>
      <c r="C966" s="4">
        <f t="shared" si="45"/>
        <v>-1.7685766566106948E-2</v>
      </c>
      <c r="D966" s="4">
        <f>IFERROR(Target1[[#This Row],[Target Return]]+1,"-")</f>
        <v>0.98231423343389301</v>
      </c>
      <c r="E966" s="6">
        <f>B966-MAX($B$2:B966)</f>
        <v>-13.490000000000002</v>
      </c>
      <c r="F966" s="80">
        <f t="shared" si="46"/>
        <v>439</v>
      </c>
      <c r="G966" s="77">
        <f>Target1[[#This Row],[Target Drawdown]]/MAX($B$2:B966)</f>
        <v>-0.26143410852713184</v>
      </c>
      <c r="H966" s="1" t="str">
        <f>IF(SUM(COUNTIF(Benchmark1[Benchmark '#1 Dates],Target1[[#This Row],[Target Dates]]),COUNTIF(Benchmark2[Benchmark '#2 Dates],Target1[[#This Row],[Target Dates]]))=2,"Pass","Fail")</f>
        <v>Pass</v>
      </c>
      <c r="I966" s="78">
        <f t="shared" si="47"/>
        <v>-13.490000000000002</v>
      </c>
      <c r="K966" s="72">
        <f>Target1[[#This Row],[Target Price]]/$B$2*100</f>
        <v>221.69866201279814</v>
      </c>
      <c r="R966">
        <f>B967/Target1[[#This Row],[Target Price]]-1</f>
        <v>1.285751771188659E-2</v>
      </c>
    </row>
    <row r="967" spans="1:18">
      <c r="A967" s="96">
        <v>44685</v>
      </c>
      <c r="B967" s="101">
        <v>38.6</v>
      </c>
      <c r="C967" s="4">
        <f t="shared" si="45"/>
        <v>1.2775561585016276E-2</v>
      </c>
      <c r="D967" s="4">
        <f>IFERROR(Target1[[#This Row],[Target Return]]+1,"-")</f>
        <v>1.0127755615850162</v>
      </c>
      <c r="E967" s="6">
        <f>B967-MAX($B$2:B967)</f>
        <v>-13</v>
      </c>
      <c r="F967" s="80">
        <f t="shared" si="46"/>
        <v>440</v>
      </c>
      <c r="G967" s="77">
        <f>Target1[[#This Row],[Target Drawdown]]/MAX($B$2:B967)</f>
        <v>-0.25193798449612403</v>
      </c>
      <c r="H967" s="1" t="str">
        <f>IF(SUM(COUNTIF(Benchmark1[Benchmark '#1 Dates],Target1[[#This Row],[Target Dates]]),COUNTIF(Benchmark2[Benchmark '#2 Dates],Target1[[#This Row],[Target Dates]]))=2,"Pass","Fail")</f>
        <v>Pass</v>
      </c>
      <c r="I967" s="78">
        <f t="shared" si="47"/>
        <v>-13</v>
      </c>
      <c r="K967" s="72">
        <f>Target1[[#This Row],[Target Price]]/$B$2*100</f>
        <v>224.54915648632925</v>
      </c>
      <c r="R967">
        <f>B968/Target1[[#This Row],[Target Price]]-1</f>
        <v>-2.5647668393782408E-2</v>
      </c>
    </row>
    <row r="968" spans="1:18">
      <c r="A968" s="96">
        <v>44686</v>
      </c>
      <c r="B968" s="101">
        <v>37.61</v>
      </c>
      <c r="C968" s="4">
        <f t="shared" si="45"/>
        <v>-2.5982303988540179E-2</v>
      </c>
      <c r="D968" s="4">
        <f>IFERROR(Target1[[#This Row],[Target Return]]+1,"-")</f>
        <v>0.97401769601145982</v>
      </c>
      <c r="E968" s="6">
        <f>B968-MAX($B$2:B968)</f>
        <v>-13.990000000000002</v>
      </c>
      <c r="F968" s="80">
        <f t="shared" si="46"/>
        <v>441</v>
      </c>
      <c r="G968" s="77">
        <f>Target1[[#This Row],[Target Drawdown]]/MAX($B$2:B968)</f>
        <v>-0.27112403100775195</v>
      </c>
      <c r="H968" s="1" t="str">
        <f>IF(SUM(COUNTIF(Benchmark1[Benchmark '#1 Dates],Target1[[#This Row],[Target Dates]]),COUNTIF(Benchmark2[Benchmark '#2 Dates],Target1[[#This Row],[Target Dates]]))=2,"Pass","Fail")</f>
        <v>Pass</v>
      </c>
      <c r="I968" s="78">
        <f t="shared" si="47"/>
        <v>-13.990000000000002</v>
      </c>
      <c r="K968" s="72">
        <f>Target1[[#This Row],[Target Price]]/$B$2*100</f>
        <v>218.78999418266432</v>
      </c>
      <c r="R968">
        <f>B969/Target1[[#This Row],[Target Price]]-1</f>
        <v>-2.6588673225206305E-3</v>
      </c>
    </row>
    <row r="969" spans="1:18">
      <c r="A969" s="96">
        <v>44687</v>
      </c>
      <c r="B969" s="101">
        <v>37.51</v>
      </c>
      <c r="C969" s="4">
        <f t="shared" si="45"/>
        <v>-2.6624083884490813E-3</v>
      </c>
      <c r="D969" s="4">
        <f>IFERROR(Target1[[#This Row],[Target Return]]+1,"-")</f>
        <v>0.99733759161155089</v>
      </c>
      <c r="E969" s="6">
        <f>B969-MAX($B$2:B969)</f>
        <v>-14.090000000000003</v>
      </c>
      <c r="F969" s="80">
        <f t="shared" si="46"/>
        <v>442</v>
      </c>
      <c r="G969" s="77">
        <f>Target1[[#This Row],[Target Drawdown]]/MAX($B$2:B969)</f>
        <v>-0.27306201550387604</v>
      </c>
      <c r="H969" s="1" t="str">
        <f>IF(SUM(COUNTIF(Benchmark1[Benchmark '#1 Dates],Target1[[#This Row],[Target Dates]]),COUNTIF(Benchmark2[Benchmark '#2 Dates],Target1[[#This Row],[Target Dates]]))=2,"Pass","Fail")</f>
        <v>Pass</v>
      </c>
      <c r="I969" s="78">
        <f t="shared" si="47"/>
        <v>-14.090000000000003</v>
      </c>
      <c r="K969" s="72">
        <f>Target1[[#This Row],[Target Price]]/$B$2*100</f>
        <v>218.20826061663757</v>
      </c>
      <c r="R969">
        <f>B970/Target1[[#This Row],[Target Price]]-1</f>
        <v>-2.3993601706211676E-2</v>
      </c>
    </row>
    <row r="970" spans="1:18">
      <c r="A970" s="96">
        <v>44690</v>
      </c>
      <c r="B970" s="101">
        <v>36.61</v>
      </c>
      <c r="C970" s="4">
        <f t="shared" si="45"/>
        <v>-2.4286136961651127E-2</v>
      </c>
      <c r="D970" s="4">
        <f>IFERROR(Target1[[#This Row],[Target Return]]+1,"-")</f>
        <v>0.97571386303834884</v>
      </c>
      <c r="E970" s="6">
        <f>B970-MAX($B$2:B970)</f>
        <v>-14.990000000000002</v>
      </c>
      <c r="F970" s="80">
        <f t="shared" si="46"/>
        <v>443</v>
      </c>
      <c r="G970" s="77">
        <f>Target1[[#This Row],[Target Drawdown]]/MAX($B$2:B970)</f>
        <v>-0.2905038759689923</v>
      </c>
      <c r="H970" s="1" t="str">
        <f>IF(SUM(COUNTIF(Benchmark1[Benchmark '#1 Dates],Target1[[#This Row],[Target Dates]]),COUNTIF(Benchmark2[Benchmark '#2 Dates],Target1[[#This Row],[Target Dates]]))=2,"Pass","Fail")</f>
        <v>Pass</v>
      </c>
      <c r="I970" s="78">
        <f t="shared" si="47"/>
        <v>-14.990000000000002</v>
      </c>
      <c r="K970" s="72">
        <f>Target1[[#This Row],[Target Price]]/$B$2*100</f>
        <v>212.97265852239673</v>
      </c>
      <c r="R970">
        <f>B971/Target1[[#This Row],[Target Price]]-1</f>
        <v>-1.4203769461895499E-2</v>
      </c>
    </row>
    <row r="971" spans="1:18">
      <c r="A971" s="96">
        <v>44691</v>
      </c>
      <c r="B971" s="101">
        <v>36.090000000000003</v>
      </c>
      <c r="C971" s="4">
        <f t="shared" si="45"/>
        <v>-1.4305608477447477E-2</v>
      </c>
      <c r="D971" s="4">
        <f>IFERROR(Target1[[#This Row],[Target Return]]+1,"-")</f>
        <v>0.98569439152255256</v>
      </c>
      <c r="E971" s="6">
        <f>B971-MAX($B$2:B971)</f>
        <v>-15.509999999999998</v>
      </c>
      <c r="F971" s="80">
        <f t="shared" si="46"/>
        <v>444</v>
      </c>
      <c r="G971" s="77">
        <f>Target1[[#This Row],[Target Drawdown]]/MAX($B$2:B971)</f>
        <v>-0.30058139534883715</v>
      </c>
      <c r="H971" s="1" t="str">
        <f>IF(SUM(COUNTIF(Benchmark1[Benchmark '#1 Dates],Target1[[#This Row],[Target Dates]]),COUNTIF(Benchmark2[Benchmark '#2 Dates],Target1[[#This Row],[Target Dates]]))=2,"Pass","Fail")</f>
        <v>Pass</v>
      </c>
      <c r="I971" s="78">
        <f t="shared" si="47"/>
        <v>-15.509999999999998</v>
      </c>
      <c r="K971" s="72">
        <f>Target1[[#This Row],[Target Price]]/$B$2*100</f>
        <v>209.9476439790576</v>
      </c>
      <c r="R971">
        <f>B972/Target1[[#This Row],[Target Price]]-1</f>
        <v>-1.3577168190634592E-2</v>
      </c>
    </row>
    <row r="972" spans="1:18">
      <c r="A972" s="96">
        <v>44692</v>
      </c>
      <c r="B972" s="101">
        <v>35.6</v>
      </c>
      <c r="C972" s="4">
        <f t="shared" si="45"/>
        <v>-1.3670180796712495E-2</v>
      </c>
      <c r="D972" s="4">
        <f>IFERROR(Target1[[#This Row],[Target Return]]+1,"-")</f>
        <v>0.98632981920328755</v>
      </c>
      <c r="E972" s="6">
        <f>B972-MAX($B$2:B972)</f>
        <v>-16</v>
      </c>
      <c r="F972" s="80">
        <f t="shared" si="46"/>
        <v>445</v>
      </c>
      <c r="G972" s="77">
        <f>Target1[[#This Row],[Target Drawdown]]/MAX($B$2:B972)</f>
        <v>-0.31007751937984496</v>
      </c>
      <c r="H972" s="1" t="str">
        <f>IF(SUM(COUNTIF(Benchmark1[Benchmark '#1 Dates],Target1[[#This Row],[Target Dates]]),COUNTIF(Benchmark2[Benchmark '#2 Dates],Target1[[#This Row],[Target Dates]]))=2,"Pass","Fail")</f>
        <v>Pass</v>
      </c>
      <c r="I972" s="78">
        <f t="shared" si="47"/>
        <v>-16</v>
      </c>
      <c r="K972" s="72">
        <f>Target1[[#This Row],[Target Price]]/$B$2*100</f>
        <v>207.09714950552643</v>
      </c>
      <c r="R972">
        <f>B973/Target1[[#This Row],[Target Price]]-1</f>
        <v>1.5449438202247201E-2</v>
      </c>
    </row>
    <row r="973" spans="1:18">
      <c r="A973" s="96">
        <v>44693</v>
      </c>
      <c r="B973" s="101">
        <v>36.15</v>
      </c>
      <c r="C973" s="4">
        <f t="shared" si="45"/>
        <v>1.533131074678893E-2</v>
      </c>
      <c r="D973" s="4">
        <f>IFERROR(Target1[[#This Row],[Target Return]]+1,"-")</f>
        <v>1.015331310746789</v>
      </c>
      <c r="E973" s="6">
        <f>B973-MAX($B$2:B973)</f>
        <v>-15.450000000000003</v>
      </c>
      <c r="F973" s="80">
        <f t="shared" si="46"/>
        <v>446</v>
      </c>
      <c r="G973" s="77">
        <f>Target1[[#This Row],[Target Drawdown]]/MAX($B$2:B973)</f>
        <v>-0.29941860465116282</v>
      </c>
      <c r="H973" s="1" t="str">
        <f>IF(SUM(COUNTIF(Benchmark1[Benchmark '#1 Dates],Target1[[#This Row],[Target Dates]]),COUNTIF(Benchmark2[Benchmark '#2 Dates],Target1[[#This Row],[Target Dates]]))=2,"Pass","Fail")</f>
        <v>Pass</v>
      </c>
      <c r="I973" s="78">
        <f t="shared" si="47"/>
        <v>-15.450000000000003</v>
      </c>
      <c r="K973" s="72">
        <f>Target1[[#This Row],[Target Price]]/$B$2*100</f>
        <v>210.29668411867362</v>
      </c>
      <c r="R973">
        <f>B974/Target1[[#This Row],[Target Price]]-1</f>
        <v>1.1894882434301479E-2</v>
      </c>
    </row>
    <row r="974" spans="1:18">
      <c r="A974" s="96">
        <v>44694</v>
      </c>
      <c r="B974" s="101">
        <v>36.58</v>
      </c>
      <c r="C974" s="4">
        <f t="shared" si="45"/>
        <v>1.1824694357945902E-2</v>
      </c>
      <c r="D974" s="4">
        <f>IFERROR(Target1[[#This Row],[Target Return]]+1,"-")</f>
        <v>1.0118246943579459</v>
      </c>
      <c r="E974" s="6">
        <f>B974-MAX($B$2:B974)</f>
        <v>-15.020000000000003</v>
      </c>
      <c r="F974" s="80">
        <f t="shared" si="46"/>
        <v>447</v>
      </c>
      <c r="G974" s="77">
        <f>Target1[[#This Row],[Target Drawdown]]/MAX($B$2:B974)</f>
        <v>-0.29108527131782952</v>
      </c>
      <c r="H974" s="1" t="str">
        <f>IF(SUM(COUNTIF(Benchmark1[Benchmark '#1 Dates],Target1[[#This Row],[Target Dates]]),COUNTIF(Benchmark2[Benchmark '#2 Dates],Target1[[#This Row],[Target Dates]]))=2,"Pass","Fail")</f>
        <v>Pass</v>
      </c>
      <c r="I974" s="78">
        <f t="shared" si="47"/>
        <v>-15.020000000000003</v>
      </c>
      <c r="K974" s="72">
        <f>Target1[[#This Row],[Target Price]]/$B$2*100</f>
        <v>212.79813845258869</v>
      </c>
      <c r="R974">
        <f>B975/Target1[[#This Row],[Target Price]]-1</f>
        <v>1.4762165117550463E-2</v>
      </c>
    </row>
    <row r="975" spans="1:18">
      <c r="A975" s="96">
        <v>44697</v>
      </c>
      <c r="B975" s="101">
        <v>37.119999999999997</v>
      </c>
      <c r="C975" s="4">
        <f t="shared" si="45"/>
        <v>1.4654264955280077E-2</v>
      </c>
      <c r="D975" s="4">
        <f>IFERROR(Target1[[#This Row],[Target Return]]+1,"-")</f>
        <v>1.0146542649552801</v>
      </c>
      <c r="E975" s="6">
        <f>B975-MAX($B$2:B975)</f>
        <v>-14.480000000000004</v>
      </c>
      <c r="F975" s="80">
        <f t="shared" si="46"/>
        <v>448</v>
      </c>
      <c r="G975" s="77">
        <f>Target1[[#This Row],[Target Drawdown]]/MAX($B$2:B975)</f>
        <v>-0.28062015503875976</v>
      </c>
      <c r="H975" s="1" t="str">
        <f>IF(SUM(COUNTIF(Benchmark1[Benchmark '#1 Dates],Target1[[#This Row],[Target Dates]]),COUNTIF(Benchmark2[Benchmark '#2 Dates],Target1[[#This Row],[Target Dates]]))=2,"Pass","Fail")</f>
        <v>Pass</v>
      </c>
      <c r="I975" s="78">
        <f t="shared" si="47"/>
        <v>-14.480000000000004</v>
      </c>
      <c r="K975" s="72">
        <f>Target1[[#This Row],[Target Price]]/$B$2*100</f>
        <v>215.9394997091332</v>
      </c>
      <c r="R975">
        <f>B976/Target1[[#This Row],[Target Price]]-1</f>
        <v>2.9903017241379226E-2</v>
      </c>
    </row>
    <row r="976" spans="1:18">
      <c r="A976" s="96">
        <v>44698</v>
      </c>
      <c r="B976" s="101">
        <v>38.229999999999997</v>
      </c>
      <c r="C976" s="4">
        <f t="shared" si="45"/>
        <v>2.9464639790321517E-2</v>
      </c>
      <c r="D976" s="4">
        <f>IFERROR(Target1[[#This Row],[Target Return]]+1,"-")</f>
        <v>1.0294646397903215</v>
      </c>
      <c r="E976" s="6">
        <f>B976-MAX($B$2:B976)</f>
        <v>-13.370000000000005</v>
      </c>
      <c r="F976" s="80">
        <f t="shared" si="46"/>
        <v>449</v>
      </c>
      <c r="G976" s="77">
        <f>Target1[[#This Row],[Target Drawdown]]/MAX($B$2:B976)</f>
        <v>-0.25910852713178301</v>
      </c>
      <c r="H976" s="1" t="str">
        <f>IF(SUM(COUNTIF(Benchmark1[Benchmark '#1 Dates],Target1[[#This Row],[Target Dates]]),COUNTIF(Benchmark2[Benchmark '#2 Dates],Target1[[#This Row],[Target Dates]]))=2,"Pass","Fail")</f>
        <v>Pass</v>
      </c>
      <c r="I976" s="78">
        <f t="shared" si="47"/>
        <v>-13.370000000000005</v>
      </c>
      <c r="K976" s="72">
        <f>Target1[[#This Row],[Target Price]]/$B$2*100</f>
        <v>222.39674229203024</v>
      </c>
      <c r="R976">
        <f>B977/Target1[[#This Row],[Target Price]]-1</f>
        <v>-2.6680617316243715E-2</v>
      </c>
    </row>
    <row r="977" spans="1:18">
      <c r="A977" s="96">
        <v>44699</v>
      </c>
      <c r="B977" s="101">
        <v>37.21</v>
      </c>
      <c r="C977" s="4">
        <f t="shared" si="45"/>
        <v>-2.704300534979022E-2</v>
      </c>
      <c r="D977" s="4">
        <f>IFERROR(Target1[[#This Row],[Target Return]]+1,"-")</f>
        <v>0.97295699465020979</v>
      </c>
      <c r="E977" s="6">
        <f>B977-MAX($B$2:B977)</f>
        <v>-14.39</v>
      </c>
      <c r="F977" s="80">
        <f t="shared" si="46"/>
        <v>450</v>
      </c>
      <c r="G977" s="77">
        <f>Target1[[#This Row],[Target Drawdown]]/MAX($B$2:B977)</f>
        <v>-0.27887596899224809</v>
      </c>
      <c r="H977" s="1" t="str">
        <f>IF(SUM(COUNTIF(Benchmark1[Benchmark '#1 Dates],Target1[[#This Row],[Target Dates]]),COUNTIF(Benchmark2[Benchmark '#2 Dates],Target1[[#This Row],[Target Dates]]))=2,"Pass","Fail")</f>
        <v>Pass</v>
      </c>
      <c r="I977" s="78">
        <f t="shared" si="47"/>
        <v>-14.39</v>
      </c>
      <c r="K977" s="72">
        <f>Target1[[#This Row],[Target Price]]/$B$2*100</f>
        <v>216.46305991855729</v>
      </c>
      <c r="R977">
        <f>B978/Target1[[#This Row],[Target Price]]-1</f>
        <v>-2.4724536414942211E-2</v>
      </c>
    </row>
    <row r="978" spans="1:18">
      <c r="A978" s="96">
        <v>44700</v>
      </c>
      <c r="B978" s="101">
        <v>36.29</v>
      </c>
      <c r="C978" s="4">
        <f t="shared" si="45"/>
        <v>-2.5035321133552155E-2</v>
      </c>
      <c r="D978" s="4">
        <f>IFERROR(Target1[[#This Row],[Target Return]]+1,"-")</f>
        <v>0.97496467886644789</v>
      </c>
      <c r="E978" s="6">
        <f>B978-MAX($B$2:B978)</f>
        <v>-15.310000000000002</v>
      </c>
      <c r="F978" s="80">
        <f t="shared" si="46"/>
        <v>451</v>
      </c>
      <c r="G978" s="77">
        <f>Target1[[#This Row],[Target Drawdown]]/MAX($B$2:B978)</f>
        <v>-0.2967054263565892</v>
      </c>
      <c r="H978" s="1" t="str">
        <f>IF(SUM(COUNTIF(Benchmark1[Benchmark '#1 Dates],Target1[[#This Row],[Target Dates]]),COUNTIF(Benchmark2[Benchmark '#2 Dates],Target1[[#This Row],[Target Dates]]))=2,"Pass","Fail")</f>
        <v>Pass</v>
      </c>
      <c r="I978" s="78">
        <f t="shared" si="47"/>
        <v>-15.310000000000002</v>
      </c>
      <c r="K978" s="72">
        <f>Target1[[#This Row],[Target Price]]/$B$2*100</f>
        <v>211.11111111111109</v>
      </c>
      <c r="R978">
        <f>B979/Target1[[#This Row],[Target Price]]-1</f>
        <v>1.8186828327362958E-2</v>
      </c>
    </row>
    <row r="979" spans="1:18">
      <c r="A979" s="96">
        <v>44701</v>
      </c>
      <c r="B979" s="101">
        <v>36.950000000000003</v>
      </c>
      <c r="C979" s="4">
        <f t="shared" si="45"/>
        <v>1.8023426169231863E-2</v>
      </c>
      <c r="D979" s="4">
        <f>IFERROR(Target1[[#This Row],[Target Return]]+1,"-")</f>
        <v>1.0180234261692318</v>
      </c>
      <c r="E979" s="6">
        <f>B979-MAX($B$2:B979)</f>
        <v>-14.649999999999999</v>
      </c>
      <c r="F979" s="80">
        <f t="shared" si="46"/>
        <v>452</v>
      </c>
      <c r="G979" s="77">
        <f>Target1[[#This Row],[Target Drawdown]]/MAX($B$2:B979)</f>
        <v>-0.28391472868217049</v>
      </c>
      <c r="H979" s="1" t="str">
        <f>IF(SUM(COUNTIF(Benchmark1[Benchmark '#1 Dates],Target1[[#This Row],[Target Dates]]),COUNTIF(Benchmark2[Benchmark '#2 Dates],Target1[[#This Row],[Target Dates]]))=2,"Pass","Fail")</f>
        <v>Pass</v>
      </c>
      <c r="I979" s="78">
        <f t="shared" si="47"/>
        <v>-14.649999999999999</v>
      </c>
      <c r="K979" s="72">
        <f>Target1[[#This Row],[Target Price]]/$B$2*100</f>
        <v>214.95055264688773</v>
      </c>
      <c r="R979">
        <f>B980/Target1[[#This Row],[Target Price]]-1</f>
        <v>-1.6238159675237007E-3</v>
      </c>
    </row>
    <row r="980" spans="1:18">
      <c r="A980" s="96">
        <v>44704</v>
      </c>
      <c r="B980" s="101">
        <v>36.89</v>
      </c>
      <c r="C980" s="4">
        <f t="shared" si="45"/>
        <v>-1.6251357856265376E-3</v>
      </c>
      <c r="D980" s="4">
        <f>IFERROR(Target1[[#This Row],[Target Return]]+1,"-")</f>
        <v>0.99837486421437349</v>
      </c>
      <c r="E980" s="6">
        <f>B980-MAX($B$2:B980)</f>
        <v>-14.71</v>
      </c>
      <c r="F980" s="80">
        <f t="shared" si="46"/>
        <v>453</v>
      </c>
      <c r="G980" s="77">
        <f>Target1[[#This Row],[Target Drawdown]]/MAX($B$2:B980)</f>
        <v>-0.28507751937984499</v>
      </c>
      <c r="H980" s="1" t="str">
        <f>IF(SUM(COUNTIF(Benchmark1[Benchmark '#1 Dates],Target1[[#This Row],[Target Dates]]),COUNTIF(Benchmark2[Benchmark '#2 Dates],Target1[[#This Row],[Target Dates]]))=2,"Pass","Fail")</f>
        <v>Pass</v>
      </c>
      <c r="I980" s="78">
        <f t="shared" si="47"/>
        <v>-14.71</v>
      </c>
      <c r="K980" s="72">
        <f>Target1[[#This Row],[Target Price]]/$B$2*100</f>
        <v>214.60151250727165</v>
      </c>
      <c r="R980">
        <f>B981/Target1[[#This Row],[Target Price]]-1</f>
        <v>9.7587422065599227E-3</v>
      </c>
    </row>
    <row r="981" spans="1:18">
      <c r="A981" s="96">
        <v>44705</v>
      </c>
      <c r="B981" s="101">
        <v>37.25</v>
      </c>
      <c r="C981" s="4">
        <f t="shared" si="45"/>
        <v>9.7114332169841392E-3</v>
      </c>
      <c r="D981" s="4">
        <f>IFERROR(Target1[[#This Row],[Target Return]]+1,"-")</f>
        <v>1.0097114332169841</v>
      </c>
      <c r="E981" s="6">
        <f>B981-MAX($B$2:B981)</f>
        <v>-14.350000000000001</v>
      </c>
      <c r="F981" s="80">
        <f t="shared" si="46"/>
        <v>454</v>
      </c>
      <c r="G981" s="77">
        <f>Target1[[#This Row],[Target Drawdown]]/MAX($B$2:B981)</f>
        <v>-0.27810077519379844</v>
      </c>
      <c r="H981" s="1" t="str">
        <f>IF(SUM(COUNTIF(Benchmark1[Benchmark '#1 Dates],Target1[[#This Row],[Target Dates]]),COUNTIF(Benchmark2[Benchmark '#2 Dates],Target1[[#This Row],[Target Dates]]))=2,"Pass","Fail")</f>
        <v>Pass</v>
      </c>
      <c r="I981" s="78">
        <f t="shared" si="47"/>
        <v>-14.350000000000001</v>
      </c>
      <c r="K981" s="72">
        <f>Target1[[#This Row],[Target Price]]/$B$2*100</f>
        <v>216.69575334496801</v>
      </c>
      <c r="R981">
        <f>B982/Target1[[#This Row],[Target Price]]-1</f>
        <v>6.496644295302012E-2</v>
      </c>
    </row>
    <row r="982" spans="1:18">
      <c r="A982" s="96">
        <v>44706</v>
      </c>
      <c r="B982" s="101">
        <v>39.67</v>
      </c>
      <c r="C982" s="4">
        <f t="shared" si="45"/>
        <v>6.294328970067023E-2</v>
      </c>
      <c r="D982" s="4">
        <f>IFERROR(Target1[[#This Row],[Target Return]]+1,"-")</f>
        <v>1.0629432897006703</v>
      </c>
      <c r="E982" s="6">
        <f>B982-MAX($B$2:B982)</f>
        <v>-11.93</v>
      </c>
      <c r="F982" s="80">
        <f t="shared" si="46"/>
        <v>455</v>
      </c>
      <c r="G982" s="77">
        <f>Target1[[#This Row],[Target Drawdown]]/MAX($B$2:B982)</f>
        <v>-0.23120155038759688</v>
      </c>
      <c r="H982" s="1" t="str">
        <f>IF(SUM(COUNTIF(Benchmark1[Benchmark '#1 Dates],Target1[[#This Row],[Target Dates]]),COUNTIF(Benchmark2[Benchmark '#2 Dates],Target1[[#This Row],[Target Dates]]))=2,"Pass","Fail")</f>
        <v>Pass</v>
      </c>
      <c r="I982" s="78">
        <f t="shared" si="47"/>
        <v>-11.93</v>
      </c>
      <c r="K982" s="72">
        <f>Target1[[#This Row],[Target Price]]/$B$2*100</f>
        <v>230.77370564281557</v>
      </c>
      <c r="R982">
        <f>B983/Target1[[#This Row],[Target Price]]-1</f>
        <v>-1.7141416687673328E-2</v>
      </c>
    </row>
    <row r="983" spans="1:18">
      <c r="A983" s="96">
        <v>44707</v>
      </c>
      <c r="B983" s="101">
        <v>38.99</v>
      </c>
      <c r="C983" s="4">
        <f t="shared" si="45"/>
        <v>-1.7290031531732836E-2</v>
      </c>
      <c r="D983" s="4">
        <f>IFERROR(Target1[[#This Row],[Target Return]]+1,"-")</f>
        <v>0.98270996846826719</v>
      </c>
      <c r="E983" s="6">
        <f>B983-MAX($B$2:B983)</f>
        <v>-12.61</v>
      </c>
      <c r="F983" s="80">
        <f t="shared" si="46"/>
        <v>456</v>
      </c>
      <c r="G983" s="77">
        <f>Target1[[#This Row],[Target Drawdown]]/MAX($B$2:B983)</f>
        <v>-0.24437984496124029</v>
      </c>
      <c r="H983" s="1" t="str">
        <f>IF(SUM(COUNTIF(Benchmark1[Benchmark '#1 Dates],Target1[[#This Row],[Target Dates]]),COUNTIF(Benchmark2[Benchmark '#2 Dates],Target1[[#This Row],[Target Dates]]))=2,"Pass","Fail")</f>
        <v>Pass</v>
      </c>
      <c r="I983" s="78">
        <f t="shared" si="47"/>
        <v>-12.61</v>
      </c>
      <c r="K983" s="72">
        <f>Target1[[#This Row],[Target Price]]/$B$2*100</f>
        <v>226.81791739383362</v>
      </c>
      <c r="R983">
        <f>B984/Target1[[#This Row],[Target Price]]-1</f>
        <v>1.308027699410097E-2</v>
      </c>
    </row>
    <row r="984" spans="1:18">
      <c r="A984" s="96">
        <v>44708</v>
      </c>
      <c r="B984" s="101">
        <v>39.5</v>
      </c>
      <c r="C984" s="4">
        <f t="shared" si="45"/>
        <v>1.2995468912570146E-2</v>
      </c>
      <c r="D984" s="4">
        <f>IFERROR(Target1[[#This Row],[Target Return]]+1,"-")</f>
        <v>1.0129954689125702</v>
      </c>
      <c r="E984" s="6">
        <f>B984-MAX($B$2:B984)</f>
        <v>-12.100000000000001</v>
      </c>
      <c r="F984" s="80">
        <f t="shared" si="46"/>
        <v>457</v>
      </c>
      <c r="G984" s="77">
        <f>Target1[[#This Row],[Target Drawdown]]/MAX($B$2:B984)</f>
        <v>-0.23449612403100778</v>
      </c>
      <c r="H984" s="1" t="str">
        <f>IF(SUM(COUNTIF(Benchmark1[Benchmark '#1 Dates],Target1[[#This Row],[Target Dates]]),COUNTIF(Benchmark2[Benchmark '#2 Dates],Target1[[#This Row],[Target Dates]]))=2,"Pass","Fail")</f>
        <v>Pass</v>
      </c>
      <c r="I984" s="78">
        <f t="shared" si="47"/>
        <v>-12.100000000000001</v>
      </c>
      <c r="K984" s="72">
        <f>Target1[[#This Row],[Target Price]]/$B$2*100</f>
        <v>229.78475858057007</v>
      </c>
      <c r="R984">
        <f>B985/Target1[[#This Row],[Target Price]]-1</f>
        <v>-9.8734177215189511E-3</v>
      </c>
    </row>
    <row r="985" spans="1:18">
      <c r="A985" s="96">
        <v>44712</v>
      </c>
      <c r="B985" s="101">
        <v>39.11</v>
      </c>
      <c r="C985" s="4">
        <f t="shared" si="45"/>
        <v>-9.9224831396533975E-3</v>
      </c>
      <c r="D985" s="4">
        <f>IFERROR(Target1[[#This Row],[Target Return]]+1,"-")</f>
        <v>0.99007751686034662</v>
      </c>
      <c r="E985" s="6">
        <f>B985-MAX($B$2:B985)</f>
        <v>-12.490000000000002</v>
      </c>
      <c r="F985" s="80">
        <f t="shared" si="46"/>
        <v>458</v>
      </c>
      <c r="G985" s="77">
        <f>Target1[[#This Row],[Target Drawdown]]/MAX($B$2:B985)</f>
        <v>-0.24205426356589149</v>
      </c>
      <c r="H985" s="1" t="str">
        <f>IF(SUM(COUNTIF(Benchmark1[Benchmark '#1 Dates],Target1[[#This Row],[Target Dates]]),COUNTIF(Benchmark2[Benchmark '#2 Dates],Target1[[#This Row],[Target Dates]]))=2,"Pass","Fail")</f>
        <v>Pass</v>
      </c>
      <c r="I985" s="78">
        <f t="shared" si="47"/>
        <v>-12.490000000000002</v>
      </c>
      <c r="K985" s="72">
        <f>Target1[[#This Row],[Target Price]]/$B$2*100</f>
        <v>227.51599767306573</v>
      </c>
      <c r="R985">
        <f>B986/Target1[[#This Row],[Target Price]]-1</f>
        <v>4.0910253132191432E-3</v>
      </c>
    </row>
    <row r="986" spans="1:18">
      <c r="A986" s="96">
        <v>44713</v>
      </c>
      <c r="B986" s="101">
        <v>39.270000000000003</v>
      </c>
      <c r="C986" s="4">
        <f t="shared" si="45"/>
        <v>4.0826798224955193E-3</v>
      </c>
      <c r="D986" s="4">
        <f>IFERROR(Target1[[#This Row],[Target Return]]+1,"-")</f>
        <v>1.0040826798224955</v>
      </c>
      <c r="E986" s="6">
        <f>B986-MAX($B$2:B986)</f>
        <v>-12.329999999999998</v>
      </c>
      <c r="F986" s="80">
        <f t="shared" si="46"/>
        <v>459</v>
      </c>
      <c r="G986" s="77">
        <f>Target1[[#This Row],[Target Drawdown]]/MAX($B$2:B986)</f>
        <v>-0.23895348837209299</v>
      </c>
      <c r="H986" s="1" t="str">
        <f>IF(SUM(COUNTIF(Benchmark1[Benchmark '#1 Dates],Target1[[#This Row],[Target Dates]]),COUNTIF(Benchmark2[Benchmark '#2 Dates],Target1[[#This Row],[Target Dates]]))=2,"Pass","Fail")</f>
        <v>Pass</v>
      </c>
      <c r="I986" s="78">
        <f t="shared" si="47"/>
        <v>-12.329999999999998</v>
      </c>
      <c r="K986" s="72">
        <f>Target1[[#This Row],[Target Price]]/$B$2*100</f>
        <v>228.44677137870858</v>
      </c>
      <c r="R986">
        <f>B987/Target1[[#This Row],[Target Price]]-1</f>
        <v>1.3241660300483682E-2</v>
      </c>
    </row>
    <row r="987" spans="1:18">
      <c r="A987" s="96">
        <v>44714</v>
      </c>
      <c r="B987" s="101">
        <v>39.79</v>
      </c>
      <c r="C987" s="4">
        <f t="shared" si="45"/>
        <v>1.3154755848918872E-2</v>
      </c>
      <c r="D987" s="4">
        <f>IFERROR(Target1[[#This Row],[Target Return]]+1,"-")</f>
        <v>1.0131547558489189</v>
      </c>
      <c r="E987" s="6">
        <f>B987-MAX($B$2:B987)</f>
        <v>-11.810000000000002</v>
      </c>
      <c r="F987" s="80">
        <f t="shared" si="46"/>
        <v>460</v>
      </c>
      <c r="G987" s="77">
        <f>Target1[[#This Row],[Target Drawdown]]/MAX($B$2:B987)</f>
        <v>-0.2288759689922481</v>
      </c>
      <c r="H987" s="1" t="str">
        <f>IF(SUM(COUNTIF(Benchmark1[Benchmark '#1 Dates],Target1[[#This Row],[Target Dates]]),COUNTIF(Benchmark2[Benchmark '#2 Dates],Target1[[#This Row],[Target Dates]]))=2,"Pass","Fail")</f>
        <v>Pass</v>
      </c>
      <c r="I987" s="78">
        <f t="shared" si="47"/>
        <v>-11.810000000000002</v>
      </c>
      <c r="K987" s="72">
        <f>Target1[[#This Row],[Target Price]]/$B$2*100</f>
        <v>231.4717859220477</v>
      </c>
      <c r="R987">
        <f>B988/Target1[[#This Row],[Target Price]]-1</f>
        <v>1.5079165619502621E-3</v>
      </c>
    </row>
    <row r="988" spans="1:18">
      <c r="A988" s="96">
        <v>44715</v>
      </c>
      <c r="B988" s="101">
        <v>39.85</v>
      </c>
      <c r="C988" s="4">
        <f t="shared" si="45"/>
        <v>1.5067807973867995E-3</v>
      </c>
      <c r="D988" s="4">
        <f>IFERROR(Target1[[#This Row],[Target Return]]+1,"-")</f>
        <v>1.0015067807973868</v>
      </c>
      <c r="E988" s="6">
        <f>B988-MAX($B$2:B988)</f>
        <v>-11.75</v>
      </c>
      <c r="F988" s="80">
        <f t="shared" si="46"/>
        <v>461</v>
      </c>
      <c r="G988" s="77">
        <f>Target1[[#This Row],[Target Drawdown]]/MAX($B$2:B988)</f>
        <v>-0.22771317829457363</v>
      </c>
      <c r="H988" s="1" t="str">
        <f>IF(SUM(COUNTIF(Benchmark1[Benchmark '#1 Dates],Target1[[#This Row],[Target Dates]]),COUNTIF(Benchmark2[Benchmark '#2 Dates],Target1[[#This Row],[Target Dates]]))=2,"Pass","Fail")</f>
        <v>Pass</v>
      </c>
      <c r="I988" s="78">
        <f t="shared" si="47"/>
        <v>-11.75</v>
      </c>
      <c r="K988" s="72">
        <f>Target1[[#This Row],[Target Price]]/$B$2*100</f>
        <v>231.82082606166375</v>
      </c>
      <c r="R988">
        <f>B989/Target1[[#This Row],[Target Price]]-1</f>
        <v>7.2772898368882455E-3</v>
      </c>
    </row>
    <row r="989" spans="1:18">
      <c r="A989" s="96">
        <v>44718</v>
      </c>
      <c r="B989" s="101">
        <v>40.14</v>
      </c>
      <c r="C989" s="4">
        <f t="shared" si="45"/>
        <v>7.2509381319679515E-3</v>
      </c>
      <c r="D989" s="4">
        <f>IFERROR(Target1[[#This Row],[Target Return]]+1,"-")</f>
        <v>1.0072509381319679</v>
      </c>
      <c r="E989" s="6">
        <f>B989-MAX($B$2:B989)</f>
        <v>-11.46</v>
      </c>
      <c r="F989" s="80">
        <f t="shared" si="46"/>
        <v>462</v>
      </c>
      <c r="G989" s="77">
        <f>Target1[[#This Row],[Target Drawdown]]/MAX($B$2:B989)</f>
        <v>-0.22209302325581395</v>
      </c>
      <c r="H989" s="1" t="str">
        <f>IF(SUM(COUNTIF(Benchmark1[Benchmark '#1 Dates],Target1[[#This Row],[Target Dates]]),COUNTIF(Benchmark2[Benchmark '#2 Dates],Target1[[#This Row],[Target Dates]]))=2,"Pass","Fail")</f>
        <v>Pass</v>
      </c>
      <c r="I989" s="78">
        <f t="shared" si="47"/>
        <v>-11.46</v>
      </c>
      <c r="K989" s="72">
        <f>Target1[[#This Row],[Target Price]]/$B$2*100</f>
        <v>233.50785340314135</v>
      </c>
      <c r="R989">
        <f>B990/Target1[[#This Row],[Target Price]]-1</f>
        <v>7.7229696063776387E-3</v>
      </c>
    </row>
    <row r="990" spans="1:18">
      <c r="A990" s="96">
        <v>44719</v>
      </c>
      <c r="B990" s="101">
        <v>40.450000000000003</v>
      </c>
      <c r="C990" s="4">
        <f t="shared" si="45"/>
        <v>7.6933001363085739E-3</v>
      </c>
      <c r="D990" s="4">
        <f>IFERROR(Target1[[#This Row],[Target Return]]+1,"-")</f>
        <v>1.0076933001363086</v>
      </c>
      <c r="E990" s="6">
        <f>B990-MAX($B$2:B990)</f>
        <v>-11.149999999999999</v>
      </c>
      <c r="F990" s="80">
        <f t="shared" si="46"/>
        <v>463</v>
      </c>
      <c r="G990" s="77">
        <f>Target1[[#This Row],[Target Drawdown]]/MAX($B$2:B990)</f>
        <v>-0.21608527131782942</v>
      </c>
      <c r="H990" s="1" t="str">
        <f>IF(SUM(COUNTIF(Benchmark1[Benchmark '#1 Dates],Target1[[#This Row],[Target Dates]]),COUNTIF(Benchmark2[Benchmark '#2 Dates],Target1[[#This Row],[Target Dates]]))=2,"Pass","Fail")</f>
        <v>Pass</v>
      </c>
      <c r="I990" s="78">
        <f t="shared" si="47"/>
        <v>-11.149999999999999</v>
      </c>
      <c r="K990" s="72">
        <f>Target1[[#This Row],[Target Price]]/$B$2*100</f>
        <v>235.31122745782432</v>
      </c>
      <c r="R990">
        <f>B991/Target1[[#This Row],[Target Price]]-1</f>
        <v>-7.3423980222497076E-2</v>
      </c>
    </row>
    <row r="991" spans="1:18">
      <c r="A991" s="96">
        <v>44720</v>
      </c>
      <c r="B991" s="101">
        <v>37.479999999999997</v>
      </c>
      <c r="C991" s="4">
        <f t="shared" si="45"/>
        <v>-7.6259186134279441E-2</v>
      </c>
      <c r="D991" s="4">
        <f>IFERROR(Target1[[#This Row],[Target Return]]+1,"-")</f>
        <v>0.9237408138657206</v>
      </c>
      <c r="E991" s="6">
        <f>B991-MAX($B$2:B991)</f>
        <v>-14.120000000000005</v>
      </c>
      <c r="F991" s="80">
        <f t="shared" si="46"/>
        <v>464</v>
      </c>
      <c r="G991" s="77">
        <f>Target1[[#This Row],[Target Drawdown]]/MAX($B$2:B991)</f>
        <v>-0.27364341085271326</v>
      </c>
      <c r="H991" s="1" t="str">
        <f>IF(SUM(COUNTIF(Benchmark1[Benchmark '#1 Dates],Target1[[#This Row],[Target Dates]]),COUNTIF(Benchmark2[Benchmark '#2 Dates],Target1[[#This Row],[Target Dates]]))=2,"Pass","Fail")</f>
        <v>Pass</v>
      </c>
      <c r="I991" s="78">
        <f t="shared" si="47"/>
        <v>-14.120000000000005</v>
      </c>
      <c r="K991" s="72">
        <f>Target1[[#This Row],[Target Price]]/$B$2*100</f>
        <v>218.03374054682951</v>
      </c>
      <c r="R991">
        <f>B992/Target1[[#This Row],[Target Price]]-1</f>
        <v>-2.5346851654215463E-2</v>
      </c>
    </row>
    <row r="992" spans="1:18">
      <c r="A992" s="96">
        <v>44721</v>
      </c>
      <c r="B992" s="101">
        <v>36.53</v>
      </c>
      <c r="C992" s="4">
        <f t="shared" si="45"/>
        <v>-2.5673616563030185E-2</v>
      </c>
      <c r="D992" s="4">
        <f>IFERROR(Target1[[#This Row],[Target Return]]+1,"-")</f>
        <v>0.97432638343696987</v>
      </c>
      <c r="E992" s="6">
        <f>B992-MAX($B$2:B992)</f>
        <v>-15.07</v>
      </c>
      <c r="F992" s="80">
        <f t="shared" si="46"/>
        <v>465</v>
      </c>
      <c r="G992" s="77">
        <f>Target1[[#This Row],[Target Drawdown]]/MAX($B$2:B992)</f>
        <v>-0.29205426356589148</v>
      </c>
      <c r="H992" s="1" t="str">
        <f>IF(SUM(COUNTIF(Benchmark1[Benchmark '#1 Dates],Target1[[#This Row],[Target Dates]]),COUNTIF(Benchmark2[Benchmark '#2 Dates],Target1[[#This Row],[Target Dates]]))=2,"Pass","Fail")</f>
        <v>Pass</v>
      </c>
      <c r="I992" s="78">
        <f t="shared" si="47"/>
        <v>-15.07</v>
      </c>
      <c r="K992" s="72">
        <f>Target1[[#This Row],[Target Price]]/$B$2*100</f>
        <v>212.50727166957532</v>
      </c>
      <c r="R992">
        <f>B993/Target1[[#This Row],[Target Price]]-1</f>
        <v>-2.8196003284971294E-2</v>
      </c>
    </row>
    <row r="993" spans="1:18">
      <c r="A993" s="96">
        <v>44722</v>
      </c>
      <c r="B993" s="101">
        <v>35.5</v>
      </c>
      <c r="C993" s="4">
        <f t="shared" si="45"/>
        <v>-2.860114432582106E-2</v>
      </c>
      <c r="D993" s="4">
        <f>IFERROR(Target1[[#This Row],[Target Return]]+1,"-")</f>
        <v>0.97139885567417894</v>
      </c>
      <c r="E993" s="6">
        <f>B993-MAX($B$2:B993)</f>
        <v>-16.100000000000001</v>
      </c>
      <c r="F993" s="80">
        <f t="shared" si="46"/>
        <v>466</v>
      </c>
      <c r="G993" s="77">
        <f>Target1[[#This Row],[Target Drawdown]]/MAX($B$2:B993)</f>
        <v>-0.31201550387596899</v>
      </c>
      <c r="H993" s="1" t="str">
        <f>IF(SUM(COUNTIF(Benchmark1[Benchmark '#1 Dates],Target1[[#This Row],[Target Dates]]),COUNTIF(Benchmark2[Benchmark '#2 Dates],Target1[[#This Row],[Target Dates]]))=2,"Pass","Fail")</f>
        <v>Pass</v>
      </c>
      <c r="I993" s="78">
        <f t="shared" si="47"/>
        <v>-16.100000000000001</v>
      </c>
      <c r="K993" s="72">
        <f>Target1[[#This Row],[Target Price]]/$B$2*100</f>
        <v>206.51541593949969</v>
      </c>
      <c r="R993">
        <f>B994/Target1[[#This Row],[Target Price]]-1</f>
        <v>-4.9859154929577598E-2</v>
      </c>
    </row>
    <row r="994" spans="1:18">
      <c r="A994" s="96">
        <v>44725</v>
      </c>
      <c r="B994" s="101">
        <v>33.729999999999997</v>
      </c>
      <c r="C994" s="4">
        <f t="shared" si="45"/>
        <v>-5.1145047407811374E-2</v>
      </c>
      <c r="D994" s="4">
        <f>IFERROR(Target1[[#This Row],[Target Return]]+1,"-")</f>
        <v>0.94885495259218866</v>
      </c>
      <c r="E994" s="6">
        <f>B994-MAX($B$2:B994)</f>
        <v>-17.870000000000005</v>
      </c>
      <c r="F994" s="80">
        <f t="shared" si="46"/>
        <v>467</v>
      </c>
      <c r="G994" s="77">
        <f>Target1[[#This Row],[Target Drawdown]]/MAX($B$2:B994)</f>
        <v>-0.34631782945736445</v>
      </c>
      <c r="H994" s="1" t="str">
        <f>IF(SUM(COUNTIF(Benchmark1[Benchmark '#1 Dates],Target1[[#This Row],[Target Dates]]),COUNTIF(Benchmark2[Benchmark '#2 Dates],Target1[[#This Row],[Target Dates]]))=2,"Pass","Fail")</f>
        <v>Pass</v>
      </c>
      <c r="I994" s="78">
        <f t="shared" si="47"/>
        <v>-17.870000000000005</v>
      </c>
      <c r="K994" s="72">
        <f>Target1[[#This Row],[Target Price]]/$B$2*100</f>
        <v>196.21873182082604</v>
      </c>
      <c r="R994">
        <f>B995/Target1[[#This Row],[Target Price]]-1</f>
        <v>2.5793062555588664E-2</v>
      </c>
    </row>
    <row r="995" spans="1:18">
      <c r="A995" s="96">
        <v>44726</v>
      </c>
      <c r="B995" s="101">
        <v>34.6</v>
      </c>
      <c r="C995" s="4">
        <f t="shared" si="45"/>
        <v>2.5466032990119861E-2</v>
      </c>
      <c r="D995" s="4">
        <f>IFERROR(Target1[[#This Row],[Target Return]]+1,"-")</f>
        <v>1.02546603299012</v>
      </c>
      <c r="E995" s="6">
        <f>B995-MAX($B$2:B995)</f>
        <v>-17</v>
      </c>
      <c r="F995" s="80">
        <f t="shared" si="46"/>
        <v>468</v>
      </c>
      <c r="G995" s="77">
        <f>Target1[[#This Row],[Target Drawdown]]/MAX($B$2:B995)</f>
        <v>-0.32945736434108525</v>
      </c>
      <c r="H995" s="1" t="str">
        <f>IF(SUM(COUNTIF(Benchmark1[Benchmark '#1 Dates],Target1[[#This Row],[Target Dates]]),COUNTIF(Benchmark2[Benchmark '#2 Dates],Target1[[#This Row],[Target Dates]]))=2,"Pass","Fail")</f>
        <v>Pass</v>
      </c>
      <c r="I995" s="78">
        <f t="shared" si="47"/>
        <v>-17</v>
      </c>
      <c r="K995" s="72">
        <f>Target1[[#This Row],[Target Price]]/$B$2*100</f>
        <v>201.27981384525887</v>
      </c>
      <c r="R995">
        <f>B996/Target1[[#This Row],[Target Price]]-1</f>
        <v>-5.7803468208106334E-4</v>
      </c>
    </row>
    <row r="996" spans="1:18">
      <c r="A996" s="96">
        <v>44727</v>
      </c>
      <c r="B996" s="101">
        <v>34.58</v>
      </c>
      <c r="C996" s="4">
        <f t="shared" si="45"/>
        <v>-5.7820180853426838E-4</v>
      </c>
      <c r="D996" s="4">
        <f>IFERROR(Target1[[#This Row],[Target Return]]+1,"-")</f>
        <v>0.9994217981914657</v>
      </c>
      <c r="E996" s="6">
        <f>B996-MAX($B$2:B996)</f>
        <v>-17.020000000000003</v>
      </c>
      <c r="F996" s="80">
        <f t="shared" si="46"/>
        <v>469</v>
      </c>
      <c r="G996" s="77">
        <f>Target1[[#This Row],[Target Drawdown]]/MAX($B$2:B996)</f>
        <v>-0.32984496124031015</v>
      </c>
      <c r="H996" s="1" t="str">
        <f>IF(SUM(COUNTIF(Benchmark1[Benchmark '#1 Dates],Target1[[#This Row],[Target Dates]]),COUNTIF(Benchmark2[Benchmark '#2 Dates],Target1[[#This Row],[Target Dates]]))=2,"Pass","Fail")</f>
        <v>Pass</v>
      </c>
      <c r="I996" s="78">
        <f t="shared" si="47"/>
        <v>-17.020000000000003</v>
      </c>
      <c r="K996" s="72">
        <f>Target1[[#This Row],[Target Price]]/$B$2*100</f>
        <v>201.16346713205351</v>
      </c>
      <c r="R996">
        <f>B997/Target1[[#This Row],[Target Price]]-1</f>
        <v>-2.3134759976865205E-2</v>
      </c>
    </row>
    <row r="997" spans="1:18">
      <c r="A997" s="96">
        <v>44728</v>
      </c>
      <c r="B997" s="101">
        <v>33.78</v>
      </c>
      <c r="C997" s="4">
        <f t="shared" si="45"/>
        <v>-2.3406568875490391E-2</v>
      </c>
      <c r="D997" s="4">
        <f>IFERROR(Target1[[#This Row],[Target Return]]+1,"-")</f>
        <v>0.97659343112450958</v>
      </c>
      <c r="E997" s="6">
        <f>B997-MAX($B$2:B997)</f>
        <v>-17.82</v>
      </c>
      <c r="F997" s="80">
        <f t="shared" si="46"/>
        <v>470</v>
      </c>
      <c r="G997" s="77">
        <f>Target1[[#This Row],[Target Drawdown]]/MAX($B$2:B997)</f>
        <v>-0.34534883720930232</v>
      </c>
      <c r="H997" s="1" t="str">
        <f>IF(SUM(COUNTIF(Benchmark1[Benchmark '#1 Dates],Target1[[#This Row],[Target Dates]]),COUNTIF(Benchmark2[Benchmark '#2 Dates],Target1[[#This Row],[Target Dates]]))=2,"Pass","Fail")</f>
        <v>Pass</v>
      </c>
      <c r="I997" s="78">
        <f t="shared" si="47"/>
        <v>-17.82</v>
      </c>
      <c r="K997" s="72">
        <f>Target1[[#This Row],[Target Price]]/$B$2*100</f>
        <v>196.50959860383944</v>
      </c>
      <c r="R997">
        <f>B998/Target1[[#This Row],[Target Price]]-1</f>
        <v>4.1444641799881499E-2</v>
      </c>
    </row>
    <row r="998" spans="1:18">
      <c r="A998" s="96">
        <v>44729</v>
      </c>
      <c r="B998" s="101">
        <v>35.18</v>
      </c>
      <c r="C998" s="4">
        <f t="shared" si="45"/>
        <v>4.0608827929758014E-2</v>
      </c>
      <c r="D998" s="4">
        <f>IFERROR(Target1[[#This Row],[Target Return]]+1,"-")</f>
        <v>1.0406088279297581</v>
      </c>
      <c r="E998" s="6">
        <f>B998-MAX($B$2:B998)</f>
        <v>-16.420000000000002</v>
      </c>
      <c r="F998" s="80">
        <f t="shared" si="46"/>
        <v>471</v>
      </c>
      <c r="G998" s="77">
        <f>Target1[[#This Row],[Target Drawdown]]/MAX($B$2:B998)</f>
        <v>-0.31821705426356589</v>
      </c>
      <c r="H998" s="1" t="str">
        <f>IF(SUM(COUNTIF(Benchmark1[Benchmark '#1 Dates],Target1[[#This Row],[Target Dates]]),COUNTIF(Benchmark2[Benchmark '#2 Dates],Target1[[#This Row],[Target Dates]]))=2,"Pass","Fail")</f>
        <v>Pass</v>
      </c>
      <c r="I998" s="78">
        <f t="shared" si="47"/>
        <v>-16.420000000000002</v>
      </c>
      <c r="K998" s="72">
        <f>Target1[[#This Row],[Target Price]]/$B$2*100</f>
        <v>204.65386852821408</v>
      </c>
      <c r="R998">
        <f>B999/Target1[[#This Row],[Target Price]]-1</f>
        <v>-1.7055144968732838E-3</v>
      </c>
    </row>
    <row r="999" spans="1:18">
      <c r="A999" s="96">
        <v>44733</v>
      </c>
      <c r="B999" s="101">
        <v>35.119999999999997</v>
      </c>
      <c r="C999" s="4">
        <f t="shared" si="45"/>
        <v>-1.7069705424962614E-3</v>
      </c>
      <c r="D999" s="4">
        <f>IFERROR(Target1[[#This Row],[Target Return]]+1,"-")</f>
        <v>0.99829302945750376</v>
      </c>
      <c r="E999" s="6">
        <f>B999-MAX($B$2:B999)</f>
        <v>-16.480000000000004</v>
      </c>
      <c r="F999" s="80">
        <f t="shared" si="46"/>
        <v>472</v>
      </c>
      <c r="G999" s="77">
        <f>Target1[[#This Row],[Target Drawdown]]/MAX($B$2:B999)</f>
        <v>-0.31937984496124039</v>
      </c>
      <c r="H999" s="1" t="str">
        <f>IF(SUM(COUNTIF(Benchmark1[Benchmark '#1 Dates],Target1[[#This Row],[Target Dates]]),COUNTIF(Benchmark2[Benchmark '#2 Dates],Target1[[#This Row],[Target Dates]]))=2,"Pass","Fail")</f>
        <v>Pass</v>
      </c>
      <c r="I999" s="78">
        <f t="shared" si="47"/>
        <v>-16.480000000000004</v>
      </c>
      <c r="K999" s="72">
        <f>Target1[[#This Row],[Target Price]]/$B$2*100</f>
        <v>204.30482838859797</v>
      </c>
      <c r="R999">
        <f>B1000/Target1[[#This Row],[Target Price]]-1</f>
        <v>3.4168564920273869E-3</v>
      </c>
    </row>
    <row r="1000" spans="1:18">
      <c r="A1000" s="96">
        <v>44734</v>
      </c>
      <c r="B1000" s="101">
        <v>35.24</v>
      </c>
      <c r="C1000" s="4">
        <f t="shared" si="45"/>
        <v>3.4110323010629008E-3</v>
      </c>
      <c r="D1000" s="4">
        <f>IFERROR(Target1[[#This Row],[Target Return]]+1,"-")</f>
        <v>1.003411032301063</v>
      </c>
      <c r="E1000" s="6">
        <f>B1000-MAX($B$2:B1000)</f>
        <v>-16.36</v>
      </c>
      <c r="F1000" s="80">
        <f t="shared" si="46"/>
        <v>473</v>
      </c>
      <c r="G1000" s="77">
        <f>Target1[[#This Row],[Target Drawdown]]/MAX($B$2:B1000)</f>
        <v>-0.31705426356589145</v>
      </c>
      <c r="H1000" s="1" t="str">
        <f>IF(SUM(COUNTIF(Benchmark1[Benchmark '#1 Dates],Target1[[#This Row],[Target Dates]]),COUNTIF(Benchmark2[Benchmark '#2 Dates],Target1[[#This Row],[Target Dates]]))=2,"Pass","Fail")</f>
        <v>Pass</v>
      </c>
      <c r="I1000" s="78">
        <f t="shared" si="47"/>
        <v>-16.36</v>
      </c>
      <c r="K1000" s="72">
        <f>Target1[[#This Row],[Target Price]]/$B$2*100</f>
        <v>205.00290866783013</v>
      </c>
      <c r="R1000">
        <f>B1001/Target1[[#This Row],[Target Price]]-1</f>
        <v>-2.0998864926220273E-2</v>
      </c>
    </row>
    <row r="1001" spans="1:18">
      <c r="A1001" s="96">
        <v>44735</v>
      </c>
      <c r="B1001" s="101">
        <v>34.5</v>
      </c>
      <c r="C1001" s="4">
        <f t="shared" si="45"/>
        <v>-2.1222477030664755E-2</v>
      </c>
      <c r="D1001" s="4">
        <f>IFERROR(Target1[[#This Row],[Target Return]]+1,"-")</f>
        <v>0.97877752296933529</v>
      </c>
      <c r="E1001" s="6">
        <f>B1001-MAX($B$2:B1001)</f>
        <v>-17.100000000000001</v>
      </c>
      <c r="F1001" s="80">
        <f t="shared" si="46"/>
        <v>474</v>
      </c>
      <c r="G1001" s="77">
        <f>Target1[[#This Row],[Target Drawdown]]/MAX($B$2:B1001)</f>
        <v>-0.33139534883720934</v>
      </c>
      <c r="H1001" s="1" t="str">
        <f>IF(SUM(COUNTIF(Benchmark1[Benchmark '#1 Dates],Target1[[#This Row],[Target Dates]]),COUNTIF(Benchmark2[Benchmark '#2 Dates],Target1[[#This Row],[Target Dates]]))=2,"Pass","Fail")</f>
        <v>Pass</v>
      </c>
      <c r="I1001" s="78">
        <f t="shared" si="47"/>
        <v>-17.100000000000001</v>
      </c>
      <c r="K1001" s="72">
        <f>Target1[[#This Row],[Target Price]]/$B$2*100</f>
        <v>200.6980802792321</v>
      </c>
      <c r="R1001">
        <f>B1002/Target1[[#This Row],[Target Price]]-1</f>
        <v>7.2173913043478422E-2</v>
      </c>
    </row>
    <row r="1002" spans="1:18">
      <c r="A1002" s="96">
        <v>44736</v>
      </c>
      <c r="B1002" s="101">
        <v>36.99</v>
      </c>
      <c r="C1002" s="4">
        <f t="shared" si="45"/>
        <v>6.9688281807048696E-2</v>
      </c>
      <c r="D1002" s="4">
        <f>IFERROR(Target1[[#This Row],[Target Return]]+1,"-")</f>
        <v>1.0696882818070488</v>
      </c>
      <c r="E1002" s="6">
        <f>B1002-MAX($B$2:B1002)</f>
        <v>-14.61</v>
      </c>
      <c r="F1002" s="80">
        <f t="shared" si="46"/>
        <v>475</v>
      </c>
      <c r="G1002" s="77">
        <f>Target1[[#This Row],[Target Drawdown]]/MAX($B$2:B1002)</f>
        <v>-0.2831395348837209</v>
      </c>
      <c r="H1002" s="1" t="str">
        <f>IF(SUM(COUNTIF(Benchmark1[Benchmark '#1 Dates],Target1[[#This Row],[Target Dates]]),COUNTIF(Benchmark2[Benchmark '#2 Dates],Target1[[#This Row],[Target Dates]]))=2,"Pass","Fail")</f>
        <v>Pass</v>
      </c>
      <c r="I1002" s="78">
        <f t="shared" si="47"/>
        <v>-14.61</v>
      </c>
      <c r="K1002" s="72">
        <f>Target1[[#This Row],[Target Price]]/$B$2*100</f>
        <v>215.18324607329845</v>
      </c>
      <c r="R1002">
        <f>B1003/Target1[[#This Row],[Target Price]]-1</f>
        <v>1.6761286834279465E-2</v>
      </c>
    </row>
    <row r="1003" spans="1:18">
      <c r="A1003" s="96">
        <v>44739</v>
      </c>
      <c r="B1003" s="101">
        <v>37.61</v>
      </c>
      <c r="C1003" s="4">
        <f t="shared" si="45"/>
        <v>1.6622366637882333E-2</v>
      </c>
      <c r="D1003" s="4">
        <f>IFERROR(Target1[[#This Row],[Target Return]]+1,"-")</f>
        <v>1.0166223666378824</v>
      </c>
      <c r="E1003" s="6">
        <f>B1003-MAX($B$2:B1003)</f>
        <v>-13.990000000000002</v>
      </c>
      <c r="F1003" s="80">
        <f t="shared" si="46"/>
        <v>476</v>
      </c>
      <c r="G1003" s="77">
        <f>Target1[[#This Row],[Target Drawdown]]/MAX($B$2:B1003)</f>
        <v>-0.27112403100775195</v>
      </c>
      <c r="H1003" s="1" t="str">
        <f>IF(SUM(COUNTIF(Benchmark1[Benchmark '#1 Dates],Target1[[#This Row],[Target Dates]]),COUNTIF(Benchmark2[Benchmark '#2 Dates],Target1[[#This Row],[Target Dates]]))=2,"Pass","Fail")</f>
        <v>Pass</v>
      </c>
      <c r="I1003" s="78">
        <f t="shared" si="47"/>
        <v>-13.990000000000002</v>
      </c>
      <c r="K1003" s="72">
        <f>Target1[[#This Row],[Target Price]]/$B$2*100</f>
        <v>218.78999418266432</v>
      </c>
      <c r="R1003">
        <f>B1004/Target1[[#This Row],[Target Price]]-1</f>
        <v>4.2541877160331421E-3</v>
      </c>
    </row>
    <row r="1004" spans="1:18">
      <c r="A1004" s="96">
        <v>44740</v>
      </c>
      <c r="B1004" s="101">
        <v>37.770000000000003</v>
      </c>
      <c r="C1004" s="4">
        <f t="shared" si="45"/>
        <v>4.2451642421206378E-3</v>
      </c>
      <c r="D1004" s="4">
        <f>IFERROR(Target1[[#This Row],[Target Return]]+1,"-")</f>
        <v>1.0042451642421206</v>
      </c>
      <c r="E1004" s="6">
        <f>B1004-MAX($B$2:B1004)</f>
        <v>-13.829999999999998</v>
      </c>
      <c r="F1004" s="80">
        <f t="shared" si="46"/>
        <v>477</v>
      </c>
      <c r="G1004" s="77">
        <f>Target1[[#This Row],[Target Drawdown]]/MAX($B$2:B1004)</f>
        <v>-0.26802325581395342</v>
      </c>
      <c r="H1004" s="1" t="str">
        <f>IF(SUM(COUNTIF(Benchmark1[Benchmark '#1 Dates],Target1[[#This Row],[Target Dates]]),COUNTIF(Benchmark2[Benchmark '#2 Dates],Target1[[#This Row],[Target Dates]]))=2,"Pass","Fail")</f>
        <v>Pass</v>
      </c>
      <c r="I1004" s="78">
        <f t="shared" si="47"/>
        <v>-13.829999999999998</v>
      </c>
      <c r="K1004" s="72">
        <f>Target1[[#This Row],[Target Price]]/$B$2*100</f>
        <v>219.72076788830717</v>
      </c>
      <c r="R1004">
        <f>B1005/Target1[[#This Row],[Target Price]]-1</f>
        <v>9.3725178713264468E-2</v>
      </c>
    </row>
    <row r="1005" spans="1:18">
      <c r="A1005" s="96">
        <v>44741</v>
      </c>
      <c r="B1005" s="101">
        <v>41.31</v>
      </c>
      <c r="C1005" s="4">
        <f t="shared" si="45"/>
        <v>8.958946468430766E-2</v>
      </c>
      <c r="D1005" s="4">
        <f>IFERROR(Target1[[#This Row],[Target Return]]+1,"-")</f>
        <v>1.0895894646843076</v>
      </c>
      <c r="E1005" s="6">
        <f>B1005-MAX($B$2:B1005)</f>
        <v>-10.29</v>
      </c>
      <c r="F1005" s="80">
        <f t="shared" si="46"/>
        <v>478</v>
      </c>
      <c r="G1005" s="77">
        <f>Target1[[#This Row],[Target Drawdown]]/MAX($B$2:B1005)</f>
        <v>-0.19941860465116276</v>
      </c>
      <c r="H1005" s="1" t="str">
        <f>IF(SUM(COUNTIF(Benchmark1[Benchmark '#1 Dates],Target1[[#This Row],[Target Dates]]),COUNTIF(Benchmark2[Benchmark '#2 Dates],Target1[[#This Row],[Target Dates]]))=2,"Pass","Fail")</f>
        <v>Pass</v>
      </c>
      <c r="I1005" s="78">
        <f t="shared" si="47"/>
        <v>-10.29</v>
      </c>
      <c r="K1005" s="72">
        <f>Target1[[#This Row],[Target Price]]/$B$2*100</f>
        <v>240.31413612565444</v>
      </c>
      <c r="R1005">
        <f>B1006/Target1[[#This Row],[Target Price]]-1</f>
        <v>-1.2587751149842674E-2</v>
      </c>
    </row>
    <row r="1006" spans="1:18">
      <c r="A1006" s="96">
        <v>44742</v>
      </c>
      <c r="B1006" s="101">
        <v>40.79</v>
      </c>
      <c r="C1006" s="4">
        <f t="shared" si="45"/>
        <v>-1.2667648079206105E-2</v>
      </c>
      <c r="D1006" s="4">
        <f>IFERROR(Target1[[#This Row],[Target Return]]+1,"-")</f>
        <v>0.98733235192079394</v>
      </c>
      <c r="E1006" s="6">
        <f>B1006-MAX($B$2:B1006)</f>
        <v>-10.810000000000002</v>
      </c>
      <c r="F1006" s="80">
        <f t="shared" si="46"/>
        <v>479</v>
      </c>
      <c r="G1006" s="77">
        <f>Target1[[#This Row],[Target Drawdown]]/MAX($B$2:B1006)</f>
        <v>-0.20949612403100779</v>
      </c>
      <c r="H1006" s="1" t="str">
        <f>IF(SUM(COUNTIF(Benchmark1[Benchmark '#1 Dates],Target1[[#This Row],[Target Dates]]),COUNTIF(Benchmark2[Benchmark '#2 Dates],Target1[[#This Row],[Target Dates]]))=2,"Pass","Fail")</f>
        <v>Pass</v>
      </c>
      <c r="I1006" s="78">
        <f t="shared" si="47"/>
        <v>-10.810000000000002</v>
      </c>
      <c r="K1006" s="72">
        <f>Target1[[#This Row],[Target Price]]/$B$2*100</f>
        <v>237.28912158231529</v>
      </c>
      <c r="R1006">
        <f>B1007/Target1[[#This Row],[Target Price]]-1</f>
        <v>1.2993380730571324E-2</v>
      </c>
    </row>
    <row r="1007" spans="1:18">
      <c r="A1007" s="96">
        <v>44743</v>
      </c>
      <c r="B1007" s="101">
        <v>41.32</v>
      </c>
      <c r="C1007" s="4">
        <f t="shared" si="45"/>
        <v>1.2909690921970817E-2</v>
      </c>
      <c r="D1007" s="4">
        <f>IFERROR(Target1[[#This Row],[Target Return]]+1,"-")</f>
        <v>1.0129096909219708</v>
      </c>
      <c r="E1007" s="6">
        <f>B1007-MAX($B$2:B1007)</f>
        <v>-10.280000000000001</v>
      </c>
      <c r="F1007" s="80">
        <f t="shared" si="46"/>
        <v>480</v>
      </c>
      <c r="G1007" s="77">
        <f>Target1[[#This Row],[Target Drawdown]]/MAX($B$2:B1007)</f>
        <v>-0.19922480620155039</v>
      </c>
      <c r="H1007" s="1" t="str">
        <f>IF(SUM(COUNTIF(Benchmark1[Benchmark '#1 Dates],Target1[[#This Row],[Target Dates]]),COUNTIF(Benchmark2[Benchmark '#2 Dates],Target1[[#This Row],[Target Dates]]))=2,"Pass","Fail")</f>
        <v>Pass</v>
      </c>
      <c r="I1007" s="78">
        <f t="shared" si="47"/>
        <v>-10.280000000000001</v>
      </c>
      <c r="K1007" s="72">
        <f>Target1[[#This Row],[Target Price]]/$B$2*100</f>
        <v>240.37230948225709</v>
      </c>
      <c r="R1007">
        <f>B1008/Target1[[#This Row],[Target Price]]-1</f>
        <v>-2.5169409486931249E-2</v>
      </c>
    </row>
    <row r="1008" spans="1:18">
      <c r="A1008" s="96">
        <v>44747</v>
      </c>
      <c r="B1008" s="101">
        <v>40.28</v>
      </c>
      <c r="C1008" s="4">
        <f t="shared" si="45"/>
        <v>-2.5491576401076233E-2</v>
      </c>
      <c r="D1008" s="4">
        <f>IFERROR(Target1[[#This Row],[Target Return]]+1,"-")</f>
        <v>0.97450842359892376</v>
      </c>
      <c r="E1008" s="6">
        <f>B1008-MAX($B$2:B1008)</f>
        <v>-11.32</v>
      </c>
      <c r="F1008" s="80">
        <f t="shared" si="46"/>
        <v>481</v>
      </c>
      <c r="G1008" s="77">
        <f>Target1[[#This Row],[Target Drawdown]]/MAX($B$2:B1008)</f>
        <v>-0.2193798449612403</v>
      </c>
      <c r="H1008" s="1" t="str">
        <f>IF(SUM(COUNTIF(Benchmark1[Benchmark '#1 Dates],Target1[[#This Row],[Target Dates]]),COUNTIF(Benchmark2[Benchmark '#2 Dates],Target1[[#This Row],[Target Dates]]))=2,"Pass","Fail")</f>
        <v>Pass</v>
      </c>
      <c r="I1008" s="78">
        <f t="shared" si="47"/>
        <v>-11.32</v>
      </c>
      <c r="K1008" s="72">
        <f>Target1[[#This Row],[Target Price]]/$B$2*100</f>
        <v>234.32228039557882</v>
      </c>
      <c r="R1008">
        <f>B1009/Target1[[#This Row],[Target Price]]-1</f>
        <v>2.2840119165839168E-2</v>
      </c>
    </row>
    <row r="1009" spans="1:18">
      <c r="A1009" s="96">
        <v>44748</v>
      </c>
      <c r="B1009" s="101">
        <v>41.2</v>
      </c>
      <c r="C1009" s="4">
        <f t="shared" si="45"/>
        <v>2.2583188505119201E-2</v>
      </c>
      <c r="D1009" s="4">
        <f>IFERROR(Target1[[#This Row],[Target Return]]+1,"-")</f>
        <v>1.0225831885051191</v>
      </c>
      <c r="E1009" s="6">
        <f>B1009-MAX($B$2:B1009)</f>
        <v>-10.399999999999999</v>
      </c>
      <c r="F1009" s="80">
        <f t="shared" si="46"/>
        <v>482</v>
      </c>
      <c r="G1009" s="77">
        <f>Target1[[#This Row],[Target Drawdown]]/MAX($B$2:B1009)</f>
        <v>-0.20155038759689919</v>
      </c>
      <c r="H1009" s="1" t="str">
        <f>IF(SUM(COUNTIF(Benchmark1[Benchmark '#1 Dates],Target1[[#This Row],[Target Dates]]),COUNTIF(Benchmark2[Benchmark '#2 Dates],Target1[[#This Row],[Target Dates]]))=2,"Pass","Fail")</f>
        <v>Pass</v>
      </c>
      <c r="I1009" s="78">
        <f t="shared" si="47"/>
        <v>-10.399999999999999</v>
      </c>
      <c r="K1009" s="72">
        <f>Target1[[#This Row],[Target Price]]/$B$2*100</f>
        <v>239.67422920302505</v>
      </c>
      <c r="R1009">
        <f>B1010/Target1[[#This Row],[Target Price]]-1</f>
        <v>3.3980582524271163E-3</v>
      </c>
    </row>
    <row r="1010" spans="1:18">
      <c r="A1010" s="96">
        <v>44749</v>
      </c>
      <c r="B1010" s="101">
        <v>41.34</v>
      </c>
      <c r="C1010" s="4">
        <f t="shared" si="45"/>
        <v>3.3922978981414296E-3</v>
      </c>
      <c r="D1010" s="4">
        <f>IFERROR(Target1[[#This Row],[Target Return]]+1,"-")</f>
        <v>1.0033922978981413</v>
      </c>
      <c r="E1010" s="6">
        <f>B1010-MAX($B$2:B1010)</f>
        <v>-10.259999999999998</v>
      </c>
      <c r="F1010" s="80">
        <f t="shared" si="46"/>
        <v>483</v>
      </c>
      <c r="G1010" s="77">
        <f>Target1[[#This Row],[Target Drawdown]]/MAX($B$2:B1010)</f>
        <v>-0.19883720930232554</v>
      </c>
      <c r="H1010" s="1" t="str">
        <f>IF(SUM(COUNTIF(Benchmark1[Benchmark '#1 Dates],Target1[[#This Row],[Target Dates]]),COUNTIF(Benchmark2[Benchmark '#2 Dates],Target1[[#This Row],[Target Dates]]))=2,"Pass","Fail")</f>
        <v>Pass</v>
      </c>
      <c r="I1010" s="78">
        <f t="shared" si="47"/>
        <v>-10.259999999999998</v>
      </c>
      <c r="K1010" s="72">
        <f>Target1[[#This Row],[Target Price]]/$B$2*100</f>
        <v>240.48865619546248</v>
      </c>
      <c r="R1010">
        <f>B1011/Target1[[#This Row],[Target Price]]-1</f>
        <v>8.2244799225930088E-3</v>
      </c>
    </row>
    <row r="1011" spans="1:18">
      <c r="A1011" s="96">
        <v>44750</v>
      </c>
      <c r="B1011" s="101">
        <v>41.68</v>
      </c>
      <c r="C1011" s="4">
        <f t="shared" si="45"/>
        <v>8.1908431914891541E-3</v>
      </c>
      <c r="D1011" s="4">
        <f>IFERROR(Target1[[#This Row],[Target Return]]+1,"-")</f>
        <v>1.0081908431914892</v>
      </c>
      <c r="E1011" s="6">
        <f>B1011-MAX($B$2:B1011)</f>
        <v>-9.9200000000000017</v>
      </c>
      <c r="F1011" s="80">
        <f t="shared" si="46"/>
        <v>484</v>
      </c>
      <c r="G1011" s="77">
        <f>Target1[[#This Row],[Target Drawdown]]/MAX($B$2:B1011)</f>
        <v>-0.1922480620155039</v>
      </c>
      <c r="H1011" s="1" t="str">
        <f>IF(SUM(COUNTIF(Benchmark1[Benchmark '#1 Dates],Target1[[#This Row],[Target Dates]]),COUNTIF(Benchmark2[Benchmark '#2 Dates],Target1[[#This Row],[Target Dates]]))=2,"Pass","Fail")</f>
        <v>Pass</v>
      </c>
      <c r="I1011" s="78">
        <f t="shared" si="47"/>
        <v>-9.9200000000000017</v>
      </c>
      <c r="K1011" s="72">
        <f>Target1[[#This Row],[Target Price]]/$B$2*100</f>
        <v>242.46655031995346</v>
      </c>
      <c r="R1011">
        <f>B1012/Target1[[#This Row],[Target Price]]-1</f>
        <v>-1.8953934740882916E-2</v>
      </c>
    </row>
    <row r="1012" spans="1:18">
      <c r="A1012" s="96">
        <v>44753</v>
      </c>
      <c r="B1012" s="101">
        <v>40.89</v>
      </c>
      <c r="C1012" s="4">
        <f t="shared" si="45"/>
        <v>-1.9135863068560539E-2</v>
      </c>
      <c r="D1012" s="4">
        <f>IFERROR(Target1[[#This Row],[Target Return]]+1,"-")</f>
        <v>0.98086413693143948</v>
      </c>
      <c r="E1012" s="6">
        <f>B1012-MAX($B$2:B1012)</f>
        <v>-10.71</v>
      </c>
      <c r="F1012" s="80">
        <f t="shared" si="46"/>
        <v>485</v>
      </c>
      <c r="G1012" s="77">
        <f>Target1[[#This Row],[Target Drawdown]]/MAX($B$2:B1012)</f>
        <v>-0.20755813953488372</v>
      </c>
      <c r="H1012" s="1" t="str">
        <f>IF(SUM(COUNTIF(Benchmark1[Benchmark '#1 Dates],Target1[[#This Row],[Target Dates]]),COUNTIF(Benchmark2[Benchmark '#2 Dates],Target1[[#This Row],[Target Dates]]))=2,"Pass","Fail")</f>
        <v>Pass</v>
      </c>
      <c r="I1012" s="78">
        <f t="shared" si="47"/>
        <v>-10.71</v>
      </c>
      <c r="K1012" s="72">
        <f>Target1[[#This Row],[Target Price]]/$B$2*100</f>
        <v>237.87085514834203</v>
      </c>
      <c r="R1012">
        <f>B1013/Target1[[#This Row],[Target Price]]-1</f>
        <v>-2.4455857177785312E-4</v>
      </c>
    </row>
    <row r="1013" spans="1:18">
      <c r="A1013" s="96">
        <v>44754</v>
      </c>
      <c r="B1013" s="101">
        <v>40.880000000000003</v>
      </c>
      <c r="C1013" s="4">
        <f t="shared" si="45"/>
        <v>-2.4458848110185525E-4</v>
      </c>
      <c r="D1013" s="4">
        <f>IFERROR(Target1[[#This Row],[Target Return]]+1,"-")</f>
        <v>0.99975541151889813</v>
      </c>
      <c r="E1013" s="6">
        <f>B1013-MAX($B$2:B1013)</f>
        <v>-10.719999999999999</v>
      </c>
      <c r="F1013" s="80">
        <f t="shared" si="46"/>
        <v>486</v>
      </c>
      <c r="G1013" s="77">
        <f>Target1[[#This Row],[Target Drawdown]]/MAX($B$2:B1013)</f>
        <v>-0.20775193798449609</v>
      </c>
      <c r="H1013" s="1" t="str">
        <f>IF(SUM(COUNTIF(Benchmark1[Benchmark '#1 Dates],Target1[[#This Row],[Target Dates]]),COUNTIF(Benchmark2[Benchmark '#2 Dates],Target1[[#This Row],[Target Dates]]))=2,"Pass","Fail")</f>
        <v>Pass</v>
      </c>
      <c r="I1013" s="78">
        <f t="shared" si="47"/>
        <v>-10.719999999999999</v>
      </c>
      <c r="K1013" s="72">
        <f>Target1[[#This Row],[Target Price]]/$B$2*100</f>
        <v>237.81268179173938</v>
      </c>
      <c r="R1013">
        <f>B1014/Target1[[#This Row],[Target Price]]-1</f>
        <v>-8.8062622309197369E-3</v>
      </c>
    </row>
    <row r="1014" spans="1:18">
      <c r="A1014" s="96">
        <v>44755</v>
      </c>
      <c r="B1014" s="101">
        <v>40.520000000000003</v>
      </c>
      <c r="C1014" s="4">
        <f t="shared" si="45"/>
        <v>-8.8452665149663344E-3</v>
      </c>
      <c r="D1014" s="4">
        <f>IFERROR(Target1[[#This Row],[Target Return]]+1,"-")</f>
        <v>0.99115473348503369</v>
      </c>
      <c r="E1014" s="6">
        <f>B1014-MAX($B$2:B1014)</f>
        <v>-11.079999999999998</v>
      </c>
      <c r="F1014" s="80">
        <f t="shared" si="46"/>
        <v>487</v>
      </c>
      <c r="G1014" s="77">
        <f>Target1[[#This Row],[Target Drawdown]]/MAX($B$2:B1014)</f>
        <v>-0.21472868217054258</v>
      </c>
      <c r="H1014" s="1" t="str">
        <f>IF(SUM(COUNTIF(Benchmark1[Benchmark '#1 Dates],Target1[[#This Row],[Target Dates]]),COUNTIF(Benchmark2[Benchmark '#2 Dates],Target1[[#This Row],[Target Dates]]))=2,"Pass","Fail")</f>
        <v>Pass</v>
      </c>
      <c r="I1014" s="78">
        <f t="shared" si="47"/>
        <v>-11.079999999999998</v>
      </c>
      <c r="K1014" s="72">
        <f>Target1[[#This Row],[Target Price]]/$B$2*100</f>
        <v>235.71844095404307</v>
      </c>
      <c r="R1014">
        <f>B1015/Target1[[#This Row],[Target Price]]-1</f>
        <v>-5.4294175715697834E-3</v>
      </c>
    </row>
    <row r="1015" spans="1:18">
      <c r="A1015" s="96">
        <v>44756</v>
      </c>
      <c r="B1015" s="101">
        <v>40.299999999999997</v>
      </c>
      <c r="C1015" s="4">
        <f t="shared" si="45"/>
        <v>-5.4442104278455226E-3</v>
      </c>
      <c r="D1015" s="4">
        <f>IFERROR(Target1[[#This Row],[Target Return]]+1,"-")</f>
        <v>0.99455578957215451</v>
      </c>
      <c r="E1015" s="6">
        <f>B1015-MAX($B$2:B1015)</f>
        <v>-11.300000000000004</v>
      </c>
      <c r="F1015" s="80">
        <f t="shared" si="46"/>
        <v>488</v>
      </c>
      <c r="G1015" s="77">
        <f>Target1[[#This Row],[Target Drawdown]]/MAX($B$2:B1015)</f>
        <v>-0.21899224806201559</v>
      </c>
      <c r="H1015" s="1" t="str">
        <f>IF(SUM(COUNTIF(Benchmark1[Benchmark '#1 Dates],Target1[[#This Row],[Target Dates]]),COUNTIF(Benchmark2[Benchmark '#2 Dates],Target1[[#This Row],[Target Dates]]))=2,"Pass","Fail")</f>
        <v>Pass</v>
      </c>
      <c r="I1015" s="78">
        <f t="shared" si="47"/>
        <v>-11.300000000000004</v>
      </c>
      <c r="K1015" s="72">
        <f>Target1[[#This Row],[Target Price]]/$B$2*100</f>
        <v>234.43862710878415</v>
      </c>
      <c r="R1015">
        <f>B1016/Target1[[#This Row],[Target Price]]-1</f>
        <v>3.6228287841191031E-2</v>
      </c>
    </row>
    <row r="1016" spans="1:18">
      <c r="A1016" s="96">
        <v>44757</v>
      </c>
      <c r="B1016" s="101">
        <v>41.76</v>
      </c>
      <c r="C1016" s="4">
        <f t="shared" si="45"/>
        <v>3.5587474621745947E-2</v>
      </c>
      <c r="D1016" s="4">
        <f>IFERROR(Target1[[#This Row],[Target Return]]+1,"-")</f>
        <v>1.0355874746217459</v>
      </c>
      <c r="E1016" s="6">
        <f>B1016-MAX($B$2:B1016)</f>
        <v>-9.8400000000000034</v>
      </c>
      <c r="F1016" s="80">
        <f t="shared" si="46"/>
        <v>489</v>
      </c>
      <c r="G1016" s="77">
        <f>Target1[[#This Row],[Target Drawdown]]/MAX($B$2:B1016)</f>
        <v>-0.19069767441860472</v>
      </c>
      <c r="H1016" s="1" t="str">
        <f>IF(SUM(COUNTIF(Benchmark1[Benchmark '#1 Dates],Target1[[#This Row],[Target Dates]]),COUNTIF(Benchmark2[Benchmark '#2 Dates],Target1[[#This Row],[Target Dates]]))=2,"Pass","Fail")</f>
        <v>Pass</v>
      </c>
      <c r="I1016" s="78">
        <f t="shared" si="47"/>
        <v>-9.8400000000000034</v>
      </c>
      <c r="K1016" s="72">
        <f>Target1[[#This Row],[Target Price]]/$B$2*100</f>
        <v>242.93193717277487</v>
      </c>
      <c r="R1016">
        <f>B1017/Target1[[#This Row],[Target Price]]-1</f>
        <v>5.0287356321838672E-3</v>
      </c>
    </row>
    <row r="1017" spans="1:18">
      <c r="A1017" s="96">
        <v>44760</v>
      </c>
      <c r="B1017" s="101">
        <v>41.97</v>
      </c>
      <c r="C1017" s="4">
        <f t="shared" si="45"/>
        <v>5.0161337711161786E-3</v>
      </c>
      <c r="D1017" s="4">
        <f>IFERROR(Target1[[#This Row],[Target Return]]+1,"-")</f>
        <v>1.0050161337711161</v>
      </c>
      <c r="E1017" s="6">
        <f>B1017-MAX($B$2:B1017)</f>
        <v>-9.6300000000000026</v>
      </c>
      <c r="F1017" s="80">
        <f t="shared" si="46"/>
        <v>490</v>
      </c>
      <c r="G1017" s="77">
        <f>Target1[[#This Row],[Target Drawdown]]/MAX($B$2:B1017)</f>
        <v>-0.18662790697674422</v>
      </c>
      <c r="H1017" s="1" t="str">
        <f>IF(SUM(COUNTIF(Benchmark1[Benchmark '#1 Dates],Target1[[#This Row],[Target Dates]]),COUNTIF(Benchmark2[Benchmark '#2 Dates],Target1[[#This Row],[Target Dates]]))=2,"Pass","Fail")</f>
        <v>Pass</v>
      </c>
      <c r="I1017" s="78">
        <f t="shared" si="47"/>
        <v>-9.6300000000000026</v>
      </c>
      <c r="K1017" s="72">
        <f>Target1[[#This Row],[Target Price]]/$B$2*100</f>
        <v>244.15357766143103</v>
      </c>
      <c r="R1017">
        <f>B1018/Target1[[#This Row],[Target Price]]-1</f>
        <v>2.8353585894686617E-2</v>
      </c>
    </row>
    <row r="1018" spans="1:18">
      <c r="A1018" s="96">
        <v>44761</v>
      </c>
      <c r="B1018" s="101">
        <v>43.16</v>
      </c>
      <c r="C1018" s="4">
        <f t="shared" si="45"/>
        <v>2.7959063044434348E-2</v>
      </c>
      <c r="D1018" s="4">
        <f>IFERROR(Target1[[#This Row],[Target Return]]+1,"-")</f>
        <v>1.0279590630444344</v>
      </c>
      <c r="E1018" s="6">
        <f>B1018-MAX($B$2:B1018)</f>
        <v>-8.4400000000000048</v>
      </c>
      <c r="F1018" s="80">
        <f t="shared" si="46"/>
        <v>491</v>
      </c>
      <c r="G1018" s="77">
        <f>Target1[[#This Row],[Target Drawdown]]/MAX($B$2:B1018)</f>
        <v>-0.16356589147286832</v>
      </c>
      <c r="H1018" s="1" t="str">
        <f>IF(SUM(COUNTIF(Benchmark1[Benchmark '#1 Dates],Target1[[#This Row],[Target Dates]]),COUNTIF(Benchmark2[Benchmark '#2 Dates],Target1[[#This Row],[Target Dates]]))=2,"Pass","Fail")</f>
        <v>Pass</v>
      </c>
      <c r="I1018" s="78">
        <f t="shared" si="47"/>
        <v>-8.4400000000000048</v>
      </c>
      <c r="K1018" s="72">
        <f>Target1[[#This Row],[Target Price]]/$B$2*100</f>
        <v>251.07620709714945</v>
      </c>
      <c r="R1018">
        <f>B1019/Target1[[#This Row],[Target Price]]-1</f>
        <v>2.340129749768316E-2</v>
      </c>
    </row>
    <row r="1019" spans="1:18">
      <c r="A1019" s="96">
        <v>44762</v>
      </c>
      <c r="B1019" s="101">
        <v>44.17</v>
      </c>
      <c r="C1019" s="4">
        <f t="shared" si="45"/>
        <v>2.3131685218501303E-2</v>
      </c>
      <c r="D1019" s="4">
        <f>IFERROR(Target1[[#This Row],[Target Return]]+1,"-")</f>
        <v>1.0231316852185013</v>
      </c>
      <c r="E1019" s="6">
        <f>B1019-MAX($B$2:B1019)</f>
        <v>-7.43</v>
      </c>
      <c r="F1019" s="80">
        <f t="shared" si="46"/>
        <v>492</v>
      </c>
      <c r="G1019" s="77">
        <f>Target1[[#This Row],[Target Drawdown]]/MAX($B$2:B1019)</f>
        <v>-0.14399224806201549</v>
      </c>
      <c r="H1019" s="1" t="str">
        <f>IF(SUM(COUNTIF(Benchmark1[Benchmark '#1 Dates],Target1[[#This Row],[Target Dates]]),COUNTIF(Benchmark2[Benchmark '#2 Dates],Target1[[#This Row],[Target Dates]]))=2,"Pass","Fail")</f>
        <v>Pass</v>
      </c>
      <c r="I1019" s="78">
        <f t="shared" si="47"/>
        <v>-7.43</v>
      </c>
      <c r="K1019" s="72">
        <f>Target1[[#This Row],[Target Price]]/$B$2*100</f>
        <v>256.9517161140198</v>
      </c>
      <c r="R1019">
        <f>B1020/Target1[[#This Row],[Target Price]]-1</f>
        <v>-1.1319900384876624E-2</v>
      </c>
    </row>
    <row r="1020" spans="1:18">
      <c r="A1020" s="96">
        <v>44763</v>
      </c>
      <c r="B1020" s="101">
        <v>43.67</v>
      </c>
      <c r="C1020" s="4">
        <f t="shared" si="45"/>
        <v>-1.1384458110965516E-2</v>
      </c>
      <c r="D1020" s="4">
        <f>IFERROR(Target1[[#This Row],[Target Return]]+1,"-")</f>
        <v>0.98861554188903444</v>
      </c>
      <c r="E1020" s="6">
        <f>B1020-MAX($B$2:B1020)</f>
        <v>-7.93</v>
      </c>
      <c r="F1020" s="80">
        <f t="shared" si="46"/>
        <v>493</v>
      </c>
      <c r="G1020" s="77">
        <f>Target1[[#This Row],[Target Drawdown]]/MAX($B$2:B1020)</f>
        <v>-0.15368217054263564</v>
      </c>
      <c r="H1020" s="1" t="str">
        <f>IF(SUM(COUNTIF(Benchmark1[Benchmark '#1 Dates],Target1[[#This Row],[Target Dates]]),COUNTIF(Benchmark2[Benchmark '#2 Dates],Target1[[#This Row],[Target Dates]]))=2,"Pass","Fail")</f>
        <v>Pass</v>
      </c>
      <c r="I1020" s="78">
        <f t="shared" si="47"/>
        <v>-7.93</v>
      </c>
      <c r="K1020" s="72">
        <f>Target1[[#This Row],[Target Price]]/$B$2*100</f>
        <v>254.04304828388598</v>
      </c>
      <c r="R1020">
        <f>B1021/Target1[[#This Row],[Target Price]]-1</f>
        <v>-3.4577513166933915E-2</v>
      </c>
    </row>
    <row r="1021" spans="1:18">
      <c r="A1021" s="96">
        <v>44764</v>
      </c>
      <c r="B1021" s="101">
        <v>42.16</v>
      </c>
      <c r="C1021" s="4">
        <f t="shared" si="45"/>
        <v>-3.51894632643628E-2</v>
      </c>
      <c r="D1021" s="4">
        <f>IFERROR(Target1[[#This Row],[Target Return]]+1,"-")</f>
        <v>0.96481053673563721</v>
      </c>
      <c r="E1021" s="6">
        <f>B1021-MAX($B$2:B1021)</f>
        <v>-9.4400000000000048</v>
      </c>
      <c r="F1021" s="80">
        <f t="shared" si="46"/>
        <v>494</v>
      </c>
      <c r="G1021" s="77">
        <f>Target1[[#This Row],[Target Drawdown]]/MAX($B$2:B1021)</f>
        <v>-0.18294573643410861</v>
      </c>
      <c r="H1021" s="1" t="str">
        <f>IF(SUM(COUNTIF(Benchmark1[Benchmark '#1 Dates],Target1[[#This Row],[Target Dates]]),COUNTIF(Benchmark2[Benchmark '#2 Dates],Target1[[#This Row],[Target Dates]]))=2,"Pass","Fail")</f>
        <v>Pass</v>
      </c>
      <c r="I1021" s="78">
        <f t="shared" si="47"/>
        <v>-9.4400000000000048</v>
      </c>
      <c r="K1021" s="72">
        <f>Target1[[#This Row],[Target Price]]/$B$2*100</f>
        <v>245.25887143688186</v>
      </c>
      <c r="R1021">
        <f>B1022/Target1[[#This Row],[Target Price]]-1</f>
        <v>2.0161290322580738E-2</v>
      </c>
    </row>
    <row r="1022" spans="1:18">
      <c r="A1022" s="96">
        <v>44767</v>
      </c>
      <c r="B1022" s="101">
        <v>43.01</v>
      </c>
      <c r="C1022" s="4">
        <f t="shared" si="45"/>
        <v>1.9960742562538152E-2</v>
      </c>
      <c r="D1022" s="4">
        <f>IFERROR(Target1[[#This Row],[Target Return]]+1,"-")</f>
        <v>1.0199607425625381</v>
      </c>
      <c r="E1022" s="6">
        <f>B1022-MAX($B$2:B1022)</f>
        <v>-8.5900000000000034</v>
      </c>
      <c r="F1022" s="80">
        <f t="shared" si="46"/>
        <v>495</v>
      </c>
      <c r="G1022" s="77">
        <f>Target1[[#This Row],[Target Drawdown]]/MAX($B$2:B1022)</f>
        <v>-0.16647286821705432</v>
      </c>
      <c r="H1022" s="1" t="str">
        <f>IF(SUM(COUNTIF(Benchmark1[Benchmark '#1 Dates],Target1[[#This Row],[Target Dates]]),COUNTIF(Benchmark2[Benchmark '#2 Dates],Target1[[#This Row],[Target Dates]]))=2,"Pass","Fail")</f>
        <v>Pass</v>
      </c>
      <c r="I1022" s="78">
        <f t="shared" si="47"/>
        <v>-8.5900000000000034</v>
      </c>
      <c r="K1022" s="72">
        <f>Target1[[#This Row],[Target Price]]/$B$2*100</f>
        <v>250.20360674810937</v>
      </c>
      <c r="R1022">
        <f>B1023/Target1[[#This Row],[Target Price]]-1</f>
        <v>-4.8825854452453354E-3</v>
      </c>
    </row>
    <row r="1023" spans="1:18">
      <c r="A1023" s="96">
        <v>44768</v>
      </c>
      <c r="B1023" s="101">
        <v>42.8</v>
      </c>
      <c r="C1023" s="4">
        <f t="shared" si="45"/>
        <v>-4.8945442078938825E-3</v>
      </c>
      <c r="D1023" s="4">
        <f>IFERROR(Target1[[#This Row],[Target Return]]+1,"-")</f>
        <v>0.99510545579210608</v>
      </c>
      <c r="E1023" s="6">
        <f>B1023-MAX($B$2:B1023)</f>
        <v>-8.8000000000000043</v>
      </c>
      <c r="F1023" s="80">
        <f t="shared" si="46"/>
        <v>496</v>
      </c>
      <c r="G1023" s="77">
        <f>Target1[[#This Row],[Target Drawdown]]/MAX($B$2:B1023)</f>
        <v>-0.17054263565891481</v>
      </c>
      <c r="H1023" s="1" t="str">
        <f>IF(SUM(COUNTIF(Benchmark1[Benchmark '#1 Dates],Target1[[#This Row],[Target Dates]]),COUNTIF(Benchmark2[Benchmark '#2 Dates],Target1[[#This Row],[Target Dates]]))=2,"Pass","Fail")</f>
        <v>Pass</v>
      </c>
      <c r="I1023" s="78">
        <f t="shared" si="47"/>
        <v>-8.8000000000000043</v>
      </c>
      <c r="K1023" s="72">
        <f>Target1[[#This Row],[Target Price]]/$B$2*100</f>
        <v>248.98196625945315</v>
      </c>
      <c r="R1023">
        <f>B1024/Target1[[#This Row],[Target Price]]-1</f>
        <v>1.1682242990654235E-2</v>
      </c>
    </row>
    <row r="1024" spans="1:18">
      <c r="A1024" s="96">
        <v>44769</v>
      </c>
      <c r="B1024" s="101">
        <v>43.3</v>
      </c>
      <c r="C1024" s="4">
        <f t="shared" si="45"/>
        <v>1.1614532420693083E-2</v>
      </c>
      <c r="D1024" s="4">
        <f>IFERROR(Target1[[#This Row],[Target Return]]+1,"-")</f>
        <v>1.0116145324206931</v>
      </c>
      <c r="E1024" s="6">
        <f>B1024-MAX($B$2:B1024)</f>
        <v>-8.3000000000000043</v>
      </c>
      <c r="F1024" s="80">
        <f t="shared" si="46"/>
        <v>497</v>
      </c>
      <c r="G1024" s="77">
        <f>Target1[[#This Row],[Target Drawdown]]/MAX($B$2:B1024)</f>
        <v>-0.16085271317829467</v>
      </c>
      <c r="H1024" s="1" t="str">
        <f>IF(SUM(COUNTIF(Benchmark1[Benchmark '#1 Dates],Target1[[#This Row],[Target Dates]]),COUNTIF(Benchmark2[Benchmark '#2 Dates],Target1[[#This Row],[Target Dates]]))=2,"Pass","Fail")</f>
        <v>Pass</v>
      </c>
      <c r="I1024" s="78">
        <f t="shared" si="47"/>
        <v>-8.3000000000000043</v>
      </c>
      <c r="K1024" s="72">
        <f>Target1[[#This Row],[Target Price]]/$B$2*100</f>
        <v>251.89063408958691</v>
      </c>
      <c r="R1024">
        <f>B1025/Target1[[#This Row],[Target Price]]-1</f>
        <v>1.8013856812933104E-2</v>
      </c>
    </row>
    <row r="1025" spans="1:18">
      <c r="A1025" s="96">
        <v>44770</v>
      </c>
      <c r="B1025" s="101">
        <v>44.08</v>
      </c>
      <c r="C1025" s="4">
        <f t="shared" si="45"/>
        <v>1.7853529836214962E-2</v>
      </c>
      <c r="D1025" s="4">
        <f>IFERROR(Target1[[#This Row],[Target Return]]+1,"-")</f>
        <v>1.017853529836215</v>
      </c>
      <c r="E1025" s="6">
        <f>B1025-MAX($B$2:B1025)</f>
        <v>-7.5200000000000031</v>
      </c>
      <c r="F1025" s="80">
        <f t="shared" si="46"/>
        <v>498</v>
      </c>
      <c r="G1025" s="77">
        <f>Target1[[#This Row],[Target Drawdown]]/MAX($B$2:B1025)</f>
        <v>-0.14573643410852719</v>
      </c>
      <c r="H1025" s="1" t="str">
        <f>IF(SUM(COUNTIF(Benchmark1[Benchmark '#1 Dates],Target1[[#This Row],[Target Dates]]),COUNTIF(Benchmark2[Benchmark '#2 Dates],Target1[[#This Row],[Target Dates]]))=2,"Pass","Fail")</f>
        <v>Pass</v>
      </c>
      <c r="I1025" s="78">
        <f t="shared" si="47"/>
        <v>-7.5200000000000031</v>
      </c>
      <c r="K1025" s="72">
        <f>Target1[[#This Row],[Target Price]]/$B$2*100</f>
        <v>256.42815590459566</v>
      </c>
      <c r="R1025">
        <f>B1026/Target1[[#This Row],[Target Price]]-1</f>
        <v>1.3611615245009201E-2</v>
      </c>
    </row>
    <row r="1026" spans="1:18">
      <c r="A1026" s="96">
        <v>44771</v>
      </c>
      <c r="B1026" s="101">
        <v>44.68</v>
      </c>
      <c r="C1026" s="4">
        <f t="shared" ref="C1026:C1089" si="48">IFERROR(IF(B1026="","-",LN(B1026/B1025)),"-")</f>
        <v>1.3519809356341037E-2</v>
      </c>
      <c r="D1026" s="4">
        <f>IFERROR(Target1[[#This Row],[Target Return]]+1,"-")</f>
        <v>1.0135198093563411</v>
      </c>
      <c r="E1026" s="6">
        <f>B1026-MAX($B$2:B1026)</f>
        <v>-6.9200000000000017</v>
      </c>
      <c r="F1026" s="80">
        <f t="shared" ref="F1026:F1089" si="49">IF(E1026=0,0,F1025+1)</f>
        <v>499</v>
      </c>
      <c r="G1026" s="77">
        <f>Target1[[#This Row],[Target Drawdown]]/MAX($B$2:B1026)</f>
        <v>-0.13410852713178298</v>
      </c>
      <c r="H1026" s="1" t="str">
        <f>IF(SUM(COUNTIF(Benchmark1[Benchmark '#1 Dates],Target1[[#This Row],[Target Dates]]),COUNTIF(Benchmark2[Benchmark '#2 Dates],Target1[[#This Row],[Target Dates]]))=2,"Pass","Fail")</f>
        <v>Pass</v>
      </c>
      <c r="I1026" s="78">
        <f t="shared" ref="I1026:I1089" si="50">$E$2+E1026</f>
        <v>-6.9200000000000017</v>
      </c>
      <c r="K1026" s="72">
        <f>Target1[[#This Row],[Target Price]]/$B$2*100</f>
        <v>259.91855730075622</v>
      </c>
      <c r="R1026">
        <f>B1027/Target1[[#This Row],[Target Price]]-1</f>
        <v>-8.7287376902417391E-3</v>
      </c>
    </row>
    <row r="1027" spans="1:18">
      <c r="A1027" s="96">
        <v>44774</v>
      </c>
      <c r="B1027" s="101">
        <v>44.29</v>
      </c>
      <c r="C1027" s="4">
        <f t="shared" si="48"/>
        <v>-8.7670562658931535E-3</v>
      </c>
      <c r="D1027" s="4">
        <f>IFERROR(Target1[[#This Row],[Target Return]]+1,"-")</f>
        <v>0.99123294373410686</v>
      </c>
      <c r="E1027" s="6">
        <f>B1027-MAX($B$2:B1027)</f>
        <v>-7.3100000000000023</v>
      </c>
      <c r="F1027" s="80">
        <f t="shared" si="49"/>
        <v>500</v>
      </c>
      <c r="G1027" s="77">
        <f>Target1[[#This Row],[Target Drawdown]]/MAX($B$2:B1027)</f>
        <v>-0.14166666666666672</v>
      </c>
      <c r="H1027" s="1" t="str">
        <f>IF(SUM(COUNTIF(Benchmark1[Benchmark '#1 Dates],Target1[[#This Row],[Target Dates]]),COUNTIF(Benchmark2[Benchmark '#2 Dates],Target1[[#This Row],[Target Dates]]))=2,"Pass","Fail")</f>
        <v>Pass</v>
      </c>
      <c r="I1027" s="78">
        <f t="shared" si="50"/>
        <v>-7.3100000000000023</v>
      </c>
      <c r="K1027" s="72">
        <f>Target1[[#This Row],[Target Price]]/$B$2*100</f>
        <v>257.64979639325185</v>
      </c>
      <c r="R1027">
        <f>B1028/Target1[[#This Row],[Target Price]]-1</f>
        <v>-2.2578460149018653E-3</v>
      </c>
    </row>
    <row r="1028" spans="1:18">
      <c r="A1028" s="96">
        <v>44775</v>
      </c>
      <c r="B1028" s="101">
        <v>44.19</v>
      </c>
      <c r="C1028" s="4">
        <f t="shared" si="48"/>
        <v>-2.2603987924583145E-3</v>
      </c>
      <c r="D1028" s="4">
        <f>IFERROR(Target1[[#This Row],[Target Return]]+1,"-")</f>
        <v>0.99773960120754168</v>
      </c>
      <c r="E1028" s="6">
        <f>B1028-MAX($B$2:B1028)</f>
        <v>-7.4100000000000037</v>
      </c>
      <c r="F1028" s="80">
        <f t="shared" si="49"/>
        <v>501</v>
      </c>
      <c r="G1028" s="77">
        <f>Target1[[#This Row],[Target Drawdown]]/MAX($B$2:B1028)</f>
        <v>-0.14360465116279075</v>
      </c>
      <c r="H1028" s="1" t="str">
        <f>IF(SUM(COUNTIF(Benchmark1[Benchmark '#1 Dates],Target1[[#This Row],[Target Dates]]),COUNTIF(Benchmark2[Benchmark '#2 Dates],Target1[[#This Row],[Target Dates]]))=2,"Pass","Fail")</f>
        <v>Pass</v>
      </c>
      <c r="I1028" s="78">
        <f t="shared" si="50"/>
        <v>-7.4100000000000037</v>
      </c>
      <c r="K1028" s="72">
        <f>Target1[[#This Row],[Target Price]]/$B$2*100</f>
        <v>257.06806282722511</v>
      </c>
      <c r="R1028">
        <f>B1029/Target1[[#This Row],[Target Price]]-1</f>
        <v>-3.3944331296673624E-3</v>
      </c>
    </row>
    <row r="1029" spans="1:18">
      <c r="A1029" s="96">
        <v>44776</v>
      </c>
      <c r="B1029" s="101">
        <v>44.04</v>
      </c>
      <c r="C1029" s="4">
        <f t="shared" si="48"/>
        <v>-3.4002072881693965E-3</v>
      </c>
      <c r="D1029" s="4">
        <f>IFERROR(Target1[[#This Row],[Target Return]]+1,"-")</f>
        <v>0.99659979271183063</v>
      </c>
      <c r="E1029" s="6">
        <f>B1029-MAX($B$2:B1029)</f>
        <v>-7.5600000000000023</v>
      </c>
      <c r="F1029" s="80">
        <f t="shared" si="49"/>
        <v>502</v>
      </c>
      <c r="G1029" s="77">
        <f>Target1[[#This Row],[Target Drawdown]]/MAX($B$2:B1029)</f>
        <v>-0.14651162790697678</v>
      </c>
      <c r="H1029" s="1" t="str">
        <f>IF(SUM(COUNTIF(Benchmark1[Benchmark '#1 Dates],Target1[[#This Row],[Target Dates]]),COUNTIF(Benchmark2[Benchmark '#2 Dates],Target1[[#This Row],[Target Dates]]))=2,"Pass","Fail")</f>
        <v>Pass</v>
      </c>
      <c r="I1029" s="78">
        <f t="shared" si="50"/>
        <v>-7.5600000000000023</v>
      </c>
      <c r="K1029" s="72">
        <f>Target1[[#This Row],[Target Price]]/$B$2*100</f>
        <v>256.19546247818499</v>
      </c>
      <c r="R1029">
        <f>B1030/Target1[[#This Row],[Target Price]]-1</f>
        <v>-7.0390554041780407E-3</v>
      </c>
    </row>
    <row r="1030" spans="1:18">
      <c r="A1030" s="96">
        <v>44777</v>
      </c>
      <c r="B1030" s="101">
        <v>43.73</v>
      </c>
      <c r="C1030" s="4">
        <f t="shared" si="48"/>
        <v>-7.0639464296500063E-3</v>
      </c>
      <c r="D1030" s="4">
        <f>IFERROR(Target1[[#This Row],[Target Return]]+1,"-")</f>
        <v>0.99293605357034997</v>
      </c>
      <c r="E1030" s="6">
        <f>B1030-MAX($B$2:B1030)</f>
        <v>-7.8700000000000045</v>
      </c>
      <c r="F1030" s="80">
        <f t="shared" si="49"/>
        <v>503</v>
      </c>
      <c r="G1030" s="77">
        <f>Target1[[#This Row],[Target Drawdown]]/MAX($B$2:B1030)</f>
        <v>-0.15251937984496133</v>
      </c>
      <c r="H1030" s="1" t="str">
        <f>IF(SUM(COUNTIF(Benchmark1[Benchmark '#1 Dates],Target1[[#This Row],[Target Dates]]),COUNTIF(Benchmark2[Benchmark '#2 Dates],Target1[[#This Row],[Target Dates]]))=2,"Pass","Fail")</f>
        <v>Pass</v>
      </c>
      <c r="I1030" s="78">
        <f t="shared" si="50"/>
        <v>-7.8700000000000045</v>
      </c>
      <c r="K1030" s="72">
        <f>Target1[[#This Row],[Target Price]]/$B$2*100</f>
        <v>254.39208842350197</v>
      </c>
      <c r="R1030">
        <f>B1031/Target1[[#This Row],[Target Price]]-1</f>
        <v>-6.1742510862107247E-3</v>
      </c>
    </row>
    <row r="1031" spans="1:18">
      <c r="A1031" s="96">
        <v>44778</v>
      </c>
      <c r="B1031" s="101">
        <v>43.46</v>
      </c>
      <c r="C1031" s="4">
        <f t="shared" si="48"/>
        <v>-6.1933905965455343E-3</v>
      </c>
      <c r="D1031" s="4">
        <f>IFERROR(Target1[[#This Row],[Target Return]]+1,"-")</f>
        <v>0.99380660940345444</v>
      </c>
      <c r="E1031" s="6">
        <f>B1031-MAX($B$2:B1031)</f>
        <v>-8.14</v>
      </c>
      <c r="F1031" s="80">
        <f t="shared" si="49"/>
        <v>504</v>
      </c>
      <c r="G1031" s="77">
        <f>Target1[[#This Row],[Target Drawdown]]/MAX($B$2:B1031)</f>
        <v>-0.15775193798449613</v>
      </c>
      <c r="H1031" s="1" t="str">
        <f>IF(SUM(COUNTIF(Benchmark1[Benchmark '#1 Dates],Target1[[#This Row],[Target Dates]]),COUNTIF(Benchmark2[Benchmark '#2 Dates],Target1[[#This Row],[Target Dates]]))=2,"Pass","Fail")</f>
        <v>Pass</v>
      </c>
      <c r="I1031" s="78">
        <f t="shared" si="50"/>
        <v>-8.14</v>
      </c>
      <c r="K1031" s="72">
        <f>Target1[[#This Row],[Target Price]]/$B$2*100</f>
        <v>252.82140779522976</v>
      </c>
      <c r="R1031">
        <f>B1032/Target1[[#This Row],[Target Price]]-1</f>
        <v>-1.6106764841233412E-2</v>
      </c>
    </row>
    <row r="1032" spans="1:18">
      <c r="A1032" s="96">
        <v>44781</v>
      </c>
      <c r="B1032" s="101">
        <v>42.76</v>
      </c>
      <c r="C1032" s="4">
        <f t="shared" si="48"/>
        <v>-1.6237888671439198E-2</v>
      </c>
      <c r="D1032" s="4">
        <f>IFERROR(Target1[[#This Row],[Target Return]]+1,"-")</f>
        <v>0.98376211132856084</v>
      </c>
      <c r="E1032" s="6">
        <f>B1032-MAX($B$2:B1032)</f>
        <v>-8.8400000000000034</v>
      </c>
      <c r="F1032" s="80">
        <f t="shared" si="49"/>
        <v>505</v>
      </c>
      <c r="G1032" s="77">
        <f>Target1[[#This Row],[Target Drawdown]]/MAX($B$2:B1032)</f>
        <v>-0.1713178294573644</v>
      </c>
      <c r="H1032" s="1" t="str">
        <f>IF(SUM(COUNTIF(Benchmark1[Benchmark '#1 Dates],Target1[[#This Row],[Target Dates]]),COUNTIF(Benchmark2[Benchmark '#2 Dates],Target1[[#This Row],[Target Dates]]))=2,"Pass","Fail")</f>
        <v>Pass</v>
      </c>
      <c r="I1032" s="78">
        <f t="shared" si="50"/>
        <v>-8.8400000000000034</v>
      </c>
      <c r="K1032" s="72">
        <f>Target1[[#This Row],[Target Price]]/$B$2*100</f>
        <v>248.74927283304245</v>
      </c>
      <c r="R1032">
        <f>B1033/Target1[[#This Row],[Target Price]]-1</f>
        <v>-1.8709073900841089E-3</v>
      </c>
    </row>
    <row r="1033" spans="1:18">
      <c r="A1033" s="96">
        <v>44782</v>
      </c>
      <c r="B1033" s="101">
        <v>42.68</v>
      </c>
      <c r="C1033" s="4">
        <f t="shared" si="48"/>
        <v>-1.8726597232917772E-3</v>
      </c>
      <c r="D1033" s="4">
        <f>IFERROR(Target1[[#This Row],[Target Return]]+1,"-")</f>
        <v>0.99812734027670824</v>
      </c>
      <c r="E1033" s="6">
        <f>B1033-MAX($B$2:B1033)</f>
        <v>-8.9200000000000017</v>
      </c>
      <c r="F1033" s="80">
        <f t="shared" si="49"/>
        <v>506</v>
      </c>
      <c r="G1033" s="77">
        <f>Target1[[#This Row],[Target Drawdown]]/MAX($B$2:B1033)</f>
        <v>-0.17286821705426358</v>
      </c>
      <c r="H1033" s="1" t="str">
        <f>IF(SUM(COUNTIF(Benchmark1[Benchmark '#1 Dates],Target1[[#This Row],[Target Dates]]),COUNTIF(Benchmark2[Benchmark '#2 Dates],Target1[[#This Row],[Target Dates]]))=2,"Pass","Fail")</f>
        <v>Pass</v>
      </c>
      <c r="I1033" s="78">
        <f t="shared" si="50"/>
        <v>-8.9200000000000017</v>
      </c>
      <c r="K1033" s="72">
        <f>Target1[[#This Row],[Target Price]]/$B$2*100</f>
        <v>248.28388598022104</v>
      </c>
      <c r="R1033">
        <f>B1034/Target1[[#This Row],[Target Price]]-1</f>
        <v>-0.12558575445173381</v>
      </c>
    </row>
    <row r="1034" spans="1:18">
      <c r="A1034" s="96">
        <v>44783</v>
      </c>
      <c r="B1034" s="101">
        <v>37.32</v>
      </c>
      <c r="C1034" s="4">
        <f t="shared" si="48"/>
        <v>-0.13420105045440953</v>
      </c>
      <c r="D1034" s="4">
        <f>IFERROR(Target1[[#This Row],[Target Return]]+1,"-")</f>
        <v>0.86579894954559045</v>
      </c>
      <c r="E1034" s="6">
        <f>B1034-MAX($B$2:B1034)</f>
        <v>-14.280000000000001</v>
      </c>
      <c r="F1034" s="80">
        <f t="shared" si="49"/>
        <v>507</v>
      </c>
      <c r="G1034" s="77">
        <f>Target1[[#This Row],[Target Drawdown]]/MAX($B$2:B1034)</f>
        <v>-0.27674418604651163</v>
      </c>
      <c r="H1034" s="1" t="str">
        <f>IF(SUM(COUNTIF(Benchmark1[Benchmark '#1 Dates],Target1[[#This Row],[Target Dates]]),COUNTIF(Benchmark2[Benchmark '#2 Dates],Target1[[#This Row],[Target Dates]]))=2,"Pass","Fail")</f>
        <v>Pass</v>
      </c>
      <c r="I1034" s="78">
        <f t="shared" si="50"/>
        <v>-14.280000000000001</v>
      </c>
      <c r="K1034" s="72">
        <f>Target1[[#This Row],[Target Price]]/$B$2*100</f>
        <v>217.10296684118671</v>
      </c>
      <c r="R1034">
        <f>B1035/Target1[[#This Row],[Target Price]]-1</f>
        <v>-2.6795284030010746E-2</v>
      </c>
    </row>
    <row r="1035" spans="1:18">
      <c r="A1035" s="96">
        <v>44784</v>
      </c>
      <c r="B1035" s="101">
        <v>36.32</v>
      </c>
      <c r="C1035" s="4">
        <f t="shared" si="48"/>
        <v>-2.716082224605056E-2</v>
      </c>
      <c r="D1035" s="4">
        <f>IFERROR(Target1[[#This Row],[Target Return]]+1,"-")</f>
        <v>0.97283917775394946</v>
      </c>
      <c r="E1035" s="6">
        <f>B1035-MAX($B$2:B1035)</f>
        <v>-15.280000000000001</v>
      </c>
      <c r="F1035" s="80">
        <f t="shared" si="49"/>
        <v>508</v>
      </c>
      <c r="G1035" s="77">
        <f>Target1[[#This Row],[Target Drawdown]]/MAX($B$2:B1035)</f>
        <v>-0.29612403100775198</v>
      </c>
      <c r="H1035" s="1" t="str">
        <f>IF(SUM(COUNTIF(Benchmark1[Benchmark '#1 Dates],Target1[[#This Row],[Target Dates]]),COUNTIF(Benchmark2[Benchmark '#2 Dates],Target1[[#This Row],[Target Dates]]))=2,"Pass","Fail")</f>
        <v>Pass</v>
      </c>
      <c r="I1035" s="78">
        <f t="shared" si="50"/>
        <v>-15.280000000000001</v>
      </c>
      <c r="K1035" s="72">
        <f>Target1[[#This Row],[Target Price]]/$B$2*100</f>
        <v>211.28563118091913</v>
      </c>
      <c r="R1035">
        <f>B1036/Target1[[#This Row],[Target Price]]-1</f>
        <v>-9.9118942731277748E-3</v>
      </c>
    </row>
    <row r="1036" spans="1:18">
      <c r="A1036" s="96">
        <v>44785</v>
      </c>
      <c r="B1036" s="101">
        <v>35.96</v>
      </c>
      <c r="C1036" s="4">
        <f t="shared" si="48"/>
        <v>-9.9613441296730419E-3</v>
      </c>
      <c r="D1036" s="4">
        <f>IFERROR(Target1[[#This Row],[Target Return]]+1,"-")</f>
        <v>0.99003865587032691</v>
      </c>
      <c r="E1036" s="6">
        <f>B1036-MAX($B$2:B1036)</f>
        <v>-15.64</v>
      </c>
      <c r="F1036" s="80">
        <f t="shared" si="49"/>
        <v>509</v>
      </c>
      <c r="G1036" s="77">
        <f>Target1[[#This Row],[Target Drawdown]]/MAX($B$2:B1036)</f>
        <v>-0.30310077519379847</v>
      </c>
      <c r="H1036" s="1" t="str">
        <f>IF(SUM(COUNTIF(Benchmark1[Benchmark '#1 Dates],Target1[[#This Row],[Target Dates]]),COUNTIF(Benchmark2[Benchmark '#2 Dates],Target1[[#This Row],[Target Dates]]))=2,"Pass","Fail")</f>
        <v>Pass</v>
      </c>
      <c r="I1036" s="78">
        <f t="shared" si="50"/>
        <v>-15.64</v>
      </c>
      <c r="K1036" s="72">
        <f>Target1[[#This Row],[Target Price]]/$B$2*100</f>
        <v>209.19139034322279</v>
      </c>
      <c r="R1036">
        <f>B1037/Target1[[#This Row],[Target Price]]-1</f>
        <v>-8.3426028921029793E-4</v>
      </c>
    </row>
    <row r="1037" spans="1:18">
      <c r="A1037" s="96">
        <v>44788</v>
      </c>
      <c r="B1037" s="101">
        <v>35.93</v>
      </c>
      <c r="C1037" s="4">
        <f t="shared" si="48"/>
        <v>-8.3460847799222623E-4</v>
      </c>
      <c r="D1037" s="4">
        <f>IFERROR(Target1[[#This Row],[Target Return]]+1,"-")</f>
        <v>0.99916539152200778</v>
      </c>
      <c r="E1037" s="6">
        <f>B1037-MAX($B$2:B1037)</f>
        <v>-15.670000000000002</v>
      </c>
      <c r="F1037" s="80">
        <f t="shared" si="49"/>
        <v>510</v>
      </c>
      <c r="G1037" s="77">
        <f>Target1[[#This Row],[Target Drawdown]]/MAX($B$2:B1037)</f>
        <v>-0.30368217054263569</v>
      </c>
      <c r="H1037" s="1" t="str">
        <f>IF(SUM(COUNTIF(Benchmark1[Benchmark '#1 Dates],Target1[[#This Row],[Target Dates]]),COUNTIF(Benchmark2[Benchmark '#2 Dates],Target1[[#This Row],[Target Dates]]))=2,"Pass","Fail")</f>
        <v>Pass</v>
      </c>
      <c r="I1037" s="78">
        <f t="shared" si="50"/>
        <v>-15.670000000000002</v>
      </c>
      <c r="K1037" s="72">
        <f>Target1[[#This Row],[Target Price]]/$B$2*100</f>
        <v>209.01687027341475</v>
      </c>
      <c r="R1037">
        <f>B1038/Target1[[#This Row],[Target Price]]-1</f>
        <v>-4.7314222098525649E-3</v>
      </c>
    </row>
    <row r="1038" spans="1:18">
      <c r="A1038" s="96">
        <v>44789</v>
      </c>
      <c r="B1038" s="101">
        <v>35.76</v>
      </c>
      <c r="C1038" s="4">
        <f t="shared" si="48"/>
        <v>-4.7426508201140437E-3</v>
      </c>
      <c r="D1038" s="4">
        <f>IFERROR(Target1[[#This Row],[Target Return]]+1,"-")</f>
        <v>0.99525734917988595</v>
      </c>
      <c r="E1038" s="6">
        <f>B1038-MAX($B$2:B1038)</f>
        <v>-15.840000000000003</v>
      </c>
      <c r="F1038" s="80">
        <f t="shared" si="49"/>
        <v>511</v>
      </c>
      <c r="G1038" s="77">
        <f>Target1[[#This Row],[Target Drawdown]]/MAX($B$2:B1038)</f>
        <v>-0.30697674418604659</v>
      </c>
      <c r="H1038" s="1" t="str">
        <f>IF(SUM(COUNTIF(Benchmark1[Benchmark '#1 Dates],Target1[[#This Row],[Target Dates]]),COUNTIF(Benchmark2[Benchmark '#2 Dates],Target1[[#This Row],[Target Dates]]))=2,"Pass","Fail")</f>
        <v>Pass</v>
      </c>
      <c r="I1038" s="78">
        <f t="shared" si="50"/>
        <v>-15.840000000000003</v>
      </c>
      <c r="K1038" s="72">
        <f>Target1[[#This Row],[Target Price]]/$B$2*100</f>
        <v>208.02792321116925</v>
      </c>
      <c r="R1038">
        <f>B1039/Target1[[#This Row],[Target Price]]-1</f>
        <v>-1.705816554809847E-2</v>
      </c>
    </row>
    <row r="1039" spans="1:18">
      <c r="A1039" s="96">
        <v>44790</v>
      </c>
      <c r="B1039" s="101">
        <v>35.15</v>
      </c>
      <c r="C1039" s="4">
        <f t="shared" si="48"/>
        <v>-1.7205332048639516E-2</v>
      </c>
      <c r="D1039" s="4">
        <f>IFERROR(Target1[[#This Row],[Target Return]]+1,"-")</f>
        <v>0.9827946679513605</v>
      </c>
      <c r="E1039" s="6">
        <f>B1039-MAX($B$2:B1039)</f>
        <v>-16.450000000000003</v>
      </c>
      <c r="F1039" s="80">
        <f t="shared" si="49"/>
        <v>512</v>
      </c>
      <c r="G1039" s="77">
        <f>Target1[[#This Row],[Target Drawdown]]/MAX($B$2:B1039)</f>
        <v>-0.31879844961240317</v>
      </c>
      <c r="H1039" s="1" t="str">
        <f>IF(SUM(COUNTIF(Benchmark1[Benchmark '#1 Dates],Target1[[#This Row],[Target Dates]]),COUNTIF(Benchmark2[Benchmark '#2 Dates],Target1[[#This Row],[Target Dates]]))=2,"Pass","Fail")</f>
        <v>Pass</v>
      </c>
      <c r="I1039" s="78">
        <f t="shared" si="50"/>
        <v>-16.450000000000003</v>
      </c>
      <c r="K1039" s="72">
        <f>Target1[[#This Row],[Target Price]]/$B$2*100</f>
        <v>204.47934845840604</v>
      </c>
      <c r="R1039">
        <f>B1040/Target1[[#This Row],[Target Price]]-1</f>
        <v>1.7354196301564651E-2</v>
      </c>
    </row>
    <row r="1040" spans="1:18">
      <c r="A1040" s="96">
        <v>44791</v>
      </c>
      <c r="B1040" s="101">
        <v>35.76</v>
      </c>
      <c r="C1040" s="4">
        <f t="shared" si="48"/>
        <v>1.7205332048639412E-2</v>
      </c>
      <c r="D1040" s="4">
        <f>IFERROR(Target1[[#This Row],[Target Return]]+1,"-")</f>
        <v>1.0172053320486394</v>
      </c>
      <c r="E1040" s="6">
        <f>B1040-MAX($B$2:B1040)</f>
        <v>-15.840000000000003</v>
      </c>
      <c r="F1040" s="80">
        <f t="shared" si="49"/>
        <v>513</v>
      </c>
      <c r="G1040" s="77">
        <f>Target1[[#This Row],[Target Drawdown]]/MAX($B$2:B1040)</f>
        <v>-0.30697674418604659</v>
      </c>
      <c r="H1040" s="1" t="str">
        <f>IF(SUM(COUNTIF(Benchmark1[Benchmark '#1 Dates],Target1[[#This Row],[Target Dates]]),COUNTIF(Benchmark2[Benchmark '#2 Dates],Target1[[#This Row],[Target Dates]]))=2,"Pass","Fail")</f>
        <v>Pass</v>
      </c>
      <c r="I1040" s="78">
        <f t="shared" si="50"/>
        <v>-15.840000000000003</v>
      </c>
      <c r="K1040" s="72">
        <f>Target1[[#This Row],[Target Price]]/$B$2*100</f>
        <v>208.02792321116925</v>
      </c>
      <c r="R1040">
        <f>B1041/Target1[[#This Row],[Target Price]]-1</f>
        <v>1.7617449664429685E-2</v>
      </c>
    </row>
    <row r="1041" spans="1:18">
      <c r="A1041" s="96">
        <v>44792</v>
      </c>
      <c r="B1041" s="101">
        <v>36.39</v>
      </c>
      <c r="C1041" s="4">
        <f t="shared" si="48"/>
        <v>1.7464061318755213E-2</v>
      </c>
      <c r="D1041" s="4">
        <f>IFERROR(Target1[[#This Row],[Target Return]]+1,"-")</f>
        <v>1.0174640613187551</v>
      </c>
      <c r="E1041" s="6">
        <f>B1041-MAX($B$2:B1041)</f>
        <v>-15.21</v>
      </c>
      <c r="F1041" s="80">
        <f t="shared" si="49"/>
        <v>514</v>
      </c>
      <c r="G1041" s="77">
        <f>Target1[[#This Row],[Target Drawdown]]/MAX($B$2:B1041)</f>
        <v>-0.29476744186046511</v>
      </c>
      <c r="H1041" s="1" t="str">
        <f>IF(SUM(COUNTIF(Benchmark1[Benchmark '#1 Dates],Target1[[#This Row],[Target Dates]]),COUNTIF(Benchmark2[Benchmark '#2 Dates],Target1[[#This Row],[Target Dates]]))=2,"Pass","Fail")</f>
        <v>Pass</v>
      </c>
      <c r="I1041" s="78">
        <f t="shared" si="50"/>
        <v>-15.21</v>
      </c>
      <c r="K1041" s="72">
        <f>Target1[[#This Row],[Target Price]]/$B$2*100</f>
        <v>211.69284467713788</v>
      </c>
      <c r="R1041">
        <f>B1042/Target1[[#This Row],[Target Price]]-1</f>
        <v>-7.694421544380381E-3</v>
      </c>
    </row>
    <row r="1042" spans="1:18">
      <c r="A1042" s="96">
        <v>44795</v>
      </c>
      <c r="B1042" s="101">
        <v>36.11</v>
      </c>
      <c r="C1042" s="4">
        <f t="shared" si="48"/>
        <v>-7.7241763347021307E-3</v>
      </c>
      <c r="D1042" s="4">
        <f>IFERROR(Target1[[#This Row],[Target Return]]+1,"-")</f>
        <v>0.99227582366529787</v>
      </c>
      <c r="E1042" s="6">
        <f>B1042-MAX($B$2:B1042)</f>
        <v>-15.490000000000002</v>
      </c>
      <c r="F1042" s="80">
        <f t="shared" si="49"/>
        <v>515</v>
      </c>
      <c r="G1042" s="77">
        <f>Target1[[#This Row],[Target Drawdown]]/MAX($B$2:B1042)</f>
        <v>-0.30019379844961241</v>
      </c>
      <c r="H1042" s="1" t="str">
        <f>IF(SUM(COUNTIF(Benchmark1[Benchmark '#1 Dates],Target1[[#This Row],[Target Dates]]),COUNTIF(Benchmark2[Benchmark '#2 Dates],Target1[[#This Row],[Target Dates]]))=2,"Pass","Fail")</f>
        <v>Pass</v>
      </c>
      <c r="I1042" s="78">
        <f t="shared" si="50"/>
        <v>-15.490000000000002</v>
      </c>
      <c r="K1042" s="72">
        <f>Target1[[#This Row],[Target Price]]/$B$2*100</f>
        <v>210.06399069226291</v>
      </c>
      <c r="R1042">
        <f>B1043/Target1[[#This Row],[Target Price]]-1</f>
        <v>-6.9232899473830045E-3</v>
      </c>
    </row>
    <row r="1043" spans="1:18">
      <c r="A1043" s="96">
        <v>44796</v>
      </c>
      <c r="B1043" s="101">
        <v>35.86</v>
      </c>
      <c r="C1043" s="4">
        <f t="shared" si="48"/>
        <v>-6.9473671123795686E-3</v>
      </c>
      <c r="D1043" s="4">
        <f>IFERROR(Target1[[#This Row],[Target Return]]+1,"-")</f>
        <v>0.99305263288762047</v>
      </c>
      <c r="E1043" s="6">
        <f>B1043-MAX($B$2:B1043)</f>
        <v>-15.740000000000002</v>
      </c>
      <c r="F1043" s="80">
        <f t="shared" si="49"/>
        <v>516</v>
      </c>
      <c r="G1043" s="77">
        <f>Target1[[#This Row],[Target Drawdown]]/MAX($B$2:B1043)</f>
        <v>-0.3050387596899225</v>
      </c>
      <c r="H1043" s="1" t="str">
        <f>IF(SUM(COUNTIF(Benchmark1[Benchmark '#1 Dates],Target1[[#This Row],[Target Dates]]),COUNTIF(Benchmark2[Benchmark '#2 Dates],Target1[[#This Row],[Target Dates]]))=2,"Pass","Fail")</f>
        <v>Pass</v>
      </c>
      <c r="I1043" s="78">
        <f t="shared" si="50"/>
        <v>-15.740000000000002</v>
      </c>
      <c r="K1043" s="72">
        <f>Target1[[#This Row],[Target Price]]/$B$2*100</f>
        <v>208.60965677719599</v>
      </c>
      <c r="R1043">
        <f>B1044/Target1[[#This Row],[Target Price]]-1</f>
        <v>-9.4813162297824327E-3</v>
      </c>
    </row>
    <row r="1044" spans="1:18">
      <c r="A1044" s="96">
        <v>44797</v>
      </c>
      <c r="B1044" s="101">
        <v>35.520000000000003</v>
      </c>
      <c r="C1044" s="4">
        <f t="shared" si="48"/>
        <v>-9.5265500530174498E-3</v>
      </c>
      <c r="D1044" s="4">
        <f>IFERROR(Target1[[#This Row],[Target Return]]+1,"-")</f>
        <v>0.9904734499469825</v>
      </c>
      <c r="E1044" s="6">
        <f>B1044-MAX($B$2:B1044)</f>
        <v>-16.079999999999998</v>
      </c>
      <c r="F1044" s="80">
        <f t="shared" si="49"/>
        <v>517</v>
      </c>
      <c r="G1044" s="77">
        <f>Target1[[#This Row],[Target Drawdown]]/MAX($B$2:B1044)</f>
        <v>-0.31162790697674414</v>
      </c>
      <c r="H1044" s="1" t="str">
        <f>IF(SUM(COUNTIF(Benchmark1[Benchmark '#1 Dates],Target1[[#This Row],[Target Dates]]),COUNTIF(Benchmark2[Benchmark '#2 Dates],Target1[[#This Row],[Target Dates]]))=2,"Pass","Fail")</f>
        <v>Pass</v>
      </c>
      <c r="I1044" s="78">
        <f t="shared" si="50"/>
        <v>-16.079999999999998</v>
      </c>
      <c r="K1044" s="72">
        <f>Target1[[#This Row],[Target Price]]/$B$2*100</f>
        <v>206.63176265270505</v>
      </c>
      <c r="R1044">
        <f>B1045/Target1[[#This Row],[Target Price]]-1</f>
        <v>6.4752252252252118E-2</v>
      </c>
    </row>
    <row r="1045" spans="1:18">
      <c r="A1045" s="96">
        <v>44798</v>
      </c>
      <c r="B1045" s="101">
        <v>37.82</v>
      </c>
      <c r="C1045" s="4">
        <f t="shared" si="48"/>
        <v>6.274214510634199E-2</v>
      </c>
      <c r="D1045" s="4">
        <f>IFERROR(Target1[[#This Row],[Target Return]]+1,"-")</f>
        <v>1.0627421451063419</v>
      </c>
      <c r="E1045" s="6">
        <f>B1045-MAX($B$2:B1045)</f>
        <v>-13.780000000000001</v>
      </c>
      <c r="F1045" s="80">
        <f t="shared" si="49"/>
        <v>518</v>
      </c>
      <c r="G1045" s="77">
        <f>Target1[[#This Row],[Target Drawdown]]/MAX($B$2:B1045)</f>
        <v>-0.26705426356589151</v>
      </c>
      <c r="H1045" s="1" t="str">
        <f>IF(SUM(COUNTIF(Benchmark1[Benchmark '#1 Dates],Target1[[#This Row],[Target Dates]]),COUNTIF(Benchmark2[Benchmark '#2 Dates],Target1[[#This Row],[Target Dates]]))=2,"Pass","Fail")</f>
        <v>Pass</v>
      </c>
      <c r="I1045" s="78">
        <f t="shared" si="50"/>
        <v>-13.780000000000001</v>
      </c>
      <c r="K1045" s="72">
        <f>Target1[[#This Row],[Target Price]]/$B$2*100</f>
        <v>220.01163467132051</v>
      </c>
      <c r="R1045">
        <f>B1046/Target1[[#This Row],[Target Price]]-1</f>
        <v>2.6441036488633607E-4</v>
      </c>
    </row>
    <row r="1046" spans="1:18">
      <c r="A1046" s="96">
        <v>44799</v>
      </c>
      <c r="B1046" s="101">
        <v>37.83</v>
      </c>
      <c r="C1046" s="4">
        <f t="shared" si="48"/>
        <v>2.6437541462647797E-4</v>
      </c>
      <c r="D1046" s="4">
        <f>IFERROR(Target1[[#This Row],[Target Return]]+1,"-")</f>
        <v>1.0002643754146265</v>
      </c>
      <c r="E1046" s="6">
        <f>B1046-MAX($B$2:B1046)</f>
        <v>-13.770000000000003</v>
      </c>
      <c r="F1046" s="80">
        <f t="shared" si="49"/>
        <v>519</v>
      </c>
      <c r="G1046" s="77">
        <f>Target1[[#This Row],[Target Drawdown]]/MAX($B$2:B1046)</f>
        <v>-0.26686046511627914</v>
      </c>
      <c r="H1046" s="1" t="str">
        <f>IF(SUM(COUNTIF(Benchmark1[Benchmark '#1 Dates],Target1[[#This Row],[Target Dates]]),COUNTIF(Benchmark2[Benchmark '#2 Dates],Target1[[#This Row],[Target Dates]]))=2,"Pass","Fail")</f>
        <v>Pass</v>
      </c>
      <c r="I1046" s="78">
        <f t="shared" si="50"/>
        <v>-13.770000000000003</v>
      </c>
      <c r="K1046" s="72">
        <f>Target1[[#This Row],[Target Price]]/$B$2*100</f>
        <v>220.06980802792319</v>
      </c>
      <c r="R1046">
        <f>B1047/Target1[[#This Row],[Target Price]]-1</f>
        <v>7.93021411578132E-3</v>
      </c>
    </row>
    <row r="1047" spans="1:18">
      <c r="A1047" s="96">
        <v>44802</v>
      </c>
      <c r="B1047" s="101">
        <v>38.130000000000003</v>
      </c>
      <c r="C1047" s="4">
        <f t="shared" si="48"/>
        <v>7.8989352245346835E-3</v>
      </c>
      <c r="D1047" s="4">
        <f>IFERROR(Target1[[#This Row],[Target Return]]+1,"-")</f>
        <v>1.0078989352245347</v>
      </c>
      <c r="E1047" s="6">
        <f>B1047-MAX($B$2:B1047)</f>
        <v>-13.469999999999999</v>
      </c>
      <c r="F1047" s="80">
        <f t="shared" si="49"/>
        <v>520</v>
      </c>
      <c r="G1047" s="77">
        <f>Target1[[#This Row],[Target Drawdown]]/MAX($B$2:B1047)</f>
        <v>-0.26104651162790693</v>
      </c>
      <c r="H1047" s="1" t="str">
        <f>IF(SUM(COUNTIF(Benchmark1[Benchmark '#1 Dates],Target1[[#This Row],[Target Dates]]),COUNTIF(Benchmark2[Benchmark '#2 Dates],Target1[[#This Row],[Target Dates]]))=2,"Pass","Fail")</f>
        <v>Pass</v>
      </c>
      <c r="I1047" s="78">
        <f t="shared" si="50"/>
        <v>-13.469999999999999</v>
      </c>
      <c r="K1047" s="72">
        <f>Target1[[#This Row],[Target Price]]/$B$2*100</f>
        <v>221.81500872600347</v>
      </c>
      <c r="R1047">
        <f>B1048/Target1[[#This Row],[Target Price]]-1</f>
        <v>-1.8358248098609975E-3</v>
      </c>
    </row>
    <row r="1048" spans="1:18">
      <c r="A1048" s="96">
        <v>44803</v>
      </c>
      <c r="B1048" s="101">
        <v>38.06</v>
      </c>
      <c r="C1048" s="4">
        <f t="shared" si="48"/>
        <v>-1.8375120014689364E-3</v>
      </c>
      <c r="D1048" s="4">
        <f>IFERROR(Target1[[#This Row],[Target Return]]+1,"-")</f>
        <v>0.99816248799853102</v>
      </c>
      <c r="E1048" s="6">
        <f>B1048-MAX($B$2:B1048)</f>
        <v>-13.54</v>
      </c>
      <c r="F1048" s="80">
        <f t="shared" si="49"/>
        <v>521</v>
      </c>
      <c r="G1048" s="77">
        <f>Target1[[#This Row],[Target Drawdown]]/MAX($B$2:B1048)</f>
        <v>-0.2624031007751938</v>
      </c>
      <c r="H1048" s="1" t="str">
        <f>IF(SUM(COUNTIF(Benchmark1[Benchmark '#1 Dates],Target1[[#This Row],[Target Dates]]),COUNTIF(Benchmark2[Benchmark '#2 Dates],Target1[[#This Row],[Target Dates]]))=2,"Pass","Fail")</f>
        <v>Pass</v>
      </c>
      <c r="I1048" s="78">
        <f t="shared" si="50"/>
        <v>-13.54</v>
      </c>
      <c r="K1048" s="72">
        <f>Target1[[#This Row],[Target Price]]/$B$2*100</f>
        <v>221.40779522978477</v>
      </c>
      <c r="R1048">
        <f>B1049/Target1[[#This Row],[Target Price]]-1</f>
        <v>2.1019442984759884E-3</v>
      </c>
    </row>
    <row r="1049" spans="1:18">
      <c r="A1049" s="96">
        <v>44804</v>
      </c>
      <c r="B1049" s="101">
        <v>38.14</v>
      </c>
      <c r="C1049" s="4">
        <f t="shared" si="48"/>
        <v>2.0997383042694736E-3</v>
      </c>
      <c r="D1049" s="4">
        <f>IFERROR(Target1[[#This Row],[Target Return]]+1,"-")</f>
        <v>1.0020997383042696</v>
      </c>
      <c r="E1049" s="6">
        <f>B1049-MAX($B$2:B1049)</f>
        <v>-13.46</v>
      </c>
      <c r="F1049" s="80">
        <f t="shared" si="49"/>
        <v>522</v>
      </c>
      <c r="G1049" s="77">
        <f>Target1[[#This Row],[Target Drawdown]]/MAX($B$2:B1049)</f>
        <v>-0.26085271317829456</v>
      </c>
      <c r="H1049" s="1" t="str">
        <f>IF(SUM(COUNTIF(Benchmark1[Benchmark '#1 Dates],Target1[[#This Row],[Target Dates]]),COUNTIF(Benchmark2[Benchmark '#2 Dates],Target1[[#This Row],[Target Dates]]))=2,"Pass","Fail")</f>
        <v>Pass</v>
      </c>
      <c r="I1049" s="78">
        <f t="shared" si="50"/>
        <v>-13.46</v>
      </c>
      <c r="K1049" s="72">
        <f>Target1[[#This Row],[Target Price]]/$B$2*100</f>
        <v>221.87318208260615</v>
      </c>
      <c r="R1049">
        <f>B1050/Target1[[#This Row],[Target Price]]-1</f>
        <v>-2.6219192448873052E-3</v>
      </c>
    </row>
    <row r="1050" spans="1:18">
      <c r="A1050" s="96">
        <v>44805</v>
      </c>
      <c r="B1050" s="101">
        <v>38.04</v>
      </c>
      <c r="C1050" s="4">
        <f t="shared" si="48"/>
        <v>-2.6253624950834989E-3</v>
      </c>
      <c r="D1050" s="4">
        <f>IFERROR(Target1[[#This Row],[Target Return]]+1,"-")</f>
        <v>0.99737463750491651</v>
      </c>
      <c r="E1050" s="6">
        <f>B1050-MAX($B$2:B1050)</f>
        <v>-13.560000000000002</v>
      </c>
      <c r="F1050" s="80">
        <f t="shared" si="49"/>
        <v>523</v>
      </c>
      <c r="G1050" s="77">
        <f>Target1[[#This Row],[Target Drawdown]]/MAX($B$2:B1050)</f>
        <v>-0.26279069767441865</v>
      </c>
      <c r="H1050" s="1" t="str">
        <f>IF(SUM(COUNTIF(Benchmark1[Benchmark '#1 Dates],Target1[[#This Row],[Target Dates]]),COUNTIF(Benchmark2[Benchmark '#2 Dates],Target1[[#This Row],[Target Dates]]))=2,"Pass","Fail")</f>
        <v>Pass</v>
      </c>
      <c r="I1050" s="78">
        <f t="shared" si="50"/>
        <v>-13.560000000000002</v>
      </c>
      <c r="K1050" s="72">
        <f>Target1[[#This Row],[Target Price]]/$B$2*100</f>
        <v>221.29144851657938</v>
      </c>
      <c r="R1050">
        <f>B1051/Target1[[#This Row],[Target Price]]-1</f>
        <v>5.2576235541534899E-4</v>
      </c>
    </row>
    <row r="1051" spans="1:18">
      <c r="A1051" s="96">
        <v>44806</v>
      </c>
      <c r="B1051" s="101">
        <v>38.06</v>
      </c>
      <c r="C1051" s="4">
        <f t="shared" si="48"/>
        <v>5.2562419081387277E-4</v>
      </c>
      <c r="D1051" s="4">
        <f>IFERROR(Target1[[#This Row],[Target Return]]+1,"-")</f>
        <v>1.0005256241908138</v>
      </c>
      <c r="E1051" s="6">
        <f>B1051-MAX($B$2:B1051)</f>
        <v>-13.54</v>
      </c>
      <c r="F1051" s="80">
        <f t="shared" si="49"/>
        <v>524</v>
      </c>
      <c r="G1051" s="77">
        <f>Target1[[#This Row],[Target Drawdown]]/MAX($B$2:B1051)</f>
        <v>-0.2624031007751938</v>
      </c>
      <c r="H1051" s="1" t="str">
        <f>IF(SUM(COUNTIF(Benchmark1[Benchmark '#1 Dates],Target1[[#This Row],[Target Dates]]),COUNTIF(Benchmark2[Benchmark '#2 Dates],Target1[[#This Row],[Target Dates]]))=2,"Pass","Fail")</f>
        <v>Pass</v>
      </c>
      <c r="I1051" s="78">
        <f t="shared" si="50"/>
        <v>-13.54</v>
      </c>
      <c r="K1051" s="72">
        <f>Target1[[#This Row],[Target Price]]/$B$2*100</f>
        <v>221.40779522978477</v>
      </c>
      <c r="R1051">
        <f>B1052/Target1[[#This Row],[Target Price]]-1</f>
        <v>1.8654755648975341E-2</v>
      </c>
    </row>
    <row r="1052" spans="1:18">
      <c r="A1052" s="96">
        <v>44810</v>
      </c>
      <c r="B1052" s="101">
        <v>38.770000000000003</v>
      </c>
      <c r="C1052" s="4">
        <f t="shared" si="48"/>
        <v>1.8482889814834366E-2</v>
      </c>
      <c r="D1052" s="4">
        <f>IFERROR(Target1[[#This Row],[Target Return]]+1,"-")</f>
        <v>1.0184828898148344</v>
      </c>
      <c r="E1052" s="6">
        <f>B1052-MAX($B$2:B1052)</f>
        <v>-12.829999999999998</v>
      </c>
      <c r="F1052" s="80">
        <f t="shared" si="49"/>
        <v>525</v>
      </c>
      <c r="G1052" s="77">
        <f>Target1[[#This Row],[Target Drawdown]]/MAX($B$2:B1052)</f>
        <v>-0.24864341085271313</v>
      </c>
      <c r="H1052" s="1" t="str">
        <f>IF(SUM(COUNTIF(Benchmark1[Benchmark '#1 Dates],Target1[[#This Row],[Target Dates]]),COUNTIF(Benchmark2[Benchmark '#2 Dates],Target1[[#This Row],[Target Dates]]))=2,"Pass","Fail")</f>
        <v>Pass</v>
      </c>
      <c r="I1052" s="78">
        <f t="shared" si="50"/>
        <v>-12.829999999999998</v>
      </c>
      <c r="K1052" s="72">
        <f>Target1[[#This Row],[Target Price]]/$B$2*100</f>
        <v>225.53810354857475</v>
      </c>
      <c r="R1052">
        <f>B1053/Target1[[#This Row],[Target Price]]-1</f>
        <v>-9.0275986587567969E-3</v>
      </c>
    </row>
    <row r="1053" spans="1:18">
      <c r="A1053" s="96">
        <v>44811</v>
      </c>
      <c r="B1053" s="101">
        <v>38.42</v>
      </c>
      <c r="C1053" s="4">
        <f t="shared" si="48"/>
        <v>-9.0685943424271952E-3</v>
      </c>
      <c r="D1053" s="4">
        <f>IFERROR(Target1[[#This Row],[Target Return]]+1,"-")</f>
        <v>0.99093140565757276</v>
      </c>
      <c r="E1053" s="6">
        <f>B1053-MAX($B$2:B1053)</f>
        <v>-13.18</v>
      </c>
      <c r="F1053" s="80">
        <f t="shared" si="49"/>
        <v>526</v>
      </c>
      <c r="G1053" s="77">
        <f>Target1[[#This Row],[Target Drawdown]]/MAX($B$2:B1053)</f>
        <v>-0.25542635658914725</v>
      </c>
      <c r="H1053" s="1" t="str">
        <f>IF(SUM(COUNTIF(Benchmark1[Benchmark '#1 Dates],Target1[[#This Row],[Target Dates]]),COUNTIF(Benchmark2[Benchmark '#2 Dates],Target1[[#This Row],[Target Dates]]))=2,"Pass","Fail")</f>
        <v>Pass</v>
      </c>
      <c r="I1053" s="78">
        <f t="shared" si="50"/>
        <v>-13.18</v>
      </c>
      <c r="K1053" s="72">
        <f>Target1[[#This Row],[Target Price]]/$B$2*100</f>
        <v>223.5020360674811</v>
      </c>
      <c r="R1053">
        <f>B1054/Target1[[#This Row],[Target Price]]-1</f>
        <v>1.9000520562207024E-2</v>
      </c>
    </row>
    <row r="1054" spans="1:18">
      <c r="A1054" s="96">
        <v>44812</v>
      </c>
      <c r="B1054" s="101">
        <v>39.15</v>
      </c>
      <c r="C1054" s="4">
        <f t="shared" si="48"/>
        <v>1.882226509640136E-2</v>
      </c>
      <c r="D1054" s="4">
        <f>IFERROR(Target1[[#This Row],[Target Return]]+1,"-")</f>
        <v>1.0188222650964014</v>
      </c>
      <c r="E1054" s="6">
        <f>B1054-MAX($B$2:B1054)</f>
        <v>-12.450000000000003</v>
      </c>
      <c r="F1054" s="80">
        <f t="shared" si="49"/>
        <v>527</v>
      </c>
      <c r="G1054" s="77">
        <f>Target1[[#This Row],[Target Drawdown]]/MAX($B$2:B1054)</f>
        <v>-0.2412790697674419</v>
      </c>
      <c r="H1054" s="1" t="str">
        <f>IF(SUM(COUNTIF(Benchmark1[Benchmark '#1 Dates],Target1[[#This Row],[Target Dates]]),COUNTIF(Benchmark2[Benchmark '#2 Dates],Target1[[#This Row],[Target Dates]]))=2,"Pass","Fail")</f>
        <v>Pass</v>
      </c>
      <c r="I1054" s="78">
        <f t="shared" si="50"/>
        <v>-12.450000000000003</v>
      </c>
      <c r="K1054" s="72">
        <f>Target1[[#This Row],[Target Price]]/$B$2*100</f>
        <v>227.74869109947642</v>
      </c>
      <c r="R1054">
        <f>B1055/Target1[[#This Row],[Target Price]]-1</f>
        <v>1.5325670498085309E-3</v>
      </c>
    </row>
    <row r="1055" spans="1:18">
      <c r="A1055" s="96">
        <v>44813</v>
      </c>
      <c r="B1055" s="101">
        <v>39.21</v>
      </c>
      <c r="C1055" s="4">
        <f t="shared" si="48"/>
        <v>1.5313938674282647E-3</v>
      </c>
      <c r="D1055" s="4">
        <f>IFERROR(Target1[[#This Row],[Target Return]]+1,"-")</f>
        <v>1.0015313938674282</v>
      </c>
      <c r="E1055" s="6">
        <f>B1055-MAX($B$2:B1055)</f>
        <v>-12.39</v>
      </c>
      <c r="F1055" s="80">
        <f t="shared" si="49"/>
        <v>528</v>
      </c>
      <c r="G1055" s="77">
        <f>Target1[[#This Row],[Target Drawdown]]/MAX($B$2:B1055)</f>
        <v>-0.24011627906976746</v>
      </c>
      <c r="H1055" s="1" t="str">
        <f>IF(SUM(COUNTIF(Benchmark1[Benchmark '#1 Dates],Target1[[#This Row],[Target Dates]]),COUNTIF(Benchmark2[Benchmark '#2 Dates],Target1[[#This Row],[Target Dates]]))=2,"Pass","Fail")</f>
        <v>Pass</v>
      </c>
      <c r="I1055" s="78">
        <f t="shared" si="50"/>
        <v>-12.39</v>
      </c>
      <c r="K1055" s="72">
        <f>Target1[[#This Row],[Target Price]]/$B$2*100</f>
        <v>228.09773123909247</v>
      </c>
      <c r="R1055">
        <f>B1056/Target1[[#This Row],[Target Price]]-1</f>
        <v>1.1476664116296664E-2</v>
      </c>
    </row>
    <row r="1056" spans="1:18">
      <c r="A1056" s="96">
        <v>44816</v>
      </c>
      <c r="B1056" s="101">
        <v>39.659999999999997</v>
      </c>
      <c r="C1056" s="4">
        <f t="shared" si="48"/>
        <v>1.1411306787409451E-2</v>
      </c>
      <c r="D1056" s="4">
        <f>IFERROR(Target1[[#This Row],[Target Return]]+1,"-")</f>
        <v>1.0114113067874095</v>
      </c>
      <c r="E1056" s="6">
        <f>B1056-MAX($B$2:B1056)</f>
        <v>-11.940000000000005</v>
      </c>
      <c r="F1056" s="80">
        <f t="shared" si="49"/>
        <v>529</v>
      </c>
      <c r="G1056" s="77">
        <f>Target1[[#This Row],[Target Drawdown]]/MAX($B$2:B1056)</f>
        <v>-0.23139534883720939</v>
      </c>
      <c r="H1056" s="1" t="str">
        <f>IF(SUM(COUNTIF(Benchmark1[Benchmark '#1 Dates],Target1[[#This Row],[Target Dates]]),COUNTIF(Benchmark2[Benchmark '#2 Dates],Target1[[#This Row],[Target Dates]]))=2,"Pass","Fail")</f>
        <v>Pass</v>
      </c>
      <c r="I1056" s="78">
        <f t="shared" si="50"/>
        <v>-11.940000000000005</v>
      </c>
      <c r="K1056" s="72">
        <f>Target1[[#This Row],[Target Price]]/$B$2*100</f>
        <v>230.71553228621289</v>
      </c>
      <c r="R1056">
        <f>B1057/Target1[[#This Row],[Target Price]]-1</f>
        <v>-2.2692889561269913E-3</v>
      </c>
    </row>
    <row r="1057" spans="1:18">
      <c r="A1057" s="96">
        <v>44817</v>
      </c>
      <c r="B1057" s="101">
        <v>39.57</v>
      </c>
      <c r="C1057" s="4">
        <f t="shared" si="48"/>
        <v>-2.2718676943169077E-3</v>
      </c>
      <c r="D1057" s="4">
        <f>IFERROR(Target1[[#This Row],[Target Return]]+1,"-")</f>
        <v>0.99772813230568314</v>
      </c>
      <c r="E1057" s="6">
        <f>B1057-MAX($B$2:B1057)</f>
        <v>-12.030000000000001</v>
      </c>
      <c r="F1057" s="80">
        <f t="shared" si="49"/>
        <v>530</v>
      </c>
      <c r="G1057" s="77">
        <f>Target1[[#This Row],[Target Drawdown]]/MAX($B$2:B1057)</f>
        <v>-0.23313953488372094</v>
      </c>
      <c r="H1057" s="1" t="str">
        <f>IF(SUM(COUNTIF(Benchmark1[Benchmark '#1 Dates],Target1[[#This Row],[Target Dates]]),COUNTIF(Benchmark2[Benchmark '#2 Dates],Target1[[#This Row],[Target Dates]]))=2,"Pass","Fail")</f>
        <v>Pass</v>
      </c>
      <c r="I1057" s="78">
        <f t="shared" si="50"/>
        <v>-12.030000000000001</v>
      </c>
      <c r="K1057" s="72">
        <f>Target1[[#This Row],[Target Price]]/$B$2*100</f>
        <v>230.19197207678883</v>
      </c>
      <c r="R1057">
        <f>B1058/Target1[[#This Row],[Target Price]]-1</f>
        <v>9.8559514783926883E-3</v>
      </c>
    </row>
    <row r="1058" spans="1:18">
      <c r="A1058" s="96">
        <v>44818</v>
      </c>
      <c r="B1058" s="101">
        <v>39.96</v>
      </c>
      <c r="C1058" s="4">
        <f t="shared" si="48"/>
        <v>9.8076983830198139E-3</v>
      </c>
      <c r="D1058" s="4">
        <f>IFERROR(Target1[[#This Row],[Target Return]]+1,"-")</f>
        <v>1.0098076983830198</v>
      </c>
      <c r="E1058" s="6">
        <f>B1058-MAX($B$2:B1058)</f>
        <v>-11.64</v>
      </c>
      <c r="F1058" s="80">
        <f t="shared" si="49"/>
        <v>531</v>
      </c>
      <c r="G1058" s="77">
        <f>Target1[[#This Row],[Target Drawdown]]/MAX($B$2:B1058)</f>
        <v>-0.22558139534883723</v>
      </c>
      <c r="H1058" s="1" t="str">
        <f>IF(SUM(COUNTIF(Benchmark1[Benchmark '#1 Dates],Target1[[#This Row],[Target Dates]]),COUNTIF(Benchmark2[Benchmark '#2 Dates],Target1[[#This Row],[Target Dates]]))=2,"Pass","Fail")</f>
        <v>Pass</v>
      </c>
      <c r="I1058" s="78">
        <f t="shared" si="50"/>
        <v>-11.64</v>
      </c>
      <c r="K1058" s="72">
        <f>Target1[[#This Row],[Target Price]]/$B$2*100</f>
        <v>232.4607329842932</v>
      </c>
      <c r="R1058">
        <f>B1059/Target1[[#This Row],[Target Price]]-1</f>
        <v>-3.7537537537537524E-3</v>
      </c>
    </row>
    <row r="1059" spans="1:18">
      <c r="A1059" s="96">
        <v>44819</v>
      </c>
      <c r="B1059" s="101">
        <v>39.81</v>
      </c>
      <c r="C1059" s="4">
        <f t="shared" si="48"/>
        <v>-3.7608167681269355E-3</v>
      </c>
      <c r="D1059" s="4">
        <f>IFERROR(Target1[[#This Row],[Target Return]]+1,"-")</f>
        <v>0.9962391832318731</v>
      </c>
      <c r="E1059" s="6">
        <f>B1059-MAX($B$2:B1059)</f>
        <v>-11.79</v>
      </c>
      <c r="F1059" s="80">
        <f t="shared" si="49"/>
        <v>532</v>
      </c>
      <c r="G1059" s="77">
        <f>Target1[[#This Row],[Target Drawdown]]/MAX($B$2:B1059)</f>
        <v>-0.22848837209302322</v>
      </c>
      <c r="H1059" s="1" t="str">
        <f>IF(SUM(COUNTIF(Benchmark1[Benchmark '#1 Dates],Target1[[#This Row],[Target Dates]]),COUNTIF(Benchmark2[Benchmark '#2 Dates],Target1[[#This Row],[Target Dates]]))=2,"Pass","Fail")</f>
        <v>Pass</v>
      </c>
      <c r="I1059" s="78">
        <f t="shared" si="50"/>
        <v>-11.79</v>
      </c>
      <c r="K1059" s="72">
        <f>Target1[[#This Row],[Target Price]]/$B$2*100</f>
        <v>231.58813263525303</v>
      </c>
      <c r="R1059">
        <f>B1060/Target1[[#This Row],[Target Price]]-1</f>
        <v>7.5357950263752471E-3</v>
      </c>
    </row>
    <row r="1060" spans="1:18">
      <c r="A1060" s="96">
        <v>44820</v>
      </c>
      <c r="B1060" s="101">
        <v>40.11</v>
      </c>
      <c r="C1060" s="4">
        <f t="shared" si="48"/>
        <v>7.5075427697356336E-3</v>
      </c>
      <c r="D1060" s="4">
        <f>IFERROR(Target1[[#This Row],[Target Return]]+1,"-")</f>
        <v>1.0075075427697355</v>
      </c>
      <c r="E1060" s="6">
        <f>B1060-MAX($B$2:B1060)</f>
        <v>-11.490000000000002</v>
      </c>
      <c r="F1060" s="80">
        <f t="shared" si="49"/>
        <v>533</v>
      </c>
      <c r="G1060" s="77">
        <f>Target1[[#This Row],[Target Drawdown]]/MAX($B$2:B1060)</f>
        <v>-0.2226744186046512</v>
      </c>
      <c r="H1060" s="1" t="str">
        <f>IF(SUM(COUNTIF(Benchmark1[Benchmark '#1 Dates],Target1[[#This Row],[Target Dates]]),COUNTIF(Benchmark2[Benchmark '#2 Dates],Target1[[#This Row],[Target Dates]]))=2,"Pass","Fail")</f>
        <v>Pass</v>
      </c>
      <c r="I1060" s="78">
        <f t="shared" si="50"/>
        <v>-11.490000000000002</v>
      </c>
      <c r="K1060" s="72">
        <f>Target1[[#This Row],[Target Price]]/$B$2*100</f>
        <v>233.33333333333331</v>
      </c>
      <c r="R1060">
        <f>B1061/Target1[[#This Row],[Target Price]]-1</f>
        <v>5.7342308651209262E-3</v>
      </c>
    </row>
    <row r="1061" spans="1:18">
      <c r="A1061" s="96">
        <v>44823</v>
      </c>
      <c r="B1061" s="101">
        <v>40.340000000000003</v>
      </c>
      <c r="C1061" s="4">
        <f t="shared" si="48"/>
        <v>5.7178527441042208E-3</v>
      </c>
      <c r="D1061" s="4">
        <f>IFERROR(Target1[[#This Row],[Target Return]]+1,"-")</f>
        <v>1.0057178527441042</v>
      </c>
      <c r="E1061" s="6">
        <f>B1061-MAX($B$2:B1061)</f>
        <v>-11.259999999999998</v>
      </c>
      <c r="F1061" s="80">
        <f t="shared" si="49"/>
        <v>534</v>
      </c>
      <c r="G1061" s="77">
        <f>Target1[[#This Row],[Target Drawdown]]/MAX($B$2:B1061)</f>
        <v>-0.21821705426356586</v>
      </c>
      <c r="H1061" s="1" t="str">
        <f>IF(SUM(COUNTIF(Benchmark1[Benchmark '#1 Dates],Target1[[#This Row],[Target Dates]]),COUNTIF(Benchmark2[Benchmark '#2 Dates],Target1[[#This Row],[Target Dates]]))=2,"Pass","Fail")</f>
        <v>Pass</v>
      </c>
      <c r="I1061" s="78">
        <f t="shared" si="50"/>
        <v>-11.259999999999998</v>
      </c>
      <c r="K1061" s="72">
        <f>Target1[[#This Row],[Target Price]]/$B$2*100</f>
        <v>234.67132053519489</v>
      </c>
      <c r="R1061">
        <f>B1062/Target1[[#This Row],[Target Price]]-1</f>
        <v>2.0575111551809577E-2</v>
      </c>
    </row>
    <row r="1062" spans="1:18">
      <c r="A1062" s="96">
        <v>44824</v>
      </c>
      <c r="B1062" s="101">
        <v>41.17</v>
      </c>
      <c r="C1062" s="4">
        <f t="shared" si="48"/>
        <v>2.0366303255747564E-2</v>
      </c>
      <c r="D1062" s="4">
        <f>IFERROR(Target1[[#This Row],[Target Return]]+1,"-")</f>
        <v>1.0203663032557475</v>
      </c>
      <c r="E1062" s="6">
        <f>B1062-MAX($B$2:B1062)</f>
        <v>-10.43</v>
      </c>
      <c r="F1062" s="80">
        <f t="shared" si="49"/>
        <v>535</v>
      </c>
      <c r="G1062" s="77">
        <f>Target1[[#This Row],[Target Drawdown]]/MAX($B$2:B1062)</f>
        <v>-0.20213178294573642</v>
      </c>
      <c r="H1062" s="1" t="str">
        <f>IF(SUM(COUNTIF(Benchmark1[Benchmark '#1 Dates],Target1[[#This Row],[Target Dates]]),COUNTIF(Benchmark2[Benchmark '#2 Dates],Target1[[#This Row],[Target Dates]]))=2,"Pass","Fail")</f>
        <v>Pass</v>
      </c>
      <c r="I1062" s="78">
        <f t="shared" si="50"/>
        <v>-10.43</v>
      </c>
      <c r="K1062" s="72">
        <f>Target1[[#This Row],[Target Price]]/$B$2*100</f>
        <v>239.49970913321698</v>
      </c>
      <c r="R1062">
        <f>B1063/Target1[[#This Row],[Target Price]]-1</f>
        <v>-2.9147437454458691E-3</v>
      </c>
    </row>
    <row r="1063" spans="1:18">
      <c r="A1063" s="96">
        <v>44825</v>
      </c>
      <c r="B1063" s="101">
        <v>41.05</v>
      </c>
      <c r="C1063" s="4">
        <f t="shared" si="48"/>
        <v>-2.9189998833762474E-3</v>
      </c>
      <c r="D1063" s="4">
        <f>IFERROR(Target1[[#This Row],[Target Return]]+1,"-")</f>
        <v>0.99708100011662371</v>
      </c>
      <c r="E1063" s="6">
        <f>B1063-MAX($B$2:B1063)</f>
        <v>-10.550000000000004</v>
      </c>
      <c r="F1063" s="80">
        <f t="shared" si="49"/>
        <v>536</v>
      </c>
      <c r="G1063" s="77">
        <f>Target1[[#This Row],[Target Drawdown]]/MAX($B$2:B1063)</f>
        <v>-0.20445736434108536</v>
      </c>
      <c r="H1063" s="1" t="str">
        <f>IF(SUM(COUNTIF(Benchmark1[Benchmark '#1 Dates],Target1[[#This Row],[Target Dates]]),COUNTIF(Benchmark2[Benchmark '#2 Dates],Target1[[#This Row],[Target Dates]]))=2,"Pass","Fail")</f>
        <v>Pass</v>
      </c>
      <c r="I1063" s="78">
        <f t="shared" si="50"/>
        <v>-10.550000000000004</v>
      </c>
      <c r="K1063" s="72">
        <f>Target1[[#This Row],[Target Price]]/$B$2*100</f>
        <v>238.80162885398482</v>
      </c>
      <c r="R1063">
        <f>B1064/Target1[[#This Row],[Target Price]]-1</f>
        <v>-7.7953714981729982E-3</v>
      </c>
    </row>
    <row r="1064" spans="1:18">
      <c r="A1064" s="96">
        <v>44826</v>
      </c>
      <c r="B1064" s="101">
        <v>40.729999999999997</v>
      </c>
      <c r="C1064" s="4">
        <f t="shared" si="48"/>
        <v>-7.8259142381160544E-3</v>
      </c>
      <c r="D1064" s="4">
        <f>IFERROR(Target1[[#This Row],[Target Return]]+1,"-")</f>
        <v>0.99217408576188393</v>
      </c>
      <c r="E1064" s="6">
        <f>B1064-MAX($B$2:B1064)</f>
        <v>-10.870000000000005</v>
      </c>
      <c r="F1064" s="80">
        <f t="shared" si="49"/>
        <v>537</v>
      </c>
      <c r="G1064" s="77">
        <f>Target1[[#This Row],[Target Drawdown]]/MAX($B$2:B1064)</f>
        <v>-0.21065891472868226</v>
      </c>
      <c r="H1064" s="1" t="str">
        <f>IF(SUM(COUNTIF(Benchmark1[Benchmark '#1 Dates],Target1[[#This Row],[Target Dates]]),COUNTIF(Benchmark2[Benchmark '#2 Dates],Target1[[#This Row],[Target Dates]]))=2,"Pass","Fail")</f>
        <v>Pass</v>
      </c>
      <c r="I1064" s="78">
        <f t="shared" si="50"/>
        <v>-10.870000000000005</v>
      </c>
      <c r="K1064" s="72">
        <f>Target1[[#This Row],[Target Price]]/$B$2*100</f>
        <v>236.94008144269924</v>
      </c>
      <c r="R1064">
        <f>B1065/Target1[[#This Row],[Target Price]]-1</f>
        <v>6.8745396513627544E-3</v>
      </c>
    </row>
    <row r="1065" spans="1:18">
      <c r="A1065" s="96">
        <v>44827</v>
      </c>
      <c r="B1065" s="101">
        <v>41.01</v>
      </c>
      <c r="C1065" s="4">
        <f t="shared" si="48"/>
        <v>6.8510177436467935E-3</v>
      </c>
      <c r="D1065" s="4">
        <f>IFERROR(Target1[[#This Row],[Target Return]]+1,"-")</f>
        <v>1.0068510177436467</v>
      </c>
      <c r="E1065" s="6">
        <f>B1065-MAX($B$2:B1065)</f>
        <v>-10.590000000000003</v>
      </c>
      <c r="F1065" s="80">
        <f t="shared" si="49"/>
        <v>538</v>
      </c>
      <c r="G1065" s="77">
        <f>Target1[[#This Row],[Target Drawdown]]/MAX($B$2:B1065)</f>
        <v>-0.20523255813953495</v>
      </c>
      <c r="H1065" s="1" t="str">
        <f>IF(SUM(COUNTIF(Benchmark1[Benchmark '#1 Dates],Target1[[#This Row],[Target Dates]]),COUNTIF(Benchmark2[Benchmark '#2 Dates],Target1[[#This Row],[Target Dates]]))=2,"Pass","Fail")</f>
        <v>Pass</v>
      </c>
      <c r="I1065" s="78">
        <f t="shared" si="50"/>
        <v>-10.590000000000003</v>
      </c>
      <c r="K1065" s="72">
        <f>Target1[[#This Row],[Target Price]]/$B$2*100</f>
        <v>238.56893542757413</v>
      </c>
      <c r="R1065">
        <f>B1066/Target1[[#This Row],[Target Price]]-1</f>
        <v>-5.8522311631308277E-3</v>
      </c>
    </row>
    <row r="1066" spans="1:18">
      <c r="A1066" s="96">
        <v>44830</v>
      </c>
      <c r="B1066" s="101">
        <v>40.770000000000003</v>
      </c>
      <c r="C1066" s="4">
        <f t="shared" si="48"/>
        <v>-5.8694225728057325E-3</v>
      </c>
      <c r="D1066" s="4">
        <f>IFERROR(Target1[[#This Row],[Target Return]]+1,"-")</f>
        <v>0.99413057742719424</v>
      </c>
      <c r="E1066" s="6">
        <f>B1066-MAX($B$2:B1066)</f>
        <v>-10.829999999999998</v>
      </c>
      <c r="F1066" s="80">
        <f t="shared" si="49"/>
        <v>539</v>
      </c>
      <c r="G1066" s="77">
        <f>Target1[[#This Row],[Target Drawdown]]/MAX($B$2:B1066)</f>
        <v>-0.20988372093023253</v>
      </c>
      <c r="H1066" s="1" t="str">
        <f>IF(SUM(COUNTIF(Benchmark1[Benchmark '#1 Dates],Target1[[#This Row],[Target Dates]]),COUNTIF(Benchmark2[Benchmark '#2 Dates],Target1[[#This Row],[Target Dates]]))=2,"Pass","Fail")</f>
        <v>Pass</v>
      </c>
      <c r="I1066" s="78">
        <f t="shared" si="50"/>
        <v>-10.829999999999998</v>
      </c>
      <c r="K1066" s="72">
        <f>Target1[[#This Row],[Target Price]]/$B$2*100</f>
        <v>237.17277486910996</v>
      </c>
      <c r="R1066">
        <f>B1067/Target1[[#This Row],[Target Price]]-1</f>
        <v>2.207505518763786E-2</v>
      </c>
    </row>
    <row r="1067" spans="1:18">
      <c r="A1067" s="96">
        <v>44831</v>
      </c>
      <c r="B1067" s="101">
        <v>41.67</v>
      </c>
      <c r="C1067" s="4">
        <f t="shared" si="48"/>
        <v>2.1834928603199948E-2</v>
      </c>
      <c r="D1067" s="4">
        <f>IFERROR(Target1[[#This Row],[Target Return]]+1,"-")</f>
        <v>1.0218349286032</v>
      </c>
      <c r="E1067" s="6">
        <f>B1067-MAX($B$2:B1067)</f>
        <v>-9.93</v>
      </c>
      <c r="F1067" s="80">
        <f t="shared" si="49"/>
        <v>540</v>
      </c>
      <c r="G1067" s="77">
        <f>Target1[[#This Row],[Target Drawdown]]/MAX($B$2:B1067)</f>
        <v>-0.19244186046511627</v>
      </c>
      <c r="H1067" s="1" t="str">
        <f>IF(SUM(COUNTIF(Benchmark1[Benchmark '#1 Dates],Target1[[#This Row],[Target Dates]]),COUNTIF(Benchmark2[Benchmark '#2 Dates],Target1[[#This Row],[Target Dates]]))=2,"Pass","Fail")</f>
        <v>Pass</v>
      </c>
      <c r="I1067" s="78">
        <f t="shared" si="50"/>
        <v>-9.93</v>
      </c>
      <c r="K1067" s="72">
        <f>Target1[[#This Row],[Target Price]]/$B$2*100</f>
        <v>242.40837696335075</v>
      </c>
      <c r="R1067">
        <f>B1068/Target1[[#This Row],[Target Price]]-1</f>
        <v>1.9918406527477783E-2</v>
      </c>
    </row>
    <row r="1068" spans="1:18">
      <c r="A1068" s="96">
        <v>44832</v>
      </c>
      <c r="B1068" s="101">
        <v>42.5</v>
      </c>
      <c r="C1068" s="4">
        <f t="shared" si="48"/>
        <v>1.9722630496009037E-2</v>
      </c>
      <c r="D1068" s="4">
        <f>IFERROR(Target1[[#This Row],[Target Return]]+1,"-")</f>
        <v>1.019722630496009</v>
      </c>
      <c r="E1068" s="6">
        <f>B1068-MAX($B$2:B1068)</f>
        <v>-9.1000000000000014</v>
      </c>
      <c r="F1068" s="80">
        <f t="shared" si="49"/>
        <v>541</v>
      </c>
      <c r="G1068" s="77">
        <f>Target1[[#This Row],[Target Drawdown]]/MAX($B$2:B1068)</f>
        <v>-0.17635658914728686</v>
      </c>
      <c r="H1068" s="1" t="str">
        <f>IF(SUM(COUNTIF(Benchmark1[Benchmark '#1 Dates],Target1[[#This Row],[Target Dates]]),COUNTIF(Benchmark2[Benchmark '#2 Dates],Target1[[#This Row],[Target Dates]]))=2,"Pass","Fail")</f>
        <v>Pass</v>
      </c>
      <c r="I1068" s="78">
        <f t="shared" si="50"/>
        <v>-9.1000000000000014</v>
      </c>
      <c r="K1068" s="72">
        <f>Target1[[#This Row],[Target Price]]/$B$2*100</f>
        <v>247.23676556137289</v>
      </c>
      <c r="R1068">
        <f>B1069/Target1[[#This Row],[Target Price]]-1</f>
        <v>-3.0588235294117805E-3</v>
      </c>
    </row>
    <row r="1069" spans="1:18">
      <c r="A1069" s="96">
        <v>44833</v>
      </c>
      <c r="B1069" s="101">
        <v>42.37</v>
      </c>
      <c r="C1069" s="4">
        <f t="shared" si="48"/>
        <v>-3.0635112919033106E-3</v>
      </c>
      <c r="D1069" s="4">
        <f>IFERROR(Target1[[#This Row],[Target Return]]+1,"-")</f>
        <v>0.9969364887080967</v>
      </c>
      <c r="E1069" s="6">
        <f>B1069-MAX($B$2:B1069)</f>
        <v>-9.230000000000004</v>
      </c>
      <c r="F1069" s="80">
        <f t="shared" si="49"/>
        <v>542</v>
      </c>
      <c r="G1069" s="77">
        <f>Target1[[#This Row],[Target Drawdown]]/MAX($B$2:B1069)</f>
        <v>-0.17887596899224814</v>
      </c>
      <c r="H1069" s="1" t="str">
        <f>IF(SUM(COUNTIF(Benchmark1[Benchmark '#1 Dates],Target1[[#This Row],[Target Dates]]),COUNTIF(Benchmark2[Benchmark '#2 Dates],Target1[[#This Row],[Target Dates]]))=2,"Pass","Fail")</f>
        <v>Pass</v>
      </c>
      <c r="I1069" s="78">
        <f t="shared" si="50"/>
        <v>-9.230000000000004</v>
      </c>
      <c r="K1069" s="72">
        <f>Target1[[#This Row],[Target Price]]/$B$2*100</f>
        <v>246.48051192553808</v>
      </c>
      <c r="R1069">
        <f>B1070/Target1[[#This Row],[Target Price]]-1</f>
        <v>-8.0245456691053763E-3</v>
      </c>
    </row>
    <row r="1070" spans="1:18">
      <c r="A1070" s="96">
        <v>44834</v>
      </c>
      <c r="B1070" s="101">
        <v>42.03</v>
      </c>
      <c r="C1070" s="4">
        <f t="shared" si="48"/>
        <v>-8.0569156214424006E-3</v>
      </c>
      <c r="D1070" s="4">
        <f>IFERROR(Target1[[#This Row],[Target Return]]+1,"-")</f>
        <v>0.9919430843785576</v>
      </c>
      <c r="E1070" s="6">
        <f>B1070-MAX($B$2:B1070)</f>
        <v>-9.57</v>
      </c>
      <c r="F1070" s="80">
        <f t="shared" si="49"/>
        <v>543</v>
      </c>
      <c r="G1070" s="77">
        <f>Target1[[#This Row],[Target Drawdown]]/MAX($B$2:B1070)</f>
        <v>-0.18546511627906978</v>
      </c>
      <c r="H1070" s="1" t="str">
        <f>IF(SUM(COUNTIF(Benchmark1[Benchmark '#1 Dates],Target1[[#This Row],[Target Dates]]),COUNTIF(Benchmark2[Benchmark '#2 Dates],Target1[[#This Row],[Target Dates]]))=2,"Pass","Fail")</f>
        <v>Pass</v>
      </c>
      <c r="I1070" s="78">
        <f t="shared" si="50"/>
        <v>-9.57</v>
      </c>
      <c r="K1070" s="72">
        <f>Target1[[#This Row],[Target Price]]/$B$2*100</f>
        <v>244.50261780104711</v>
      </c>
      <c r="R1070">
        <f>B1071/Target1[[#This Row],[Target Price]]-1</f>
        <v>-1.9034023316678694E-2</v>
      </c>
    </row>
    <row r="1071" spans="1:18">
      <c r="A1071" s="96">
        <v>44837</v>
      </c>
      <c r="B1071" s="101">
        <v>41.23</v>
      </c>
      <c r="C1071" s="4">
        <f t="shared" si="48"/>
        <v>-1.9217502298216817E-2</v>
      </c>
      <c r="D1071" s="4">
        <f>IFERROR(Target1[[#This Row],[Target Return]]+1,"-")</f>
        <v>0.98078249770178316</v>
      </c>
      <c r="E1071" s="6">
        <f>B1071-MAX($B$2:B1071)</f>
        <v>-10.370000000000005</v>
      </c>
      <c r="F1071" s="80">
        <f t="shared" si="49"/>
        <v>544</v>
      </c>
      <c r="G1071" s="77">
        <f>Target1[[#This Row],[Target Drawdown]]/MAX($B$2:B1071)</f>
        <v>-0.20096899224806211</v>
      </c>
      <c r="H1071" s="1" t="str">
        <f>IF(SUM(COUNTIF(Benchmark1[Benchmark '#1 Dates],Target1[[#This Row],[Target Dates]]),COUNTIF(Benchmark2[Benchmark '#2 Dates],Target1[[#This Row],[Target Dates]]))=2,"Pass","Fail")</f>
        <v>Pass</v>
      </c>
      <c r="I1071" s="78">
        <f t="shared" si="50"/>
        <v>-10.370000000000005</v>
      </c>
      <c r="K1071" s="72">
        <f>Target1[[#This Row],[Target Price]]/$B$2*100</f>
        <v>239.848749272833</v>
      </c>
      <c r="R1071">
        <f>B1072/Target1[[#This Row],[Target Price]]-1</f>
        <v>6.0878001455251241E-2</v>
      </c>
    </row>
    <row r="1072" spans="1:18">
      <c r="A1072" s="96">
        <v>44838</v>
      </c>
      <c r="B1072" s="101">
        <v>43.74</v>
      </c>
      <c r="C1072" s="4">
        <f t="shared" si="48"/>
        <v>5.9096868529813336E-2</v>
      </c>
      <c r="D1072" s="4">
        <f>IFERROR(Target1[[#This Row],[Target Return]]+1,"-")</f>
        <v>1.0590968685298134</v>
      </c>
      <c r="E1072" s="6">
        <f>B1072-MAX($B$2:B1072)</f>
        <v>-7.8599999999999994</v>
      </c>
      <c r="F1072" s="80">
        <f t="shared" si="49"/>
        <v>545</v>
      </c>
      <c r="G1072" s="77">
        <f>Target1[[#This Row],[Target Drawdown]]/MAX($B$2:B1072)</f>
        <v>-0.15232558139534882</v>
      </c>
      <c r="H1072" s="1" t="str">
        <f>IF(SUM(COUNTIF(Benchmark1[Benchmark '#1 Dates],Target1[[#This Row],[Target Dates]]),COUNTIF(Benchmark2[Benchmark '#2 Dates],Target1[[#This Row],[Target Dates]]))=2,"Pass","Fail")</f>
        <v>Pass</v>
      </c>
      <c r="I1072" s="78">
        <f t="shared" si="50"/>
        <v>-7.8599999999999994</v>
      </c>
      <c r="K1072" s="72">
        <f>Target1[[#This Row],[Target Price]]/$B$2*100</f>
        <v>254.45026178010471</v>
      </c>
      <c r="R1072">
        <f>B1073/Target1[[#This Row],[Target Price]]-1</f>
        <v>1.1431184270689343E-3</v>
      </c>
    </row>
    <row r="1073" spans="1:18">
      <c r="A1073" s="96">
        <v>44839</v>
      </c>
      <c r="B1073" s="101">
        <v>43.79</v>
      </c>
      <c r="C1073" s="4">
        <f t="shared" si="48"/>
        <v>1.1424655646850969E-3</v>
      </c>
      <c r="D1073" s="4">
        <f>IFERROR(Target1[[#This Row],[Target Return]]+1,"-")</f>
        <v>1.001142465564685</v>
      </c>
      <c r="E1073" s="6">
        <f>B1073-MAX($B$2:B1073)</f>
        <v>-7.8100000000000023</v>
      </c>
      <c r="F1073" s="80">
        <f t="shared" si="49"/>
        <v>546</v>
      </c>
      <c r="G1073" s="77">
        <f>Target1[[#This Row],[Target Drawdown]]/MAX($B$2:B1073)</f>
        <v>-0.15135658914728686</v>
      </c>
      <c r="H1073" s="1" t="str">
        <f>IF(SUM(COUNTIF(Benchmark1[Benchmark '#1 Dates],Target1[[#This Row],[Target Dates]]),COUNTIF(Benchmark2[Benchmark '#2 Dates],Target1[[#This Row],[Target Dates]]))=2,"Pass","Fail")</f>
        <v>Pass</v>
      </c>
      <c r="I1073" s="78">
        <f t="shared" si="50"/>
        <v>-7.8100000000000023</v>
      </c>
      <c r="K1073" s="72">
        <f>Target1[[#This Row],[Target Price]]/$B$2*100</f>
        <v>254.74112856311808</v>
      </c>
      <c r="R1073">
        <f>B1074/Target1[[#This Row],[Target Price]]-1</f>
        <v>2.2151176067595424E-2</v>
      </c>
    </row>
    <row r="1074" spans="1:18">
      <c r="A1074" s="96">
        <v>44840</v>
      </c>
      <c r="B1074" s="101">
        <v>44.76</v>
      </c>
      <c r="C1074" s="4">
        <f t="shared" si="48"/>
        <v>2.1909402630417577E-2</v>
      </c>
      <c r="D1074" s="4">
        <f>IFERROR(Target1[[#This Row],[Target Return]]+1,"-")</f>
        <v>1.0219094026304176</v>
      </c>
      <c r="E1074" s="6">
        <f>B1074-MAX($B$2:B1074)</f>
        <v>-6.8400000000000034</v>
      </c>
      <c r="F1074" s="80">
        <f t="shared" si="49"/>
        <v>547</v>
      </c>
      <c r="G1074" s="77">
        <f>Target1[[#This Row],[Target Drawdown]]/MAX($B$2:B1074)</f>
        <v>-0.1325581395348838</v>
      </c>
      <c r="H1074" s="1" t="str">
        <f>IF(SUM(COUNTIF(Benchmark1[Benchmark '#1 Dates],Target1[[#This Row],[Target Dates]]),COUNTIF(Benchmark2[Benchmark '#2 Dates],Target1[[#This Row],[Target Dates]]))=2,"Pass","Fail")</f>
        <v>Pass</v>
      </c>
      <c r="I1074" s="78">
        <f t="shared" si="50"/>
        <v>-6.8400000000000034</v>
      </c>
      <c r="K1074" s="72">
        <f>Target1[[#This Row],[Target Price]]/$B$2*100</f>
        <v>260.3839441535776</v>
      </c>
      <c r="R1074">
        <f>B1075/Target1[[#This Row],[Target Price]]-1</f>
        <v>-2.122430741733683E-2</v>
      </c>
    </row>
    <row r="1075" spans="1:18">
      <c r="A1075" s="96">
        <v>44841</v>
      </c>
      <c r="B1075" s="101">
        <v>43.81</v>
      </c>
      <c r="C1075" s="4">
        <f t="shared" si="48"/>
        <v>-2.1452781617917312E-2</v>
      </c>
      <c r="D1075" s="4">
        <f>IFERROR(Target1[[#This Row],[Target Return]]+1,"-")</f>
        <v>0.9785472183820827</v>
      </c>
      <c r="E1075" s="6">
        <f>B1075-MAX($B$2:B1075)</f>
        <v>-7.7899999999999991</v>
      </c>
      <c r="F1075" s="80">
        <f t="shared" si="49"/>
        <v>548</v>
      </c>
      <c r="G1075" s="77">
        <f>Target1[[#This Row],[Target Drawdown]]/MAX($B$2:B1075)</f>
        <v>-0.15096899224806198</v>
      </c>
      <c r="H1075" s="1" t="str">
        <f>IF(SUM(COUNTIF(Benchmark1[Benchmark '#1 Dates],Target1[[#This Row],[Target Dates]]),COUNTIF(Benchmark2[Benchmark '#2 Dates],Target1[[#This Row],[Target Dates]]))=2,"Pass","Fail")</f>
        <v>Pass</v>
      </c>
      <c r="I1075" s="78">
        <f t="shared" si="50"/>
        <v>-7.7899999999999991</v>
      </c>
      <c r="K1075" s="72">
        <f>Target1[[#This Row],[Target Price]]/$B$2*100</f>
        <v>254.85747527632344</v>
      </c>
      <c r="R1075">
        <f>B1076/Target1[[#This Row],[Target Price]]-1</f>
        <v>1.0956402647797292E-2</v>
      </c>
    </row>
    <row r="1076" spans="1:18">
      <c r="A1076" s="96">
        <v>44844</v>
      </c>
      <c r="B1076" s="101">
        <v>44.29</v>
      </c>
      <c r="C1076" s="4">
        <f t="shared" si="48"/>
        <v>1.0896816109299719E-2</v>
      </c>
      <c r="D1076" s="4">
        <f>IFERROR(Target1[[#This Row],[Target Return]]+1,"-")</f>
        <v>1.0108968161092997</v>
      </c>
      <c r="E1076" s="6">
        <f>B1076-MAX($B$2:B1076)</f>
        <v>-7.3100000000000023</v>
      </c>
      <c r="F1076" s="80">
        <f t="shared" si="49"/>
        <v>549</v>
      </c>
      <c r="G1076" s="77">
        <f>Target1[[#This Row],[Target Drawdown]]/MAX($B$2:B1076)</f>
        <v>-0.14166666666666672</v>
      </c>
      <c r="H1076" s="1" t="str">
        <f>IF(SUM(COUNTIF(Benchmark1[Benchmark '#1 Dates],Target1[[#This Row],[Target Dates]]),COUNTIF(Benchmark2[Benchmark '#2 Dates],Target1[[#This Row],[Target Dates]]))=2,"Pass","Fail")</f>
        <v>Pass</v>
      </c>
      <c r="I1076" s="78">
        <f t="shared" si="50"/>
        <v>-7.3100000000000023</v>
      </c>
      <c r="K1076" s="72">
        <f>Target1[[#This Row],[Target Price]]/$B$2*100</f>
        <v>257.64979639325185</v>
      </c>
      <c r="R1076">
        <f>B1077/Target1[[#This Row],[Target Price]]-1</f>
        <v>-6.7735380447053739E-4</v>
      </c>
    </row>
    <row r="1077" spans="1:18">
      <c r="A1077" s="96">
        <v>44845</v>
      </c>
      <c r="B1077" s="101">
        <v>44.26</v>
      </c>
      <c r="C1077" s="4">
        <f t="shared" si="48"/>
        <v>-6.7758331220322881E-4</v>
      </c>
      <c r="D1077" s="4">
        <f>IFERROR(Target1[[#This Row],[Target Return]]+1,"-")</f>
        <v>0.99932241668779676</v>
      </c>
      <c r="E1077" s="6">
        <f>B1077-MAX($B$2:B1077)</f>
        <v>-7.3400000000000034</v>
      </c>
      <c r="F1077" s="80">
        <f t="shared" si="49"/>
        <v>550</v>
      </c>
      <c r="G1077" s="77">
        <f>Target1[[#This Row],[Target Drawdown]]/MAX($B$2:B1077)</f>
        <v>-0.14224806201550394</v>
      </c>
      <c r="H1077" s="1" t="str">
        <f>IF(SUM(COUNTIF(Benchmark1[Benchmark '#1 Dates],Target1[[#This Row],[Target Dates]]),COUNTIF(Benchmark2[Benchmark '#2 Dates],Target1[[#This Row],[Target Dates]]))=2,"Pass","Fail")</f>
        <v>Pass</v>
      </c>
      <c r="I1077" s="78">
        <f t="shared" si="50"/>
        <v>-7.3400000000000034</v>
      </c>
      <c r="K1077" s="72">
        <f>Target1[[#This Row],[Target Price]]/$B$2*100</f>
        <v>257.47527632344384</v>
      </c>
      <c r="R1077">
        <f>B1078/Target1[[#This Row],[Target Price]]-1</f>
        <v>2.0334387708992319E-2</v>
      </c>
    </row>
    <row r="1078" spans="1:18">
      <c r="A1078" s="96">
        <v>44846</v>
      </c>
      <c r="B1078" s="101">
        <v>45.16</v>
      </c>
      <c r="C1078" s="4">
        <f t="shared" si="48"/>
        <v>2.0130404658557668E-2</v>
      </c>
      <c r="D1078" s="4">
        <f>IFERROR(Target1[[#This Row],[Target Return]]+1,"-")</f>
        <v>1.0201304046585578</v>
      </c>
      <c r="E1078" s="6">
        <f>B1078-MAX($B$2:B1078)</f>
        <v>-6.4400000000000048</v>
      </c>
      <c r="F1078" s="80">
        <f t="shared" si="49"/>
        <v>551</v>
      </c>
      <c r="G1078" s="77">
        <f>Target1[[#This Row],[Target Drawdown]]/MAX($B$2:B1078)</f>
        <v>-0.12480620155038769</v>
      </c>
      <c r="H1078" s="1" t="str">
        <f>IF(SUM(COUNTIF(Benchmark1[Benchmark '#1 Dates],Target1[[#This Row],[Target Dates]]),COUNTIF(Benchmark2[Benchmark '#2 Dates],Target1[[#This Row],[Target Dates]]))=2,"Pass","Fail")</f>
        <v>Pass</v>
      </c>
      <c r="I1078" s="78">
        <f t="shared" si="50"/>
        <v>-6.4400000000000048</v>
      </c>
      <c r="K1078" s="72">
        <f>Target1[[#This Row],[Target Price]]/$B$2*100</f>
        <v>262.71087841768468</v>
      </c>
      <c r="R1078">
        <f>B1079/Target1[[#This Row],[Target Price]]-1</f>
        <v>1.1071744906998582E-3</v>
      </c>
    </row>
    <row r="1079" spans="1:18">
      <c r="A1079" s="96">
        <v>44847</v>
      </c>
      <c r="B1079" s="101">
        <v>45.21</v>
      </c>
      <c r="C1079" s="4">
        <f t="shared" si="48"/>
        <v>1.1065620250526385E-3</v>
      </c>
      <c r="D1079" s="4">
        <f>IFERROR(Target1[[#This Row],[Target Return]]+1,"-")</f>
        <v>1.0011065620250525</v>
      </c>
      <c r="E1079" s="6">
        <f>B1079-MAX($B$2:B1079)</f>
        <v>-6.3900000000000006</v>
      </c>
      <c r="F1079" s="80">
        <f t="shared" si="49"/>
        <v>552</v>
      </c>
      <c r="G1079" s="77">
        <f>Target1[[#This Row],[Target Drawdown]]/MAX($B$2:B1079)</f>
        <v>-0.12383720930232558</v>
      </c>
      <c r="H1079" s="1" t="str">
        <f>IF(SUM(COUNTIF(Benchmark1[Benchmark '#1 Dates],Target1[[#This Row],[Target Dates]]),COUNTIF(Benchmark2[Benchmark '#2 Dates],Target1[[#This Row],[Target Dates]]))=2,"Pass","Fail")</f>
        <v>Pass</v>
      </c>
      <c r="I1079" s="78">
        <f t="shared" si="50"/>
        <v>-6.3900000000000006</v>
      </c>
      <c r="K1079" s="72">
        <f>Target1[[#This Row],[Target Price]]/$B$2*100</f>
        <v>263.00174520069805</v>
      </c>
      <c r="R1079">
        <f>B1080/Target1[[#This Row],[Target Price]]-1</f>
        <v>-1.4156160141561624E-2</v>
      </c>
    </row>
    <row r="1080" spans="1:18">
      <c r="A1080" s="96">
        <v>44848</v>
      </c>
      <c r="B1080" s="101">
        <v>44.57</v>
      </c>
      <c r="C1080" s="4">
        <f t="shared" si="48"/>
        <v>-1.4257314348049353E-2</v>
      </c>
      <c r="D1080" s="4">
        <f>IFERROR(Target1[[#This Row],[Target Return]]+1,"-")</f>
        <v>0.98574268565195067</v>
      </c>
      <c r="E1080" s="6">
        <f>B1080-MAX($B$2:B1080)</f>
        <v>-7.0300000000000011</v>
      </c>
      <c r="F1080" s="80">
        <f t="shared" si="49"/>
        <v>553</v>
      </c>
      <c r="G1080" s="77">
        <f>Target1[[#This Row],[Target Drawdown]]/MAX($B$2:B1080)</f>
        <v>-0.13624031007751941</v>
      </c>
      <c r="H1080" s="1" t="str">
        <f>IF(SUM(COUNTIF(Benchmark1[Benchmark '#1 Dates],Target1[[#This Row],[Target Dates]]),COUNTIF(Benchmark2[Benchmark '#2 Dates],Target1[[#This Row],[Target Dates]]))=2,"Pass","Fail")</f>
        <v>Pass</v>
      </c>
      <c r="I1080" s="78">
        <f t="shared" si="50"/>
        <v>-7.0300000000000011</v>
      </c>
      <c r="K1080" s="72">
        <f>Target1[[#This Row],[Target Price]]/$B$2*100</f>
        <v>259.27865037812683</v>
      </c>
      <c r="R1080">
        <f>B1081/Target1[[#This Row],[Target Price]]-1</f>
        <v>2.131478573031198E-2</v>
      </c>
    </row>
    <row r="1081" spans="1:18">
      <c r="A1081" s="96">
        <v>44851</v>
      </c>
      <c r="B1081" s="101">
        <v>45.52</v>
      </c>
      <c r="C1081" s="4">
        <f t="shared" si="48"/>
        <v>2.1090802859611138E-2</v>
      </c>
      <c r="D1081" s="4">
        <f>IFERROR(Target1[[#This Row],[Target Return]]+1,"-")</f>
        <v>1.0210908028596111</v>
      </c>
      <c r="E1081" s="6">
        <f>B1081-MAX($B$2:B1081)</f>
        <v>-6.0799999999999983</v>
      </c>
      <c r="F1081" s="80">
        <f t="shared" si="49"/>
        <v>554</v>
      </c>
      <c r="G1081" s="77">
        <f>Target1[[#This Row],[Target Drawdown]]/MAX($B$2:B1081)</f>
        <v>-0.11782945736434106</v>
      </c>
      <c r="H1081" s="1" t="str">
        <f>IF(SUM(COUNTIF(Benchmark1[Benchmark '#1 Dates],Target1[[#This Row],[Target Dates]]),COUNTIF(Benchmark2[Benchmark '#2 Dates],Target1[[#This Row],[Target Dates]]))=2,"Pass","Fail")</f>
        <v>Pass</v>
      </c>
      <c r="I1081" s="78">
        <f t="shared" si="50"/>
        <v>-6.0799999999999983</v>
      </c>
      <c r="K1081" s="72">
        <f>Target1[[#This Row],[Target Price]]/$B$2*100</f>
        <v>264.80511925538104</v>
      </c>
      <c r="R1081">
        <f>B1082/Target1[[#This Row],[Target Price]]-1</f>
        <v>1.3620386643233617E-2</v>
      </c>
    </row>
    <row r="1082" spans="1:18">
      <c r="A1082" s="96">
        <v>44852</v>
      </c>
      <c r="B1082" s="101">
        <v>46.14</v>
      </c>
      <c r="C1082" s="4">
        <f t="shared" si="48"/>
        <v>1.3528462927532002E-2</v>
      </c>
      <c r="D1082" s="4">
        <f>IFERROR(Target1[[#This Row],[Target Return]]+1,"-")</f>
        <v>1.0135284629275321</v>
      </c>
      <c r="E1082" s="6">
        <f>B1082-MAX($B$2:B1082)</f>
        <v>-5.4600000000000009</v>
      </c>
      <c r="F1082" s="80">
        <f t="shared" si="49"/>
        <v>555</v>
      </c>
      <c r="G1082" s="77">
        <f>Target1[[#This Row],[Target Drawdown]]/MAX($B$2:B1082)</f>
        <v>-0.10581395348837211</v>
      </c>
      <c r="H1082" s="1" t="str">
        <f>IF(SUM(COUNTIF(Benchmark1[Benchmark '#1 Dates],Target1[[#This Row],[Target Dates]]),COUNTIF(Benchmark2[Benchmark '#2 Dates],Target1[[#This Row],[Target Dates]]))=2,"Pass","Fail")</f>
        <v>Pass</v>
      </c>
      <c r="I1082" s="78">
        <f t="shared" si="50"/>
        <v>-5.4600000000000009</v>
      </c>
      <c r="K1082" s="72">
        <f>Target1[[#This Row],[Target Price]]/$B$2*100</f>
        <v>268.41186736474691</v>
      </c>
      <c r="R1082">
        <f>B1083/Target1[[#This Row],[Target Price]]-1</f>
        <v>7.3688773298654642E-3</v>
      </c>
    </row>
    <row r="1083" spans="1:18">
      <c r="A1083" s="96">
        <v>44853</v>
      </c>
      <c r="B1083" s="101">
        <v>46.48</v>
      </c>
      <c r="C1083" s="4">
        <f t="shared" si="48"/>
        <v>7.3418597980480201E-3</v>
      </c>
      <c r="D1083" s="4">
        <f>IFERROR(Target1[[#This Row],[Target Return]]+1,"-")</f>
        <v>1.0073418597980479</v>
      </c>
      <c r="E1083" s="6">
        <f>B1083-MAX($B$2:B1083)</f>
        <v>-5.1200000000000045</v>
      </c>
      <c r="F1083" s="80">
        <f t="shared" si="49"/>
        <v>556</v>
      </c>
      <c r="G1083" s="77">
        <f>Target1[[#This Row],[Target Drawdown]]/MAX($B$2:B1083)</f>
        <v>-9.9224806201550469E-2</v>
      </c>
      <c r="H1083" s="1" t="str">
        <f>IF(SUM(COUNTIF(Benchmark1[Benchmark '#1 Dates],Target1[[#This Row],[Target Dates]]),COUNTIF(Benchmark2[Benchmark '#2 Dates],Target1[[#This Row],[Target Dates]]))=2,"Pass","Fail")</f>
        <v>Pass</v>
      </c>
      <c r="I1083" s="78">
        <f t="shared" si="50"/>
        <v>-5.1200000000000045</v>
      </c>
      <c r="K1083" s="72">
        <f>Target1[[#This Row],[Target Price]]/$B$2*100</f>
        <v>270.38976148923786</v>
      </c>
      <c r="R1083">
        <f>B1084/Target1[[#This Row],[Target Price]]-1</f>
        <v>-1.0757314974181309E-3</v>
      </c>
    </row>
    <row r="1084" spans="1:18">
      <c r="A1084" s="96">
        <v>44854</v>
      </c>
      <c r="B1084" s="101">
        <v>46.43</v>
      </c>
      <c r="C1084" s="4">
        <f t="shared" si="48"/>
        <v>-1.0763105118253354E-3</v>
      </c>
      <c r="D1084" s="4">
        <f>IFERROR(Target1[[#This Row],[Target Return]]+1,"-")</f>
        <v>0.99892368948817467</v>
      </c>
      <c r="E1084" s="6">
        <f>B1084-MAX($B$2:B1084)</f>
        <v>-5.1700000000000017</v>
      </c>
      <c r="F1084" s="80">
        <f t="shared" si="49"/>
        <v>557</v>
      </c>
      <c r="G1084" s="77">
        <f>Target1[[#This Row],[Target Drawdown]]/MAX($B$2:B1084)</f>
        <v>-0.10019379844961243</v>
      </c>
      <c r="H1084" s="1" t="str">
        <f>IF(SUM(COUNTIF(Benchmark1[Benchmark '#1 Dates],Target1[[#This Row],[Target Dates]]),COUNTIF(Benchmark2[Benchmark '#2 Dates],Target1[[#This Row],[Target Dates]]))=2,"Pass","Fail")</f>
        <v>Pass</v>
      </c>
      <c r="I1084" s="78">
        <f t="shared" si="50"/>
        <v>-5.1700000000000017</v>
      </c>
      <c r="K1084" s="72">
        <f>Target1[[#This Row],[Target Price]]/$B$2*100</f>
        <v>270.09889470622454</v>
      </c>
      <c r="R1084">
        <f>B1085/Target1[[#This Row],[Target Price]]-1</f>
        <v>2.7999138488046249E-3</v>
      </c>
    </row>
    <row r="1085" spans="1:18">
      <c r="A1085" s="96">
        <v>44855</v>
      </c>
      <c r="B1085" s="101">
        <v>46.56</v>
      </c>
      <c r="C1085" s="4">
        <f t="shared" si="48"/>
        <v>2.7960013913520161E-3</v>
      </c>
      <c r="D1085" s="4">
        <f>IFERROR(Target1[[#This Row],[Target Return]]+1,"-")</f>
        <v>1.0027960013913519</v>
      </c>
      <c r="E1085" s="6">
        <f>B1085-MAX($B$2:B1085)</f>
        <v>-5.0399999999999991</v>
      </c>
      <c r="F1085" s="80">
        <f t="shared" si="49"/>
        <v>558</v>
      </c>
      <c r="G1085" s="77">
        <f>Target1[[#This Row],[Target Drawdown]]/MAX($B$2:B1085)</f>
        <v>-9.7674418604651148E-2</v>
      </c>
      <c r="H1085" s="1" t="str">
        <f>IF(SUM(COUNTIF(Benchmark1[Benchmark '#1 Dates],Target1[[#This Row],[Target Dates]]),COUNTIF(Benchmark2[Benchmark '#2 Dates],Target1[[#This Row],[Target Dates]]))=2,"Pass","Fail")</f>
        <v>Pass</v>
      </c>
      <c r="I1085" s="78">
        <f t="shared" si="50"/>
        <v>-5.0399999999999991</v>
      </c>
      <c r="K1085" s="72">
        <f>Target1[[#This Row],[Target Price]]/$B$2*100</f>
        <v>270.85514834205935</v>
      </c>
      <c r="R1085">
        <f>B1086/Target1[[#This Row],[Target Price]]-1</f>
        <v>-4.9398625429554199E-3</v>
      </c>
    </row>
    <row r="1086" spans="1:18">
      <c r="A1086" s="96">
        <v>44858</v>
      </c>
      <c r="B1086" s="101">
        <v>46.33</v>
      </c>
      <c r="C1086" s="4">
        <f t="shared" si="48"/>
        <v>-4.9521039946254725E-3</v>
      </c>
      <c r="D1086" s="4">
        <f>IFERROR(Target1[[#This Row],[Target Return]]+1,"-")</f>
        <v>0.99504789600537458</v>
      </c>
      <c r="E1086" s="6">
        <f>B1086-MAX($B$2:B1086)</f>
        <v>-5.2700000000000031</v>
      </c>
      <c r="F1086" s="80">
        <f t="shared" si="49"/>
        <v>559</v>
      </c>
      <c r="G1086" s="77">
        <f>Target1[[#This Row],[Target Drawdown]]/MAX($B$2:B1086)</f>
        <v>-0.10213178294573649</v>
      </c>
      <c r="H1086" s="1" t="str">
        <f>IF(SUM(COUNTIF(Benchmark1[Benchmark '#1 Dates],Target1[[#This Row],[Target Dates]]),COUNTIF(Benchmark2[Benchmark '#2 Dates],Target1[[#This Row],[Target Dates]]))=2,"Pass","Fail")</f>
        <v>Pass</v>
      </c>
      <c r="I1086" s="78">
        <f t="shared" si="50"/>
        <v>-5.2700000000000031</v>
      </c>
      <c r="K1086" s="72">
        <f>Target1[[#This Row],[Target Price]]/$B$2*100</f>
        <v>269.51716114019774</v>
      </c>
      <c r="R1086">
        <f>B1087/Target1[[#This Row],[Target Price]]-1</f>
        <v>3.8851715950787291E-3</v>
      </c>
    </row>
    <row r="1087" spans="1:18">
      <c r="A1087" s="96">
        <v>44859</v>
      </c>
      <c r="B1087" s="101">
        <v>46.51</v>
      </c>
      <c r="C1087" s="4">
        <f t="shared" si="48"/>
        <v>3.8776438074485881E-3</v>
      </c>
      <c r="D1087" s="4">
        <f>IFERROR(Target1[[#This Row],[Target Return]]+1,"-")</f>
        <v>1.0038776438074486</v>
      </c>
      <c r="E1087" s="6">
        <f>B1087-MAX($B$2:B1087)</f>
        <v>-5.0900000000000034</v>
      </c>
      <c r="F1087" s="80">
        <f t="shared" si="49"/>
        <v>560</v>
      </c>
      <c r="G1087" s="77">
        <f>Target1[[#This Row],[Target Drawdown]]/MAX($B$2:B1087)</f>
        <v>-9.8643410852713248E-2</v>
      </c>
      <c r="H1087" s="1" t="str">
        <f>IF(SUM(COUNTIF(Benchmark1[Benchmark '#1 Dates],Target1[[#This Row],[Target Dates]]),COUNTIF(Benchmark2[Benchmark '#2 Dates],Target1[[#This Row],[Target Dates]]))=2,"Pass","Fail")</f>
        <v>Pass</v>
      </c>
      <c r="I1087" s="78">
        <f t="shared" si="50"/>
        <v>-5.0900000000000034</v>
      </c>
      <c r="K1087" s="72">
        <f>Target1[[#This Row],[Target Price]]/$B$2*100</f>
        <v>270.56428155904592</v>
      </c>
      <c r="R1087">
        <f>B1088/Target1[[#This Row],[Target Price]]-1</f>
        <v>-0.29348527198451946</v>
      </c>
    </row>
    <row r="1088" spans="1:18">
      <c r="A1088" s="96">
        <v>44860</v>
      </c>
      <c r="B1088" s="101">
        <v>32.86</v>
      </c>
      <c r="C1088" s="4">
        <f t="shared" si="48"/>
        <v>-0.34741123062688362</v>
      </c>
      <c r="D1088" s="4">
        <f>IFERROR(Target1[[#This Row],[Target Return]]+1,"-")</f>
        <v>0.65258876937311638</v>
      </c>
      <c r="E1088" s="6">
        <f>B1088-MAX($B$2:B1088)</f>
        <v>-18.740000000000002</v>
      </c>
      <c r="F1088" s="80">
        <f t="shared" si="49"/>
        <v>561</v>
      </c>
      <c r="G1088" s="77">
        <f>Target1[[#This Row],[Target Drawdown]]/MAX($B$2:B1088)</f>
        <v>-0.36317829457364342</v>
      </c>
      <c r="H1088" s="1" t="str">
        <f>IF(SUM(COUNTIF(Benchmark1[Benchmark '#1 Dates],Target1[[#This Row],[Target Dates]]),COUNTIF(Benchmark2[Benchmark '#2 Dates],Target1[[#This Row],[Target Dates]]))=2,"Pass","Fail")</f>
        <v>Pass</v>
      </c>
      <c r="I1088" s="78">
        <f t="shared" si="50"/>
        <v>-18.740000000000002</v>
      </c>
      <c r="K1088" s="72">
        <f>Target1[[#This Row],[Target Price]]/$B$2*100</f>
        <v>191.15764979639323</v>
      </c>
      <c r="R1088">
        <f>B1089/Target1[[#This Row],[Target Price]]-1</f>
        <v>-1.0346926354229957E-2</v>
      </c>
    </row>
    <row r="1089" spans="1:18">
      <c r="A1089" s="96">
        <v>44861</v>
      </c>
      <c r="B1089" s="101">
        <v>32.520000000000003</v>
      </c>
      <c r="C1089" s="4">
        <f t="shared" si="48"/>
        <v>-1.0400827929512068E-2</v>
      </c>
      <c r="D1089" s="4">
        <f>IFERROR(Target1[[#This Row],[Target Return]]+1,"-")</f>
        <v>0.98959917207048798</v>
      </c>
      <c r="E1089" s="6">
        <f>B1089-MAX($B$2:B1089)</f>
        <v>-19.079999999999998</v>
      </c>
      <c r="F1089" s="80">
        <f t="shared" si="49"/>
        <v>562</v>
      </c>
      <c r="G1089" s="77">
        <f>Target1[[#This Row],[Target Drawdown]]/MAX($B$2:B1089)</f>
        <v>-0.36976744186046506</v>
      </c>
      <c r="H1089" s="1" t="str">
        <f>IF(SUM(COUNTIF(Benchmark1[Benchmark '#1 Dates],Target1[[#This Row],[Target Dates]]),COUNTIF(Benchmark2[Benchmark '#2 Dates],Target1[[#This Row],[Target Dates]]))=2,"Pass","Fail")</f>
        <v>Pass</v>
      </c>
      <c r="I1089" s="78">
        <f t="shared" si="50"/>
        <v>-19.079999999999998</v>
      </c>
      <c r="K1089" s="72">
        <f>Target1[[#This Row],[Target Price]]/$B$2*100</f>
        <v>189.17975567190229</v>
      </c>
      <c r="R1089">
        <f>B1090/Target1[[#This Row],[Target Price]]-1</f>
        <v>1.9680196801967753E-2</v>
      </c>
    </row>
    <row r="1090" spans="1:18">
      <c r="A1090" s="96">
        <v>44862</v>
      </c>
      <c r="B1090" s="101">
        <v>33.159999999999997</v>
      </c>
      <c r="C1090" s="4">
        <f t="shared" ref="C1090:C1153" si="51">IFERROR(IF(B1090="","-",LN(B1090/B1089)),"-")</f>
        <v>1.948904558748412E-2</v>
      </c>
      <c r="D1090" s="4">
        <f>IFERROR(Target1[[#This Row],[Target Return]]+1,"-")</f>
        <v>1.0194890455874841</v>
      </c>
      <c r="E1090" s="6">
        <f>B1090-MAX($B$2:B1090)</f>
        <v>-18.440000000000005</v>
      </c>
      <c r="F1090" s="80">
        <f t="shared" ref="F1090:F1153" si="52">IF(E1090=0,0,F1089+1)</f>
        <v>563</v>
      </c>
      <c r="G1090" s="77">
        <f>Target1[[#This Row],[Target Drawdown]]/MAX($B$2:B1090)</f>
        <v>-0.35736434108527138</v>
      </c>
      <c r="H1090" s="1" t="str">
        <f>IF(SUM(COUNTIF(Benchmark1[Benchmark '#1 Dates],Target1[[#This Row],[Target Dates]]),COUNTIF(Benchmark2[Benchmark '#2 Dates],Target1[[#This Row],[Target Dates]]))=2,"Pass","Fail")</f>
        <v>Pass</v>
      </c>
      <c r="I1090" s="78">
        <f t="shared" ref="I1090:I1153" si="53">$E$2+E1090</f>
        <v>-18.440000000000005</v>
      </c>
      <c r="K1090" s="72">
        <f>Target1[[#This Row],[Target Price]]/$B$2*100</f>
        <v>192.90285049447348</v>
      </c>
      <c r="R1090">
        <f>B1091/Target1[[#This Row],[Target Price]]-1</f>
        <v>1.0554885404101322E-2</v>
      </c>
    </row>
    <row r="1091" spans="1:18">
      <c r="A1091" s="96">
        <v>44865</v>
      </c>
      <c r="B1091" s="101">
        <v>33.51</v>
      </c>
      <c r="C1091" s="4">
        <f t="shared" si="51"/>
        <v>1.0499571482124801E-2</v>
      </c>
      <c r="D1091" s="4">
        <f>IFERROR(Target1[[#This Row],[Target Return]]+1,"-")</f>
        <v>1.0104995714821248</v>
      </c>
      <c r="E1091" s="6">
        <f>B1091-MAX($B$2:B1091)</f>
        <v>-18.090000000000003</v>
      </c>
      <c r="F1091" s="80">
        <f t="shared" si="52"/>
        <v>564</v>
      </c>
      <c r="G1091" s="77">
        <f>Target1[[#This Row],[Target Drawdown]]/MAX($B$2:B1091)</f>
        <v>-0.35058139534883725</v>
      </c>
      <c r="H1091" s="1" t="str">
        <f>IF(SUM(COUNTIF(Benchmark1[Benchmark '#1 Dates],Target1[[#This Row],[Target Dates]]),COUNTIF(Benchmark2[Benchmark '#2 Dates],Target1[[#This Row],[Target Dates]]))=2,"Pass","Fail")</f>
        <v>Pass</v>
      </c>
      <c r="I1091" s="78">
        <f t="shared" si="53"/>
        <v>-18.090000000000003</v>
      </c>
      <c r="K1091" s="72">
        <f>Target1[[#This Row],[Target Price]]/$B$2*100</f>
        <v>194.93891797556716</v>
      </c>
      <c r="R1091">
        <f>B1092/Target1[[#This Row],[Target Price]]-1</f>
        <v>1.2235153685467237E-2</v>
      </c>
    </row>
    <row r="1092" spans="1:18">
      <c r="A1092" s="96">
        <v>44866</v>
      </c>
      <c r="B1092" s="101">
        <v>33.92</v>
      </c>
      <c r="C1092" s="4">
        <f t="shared" si="51"/>
        <v>1.21609091744835E-2</v>
      </c>
      <c r="D1092" s="4">
        <f>IFERROR(Target1[[#This Row],[Target Return]]+1,"-")</f>
        <v>1.0121609091744834</v>
      </c>
      <c r="E1092" s="6">
        <f>B1092-MAX($B$2:B1092)</f>
        <v>-17.68</v>
      </c>
      <c r="F1092" s="80">
        <f t="shared" si="52"/>
        <v>565</v>
      </c>
      <c r="G1092" s="77">
        <f>Target1[[#This Row],[Target Drawdown]]/MAX($B$2:B1092)</f>
        <v>-0.34263565891472869</v>
      </c>
      <c r="H1092" s="1" t="str">
        <f>IF(SUM(COUNTIF(Benchmark1[Benchmark '#1 Dates],Target1[[#This Row],[Target Dates]]),COUNTIF(Benchmark2[Benchmark '#2 Dates],Target1[[#This Row],[Target Dates]]))=2,"Pass","Fail")</f>
        <v>Pass</v>
      </c>
      <c r="I1092" s="78">
        <f t="shared" si="53"/>
        <v>-17.68</v>
      </c>
      <c r="K1092" s="72">
        <f>Target1[[#This Row],[Target Price]]/$B$2*100</f>
        <v>197.3240255962769</v>
      </c>
      <c r="R1092">
        <f>B1093/Target1[[#This Row],[Target Price]]-1</f>
        <v>-5.8962264150944632E-3</v>
      </c>
    </row>
    <row r="1093" spans="1:18">
      <c r="A1093" s="96">
        <v>44867</v>
      </c>
      <c r="B1093" s="101">
        <v>33.72</v>
      </c>
      <c r="C1093" s="4">
        <f t="shared" si="51"/>
        <v>-5.9136777900477399E-3</v>
      </c>
      <c r="D1093" s="4">
        <f>IFERROR(Target1[[#This Row],[Target Return]]+1,"-")</f>
        <v>0.9940863222099523</v>
      </c>
      <c r="E1093" s="6">
        <f>B1093-MAX($B$2:B1093)</f>
        <v>-17.880000000000003</v>
      </c>
      <c r="F1093" s="80">
        <f t="shared" si="52"/>
        <v>566</v>
      </c>
      <c r="G1093" s="77">
        <f>Target1[[#This Row],[Target Drawdown]]/MAX($B$2:B1093)</f>
        <v>-0.34651162790697676</v>
      </c>
      <c r="H1093" s="1" t="str">
        <f>IF(SUM(COUNTIF(Benchmark1[Benchmark '#1 Dates],Target1[[#This Row],[Target Dates]]),COUNTIF(Benchmark2[Benchmark '#2 Dates],Target1[[#This Row],[Target Dates]]))=2,"Pass","Fail")</f>
        <v>Pass</v>
      </c>
      <c r="I1093" s="78">
        <f t="shared" si="53"/>
        <v>-17.880000000000003</v>
      </c>
      <c r="K1093" s="72">
        <f>Target1[[#This Row],[Target Price]]/$B$2*100</f>
        <v>196.16055846422336</v>
      </c>
      <c r="R1093">
        <f>B1094/Target1[[#This Row],[Target Price]]-1</f>
        <v>1.1565836298932375E-2</v>
      </c>
    </row>
    <row r="1094" spans="1:18">
      <c r="A1094" s="96">
        <v>44868</v>
      </c>
      <c r="B1094" s="101">
        <v>34.11</v>
      </c>
      <c r="C1094" s="4">
        <f t="shared" si="51"/>
        <v>1.1499463296899645E-2</v>
      </c>
      <c r="D1094" s="4">
        <f>IFERROR(Target1[[#This Row],[Target Return]]+1,"-")</f>
        <v>1.0114994632968997</v>
      </c>
      <c r="E1094" s="6">
        <f>B1094-MAX($B$2:B1094)</f>
        <v>-17.490000000000002</v>
      </c>
      <c r="F1094" s="80">
        <f t="shared" si="52"/>
        <v>567</v>
      </c>
      <c r="G1094" s="77">
        <f>Target1[[#This Row],[Target Drawdown]]/MAX($B$2:B1094)</f>
        <v>-0.33895348837209305</v>
      </c>
      <c r="H1094" s="1" t="str">
        <f>IF(SUM(COUNTIF(Benchmark1[Benchmark '#1 Dates],Target1[[#This Row],[Target Dates]]),COUNTIF(Benchmark2[Benchmark '#2 Dates],Target1[[#This Row],[Target Dates]]))=2,"Pass","Fail")</f>
        <v>Pass</v>
      </c>
      <c r="I1094" s="78">
        <f t="shared" si="53"/>
        <v>-17.490000000000002</v>
      </c>
      <c r="K1094" s="72">
        <f>Target1[[#This Row],[Target Price]]/$B$2*100</f>
        <v>198.42931937172773</v>
      </c>
      <c r="R1094">
        <f>B1095/Target1[[#This Row],[Target Price]]-1</f>
        <v>-2.9316915860452264E-3</v>
      </c>
    </row>
    <row r="1095" spans="1:18">
      <c r="A1095" s="96">
        <v>44869</v>
      </c>
      <c r="B1095" s="101">
        <v>34.01</v>
      </c>
      <c r="C1095" s="4">
        <f t="shared" si="51"/>
        <v>-2.935997411450353E-3</v>
      </c>
      <c r="D1095" s="4">
        <f>IFERROR(Target1[[#This Row],[Target Return]]+1,"-")</f>
        <v>0.99706400258854966</v>
      </c>
      <c r="E1095" s="6">
        <f>B1095-MAX($B$2:B1095)</f>
        <v>-17.590000000000003</v>
      </c>
      <c r="F1095" s="80">
        <f t="shared" si="52"/>
        <v>568</v>
      </c>
      <c r="G1095" s="77">
        <f>Target1[[#This Row],[Target Drawdown]]/MAX($B$2:B1095)</f>
        <v>-0.34089147286821714</v>
      </c>
      <c r="H1095" s="1" t="str">
        <f>IF(SUM(COUNTIF(Benchmark1[Benchmark '#1 Dates],Target1[[#This Row],[Target Dates]]),COUNTIF(Benchmark2[Benchmark '#2 Dates],Target1[[#This Row],[Target Dates]]))=2,"Pass","Fail")</f>
        <v>Pass</v>
      </c>
      <c r="I1095" s="78">
        <f t="shared" si="53"/>
        <v>-17.590000000000003</v>
      </c>
      <c r="K1095" s="72">
        <f>Target1[[#This Row],[Target Price]]/$B$2*100</f>
        <v>197.84758580570096</v>
      </c>
      <c r="R1095">
        <f>B1096/Target1[[#This Row],[Target Price]]-1</f>
        <v>1.3231402528668168E-2</v>
      </c>
    </row>
    <row r="1096" spans="1:18">
      <c r="A1096" s="96">
        <v>44872</v>
      </c>
      <c r="B1096" s="101">
        <v>34.46</v>
      </c>
      <c r="C1096" s="4">
        <f t="shared" si="51"/>
        <v>1.3144632080679602E-2</v>
      </c>
      <c r="D1096" s="4">
        <f>IFERROR(Target1[[#This Row],[Target Return]]+1,"-")</f>
        <v>1.0131446320806796</v>
      </c>
      <c r="E1096" s="6">
        <f>B1096-MAX($B$2:B1096)</f>
        <v>-17.14</v>
      </c>
      <c r="F1096" s="80">
        <f t="shared" si="52"/>
        <v>569</v>
      </c>
      <c r="G1096" s="77">
        <f>Target1[[#This Row],[Target Drawdown]]/MAX($B$2:B1096)</f>
        <v>-0.33217054263565893</v>
      </c>
      <c r="H1096" s="1" t="str">
        <f>IF(SUM(COUNTIF(Benchmark1[Benchmark '#1 Dates],Target1[[#This Row],[Target Dates]]),COUNTIF(Benchmark2[Benchmark '#2 Dates],Target1[[#This Row],[Target Dates]]))=2,"Pass","Fail")</f>
        <v>Pass</v>
      </c>
      <c r="I1096" s="78">
        <f t="shared" si="53"/>
        <v>-17.14</v>
      </c>
      <c r="K1096" s="72">
        <f>Target1[[#This Row],[Target Price]]/$B$2*100</f>
        <v>200.46538685282141</v>
      </c>
      <c r="R1096">
        <f>B1097/Target1[[#This Row],[Target Price]]-1</f>
        <v>-1.3348810214741769E-2</v>
      </c>
    </row>
    <row r="1097" spans="1:18">
      <c r="A1097" s="96">
        <v>44873</v>
      </c>
      <c r="B1097" s="101">
        <v>34</v>
      </c>
      <c r="C1097" s="4">
        <f t="shared" si="51"/>
        <v>-1.3438706483622213E-2</v>
      </c>
      <c r="D1097" s="4">
        <f>IFERROR(Target1[[#This Row],[Target Return]]+1,"-")</f>
        <v>0.98656129351637778</v>
      </c>
      <c r="E1097" s="6">
        <f>B1097-MAX($B$2:B1097)</f>
        <v>-17.600000000000001</v>
      </c>
      <c r="F1097" s="80">
        <f t="shared" si="52"/>
        <v>570</v>
      </c>
      <c r="G1097" s="77">
        <f>Target1[[#This Row],[Target Drawdown]]/MAX($B$2:B1097)</f>
        <v>-0.34108527131782945</v>
      </c>
      <c r="H1097" s="1" t="str">
        <f>IF(SUM(COUNTIF(Benchmark1[Benchmark '#1 Dates],Target1[[#This Row],[Target Dates]]),COUNTIF(Benchmark2[Benchmark '#2 Dates],Target1[[#This Row],[Target Dates]]))=2,"Pass","Fail")</f>
        <v>Pass</v>
      </c>
      <c r="I1097" s="78">
        <f t="shared" si="53"/>
        <v>-17.600000000000001</v>
      </c>
      <c r="K1097" s="72">
        <f>Target1[[#This Row],[Target Price]]/$B$2*100</f>
        <v>197.78941244909828</v>
      </c>
      <c r="R1097">
        <f>B1098/Target1[[#This Row],[Target Price]]-1</f>
        <v>-2.0000000000000018E-2</v>
      </c>
    </row>
    <row r="1098" spans="1:18">
      <c r="A1098" s="96">
        <v>44874</v>
      </c>
      <c r="B1098" s="101">
        <v>33.32</v>
      </c>
      <c r="C1098" s="4">
        <f t="shared" si="51"/>
        <v>-2.0202707317519466E-2</v>
      </c>
      <c r="D1098" s="4">
        <f>IFERROR(Target1[[#This Row],[Target Return]]+1,"-")</f>
        <v>0.9797972926824805</v>
      </c>
      <c r="E1098" s="6">
        <f>B1098-MAX($B$2:B1098)</f>
        <v>-18.28</v>
      </c>
      <c r="F1098" s="80">
        <f t="shared" si="52"/>
        <v>571</v>
      </c>
      <c r="G1098" s="77">
        <f>Target1[[#This Row],[Target Drawdown]]/MAX($B$2:B1098)</f>
        <v>-0.3542635658914729</v>
      </c>
      <c r="H1098" s="1" t="str">
        <f>IF(SUM(COUNTIF(Benchmark1[Benchmark '#1 Dates],Target1[[#This Row],[Target Dates]]),COUNTIF(Benchmark2[Benchmark '#2 Dates],Target1[[#This Row],[Target Dates]]))=2,"Pass","Fail")</f>
        <v>Pass</v>
      </c>
      <c r="I1098" s="78">
        <f t="shared" si="53"/>
        <v>-18.28</v>
      </c>
      <c r="K1098" s="72">
        <f>Target1[[#This Row],[Target Price]]/$B$2*100</f>
        <v>193.83362420011633</v>
      </c>
      <c r="R1098">
        <f>B1099/Target1[[#This Row],[Target Price]]-1</f>
        <v>3.0012004801920789E-2</v>
      </c>
    </row>
    <row r="1099" spans="1:18">
      <c r="A1099" s="96">
        <v>44875</v>
      </c>
      <c r="B1099" s="101">
        <v>34.32</v>
      </c>
      <c r="C1099" s="4">
        <f t="shared" si="51"/>
        <v>2.9570457321119611E-2</v>
      </c>
      <c r="D1099" s="4">
        <f>IFERROR(Target1[[#This Row],[Target Return]]+1,"-")</f>
        <v>1.0295704573211195</v>
      </c>
      <c r="E1099" s="6">
        <f>B1099-MAX($B$2:B1099)</f>
        <v>-17.28</v>
      </c>
      <c r="F1099" s="80">
        <f t="shared" si="52"/>
        <v>572</v>
      </c>
      <c r="G1099" s="77">
        <f>Target1[[#This Row],[Target Drawdown]]/MAX($B$2:B1099)</f>
        <v>-0.33488372093023255</v>
      </c>
      <c r="H1099" s="1" t="str">
        <f>IF(SUM(COUNTIF(Benchmark1[Benchmark '#1 Dates],Target1[[#This Row],[Target Dates]]),COUNTIF(Benchmark2[Benchmark '#2 Dates],Target1[[#This Row],[Target Dates]]))=2,"Pass","Fail")</f>
        <v>Pass</v>
      </c>
      <c r="I1099" s="78">
        <f t="shared" si="53"/>
        <v>-17.28</v>
      </c>
      <c r="K1099" s="72">
        <f>Target1[[#This Row],[Target Price]]/$B$2*100</f>
        <v>199.65095986038392</v>
      </c>
      <c r="R1099">
        <f>B1100/Target1[[#This Row],[Target Price]]-1</f>
        <v>-9.3240093240093413E-3</v>
      </c>
    </row>
    <row r="1100" spans="1:18">
      <c r="A1100" s="96">
        <v>44876</v>
      </c>
      <c r="B1100" s="101">
        <v>34</v>
      </c>
      <c r="C1100" s="4">
        <f t="shared" si="51"/>
        <v>-9.3677500036001594E-3</v>
      </c>
      <c r="D1100" s="4">
        <f>IFERROR(Target1[[#This Row],[Target Return]]+1,"-")</f>
        <v>0.99063224999639987</v>
      </c>
      <c r="E1100" s="6">
        <f>B1100-MAX($B$2:B1100)</f>
        <v>-17.600000000000001</v>
      </c>
      <c r="F1100" s="80">
        <f t="shared" si="52"/>
        <v>573</v>
      </c>
      <c r="G1100" s="77">
        <f>Target1[[#This Row],[Target Drawdown]]/MAX($B$2:B1100)</f>
        <v>-0.34108527131782945</v>
      </c>
      <c r="H1100" s="1" t="str">
        <f>IF(SUM(COUNTIF(Benchmark1[Benchmark '#1 Dates],Target1[[#This Row],[Target Dates]]),COUNTIF(Benchmark2[Benchmark '#2 Dates],Target1[[#This Row],[Target Dates]]))=2,"Pass","Fail")</f>
        <v>Pass</v>
      </c>
      <c r="I1100" s="78">
        <f t="shared" si="53"/>
        <v>-17.600000000000001</v>
      </c>
      <c r="K1100" s="72">
        <f>Target1[[#This Row],[Target Price]]/$B$2*100</f>
        <v>197.78941244909828</v>
      </c>
      <c r="R1100">
        <f>B1101/Target1[[#This Row],[Target Price]]-1</f>
        <v>3.0882352941176361E-2</v>
      </c>
    </row>
    <row r="1101" spans="1:18">
      <c r="A1101" s="96">
        <v>44879</v>
      </c>
      <c r="B1101" s="101">
        <v>35.049999999999997</v>
      </c>
      <c r="C1101" s="4">
        <f t="shared" si="51"/>
        <v>3.0415088864437601E-2</v>
      </c>
      <c r="D1101" s="4">
        <f>IFERROR(Target1[[#This Row],[Target Return]]+1,"-")</f>
        <v>1.0304150888644377</v>
      </c>
      <c r="E1101" s="6">
        <f>B1101-MAX($B$2:B1101)</f>
        <v>-16.550000000000004</v>
      </c>
      <c r="F1101" s="80">
        <f t="shared" si="52"/>
        <v>574</v>
      </c>
      <c r="G1101" s="77">
        <f>Target1[[#This Row],[Target Drawdown]]/MAX($B$2:B1101)</f>
        <v>-0.3207364341085272</v>
      </c>
      <c r="H1101" s="1" t="str">
        <f>IF(SUM(COUNTIF(Benchmark1[Benchmark '#1 Dates],Target1[[#This Row],[Target Dates]]),COUNTIF(Benchmark2[Benchmark '#2 Dates],Target1[[#This Row],[Target Dates]]))=2,"Pass","Fail")</f>
        <v>Pass</v>
      </c>
      <c r="I1101" s="78">
        <f t="shared" si="53"/>
        <v>-16.550000000000004</v>
      </c>
      <c r="K1101" s="72">
        <f>Target1[[#This Row],[Target Price]]/$B$2*100</f>
        <v>203.89761489237927</v>
      </c>
      <c r="R1101">
        <f>B1102/Target1[[#This Row],[Target Price]]-1</f>
        <v>2.1112696148359644E-2</v>
      </c>
    </row>
    <row r="1102" spans="1:18">
      <c r="A1102" s="96">
        <v>44880</v>
      </c>
      <c r="B1102" s="101">
        <v>35.79</v>
      </c>
      <c r="C1102" s="4">
        <f t="shared" si="51"/>
        <v>2.0892911297335493E-2</v>
      </c>
      <c r="D1102" s="4">
        <f>IFERROR(Target1[[#This Row],[Target Return]]+1,"-")</f>
        <v>1.0208929112973355</v>
      </c>
      <c r="E1102" s="6">
        <f>B1102-MAX($B$2:B1102)</f>
        <v>-15.810000000000002</v>
      </c>
      <c r="F1102" s="80">
        <f t="shared" si="52"/>
        <v>575</v>
      </c>
      <c r="G1102" s="77">
        <f>Target1[[#This Row],[Target Drawdown]]/MAX($B$2:B1102)</f>
        <v>-0.30639534883720931</v>
      </c>
      <c r="H1102" s="1" t="str">
        <f>IF(SUM(COUNTIF(Benchmark1[Benchmark '#1 Dates],Target1[[#This Row],[Target Dates]]),COUNTIF(Benchmark2[Benchmark '#2 Dates],Target1[[#This Row],[Target Dates]]))=2,"Pass","Fail")</f>
        <v>Pass</v>
      </c>
      <c r="I1102" s="78">
        <f t="shared" si="53"/>
        <v>-15.810000000000002</v>
      </c>
      <c r="K1102" s="72">
        <f>Target1[[#This Row],[Target Price]]/$B$2*100</f>
        <v>208.20244328097729</v>
      </c>
      <c r="R1102">
        <f>B1103/Target1[[#This Row],[Target Price]]-1</f>
        <v>-1.8999720592344227E-2</v>
      </c>
    </row>
    <row r="1103" spans="1:18">
      <c r="A1103" s="96">
        <v>44881</v>
      </c>
      <c r="B1103" s="101">
        <v>35.11</v>
      </c>
      <c r="C1103" s="4">
        <f t="shared" si="51"/>
        <v>-1.9182534597593559E-2</v>
      </c>
      <c r="D1103" s="4">
        <f>IFERROR(Target1[[#This Row],[Target Return]]+1,"-")</f>
        <v>0.98081746540240644</v>
      </c>
      <c r="E1103" s="6">
        <f>B1103-MAX($B$2:B1103)</f>
        <v>-16.490000000000002</v>
      </c>
      <c r="F1103" s="80">
        <f t="shared" si="52"/>
        <v>576</v>
      </c>
      <c r="G1103" s="77">
        <f>Target1[[#This Row],[Target Drawdown]]/MAX($B$2:B1103)</f>
        <v>-0.31957364341085276</v>
      </c>
      <c r="H1103" s="1" t="str">
        <f>IF(SUM(COUNTIF(Benchmark1[Benchmark '#1 Dates],Target1[[#This Row],[Target Dates]]),COUNTIF(Benchmark2[Benchmark '#2 Dates],Target1[[#This Row],[Target Dates]]))=2,"Pass","Fail")</f>
        <v>Pass</v>
      </c>
      <c r="I1103" s="78">
        <f t="shared" si="53"/>
        <v>-16.490000000000002</v>
      </c>
      <c r="K1103" s="72">
        <f>Target1[[#This Row],[Target Price]]/$B$2*100</f>
        <v>204.24665503199532</v>
      </c>
      <c r="R1103">
        <f>B1104/Target1[[#This Row],[Target Price]]-1</f>
        <v>1.9937339789233288E-3</v>
      </c>
    </row>
    <row r="1104" spans="1:18">
      <c r="A1104" s="96">
        <v>44882</v>
      </c>
      <c r="B1104" s="101">
        <v>35.18</v>
      </c>
      <c r="C1104" s="4">
        <f t="shared" si="51"/>
        <v>1.9917491290711814E-3</v>
      </c>
      <c r="D1104" s="4">
        <f>IFERROR(Target1[[#This Row],[Target Return]]+1,"-")</f>
        <v>1.0019917491290711</v>
      </c>
      <c r="E1104" s="6">
        <f>B1104-MAX($B$2:B1104)</f>
        <v>-16.420000000000002</v>
      </c>
      <c r="F1104" s="80">
        <f t="shared" si="52"/>
        <v>577</v>
      </c>
      <c r="G1104" s="77">
        <f>Target1[[#This Row],[Target Drawdown]]/MAX($B$2:B1104)</f>
        <v>-0.31821705426356589</v>
      </c>
      <c r="H1104" s="1" t="str">
        <f>IF(SUM(COUNTIF(Benchmark1[Benchmark '#1 Dates],Target1[[#This Row],[Target Dates]]),COUNTIF(Benchmark2[Benchmark '#2 Dates],Target1[[#This Row],[Target Dates]]))=2,"Pass","Fail")</f>
        <v>Pass</v>
      </c>
      <c r="I1104" s="78">
        <f t="shared" si="53"/>
        <v>-16.420000000000002</v>
      </c>
      <c r="K1104" s="72">
        <f>Target1[[#This Row],[Target Price]]/$B$2*100</f>
        <v>204.65386852821408</v>
      </c>
      <c r="R1104">
        <f>B1105/Target1[[#This Row],[Target Price]]-1</f>
        <v>1.3359863558840113E-2</v>
      </c>
    </row>
    <row r="1105" spans="1:18">
      <c r="A1105" s="96">
        <v>44883</v>
      </c>
      <c r="B1105" s="101">
        <v>35.65</v>
      </c>
      <c r="C1105" s="4">
        <f t="shared" si="51"/>
        <v>1.3271407550892697E-2</v>
      </c>
      <c r="D1105" s="4">
        <f>IFERROR(Target1[[#This Row],[Target Return]]+1,"-")</f>
        <v>1.0132714075508926</v>
      </c>
      <c r="E1105" s="6">
        <f>B1105-MAX($B$2:B1105)</f>
        <v>-15.950000000000003</v>
      </c>
      <c r="F1105" s="80">
        <f t="shared" si="52"/>
        <v>578</v>
      </c>
      <c r="G1105" s="77">
        <f>Target1[[#This Row],[Target Drawdown]]/MAX($B$2:B1105)</f>
        <v>-0.309108527131783</v>
      </c>
      <c r="H1105" s="1" t="str">
        <f>IF(SUM(COUNTIF(Benchmark1[Benchmark '#1 Dates],Target1[[#This Row],[Target Dates]]),COUNTIF(Benchmark2[Benchmark '#2 Dates],Target1[[#This Row],[Target Dates]]))=2,"Pass","Fail")</f>
        <v>Pass</v>
      </c>
      <c r="I1105" s="78">
        <f t="shared" si="53"/>
        <v>-15.950000000000003</v>
      </c>
      <c r="K1105" s="72">
        <f>Target1[[#This Row],[Target Price]]/$B$2*100</f>
        <v>207.38801628853986</v>
      </c>
      <c r="R1105">
        <f>B1106/Target1[[#This Row],[Target Price]]-1</f>
        <v>6.7321178120618441E-3</v>
      </c>
    </row>
    <row r="1106" spans="1:18">
      <c r="A1106" s="96">
        <v>44886</v>
      </c>
      <c r="B1106" s="101">
        <v>35.89</v>
      </c>
      <c r="C1106" s="4">
        <f t="shared" si="51"/>
        <v>6.7095582992110873E-3</v>
      </c>
      <c r="D1106" s="4">
        <f>IFERROR(Target1[[#This Row],[Target Return]]+1,"-")</f>
        <v>1.0067095582992112</v>
      </c>
      <c r="E1106" s="6">
        <f>B1106-MAX($B$2:B1106)</f>
        <v>-15.71</v>
      </c>
      <c r="F1106" s="80">
        <f t="shared" si="52"/>
        <v>579</v>
      </c>
      <c r="G1106" s="77">
        <f>Target1[[#This Row],[Target Drawdown]]/MAX($B$2:B1106)</f>
        <v>-0.30445736434108528</v>
      </c>
      <c r="H1106" s="1" t="str">
        <f>IF(SUM(COUNTIF(Benchmark1[Benchmark '#1 Dates],Target1[[#This Row],[Target Dates]]),COUNTIF(Benchmark2[Benchmark '#2 Dates],Target1[[#This Row],[Target Dates]]))=2,"Pass","Fail")</f>
        <v>Pass</v>
      </c>
      <c r="I1106" s="78">
        <f t="shared" si="53"/>
        <v>-15.71</v>
      </c>
      <c r="K1106" s="72">
        <f>Target1[[#This Row],[Target Price]]/$B$2*100</f>
        <v>208.78417684700406</v>
      </c>
      <c r="R1106">
        <f>B1107/Target1[[#This Row],[Target Price]]-1</f>
        <v>-6.4084703259962295E-3</v>
      </c>
    </row>
    <row r="1107" spans="1:18">
      <c r="A1107" s="96">
        <v>44887</v>
      </c>
      <c r="B1107" s="101">
        <v>35.659999999999997</v>
      </c>
      <c r="C1107" s="4">
        <f t="shared" si="51"/>
        <v>-6.4290927245216796E-3</v>
      </c>
      <c r="D1107" s="4">
        <f>IFERROR(Target1[[#This Row],[Target Return]]+1,"-")</f>
        <v>0.99357090727547837</v>
      </c>
      <c r="E1107" s="6">
        <f>B1107-MAX($B$2:B1107)</f>
        <v>-15.940000000000005</v>
      </c>
      <c r="F1107" s="80">
        <f t="shared" si="52"/>
        <v>580</v>
      </c>
      <c r="G1107" s="77">
        <f>Target1[[#This Row],[Target Drawdown]]/MAX($B$2:B1107)</f>
        <v>-0.30891472868217063</v>
      </c>
      <c r="H1107" s="1" t="str">
        <f>IF(SUM(COUNTIF(Benchmark1[Benchmark '#1 Dates],Target1[[#This Row],[Target Dates]]),COUNTIF(Benchmark2[Benchmark '#2 Dates],Target1[[#This Row],[Target Dates]]))=2,"Pass","Fail")</f>
        <v>Pass</v>
      </c>
      <c r="I1107" s="78">
        <f t="shared" si="53"/>
        <v>-15.940000000000005</v>
      </c>
      <c r="K1107" s="72">
        <f>Target1[[#This Row],[Target Price]]/$B$2*100</f>
        <v>207.44618964514251</v>
      </c>
      <c r="R1107">
        <f>B1108/Target1[[#This Row],[Target Price]]-1</f>
        <v>0</v>
      </c>
    </row>
    <row r="1108" spans="1:18">
      <c r="A1108" s="96">
        <v>44888</v>
      </c>
      <c r="B1108" s="101">
        <v>35.659999999999997</v>
      </c>
      <c r="C1108" s="4">
        <f t="shared" si="51"/>
        <v>0</v>
      </c>
      <c r="D1108" s="4">
        <f>IFERROR(Target1[[#This Row],[Target Return]]+1,"-")</f>
        <v>1</v>
      </c>
      <c r="E1108" s="6">
        <f>B1108-MAX($B$2:B1108)</f>
        <v>-15.940000000000005</v>
      </c>
      <c r="F1108" s="80">
        <f t="shared" si="52"/>
        <v>581</v>
      </c>
      <c r="G1108" s="77">
        <f>Target1[[#This Row],[Target Drawdown]]/MAX($B$2:B1108)</f>
        <v>-0.30891472868217063</v>
      </c>
      <c r="H1108" s="1" t="str">
        <f>IF(SUM(COUNTIF(Benchmark1[Benchmark '#1 Dates],Target1[[#This Row],[Target Dates]]),COUNTIF(Benchmark2[Benchmark '#2 Dates],Target1[[#This Row],[Target Dates]]))=2,"Pass","Fail")</f>
        <v>Pass</v>
      </c>
      <c r="I1108" s="78">
        <f t="shared" si="53"/>
        <v>-15.940000000000005</v>
      </c>
      <c r="K1108" s="72">
        <f>Target1[[#This Row],[Target Price]]/$B$2*100</f>
        <v>207.44618964514251</v>
      </c>
      <c r="R1108">
        <f>B1109/Target1[[#This Row],[Target Price]]-1</f>
        <v>8.4127874369044342E-4</v>
      </c>
    </row>
    <row r="1109" spans="1:18">
      <c r="A1109" s="96">
        <v>44890</v>
      </c>
      <c r="B1109" s="101">
        <v>35.69</v>
      </c>
      <c r="C1109" s="4">
        <f t="shared" si="51"/>
        <v>8.4092506707466328E-4</v>
      </c>
      <c r="D1109" s="4">
        <f>IFERROR(Target1[[#This Row],[Target Return]]+1,"-")</f>
        <v>1.0008409250670747</v>
      </c>
      <c r="E1109" s="6">
        <f>B1109-MAX($B$2:B1109)</f>
        <v>-15.910000000000004</v>
      </c>
      <c r="F1109" s="80">
        <f t="shared" si="52"/>
        <v>582</v>
      </c>
      <c r="G1109" s="77">
        <f>Target1[[#This Row],[Target Drawdown]]/MAX($B$2:B1109)</f>
        <v>-0.3083333333333334</v>
      </c>
      <c r="H1109" s="1" t="str">
        <f>IF(SUM(COUNTIF(Benchmark1[Benchmark '#1 Dates],Target1[[#This Row],[Target Dates]]),COUNTIF(Benchmark2[Benchmark '#2 Dates],Target1[[#This Row],[Target Dates]]))=2,"Pass","Fail")</f>
        <v>Pass</v>
      </c>
      <c r="I1109" s="78">
        <f t="shared" si="53"/>
        <v>-15.910000000000004</v>
      </c>
      <c r="K1109" s="72">
        <f>Target1[[#This Row],[Target Price]]/$B$2*100</f>
        <v>207.62070971495049</v>
      </c>
      <c r="R1109">
        <f>B1110/Target1[[#This Row],[Target Price]]-1</f>
        <v>7.8453348276827928E-3</v>
      </c>
    </row>
    <row r="1110" spans="1:18">
      <c r="A1110" s="96">
        <v>44893</v>
      </c>
      <c r="B1110" s="101">
        <v>35.97</v>
      </c>
      <c r="C1110" s="4">
        <f t="shared" si="51"/>
        <v>7.8147202054635583E-3</v>
      </c>
      <c r="D1110" s="4">
        <f>IFERROR(Target1[[#This Row],[Target Return]]+1,"-")</f>
        <v>1.0078147202054635</v>
      </c>
      <c r="E1110" s="6">
        <f>B1110-MAX($B$2:B1110)</f>
        <v>-15.630000000000003</v>
      </c>
      <c r="F1110" s="80">
        <f t="shared" si="52"/>
        <v>583</v>
      </c>
      <c r="G1110" s="77">
        <f>Target1[[#This Row],[Target Drawdown]]/MAX($B$2:B1110)</f>
        <v>-0.3029069767441861</v>
      </c>
      <c r="H1110" s="1" t="str">
        <f>IF(SUM(COUNTIF(Benchmark1[Benchmark '#1 Dates],Target1[[#This Row],[Target Dates]]),COUNTIF(Benchmark2[Benchmark '#2 Dates],Target1[[#This Row],[Target Dates]]))=2,"Pass","Fail")</f>
        <v>Pass</v>
      </c>
      <c r="I1110" s="78">
        <f t="shared" si="53"/>
        <v>-15.630000000000003</v>
      </c>
      <c r="K1110" s="72">
        <f>Target1[[#This Row],[Target Price]]/$B$2*100</f>
        <v>209.24956369982544</v>
      </c>
      <c r="R1110">
        <f>B1111/Target1[[#This Row],[Target Price]]-1</f>
        <v>-4.7261606894635211E-3</v>
      </c>
    </row>
    <row r="1111" spans="1:18">
      <c r="A1111" s="96">
        <v>44894</v>
      </c>
      <c r="B1111" s="101">
        <v>35.799999999999997</v>
      </c>
      <c r="C1111" s="4">
        <f t="shared" si="51"/>
        <v>-4.7373643008780256E-3</v>
      </c>
      <c r="D1111" s="4">
        <f>IFERROR(Target1[[#This Row],[Target Return]]+1,"-")</f>
        <v>0.99526263569912199</v>
      </c>
      <c r="E1111" s="6">
        <f>B1111-MAX($B$2:B1111)</f>
        <v>-15.800000000000004</v>
      </c>
      <c r="F1111" s="80">
        <f t="shared" si="52"/>
        <v>584</v>
      </c>
      <c r="G1111" s="77">
        <f>Target1[[#This Row],[Target Drawdown]]/MAX($B$2:B1111)</f>
        <v>-0.306201550387597</v>
      </c>
      <c r="H1111" s="1" t="str">
        <f>IF(SUM(COUNTIF(Benchmark1[Benchmark '#1 Dates],Target1[[#This Row],[Target Dates]]),COUNTIF(Benchmark2[Benchmark '#2 Dates],Target1[[#This Row],[Target Dates]]))=2,"Pass","Fail")</f>
        <v>Pass</v>
      </c>
      <c r="I1111" s="78">
        <f t="shared" si="53"/>
        <v>-15.800000000000004</v>
      </c>
      <c r="K1111" s="72">
        <f>Target1[[#This Row],[Target Price]]/$B$2*100</f>
        <v>208.26061663757994</v>
      </c>
      <c r="R1111">
        <f>B1112/Target1[[#This Row],[Target Price]]-1</f>
        <v>-1.0893854748603382E-2</v>
      </c>
    </row>
    <row r="1112" spans="1:18">
      <c r="A1112" s="96">
        <v>44895</v>
      </c>
      <c r="B1112" s="101">
        <v>35.409999999999997</v>
      </c>
      <c r="C1112" s="4">
        <f t="shared" si="51"/>
        <v>-1.0953627282842287E-2</v>
      </c>
      <c r="D1112" s="4">
        <f>IFERROR(Target1[[#This Row],[Target Return]]+1,"-")</f>
        <v>0.98904637271715767</v>
      </c>
      <c r="E1112" s="6">
        <f>B1112-MAX($B$2:B1112)</f>
        <v>-16.190000000000005</v>
      </c>
      <c r="F1112" s="80">
        <f t="shared" si="52"/>
        <v>585</v>
      </c>
      <c r="G1112" s="77">
        <f>Target1[[#This Row],[Target Drawdown]]/MAX($B$2:B1112)</f>
        <v>-0.31375968992248071</v>
      </c>
      <c r="H1112" s="1" t="str">
        <f>IF(SUM(COUNTIF(Benchmark1[Benchmark '#1 Dates],Target1[[#This Row],[Target Dates]]),COUNTIF(Benchmark2[Benchmark '#2 Dates],Target1[[#This Row],[Target Dates]]))=2,"Pass","Fail")</f>
        <v>Pass</v>
      </c>
      <c r="I1112" s="78">
        <f t="shared" si="53"/>
        <v>-16.190000000000005</v>
      </c>
      <c r="K1112" s="72">
        <f>Target1[[#This Row],[Target Price]]/$B$2*100</f>
        <v>205.9918557300756</v>
      </c>
      <c r="R1112">
        <f>B1113/Target1[[#This Row],[Target Price]]-1</f>
        <v>-2.4004518497599436E-2</v>
      </c>
    </row>
    <row r="1113" spans="1:18">
      <c r="A1113" s="96">
        <v>44896</v>
      </c>
      <c r="B1113" s="101">
        <v>34.56</v>
      </c>
      <c r="C1113" s="4">
        <f t="shared" si="51"/>
        <v>-2.4297322187957378E-2</v>
      </c>
      <c r="D1113" s="4">
        <f>IFERROR(Target1[[#This Row],[Target Return]]+1,"-")</f>
        <v>0.97570267781204267</v>
      </c>
      <c r="E1113" s="6">
        <f>B1113-MAX($B$2:B1113)</f>
        <v>-17.04</v>
      </c>
      <c r="F1113" s="80">
        <f t="shared" si="52"/>
        <v>586</v>
      </c>
      <c r="G1113" s="77">
        <f>Target1[[#This Row],[Target Drawdown]]/MAX($B$2:B1113)</f>
        <v>-0.33023255813953484</v>
      </c>
      <c r="H1113" s="1" t="str">
        <f>IF(SUM(COUNTIF(Benchmark1[Benchmark '#1 Dates],Target1[[#This Row],[Target Dates]]),COUNTIF(Benchmark2[Benchmark '#2 Dates],Target1[[#This Row],[Target Dates]]))=2,"Pass","Fail")</f>
        <v>Pass</v>
      </c>
      <c r="I1113" s="78">
        <f t="shared" si="53"/>
        <v>-17.04</v>
      </c>
      <c r="K1113" s="72">
        <f>Target1[[#This Row],[Target Price]]/$B$2*100</f>
        <v>201.04712041884815</v>
      </c>
      <c r="R1113">
        <f>B1114/Target1[[#This Row],[Target Price]]-1</f>
        <v>-4.3402777777779011E-3</v>
      </c>
    </row>
    <row r="1114" spans="1:18">
      <c r="A1114" s="96">
        <v>44897</v>
      </c>
      <c r="B1114" s="101">
        <v>34.409999999999997</v>
      </c>
      <c r="C1114" s="4">
        <f t="shared" si="51"/>
        <v>-4.3497241264659819E-3</v>
      </c>
      <c r="D1114" s="4">
        <f>IFERROR(Target1[[#This Row],[Target Return]]+1,"-")</f>
        <v>0.99565027587353405</v>
      </c>
      <c r="E1114" s="6">
        <f>B1114-MAX($B$2:B1114)</f>
        <v>-17.190000000000005</v>
      </c>
      <c r="F1114" s="80">
        <f t="shared" si="52"/>
        <v>587</v>
      </c>
      <c r="G1114" s="77">
        <f>Target1[[#This Row],[Target Drawdown]]/MAX($B$2:B1114)</f>
        <v>-0.333139534883721</v>
      </c>
      <c r="H1114" s="1" t="str">
        <f>IF(SUM(COUNTIF(Benchmark1[Benchmark '#1 Dates],Target1[[#This Row],[Target Dates]]),COUNTIF(Benchmark2[Benchmark '#2 Dates],Target1[[#This Row],[Target Dates]]))=2,"Pass","Fail")</f>
        <v>Pass</v>
      </c>
      <c r="I1114" s="78">
        <f t="shared" si="53"/>
        <v>-17.190000000000005</v>
      </c>
      <c r="K1114" s="72">
        <f>Target1[[#This Row],[Target Price]]/$B$2*100</f>
        <v>200.17452006980801</v>
      </c>
      <c r="R1114">
        <f>B1115/Target1[[#This Row],[Target Price]]-1</f>
        <v>-3.4582970066840968E-2</v>
      </c>
    </row>
    <row r="1115" spans="1:18">
      <c r="A1115" s="96">
        <v>44900</v>
      </c>
      <c r="B1115" s="101">
        <v>33.22</v>
      </c>
      <c r="C1115" s="4">
        <f t="shared" si="51"/>
        <v>-3.5195115624240131E-2</v>
      </c>
      <c r="D1115" s="4">
        <f>IFERROR(Target1[[#This Row],[Target Return]]+1,"-")</f>
        <v>0.96480488437575984</v>
      </c>
      <c r="E1115" s="6">
        <f>B1115-MAX($B$2:B1115)</f>
        <v>-18.380000000000003</v>
      </c>
      <c r="F1115" s="80">
        <f t="shared" si="52"/>
        <v>588</v>
      </c>
      <c r="G1115" s="77">
        <f>Target1[[#This Row],[Target Drawdown]]/MAX($B$2:B1115)</f>
        <v>-0.35620155038759693</v>
      </c>
      <c r="H1115" s="1" t="str">
        <f>IF(SUM(COUNTIF(Benchmark1[Benchmark '#1 Dates],Target1[[#This Row],[Target Dates]]),COUNTIF(Benchmark2[Benchmark '#2 Dates],Target1[[#This Row],[Target Dates]]))=2,"Pass","Fail")</f>
        <v>Pass</v>
      </c>
      <c r="I1115" s="78">
        <f t="shared" si="53"/>
        <v>-18.380000000000003</v>
      </c>
      <c r="K1115" s="72">
        <f>Target1[[#This Row],[Target Price]]/$B$2*100</f>
        <v>193.25189063408956</v>
      </c>
      <c r="R1115">
        <f>B1116/Target1[[#This Row],[Target Price]]-1</f>
        <v>5.4184226369655697E-3</v>
      </c>
    </row>
    <row r="1116" spans="1:18">
      <c r="A1116" s="96">
        <v>44901</v>
      </c>
      <c r="B1116" s="101">
        <v>33.4</v>
      </c>
      <c r="C1116" s="4">
        <f t="shared" si="51"/>
        <v>5.4037957975058056E-3</v>
      </c>
      <c r="D1116" s="4">
        <f>IFERROR(Target1[[#This Row],[Target Return]]+1,"-")</f>
        <v>1.0054037957975057</v>
      </c>
      <c r="E1116" s="6">
        <f>B1116-MAX($B$2:B1116)</f>
        <v>-18.200000000000003</v>
      </c>
      <c r="F1116" s="80">
        <f t="shared" si="52"/>
        <v>589</v>
      </c>
      <c r="G1116" s="77">
        <f>Target1[[#This Row],[Target Drawdown]]/MAX($B$2:B1116)</f>
        <v>-0.35271317829457371</v>
      </c>
      <c r="H1116" s="1" t="str">
        <f>IF(SUM(COUNTIF(Benchmark1[Benchmark '#1 Dates],Target1[[#This Row],[Target Dates]]),COUNTIF(Benchmark2[Benchmark '#2 Dates],Target1[[#This Row],[Target Dates]]))=2,"Pass","Fail")</f>
        <v>Pass</v>
      </c>
      <c r="I1116" s="78">
        <f t="shared" si="53"/>
        <v>-18.200000000000003</v>
      </c>
      <c r="K1116" s="72">
        <f>Target1[[#This Row],[Target Price]]/$B$2*100</f>
        <v>194.29901105293774</v>
      </c>
      <c r="R1116">
        <f>B1117/Target1[[#This Row],[Target Price]]-1</f>
        <v>-1.0479041916167664E-2</v>
      </c>
    </row>
    <row r="1117" spans="1:18">
      <c r="A1117" s="96">
        <v>44902</v>
      </c>
      <c r="B1117" s="101">
        <v>33.049999999999997</v>
      </c>
      <c r="C1117" s="4">
        <f t="shared" si="51"/>
        <v>-1.053433368495944E-2</v>
      </c>
      <c r="D1117" s="4">
        <f>IFERROR(Target1[[#This Row],[Target Return]]+1,"-")</f>
        <v>0.98946566631504052</v>
      </c>
      <c r="E1117" s="6">
        <f>B1117-MAX($B$2:B1117)</f>
        <v>-18.550000000000004</v>
      </c>
      <c r="F1117" s="80">
        <f t="shared" si="52"/>
        <v>590</v>
      </c>
      <c r="G1117" s="77">
        <f>Target1[[#This Row],[Target Drawdown]]/MAX($B$2:B1117)</f>
        <v>-0.35949612403100784</v>
      </c>
      <c r="H1117" s="1" t="str">
        <f>IF(SUM(COUNTIF(Benchmark1[Benchmark '#1 Dates],Target1[[#This Row],[Target Dates]]),COUNTIF(Benchmark2[Benchmark '#2 Dates],Target1[[#This Row],[Target Dates]]))=2,"Pass","Fail")</f>
        <v>Pass</v>
      </c>
      <c r="I1117" s="78">
        <f t="shared" si="53"/>
        <v>-18.550000000000004</v>
      </c>
      <c r="K1117" s="72">
        <f>Target1[[#This Row],[Target Price]]/$B$2*100</f>
        <v>192.26294357184406</v>
      </c>
      <c r="R1117">
        <f>B1118/Target1[[#This Row],[Target Price]]-1</f>
        <v>-3.3282904689864168E-3</v>
      </c>
    </row>
    <row r="1118" spans="1:18">
      <c r="A1118" s="96">
        <v>44903</v>
      </c>
      <c r="B1118" s="101">
        <v>32.94</v>
      </c>
      <c r="C1118" s="4">
        <f t="shared" si="51"/>
        <v>-3.3338415482010606E-3</v>
      </c>
      <c r="D1118" s="4">
        <f>IFERROR(Target1[[#This Row],[Target Return]]+1,"-")</f>
        <v>0.99666615845179896</v>
      </c>
      <c r="E1118" s="6">
        <f>B1118-MAX($B$2:B1118)</f>
        <v>-18.660000000000004</v>
      </c>
      <c r="F1118" s="80">
        <f t="shared" si="52"/>
        <v>591</v>
      </c>
      <c r="G1118" s="77">
        <f>Target1[[#This Row],[Target Drawdown]]/MAX($B$2:B1118)</f>
        <v>-0.36162790697674424</v>
      </c>
      <c r="H1118" s="1" t="str">
        <f>IF(SUM(COUNTIF(Benchmark1[Benchmark '#1 Dates],Target1[[#This Row],[Target Dates]]),COUNTIF(Benchmark2[Benchmark '#2 Dates],Target1[[#This Row],[Target Dates]]))=2,"Pass","Fail")</f>
        <v>Pass</v>
      </c>
      <c r="I1118" s="78">
        <f t="shared" si="53"/>
        <v>-18.660000000000004</v>
      </c>
      <c r="K1118" s="72">
        <f>Target1[[#This Row],[Target Price]]/$B$2*100</f>
        <v>191.62303664921464</v>
      </c>
      <c r="R1118">
        <f>B1119/Target1[[#This Row],[Target Price]]-1</f>
        <v>-1.6089860352155427E-2</v>
      </c>
    </row>
    <row r="1119" spans="1:18">
      <c r="A1119" s="96">
        <v>44904</v>
      </c>
      <c r="B1119" s="101">
        <v>32.409999999999997</v>
      </c>
      <c r="C1119" s="4">
        <f t="shared" si="51"/>
        <v>-1.6220707596038247E-2</v>
      </c>
      <c r="D1119" s="4">
        <f>IFERROR(Target1[[#This Row],[Target Return]]+1,"-")</f>
        <v>0.98377929240396178</v>
      </c>
      <c r="E1119" s="6">
        <f>B1119-MAX($B$2:B1119)</f>
        <v>-19.190000000000005</v>
      </c>
      <c r="F1119" s="80">
        <f t="shared" si="52"/>
        <v>592</v>
      </c>
      <c r="G1119" s="77">
        <f>Target1[[#This Row],[Target Drawdown]]/MAX($B$2:B1119)</f>
        <v>-0.37189922480620163</v>
      </c>
      <c r="H1119" s="1" t="str">
        <f>IF(SUM(COUNTIF(Benchmark1[Benchmark '#1 Dates],Target1[[#This Row],[Target Dates]]),COUNTIF(Benchmark2[Benchmark '#2 Dates],Target1[[#This Row],[Target Dates]]))=2,"Pass","Fail")</f>
        <v>Pass</v>
      </c>
      <c r="I1119" s="78">
        <f t="shared" si="53"/>
        <v>-19.190000000000005</v>
      </c>
      <c r="K1119" s="72">
        <f>Target1[[#This Row],[Target Price]]/$B$2*100</f>
        <v>188.53984874927281</v>
      </c>
      <c r="R1119">
        <f>B1120/Target1[[#This Row],[Target Price]]-1</f>
        <v>4.6282011724778638E-3</v>
      </c>
    </row>
    <row r="1120" spans="1:18">
      <c r="A1120" s="96">
        <v>44907</v>
      </c>
      <c r="B1120" s="101">
        <v>32.56</v>
      </c>
      <c r="C1120" s="4">
        <f t="shared" si="51"/>
        <v>4.6175239808837702E-3</v>
      </c>
      <c r="D1120" s="4">
        <f>IFERROR(Target1[[#This Row],[Target Return]]+1,"-")</f>
        <v>1.0046175239808837</v>
      </c>
      <c r="E1120" s="6">
        <f>B1120-MAX($B$2:B1120)</f>
        <v>-19.04</v>
      </c>
      <c r="F1120" s="80">
        <f t="shared" si="52"/>
        <v>593</v>
      </c>
      <c r="G1120" s="77">
        <f>Target1[[#This Row],[Target Drawdown]]/MAX($B$2:B1120)</f>
        <v>-0.36899224806201547</v>
      </c>
      <c r="H1120" s="1" t="str">
        <f>IF(SUM(COUNTIF(Benchmark1[Benchmark '#1 Dates],Target1[[#This Row],[Target Dates]]),COUNTIF(Benchmark2[Benchmark '#2 Dates],Target1[[#This Row],[Target Dates]]))=2,"Pass","Fail")</f>
        <v>Pass</v>
      </c>
      <c r="I1120" s="78">
        <f t="shared" si="53"/>
        <v>-19.04</v>
      </c>
      <c r="K1120" s="72">
        <f>Target1[[#This Row],[Target Price]]/$B$2*100</f>
        <v>189.41244909831298</v>
      </c>
      <c r="R1120">
        <f>B1121/Target1[[#This Row],[Target Price]]-1</f>
        <v>-7.9852579852581762E-3</v>
      </c>
    </row>
    <row r="1121" spans="1:18">
      <c r="A1121" s="96">
        <v>44908</v>
      </c>
      <c r="B1121" s="101">
        <v>32.299999999999997</v>
      </c>
      <c r="C1121" s="4">
        <f t="shared" si="51"/>
        <v>-8.0173109057288857E-3</v>
      </c>
      <c r="D1121" s="4">
        <f>IFERROR(Target1[[#This Row],[Target Return]]+1,"-")</f>
        <v>0.99198268909427112</v>
      </c>
      <c r="E1121" s="6">
        <f>B1121-MAX($B$2:B1121)</f>
        <v>-19.300000000000004</v>
      </c>
      <c r="F1121" s="80">
        <f t="shared" si="52"/>
        <v>594</v>
      </c>
      <c r="G1121" s="77">
        <f>Target1[[#This Row],[Target Drawdown]]/MAX($B$2:B1121)</f>
        <v>-0.37403100775193804</v>
      </c>
      <c r="H1121" s="1" t="str">
        <f>IF(SUM(COUNTIF(Benchmark1[Benchmark '#1 Dates],Target1[[#This Row],[Target Dates]]),COUNTIF(Benchmark2[Benchmark '#2 Dates],Target1[[#This Row],[Target Dates]]))=2,"Pass","Fail")</f>
        <v>Pass</v>
      </c>
      <c r="I1121" s="78">
        <f t="shared" si="53"/>
        <v>-19.300000000000004</v>
      </c>
      <c r="K1121" s="72">
        <f>Target1[[#This Row],[Target Price]]/$B$2*100</f>
        <v>187.89994182664336</v>
      </c>
      <c r="R1121">
        <f>B1122/Target1[[#This Row],[Target Price]]-1</f>
        <v>1.8575851393189957E-3</v>
      </c>
    </row>
    <row r="1122" spans="1:18">
      <c r="A1122" s="96">
        <v>44909</v>
      </c>
      <c r="B1122" s="101">
        <v>32.36</v>
      </c>
      <c r="C1122" s="4">
        <f t="shared" si="51"/>
        <v>1.8558619616801941E-3</v>
      </c>
      <c r="D1122" s="4">
        <f>IFERROR(Target1[[#This Row],[Target Return]]+1,"-")</f>
        <v>1.0018558619616802</v>
      </c>
      <c r="E1122" s="6">
        <f>B1122-MAX($B$2:B1122)</f>
        <v>-19.240000000000002</v>
      </c>
      <c r="F1122" s="80">
        <f t="shared" si="52"/>
        <v>595</v>
      </c>
      <c r="G1122" s="77">
        <f>Target1[[#This Row],[Target Drawdown]]/MAX($B$2:B1122)</f>
        <v>-0.3728682170542636</v>
      </c>
      <c r="H1122" s="1" t="str">
        <f>IF(SUM(COUNTIF(Benchmark1[Benchmark '#1 Dates],Target1[[#This Row],[Target Dates]]),COUNTIF(Benchmark2[Benchmark '#2 Dates],Target1[[#This Row],[Target Dates]]))=2,"Pass","Fail")</f>
        <v>Pass</v>
      </c>
      <c r="I1122" s="78">
        <f t="shared" si="53"/>
        <v>-19.240000000000002</v>
      </c>
      <c r="K1122" s="72">
        <f>Target1[[#This Row],[Target Price]]/$B$2*100</f>
        <v>188.24898196625944</v>
      </c>
      <c r="R1122">
        <f>B1123/Target1[[#This Row],[Target Price]]-1</f>
        <v>1.7614338689740494E-2</v>
      </c>
    </row>
    <row r="1123" spans="1:18">
      <c r="A1123" s="96">
        <v>44910</v>
      </c>
      <c r="B1123" s="101">
        <v>32.93</v>
      </c>
      <c r="C1123" s="4">
        <f t="shared" si="51"/>
        <v>1.7461004197982046E-2</v>
      </c>
      <c r="D1123" s="4">
        <f>IFERROR(Target1[[#This Row],[Target Return]]+1,"-")</f>
        <v>1.0174610041979821</v>
      </c>
      <c r="E1123" s="6">
        <f>B1123-MAX($B$2:B1123)</f>
        <v>-18.670000000000002</v>
      </c>
      <c r="F1123" s="80">
        <f t="shared" si="52"/>
        <v>596</v>
      </c>
      <c r="G1123" s="77">
        <f>Target1[[#This Row],[Target Drawdown]]/MAX($B$2:B1123)</f>
        <v>-0.36182170542635661</v>
      </c>
      <c r="H1123" s="1" t="str">
        <f>IF(SUM(COUNTIF(Benchmark1[Benchmark '#1 Dates],Target1[[#This Row],[Target Dates]]),COUNTIF(Benchmark2[Benchmark '#2 Dates],Target1[[#This Row],[Target Dates]]))=2,"Pass","Fail")</f>
        <v>Pass</v>
      </c>
      <c r="I1123" s="78">
        <f t="shared" si="53"/>
        <v>-18.670000000000002</v>
      </c>
      <c r="K1123" s="72">
        <f>Target1[[#This Row],[Target Price]]/$B$2*100</f>
        <v>191.56486329261199</v>
      </c>
      <c r="R1123">
        <f>B1124/Target1[[#This Row],[Target Price]]-1</f>
        <v>-8.5028849073792712E-3</v>
      </c>
    </row>
    <row r="1124" spans="1:18">
      <c r="A1124" s="96">
        <v>44911</v>
      </c>
      <c r="B1124" s="101">
        <v>32.65</v>
      </c>
      <c r="C1124" s="4">
        <f t="shared" si="51"/>
        <v>-8.5392406658328281E-3</v>
      </c>
      <c r="D1124" s="4">
        <f>IFERROR(Target1[[#This Row],[Target Return]]+1,"-")</f>
        <v>0.99146075933416722</v>
      </c>
      <c r="E1124" s="6">
        <f>B1124-MAX($B$2:B1124)</f>
        <v>-18.950000000000003</v>
      </c>
      <c r="F1124" s="80">
        <f t="shared" si="52"/>
        <v>597</v>
      </c>
      <c r="G1124" s="77">
        <f>Target1[[#This Row],[Target Drawdown]]/MAX($B$2:B1124)</f>
        <v>-0.36724806201550392</v>
      </c>
      <c r="H1124" s="1" t="str">
        <f>IF(SUM(COUNTIF(Benchmark1[Benchmark '#1 Dates],Target1[[#This Row],[Target Dates]]),COUNTIF(Benchmark2[Benchmark '#2 Dates],Target1[[#This Row],[Target Dates]]))=2,"Pass","Fail")</f>
        <v>Pass</v>
      </c>
      <c r="I1124" s="78">
        <f t="shared" si="53"/>
        <v>-18.950000000000003</v>
      </c>
      <c r="K1124" s="72">
        <f>Target1[[#This Row],[Target Price]]/$B$2*100</f>
        <v>189.93600930773704</v>
      </c>
      <c r="R1124">
        <f>B1125/Target1[[#This Row],[Target Price]]-1</f>
        <v>-3.614088820826955E-2</v>
      </c>
    </row>
    <row r="1125" spans="1:18">
      <c r="A1125" s="96">
        <v>44914</v>
      </c>
      <c r="B1125" s="101">
        <v>31.47</v>
      </c>
      <c r="C1125" s="4">
        <f t="shared" si="51"/>
        <v>-3.6810144646124594E-2</v>
      </c>
      <c r="D1125" s="4">
        <f>IFERROR(Target1[[#This Row],[Target Return]]+1,"-")</f>
        <v>0.96318985535387536</v>
      </c>
      <c r="E1125" s="6">
        <f>B1125-MAX($B$2:B1125)</f>
        <v>-20.130000000000003</v>
      </c>
      <c r="F1125" s="80">
        <f t="shared" si="52"/>
        <v>598</v>
      </c>
      <c r="G1125" s="77">
        <f>Target1[[#This Row],[Target Drawdown]]/MAX($B$2:B1125)</f>
        <v>-0.39011627906976748</v>
      </c>
      <c r="H1125" s="1" t="str">
        <f>IF(SUM(COUNTIF(Benchmark1[Benchmark '#1 Dates],Target1[[#This Row],[Target Dates]]),COUNTIF(Benchmark2[Benchmark '#2 Dates],Target1[[#This Row],[Target Dates]]))=2,"Pass","Fail")</f>
        <v>Pass</v>
      </c>
      <c r="I1125" s="78">
        <f t="shared" si="53"/>
        <v>-20.130000000000003</v>
      </c>
      <c r="K1125" s="72">
        <f>Target1[[#This Row],[Target Price]]/$B$2*100</f>
        <v>183.07155322862127</v>
      </c>
      <c r="R1125">
        <f>B1126/Target1[[#This Row],[Target Price]]-1</f>
        <v>9.8506514140452861E-3</v>
      </c>
    </row>
    <row r="1126" spans="1:18">
      <c r="A1126" s="96">
        <v>44915</v>
      </c>
      <c r="B1126" s="101">
        <v>31.78</v>
      </c>
      <c r="C1126" s="4">
        <f t="shared" si="51"/>
        <v>9.8024500322545852E-3</v>
      </c>
      <c r="D1126" s="4">
        <f>IFERROR(Target1[[#This Row],[Target Return]]+1,"-")</f>
        <v>1.0098024500322547</v>
      </c>
      <c r="E1126" s="6">
        <f>B1126-MAX($B$2:B1126)</f>
        <v>-19.82</v>
      </c>
      <c r="F1126" s="80">
        <f t="shared" si="52"/>
        <v>599</v>
      </c>
      <c r="G1126" s="77">
        <f>Target1[[#This Row],[Target Drawdown]]/MAX($B$2:B1126)</f>
        <v>-0.38410852713178295</v>
      </c>
      <c r="H1126" s="1" t="str">
        <f>IF(SUM(COUNTIF(Benchmark1[Benchmark '#1 Dates],Target1[[#This Row],[Target Dates]]),COUNTIF(Benchmark2[Benchmark '#2 Dates],Target1[[#This Row],[Target Dates]]))=2,"Pass","Fail")</f>
        <v>Pass</v>
      </c>
      <c r="I1126" s="78">
        <f t="shared" si="53"/>
        <v>-19.82</v>
      </c>
      <c r="K1126" s="72">
        <f>Target1[[#This Row],[Target Price]]/$B$2*100</f>
        <v>184.87492728330423</v>
      </c>
      <c r="R1126">
        <f>B1127/Target1[[#This Row],[Target Price]]-1</f>
        <v>2.2655758338577581E-2</v>
      </c>
    </row>
    <row r="1127" spans="1:18">
      <c r="A1127" s="96">
        <v>44916</v>
      </c>
      <c r="B1127" s="101">
        <v>32.5</v>
      </c>
      <c r="C1127" s="4">
        <f t="shared" si="51"/>
        <v>2.2402928227121741E-2</v>
      </c>
      <c r="D1127" s="4">
        <f>IFERROR(Target1[[#This Row],[Target Return]]+1,"-")</f>
        <v>1.0224029282271216</v>
      </c>
      <c r="E1127" s="6">
        <f>B1127-MAX($B$2:B1127)</f>
        <v>-19.100000000000001</v>
      </c>
      <c r="F1127" s="80">
        <f t="shared" si="52"/>
        <v>600</v>
      </c>
      <c r="G1127" s="77">
        <f>Target1[[#This Row],[Target Drawdown]]/MAX($B$2:B1127)</f>
        <v>-0.37015503875968991</v>
      </c>
      <c r="H1127" s="1" t="str">
        <f>IF(SUM(COUNTIF(Benchmark1[Benchmark '#1 Dates],Target1[[#This Row],[Target Dates]]),COUNTIF(Benchmark2[Benchmark '#2 Dates],Target1[[#This Row],[Target Dates]]))=2,"Pass","Fail")</f>
        <v>Pass</v>
      </c>
      <c r="I1127" s="78">
        <f t="shared" si="53"/>
        <v>-19.100000000000001</v>
      </c>
      <c r="K1127" s="72">
        <f>Target1[[#This Row],[Target Price]]/$B$2*100</f>
        <v>189.0634089586969</v>
      </c>
      <c r="R1127">
        <f>B1128/Target1[[#This Row],[Target Price]]-1</f>
        <v>-1.1384615384615326E-2</v>
      </c>
    </row>
    <row r="1128" spans="1:18">
      <c r="A1128" s="96">
        <v>44917</v>
      </c>
      <c r="B1128" s="101">
        <v>32.130000000000003</v>
      </c>
      <c r="C1128" s="4">
        <f t="shared" si="51"/>
        <v>-1.1449916207924651E-2</v>
      </c>
      <c r="D1128" s="4">
        <f>IFERROR(Target1[[#This Row],[Target Return]]+1,"-")</f>
        <v>0.98855008379207532</v>
      </c>
      <c r="E1128" s="6">
        <f>B1128-MAX($B$2:B1128)</f>
        <v>-19.47</v>
      </c>
      <c r="F1128" s="80">
        <f t="shared" si="52"/>
        <v>601</v>
      </c>
      <c r="G1128" s="77">
        <f>Target1[[#This Row],[Target Drawdown]]/MAX($B$2:B1128)</f>
        <v>-0.37732558139534883</v>
      </c>
      <c r="H1128" s="1" t="str">
        <f>IF(SUM(COUNTIF(Benchmark1[Benchmark '#1 Dates],Target1[[#This Row],[Target Dates]]),COUNTIF(Benchmark2[Benchmark '#2 Dates],Target1[[#This Row],[Target Dates]]))=2,"Pass","Fail")</f>
        <v>Pass</v>
      </c>
      <c r="I1128" s="78">
        <f t="shared" si="53"/>
        <v>-19.47</v>
      </c>
      <c r="K1128" s="72">
        <f>Target1[[#This Row],[Target Price]]/$B$2*100</f>
        <v>186.91099476439788</v>
      </c>
      <c r="R1128">
        <f>B1129/Target1[[#This Row],[Target Price]]-1</f>
        <v>3.7348272642390157E-3</v>
      </c>
    </row>
    <row r="1129" spans="1:18">
      <c r="A1129" s="96">
        <v>44918</v>
      </c>
      <c r="B1129" s="101">
        <v>32.25</v>
      </c>
      <c r="C1129" s="4">
        <f t="shared" si="51"/>
        <v>3.7278701140143911E-3</v>
      </c>
      <c r="D1129" s="4">
        <f>IFERROR(Target1[[#This Row],[Target Return]]+1,"-")</f>
        <v>1.0037278701140144</v>
      </c>
      <c r="E1129" s="6">
        <f>B1129-MAX($B$2:B1129)</f>
        <v>-19.350000000000001</v>
      </c>
      <c r="F1129" s="80">
        <f t="shared" si="52"/>
        <v>602</v>
      </c>
      <c r="G1129" s="77">
        <f>Target1[[#This Row],[Target Drawdown]]/MAX($B$2:B1129)</f>
        <v>-0.375</v>
      </c>
      <c r="H1129" s="1" t="str">
        <f>IF(SUM(COUNTIF(Benchmark1[Benchmark '#1 Dates],Target1[[#This Row],[Target Dates]]),COUNTIF(Benchmark2[Benchmark '#2 Dates],Target1[[#This Row],[Target Dates]]))=2,"Pass","Fail")</f>
        <v>Pass</v>
      </c>
      <c r="I1129" s="78">
        <f t="shared" si="53"/>
        <v>-19.350000000000001</v>
      </c>
      <c r="K1129" s="72">
        <f>Target1[[#This Row],[Target Price]]/$B$2*100</f>
        <v>187.60907504363001</v>
      </c>
      <c r="R1129">
        <f>B1130/Target1[[#This Row],[Target Price]]-1</f>
        <v>-7.7519379844961378E-3</v>
      </c>
    </row>
    <row r="1130" spans="1:18">
      <c r="A1130" s="96">
        <v>44922</v>
      </c>
      <c r="B1130" s="101">
        <v>32</v>
      </c>
      <c r="C1130" s="4">
        <f t="shared" si="51"/>
        <v>-7.7821404420549628E-3</v>
      </c>
      <c r="D1130" s="4">
        <f>IFERROR(Target1[[#This Row],[Target Return]]+1,"-")</f>
        <v>0.99221785955794506</v>
      </c>
      <c r="E1130" s="6">
        <f>B1130-MAX($B$2:B1130)</f>
        <v>-19.600000000000001</v>
      </c>
      <c r="F1130" s="80">
        <f t="shared" si="52"/>
        <v>603</v>
      </c>
      <c r="G1130" s="77">
        <f>Target1[[#This Row],[Target Drawdown]]/MAX($B$2:B1130)</f>
        <v>-0.37984496124031009</v>
      </c>
      <c r="H1130" s="1" t="str">
        <f>IF(SUM(COUNTIF(Benchmark1[Benchmark '#1 Dates],Target1[[#This Row],[Target Dates]]),COUNTIF(Benchmark2[Benchmark '#2 Dates],Target1[[#This Row],[Target Dates]]))=2,"Pass","Fail")</f>
        <v>Pass</v>
      </c>
      <c r="I1130" s="78">
        <f t="shared" si="53"/>
        <v>-19.600000000000001</v>
      </c>
      <c r="K1130" s="72">
        <f>Target1[[#This Row],[Target Price]]/$B$2*100</f>
        <v>186.1547411285631</v>
      </c>
      <c r="R1130">
        <f>B1131/Target1[[#This Row],[Target Price]]-1</f>
        <v>-7.8125E-3</v>
      </c>
    </row>
    <row r="1131" spans="1:18">
      <c r="A1131" s="96">
        <v>44923</v>
      </c>
      <c r="B1131" s="101">
        <v>31.75</v>
      </c>
      <c r="C1131" s="4">
        <f t="shared" si="51"/>
        <v>-7.8431774610258926E-3</v>
      </c>
      <c r="D1131" s="4">
        <f>IFERROR(Target1[[#This Row],[Target Return]]+1,"-")</f>
        <v>0.99215682253897408</v>
      </c>
      <c r="E1131" s="6">
        <f>B1131-MAX($B$2:B1131)</f>
        <v>-19.850000000000001</v>
      </c>
      <c r="F1131" s="80">
        <f t="shared" si="52"/>
        <v>604</v>
      </c>
      <c r="G1131" s="77">
        <f>Target1[[#This Row],[Target Drawdown]]/MAX($B$2:B1131)</f>
        <v>-0.38468992248062017</v>
      </c>
      <c r="H1131" s="1" t="str">
        <f>IF(SUM(COUNTIF(Benchmark1[Benchmark '#1 Dates],Target1[[#This Row],[Target Dates]]),COUNTIF(Benchmark2[Benchmark '#2 Dates],Target1[[#This Row],[Target Dates]]))=2,"Pass","Fail")</f>
        <v>Pass</v>
      </c>
      <c r="I1131" s="78">
        <f t="shared" si="53"/>
        <v>-19.850000000000001</v>
      </c>
      <c r="K1131" s="72">
        <f>Target1[[#This Row],[Target Price]]/$B$2*100</f>
        <v>184.70040721349622</v>
      </c>
      <c r="R1131">
        <f>B1132/Target1[[#This Row],[Target Price]]-1</f>
        <v>-1.2283464566929192E-2</v>
      </c>
    </row>
    <row r="1132" spans="1:18">
      <c r="A1132" s="96">
        <v>44924</v>
      </c>
      <c r="B1132" s="101">
        <v>31.36</v>
      </c>
      <c r="C1132" s="4">
        <f t="shared" si="51"/>
        <v>-1.2359529856493615E-2</v>
      </c>
      <c r="D1132" s="4">
        <f>IFERROR(Target1[[#This Row],[Target Return]]+1,"-")</f>
        <v>0.98764047014350642</v>
      </c>
      <c r="E1132" s="6">
        <f>B1132-MAX($B$2:B1132)</f>
        <v>-20.240000000000002</v>
      </c>
      <c r="F1132" s="80">
        <f t="shared" si="52"/>
        <v>605</v>
      </c>
      <c r="G1132" s="77">
        <f>Target1[[#This Row],[Target Drawdown]]/MAX($B$2:B1132)</f>
        <v>-0.39224806201550388</v>
      </c>
      <c r="H1132" s="1" t="str">
        <f>IF(SUM(COUNTIF(Benchmark1[Benchmark '#1 Dates],Target1[[#This Row],[Target Dates]]),COUNTIF(Benchmark2[Benchmark '#2 Dates],Target1[[#This Row],[Target Dates]]))=2,"Pass","Fail")</f>
        <v>Pass</v>
      </c>
      <c r="I1132" s="78">
        <f t="shared" si="53"/>
        <v>-20.240000000000002</v>
      </c>
      <c r="K1132" s="72">
        <f>Target1[[#This Row],[Target Price]]/$B$2*100</f>
        <v>182.43164630599185</v>
      </c>
      <c r="R1132">
        <f>B1133/Target1[[#This Row],[Target Price]]-1</f>
        <v>-2.5510204081632404E-3</v>
      </c>
    </row>
    <row r="1133" spans="1:18">
      <c r="A1133" s="96">
        <v>44925</v>
      </c>
      <c r="B1133" s="101">
        <v>31.28</v>
      </c>
      <c r="C1133" s="4">
        <f t="shared" si="51"/>
        <v>-2.5542798050967423E-3</v>
      </c>
      <c r="D1133" s="4">
        <f>IFERROR(Target1[[#This Row],[Target Return]]+1,"-")</f>
        <v>0.9974457201949033</v>
      </c>
      <c r="E1133" s="6">
        <f>B1133-MAX($B$2:B1133)</f>
        <v>-20.32</v>
      </c>
      <c r="F1133" s="80">
        <f t="shared" si="52"/>
        <v>606</v>
      </c>
      <c r="G1133" s="77">
        <f>Target1[[#This Row],[Target Drawdown]]/MAX($B$2:B1133)</f>
        <v>-0.39379844961240312</v>
      </c>
      <c r="H1133" s="1" t="str">
        <f>IF(SUM(COUNTIF(Benchmark1[Benchmark '#1 Dates],Target1[[#This Row],[Target Dates]]),COUNTIF(Benchmark2[Benchmark '#2 Dates],Target1[[#This Row],[Target Dates]]))=2,"Pass","Fail")</f>
        <v>Pass</v>
      </c>
      <c r="I1133" s="78">
        <f t="shared" si="53"/>
        <v>-20.32</v>
      </c>
      <c r="K1133" s="72">
        <f>Target1[[#This Row],[Target Price]]/$B$2*100</f>
        <v>181.96625945317044</v>
      </c>
      <c r="R1133">
        <f>B1134/Target1[[#This Row],[Target Price]]-1</f>
        <v>5.8503836317135516E-2</v>
      </c>
    </row>
    <row r="1134" spans="1:18">
      <c r="A1134" s="96">
        <v>44929</v>
      </c>
      <c r="B1134" s="101">
        <v>33.11</v>
      </c>
      <c r="C1134" s="4">
        <f t="shared" si="51"/>
        <v>5.6856435882044538E-2</v>
      </c>
      <c r="D1134" s="4">
        <f>IFERROR(Target1[[#This Row],[Target Return]]+1,"-")</f>
        <v>1.0568564358820445</v>
      </c>
      <c r="E1134" s="6">
        <f>B1134-MAX($B$2:B1134)</f>
        <v>-18.490000000000002</v>
      </c>
      <c r="F1134" s="80">
        <f t="shared" si="52"/>
        <v>607</v>
      </c>
      <c r="G1134" s="77">
        <f>Target1[[#This Row],[Target Drawdown]]/MAX($B$2:B1134)</f>
        <v>-0.35833333333333334</v>
      </c>
      <c r="H1134" s="1" t="str">
        <f>IF(SUM(COUNTIF(Benchmark1[Benchmark '#1 Dates],Target1[[#This Row],[Target Dates]]),COUNTIF(Benchmark2[Benchmark '#2 Dates],Target1[[#This Row],[Target Dates]]))=2,"Pass","Fail")</f>
        <v>Pass</v>
      </c>
      <c r="I1134" s="78">
        <f t="shared" si="53"/>
        <v>-18.490000000000002</v>
      </c>
      <c r="K1134" s="72">
        <f>Target1[[#This Row],[Target Price]]/$B$2*100</f>
        <v>192.61198371146014</v>
      </c>
      <c r="R1134">
        <f>B1135/Target1[[#This Row],[Target Price]]-1</f>
        <v>-2.476593174267594E-2</v>
      </c>
    </row>
    <row r="1135" spans="1:18">
      <c r="A1135" s="96">
        <v>44930</v>
      </c>
      <c r="B1135" s="101">
        <v>32.29</v>
      </c>
      <c r="C1135" s="4">
        <f t="shared" si="51"/>
        <v>-2.5077766788971067E-2</v>
      </c>
      <c r="D1135" s="4">
        <f>IFERROR(Target1[[#This Row],[Target Return]]+1,"-")</f>
        <v>0.97492223321102889</v>
      </c>
      <c r="E1135" s="6">
        <f>B1135-MAX($B$2:B1135)</f>
        <v>-19.310000000000002</v>
      </c>
      <c r="F1135" s="80">
        <f t="shared" si="52"/>
        <v>608</v>
      </c>
      <c r="G1135" s="77">
        <f>Target1[[#This Row],[Target Drawdown]]/MAX($B$2:B1135)</f>
        <v>-0.37422480620155041</v>
      </c>
      <c r="H1135" s="1" t="str">
        <f>IF(SUM(COUNTIF(Benchmark1[Benchmark '#1 Dates],Target1[[#This Row],[Target Dates]]),COUNTIF(Benchmark2[Benchmark '#2 Dates],Target1[[#This Row],[Target Dates]]))=2,"Pass","Fail")</f>
        <v>Pass</v>
      </c>
      <c r="I1135" s="78">
        <f t="shared" si="53"/>
        <v>-19.310000000000002</v>
      </c>
      <c r="K1135" s="72">
        <f>Target1[[#This Row],[Target Price]]/$B$2*100</f>
        <v>187.84176847004071</v>
      </c>
      <c r="R1135">
        <f>B1136/Target1[[#This Row],[Target Price]]-1</f>
        <v>1.9200991018891278E-2</v>
      </c>
    </row>
    <row r="1136" spans="1:18">
      <c r="A1136" s="96">
        <v>44931</v>
      </c>
      <c r="B1136" s="101">
        <v>32.909999999999997</v>
      </c>
      <c r="C1136" s="4">
        <f t="shared" si="51"/>
        <v>1.9018978185064702E-2</v>
      </c>
      <c r="D1136" s="4">
        <f>IFERROR(Target1[[#This Row],[Target Return]]+1,"-")</f>
        <v>1.0190189781850647</v>
      </c>
      <c r="E1136" s="6">
        <f>B1136-MAX($B$2:B1136)</f>
        <v>-18.690000000000005</v>
      </c>
      <c r="F1136" s="80">
        <f t="shared" si="52"/>
        <v>609</v>
      </c>
      <c r="G1136" s="77">
        <f>Target1[[#This Row],[Target Drawdown]]/MAX($B$2:B1136)</f>
        <v>-0.36220930232558146</v>
      </c>
      <c r="H1136" s="1" t="str">
        <f>IF(SUM(COUNTIF(Benchmark1[Benchmark '#1 Dates],Target1[[#This Row],[Target Dates]]),COUNTIF(Benchmark2[Benchmark '#2 Dates],Target1[[#This Row],[Target Dates]]))=2,"Pass","Fail")</f>
        <v>Pass</v>
      </c>
      <c r="I1136" s="78">
        <f t="shared" si="53"/>
        <v>-18.690000000000005</v>
      </c>
      <c r="K1136" s="72">
        <f>Target1[[#This Row],[Target Price]]/$B$2*100</f>
        <v>191.4485165794066</v>
      </c>
      <c r="R1136">
        <f>B1137/Target1[[#This Row],[Target Price]]-1</f>
        <v>-1.8839258584016916E-2</v>
      </c>
    </row>
    <row r="1137" spans="1:18">
      <c r="A1137" s="96">
        <v>44932</v>
      </c>
      <c r="B1137" s="101">
        <v>32.29</v>
      </c>
      <c r="C1137" s="4">
        <f t="shared" si="51"/>
        <v>-1.9018978185064619E-2</v>
      </c>
      <c r="D1137" s="4">
        <f>IFERROR(Target1[[#This Row],[Target Return]]+1,"-")</f>
        <v>0.98098102181493541</v>
      </c>
      <c r="E1137" s="6">
        <f>B1137-MAX($B$2:B1137)</f>
        <v>-19.310000000000002</v>
      </c>
      <c r="F1137" s="80">
        <f t="shared" si="52"/>
        <v>610</v>
      </c>
      <c r="G1137" s="77">
        <f>Target1[[#This Row],[Target Drawdown]]/MAX($B$2:B1137)</f>
        <v>-0.37422480620155041</v>
      </c>
      <c r="H1137" s="1" t="str">
        <f>IF(SUM(COUNTIF(Benchmark1[Benchmark '#1 Dates],Target1[[#This Row],[Target Dates]]),COUNTIF(Benchmark2[Benchmark '#2 Dates],Target1[[#This Row],[Target Dates]]))=2,"Pass","Fail")</f>
        <v>Pass</v>
      </c>
      <c r="I1137" s="78">
        <f t="shared" si="53"/>
        <v>-19.310000000000002</v>
      </c>
      <c r="K1137" s="72">
        <f>Target1[[#This Row],[Target Price]]/$B$2*100</f>
        <v>187.84176847004071</v>
      </c>
      <c r="R1137">
        <f>B1138/Target1[[#This Row],[Target Price]]-1</f>
        <v>1.3316816351811589E-2</v>
      </c>
    </row>
    <row r="1138" spans="1:18">
      <c r="A1138" s="96">
        <v>44935</v>
      </c>
      <c r="B1138" s="101">
        <v>32.72</v>
      </c>
      <c r="C1138" s="4">
        <f t="shared" si="51"/>
        <v>1.3228926964362344E-2</v>
      </c>
      <c r="D1138" s="4">
        <f>IFERROR(Target1[[#This Row],[Target Return]]+1,"-")</f>
        <v>1.0132289269643624</v>
      </c>
      <c r="E1138" s="6">
        <f>B1138-MAX($B$2:B1138)</f>
        <v>-18.880000000000003</v>
      </c>
      <c r="F1138" s="80">
        <f t="shared" si="52"/>
        <v>611</v>
      </c>
      <c r="G1138" s="77">
        <f>Target1[[#This Row],[Target Drawdown]]/MAX($B$2:B1138)</f>
        <v>-0.3658914728682171</v>
      </c>
      <c r="H1138" s="1" t="str">
        <f>IF(SUM(COUNTIF(Benchmark1[Benchmark '#1 Dates],Target1[[#This Row],[Target Dates]]),COUNTIF(Benchmark2[Benchmark '#2 Dates],Target1[[#This Row],[Target Dates]]))=2,"Pass","Fail")</f>
        <v>Pass</v>
      </c>
      <c r="I1138" s="78">
        <f t="shared" si="53"/>
        <v>-18.880000000000003</v>
      </c>
      <c r="K1138" s="72">
        <f>Target1[[#This Row],[Target Price]]/$B$2*100</f>
        <v>190.34322280395577</v>
      </c>
      <c r="R1138">
        <f>B1139/Target1[[#This Row],[Target Price]]-1</f>
        <v>4.5843520782395952E-3</v>
      </c>
    </row>
    <row r="1139" spans="1:18">
      <c r="A1139" s="96">
        <v>44936</v>
      </c>
      <c r="B1139" s="101">
        <v>32.869999999999997</v>
      </c>
      <c r="C1139" s="4">
        <f t="shared" si="51"/>
        <v>4.5738759415817195E-3</v>
      </c>
      <c r="D1139" s="4">
        <f>IFERROR(Target1[[#This Row],[Target Return]]+1,"-")</f>
        <v>1.0045738759415817</v>
      </c>
      <c r="E1139" s="6">
        <f>B1139-MAX($B$2:B1139)</f>
        <v>-18.730000000000004</v>
      </c>
      <c r="F1139" s="80">
        <f t="shared" si="52"/>
        <v>612</v>
      </c>
      <c r="G1139" s="77">
        <f>Target1[[#This Row],[Target Drawdown]]/MAX($B$2:B1139)</f>
        <v>-0.36298449612403105</v>
      </c>
      <c r="H1139" s="1" t="str">
        <f>IF(SUM(COUNTIF(Benchmark1[Benchmark '#1 Dates],Target1[[#This Row],[Target Dates]]),COUNTIF(Benchmark2[Benchmark '#2 Dates],Target1[[#This Row],[Target Dates]]))=2,"Pass","Fail")</f>
        <v>Pass</v>
      </c>
      <c r="I1139" s="78">
        <f t="shared" si="53"/>
        <v>-18.730000000000004</v>
      </c>
      <c r="K1139" s="72">
        <f>Target1[[#This Row],[Target Price]]/$B$2*100</f>
        <v>191.21582315299591</v>
      </c>
      <c r="R1139">
        <f>B1140/Target1[[#This Row],[Target Price]]-1</f>
        <v>4.867660480681657E-3</v>
      </c>
    </row>
    <row r="1140" spans="1:18">
      <c r="A1140" s="96">
        <v>44937</v>
      </c>
      <c r="B1140" s="101">
        <v>33.03</v>
      </c>
      <c r="C1140" s="4">
        <f t="shared" si="51"/>
        <v>4.855851726570431E-3</v>
      </c>
      <c r="D1140" s="4">
        <f>IFERROR(Target1[[#This Row],[Target Return]]+1,"-")</f>
        <v>1.0048558517265704</v>
      </c>
      <c r="E1140" s="6">
        <f>B1140-MAX($B$2:B1140)</f>
        <v>-18.57</v>
      </c>
      <c r="F1140" s="80">
        <f t="shared" si="52"/>
        <v>613</v>
      </c>
      <c r="G1140" s="77">
        <f>Target1[[#This Row],[Target Drawdown]]/MAX($B$2:B1140)</f>
        <v>-0.35988372093023258</v>
      </c>
      <c r="H1140" s="1" t="str">
        <f>IF(SUM(COUNTIF(Benchmark1[Benchmark '#1 Dates],Target1[[#This Row],[Target Dates]]),COUNTIF(Benchmark2[Benchmark '#2 Dates],Target1[[#This Row],[Target Dates]]))=2,"Pass","Fail")</f>
        <v>Pass</v>
      </c>
      <c r="I1140" s="78">
        <f t="shared" si="53"/>
        <v>-18.57</v>
      </c>
      <c r="K1140" s="72">
        <f>Target1[[#This Row],[Target Price]]/$B$2*100</f>
        <v>192.14659685863873</v>
      </c>
      <c r="R1140">
        <f>B1141/Target1[[#This Row],[Target Price]]-1</f>
        <v>3.0275507114740918E-4</v>
      </c>
    </row>
    <row r="1141" spans="1:18">
      <c r="A1141" s="96">
        <v>44938</v>
      </c>
      <c r="B1141" s="101">
        <v>33.04</v>
      </c>
      <c r="C1141" s="4">
        <f t="shared" si="51"/>
        <v>3.0270925007899703E-4</v>
      </c>
      <c r="D1141" s="4">
        <f>IFERROR(Target1[[#This Row],[Target Return]]+1,"-")</f>
        <v>1.0003027092500789</v>
      </c>
      <c r="E1141" s="6">
        <f>B1141-MAX($B$2:B1141)</f>
        <v>-18.560000000000002</v>
      </c>
      <c r="F1141" s="80">
        <f t="shared" si="52"/>
        <v>614</v>
      </c>
      <c r="G1141" s="77">
        <f>Target1[[#This Row],[Target Drawdown]]/MAX($B$2:B1141)</f>
        <v>-0.35968992248062021</v>
      </c>
      <c r="H1141" s="1" t="str">
        <f>IF(SUM(COUNTIF(Benchmark1[Benchmark '#1 Dates],Target1[[#This Row],[Target Dates]]),COUNTIF(Benchmark2[Benchmark '#2 Dates],Target1[[#This Row],[Target Dates]]))=2,"Pass","Fail")</f>
        <v>Pass</v>
      </c>
      <c r="I1141" s="78">
        <f t="shared" si="53"/>
        <v>-18.560000000000002</v>
      </c>
      <c r="K1141" s="72">
        <f>Target1[[#This Row],[Target Price]]/$B$2*100</f>
        <v>192.20477021524141</v>
      </c>
      <c r="R1141">
        <f>B1142/Target1[[#This Row],[Target Price]]-1</f>
        <v>6.0532687651337902E-4</v>
      </c>
    </row>
    <row r="1142" spans="1:18">
      <c r="A1142" s="96">
        <v>44939</v>
      </c>
      <c r="B1142" s="101">
        <v>33.06</v>
      </c>
      <c r="C1142" s="4">
        <f t="shared" si="51"/>
        <v>6.0514374010086584E-4</v>
      </c>
      <c r="D1142" s="4">
        <f>IFERROR(Target1[[#This Row],[Target Return]]+1,"-")</f>
        <v>1.0006051437401009</v>
      </c>
      <c r="E1142" s="6">
        <f>B1142-MAX($B$2:B1142)</f>
        <v>-18.54</v>
      </c>
      <c r="F1142" s="80">
        <f t="shared" si="52"/>
        <v>615</v>
      </c>
      <c r="G1142" s="77">
        <f>Target1[[#This Row],[Target Drawdown]]/MAX($B$2:B1142)</f>
        <v>-0.3593023255813953</v>
      </c>
      <c r="H1142" s="1" t="str">
        <f>IF(SUM(COUNTIF(Benchmark1[Benchmark '#1 Dates],Target1[[#This Row],[Target Dates]]),COUNTIF(Benchmark2[Benchmark '#2 Dates],Target1[[#This Row],[Target Dates]]))=2,"Pass","Fail")</f>
        <v>Pass</v>
      </c>
      <c r="I1142" s="78">
        <f t="shared" si="53"/>
        <v>-18.54</v>
      </c>
      <c r="K1142" s="72">
        <f>Target1[[#This Row],[Target Price]]/$B$2*100</f>
        <v>192.32111692844677</v>
      </c>
      <c r="R1142">
        <f>B1143/Target1[[#This Row],[Target Price]]-1</f>
        <v>-3.0550514216576063E-2</v>
      </c>
    </row>
    <row r="1143" spans="1:18">
      <c r="A1143" s="96">
        <v>44943</v>
      </c>
      <c r="B1143" s="101">
        <v>32.049999999999997</v>
      </c>
      <c r="C1143" s="4">
        <f t="shared" si="51"/>
        <v>-3.1026909026199218E-2</v>
      </c>
      <c r="D1143" s="4">
        <f>IFERROR(Target1[[#This Row],[Target Return]]+1,"-")</f>
        <v>0.9689730909738008</v>
      </c>
      <c r="E1143" s="6">
        <f>B1143-MAX($B$2:B1143)</f>
        <v>-19.550000000000004</v>
      </c>
      <c r="F1143" s="80">
        <f t="shared" si="52"/>
        <v>616</v>
      </c>
      <c r="G1143" s="77">
        <f>Target1[[#This Row],[Target Drawdown]]/MAX($B$2:B1143)</f>
        <v>-0.37887596899224812</v>
      </c>
      <c r="H1143" s="1" t="str">
        <f>IF(SUM(COUNTIF(Benchmark1[Benchmark '#1 Dates],Target1[[#This Row],[Target Dates]]),COUNTIF(Benchmark2[Benchmark '#2 Dates],Target1[[#This Row],[Target Dates]]))=2,"Pass","Fail")</f>
        <v>Pass</v>
      </c>
      <c r="I1143" s="78">
        <f t="shared" si="53"/>
        <v>-19.550000000000004</v>
      </c>
      <c r="K1143" s="72">
        <f>Target1[[#This Row],[Target Price]]/$B$2*100</f>
        <v>186.44560791157647</v>
      </c>
      <c r="R1143">
        <f>B1144/Target1[[#This Row],[Target Price]]-1</f>
        <v>-8.736349453978054E-3</v>
      </c>
    </row>
    <row r="1144" spans="1:18">
      <c r="A1144" s="96">
        <v>44944</v>
      </c>
      <c r="B1144" s="101">
        <v>31.77</v>
      </c>
      <c r="C1144" s="4">
        <f t="shared" si="51"/>
        <v>-8.7747350852541584E-3</v>
      </c>
      <c r="D1144" s="4">
        <f>IFERROR(Target1[[#This Row],[Target Return]]+1,"-")</f>
        <v>0.99122526491474583</v>
      </c>
      <c r="E1144" s="6">
        <f>B1144-MAX($B$2:B1144)</f>
        <v>-19.830000000000002</v>
      </c>
      <c r="F1144" s="80">
        <f t="shared" si="52"/>
        <v>617</v>
      </c>
      <c r="G1144" s="77">
        <f>Target1[[#This Row],[Target Drawdown]]/MAX($B$2:B1144)</f>
        <v>-0.38430232558139538</v>
      </c>
      <c r="H1144" s="1" t="str">
        <f>IF(SUM(COUNTIF(Benchmark1[Benchmark '#1 Dates],Target1[[#This Row],[Target Dates]]),COUNTIF(Benchmark2[Benchmark '#2 Dates],Target1[[#This Row],[Target Dates]]))=2,"Pass","Fail")</f>
        <v>Pass</v>
      </c>
      <c r="I1144" s="78">
        <f t="shared" si="53"/>
        <v>-19.830000000000002</v>
      </c>
      <c r="K1144" s="72">
        <f>Target1[[#This Row],[Target Price]]/$B$2*100</f>
        <v>184.81675392670155</v>
      </c>
      <c r="R1144">
        <f>B1145/Target1[[#This Row],[Target Price]]-1</f>
        <v>2.5180988353794564E-3</v>
      </c>
    </row>
    <row r="1145" spans="1:18">
      <c r="A1145" s="96">
        <v>44945</v>
      </c>
      <c r="B1145" s="101">
        <v>31.85</v>
      </c>
      <c r="C1145" s="4">
        <f t="shared" si="51"/>
        <v>2.5149337367477379E-3</v>
      </c>
      <c r="D1145" s="4">
        <f>IFERROR(Target1[[#This Row],[Target Return]]+1,"-")</f>
        <v>1.0025149337367478</v>
      </c>
      <c r="E1145" s="6">
        <f>B1145-MAX($B$2:B1145)</f>
        <v>-19.75</v>
      </c>
      <c r="F1145" s="80">
        <f t="shared" si="52"/>
        <v>618</v>
      </c>
      <c r="G1145" s="77">
        <f>Target1[[#This Row],[Target Drawdown]]/MAX($B$2:B1145)</f>
        <v>-0.38275193798449614</v>
      </c>
      <c r="H1145" s="1" t="str">
        <f>IF(SUM(COUNTIF(Benchmark1[Benchmark '#1 Dates],Target1[[#This Row],[Target Dates]]),COUNTIF(Benchmark2[Benchmark '#2 Dates],Target1[[#This Row],[Target Dates]]))=2,"Pass","Fail")</f>
        <v>Pass</v>
      </c>
      <c r="I1145" s="78">
        <f t="shared" si="53"/>
        <v>-19.75</v>
      </c>
      <c r="K1145" s="72">
        <f>Target1[[#This Row],[Target Price]]/$B$2*100</f>
        <v>185.28214077952296</v>
      </c>
      <c r="R1145">
        <f>B1146/Target1[[#This Row],[Target Price]]-1</f>
        <v>7.2213500784927831E-3</v>
      </c>
    </row>
    <row r="1146" spans="1:18">
      <c r="A1146" s="96">
        <v>44946</v>
      </c>
      <c r="B1146" s="101">
        <v>32.08</v>
      </c>
      <c r="C1146" s="4">
        <f t="shared" si="51"/>
        <v>7.1954009801412418E-3</v>
      </c>
      <c r="D1146" s="4">
        <f>IFERROR(Target1[[#This Row],[Target Return]]+1,"-")</f>
        <v>1.0071954009801412</v>
      </c>
      <c r="E1146" s="6">
        <f>B1146-MAX($B$2:B1146)</f>
        <v>-19.520000000000003</v>
      </c>
      <c r="F1146" s="80">
        <f t="shared" si="52"/>
        <v>619</v>
      </c>
      <c r="G1146" s="77">
        <f>Target1[[#This Row],[Target Drawdown]]/MAX($B$2:B1146)</f>
        <v>-0.3782945736434109</v>
      </c>
      <c r="H1146" s="1" t="str">
        <f>IF(SUM(COUNTIF(Benchmark1[Benchmark '#1 Dates],Target1[[#This Row],[Target Dates]]),COUNTIF(Benchmark2[Benchmark '#2 Dates],Target1[[#This Row],[Target Dates]]))=2,"Pass","Fail")</f>
        <v>Pass</v>
      </c>
      <c r="I1146" s="78">
        <f t="shared" si="53"/>
        <v>-19.520000000000003</v>
      </c>
      <c r="K1146" s="72">
        <f>Target1[[#This Row],[Target Price]]/$B$2*100</f>
        <v>186.62012798138448</v>
      </c>
      <c r="R1146">
        <f>B1147/Target1[[#This Row],[Target Price]]-1</f>
        <v>1.4339152119700715E-2</v>
      </c>
    </row>
    <row r="1147" spans="1:18">
      <c r="A1147" s="96">
        <v>44949</v>
      </c>
      <c r="B1147" s="101">
        <v>32.54</v>
      </c>
      <c r="C1147" s="4">
        <f t="shared" si="51"/>
        <v>1.4237318792577962E-2</v>
      </c>
      <c r="D1147" s="4">
        <f>IFERROR(Target1[[#This Row],[Target Return]]+1,"-")</f>
        <v>1.0142373187925779</v>
      </c>
      <c r="E1147" s="6">
        <f>B1147-MAX($B$2:B1147)</f>
        <v>-19.060000000000002</v>
      </c>
      <c r="F1147" s="80">
        <f t="shared" si="52"/>
        <v>620</v>
      </c>
      <c r="G1147" s="77">
        <f>Target1[[#This Row],[Target Drawdown]]/MAX($B$2:B1147)</f>
        <v>-0.36937984496124032</v>
      </c>
      <c r="H1147" s="1" t="str">
        <f>IF(SUM(COUNTIF(Benchmark1[Benchmark '#1 Dates],Target1[[#This Row],[Target Dates]]),COUNTIF(Benchmark2[Benchmark '#2 Dates],Target1[[#This Row],[Target Dates]]))=2,"Pass","Fail")</f>
        <v>Pass</v>
      </c>
      <c r="I1147" s="78">
        <f t="shared" si="53"/>
        <v>-19.060000000000002</v>
      </c>
      <c r="K1147" s="72">
        <f>Target1[[#This Row],[Target Price]]/$B$2*100</f>
        <v>189.29610238510762</v>
      </c>
      <c r="R1147">
        <f>B1148/Target1[[#This Row],[Target Price]]-1</f>
        <v>-1.6594960049170271E-2</v>
      </c>
    </row>
    <row r="1148" spans="1:18">
      <c r="A1148" s="96">
        <v>44950</v>
      </c>
      <c r="B1148" s="101">
        <v>32</v>
      </c>
      <c r="C1148" s="4">
        <f t="shared" si="51"/>
        <v>-1.6734198991165211E-2</v>
      </c>
      <c r="D1148" s="4">
        <f>IFERROR(Target1[[#This Row],[Target Return]]+1,"-")</f>
        <v>0.98326580100883476</v>
      </c>
      <c r="E1148" s="6">
        <f>B1148-MAX($B$2:B1148)</f>
        <v>-19.600000000000001</v>
      </c>
      <c r="F1148" s="80">
        <f t="shared" si="52"/>
        <v>621</v>
      </c>
      <c r="G1148" s="77">
        <f>Target1[[#This Row],[Target Drawdown]]/MAX($B$2:B1148)</f>
        <v>-0.37984496124031009</v>
      </c>
      <c r="H1148" s="1" t="str">
        <f>IF(SUM(COUNTIF(Benchmark1[Benchmark '#1 Dates],Target1[[#This Row],[Target Dates]]),COUNTIF(Benchmark2[Benchmark '#2 Dates],Target1[[#This Row],[Target Dates]]))=2,"Pass","Fail")</f>
        <v>Pass</v>
      </c>
      <c r="I1148" s="78">
        <f t="shared" si="53"/>
        <v>-19.600000000000001</v>
      </c>
      <c r="K1148" s="72">
        <f>Target1[[#This Row],[Target Price]]/$B$2*100</f>
        <v>186.1547411285631</v>
      </c>
      <c r="R1148">
        <f>B1149/Target1[[#This Row],[Target Price]]-1</f>
        <v>0.27687499999999998</v>
      </c>
    </row>
    <row r="1149" spans="1:18">
      <c r="A1149" s="96">
        <v>44951</v>
      </c>
      <c r="B1149" s="101">
        <v>40.86</v>
      </c>
      <c r="C1149" s="4">
        <f t="shared" si="51"/>
        <v>0.24441568658974944</v>
      </c>
      <c r="D1149" s="4">
        <f>IFERROR(Target1[[#This Row],[Target Return]]+1,"-")</f>
        <v>1.2444156865897495</v>
      </c>
      <c r="E1149" s="6">
        <f>B1149-MAX($B$2:B1149)</f>
        <v>-10.740000000000002</v>
      </c>
      <c r="F1149" s="80">
        <f t="shared" si="52"/>
        <v>622</v>
      </c>
      <c r="G1149" s="77">
        <f>Target1[[#This Row],[Target Drawdown]]/MAX($B$2:B1149)</f>
        <v>-0.20813953488372097</v>
      </c>
      <c r="H1149" s="1" t="str">
        <f>IF(SUM(COUNTIF(Benchmark1[Benchmark '#1 Dates],Target1[[#This Row],[Target Dates]]),COUNTIF(Benchmark2[Benchmark '#2 Dates],Target1[[#This Row],[Target Dates]]))=2,"Pass","Fail")</f>
        <v>Pass</v>
      </c>
      <c r="I1149" s="78">
        <f t="shared" si="53"/>
        <v>-10.740000000000002</v>
      </c>
      <c r="K1149" s="72">
        <f>Target1[[#This Row],[Target Price]]/$B$2*100</f>
        <v>237.69633507853402</v>
      </c>
      <c r="R1149">
        <f>B1150/Target1[[#This Row],[Target Price]]-1</f>
        <v>-1.8355359765051427E-2</v>
      </c>
    </row>
    <row r="1150" spans="1:18">
      <c r="A1150" s="96">
        <v>44952</v>
      </c>
      <c r="B1150" s="101">
        <v>40.11</v>
      </c>
      <c r="C1150" s="4">
        <f t="shared" si="51"/>
        <v>-1.8525909607514528E-2</v>
      </c>
      <c r="D1150" s="4">
        <f>IFERROR(Target1[[#This Row],[Target Return]]+1,"-")</f>
        <v>0.98147409039248545</v>
      </c>
      <c r="E1150" s="6">
        <f>B1150-MAX($B$2:B1150)</f>
        <v>-11.490000000000002</v>
      </c>
      <c r="F1150" s="80">
        <f t="shared" si="52"/>
        <v>623</v>
      </c>
      <c r="G1150" s="77">
        <f>Target1[[#This Row],[Target Drawdown]]/MAX($B$2:B1150)</f>
        <v>-0.2226744186046512</v>
      </c>
      <c r="H1150" s="1" t="str">
        <f>IF(SUM(COUNTIF(Benchmark1[Benchmark '#1 Dates],Target1[[#This Row],[Target Dates]]),COUNTIF(Benchmark2[Benchmark '#2 Dates],Target1[[#This Row],[Target Dates]]))=2,"Pass","Fail")</f>
        <v>Pass</v>
      </c>
      <c r="I1150" s="78">
        <f t="shared" si="53"/>
        <v>-11.490000000000002</v>
      </c>
      <c r="K1150" s="72">
        <f>Target1[[#This Row],[Target Price]]/$B$2*100</f>
        <v>233.33333333333331</v>
      </c>
      <c r="R1150">
        <f>B1151/Target1[[#This Row],[Target Price]]-1</f>
        <v>2.2188980304163497E-2</v>
      </c>
    </row>
    <row r="1151" spans="1:18">
      <c r="A1151" s="96">
        <v>44953</v>
      </c>
      <c r="B1151" s="101">
        <v>41</v>
      </c>
      <c r="C1151" s="4">
        <f t="shared" si="51"/>
        <v>2.194638692234625E-2</v>
      </c>
      <c r="D1151" s="4">
        <f>IFERROR(Target1[[#This Row],[Target Return]]+1,"-")</f>
        <v>1.0219463869223462</v>
      </c>
      <c r="E1151" s="6">
        <f>B1151-MAX($B$2:B1151)</f>
        <v>-10.600000000000001</v>
      </c>
      <c r="F1151" s="80">
        <f t="shared" si="52"/>
        <v>624</v>
      </c>
      <c r="G1151" s="77">
        <f>Target1[[#This Row],[Target Drawdown]]/MAX($B$2:B1151)</f>
        <v>-0.20542635658914732</v>
      </c>
      <c r="H1151" s="1" t="str">
        <f>IF(SUM(COUNTIF(Benchmark1[Benchmark '#1 Dates],Target1[[#This Row],[Target Dates]]),COUNTIF(Benchmark2[Benchmark '#2 Dates],Target1[[#This Row],[Target Dates]]))=2,"Pass","Fail")</f>
        <v>Pass</v>
      </c>
      <c r="I1151" s="78">
        <f t="shared" si="53"/>
        <v>-10.600000000000001</v>
      </c>
      <c r="K1151" s="72">
        <f>Target1[[#This Row],[Target Price]]/$B$2*100</f>
        <v>238.51076207097148</v>
      </c>
      <c r="R1151">
        <f>B1152/Target1[[#This Row],[Target Price]]-1</f>
        <v>1.585365853658538E-2</v>
      </c>
    </row>
    <row r="1152" spans="1:18">
      <c r="A1152" s="96">
        <v>44956</v>
      </c>
      <c r="B1152" s="101">
        <v>41.65</v>
      </c>
      <c r="C1152" s="4">
        <f t="shared" si="51"/>
        <v>1.5729301908543908E-2</v>
      </c>
      <c r="D1152" s="4">
        <f>IFERROR(Target1[[#This Row],[Target Return]]+1,"-")</f>
        <v>1.0157293019085438</v>
      </c>
      <c r="E1152" s="6">
        <f>B1152-MAX($B$2:B1152)</f>
        <v>-9.9500000000000028</v>
      </c>
      <c r="F1152" s="80">
        <f t="shared" si="52"/>
        <v>625</v>
      </c>
      <c r="G1152" s="77">
        <f>Target1[[#This Row],[Target Drawdown]]/MAX($B$2:B1152)</f>
        <v>-0.19282945736434112</v>
      </c>
      <c r="H1152" s="1" t="str">
        <f>IF(SUM(COUNTIF(Benchmark1[Benchmark '#1 Dates],Target1[[#This Row],[Target Dates]]),COUNTIF(Benchmark2[Benchmark '#2 Dates],Target1[[#This Row],[Target Dates]]))=2,"Pass","Fail")</f>
        <v>Pass</v>
      </c>
      <c r="I1152" s="78">
        <f t="shared" si="53"/>
        <v>-9.9500000000000028</v>
      </c>
      <c r="K1152" s="72">
        <f>Target1[[#This Row],[Target Price]]/$B$2*100</f>
        <v>242.29203025014542</v>
      </c>
      <c r="R1152">
        <f>B1153/Target1[[#This Row],[Target Price]]-1</f>
        <v>3.0732292917166948E-2</v>
      </c>
    </row>
    <row r="1153" spans="1:18">
      <c r="A1153" s="96">
        <v>44957</v>
      </c>
      <c r="B1153" s="101">
        <v>42.93</v>
      </c>
      <c r="C1153" s="4">
        <f t="shared" si="51"/>
        <v>3.0269513623617614E-2</v>
      </c>
      <c r="D1153" s="4">
        <f>IFERROR(Target1[[#This Row],[Target Return]]+1,"-")</f>
        <v>1.0302695136236175</v>
      </c>
      <c r="E1153" s="6">
        <f>B1153-MAX($B$2:B1153)</f>
        <v>-8.6700000000000017</v>
      </c>
      <c r="F1153" s="80">
        <f t="shared" si="52"/>
        <v>626</v>
      </c>
      <c r="G1153" s="77">
        <f>Target1[[#This Row],[Target Drawdown]]/MAX($B$2:B1153)</f>
        <v>-0.16802325581395353</v>
      </c>
      <c r="H1153" s="1" t="str">
        <f>IF(SUM(COUNTIF(Benchmark1[Benchmark '#1 Dates],Target1[[#This Row],[Target Dates]]),COUNTIF(Benchmark2[Benchmark '#2 Dates],Target1[[#This Row],[Target Dates]]))=2,"Pass","Fail")</f>
        <v>Pass</v>
      </c>
      <c r="I1153" s="78">
        <f t="shared" si="53"/>
        <v>-8.6700000000000017</v>
      </c>
      <c r="K1153" s="72">
        <f>Target1[[#This Row],[Target Price]]/$B$2*100</f>
        <v>249.73821989528795</v>
      </c>
      <c r="R1153">
        <f>B1154/Target1[[#This Row],[Target Price]]-1</f>
        <v>7.4539948753784557E-3</v>
      </c>
    </row>
    <row r="1154" spans="1:18">
      <c r="A1154" s="96">
        <v>44958</v>
      </c>
      <c r="B1154" s="101">
        <v>43.25</v>
      </c>
      <c r="C1154" s="4">
        <f t="shared" ref="C1154:C1217" si="54">IFERROR(IF(B1154="","-",LN(B1154/B1153)),"-")</f>
        <v>7.4263511414190296E-3</v>
      </c>
      <c r="D1154" s="4">
        <f>IFERROR(Target1[[#This Row],[Target Return]]+1,"-")</f>
        <v>1.007426351141419</v>
      </c>
      <c r="E1154" s="6">
        <f>B1154-MAX($B$2:B1154)</f>
        <v>-8.3500000000000014</v>
      </c>
      <c r="F1154" s="80">
        <f t="shared" ref="F1154:F1217" si="55">IF(E1154=0,0,F1153+1)</f>
        <v>627</v>
      </c>
      <c r="G1154" s="77">
        <f>Target1[[#This Row],[Target Drawdown]]/MAX($B$2:B1154)</f>
        <v>-0.1618217054263566</v>
      </c>
      <c r="H1154" s="1" t="str">
        <f>IF(SUM(COUNTIF(Benchmark1[Benchmark '#1 Dates],Target1[[#This Row],[Target Dates]]),COUNTIF(Benchmark2[Benchmark '#2 Dates],Target1[[#This Row],[Target Dates]]))=2,"Pass","Fail")</f>
        <v>Pass</v>
      </c>
      <c r="I1154" s="78">
        <f t="shared" ref="I1154:I1217" si="56">$E$2+E1154</f>
        <v>-8.3500000000000014</v>
      </c>
      <c r="K1154" s="72">
        <f>Target1[[#This Row],[Target Price]]/$B$2*100</f>
        <v>251.59976730657357</v>
      </c>
      <c r="R1154">
        <f>B1155/Target1[[#This Row],[Target Price]]-1</f>
        <v>-1.6184971098265999E-2</v>
      </c>
    </row>
    <row r="1155" spans="1:18">
      <c r="A1155" s="96">
        <v>44959</v>
      </c>
      <c r="B1155" s="101">
        <v>42.55</v>
      </c>
      <c r="C1155" s="4">
        <f t="shared" si="54"/>
        <v>-1.6317378358505292E-2</v>
      </c>
      <c r="D1155" s="4">
        <f>IFERROR(Target1[[#This Row],[Target Return]]+1,"-")</f>
        <v>0.98368262164149467</v>
      </c>
      <c r="E1155" s="6">
        <f>B1155-MAX($B$2:B1155)</f>
        <v>-9.0500000000000043</v>
      </c>
      <c r="F1155" s="80">
        <f t="shared" si="55"/>
        <v>628</v>
      </c>
      <c r="G1155" s="77">
        <f>Target1[[#This Row],[Target Drawdown]]/MAX($B$2:B1155)</f>
        <v>-0.1753875968992249</v>
      </c>
      <c r="H1155" s="1" t="str">
        <f>IF(SUM(COUNTIF(Benchmark1[Benchmark '#1 Dates],Target1[[#This Row],[Target Dates]]),COUNTIF(Benchmark2[Benchmark '#2 Dates],Target1[[#This Row],[Target Dates]]))=2,"Pass","Fail")</f>
        <v>Pass</v>
      </c>
      <c r="I1155" s="78">
        <f t="shared" si="56"/>
        <v>-9.0500000000000043</v>
      </c>
      <c r="K1155" s="72">
        <f>Target1[[#This Row],[Target Price]]/$B$2*100</f>
        <v>247.52763234438623</v>
      </c>
      <c r="R1155">
        <f>B1156/Target1[[#This Row],[Target Price]]-1</f>
        <v>7.0505287896593938E-3</v>
      </c>
    </row>
    <row r="1156" spans="1:18">
      <c r="A1156" s="96">
        <v>44960</v>
      </c>
      <c r="B1156" s="101">
        <v>42.85</v>
      </c>
      <c r="C1156" s="4">
        <f t="shared" si="54"/>
        <v>7.0257900244058225E-3</v>
      </c>
      <c r="D1156" s="4">
        <f>IFERROR(Target1[[#This Row],[Target Return]]+1,"-")</f>
        <v>1.0070257900244057</v>
      </c>
      <c r="E1156" s="6">
        <f>B1156-MAX($B$2:B1156)</f>
        <v>-8.75</v>
      </c>
      <c r="F1156" s="80">
        <f t="shared" si="55"/>
        <v>629</v>
      </c>
      <c r="G1156" s="77">
        <f>Target1[[#This Row],[Target Drawdown]]/MAX($B$2:B1156)</f>
        <v>-0.16957364341085271</v>
      </c>
      <c r="H1156" s="1" t="str">
        <f>IF(SUM(COUNTIF(Benchmark1[Benchmark '#1 Dates],Target1[[#This Row],[Target Dates]]),COUNTIF(Benchmark2[Benchmark '#2 Dates],Target1[[#This Row],[Target Dates]]))=2,"Pass","Fail")</f>
        <v>Pass</v>
      </c>
      <c r="I1156" s="78">
        <f t="shared" si="56"/>
        <v>-8.75</v>
      </c>
      <c r="K1156" s="72">
        <f>Target1[[#This Row],[Target Price]]/$B$2*100</f>
        <v>249.27283304246654</v>
      </c>
      <c r="R1156">
        <f>B1157/Target1[[#This Row],[Target Price]]-1</f>
        <v>-2.6137689614935899E-2</v>
      </c>
    </row>
    <row r="1157" spans="1:18">
      <c r="A1157" s="96">
        <v>44963</v>
      </c>
      <c r="B1157" s="101">
        <v>41.73</v>
      </c>
      <c r="C1157" s="4">
        <f t="shared" si="54"/>
        <v>-2.6485350440327644E-2</v>
      </c>
      <c r="D1157" s="4">
        <f>IFERROR(Target1[[#This Row],[Target Return]]+1,"-")</f>
        <v>0.97351464955967237</v>
      </c>
      <c r="E1157" s="6">
        <f>B1157-MAX($B$2:B1157)</f>
        <v>-9.8700000000000045</v>
      </c>
      <c r="F1157" s="80">
        <f t="shared" si="55"/>
        <v>630</v>
      </c>
      <c r="G1157" s="77">
        <f>Target1[[#This Row],[Target Drawdown]]/MAX($B$2:B1157)</f>
        <v>-0.19127906976744194</v>
      </c>
      <c r="H1157" s="1" t="str">
        <f>IF(SUM(COUNTIF(Benchmark1[Benchmark '#1 Dates],Target1[[#This Row],[Target Dates]]),COUNTIF(Benchmark2[Benchmark '#2 Dates],Target1[[#This Row],[Target Dates]]))=2,"Pass","Fail")</f>
        <v>Pass</v>
      </c>
      <c r="I1157" s="78">
        <f t="shared" si="56"/>
        <v>-9.8700000000000045</v>
      </c>
      <c r="K1157" s="72">
        <f>Target1[[#This Row],[Target Price]]/$B$2*100</f>
        <v>242.7574171029668</v>
      </c>
      <c r="R1157">
        <f>B1158/Target1[[#This Row],[Target Price]]-1</f>
        <v>1.6774502755811938E-3</v>
      </c>
    </row>
    <row r="1158" spans="1:18">
      <c r="A1158" s="96">
        <v>44964</v>
      </c>
      <c r="B1158" s="101">
        <v>41.8</v>
      </c>
      <c r="C1158" s="4">
        <f t="shared" si="54"/>
        <v>1.6760449272494736E-3</v>
      </c>
      <c r="D1158" s="4">
        <f>IFERROR(Target1[[#This Row],[Target Return]]+1,"-")</f>
        <v>1.0016760449272495</v>
      </c>
      <c r="E1158" s="6">
        <f>B1158-MAX($B$2:B1158)</f>
        <v>-9.8000000000000043</v>
      </c>
      <c r="F1158" s="80">
        <f t="shared" si="55"/>
        <v>631</v>
      </c>
      <c r="G1158" s="77">
        <f>Target1[[#This Row],[Target Drawdown]]/MAX($B$2:B1158)</f>
        <v>-0.18992248062015513</v>
      </c>
      <c r="H1158" s="1" t="str">
        <f>IF(SUM(COUNTIF(Benchmark1[Benchmark '#1 Dates],Target1[[#This Row],[Target Dates]]),COUNTIF(Benchmark2[Benchmark '#2 Dates],Target1[[#This Row],[Target Dates]]))=2,"Pass","Fail")</f>
        <v>Pass</v>
      </c>
      <c r="I1158" s="78">
        <f t="shared" si="56"/>
        <v>-9.8000000000000043</v>
      </c>
      <c r="K1158" s="72">
        <f>Target1[[#This Row],[Target Price]]/$B$2*100</f>
        <v>243.16463059918556</v>
      </c>
      <c r="R1158">
        <f>B1159/Target1[[#This Row],[Target Price]]-1</f>
        <v>-2.5358851674641025E-2</v>
      </c>
    </row>
    <row r="1159" spans="1:18">
      <c r="A1159" s="96">
        <v>44965</v>
      </c>
      <c r="B1159" s="101">
        <v>40.74</v>
      </c>
      <c r="C1159" s="4">
        <f t="shared" si="54"/>
        <v>-2.5685928732050743E-2</v>
      </c>
      <c r="D1159" s="4">
        <f>IFERROR(Target1[[#This Row],[Target Return]]+1,"-")</f>
        <v>0.97431407126794922</v>
      </c>
      <c r="E1159" s="6">
        <f>B1159-MAX($B$2:B1159)</f>
        <v>-10.86</v>
      </c>
      <c r="F1159" s="80">
        <f t="shared" si="55"/>
        <v>632</v>
      </c>
      <c r="G1159" s="77">
        <f>Target1[[#This Row],[Target Drawdown]]/MAX($B$2:B1159)</f>
        <v>-0.21046511627906975</v>
      </c>
      <c r="H1159" s="1" t="str">
        <f>IF(SUM(COUNTIF(Benchmark1[Benchmark '#1 Dates],Target1[[#This Row],[Target Dates]]),COUNTIF(Benchmark2[Benchmark '#2 Dates],Target1[[#This Row],[Target Dates]]))=2,"Pass","Fail")</f>
        <v>Pass</v>
      </c>
      <c r="I1159" s="78">
        <f t="shared" si="56"/>
        <v>-10.86</v>
      </c>
      <c r="K1159" s="72">
        <f>Target1[[#This Row],[Target Price]]/$B$2*100</f>
        <v>236.99825479930192</v>
      </c>
      <c r="R1159">
        <f>B1160/Target1[[#This Row],[Target Price]]-1</f>
        <v>1.5954835542464352E-2</v>
      </c>
    </row>
    <row r="1160" spans="1:18">
      <c r="A1160" s="96">
        <v>44966</v>
      </c>
      <c r="B1160" s="101">
        <v>41.39</v>
      </c>
      <c r="C1160" s="4">
        <f t="shared" si="54"/>
        <v>1.582889496198122E-2</v>
      </c>
      <c r="D1160" s="4">
        <f>IFERROR(Target1[[#This Row],[Target Return]]+1,"-")</f>
        <v>1.0158288949619811</v>
      </c>
      <c r="E1160" s="6">
        <f>B1160-MAX($B$2:B1160)</f>
        <v>-10.210000000000001</v>
      </c>
      <c r="F1160" s="80">
        <f t="shared" si="55"/>
        <v>633</v>
      </c>
      <c r="G1160" s="77">
        <f>Target1[[#This Row],[Target Drawdown]]/MAX($B$2:B1160)</f>
        <v>-0.19786821705426358</v>
      </c>
      <c r="H1160" s="1" t="str">
        <f>IF(SUM(COUNTIF(Benchmark1[Benchmark '#1 Dates],Target1[[#This Row],[Target Dates]]),COUNTIF(Benchmark2[Benchmark '#2 Dates],Target1[[#This Row],[Target Dates]]))=2,"Pass","Fail")</f>
        <v>Pass</v>
      </c>
      <c r="I1160" s="78">
        <f t="shared" si="56"/>
        <v>-10.210000000000001</v>
      </c>
      <c r="K1160" s="72">
        <f>Target1[[#This Row],[Target Price]]/$B$2*100</f>
        <v>240.77952297847585</v>
      </c>
      <c r="R1160">
        <f>B1161/Target1[[#This Row],[Target Price]]-1</f>
        <v>5.0736892969316383E-3</v>
      </c>
    </row>
    <row r="1161" spans="1:18">
      <c r="A1161" s="96">
        <v>44967</v>
      </c>
      <c r="B1161" s="101">
        <v>41.6</v>
      </c>
      <c r="C1161" s="4">
        <f t="shared" si="54"/>
        <v>5.0608615065765748E-3</v>
      </c>
      <c r="D1161" s="4">
        <f>IFERROR(Target1[[#This Row],[Target Return]]+1,"-")</f>
        <v>1.0050608615065766</v>
      </c>
      <c r="E1161" s="6">
        <f>B1161-MAX($B$2:B1161)</f>
        <v>-10</v>
      </c>
      <c r="F1161" s="80">
        <f t="shared" si="55"/>
        <v>634</v>
      </c>
      <c r="G1161" s="77">
        <f>Target1[[#This Row],[Target Drawdown]]/MAX($B$2:B1161)</f>
        <v>-0.19379844961240308</v>
      </c>
      <c r="H1161" s="1" t="str">
        <f>IF(SUM(COUNTIF(Benchmark1[Benchmark '#1 Dates],Target1[[#This Row],[Target Dates]]),COUNTIF(Benchmark2[Benchmark '#2 Dates],Target1[[#This Row],[Target Dates]]))=2,"Pass","Fail")</f>
        <v>Pass</v>
      </c>
      <c r="I1161" s="78">
        <f t="shared" si="56"/>
        <v>-10</v>
      </c>
      <c r="K1161" s="72">
        <f>Target1[[#This Row],[Target Price]]/$B$2*100</f>
        <v>242.00116346713205</v>
      </c>
      <c r="R1161">
        <f>B1162/Target1[[#This Row],[Target Price]]-1</f>
        <v>2.5480769230769029E-2</v>
      </c>
    </row>
    <row r="1162" spans="1:18">
      <c r="A1162" s="96">
        <v>44970</v>
      </c>
      <c r="B1162" s="101">
        <v>42.66</v>
      </c>
      <c r="C1162" s="4">
        <f t="shared" si="54"/>
        <v>2.5161545775986713E-2</v>
      </c>
      <c r="D1162" s="4">
        <f>IFERROR(Target1[[#This Row],[Target Return]]+1,"-")</f>
        <v>1.0251615457759866</v>
      </c>
      <c r="E1162" s="6">
        <f>B1162-MAX($B$2:B1162)</f>
        <v>-8.9400000000000048</v>
      </c>
      <c r="F1162" s="80">
        <f t="shared" si="55"/>
        <v>635</v>
      </c>
      <c r="G1162" s="77">
        <f>Target1[[#This Row],[Target Drawdown]]/MAX($B$2:B1162)</f>
        <v>-0.17325581395348846</v>
      </c>
      <c r="H1162" s="1" t="str">
        <f>IF(SUM(COUNTIF(Benchmark1[Benchmark '#1 Dates],Target1[[#This Row],[Target Dates]]),COUNTIF(Benchmark2[Benchmark '#2 Dates],Target1[[#This Row],[Target Dates]]))=2,"Pass","Fail")</f>
        <v>Pass</v>
      </c>
      <c r="I1162" s="78">
        <f t="shared" si="56"/>
        <v>-8.9400000000000048</v>
      </c>
      <c r="K1162" s="72">
        <f>Target1[[#This Row],[Target Price]]/$B$2*100</f>
        <v>248.16753926701566</v>
      </c>
      <c r="R1162">
        <f>B1163/Target1[[#This Row],[Target Price]]-1</f>
        <v>4.6882325363337696E-3</v>
      </c>
    </row>
    <row r="1163" spans="1:18">
      <c r="A1163" s="96">
        <v>44971</v>
      </c>
      <c r="B1163" s="101">
        <v>42.86</v>
      </c>
      <c r="C1163" s="4">
        <f t="shared" si="54"/>
        <v>4.6772770022264175E-3</v>
      </c>
      <c r="D1163" s="4">
        <f>IFERROR(Target1[[#This Row],[Target Return]]+1,"-")</f>
        <v>1.0046772770022263</v>
      </c>
      <c r="E1163" s="6">
        <f>B1163-MAX($B$2:B1163)</f>
        <v>-8.740000000000002</v>
      </c>
      <c r="F1163" s="80">
        <f t="shared" si="55"/>
        <v>636</v>
      </c>
      <c r="G1163" s="77">
        <f>Target1[[#This Row],[Target Drawdown]]/MAX($B$2:B1163)</f>
        <v>-0.16937984496124034</v>
      </c>
      <c r="H1163" s="1" t="str">
        <f>IF(SUM(COUNTIF(Benchmark1[Benchmark '#1 Dates],Target1[[#This Row],[Target Dates]]),COUNTIF(Benchmark2[Benchmark '#2 Dates],Target1[[#This Row],[Target Dates]]))=2,"Pass","Fail")</f>
        <v>Pass</v>
      </c>
      <c r="I1163" s="78">
        <f t="shared" si="56"/>
        <v>-8.740000000000002</v>
      </c>
      <c r="K1163" s="72">
        <f>Target1[[#This Row],[Target Price]]/$B$2*100</f>
        <v>249.3310063990692</v>
      </c>
      <c r="R1163">
        <f>B1164/Target1[[#This Row],[Target Price]]-1</f>
        <v>1.2599160055996261E-2</v>
      </c>
    </row>
    <row r="1164" spans="1:18">
      <c r="A1164" s="96">
        <v>44972</v>
      </c>
      <c r="B1164" s="101">
        <v>43.4</v>
      </c>
      <c r="C1164" s="4">
        <f t="shared" si="54"/>
        <v>1.2520451060928212E-2</v>
      </c>
      <c r="D1164" s="4">
        <f>IFERROR(Target1[[#This Row],[Target Return]]+1,"-")</f>
        <v>1.0125204510609283</v>
      </c>
      <c r="E1164" s="6">
        <f>B1164-MAX($B$2:B1164)</f>
        <v>-8.2000000000000028</v>
      </c>
      <c r="F1164" s="80">
        <f t="shared" si="55"/>
        <v>637</v>
      </c>
      <c r="G1164" s="77">
        <f>Target1[[#This Row],[Target Drawdown]]/MAX($B$2:B1164)</f>
        <v>-0.1589147286821706</v>
      </c>
      <c r="H1164" s="1" t="str">
        <f>IF(SUM(COUNTIF(Benchmark1[Benchmark '#1 Dates],Target1[[#This Row],[Target Dates]]),COUNTIF(Benchmark2[Benchmark '#2 Dates],Target1[[#This Row],[Target Dates]]))=2,"Pass","Fail")</f>
        <v>Pass</v>
      </c>
      <c r="I1164" s="78">
        <f t="shared" si="56"/>
        <v>-8.2000000000000028</v>
      </c>
      <c r="K1164" s="72">
        <f>Target1[[#This Row],[Target Price]]/$B$2*100</f>
        <v>252.47236765561371</v>
      </c>
      <c r="R1164">
        <f>B1165/Target1[[#This Row],[Target Price]]-1</f>
        <v>9.6774193548387899E-3</v>
      </c>
    </row>
    <row r="1165" spans="1:18">
      <c r="A1165" s="96">
        <v>44973</v>
      </c>
      <c r="B1165" s="101">
        <v>43.82</v>
      </c>
      <c r="C1165" s="4">
        <f t="shared" si="54"/>
        <v>9.6308930609613659E-3</v>
      </c>
      <c r="D1165" s="4">
        <f>IFERROR(Target1[[#This Row],[Target Return]]+1,"-")</f>
        <v>1.0096308930609614</v>
      </c>
      <c r="E1165" s="6">
        <f>B1165-MAX($B$2:B1165)</f>
        <v>-7.7800000000000011</v>
      </c>
      <c r="F1165" s="80">
        <f t="shared" si="55"/>
        <v>638</v>
      </c>
      <c r="G1165" s="77">
        <f>Target1[[#This Row],[Target Drawdown]]/MAX($B$2:B1165)</f>
        <v>-0.15077519379844964</v>
      </c>
      <c r="H1165" s="1" t="str">
        <f>IF(SUM(COUNTIF(Benchmark1[Benchmark '#1 Dates],Target1[[#This Row],[Target Dates]]),COUNTIF(Benchmark2[Benchmark '#2 Dates],Target1[[#This Row],[Target Dates]]))=2,"Pass","Fail")</f>
        <v>Pass</v>
      </c>
      <c r="I1165" s="78">
        <f t="shared" si="56"/>
        <v>-7.7800000000000011</v>
      </c>
      <c r="K1165" s="72">
        <f>Target1[[#This Row],[Target Price]]/$B$2*100</f>
        <v>254.91564863292609</v>
      </c>
      <c r="R1165">
        <f>B1166/Target1[[#This Row],[Target Price]]-1</f>
        <v>1.5974440894568342E-3</v>
      </c>
    </row>
    <row r="1166" spans="1:18">
      <c r="A1166" s="96">
        <v>44974</v>
      </c>
      <c r="B1166" s="101">
        <v>43.89</v>
      </c>
      <c r="C1166" s="4">
        <f t="shared" si="54"/>
        <v>1.5961695328221347E-3</v>
      </c>
      <c r="D1166" s="4">
        <f>IFERROR(Target1[[#This Row],[Target Return]]+1,"-")</f>
        <v>1.0015961695328222</v>
      </c>
      <c r="E1166" s="6">
        <f>B1166-MAX($B$2:B1166)</f>
        <v>-7.7100000000000009</v>
      </c>
      <c r="F1166" s="80">
        <f t="shared" si="55"/>
        <v>639</v>
      </c>
      <c r="G1166" s="77">
        <f>Target1[[#This Row],[Target Drawdown]]/MAX($B$2:B1166)</f>
        <v>-0.1494186046511628</v>
      </c>
      <c r="H1166" s="1" t="str">
        <f>IF(SUM(COUNTIF(Benchmark1[Benchmark '#1 Dates],Target1[[#This Row],[Target Dates]]),COUNTIF(Benchmark2[Benchmark '#2 Dates],Target1[[#This Row],[Target Dates]]))=2,"Pass","Fail")</f>
        <v>Pass</v>
      </c>
      <c r="I1166" s="78">
        <f t="shared" si="56"/>
        <v>-7.7100000000000009</v>
      </c>
      <c r="K1166" s="72">
        <f>Target1[[#This Row],[Target Price]]/$B$2*100</f>
        <v>255.32286212914482</v>
      </c>
      <c r="R1166">
        <f>B1167/Target1[[#This Row],[Target Price]]-1</f>
        <v>-1.2759170653907526E-2</v>
      </c>
    </row>
    <row r="1167" spans="1:18">
      <c r="A1167" s="96">
        <v>44978</v>
      </c>
      <c r="B1167" s="101">
        <v>43.33</v>
      </c>
      <c r="C1167" s="4">
        <f t="shared" si="54"/>
        <v>-1.2841267948324624E-2</v>
      </c>
      <c r="D1167" s="4">
        <f>IFERROR(Target1[[#This Row],[Target Return]]+1,"-")</f>
        <v>0.98715873205167537</v>
      </c>
      <c r="E1167" s="6">
        <f>B1167-MAX($B$2:B1167)</f>
        <v>-8.2700000000000031</v>
      </c>
      <c r="F1167" s="80">
        <f t="shared" si="55"/>
        <v>640</v>
      </c>
      <c r="G1167" s="77">
        <f>Target1[[#This Row],[Target Drawdown]]/MAX($B$2:B1167)</f>
        <v>-0.16027131782945742</v>
      </c>
      <c r="H1167" s="1" t="str">
        <f>IF(SUM(COUNTIF(Benchmark1[Benchmark '#1 Dates],Target1[[#This Row],[Target Dates]]),COUNTIF(Benchmark2[Benchmark '#2 Dates],Target1[[#This Row],[Target Dates]]))=2,"Pass","Fail")</f>
        <v>Pass</v>
      </c>
      <c r="I1167" s="78">
        <f t="shared" si="56"/>
        <v>-8.2700000000000031</v>
      </c>
      <c r="K1167" s="72">
        <f>Target1[[#This Row],[Target Price]]/$B$2*100</f>
        <v>252.06515415939498</v>
      </c>
      <c r="R1167">
        <f>B1168/Target1[[#This Row],[Target Price]]-1</f>
        <v>4.6157396722823485E-4</v>
      </c>
    </row>
    <row r="1168" spans="1:18">
      <c r="A1168" s="96">
        <v>44979</v>
      </c>
      <c r="B1168" s="101">
        <v>43.35</v>
      </c>
      <c r="C1168" s="4">
        <f t="shared" si="54"/>
        <v>4.6146747473280571E-4</v>
      </c>
      <c r="D1168" s="4">
        <f>IFERROR(Target1[[#This Row],[Target Return]]+1,"-")</f>
        <v>1.0004614674747327</v>
      </c>
      <c r="E1168" s="6">
        <f>B1168-MAX($B$2:B1168)</f>
        <v>-8.25</v>
      </c>
      <c r="F1168" s="80">
        <f t="shared" si="55"/>
        <v>641</v>
      </c>
      <c r="G1168" s="77">
        <f>Target1[[#This Row],[Target Drawdown]]/MAX($B$2:B1168)</f>
        <v>-0.15988372093023256</v>
      </c>
      <c r="H1168" s="1" t="str">
        <f>IF(SUM(COUNTIF(Benchmark1[Benchmark '#1 Dates],Target1[[#This Row],[Target Dates]]),COUNTIF(Benchmark2[Benchmark '#2 Dates],Target1[[#This Row],[Target Dates]]))=2,"Pass","Fail")</f>
        <v>Pass</v>
      </c>
      <c r="I1168" s="78">
        <f t="shared" si="56"/>
        <v>-8.25</v>
      </c>
      <c r="K1168" s="72">
        <f>Target1[[#This Row],[Target Price]]/$B$2*100</f>
        <v>252.18150087260031</v>
      </c>
      <c r="R1168">
        <f>B1169/Target1[[#This Row],[Target Price]]-1</f>
        <v>-2.3068050749711633E-3</v>
      </c>
    </row>
    <row r="1169" spans="1:18">
      <c r="A1169" s="96">
        <v>44980</v>
      </c>
      <c r="B1169" s="101">
        <v>43.25</v>
      </c>
      <c r="C1169" s="4">
        <f t="shared" si="54"/>
        <v>-2.3094698486625289E-3</v>
      </c>
      <c r="D1169" s="4">
        <f>IFERROR(Target1[[#This Row],[Target Return]]+1,"-")</f>
        <v>0.99769053015133746</v>
      </c>
      <c r="E1169" s="6">
        <f>B1169-MAX($B$2:B1169)</f>
        <v>-8.3500000000000014</v>
      </c>
      <c r="F1169" s="80">
        <f t="shared" si="55"/>
        <v>642</v>
      </c>
      <c r="G1169" s="77">
        <f>Target1[[#This Row],[Target Drawdown]]/MAX($B$2:B1169)</f>
        <v>-0.1618217054263566</v>
      </c>
      <c r="H1169" s="1" t="str">
        <f>IF(SUM(COUNTIF(Benchmark1[Benchmark '#1 Dates],Target1[[#This Row],[Target Dates]]),COUNTIF(Benchmark2[Benchmark '#2 Dates],Target1[[#This Row],[Target Dates]]))=2,"Pass","Fail")</f>
        <v>Pass</v>
      </c>
      <c r="I1169" s="78">
        <f t="shared" si="56"/>
        <v>-8.3500000000000014</v>
      </c>
      <c r="K1169" s="72">
        <f>Target1[[#This Row],[Target Price]]/$B$2*100</f>
        <v>251.59976730657357</v>
      </c>
      <c r="R1169">
        <f>B1170/Target1[[#This Row],[Target Price]]-1</f>
        <v>2.7745664739884379E-3</v>
      </c>
    </row>
    <row r="1170" spans="1:18">
      <c r="A1170" s="96">
        <v>44981</v>
      </c>
      <c r="B1170" s="101">
        <v>43.37</v>
      </c>
      <c r="C1170" s="4">
        <f t="shared" si="54"/>
        <v>2.7707244693865383E-3</v>
      </c>
      <c r="D1170" s="4">
        <f>IFERROR(Target1[[#This Row],[Target Return]]+1,"-")</f>
        <v>1.0027707244693866</v>
      </c>
      <c r="E1170" s="6">
        <f>B1170-MAX($B$2:B1170)</f>
        <v>-8.230000000000004</v>
      </c>
      <c r="F1170" s="80">
        <f t="shared" si="55"/>
        <v>643</v>
      </c>
      <c r="G1170" s="77">
        <f>Target1[[#This Row],[Target Drawdown]]/MAX($B$2:B1170)</f>
        <v>-0.15949612403100782</v>
      </c>
      <c r="H1170" s="1" t="str">
        <f>IF(SUM(COUNTIF(Benchmark1[Benchmark '#1 Dates],Target1[[#This Row],[Target Dates]]),COUNTIF(Benchmark2[Benchmark '#2 Dates],Target1[[#This Row],[Target Dates]]))=2,"Pass","Fail")</f>
        <v>Pass</v>
      </c>
      <c r="I1170" s="78">
        <f t="shared" si="56"/>
        <v>-8.230000000000004</v>
      </c>
      <c r="K1170" s="72">
        <f>Target1[[#This Row],[Target Price]]/$B$2*100</f>
        <v>252.29784758580567</v>
      </c>
      <c r="R1170">
        <f>B1171/Target1[[#This Row],[Target Price]]-1</f>
        <v>-1.2451002997463712E-2</v>
      </c>
    </row>
    <row r="1171" spans="1:18">
      <c r="A1171" s="96">
        <v>44984</v>
      </c>
      <c r="B1171" s="101">
        <v>42.83</v>
      </c>
      <c r="C1171" s="4">
        <f t="shared" si="54"/>
        <v>-1.2529166219995285E-2</v>
      </c>
      <c r="D1171" s="4">
        <f>IFERROR(Target1[[#This Row],[Target Return]]+1,"-")</f>
        <v>0.98747083378000466</v>
      </c>
      <c r="E1171" s="6">
        <f>B1171-MAX($B$2:B1171)</f>
        <v>-8.7700000000000031</v>
      </c>
      <c r="F1171" s="80">
        <f t="shared" si="55"/>
        <v>644</v>
      </c>
      <c r="G1171" s="77">
        <f>Target1[[#This Row],[Target Drawdown]]/MAX($B$2:B1171)</f>
        <v>-0.16996124031007759</v>
      </c>
      <c r="H1171" s="1" t="str">
        <f>IF(SUM(COUNTIF(Benchmark1[Benchmark '#1 Dates],Target1[[#This Row],[Target Dates]]),COUNTIF(Benchmark2[Benchmark '#2 Dates],Target1[[#This Row],[Target Dates]]))=2,"Pass","Fail")</f>
        <v>Pass</v>
      </c>
      <c r="I1171" s="78">
        <f t="shared" si="56"/>
        <v>-8.7700000000000031</v>
      </c>
      <c r="K1171" s="72">
        <f>Target1[[#This Row],[Target Price]]/$B$2*100</f>
        <v>249.15648632926116</v>
      </c>
      <c r="R1171">
        <f>B1172/Target1[[#This Row],[Target Price]]-1</f>
        <v>-8.4053233714685982E-3</v>
      </c>
    </row>
    <row r="1172" spans="1:18">
      <c r="A1172" s="96">
        <v>44985</v>
      </c>
      <c r="B1172" s="101">
        <v>42.47</v>
      </c>
      <c r="C1172" s="4">
        <f t="shared" si="54"/>
        <v>-8.4408473020998187E-3</v>
      </c>
      <c r="D1172" s="4">
        <f>IFERROR(Target1[[#This Row],[Target Return]]+1,"-")</f>
        <v>0.99155915269790018</v>
      </c>
      <c r="E1172" s="6">
        <f>B1172-MAX($B$2:B1172)</f>
        <v>-9.1300000000000026</v>
      </c>
      <c r="F1172" s="80">
        <f t="shared" si="55"/>
        <v>645</v>
      </c>
      <c r="G1172" s="77">
        <f>Target1[[#This Row],[Target Drawdown]]/MAX($B$2:B1172)</f>
        <v>-0.17693798449612408</v>
      </c>
      <c r="H1172" s="1" t="str">
        <f>IF(SUM(COUNTIF(Benchmark1[Benchmark '#1 Dates],Target1[[#This Row],[Target Dates]]),COUNTIF(Benchmark2[Benchmark '#2 Dates],Target1[[#This Row],[Target Dates]]))=2,"Pass","Fail")</f>
        <v>Pass</v>
      </c>
      <c r="I1172" s="78">
        <f t="shared" si="56"/>
        <v>-9.1300000000000026</v>
      </c>
      <c r="K1172" s="72">
        <f>Target1[[#This Row],[Target Price]]/$B$2*100</f>
        <v>247.06224549156482</v>
      </c>
      <c r="R1172">
        <f>B1173/Target1[[#This Row],[Target Price]]-1</f>
        <v>-6.1219684483163617E-3</v>
      </c>
    </row>
    <row r="1173" spans="1:18">
      <c r="A1173" s="96">
        <v>44986</v>
      </c>
      <c r="B1173" s="101">
        <v>42.21</v>
      </c>
      <c r="C1173" s="4">
        <f t="shared" si="54"/>
        <v>-6.1407845307723157E-3</v>
      </c>
      <c r="D1173" s="4">
        <f>IFERROR(Target1[[#This Row],[Target Return]]+1,"-")</f>
        <v>0.99385921546922773</v>
      </c>
      <c r="E1173" s="6">
        <f>B1173-MAX($B$2:B1173)</f>
        <v>-9.39</v>
      </c>
      <c r="F1173" s="80">
        <f t="shared" si="55"/>
        <v>646</v>
      </c>
      <c r="G1173" s="77">
        <f>Target1[[#This Row],[Target Drawdown]]/MAX($B$2:B1173)</f>
        <v>-0.18197674418604651</v>
      </c>
      <c r="H1173" s="1" t="str">
        <f>IF(SUM(COUNTIF(Benchmark1[Benchmark '#1 Dates],Target1[[#This Row],[Target Dates]]),COUNTIF(Benchmark2[Benchmark '#2 Dates],Target1[[#This Row],[Target Dates]]))=2,"Pass","Fail")</f>
        <v>Pass</v>
      </c>
      <c r="I1173" s="78">
        <f t="shared" si="56"/>
        <v>-9.39</v>
      </c>
      <c r="K1173" s="72">
        <f>Target1[[#This Row],[Target Price]]/$B$2*100</f>
        <v>245.54973821989529</v>
      </c>
      <c r="R1173">
        <f>B1174/Target1[[#This Row],[Target Price]]-1</f>
        <v>5.6858564321251581E-3</v>
      </c>
    </row>
    <row r="1174" spans="1:18">
      <c r="A1174" s="96">
        <v>44987</v>
      </c>
      <c r="B1174" s="101">
        <v>42.45</v>
      </c>
      <c r="C1174" s="4">
        <f t="shared" si="54"/>
        <v>5.6697529629490123E-3</v>
      </c>
      <c r="D1174" s="4">
        <f>IFERROR(Target1[[#This Row],[Target Return]]+1,"-")</f>
        <v>1.005669752962949</v>
      </c>
      <c r="E1174" s="6">
        <f>B1174-MAX($B$2:B1174)</f>
        <v>-9.1499999999999986</v>
      </c>
      <c r="F1174" s="80">
        <f t="shared" si="55"/>
        <v>647</v>
      </c>
      <c r="G1174" s="77">
        <f>Target1[[#This Row],[Target Drawdown]]/MAX($B$2:B1174)</f>
        <v>-0.17732558139534879</v>
      </c>
      <c r="H1174" s="1" t="str">
        <f>IF(SUM(COUNTIF(Benchmark1[Benchmark '#1 Dates],Target1[[#This Row],[Target Dates]]),COUNTIF(Benchmark2[Benchmark '#2 Dates],Target1[[#This Row],[Target Dates]]))=2,"Pass","Fail")</f>
        <v>Pass</v>
      </c>
      <c r="I1174" s="78">
        <f t="shared" si="56"/>
        <v>-9.1499999999999986</v>
      </c>
      <c r="K1174" s="72">
        <f>Target1[[#This Row],[Target Price]]/$B$2*100</f>
        <v>246.94589877835952</v>
      </c>
      <c r="R1174">
        <f>B1175/Target1[[#This Row],[Target Price]]-1</f>
        <v>7.3027090694934849E-3</v>
      </c>
    </row>
    <row r="1175" spans="1:18">
      <c r="A1175" s="96">
        <v>44988</v>
      </c>
      <c r="B1175" s="101">
        <v>42.76</v>
      </c>
      <c r="C1175" s="4">
        <f t="shared" si="54"/>
        <v>7.2761733994881166E-3</v>
      </c>
      <c r="D1175" s="4">
        <f>IFERROR(Target1[[#This Row],[Target Return]]+1,"-")</f>
        <v>1.0072761733994882</v>
      </c>
      <c r="E1175" s="6">
        <f>B1175-MAX($B$2:B1175)</f>
        <v>-8.8400000000000034</v>
      </c>
      <c r="F1175" s="80">
        <f t="shared" si="55"/>
        <v>648</v>
      </c>
      <c r="G1175" s="77">
        <f>Target1[[#This Row],[Target Drawdown]]/MAX($B$2:B1175)</f>
        <v>-0.1713178294573644</v>
      </c>
      <c r="H1175" s="1" t="str">
        <f>IF(SUM(COUNTIF(Benchmark1[Benchmark '#1 Dates],Target1[[#This Row],[Target Dates]]),COUNTIF(Benchmark2[Benchmark '#2 Dates],Target1[[#This Row],[Target Dates]]))=2,"Pass","Fail")</f>
        <v>Pass</v>
      </c>
      <c r="I1175" s="78">
        <f t="shared" si="56"/>
        <v>-8.8400000000000034</v>
      </c>
      <c r="K1175" s="72">
        <f>Target1[[#This Row],[Target Price]]/$B$2*100</f>
        <v>248.74927283304245</v>
      </c>
      <c r="R1175">
        <f>B1176/Target1[[#This Row],[Target Price]]-1</f>
        <v>2.8063610851263299E-3</v>
      </c>
    </row>
    <row r="1176" spans="1:18">
      <c r="A1176" s="96">
        <v>44991</v>
      </c>
      <c r="B1176" s="101">
        <v>42.88</v>
      </c>
      <c r="C1176" s="4">
        <f t="shared" si="54"/>
        <v>2.8024306057021155E-3</v>
      </c>
      <c r="D1176" s="4">
        <f>IFERROR(Target1[[#This Row],[Target Return]]+1,"-")</f>
        <v>1.0028024306057022</v>
      </c>
      <c r="E1176" s="6">
        <f>B1176-MAX($B$2:B1176)</f>
        <v>-8.7199999999999989</v>
      </c>
      <c r="F1176" s="80">
        <f t="shared" si="55"/>
        <v>649</v>
      </c>
      <c r="G1176" s="77">
        <f>Target1[[#This Row],[Target Drawdown]]/MAX($B$2:B1176)</f>
        <v>-0.16899224806201549</v>
      </c>
      <c r="H1176" s="1" t="str">
        <f>IF(SUM(COUNTIF(Benchmark1[Benchmark '#1 Dates],Target1[[#This Row],[Target Dates]]),COUNTIF(Benchmark2[Benchmark '#2 Dates],Target1[[#This Row],[Target Dates]]))=2,"Pass","Fail")</f>
        <v>Pass</v>
      </c>
      <c r="I1176" s="78">
        <f t="shared" si="56"/>
        <v>-8.7199999999999989</v>
      </c>
      <c r="K1176" s="72">
        <f>Target1[[#This Row],[Target Price]]/$B$2*100</f>
        <v>249.44735311227458</v>
      </c>
      <c r="R1176">
        <f>B1177/Target1[[#This Row],[Target Price]]-1</f>
        <v>2.7985074626865503E-2</v>
      </c>
    </row>
    <row r="1177" spans="1:18">
      <c r="A1177" s="96">
        <v>44992</v>
      </c>
      <c r="B1177" s="101">
        <v>44.08</v>
      </c>
      <c r="C1177" s="4">
        <f t="shared" si="54"/>
        <v>2.7600648082112336E-2</v>
      </c>
      <c r="D1177" s="4">
        <f>IFERROR(Target1[[#This Row],[Target Return]]+1,"-")</f>
        <v>1.0276006480821123</v>
      </c>
      <c r="E1177" s="6">
        <f>B1177-MAX($B$2:B1177)</f>
        <v>-7.5200000000000031</v>
      </c>
      <c r="F1177" s="80">
        <f t="shared" si="55"/>
        <v>650</v>
      </c>
      <c r="G1177" s="77">
        <f>Target1[[#This Row],[Target Drawdown]]/MAX($B$2:B1177)</f>
        <v>-0.14573643410852719</v>
      </c>
      <c r="H1177" s="1" t="str">
        <f>IF(SUM(COUNTIF(Benchmark1[Benchmark '#1 Dates],Target1[[#This Row],[Target Dates]]),COUNTIF(Benchmark2[Benchmark '#2 Dates],Target1[[#This Row],[Target Dates]]))=2,"Pass","Fail")</f>
        <v>Pass</v>
      </c>
      <c r="I1177" s="78">
        <f t="shared" si="56"/>
        <v>-7.5200000000000031</v>
      </c>
      <c r="K1177" s="72">
        <f>Target1[[#This Row],[Target Price]]/$B$2*100</f>
        <v>256.42815590459566</v>
      </c>
      <c r="R1177">
        <f>B1178/Target1[[#This Row],[Target Price]]-1</f>
        <v>-5.8983666061706019E-3</v>
      </c>
    </row>
    <row r="1178" spans="1:18">
      <c r="A1178" s="96">
        <v>44993</v>
      </c>
      <c r="B1178" s="101">
        <v>43.82</v>
      </c>
      <c r="C1178" s="4">
        <f t="shared" si="54"/>
        <v>-5.9158306773385875E-3</v>
      </c>
      <c r="D1178" s="4">
        <f>IFERROR(Target1[[#This Row],[Target Return]]+1,"-")</f>
        <v>0.99408416932266142</v>
      </c>
      <c r="E1178" s="6">
        <f>B1178-MAX($B$2:B1178)</f>
        <v>-7.7800000000000011</v>
      </c>
      <c r="F1178" s="80">
        <f t="shared" si="55"/>
        <v>651</v>
      </c>
      <c r="G1178" s="77">
        <f>Target1[[#This Row],[Target Drawdown]]/MAX($B$2:B1178)</f>
        <v>-0.15077519379844964</v>
      </c>
      <c r="H1178" s="1" t="str">
        <f>IF(SUM(COUNTIF(Benchmark1[Benchmark '#1 Dates],Target1[[#This Row],[Target Dates]]),COUNTIF(Benchmark2[Benchmark '#2 Dates],Target1[[#This Row],[Target Dates]]))=2,"Pass","Fail")</f>
        <v>Pass</v>
      </c>
      <c r="I1178" s="78">
        <f t="shared" si="56"/>
        <v>-7.7800000000000011</v>
      </c>
      <c r="K1178" s="72">
        <f>Target1[[#This Row],[Target Price]]/$B$2*100</f>
        <v>254.91564863292609</v>
      </c>
      <c r="R1178">
        <f>B1179/Target1[[#This Row],[Target Price]]-1</f>
        <v>-1.5974440894568787E-2</v>
      </c>
    </row>
    <row r="1179" spans="1:18">
      <c r="A1179" s="96">
        <v>44994</v>
      </c>
      <c r="B1179" s="101">
        <v>43.12</v>
      </c>
      <c r="C1179" s="4">
        <f t="shared" si="54"/>
        <v>-1.6103407566578846E-2</v>
      </c>
      <c r="D1179" s="4">
        <f>IFERROR(Target1[[#This Row],[Target Return]]+1,"-")</f>
        <v>0.9838965924334212</v>
      </c>
      <c r="E1179" s="6">
        <f>B1179-MAX($B$2:B1179)</f>
        <v>-8.480000000000004</v>
      </c>
      <c r="F1179" s="80">
        <f t="shared" si="55"/>
        <v>652</v>
      </c>
      <c r="G1179" s="77">
        <f>Target1[[#This Row],[Target Drawdown]]/MAX($B$2:B1179)</f>
        <v>-0.16434108527131791</v>
      </c>
      <c r="H1179" s="1" t="str">
        <f>IF(SUM(COUNTIF(Benchmark1[Benchmark '#1 Dates],Target1[[#This Row],[Target Dates]]),COUNTIF(Benchmark2[Benchmark '#2 Dates],Target1[[#This Row],[Target Dates]]))=2,"Pass","Fail")</f>
        <v>Pass</v>
      </c>
      <c r="I1179" s="78">
        <f t="shared" si="56"/>
        <v>-8.480000000000004</v>
      </c>
      <c r="K1179" s="72">
        <f>Target1[[#This Row],[Target Price]]/$B$2*100</f>
        <v>250.84351367073876</v>
      </c>
      <c r="R1179">
        <f>B1180/Target1[[#This Row],[Target Price]]-1</f>
        <v>-7.0269016697588005E-2</v>
      </c>
    </row>
    <row r="1180" spans="1:18">
      <c r="A1180" s="96">
        <v>44995</v>
      </c>
      <c r="B1180" s="101">
        <v>40.090000000000003</v>
      </c>
      <c r="C1180" s="4">
        <f t="shared" si="54"/>
        <v>-7.2859999946325998E-2</v>
      </c>
      <c r="D1180" s="4">
        <f>IFERROR(Target1[[#This Row],[Target Return]]+1,"-")</f>
        <v>0.92714000005367403</v>
      </c>
      <c r="E1180" s="6">
        <f>B1180-MAX($B$2:B1180)</f>
        <v>-11.509999999999998</v>
      </c>
      <c r="F1180" s="80">
        <f t="shared" si="55"/>
        <v>653</v>
      </c>
      <c r="G1180" s="77">
        <f>Target1[[#This Row],[Target Drawdown]]/MAX($B$2:B1180)</f>
        <v>-0.22306201550387592</v>
      </c>
      <c r="H1180" s="1" t="str">
        <f>IF(SUM(COUNTIF(Benchmark1[Benchmark '#1 Dates],Target1[[#This Row],[Target Dates]]),COUNTIF(Benchmark2[Benchmark '#2 Dates],Target1[[#This Row],[Target Dates]]))=2,"Pass","Fail")</f>
        <v>Pass</v>
      </c>
      <c r="I1180" s="78">
        <f t="shared" si="56"/>
        <v>-11.509999999999998</v>
      </c>
      <c r="K1180" s="72">
        <f>Target1[[#This Row],[Target Price]]/$B$2*100</f>
        <v>233.21698662012801</v>
      </c>
      <c r="R1180">
        <f>B1181/Target1[[#This Row],[Target Price]]-1</f>
        <v>-1.3220254427538047E-2</v>
      </c>
    </row>
    <row r="1181" spans="1:18">
      <c r="A1181" s="96">
        <v>44998</v>
      </c>
      <c r="B1181" s="101">
        <v>39.56</v>
      </c>
      <c r="C1181" s="4">
        <f t="shared" si="54"/>
        <v>-1.3308419899904231E-2</v>
      </c>
      <c r="D1181" s="4">
        <f>IFERROR(Target1[[#This Row],[Target Return]]+1,"-")</f>
        <v>0.98669158010009572</v>
      </c>
      <c r="E1181" s="6">
        <f>B1181-MAX($B$2:B1181)</f>
        <v>-12.04</v>
      </c>
      <c r="F1181" s="80">
        <f t="shared" si="55"/>
        <v>654</v>
      </c>
      <c r="G1181" s="77">
        <f>Target1[[#This Row],[Target Drawdown]]/MAX($B$2:B1181)</f>
        <v>-0.23333333333333331</v>
      </c>
      <c r="H1181" s="1" t="str">
        <f>IF(SUM(COUNTIF(Benchmark1[Benchmark '#1 Dates],Target1[[#This Row],[Target Dates]]),COUNTIF(Benchmark2[Benchmark '#2 Dates],Target1[[#This Row],[Target Dates]]))=2,"Pass","Fail")</f>
        <v>Pass</v>
      </c>
      <c r="I1181" s="78">
        <f t="shared" si="56"/>
        <v>-12.04</v>
      </c>
      <c r="K1181" s="72">
        <f>Target1[[#This Row],[Target Price]]/$B$2*100</f>
        <v>230.13379872018612</v>
      </c>
      <c r="R1181">
        <f>B1182/Target1[[#This Row],[Target Price]]-1</f>
        <v>1.9716885743174872E-2</v>
      </c>
    </row>
    <row r="1182" spans="1:18">
      <c r="A1182" s="96">
        <v>44999</v>
      </c>
      <c r="B1182" s="101">
        <v>40.340000000000003</v>
      </c>
      <c r="C1182" s="4">
        <f t="shared" si="54"/>
        <v>1.9525025771554298E-2</v>
      </c>
      <c r="D1182" s="4">
        <f>IFERROR(Target1[[#This Row],[Target Return]]+1,"-")</f>
        <v>1.0195250257715542</v>
      </c>
      <c r="E1182" s="6">
        <f>B1182-MAX($B$2:B1182)</f>
        <v>-11.259999999999998</v>
      </c>
      <c r="F1182" s="80">
        <f t="shared" si="55"/>
        <v>655</v>
      </c>
      <c r="G1182" s="77">
        <f>Target1[[#This Row],[Target Drawdown]]/MAX($B$2:B1182)</f>
        <v>-0.21821705426356586</v>
      </c>
      <c r="H1182" s="1" t="str">
        <f>IF(SUM(COUNTIF(Benchmark1[Benchmark '#1 Dates],Target1[[#This Row],[Target Dates]]),COUNTIF(Benchmark2[Benchmark '#2 Dates],Target1[[#This Row],[Target Dates]]))=2,"Pass","Fail")</f>
        <v>Pass</v>
      </c>
      <c r="I1182" s="78">
        <f t="shared" si="56"/>
        <v>-11.259999999999998</v>
      </c>
      <c r="K1182" s="72">
        <f>Target1[[#This Row],[Target Price]]/$B$2*100</f>
        <v>234.67132053519489</v>
      </c>
      <c r="R1182">
        <f>B1183/Target1[[#This Row],[Target Price]]-1</f>
        <v>-2.0575111551809799E-2</v>
      </c>
    </row>
    <row r="1183" spans="1:18">
      <c r="A1183" s="96">
        <v>45000</v>
      </c>
      <c r="B1183" s="101">
        <v>39.51</v>
      </c>
      <c r="C1183" s="4">
        <f t="shared" si="54"/>
        <v>-2.0789728102766535E-2</v>
      </c>
      <c r="D1183" s="4">
        <f>IFERROR(Target1[[#This Row],[Target Return]]+1,"-")</f>
        <v>0.97921027189723342</v>
      </c>
      <c r="E1183" s="6">
        <f>B1183-MAX($B$2:B1183)</f>
        <v>-12.090000000000003</v>
      </c>
      <c r="F1183" s="80">
        <f t="shared" si="55"/>
        <v>656</v>
      </c>
      <c r="G1183" s="77">
        <f>Target1[[#This Row],[Target Drawdown]]/MAX($B$2:B1183)</f>
        <v>-0.23430232558139541</v>
      </c>
      <c r="H1183" s="1" t="str">
        <f>IF(SUM(COUNTIF(Benchmark1[Benchmark '#1 Dates],Target1[[#This Row],[Target Dates]]),COUNTIF(Benchmark2[Benchmark '#2 Dates],Target1[[#This Row],[Target Dates]]))=2,"Pass","Fail")</f>
        <v>Pass</v>
      </c>
      <c r="I1183" s="78">
        <f t="shared" si="56"/>
        <v>-12.090000000000003</v>
      </c>
      <c r="K1183" s="72">
        <f>Target1[[#This Row],[Target Price]]/$B$2*100</f>
        <v>229.84293193717272</v>
      </c>
      <c r="R1183">
        <f>B1184/Target1[[#This Row],[Target Price]]-1</f>
        <v>1.5186028853455547E-3</v>
      </c>
    </row>
    <row r="1184" spans="1:18">
      <c r="A1184" s="96">
        <v>45001</v>
      </c>
      <c r="B1184" s="101">
        <v>39.57</v>
      </c>
      <c r="C1184" s="4">
        <f t="shared" si="54"/>
        <v>1.5174509740336296E-3</v>
      </c>
      <c r="D1184" s="4">
        <f>IFERROR(Target1[[#This Row],[Target Return]]+1,"-")</f>
        <v>1.0015174509740337</v>
      </c>
      <c r="E1184" s="6">
        <f>B1184-MAX($B$2:B1184)</f>
        <v>-12.030000000000001</v>
      </c>
      <c r="F1184" s="80">
        <f t="shared" si="55"/>
        <v>657</v>
      </c>
      <c r="G1184" s="77">
        <f>Target1[[#This Row],[Target Drawdown]]/MAX($B$2:B1184)</f>
        <v>-0.23313953488372094</v>
      </c>
      <c r="H1184" s="1" t="str">
        <f>IF(SUM(COUNTIF(Benchmark1[Benchmark '#1 Dates],Target1[[#This Row],[Target Dates]]),COUNTIF(Benchmark2[Benchmark '#2 Dates],Target1[[#This Row],[Target Dates]]))=2,"Pass","Fail")</f>
        <v>Pass</v>
      </c>
      <c r="I1184" s="78">
        <f t="shared" si="56"/>
        <v>-12.030000000000001</v>
      </c>
      <c r="K1184" s="72">
        <f>Target1[[#This Row],[Target Price]]/$B$2*100</f>
        <v>230.19197207678883</v>
      </c>
      <c r="R1184">
        <f>B1185/Target1[[#This Row],[Target Price]]-1</f>
        <v>-2.2997220116249828E-2</v>
      </c>
    </row>
    <row r="1185" spans="1:18">
      <c r="A1185" s="96">
        <v>45002</v>
      </c>
      <c r="B1185" s="101">
        <v>38.659999999999997</v>
      </c>
      <c r="C1185" s="4">
        <f t="shared" si="54"/>
        <v>-2.3265781617148231E-2</v>
      </c>
      <c r="D1185" s="4">
        <f>IFERROR(Target1[[#This Row],[Target Return]]+1,"-")</f>
        <v>0.97673421838285179</v>
      </c>
      <c r="E1185" s="6">
        <f>B1185-MAX($B$2:B1185)</f>
        <v>-12.940000000000005</v>
      </c>
      <c r="F1185" s="80">
        <f t="shared" si="55"/>
        <v>658</v>
      </c>
      <c r="G1185" s="77">
        <f>Target1[[#This Row],[Target Drawdown]]/MAX($B$2:B1185)</f>
        <v>-0.2507751937984497</v>
      </c>
      <c r="H1185" s="1" t="str">
        <f>IF(SUM(COUNTIF(Benchmark1[Benchmark '#1 Dates],Target1[[#This Row],[Target Dates]]),COUNTIF(Benchmark2[Benchmark '#2 Dates],Target1[[#This Row],[Target Dates]]))=2,"Pass","Fail")</f>
        <v>Pass</v>
      </c>
      <c r="I1185" s="78">
        <f t="shared" si="56"/>
        <v>-12.940000000000005</v>
      </c>
      <c r="K1185" s="72">
        <f>Target1[[#This Row],[Target Price]]/$B$2*100</f>
        <v>224.8981966259453</v>
      </c>
      <c r="R1185">
        <f>B1186/Target1[[#This Row],[Target Price]]-1</f>
        <v>5.1733057423697382E-4</v>
      </c>
    </row>
    <row r="1186" spans="1:18">
      <c r="A1186" s="96">
        <v>45005</v>
      </c>
      <c r="B1186" s="101">
        <v>38.68</v>
      </c>
      <c r="C1186" s="4">
        <f t="shared" si="54"/>
        <v>5.1719680490877422E-4</v>
      </c>
      <c r="D1186" s="4">
        <f>IFERROR(Target1[[#This Row],[Target Return]]+1,"-")</f>
        <v>1.0005171968049087</v>
      </c>
      <c r="E1186" s="6">
        <f>B1186-MAX($B$2:B1186)</f>
        <v>-12.920000000000002</v>
      </c>
      <c r="F1186" s="80">
        <f t="shared" si="55"/>
        <v>659</v>
      </c>
      <c r="G1186" s="77">
        <f>Target1[[#This Row],[Target Drawdown]]/MAX($B$2:B1186)</f>
        <v>-0.25038759689922485</v>
      </c>
      <c r="H1186" s="1" t="str">
        <f>IF(SUM(COUNTIF(Benchmark1[Benchmark '#1 Dates],Target1[[#This Row],[Target Dates]]),COUNTIF(Benchmark2[Benchmark '#2 Dates],Target1[[#This Row],[Target Dates]]))=2,"Pass","Fail")</f>
        <v>Pass</v>
      </c>
      <c r="I1186" s="78">
        <f t="shared" si="56"/>
        <v>-12.920000000000002</v>
      </c>
      <c r="K1186" s="72">
        <f>Target1[[#This Row],[Target Price]]/$B$2*100</f>
        <v>225.01454333915066</v>
      </c>
      <c r="R1186">
        <f>B1187/Target1[[#This Row],[Target Price]]-1</f>
        <v>6.2047569803516112E-3</v>
      </c>
    </row>
    <row r="1187" spans="1:18">
      <c r="A1187" s="96">
        <v>45006</v>
      </c>
      <c r="B1187" s="101">
        <v>38.92</v>
      </c>
      <c r="C1187" s="4">
        <f t="shared" si="54"/>
        <v>6.1855867327107444E-3</v>
      </c>
      <c r="D1187" s="4">
        <f>IFERROR(Target1[[#This Row],[Target Return]]+1,"-")</f>
        <v>1.0061855867327107</v>
      </c>
      <c r="E1187" s="6">
        <f>B1187-MAX($B$2:B1187)</f>
        <v>-12.68</v>
      </c>
      <c r="F1187" s="80">
        <f t="shared" si="55"/>
        <v>660</v>
      </c>
      <c r="G1187" s="77">
        <f>Target1[[#This Row],[Target Drawdown]]/MAX($B$2:B1187)</f>
        <v>-0.24573643410852711</v>
      </c>
      <c r="H1187" s="1" t="str">
        <f>IF(SUM(COUNTIF(Benchmark1[Benchmark '#1 Dates],Target1[[#This Row],[Target Dates]]),COUNTIF(Benchmark2[Benchmark '#2 Dates],Target1[[#This Row],[Target Dates]]))=2,"Pass","Fail")</f>
        <v>Pass</v>
      </c>
      <c r="I1187" s="78">
        <f t="shared" si="56"/>
        <v>-12.68</v>
      </c>
      <c r="K1187" s="72">
        <f>Target1[[#This Row],[Target Price]]/$B$2*100</f>
        <v>226.41070389761489</v>
      </c>
      <c r="R1187">
        <f>B1188/Target1[[#This Row],[Target Price]]-1</f>
        <v>-2.2867420349434786E-2</v>
      </c>
    </row>
    <row r="1188" spans="1:18">
      <c r="A1188" s="96">
        <v>45007</v>
      </c>
      <c r="B1188" s="101">
        <v>38.03</v>
      </c>
      <c r="C1188" s="4">
        <f t="shared" si="54"/>
        <v>-2.3132935377636072E-2</v>
      </c>
      <c r="D1188" s="4">
        <f>IFERROR(Target1[[#This Row],[Target Return]]+1,"-")</f>
        <v>0.97686706462236395</v>
      </c>
      <c r="E1188" s="6">
        <f>B1188-MAX($B$2:B1188)</f>
        <v>-13.57</v>
      </c>
      <c r="F1188" s="80">
        <f t="shared" si="55"/>
        <v>661</v>
      </c>
      <c r="G1188" s="77">
        <f>Target1[[#This Row],[Target Drawdown]]/MAX($B$2:B1188)</f>
        <v>-0.26298449612403102</v>
      </c>
      <c r="H1188" s="1" t="str">
        <f>IF(SUM(COUNTIF(Benchmark1[Benchmark '#1 Dates],Target1[[#This Row],[Target Dates]]),COUNTIF(Benchmark2[Benchmark '#2 Dates],Target1[[#This Row],[Target Dates]]))=2,"Pass","Fail")</f>
        <v>Pass</v>
      </c>
      <c r="I1188" s="78">
        <f t="shared" si="56"/>
        <v>-13.57</v>
      </c>
      <c r="K1188" s="72">
        <f>Target1[[#This Row],[Target Price]]/$B$2*100</f>
        <v>221.23327515997673</v>
      </c>
      <c r="R1188">
        <f>B1189/Target1[[#This Row],[Target Price]]-1</f>
        <v>2.6295030239285033E-3</v>
      </c>
    </row>
    <row r="1189" spans="1:18">
      <c r="A1189" s="96">
        <v>45008</v>
      </c>
      <c r="B1189" s="101">
        <v>38.130000000000003</v>
      </c>
      <c r="C1189" s="4">
        <f t="shared" si="54"/>
        <v>2.6260519293041097E-3</v>
      </c>
      <c r="D1189" s="4">
        <f>IFERROR(Target1[[#This Row],[Target Return]]+1,"-")</f>
        <v>1.0026260519293042</v>
      </c>
      <c r="E1189" s="6">
        <f>B1189-MAX($B$2:B1189)</f>
        <v>-13.469999999999999</v>
      </c>
      <c r="F1189" s="80">
        <f t="shared" si="55"/>
        <v>662</v>
      </c>
      <c r="G1189" s="77">
        <f>Target1[[#This Row],[Target Drawdown]]/MAX($B$2:B1189)</f>
        <v>-0.26104651162790693</v>
      </c>
      <c r="H1189" s="1" t="str">
        <f>IF(SUM(COUNTIF(Benchmark1[Benchmark '#1 Dates],Target1[[#This Row],[Target Dates]]),COUNTIF(Benchmark2[Benchmark '#2 Dates],Target1[[#This Row],[Target Dates]]))=2,"Pass","Fail")</f>
        <v>Pass</v>
      </c>
      <c r="I1189" s="78">
        <f t="shared" si="56"/>
        <v>-13.469999999999999</v>
      </c>
      <c r="K1189" s="72">
        <f>Target1[[#This Row],[Target Price]]/$B$2*100</f>
        <v>221.81500872600347</v>
      </c>
      <c r="R1189">
        <f>B1190/Target1[[#This Row],[Target Price]]-1</f>
        <v>1.4424337791764996E-2</v>
      </c>
    </row>
    <row r="1190" spans="1:18">
      <c r="A1190" s="96">
        <v>45009</v>
      </c>
      <c r="B1190" s="101">
        <v>38.68</v>
      </c>
      <c r="C1190" s="4">
        <f t="shared" si="54"/>
        <v>1.4321296715621186E-2</v>
      </c>
      <c r="D1190" s="4">
        <f>IFERROR(Target1[[#This Row],[Target Return]]+1,"-")</f>
        <v>1.0143212967156212</v>
      </c>
      <c r="E1190" s="6">
        <f>B1190-MAX($B$2:B1190)</f>
        <v>-12.920000000000002</v>
      </c>
      <c r="F1190" s="80">
        <f t="shared" si="55"/>
        <v>663</v>
      </c>
      <c r="G1190" s="77">
        <f>Target1[[#This Row],[Target Drawdown]]/MAX($B$2:B1190)</f>
        <v>-0.25038759689922485</v>
      </c>
      <c r="H1190" s="1" t="str">
        <f>IF(SUM(COUNTIF(Benchmark1[Benchmark '#1 Dates],Target1[[#This Row],[Target Dates]]),COUNTIF(Benchmark2[Benchmark '#2 Dates],Target1[[#This Row],[Target Dates]]))=2,"Pass","Fail")</f>
        <v>Pass</v>
      </c>
      <c r="I1190" s="78">
        <f t="shared" si="56"/>
        <v>-12.920000000000002</v>
      </c>
      <c r="K1190" s="72">
        <f>Target1[[#This Row],[Target Price]]/$B$2*100</f>
        <v>225.01454333915066</v>
      </c>
      <c r="R1190">
        <f>B1191/Target1[[#This Row],[Target Price]]-1</f>
        <v>2.1975180972078734E-2</v>
      </c>
    </row>
    <row r="1191" spans="1:18">
      <c r="A1191" s="96">
        <v>45012</v>
      </c>
      <c r="B1191" s="101">
        <v>39.53</v>
      </c>
      <c r="C1191" s="4">
        <f t="shared" si="54"/>
        <v>2.1737206723500702E-2</v>
      </c>
      <c r="D1191" s="4">
        <f>IFERROR(Target1[[#This Row],[Target Return]]+1,"-")</f>
        <v>1.0217372067235007</v>
      </c>
      <c r="E1191" s="6">
        <f>B1191-MAX($B$2:B1191)</f>
        <v>-12.07</v>
      </c>
      <c r="F1191" s="80">
        <f t="shared" si="55"/>
        <v>664</v>
      </c>
      <c r="G1191" s="77">
        <f>Target1[[#This Row],[Target Drawdown]]/MAX($B$2:B1191)</f>
        <v>-0.23391472868217053</v>
      </c>
      <c r="H1191" s="1" t="str">
        <f>IF(SUM(COUNTIF(Benchmark1[Benchmark '#1 Dates],Target1[[#This Row],[Target Dates]]),COUNTIF(Benchmark2[Benchmark '#2 Dates],Target1[[#This Row],[Target Dates]]))=2,"Pass","Fail")</f>
        <v>Pass</v>
      </c>
      <c r="I1191" s="78">
        <f t="shared" si="56"/>
        <v>-12.07</v>
      </c>
      <c r="K1191" s="72">
        <f>Target1[[#This Row],[Target Price]]/$B$2*100</f>
        <v>229.95927865037814</v>
      </c>
      <c r="R1191">
        <f>B1192/Target1[[#This Row],[Target Price]]-1</f>
        <v>-2.5297242600552661E-4</v>
      </c>
    </row>
    <row r="1192" spans="1:18">
      <c r="A1192" s="96">
        <v>45013</v>
      </c>
      <c r="B1192" s="101">
        <v>39.520000000000003</v>
      </c>
      <c r="C1192" s="4">
        <f t="shared" si="54"/>
        <v>-2.5300442892703775E-4</v>
      </c>
      <c r="D1192" s="4">
        <f>IFERROR(Target1[[#This Row],[Target Return]]+1,"-")</f>
        <v>0.99974699557107294</v>
      </c>
      <c r="E1192" s="6">
        <f>B1192-MAX($B$2:B1192)</f>
        <v>-12.079999999999998</v>
      </c>
      <c r="F1192" s="80">
        <f t="shared" si="55"/>
        <v>665</v>
      </c>
      <c r="G1192" s="77">
        <f>Target1[[#This Row],[Target Drawdown]]/MAX($B$2:B1192)</f>
        <v>-0.2341085271317829</v>
      </c>
      <c r="H1192" s="1" t="str">
        <f>IF(SUM(COUNTIF(Benchmark1[Benchmark '#1 Dates],Target1[[#This Row],[Target Dates]]),COUNTIF(Benchmark2[Benchmark '#2 Dates],Target1[[#This Row],[Target Dates]]))=2,"Pass","Fail")</f>
        <v>Pass</v>
      </c>
      <c r="I1192" s="78">
        <f t="shared" si="56"/>
        <v>-12.079999999999998</v>
      </c>
      <c r="K1192" s="72">
        <f>Target1[[#This Row],[Target Price]]/$B$2*100</f>
        <v>229.90110529377543</v>
      </c>
      <c r="R1192">
        <f>B1193/Target1[[#This Row],[Target Price]]-1</f>
        <v>-1.8977732793522217E-2</v>
      </c>
    </row>
    <row r="1193" spans="1:18">
      <c r="A1193" s="96">
        <v>45014</v>
      </c>
      <c r="B1193" s="101">
        <v>38.770000000000003</v>
      </c>
      <c r="C1193" s="4">
        <f t="shared" si="54"/>
        <v>-1.9160121196829256E-2</v>
      </c>
      <c r="D1193" s="4">
        <f>IFERROR(Target1[[#This Row],[Target Return]]+1,"-")</f>
        <v>0.98083987880317069</v>
      </c>
      <c r="E1193" s="6">
        <f>B1193-MAX($B$2:B1193)</f>
        <v>-12.829999999999998</v>
      </c>
      <c r="F1193" s="80">
        <f t="shared" si="55"/>
        <v>666</v>
      </c>
      <c r="G1193" s="77">
        <f>Target1[[#This Row],[Target Drawdown]]/MAX($B$2:B1193)</f>
        <v>-0.24864341085271313</v>
      </c>
      <c r="H1193" s="1" t="str">
        <f>IF(SUM(COUNTIF(Benchmark1[Benchmark '#1 Dates],Target1[[#This Row],[Target Dates]]),COUNTIF(Benchmark2[Benchmark '#2 Dates],Target1[[#This Row],[Target Dates]]))=2,"Pass","Fail")</f>
        <v>Pass</v>
      </c>
      <c r="I1193" s="78">
        <f t="shared" si="56"/>
        <v>-12.829999999999998</v>
      </c>
      <c r="K1193" s="72">
        <f>Target1[[#This Row],[Target Price]]/$B$2*100</f>
        <v>225.53810354857475</v>
      </c>
      <c r="R1193">
        <f>B1194/Target1[[#This Row],[Target Price]]-1</f>
        <v>6.7062161465050174E-3</v>
      </c>
    </row>
    <row r="1194" spans="1:18">
      <c r="A1194" s="96">
        <v>45015</v>
      </c>
      <c r="B1194" s="101">
        <v>39.03</v>
      </c>
      <c r="C1194" s="4">
        <f t="shared" si="54"/>
        <v>6.683829509685827E-3</v>
      </c>
      <c r="D1194" s="4">
        <f>IFERROR(Target1[[#This Row],[Target Return]]+1,"-")</f>
        <v>1.0066838295096858</v>
      </c>
      <c r="E1194" s="6">
        <f>B1194-MAX($B$2:B1194)</f>
        <v>-12.57</v>
      </c>
      <c r="F1194" s="80">
        <f t="shared" si="55"/>
        <v>667</v>
      </c>
      <c r="G1194" s="77">
        <f>Target1[[#This Row],[Target Drawdown]]/MAX($B$2:B1194)</f>
        <v>-0.2436046511627907</v>
      </c>
      <c r="H1194" s="1" t="str">
        <f>IF(SUM(COUNTIF(Benchmark1[Benchmark '#1 Dates],Target1[[#This Row],[Target Dates]]),COUNTIF(Benchmark2[Benchmark '#2 Dates],Target1[[#This Row],[Target Dates]]))=2,"Pass","Fail")</f>
        <v>Pass</v>
      </c>
      <c r="I1194" s="78">
        <f t="shared" si="56"/>
        <v>-12.57</v>
      </c>
      <c r="K1194" s="72">
        <f>Target1[[#This Row],[Target Price]]/$B$2*100</f>
        <v>227.05061082024432</v>
      </c>
      <c r="R1194">
        <f>B1195/Target1[[#This Row],[Target Price]]-1</f>
        <v>5.6366897258519622E-3</v>
      </c>
    </row>
    <row r="1195" spans="1:18">
      <c r="A1195" s="96">
        <v>45016</v>
      </c>
      <c r="B1195" s="101">
        <v>39.25</v>
      </c>
      <c r="C1195" s="4">
        <f t="shared" si="54"/>
        <v>5.6208630358938931E-3</v>
      </c>
      <c r="D1195" s="4">
        <f>IFERROR(Target1[[#This Row],[Target Return]]+1,"-")</f>
        <v>1.0056208630358938</v>
      </c>
      <c r="E1195" s="6">
        <f>B1195-MAX($B$2:B1195)</f>
        <v>-12.350000000000001</v>
      </c>
      <c r="F1195" s="80">
        <f t="shared" si="55"/>
        <v>668</v>
      </c>
      <c r="G1195" s="77">
        <f>Target1[[#This Row],[Target Drawdown]]/MAX($B$2:B1195)</f>
        <v>-0.23934108527131784</v>
      </c>
      <c r="H1195" s="1" t="str">
        <f>IF(SUM(COUNTIF(Benchmark1[Benchmark '#1 Dates],Target1[[#This Row],[Target Dates]]),COUNTIF(Benchmark2[Benchmark '#2 Dates],Target1[[#This Row],[Target Dates]]))=2,"Pass","Fail")</f>
        <v>Pass</v>
      </c>
      <c r="I1195" s="78">
        <f t="shared" si="56"/>
        <v>-12.350000000000001</v>
      </c>
      <c r="K1195" s="72">
        <f>Target1[[#This Row],[Target Price]]/$B$2*100</f>
        <v>228.33042466550319</v>
      </c>
      <c r="R1195">
        <f>B1196/Target1[[#This Row],[Target Price]]-1</f>
        <v>-3.5668789808916967E-3</v>
      </c>
    </row>
    <row r="1196" spans="1:18">
      <c r="A1196" s="96">
        <v>45019</v>
      </c>
      <c r="B1196" s="101">
        <v>39.11</v>
      </c>
      <c r="C1196" s="4">
        <f t="shared" si="54"/>
        <v>-3.5732554609946643E-3</v>
      </c>
      <c r="D1196" s="4">
        <f>IFERROR(Target1[[#This Row],[Target Return]]+1,"-")</f>
        <v>0.99642674453900537</v>
      </c>
      <c r="E1196" s="6">
        <f>B1196-MAX($B$2:B1196)</f>
        <v>-12.490000000000002</v>
      </c>
      <c r="F1196" s="80">
        <f t="shared" si="55"/>
        <v>669</v>
      </c>
      <c r="G1196" s="77">
        <f>Target1[[#This Row],[Target Drawdown]]/MAX($B$2:B1196)</f>
        <v>-0.24205426356589149</v>
      </c>
      <c r="H1196" s="1" t="str">
        <f>IF(SUM(COUNTIF(Benchmark1[Benchmark '#1 Dates],Target1[[#This Row],[Target Dates]]),COUNTIF(Benchmark2[Benchmark '#2 Dates],Target1[[#This Row],[Target Dates]]))=2,"Pass","Fail")</f>
        <v>Pass</v>
      </c>
      <c r="I1196" s="78">
        <f t="shared" si="56"/>
        <v>-12.490000000000002</v>
      </c>
      <c r="K1196" s="72">
        <f>Target1[[#This Row],[Target Price]]/$B$2*100</f>
        <v>227.51599767306573</v>
      </c>
      <c r="R1196">
        <f>B1197/Target1[[#This Row],[Target Price]]-1</f>
        <v>-1.6875479417028827E-2</v>
      </c>
    </row>
    <row r="1197" spans="1:18">
      <c r="A1197" s="96">
        <v>45020</v>
      </c>
      <c r="B1197" s="101">
        <v>38.450000000000003</v>
      </c>
      <c r="C1197" s="4">
        <f t="shared" si="54"/>
        <v>-1.7019492815769702E-2</v>
      </c>
      <c r="D1197" s="4">
        <f>IFERROR(Target1[[#This Row],[Target Return]]+1,"-")</f>
        <v>0.98298050718423025</v>
      </c>
      <c r="E1197" s="6">
        <f>B1197-MAX($B$2:B1197)</f>
        <v>-13.149999999999999</v>
      </c>
      <c r="F1197" s="80">
        <f t="shared" si="55"/>
        <v>670</v>
      </c>
      <c r="G1197" s="77">
        <f>Target1[[#This Row],[Target Drawdown]]/MAX($B$2:B1197)</f>
        <v>-0.25484496124031003</v>
      </c>
      <c r="H1197" s="1" t="str">
        <f>IF(SUM(COUNTIF(Benchmark1[Benchmark '#1 Dates],Target1[[#This Row],[Target Dates]]),COUNTIF(Benchmark2[Benchmark '#2 Dates],Target1[[#This Row],[Target Dates]]))=2,"Pass","Fail")</f>
        <v>Pass</v>
      </c>
      <c r="I1197" s="78">
        <f t="shared" si="56"/>
        <v>-13.149999999999999</v>
      </c>
      <c r="K1197" s="72">
        <f>Target1[[#This Row],[Target Price]]/$B$2*100</f>
        <v>223.67655613728914</v>
      </c>
      <c r="R1197">
        <f>B1198/Target1[[#This Row],[Target Price]]-1</f>
        <v>-1.6905071521456594E-2</v>
      </c>
    </row>
    <row r="1198" spans="1:18">
      <c r="A1198" s="96">
        <v>45021</v>
      </c>
      <c r="B1198" s="101">
        <v>37.799999999999997</v>
      </c>
      <c r="C1198" s="4">
        <f t="shared" si="54"/>
        <v>-1.7049593326111136E-2</v>
      </c>
      <c r="D1198" s="4">
        <f>IFERROR(Target1[[#This Row],[Target Return]]+1,"-")</f>
        <v>0.98295040667388889</v>
      </c>
      <c r="E1198" s="6">
        <f>B1198-MAX($B$2:B1198)</f>
        <v>-13.800000000000004</v>
      </c>
      <c r="F1198" s="80">
        <f t="shared" si="55"/>
        <v>671</v>
      </c>
      <c r="G1198" s="77">
        <f>Target1[[#This Row],[Target Drawdown]]/MAX($B$2:B1198)</f>
        <v>-0.26744186046511637</v>
      </c>
      <c r="H1198" s="1" t="str">
        <f>IF(SUM(COUNTIF(Benchmark1[Benchmark '#1 Dates],Target1[[#This Row],[Target Dates]]),COUNTIF(Benchmark2[Benchmark '#2 Dates],Target1[[#This Row],[Target Dates]]))=2,"Pass","Fail")</f>
        <v>Pass</v>
      </c>
      <c r="I1198" s="78">
        <f t="shared" si="56"/>
        <v>-13.800000000000004</v>
      </c>
      <c r="K1198" s="72">
        <f>Target1[[#This Row],[Target Price]]/$B$2*100</f>
        <v>219.89528795811518</v>
      </c>
      <c r="R1198">
        <f>B1199/Target1[[#This Row],[Target Price]]-1</f>
        <v>2.3809523809523725E-3</v>
      </c>
    </row>
    <row r="1199" spans="1:18">
      <c r="A1199" s="96">
        <v>45022</v>
      </c>
      <c r="B1199" s="101">
        <v>37.89</v>
      </c>
      <c r="C1199" s="4">
        <f t="shared" si="54"/>
        <v>2.3781224049674193E-3</v>
      </c>
      <c r="D1199" s="4">
        <f>IFERROR(Target1[[#This Row],[Target Return]]+1,"-")</f>
        <v>1.0023781224049675</v>
      </c>
      <c r="E1199" s="6">
        <f>B1199-MAX($B$2:B1199)</f>
        <v>-13.71</v>
      </c>
      <c r="F1199" s="80">
        <f t="shared" si="55"/>
        <v>672</v>
      </c>
      <c r="G1199" s="77">
        <f>Target1[[#This Row],[Target Drawdown]]/MAX($B$2:B1199)</f>
        <v>-0.26569767441860465</v>
      </c>
      <c r="H1199" s="1" t="str">
        <f>IF(SUM(COUNTIF(Benchmark1[Benchmark '#1 Dates],Target1[[#This Row],[Target Dates]]),COUNTIF(Benchmark2[Benchmark '#2 Dates],Target1[[#This Row],[Target Dates]]))=2,"Pass","Fail")</f>
        <v>Pass</v>
      </c>
      <c r="I1199" s="78">
        <f t="shared" si="56"/>
        <v>-13.71</v>
      </c>
      <c r="K1199" s="72">
        <f>Target1[[#This Row],[Target Price]]/$B$2*100</f>
        <v>220.41884816753927</v>
      </c>
      <c r="R1199">
        <f>B1200/Target1[[#This Row],[Target Price]]-1</f>
        <v>8.9733438902084295E-3</v>
      </c>
    </row>
    <row r="1200" spans="1:18">
      <c r="A1200" s="96">
        <v>45026</v>
      </c>
      <c r="B1200" s="101">
        <v>38.229999999999997</v>
      </c>
      <c r="C1200" s="4">
        <f t="shared" si="54"/>
        <v>8.9333226778119234E-3</v>
      </c>
      <c r="D1200" s="4">
        <f>IFERROR(Target1[[#This Row],[Target Return]]+1,"-")</f>
        <v>1.0089333226778119</v>
      </c>
      <c r="E1200" s="6">
        <f>B1200-MAX($B$2:B1200)</f>
        <v>-13.370000000000005</v>
      </c>
      <c r="F1200" s="80">
        <f t="shared" si="55"/>
        <v>673</v>
      </c>
      <c r="G1200" s="77">
        <f>Target1[[#This Row],[Target Drawdown]]/MAX($B$2:B1200)</f>
        <v>-0.25910852713178301</v>
      </c>
      <c r="H1200" s="1" t="str">
        <f>IF(SUM(COUNTIF(Benchmark1[Benchmark '#1 Dates],Target1[[#This Row],[Target Dates]]),COUNTIF(Benchmark2[Benchmark '#2 Dates],Target1[[#This Row],[Target Dates]]))=2,"Pass","Fail")</f>
        <v>Pass</v>
      </c>
      <c r="I1200" s="78">
        <f t="shared" si="56"/>
        <v>-13.370000000000005</v>
      </c>
      <c r="K1200" s="72">
        <f>Target1[[#This Row],[Target Price]]/$B$2*100</f>
        <v>222.39674229203024</v>
      </c>
      <c r="R1200">
        <f>B1201/Target1[[#This Row],[Target Price]]-1</f>
        <v>1.0201412503269669E-2</v>
      </c>
    </row>
    <row r="1201" spans="1:18">
      <c r="A1201" s="96">
        <v>45027</v>
      </c>
      <c r="B1201" s="101">
        <v>38.619999999999997</v>
      </c>
      <c r="C1201" s="4">
        <f t="shared" si="54"/>
        <v>1.0149729292046944E-2</v>
      </c>
      <c r="D1201" s="4">
        <f>IFERROR(Target1[[#This Row],[Target Return]]+1,"-")</f>
        <v>1.0101497292920469</v>
      </c>
      <c r="E1201" s="6">
        <f>B1201-MAX($B$2:B1201)</f>
        <v>-12.980000000000004</v>
      </c>
      <c r="F1201" s="80">
        <f t="shared" si="55"/>
        <v>674</v>
      </c>
      <c r="G1201" s="77">
        <f>Target1[[#This Row],[Target Drawdown]]/MAX($B$2:B1201)</f>
        <v>-0.25155038759689929</v>
      </c>
      <c r="H1201" s="1" t="str">
        <f>IF(SUM(COUNTIF(Benchmark1[Benchmark '#1 Dates],Target1[[#This Row],[Target Dates]]),COUNTIF(Benchmark2[Benchmark '#2 Dates],Target1[[#This Row],[Target Dates]]))=2,"Pass","Fail")</f>
        <v>Pass</v>
      </c>
      <c r="I1201" s="78">
        <f t="shared" si="56"/>
        <v>-12.980000000000004</v>
      </c>
      <c r="K1201" s="72">
        <f>Target1[[#This Row],[Target Price]]/$B$2*100</f>
        <v>224.66550319953461</v>
      </c>
      <c r="R1201">
        <f>B1202/Target1[[#This Row],[Target Price]]-1</f>
        <v>-2.1232522009321575E-2</v>
      </c>
    </row>
    <row r="1202" spans="1:18">
      <c r="A1202" s="96">
        <v>45028</v>
      </c>
      <c r="B1202" s="101">
        <v>37.799999999999997</v>
      </c>
      <c r="C1202" s="4">
        <f t="shared" si="54"/>
        <v>-2.1461174374826357E-2</v>
      </c>
      <c r="D1202" s="4">
        <f>IFERROR(Target1[[#This Row],[Target Return]]+1,"-")</f>
        <v>0.97853882562517369</v>
      </c>
      <c r="E1202" s="6">
        <f>B1202-MAX($B$2:B1202)</f>
        <v>-13.800000000000004</v>
      </c>
      <c r="F1202" s="80">
        <f t="shared" si="55"/>
        <v>675</v>
      </c>
      <c r="G1202" s="77">
        <f>Target1[[#This Row],[Target Drawdown]]/MAX($B$2:B1202)</f>
        <v>-0.26744186046511637</v>
      </c>
      <c r="H1202" s="1" t="str">
        <f>IF(SUM(COUNTIF(Benchmark1[Benchmark '#1 Dates],Target1[[#This Row],[Target Dates]]),COUNTIF(Benchmark2[Benchmark '#2 Dates],Target1[[#This Row],[Target Dates]]))=2,"Pass","Fail")</f>
        <v>Pass</v>
      </c>
      <c r="I1202" s="78">
        <f t="shared" si="56"/>
        <v>-13.800000000000004</v>
      </c>
      <c r="K1202" s="72">
        <f>Target1[[#This Row],[Target Price]]/$B$2*100</f>
        <v>219.89528795811518</v>
      </c>
      <c r="R1202">
        <f>B1203/Target1[[#This Row],[Target Price]]-1</f>
        <v>2.0899470899470973E-2</v>
      </c>
    </row>
    <row r="1203" spans="1:18">
      <c r="A1203" s="96">
        <v>45029</v>
      </c>
      <c r="B1203" s="101">
        <v>38.590000000000003</v>
      </c>
      <c r="C1203" s="4">
        <f t="shared" si="54"/>
        <v>2.0684072923985455E-2</v>
      </c>
      <c r="D1203" s="4">
        <f>IFERROR(Target1[[#This Row],[Target Return]]+1,"-")</f>
        <v>1.0206840729239854</v>
      </c>
      <c r="E1203" s="6">
        <f>B1203-MAX($B$2:B1203)</f>
        <v>-13.009999999999998</v>
      </c>
      <c r="F1203" s="80">
        <f t="shared" si="55"/>
        <v>676</v>
      </c>
      <c r="G1203" s="77">
        <f>Target1[[#This Row],[Target Drawdown]]/MAX($B$2:B1203)</f>
        <v>-0.2521317829457364</v>
      </c>
      <c r="H1203" s="1" t="str">
        <f>IF(SUM(COUNTIF(Benchmark1[Benchmark '#1 Dates],Target1[[#This Row],[Target Dates]]),COUNTIF(Benchmark2[Benchmark '#2 Dates],Target1[[#This Row],[Target Dates]]))=2,"Pass","Fail")</f>
        <v>Pass</v>
      </c>
      <c r="I1203" s="78">
        <f t="shared" si="56"/>
        <v>-13.009999999999998</v>
      </c>
      <c r="K1203" s="72">
        <f>Target1[[#This Row],[Target Price]]/$B$2*100</f>
        <v>224.4909831297266</v>
      </c>
      <c r="R1203">
        <f>B1204/Target1[[#This Row],[Target Price]]-1</f>
        <v>-7.2557657424203725E-3</v>
      </c>
    </row>
    <row r="1204" spans="1:18">
      <c r="A1204" s="96">
        <v>45030</v>
      </c>
      <c r="B1204" s="101">
        <v>38.31</v>
      </c>
      <c r="C1204" s="4">
        <f t="shared" si="54"/>
        <v>-7.2822168369698296E-3</v>
      </c>
      <c r="D1204" s="4">
        <f>IFERROR(Target1[[#This Row],[Target Return]]+1,"-")</f>
        <v>0.99271778316303017</v>
      </c>
      <c r="E1204" s="6">
        <f>B1204-MAX($B$2:B1204)</f>
        <v>-13.29</v>
      </c>
      <c r="F1204" s="80">
        <f t="shared" si="55"/>
        <v>677</v>
      </c>
      <c r="G1204" s="77">
        <f>Target1[[#This Row],[Target Drawdown]]/MAX($B$2:B1204)</f>
        <v>-0.25755813953488371</v>
      </c>
      <c r="H1204" s="1" t="str">
        <f>IF(SUM(COUNTIF(Benchmark1[Benchmark '#1 Dates],Target1[[#This Row],[Target Dates]]),COUNTIF(Benchmark2[Benchmark '#2 Dates],Target1[[#This Row],[Target Dates]]))=2,"Pass","Fail")</f>
        <v>Pass</v>
      </c>
      <c r="I1204" s="78">
        <f t="shared" si="56"/>
        <v>-13.29</v>
      </c>
      <c r="K1204" s="72">
        <f>Target1[[#This Row],[Target Price]]/$B$2*100</f>
        <v>222.86212914485165</v>
      </c>
      <c r="R1204">
        <f>B1205/Target1[[#This Row],[Target Price]]-1</f>
        <v>-7.8308535630389198E-4</v>
      </c>
    </row>
    <row r="1205" spans="1:18">
      <c r="A1205" s="96">
        <v>45033</v>
      </c>
      <c r="B1205" s="101">
        <v>38.28</v>
      </c>
      <c r="C1205" s="4">
        <f t="shared" si="54"/>
        <v>-7.8339212780415598E-4</v>
      </c>
      <c r="D1205" s="4">
        <f>IFERROR(Target1[[#This Row],[Target Return]]+1,"-")</f>
        <v>0.99921660787219579</v>
      </c>
      <c r="E1205" s="6">
        <f>B1205-MAX($B$2:B1205)</f>
        <v>-13.32</v>
      </c>
      <c r="F1205" s="80">
        <f t="shared" si="55"/>
        <v>678</v>
      </c>
      <c r="G1205" s="77">
        <f>Target1[[#This Row],[Target Drawdown]]/MAX($B$2:B1205)</f>
        <v>-0.25813953488372093</v>
      </c>
      <c r="H1205" s="1" t="str">
        <f>IF(SUM(COUNTIF(Benchmark1[Benchmark '#1 Dates],Target1[[#This Row],[Target Dates]]),COUNTIF(Benchmark2[Benchmark '#2 Dates],Target1[[#This Row],[Target Dates]]))=2,"Pass","Fail")</f>
        <v>Pass</v>
      </c>
      <c r="I1205" s="78">
        <f t="shared" si="56"/>
        <v>-13.32</v>
      </c>
      <c r="K1205" s="72">
        <f>Target1[[#This Row],[Target Price]]/$B$2*100</f>
        <v>222.68760907504364</v>
      </c>
      <c r="R1205">
        <f>B1206/Target1[[#This Row],[Target Price]]-1</f>
        <v>-5.7471264367815467E-3</v>
      </c>
    </row>
    <row r="1206" spans="1:18">
      <c r="A1206" s="96">
        <v>45034</v>
      </c>
      <c r="B1206" s="101">
        <v>38.06</v>
      </c>
      <c r="C1206" s="4">
        <f t="shared" si="54"/>
        <v>-5.7637047167500184E-3</v>
      </c>
      <c r="D1206" s="4">
        <f>IFERROR(Target1[[#This Row],[Target Return]]+1,"-")</f>
        <v>0.99423629528324997</v>
      </c>
      <c r="E1206" s="6">
        <f>B1206-MAX($B$2:B1206)</f>
        <v>-13.54</v>
      </c>
      <c r="F1206" s="80">
        <f t="shared" si="55"/>
        <v>679</v>
      </c>
      <c r="G1206" s="77">
        <f>Target1[[#This Row],[Target Drawdown]]/MAX($B$2:B1206)</f>
        <v>-0.2624031007751938</v>
      </c>
      <c r="H1206" s="1" t="str">
        <f>IF(SUM(COUNTIF(Benchmark1[Benchmark '#1 Dates],Target1[[#This Row],[Target Dates]]),COUNTIF(Benchmark2[Benchmark '#2 Dates],Target1[[#This Row],[Target Dates]]))=2,"Pass","Fail")</f>
        <v>Pass</v>
      </c>
      <c r="I1206" s="78">
        <f t="shared" si="56"/>
        <v>-13.54</v>
      </c>
      <c r="K1206" s="72">
        <f>Target1[[#This Row],[Target Price]]/$B$2*100</f>
        <v>221.40779522978477</v>
      </c>
      <c r="R1206">
        <f>B1207/Target1[[#This Row],[Target Price]]-1</f>
        <v>6.0430898581187442E-3</v>
      </c>
    </row>
    <row r="1207" spans="1:18">
      <c r="A1207" s="96">
        <v>45035</v>
      </c>
      <c r="B1207" s="101">
        <v>38.29</v>
      </c>
      <c r="C1207" s="4">
        <f t="shared" si="54"/>
        <v>6.0249036211996948E-3</v>
      </c>
      <c r="D1207" s="4">
        <f>IFERROR(Target1[[#This Row],[Target Return]]+1,"-")</f>
        <v>1.0060249036211997</v>
      </c>
      <c r="E1207" s="6">
        <f>B1207-MAX($B$2:B1207)</f>
        <v>-13.310000000000002</v>
      </c>
      <c r="F1207" s="80">
        <f t="shared" si="55"/>
        <v>680</v>
      </c>
      <c r="G1207" s="77">
        <f>Target1[[#This Row],[Target Drawdown]]/MAX($B$2:B1207)</f>
        <v>-0.25794573643410856</v>
      </c>
      <c r="H1207" s="1" t="str">
        <f>IF(SUM(COUNTIF(Benchmark1[Benchmark '#1 Dates],Target1[[#This Row],[Target Dates]]),COUNTIF(Benchmark2[Benchmark '#2 Dates],Target1[[#This Row],[Target Dates]]))=2,"Pass","Fail")</f>
        <v>Pass</v>
      </c>
      <c r="I1207" s="78">
        <f t="shared" si="56"/>
        <v>-13.310000000000002</v>
      </c>
      <c r="K1207" s="72">
        <f>Target1[[#This Row],[Target Price]]/$B$2*100</f>
        <v>222.74578243164629</v>
      </c>
      <c r="R1207">
        <f>B1208/Target1[[#This Row],[Target Price]]-1</f>
        <v>-7.3126142595978383E-3</v>
      </c>
    </row>
    <row r="1208" spans="1:18">
      <c r="A1208" s="96">
        <v>45036</v>
      </c>
      <c r="B1208" s="101">
        <v>38.01</v>
      </c>
      <c r="C1208" s="4">
        <f t="shared" si="54"/>
        <v>-7.3394824880457996E-3</v>
      </c>
      <c r="D1208" s="4">
        <f>IFERROR(Target1[[#This Row],[Target Return]]+1,"-")</f>
        <v>0.99266051751195417</v>
      </c>
      <c r="E1208" s="6">
        <f>B1208-MAX($B$2:B1208)</f>
        <v>-13.590000000000003</v>
      </c>
      <c r="F1208" s="80">
        <f t="shared" si="55"/>
        <v>681</v>
      </c>
      <c r="G1208" s="77">
        <f>Target1[[#This Row],[Target Drawdown]]/MAX($B$2:B1208)</f>
        <v>-0.26337209302325587</v>
      </c>
      <c r="H1208" s="1" t="str">
        <f>IF(SUM(COUNTIF(Benchmark1[Benchmark '#1 Dates],Target1[[#This Row],[Target Dates]]),COUNTIF(Benchmark2[Benchmark '#2 Dates],Target1[[#This Row],[Target Dates]]))=2,"Pass","Fail")</f>
        <v>Pass</v>
      </c>
      <c r="I1208" s="78">
        <f t="shared" si="56"/>
        <v>-13.590000000000003</v>
      </c>
      <c r="K1208" s="72">
        <f>Target1[[#This Row],[Target Price]]/$B$2*100</f>
        <v>221.11692844677134</v>
      </c>
      <c r="R1208">
        <f>B1209/Target1[[#This Row],[Target Price]]-1</f>
        <v>-5.5248618784530246E-3</v>
      </c>
    </row>
    <row r="1209" spans="1:18">
      <c r="A1209" s="96">
        <v>45037</v>
      </c>
      <c r="B1209" s="101">
        <v>37.799999999999997</v>
      </c>
      <c r="C1209" s="4">
        <f t="shared" si="54"/>
        <v>-5.5401803756153561E-3</v>
      </c>
      <c r="D1209" s="4">
        <f>IFERROR(Target1[[#This Row],[Target Return]]+1,"-")</f>
        <v>0.99445981962438468</v>
      </c>
      <c r="E1209" s="6">
        <f>B1209-MAX($B$2:B1209)</f>
        <v>-13.800000000000004</v>
      </c>
      <c r="F1209" s="80">
        <f t="shared" si="55"/>
        <v>682</v>
      </c>
      <c r="G1209" s="77">
        <f>Target1[[#This Row],[Target Drawdown]]/MAX($B$2:B1209)</f>
        <v>-0.26744186046511637</v>
      </c>
      <c r="H1209" s="1" t="str">
        <f>IF(SUM(COUNTIF(Benchmark1[Benchmark '#1 Dates],Target1[[#This Row],[Target Dates]]),COUNTIF(Benchmark2[Benchmark '#2 Dates],Target1[[#This Row],[Target Dates]]))=2,"Pass","Fail")</f>
        <v>Pass</v>
      </c>
      <c r="I1209" s="78">
        <f t="shared" si="56"/>
        <v>-13.800000000000004</v>
      </c>
      <c r="K1209" s="72">
        <f>Target1[[#This Row],[Target Price]]/$B$2*100</f>
        <v>219.89528795811518</v>
      </c>
      <c r="R1209">
        <f>B1210/Target1[[#This Row],[Target Price]]-1</f>
        <v>7.9365079365081304E-3</v>
      </c>
    </row>
    <row r="1210" spans="1:18">
      <c r="A1210" s="96">
        <v>45040</v>
      </c>
      <c r="B1210" s="101">
        <v>38.1</v>
      </c>
      <c r="C1210" s="4">
        <f t="shared" si="54"/>
        <v>7.9051795071134676E-3</v>
      </c>
      <c r="D1210" s="4">
        <f>IFERROR(Target1[[#This Row],[Target Return]]+1,"-")</f>
        <v>1.0079051795071134</v>
      </c>
      <c r="E1210" s="6">
        <f>B1210-MAX($B$2:B1210)</f>
        <v>-13.5</v>
      </c>
      <c r="F1210" s="80">
        <f t="shared" si="55"/>
        <v>683</v>
      </c>
      <c r="G1210" s="77">
        <f>Target1[[#This Row],[Target Drawdown]]/MAX($B$2:B1210)</f>
        <v>-0.26162790697674415</v>
      </c>
      <c r="H1210" s="1" t="str">
        <f>IF(SUM(COUNTIF(Benchmark1[Benchmark '#1 Dates],Target1[[#This Row],[Target Dates]]),COUNTIF(Benchmark2[Benchmark '#2 Dates],Target1[[#This Row],[Target Dates]]))=2,"Pass","Fail")</f>
        <v>Pass</v>
      </c>
      <c r="I1210" s="78">
        <f t="shared" si="56"/>
        <v>-13.5</v>
      </c>
      <c r="K1210" s="72">
        <f>Target1[[#This Row],[Target Price]]/$B$2*100</f>
        <v>221.64048865619543</v>
      </c>
      <c r="R1210">
        <f>B1211/Target1[[#This Row],[Target Price]]-1</f>
        <v>-8.1364829396326499E-3</v>
      </c>
    </row>
    <row r="1211" spans="1:18">
      <c r="A1211" s="96">
        <v>45041</v>
      </c>
      <c r="B1211" s="101">
        <v>37.79</v>
      </c>
      <c r="C1211" s="4">
        <f t="shared" si="54"/>
        <v>-8.1697647712577863E-3</v>
      </c>
      <c r="D1211" s="4">
        <f>IFERROR(Target1[[#This Row],[Target Return]]+1,"-")</f>
        <v>0.99183023522874225</v>
      </c>
      <c r="E1211" s="6">
        <f>B1211-MAX($B$2:B1211)</f>
        <v>-13.810000000000002</v>
      </c>
      <c r="F1211" s="80">
        <f t="shared" si="55"/>
        <v>684</v>
      </c>
      <c r="G1211" s="77">
        <f>Target1[[#This Row],[Target Drawdown]]/MAX($B$2:B1211)</f>
        <v>-0.26763565891472874</v>
      </c>
      <c r="H1211" s="1" t="str">
        <f>IF(SUM(COUNTIF(Benchmark1[Benchmark '#1 Dates],Target1[[#This Row],[Target Dates]]),COUNTIF(Benchmark2[Benchmark '#2 Dates],Target1[[#This Row],[Target Dates]]))=2,"Pass","Fail")</f>
        <v>Pass</v>
      </c>
      <c r="I1211" s="78">
        <f t="shared" si="56"/>
        <v>-13.810000000000002</v>
      </c>
      <c r="K1211" s="72">
        <f>Target1[[#This Row],[Target Price]]/$B$2*100</f>
        <v>219.83711460151247</v>
      </c>
      <c r="R1211">
        <f>B1212/Target1[[#This Row],[Target Price]]-1</f>
        <v>0.13098703360677444</v>
      </c>
    </row>
    <row r="1212" spans="1:18">
      <c r="A1212" s="96">
        <v>45042</v>
      </c>
      <c r="B1212" s="101">
        <v>42.74</v>
      </c>
      <c r="C1212" s="4">
        <f t="shared" si="54"/>
        <v>0.1230907325296041</v>
      </c>
      <c r="D1212" s="4">
        <f>IFERROR(Target1[[#This Row],[Target Return]]+1,"-")</f>
        <v>1.123090732529604</v>
      </c>
      <c r="E1212" s="6">
        <f>B1212-MAX($B$2:B1212)</f>
        <v>-8.86</v>
      </c>
      <c r="F1212" s="80">
        <f t="shared" si="55"/>
        <v>685</v>
      </c>
      <c r="G1212" s="77">
        <f>Target1[[#This Row],[Target Drawdown]]/MAX($B$2:B1212)</f>
        <v>-0.17170542635658914</v>
      </c>
      <c r="H1212" s="1" t="str">
        <f>IF(SUM(COUNTIF(Benchmark1[Benchmark '#1 Dates],Target1[[#This Row],[Target Dates]]),COUNTIF(Benchmark2[Benchmark '#2 Dates],Target1[[#This Row],[Target Dates]]))=2,"Pass","Fail")</f>
        <v>Pass</v>
      </c>
      <c r="I1212" s="78">
        <f t="shared" si="56"/>
        <v>-8.86</v>
      </c>
      <c r="K1212" s="72">
        <f>Target1[[#This Row],[Target Price]]/$B$2*100</f>
        <v>248.63292611983709</v>
      </c>
      <c r="R1212">
        <f>B1213/Target1[[#This Row],[Target Price]]-1</f>
        <v>-5.1474029012634759E-3</v>
      </c>
    </row>
    <row r="1213" spans="1:18">
      <c r="A1213" s="96">
        <v>45043</v>
      </c>
      <c r="B1213" s="101">
        <v>42.52</v>
      </c>
      <c r="C1213" s="4">
        <f t="shared" si="54"/>
        <v>-5.1606964172544048E-3</v>
      </c>
      <c r="D1213" s="4">
        <f>IFERROR(Target1[[#This Row],[Target Return]]+1,"-")</f>
        <v>0.99483930358274564</v>
      </c>
      <c r="E1213" s="6">
        <f>B1213-MAX($B$2:B1213)</f>
        <v>-9.0799999999999983</v>
      </c>
      <c r="F1213" s="80">
        <f t="shared" si="55"/>
        <v>686</v>
      </c>
      <c r="G1213" s="77">
        <f>Target1[[#This Row],[Target Drawdown]]/MAX($B$2:B1213)</f>
        <v>-0.17596899224806198</v>
      </c>
      <c r="H1213" s="1" t="str">
        <f>IF(SUM(COUNTIF(Benchmark1[Benchmark '#1 Dates],Target1[[#This Row],[Target Dates]]),COUNTIF(Benchmark2[Benchmark '#2 Dates],Target1[[#This Row],[Target Dates]]))=2,"Pass","Fail")</f>
        <v>Pass</v>
      </c>
      <c r="I1213" s="78">
        <f t="shared" si="56"/>
        <v>-9.0799999999999983</v>
      </c>
      <c r="K1213" s="72">
        <f>Target1[[#This Row],[Target Price]]/$B$2*100</f>
        <v>247.35311227457822</v>
      </c>
      <c r="R1213">
        <f>B1214/Target1[[#This Row],[Target Price]]-1</f>
        <v>1.0348071495766664E-2</v>
      </c>
    </row>
    <row r="1214" spans="1:18">
      <c r="A1214" s="96">
        <v>45044</v>
      </c>
      <c r="B1214" s="101">
        <v>42.96</v>
      </c>
      <c r="C1214" s="4">
        <f t="shared" si="54"/>
        <v>1.0294896726862035E-2</v>
      </c>
      <c r="D1214" s="4">
        <f>IFERROR(Target1[[#This Row],[Target Return]]+1,"-")</f>
        <v>1.0102948967268621</v>
      </c>
      <c r="E1214" s="6">
        <f>B1214-MAX($B$2:B1214)</f>
        <v>-8.64</v>
      </c>
      <c r="F1214" s="80">
        <f t="shared" si="55"/>
        <v>687</v>
      </c>
      <c r="G1214" s="77">
        <f>Target1[[#This Row],[Target Drawdown]]/MAX($B$2:B1214)</f>
        <v>-0.16744186046511628</v>
      </c>
      <c r="H1214" s="1" t="str">
        <f>IF(SUM(COUNTIF(Benchmark1[Benchmark '#1 Dates],Target1[[#This Row],[Target Dates]]),COUNTIF(Benchmark2[Benchmark '#2 Dates],Target1[[#This Row],[Target Dates]]))=2,"Pass","Fail")</f>
        <v>Pass</v>
      </c>
      <c r="I1214" s="78">
        <f t="shared" si="56"/>
        <v>-8.64</v>
      </c>
      <c r="K1214" s="72">
        <f>Target1[[#This Row],[Target Price]]/$B$2*100</f>
        <v>249.91273996509597</v>
      </c>
      <c r="R1214">
        <f>B1215/Target1[[#This Row],[Target Price]]-1</f>
        <v>-3.026070763501032E-3</v>
      </c>
    </row>
    <row r="1215" spans="1:18">
      <c r="A1215" s="96">
        <v>45047</v>
      </c>
      <c r="B1215" s="101">
        <v>42.83</v>
      </c>
      <c r="C1215" s="4">
        <f t="shared" si="54"/>
        <v>-3.030658573329739E-3</v>
      </c>
      <c r="D1215" s="4">
        <f>IFERROR(Target1[[#This Row],[Target Return]]+1,"-")</f>
        <v>0.99696934142667026</v>
      </c>
      <c r="E1215" s="6">
        <f>B1215-MAX($B$2:B1215)</f>
        <v>-8.7700000000000031</v>
      </c>
      <c r="F1215" s="80">
        <f t="shared" si="55"/>
        <v>688</v>
      </c>
      <c r="G1215" s="77">
        <f>Target1[[#This Row],[Target Drawdown]]/MAX($B$2:B1215)</f>
        <v>-0.16996124031007759</v>
      </c>
      <c r="H1215" s="1" t="str">
        <f>IF(SUM(COUNTIF(Benchmark1[Benchmark '#1 Dates],Target1[[#This Row],[Target Dates]]),COUNTIF(Benchmark2[Benchmark '#2 Dates],Target1[[#This Row],[Target Dates]]))=2,"Pass","Fail")</f>
        <v>Pass</v>
      </c>
      <c r="I1215" s="78">
        <f t="shared" si="56"/>
        <v>-8.7700000000000031</v>
      </c>
      <c r="K1215" s="72">
        <f>Target1[[#This Row],[Target Price]]/$B$2*100</f>
        <v>249.15648632926116</v>
      </c>
      <c r="R1215">
        <f>B1216/Target1[[#This Row],[Target Price]]-1</f>
        <v>-3.595610553350459E-2</v>
      </c>
    </row>
    <row r="1216" spans="1:18">
      <c r="A1216" s="96">
        <v>45048</v>
      </c>
      <c r="B1216" s="101">
        <v>41.29</v>
      </c>
      <c r="C1216" s="4">
        <f t="shared" si="54"/>
        <v>-3.6618451729280785E-2</v>
      </c>
      <c r="D1216" s="4">
        <f>IFERROR(Target1[[#This Row],[Target Return]]+1,"-")</f>
        <v>0.9633815482707192</v>
      </c>
      <c r="E1216" s="6">
        <f>B1216-MAX($B$2:B1216)</f>
        <v>-10.310000000000002</v>
      </c>
      <c r="F1216" s="80">
        <f t="shared" si="55"/>
        <v>689</v>
      </c>
      <c r="G1216" s="77">
        <f>Target1[[#This Row],[Target Drawdown]]/MAX($B$2:B1216)</f>
        <v>-0.19980620155038764</v>
      </c>
      <c r="H1216" s="1" t="str">
        <f>IF(SUM(COUNTIF(Benchmark1[Benchmark '#1 Dates],Target1[[#This Row],[Target Dates]]),COUNTIF(Benchmark2[Benchmark '#2 Dates],Target1[[#This Row],[Target Dates]]))=2,"Pass","Fail")</f>
        <v>Pass</v>
      </c>
      <c r="I1216" s="78">
        <f t="shared" si="56"/>
        <v>-10.310000000000002</v>
      </c>
      <c r="K1216" s="72">
        <f>Target1[[#This Row],[Target Price]]/$B$2*100</f>
        <v>240.19778941244908</v>
      </c>
      <c r="R1216">
        <f>B1217/Target1[[#This Row],[Target Price]]-1</f>
        <v>4.8437878420926062E-4</v>
      </c>
    </row>
    <row r="1217" spans="1:18">
      <c r="A1217" s="96">
        <v>45049</v>
      </c>
      <c r="B1217" s="101">
        <v>41.31</v>
      </c>
      <c r="C1217" s="4">
        <f t="shared" si="54"/>
        <v>4.8426151067431121E-4</v>
      </c>
      <c r="D1217" s="4">
        <f>IFERROR(Target1[[#This Row],[Target Return]]+1,"-")</f>
        <v>1.0004842615106744</v>
      </c>
      <c r="E1217" s="6">
        <f>B1217-MAX($B$2:B1217)</f>
        <v>-10.29</v>
      </c>
      <c r="F1217" s="80">
        <f t="shared" si="55"/>
        <v>690</v>
      </c>
      <c r="G1217" s="77">
        <f>Target1[[#This Row],[Target Drawdown]]/MAX($B$2:B1217)</f>
        <v>-0.19941860465116276</v>
      </c>
      <c r="H1217" s="1" t="str">
        <f>IF(SUM(COUNTIF(Benchmark1[Benchmark '#1 Dates],Target1[[#This Row],[Target Dates]]),COUNTIF(Benchmark2[Benchmark '#2 Dates],Target1[[#This Row],[Target Dates]]))=2,"Pass","Fail")</f>
        <v>Pass</v>
      </c>
      <c r="I1217" s="78">
        <f t="shared" si="56"/>
        <v>-10.29</v>
      </c>
      <c r="K1217" s="72">
        <f>Target1[[#This Row],[Target Price]]/$B$2*100</f>
        <v>240.31413612565444</v>
      </c>
      <c r="R1217">
        <f>B1218/Target1[[#This Row],[Target Price]]-1</f>
        <v>-1.428225611232159E-2</v>
      </c>
    </row>
    <row r="1218" spans="1:18">
      <c r="A1218" s="96">
        <v>45050</v>
      </c>
      <c r="B1218" s="101">
        <v>40.72</v>
      </c>
      <c r="C1218" s="4">
        <f t="shared" ref="C1218:C1256" si="57">IFERROR(IF(B1218="","-",LN(B1218/B1217)),"-")</f>
        <v>-1.4385229166405986E-2</v>
      </c>
      <c r="D1218" s="4">
        <f>IFERROR(Target1[[#This Row],[Target Return]]+1,"-")</f>
        <v>0.98561477083359406</v>
      </c>
      <c r="E1218" s="6">
        <f>B1218-MAX($B$2:B1218)</f>
        <v>-10.880000000000003</v>
      </c>
      <c r="F1218" s="80">
        <f t="shared" ref="F1218:F1256" si="58">IF(E1218=0,0,F1217+1)</f>
        <v>691</v>
      </c>
      <c r="G1218" s="77">
        <f>Target1[[#This Row],[Target Drawdown]]/MAX($B$2:B1218)</f>
        <v>-0.21085271317829463</v>
      </c>
      <c r="H1218" s="1" t="str">
        <f>IF(SUM(COUNTIF(Benchmark1[Benchmark '#1 Dates],Target1[[#This Row],[Target Dates]]),COUNTIF(Benchmark2[Benchmark '#2 Dates],Target1[[#This Row],[Target Dates]]))=2,"Pass","Fail")</f>
        <v>Pass</v>
      </c>
      <c r="I1218" s="78">
        <f t="shared" ref="I1218:I1256" si="59">$E$2+E1218</f>
        <v>-10.880000000000003</v>
      </c>
      <c r="K1218" s="72">
        <f>Target1[[#This Row],[Target Price]]/$B$2*100</f>
        <v>236.88190808609653</v>
      </c>
      <c r="R1218">
        <f>B1219/Target1[[#This Row],[Target Price]]-1</f>
        <v>1.129666011787811E-2</v>
      </c>
    </row>
    <row r="1219" spans="1:18">
      <c r="A1219" s="96">
        <v>45051</v>
      </c>
      <c r="B1219" s="101">
        <v>41.18</v>
      </c>
      <c r="C1219" s="4">
        <f t="shared" si="57"/>
        <v>1.1233329357376006E-2</v>
      </c>
      <c r="D1219" s="4">
        <f>IFERROR(Target1[[#This Row],[Target Return]]+1,"-")</f>
        <v>1.0112333293573761</v>
      </c>
      <c r="E1219" s="6">
        <f>B1219-MAX($B$2:B1219)</f>
        <v>-10.420000000000002</v>
      </c>
      <c r="F1219" s="80">
        <f t="shared" si="58"/>
        <v>692</v>
      </c>
      <c r="G1219" s="77">
        <f>Target1[[#This Row],[Target Drawdown]]/MAX($B$2:B1219)</f>
        <v>-0.20193798449612405</v>
      </c>
      <c r="H1219" s="1" t="str">
        <f>IF(SUM(COUNTIF(Benchmark1[Benchmark '#1 Dates],Target1[[#This Row],[Target Dates]]),COUNTIF(Benchmark2[Benchmark '#2 Dates],Target1[[#This Row],[Target Dates]]))=2,"Pass","Fail")</f>
        <v>Pass</v>
      </c>
      <c r="I1219" s="78">
        <f t="shared" si="59"/>
        <v>-10.420000000000002</v>
      </c>
      <c r="K1219" s="72">
        <f>Target1[[#This Row],[Target Price]]/$B$2*100</f>
        <v>239.55788248981963</v>
      </c>
      <c r="R1219">
        <f>B1220/Target1[[#This Row],[Target Price]]-1</f>
        <v>1.9426906265176402E-3</v>
      </c>
    </row>
    <row r="1220" spans="1:18">
      <c r="A1220" s="96">
        <v>45054</v>
      </c>
      <c r="B1220" s="101">
        <v>41.26</v>
      </c>
      <c r="C1220" s="4">
        <f t="shared" si="57"/>
        <v>1.9408060434622878E-3</v>
      </c>
      <c r="D1220" s="4">
        <f>IFERROR(Target1[[#This Row],[Target Return]]+1,"-")</f>
        <v>1.0019408060434623</v>
      </c>
      <c r="E1220" s="6">
        <f>B1220-MAX($B$2:B1220)</f>
        <v>-10.340000000000003</v>
      </c>
      <c r="F1220" s="80">
        <f t="shared" si="58"/>
        <v>693</v>
      </c>
      <c r="G1220" s="77">
        <f>Target1[[#This Row],[Target Drawdown]]/MAX($B$2:B1220)</f>
        <v>-0.20038759689922486</v>
      </c>
      <c r="H1220" s="1" t="str">
        <f>IF(SUM(COUNTIF(Benchmark1[Benchmark '#1 Dates],Target1[[#This Row],[Target Dates]]),COUNTIF(Benchmark2[Benchmark '#2 Dates],Target1[[#This Row],[Target Dates]]))=2,"Pass","Fail")</f>
        <v>Pass</v>
      </c>
      <c r="I1220" s="78">
        <f t="shared" si="59"/>
        <v>-10.340000000000003</v>
      </c>
      <c r="K1220" s="72">
        <f>Target1[[#This Row],[Target Price]]/$B$2*100</f>
        <v>240.02326934264104</v>
      </c>
      <c r="R1220">
        <f>B1221/Target1[[#This Row],[Target Price]]-1</f>
        <v>2.4236548715483863E-4</v>
      </c>
    </row>
    <row r="1221" spans="1:18">
      <c r="A1221" s="96">
        <v>45055</v>
      </c>
      <c r="B1221" s="101">
        <v>41.27</v>
      </c>
      <c r="C1221" s="4">
        <f t="shared" si="57"/>
        <v>2.4233612138489368E-4</v>
      </c>
      <c r="D1221" s="4">
        <f>IFERROR(Target1[[#This Row],[Target Return]]+1,"-")</f>
        <v>1.0002423361213848</v>
      </c>
      <c r="E1221" s="6">
        <f>B1221-MAX($B$2:B1221)</f>
        <v>-10.329999999999998</v>
      </c>
      <c r="F1221" s="80">
        <f t="shared" si="58"/>
        <v>694</v>
      </c>
      <c r="G1221" s="77">
        <f>Target1[[#This Row],[Target Drawdown]]/MAX($B$2:B1221)</f>
        <v>-0.20019379844961235</v>
      </c>
      <c r="H1221" s="1" t="str">
        <f>IF(SUM(COUNTIF(Benchmark1[Benchmark '#1 Dates],Target1[[#This Row],[Target Dates]]),COUNTIF(Benchmark2[Benchmark '#2 Dates],Target1[[#This Row],[Target Dates]]))=2,"Pass","Fail")</f>
        <v>Pass</v>
      </c>
      <c r="I1221" s="78">
        <f t="shared" si="59"/>
        <v>-10.329999999999998</v>
      </c>
      <c r="K1221" s="72">
        <f>Target1[[#This Row],[Target Price]]/$B$2*100</f>
        <v>240.08144269924375</v>
      </c>
      <c r="R1221">
        <f>B1222/Target1[[#This Row],[Target Price]]-1</f>
        <v>6.2999757693238401E-3</v>
      </c>
    </row>
    <row r="1222" spans="1:18">
      <c r="A1222" s="96">
        <v>45056</v>
      </c>
      <c r="B1222" s="101">
        <v>41.53</v>
      </c>
      <c r="C1222" s="4">
        <f t="shared" si="57"/>
        <v>6.2802138781715986E-3</v>
      </c>
      <c r="D1222" s="4">
        <f>IFERROR(Target1[[#This Row],[Target Return]]+1,"-")</f>
        <v>1.0062802138781717</v>
      </c>
      <c r="E1222" s="6">
        <f>B1222-MAX($B$2:B1222)</f>
        <v>-10.07</v>
      </c>
      <c r="F1222" s="80">
        <f t="shared" si="58"/>
        <v>695</v>
      </c>
      <c r="G1222" s="77">
        <f>Target1[[#This Row],[Target Drawdown]]/MAX($B$2:B1222)</f>
        <v>-0.19515503875968992</v>
      </c>
      <c r="H1222" s="1" t="str">
        <f>IF(SUM(COUNTIF(Benchmark1[Benchmark '#1 Dates],Target1[[#This Row],[Target Dates]]),COUNTIF(Benchmark2[Benchmark '#2 Dates],Target1[[#This Row],[Target Dates]]))=2,"Pass","Fail")</f>
        <v>Pass</v>
      </c>
      <c r="I1222" s="78">
        <f t="shared" si="59"/>
        <v>-10.07</v>
      </c>
      <c r="K1222" s="72">
        <f>Target1[[#This Row],[Target Price]]/$B$2*100</f>
        <v>241.59394997091331</v>
      </c>
      <c r="R1222">
        <f>B1223/Target1[[#This Row],[Target Price]]-1</f>
        <v>1.3965807849747103E-2</v>
      </c>
    </row>
    <row r="1223" spans="1:18">
      <c r="A1223" s="96">
        <v>45057</v>
      </c>
      <c r="B1223" s="101">
        <v>42.11</v>
      </c>
      <c r="C1223" s="4">
        <f t="shared" si="57"/>
        <v>1.3869184531174169E-2</v>
      </c>
      <c r="D1223" s="4">
        <f>IFERROR(Target1[[#This Row],[Target Return]]+1,"-")</f>
        <v>1.0138691845311743</v>
      </c>
      <c r="E1223" s="6">
        <f>B1223-MAX($B$2:B1223)</f>
        <v>-9.490000000000002</v>
      </c>
      <c r="F1223" s="80">
        <f t="shared" si="58"/>
        <v>696</v>
      </c>
      <c r="G1223" s="77">
        <f>Target1[[#This Row],[Target Drawdown]]/MAX($B$2:B1223)</f>
        <v>-0.18391472868217057</v>
      </c>
      <c r="H1223" s="1" t="str">
        <f>IF(SUM(COUNTIF(Benchmark1[Benchmark '#1 Dates],Target1[[#This Row],[Target Dates]]),COUNTIF(Benchmark2[Benchmark '#2 Dates],Target1[[#This Row],[Target Dates]]))=2,"Pass","Fail")</f>
        <v>Pass</v>
      </c>
      <c r="I1223" s="78">
        <f t="shared" si="59"/>
        <v>-9.490000000000002</v>
      </c>
      <c r="K1223" s="72">
        <f>Target1[[#This Row],[Target Price]]/$B$2*100</f>
        <v>244.96800465386852</v>
      </c>
      <c r="R1223">
        <f>B1224/Target1[[#This Row],[Target Price]]-1</f>
        <v>-4.9869389693659727E-3</v>
      </c>
    </row>
    <row r="1224" spans="1:18">
      <c r="A1224" s="96">
        <v>45058</v>
      </c>
      <c r="B1224" s="101">
        <v>41.9</v>
      </c>
      <c r="C1224" s="4">
        <f t="shared" si="57"/>
        <v>-4.999415245744385E-3</v>
      </c>
      <c r="D1224" s="4">
        <f>IFERROR(Target1[[#This Row],[Target Return]]+1,"-")</f>
        <v>0.99500058475425557</v>
      </c>
      <c r="E1224" s="6">
        <f>B1224-MAX($B$2:B1224)</f>
        <v>-9.7000000000000028</v>
      </c>
      <c r="F1224" s="80">
        <f t="shared" si="58"/>
        <v>697</v>
      </c>
      <c r="G1224" s="77">
        <f>Target1[[#This Row],[Target Drawdown]]/MAX($B$2:B1224)</f>
        <v>-0.18798449612403106</v>
      </c>
      <c r="H1224" s="1" t="str">
        <f>IF(SUM(COUNTIF(Benchmark1[Benchmark '#1 Dates],Target1[[#This Row],[Target Dates]]),COUNTIF(Benchmark2[Benchmark '#2 Dates],Target1[[#This Row],[Target Dates]]))=2,"Pass","Fail")</f>
        <v>Pass</v>
      </c>
      <c r="I1224" s="78">
        <f t="shared" si="59"/>
        <v>-9.7000000000000028</v>
      </c>
      <c r="K1224" s="72">
        <f>Target1[[#This Row],[Target Price]]/$B$2*100</f>
        <v>243.74636416521233</v>
      </c>
      <c r="R1224">
        <f>B1225/Target1[[#This Row],[Target Price]]-1</f>
        <v>9.3078758949880491E-3</v>
      </c>
    </row>
    <row r="1225" spans="1:18">
      <c r="A1225" s="96">
        <v>45061</v>
      </c>
      <c r="B1225" s="101">
        <v>42.29</v>
      </c>
      <c r="C1225" s="4">
        <f t="shared" si="57"/>
        <v>9.2648245563051474E-3</v>
      </c>
      <c r="D1225" s="4">
        <f>IFERROR(Target1[[#This Row],[Target Return]]+1,"-")</f>
        <v>1.0092648245563052</v>
      </c>
      <c r="E1225" s="6">
        <f>B1225-MAX($B$2:B1225)</f>
        <v>-9.3100000000000023</v>
      </c>
      <c r="F1225" s="80">
        <f t="shared" si="58"/>
        <v>698</v>
      </c>
      <c r="G1225" s="77">
        <f>Target1[[#This Row],[Target Drawdown]]/MAX($B$2:B1225)</f>
        <v>-0.18042635658914732</v>
      </c>
      <c r="H1225" s="1" t="str">
        <f>IF(SUM(COUNTIF(Benchmark1[Benchmark '#1 Dates],Target1[[#This Row],[Target Dates]]),COUNTIF(Benchmark2[Benchmark '#2 Dates],Target1[[#This Row],[Target Dates]]))=2,"Pass","Fail")</f>
        <v>Pass</v>
      </c>
      <c r="I1225" s="78">
        <f t="shared" si="59"/>
        <v>-9.3100000000000023</v>
      </c>
      <c r="K1225" s="72">
        <f>Target1[[#This Row],[Target Price]]/$B$2*100</f>
        <v>246.01512507271667</v>
      </c>
      <c r="R1225">
        <f>B1226/Target1[[#This Row],[Target Price]]-1</f>
        <v>-8.9855757862379315E-3</v>
      </c>
    </row>
    <row r="1226" spans="1:18">
      <c r="A1226" s="96">
        <v>45062</v>
      </c>
      <c r="B1226" s="101">
        <v>41.91</v>
      </c>
      <c r="C1226" s="4">
        <f t="shared" si="57"/>
        <v>-9.0261895474171225E-3</v>
      </c>
      <c r="D1226" s="4">
        <f>IFERROR(Target1[[#This Row],[Target Return]]+1,"-")</f>
        <v>0.99097381045258293</v>
      </c>
      <c r="E1226" s="6">
        <f>B1226-MAX($B$2:B1226)</f>
        <v>-9.6900000000000048</v>
      </c>
      <c r="F1226" s="80">
        <f t="shared" si="58"/>
        <v>699</v>
      </c>
      <c r="G1226" s="77">
        <f>Target1[[#This Row],[Target Drawdown]]/MAX($B$2:B1226)</f>
        <v>-0.18779069767441869</v>
      </c>
      <c r="H1226" s="1" t="str">
        <f>IF(SUM(COUNTIF(Benchmark1[Benchmark '#1 Dates],Target1[[#This Row],[Target Dates]]),COUNTIF(Benchmark2[Benchmark '#2 Dates],Target1[[#This Row],[Target Dates]]))=2,"Pass","Fail")</f>
        <v>Pass</v>
      </c>
      <c r="I1226" s="78">
        <f t="shared" si="59"/>
        <v>-9.6900000000000048</v>
      </c>
      <c r="K1226" s="72">
        <f>Target1[[#This Row],[Target Price]]/$B$2*100</f>
        <v>243.80453752181498</v>
      </c>
      <c r="R1226">
        <f>B1227/Target1[[#This Row],[Target Price]]-1</f>
        <v>-6.4423765211165662E-3</v>
      </c>
    </row>
    <row r="1227" spans="1:18">
      <c r="A1227" s="96">
        <v>45063</v>
      </c>
      <c r="B1227" s="101">
        <v>41.64</v>
      </c>
      <c r="C1227" s="4">
        <f t="shared" si="57"/>
        <v>-6.4632181902118929E-3</v>
      </c>
      <c r="D1227" s="4">
        <f>IFERROR(Target1[[#This Row],[Target Return]]+1,"-")</f>
        <v>0.99353678180978811</v>
      </c>
      <c r="E1227" s="6">
        <f>B1227-MAX($B$2:B1227)</f>
        <v>-9.9600000000000009</v>
      </c>
      <c r="F1227" s="80">
        <f t="shared" si="58"/>
        <v>700</v>
      </c>
      <c r="G1227" s="77">
        <f>Target1[[#This Row],[Target Drawdown]]/MAX($B$2:B1227)</f>
        <v>-0.19302325581395349</v>
      </c>
      <c r="H1227" s="1" t="str">
        <f>IF(SUM(COUNTIF(Benchmark1[Benchmark '#1 Dates],Target1[[#This Row],[Target Dates]]),COUNTIF(Benchmark2[Benchmark '#2 Dates],Target1[[#This Row],[Target Dates]]))=2,"Pass","Fail")</f>
        <v>Pass</v>
      </c>
      <c r="I1227" s="78">
        <f t="shared" si="59"/>
        <v>-9.9600000000000009</v>
      </c>
      <c r="K1227" s="72">
        <f>Target1[[#This Row],[Target Price]]/$B$2*100</f>
        <v>242.23385689354276</v>
      </c>
      <c r="R1227">
        <f>B1228/Target1[[#This Row],[Target Price]]-1</f>
        <v>7.2046109510082168E-4</v>
      </c>
    </row>
    <row r="1228" spans="1:18">
      <c r="A1228" s="96">
        <v>45064</v>
      </c>
      <c r="B1228" s="101">
        <v>41.67</v>
      </c>
      <c r="C1228" s="4">
        <f t="shared" si="57"/>
        <v>7.2020168759391145E-4</v>
      </c>
      <c r="D1228" s="4">
        <f>IFERROR(Target1[[#This Row],[Target Return]]+1,"-")</f>
        <v>1.000720201687594</v>
      </c>
      <c r="E1228" s="6">
        <f>B1228-MAX($B$2:B1228)</f>
        <v>-9.93</v>
      </c>
      <c r="F1228" s="80">
        <f t="shared" si="58"/>
        <v>701</v>
      </c>
      <c r="G1228" s="77">
        <f>Target1[[#This Row],[Target Drawdown]]/MAX($B$2:B1228)</f>
        <v>-0.19244186046511627</v>
      </c>
      <c r="H1228" s="1" t="str">
        <f>IF(SUM(COUNTIF(Benchmark1[Benchmark '#1 Dates],Target1[[#This Row],[Target Dates]]),COUNTIF(Benchmark2[Benchmark '#2 Dates],Target1[[#This Row],[Target Dates]]))=2,"Pass","Fail")</f>
        <v>Pass</v>
      </c>
      <c r="I1228" s="78">
        <f t="shared" si="59"/>
        <v>-9.93</v>
      </c>
      <c r="K1228" s="72">
        <f>Target1[[#This Row],[Target Price]]/$B$2*100</f>
        <v>242.40837696335075</v>
      </c>
      <c r="R1228">
        <f>B1229/Target1[[#This Row],[Target Price]]-1</f>
        <v>1.9198464122869296E-3</v>
      </c>
    </row>
    <row r="1229" spans="1:18">
      <c r="A1229" s="96">
        <v>45065</v>
      </c>
      <c r="B1229" s="101">
        <v>41.75</v>
      </c>
      <c r="C1229" s="4">
        <f t="shared" si="57"/>
        <v>1.9180058625023124E-3</v>
      </c>
      <c r="D1229" s="4">
        <f>IFERROR(Target1[[#This Row],[Target Return]]+1,"-")</f>
        <v>1.0019180058625023</v>
      </c>
      <c r="E1229" s="6">
        <f>B1229-MAX($B$2:B1229)</f>
        <v>-9.8500000000000014</v>
      </c>
      <c r="F1229" s="80">
        <f t="shared" si="58"/>
        <v>702</v>
      </c>
      <c r="G1229" s="77">
        <f>Target1[[#This Row],[Target Drawdown]]/MAX($B$2:B1229)</f>
        <v>-0.19089147286821709</v>
      </c>
      <c r="H1229" s="1" t="str">
        <f>IF(SUM(COUNTIF(Benchmark1[Benchmark '#1 Dates],Target1[[#This Row],[Target Dates]]),COUNTIF(Benchmark2[Benchmark '#2 Dates],Target1[[#This Row],[Target Dates]]))=2,"Pass","Fail")</f>
        <v>Pass</v>
      </c>
      <c r="I1229" s="78">
        <f t="shared" si="59"/>
        <v>-9.8500000000000014</v>
      </c>
      <c r="K1229" s="72">
        <f>Target1[[#This Row],[Target Price]]/$B$2*100</f>
        <v>242.87376381617216</v>
      </c>
      <c r="R1229">
        <f>B1230/Target1[[#This Row],[Target Price]]-1</f>
        <v>-9.5808383233531025E-4</v>
      </c>
    </row>
    <row r="1230" spans="1:18">
      <c r="A1230" s="96">
        <v>45068</v>
      </c>
      <c r="B1230" s="101">
        <v>41.71</v>
      </c>
      <c r="C1230" s="4">
        <f t="shared" si="57"/>
        <v>-9.5854308801059172E-4</v>
      </c>
      <c r="D1230" s="4">
        <f>IFERROR(Target1[[#This Row],[Target Return]]+1,"-")</f>
        <v>0.99904145691198942</v>
      </c>
      <c r="E1230" s="6">
        <f>B1230-MAX($B$2:B1230)</f>
        <v>-9.89</v>
      </c>
      <c r="F1230" s="80">
        <f t="shared" si="58"/>
        <v>703</v>
      </c>
      <c r="G1230" s="77">
        <f>Target1[[#This Row],[Target Drawdown]]/MAX($B$2:B1230)</f>
        <v>-0.19166666666666668</v>
      </c>
      <c r="H1230" s="1" t="str">
        <f>IF(SUM(COUNTIF(Benchmark1[Benchmark '#1 Dates],Target1[[#This Row],[Target Dates]]),COUNTIF(Benchmark2[Benchmark '#2 Dates],Target1[[#This Row],[Target Dates]]))=2,"Pass","Fail")</f>
        <v>Pass</v>
      </c>
      <c r="I1230" s="78">
        <f t="shared" si="59"/>
        <v>-9.89</v>
      </c>
      <c r="K1230" s="72">
        <f>Target1[[#This Row],[Target Price]]/$B$2*100</f>
        <v>242.64107038976147</v>
      </c>
      <c r="R1230">
        <f>B1231/Target1[[#This Row],[Target Price]]-1</f>
        <v>-6.9527691201151098E-3</v>
      </c>
    </row>
    <row r="1231" spans="1:18">
      <c r="A1231" s="96">
        <v>45069</v>
      </c>
      <c r="B1231" s="101">
        <v>41.42</v>
      </c>
      <c r="C1231" s="4">
        <f t="shared" si="57"/>
        <v>-6.9770522414158058E-3</v>
      </c>
      <c r="D1231" s="4">
        <f>IFERROR(Target1[[#This Row],[Target Return]]+1,"-")</f>
        <v>0.99302294775858424</v>
      </c>
      <c r="E1231" s="6">
        <f>B1231-MAX($B$2:B1231)</f>
        <v>-10.18</v>
      </c>
      <c r="F1231" s="80">
        <f t="shared" si="58"/>
        <v>704</v>
      </c>
      <c r="G1231" s="77">
        <f>Target1[[#This Row],[Target Drawdown]]/MAX($B$2:B1231)</f>
        <v>-0.19728682170542636</v>
      </c>
      <c r="H1231" s="1" t="str">
        <f>IF(SUM(COUNTIF(Benchmark1[Benchmark '#1 Dates],Target1[[#This Row],[Target Dates]]),COUNTIF(Benchmark2[Benchmark '#2 Dates],Target1[[#This Row],[Target Dates]]))=2,"Pass","Fail")</f>
        <v>Pass</v>
      </c>
      <c r="I1231" s="78">
        <f t="shared" si="59"/>
        <v>-10.18</v>
      </c>
      <c r="K1231" s="72">
        <f>Target1[[#This Row],[Target Price]]/$B$2*100</f>
        <v>240.95404304828389</v>
      </c>
      <c r="R1231">
        <f>B1232/Target1[[#This Row],[Target Price]]-1</f>
        <v>-5.7943022694351143E-3</v>
      </c>
    </row>
    <row r="1232" spans="1:18">
      <c r="A1232" s="96">
        <v>45070</v>
      </c>
      <c r="B1232" s="101">
        <v>41.18</v>
      </c>
      <c r="C1232" s="4">
        <f t="shared" si="57"/>
        <v>-5.811154367794771E-3</v>
      </c>
      <c r="D1232" s="4">
        <f>IFERROR(Target1[[#This Row],[Target Return]]+1,"-")</f>
        <v>0.99418884563220522</v>
      </c>
      <c r="E1232" s="6">
        <f>B1232-MAX($B$2:B1232)</f>
        <v>-10.420000000000002</v>
      </c>
      <c r="F1232" s="80">
        <f t="shared" si="58"/>
        <v>705</v>
      </c>
      <c r="G1232" s="77">
        <f>Target1[[#This Row],[Target Drawdown]]/MAX($B$2:B1232)</f>
        <v>-0.20193798449612405</v>
      </c>
      <c r="H1232" s="1" t="str">
        <f>IF(SUM(COUNTIF(Benchmark1[Benchmark '#1 Dates],Target1[[#This Row],[Target Dates]]),COUNTIF(Benchmark2[Benchmark '#2 Dates],Target1[[#This Row],[Target Dates]]))=2,"Pass","Fail")</f>
        <v>Pass</v>
      </c>
      <c r="I1232" s="78">
        <f t="shared" si="59"/>
        <v>-10.420000000000002</v>
      </c>
      <c r="K1232" s="72">
        <f>Target1[[#This Row],[Target Price]]/$B$2*100</f>
        <v>239.55788248981963</v>
      </c>
      <c r="R1232">
        <f>B1233/Target1[[#This Row],[Target Price]]-1</f>
        <v>-2.1855269548324396E-2</v>
      </c>
    </row>
    <row r="1233" spans="1:18">
      <c r="A1233" s="96">
        <v>45071</v>
      </c>
      <c r="B1233" s="101">
        <v>40.28</v>
      </c>
      <c r="C1233" s="4">
        <f t="shared" si="57"/>
        <v>-2.2097633749281812E-2</v>
      </c>
      <c r="D1233" s="4">
        <f>IFERROR(Target1[[#This Row],[Target Return]]+1,"-")</f>
        <v>0.97790236625071814</v>
      </c>
      <c r="E1233" s="6">
        <f>B1233-MAX($B$2:B1233)</f>
        <v>-11.32</v>
      </c>
      <c r="F1233" s="80">
        <f t="shared" si="58"/>
        <v>706</v>
      </c>
      <c r="G1233" s="77">
        <f>Target1[[#This Row],[Target Drawdown]]/MAX($B$2:B1233)</f>
        <v>-0.2193798449612403</v>
      </c>
      <c r="H1233" s="1" t="str">
        <f>IF(SUM(COUNTIF(Benchmark1[Benchmark '#1 Dates],Target1[[#This Row],[Target Dates]]),COUNTIF(Benchmark2[Benchmark '#2 Dates],Target1[[#This Row],[Target Dates]]))=2,"Pass","Fail")</f>
        <v>Pass</v>
      </c>
      <c r="I1233" s="78">
        <f t="shared" si="59"/>
        <v>-11.32</v>
      </c>
      <c r="K1233" s="72">
        <f>Target1[[#This Row],[Target Price]]/$B$2*100</f>
        <v>234.32228039557882</v>
      </c>
      <c r="R1233">
        <f>B1234/Target1[[#This Row],[Target Price]]-1</f>
        <v>-3.9721946375372852E-3</v>
      </c>
    </row>
    <row r="1234" spans="1:18">
      <c r="A1234" s="96">
        <v>45072</v>
      </c>
      <c r="B1234" s="101">
        <v>40.119999999999997</v>
      </c>
      <c r="C1234" s="4">
        <f t="shared" si="57"/>
        <v>-3.9801047566268098E-3</v>
      </c>
      <c r="D1234" s="4">
        <f>IFERROR(Target1[[#This Row],[Target Return]]+1,"-")</f>
        <v>0.9960198952433732</v>
      </c>
      <c r="E1234" s="6">
        <f>B1234-MAX($B$2:B1234)</f>
        <v>-11.480000000000004</v>
      </c>
      <c r="F1234" s="80">
        <f t="shared" si="58"/>
        <v>707</v>
      </c>
      <c r="G1234" s="77">
        <f>Target1[[#This Row],[Target Drawdown]]/MAX($B$2:B1234)</f>
        <v>-0.22248062015503883</v>
      </c>
      <c r="H1234" s="1" t="str">
        <f>IF(SUM(COUNTIF(Benchmark1[Benchmark '#1 Dates],Target1[[#This Row],[Target Dates]]),COUNTIF(Benchmark2[Benchmark '#2 Dates],Target1[[#This Row],[Target Dates]]))=2,"Pass","Fail")</f>
        <v>Pass</v>
      </c>
      <c r="I1234" s="78">
        <f t="shared" si="59"/>
        <v>-11.480000000000004</v>
      </c>
      <c r="K1234" s="72">
        <f>Target1[[#This Row],[Target Price]]/$B$2*100</f>
        <v>233.39150668993597</v>
      </c>
      <c r="R1234">
        <f>B1235/Target1[[#This Row],[Target Price]]-1</f>
        <v>-4.9850448654031876E-4</v>
      </c>
    </row>
    <row r="1235" spans="1:18">
      <c r="A1235" s="96">
        <v>45076</v>
      </c>
      <c r="B1235" s="101">
        <v>40.1</v>
      </c>
      <c r="C1235" s="4">
        <f t="shared" si="57"/>
        <v>-4.9862878121121972E-4</v>
      </c>
      <c r="D1235" s="4">
        <f>IFERROR(Target1[[#This Row],[Target Return]]+1,"-")</f>
        <v>0.99950137121878879</v>
      </c>
      <c r="E1235" s="6">
        <f>B1235-MAX($B$2:B1235)</f>
        <v>-11.5</v>
      </c>
      <c r="F1235" s="80">
        <f t="shared" si="58"/>
        <v>708</v>
      </c>
      <c r="G1235" s="77">
        <f>Target1[[#This Row],[Target Drawdown]]/MAX($B$2:B1235)</f>
        <v>-0.22286821705426357</v>
      </c>
      <c r="H1235" s="1" t="str">
        <f>IF(SUM(COUNTIF(Benchmark1[Benchmark '#1 Dates],Target1[[#This Row],[Target Dates]]),COUNTIF(Benchmark2[Benchmark '#2 Dates],Target1[[#This Row],[Target Dates]]))=2,"Pass","Fail")</f>
        <v>Pass</v>
      </c>
      <c r="I1235" s="78">
        <f t="shared" si="59"/>
        <v>-11.5</v>
      </c>
      <c r="K1235" s="72">
        <f>Target1[[#This Row],[Target Price]]/$B$2*100</f>
        <v>233.27515997673066</v>
      </c>
      <c r="R1235">
        <f>B1236/Target1[[#This Row],[Target Price]]-1</f>
        <v>7.7306733167081809E-3</v>
      </c>
    </row>
    <row r="1236" spans="1:18">
      <c r="A1236" s="96">
        <v>45077</v>
      </c>
      <c r="B1236" s="101">
        <v>40.409999999999997</v>
      </c>
      <c r="C1236" s="4">
        <f t="shared" si="57"/>
        <v>7.7009447778587578E-3</v>
      </c>
      <c r="D1236" s="4">
        <f>IFERROR(Target1[[#This Row],[Target Return]]+1,"-")</f>
        <v>1.0077009447778587</v>
      </c>
      <c r="E1236" s="6">
        <f>B1236-MAX($B$2:B1236)</f>
        <v>-11.190000000000005</v>
      </c>
      <c r="F1236" s="80">
        <f t="shared" si="58"/>
        <v>709</v>
      </c>
      <c r="G1236" s="77">
        <f>Target1[[#This Row],[Target Drawdown]]/MAX($B$2:B1236)</f>
        <v>-0.21686046511627916</v>
      </c>
      <c r="H1236" s="1" t="str">
        <f>IF(SUM(COUNTIF(Benchmark1[Benchmark '#1 Dates],Target1[[#This Row],[Target Dates]]),COUNTIF(Benchmark2[Benchmark '#2 Dates],Target1[[#This Row],[Target Dates]]))=2,"Pass","Fail")</f>
        <v>Pass</v>
      </c>
      <c r="I1236" s="78">
        <f t="shared" si="59"/>
        <v>-11.190000000000005</v>
      </c>
      <c r="K1236" s="72">
        <f>Target1[[#This Row],[Target Price]]/$B$2*100</f>
        <v>235.07853403141357</v>
      </c>
      <c r="R1236">
        <f>B1237/Target1[[#This Row],[Target Price]]-1</f>
        <v>1.3363028953229605E-2</v>
      </c>
    </row>
    <row r="1237" spans="1:18">
      <c r="A1237" s="96">
        <v>45078</v>
      </c>
      <c r="B1237" s="101">
        <v>40.950000000000003</v>
      </c>
      <c r="C1237" s="4">
        <f t="shared" si="57"/>
        <v>1.3274531208696327E-2</v>
      </c>
      <c r="D1237" s="4">
        <f>IFERROR(Target1[[#This Row],[Target Return]]+1,"-")</f>
        <v>1.0132745312086964</v>
      </c>
      <c r="E1237" s="6">
        <f>B1237-MAX($B$2:B1237)</f>
        <v>-10.649999999999999</v>
      </c>
      <c r="F1237" s="80">
        <f t="shared" si="58"/>
        <v>710</v>
      </c>
      <c r="G1237" s="77">
        <f>Target1[[#This Row],[Target Drawdown]]/MAX($B$2:B1237)</f>
        <v>-0.20639534883720928</v>
      </c>
      <c r="H1237" s="1" t="str">
        <f>IF(SUM(COUNTIF(Benchmark1[Benchmark '#1 Dates],Target1[[#This Row],[Target Dates]]),COUNTIF(Benchmark2[Benchmark '#2 Dates],Target1[[#This Row],[Target Dates]]))=2,"Pass","Fail")</f>
        <v>Pass</v>
      </c>
      <c r="I1237" s="78">
        <f t="shared" si="59"/>
        <v>-10.649999999999999</v>
      </c>
      <c r="K1237" s="72">
        <f>Target1[[#This Row],[Target Price]]/$B$2*100</f>
        <v>238.21989528795814</v>
      </c>
      <c r="R1237">
        <f>B1238/Target1[[#This Row],[Target Price]]-1</f>
        <v>2.2954822954822873E-2</v>
      </c>
    </row>
    <row r="1238" spans="1:18">
      <c r="A1238" s="96">
        <v>45079</v>
      </c>
      <c r="B1238" s="101">
        <v>41.89</v>
      </c>
      <c r="C1238" s="4">
        <f t="shared" si="57"/>
        <v>2.2695324659864995E-2</v>
      </c>
      <c r="D1238" s="4">
        <f>IFERROR(Target1[[#This Row],[Target Return]]+1,"-")</f>
        <v>1.0226953246598649</v>
      </c>
      <c r="E1238" s="6">
        <f>B1238-MAX($B$2:B1238)</f>
        <v>-9.7100000000000009</v>
      </c>
      <c r="F1238" s="80">
        <f t="shared" si="58"/>
        <v>711</v>
      </c>
      <c r="G1238" s="77">
        <f>Target1[[#This Row],[Target Drawdown]]/MAX($B$2:B1238)</f>
        <v>-0.18817829457364343</v>
      </c>
      <c r="H1238" s="1" t="str">
        <f>IF(SUM(COUNTIF(Benchmark1[Benchmark '#1 Dates],Target1[[#This Row],[Target Dates]]),COUNTIF(Benchmark2[Benchmark '#2 Dates],Target1[[#This Row],[Target Dates]]))=2,"Pass","Fail")</f>
        <v>Pass</v>
      </c>
      <c r="I1238" s="78">
        <f t="shared" si="59"/>
        <v>-9.7100000000000009</v>
      </c>
      <c r="K1238" s="72">
        <f>Target1[[#This Row],[Target Price]]/$B$2*100</f>
        <v>243.68819080860965</v>
      </c>
      <c r="R1238">
        <f>B1239/Target1[[#This Row],[Target Price]]-1</f>
        <v>-8.5939365003581125E-3</v>
      </c>
    </row>
    <row r="1239" spans="1:18">
      <c r="A1239" s="96">
        <v>45082</v>
      </c>
      <c r="B1239" s="101">
        <v>41.53</v>
      </c>
      <c r="C1239" s="4">
        <f t="shared" si="57"/>
        <v>-8.6310773162813648E-3</v>
      </c>
      <c r="D1239" s="4">
        <f>IFERROR(Target1[[#This Row],[Target Return]]+1,"-")</f>
        <v>0.99136892268371868</v>
      </c>
      <c r="E1239" s="6">
        <f>B1239-MAX($B$2:B1239)</f>
        <v>-10.07</v>
      </c>
      <c r="F1239" s="80">
        <f t="shared" si="58"/>
        <v>712</v>
      </c>
      <c r="G1239" s="77">
        <f>Target1[[#This Row],[Target Drawdown]]/MAX($B$2:B1239)</f>
        <v>-0.19515503875968992</v>
      </c>
      <c r="H1239" s="1" t="str">
        <f>IF(SUM(COUNTIF(Benchmark1[Benchmark '#1 Dates],Target1[[#This Row],[Target Dates]]),COUNTIF(Benchmark2[Benchmark '#2 Dates],Target1[[#This Row],[Target Dates]]))=2,"Pass","Fail")</f>
        <v>Pass</v>
      </c>
      <c r="I1239" s="78">
        <f t="shared" si="59"/>
        <v>-10.07</v>
      </c>
      <c r="K1239" s="72">
        <f>Target1[[#This Row],[Target Price]]/$B$2*100</f>
        <v>241.59394997091331</v>
      </c>
      <c r="R1239">
        <f>B1240/Target1[[#This Row],[Target Price]]-1</f>
        <v>1.2761858897182732E-2</v>
      </c>
    </row>
    <row r="1240" spans="1:18">
      <c r="A1240" s="96">
        <v>45083</v>
      </c>
      <c r="B1240" s="101">
        <v>42.06</v>
      </c>
      <c r="C1240" s="4">
        <f t="shared" si="57"/>
        <v>1.2681112631891525E-2</v>
      </c>
      <c r="D1240" s="4">
        <f>IFERROR(Target1[[#This Row],[Target Return]]+1,"-")</f>
        <v>1.0126811126318915</v>
      </c>
      <c r="E1240" s="6">
        <f>B1240-MAX($B$2:B1240)</f>
        <v>-9.5399999999999991</v>
      </c>
      <c r="F1240" s="80">
        <f t="shared" si="58"/>
        <v>713</v>
      </c>
      <c r="G1240" s="77">
        <f>Target1[[#This Row],[Target Drawdown]]/MAX($B$2:B1240)</f>
        <v>-0.18488372093023253</v>
      </c>
      <c r="H1240" s="1" t="str">
        <f>IF(SUM(COUNTIF(Benchmark1[Benchmark '#1 Dates],Target1[[#This Row],[Target Dates]]),COUNTIF(Benchmark2[Benchmark '#2 Dates],Target1[[#This Row],[Target Dates]]))=2,"Pass","Fail")</f>
        <v>Pass</v>
      </c>
      <c r="I1240" s="78">
        <f t="shared" si="59"/>
        <v>-9.5399999999999991</v>
      </c>
      <c r="K1240" s="72">
        <f>Target1[[#This Row],[Target Price]]/$B$2*100</f>
        <v>244.67713787085512</v>
      </c>
      <c r="R1240">
        <f>B1241/Target1[[#This Row],[Target Price]]-1</f>
        <v>-6.4194008559201876E-3</v>
      </c>
    </row>
    <row r="1241" spans="1:18">
      <c r="A1241" s="96">
        <v>45084</v>
      </c>
      <c r="B1241" s="101">
        <v>41.79</v>
      </c>
      <c r="C1241" s="4">
        <f t="shared" si="57"/>
        <v>-6.4400938147297733E-3</v>
      </c>
      <c r="D1241" s="4">
        <f>IFERROR(Target1[[#This Row],[Target Return]]+1,"-")</f>
        <v>0.99355990618527024</v>
      </c>
      <c r="E1241" s="6">
        <f>B1241-MAX($B$2:B1241)</f>
        <v>-9.8100000000000023</v>
      </c>
      <c r="F1241" s="80">
        <f t="shared" si="58"/>
        <v>714</v>
      </c>
      <c r="G1241" s="77">
        <f>Target1[[#This Row],[Target Drawdown]]/MAX($B$2:B1241)</f>
        <v>-0.19011627906976747</v>
      </c>
      <c r="H1241" s="1" t="str">
        <f>IF(SUM(COUNTIF(Benchmark1[Benchmark '#1 Dates],Target1[[#This Row],[Target Dates]]),COUNTIF(Benchmark2[Benchmark '#2 Dates],Target1[[#This Row],[Target Dates]]))=2,"Pass","Fail")</f>
        <v>Pass</v>
      </c>
      <c r="I1241" s="78">
        <f t="shared" si="59"/>
        <v>-9.8100000000000023</v>
      </c>
      <c r="K1241" s="72">
        <f>Target1[[#This Row],[Target Price]]/$B$2*100</f>
        <v>243.10645724258285</v>
      </c>
      <c r="R1241">
        <f>B1242/Target1[[#This Row],[Target Price]]-1</f>
        <v>-5.503709021296932E-3</v>
      </c>
    </row>
    <row r="1242" spans="1:18">
      <c r="A1242" s="96">
        <v>45085</v>
      </c>
      <c r="B1242" s="101">
        <v>41.56</v>
      </c>
      <c r="C1242" s="4">
        <f t="shared" si="57"/>
        <v>-5.518910228797351E-3</v>
      </c>
      <c r="D1242" s="4">
        <f>IFERROR(Target1[[#This Row],[Target Return]]+1,"-")</f>
        <v>0.99448108977120264</v>
      </c>
      <c r="E1242" s="6">
        <f>B1242-MAX($B$2:B1242)</f>
        <v>-10.039999999999999</v>
      </c>
      <c r="F1242" s="80">
        <f t="shared" si="58"/>
        <v>715</v>
      </c>
      <c r="G1242" s="77">
        <f>Target1[[#This Row],[Target Drawdown]]/MAX($B$2:B1242)</f>
        <v>-0.1945736434108527</v>
      </c>
      <c r="H1242" s="1" t="str">
        <f>IF(SUM(COUNTIF(Benchmark1[Benchmark '#1 Dates],Target1[[#This Row],[Target Dates]]),COUNTIF(Benchmark2[Benchmark '#2 Dates],Target1[[#This Row],[Target Dates]]))=2,"Pass","Fail")</f>
        <v>Pass</v>
      </c>
      <c r="I1242" s="78">
        <f t="shared" si="59"/>
        <v>-10.039999999999999</v>
      </c>
      <c r="K1242" s="72">
        <f>Target1[[#This Row],[Target Price]]/$B$2*100</f>
        <v>241.76847004072135</v>
      </c>
      <c r="R1242">
        <f>B1243/Target1[[#This Row],[Target Price]]-1</f>
        <v>-7.2184793070261266E-3</v>
      </c>
    </row>
    <row r="1243" spans="1:18">
      <c r="A1243" s="96">
        <v>45086</v>
      </c>
      <c r="B1243" s="101">
        <v>41.26</v>
      </c>
      <c r="C1243" s="4">
        <f t="shared" si="57"/>
        <v>-7.2446585879210202E-3</v>
      </c>
      <c r="D1243" s="4">
        <f>IFERROR(Target1[[#This Row],[Target Return]]+1,"-")</f>
        <v>0.992755341412079</v>
      </c>
      <c r="E1243" s="6">
        <f>B1243-MAX($B$2:B1243)</f>
        <v>-10.340000000000003</v>
      </c>
      <c r="F1243" s="80">
        <f t="shared" si="58"/>
        <v>716</v>
      </c>
      <c r="G1243" s="77">
        <f>Target1[[#This Row],[Target Drawdown]]/MAX($B$2:B1243)</f>
        <v>-0.20038759689922486</v>
      </c>
      <c r="H1243" s="1" t="str">
        <f>IF(SUM(COUNTIF(Benchmark1[Benchmark '#1 Dates],Target1[[#This Row],[Target Dates]]),COUNTIF(Benchmark2[Benchmark '#2 Dates],Target1[[#This Row],[Target Dates]]))=2,"Pass","Fail")</f>
        <v>Pass</v>
      </c>
      <c r="I1243" s="78">
        <f t="shared" si="59"/>
        <v>-10.340000000000003</v>
      </c>
      <c r="K1243" s="72">
        <f>Target1[[#This Row],[Target Price]]/$B$2*100</f>
        <v>240.02326934264104</v>
      </c>
      <c r="R1243">
        <f>B1244/Target1[[#This Row],[Target Price]]-1</f>
        <v>-5.332040717401787E-3</v>
      </c>
    </row>
    <row r="1244" spans="1:18">
      <c r="A1244" s="96">
        <v>45089</v>
      </c>
      <c r="B1244" s="101">
        <v>41.04</v>
      </c>
      <c r="C1244" s="4">
        <f t="shared" si="57"/>
        <v>-5.3463067805916151E-3</v>
      </c>
      <c r="D1244" s="4">
        <f>IFERROR(Target1[[#This Row],[Target Return]]+1,"-")</f>
        <v>0.99465369321940833</v>
      </c>
      <c r="E1244" s="6">
        <f>B1244-MAX($B$2:B1244)</f>
        <v>-10.560000000000002</v>
      </c>
      <c r="F1244" s="80">
        <f t="shared" si="58"/>
        <v>717</v>
      </c>
      <c r="G1244" s="77">
        <f>Target1[[#This Row],[Target Drawdown]]/MAX($B$2:B1244)</f>
        <v>-0.2046511627906977</v>
      </c>
      <c r="H1244" s="1" t="str">
        <f>IF(SUM(COUNTIF(Benchmark1[Benchmark '#1 Dates],Target1[[#This Row],[Target Dates]]),COUNTIF(Benchmark2[Benchmark '#2 Dates],Target1[[#This Row],[Target Dates]]))=2,"Pass","Fail")</f>
        <v>Pass</v>
      </c>
      <c r="I1244" s="78">
        <f t="shared" si="59"/>
        <v>-10.560000000000002</v>
      </c>
      <c r="K1244" s="72">
        <f>Target1[[#This Row],[Target Price]]/$B$2*100</f>
        <v>238.74345549738217</v>
      </c>
      <c r="R1244">
        <f>B1245/Target1[[#This Row],[Target Price]]-1</f>
        <v>-8.2846003898634502E-3</v>
      </c>
    </row>
    <row r="1245" spans="1:18">
      <c r="A1245" s="96">
        <v>45090</v>
      </c>
      <c r="B1245" s="101">
        <v>40.700000000000003</v>
      </c>
      <c r="C1245" s="4">
        <f t="shared" si="57"/>
        <v>-8.3191084139646911E-3</v>
      </c>
      <c r="D1245" s="4">
        <f>IFERROR(Target1[[#This Row],[Target Return]]+1,"-")</f>
        <v>0.99168089158603534</v>
      </c>
      <c r="E1245" s="6">
        <f>B1245-MAX($B$2:B1245)</f>
        <v>-10.899999999999999</v>
      </c>
      <c r="F1245" s="80">
        <f t="shared" si="58"/>
        <v>718</v>
      </c>
      <c r="G1245" s="77">
        <f>Target1[[#This Row],[Target Drawdown]]/MAX($B$2:B1245)</f>
        <v>-0.21124031007751934</v>
      </c>
      <c r="H1245" s="1" t="str">
        <f>IF(SUM(COUNTIF(Benchmark1[Benchmark '#1 Dates],Target1[[#This Row],[Target Dates]]),COUNTIF(Benchmark2[Benchmark '#2 Dates],Target1[[#This Row],[Target Dates]]))=2,"Pass","Fail")</f>
        <v>Pass</v>
      </c>
      <c r="I1245" s="78">
        <f t="shared" si="59"/>
        <v>-10.899999999999999</v>
      </c>
      <c r="K1245" s="72">
        <f>Target1[[#This Row],[Target Price]]/$B$2*100</f>
        <v>236.76556137289123</v>
      </c>
      <c r="R1245">
        <f>B1246/Target1[[#This Row],[Target Price]]-1</f>
        <v>-1.4987714987715006E-2</v>
      </c>
    </row>
    <row r="1246" spans="1:18">
      <c r="A1246" s="96">
        <v>45091</v>
      </c>
      <c r="B1246" s="101">
        <v>40.090000000000003</v>
      </c>
      <c r="C1246" s="4">
        <f t="shared" si="57"/>
        <v>-1.5101165794133736E-2</v>
      </c>
      <c r="D1246" s="4">
        <f>IFERROR(Target1[[#This Row],[Target Return]]+1,"-")</f>
        <v>0.98489883420586621</v>
      </c>
      <c r="E1246" s="6">
        <f>B1246-MAX($B$2:B1246)</f>
        <v>-11.509999999999998</v>
      </c>
      <c r="F1246" s="80">
        <f t="shared" si="58"/>
        <v>719</v>
      </c>
      <c r="G1246" s="77">
        <f>Target1[[#This Row],[Target Drawdown]]/MAX($B$2:B1246)</f>
        <v>-0.22306201550387592</v>
      </c>
      <c r="H1246" s="1" t="str">
        <f>IF(SUM(COUNTIF(Benchmark1[Benchmark '#1 Dates],Target1[[#This Row],[Target Dates]]),COUNTIF(Benchmark2[Benchmark '#2 Dates],Target1[[#This Row],[Target Dates]]))=2,"Pass","Fail")</f>
        <v>Pass</v>
      </c>
      <c r="I1246" s="78">
        <f t="shared" si="59"/>
        <v>-11.509999999999998</v>
      </c>
      <c r="K1246" s="72">
        <f>Target1[[#This Row],[Target Price]]/$B$2*100</f>
        <v>233.21698662012801</v>
      </c>
      <c r="R1246">
        <f>B1247/Target1[[#This Row],[Target Price]]-1</f>
        <v>-3.0182090296832165E-2</v>
      </c>
    </row>
    <row r="1247" spans="1:18">
      <c r="A1247" s="96">
        <v>45092</v>
      </c>
      <c r="B1247" s="101">
        <v>38.880000000000003</v>
      </c>
      <c r="C1247" s="4">
        <f t="shared" si="57"/>
        <v>-3.0646947062177299E-2</v>
      </c>
      <c r="D1247" s="4">
        <f>IFERROR(Target1[[#This Row],[Target Return]]+1,"-")</f>
        <v>0.9693530529378227</v>
      </c>
      <c r="E1247" s="6">
        <f>B1247-MAX($B$2:B1247)</f>
        <v>-12.719999999999999</v>
      </c>
      <c r="F1247" s="80">
        <f t="shared" si="58"/>
        <v>720</v>
      </c>
      <c r="G1247" s="77">
        <f>Target1[[#This Row],[Target Drawdown]]/MAX($B$2:B1247)</f>
        <v>-0.24651162790697673</v>
      </c>
      <c r="H1247" s="1" t="str">
        <f>IF(SUM(COUNTIF(Benchmark1[Benchmark '#1 Dates],Target1[[#This Row],[Target Dates]]),COUNTIF(Benchmark2[Benchmark '#2 Dates],Target1[[#This Row],[Target Dates]]))=2,"Pass","Fail")</f>
        <v>Pass</v>
      </c>
      <c r="I1247" s="78">
        <f t="shared" si="59"/>
        <v>-12.719999999999999</v>
      </c>
      <c r="K1247" s="72">
        <f>Target1[[#This Row],[Target Price]]/$B$2*100</f>
        <v>226.1780104712042</v>
      </c>
      <c r="R1247">
        <f>B1248/Target1[[#This Row],[Target Price]]-1</f>
        <v>2.3662551440329027E-2</v>
      </c>
    </row>
    <row r="1248" spans="1:18">
      <c r="A1248" s="96">
        <v>45093</v>
      </c>
      <c r="B1248" s="101">
        <v>39.799999999999997</v>
      </c>
      <c r="C1248" s="4">
        <f t="shared" si="57"/>
        <v>2.3386932698153506E-2</v>
      </c>
      <c r="D1248" s="4">
        <f>IFERROR(Target1[[#This Row],[Target Return]]+1,"-")</f>
        <v>1.0233869326981535</v>
      </c>
      <c r="E1248" s="6">
        <f>B1248-MAX($B$2:B1248)</f>
        <v>-11.800000000000004</v>
      </c>
      <c r="F1248" s="80">
        <f t="shared" si="58"/>
        <v>721</v>
      </c>
      <c r="G1248" s="77">
        <f>Target1[[#This Row],[Target Drawdown]]/MAX($B$2:B1248)</f>
        <v>-0.22868217054263573</v>
      </c>
      <c r="H1248" s="1" t="str">
        <f>IF(SUM(COUNTIF(Benchmark1[Benchmark '#1 Dates],Target1[[#This Row],[Target Dates]]),COUNTIF(Benchmark2[Benchmark '#2 Dates],Target1[[#This Row],[Target Dates]]))=2,"Pass","Fail")</f>
        <v>Pass</v>
      </c>
      <c r="I1248" s="78">
        <f t="shared" si="59"/>
        <v>-11.800000000000004</v>
      </c>
      <c r="K1248" s="72">
        <f>Target1[[#This Row],[Target Price]]/$B$2*100</f>
        <v>231.52995927865035</v>
      </c>
      <c r="R1248">
        <f>B1249/Target1[[#This Row],[Target Price]]-1</f>
        <v>-1.6080402010050232E-2</v>
      </c>
    </row>
    <row r="1249" spans="1:18">
      <c r="A1249" s="96">
        <v>45097</v>
      </c>
      <c r="B1249" s="101">
        <v>39.159999999999997</v>
      </c>
      <c r="C1249" s="4">
        <f t="shared" si="57"/>
        <v>-1.621109462808237E-2</v>
      </c>
      <c r="D1249" s="4">
        <f>IFERROR(Target1[[#This Row],[Target Return]]+1,"-")</f>
        <v>0.98378890537191765</v>
      </c>
      <c r="E1249" s="6">
        <f>B1249-MAX($B$2:B1249)</f>
        <v>-12.440000000000005</v>
      </c>
      <c r="F1249" s="80">
        <f t="shared" si="58"/>
        <v>722</v>
      </c>
      <c r="G1249" s="77">
        <f>Target1[[#This Row],[Target Drawdown]]/MAX($B$2:B1249)</f>
        <v>-0.24108527131782956</v>
      </c>
      <c r="H1249" s="1" t="str">
        <f>IF(SUM(COUNTIF(Benchmark1[Benchmark '#1 Dates],Target1[[#This Row],[Target Dates]]),COUNTIF(Benchmark2[Benchmark '#2 Dates],Target1[[#This Row],[Target Dates]]))=2,"Pass","Fail")</f>
        <v>Pass</v>
      </c>
      <c r="I1249" s="78">
        <f t="shared" si="59"/>
        <v>-12.440000000000005</v>
      </c>
      <c r="K1249" s="72">
        <f>Target1[[#This Row],[Target Price]]/$B$2*100</f>
        <v>227.80686445607907</v>
      </c>
      <c r="R1249">
        <f>B1250/Target1[[#This Row],[Target Price]]-1</f>
        <v>-2.0173646578140914E-2</v>
      </c>
    </row>
    <row r="1250" spans="1:18">
      <c r="A1250" s="96">
        <v>45098</v>
      </c>
      <c r="B1250" s="101">
        <v>38.369999999999997</v>
      </c>
      <c r="C1250" s="4">
        <f t="shared" si="57"/>
        <v>-2.0379913403448573E-2</v>
      </c>
      <c r="D1250" s="4">
        <f>IFERROR(Target1[[#This Row],[Target Return]]+1,"-")</f>
        <v>0.97962008659655142</v>
      </c>
      <c r="E1250" s="6">
        <f>B1250-MAX($B$2:B1250)</f>
        <v>-13.230000000000004</v>
      </c>
      <c r="F1250" s="80">
        <f t="shared" si="58"/>
        <v>723</v>
      </c>
      <c r="G1250" s="77">
        <f>Target1[[#This Row],[Target Drawdown]]/MAX($B$2:B1250)</f>
        <v>-0.25639534883720938</v>
      </c>
      <c r="H1250" s="1" t="str">
        <f>IF(SUM(COUNTIF(Benchmark1[Benchmark '#1 Dates],Target1[[#This Row],[Target Dates]]),COUNTIF(Benchmark2[Benchmark '#2 Dates],Target1[[#This Row],[Target Dates]]))=2,"Pass","Fail")</f>
        <v>Pass</v>
      </c>
      <c r="I1250" s="78">
        <f t="shared" si="59"/>
        <v>-13.230000000000004</v>
      </c>
      <c r="K1250" s="72">
        <f>Target1[[#This Row],[Target Price]]/$B$2*100</f>
        <v>223.2111692844677</v>
      </c>
      <c r="R1250">
        <f>B1251/Target1[[#This Row],[Target Price]]-1</f>
        <v>1.0424811050300242E-3</v>
      </c>
    </row>
    <row r="1251" spans="1:18">
      <c r="A1251" s="96">
        <v>45099</v>
      </c>
      <c r="B1251" s="101">
        <v>38.409999999999997</v>
      </c>
      <c r="C1251" s="4">
        <f t="shared" si="57"/>
        <v>1.0419380989524695E-3</v>
      </c>
      <c r="D1251" s="4">
        <f>IFERROR(Target1[[#This Row],[Target Return]]+1,"-")</f>
        <v>1.0010419380989524</v>
      </c>
      <c r="E1251" s="6">
        <f>B1251-MAX($B$2:B1251)</f>
        <v>-13.190000000000005</v>
      </c>
      <c r="F1251" s="80">
        <f t="shared" si="58"/>
        <v>724</v>
      </c>
      <c r="G1251" s="77">
        <f>Target1[[#This Row],[Target Drawdown]]/MAX($B$2:B1251)</f>
        <v>-0.25562015503875979</v>
      </c>
      <c r="H1251" s="1" t="str">
        <f>IF(SUM(COUNTIF(Benchmark1[Benchmark '#1 Dates],Target1[[#This Row],[Target Dates]]),COUNTIF(Benchmark2[Benchmark '#2 Dates],Target1[[#This Row],[Target Dates]]))=2,"Pass","Fail")</f>
        <v>Pass</v>
      </c>
      <c r="I1251" s="78">
        <f t="shared" si="59"/>
        <v>-13.190000000000005</v>
      </c>
      <c r="K1251" s="72">
        <f>Target1[[#This Row],[Target Price]]/$B$2*100</f>
        <v>223.44386271087839</v>
      </c>
      <c r="R1251">
        <f>B1252/Target1[[#This Row],[Target Price]]-1</f>
        <v>-2.2650351470971053E-2</v>
      </c>
    </row>
    <row r="1252" spans="1:18">
      <c r="A1252" s="96">
        <v>45100</v>
      </c>
      <c r="B1252" s="101">
        <v>37.54</v>
      </c>
      <c r="C1252" s="4">
        <f t="shared" si="57"/>
        <v>-2.2910811199450619E-2</v>
      </c>
      <c r="D1252" s="4">
        <f>IFERROR(Target1[[#This Row],[Target Return]]+1,"-")</f>
        <v>0.9770891888005494</v>
      </c>
      <c r="E1252" s="6">
        <f>B1252-MAX($B$2:B1252)</f>
        <v>-14.060000000000002</v>
      </c>
      <c r="F1252" s="80">
        <f t="shared" si="58"/>
        <v>725</v>
      </c>
      <c r="G1252" s="77">
        <f>Target1[[#This Row],[Target Drawdown]]/MAX($B$2:B1252)</f>
        <v>-0.27248062015503882</v>
      </c>
      <c r="H1252" s="1" t="str">
        <f>IF(SUM(COUNTIF(Benchmark1[Benchmark '#1 Dates],Target1[[#This Row],[Target Dates]]),COUNTIF(Benchmark2[Benchmark '#2 Dates],Target1[[#This Row],[Target Dates]]))=2,"Pass","Fail")</f>
        <v>Pass</v>
      </c>
      <c r="I1252" s="78">
        <f t="shared" si="59"/>
        <v>-14.060000000000002</v>
      </c>
      <c r="K1252" s="72">
        <f>Target1[[#This Row],[Target Price]]/$B$2*100</f>
        <v>218.38278068644556</v>
      </c>
      <c r="R1252">
        <f>B1253/Target1[[#This Row],[Target Price]]-1</f>
        <v>-7.7250932338838174E-3</v>
      </c>
    </row>
    <row r="1253" spans="1:18">
      <c r="A1253" s="96">
        <v>45103</v>
      </c>
      <c r="B1253" s="101">
        <v>37.25</v>
      </c>
      <c r="C1253" s="4">
        <f t="shared" si="57"/>
        <v>-7.755086332794198E-3</v>
      </c>
      <c r="D1253" s="4">
        <f>IFERROR(Target1[[#This Row],[Target Return]]+1,"-")</f>
        <v>0.9922449136672058</v>
      </c>
      <c r="E1253" s="6">
        <f>B1253-MAX($B$2:B1253)</f>
        <v>-14.350000000000001</v>
      </c>
      <c r="F1253" s="80">
        <f t="shared" si="58"/>
        <v>726</v>
      </c>
      <c r="G1253" s="77">
        <f>Target1[[#This Row],[Target Drawdown]]/MAX($B$2:B1253)</f>
        <v>-0.27810077519379844</v>
      </c>
      <c r="H1253" s="1" t="str">
        <f>IF(SUM(COUNTIF(Benchmark1[Benchmark '#1 Dates],Target1[[#This Row],[Target Dates]]),COUNTIF(Benchmark2[Benchmark '#2 Dates],Target1[[#This Row],[Target Dates]]))=2,"Pass","Fail")</f>
        <v>Pass</v>
      </c>
      <c r="I1253" s="78">
        <f t="shared" si="59"/>
        <v>-14.350000000000001</v>
      </c>
      <c r="K1253" s="72">
        <f>Target1[[#This Row],[Target Price]]/$B$2*100</f>
        <v>216.69575334496801</v>
      </c>
      <c r="R1253">
        <f>B1254/Target1[[#This Row],[Target Price]]-1</f>
        <v>2.6845637583883253E-4</v>
      </c>
    </row>
    <row r="1254" spans="1:18">
      <c r="A1254" s="96">
        <v>45104</v>
      </c>
      <c r="B1254" s="101">
        <v>37.26</v>
      </c>
      <c r="C1254" s="4">
        <f t="shared" si="57"/>
        <v>2.6842034787378198E-4</v>
      </c>
      <c r="D1254" s="4">
        <f>IFERROR(Target1[[#This Row],[Target Return]]+1,"-")</f>
        <v>1.0002684203478738</v>
      </c>
      <c r="E1254" s="6">
        <f>B1254-MAX($B$2:B1254)</f>
        <v>-14.340000000000003</v>
      </c>
      <c r="F1254" s="80">
        <f t="shared" si="58"/>
        <v>727</v>
      </c>
      <c r="G1254" s="77">
        <f>Target1[[#This Row],[Target Drawdown]]/MAX($B$2:B1254)</f>
        <v>-0.27790697674418613</v>
      </c>
      <c r="H1254" s="1" t="str">
        <f>IF(SUM(COUNTIF(Benchmark1[Benchmark '#1 Dates],Target1[[#This Row],[Target Dates]]),COUNTIF(Benchmark2[Benchmark '#2 Dates],Target1[[#This Row],[Target Dates]]))=2,"Pass","Fail")</f>
        <v>Pass</v>
      </c>
      <c r="I1254" s="78">
        <f t="shared" si="59"/>
        <v>-14.340000000000003</v>
      </c>
      <c r="K1254" s="72">
        <f>Target1[[#This Row],[Target Price]]/$B$2*100</f>
        <v>216.75392670157066</v>
      </c>
      <c r="R1254">
        <f>B1255/Target1[[#This Row],[Target Price]]-1</f>
        <v>2.6838432635534204E-3</v>
      </c>
    </row>
    <row r="1255" spans="1:18">
      <c r="A1255" s="96">
        <v>45105</v>
      </c>
      <c r="B1255" s="101">
        <v>37.36</v>
      </c>
      <c r="C1255" s="4">
        <f t="shared" si="57"/>
        <v>2.680248187199486E-3</v>
      </c>
      <c r="D1255" s="4">
        <f>IFERROR(Target1[[#This Row],[Target Return]]+1,"-")</f>
        <v>1.0026802481871995</v>
      </c>
      <c r="E1255" s="6">
        <f>B1255-MAX($B$2:B1255)</f>
        <v>-14.240000000000002</v>
      </c>
      <c r="F1255" s="80">
        <f t="shared" si="58"/>
        <v>728</v>
      </c>
      <c r="G1255" s="77">
        <f>Target1[[#This Row],[Target Drawdown]]/MAX($B$2:B1255)</f>
        <v>-0.27596899224806204</v>
      </c>
      <c r="H1255" s="1" t="str">
        <f>IF(SUM(COUNTIF(Benchmark1[Benchmark '#1 Dates],Target1[[#This Row],[Target Dates]]),COUNTIF(Benchmark2[Benchmark '#2 Dates],Target1[[#This Row],[Target Dates]]))=2,"Pass","Fail")</f>
        <v>Pass</v>
      </c>
      <c r="I1255" s="78">
        <f t="shared" si="59"/>
        <v>-14.240000000000002</v>
      </c>
      <c r="K1255" s="72">
        <f>Target1[[#This Row],[Target Price]]/$B$2*100</f>
        <v>217.3356602675974</v>
      </c>
      <c r="R1255">
        <f>B1256/Target1[[#This Row],[Target Price]]-1</f>
        <v>-1.8736616702355047E-3</v>
      </c>
    </row>
    <row r="1256" spans="1:18">
      <c r="A1256" s="96">
        <v>45106</v>
      </c>
      <c r="B1256" s="101">
        <v>37.29</v>
      </c>
      <c r="C1256" s="4">
        <f t="shared" si="57"/>
        <v>-1.8754191699123944E-3</v>
      </c>
      <c r="D1256" s="4">
        <f>IFERROR(Target1[[#This Row],[Target Return]]+1,"-")</f>
        <v>0.99812458083008759</v>
      </c>
      <c r="E1256" s="6">
        <f>B1256-MAX($B$2:B1259)</f>
        <v>-14.310000000000002</v>
      </c>
      <c r="F1256" s="80">
        <f t="shared" si="58"/>
        <v>729</v>
      </c>
      <c r="G1256" s="77">
        <f>Target1[[#This Row],[Target Drawdown]]/MAX($B$2:B1259)</f>
        <v>-0.27732558139534885</v>
      </c>
      <c r="H1256" s="1" t="str">
        <f>IF(SUM(COUNTIF(Benchmark1[Benchmark '#1 Dates],Target1[[#This Row],[Target Dates]]),COUNTIF(Benchmark2[Benchmark '#2 Dates],Target1[[#This Row],[Target Dates]]))=2,"Pass","Fail")</f>
        <v>Pass</v>
      </c>
      <c r="I1256" s="78">
        <f t="shared" si="59"/>
        <v>-14.310000000000002</v>
      </c>
      <c r="K1256" s="72">
        <f>Target1[[#This Row],[Target Price]]/$B$2*100</f>
        <v>216.9284467713787</v>
      </c>
      <c r="R1256">
        <f>B1260/Target1[[#This Row],[Target Price]]-1</f>
        <v>-1</v>
      </c>
    </row>
    <row r="1257" spans="1:18">
      <c r="A1257" s="96">
        <v>45107</v>
      </c>
      <c r="B1257" s="101">
        <v>37.229999999999997</v>
      </c>
      <c r="C1257" s="4">
        <f t="shared" ref="C1257:C1259" si="60">IFERROR(IF(B1257="","-",LN(B1257/B1256)),"-")</f>
        <v>-1.6103063061040171E-3</v>
      </c>
      <c r="D1257" s="4">
        <f>IFERROR(Target1[[#This Row],[Target Return]]+1,"-")</f>
        <v>0.99838969369389596</v>
      </c>
      <c r="E1257" s="6">
        <f>B1257-MAX($B$2:B1257)</f>
        <v>-14.370000000000005</v>
      </c>
      <c r="F1257" s="80">
        <f t="shared" ref="F1257:F1259" si="61">IF(E1257=0,0,F1256+1)</f>
        <v>730</v>
      </c>
      <c r="G1257" s="77">
        <f>Target1[[#This Row],[Target Drawdown]]/MAX($B$2:B1257)</f>
        <v>-0.27848837209302335</v>
      </c>
      <c r="H1257" s="1" t="str">
        <f>IF(SUM(COUNTIF(Benchmark1[Benchmark '#1 Dates],Target1[[#This Row],[Target Dates]]),COUNTIF(Benchmark2[Benchmark '#2 Dates],Target1[[#This Row],[Target Dates]]))=2,"Pass","Fail")</f>
        <v>Pass</v>
      </c>
      <c r="I1257" s="78">
        <f t="shared" ref="I1257:I1259" si="62">$E$2+E1257</f>
        <v>-14.370000000000005</v>
      </c>
    </row>
    <row r="1258" spans="1:18">
      <c r="A1258" s="96">
        <v>45110</v>
      </c>
      <c r="B1258" s="101">
        <v>37.229999999999997</v>
      </c>
      <c r="C1258" s="4">
        <f t="shared" si="60"/>
        <v>0</v>
      </c>
      <c r="D1258" s="4">
        <f>IFERROR(Target1[[#This Row],[Target Return]]+1,"-")</f>
        <v>1</v>
      </c>
      <c r="E1258" s="6">
        <f>B1258-MAX($B$2:B1258)</f>
        <v>-14.370000000000005</v>
      </c>
      <c r="F1258" s="80">
        <f t="shared" si="61"/>
        <v>731</v>
      </c>
      <c r="G1258" s="77">
        <f>Target1[[#This Row],[Target Drawdown]]/MAX($B$2:B1258)</f>
        <v>-0.27848837209302335</v>
      </c>
      <c r="H1258" s="1" t="str">
        <f>IF(SUM(COUNTIF(Benchmark1[Benchmark '#1 Dates],Target1[[#This Row],[Target Dates]]),COUNTIF(Benchmark2[Benchmark '#2 Dates],Target1[[#This Row],[Target Dates]]))=2,"Pass","Fail")</f>
        <v>Pass</v>
      </c>
      <c r="I1258" s="78">
        <f t="shared" si="62"/>
        <v>-14.370000000000005</v>
      </c>
    </row>
    <row r="1259" spans="1:18">
      <c r="A1259" s="96"/>
      <c r="B1259" s="101"/>
      <c r="C1259" s="4" t="str">
        <f t="shared" si="60"/>
        <v>-</v>
      </c>
      <c r="D1259" s="4" t="str">
        <f>IFERROR(Target1[[#This Row],[Target Return]]+1,"-")</f>
        <v>-</v>
      </c>
      <c r="E1259" s="6">
        <f>B1259-MAX($B$2:B1259)</f>
        <v>-51.6</v>
      </c>
      <c r="F1259" s="80">
        <f t="shared" si="61"/>
        <v>732</v>
      </c>
      <c r="G1259" s="77">
        <f>Target1[[#This Row],[Target Drawdown]]/MAX($B$2:B1259)</f>
        <v>-1</v>
      </c>
      <c r="H1259" s="1" t="str">
        <f>IF(SUM(COUNTIF(Benchmark1[Benchmark '#1 Dates],Target1[[#This Row],[Target Dates]]),COUNTIF(Benchmark2[Benchmark '#2 Dates],Target1[[#This Row],[Target Dates]]))=2,"Pass","Fail")</f>
        <v>Fail</v>
      </c>
      <c r="I1259" s="78">
        <f t="shared" si="62"/>
        <v>-51.6</v>
      </c>
    </row>
  </sheetData>
  <phoneticPr fontId="1" type="noConversion"/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5E1E25-FBFD-4FB5-83EC-3B0CB0E781B6}">
  <sheetPr codeName="Sheet5">
    <tabColor theme="1"/>
  </sheetPr>
  <dimension ref="A1:S1259"/>
  <sheetViews>
    <sheetView zoomScale="85" zoomScaleNormal="85" workbookViewId="0">
      <pane ySplit="1" topLeftCell="A2" activePane="bottomLeft" state="frozen"/>
      <selection pane="bottomLeft" activeCell="C21" sqref="C21"/>
    </sheetView>
  </sheetViews>
  <sheetFormatPr defaultColWidth="8.85546875" defaultRowHeight="15"/>
  <cols>
    <col min="1" max="1" width="15.42578125" bestFit="1" customWidth="1"/>
    <col min="2" max="2" width="15" bestFit="1" customWidth="1"/>
    <col min="3" max="4" width="16" bestFit="1" customWidth="1"/>
    <col min="5" max="5" width="16.42578125" bestFit="1" customWidth="1"/>
    <col min="6" max="6" width="15.140625" customWidth="1"/>
    <col min="7" max="7" width="27.42578125" bestFit="1" customWidth="1"/>
    <col min="8" max="8" width="18.42578125" bestFit="1" customWidth="1"/>
    <col min="9" max="9" width="15.140625" bestFit="1" customWidth="1"/>
    <col min="10" max="10" width="19.42578125" bestFit="1" customWidth="1"/>
    <col min="11" max="11" width="32" bestFit="1" customWidth="1"/>
    <col min="12" max="12" width="18.42578125" bestFit="1" customWidth="1"/>
    <col min="13" max="13" width="15.140625" bestFit="1" customWidth="1"/>
    <col min="14" max="14" width="19.42578125" bestFit="1" customWidth="1"/>
    <col min="15" max="15" width="32" bestFit="1" customWidth="1"/>
    <col min="16" max="16" width="18.42578125" bestFit="1" customWidth="1"/>
    <col min="17" max="17" width="15.140625" bestFit="1" customWidth="1"/>
    <col min="18" max="18" width="16.42578125" bestFit="1" customWidth="1"/>
    <col min="19" max="19" width="32" bestFit="1" customWidth="1"/>
  </cols>
  <sheetData>
    <row r="1" spans="1:19" s="2" customFormat="1" ht="36" customHeight="1">
      <c r="A1" s="3" t="s">
        <v>69</v>
      </c>
      <c r="B1" s="2" t="s">
        <v>70</v>
      </c>
      <c r="C1" s="7" t="s">
        <v>71</v>
      </c>
      <c r="D1" s="7" t="s">
        <v>66</v>
      </c>
      <c r="E1" s="7" t="s">
        <v>60</v>
      </c>
      <c r="F1" s="7" t="s">
        <v>61</v>
      </c>
      <c r="G1" s="7" t="s">
        <v>72</v>
      </c>
      <c r="H1" s="7" t="s">
        <v>73</v>
      </c>
      <c r="I1" s="7" t="s">
        <v>74</v>
      </c>
      <c r="J1" s="7" t="s">
        <v>75</v>
      </c>
      <c r="K1" s="7" t="s">
        <v>76</v>
      </c>
      <c r="L1" s="7" t="s">
        <v>77</v>
      </c>
      <c r="M1" s="7" t="s">
        <v>78</v>
      </c>
      <c r="N1" s="7" t="s">
        <v>79</v>
      </c>
      <c r="O1" s="7" t="s">
        <v>80</v>
      </c>
      <c r="P1" s="7" t="s">
        <v>81</v>
      </c>
      <c r="Q1" s="7" t="s">
        <v>82</v>
      </c>
      <c r="R1" s="7" t="s">
        <v>83</v>
      </c>
      <c r="S1" s="7" t="s">
        <v>84</v>
      </c>
    </row>
    <row r="2" spans="1:19">
      <c r="A2" s="103">
        <v>43286</v>
      </c>
      <c r="B2" s="104">
        <v>2736.6125712280145</v>
      </c>
      <c r="C2" s="4" t="str">
        <f t="shared" ref="C2:C65" si="0">IFERROR(IF(B2="","-",LN(B2/B1)),"-")</f>
        <v>-</v>
      </c>
      <c r="D2" s="1" t="str">
        <f>IF(COUNTIF(Target1[Target Dates],Benchmark1[[#This Row],[Benchmark '#1 Dates]])=1,"Pass","Fail")</f>
        <v>Pass</v>
      </c>
      <c r="E2" s="6">
        <f>IF(Benchmark1[[#This Row],[Target Date Check]]="Pass",INDEX(Target1[Target Price],MATCH(Benchmark1[[#This Row],[Benchmark '#1 Dates]],Target1[Target Dates],0)),"-")</f>
        <v>17.190000000000001</v>
      </c>
      <c r="F2" s="22" t="str">
        <f>IF(Benchmark1[[#This Row],[Target Date Check]]="Pass",INDEX(Target1[Target Return],MATCH(Benchmark1[[#This Row],[Benchmark '#1 Dates]],Target1[Target Dates],0)),"-")</f>
        <v>-</v>
      </c>
      <c r="G2" s="1" t="str">
        <f>IFERROR(IF(Benchmark1[[#This Row],[Target Date Check]]="Pass",Benchmark1[[#This Row],[Target Return]]-Benchmark1[[#This Row],[Benchmark '#1 Return]],"-"),"-")</f>
        <v>-</v>
      </c>
      <c r="H2" s="1" t="str">
        <f>IF(COUNTIF(Comp1[Comparable '#1 Dates],Benchmark1[[#This Row],[Benchmark '#1 Dates]])=1,"Pass","Fail")</f>
        <v>Pass</v>
      </c>
      <c r="I2" s="6">
        <f>IF(Benchmark1[[#This Row],[Comparable '#1 Date Check]]="Pass",INDEX(Comp1[Comparable '#1 Price],MATCH(Benchmark1[[#This Row],[Benchmark '#1 Dates]],Comp1[Comparable '#1 Dates],0)),"-")</f>
        <v>14.61</v>
      </c>
      <c r="J2" s="22" t="str">
        <f>IF(Benchmark1[[#This Row],[Comparable '#1 Date Check]]="Pass",INDEX(Comp1[Comparable '#1 Return],MATCH(Benchmark1[[#This Row],[Benchmark '#1 Dates]],Comp1[Comparable '#1 Dates],0)),"-")</f>
        <v>-</v>
      </c>
      <c r="K2" s="1" t="str">
        <f>IFERROR(IF(Benchmark1[[#This Row],[Comparable '#1 Date Check]]="Pass",Benchmark1[[#This Row],[Comparable '#1 Return]]-Benchmark1[[#This Row],[Benchmark '#1 Return]],"-"),"-")</f>
        <v>-</v>
      </c>
      <c r="L2" s="1" t="str">
        <f>IF(COUNTIF(Comp2[Comparable '#2 Dates],Benchmark1[[#This Row],[Benchmark '#1 Dates]])=1,"Pass","Fail")</f>
        <v>Pass</v>
      </c>
      <c r="M2" s="6">
        <f>IF(Benchmark1[[#This Row],[Comparable '#2 Date Check]]="Pass",INDEX(Comp2[Comparable '#2 Price],MATCH(Benchmark1[[#This Row],[Benchmark '#1 Dates]],Comp2[Comparable '#2 Dates],0)),"-")</f>
        <v>49.7</v>
      </c>
      <c r="N2" s="22" t="str">
        <f>IF(Benchmark1[[#This Row],[Comparable '#2 Date Check]]="Pass",INDEX(Comp2[Comparable '#2 Return],MATCH(Benchmark1[[#This Row],[Benchmark '#1 Dates]],Comp2[Comparable '#2 Dates],0)),"-")</f>
        <v>-</v>
      </c>
      <c r="O2" s="1" t="str">
        <f>IFERROR(IF(Benchmark1[[#This Row],[Comparable '#2 Date Check]]="Pass",Benchmark1[[#This Row],[Comparable '#2 Return]]-Benchmark1[[#This Row],[Benchmark '#1 Return]],"-"),"-")</f>
        <v>-</v>
      </c>
      <c r="P2" s="1" t="str">
        <f>IF(COUNTIF(Comp3[Comparable '#3 Dates],Benchmark1[[#This Row],[Benchmark '#1 Dates]])=1,"Pass","Fail")</f>
        <v>Pass</v>
      </c>
      <c r="Q2" s="6">
        <f>IF(Benchmark1[[#This Row],[Comparable '#3 Date Check]]="Pass",INDEX(Comp3[Comparable '#3 Price],MATCH(Benchmark1[[#This Row],[Benchmark '#1 Dates]],Comp3[Comparable '#3 Dates],0)),"-")</f>
        <v>117.21</v>
      </c>
      <c r="R2" s="22" t="str">
        <f>IF(Benchmark1[[#This Row],[Comparable '#3 Date Check]]="Pass",INDEX(Comp3[Comparable '#3 Return],MATCH(Benchmark1[[#This Row],[Benchmark '#1 Dates]],Comp3[Comparable '#3 Dates],0)),"-")</f>
        <v>-</v>
      </c>
      <c r="S2" s="1" t="str">
        <f>IFERROR(IF(Benchmark1[[#This Row],[Comparable '#3 Date Check]]="Pass",Benchmark1[[#This Row],[Comparable '#3 Return]]-Benchmark1[[#This Row],[Benchmark '#1 Return]],"-"),"-")</f>
        <v>-</v>
      </c>
    </row>
    <row r="3" spans="1:19">
      <c r="A3" s="103">
        <v>43287</v>
      </c>
      <c r="B3" s="104">
        <v>2759.8219158251495</v>
      </c>
      <c r="C3" s="4">
        <f t="shared" si="0"/>
        <v>8.4452867028829461E-3</v>
      </c>
      <c r="D3" s="1" t="str">
        <f>IF(COUNTIF(Target1[Target Dates],Benchmark1[[#This Row],[Benchmark '#1 Dates]])=1,"Pass","Fail")</f>
        <v>Pass</v>
      </c>
      <c r="E3" s="6">
        <f>IF(Benchmark1[[#This Row],[Target Date Check]]="Pass",INDEX(Target1[Target Price],MATCH(Benchmark1[[#This Row],[Benchmark '#1 Dates]],Target1[Target Dates],0)),"-")</f>
        <v>17.38</v>
      </c>
      <c r="F3" s="22">
        <f>IF(Benchmark1[[#This Row],[Target Date Check]]="Pass",INDEX(Target1[Target Return],MATCH(Benchmark1[[#This Row],[Benchmark '#1 Dates]],Target1[Target Dates],0)),"-")</f>
        <v>1.0992300442487987E-2</v>
      </c>
      <c r="G3" s="1">
        <f>IFERROR(IF(Benchmark1[[#This Row],[Target Date Check]]="Pass",Benchmark1[[#This Row],[Target Return]]-Benchmark1[[#This Row],[Benchmark '#1 Return]],"-"),"-")</f>
        <v>2.5470137396050412E-3</v>
      </c>
      <c r="H3" s="1" t="str">
        <f>IF(COUNTIF(Comp1[Comparable '#1 Dates],Benchmark1[[#This Row],[Benchmark '#1 Dates]])=1,"Pass","Fail")</f>
        <v>Pass</v>
      </c>
      <c r="I3" s="6">
        <f>IF(Benchmark1[[#This Row],[Comparable '#1 Date Check]]="Pass",INDEX(Comp1[Comparable '#1 Price],MATCH(Benchmark1[[#This Row],[Benchmark '#1 Dates]],Comp1[Comparable '#1 Dates],0)),"-")</f>
        <v>14.86</v>
      </c>
      <c r="J3" s="22">
        <f>IF(Benchmark1[[#This Row],[Comparable '#1 Date Check]]="Pass",INDEX(Comp1[Comparable '#1 Return],MATCH(Benchmark1[[#This Row],[Benchmark '#1 Dates]],Comp1[Comparable '#1 Dates],0)),"-")</f>
        <v>1.6966813527005006E-2</v>
      </c>
      <c r="K3" s="1">
        <f>IFERROR(IF(Benchmark1[[#This Row],[Comparable '#1 Date Check]]="Pass",Benchmark1[[#This Row],[Comparable '#1 Return]]-Benchmark1[[#This Row],[Benchmark '#1 Return]],"-"),"-")</f>
        <v>8.5215268241220603E-3</v>
      </c>
      <c r="L3" s="1" t="str">
        <f>IF(COUNTIF(Comp2[Comparable '#2 Dates],Benchmark1[[#This Row],[Benchmark '#1 Dates]])=1,"Pass","Fail")</f>
        <v>Pass</v>
      </c>
      <c r="M3" s="6">
        <f>IF(Benchmark1[[#This Row],[Comparable '#2 Date Check]]="Pass",INDEX(Comp2[Comparable '#2 Price],MATCH(Benchmark1[[#This Row],[Benchmark '#1 Dates]],Comp2[Comparable '#2 Dates],0)),"-")</f>
        <v>50.65</v>
      </c>
      <c r="N3" s="22">
        <f>IF(Benchmark1[[#This Row],[Comparable '#2 Date Check]]="Pass",INDEX(Comp2[Comparable '#2 Return],MATCH(Benchmark1[[#This Row],[Benchmark '#1 Dates]],Comp2[Comparable '#2 Dates],0)),"-")</f>
        <v>1.8934297592109194E-2</v>
      </c>
      <c r="O3" s="1">
        <f>IFERROR(IF(Benchmark1[[#This Row],[Comparable '#2 Date Check]]="Pass",Benchmark1[[#This Row],[Comparable '#2 Return]]-Benchmark1[[#This Row],[Benchmark '#1 Return]],"-"),"-")</f>
        <v>1.0489010889226248E-2</v>
      </c>
      <c r="P3" s="1" t="str">
        <f>IF(COUNTIF(Comp3[Comparable '#3 Dates],Benchmark1[[#This Row],[Benchmark '#1 Dates]])=1,"Pass","Fail")</f>
        <v>Pass</v>
      </c>
      <c r="Q3" s="6">
        <f>IF(Benchmark1[[#This Row],[Comparable '#3 Date Check]]="Pass",INDEX(Comp3[Comparable '#3 Price],MATCH(Benchmark1[[#This Row],[Benchmark '#1 Dates]],Comp3[Comparable '#3 Dates],0)),"-")</f>
        <v>118.4</v>
      </c>
      <c r="R3" s="22">
        <f>IF(Benchmark1[[#This Row],[Comparable '#3 Date Check]]="Pass",INDEX(Comp3[Comparable '#3 Return],MATCH(Benchmark1[[#This Row],[Benchmark '#1 Dates]],Comp3[Comparable '#3 Dates],0)),"-")</f>
        <v>1.0101524714816462E-2</v>
      </c>
      <c r="S3" s="1">
        <f>IFERROR(IF(Benchmark1[[#This Row],[Comparable '#3 Date Check]]="Pass",Benchmark1[[#This Row],[Comparable '#3 Return]]-Benchmark1[[#This Row],[Benchmark '#1 Return]],"-"),"-")</f>
        <v>1.6562380119335158E-3</v>
      </c>
    </row>
    <row r="4" spans="1:19">
      <c r="A4" s="103">
        <v>43290</v>
      </c>
      <c r="B4" s="104">
        <v>2784.1732403668752</v>
      </c>
      <c r="C4" s="4">
        <f t="shared" si="0"/>
        <v>8.784813283832401E-3</v>
      </c>
      <c r="D4" s="1" t="str">
        <f>IF(COUNTIF(Target1[Target Dates],Benchmark1[[#This Row],[Benchmark '#1 Dates]])=1,"Pass","Fail")</f>
        <v>Pass</v>
      </c>
      <c r="E4" s="6">
        <f>IF(Benchmark1[[#This Row],[Target Date Check]]="Pass",INDEX(Target1[Target Price],MATCH(Benchmark1[[#This Row],[Benchmark '#1 Dates]],Target1[Target Dates],0)),"-")</f>
        <v>17.86</v>
      </c>
      <c r="F4" s="22">
        <f>IF(Benchmark1[[#This Row],[Target Date Check]]="Pass",INDEX(Target1[Target Return],MATCH(Benchmark1[[#This Row],[Benchmark '#1 Dates]],Target1[Target Dates],0)),"-")</f>
        <v>2.7243455611107033E-2</v>
      </c>
      <c r="G4" s="1">
        <f>IFERROR(IF(Benchmark1[[#This Row],[Target Date Check]]="Pass",Benchmark1[[#This Row],[Target Return]]-Benchmark1[[#This Row],[Benchmark '#1 Return]],"-"),"-")</f>
        <v>1.8458642327274632E-2</v>
      </c>
      <c r="H4" s="1" t="str">
        <f>IF(COUNTIF(Comp1[Comparable '#1 Dates],Benchmark1[[#This Row],[Benchmark '#1 Dates]])=1,"Pass","Fail")</f>
        <v>Pass</v>
      </c>
      <c r="I4" s="6">
        <f>IF(Benchmark1[[#This Row],[Comparable '#1 Date Check]]="Pass",INDEX(Comp1[Comparable '#1 Price],MATCH(Benchmark1[[#This Row],[Benchmark '#1 Dates]],Comp1[Comparable '#1 Dates],0)),"-")</f>
        <v>15.19</v>
      </c>
      <c r="J4" s="22">
        <f>IF(Benchmark1[[#This Row],[Comparable '#1 Date Check]]="Pass",INDEX(Comp1[Comparable '#1 Return],MATCH(Benchmark1[[#This Row],[Benchmark '#1 Dates]],Comp1[Comparable '#1 Dates],0)),"-")</f>
        <v>2.1964277318068475E-2</v>
      </c>
      <c r="K4" s="1">
        <f>IFERROR(IF(Benchmark1[[#This Row],[Comparable '#1 Date Check]]="Pass",Benchmark1[[#This Row],[Comparable '#1 Return]]-Benchmark1[[#This Row],[Benchmark '#1 Return]],"-"),"-")</f>
        <v>1.3179464034236074E-2</v>
      </c>
      <c r="L4" s="1" t="str">
        <f>IF(COUNTIF(Comp2[Comparable '#2 Dates],Benchmark1[[#This Row],[Benchmark '#1 Dates]])=1,"Pass","Fail")</f>
        <v>Pass</v>
      </c>
      <c r="M4" s="6">
        <f>IF(Benchmark1[[#This Row],[Comparable '#2 Date Check]]="Pass",INDEX(Comp2[Comparable '#2 Price],MATCH(Benchmark1[[#This Row],[Benchmark '#1 Dates]],Comp2[Comparable '#2 Dates],0)),"-")</f>
        <v>51.5</v>
      </c>
      <c r="N4" s="22">
        <f>IF(Benchmark1[[#This Row],[Comparable '#2 Date Check]]="Pass",INDEX(Comp2[Comparable '#2 Return],MATCH(Benchmark1[[#This Row],[Benchmark '#1 Dates]],Comp2[Comparable '#2 Dates],0)),"-")</f>
        <v>1.6642576974998092E-2</v>
      </c>
      <c r="O4" s="1">
        <f>IFERROR(IF(Benchmark1[[#This Row],[Comparable '#2 Date Check]]="Pass",Benchmark1[[#This Row],[Comparable '#2 Return]]-Benchmark1[[#This Row],[Benchmark '#1 Return]],"-"),"-")</f>
        <v>7.8577636911656909E-3</v>
      </c>
      <c r="P4" s="1" t="str">
        <f>IF(COUNTIF(Comp3[Comparable '#3 Dates],Benchmark1[[#This Row],[Benchmark '#1 Dates]])=1,"Pass","Fail")</f>
        <v>Pass</v>
      </c>
      <c r="Q4" s="6">
        <f>IF(Benchmark1[[#This Row],[Comparable '#3 Date Check]]="Pass",INDEX(Comp3[Comparable '#3 Price],MATCH(Benchmark1[[#This Row],[Benchmark '#1 Dates]],Comp3[Comparable '#3 Dates],0)),"-")</f>
        <v>118.33</v>
      </c>
      <c r="R4" s="22">
        <f>IF(Benchmark1[[#This Row],[Comparable '#3 Date Check]]="Pass",INDEX(Comp3[Comparable '#3 Return],MATCH(Benchmark1[[#This Row],[Benchmark '#1 Dates]],Comp3[Comparable '#3 Dates],0)),"-")</f>
        <v>-5.9139105343789444E-4</v>
      </c>
      <c r="S4" s="1">
        <f>IFERROR(IF(Benchmark1[[#This Row],[Comparable '#3 Date Check]]="Pass",Benchmark1[[#This Row],[Comparable '#3 Return]]-Benchmark1[[#This Row],[Benchmark '#1 Return]],"-"),"-")</f>
        <v>-9.3762043372702959E-3</v>
      </c>
    </row>
    <row r="5" spans="1:19">
      <c r="A5" s="103">
        <v>43291</v>
      </c>
      <c r="B5" s="104">
        <v>2793.8391511654445</v>
      </c>
      <c r="C5" s="4">
        <f t="shared" si="0"/>
        <v>3.4657221228826928E-3</v>
      </c>
      <c r="D5" s="1" t="str">
        <f>IF(COUNTIF(Target1[Target Dates],Benchmark1[[#This Row],[Benchmark '#1 Dates]])=1,"Pass","Fail")</f>
        <v>Pass</v>
      </c>
      <c r="E5" s="6">
        <f>IF(Benchmark1[[#This Row],[Target Date Check]]="Pass",INDEX(Target1[Target Price],MATCH(Benchmark1[[#This Row],[Benchmark '#1 Dates]],Target1[Target Dates],0)),"-")</f>
        <v>17.87</v>
      </c>
      <c r="F5" s="22">
        <f>IF(Benchmark1[[#This Row],[Target Date Check]]="Pass",INDEX(Target1[Target Return],MATCH(Benchmark1[[#This Row],[Benchmark '#1 Dates]],Target1[Target Dates],0)),"-")</f>
        <v>5.597537229838751E-4</v>
      </c>
      <c r="G5" s="1">
        <f>IFERROR(IF(Benchmark1[[#This Row],[Target Date Check]]="Pass",Benchmark1[[#This Row],[Target Return]]-Benchmark1[[#This Row],[Benchmark '#1 Return]],"-"),"-")</f>
        <v>-2.9059683998988177E-3</v>
      </c>
      <c r="H5" s="1" t="str">
        <f>IF(COUNTIF(Comp1[Comparable '#1 Dates],Benchmark1[[#This Row],[Benchmark '#1 Dates]])=1,"Pass","Fail")</f>
        <v>Pass</v>
      </c>
      <c r="I5" s="6">
        <f>IF(Benchmark1[[#This Row],[Comparable '#1 Date Check]]="Pass",INDEX(Comp1[Comparable '#1 Price],MATCH(Benchmark1[[#This Row],[Benchmark '#1 Dates]],Comp1[Comparable '#1 Dates],0)),"-")</f>
        <v>15.32</v>
      </c>
      <c r="J5" s="22">
        <f>IF(Benchmark1[[#This Row],[Comparable '#1 Date Check]]="Pass",INDEX(Comp1[Comparable '#1 Return],MATCH(Benchmark1[[#This Row],[Benchmark '#1 Dates]],Comp1[Comparable '#1 Dates],0)),"-")</f>
        <v>8.5218477047638262E-3</v>
      </c>
      <c r="K5" s="1">
        <f>IFERROR(IF(Benchmark1[[#This Row],[Comparable '#1 Date Check]]="Pass",Benchmark1[[#This Row],[Comparable '#1 Return]]-Benchmark1[[#This Row],[Benchmark '#1 Return]],"-"),"-")</f>
        <v>5.0561255818811334E-3</v>
      </c>
      <c r="L5" s="1" t="str">
        <f>IF(COUNTIF(Comp2[Comparable '#2 Dates],Benchmark1[[#This Row],[Benchmark '#1 Dates]])=1,"Pass","Fail")</f>
        <v>Pass</v>
      </c>
      <c r="M5" s="6">
        <f>IF(Benchmark1[[#This Row],[Comparable '#2 Date Check]]="Pass",INDEX(Comp2[Comparable '#2 Price],MATCH(Benchmark1[[#This Row],[Benchmark '#1 Dates]],Comp2[Comparable '#2 Dates],0)),"-")</f>
        <v>51.9</v>
      </c>
      <c r="N5" s="22">
        <f>IF(Benchmark1[[#This Row],[Comparable '#2 Date Check]]="Pass",INDEX(Comp2[Comparable '#2 Return],MATCH(Benchmark1[[#This Row],[Benchmark '#1 Dates]],Comp2[Comparable '#2 Dates],0)),"-")</f>
        <v>7.7369825021524011E-3</v>
      </c>
      <c r="O5" s="1">
        <f>IFERROR(IF(Benchmark1[[#This Row],[Comparable '#2 Date Check]]="Pass",Benchmark1[[#This Row],[Comparable '#2 Return]]-Benchmark1[[#This Row],[Benchmark '#1 Return]],"-"),"-")</f>
        <v>4.2712603792697083E-3</v>
      </c>
      <c r="P5" s="1" t="str">
        <f>IF(COUNTIF(Comp3[Comparable '#3 Dates],Benchmark1[[#This Row],[Benchmark '#1 Dates]])=1,"Pass","Fail")</f>
        <v>Pass</v>
      </c>
      <c r="Q5" s="6">
        <f>IF(Benchmark1[[#This Row],[Comparable '#3 Date Check]]="Pass",INDEX(Comp3[Comparable '#3 Price],MATCH(Benchmark1[[#This Row],[Benchmark '#1 Dates]],Comp3[Comparable '#3 Dates],0)),"-")</f>
        <v>119.24</v>
      </c>
      <c r="R5" s="22">
        <f>IF(Benchmark1[[#This Row],[Comparable '#3 Date Check]]="Pass",INDEX(Comp3[Comparable '#3 Return],MATCH(Benchmark1[[#This Row],[Benchmark '#1 Dates]],Comp3[Comparable '#3 Dates],0)),"-")</f>
        <v>7.6609374134031351E-3</v>
      </c>
      <c r="S5" s="1">
        <f>IFERROR(IF(Benchmark1[[#This Row],[Comparable '#3 Date Check]]="Pass",Benchmark1[[#This Row],[Comparable '#3 Return]]-Benchmark1[[#This Row],[Benchmark '#1 Return]],"-"),"-")</f>
        <v>4.1952152905204423E-3</v>
      </c>
    </row>
    <row r="6" spans="1:19">
      <c r="A6" s="103">
        <v>43292</v>
      </c>
      <c r="B6" s="104">
        <v>2774.0174783795537</v>
      </c>
      <c r="C6" s="4">
        <f t="shared" si="0"/>
        <v>-7.1200671438037839E-3</v>
      </c>
      <c r="D6" s="1" t="str">
        <f>IF(COUNTIF(Target1[Target Dates],Benchmark1[[#This Row],[Benchmark '#1 Dates]])=1,"Pass","Fail")</f>
        <v>Pass</v>
      </c>
      <c r="E6" s="6">
        <f>IF(Benchmark1[[#This Row],[Target Date Check]]="Pass",INDEX(Target1[Target Price],MATCH(Benchmark1[[#This Row],[Benchmark '#1 Dates]],Target1[Target Dates],0)),"-")</f>
        <v>17.95</v>
      </c>
      <c r="F6" s="22">
        <f>IF(Benchmark1[[#This Row],[Target Date Check]]="Pass",INDEX(Target1[Target Return],MATCH(Benchmark1[[#This Row],[Benchmark '#1 Dates]],Target1[Target Dates],0)),"-")</f>
        <v>4.4667857629511216E-3</v>
      </c>
      <c r="G6" s="1">
        <f>IFERROR(IF(Benchmark1[[#This Row],[Target Date Check]]="Pass",Benchmark1[[#This Row],[Target Return]]-Benchmark1[[#This Row],[Benchmark '#1 Return]],"-"),"-")</f>
        <v>1.1586852906754905E-2</v>
      </c>
      <c r="H6" s="1" t="str">
        <f>IF(COUNTIF(Comp1[Comparable '#1 Dates],Benchmark1[[#This Row],[Benchmark '#1 Dates]])=1,"Pass","Fail")</f>
        <v>Pass</v>
      </c>
      <c r="I6" s="6">
        <f>IF(Benchmark1[[#This Row],[Comparable '#1 Date Check]]="Pass",INDEX(Comp1[Comparable '#1 Price],MATCH(Benchmark1[[#This Row],[Benchmark '#1 Dates]],Comp1[Comparable '#1 Dates],0)),"-")</f>
        <v>15.27</v>
      </c>
      <c r="J6" s="22">
        <f>IF(Benchmark1[[#This Row],[Comparable '#1 Date Check]]="Pass",INDEX(Comp1[Comparable '#1 Return],MATCH(Benchmark1[[#This Row],[Benchmark '#1 Dates]],Comp1[Comparable '#1 Dates],0)),"-")</f>
        <v>-3.2690450819042186E-3</v>
      </c>
      <c r="K6" s="1">
        <f>IFERROR(IF(Benchmark1[[#This Row],[Comparable '#1 Date Check]]="Pass",Benchmark1[[#This Row],[Comparable '#1 Return]]-Benchmark1[[#This Row],[Benchmark '#1 Return]],"-"),"-")</f>
        <v>3.8510220618995653E-3</v>
      </c>
      <c r="L6" s="1" t="str">
        <f>IF(COUNTIF(Comp2[Comparable '#2 Dates],Benchmark1[[#This Row],[Benchmark '#1 Dates]])=1,"Pass","Fail")</f>
        <v>Pass</v>
      </c>
      <c r="M6" s="6">
        <f>IF(Benchmark1[[#This Row],[Comparable '#2 Date Check]]="Pass",INDEX(Comp2[Comparable '#2 Price],MATCH(Benchmark1[[#This Row],[Benchmark '#1 Dates]],Comp2[Comparable '#2 Dates],0)),"-")</f>
        <v>52.5</v>
      </c>
      <c r="N6" s="22">
        <f>IF(Benchmark1[[#This Row],[Comparable '#2 Date Check]]="Pass",INDEX(Comp2[Comparable '#2 Return],MATCH(Benchmark1[[#This Row],[Benchmark '#1 Dates]],Comp2[Comparable '#2 Dates],0)),"-")</f>
        <v>1.1494379425735212E-2</v>
      </c>
      <c r="O6" s="1">
        <f>IFERROR(IF(Benchmark1[[#This Row],[Comparable '#2 Date Check]]="Pass",Benchmark1[[#This Row],[Comparable '#2 Return]]-Benchmark1[[#This Row],[Benchmark '#1 Return]],"-"),"-")</f>
        <v>1.8614446569538996E-2</v>
      </c>
      <c r="P6" s="1" t="str">
        <f>IF(COUNTIF(Comp3[Comparable '#3 Dates],Benchmark1[[#This Row],[Benchmark '#1 Dates]])=1,"Pass","Fail")</f>
        <v>Pass</v>
      </c>
      <c r="Q6" s="6">
        <f>IF(Benchmark1[[#This Row],[Comparable '#3 Date Check]]="Pass",INDEX(Comp3[Comparable '#3 Price],MATCH(Benchmark1[[#This Row],[Benchmark '#1 Dates]],Comp3[Comparable '#3 Dates],0)),"-")</f>
        <v>119.68</v>
      </c>
      <c r="R6" s="22">
        <f>IF(Benchmark1[[#This Row],[Comparable '#3 Date Check]]="Pass",INDEX(Comp3[Comparable '#3 Return],MATCH(Benchmark1[[#This Row],[Benchmark '#1 Dates]],Comp3[Comparable '#3 Dates],0)),"-")</f>
        <v>3.6832454162965891E-3</v>
      </c>
      <c r="S6" s="1">
        <f>IFERROR(IF(Benchmark1[[#This Row],[Comparable '#3 Date Check]]="Pass",Benchmark1[[#This Row],[Comparable '#3 Return]]-Benchmark1[[#This Row],[Benchmark '#1 Return]],"-"),"-")</f>
        <v>1.0803312560100373E-2</v>
      </c>
    </row>
    <row r="7" spans="1:19">
      <c r="A7" s="103">
        <v>43293</v>
      </c>
      <c r="B7" s="104">
        <v>2798.2869223868975</v>
      </c>
      <c r="C7" s="4">
        <f t="shared" si="0"/>
        <v>8.7107938551986685E-3</v>
      </c>
      <c r="D7" s="1" t="str">
        <f>IF(COUNTIF(Target1[Target Dates],Benchmark1[[#This Row],[Benchmark '#1 Dates]])=1,"Pass","Fail")</f>
        <v>Pass</v>
      </c>
      <c r="E7" s="6">
        <f>IF(Benchmark1[[#This Row],[Target Date Check]]="Pass",INDEX(Target1[Target Price],MATCH(Benchmark1[[#This Row],[Benchmark '#1 Dates]],Target1[Target Dates],0)),"-")</f>
        <v>17.98</v>
      </c>
      <c r="F7" s="22">
        <f>IF(Benchmark1[[#This Row],[Target Date Check]]="Pass",INDEX(Target1[Target Return],MATCH(Benchmark1[[#This Row],[Benchmark '#1 Dates]],Target1[Target Dates],0)),"-")</f>
        <v>1.6699141091864871E-3</v>
      </c>
      <c r="G7" s="1">
        <f>IFERROR(IF(Benchmark1[[#This Row],[Target Date Check]]="Pass",Benchmark1[[#This Row],[Target Return]]-Benchmark1[[#This Row],[Benchmark '#1 Return]],"-"),"-")</f>
        <v>-7.0408797460121816E-3</v>
      </c>
      <c r="H7" s="1" t="str">
        <f>IF(COUNTIF(Comp1[Comparable '#1 Dates],Benchmark1[[#This Row],[Benchmark '#1 Dates]])=1,"Pass","Fail")</f>
        <v>Pass</v>
      </c>
      <c r="I7" s="6">
        <f>IF(Benchmark1[[#This Row],[Comparable '#1 Date Check]]="Pass",INDEX(Comp1[Comparable '#1 Price],MATCH(Benchmark1[[#This Row],[Benchmark '#1 Dates]],Comp1[Comparable '#1 Dates],0)),"-")</f>
        <v>15.19</v>
      </c>
      <c r="J7" s="22">
        <f>IF(Benchmark1[[#This Row],[Comparable '#1 Date Check]]="Pass",INDEX(Comp1[Comparable '#1 Return],MATCH(Benchmark1[[#This Row],[Benchmark '#1 Dates]],Comp1[Comparable '#1 Dates],0)),"-")</f>
        <v>-5.252802622859625E-3</v>
      </c>
      <c r="K7" s="1">
        <f>IFERROR(IF(Benchmark1[[#This Row],[Comparable '#1 Date Check]]="Pass",Benchmark1[[#This Row],[Comparable '#1 Return]]-Benchmark1[[#This Row],[Benchmark '#1 Return]],"-"),"-")</f>
        <v>-1.3963596478058293E-2</v>
      </c>
      <c r="L7" s="1" t="str">
        <f>IF(COUNTIF(Comp2[Comparable '#2 Dates],Benchmark1[[#This Row],[Benchmark '#1 Dates]])=1,"Pass","Fail")</f>
        <v>Pass</v>
      </c>
      <c r="M7" s="6">
        <f>IF(Benchmark1[[#This Row],[Comparable '#2 Date Check]]="Pass",INDEX(Comp2[Comparable '#2 Price],MATCH(Benchmark1[[#This Row],[Benchmark '#1 Dates]],Comp2[Comparable '#2 Dates],0)),"-")</f>
        <v>52.65</v>
      </c>
      <c r="N7" s="22">
        <f>IF(Benchmark1[[#This Row],[Comparable '#2 Date Check]]="Pass",INDEX(Comp2[Comparable '#2 Return],MATCH(Benchmark1[[#This Row],[Benchmark '#1 Dates]],Comp2[Comparable '#2 Dates],0)),"-")</f>
        <v>2.8530689824064807E-3</v>
      </c>
      <c r="O7" s="1">
        <f>IFERROR(IF(Benchmark1[[#This Row],[Comparable '#2 Date Check]]="Pass",Benchmark1[[#This Row],[Comparable '#2 Return]]-Benchmark1[[#This Row],[Benchmark '#1 Return]],"-"),"-")</f>
        <v>-5.8577248727921874E-3</v>
      </c>
      <c r="P7" s="1" t="str">
        <f>IF(COUNTIF(Comp3[Comparable '#3 Dates],Benchmark1[[#This Row],[Benchmark '#1 Dates]])=1,"Pass","Fail")</f>
        <v>Pass</v>
      </c>
      <c r="Q7" s="6">
        <f>IF(Benchmark1[[#This Row],[Comparable '#3 Date Check]]="Pass",INDEX(Comp3[Comparable '#3 Price],MATCH(Benchmark1[[#This Row],[Benchmark '#1 Dates]],Comp3[Comparable '#3 Dates],0)),"-")</f>
        <v>119.8</v>
      </c>
      <c r="R7" s="22">
        <f>IF(Benchmark1[[#This Row],[Comparable '#3 Date Check]]="Pass",INDEX(Comp3[Comparable '#3 Return],MATCH(Benchmark1[[#This Row],[Benchmark '#1 Dates]],Comp3[Comparable '#3 Dates],0)),"-")</f>
        <v>1.0021714551818378E-3</v>
      </c>
      <c r="S7" s="1">
        <f>IFERROR(IF(Benchmark1[[#This Row],[Comparable '#3 Date Check]]="Pass",Benchmark1[[#This Row],[Comparable '#3 Return]]-Benchmark1[[#This Row],[Benchmark '#1 Return]],"-"),"-")</f>
        <v>-7.7086224000168305E-3</v>
      </c>
    </row>
    <row r="8" spans="1:19">
      <c r="A8" s="103">
        <v>43294</v>
      </c>
      <c r="B8" s="104">
        <v>2801.3113726616994</v>
      </c>
      <c r="C8" s="4">
        <f t="shared" si="0"/>
        <v>1.0802384062379544E-3</v>
      </c>
      <c r="D8" s="1" t="str">
        <f>IF(COUNTIF(Target1[Target Dates],Benchmark1[[#This Row],[Benchmark '#1 Dates]])=1,"Pass","Fail")</f>
        <v>Pass</v>
      </c>
      <c r="E8" s="6">
        <f>IF(Benchmark1[[#This Row],[Target Date Check]]="Pass",INDEX(Target1[Target Price],MATCH(Benchmark1[[#This Row],[Benchmark '#1 Dates]],Target1[Target Dates],0)),"-")</f>
        <v>17.670000000000002</v>
      </c>
      <c r="F8" s="22">
        <f>IF(Benchmark1[[#This Row],[Target Date Check]]="Pass",INDEX(Target1[Target Return],MATCH(Benchmark1[[#This Row],[Benchmark '#1 Dates]],Target1[Target Dates],0)),"-")</f>
        <v>-1.7391742711869107E-2</v>
      </c>
      <c r="G8" s="1">
        <f>IFERROR(IF(Benchmark1[[#This Row],[Target Date Check]]="Pass",Benchmark1[[#This Row],[Target Return]]-Benchmark1[[#This Row],[Benchmark '#1 Return]],"-"),"-")</f>
        <v>-1.8471981118107061E-2</v>
      </c>
      <c r="H8" s="1" t="str">
        <f>IF(COUNTIF(Comp1[Comparable '#1 Dates],Benchmark1[[#This Row],[Benchmark '#1 Dates]])=1,"Pass","Fail")</f>
        <v>Pass</v>
      </c>
      <c r="I8" s="6">
        <f>IF(Benchmark1[[#This Row],[Comparable '#1 Date Check]]="Pass",INDEX(Comp1[Comparable '#1 Price],MATCH(Benchmark1[[#This Row],[Benchmark '#1 Dates]],Comp1[Comparable '#1 Dates],0)),"-")</f>
        <v>15.1</v>
      </c>
      <c r="J8" s="22">
        <f>IF(Benchmark1[[#This Row],[Comparable '#1 Date Check]]="Pass",INDEX(Comp1[Comparable '#1 Return],MATCH(Benchmark1[[#This Row],[Benchmark '#1 Dates]],Comp1[Comparable '#1 Dates],0)),"-")</f>
        <v>-5.9425727868028175E-3</v>
      </c>
      <c r="K8" s="1">
        <f>IFERROR(IF(Benchmark1[[#This Row],[Comparable '#1 Date Check]]="Pass",Benchmark1[[#This Row],[Comparable '#1 Return]]-Benchmark1[[#This Row],[Benchmark '#1 Return]],"-"),"-")</f>
        <v>-7.0228111930407721E-3</v>
      </c>
      <c r="L8" s="1" t="str">
        <f>IF(COUNTIF(Comp2[Comparable '#2 Dates],Benchmark1[[#This Row],[Benchmark '#1 Dates]])=1,"Pass","Fail")</f>
        <v>Pass</v>
      </c>
      <c r="M8" s="6">
        <f>IF(Benchmark1[[#This Row],[Comparable '#2 Date Check]]="Pass",INDEX(Comp2[Comparable '#2 Price],MATCH(Benchmark1[[#This Row],[Benchmark '#1 Dates]],Comp2[Comparable '#2 Dates],0)),"-")</f>
        <v>52.25</v>
      </c>
      <c r="N8" s="22">
        <f>IF(Benchmark1[[#This Row],[Comparable '#2 Date Check]]="Pass",INDEX(Comp2[Comparable '#2 Return],MATCH(Benchmark1[[#This Row],[Benchmark '#1 Dates]],Comp2[Comparable '#2 Dates],0)),"-")</f>
        <v>-7.6263477350640707E-3</v>
      </c>
      <c r="O8" s="1">
        <f>IFERROR(IF(Benchmark1[[#This Row],[Comparable '#2 Date Check]]="Pass",Benchmark1[[#This Row],[Comparable '#2 Return]]-Benchmark1[[#This Row],[Benchmark '#1 Return]],"-"),"-")</f>
        <v>-8.7065861413020244E-3</v>
      </c>
      <c r="P8" s="1" t="str">
        <f>IF(COUNTIF(Comp3[Comparable '#3 Dates],Benchmark1[[#This Row],[Benchmark '#1 Dates]])=1,"Pass","Fail")</f>
        <v>Pass</v>
      </c>
      <c r="Q8" s="6">
        <f>IF(Benchmark1[[#This Row],[Comparable '#3 Date Check]]="Pass",INDEX(Comp3[Comparable '#3 Price],MATCH(Benchmark1[[#This Row],[Benchmark '#1 Dates]],Comp3[Comparable '#3 Dates],0)),"-")</f>
        <v>119.51</v>
      </c>
      <c r="R8" s="22">
        <f>IF(Benchmark1[[#This Row],[Comparable '#3 Date Check]]="Pass",INDEX(Comp3[Comparable '#3 Return],MATCH(Benchmark1[[#This Row],[Benchmark '#1 Dates]],Comp3[Comparable '#3 Dates],0)),"-")</f>
        <v>-2.423635802559259E-3</v>
      </c>
      <c r="S8" s="1">
        <f>IFERROR(IF(Benchmark1[[#This Row],[Comparable '#3 Date Check]]="Pass",Benchmark1[[#This Row],[Comparable '#3 Return]]-Benchmark1[[#This Row],[Benchmark '#1 Return]],"-"),"-")</f>
        <v>-3.5038742087972136E-3</v>
      </c>
    </row>
    <row r="9" spans="1:19">
      <c r="A9" s="103">
        <v>43297</v>
      </c>
      <c r="B9" s="104">
        <v>2798.4346041356976</v>
      </c>
      <c r="C9" s="4">
        <f t="shared" si="0"/>
        <v>-1.0274640281902935E-3</v>
      </c>
      <c r="D9" s="1" t="str">
        <f>IF(COUNTIF(Target1[Target Dates],Benchmark1[[#This Row],[Benchmark '#1 Dates]])=1,"Pass","Fail")</f>
        <v>Pass</v>
      </c>
      <c r="E9" s="6">
        <f>IF(Benchmark1[[#This Row],[Target Date Check]]="Pass",INDEX(Target1[Target Price],MATCH(Benchmark1[[#This Row],[Benchmark '#1 Dates]],Target1[Target Dates],0)),"-")</f>
        <v>17.57</v>
      </c>
      <c r="F9" s="22">
        <f>IF(Benchmark1[[#This Row],[Target Date Check]]="Pass",INDEX(Target1[Target Return],MATCH(Benchmark1[[#This Row],[Benchmark '#1 Dates]],Target1[Target Dates],0)),"-")</f>
        <v>-5.67538413259926E-3</v>
      </c>
      <c r="G9" s="1">
        <f>IFERROR(IF(Benchmark1[[#This Row],[Target Date Check]]="Pass",Benchmark1[[#This Row],[Target Return]]-Benchmark1[[#This Row],[Benchmark '#1 Return]],"-"),"-")</f>
        <v>-4.6479201044089665E-3</v>
      </c>
      <c r="H9" s="1" t="str">
        <f>IF(COUNTIF(Comp1[Comparable '#1 Dates],Benchmark1[[#This Row],[Benchmark '#1 Dates]])=1,"Pass","Fail")</f>
        <v>Pass</v>
      </c>
      <c r="I9" s="6">
        <f>IF(Benchmark1[[#This Row],[Comparable '#1 Date Check]]="Pass",INDEX(Comp1[Comparable '#1 Price],MATCH(Benchmark1[[#This Row],[Benchmark '#1 Dates]],Comp1[Comparable '#1 Dates],0)),"-")</f>
        <v>15.09</v>
      </c>
      <c r="J9" s="22">
        <f>IF(Benchmark1[[#This Row],[Comparable '#1 Date Check]]="Pass",INDEX(Comp1[Comparable '#1 Return],MATCH(Benchmark1[[#This Row],[Benchmark '#1 Dates]],Comp1[Comparable '#1 Dates],0)),"-")</f>
        <v>-6.6247104112114065E-4</v>
      </c>
      <c r="K9" s="1">
        <f>IFERROR(IF(Benchmark1[[#This Row],[Comparable '#1 Date Check]]="Pass",Benchmark1[[#This Row],[Comparable '#1 Return]]-Benchmark1[[#This Row],[Benchmark '#1 Return]],"-"),"-")</f>
        <v>3.6499298706915283E-4</v>
      </c>
      <c r="L9" s="1" t="str">
        <f>IF(COUNTIF(Comp2[Comparable '#2 Dates],Benchmark1[[#This Row],[Benchmark '#1 Dates]])=1,"Pass","Fail")</f>
        <v>Pass</v>
      </c>
      <c r="M9" s="6">
        <f>IF(Benchmark1[[#This Row],[Comparable '#2 Date Check]]="Pass",INDEX(Comp2[Comparable '#2 Price],MATCH(Benchmark1[[#This Row],[Benchmark '#1 Dates]],Comp2[Comparable '#2 Dates],0)),"-")</f>
        <v>52.1</v>
      </c>
      <c r="N9" s="22">
        <f>IF(Benchmark1[[#This Row],[Comparable '#2 Date Check]]="Pass",INDEX(Comp2[Comparable '#2 Return],MATCH(Benchmark1[[#This Row],[Benchmark '#1 Dates]],Comp2[Comparable '#2 Dates],0)),"-")</f>
        <v>-2.8749420855990995E-3</v>
      </c>
      <c r="O9" s="1">
        <f>IFERROR(IF(Benchmark1[[#This Row],[Comparable '#2 Date Check]]="Pass",Benchmark1[[#This Row],[Comparable '#2 Return]]-Benchmark1[[#This Row],[Benchmark '#1 Return]],"-"),"-")</f>
        <v>-1.8474780574088061E-3</v>
      </c>
      <c r="P9" s="1" t="str">
        <f>IF(COUNTIF(Comp3[Comparable '#3 Dates],Benchmark1[[#This Row],[Benchmark '#1 Dates]])=1,"Pass","Fail")</f>
        <v>Pass</v>
      </c>
      <c r="Q9" s="6">
        <f>IF(Benchmark1[[#This Row],[Comparable '#3 Date Check]]="Pass",INDEX(Comp3[Comparable '#3 Price],MATCH(Benchmark1[[#This Row],[Benchmark '#1 Dates]],Comp3[Comparable '#3 Dates],0)),"-")</f>
        <v>119.09</v>
      </c>
      <c r="R9" s="22">
        <f>IF(Benchmark1[[#This Row],[Comparable '#3 Date Check]]="Pass",INDEX(Comp3[Comparable '#3 Return],MATCH(Benchmark1[[#This Row],[Benchmark '#1 Dates]],Comp3[Comparable '#3 Dates],0)),"-")</f>
        <v>-3.520540098885173E-3</v>
      </c>
      <c r="S9" s="1">
        <f>IFERROR(IF(Benchmark1[[#This Row],[Comparable '#3 Date Check]]="Pass",Benchmark1[[#This Row],[Comparable '#3 Return]]-Benchmark1[[#This Row],[Benchmark '#1 Return]],"-"),"-")</f>
        <v>-2.4930760706948795E-3</v>
      </c>
    </row>
    <row r="10" spans="1:19">
      <c r="A10" s="103">
        <v>43298</v>
      </c>
      <c r="B10" s="104">
        <v>2809.5516223513537</v>
      </c>
      <c r="C10" s="4">
        <f t="shared" si="0"/>
        <v>3.9647147225429363E-3</v>
      </c>
      <c r="D10" s="1" t="str">
        <f>IF(COUNTIF(Target1[Target Dates],Benchmark1[[#This Row],[Benchmark '#1 Dates]])=1,"Pass","Fail")</f>
        <v>Pass</v>
      </c>
      <c r="E10" s="6">
        <f>IF(Benchmark1[[#This Row],[Target Date Check]]="Pass",INDEX(Target1[Target Price],MATCH(Benchmark1[[#This Row],[Benchmark '#1 Dates]],Target1[Target Dates],0)),"-")</f>
        <v>17.2</v>
      </c>
      <c r="F10" s="22">
        <f>IF(Benchmark1[[#This Row],[Target Date Check]]="Pass",INDEX(Target1[Target Return],MATCH(Benchmark1[[#This Row],[Benchmark '#1 Dates]],Target1[Target Dates],0)),"-")</f>
        <v>-2.1283518379598541E-2</v>
      </c>
      <c r="G10" s="1">
        <f>IFERROR(IF(Benchmark1[[#This Row],[Target Date Check]]="Pass",Benchmark1[[#This Row],[Target Return]]-Benchmark1[[#This Row],[Benchmark '#1 Return]],"-"),"-")</f>
        <v>-2.5248233102141478E-2</v>
      </c>
      <c r="H10" s="1" t="str">
        <f>IF(COUNTIF(Comp1[Comparable '#1 Dates],Benchmark1[[#This Row],[Benchmark '#1 Dates]])=1,"Pass","Fail")</f>
        <v>Pass</v>
      </c>
      <c r="I10" s="6">
        <f>IF(Benchmark1[[#This Row],[Comparable '#1 Date Check]]="Pass",INDEX(Comp1[Comparable '#1 Price],MATCH(Benchmark1[[#This Row],[Benchmark '#1 Dates]],Comp1[Comparable '#1 Dates],0)),"-")</f>
        <v>15.11</v>
      </c>
      <c r="J10" s="22">
        <f>IF(Benchmark1[[#This Row],[Comparable '#1 Date Check]]="Pass",INDEX(Comp1[Comparable '#1 Return],MATCH(Benchmark1[[#This Row],[Benchmark '#1 Dates]],Comp1[Comparable '#1 Dates],0)),"-")</f>
        <v>1.3245035048906884E-3</v>
      </c>
      <c r="K10" s="1">
        <f>IFERROR(IF(Benchmark1[[#This Row],[Comparable '#1 Date Check]]="Pass",Benchmark1[[#This Row],[Comparable '#1 Return]]-Benchmark1[[#This Row],[Benchmark '#1 Return]],"-"),"-")</f>
        <v>-2.6402112176522477E-3</v>
      </c>
      <c r="L10" s="1" t="str">
        <f>IF(COUNTIF(Comp2[Comparable '#2 Dates],Benchmark1[[#This Row],[Benchmark '#1 Dates]])=1,"Pass","Fail")</f>
        <v>Pass</v>
      </c>
      <c r="M10" s="6">
        <f>IF(Benchmark1[[#This Row],[Comparable '#2 Date Check]]="Pass",INDEX(Comp2[Comparable '#2 Price],MATCH(Benchmark1[[#This Row],[Benchmark '#1 Dates]],Comp2[Comparable '#2 Dates],0)),"-")</f>
        <v>52.7</v>
      </c>
      <c r="N10" s="22">
        <f>IF(Benchmark1[[#This Row],[Comparable '#2 Date Check]]="Pass",INDEX(Comp2[Comparable '#2 Return],MATCH(Benchmark1[[#This Row],[Benchmark '#1 Dates]],Comp2[Comparable '#2 Dates],0)),"-")</f>
        <v>1.1450506787995505E-2</v>
      </c>
      <c r="O10" s="1">
        <f>IFERROR(IF(Benchmark1[[#This Row],[Comparable '#2 Date Check]]="Pass",Benchmark1[[#This Row],[Comparable '#2 Return]]-Benchmark1[[#This Row],[Benchmark '#1 Return]],"-"),"-")</f>
        <v>7.4857920654525685E-3</v>
      </c>
      <c r="P10" s="1" t="str">
        <f>IF(COUNTIF(Comp3[Comparable '#3 Dates],Benchmark1[[#This Row],[Benchmark '#1 Dates]])=1,"Pass","Fail")</f>
        <v>Pass</v>
      </c>
      <c r="Q10" s="6">
        <f>IF(Benchmark1[[#This Row],[Comparable '#3 Date Check]]="Pass",INDEX(Comp3[Comparable '#3 Price],MATCH(Benchmark1[[#This Row],[Benchmark '#1 Dates]],Comp3[Comparable '#3 Dates],0)),"-")</f>
        <v>118.52</v>
      </c>
      <c r="R10" s="22">
        <f>IF(Benchmark1[[#This Row],[Comparable '#3 Date Check]]="Pass",INDEX(Comp3[Comparable '#3 Return],MATCH(Benchmark1[[#This Row],[Benchmark '#1 Dates]],Comp3[Comparable '#3 Dates],0)),"-")</f>
        <v>-4.7977870745399753E-3</v>
      </c>
      <c r="S10" s="1">
        <f>IFERROR(IF(Benchmark1[[#This Row],[Comparable '#3 Date Check]]="Pass",Benchmark1[[#This Row],[Comparable '#3 Return]]-Benchmark1[[#This Row],[Benchmark '#1 Return]],"-"),"-")</f>
        <v>-8.7625017970829125E-3</v>
      </c>
    </row>
    <row r="11" spans="1:19">
      <c r="A11" s="103">
        <v>43299</v>
      </c>
      <c r="B11" s="104">
        <v>2815.6197843403756</v>
      </c>
      <c r="C11" s="4">
        <f t="shared" si="0"/>
        <v>2.1575038000280129E-3</v>
      </c>
      <c r="D11" s="1" t="str">
        <f>IF(COUNTIF(Target1[Target Dates],Benchmark1[[#This Row],[Benchmark '#1 Dates]])=1,"Pass","Fail")</f>
        <v>Pass</v>
      </c>
      <c r="E11" s="6">
        <f>IF(Benchmark1[[#This Row],[Target Date Check]]="Pass",INDEX(Target1[Target Price],MATCH(Benchmark1[[#This Row],[Benchmark '#1 Dates]],Target1[Target Dates],0)),"-")</f>
        <v>17.02</v>
      </c>
      <c r="F11" s="22">
        <f>IF(Benchmark1[[#This Row],[Target Date Check]]="Pass",INDEX(Target1[Target Return],MATCH(Benchmark1[[#This Row],[Benchmark '#1 Dates]],Target1[Target Dates],0)),"-")</f>
        <v>-1.0520260674179278E-2</v>
      </c>
      <c r="G11" s="1">
        <f>IFERROR(IF(Benchmark1[[#This Row],[Target Date Check]]="Pass",Benchmark1[[#This Row],[Target Return]]-Benchmark1[[#This Row],[Benchmark '#1 Return]],"-"),"-")</f>
        <v>-1.2677764474207291E-2</v>
      </c>
      <c r="H11" s="1" t="str">
        <f>IF(COUNTIF(Comp1[Comparable '#1 Dates],Benchmark1[[#This Row],[Benchmark '#1 Dates]])=1,"Pass","Fail")</f>
        <v>Pass</v>
      </c>
      <c r="I11" s="6">
        <f>IF(Benchmark1[[#This Row],[Comparable '#1 Date Check]]="Pass",INDEX(Comp1[Comparable '#1 Price],MATCH(Benchmark1[[#This Row],[Benchmark '#1 Dates]],Comp1[Comparable '#1 Dates],0)),"-")</f>
        <v>15.23</v>
      </c>
      <c r="J11" s="22">
        <f>IF(Benchmark1[[#This Row],[Comparable '#1 Date Check]]="Pass",INDEX(Comp1[Comparable '#1 Return],MATCH(Benchmark1[[#This Row],[Benchmark '#1 Dates]],Comp1[Comparable '#1 Dates],0)),"-")</f>
        <v>7.9103906224222264E-3</v>
      </c>
      <c r="K11" s="1">
        <f>IFERROR(IF(Benchmark1[[#This Row],[Comparable '#1 Date Check]]="Pass",Benchmark1[[#This Row],[Comparable '#1 Return]]-Benchmark1[[#This Row],[Benchmark '#1 Return]],"-"),"-")</f>
        <v>5.752886822394214E-3</v>
      </c>
      <c r="L11" s="1" t="str">
        <f>IF(COUNTIF(Comp2[Comparable '#2 Dates],Benchmark1[[#This Row],[Benchmark '#1 Dates]])=1,"Pass","Fail")</f>
        <v>Pass</v>
      </c>
      <c r="M11" s="6">
        <f>IF(Benchmark1[[#This Row],[Comparable '#2 Date Check]]="Pass",INDEX(Comp2[Comparable '#2 Price],MATCH(Benchmark1[[#This Row],[Benchmark '#1 Dates]],Comp2[Comparable '#2 Dates],0)),"-")</f>
        <v>53.2</v>
      </c>
      <c r="N11" s="22">
        <f>IF(Benchmark1[[#This Row],[Comparable '#2 Date Check]]="Pass",INDEX(Comp2[Comparable '#2 Return],MATCH(Benchmark1[[#This Row],[Benchmark '#1 Dates]],Comp2[Comparable '#2 Dates],0)),"-")</f>
        <v>9.4429408002820875E-3</v>
      </c>
      <c r="O11" s="1">
        <f>IFERROR(IF(Benchmark1[[#This Row],[Comparable '#2 Date Check]]="Pass",Benchmark1[[#This Row],[Comparable '#2 Return]]-Benchmark1[[#This Row],[Benchmark '#1 Return]],"-"),"-")</f>
        <v>7.285437000254075E-3</v>
      </c>
      <c r="P11" s="1" t="str">
        <f>IF(COUNTIF(Comp3[Comparable '#3 Dates],Benchmark1[[#This Row],[Benchmark '#1 Dates]])=1,"Pass","Fail")</f>
        <v>Pass</v>
      </c>
      <c r="Q11" s="6">
        <f>IF(Benchmark1[[#This Row],[Comparable '#3 Date Check]]="Pass",INDEX(Comp3[Comparable '#3 Price],MATCH(Benchmark1[[#This Row],[Benchmark '#1 Dates]],Comp3[Comparable '#3 Dates],0)),"-")</f>
        <v>119.32</v>
      </c>
      <c r="R11" s="22">
        <f>IF(Benchmark1[[#This Row],[Comparable '#3 Date Check]]="Pass",INDEX(Comp3[Comparable '#3 Return],MATCH(Benchmark1[[#This Row],[Benchmark '#1 Dates]],Comp3[Comparable '#3 Dates],0)),"-")</f>
        <v>6.7272369411832495E-3</v>
      </c>
      <c r="S11" s="1">
        <f>IFERROR(IF(Benchmark1[[#This Row],[Comparable '#3 Date Check]]="Pass",Benchmark1[[#This Row],[Comparable '#3 Return]]-Benchmark1[[#This Row],[Benchmark '#1 Return]],"-"),"-")</f>
        <v>4.5697331411552362E-3</v>
      </c>
    </row>
    <row r="12" spans="1:19">
      <c r="A12" s="103">
        <v>43300</v>
      </c>
      <c r="B12" s="104">
        <v>2804.4934139566344</v>
      </c>
      <c r="C12" s="4">
        <f t="shared" si="0"/>
        <v>-3.9594878349741682E-3</v>
      </c>
      <c r="D12" s="1" t="str">
        <f>IF(COUNTIF(Target1[Target Dates],Benchmark1[[#This Row],[Benchmark '#1 Dates]])=1,"Pass","Fail")</f>
        <v>Pass</v>
      </c>
      <c r="E12" s="6">
        <f>IF(Benchmark1[[#This Row],[Target Date Check]]="Pass",INDEX(Target1[Target Price],MATCH(Benchmark1[[#This Row],[Benchmark '#1 Dates]],Target1[Target Dates],0)),"-")</f>
        <v>17.12</v>
      </c>
      <c r="F12" s="22">
        <f>IF(Benchmark1[[#This Row],[Target Date Check]]="Pass",INDEX(Target1[Target Return],MATCH(Benchmark1[[#This Row],[Benchmark '#1 Dates]],Target1[Target Dates],0)),"-")</f>
        <v>5.8582475683680701E-3</v>
      </c>
      <c r="G12" s="1">
        <f>IFERROR(IF(Benchmark1[[#This Row],[Target Date Check]]="Pass",Benchmark1[[#This Row],[Target Return]]-Benchmark1[[#This Row],[Benchmark '#1 Return]],"-"),"-")</f>
        <v>9.8177354033422391E-3</v>
      </c>
      <c r="H12" s="1" t="str">
        <f>IF(COUNTIF(Comp1[Comparable '#1 Dates],Benchmark1[[#This Row],[Benchmark '#1 Dates]])=1,"Pass","Fail")</f>
        <v>Pass</v>
      </c>
      <c r="I12" s="6">
        <f>IF(Benchmark1[[#This Row],[Comparable '#1 Date Check]]="Pass",INDEX(Comp1[Comparable '#1 Price],MATCH(Benchmark1[[#This Row],[Benchmark '#1 Dates]],Comp1[Comparable '#1 Dates],0)),"-")</f>
        <v>14.96</v>
      </c>
      <c r="J12" s="22">
        <f>IF(Benchmark1[[#This Row],[Comparable '#1 Date Check]]="Pass",INDEX(Comp1[Comparable '#1 Return],MATCH(Benchmark1[[#This Row],[Benchmark '#1 Dates]],Comp1[Comparable '#1 Dates],0)),"-")</f>
        <v>-1.7887194360739267E-2</v>
      </c>
      <c r="K12" s="1">
        <f>IFERROR(IF(Benchmark1[[#This Row],[Comparable '#1 Date Check]]="Pass",Benchmark1[[#This Row],[Comparable '#1 Return]]-Benchmark1[[#This Row],[Benchmark '#1 Return]],"-"),"-")</f>
        <v>-1.39277065257651E-2</v>
      </c>
      <c r="L12" s="1" t="str">
        <f>IF(COUNTIF(Comp2[Comparable '#2 Dates],Benchmark1[[#This Row],[Benchmark '#1 Dates]])=1,"Pass","Fail")</f>
        <v>Pass</v>
      </c>
      <c r="M12" s="6">
        <f>IF(Benchmark1[[#This Row],[Comparable '#2 Date Check]]="Pass",INDEX(Comp2[Comparable '#2 Price],MATCH(Benchmark1[[#This Row],[Benchmark '#1 Dates]],Comp2[Comparable '#2 Dates],0)),"-")</f>
        <v>52.7</v>
      </c>
      <c r="N12" s="22">
        <f>IF(Benchmark1[[#This Row],[Comparable '#2 Date Check]]="Pass",INDEX(Comp2[Comparable '#2 Return],MATCH(Benchmark1[[#This Row],[Benchmark '#1 Dates]],Comp2[Comparable '#2 Dates],0)),"-")</f>
        <v>-9.4429408002820719E-3</v>
      </c>
      <c r="O12" s="1">
        <f>IFERROR(IF(Benchmark1[[#This Row],[Comparable '#2 Date Check]]="Pass",Benchmark1[[#This Row],[Comparable '#2 Return]]-Benchmark1[[#This Row],[Benchmark '#1 Return]],"-"),"-")</f>
        <v>-5.4834529653079037E-3</v>
      </c>
      <c r="P12" s="1" t="str">
        <f>IF(COUNTIF(Comp3[Comparable '#3 Dates],Benchmark1[[#This Row],[Benchmark '#1 Dates]])=1,"Pass","Fail")</f>
        <v>Pass</v>
      </c>
      <c r="Q12" s="6">
        <f>IF(Benchmark1[[#This Row],[Comparable '#3 Date Check]]="Pass",INDEX(Comp3[Comparable '#3 Price],MATCH(Benchmark1[[#This Row],[Benchmark '#1 Dates]],Comp3[Comparable '#3 Dates],0)),"-")</f>
        <v>119.92</v>
      </c>
      <c r="R12" s="22">
        <f>IF(Benchmark1[[#This Row],[Comparable '#3 Date Check]]="Pass",INDEX(Comp3[Comparable '#3 Return],MATCH(Benchmark1[[#This Row],[Benchmark '#1 Dates]],Comp3[Comparable '#3 Dates],0)),"-")</f>
        <v>5.015894147794576E-3</v>
      </c>
      <c r="S12" s="1">
        <f>IFERROR(IF(Benchmark1[[#This Row],[Comparable '#3 Date Check]]="Pass",Benchmark1[[#This Row],[Comparable '#3 Return]]-Benchmark1[[#This Row],[Benchmark '#1 Return]],"-"),"-")</f>
        <v>8.9753819827687441E-3</v>
      </c>
    </row>
    <row r="13" spans="1:19">
      <c r="A13" s="103">
        <v>43301</v>
      </c>
      <c r="B13" s="104">
        <v>2801.8280880917218</v>
      </c>
      <c r="C13" s="4">
        <f t="shared" si="0"/>
        <v>-9.508288330390245E-4</v>
      </c>
      <c r="D13" s="1" t="str">
        <f>IF(COUNTIF(Target1[Target Dates],Benchmark1[[#This Row],[Benchmark '#1 Dates]])=1,"Pass","Fail")</f>
        <v>Pass</v>
      </c>
      <c r="E13" s="6">
        <f>IF(Benchmark1[[#This Row],[Target Date Check]]="Pass",INDEX(Target1[Target Price],MATCH(Benchmark1[[#This Row],[Benchmark '#1 Dates]],Target1[Target Dates],0)),"-")</f>
        <v>16.920000000000002</v>
      </c>
      <c r="F13" s="22">
        <f>IF(Benchmark1[[#This Row],[Target Date Check]]="Pass",INDEX(Target1[Target Return],MATCH(Benchmark1[[#This Row],[Benchmark '#1 Dates]],Target1[Target Dates],0)),"-")</f>
        <v>-1.175101653551874E-2</v>
      </c>
      <c r="G13" s="1">
        <f>IFERROR(IF(Benchmark1[[#This Row],[Target Date Check]]="Pass",Benchmark1[[#This Row],[Target Return]]-Benchmark1[[#This Row],[Benchmark '#1 Return]],"-"),"-")</f>
        <v>-1.0800187702479716E-2</v>
      </c>
      <c r="H13" s="1" t="str">
        <f>IF(COUNTIF(Comp1[Comparable '#1 Dates],Benchmark1[[#This Row],[Benchmark '#1 Dates]])=1,"Pass","Fail")</f>
        <v>Pass</v>
      </c>
      <c r="I13" s="6">
        <f>IF(Benchmark1[[#This Row],[Comparable '#1 Date Check]]="Pass",INDEX(Comp1[Comparable '#1 Price],MATCH(Benchmark1[[#This Row],[Benchmark '#1 Dates]],Comp1[Comparable '#1 Dates],0)),"-")</f>
        <v>15.12</v>
      </c>
      <c r="J13" s="22">
        <f>IF(Benchmark1[[#This Row],[Comparable '#1 Date Check]]="Pass",INDEX(Comp1[Comparable '#1 Return],MATCH(Benchmark1[[#This Row],[Benchmark '#1 Dates]],Comp1[Comparable '#1 Dates],0)),"-")</f>
        <v>1.0638398205055577E-2</v>
      </c>
      <c r="K13" s="1">
        <f>IFERROR(IF(Benchmark1[[#This Row],[Comparable '#1 Date Check]]="Pass",Benchmark1[[#This Row],[Comparable '#1 Return]]-Benchmark1[[#This Row],[Benchmark '#1 Return]],"-"),"-")</f>
        <v>1.1589227038094601E-2</v>
      </c>
      <c r="L13" s="1" t="str">
        <f>IF(COUNTIF(Comp2[Comparable '#2 Dates],Benchmark1[[#This Row],[Benchmark '#1 Dates]])=1,"Pass","Fail")</f>
        <v>Pass</v>
      </c>
      <c r="M13" s="6">
        <f>IF(Benchmark1[[#This Row],[Comparable '#2 Date Check]]="Pass",INDEX(Comp2[Comparable '#2 Price],MATCH(Benchmark1[[#This Row],[Benchmark '#1 Dates]],Comp2[Comparable '#2 Dates],0)),"-")</f>
        <v>52.85</v>
      </c>
      <c r="N13" s="22">
        <f>IF(Benchmark1[[#This Row],[Comparable '#2 Date Check]]="Pass",INDEX(Comp2[Comparable '#2 Return],MATCH(Benchmark1[[#This Row],[Benchmark '#1 Dates]],Comp2[Comparable '#2 Dates],0)),"-")</f>
        <v>2.8422567689300737E-3</v>
      </c>
      <c r="O13" s="1">
        <f>IFERROR(IF(Benchmark1[[#This Row],[Comparable '#2 Date Check]]="Pass",Benchmark1[[#This Row],[Comparable '#2 Return]]-Benchmark1[[#This Row],[Benchmark '#1 Return]],"-"),"-")</f>
        <v>3.7930856019690981E-3</v>
      </c>
      <c r="P13" s="1" t="str">
        <f>IF(COUNTIF(Comp3[Comparable '#3 Dates],Benchmark1[[#This Row],[Benchmark '#1 Dates]])=1,"Pass","Fail")</f>
        <v>Pass</v>
      </c>
      <c r="Q13" s="6">
        <f>IF(Benchmark1[[#This Row],[Comparable '#3 Date Check]]="Pass",INDEX(Comp3[Comparable '#3 Price],MATCH(Benchmark1[[#This Row],[Benchmark '#1 Dates]],Comp3[Comparable '#3 Dates],0)),"-")</f>
        <v>120.01</v>
      </c>
      <c r="R13" s="22">
        <f>IF(Benchmark1[[#This Row],[Comparable '#3 Date Check]]="Pass",INDEX(Comp3[Comparable '#3 Return],MATCH(Benchmark1[[#This Row],[Benchmark '#1 Dates]],Comp3[Comparable '#3 Dates],0)),"-")</f>
        <v>7.5021884900775243E-4</v>
      </c>
      <c r="S13" s="1">
        <f>IFERROR(IF(Benchmark1[[#This Row],[Comparable '#3 Date Check]]="Pass",Benchmark1[[#This Row],[Comparable '#3 Return]]-Benchmark1[[#This Row],[Benchmark '#1 Return]],"-"),"-")</f>
        <v>1.7010476820467769E-3</v>
      </c>
    </row>
    <row r="14" spans="1:19">
      <c r="A14" s="103">
        <v>43304</v>
      </c>
      <c r="B14" s="104">
        <v>2806.9828988650897</v>
      </c>
      <c r="C14" s="4">
        <f t="shared" si="0"/>
        <v>1.8381122974963243E-3</v>
      </c>
      <c r="D14" s="1" t="str">
        <f>IF(COUNTIF(Target1[Target Dates],Benchmark1[[#This Row],[Benchmark '#1 Dates]])=1,"Pass","Fail")</f>
        <v>Pass</v>
      </c>
      <c r="E14" s="6">
        <f>IF(Benchmark1[[#This Row],[Target Date Check]]="Pass",INDEX(Target1[Target Price],MATCH(Benchmark1[[#This Row],[Benchmark '#1 Dates]],Target1[Target Dates],0)),"-")</f>
        <v>16.93</v>
      </c>
      <c r="F14" s="22">
        <f>IF(Benchmark1[[#This Row],[Target Date Check]]="Pass",INDEX(Target1[Target Return],MATCH(Benchmark1[[#This Row],[Benchmark '#1 Dates]],Target1[Target Dates],0)),"-")</f>
        <v>5.9084196696664471E-4</v>
      </c>
      <c r="G14" s="1">
        <f>IFERROR(IF(Benchmark1[[#This Row],[Target Date Check]]="Pass",Benchmark1[[#This Row],[Target Return]]-Benchmark1[[#This Row],[Benchmark '#1 Return]],"-"),"-")</f>
        <v>-1.2472703305296796E-3</v>
      </c>
      <c r="H14" s="1" t="str">
        <f>IF(COUNTIF(Comp1[Comparable '#1 Dates],Benchmark1[[#This Row],[Benchmark '#1 Dates]])=1,"Pass","Fail")</f>
        <v>Pass</v>
      </c>
      <c r="I14" s="6">
        <f>IF(Benchmark1[[#This Row],[Comparable '#1 Date Check]]="Pass",INDEX(Comp1[Comparable '#1 Price],MATCH(Benchmark1[[#This Row],[Benchmark '#1 Dates]],Comp1[Comparable '#1 Dates],0)),"-")</f>
        <v>15.06</v>
      </c>
      <c r="J14" s="22">
        <f>IF(Benchmark1[[#This Row],[Comparable '#1 Date Check]]="Pass",INDEX(Comp1[Comparable '#1 Return],MATCH(Benchmark1[[#This Row],[Benchmark '#1 Dates]],Comp1[Comparable '#1 Dates],0)),"-")</f>
        <v>-3.9761483796392945E-3</v>
      </c>
      <c r="K14" s="1">
        <f>IFERROR(IF(Benchmark1[[#This Row],[Comparable '#1 Date Check]]="Pass",Benchmark1[[#This Row],[Comparable '#1 Return]]-Benchmark1[[#This Row],[Benchmark '#1 Return]],"-"),"-")</f>
        <v>-5.8142606771356183E-3</v>
      </c>
      <c r="L14" s="1" t="str">
        <f>IF(COUNTIF(Comp2[Comparable '#2 Dates],Benchmark1[[#This Row],[Benchmark '#1 Dates]])=1,"Pass","Fail")</f>
        <v>Pass</v>
      </c>
      <c r="M14" s="6">
        <f>IF(Benchmark1[[#This Row],[Comparable '#2 Date Check]]="Pass",INDEX(Comp2[Comparable '#2 Price],MATCH(Benchmark1[[#This Row],[Benchmark '#1 Dates]],Comp2[Comparable '#2 Dates],0)),"-")</f>
        <v>53.55</v>
      </c>
      <c r="N14" s="22">
        <f>IF(Benchmark1[[#This Row],[Comparable '#2 Date Check]]="Pass",INDEX(Comp2[Comparable '#2 Return],MATCH(Benchmark1[[#This Row],[Benchmark '#1 Dates]],Comp2[Comparable '#2 Dates],0)),"-")</f>
        <v>1.3158084577510982E-2</v>
      </c>
      <c r="O14" s="1">
        <f>IFERROR(IF(Benchmark1[[#This Row],[Comparable '#2 Date Check]]="Pass",Benchmark1[[#This Row],[Comparable '#2 Return]]-Benchmark1[[#This Row],[Benchmark '#1 Return]],"-"),"-")</f>
        <v>1.1319972280014658E-2</v>
      </c>
      <c r="P14" s="1" t="str">
        <f>IF(COUNTIF(Comp3[Comparable '#3 Dates],Benchmark1[[#This Row],[Benchmark '#1 Dates]])=1,"Pass","Fail")</f>
        <v>Pass</v>
      </c>
      <c r="Q14" s="6">
        <f>IF(Benchmark1[[#This Row],[Comparable '#3 Date Check]]="Pass",INDEX(Comp3[Comparable '#3 Price],MATCH(Benchmark1[[#This Row],[Benchmark '#1 Dates]],Comp3[Comparable '#3 Dates],0)),"-")</f>
        <v>120.4</v>
      </c>
      <c r="R14" s="22">
        <f>IF(Benchmark1[[#This Row],[Comparable '#3 Date Check]]="Pass",INDEX(Comp3[Comparable '#3 Return],MATCH(Benchmark1[[#This Row],[Benchmark '#1 Dates]],Comp3[Comparable '#3 Dates],0)),"-")</f>
        <v>3.2444602313706013E-3</v>
      </c>
      <c r="S14" s="1">
        <f>IFERROR(IF(Benchmark1[[#This Row],[Comparable '#3 Date Check]]="Pass",Benchmark1[[#This Row],[Comparable '#3 Return]]-Benchmark1[[#This Row],[Benchmark '#1 Return]],"-"),"-")</f>
        <v>1.406347933874277E-3</v>
      </c>
    </row>
    <row r="15" spans="1:19">
      <c r="A15" s="103">
        <v>43305</v>
      </c>
      <c r="B15" s="104">
        <v>2820.4041297202857</v>
      </c>
      <c r="C15" s="4">
        <f t="shared" si="0"/>
        <v>4.7699780500032665E-3</v>
      </c>
      <c r="D15" s="1" t="str">
        <f>IF(COUNTIF(Target1[Target Dates],Benchmark1[[#This Row],[Benchmark '#1 Dates]])=1,"Pass","Fail")</f>
        <v>Pass</v>
      </c>
      <c r="E15" s="6">
        <f>IF(Benchmark1[[#This Row],[Target Date Check]]="Pass",INDEX(Target1[Target Price],MATCH(Benchmark1[[#This Row],[Benchmark '#1 Dates]],Target1[Target Dates],0)),"-")</f>
        <v>16.63</v>
      </c>
      <c r="F15" s="22">
        <f>IF(Benchmark1[[#This Row],[Target Date Check]]="Pass",INDEX(Target1[Target Return],MATCH(Benchmark1[[#This Row],[Benchmark '#1 Dates]],Target1[Target Dates],0)),"-")</f>
        <v>-1.7878902940207695E-2</v>
      </c>
      <c r="G15" s="1">
        <f>IFERROR(IF(Benchmark1[[#This Row],[Target Date Check]]="Pass",Benchmark1[[#This Row],[Target Return]]-Benchmark1[[#This Row],[Benchmark '#1 Return]],"-"),"-")</f>
        <v>-2.2648880990210962E-2</v>
      </c>
      <c r="H15" s="1" t="str">
        <f>IF(COUNTIF(Comp1[Comparable '#1 Dates],Benchmark1[[#This Row],[Benchmark '#1 Dates]])=1,"Pass","Fail")</f>
        <v>Pass</v>
      </c>
      <c r="I15" s="6">
        <f>IF(Benchmark1[[#This Row],[Comparable '#1 Date Check]]="Pass",INDEX(Comp1[Comparable '#1 Price],MATCH(Benchmark1[[#This Row],[Benchmark '#1 Dates]],Comp1[Comparable '#1 Dates],0)),"-")</f>
        <v>14.99</v>
      </c>
      <c r="J15" s="22">
        <f>IF(Benchmark1[[#This Row],[Comparable '#1 Date Check]]="Pass",INDEX(Comp1[Comparable '#1 Return],MATCH(Benchmark1[[#This Row],[Benchmark '#1 Dates]],Comp1[Comparable '#1 Dates],0)),"-")</f>
        <v>-4.6589102572411785E-3</v>
      </c>
      <c r="K15" s="1">
        <f>IFERROR(IF(Benchmark1[[#This Row],[Comparable '#1 Date Check]]="Pass",Benchmark1[[#This Row],[Comparable '#1 Return]]-Benchmark1[[#This Row],[Benchmark '#1 Return]],"-"),"-")</f>
        <v>-9.428888307244445E-3</v>
      </c>
      <c r="L15" s="1" t="str">
        <f>IF(COUNTIF(Comp2[Comparable '#2 Dates],Benchmark1[[#This Row],[Benchmark '#1 Dates]])=1,"Pass","Fail")</f>
        <v>Pass</v>
      </c>
      <c r="M15" s="6">
        <f>IF(Benchmark1[[#This Row],[Comparable '#2 Date Check]]="Pass",INDEX(Comp2[Comparable '#2 Price],MATCH(Benchmark1[[#This Row],[Benchmark '#1 Dates]],Comp2[Comparable '#2 Dates],0)),"-")</f>
        <v>54.15</v>
      </c>
      <c r="N15" s="22">
        <f>IF(Benchmark1[[#This Row],[Comparable '#2 Date Check]]="Pass",INDEX(Comp2[Comparable '#2 Return],MATCH(Benchmark1[[#This Row],[Benchmark '#1 Dates]],Comp2[Comparable '#2 Dates],0)),"-")</f>
        <v>1.1142176553241803E-2</v>
      </c>
      <c r="O15" s="1">
        <f>IFERROR(IF(Benchmark1[[#This Row],[Comparable '#2 Date Check]]="Pass",Benchmark1[[#This Row],[Comparable '#2 Return]]-Benchmark1[[#This Row],[Benchmark '#1 Return]],"-"),"-")</f>
        <v>6.3721985032385367E-3</v>
      </c>
      <c r="P15" s="1" t="str">
        <f>IF(COUNTIF(Comp3[Comparable '#3 Dates],Benchmark1[[#This Row],[Benchmark '#1 Dates]])=1,"Pass","Fail")</f>
        <v>Pass</v>
      </c>
      <c r="Q15" s="6">
        <f>IF(Benchmark1[[#This Row],[Comparable '#3 Date Check]]="Pass",INDEX(Comp3[Comparable '#3 Price],MATCH(Benchmark1[[#This Row],[Benchmark '#1 Dates]],Comp3[Comparable '#3 Dates],0)),"-")</f>
        <v>119.18</v>
      </c>
      <c r="R15" s="22">
        <f>IF(Benchmark1[[#This Row],[Comparable '#3 Date Check]]="Pass",INDEX(Comp3[Comparable '#3 Return],MATCH(Benchmark1[[#This Row],[Benchmark '#1 Dates]],Comp3[Comparable '#3 Dates],0)),"-")</f>
        <v>-1.0184577555887826E-2</v>
      </c>
      <c r="S15" s="1">
        <f>IFERROR(IF(Benchmark1[[#This Row],[Comparable '#3 Date Check]]="Pass",Benchmark1[[#This Row],[Comparable '#3 Return]]-Benchmark1[[#This Row],[Benchmark '#1 Return]],"-"),"-")</f>
        <v>-1.4954555605891092E-2</v>
      </c>
    </row>
    <row r="16" spans="1:19">
      <c r="A16" s="103">
        <v>43306</v>
      </c>
      <c r="B16" s="104">
        <v>2846.0670433640557</v>
      </c>
      <c r="C16" s="4">
        <f t="shared" si="0"/>
        <v>9.0578733463101708E-3</v>
      </c>
      <c r="D16" s="1" t="str">
        <f>IF(COUNTIF(Target1[Target Dates],Benchmark1[[#This Row],[Benchmark '#1 Dates]])=1,"Pass","Fail")</f>
        <v>Pass</v>
      </c>
      <c r="E16" s="6">
        <f>IF(Benchmark1[[#This Row],[Target Date Check]]="Pass",INDEX(Target1[Target Price],MATCH(Benchmark1[[#This Row],[Benchmark '#1 Dates]],Target1[Target Dates],0)),"-")</f>
        <v>16.57</v>
      </c>
      <c r="F16" s="22">
        <f>IF(Benchmark1[[#This Row],[Target Date Check]]="Pass",INDEX(Target1[Target Return],MATCH(Benchmark1[[#This Row],[Benchmark '#1 Dates]],Target1[Target Dates],0)),"-")</f>
        <v>-3.6144617663647224E-3</v>
      </c>
      <c r="G16" s="1">
        <f>IFERROR(IF(Benchmark1[[#This Row],[Target Date Check]]="Pass",Benchmark1[[#This Row],[Target Return]]-Benchmark1[[#This Row],[Benchmark '#1 Return]],"-"),"-")</f>
        <v>-1.2672335112674894E-2</v>
      </c>
      <c r="H16" s="1" t="str">
        <f>IF(COUNTIF(Comp1[Comparable '#1 Dates],Benchmark1[[#This Row],[Benchmark '#1 Dates]])=1,"Pass","Fail")</f>
        <v>Pass</v>
      </c>
      <c r="I16" s="6">
        <f>IF(Benchmark1[[#This Row],[Comparable '#1 Date Check]]="Pass",INDEX(Comp1[Comparable '#1 Price],MATCH(Benchmark1[[#This Row],[Benchmark '#1 Dates]],Comp1[Comparable '#1 Dates],0)),"-")</f>
        <v>15.06</v>
      </c>
      <c r="J16" s="22">
        <f>IF(Benchmark1[[#This Row],[Comparable '#1 Date Check]]="Pass",INDEX(Comp1[Comparable '#1 Return],MATCH(Benchmark1[[#This Row],[Benchmark '#1 Dates]],Comp1[Comparable '#1 Dates],0)),"-")</f>
        <v>4.6589102572412704E-3</v>
      </c>
      <c r="K16" s="1">
        <f>IFERROR(IF(Benchmark1[[#This Row],[Comparable '#1 Date Check]]="Pass",Benchmark1[[#This Row],[Comparable '#1 Return]]-Benchmark1[[#This Row],[Benchmark '#1 Return]],"-"),"-")</f>
        <v>-4.3989630890689004E-3</v>
      </c>
      <c r="L16" s="1" t="str">
        <f>IF(COUNTIF(Comp2[Comparable '#2 Dates],Benchmark1[[#This Row],[Benchmark '#1 Dates]])=1,"Pass","Fail")</f>
        <v>Pass</v>
      </c>
      <c r="M16" s="6">
        <f>IF(Benchmark1[[#This Row],[Comparable '#2 Date Check]]="Pass",INDEX(Comp2[Comparable '#2 Price],MATCH(Benchmark1[[#This Row],[Benchmark '#1 Dates]],Comp2[Comparable '#2 Dates],0)),"-")</f>
        <v>54.7</v>
      </c>
      <c r="N16" s="22">
        <f>IF(Benchmark1[[#This Row],[Comparable '#2 Date Check]]="Pass",INDEX(Comp2[Comparable '#2 Return],MATCH(Benchmark1[[#This Row],[Benchmark '#1 Dates]],Comp2[Comparable '#2 Dates],0)),"-")</f>
        <v>1.0105735980936028E-2</v>
      </c>
      <c r="O16" s="1">
        <f>IFERROR(IF(Benchmark1[[#This Row],[Comparable '#2 Date Check]]="Pass",Benchmark1[[#This Row],[Comparable '#2 Return]]-Benchmark1[[#This Row],[Benchmark '#1 Return]],"-"),"-")</f>
        <v>1.0478626346258572E-3</v>
      </c>
      <c r="P16" s="1" t="str">
        <f>IF(COUNTIF(Comp3[Comparable '#3 Dates],Benchmark1[[#This Row],[Benchmark '#1 Dates]])=1,"Pass","Fail")</f>
        <v>Pass</v>
      </c>
      <c r="Q16" s="6">
        <f>IF(Benchmark1[[#This Row],[Comparable '#3 Date Check]]="Pass",INDEX(Comp3[Comparable '#3 Price],MATCH(Benchmark1[[#This Row],[Benchmark '#1 Dates]],Comp3[Comparable '#3 Dates],0)),"-")</f>
        <v>119.96</v>
      </c>
      <c r="R16" s="22">
        <f>IF(Benchmark1[[#This Row],[Comparable '#3 Date Check]]="Pass",INDEX(Comp3[Comparable '#3 Return],MATCH(Benchmark1[[#This Row],[Benchmark '#1 Dates]],Comp3[Comparable '#3 Dates],0)),"-")</f>
        <v>6.5233985619752889E-3</v>
      </c>
      <c r="S16" s="1">
        <f>IFERROR(IF(Benchmark1[[#This Row],[Comparable '#3 Date Check]]="Pass",Benchmark1[[#This Row],[Comparable '#3 Return]]-Benchmark1[[#This Row],[Benchmark '#1 Return]],"-"),"-")</f>
        <v>-2.5344747843348819E-3</v>
      </c>
    </row>
    <row r="17" spans="1:19">
      <c r="A17" s="103">
        <v>43307</v>
      </c>
      <c r="B17" s="104">
        <v>2837.4399856339633</v>
      </c>
      <c r="C17" s="4">
        <f t="shared" si="0"/>
        <v>-3.0358242936341859E-3</v>
      </c>
      <c r="D17" s="1" t="str">
        <f>IF(COUNTIF(Target1[Target Dates],Benchmark1[[#This Row],[Benchmark '#1 Dates]])=1,"Pass","Fail")</f>
        <v>Pass</v>
      </c>
      <c r="E17" s="6">
        <f>IF(Benchmark1[[#This Row],[Target Date Check]]="Pass",INDEX(Target1[Target Price],MATCH(Benchmark1[[#This Row],[Benchmark '#1 Dates]],Target1[Target Dates],0)),"-")</f>
        <v>16.760000000000002</v>
      </c>
      <c r="F17" s="22">
        <f>IF(Benchmark1[[#This Row],[Target Date Check]]="Pass",INDEX(Target1[Target Return],MATCH(Benchmark1[[#This Row],[Benchmark '#1 Dates]],Target1[Target Dates],0)),"-")</f>
        <v>1.1401263615465599E-2</v>
      </c>
      <c r="G17" s="1">
        <f>IFERROR(IF(Benchmark1[[#This Row],[Target Date Check]]="Pass",Benchmark1[[#This Row],[Target Return]]-Benchmark1[[#This Row],[Benchmark '#1 Return]],"-"),"-")</f>
        <v>1.4437087909099785E-2</v>
      </c>
      <c r="H17" s="1" t="str">
        <f>IF(COUNTIF(Comp1[Comparable '#1 Dates],Benchmark1[[#This Row],[Benchmark '#1 Dates]])=1,"Pass","Fail")</f>
        <v>Pass</v>
      </c>
      <c r="I17" s="6">
        <f>IF(Benchmark1[[#This Row],[Comparable '#1 Date Check]]="Pass",INDEX(Comp1[Comparable '#1 Price],MATCH(Benchmark1[[#This Row],[Benchmark '#1 Dates]],Comp1[Comparable '#1 Dates],0)),"-")</f>
        <v>15.37</v>
      </c>
      <c r="J17" s="22">
        <f>IF(Benchmark1[[#This Row],[Comparable '#1 Date Check]]="Pass",INDEX(Comp1[Comparable '#1 Return],MATCH(Benchmark1[[#This Row],[Benchmark '#1 Dates]],Comp1[Comparable '#1 Dates],0)),"-")</f>
        <v>2.0375335178756955E-2</v>
      </c>
      <c r="K17" s="1">
        <f>IFERROR(IF(Benchmark1[[#This Row],[Comparable '#1 Date Check]]="Pass",Benchmark1[[#This Row],[Comparable '#1 Return]]-Benchmark1[[#This Row],[Benchmark '#1 Return]],"-"),"-")</f>
        <v>2.3411159472391141E-2</v>
      </c>
      <c r="L17" s="1" t="str">
        <f>IF(COUNTIF(Comp2[Comparable '#2 Dates],Benchmark1[[#This Row],[Benchmark '#1 Dates]])=1,"Pass","Fail")</f>
        <v>Pass</v>
      </c>
      <c r="M17" s="6">
        <f>IF(Benchmark1[[#This Row],[Comparable '#2 Date Check]]="Pass",INDEX(Comp2[Comparable '#2 Price],MATCH(Benchmark1[[#This Row],[Benchmark '#1 Dates]],Comp2[Comparable '#2 Dates],0)),"-")</f>
        <v>55.05</v>
      </c>
      <c r="N17" s="22">
        <f>IF(Benchmark1[[#This Row],[Comparable '#2 Date Check]]="Pass",INDEX(Comp2[Comparable '#2 Return],MATCH(Benchmark1[[#This Row],[Benchmark '#1 Dates]],Comp2[Comparable '#2 Dates],0)),"-")</f>
        <v>6.3781537407533928E-3</v>
      </c>
      <c r="O17" s="1">
        <f>IFERROR(IF(Benchmark1[[#This Row],[Comparable '#2 Date Check]]="Pass",Benchmark1[[#This Row],[Comparable '#2 Return]]-Benchmark1[[#This Row],[Benchmark '#1 Return]],"-"),"-")</f>
        <v>9.4139780343875795E-3</v>
      </c>
      <c r="P17" s="1" t="str">
        <f>IF(COUNTIF(Comp3[Comparable '#3 Dates],Benchmark1[[#This Row],[Benchmark '#1 Dates]])=1,"Pass","Fail")</f>
        <v>Pass</v>
      </c>
      <c r="Q17" s="6">
        <f>IF(Benchmark1[[#This Row],[Comparable '#3 Date Check]]="Pass",INDEX(Comp3[Comparable '#3 Price],MATCH(Benchmark1[[#This Row],[Benchmark '#1 Dates]],Comp3[Comparable '#3 Dates],0)),"-")</f>
        <v>120.86</v>
      </c>
      <c r="R17" s="22">
        <f>IF(Benchmark1[[#This Row],[Comparable '#3 Date Check]]="Pass",INDEX(Comp3[Comparable '#3 Return],MATCH(Benchmark1[[#This Row],[Benchmark '#1 Dates]],Comp3[Comparable '#3 Dates],0)),"-")</f>
        <v>7.4744970526040688E-3</v>
      </c>
      <c r="S17" s="1">
        <f>IFERROR(IF(Benchmark1[[#This Row],[Comparable '#3 Date Check]]="Pass",Benchmark1[[#This Row],[Comparable '#3 Return]]-Benchmark1[[#This Row],[Benchmark '#1 Return]],"-"),"-")</f>
        <v>1.0510321346238255E-2</v>
      </c>
    </row>
    <row r="18" spans="1:19">
      <c r="A18" s="103">
        <v>43308</v>
      </c>
      <c r="B18" s="104">
        <v>2818.8176262961551</v>
      </c>
      <c r="C18" s="4">
        <f t="shared" si="0"/>
        <v>-6.5847165747660672E-3</v>
      </c>
      <c r="D18" s="1" t="str">
        <f>IF(COUNTIF(Target1[Target Dates],Benchmark1[[#This Row],[Benchmark '#1 Dates]])=1,"Pass","Fail")</f>
        <v>Pass</v>
      </c>
      <c r="E18" s="6">
        <f>IF(Benchmark1[[#This Row],[Target Date Check]]="Pass",INDEX(Target1[Target Price],MATCH(Benchmark1[[#This Row],[Benchmark '#1 Dates]],Target1[Target Dates],0)),"-")</f>
        <v>16.63</v>
      </c>
      <c r="F18" s="22">
        <f>IF(Benchmark1[[#This Row],[Target Date Check]]="Pass",INDEX(Target1[Target Return],MATCH(Benchmark1[[#This Row],[Benchmark '#1 Dates]],Target1[Target Dates],0)),"-")</f>
        <v>-7.7868018491008082E-3</v>
      </c>
      <c r="G18" s="1">
        <f>IFERROR(IF(Benchmark1[[#This Row],[Target Date Check]]="Pass",Benchmark1[[#This Row],[Target Return]]-Benchmark1[[#This Row],[Benchmark '#1 Return]],"-"),"-")</f>
        <v>-1.202085274334741E-3</v>
      </c>
      <c r="H18" s="1" t="str">
        <f>IF(COUNTIF(Comp1[Comparable '#1 Dates],Benchmark1[[#This Row],[Benchmark '#1 Dates]])=1,"Pass","Fail")</f>
        <v>Pass</v>
      </c>
      <c r="I18" s="6">
        <f>IF(Benchmark1[[#This Row],[Comparable '#1 Date Check]]="Pass",INDEX(Comp1[Comparable '#1 Price],MATCH(Benchmark1[[#This Row],[Benchmark '#1 Dates]],Comp1[Comparable '#1 Dates],0)),"-")</f>
        <v>15.27</v>
      </c>
      <c r="J18" s="22">
        <f>IF(Benchmark1[[#This Row],[Comparable '#1 Date Check]]="Pass",INDEX(Comp1[Comparable '#1 Return],MATCH(Benchmark1[[#This Row],[Benchmark '#1 Dates]],Comp1[Comparable '#1 Dates],0)),"-")</f>
        <v>-6.527438319963383E-3</v>
      </c>
      <c r="K18" s="1">
        <f>IFERROR(IF(Benchmark1[[#This Row],[Comparable '#1 Date Check]]="Pass",Benchmark1[[#This Row],[Comparable '#1 Return]]-Benchmark1[[#This Row],[Benchmark '#1 Return]],"-"),"-")</f>
        <v>5.7278254802684177E-5</v>
      </c>
      <c r="L18" s="1" t="str">
        <f>IF(COUNTIF(Comp2[Comparable '#2 Dates],Benchmark1[[#This Row],[Benchmark '#1 Dates]])=1,"Pass","Fail")</f>
        <v>Pass</v>
      </c>
      <c r="M18" s="6">
        <f>IF(Benchmark1[[#This Row],[Comparable '#2 Date Check]]="Pass",INDEX(Comp2[Comparable '#2 Price],MATCH(Benchmark1[[#This Row],[Benchmark '#1 Dates]],Comp2[Comparable '#2 Dates],0)),"-")</f>
        <v>54.8</v>
      </c>
      <c r="N18" s="22">
        <f>IF(Benchmark1[[#This Row],[Comparable '#2 Date Check]]="Pass",INDEX(Comp2[Comparable '#2 Return],MATCH(Benchmark1[[#This Row],[Benchmark '#1 Dates]],Comp2[Comparable '#2 Dates],0)),"-")</f>
        <v>-4.5516692147190754E-3</v>
      </c>
      <c r="O18" s="1">
        <f>IFERROR(IF(Benchmark1[[#This Row],[Comparable '#2 Date Check]]="Pass",Benchmark1[[#This Row],[Comparable '#2 Return]]-Benchmark1[[#This Row],[Benchmark '#1 Return]],"-"),"-")</f>
        <v>2.0330473600469919E-3</v>
      </c>
      <c r="P18" s="1" t="str">
        <f>IF(COUNTIF(Comp3[Comparable '#3 Dates],Benchmark1[[#This Row],[Benchmark '#1 Dates]])=1,"Pass","Fail")</f>
        <v>Pass</v>
      </c>
      <c r="Q18" s="6">
        <f>IF(Benchmark1[[#This Row],[Comparable '#3 Date Check]]="Pass",INDEX(Comp3[Comparable '#3 Price],MATCH(Benchmark1[[#This Row],[Benchmark '#1 Dates]],Comp3[Comparable '#3 Dates],0)),"-")</f>
        <v>119.56</v>
      </c>
      <c r="R18" s="22">
        <f>IF(Benchmark1[[#This Row],[Comparable '#3 Date Check]]="Pass",INDEX(Comp3[Comparable '#3 Return],MATCH(Benchmark1[[#This Row],[Benchmark '#1 Dates]],Comp3[Comparable '#3 Dates],0)),"-")</f>
        <v>-1.0814513517675303E-2</v>
      </c>
      <c r="S18" s="1">
        <f>IFERROR(IF(Benchmark1[[#This Row],[Comparable '#3 Date Check]]="Pass",Benchmark1[[#This Row],[Comparable '#3 Return]]-Benchmark1[[#This Row],[Benchmark '#1 Return]],"-"),"-")</f>
        <v>-4.229796942909236E-3</v>
      </c>
    </row>
    <row r="19" spans="1:19">
      <c r="A19" s="103">
        <v>43311</v>
      </c>
      <c r="B19" s="104">
        <v>2802.6014458430391</v>
      </c>
      <c r="C19" s="4">
        <f t="shared" si="0"/>
        <v>-5.7694419243943026E-3</v>
      </c>
      <c r="D19" s="1" t="str">
        <f>IF(COUNTIF(Target1[Target Dates],Benchmark1[[#This Row],[Benchmark '#1 Dates]])=1,"Pass","Fail")</f>
        <v>Pass</v>
      </c>
      <c r="E19" s="6">
        <f>IF(Benchmark1[[#This Row],[Target Date Check]]="Pass",INDEX(Target1[Target Price],MATCH(Benchmark1[[#This Row],[Benchmark '#1 Dates]],Target1[Target Dates],0)),"-")</f>
        <v>16.46</v>
      </c>
      <c r="F19" s="22">
        <f>IF(Benchmark1[[#This Row],[Target Date Check]]="Pass",INDEX(Target1[Target Return],MATCH(Benchmark1[[#This Row],[Benchmark '#1 Dates]],Target1[Target Dates],0)),"-")</f>
        <v>-1.0275097955912492E-2</v>
      </c>
      <c r="G19" s="1">
        <f>IFERROR(IF(Benchmark1[[#This Row],[Target Date Check]]="Pass",Benchmark1[[#This Row],[Target Return]]-Benchmark1[[#This Row],[Benchmark '#1 Return]],"-"),"-")</f>
        <v>-4.5056560315181893E-3</v>
      </c>
      <c r="H19" s="1" t="str">
        <f>IF(COUNTIF(Comp1[Comparable '#1 Dates],Benchmark1[[#This Row],[Benchmark '#1 Dates]])=1,"Pass","Fail")</f>
        <v>Pass</v>
      </c>
      <c r="I19" s="6">
        <f>IF(Benchmark1[[#This Row],[Comparable '#1 Date Check]]="Pass",INDEX(Comp1[Comparable '#1 Price],MATCH(Benchmark1[[#This Row],[Benchmark '#1 Dates]],Comp1[Comparable '#1 Dates],0)),"-")</f>
        <v>14.33</v>
      </c>
      <c r="J19" s="22">
        <f>IF(Benchmark1[[#This Row],[Comparable '#1 Date Check]]="Pass",INDEX(Comp1[Comparable '#1 Return],MATCH(Benchmark1[[#This Row],[Benchmark '#1 Dates]],Comp1[Comparable '#1 Dates],0)),"-")</f>
        <v>-6.3534877390460487E-2</v>
      </c>
      <c r="K19" s="1">
        <f>IFERROR(IF(Benchmark1[[#This Row],[Comparable '#1 Date Check]]="Pass",Benchmark1[[#This Row],[Comparable '#1 Return]]-Benchmark1[[#This Row],[Benchmark '#1 Return]],"-"),"-")</f>
        <v>-5.7765435466066183E-2</v>
      </c>
      <c r="L19" s="1" t="str">
        <f>IF(COUNTIF(Comp2[Comparable '#2 Dates],Benchmark1[[#This Row],[Benchmark '#1 Dates]])=1,"Pass","Fail")</f>
        <v>Pass</v>
      </c>
      <c r="M19" s="6">
        <f>IF(Benchmark1[[#This Row],[Comparable '#2 Date Check]]="Pass",INDEX(Comp2[Comparable '#2 Price],MATCH(Benchmark1[[#This Row],[Benchmark '#1 Dates]],Comp2[Comparable '#2 Dates],0)),"-")</f>
        <v>54.75</v>
      </c>
      <c r="N19" s="22">
        <f>IF(Benchmark1[[#This Row],[Comparable '#2 Date Check]]="Pass",INDEX(Comp2[Comparable '#2 Return],MATCH(Benchmark1[[#This Row],[Benchmark '#1 Dates]],Comp2[Comparable '#2 Dates],0)),"-")</f>
        <v>-9.1282525735957791E-4</v>
      </c>
      <c r="O19" s="1">
        <f>IFERROR(IF(Benchmark1[[#This Row],[Comparable '#2 Date Check]]="Pass",Benchmark1[[#This Row],[Comparable '#2 Return]]-Benchmark1[[#This Row],[Benchmark '#1 Return]],"-"),"-")</f>
        <v>4.8566166670347246E-3</v>
      </c>
      <c r="P19" s="1" t="str">
        <f>IF(COUNTIF(Comp3[Comparable '#3 Dates],Benchmark1[[#This Row],[Benchmark '#1 Dates]])=1,"Pass","Fail")</f>
        <v>Pass</v>
      </c>
      <c r="Q19" s="6">
        <f>IF(Benchmark1[[#This Row],[Comparable '#3 Date Check]]="Pass",INDEX(Comp3[Comparable '#3 Price],MATCH(Benchmark1[[#This Row],[Benchmark '#1 Dates]],Comp3[Comparable '#3 Dates],0)),"-")</f>
        <v>119.03</v>
      </c>
      <c r="R19" s="22">
        <f>IF(Benchmark1[[#This Row],[Comparable '#3 Date Check]]="Pass",INDEX(Comp3[Comparable '#3 Return],MATCH(Benchmark1[[#This Row],[Benchmark '#1 Dates]],Comp3[Comparable '#3 Dates],0)),"-")</f>
        <v>-4.442775235948767E-3</v>
      </c>
      <c r="S19" s="1">
        <f>IFERROR(IF(Benchmark1[[#This Row],[Comparable '#3 Date Check]]="Pass",Benchmark1[[#This Row],[Comparable '#3 Return]]-Benchmark1[[#This Row],[Benchmark '#1 Return]],"-"),"-")</f>
        <v>1.3266666884455356E-3</v>
      </c>
    </row>
    <row r="20" spans="1:19">
      <c r="A20" s="103">
        <v>43312</v>
      </c>
      <c r="B20" s="104">
        <v>2816.2886310911194</v>
      </c>
      <c r="C20" s="4">
        <f t="shared" si="0"/>
        <v>4.8718562323719237E-3</v>
      </c>
      <c r="D20" s="1" t="str">
        <f>IF(COUNTIF(Target1[Target Dates],Benchmark1[[#This Row],[Benchmark '#1 Dates]])=1,"Pass","Fail")</f>
        <v>Pass</v>
      </c>
      <c r="E20" s="6">
        <f>IF(Benchmark1[[#This Row],[Target Date Check]]="Pass",INDEX(Target1[Target Price],MATCH(Benchmark1[[#This Row],[Benchmark '#1 Dates]],Target1[Target Dates],0)),"-")</f>
        <v>16.36</v>
      </c>
      <c r="F20" s="22">
        <f>IF(Benchmark1[[#This Row],[Target Date Check]]="Pass",INDEX(Target1[Target Return],MATCH(Benchmark1[[#This Row],[Benchmark '#1 Dates]],Target1[Target Dates],0)),"-")</f>
        <v>-6.0938640743228916E-3</v>
      </c>
      <c r="G20" s="1">
        <f>IFERROR(IF(Benchmark1[[#This Row],[Target Date Check]]="Pass",Benchmark1[[#This Row],[Target Return]]-Benchmark1[[#This Row],[Benchmark '#1 Return]],"-"),"-")</f>
        <v>-1.0965720306694815E-2</v>
      </c>
      <c r="H20" s="1" t="str">
        <f>IF(COUNTIF(Comp1[Comparable '#1 Dates],Benchmark1[[#This Row],[Benchmark '#1 Dates]])=1,"Pass","Fail")</f>
        <v>Pass</v>
      </c>
      <c r="I20" s="6">
        <f>IF(Benchmark1[[#This Row],[Comparable '#1 Date Check]]="Pass",INDEX(Comp1[Comparable '#1 Price],MATCH(Benchmark1[[#This Row],[Benchmark '#1 Dates]],Comp1[Comparable '#1 Dates],0)),"-")</f>
        <v>14.81</v>
      </c>
      <c r="J20" s="22">
        <f>IF(Benchmark1[[#This Row],[Comparable '#1 Date Check]]="Pass",INDEX(Comp1[Comparable '#1 Return],MATCH(Benchmark1[[#This Row],[Benchmark '#1 Dates]],Comp1[Comparable '#1 Dates],0)),"-")</f>
        <v>3.2947386439626865E-2</v>
      </c>
      <c r="K20" s="1">
        <f>IFERROR(IF(Benchmark1[[#This Row],[Comparable '#1 Date Check]]="Pass",Benchmark1[[#This Row],[Comparable '#1 Return]]-Benchmark1[[#This Row],[Benchmark '#1 Return]],"-"),"-")</f>
        <v>2.807553020725494E-2</v>
      </c>
      <c r="L20" s="1" t="str">
        <f>IF(COUNTIF(Comp2[Comparable '#2 Dates],Benchmark1[[#This Row],[Benchmark '#1 Dates]])=1,"Pass","Fail")</f>
        <v>Pass</v>
      </c>
      <c r="M20" s="6">
        <f>IF(Benchmark1[[#This Row],[Comparable '#2 Date Check]]="Pass",INDEX(Comp2[Comparable '#2 Price],MATCH(Benchmark1[[#This Row],[Benchmark '#1 Dates]],Comp2[Comparable '#2 Dates],0)),"-")</f>
        <v>54.55</v>
      </c>
      <c r="N20" s="22">
        <f>IF(Benchmark1[[#This Row],[Comparable '#2 Date Check]]="Pass",INDEX(Comp2[Comparable '#2 Return],MATCH(Benchmark1[[#This Row],[Benchmark '#1 Dates]],Comp2[Comparable '#2 Dates],0)),"-")</f>
        <v>-3.6596564175303986E-3</v>
      </c>
      <c r="O20" s="1">
        <f>IFERROR(IF(Benchmark1[[#This Row],[Comparable '#2 Date Check]]="Pass",Benchmark1[[#This Row],[Comparable '#2 Return]]-Benchmark1[[#This Row],[Benchmark '#1 Return]],"-"),"-")</f>
        <v>-8.5315126499023227E-3</v>
      </c>
      <c r="P20" s="1" t="str">
        <f>IF(COUNTIF(Comp3[Comparable '#3 Dates],Benchmark1[[#This Row],[Benchmark '#1 Dates]])=1,"Pass","Fail")</f>
        <v>Pass</v>
      </c>
      <c r="Q20" s="6">
        <f>IF(Benchmark1[[#This Row],[Comparable '#3 Date Check]]="Pass",INDEX(Comp3[Comparable '#3 Price],MATCH(Benchmark1[[#This Row],[Benchmark '#1 Dates]],Comp3[Comparable '#3 Dates],0)),"-")</f>
        <v>117.84</v>
      </c>
      <c r="R20" s="22">
        <f>IF(Benchmark1[[#This Row],[Comparable '#3 Date Check]]="Pass",INDEX(Comp3[Comparable '#3 Return],MATCH(Benchmark1[[#This Row],[Benchmark '#1 Dates]],Comp3[Comparable '#3 Dates],0)),"-")</f>
        <v>-1.0047790025413608E-2</v>
      </c>
      <c r="S20" s="1">
        <f>IFERROR(IF(Benchmark1[[#This Row],[Comparable '#3 Date Check]]="Pass",Benchmark1[[#This Row],[Comparable '#3 Return]]-Benchmark1[[#This Row],[Benchmark '#1 Return]],"-"),"-")</f>
        <v>-1.4919646257785531E-2</v>
      </c>
    </row>
    <row r="21" spans="1:19">
      <c r="A21" s="103">
        <v>43313</v>
      </c>
      <c r="B21" s="104">
        <v>2813.3649089529922</v>
      </c>
      <c r="C21" s="4">
        <f t="shared" si="0"/>
        <v>-1.0386864414266748E-3</v>
      </c>
      <c r="D21" s="1" t="str">
        <f>IF(COUNTIF(Target1[Target Dates],Benchmark1[[#This Row],[Benchmark '#1 Dates]])=1,"Pass","Fail")</f>
        <v>Pass</v>
      </c>
      <c r="E21" s="6">
        <f>IF(Benchmark1[[#This Row],[Target Date Check]]="Pass",INDEX(Target1[Target Price],MATCH(Benchmark1[[#This Row],[Benchmark '#1 Dates]],Target1[Target Dates],0)),"-")</f>
        <v>16.39</v>
      </c>
      <c r="F21" s="22">
        <f>IF(Benchmark1[[#This Row],[Target Date Check]]="Pass",INDEX(Target1[Target Return],MATCH(Benchmark1[[#This Row],[Benchmark '#1 Dates]],Target1[Target Dates],0)),"-")</f>
        <v>1.832061581137315E-3</v>
      </c>
      <c r="G21" s="1">
        <f>IFERROR(IF(Benchmark1[[#This Row],[Target Date Check]]="Pass",Benchmark1[[#This Row],[Target Return]]-Benchmark1[[#This Row],[Benchmark '#1 Return]],"-"),"-")</f>
        <v>2.87074802256399E-3</v>
      </c>
      <c r="H21" s="1" t="str">
        <f>IF(COUNTIF(Comp1[Comparable '#1 Dates],Benchmark1[[#This Row],[Benchmark '#1 Dates]])=1,"Pass","Fail")</f>
        <v>Pass</v>
      </c>
      <c r="I21" s="6">
        <f>IF(Benchmark1[[#This Row],[Comparable '#1 Date Check]]="Pass",INDEX(Comp1[Comparable '#1 Price],MATCH(Benchmark1[[#This Row],[Benchmark '#1 Dates]],Comp1[Comparable '#1 Dates],0)),"-")</f>
        <v>15.01</v>
      </c>
      <c r="J21" s="22">
        <f>IF(Benchmark1[[#This Row],[Comparable '#1 Date Check]]="Pass",INDEX(Comp1[Comparable '#1 Return],MATCH(Benchmark1[[#This Row],[Benchmark '#1 Dates]],Comp1[Comparable '#1 Dates],0)),"-")</f>
        <v>1.3414017365663137E-2</v>
      </c>
      <c r="K21" s="1">
        <f>IFERROR(IF(Benchmark1[[#This Row],[Comparable '#1 Date Check]]="Pass",Benchmark1[[#This Row],[Comparable '#1 Return]]-Benchmark1[[#This Row],[Benchmark '#1 Return]],"-"),"-")</f>
        <v>1.4452703807089812E-2</v>
      </c>
      <c r="L21" s="1" t="str">
        <f>IF(COUNTIF(Comp2[Comparable '#2 Dates],Benchmark1[[#This Row],[Benchmark '#1 Dates]])=1,"Pass","Fail")</f>
        <v>Pass</v>
      </c>
      <c r="M21" s="6">
        <f>IF(Benchmark1[[#This Row],[Comparable '#2 Date Check]]="Pass",INDEX(Comp2[Comparable '#2 Price],MATCH(Benchmark1[[#This Row],[Benchmark '#1 Dates]],Comp2[Comparable '#2 Dates],0)),"-")</f>
        <v>55.55</v>
      </c>
      <c r="N21" s="22">
        <f>IF(Benchmark1[[#This Row],[Comparable '#2 Date Check]]="Pass",INDEX(Comp2[Comparable '#2 Return],MATCH(Benchmark1[[#This Row],[Benchmark '#1 Dates]],Comp2[Comparable '#2 Dates],0)),"-")</f>
        <v>1.8165803806559272E-2</v>
      </c>
      <c r="O21" s="1">
        <f>IFERROR(IF(Benchmark1[[#This Row],[Comparable '#2 Date Check]]="Pass",Benchmark1[[#This Row],[Comparable '#2 Return]]-Benchmark1[[#This Row],[Benchmark '#1 Return]],"-"),"-")</f>
        <v>1.9204490247985945E-2</v>
      </c>
      <c r="P21" s="1" t="str">
        <f>IF(COUNTIF(Comp3[Comparable '#3 Dates],Benchmark1[[#This Row],[Benchmark '#1 Dates]])=1,"Pass","Fail")</f>
        <v>Pass</v>
      </c>
      <c r="Q21" s="6">
        <f>IF(Benchmark1[[#This Row],[Comparable '#3 Date Check]]="Pass",INDEX(Comp3[Comparable '#3 Price],MATCH(Benchmark1[[#This Row],[Benchmark '#1 Dates]],Comp3[Comparable '#3 Dates],0)),"-")</f>
        <v>131.56</v>
      </c>
      <c r="R21" s="22">
        <f>IF(Benchmark1[[#This Row],[Comparable '#3 Date Check]]="Pass",INDEX(Comp3[Comparable '#3 Return],MATCH(Benchmark1[[#This Row],[Benchmark '#1 Dates]],Comp3[Comparable '#3 Dates],0)),"-")</f>
        <v>0.11013524916648147</v>
      </c>
      <c r="S21" s="1">
        <f>IFERROR(IF(Benchmark1[[#This Row],[Comparable '#3 Date Check]]="Pass",Benchmark1[[#This Row],[Comparable '#3 Return]]-Benchmark1[[#This Row],[Benchmark '#1 Return]],"-"),"-")</f>
        <v>0.11117393560790814</v>
      </c>
    </row>
    <row r="22" spans="1:19">
      <c r="A22" s="103">
        <v>43314</v>
      </c>
      <c r="B22" s="104">
        <v>2827.2182583861872</v>
      </c>
      <c r="C22" s="4">
        <f t="shared" si="0"/>
        <v>4.9120372404025184E-3</v>
      </c>
      <c r="D22" s="1" t="str">
        <f>IF(COUNTIF(Target1[Target Dates],Benchmark1[[#This Row],[Benchmark '#1 Dates]])=1,"Pass","Fail")</f>
        <v>Pass</v>
      </c>
      <c r="E22" s="6">
        <f>IF(Benchmark1[[#This Row],[Target Date Check]]="Pass",INDEX(Target1[Target Price],MATCH(Benchmark1[[#This Row],[Benchmark '#1 Dates]],Target1[Target Dates],0)),"-")</f>
        <v>16.32</v>
      </c>
      <c r="F22" s="22">
        <f>IF(Benchmark1[[#This Row],[Target Date Check]]="Pass",INDEX(Target1[Target Return],MATCH(Benchmark1[[#This Row],[Benchmark '#1 Dates]],Target1[Target Dates],0)),"-")</f>
        <v>-4.280043219777401E-3</v>
      </c>
      <c r="G22" s="1">
        <f>IFERROR(IF(Benchmark1[[#This Row],[Target Date Check]]="Pass",Benchmark1[[#This Row],[Target Return]]-Benchmark1[[#This Row],[Benchmark '#1 Return]],"-"),"-")</f>
        <v>-9.1920804601799203E-3</v>
      </c>
      <c r="H22" s="1" t="str">
        <f>IF(COUNTIF(Comp1[Comparable '#1 Dates],Benchmark1[[#This Row],[Benchmark '#1 Dates]])=1,"Pass","Fail")</f>
        <v>Pass</v>
      </c>
      <c r="I22" s="6">
        <f>IF(Benchmark1[[#This Row],[Comparable '#1 Date Check]]="Pass",INDEX(Comp1[Comparable '#1 Price],MATCH(Benchmark1[[#This Row],[Benchmark '#1 Dates]],Comp1[Comparable '#1 Dates],0)),"-")</f>
        <v>14.89</v>
      </c>
      <c r="J22" s="22">
        <f>IF(Benchmark1[[#This Row],[Comparable '#1 Date Check]]="Pass",INDEX(Comp1[Comparable '#1 Return],MATCH(Benchmark1[[#This Row],[Benchmark '#1 Dates]],Comp1[Comparable '#1 Dates],0)),"-")</f>
        <v>-8.0267989494528773E-3</v>
      </c>
      <c r="K22" s="1">
        <f>IFERROR(IF(Benchmark1[[#This Row],[Comparable '#1 Date Check]]="Pass",Benchmark1[[#This Row],[Comparable '#1 Return]]-Benchmark1[[#This Row],[Benchmark '#1 Return]],"-"),"-")</f>
        <v>-1.2938836189855396E-2</v>
      </c>
      <c r="L22" s="1" t="str">
        <f>IF(COUNTIF(Comp2[Comparable '#2 Dates],Benchmark1[[#This Row],[Benchmark '#1 Dates]])=1,"Pass","Fail")</f>
        <v>Pass</v>
      </c>
      <c r="M22" s="6">
        <f>IF(Benchmark1[[#This Row],[Comparable '#2 Date Check]]="Pass",INDEX(Comp2[Comparable '#2 Price],MATCH(Benchmark1[[#This Row],[Benchmark '#1 Dates]],Comp2[Comparable '#2 Dates],0)),"-")</f>
        <v>55.5</v>
      </c>
      <c r="N22" s="22">
        <f>IF(Benchmark1[[#This Row],[Comparable '#2 Date Check]]="Pass",INDEX(Comp2[Comparable '#2 Return],MATCH(Benchmark1[[#This Row],[Benchmark '#1 Dates]],Comp2[Comparable '#2 Dates],0)),"-")</f>
        <v>-9.0049533325009513E-4</v>
      </c>
      <c r="O22" s="1">
        <f>IFERROR(IF(Benchmark1[[#This Row],[Comparable '#2 Date Check]]="Pass",Benchmark1[[#This Row],[Comparable '#2 Return]]-Benchmark1[[#This Row],[Benchmark '#1 Return]],"-"),"-")</f>
        <v>-5.8125325736526137E-3</v>
      </c>
      <c r="P22" s="1" t="str">
        <f>IF(COUNTIF(Comp3[Comparable '#3 Dates],Benchmark1[[#This Row],[Benchmark '#1 Dates]])=1,"Pass","Fail")</f>
        <v>Pass</v>
      </c>
      <c r="Q22" s="6">
        <f>IF(Benchmark1[[#This Row],[Comparable '#3 Date Check]]="Pass",INDEX(Comp3[Comparable '#3 Price],MATCH(Benchmark1[[#This Row],[Benchmark '#1 Dates]],Comp3[Comparable '#3 Dates],0)),"-")</f>
        <v>126.42</v>
      </c>
      <c r="R22" s="22">
        <f>IF(Benchmark1[[#This Row],[Comparable '#3 Date Check]]="Pass",INDEX(Comp3[Comparable '#3 Return],MATCH(Benchmark1[[#This Row],[Benchmark '#1 Dates]],Comp3[Comparable '#3 Dates],0)),"-")</f>
        <v>-3.985332427670351E-2</v>
      </c>
      <c r="S22" s="1">
        <f>IFERROR(IF(Benchmark1[[#This Row],[Comparable '#3 Date Check]]="Pass",Benchmark1[[#This Row],[Comparable '#3 Return]]-Benchmark1[[#This Row],[Benchmark '#1 Return]],"-"),"-")</f>
        <v>-4.4765361517106028E-2</v>
      </c>
    </row>
    <row r="23" spans="1:19">
      <c r="A23" s="103">
        <v>43315</v>
      </c>
      <c r="B23" s="104">
        <v>2840.3535543807711</v>
      </c>
      <c r="C23" s="4">
        <f t="shared" si="0"/>
        <v>4.6352547252357153E-3</v>
      </c>
      <c r="D23" s="1" t="str">
        <f>IF(COUNTIF(Target1[Target Dates],Benchmark1[[#This Row],[Benchmark '#1 Dates]])=1,"Pass","Fail")</f>
        <v>Pass</v>
      </c>
      <c r="E23" s="6">
        <f>IF(Benchmark1[[#This Row],[Target Date Check]]="Pass",INDEX(Target1[Target Price],MATCH(Benchmark1[[#This Row],[Benchmark '#1 Dates]],Target1[Target Dates],0)),"-")</f>
        <v>16.21</v>
      </c>
      <c r="F23" s="22">
        <f>IF(Benchmark1[[#This Row],[Target Date Check]]="Pass",INDEX(Target1[Target Return],MATCH(Benchmark1[[#This Row],[Benchmark '#1 Dates]],Target1[Target Dates],0)),"-")</f>
        <v>-6.7630137883761925E-3</v>
      </c>
      <c r="G23" s="1">
        <f>IFERROR(IF(Benchmark1[[#This Row],[Target Date Check]]="Pass",Benchmark1[[#This Row],[Target Return]]-Benchmark1[[#This Row],[Benchmark '#1 Return]],"-"),"-")</f>
        <v>-1.1398268513611908E-2</v>
      </c>
      <c r="H23" s="1" t="str">
        <f>IF(COUNTIF(Comp1[Comparable '#1 Dates],Benchmark1[[#This Row],[Benchmark '#1 Dates]])=1,"Pass","Fail")</f>
        <v>Pass</v>
      </c>
      <c r="I23" s="6">
        <f>IF(Benchmark1[[#This Row],[Comparable '#1 Date Check]]="Pass",INDEX(Comp1[Comparable '#1 Price],MATCH(Benchmark1[[#This Row],[Benchmark '#1 Dates]],Comp1[Comparable '#1 Dates],0)),"-")</f>
        <v>14.68</v>
      </c>
      <c r="J23" s="22">
        <f>IF(Benchmark1[[#This Row],[Comparable '#1 Date Check]]="Pass",INDEX(Comp1[Comparable '#1 Return],MATCH(Benchmark1[[#This Row],[Benchmark '#1 Dates]],Comp1[Comparable '#1 Dates],0)),"-")</f>
        <v>-1.4203823509548153E-2</v>
      </c>
      <c r="K23" s="1">
        <f>IFERROR(IF(Benchmark1[[#This Row],[Comparable '#1 Date Check]]="Pass",Benchmark1[[#This Row],[Comparable '#1 Return]]-Benchmark1[[#This Row],[Benchmark '#1 Return]],"-"),"-")</f>
        <v>-1.8839078234783868E-2</v>
      </c>
      <c r="L23" s="1" t="str">
        <f>IF(COUNTIF(Comp2[Comparable '#2 Dates],Benchmark1[[#This Row],[Benchmark '#1 Dates]])=1,"Pass","Fail")</f>
        <v>Pass</v>
      </c>
      <c r="M23" s="6">
        <f>IF(Benchmark1[[#This Row],[Comparable '#2 Date Check]]="Pass",INDEX(Comp2[Comparable '#2 Price],MATCH(Benchmark1[[#This Row],[Benchmark '#1 Dates]],Comp2[Comparable '#2 Dates],0)),"-")</f>
        <v>55.2</v>
      </c>
      <c r="N23" s="22">
        <f>IF(Benchmark1[[#This Row],[Comparable '#2 Date Check]]="Pass",INDEX(Comp2[Comparable '#2 Return],MATCH(Benchmark1[[#This Row],[Benchmark '#1 Dates]],Comp2[Comparable '#2 Dates],0)),"-")</f>
        <v>-5.4200674693391446E-3</v>
      </c>
      <c r="O23" s="1">
        <f>IFERROR(IF(Benchmark1[[#This Row],[Comparable '#2 Date Check]]="Pass",Benchmark1[[#This Row],[Comparable '#2 Return]]-Benchmark1[[#This Row],[Benchmark '#1 Return]],"-"),"-")</f>
        <v>-1.005532219457486E-2</v>
      </c>
      <c r="P23" s="1" t="str">
        <f>IF(COUNTIF(Comp3[Comparable '#3 Dates],Benchmark1[[#This Row],[Benchmark '#1 Dates]])=1,"Pass","Fail")</f>
        <v>Pass</v>
      </c>
      <c r="Q23" s="6">
        <f>IF(Benchmark1[[#This Row],[Comparable '#3 Date Check]]="Pass",INDEX(Comp3[Comparable '#3 Price],MATCH(Benchmark1[[#This Row],[Benchmark '#1 Dates]],Comp3[Comparable '#3 Dates],0)),"-")</f>
        <v>122.62</v>
      </c>
      <c r="R23" s="22">
        <f>IF(Benchmark1[[#This Row],[Comparable '#3 Date Check]]="Pass",INDEX(Comp3[Comparable '#3 Return],MATCH(Benchmark1[[#This Row],[Benchmark '#1 Dates]],Comp3[Comparable '#3 Dates],0)),"-")</f>
        <v>-3.0519554709610729E-2</v>
      </c>
      <c r="S23" s="1">
        <f>IFERROR(IF(Benchmark1[[#This Row],[Comparable '#3 Date Check]]="Pass",Benchmark1[[#This Row],[Comparable '#3 Return]]-Benchmark1[[#This Row],[Benchmark '#1 Return]],"-"),"-")</f>
        <v>-3.5154809434846446E-2</v>
      </c>
    </row>
    <row r="24" spans="1:19">
      <c r="A24" s="103">
        <v>43318</v>
      </c>
      <c r="B24" s="104">
        <v>2850.3965780044537</v>
      </c>
      <c r="C24" s="4">
        <f t="shared" si="0"/>
        <v>3.5295993731719673E-3</v>
      </c>
      <c r="D24" s="1" t="str">
        <f>IF(COUNTIF(Target1[Target Dates],Benchmark1[[#This Row],[Benchmark '#1 Dates]])=1,"Pass","Fail")</f>
        <v>Pass</v>
      </c>
      <c r="E24" s="6">
        <f>IF(Benchmark1[[#This Row],[Target Date Check]]="Pass",INDEX(Target1[Target Price],MATCH(Benchmark1[[#This Row],[Benchmark '#1 Dates]],Target1[Target Dates],0)),"-")</f>
        <v>16.170000000000002</v>
      </c>
      <c r="F24" s="22">
        <f>IF(Benchmark1[[#This Row],[Target Date Check]]="Pass",INDEX(Target1[Target Return],MATCH(Benchmark1[[#This Row],[Benchmark '#1 Dates]],Target1[Target Dates],0)),"-")</f>
        <v>-2.4706621585691602E-3</v>
      </c>
      <c r="G24" s="1">
        <f>IFERROR(IF(Benchmark1[[#This Row],[Target Date Check]]="Pass",Benchmark1[[#This Row],[Target Return]]-Benchmark1[[#This Row],[Benchmark '#1 Return]],"-"),"-")</f>
        <v>-6.0002615317411275E-3</v>
      </c>
      <c r="H24" s="1" t="str">
        <f>IF(COUNTIF(Comp1[Comparable '#1 Dates],Benchmark1[[#This Row],[Benchmark '#1 Dates]])=1,"Pass","Fail")</f>
        <v>Pass</v>
      </c>
      <c r="I24" s="6">
        <f>IF(Benchmark1[[#This Row],[Comparable '#1 Date Check]]="Pass",INDEX(Comp1[Comparable '#1 Price],MATCH(Benchmark1[[#This Row],[Benchmark '#1 Dates]],Comp1[Comparable '#1 Dates],0)),"-")</f>
        <v>14.7</v>
      </c>
      <c r="J24" s="22">
        <f>IF(Benchmark1[[#This Row],[Comparable '#1 Date Check]]="Pass",INDEX(Comp1[Comparable '#1 Return],MATCH(Benchmark1[[#This Row],[Benchmark '#1 Dates]],Comp1[Comparable '#1 Dates],0)),"-")</f>
        <v>1.3614705983211706E-3</v>
      </c>
      <c r="K24" s="1">
        <f>IFERROR(IF(Benchmark1[[#This Row],[Comparable '#1 Date Check]]="Pass",Benchmark1[[#This Row],[Comparable '#1 Return]]-Benchmark1[[#This Row],[Benchmark '#1 Return]],"-"),"-")</f>
        <v>-2.1681287748507964E-3</v>
      </c>
      <c r="L24" s="1" t="str">
        <f>IF(COUNTIF(Comp2[Comparable '#2 Dates],Benchmark1[[#This Row],[Benchmark '#1 Dates]])=1,"Pass","Fail")</f>
        <v>Pass</v>
      </c>
      <c r="M24" s="6">
        <f>IF(Benchmark1[[#This Row],[Comparable '#2 Date Check]]="Pass",INDEX(Comp2[Comparable '#2 Price],MATCH(Benchmark1[[#This Row],[Benchmark '#1 Dates]],Comp2[Comparable '#2 Dates],0)),"-")</f>
        <v>55.25</v>
      </c>
      <c r="N24" s="22">
        <f>IF(Benchmark1[[#This Row],[Comparable '#2 Date Check]]="Pass",INDEX(Comp2[Comparable '#2 Return],MATCH(Benchmark1[[#This Row],[Benchmark '#1 Dates]],Comp2[Comparable '#2 Dates],0)),"-")</f>
        <v>9.0538711481251964E-4</v>
      </c>
      <c r="O24" s="1">
        <f>IFERROR(IF(Benchmark1[[#This Row],[Comparable '#2 Date Check]]="Pass",Benchmark1[[#This Row],[Comparable '#2 Return]]-Benchmark1[[#This Row],[Benchmark '#1 Return]],"-"),"-")</f>
        <v>-2.6242122583594474E-3</v>
      </c>
      <c r="P24" s="1" t="str">
        <f>IF(COUNTIF(Comp3[Comparable '#3 Dates],Benchmark1[[#This Row],[Benchmark '#1 Dates]])=1,"Pass","Fail")</f>
        <v>Pass</v>
      </c>
      <c r="Q24" s="6">
        <f>IF(Benchmark1[[#This Row],[Comparable '#3 Date Check]]="Pass",INDEX(Comp3[Comparable '#3 Price],MATCH(Benchmark1[[#This Row],[Benchmark '#1 Dates]],Comp3[Comparable '#3 Dates],0)),"-")</f>
        <v>123.19</v>
      </c>
      <c r="R24" s="22">
        <f>IF(Benchmark1[[#This Row],[Comparable '#3 Date Check]]="Pass",INDEX(Comp3[Comparable '#3 Return],MATCH(Benchmark1[[#This Row],[Benchmark '#1 Dates]],Comp3[Comparable '#3 Dates],0)),"-")</f>
        <v>4.6377366393409005E-3</v>
      </c>
      <c r="S24" s="1">
        <f>IFERROR(IF(Benchmark1[[#This Row],[Comparable '#3 Date Check]]="Pass",Benchmark1[[#This Row],[Comparable '#3 Return]]-Benchmark1[[#This Row],[Benchmark '#1 Return]],"-"),"-")</f>
        <v>1.1081372661689332E-3</v>
      </c>
    </row>
    <row r="25" spans="1:19">
      <c r="A25" s="103">
        <v>43319</v>
      </c>
      <c r="B25" s="104">
        <v>2858.4515094494045</v>
      </c>
      <c r="C25" s="4">
        <f t="shared" si="0"/>
        <v>2.8219131659504605E-3</v>
      </c>
      <c r="D25" s="1" t="str">
        <f>IF(COUNTIF(Target1[Target Dates],Benchmark1[[#This Row],[Benchmark '#1 Dates]])=1,"Pass","Fail")</f>
        <v>Pass</v>
      </c>
      <c r="E25" s="6">
        <f>IF(Benchmark1[[#This Row],[Target Date Check]]="Pass",INDEX(Target1[Target Price],MATCH(Benchmark1[[#This Row],[Benchmark '#1 Dates]],Target1[Target Dates],0)),"-")</f>
        <v>16.190000000000001</v>
      </c>
      <c r="F25" s="22">
        <f>IF(Benchmark1[[#This Row],[Target Date Check]]="Pass",INDEX(Target1[Target Return],MATCH(Benchmark1[[#This Row],[Benchmark '#1 Dates]],Target1[Target Dates],0)),"-")</f>
        <v>1.236094100528306E-3</v>
      </c>
      <c r="G25" s="1">
        <f>IFERROR(IF(Benchmark1[[#This Row],[Target Date Check]]="Pass",Benchmark1[[#This Row],[Target Return]]-Benchmark1[[#This Row],[Benchmark '#1 Return]],"-"),"-")</f>
        <v>-1.5858190654221545E-3</v>
      </c>
      <c r="H25" s="1" t="str">
        <f>IF(COUNTIF(Comp1[Comparable '#1 Dates],Benchmark1[[#This Row],[Benchmark '#1 Dates]])=1,"Pass","Fail")</f>
        <v>Pass</v>
      </c>
      <c r="I25" s="6">
        <f>IF(Benchmark1[[#This Row],[Comparable '#1 Date Check]]="Pass",INDEX(Comp1[Comparable '#1 Price],MATCH(Benchmark1[[#This Row],[Benchmark '#1 Dates]],Comp1[Comparable '#1 Dates],0)),"-")</f>
        <v>14.7</v>
      </c>
      <c r="J25" s="22">
        <f>IF(Benchmark1[[#This Row],[Comparable '#1 Date Check]]="Pass",INDEX(Comp1[Comparable '#1 Return],MATCH(Benchmark1[[#This Row],[Benchmark '#1 Dates]],Comp1[Comparable '#1 Dates],0)),"-")</f>
        <v>0</v>
      </c>
      <c r="K25" s="1">
        <f>IFERROR(IF(Benchmark1[[#This Row],[Comparable '#1 Date Check]]="Pass",Benchmark1[[#This Row],[Comparable '#1 Return]]-Benchmark1[[#This Row],[Benchmark '#1 Return]],"-"),"-")</f>
        <v>-2.8219131659504605E-3</v>
      </c>
      <c r="L25" s="1" t="str">
        <f>IF(COUNTIF(Comp2[Comparable '#2 Dates],Benchmark1[[#This Row],[Benchmark '#1 Dates]])=1,"Pass","Fail")</f>
        <v>Pass</v>
      </c>
      <c r="M25" s="6">
        <f>IF(Benchmark1[[#This Row],[Comparable '#2 Date Check]]="Pass",INDEX(Comp2[Comparable '#2 Price],MATCH(Benchmark1[[#This Row],[Benchmark '#1 Dates]],Comp2[Comparable '#2 Dates],0)),"-")</f>
        <v>55.05</v>
      </c>
      <c r="N25" s="22">
        <f>IF(Benchmark1[[#This Row],[Comparable '#2 Date Check]]="Pass",INDEX(Comp2[Comparable '#2 Return],MATCH(Benchmark1[[#This Row],[Benchmark '#1 Dates]],Comp2[Comparable '#2 Dates],0)),"-")</f>
        <v>-3.6264772291733265E-3</v>
      </c>
      <c r="O25" s="1">
        <f>IFERROR(IF(Benchmark1[[#This Row],[Comparable '#2 Date Check]]="Pass",Benchmark1[[#This Row],[Comparable '#2 Return]]-Benchmark1[[#This Row],[Benchmark '#1 Return]],"-"),"-")</f>
        <v>-6.448390395123787E-3</v>
      </c>
      <c r="P25" s="1" t="str">
        <f>IF(COUNTIF(Comp3[Comparable '#3 Dates],Benchmark1[[#This Row],[Benchmark '#1 Dates]])=1,"Pass","Fail")</f>
        <v>Pass</v>
      </c>
      <c r="Q25" s="6">
        <f>IF(Benchmark1[[#This Row],[Comparable '#3 Date Check]]="Pass",INDEX(Comp3[Comparable '#3 Price],MATCH(Benchmark1[[#This Row],[Benchmark '#1 Dates]],Comp3[Comparable '#3 Dates],0)),"-")</f>
        <v>124.52</v>
      </c>
      <c r="R25" s="22">
        <f>IF(Benchmark1[[#This Row],[Comparable '#3 Date Check]]="Pass",INDEX(Comp3[Comparable '#3 Return],MATCH(Benchmark1[[#This Row],[Benchmark '#1 Dates]],Comp3[Comparable '#3 Dates],0)),"-")</f>
        <v>1.0738466599524607E-2</v>
      </c>
      <c r="S25" s="1">
        <f>IFERROR(IF(Benchmark1[[#This Row],[Comparable '#3 Date Check]]="Pass",Benchmark1[[#This Row],[Comparable '#3 Return]]-Benchmark1[[#This Row],[Benchmark '#1 Return]],"-"),"-")</f>
        <v>7.9165534335741469E-3</v>
      </c>
    </row>
    <row r="26" spans="1:19">
      <c r="A26" s="103">
        <v>43320</v>
      </c>
      <c r="B26" s="104">
        <v>2857.7044950281434</v>
      </c>
      <c r="C26" s="4">
        <f t="shared" si="0"/>
        <v>-2.6136950248681535E-4</v>
      </c>
      <c r="D26" s="1" t="str">
        <f>IF(COUNTIF(Target1[Target Dates],Benchmark1[[#This Row],[Benchmark '#1 Dates]])=1,"Pass","Fail")</f>
        <v>Pass</v>
      </c>
      <c r="E26" s="6">
        <f>IF(Benchmark1[[#This Row],[Target Date Check]]="Pass",INDEX(Target1[Target Price],MATCH(Benchmark1[[#This Row],[Benchmark '#1 Dates]],Target1[Target Dates],0)),"-")</f>
        <v>18.03</v>
      </c>
      <c r="F26" s="22">
        <f>IF(Benchmark1[[#This Row],[Target Date Check]]="Pass",INDEX(Target1[Target Return],MATCH(Benchmark1[[#This Row],[Benchmark '#1 Dates]],Target1[Target Dates],0)),"-")</f>
        <v>0.10764326952568208</v>
      </c>
      <c r="G26" s="1">
        <f>IFERROR(IF(Benchmark1[[#This Row],[Target Date Check]]="Pass",Benchmark1[[#This Row],[Target Return]]-Benchmark1[[#This Row],[Benchmark '#1 Return]],"-"),"-")</f>
        <v>0.10790463902816889</v>
      </c>
      <c r="H26" s="1" t="str">
        <f>IF(COUNTIF(Comp1[Comparable '#1 Dates],Benchmark1[[#This Row],[Benchmark '#1 Dates]])=1,"Pass","Fail")</f>
        <v>Pass</v>
      </c>
      <c r="I26" s="6">
        <f>IF(Benchmark1[[#This Row],[Comparable '#1 Date Check]]="Pass",INDEX(Comp1[Comparable '#1 Price],MATCH(Benchmark1[[#This Row],[Benchmark '#1 Dates]],Comp1[Comparable '#1 Dates],0)),"-")</f>
        <v>14.78</v>
      </c>
      <c r="J26" s="22">
        <f>IF(Benchmark1[[#This Row],[Comparable '#1 Date Check]]="Pass",INDEX(Comp1[Comparable '#1 Return],MATCH(Benchmark1[[#This Row],[Benchmark '#1 Dates]],Comp1[Comparable '#1 Dates],0)),"-")</f>
        <v>5.4274217353650154E-3</v>
      </c>
      <c r="K26" s="1">
        <f>IFERROR(IF(Benchmark1[[#This Row],[Comparable '#1 Date Check]]="Pass",Benchmark1[[#This Row],[Comparable '#1 Return]]-Benchmark1[[#This Row],[Benchmark '#1 Return]],"-"),"-")</f>
        <v>5.6887912378518306E-3</v>
      </c>
      <c r="L26" s="1" t="str">
        <f>IF(COUNTIF(Comp2[Comparable '#2 Dates],Benchmark1[[#This Row],[Benchmark '#1 Dates]])=1,"Pass","Fail")</f>
        <v>Pass</v>
      </c>
      <c r="M26" s="6">
        <f>IF(Benchmark1[[#This Row],[Comparable '#2 Date Check]]="Pass",INDEX(Comp2[Comparable '#2 Price],MATCH(Benchmark1[[#This Row],[Benchmark '#1 Dates]],Comp2[Comparable '#2 Dates],0)),"-")</f>
        <v>55.25</v>
      </c>
      <c r="N26" s="22">
        <f>IF(Benchmark1[[#This Row],[Comparable '#2 Date Check]]="Pass",INDEX(Comp2[Comparable '#2 Return],MATCH(Benchmark1[[#This Row],[Benchmark '#1 Dates]],Comp2[Comparable '#2 Dates],0)),"-")</f>
        <v>3.6264772291732814E-3</v>
      </c>
      <c r="O26" s="1">
        <f>IFERROR(IF(Benchmark1[[#This Row],[Comparable '#2 Date Check]]="Pass",Benchmark1[[#This Row],[Comparable '#2 Return]]-Benchmark1[[#This Row],[Benchmark '#1 Return]],"-"),"-")</f>
        <v>3.8878467316600966E-3</v>
      </c>
      <c r="P26" s="1" t="str">
        <f>IF(COUNTIF(Comp3[Comparable '#3 Dates],Benchmark1[[#This Row],[Benchmark '#1 Dates]])=1,"Pass","Fail")</f>
        <v>Pass</v>
      </c>
      <c r="Q26" s="6">
        <f>IF(Benchmark1[[#This Row],[Comparable '#3 Date Check]]="Pass",INDEX(Comp3[Comparable '#3 Price],MATCH(Benchmark1[[#This Row],[Benchmark '#1 Dates]],Comp3[Comparable '#3 Dates],0)),"-")</f>
        <v>123.79</v>
      </c>
      <c r="R26" s="22">
        <f>IF(Benchmark1[[#This Row],[Comparable '#3 Date Check]]="Pass",INDEX(Comp3[Comparable '#3 Return],MATCH(Benchmark1[[#This Row],[Benchmark '#1 Dates]],Comp3[Comparable '#3 Dates],0)),"-")</f>
        <v>-5.8797640296884314E-3</v>
      </c>
      <c r="S26" s="1">
        <f>IFERROR(IF(Benchmark1[[#This Row],[Comparable '#3 Date Check]]="Pass",Benchmark1[[#This Row],[Comparable '#3 Return]]-Benchmark1[[#This Row],[Benchmark '#1 Return]],"-"),"-")</f>
        <v>-5.6183945272016162E-3</v>
      </c>
    </row>
    <row r="27" spans="1:19">
      <c r="A27" s="103">
        <v>43321</v>
      </c>
      <c r="B27" s="104">
        <v>2853.5839477989948</v>
      </c>
      <c r="C27" s="4">
        <f t="shared" si="0"/>
        <v>-1.4429486394696464E-3</v>
      </c>
      <c r="D27" s="1" t="str">
        <f>IF(COUNTIF(Target1[Target Dates],Benchmark1[[#This Row],[Benchmark '#1 Dates]])=1,"Pass","Fail")</f>
        <v>Pass</v>
      </c>
      <c r="E27" s="6">
        <f>IF(Benchmark1[[#This Row],[Target Date Check]]="Pass",INDEX(Target1[Target Price],MATCH(Benchmark1[[#This Row],[Benchmark '#1 Dates]],Target1[Target Dates],0)),"-")</f>
        <v>17.690000000000001</v>
      </c>
      <c r="F27" s="22">
        <f>IF(Benchmark1[[#This Row],[Target Date Check]]="Pass",INDEX(Target1[Target Return],MATCH(Benchmark1[[#This Row],[Benchmark '#1 Dates]],Target1[Target Dates],0)),"-")</f>
        <v>-1.9037529043531978E-2</v>
      </c>
      <c r="G27" s="1">
        <f>IFERROR(IF(Benchmark1[[#This Row],[Target Date Check]]="Pass",Benchmark1[[#This Row],[Target Return]]-Benchmark1[[#This Row],[Benchmark '#1 Return]],"-"),"-")</f>
        <v>-1.7594580404062331E-2</v>
      </c>
      <c r="H27" s="1" t="str">
        <f>IF(COUNTIF(Comp1[Comparable '#1 Dates],Benchmark1[[#This Row],[Benchmark '#1 Dates]])=1,"Pass","Fail")</f>
        <v>Pass</v>
      </c>
      <c r="I27" s="6">
        <f>IF(Benchmark1[[#This Row],[Comparable '#1 Date Check]]="Pass",INDEX(Comp1[Comparable '#1 Price],MATCH(Benchmark1[[#This Row],[Benchmark '#1 Dates]],Comp1[Comparable '#1 Dates],0)),"-")</f>
        <v>16.38</v>
      </c>
      <c r="J27" s="22">
        <f>IF(Benchmark1[[#This Row],[Comparable '#1 Date Check]]="Pass",INDEX(Comp1[Comparable '#1 Return],MATCH(Benchmark1[[#This Row],[Benchmark '#1 Dates]],Comp1[Comparable '#1 Dates],0)),"-")</f>
        <v>0.10278616290486758</v>
      </c>
      <c r="K27" s="1">
        <f>IFERROR(IF(Benchmark1[[#This Row],[Comparable '#1 Date Check]]="Pass",Benchmark1[[#This Row],[Comparable '#1 Return]]-Benchmark1[[#This Row],[Benchmark '#1 Return]],"-"),"-")</f>
        <v>0.10422911154433723</v>
      </c>
      <c r="L27" s="1" t="str">
        <f>IF(COUNTIF(Comp2[Comparable '#2 Dates],Benchmark1[[#This Row],[Benchmark '#1 Dates]])=1,"Pass","Fail")</f>
        <v>Pass</v>
      </c>
      <c r="M27" s="6">
        <f>IF(Benchmark1[[#This Row],[Comparable '#2 Date Check]]="Pass",INDEX(Comp2[Comparable '#2 Price],MATCH(Benchmark1[[#This Row],[Benchmark '#1 Dates]],Comp2[Comparable '#2 Dates],0)),"-")</f>
        <v>55.25</v>
      </c>
      <c r="N27" s="22">
        <f>IF(Benchmark1[[#This Row],[Comparable '#2 Date Check]]="Pass",INDEX(Comp2[Comparable '#2 Return],MATCH(Benchmark1[[#This Row],[Benchmark '#1 Dates]],Comp2[Comparable '#2 Dates],0)),"-")</f>
        <v>0</v>
      </c>
      <c r="O27" s="1">
        <f>IFERROR(IF(Benchmark1[[#This Row],[Comparable '#2 Date Check]]="Pass",Benchmark1[[#This Row],[Comparable '#2 Return]]-Benchmark1[[#This Row],[Benchmark '#1 Return]],"-"),"-")</f>
        <v>1.4429486394696464E-3</v>
      </c>
      <c r="P27" s="1" t="str">
        <f>IF(COUNTIF(Comp3[Comparable '#3 Dates],Benchmark1[[#This Row],[Benchmark '#1 Dates]])=1,"Pass","Fail")</f>
        <v>Pass</v>
      </c>
      <c r="Q27" s="6">
        <f>IF(Benchmark1[[#This Row],[Comparable '#3 Date Check]]="Pass",INDEX(Comp3[Comparable '#3 Price],MATCH(Benchmark1[[#This Row],[Benchmark '#1 Dates]],Comp3[Comparable '#3 Dates],0)),"-")</f>
        <v>127.15</v>
      </c>
      <c r="R27" s="22">
        <f>IF(Benchmark1[[#This Row],[Comparable '#3 Date Check]]="Pass",INDEX(Comp3[Comparable '#3 Return],MATCH(Benchmark1[[#This Row],[Benchmark '#1 Dates]],Comp3[Comparable '#3 Dates],0)),"-")</f>
        <v>2.678091032440973E-2</v>
      </c>
      <c r="S27" s="1">
        <f>IFERROR(IF(Benchmark1[[#This Row],[Comparable '#3 Date Check]]="Pass",Benchmark1[[#This Row],[Comparable '#3 Return]]-Benchmark1[[#This Row],[Benchmark '#1 Return]],"-"),"-")</f>
        <v>2.8223858963879377E-2</v>
      </c>
    </row>
    <row r="28" spans="1:19">
      <c r="A28" s="103">
        <v>43322</v>
      </c>
      <c r="B28" s="104">
        <v>2833.2836316821595</v>
      </c>
      <c r="C28" s="4">
        <f t="shared" si="0"/>
        <v>-7.1393968860017452E-3</v>
      </c>
      <c r="D28" s="1" t="str">
        <f>IF(COUNTIF(Target1[Target Dates],Benchmark1[[#This Row],[Benchmark '#1 Dates]])=1,"Pass","Fail")</f>
        <v>Pass</v>
      </c>
      <c r="E28" s="6">
        <f>IF(Benchmark1[[#This Row],[Target Date Check]]="Pass",INDEX(Target1[Target Price],MATCH(Benchmark1[[#This Row],[Benchmark '#1 Dates]],Target1[Target Dates],0)),"-")</f>
        <v>17.510000000000002</v>
      </c>
      <c r="F28" s="22">
        <f>IF(Benchmark1[[#This Row],[Target Date Check]]="Pass",INDEX(Target1[Target Return],MATCH(Benchmark1[[#This Row],[Benchmark '#1 Dates]],Target1[Target Dates],0)),"-")</f>
        <v>-1.0227361873933397E-2</v>
      </c>
      <c r="G28" s="1">
        <f>IFERROR(IF(Benchmark1[[#This Row],[Target Date Check]]="Pass",Benchmark1[[#This Row],[Target Return]]-Benchmark1[[#This Row],[Benchmark '#1 Return]],"-"),"-")</f>
        <v>-3.0879649879316518E-3</v>
      </c>
      <c r="H28" s="1" t="str">
        <f>IF(COUNTIF(Comp1[Comparable '#1 Dates],Benchmark1[[#This Row],[Benchmark '#1 Dates]])=1,"Pass","Fail")</f>
        <v>Pass</v>
      </c>
      <c r="I28" s="6">
        <f>IF(Benchmark1[[#This Row],[Comparable '#1 Date Check]]="Pass",INDEX(Comp1[Comparable '#1 Price],MATCH(Benchmark1[[#This Row],[Benchmark '#1 Dates]],Comp1[Comparable '#1 Dates],0)),"-")</f>
        <v>16</v>
      </c>
      <c r="J28" s="22">
        <f>IF(Benchmark1[[#This Row],[Comparable '#1 Date Check]]="Pass",INDEX(Comp1[Comparable '#1 Return],MATCH(Benchmark1[[#This Row],[Benchmark '#1 Dates]],Comp1[Comparable '#1 Dates],0)),"-")</f>
        <v>-2.3472356185142044E-2</v>
      </c>
      <c r="K28" s="1">
        <f>IFERROR(IF(Benchmark1[[#This Row],[Comparable '#1 Date Check]]="Pass",Benchmark1[[#This Row],[Comparable '#1 Return]]-Benchmark1[[#This Row],[Benchmark '#1 Return]],"-"),"-")</f>
        <v>-1.6332959299140297E-2</v>
      </c>
      <c r="L28" s="1" t="str">
        <f>IF(COUNTIF(Comp2[Comparable '#2 Dates],Benchmark1[[#This Row],[Benchmark '#1 Dates]])=1,"Pass","Fail")</f>
        <v>Pass</v>
      </c>
      <c r="M28" s="6">
        <f>IF(Benchmark1[[#This Row],[Comparable '#2 Date Check]]="Pass",INDEX(Comp2[Comparable '#2 Price],MATCH(Benchmark1[[#This Row],[Benchmark '#1 Dates]],Comp2[Comparable '#2 Dates],0)),"-")</f>
        <v>55.45</v>
      </c>
      <c r="N28" s="22">
        <f>IF(Benchmark1[[#This Row],[Comparable '#2 Date Check]]="Pass",INDEX(Comp2[Comparable '#2 Return],MATCH(Benchmark1[[#This Row],[Benchmark '#1 Dates]],Comp2[Comparable '#2 Dates],0)),"-")</f>
        <v>3.6133733985138313E-3</v>
      </c>
      <c r="O28" s="1">
        <f>IFERROR(IF(Benchmark1[[#This Row],[Comparable '#2 Date Check]]="Pass",Benchmark1[[#This Row],[Comparable '#2 Return]]-Benchmark1[[#This Row],[Benchmark '#1 Return]],"-"),"-")</f>
        <v>1.0752770284515576E-2</v>
      </c>
      <c r="P28" s="1" t="str">
        <f>IF(COUNTIF(Comp3[Comparable '#3 Dates],Benchmark1[[#This Row],[Benchmark '#1 Dates]])=1,"Pass","Fail")</f>
        <v>Pass</v>
      </c>
      <c r="Q28" s="6">
        <f>IF(Benchmark1[[#This Row],[Comparable '#3 Date Check]]="Pass",INDEX(Comp3[Comparable '#3 Price],MATCH(Benchmark1[[#This Row],[Benchmark '#1 Dates]],Comp3[Comparable '#3 Dates],0)),"-")</f>
        <v>126.64</v>
      </c>
      <c r="R28" s="22">
        <f>IF(Benchmark1[[#This Row],[Comparable '#3 Date Check]]="Pass",INDEX(Comp3[Comparable '#3 Return],MATCH(Benchmark1[[#This Row],[Benchmark '#1 Dates]],Comp3[Comparable '#3 Dates],0)),"-")</f>
        <v>-4.0190762953719603E-3</v>
      </c>
      <c r="S28" s="1">
        <f>IFERROR(IF(Benchmark1[[#This Row],[Comparable '#3 Date Check]]="Pass",Benchmark1[[#This Row],[Comparable '#3 Return]]-Benchmark1[[#This Row],[Benchmark '#1 Return]],"-"),"-")</f>
        <v>3.1203205906297849E-3</v>
      </c>
    </row>
    <row r="29" spans="1:19">
      <c r="A29" s="103">
        <v>43325</v>
      </c>
      <c r="B29" s="104">
        <v>2821.9282342059646</v>
      </c>
      <c r="C29" s="4">
        <f t="shared" si="0"/>
        <v>-4.015910634897083E-3</v>
      </c>
      <c r="D29" s="1" t="str">
        <f>IF(COUNTIF(Target1[Target Dates],Benchmark1[[#This Row],[Benchmark '#1 Dates]])=1,"Pass","Fail")</f>
        <v>Pass</v>
      </c>
      <c r="E29" s="6">
        <f>IF(Benchmark1[[#This Row],[Target Date Check]]="Pass",INDEX(Target1[Target Price],MATCH(Benchmark1[[#This Row],[Benchmark '#1 Dates]],Target1[Target Dates],0)),"-")</f>
        <v>17.190000000000001</v>
      </c>
      <c r="F29" s="22">
        <f>IF(Benchmark1[[#This Row],[Target Date Check]]="Pass",INDEX(Target1[Target Return],MATCH(Benchmark1[[#This Row],[Benchmark '#1 Dates]],Target1[Target Dates],0)),"-")</f>
        <v>-1.8444326903002621E-2</v>
      </c>
      <c r="G29" s="1">
        <f>IFERROR(IF(Benchmark1[[#This Row],[Target Date Check]]="Pass",Benchmark1[[#This Row],[Target Return]]-Benchmark1[[#This Row],[Benchmark '#1 Return]],"-"),"-")</f>
        <v>-1.4428416268105537E-2</v>
      </c>
      <c r="H29" s="1" t="str">
        <f>IF(COUNTIF(Comp1[Comparable '#1 Dates],Benchmark1[[#This Row],[Benchmark '#1 Dates]])=1,"Pass","Fail")</f>
        <v>Pass</v>
      </c>
      <c r="I29" s="6">
        <f>IF(Benchmark1[[#This Row],[Comparable '#1 Date Check]]="Pass",INDEX(Comp1[Comparable '#1 Price],MATCH(Benchmark1[[#This Row],[Benchmark '#1 Dates]],Comp1[Comparable '#1 Dates],0)),"-")</f>
        <v>16.09</v>
      </c>
      <c r="J29" s="22">
        <f>IF(Benchmark1[[#This Row],[Comparable '#1 Date Check]]="Pass",INDEX(Comp1[Comparable '#1 Return],MATCH(Benchmark1[[#This Row],[Benchmark '#1 Dates]],Comp1[Comparable '#1 Dates],0)),"-")</f>
        <v>5.6092387645105945E-3</v>
      </c>
      <c r="K29" s="1">
        <f>IFERROR(IF(Benchmark1[[#This Row],[Comparable '#1 Date Check]]="Pass",Benchmark1[[#This Row],[Comparable '#1 Return]]-Benchmark1[[#This Row],[Benchmark '#1 Return]],"-"),"-")</f>
        <v>9.6251493994076766E-3</v>
      </c>
      <c r="L29" s="1" t="str">
        <f>IF(COUNTIF(Comp2[Comparable '#2 Dates],Benchmark1[[#This Row],[Benchmark '#1 Dates]])=1,"Pass","Fail")</f>
        <v>Pass</v>
      </c>
      <c r="M29" s="6">
        <f>IF(Benchmark1[[#This Row],[Comparable '#2 Date Check]]="Pass",INDEX(Comp2[Comparable '#2 Price],MATCH(Benchmark1[[#This Row],[Benchmark '#1 Dates]],Comp2[Comparable '#2 Dates],0)),"-")</f>
        <v>54.75</v>
      </c>
      <c r="N29" s="22">
        <f>IF(Benchmark1[[#This Row],[Comparable '#2 Date Check]]="Pass",INDEX(Comp2[Comparable '#2 Return],MATCH(Benchmark1[[#This Row],[Benchmark '#1 Dates]],Comp2[Comparable '#2 Dates],0)),"-")</f>
        <v>-1.2704345099765849E-2</v>
      </c>
      <c r="O29" s="1">
        <f>IFERROR(IF(Benchmark1[[#This Row],[Comparable '#2 Date Check]]="Pass",Benchmark1[[#This Row],[Comparable '#2 Return]]-Benchmark1[[#This Row],[Benchmark '#1 Return]],"-"),"-")</f>
        <v>-8.6884344648687668E-3</v>
      </c>
      <c r="P29" s="1" t="str">
        <f>IF(COUNTIF(Comp3[Comparable '#3 Dates],Benchmark1[[#This Row],[Benchmark '#1 Dates]])=1,"Pass","Fail")</f>
        <v>Pass</v>
      </c>
      <c r="Q29" s="6">
        <f>IF(Benchmark1[[#This Row],[Comparable '#3 Date Check]]="Pass",INDEX(Comp3[Comparable '#3 Price],MATCH(Benchmark1[[#This Row],[Benchmark '#1 Dates]],Comp3[Comparable '#3 Dates],0)),"-")</f>
        <v>123.23</v>
      </c>
      <c r="R29" s="22">
        <f>IF(Benchmark1[[#This Row],[Comparable '#3 Date Check]]="Pass",INDEX(Comp3[Comparable '#3 Return],MATCH(Benchmark1[[#This Row],[Benchmark '#1 Dates]],Comp3[Comparable '#3 Dates],0)),"-")</f>
        <v>-2.7295887622724911E-2</v>
      </c>
      <c r="S29" s="1">
        <f>IFERROR(IF(Benchmark1[[#This Row],[Comparable '#3 Date Check]]="Pass",Benchmark1[[#This Row],[Comparable '#3 Return]]-Benchmark1[[#This Row],[Benchmark '#1 Return]],"-"),"-")</f>
        <v>-2.3279976987827827E-2</v>
      </c>
    </row>
    <row r="30" spans="1:19">
      <c r="A30" s="103">
        <v>43326</v>
      </c>
      <c r="B30" s="104">
        <v>2839.9553908679782</v>
      </c>
      <c r="C30" s="4">
        <f t="shared" si="0"/>
        <v>6.3679223287309546E-3</v>
      </c>
      <c r="D30" s="1" t="str">
        <f>IF(COUNTIF(Target1[Target Dates],Benchmark1[[#This Row],[Benchmark '#1 Dates]])=1,"Pass","Fail")</f>
        <v>Pass</v>
      </c>
      <c r="E30" s="6">
        <f>IF(Benchmark1[[#This Row],[Target Date Check]]="Pass",INDEX(Target1[Target Price],MATCH(Benchmark1[[#This Row],[Benchmark '#1 Dates]],Target1[Target Dates],0)),"-")</f>
        <v>16.88</v>
      </c>
      <c r="F30" s="22">
        <f>IF(Benchmark1[[#This Row],[Target Date Check]]="Pass",INDEX(Target1[Target Return],MATCH(Benchmark1[[#This Row],[Benchmark '#1 Dates]],Target1[Target Dates],0)),"-")</f>
        <v>-1.8198330226946995E-2</v>
      </c>
      <c r="G30" s="1">
        <f>IFERROR(IF(Benchmark1[[#This Row],[Target Date Check]]="Pass",Benchmark1[[#This Row],[Target Return]]-Benchmark1[[#This Row],[Benchmark '#1 Return]],"-"),"-")</f>
        <v>-2.4566252555677948E-2</v>
      </c>
      <c r="H30" s="1" t="str">
        <f>IF(COUNTIF(Comp1[Comparable '#1 Dates],Benchmark1[[#This Row],[Benchmark '#1 Dates]])=1,"Pass","Fail")</f>
        <v>Pass</v>
      </c>
      <c r="I30" s="6">
        <f>IF(Benchmark1[[#This Row],[Comparable '#1 Date Check]]="Pass",INDEX(Comp1[Comparable '#1 Price],MATCH(Benchmark1[[#This Row],[Benchmark '#1 Dates]],Comp1[Comparable '#1 Dates],0)),"-")</f>
        <v>16.170000000000002</v>
      </c>
      <c r="J30" s="22">
        <f>IF(Benchmark1[[#This Row],[Comparable '#1 Date Check]]="Pass",INDEX(Comp1[Comparable '#1 Return],MATCH(Benchmark1[[#This Row],[Benchmark '#1 Dates]],Comp1[Comparable '#1 Dates],0)),"-")</f>
        <v>4.9597125847236521E-3</v>
      </c>
      <c r="K30" s="1">
        <f>IFERROR(IF(Benchmark1[[#This Row],[Comparable '#1 Date Check]]="Pass",Benchmark1[[#This Row],[Comparable '#1 Return]]-Benchmark1[[#This Row],[Benchmark '#1 Return]],"-"),"-")</f>
        <v>-1.4082097440073025E-3</v>
      </c>
      <c r="L30" s="1" t="str">
        <f>IF(COUNTIF(Comp2[Comparable '#2 Dates],Benchmark1[[#This Row],[Benchmark '#1 Dates]])=1,"Pass","Fail")</f>
        <v>Pass</v>
      </c>
      <c r="M30" s="6">
        <f>IF(Benchmark1[[#This Row],[Comparable '#2 Date Check]]="Pass",INDEX(Comp2[Comparable '#2 Price],MATCH(Benchmark1[[#This Row],[Benchmark '#1 Dates]],Comp2[Comparable '#2 Dates],0)),"-")</f>
        <v>55.75</v>
      </c>
      <c r="N30" s="22">
        <f>IF(Benchmark1[[#This Row],[Comparable '#2 Date Check]]="Pass",INDEX(Comp2[Comparable '#2 Return],MATCH(Benchmark1[[#This Row],[Benchmark '#1 Dates]],Comp2[Comparable '#2 Dates],0)),"-")</f>
        <v>1.8100041643617937E-2</v>
      </c>
      <c r="O30" s="1">
        <f>IFERROR(IF(Benchmark1[[#This Row],[Comparable '#2 Date Check]]="Pass",Benchmark1[[#This Row],[Comparable '#2 Return]]-Benchmark1[[#This Row],[Benchmark '#1 Return]],"-"),"-")</f>
        <v>1.1732119314886984E-2</v>
      </c>
      <c r="P30" s="1" t="str">
        <f>IF(COUNTIF(Comp3[Comparable '#3 Dates],Benchmark1[[#This Row],[Benchmark '#1 Dates]])=1,"Pass","Fail")</f>
        <v>Pass</v>
      </c>
      <c r="Q30" s="6">
        <f>IF(Benchmark1[[#This Row],[Comparable '#3 Date Check]]="Pass",INDEX(Comp3[Comparable '#3 Price],MATCH(Benchmark1[[#This Row],[Benchmark '#1 Dates]],Comp3[Comparable '#3 Dates],0)),"-")</f>
        <v>123.92</v>
      </c>
      <c r="R30" s="22">
        <f>IF(Benchmark1[[#This Row],[Comparable '#3 Date Check]]="Pass",INDEX(Comp3[Comparable '#3 Return],MATCH(Benchmark1[[#This Row],[Benchmark '#1 Dates]],Comp3[Comparable '#3 Dates],0)),"-")</f>
        <v>5.5836681585814413E-3</v>
      </c>
      <c r="S30" s="1">
        <f>IFERROR(IF(Benchmark1[[#This Row],[Comparable '#3 Date Check]]="Pass",Benchmark1[[#This Row],[Comparable '#3 Return]]-Benchmark1[[#This Row],[Benchmark '#1 Return]],"-"),"-")</f>
        <v>-7.8425417014951326E-4</v>
      </c>
    </row>
    <row r="31" spans="1:19">
      <c r="A31" s="103">
        <v>43327</v>
      </c>
      <c r="B31" s="104">
        <v>2818.3730198970297</v>
      </c>
      <c r="C31" s="4">
        <f t="shared" si="0"/>
        <v>-7.6285694536293996E-3</v>
      </c>
      <c r="D31" s="1" t="str">
        <f>IF(COUNTIF(Target1[Target Dates],Benchmark1[[#This Row],[Benchmark '#1 Dates]])=1,"Pass","Fail")</f>
        <v>Pass</v>
      </c>
      <c r="E31" s="6">
        <f>IF(Benchmark1[[#This Row],[Target Date Check]]="Pass",INDEX(Target1[Target Price],MATCH(Benchmark1[[#This Row],[Benchmark '#1 Dates]],Target1[Target Dates],0)),"-")</f>
        <v>16.96</v>
      </c>
      <c r="F31" s="22">
        <f>IF(Benchmark1[[#This Row],[Target Date Check]]="Pass",INDEX(Target1[Target Return],MATCH(Benchmark1[[#This Row],[Benchmark '#1 Dates]],Target1[Target Dates],0)),"-")</f>
        <v>4.728141195946116E-3</v>
      </c>
      <c r="G31" s="1">
        <f>IFERROR(IF(Benchmark1[[#This Row],[Target Date Check]]="Pass",Benchmark1[[#This Row],[Target Return]]-Benchmark1[[#This Row],[Benchmark '#1 Return]],"-"),"-")</f>
        <v>1.2356710649575515E-2</v>
      </c>
      <c r="H31" s="1" t="str">
        <f>IF(COUNTIF(Comp1[Comparable '#1 Dates],Benchmark1[[#This Row],[Benchmark '#1 Dates]])=1,"Pass","Fail")</f>
        <v>Pass</v>
      </c>
      <c r="I31" s="6">
        <f>IF(Benchmark1[[#This Row],[Comparable '#1 Date Check]]="Pass",INDEX(Comp1[Comparable '#1 Price],MATCH(Benchmark1[[#This Row],[Benchmark '#1 Dates]],Comp1[Comparable '#1 Dates],0)),"-")</f>
        <v>15.98</v>
      </c>
      <c r="J31" s="22">
        <f>IF(Benchmark1[[#This Row],[Comparable '#1 Date Check]]="Pass",INDEX(Comp1[Comparable '#1 Return],MATCH(Benchmark1[[#This Row],[Benchmark '#1 Dates]],Comp1[Comparable '#1 Dates],0)),"-")</f>
        <v>-1.1819733250886965E-2</v>
      </c>
      <c r="K31" s="1">
        <f>IFERROR(IF(Benchmark1[[#This Row],[Comparable '#1 Date Check]]="Pass",Benchmark1[[#This Row],[Comparable '#1 Return]]-Benchmark1[[#This Row],[Benchmark '#1 Return]],"-"),"-")</f>
        <v>-4.191163797257565E-3</v>
      </c>
      <c r="L31" s="1" t="str">
        <f>IF(COUNTIF(Comp2[Comparable '#2 Dates],Benchmark1[[#This Row],[Benchmark '#1 Dates]])=1,"Pass","Fail")</f>
        <v>Pass</v>
      </c>
      <c r="M31" s="6">
        <f>IF(Benchmark1[[#This Row],[Comparable '#2 Date Check]]="Pass",INDEX(Comp2[Comparable '#2 Price],MATCH(Benchmark1[[#This Row],[Benchmark '#1 Dates]],Comp2[Comparable '#2 Dates],0)),"-")</f>
        <v>56.05</v>
      </c>
      <c r="N31" s="22">
        <f>IF(Benchmark1[[#This Row],[Comparable '#2 Date Check]]="Pass",INDEX(Comp2[Comparable '#2 Return],MATCH(Benchmark1[[#This Row],[Benchmark '#1 Dates]],Comp2[Comparable '#2 Dates],0)),"-")</f>
        <v>5.3667391779406602E-3</v>
      </c>
      <c r="O31" s="1">
        <f>IFERROR(IF(Benchmark1[[#This Row],[Comparable '#2 Date Check]]="Pass",Benchmark1[[#This Row],[Comparable '#2 Return]]-Benchmark1[[#This Row],[Benchmark '#1 Return]],"-"),"-")</f>
        <v>1.2995308631570061E-2</v>
      </c>
      <c r="P31" s="1" t="str">
        <f>IF(COUNTIF(Comp3[Comparable '#3 Dates],Benchmark1[[#This Row],[Benchmark '#1 Dates]])=1,"Pass","Fail")</f>
        <v>Pass</v>
      </c>
      <c r="Q31" s="6">
        <f>IF(Benchmark1[[#This Row],[Comparable '#3 Date Check]]="Pass",INDEX(Comp3[Comparable '#3 Price],MATCH(Benchmark1[[#This Row],[Benchmark '#1 Dates]],Comp3[Comparable '#3 Dates],0)),"-")</f>
        <v>127.96</v>
      </c>
      <c r="R31" s="22">
        <f>IF(Benchmark1[[#This Row],[Comparable '#3 Date Check]]="Pass",INDEX(Comp3[Comparable '#3 Return],MATCH(Benchmark1[[#This Row],[Benchmark '#1 Dates]],Comp3[Comparable '#3 Dates],0)),"-")</f>
        <v>3.2081518972703914E-2</v>
      </c>
      <c r="S31" s="1">
        <f>IFERROR(IF(Benchmark1[[#This Row],[Comparable '#3 Date Check]]="Pass",Benchmark1[[#This Row],[Comparable '#3 Return]]-Benchmark1[[#This Row],[Benchmark '#1 Return]],"-"),"-")</f>
        <v>3.9710088426333313E-2</v>
      </c>
    </row>
    <row r="32" spans="1:19">
      <c r="A32" s="103">
        <v>43328</v>
      </c>
      <c r="B32" s="104">
        <v>2840.6879724707255</v>
      </c>
      <c r="C32" s="4">
        <f t="shared" si="0"/>
        <v>7.8864915092671725E-3</v>
      </c>
      <c r="D32" s="1" t="str">
        <f>IF(COUNTIF(Target1[Target Dates],Benchmark1[[#This Row],[Benchmark '#1 Dates]])=1,"Pass","Fail")</f>
        <v>Pass</v>
      </c>
      <c r="E32" s="6">
        <f>IF(Benchmark1[[#This Row],[Target Date Check]]="Pass",INDEX(Target1[Target Price],MATCH(Benchmark1[[#This Row],[Benchmark '#1 Dates]],Target1[Target Dates],0)),"-")</f>
        <v>17.23</v>
      </c>
      <c r="F32" s="22">
        <f>IF(Benchmark1[[#This Row],[Target Date Check]]="Pass",INDEX(Target1[Target Return],MATCH(Benchmark1[[#This Row],[Benchmark '#1 Dates]],Target1[Target Dates],0)),"-")</f>
        <v>1.5794420176081122E-2</v>
      </c>
      <c r="G32" s="1">
        <f>IFERROR(IF(Benchmark1[[#This Row],[Target Date Check]]="Pass",Benchmark1[[#This Row],[Target Return]]-Benchmark1[[#This Row],[Benchmark '#1 Return]],"-"),"-")</f>
        <v>7.9079286668139494E-3</v>
      </c>
      <c r="H32" s="1" t="str">
        <f>IF(COUNTIF(Comp1[Comparable '#1 Dates],Benchmark1[[#This Row],[Benchmark '#1 Dates]])=1,"Pass","Fail")</f>
        <v>Pass</v>
      </c>
      <c r="I32" s="6">
        <f>IF(Benchmark1[[#This Row],[Comparable '#1 Date Check]]="Pass",INDEX(Comp1[Comparable '#1 Price],MATCH(Benchmark1[[#This Row],[Benchmark '#1 Dates]],Comp1[Comparable '#1 Dates],0)),"-")</f>
        <v>16.100000000000001</v>
      </c>
      <c r="J32" s="22">
        <f>IF(Benchmark1[[#This Row],[Comparable '#1 Date Check]]="Pass",INDEX(Comp1[Comparable '#1 Return],MATCH(Benchmark1[[#This Row],[Benchmark '#1 Dates]],Comp1[Comparable '#1 Dates],0)),"-")</f>
        <v>7.4813316522887663E-3</v>
      </c>
      <c r="K32" s="1">
        <f>IFERROR(IF(Benchmark1[[#This Row],[Comparable '#1 Date Check]]="Pass",Benchmark1[[#This Row],[Comparable '#1 Return]]-Benchmark1[[#This Row],[Benchmark '#1 Return]],"-"),"-")</f>
        <v>-4.051598569784062E-4</v>
      </c>
      <c r="L32" s="1" t="str">
        <f>IF(COUNTIF(Comp2[Comparable '#2 Dates],Benchmark1[[#This Row],[Benchmark '#1 Dates]])=1,"Pass","Fail")</f>
        <v>Pass</v>
      </c>
      <c r="M32" s="6">
        <f>IF(Benchmark1[[#This Row],[Comparable '#2 Date Check]]="Pass",INDEX(Comp2[Comparable '#2 Price],MATCH(Benchmark1[[#This Row],[Benchmark '#1 Dates]],Comp2[Comparable '#2 Dates],0)),"-")</f>
        <v>55.75</v>
      </c>
      <c r="N32" s="22">
        <f>IF(Benchmark1[[#This Row],[Comparable '#2 Date Check]]="Pass",INDEX(Comp2[Comparable '#2 Return],MATCH(Benchmark1[[#This Row],[Benchmark '#1 Dates]],Comp2[Comparable '#2 Dates],0)),"-")</f>
        <v>-5.3667391779406749E-3</v>
      </c>
      <c r="O32" s="1">
        <f>IFERROR(IF(Benchmark1[[#This Row],[Comparable '#2 Date Check]]="Pass",Benchmark1[[#This Row],[Comparable '#2 Return]]-Benchmark1[[#This Row],[Benchmark '#1 Return]],"-"),"-")</f>
        <v>-1.3253230687207847E-2</v>
      </c>
      <c r="P32" s="1" t="str">
        <f>IF(COUNTIF(Comp3[Comparable '#3 Dates],Benchmark1[[#This Row],[Benchmark '#1 Dates]])=1,"Pass","Fail")</f>
        <v>Pass</v>
      </c>
      <c r="Q32" s="6">
        <f>IF(Benchmark1[[#This Row],[Comparable '#3 Date Check]]="Pass",INDEX(Comp3[Comparable '#3 Price],MATCH(Benchmark1[[#This Row],[Benchmark '#1 Dates]],Comp3[Comparable '#3 Dates],0)),"-")</f>
        <v>129</v>
      </c>
      <c r="R32" s="22">
        <f>IF(Benchmark1[[#This Row],[Comparable '#3 Date Check]]="Pass",INDEX(Comp3[Comparable '#3 Return],MATCH(Benchmark1[[#This Row],[Benchmark '#1 Dates]],Comp3[Comparable '#3 Dates],0)),"-")</f>
        <v>8.0946892803548647E-3</v>
      </c>
      <c r="S32" s="1">
        <f>IFERROR(IF(Benchmark1[[#This Row],[Comparable '#3 Date Check]]="Pass",Benchmark1[[#This Row],[Comparable '#3 Return]]-Benchmark1[[#This Row],[Benchmark '#1 Return]],"-"),"-")</f>
        <v>2.081977710876922E-4</v>
      </c>
    </row>
    <row r="33" spans="1:19">
      <c r="A33" s="103">
        <v>43329</v>
      </c>
      <c r="B33" s="104">
        <v>2850.131611604063</v>
      </c>
      <c r="C33" s="4">
        <f t="shared" si="0"/>
        <v>3.3189060599795261E-3</v>
      </c>
      <c r="D33" s="1" t="str">
        <f>IF(COUNTIF(Target1[Target Dates],Benchmark1[[#This Row],[Benchmark '#1 Dates]])=1,"Pass","Fail")</f>
        <v>Pass</v>
      </c>
      <c r="E33" s="6">
        <f>IF(Benchmark1[[#This Row],[Target Date Check]]="Pass",INDEX(Target1[Target Price],MATCH(Benchmark1[[#This Row],[Benchmark '#1 Dates]],Target1[Target Dates],0)),"-")</f>
        <v>17.079999999999998</v>
      </c>
      <c r="F33" s="22">
        <f>IF(Benchmark1[[#This Row],[Target Date Check]]="Pass",INDEX(Target1[Target Return],MATCH(Benchmark1[[#This Row],[Benchmark '#1 Dates]],Target1[Target Dates],0)),"-")</f>
        <v>-8.743862179414523E-3</v>
      </c>
      <c r="G33" s="1">
        <f>IFERROR(IF(Benchmark1[[#This Row],[Target Date Check]]="Pass",Benchmark1[[#This Row],[Target Return]]-Benchmark1[[#This Row],[Benchmark '#1 Return]],"-"),"-")</f>
        <v>-1.2062768239394049E-2</v>
      </c>
      <c r="H33" s="1" t="str">
        <f>IF(COUNTIF(Comp1[Comparable '#1 Dates],Benchmark1[[#This Row],[Benchmark '#1 Dates]])=1,"Pass","Fail")</f>
        <v>Pass</v>
      </c>
      <c r="I33" s="6">
        <f>IF(Benchmark1[[#This Row],[Comparable '#1 Date Check]]="Pass",INDEX(Comp1[Comparable '#1 Price],MATCH(Benchmark1[[#This Row],[Benchmark '#1 Dates]],Comp1[Comparable '#1 Dates],0)),"-")</f>
        <v>15.85</v>
      </c>
      <c r="J33" s="22">
        <f>IF(Benchmark1[[#This Row],[Comparable '#1 Date Check]]="Pass",INDEX(Comp1[Comparable '#1 Return],MATCH(Benchmark1[[#This Row],[Benchmark '#1 Dates]],Comp1[Comparable '#1 Dates],0)),"-")</f>
        <v>-1.5649771667127776E-2</v>
      </c>
      <c r="K33" s="1">
        <f>IFERROR(IF(Benchmark1[[#This Row],[Comparable '#1 Date Check]]="Pass",Benchmark1[[#This Row],[Comparable '#1 Return]]-Benchmark1[[#This Row],[Benchmark '#1 Return]],"-"),"-")</f>
        <v>-1.8968677727107301E-2</v>
      </c>
      <c r="L33" s="1" t="str">
        <f>IF(COUNTIF(Comp2[Comparable '#2 Dates],Benchmark1[[#This Row],[Benchmark '#1 Dates]])=1,"Pass","Fail")</f>
        <v>Pass</v>
      </c>
      <c r="M33" s="6">
        <f>IF(Benchmark1[[#This Row],[Comparable '#2 Date Check]]="Pass",INDEX(Comp2[Comparable '#2 Price],MATCH(Benchmark1[[#This Row],[Benchmark '#1 Dates]],Comp2[Comparable '#2 Dates],0)),"-")</f>
        <v>47.2</v>
      </c>
      <c r="N33" s="22">
        <f>IF(Benchmark1[[#This Row],[Comparable '#2 Date Check]]="Pass",INDEX(Comp2[Comparable '#2 Return],MATCH(Benchmark1[[#This Row],[Benchmark '#1 Dates]],Comp2[Comparable '#2 Dates],0)),"-")</f>
        <v>-0.16648351774871842</v>
      </c>
      <c r="O33" s="1">
        <f>IFERROR(IF(Benchmark1[[#This Row],[Comparable '#2 Date Check]]="Pass",Benchmark1[[#This Row],[Comparable '#2 Return]]-Benchmark1[[#This Row],[Benchmark '#1 Return]],"-"),"-")</f>
        <v>-0.16980242380869795</v>
      </c>
      <c r="P33" s="1" t="str">
        <f>IF(COUNTIF(Comp3[Comparable '#3 Dates],Benchmark1[[#This Row],[Benchmark '#1 Dates]])=1,"Pass","Fail")</f>
        <v>Pass</v>
      </c>
      <c r="Q33" s="6">
        <f>IF(Benchmark1[[#This Row],[Comparable '#3 Date Check]]="Pass",INDEX(Comp3[Comparable '#3 Price],MATCH(Benchmark1[[#This Row],[Benchmark '#1 Dates]],Comp3[Comparable '#3 Dates],0)),"-")</f>
        <v>129.12</v>
      </c>
      <c r="R33" s="22">
        <f>IF(Benchmark1[[#This Row],[Comparable '#3 Date Check]]="Pass",INDEX(Comp3[Comparable '#3 Return],MATCH(Benchmark1[[#This Row],[Benchmark '#1 Dates]],Comp3[Comparable '#3 Dates],0)),"-")</f>
        <v>9.2980015996652738E-4</v>
      </c>
      <c r="S33" s="1">
        <f>IFERROR(IF(Benchmark1[[#This Row],[Comparable '#3 Date Check]]="Pass",Benchmark1[[#This Row],[Comparable '#3 Return]]-Benchmark1[[#This Row],[Benchmark '#1 Return]],"-"),"-")</f>
        <v>-2.3891059000129989E-3</v>
      </c>
    </row>
    <row r="34" spans="1:19">
      <c r="A34" s="103">
        <v>43332</v>
      </c>
      <c r="B34" s="104">
        <v>2857.0540072342151</v>
      </c>
      <c r="C34" s="4">
        <f t="shared" si="0"/>
        <v>2.425853822600705E-3</v>
      </c>
      <c r="D34" s="1" t="str">
        <f>IF(COUNTIF(Target1[Target Dates],Benchmark1[[#This Row],[Benchmark '#1 Dates]])=1,"Pass","Fail")</f>
        <v>Pass</v>
      </c>
      <c r="E34" s="6">
        <f>IF(Benchmark1[[#This Row],[Target Date Check]]="Pass",INDEX(Target1[Target Price],MATCH(Benchmark1[[#This Row],[Benchmark '#1 Dates]],Target1[Target Dates],0)),"-")</f>
        <v>17.010000000000002</v>
      </c>
      <c r="F34" s="22">
        <f>IF(Benchmark1[[#This Row],[Target Date Check]]="Pass",INDEX(Target1[Target Return],MATCH(Benchmark1[[#This Row],[Benchmark '#1 Dates]],Target1[Target Dates],0)),"-")</f>
        <v>-4.1067819526532483E-3</v>
      </c>
      <c r="G34" s="1">
        <f>IFERROR(IF(Benchmark1[[#This Row],[Target Date Check]]="Pass",Benchmark1[[#This Row],[Target Return]]-Benchmark1[[#This Row],[Benchmark '#1 Return]],"-"),"-")</f>
        <v>-6.5326357752539532E-3</v>
      </c>
      <c r="H34" s="1" t="str">
        <f>IF(COUNTIF(Comp1[Comparable '#1 Dates],Benchmark1[[#This Row],[Benchmark '#1 Dates]])=1,"Pass","Fail")</f>
        <v>Pass</v>
      </c>
      <c r="I34" s="6">
        <f>IF(Benchmark1[[#This Row],[Comparable '#1 Date Check]]="Pass",INDEX(Comp1[Comparable '#1 Price],MATCH(Benchmark1[[#This Row],[Benchmark '#1 Dates]],Comp1[Comparable '#1 Dates],0)),"-")</f>
        <v>16.04</v>
      </c>
      <c r="J34" s="22">
        <f>IF(Benchmark1[[#This Row],[Comparable '#1 Date Check]]="Pass",INDEX(Comp1[Comparable '#1 Return],MATCH(Benchmark1[[#This Row],[Benchmark '#1 Dates]],Comp1[Comparable '#1 Dates],0)),"-")</f>
        <v>1.1916102115078698E-2</v>
      </c>
      <c r="K34" s="1">
        <f>IFERROR(IF(Benchmark1[[#This Row],[Comparable '#1 Date Check]]="Pass",Benchmark1[[#This Row],[Comparable '#1 Return]]-Benchmark1[[#This Row],[Benchmark '#1 Return]],"-"),"-")</f>
        <v>9.490248292477993E-3</v>
      </c>
      <c r="L34" s="1" t="str">
        <f>IF(COUNTIF(Comp2[Comparable '#2 Dates],Benchmark1[[#This Row],[Benchmark '#1 Dates]])=1,"Pass","Fail")</f>
        <v>Pass</v>
      </c>
      <c r="M34" s="6">
        <f>IF(Benchmark1[[#This Row],[Comparable '#2 Date Check]]="Pass",INDEX(Comp2[Comparable '#2 Price],MATCH(Benchmark1[[#This Row],[Benchmark '#1 Dates]],Comp2[Comparable '#2 Dates],0)),"-")</f>
        <v>48.4</v>
      </c>
      <c r="N34" s="22">
        <f>IF(Benchmark1[[#This Row],[Comparable '#2 Date Check]]="Pass",INDEX(Comp2[Comparable '#2 Return],MATCH(Benchmark1[[#This Row],[Benchmark '#1 Dates]],Comp2[Comparable '#2 Dates],0)),"-")</f>
        <v>2.5105921131076261E-2</v>
      </c>
      <c r="O34" s="1">
        <f>IFERROR(IF(Benchmark1[[#This Row],[Comparable '#2 Date Check]]="Pass",Benchmark1[[#This Row],[Comparable '#2 Return]]-Benchmark1[[#This Row],[Benchmark '#1 Return]],"-"),"-")</f>
        <v>2.2680067308475556E-2</v>
      </c>
      <c r="P34" s="1" t="str">
        <f>IF(COUNTIF(Comp3[Comparable '#3 Dates],Benchmark1[[#This Row],[Benchmark '#1 Dates]])=1,"Pass","Fail")</f>
        <v>Pass</v>
      </c>
      <c r="Q34" s="6">
        <f>IF(Benchmark1[[#This Row],[Comparable '#3 Date Check]]="Pass",INDEX(Comp3[Comparable '#3 Price],MATCH(Benchmark1[[#This Row],[Benchmark '#1 Dates]],Comp3[Comparable '#3 Dates],0)),"-")</f>
        <v>134.25</v>
      </c>
      <c r="R34" s="22">
        <f>IF(Benchmark1[[#This Row],[Comparable '#3 Date Check]]="Pass",INDEX(Comp3[Comparable '#3 Return],MATCH(Benchmark1[[#This Row],[Benchmark '#1 Dates]],Comp3[Comparable '#3 Dates],0)),"-")</f>
        <v>3.8961528867335345E-2</v>
      </c>
      <c r="S34" s="1">
        <f>IFERROR(IF(Benchmark1[[#This Row],[Comparable '#3 Date Check]]="Pass",Benchmark1[[#This Row],[Comparable '#3 Return]]-Benchmark1[[#This Row],[Benchmark '#1 Return]],"-"),"-")</f>
        <v>3.6535675044734636E-2</v>
      </c>
    </row>
    <row r="35" spans="1:19">
      <c r="A35" s="103">
        <v>43333</v>
      </c>
      <c r="B35" s="104">
        <v>2862.9569880949048</v>
      </c>
      <c r="C35" s="4">
        <f t="shared" si="0"/>
        <v>2.0639760871323434E-3</v>
      </c>
      <c r="D35" s="1" t="str">
        <f>IF(COUNTIF(Target1[Target Dates],Benchmark1[[#This Row],[Benchmark '#1 Dates]])=1,"Pass","Fail")</f>
        <v>Pass</v>
      </c>
      <c r="E35" s="6">
        <f>IF(Benchmark1[[#This Row],[Target Date Check]]="Pass",INDEX(Target1[Target Price],MATCH(Benchmark1[[#This Row],[Benchmark '#1 Dates]],Target1[Target Dates],0)),"-")</f>
        <v>17.12</v>
      </c>
      <c r="F35" s="22">
        <f>IF(Benchmark1[[#This Row],[Target Date Check]]="Pass",INDEX(Target1[Target Return],MATCH(Benchmark1[[#This Row],[Benchmark '#1 Dates]],Target1[Target Dates],0)),"-")</f>
        <v>6.4459643058256671E-3</v>
      </c>
      <c r="G35" s="1">
        <f>IFERROR(IF(Benchmark1[[#This Row],[Target Date Check]]="Pass",Benchmark1[[#This Row],[Target Return]]-Benchmark1[[#This Row],[Benchmark '#1 Return]],"-"),"-")</f>
        <v>4.3819882186933237E-3</v>
      </c>
      <c r="H35" s="1" t="str">
        <f>IF(COUNTIF(Comp1[Comparable '#1 Dates],Benchmark1[[#This Row],[Benchmark '#1 Dates]])=1,"Pass","Fail")</f>
        <v>Pass</v>
      </c>
      <c r="I35" s="6">
        <f>IF(Benchmark1[[#This Row],[Comparable '#1 Date Check]]="Pass",INDEX(Comp1[Comparable '#1 Price],MATCH(Benchmark1[[#This Row],[Benchmark '#1 Dates]],Comp1[Comparable '#1 Dates],0)),"-")</f>
        <v>16</v>
      </c>
      <c r="J35" s="22">
        <f>IF(Benchmark1[[#This Row],[Comparable '#1 Date Check]]="Pass",INDEX(Comp1[Comparable '#1 Return],MATCH(Benchmark1[[#This Row],[Benchmark '#1 Dates]],Comp1[Comparable '#1 Dates],0)),"-")</f>
        <v>-2.4968801985871545E-3</v>
      </c>
      <c r="K35" s="1">
        <f>IFERROR(IF(Benchmark1[[#This Row],[Comparable '#1 Date Check]]="Pass",Benchmark1[[#This Row],[Comparable '#1 Return]]-Benchmark1[[#This Row],[Benchmark '#1 Return]],"-"),"-")</f>
        <v>-4.5608562857194978E-3</v>
      </c>
      <c r="L35" s="1" t="str">
        <f>IF(COUNTIF(Comp2[Comparable '#2 Dates],Benchmark1[[#This Row],[Benchmark '#1 Dates]])=1,"Pass","Fail")</f>
        <v>Pass</v>
      </c>
      <c r="M35" s="6">
        <f>IF(Benchmark1[[#This Row],[Comparable '#2 Date Check]]="Pass",INDEX(Comp2[Comparable '#2 Price],MATCH(Benchmark1[[#This Row],[Benchmark '#1 Dates]],Comp2[Comparable '#2 Dates],0)),"-")</f>
        <v>48.5</v>
      </c>
      <c r="N35" s="22">
        <f>IF(Benchmark1[[#This Row],[Comparable '#2 Date Check]]="Pass",INDEX(Comp2[Comparable '#2 Return],MATCH(Benchmark1[[#This Row],[Benchmark '#1 Dates]],Comp2[Comparable '#2 Dates],0)),"-")</f>
        <v>2.0639842208514275E-3</v>
      </c>
      <c r="O35" s="1">
        <f>IFERROR(IF(Benchmark1[[#This Row],[Comparable '#2 Date Check]]="Pass",Benchmark1[[#This Row],[Comparable '#2 Return]]-Benchmark1[[#This Row],[Benchmark '#1 Return]],"-"),"-")</f>
        <v>8.1337190841086759E-9</v>
      </c>
      <c r="P35" s="1" t="str">
        <f>IF(COUNTIF(Comp3[Comparable '#3 Dates],Benchmark1[[#This Row],[Benchmark '#1 Dates]])=1,"Pass","Fail")</f>
        <v>Pass</v>
      </c>
      <c r="Q35" s="6">
        <f>IF(Benchmark1[[#This Row],[Comparable '#3 Date Check]]="Pass",INDEX(Comp3[Comparable '#3 Price],MATCH(Benchmark1[[#This Row],[Benchmark '#1 Dates]],Comp3[Comparable '#3 Dates],0)),"-")</f>
        <v>137.76</v>
      </c>
      <c r="R35" s="22">
        <f>IF(Benchmark1[[#This Row],[Comparable '#3 Date Check]]="Pass",INDEX(Comp3[Comparable '#3 Return],MATCH(Benchmark1[[#This Row],[Benchmark '#1 Dates]],Comp3[Comparable '#3 Dates],0)),"-")</f>
        <v>2.5809307290446584E-2</v>
      </c>
      <c r="S35" s="1">
        <f>IFERROR(IF(Benchmark1[[#This Row],[Comparable '#3 Date Check]]="Pass",Benchmark1[[#This Row],[Comparable '#3 Return]]-Benchmark1[[#This Row],[Benchmark '#1 Return]],"-"),"-")</f>
        <v>2.3745331203314242E-2</v>
      </c>
    </row>
    <row r="36" spans="1:19">
      <c r="A36" s="103">
        <v>43334</v>
      </c>
      <c r="B36" s="104">
        <v>2861.824629914156</v>
      </c>
      <c r="C36" s="4">
        <f t="shared" si="0"/>
        <v>-3.9559873933152481E-4</v>
      </c>
      <c r="D36" s="1" t="str">
        <f>IF(COUNTIF(Target1[Target Dates],Benchmark1[[#This Row],[Benchmark '#1 Dates]])=1,"Pass","Fail")</f>
        <v>Pass</v>
      </c>
      <c r="E36" s="6">
        <f>IF(Benchmark1[[#This Row],[Target Date Check]]="Pass",INDEX(Target1[Target Price],MATCH(Benchmark1[[#This Row],[Benchmark '#1 Dates]],Target1[Target Dates],0)),"-")</f>
        <v>17.28</v>
      </c>
      <c r="F36" s="22">
        <f>IF(Benchmark1[[#This Row],[Target Date Check]]="Pass",INDEX(Target1[Target Return],MATCH(Benchmark1[[#This Row],[Benchmark '#1 Dates]],Target1[Target Dates],0)),"-")</f>
        <v>9.3023926623136306E-3</v>
      </c>
      <c r="G36" s="1">
        <f>IFERROR(IF(Benchmark1[[#This Row],[Target Date Check]]="Pass",Benchmark1[[#This Row],[Target Return]]-Benchmark1[[#This Row],[Benchmark '#1 Return]],"-"),"-")</f>
        <v>9.6979914016451559E-3</v>
      </c>
      <c r="H36" s="1" t="str">
        <f>IF(COUNTIF(Comp1[Comparable '#1 Dates],Benchmark1[[#This Row],[Benchmark '#1 Dates]])=1,"Pass","Fail")</f>
        <v>Pass</v>
      </c>
      <c r="I36" s="6">
        <f>IF(Benchmark1[[#This Row],[Comparable '#1 Date Check]]="Pass",INDEX(Comp1[Comparable '#1 Price],MATCH(Benchmark1[[#This Row],[Benchmark '#1 Dates]],Comp1[Comparable '#1 Dates],0)),"-")</f>
        <v>15.97</v>
      </c>
      <c r="J36" s="22">
        <f>IF(Benchmark1[[#This Row],[Comparable '#1 Date Check]]="Pass",INDEX(Comp1[Comparable '#1 Return],MATCH(Benchmark1[[#This Row],[Benchmark '#1 Dates]],Comp1[Comparable '#1 Dates],0)),"-")</f>
        <v>-1.8767600128601319E-3</v>
      </c>
      <c r="K36" s="1">
        <f>IFERROR(IF(Benchmark1[[#This Row],[Comparable '#1 Date Check]]="Pass",Benchmark1[[#This Row],[Comparable '#1 Return]]-Benchmark1[[#This Row],[Benchmark '#1 Return]],"-"),"-")</f>
        <v>-1.481161273528607E-3</v>
      </c>
      <c r="L36" s="1" t="str">
        <f>IF(COUNTIF(Comp2[Comparable '#2 Dates],Benchmark1[[#This Row],[Benchmark '#1 Dates]])=1,"Pass","Fail")</f>
        <v>Pass</v>
      </c>
      <c r="M36" s="6">
        <f>IF(Benchmark1[[#This Row],[Comparable '#2 Date Check]]="Pass",INDEX(Comp2[Comparable '#2 Price],MATCH(Benchmark1[[#This Row],[Benchmark '#1 Dates]],Comp2[Comparable '#2 Dates],0)),"-")</f>
        <v>49.05</v>
      </c>
      <c r="N36" s="22">
        <f>IF(Benchmark1[[#This Row],[Comparable '#2 Date Check]]="Pass",INDEX(Comp2[Comparable '#2 Return],MATCH(Benchmark1[[#This Row],[Benchmark '#1 Dates]],Comp2[Comparable '#2 Dates],0)),"-")</f>
        <v>1.1276388067934537E-2</v>
      </c>
      <c r="O36" s="1">
        <f>IFERROR(IF(Benchmark1[[#This Row],[Comparable '#2 Date Check]]="Pass",Benchmark1[[#This Row],[Comparable '#2 Return]]-Benchmark1[[#This Row],[Benchmark '#1 Return]],"-"),"-")</f>
        <v>1.1671986807266062E-2</v>
      </c>
      <c r="P36" s="1" t="str">
        <f>IF(COUNTIF(Comp3[Comparable '#3 Dates],Benchmark1[[#This Row],[Benchmark '#1 Dates]])=1,"Pass","Fail")</f>
        <v>Pass</v>
      </c>
      <c r="Q36" s="6">
        <f>IF(Benchmark1[[#This Row],[Comparable '#3 Date Check]]="Pass",INDEX(Comp3[Comparable '#3 Price],MATCH(Benchmark1[[#This Row],[Benchmark '#1 Dates]],Comp3[Comparable '#3 Dates],0)),"-")</f>
        <v>136.72999999999999</v>
      </c>
      <c r="R36" s="22">
        <f>IF(Benchmark1[[#This Row],[Comparable '#3 Date Check]]="Pass",INDEX(Comp3[Comparable '#3 Return],MATCH(Benchmark1[[#This Row],[Benchmark '#1 Dates]],Comp3[Comparable '#3 Dates],0)),"-")</f>
        <v>-7.5048623584304175E-3</v>
      </c>
      <c r="S36" s="1">
        <f>IFERROR(IF(Benchmark1[[#This Row],[Comparable '#3 Date Check]]="Pass",Benchmark1[[#This Row],[Comparable '#3 Return]]-Benchmark1[[#This Row],[Benchmark '#1 Return]],"-"),"-")</f>
        <v>-7.109263619098893E-3</v>
      </c>
    </row>
    <row r="37" spans="1:19">
      <c r="A37" s="103">
        <v>43335</v>
      </c>
      <c r="B37" s="104">
        <v>2856.9805412893447</v>
      </c>
      <c r="C37" s="4">
        <f t="shared" si="0"/>
        <v>-1.6940915587493643E-3</v>
      </c>
      <c r="D37" s="1" t="str">
        <f>IF(COUNTIF(Target1[Target Dates],Benchmark1[[#This Row],[Benchmark '#1 Dates]])=1,"Pass","Fail")</f>
        <v>Pass</v>
      </c>
      <c r="E37" s="6">
        <f>IF(Benchmark1[[#This Row],[Target Date Check]]="Pass",INDEX(Target1[Target Price],MATCH(Benchmark1[[#This Row],[Benchmark '#1 Dates]],Target1[Target Dates],0)),"-")</f>
        <v>17.420000000000002</v>
      </c>
      <c r="F37" s="22">
        <f>IF(Benchmark1[[#This Row],[Target Date Check]]="Pass",INDEX(Target1[Target Return],MATCH(Benchmark1[[#This Row],[Benchmark '#1 Dates]],Target1[Target Dates],0)),"-")</f>
        <v>8.0692080484471834E-3</v>
      </c>
      <c r="G37" s="1">
        <f>IFERROR(IF(Benchmark1[[#This Row],[Target Date Check]]="Pass",Benchmark1[[#This Row],[Target Return]]-Benchmark1[[#This Row],[Benchmark '#1 Return]],"-"),"-")</f>
        <v>9.7632996071965478E-3</v>
      </c>
      <c r="H37" s="1" t="str">
        <f>IF(COUNTIF(Comp1[Comparable '#1 Dates],Benchmark1[[#This Row],[Benchmark '#1 Dates]])=1,"Pass","Fail")</f>
        <v>Pass</v>
      </c>
      <c r="I37" s="6">
        <f>IF(Benchmark1[[#This Row],[Comparable '#1 Date Check]]="Pass",INDEX(Comp1[Comparable '#1 Price],MATCH(Benchmark1[[#This Row],[Benchmark '#1 Dates]],Comp1[Comparable '#1 Dates],0)),"-")</f>
        <v>15.6</v>
      </c>
      <c r="J37" s="22">
        <f>IF(Benchmark1[[#This Row],[Comparable '#1 Date Check]]="Pass",INDEX(Comp1[Comparable '#1 Return],MATCH(Benchmark1[[#This Row],[Benchmark '#1 Dates]],Comp1[Comparable '#1 Dates],0)),"-")</f>
        <v>-2.3441047971429822E-2</v>
      </c>
      <c r="K37" s="1">
        <f>IFERROR(IF(Benchmark1[[#This Row],[Comparable '#1 Date Check]]="Pass",Benchmark1[[#This Row],[Comparable '#1 Return]]-Benchmark1[[#This Row],[Benchmark '#1 Return]],"-"),"-")</f>
        <v>-2.1746956412680457E-2</v>
      </c>
      <c r="L37" s="1" t="str">
        <f>IF(COUNTIF(Comp2[Comparable '#2 Dates],Benchmark1[[#This Row],[Benchmark '#1 Dates]])=1,"Pass","Fail")</f>
        <v>Pass</v>
      </c>
      <c r="M37" s="6">
        <f>IF(Benchmark1[[#This Row],[Comparable '#2 Date Check]]="Pass",INDEX(Comp2[Comparable '#2 Price],MATCH(Benchmark1[[#This Row],[Benchmark '#1 Dates]],Comp2[Comparable '#2 Dates],0)),"-")</f>
        <v>48.75</v>
      </c>
      <c r="N37" s="22">
        <f>IF(Benchmark1[[#This Row],[Comparable '#2 Date Check]]="Pass",INDEX(Comp2[Comparable '#2 Return],MATCH(Benchmark1[[#This Row],[Benchmark '#1 Dates]],Comp2[Comparable '#2 Dates],0)),"-")</f>
        <v>-6.1349885675158321E-3</v>
      </c>
      <c r="O37" s="1">
        <f>IFERROR(IF(Benchmark1[[#This Row],[Comparable '#2 Date Check]]="Pass",Benchmark1[[#This Row],[Comparable '#2 Return]]-Benchmark1[[#This Row],[Benchmark '#1 Return]],"-"),"-")</f>
        <v>-4.4408970087664677E-3</v>
      </c>
      <c r="P37" s="1" t="str">
        <f>IF(COUNTIF(Comp3[Comparable '#3 Dates],Benchmark1[[#This Row],[Benchmark '#1 Dates]])=1,"Pass","Fail")</f>
        <v>Pass</v>
      </c>
      <c r="Q37" s="6">
        <f>IF(Benchmark1[[#This Row],[Comparable '#3 Date Check]]="Pass",INDEX(Comp3[Comparable '#3 Price],MATCH(Benchmark1[[#This Row],[Benchmark '#1 Dates]],Comp3[Comparable '#3 Dates],0)),"-")</f>
        <v>135.01</v>
      </c>
      <c r="R37" s="22">
        <f>IF(Benchmark1[[#This Row],[Comparable '#3 Date Check]]="Pass",INDEX(Comp3[Comparable '#3 Return],MATCH(Benchmark1[[#This Row],[Benchmark '#1 Dates]],Comp3[Comparable '#3 Dates],0)),"-")</f>
        <v>-1.2659328551835517E-2</v>
      </c>
      <c r="S37" s="1">
        <f>IFERROR(IF(Benchmark1[[#This Row],[Comparable '#3 Date Check]]="Pass",Benchmark1[[#This Row],[Comparable '#3 Return]]-Benchmark1[[#This Row],[Benchmark '#1 Return]],"-"),"-")</f>
        <v>-1.0965236993086153E-2</v>
      </c>
    </row>
    <row r="38" spans="1:19">
      <c r="A38" s="103">
        <v>43336</v>
      </c>
      <c r="B38" s="104">
        <v>2874.6891438910502</v>
      </c>
      <c r="C38" s="4">
        <f t="shared" si="0"/>
        <v>6.179232203356943E-3</v>
      </c>
      <c r="D38" s="1" t="str">
        <f>IF(COUNTIF(Target1[Target Dates],Benchmark1[[#This Row],[Benchmark '#1 Dates]])=1,"Pass","Fail")</f>
        <v>Pass</v>
      </c>
      <c r="E38" s="6">
        <f>IF(Benchmark1[[#This Row],[Target Date Check]]="Pass",INDEX(Target1[Target Price],MATCH(Benchmark1[[#This Row],[Benchmark '#1 Dates]],Target1[Target Dates],0)),"-")</f>
        <v>17.47</v>
      </c>
      <c r="F38" s="22">
        <f>IF(Benchmark1[[#This Row],[Target Date Check]]="Pass",INDEX(Target1[Target Return],MATCH(Benchmark1[[#This Row],[Benchmark '#1 Dates]],Target1[Target Dates],0)),"-")</f>
        <v>2.8661527216082379E-3</v>
      </c>
      <c r="G38" s="1">
        <f>IFERROR(IF(Benchmark1[[#This Row],[Target Date Check]]="Pass",Benchmark1[[#This Row],[Target Return]]-Benchmark1[[#This Row],[Benchmark '#1 Return]],"-"),"-")</f>
        <v>-3.3130794817487052E-3</v>
      </c>
      <c r="H38" s="1" t="str">
        <f>IF(COUNTIF(Comp1[Comparable '#1 Dates],Benchmark1[[#This Row],[Benchmark '#1 Dates]])=1,"Pass","Fail")</f>
        <v>Pass</v>
      </c>
      <c r="I38" s="6">
        <f>IF(Benchmark1[[#This Row],[Comparable '#1 Date Check]]="Pass",INDEX(Comp1[Comparable '#1 Price],MATCH(Benchmark1[[#This Row],[Benchmark '#1 Dates]],Comp1[Comparable '#1 Dates],0)),"-")</f>
        <v>15.59</v>
      </c>
      <c r="J38" s="22">
        <f>IF(Benchmark1[[#This Row],[Comparable '#1 Date Check]]="Pass",INDEX(Comp1[Comparable '#1 Return],MATCH(Benchmark1[[#This Row],[Benchmark '#1 Dates]],Comp1[Comparable '#1 Dates],0)),"-")</f>
        <v>-6.4123118580620866E-4</v>
      </c>
      <c r="K38" s="1">
        <f>IFERROR(IF(Benchmark1[[#This Row],[Comparable '#1 Date Check]]="Pass",Benchmark1[[#This Row],[Comparable '#1 Return]]-Benchmark1[[#This Row],[Benchmark '#1 Return]],"-"),"-")</f>
        <v>-6.8204633891631519E-3</v>
      </c>
      <c r="L38" s="1" t="str">
        <f>IF(COUNTIF(Comp2[Comparable '#2 Dates],Benchmark1[[#This Row],[Benchmark '#1 Dates]])=1,"Pass","Fail")</f>
        <v>Pass</v>
      </c>
      <c r="M38" s="6">
        <f>IF(Benchmark1[[#This Row],[Comparable '#2 Date Check]]="Pass",INDEX(Comp2[Comparable '#2 Price],MATCH(Benchmark1[[#This Row],[Benchmark '#1 Dates]],Comp2[Comparable '#2 Dates],0)),"-")</f>
        <v>48.7</v>
      </c>
      <c r="N38" s="22">
        <f>IF(Benchmark1[[#This Row],[Comparable '#2 Date Check]]="Pass",INDEX(Comp2[Comparable '#2 Return],MATCH(Benchmark1[[#This Row],[Benchmark '#1 Dates]],Comp2[Comparable '#2 Dates],0)),"-")</f>
        <v>-1.0261673553120061E-3</v>
      </c>
      <c r="O38" s="1">
        <f>IFERROR(IF(Benchmark1[[#This Row],[Comparable '#2 Date Check]]="Pass",Benchmark1[[#This Row],[Comparable '#2 Return]]-Benchmark1[[#This Row],[Benchmark '#1 Return]],"-"),"-")</f>
        <v>-7.2053995586689491E-3</v>
      </c>
      <c r="P38" s="1" t="str">
        <f>IF(COUNTIF(Comp3[Comparable '#3 Dates],Benchmark1[[#This Row],[Benchmark '#1 Dates]])=1,"Pass","Fail")</f>
        <v>Pass</v>
      </c>
      <c r="Q38" s="6">
        <f>IF(Benchmark1[[#This Row],[Comparable '#3 Date Check]]="Pass",INDEX(Comp3[Comparable '#3 Price],MATCH(Benchmark1[[#This Row],[Benchmark '#1 Dates]],Comp3[Comparable '#3 Dates],0)),"-")</f>
        <v>136.01</v>
      </c>
      <c r="R38" s="22">
        <f>IF(Benchmark1[[#This Row],[Comparable '#3 Date Check]]="Pass",INDEX(Comp3[Comparable '#3 Return],MATCH(Benchmark1[[#This Row],[Benchmark '#1 Dates]],Comp3[Comparable '#3 Dates],0)),"-")</f>
        <v>7.3795626755071434E-3</v>
      </c>
      <c r="S38" s="1">
        <f>IFERROR(IF(Benchmark1[[#This Row],[Comparable '#3 Date Check]]="Pass",Benchmark1[[#This Row],[Comparable '#3 Return]]-Benchmark1[[#This Row],[Benchmark '#1 Return]],"-"),"-")</f>
        <v>1.2003304721502003E-3</v>
      </c>
    </row>
    <row r="39" spans="1:19">
      <c r="A39" s="103">
        <v>43339</v>
      </c>
      <c r="B39" s="104">
        <v>2896.7356353035375</v>
      </c>
      <c r="C39" s="4">
        <f t="shared" si="0"/>
        <v>7.6399154422175687E-3</v>
      </c>
      <c r="D39" s="1" t="str">
        <f>IF(COUNTIF(Target1[Target Dates],Benchmark1[[#This Row],[Benchmark '#1 Dates]])=1,"Pass","Fail")</f>
        <v>Pass</v>
      </c>
      <c r="E39" s="6">
        <f>IF(Benchmark1[[#This Row],[Target Date Check]]="Pass",INDEX(Target1[Target Price],MATCH(Benchmark1[[#This Row],[Benchmark '#1 Dates]],Target1[Target Dates],0)),"-")</f>
        <v>16.899999999999999</v>
      </c>
      <c r="F39" s="22">
        <f>IF(Benchmark1[[#This Row],[Target Date Check]]="Pass",INDEX(Target1[Target Return],MATCH(Benchmark1[[#This Row],[Benchmark '#1 Dates]],Target1[Target Dates],0)),"-")</f>
        <v>-3.3171502216937425E-2</v>
      </c>
      <c r="G39" s="1">
        <f>IFERROR(IF(Benchmark1[[#This Row],[Target Date Check]]="Pass",Benchmark1[[#This Row],[Target Return]]-Benchmark1[[#This Row],[Benchmark '#1 Return]],"-"),"-")</f>
        <v>-4.0811417659154997E-2</v>
      </c>
      <c r="H39" s="1" t="str">
        <f>IF(COUNTIF(Comp1[Comparable '#1 Dates],Benchmark1[[#This Row],[Benchmark '#1 Dates]])=1,"Pass","Fail")</f>
        <v>Pass</v>
      </c>
      <c r="I39" s="6">
        <f>IF(Benchmark1[[#This Row],[Comparable '#1 Date Check]]="Pass",INDEX(Comp1[Comparable '#1 Price],MATCH(Benchmark1[[#This Row],[Benchmark '#1 Dates]],Comp1[Comparable '#1 Dates],0)),"-")</f>
        <v>16.010000000000002</v>
      </c>
      <c r="J39" s="22">
        <f>IF(Benchmark1[[#This Row],[Comparable '#1 Date Check]]="Pass",INDEX(Comp1[Comparable '#1 Return],MATCH(Benchmark1[[#This Row],[Benchmark '#1 Dates]],Comp1[Comparable '#1 Dates],0)),"-")</f>
        <v>2.658384393893835E-2</v>
      </c>
      <c r="K39" s="1">
        <f>IFERROR(IF(Benchmark1[[#This Row],[Comparable '#1 Date Check]]="Pass",Benchmark1[[#This Row],[Comparable '#1 Return]]-Benchmark1[[#This Row],[Benchmark '#1 Return]],"-"),"-")</f>
        <v>1.8943928496720781E-2</v>
      </c>
      <c r="L39" s="1" t="str">
        <f>IF(COUNTIF(Comp2[Comparable '#2 Dates],Benchmark1[[#This Row],[Benchmark '#1 Dates]])=1,"Pass","Fail")</f>
        <v>Pass</v>
      </c>
      <c r="M39" s="6">
        <f>IF(Benchmark1[[#This Row],[Comparable '#2 Date Check]]="Pass",INDEX(Comp2[Comparable '#2 Price],MATCH(Benchmark1[[#This Row],[Benchmark '#1 Dates]],Comp2[Comparable '#2 Dates],0)),"-")</f>
        <v>48.4</v>
      </c>
      <c r="N39" s="22">
        <f>IF(Benchmark1[[#This Row],[Comparable '#2 Date Check]]="Pass",INDEX(Comp2[Comparable '#2 Return],MATCH(Benchmark1[[#This Row],[Benchmark '#1 Dates]],Comp2[Comparable '#2 Dates],0)),"-")</f>
        <v>-6.1792163659581201E-3</v>
      </c>
      <c r="O39" s="1">
        <f>IFERROR(IF(Benchmark1[[#This Row],[Comparable '#2 Date Check]]="Pass",Benchmark1[[#This Row],[Comparable '#2 Return]]-Benchmark1[[#This Row],[Benchmark '#1 Return]],"-"),"-")</f>
        <v>-1.3819131808175688E-2</v>
      </c>
      <c r="P39" s="1" t="str">
        <f>IF(COUNTIF(Comp3[Comparable '#3 Dates],Benchmark1[[#This Row],[Benchmark '#1 Dates]])=1,"Pass","Fail")</f>
        <v>Pass</v>
      </c>
      <c r="Q39" s="6">
        <f>IF(Benchmark1[[#This Row],[Comparable '#3 Date Check]]="Pass",INDEX(Comp3[Comparable '#3 Price],MATCH(Benchmark1[[#This Row],[Benchmark '#1 Dates]],Comp3[Comparable '#3 Dates],0)),"-")</f>
        <v>137.6</v>
      </c>
      <c r="R39" s="22">
        <f>IF(Benchmark1[[#This Row],[Comparable '#3 Date Check]]="Pass",INDEX(Comp3[Comparable '#3 Return],MATCH(Benchmark1[[#This Row],[Benchmark '#1 Dates]],Comp3[Comparable '#3 Dates],0)),"-")</f>
        <v>1.1622513054581294E-2</v>
      </c>
      <c r="S39" s="1">
        <f>IFERROR(IF(Benchmark1[[#This Row],[Comparable '#3 Date Check]]="Pass",Benchmark1[[#This Row],[Comparable '#3 Return]]-Benchmark1[[#This Row],[Benchmark '#1 Return]],"-"),"-")</f>
        <v>3.9825976123637249E-3</v>
      </c>
    </row>
    <row r="40" spans="1:19">
      <c r="A40" s="103">
        <v>43340</v>
      </c>
      <c r="B40" s="104">
        <v>2897.522044863571</v>
      </c>
      <c r="C40" s="4">
        <f t="shared" si="0"/>
        <v>2.7144445700238138E-4</v>
      </c>
      <c r="D40" s="1" t="str">
        <f>IF(COUNTIF(Target1[Target Dates],Benchmark1[[#This Row],[Benchmark '#1 Dates]])=1,"Pass","Fail")</f>
        <v>Pass</v>
      </c>
      <c r="E40" s="6">
        <f>IF(Benchmark1[[#This Row],[Target Date Check]]="Pass",INDEX(Target1[Target Price],MATCH(Benchmark1[[#This Row],[Benchmark '#1 Dates]],Target1[Target Dates],0)),"-")</f>
        <v>16.670000000000002</v>
      </c>
      <c r="F40" s="22">
        <f>IF(Benchmark1[[#This Row],[Target Date Check]]="Pass",INDEX(Target1[Target Return],MATCH(Benchmark1[[#This Row],[Benchmark '#1 Dates]],Target1[Target Dates],0)),"-")</f>
        <v>-1.3702925166324932E-2</v>
      </c>
      <c r="G40" s="1">
        <f>IFERROR(IF(Benchmark1[[#This Row],[Target Date Check]]="Pass",Benchmark1[[#This Row],[Target Return]]-Benchmark1[[#This Row],[Benchmark '#1 Return]],"-"),"-")</f>
        <v>-1.3974369623327314E-2</v>
      </c>
      <c r="H40" s="1" t="str">
        <f>IF(COUNTIF(Comp1[Comparable '#1 Dates],Benchmark1[[#This Row],[Benchmark '#1 Dates]])=1,"Pass","Fail")</f>
        <v>Pass</v>
      </c>
      <c r="I40" s="6">
        <f>IF(Benchmark1[[#This Row],[Comparable '#1 Date Check]]="Pass",INDEX(Comp1[Comparable '#1 Price],MATCH(Benchmark1[[#This Row],[Benchmark '#1 Dates]],Comp1[Comparable '#1 Dates],0)),"-")</f>
        <v>16</v>
      </c>
      <c r="J40" s="22">
        <f>IF(Benchmark1[[#This Row],[Comparable '#1 Date Check]]="Pass",INDEX(Comp1[Comparable '#1 Return],MATCH(Benchmark1[[#This Row],[Benchmark '#1 Dates]],Comp1[Comparable '#1 Dates],0)),"-")</f>
        <v>-6.2480476884219582E-4</v>
      </c>
      <c r="K40" s="1">
        <f>IFERROR(IF(Benchmark1[[#This Row],[Comparable '#1 Date Check]]="Pass",Benchmark1[[#This Row],[Comparable '#1 Return]]-Benchmark1[[#This Row],[Benchmark '#1 Return]],"-"),"-")</f>
        <v>-8.962492258445772E-4</v>
      </c>
      <c r="L40" s="1" t="str">
        <f>IF(COUNTIF(Comp2[Comparable '#2 Dates],Benchmark1[[#This Row],[Benchmark '#1 Dates]])=1,"Pass","Fail")</f>
        <v>Pass</v>
      </c>
      <c r="M40" s="6">
        <f>IF(Benchmark1[[#This Row],[Comparable '#2 Date Check]]="Pass",INDEX(Comp2[Comparable '#2 Price],MATCH(Benchmark1[[#This Row],[Benchmark '#1 Dates]],Comp2[Comparable '#2 Dates],0)),"-")</f>
        <v>47.7</v>
      </c>
      <c r="N40" s="22">
        <f>IF(Benchmark1[[#This Row],[Comparable '#2 Date Check]]="Pass",INDEX(Comp2[Comparable '#2 Return],MATCH(Benchmark1[[#This Row],[Benchmark '#1 Dates]],Comp2[Comparable '#2 Dates],0)),"-")</f>
        <v>-1.4568415828290385E-2</v>
      </c>
      <c r="O40" s="1">
        <f>IFERROR(IF(Benchmark1[[#This Row],[Comparable '#2 Date Check]]="Pass",Benchmark1[[#This Row],[Comparable '#2 Return]]-Benchmark1[[#This Row],[Benchmark '#1 Return]],"-"),"-")</f>
        <v>-1.4839860285292767E-2</v>
      </c>
      <c r="P40" s="1" t="str">
        <f>IF(COUNTIF(Comp3[Comparable '#3 Dates],Benchmark1[[#This Row],[Benchmark '#1 Dates]])=1,"Pass","Fail")</f>
        <v>Pass</v>
      </c>
      <c r="Q40" s="6">
        <f>IF(Benchmark1[[#This Row],[Comparable '#3 Date Check]]="Pass",INDEX(Comp3[Comparable '#3 Price],MATCH(Benchmark1[[#This Row],[Benchmark '#1 Dates]],Comp3[Comparable '#3 Dates],0)),"-")</f>
        <v>138.38</v>
      </c>
      <c r="R40" s="22">
        <f>IF(Benchmark1[[#This Row],[Comparable '#3 Date Check]]="Pass",INDEX(Comp3[Comparable '#3 Return],MATCH(Benchmark1[[#This Row],[Benchmark '#1 Dates]],Comp3[Comparable '#3 Dates],0)),"-")</f>
        <v>5.652598571421634E-3</v>
      </c>
      <c r="S40" s="1">
        <f>IFERROR(IF(Benchmark1[[#This Row],[Comparable '#3 Date Check]]="Pass",Benchmark1[[#This Row],[Comparable '#3 Return]]-Benchmark1[[#This Row],[Benchmark '#1 Return]],"-"),"-")</f>
        <v>5.3811541144192527E-3</v>
      </c>
    </row>
    <row r="41" spans="1:19">
      <c r="A41" s="103">
        <v>43341</v>
      </c>
      <c r="B41" s="104">
        <v>2914.0413654341264</v>
      </c>
      <c r="C41" s="4">
        <f t="shared" si="0"/>
        <v>5.684998646735594E-3</v>
      </c>
      <c r="D41" s="1" t="str">
        <f>IF(COUNTIF(Target1[Target Dates],Benchmark1[[#This Row],[Benchmark '#1 Dates]])=1,"Pass","Fail")</f>
        <v>Pass</v>
      </c>
      <c r="E41" s="6">
        <f>IF(Benchmark1[[#This Row],[Target Date Check]]="Pass",INDEX(Target1[Target Price],MATCH(Benchmark1[[#This Row],[Benchmark '#1 Dates]],Target1[Target Dates],0)),"-")</f>
        <v>16.62</v>
      </c>
      <c r="F41" s="22">
        <f>IF(Benchmark1[[#This Row],[Target Date Check]]="Pass",INDEX(Target1[Target Return],MATCH(Benchmark1[[#This Row],[Benchmark '#1 Dates]],Target1[Target Dates],0)),"-")</f>
        <v>-3.0039073354005109E-3</v>
      </c>
      <c r="G41" s="1">
        <f>IFERROR(IF(Benchmark1[[#This Row],[Target Date Check]]="Pass",Benchmark1[[#This Row],[Target Return]]-Benchmark1[[#This Row],[Benchmark '#1 Return]],"-"),"-")</f>
        <v>-8.6889059821361053E-3</v>
      </c>
      <c r="H41" s="1" t="str">
        <f>IF(COUNTIF(Comp1[Comparable '#1 Dates],Benchmark1[[#This Row],[Benchmark '#1 Dates]])=1,"Pass","Fail")</f>
        <v>Pass</v>
      </c>
      <c r="I41" s="6">
        <f>IF(Benchmark1[[#This Row],[Comparable '#1 Date Check]]="Pass",INDEX(Comp1[Comparable '#1 Price],MATCH(Benchmark1[[#This Row],[Benchmark '#1 Dates]],Comp1[Comparable '#1 Dates],0)),"-")</f>
        <v>16</v>
      </c>
      <c r="J41" s="22">
        <f>IF(Benchmark1[[#This Row],[Comparable '#1 Date Check]]="Pass",INDEX(Comp1[Comparable '#1 Return],MATCH(Benchmark1[[#This Row],[Benchmark '#1 Dates]],Comp1[Comparable '#1 Dates],0)),"-")</f>
        <v>0</v>
      </c>
      <c r="K41" s="1">
        <f>IFERROR(IF(Benchmark1[[#This Row],[Comparable '#1 Date Check]]="Pass",Benchmark1[[#This Row],[Comparable '#1 Return]]-Benchmark1[[#This Row],[Benchmark '#1 Return]],"-"),"-")</f>
        <v>-5.684998646735594E-3</v>
      </c>
      <c r="L41" s="1" t="str">
        <f>IF(COUNTIF(Comp2[Comparable '#2 Dates],Benchmark1[[#This Row],[Benchmark '#1 Dates]])=1,"Pass","Fail")</f>
        <v>Pass</v>
      </c>
      <c r="M41" s="6">
        <f>IF(Benchmark1[[#This Row],[Comparable '#2 Date Check]]="Pass",INDEX(Comp2[Comparable '#2 Price],MATCH(Benchmark1[[#This Row],[Benchmark '#1 Dates]],Comp2[Comparable '#2 Dates],0)),"-")</f>
        <v>47.7</v>
      </c>
      <c r="N41" s="22">
        <f>IF(Benchmark1[[#This Row],[Comparable '#2 Date Check]]="Pass",INDEX(Comp2[Comparable '#2 Return],MATCH(Benchmark1[[#This Row],[Benchmark '#1 Dates]],Comp2[Comparable '#2 Dates],0)),"-")</f>
        <v>0</v>
      </c>
      <c r="O41" s="1">
        <f>IFERROR(IF(Benchmark1[[#This Row],[Comparable '#2 Date Check]]="Pass",Benchmark1[[#This Row],[Comparable '#2 Return]]-Benchmark1[[#This Row],[Benchmark '#1 Return]],"-"),"-")</f>
        <v>-5.684998646735594E-3</v>
      </c>
      <c r="P41" s="1" t="str">
        <f>IF(COUNTIF(Comp3[Comparable '#3 Dates],Benchmark1[[#This Row],[Benchmark '#1 Dates]])=1,"Pass","Fail")</f>
        <v>Pass</v>
      </c>
      <c r="Q41" s="6">
        <f>IF(Benchmark1[[#This Row],[Comparable '#3 Date Check]]="Pass",INDEX(Comp3[Comparable '#3 Price],MATCH(Benchmark1[[#This Row],[Benchmark '#1 Dates]],Comp3[Comparable '#3 Dates],0)),"-")</f>
        <v>137.38999999999999</v>
      </c>
      <c r="R41" s="22">
        <f>IF(Benchmark1[[#This Row],[Comparable '#3 Date Check]]="Pass",INDEX(Comp3[Comparable '#3 Return],MATCH(Benchmark1[[#This Row],[Benchmark '#1 Dates]],Comp3[Comparable '#3 Dates],0)),"-")</f>
        <v>-7.1799271348082297E-3</v>
      </c>
      <c r="S41" s="1">
        <f>IFERROR(IF(Benchmark1[[#This Row],[Comparable '#3 Date Check]]="Pass",Benchmark1[[#This Row],[Comparable '#3 Return]]-Benchmark1[[#This Row],[Benchmark '#1 Return]],"-"),"-")</f>
        <v>-1.2864925781543824E-2</v>
      </c>
    </row>
    <row r="42" spans="1:19">
      <c r="A42" s="103">
        <v>43342</v>
      </c>
      <c r="B42" s="104">
        <v>2901.1265962029756</v>
      </c>
      <c r="C42" s="4">
        <f t="shared" si="0"/>
        <v>-4.4417600831310371E-3</v>
      </c>
      <c r="D42" s="1" t="str">
        <f>IF(COUNTIF(Target1[Target Dates],Benchmark1[[#This Row],[Benchmark '#1 Dates]])=1,"Pass","Fail")</f>
        <v>Pass</v>
      </c>
      <c r="E42" s="6">
        <f>IF(Benchmark1[[#This Row],[Target Date Check]]="Pass",INDEX(Target1[Target Price],MATCH(Benchmark1[[#This Row],[Benchmark '#1 Dates]],Target1[Target Dates],0)),"-")</f>
        <v>16.440000000000001</v>
      </c>
      <c r="F42" s="22">
        <f>IF(Benchmark1[[#This Row],[Target Date Check]]="Pass",INDEX(Target1[Target Return],MATCH(Benchmark1[[#This Row],[Benchmark '#1 Dates]],Target1[Target Dates],0)),"-")</f>
        <v>-1.0889399799268206E-2</v>
      </c>
      <c r="G42" s="1">
        <f>IFERROR(IF(Benchmark1[[#This Row],[Target Date Check]]="Pass",Benchmark1[[#This Row],[Target Return]]-Benchmark1[[#This Row],[Benchmark '#1 Return]],"-"),"-")</f>
        <v>-6.4476397161371693E-3</v>
      </c>
      <c r="H42" s="1" t="str">
        <f>IF(COUNTIF(Comp1[Comparable '#1 Dates],Benchmark1[[#This Row],[Benchmark '#1 Dates]])=1,"Pass","Fail")</f>
        <v>Pass</v>
      </c>
      <c r="I42" s="6">
        <f>IF(Benchmark1[[#This Row],[Comparable '#1 Date Check]]="Pass",INDEX(Comp1[Comparable '#1 Price],MATCH(Benchmark1[[#This Row],[Benchmark '#1 Dates]],Comp1[Comparable '#1 Dates],0)),"-")</f>
        <v>15.85</v>
      </c>
      <c r="J42" s="22">
        <f>IF(Benchmark1[[#This Row],[Comparable '#1 Date Check]]="Pass",INDEX(Comp1[Comparable '#1 Return],MATCH(Benchmark1[[#This Row],[Benchmark '#1 Dates]],Comp1[Comparable '#1 Dates],0)),"-")</f>
        <v>-9.4192219164916397E-3</v>
      </c>
      <c r="K42" s="1">
        <f>IFERROR(IF(Benchmark1[[#This Row],[Comparable '#1 Date Check]]="Pass",Benchmark1[[#This Row],[Comparable '#1 Return]]-Benchmark1[[#This Row],[Benchmark '#1 Return]],"-"),"-")</f>
        <v>-4.9774618333606026E-3</v>
      </c>
      <c r="L42" s="1" t="str">
        <f>IF(COUNTIF(Comp2[Comparable '#2 Dates],Benchmark1[[#This Row],[Benchmark '#1 Dates]])=1,"Pass","Fail")</f>
        <v>Pass</v>
      </c>
      <c r="M42" s="6">
        <f>IF(Benchmark1[[#This Row],[Comparable '#2 Date Check]]="Pass",INDEX(Comp2[Comparable '#2 Price],MATCH(Benchmark1[[#This Row],[Benchmark '#1 Dates]],Comp2[Comparable '#2 Dates],0)),"-")</f>
        <v>47.8</v>
      </c>
      <c r="N42" s="22">
        <f>IF(Benchmark1[[#This Row],[Comparable '#2 Date Check]]="Pass",INDEX(Comp2[Comparable '#2 Return],MATCH(Benchmark1[[#This Row],[Benchmark '#1 Dates]],Comp2[Comparable '#2 Dates],0)),"-")</f>
        <v>2.0942416031146851E-3</v>
      </c>
      <c r="O42" s="1">
        <f>IFERROR(IF(Benchmark1[[#This Row],[Comparable '#2 Date Check]]="Pass",Benchmark1[[#This Row],[Comparable '#2 Return]]-Benchmark1[[#This Row],[Benchmark '#1 Return]],"-"),"-")</f>
        <v>6.5360016862457222E-3</v>
      </c>
      <c r="P42" s="1" t="str">
        <f>IF(COUNTIF(Comp3[Comparable '#3 Dates],Benchmark1[[#This Row],[Benchmark '#1 Dates]])=1,"Pass","Fail")</f>
        <v>Pass</v>
      </c>
      <c r="Q42" s="6">
        <f>IF(Benchmark1[[#This Row],[Comparable '#3 Date Check]]="Pass",INDEX(Comp3[Comparable '#3 Price],MATCH(Benchmark1[[#This Row],[Benchmark '#1 Dates]],Comp3[Comparable '#3 Dates],0)),"-")</f>
        <v>137.04</v>
      </c>
      <c r="R42" s="22">
        <f>IF(Benchmark1[[#This Row],[Comparable '#3 Date Check]]="Pass",INDEX(Comp3[Comparable '#3 Return],MATCH(Benchmark1[[#This Row],[Benchmark '#1 Dates]],Comp3[Comparable '#3 Dates],0)),"-")</f>
        <v>-2.5507429199923002E-3</v>
      </c>
      <c r="S42" s="1">
        <f>IFERROR(IF(Benchmark1[[#This Row],[Comparable '#3 Date Check]]="Pass",Benchmark1[[#This Row],[Comparable '#3 Return]]-Benchmark1[[#This Row],[Benchmark '#1 Return]],"-"),"-")</f>
        <v>1.8910171631387369E-3</v>
      </c>
    </row>
    <row r="43" spans="1:19">
      <c r="A43" s="103">
        <v>43343</v>
      </c>
      <c r="B43" s="104">
        <v>2901.5176770405237</v>
      </c>
      <c r="C43" s="4">
        <f t="shared" si="0"/>
        <v>1.3479400760217929E-4</v>
      </c>
      <c r="D43" s="1" t="str">
        <f>IF(COUNTIF(Target1[Target Dates],Benchmark1[[#This Row],[Benchmark '#1 Dates]])=1,"Pass","Fail")</f>
        <v>Pass</v>
      </c>
      <c r="E43" s="6">
        <f>IF(Benchmark1[[#This Row],[Target Date Check]]="Pass",INDEX(Target1[Target Price],MATCH(Benchmark1[[#This Row],[Benchmark '#1 Dates]],Target1[Target Dates],0)),"-")</f>
        <v>16.559999999999999</v>
      </c>
      <c r="F43" s="22">
        <f>IF(Benchmark1[[#This Row],[Target Date Check]]="Pass",INDEX(Target1[Target Return],MATCH(Benchmark1[[#This Row],[Benchmark '#1 Dates]],Target1[Target Dates],0)),"-")</f>
        <v>7.2727593290796569E-3</v>
      </c>
      <c r="G43" s="1">
        <f>IFERROR(IF(Benchmark1[[#This Row],[Target Date Check]]="Pass",Benchmark1[[#This Row],[Target Return]]-Benchmark1[[#This Row],[Benchmark '#1 Return]],"-"),"-")</f>
        <v>7.1379653214774779E-3</v>
      </c>
      <c r="H43" s="1" t="str">
        <f>IF(COUNTIF(Comp1[Comparable '#1 Dates],Benchmark1[[#This Row],[Benchmark '#1 Dates]])=1,"Pass","Fail")</f>
        <v>Pass</v>
      </c>
      <c r="I43" s="6">
        <f>IF(Benchmark1[[#This Row],[Comparable '#1 Date Check]]="Pass",INDEX(Comp1[Comparable '#1 Price],MATCH(Benchmark1[[#This Row],[Benchmark '#1 Dates]],Comp1[Comparable '#1 Dates],0)),"-")</f>
        <v>15.97</v>
      </c>
      <c r="J43" s="22">
        <f>IF(Benchmark1[[#This Row],[Comparable '#1 Date Check]]="Pass",INDEX(Comp1[Comparable '#1 Return],MATCH(Benchmark1[[#This Row],[Benchmark '#1 Dates]],Comp1[Comparable '#1 Dates],0)),"-")</f>
        <v>7.5424619036314868E-3</v>
      </c>
      <c r="K43" s="1">
        <f>IFERROR(IF(Benchmark1[[#This Row],[Comparable '#1 Date Check]]="Pass",Benchmark1[[#This Row],[Comparable '#1 Return]]-Benchmark1[[#This Row],[Benchmark '#1 Return]],"-"),"-")</f>
        <v>7.4076678960293078E-3</v>
      </c>
      <c r="L43" s="1" t="str">
        <f>IF(COUNTIF(Comp2[Comparable '#2 Dates],Benchmark1[[#This Row],[Benchmark '#1 Dates]])=1,"Pass","Fail")</f>
        <v>Pass</v>
      </c>
      <c r="M43" s="6">
        <f>IF(Benchmark1[[#This Row],[Comparable '#2 Date Check]]="Pass",INDEX(Comp2[Comparable '#2 Price],MATCH(Benchmark1[[#This Row],[Benchmark '#1 Dates]],Comp2[Comparable '#2 Dates],0)),"-")</f>
        <v>47.85</v>
      </c>
      <c r="N43" s="22">
        <f>IF(Benchmark1[[#This Row],[Comparable '#2 Date Check]]="Pass",INDEX(Comp2[Comparable '#2 Return],MATCH(Benchmark1[[#This Row],[Benchmark '#1 Dates]],Comp2[Comparable '#2 Dates],0)),"-")</f>
        <v>1.0454784015529657E-3</v>
      </c>
      <c r="O43" s="1">
        <f>IFERROR(IF(Benchmark1[[#This Row],[Comparable '#2 Date Check]]="Pass",Benchmark1[[#This Row],[Comparable '#2 Return]]-Benchmark1[[#This Row],[Benchmark '#1 Return]],"-"),"-")</f>
        <v>9.1068439395078642E-4</v>
      </c>
      <c r="P43" s="1" t="str">
        <f>IF(COUNTIF(Comp3[Comparable '#3 Dates],Benchmark1[[#This Row],[Benchmark '#1 Dates]])=1,"Pass","Fail")</f>
        <v>Pass</v>
      </c>
      <c r="Q43" s="6">
        <f>IF(Benchmark1[[#This Row],[Comparable '#3 Date Check]]="Pass",INDEX(Comp3[Comparable '#3 Price],MATCH(Benchmark1[[#This Row],[Benchmark '#1 Dates]],Comp3[Comparable '#3 Dates],0)),"-")</f>
        <v>138.77000000000001</v>
      </c>
      <c r="R43" s="22">
        <f>IF(Benchmark1[[#This Row],[Comparable '#3 Date Check]]="Pass",INDEX(Comp3[Comparable '#3 Return],MATCH(Benchmark1[[#This Row],[Benchmark '#1 Dates]],Comp3[Comparable '#3 Dates],0)),"-")</f>
        <v>1.2545032367054692E-2</v>
      </c>
      <c r="S43" s="1">
        <f>IFERROR(IF(Benchmark1[[#This Row],[Comparable '#3 Date Check]]="Pass",Benchmark1[[#This Row],[Comparable '#3 Return]]-Benchmark1[[#This Row],[Benchmark '#1 Return]],"-"),"-")</f>
        <v>1.2410238359452512E-2</v>
      </c>
    </row>
    <row r="44" spans="1:19">
      <c r="A44" s="103">
        <v>43347</v>
      </c>
      <c r="B44" s="104">
        <v>2896.7232861862171</v>
      </c>
      <c r="C44" s="4">
        <f t="shared" si="0"/>
        <v>-1.6537401523591436E-3</v>
      </c>
      <c r="D44" s="1" t="str">
        <f>IF(COUNTIF(Target1[Target Dates],Benchmark1[[#This Row],[Benchmark '#1 Dates]])=1,"Pass","Fail")</f>
        <v>Pass</v>
      </c>
      <c r="E44" s="6">
        <f>IF(Benchmark1[[#This Row],[Target Date Check]]="Pass",INDEX(Target1[Target Price],MATCH(Benchmark1[[#This Row],[Benchmark '#1 Dates]],Target1[Target Dates],0)),"-")</f>
        <v>16.440000000000001</v>
      </c>
      <c r="F44" s="22">
        <f>IF(Benchmark1[[#This Row],[Target Date Check]]="Pass",INDEX(Target1[Target Return],MATCH(Benchmark1[[#This Row],[Benchmark '#1 Dates]],Target1[Target Dates],0)),"-")</f>
        <v>-7.2727593290795849E-3</v>
      </c>
      <c r="G44" s="1">
        <f>IFERROR(IF(Benchmark1[[#This Row],[Target Date Check]]="Pass",Benchmark1[[#This Row],[Target Return]]-Benchmark1[[#This Row],[Benchmark '#1 Return]],"-"),"-")</f>
        <v>-5.6190191767204415E-3</v>
      </c>
      <c r="H44" s="1" t="str">
        <f>IF(COUNTIF(Comp1[Comparable '#1 Dates],Benchmark1[[#This Row],[Benchmark '#1 Dates]])=1,"Pass","Fail")</f>
        <v>Pass</v>
      </c>
      <c r="I44" s="6">
        <f>IF(Benchmark1[[#This Row],[Comparable '#1 Date Check]]="Pass",INDEX(Comp1[Comparable '#1 Price],MATCH(Benchmark1[[#This Row],[Benchmark '#1 Dates]],Comp1[Comparable '#1 Dates],0)),"-")</f>
        <v>15.71</v>
      </c>
      <c r="J44" s="22">
        <f>IF(Benchmark1[[#This Row],[Comparable '#1 Date Check]]="Pass",INDEX(Comp1[Comparable '#1 Return],MATCH(Benchmark1[[#This Row],[Benchmark '#1 Dates]],Comp1[Comparable '#1 Dates],0)),"-")</f>
        <v>-1.641450995939131E-2</v>
      </c>
      <c r="K44" s="1">
        <f>IFERROR(IF(Benchmark1[[#This Row],[Comparable '#1 Date Check]]="Pass",Benchmark1[[#This Row],[Comparable '#1 Return]]-Benchmark1[[#This Row],[Benchmark '#1 Return]],"-"),"-")</f>
        <v>-1.4760769807032167E-2</v>
      </c>
      <c r="L44" s="1" t="str">
        <f>IF(COUNTIF(Comp2[Comparable '#2 Dates],Benchmark1[[#This Row],[Benchmark '#1 Dates]])=1,"Pass","Fail")</f>
        <v>Pass</v>
      </c>
      <c r="M44" s="6">
        <f>IF(Benchmark1[[#This Row],[Comparable '#2 Date Check]]="Pass",INDEX(Comp2[Comparable '#2 Price],MATCH(Benchmark1[[#This Row],[Benchmark '#1 Dates]],Comp2[Comparable '#2 Dates],0)),"-")</f>
        <v>47.75</v>
      </c>
      <c r="N44" s="22">
        <f>IF(Benchmark1[[#This Row],[Comparable '#2 Date Check]]="Pass",INDEX(Comp2[Comparable '#2 Return],MATCH(Benchmark1[[#This Row],[Benchmark '#1 Dates]],Comp2[Comparable '#2 Dates],0)),"-")</f>
        <v>-2.0920509722240632E-3</v>
      </c>
      <c r="O44" s="1">
        <f>IFERROR(IF(Benchmark1[[#This Row],[Comparable '#2 Date Check]]="Pass",Benchmark1[[#This Row],[Comparable '#2 Return]]-Benchmark1[[#This Row],[Benchmark '#1 Return]],"-"),"-")</f>
        <v>-4.3831081986491958E-4</v>
      </c>
      <c r="P44" s="1" t="str">
        <f>IF(COUNTIF(Comp3[Comparable '#3 Dates],Benchmark1[[#This Row],[Benchmark '#1 Dates]])=1,"Pass","Fail")</f>
        <v>Pass</v>
      </c>
      <c r="Q44" s="6">
        <f>IF(Benchmark1[[#This Row],[Comparable '#3 Date Check]]="Pass",INDEX(Comp3[Comparable '#3 Price],MATCH(Benchmark1[[#This Row],[Benchmark '#1 Dates]],Comp3[Comparable '#3 Dates],0)),"-")</f>
        <v>135.77000000000001</v>
      </c>
      <c r="R44" s="22">
        <f>IF(Benchmark1[[#This Row],[Comparable '#3 Date Check]]="Pass",INDEX(Comp3[Comparable '#3 Return],MATCH(Benchmark1[[#This Row],[Benchmark '#1 Dates]],Comp3[Comparable '#3 Dates],0)),"-")</f>
        <v>-2.1855608770729278E-2</v>
      </c>
      <c r="S44" s="1">
        <f>IFERROR(IF(Benchmark1[[#This Row],[Comparable '#3 Date Check]]="Pass",Benchmark1[[#This Row],[Comparable '#3 Return]]-Benchmark1[[#This Row],[Benchmark '#1 Return]],"-"),"-")</f>
        <v>-2.0201868618370134E-2</v>
      </c>
    </row>
    <row r="45" spans="1:19">
      <c r="A45" s="103">
        <v>43348</v>
      </c>
      <c r="B45" s="104">
        <v>2888.6017988977246</v>
      </c>
      <c r="C45" s="4">
        <f t="shared" si="0"/>
        <v>-2.8076184152149878E-3</v>
      </c>
      <c r="D45" s="1" t="str">
        <f>IF(COUNTIF(Target1[Target Dates],Benchmark1[[#This Row],[Benchmark '#1 Dates]])=1,"Pass","Fail")</f>
        <v>Pass</v>
      </c>
      <c r="E45" s="6">
        <f>IF(Benchmark1[[#This Row],[Target Date Check]]="Pass",INDEX(Target1[Target Price],MATCH(Benchmark1[[#This Row],[Benchmark '#1 Dates]],Target1[Target Dates],0)),"-")</f>
        <v>16.66</v>
      </c>
      <c r="F45" s="22">
        <f>IF(Benchmark1[[#This Row],[Target Date Check]]="Pass",INDEX(Target1[Target Return],MATCH(Benchmark1[[#This Row],[Benchmark '#1 Dates]],Target1[Target Dates],0)),"-")</f>
        <v>1.3293247110662704E-2</v>
      </c>
      <c r="G45" s="1">
        <f>IFERROR(IF(Benchmark1[[#This Row],[Target Date Check]]="Pass",Benchmark1[[#This Row],[Target Return]]-Benchmark1[[#This Row],[Benchmark '#1 Return]],"-"),"-")</f>
        <v>1.6100865525877691E-2</v>
      </c>
      <c r="H45" s="1" t="str">
        <f>IF(COUNTIF(Comp1[Comparable '#1 Dates],Benchmark1[[#This Row],[Benchmark '#1 Dates]])=1,"Pass","Fail")</f>
        <v>Pass</v>
      </c>
      <c r="I45" s="6">
        <f>IF(Benchmark1[[#This Row],[Comparable '#1 Date Check]]="Pass",INDEX(Comp1[Comparable '#1 Price],MATCH(Benchmark1[[#This Row],[Benchmark '#1 Dates]],Comp1[Comparable '#1 Dates],0)),"-")</f>
        <v>15.32</v>
      </c>
      <c r="J45" s="22">
        <f>IF(Benchmark1[[#This Row],[Comparable '#1 Date Check]]="Pass",INDEX(Comp1[Comparable '#1 Return],MATCH(Benchmark1[[#This Row],[Benchmark '#1 Dates]],Comp1[Comparable '#1 Dates],0)),"-")</f>
        <v>-2.5138287955084625E-2</v>
      </c>
      <c r="K45" s="1">
        <f>IFERROR(IF(Benchmark1[[#This Row],[Comparable '#1 Date Check]]="Pass",Benchmark1[[#This Row],[Comparable '#1 Return]]-Benchmark1[[#This Row],[Benchmark '#1 Return]],"-"),"-")</f>
        <v>-2.2330669539869636E-2</v>
      </c>
      <c r="L45" s="1" t="str">
        <f>IF(COUNTIF(Comp2[Comparable '#2 Dates],Benchmark1[[#This Row],[Benchmark '#1 Dates]])=1,"Pass","Fail")</f>
        <v>Pass</v>
      </c>
      <c r="M45" s="6">
        <f>IF(Benchmark1[[#This Row],[Comparable '#2 Date Check]]="Pass",INDEX(Comp2[Comparable '#2 Price],MATCH(Benchmark1[[#This Row],[Benchmark '#1 Dates]],Comp2[Comparable '#2 Dates],0)),"-")</f>
        <v>47.75</v>
      </c>
      <c r="N45" s="22">
        <f>IF(Benchmark1[[#This Row],[Comparable '#2 Date Check]]="Pass",INDEX(Comp2[Comparable '#2 Return],MATCH(Benchmark1[[#This Row],[Benchmark '#1 Dates]],Comp2[Comparable '#2 Dates],0)),"-")</f>
        <v>0</v>
      </c>
      <c r="O45" s="1">
        <f>IFERROR(IF(Benchmark1[[#This Row],[Comparable '#2 Date Check]]="Pass",Benchmark1[[#This Row],[Comparable '#2 Return]]-Benchmark1[[#This Row],[Benchmark '#1 Return]],"-"),"-")</f>
        <v>2.8076184152149878E-3</v>
      </c>
      <c r="P45" s="1" t="str">
        <f>IF(COUNTIF(Comp3[Comparable '#3 Dates],Benchmark1[[#This Row],[Benchmark '#1 Dates]])=1,"Pass","Fail")</f>
        <v>Pass</v>
      </c>
      <c r="Q45" s="6">
        <f>IF(Benchmark1[[#This Row],[Comparable '#3 Date Check]]="Pass",INDEX(Comp3[Comparable '#3 Price],MATCH(Benchmark1[[#This Row],[Benchmark '#1 Dates]],Comp3[Comparable '#3 Dates],0)),"-")</f>
        <v>136.62</v>
      </c>
      <c r="R45" s="22">
        <f>IF(Benchmark1[[#This Row],[Comparable '#3 Date Check]]="Pass",INDEX(Comp3[Comparable '#3 Return],MATCH(Benchmark1[[#This Row],[Benchmark '#1 Dates]],Comp3[Comparable '#3 Dates],0)),"-")</f>
        <v>6.2410716915134376E-3</v>
      </c>
      <c r="S45" s="1">
        <f>IFERROR(IF(Benchmark1[[#This Row],[Comparable '#3 Date Check]]="Pass",Benchmark1[[#This Row],[Comparable '#3 Return]]-Benchmark1[[#This Row],[Benchmark '#1 Return]],"-"),"-")</f>
        <v>9.0486901067284263E-3</v>
      </c>
    </row>
    <row r="46" spans="1:19">
      <c r="A46" s="103">
        <v>43349</v>
      </c>
      <c r="B46" s="104">
        <v>2878.0524329330124</v>
      </c>
      <c r="C46" s="4">
        <f t="shared" si="0"/>
        <v>-3.6587516118806928E-3</v>
      </c>
      <c r="D46" s="1" t="str">
        <f>IF(COUNTIF(Target1[Target Dates],Benchmark1[[#This Row],[Benchmark '#1 Dates]])=1,"Pass","Fail")</f>
        <v>Pass</v>
      </c>
      <c r="E46" s="6">
        <f>IF(Benchmark1[[#This Row],[Target Date Check]]="Pass",INDEX(Target1[Target Price],MATCH(Benchmark1[[#This Row],[Benchmark '#1 Dates]],Target1[Target Dates],0)),"-")</f>
        <v>16.95</v>
      </c>
      <c r="F46" s="22">
        <f>IF(Benchmark1[[#This Row],[Target Date Check]]="Pass",INDEX(Target1[Target Return],MATCH(Benchmark1[[#This Row],[Benchmark '#1 Dates]],Target1[Target Dates],0)),"-")</f>
        <v>1.725719708776248E-2</v>
      </c>
      <c r="G46" s="1">
        <f>IFERROR(IF(Benchmark1[[#This Row],[Target Date Check]]="Pass",Benchmark1[[#This Row],[Target Return]]-Benchmark1[[#This Row],[Benchmark '#1 Return]],"-"),"-")</f>
        <v>2.0915948699643173E-2</v>
      </c>
      <c r="H46" s="1" t="str">
        <f>IF(COUNTIF(Comp1[Comparable '#1 Dates],Benchmark1[[#This Row],[Benchmark '#1 Dates]])=1,"Pass","Fail")</f>
        <v>Pass</v>
      </c>
      <c r="I46" s="6">
        <f>IF(Benchmark1[[#This Row],[Comparable '#1 Date Check]]="Pass",INDEX(Comp1[Comparable '#1 Price],MATCH(Benchmark1[[#This Row],[Benchmark '#1 Dates]],Comp1[Comparable '#1 Dates],0)),"-")</f>
        <v>15.22</v>
      </c>
      <c r="J46" s="22">
        <f>IF(Benchmark1[[#This Row],[Comparable '#1 Date Check]]="Pass",INDEX(Comp1[Comparable '#1 Return],MATCH(Benchmark1[[#This Row],[Benchmark '#1 Dates]],Comp1[Comparable '#1 Dates],0)),"-")</f>
        <v>-6.5488118789054396E-3</v>
      </c>
      <c r="K46" s="1">
        <f>IFERROR(IF(Benchmark1[[#This Row],[Comparable '#1 Date Check]]="Pass",Benchmark1[[#This Row],[Comparable '#1 Return]]-Benchmark1[[#This Row],[Benchmark '#1 Return]],"-"),"-")</f>
        <v>-2.8900602670247468E-3</v>
      </c>
      <c r="L46" s="1" t="str">
        <f>IF(COUNTIF(Comp2[Comparable '#2 Dates],Benchmark1[[#This Row],[Benchmark '#1 Dates]])=1,"Pass","Fail")</f>
        <v>Pass</v>
      </c>
      <c r="M46" s="6">
        <f>IF(Benchmark1[[#This Row],[Comparable '#2 Date Check]]="Pass",INDEX(Comp2[Comparable '#2 Price],MATCH(Benchmark1[[#This Row],[Benchmark '#1 Dates]],Comp2[Comparable '#2 Dates],0)),"-")</f>
        <v>46.55</v>
      </c>
      <c r="N46" s="22">
        <f>IF(Benchmark1[[#This Row],[Comparable '#2 Date Check]]="Pass",INDEX(Comp2[Comparable '#2 Return],MATCH(Benchmark1[[#This Row],[Benchmark '#1 Dates]],Comp2[Comparable '#2 Dates],0)),"-")</f>
        <v>-2.5452063203663181E-2</v>
      </c>
      <c r="O46" s="1">
        <f>IFERROR(IF(Benchmark1[[#This Row],[Comparable '#2 Date Check]]="Pass",Benchmark1[[#This Row],[Comparable '#2 Return]]-Benchmark1[[#This Row],[Benchmark '#1 Return]],"-"),"-")</f>
        <v>-2.1793311591782487E-2</v>
      </c>
      <c r="P46" s="1" t="str">
        <f>IF(COUNTIF(Comp3[Comparable '#3 Dates],Benchmark1[[#This Row],[Benchmark '#1 Dates]])=1,"Pass","Fail")</f>
        <v>Pass</v>
      </c>
      <c r="Q46" s="6">
        <f>IF(Benchmark1[[#This Row],[Comparable '#3 Date Check]]="Pass",INDEX(Comp3[Comparable '#3 Price],MATCH(Benchmark1[[#This Row],[Benchmark '#1 Dates]],Comp3[Comparable '#3 Dates],0)),"-")</f>
        <v>134.41</v>
      </c>
      <c r="R46" s="22">
        <f>IF(Benchmark1[[#This Row],[Comparable '#3 Date Check]]="Pass",INDEX(Comp3[Comparable '#3 Return],MATCH(Benchmark1[[#This Row],[Benchmark '#1 Dates]],Comp3[Comparable '#3 Dates],0)),"-")</f>
        <v>-1.6308519220646436E-2</v>
      </c>
      <c r="S46" s="1">
        <f>IFERROR(IF(Benchmark1[[#This Row],[Comparable '#3 Date Check]]="Pass",Benchmark1[[#This Row],[Comparable '#3 Return]]-Benchmark1[[#This Row],[Benchmark '#1 Return]],"-"),"-")</f>
        <v>-1.2649767608765742E-2</v>
      </c>
    </row>
    <row r="47" spans="1:19">
      <c r="A47" s="103">
        <v>43350</v>
      </c>
      <c r="B47" s="104">
        <v>2871.6815283020701</v>
      </c>
      <c r="C47" s="4">
        <f t="shared" si="0"/>
        <v>-2.2160702673098423E-3</v>
      </c>
      <c r="D47" s="1" t="str">
        <f>IF(COUNTIF(Target1[Target Dates],Benchmark1[[#This Row],[Benchmark '#1 Dates]])=1,"Pass","Fail")</f>
        <v>Pass</v>
      </c>
      <c r="E47" s="6">
        <f>IF(Benchmark1[[#This Row],[Target Date Check]]="Pass",INDEX(Target1[Target Price],MATCH(Benchmark1[[#This Row],[Benchmark '#1 Dates]],Target1[Target Dates],0)),"-")</f>
        <v>16.920000000000002</v>
      </c>
      <c r="F47" s="22">
        <f>IF(Benchmark1[[#This Row],[Target Date Check]]="Pass",INDEX(Target1[Target Return],MATCH(Benchmark1[[#This Row],[Benchmark '#1 Dates]],Target1[Target Dates],0)),"-")</f>
        <v>-1.7714796483818932E-3</v>
      </c>
      <c r="G47" s="1">
        <f>IFERROR(IF(Benchmark1[[#This Row],[Target Date Check]]="Pass",Benchmark1[[#This Row],[Target Return]]-Benchmark1[[#This Row],[Benchmark '#1 Return]],"-"),"-")</f>
        <v>4.4459061892794917E-4</v>
      </c>
      <c r="H47" s="1" t="str">
        <f>IF(COUNTIF(Comp1[Comparable '#1 Dates],Benchmark1[[#This Row],[Benchmark '#1 Dates]])=1,"Pass","Fail")</f>
        <v>Pass</v>
      </c>
      <c r="I47" s="6">
        <f>IF(Benchmark1[[#This Row],[Comparable '#1 Date Check]]="Pass",INDEX(Comp1[Comparable '#1 Price],MATCH(Benchmark1[[#This Row],[Benchmark '#1 Dates]],Comp1[Comparable '#1 Dates],0)),"-")</f>
        <v>15.35</v>
      </c>
      <c r="J47" s="22">
        <f>IF(Benchmark1[[#This Row],[Comparable '#1 Date Check]]="Pass",INDEX(Comp1[Comparable '#1 Return],MATCH(Benchmark1[[#This Row],[Benchmark '#1 Dates]],Comp1[Comparable '#1 Dates],0)),"-")</f>
        <v>8.5051215996664251E-3</v>
      </c>
      <c r="K47" s="1">
        <f>IFERROR(IF(Benchmark1[[#This Row],[Comparable '#1 Date Check]]="Pass",Benchmark1[[#This Row],[Comparable '#1 Return]]-Benchmark1[[#This Row],[Benchmark '#1 Return]],"-"),"-")</f>
        <v>1.0721191866976267E-2</v>
      </c>
      <c r="L47" s="1" t="str">
        <f>IF(COUNTIF(Comp2[Comparable '#2 Dates],Benchmark1[[#This Row],[Benchmark '#1 Dates]])=1,"Pass","Fail")</f>
        <v>Pass</v>
      </c>
      <c r="M47" s="6">
        <f>IF(Benchmark1[[#This Row],[Comparable '#2 Date Check]]="Pass",INDEX(Comp2[Comparable '#2 Price],MATCH(Benchmark1[[#This Row],[Benchmark '#1 Dates]],Comp2[Comparable '#2 Dates],0)),"-")</f>
        <v>46</v>
      </c>
      <c r="N47" s="22">
        <f>IF(Benchmark1[[#This Row],[Comparable '#2 Date Check]]="Pass",INDEX(Comp2[Comparable '#2 Return],MATCH(Benchmark1[[#This Row],[Benchmark '#1 Dates]],Comp2[Comparable '#2 Dates],0)),"-")</f>
        <v>-1.1885607233980971E-2</v>
      </c>
      <c r="O47" s="1">
        <f>IFERROR(IF(Benchmark1[[#This Row],[Comparable '#2 Date Check]]="Pass",Benchmark1[[#This Row],[Comparable '#2 Return]]-Benchmark1[[#This Row],[Benchmark '#1 Return]],"-"),"-")</f>
        <v>-9.669536966671128E-3</v>
      </c>
      <c r="P47" s="1" t="str">
        <f>IF(COUNTIF(Comp3[Comparable '#3 Dates],Benchmark1[[#This Row],[Benchmark '#1 Dates]])=1,"Pass","Fail")</f>
        <v>Pass</v>
      </c>
      <c r="Q47" s="6">
        <f>IF(Benchmark1[[#This Row],[Comparable '#3 Date Check]]="Pass",INDEX(Comp3[Comparable '#3 Price],MATCH(Benchmark1[[#This Row],[Benchmark '#1 Dates]],Comp3[Comparable '#3 Dates],0)),"-")</f>
        <v>132.94999999999999</v>
      </c>
      <c r="R47" s="22">
        <f>IF(Benchmark1[[#This Row],[Comparable '#3 Date Check]]="Pass",INDEX(Comp3[Comparable '#3 Return],MATCH(Benchmark1[[#This Row],[Benchmark '#1 Dates]],Comp3[Comparable '#3 Dates],0)),"-")</f>
        <v>-1.092171239402817E-2</v>
      </c>
      <c r="S47" s="1">
        <f>IFERROR(IF(Benchmark1[[#This Row],[Comparable '#3 Date Check]]="Pass",Benchmark1[[#This Row],[Comparable '#3 Return]]-Benchmark1[[#This Row],[Benchmark '#1 Return]],"-"),"-")</f>
        <v>-8.7056421267183264E-3</v>
      </c>
    </row>
    <row r="48" spans="1:19">
      <c r="A48" s="103">
        <v>43353</v>
      </c>
      <c r="B48" s="104">
        <v>2877.1261459303296</v>
      </c>
      <c r="C48" s="4">
        <f t="shared" si="0"/>
        <v>1.8941733885292006E-3</v>
      </c>
      <c r="D48" s="1" t="str">
        <f>IF(COUNTIF(Target1[Target Dates],Benchmark1[[#This Row],[Benchmark '#1 Dates]])=1,"Pass","Fail")</f>
        <v>Pass</v>
      </c>
      <c r="E48" s="6">
        <f>IF(Benchmark1[[#This Row],[Target Date Check]]="Pass",INDEX(Target1[Target Price],MATCH(Benchmark1[[#This Row],[Benchmark '#1 Dates]],Target1[Target Dates],0)),"-")</f>
        <v>16.66</v>
      </c>
      <c r="F48" s="22">
        <f>IF(Benchmark1[[#This Row],[Target Date Check]]="Pass",INDEX(Target1[Target Return],MATCH(Benchmark1[[#This Row],[Benchmark '#1 Dates]],Target1[Target Dates],0)),"-")</f>
        <v>-1.5485717439380667E-2</v>
      </c>
      <c r="G48" s="1">
        <f>IFERROR(IF(Benchmark1[[#This Row],[Target Date Check]]="Pass",Benchmark1[[#This Row],[Target Return]]-Benchmark1[[#This Row],[Benchmark '#1 Return]],"-"),"-")</f>
        <v>-1.7379890827909868E-2</v>
      </c>
      <c r="H48" s="1" t="str">
        <f>IF(COUNTIF(Comp1[Comparable '#1 Dates],Benchmark1[[#This Row],[Benchmark '#1 Dates]])=1,"Pass","Fail")</f>
        <v>Pass</v>
      </c>
      <c r="I48" s="6">
        <f>IF(Benchmark1[[#This Row],[Comparable '#1 Date Check]]="Pass",INDEX(Comp1[Comparable '#1 Price],MATCH(Benchmark1[[#This Row],[Benchmark '#1 Dates]],Comp1[Comparable '#1 Dates],0)),"-")</f>
        <v>15.12</v>
      </c>
      <c r="J48" s="22">
        <f>IF(Benchmark1[[#This Row],[Comparable '#1 Date Check]]="Pass",INDEX(Comp1[Comparable '#1 Return],MATCH(Benchmark1[[#This Row],[Benchmark '#1 Dates]],Comp1[Comparable '#1 Dates],0)),"-")</f>
        <v>-1.5097103281819249E-2</v>
      </c>
      <c r="K48" s="1">
        <f>IFERROR(IF(Benchmark1[[#This Row],[Comparable '#1 Date Check]]="Pass",Benchmark1[[#This Row],[Comparable '#1 Return]]-Benchmark1[[#This Row],[Benchmark '#1 Return]],"-"),"-")</f>
        <v>-1.699127667034845E-2</v>
      </c>
      <c r="L48" s="1" t="str">
        <f>IF(COUNTIF(Comp2[Comparable '#2 Dates],Benchmark1[[#This Row],[Benchmark '#1 Dates]])=1,"Pass","Fail")</f>
        <v>Pass</v>
      </c>
      <c r="M48" s="6">
        <f>IF(Benchmark1[[#This Row],[Comparable '#2 Date Check]]="Pass",INDEX(Comp2[Comparable '#2 Price],MATCH(Benchmark1[[#This Row],[Benchmark '#1 Dates]],Comp2[Comparable '#2 Dates],0)),"-")</f>
        <v>45.25</v>
      </c>
      <c r="N48" s="22">
        <f>IF(Benchmark1[[#This Row],[Comparable '#2 Date Check]]="Pass",INDEX(Comp2[Comparable '#2 Return],MATCH(Benchmark1[[#This Row],[Benchmark '#1 Dates]],Comp2[Comparable '#2 Dates],0)),"-")</f>
        <v>-1.6438726343159835E-2</v>
      </c>
      <c r="O48" s="1">
        <f>IFERROR(IF(Benchmark1[[#This Row],[Comparable '#2 Date Check]]="Pass",Benchmark1[[#This Row],[Comparable '#2 Return]]-Benchmark1[[#This Row],[Benchmark '#1 Return]],"-"),"-")</f>
        <v>-1.8332899731689035E-2</v>
      </c>
      <c r="P48" s="1" t="str">
        <f>IF(COUNTIF(Comp3[Comparable '#3 Dates],Benchmark1[[#This Row],[Benchmark '#1 Dates]])=1,"Pass","Fail")</f>
        <v>Pass</v>
      </c>
      <c r="Q48" s="6">
        <f>IF(Benchmark1[[#This Row],[Comparable '#3 Date Check]]="Pass",INDEX(Comp3[Comparable '#3 Price],MATCH(Benchmark1[[#This Row],[Benchmark '#1 Dates]],Comp3[Comparable '#3 Dates],0)),"-")</f>
        <v>135.26</v>
      </c>
      <c r="R48" s="22">
        <f>IF(Benchmark1[[#This Row],[Comparable '#3 Date Check]]="Pass",INDEX(Comp3[Comparable '#3 Return],MATCH(Benchmark1[[#This Row],[Benchmark '#1 Dates]],Comp3[Comparable '#3 Dates],0)),"-")</f>
        <v>1.722573445776519E-2</v>
      </c>
      <c r="S48" s="1">
        <f>IFERROR(IF(Benchmark1[[#This Row],[Comparable '#3 Date Check]]="Pass",Benchmark1[[#This Row],[Comparable '#3 Return]]-Benchmark1[[#This Row],[Benchmark '#1 Return]],"-"),"-")</f>
        <v>1.5331561069235989E-2</v>
      </c>
    </row>
    <row r="49" spans="1:19">
      <c r="A49" s="103">
        <v>43354</v>
      </c>
      <c r="B49" s="104">
        <v>2887.8937973603588</v>
      </c>
      <c r="C49" s="4">
        <f t="shared" si="0"/>
        <v>3.735516635503683E-3</v>
      </c>
      <c r="D49" s="1" t="str">
        <f>IF(COUNTIF(Target1[Target Dates],Benchmark1[[#This Row],[Benchmark '#1 Dates]])=1,"Pass","Fail")</f>
        <v>Pass</v>
      </c>
      <c r="E49" s="6">
        <f>IF(Benchmark1[[#This Row],[Target Date Check]]="Pass",INDEX(Target1[Target Price],MATCH(Benchmark1[[#This Row],[Benchmark '#1 Dates]],Target1[Target Dates],0)),"-")</f>
        <v>16.670000000000002</v>
      </c>
      <c r="F49" s="22">
        <f>IF(Benchmark1[[#This Row],[Target Date Check]]="Pass",INDEX(Target1[Target Return],MATCH(Benchmark1[[#This Row],[Benchmark '#1 Dates]],Target1[Target Dates],0)),"-")</f>
        <v>6.0006002400612676E-4</v>
      </c>
      <c r="G49" s="1">
        <f>IFERROR(IF(Benchmark1[[#This Row],[Target Date Check]]="Pass",Benchmark1[[#This Row],[Target Return]]-Benchmark1[[#This Row],[Benchmark '#1 Return]],"-"),"-")</f>
        <v>-3.1354566114975562E-3</v>
      </c>
      <c r="H49" s="1" t="str">
        <f>IF(COUNTIF(Comp1[Comparable '#1 Dates],Benchmark1[[#This Row],[Benchmark '#1 Dates]])=1,"Pass","Fail")</f>
        <v>Pass</v>
      </c>
      <c r="I49" s="6">
        <f>IF(Benchmark1[[#This Row],[Comparable '#1 Date Check]]="Pass",INDEX(Comp1[Comparable '#1 Price],MATCH(Benchmark1[[#This Row],[Benchmark '#1 Dates]],Comp1[Comparable '#1 Dates],0)),"-")</f>
        <v>15.31</v>
      </c>
      <c r="J49" s="22">
        <f>IF(Benchmark1[[#This Row],[Comparable '#1 Date Check]]="Pass",INDEX(Comp1[Comparable '#1 Return],MATCH(Benchmark1[[#This Row],[Benchmark '#1 Dates]],Comp1[Comparable '#1 Dates],0)),"-")</f>
        <v>1.2487838918205549E-2</v>
      </c>
      <c r="K49" s="1">
        <f>IFERROR(IF(Benchmark1[[#This Row],[Comparable '#1 Date Check]]="Pass",Benchmark1[[#This Row],[Comparable '#1 Return]]-Benchmark1[[#This Row],[Benchmark '#1 Return]],"-"),"-")</f>
        <v>8.7523222827018653E-3</v>
      </c>
      <c r="L49" s="1" t="str">
        <f>IF(COUNTIF(Comp2[Comparable '#2 Dates],Benchmark1[[#This Row],[Benchmark '#1 Dates]])=1,"Pass","Fail")</f>
        <v>Pass</v>
      </c>
      <c r="M49" s="6">
        <f>IF(Benchmark1[[#This Row],[Comparable '#2 Date Check]]="Pass",INDEX(Comp2[Comparable '#2 Price],MATCH(Benchmark1[[#This Row],[Benchmark '#1 Dates]],Comp2[Comparable '#2 Dates],0)),"-")</f>
        <v>45.3</v>
      </c>
      <c r="N49" s="22">
        <f>IF(Benchmark1[[#This Row],[Comparable '#2 Date Check]]="Pass",INDEX(Comp2[Comparable '#2 Return],MATCH(Benchmark1[[#This Row],[Benchmark '#1 Dates]],Comp2[Comparable '#2 Dates],0)),"-")</f>
        <v>1.1043623430532275E-3</v>
      </c>
      <c r="O49" s="1">
        <f>IFERROR(IF(Benchmark1[[#This Row],[Comparable '#2 Date Check]]="Pass",Benchmark1[[#This Row],[Comparable '#2 Return]]-Benchmark1[[#This Row],[Benchmark '#1 Return]],"-"),"-")</f>
        <v>-2.6311542924504555E-3</v>
      </c>
      <c r="P49" s="1" t="str">
        <f>IF(COUNTIF(Comp3[Comparable '#3 Dates],Benchmark1[[#This Row],[Benchmark '#1 Dates]])=1,"Pass","Fail")</f>
        <v>Pass</v>
      </c>
      <c r="Q49" s="6">
        <f>IF(Benchmark1[[#This Row],[Comparable '#3 Date Check]]="Pass",INDEX(Comp3[Comparable '#3 Price],MATCH(Benchmark1[[#This Row],[Benchmark '#1 Dates]],Comp3[Comparable '#3 Dates],0)),"-")</f>
        <v>134.94</v>
      </c>
      <c r="R49" s="22">
        <f>IF(Benchmark1[[#This Row],[Comparable '#3 Date Check]]="Pass",INDEX(Comp3[Comparable '#3 Return],MATCH(Benchmark1[[#This Row],[Benchmark '#1 Dates]],Comp3[Comparable '#3 Dates],0)),"-")</f>
        <v>-2.3686169475145374E-3</v>
      </c>
      <c r="S49" s="1">
        <f>IFERROR(IF(Benchmark1[[#This Row],[Comparable '#3 Date Check]]="Pass",Benchmark1[[#This Row],[Comparable '#3 Return]]-Benchmark1[[#This Row],[Benchmark '#1 Return]],"-"),"-")</f>
        <v>-6.1041335830182199E-3</v>
      </c>
    </row>
    <row r="50" spans="1:19">
      <c r="A50" s="103">
        <v>43355</v>
      </c>
      <c r="B50" s="104">
        <v>2888.9166550289824</v>
      </c>
      <c r="C50" s="4">
        <f t="shared" si="0"/>
        <v>3.5412540804057469E-4</v>
      </c>
      <c r="D50" s="1" t="str">
        <f>IF(COUNTIF(Target1[Target Dates],Benchmark1[[#This Row],[Benchmark '#1 Dates]])=1,"Pass","Fail")</f>
        <v>Pass</v>
      </c>
      <c r="E50" s="6">
        <f>IF(Benchmark1[[#This Row],[Target Date Check]]="Pass",INDEX(Target1[Target Price],MATCH(Benchmark1[[#This Row],[Benchmark '#1 Dates]],Target1[Target Dates],0)),"-")</f>
        <v>16.5</v>
      </c>
      <c r="F50" s="22">
        <f>IF(Benchmark1[[#This Row],[Target Date Check]]="Pass",INDEX(Target1[Target Return],MATCH(Benchmark1[[#This Row],[Benchmark '#1 Dates]],Target1[Target Dates],0)),"-")</f>
        <v>-1.0250315856167831E-2</v>
      </c>
      <c r="G50" s="1">
        <f>IFERROR(IF(Benchmark1[[#This Row],[Target Date Check]]="Pass",Benchmark1[[#This Row],[Target Return]]-Benchmark1[[#This Row],[Benchmark '#1 Return]],"-"),"-")</f>
        <v>-1.0604441264208404E-2</v>
      </c>
      <c r="H50" s="1" t="str">
        <f>IF(COUNTIF(Comp1[Comparable '#1 Dates],Benchmark1[[#This Row],[Benchmark '#1 Dates]])=1,"Pass","Fail")</f>
        <v>Pass</v>
      </c>
      <c r="I50" s="6">
        <f>IF(Benchmark1[[#This Row],[Comparable '#1 Date Check]]="Pass",INDEX(Comp1[Comparable '#1 Price],MATCH(Benchmark1[[#This Row],[Benchmark '#1 Dates]],Comp1[Comparable '#1 Dates],0)),"-")</f>
        <v>15.54</v>
      </c>
      <c r="J50" s="22">
        <f>IF(Benchmark1[[#This Row],[Comparable '#1 Date Check]]="Pass",INDEX(Comp1[Comparable '#1 Return],MATCH(Benchmark1[[#This Row],[Benchmark '#1 Dates]],Comp1[Comparable '#1 Dates],0)),"-")</f>
        <v>1.4911135269909016E-2</v>
      </c>
      <c r="K50" s="1">
        <f>IFERROR(IF(Benchmark1[[#This Row],[Comparable '#1 Date Check]]="Pass",Benchmark1[[#This Row],[Comparable '#1 Return]]-Benchmark1[[#This Row],[Benchmark '#1 Return]],"-"),"-")</f>
        <v>1.455700986186844E-2</v>
      </c>
      <c r="L50" s="1" t="str">
        <f>IF(COUNTIF(Comp2[Comparable '#2 Dates],Benchmark1[[#This Row],[Benchmark '#1 Dates]])=1,"Pass","Fail")</f>
        <v>Pass</v>
      </c>
      <c r="M50" s="6">
        <f>IF(Benchmark1[[#This Row],[Comparable '#2 Date Check]]="Pass",INDEX(Comp2[Comparable '#2 Price],MATCH(Benchmark1[[#This Row],[Benchmark '#1 Dates]],Comp2[Comparable '#2 Dates],0)),"-")</f>
        <v>44.5</v>
      </c>
      <c r="N50" s="22">
        <f>IF(Benchmark1[[#This Row],[Comparable '#2 Date Check]]="Pass",INDEX(Comp2[Comparable '#2 Return],MATCH(Benchmark1[[#This Row],[Benchmark '#1 Dates]],Comp2[Comparable '#2 Dates],0)),"-")</f>
        <v>-1.7817843316793786E-2</v>
      </c>
      <c r="O50" s="1">
        <f>IFERROR(IF(Benchmark1[[#This Row],[Comparable '#2 Date Check]]="Pass",Benchmark1[[#This Row],[Comparable '#2 Return]]-Benchmark1[[#This Row],[Benchmark '#1 Return]],"-"),"-")</f>
        <v>-1.8171968724834359E-2</v>
      </c>
      <c r="P50" s="1" t="str">
        <f>IF(COUNTIF(Comp3[Comparable '#3 Dates],Benchmark1[[#This Row],[Benchmark '#1 Dates]])=1,"Pass","Fail")</f>
        <v>Pass</v>
      </c>
      <c r="Q50" s="6">
        <f>IF(Benchmark1[[#This Row],[Comparable '#3 Date Check]]="Pass",INDEX(Comp3[Comparable '#3 Price],MATCH(Benchmark1[[#This Row],[Benchmark '#1 Dates]],Comp3[Comparable '#3 Dates],0)),"-")</f>
        <v>134.97999999999999</v>
      </c>
      <c r="R50" s="22">
        <f>IF(Benchmark1[[#This Row],[Comparable '#3 Date Check]]="Pass",INDEX(Comp3[Comparable '#3 Return],MATCH(Benchmark1[[#This Row],[Benchmark '#1 Dates]],Comp3[Comparable '#3 Dates],0)),"-")</f>
        <v>2.9638411598107041E-4</v>
      </c>
      <c r="S50" s="1">
        <f>IFERROR(IF(Benchmark1[[#This Row],[Comparable '#3 Date Check]]="Pass",Benchmark1[[#This Row],[Comparable '#3 Return]]-Benchmark1[[#This Row],[Benchmark '#1 Return]],"-"),"-")</f>
        <v>-5.7741292059504282E-5</v>
      </c>
    </row>
    <row r="51" spans="1:19">
      <c r="A51" s="103">
        <v>43356</v>
      </c>
      <c r="B51" s="104">
        <v>2904.1838602640032</v>
      </c>
      <c r="C51" s="4">
        <f t="shared" si="0"/>
        <v>5.2708357262076086E-3</v>
      </c>
      <c r="D51" s="1" t="str">
        <f>IF(COUNTIF(Target1[Target Dates],Benchmark1[[#This Row],[Benchmark '#1 Dates]])=1,"Pass","Fail")</f>
        <v>Pass</v>
      </c>
      <c r="E51" s="6">
        <f>IF(Benchmark1[[#This Row],[Target Date Check]]="Pass",INDEX(Target1[Target Price],MATCH(Benchmark1[[#This Row],[Benchmark '#1 Dates]],Target1[Target Dates],0)),"-")</f>
        <v>16.920000000000002</v>
      </c>
      <c r="F51" s="22">
        <f>IF(Benchmark1[[#This Row],[Target Date Check]]="Pass",INDEX(Target1[Target Return],MATCH(Benchmark1[[#This Row],[Benchmark '#1 Dates]],Target1[Target Dates],0)),"-")</f>
        <v>2.5135973271542454E-2</v>
      </c>
      <c r="G51" s="1">
        <f>IFERROR(IF(Benchmark1[[#This Row],[Target Date Check]]="Pass",Benchmark1[[#This Row],[Target Return]]-Benchmark1[[#This Row],[Benchmark '#1 Return]],"-"),"-")</f>
        <v>1.9865137545334845E-2</v>
      </c>
      <c r="H51" s="1" t="str">
        <f>IF(COUNTIF(Comp1[Comparable '#1 Dates],Benchmark1[[#This Row],[Benchmark '#1 Dates]])=1,"Pass","Fail")</f>
        <v>Pass</v>
      </c>
      <c r="I51" s="6">
        <f>IF(Benchmark1[[#This Row],[Comparable '#1 Date Check]]="Pass",INDEX(Comp1[Comparable '#1 Price],MATCH(Benchmark1[[#This Row],[Benchmark '#1 Dates]],Comp1[Comparable '#1 Dates],0)),"-")</f>
        <v>15.38</v>
      </c>
      <c r="J51" s="22">
        <f>IF(Benchmark1[[#This Row],[Comparable '#1 Date Check]]="Pass",INDEX(Comp1[Comparable '#1 Return],MATCH(Benchmark1[[#This Row],[Benchmark '#1 Dates]],Comp1[Comparable '#1 Dates],0)),"-")</f>
        <v>-1.0349380862003408E-2</v>
      </c>
      <c r="K51" s="1">
        <f>IFERROR(IF(Benchmark1[[#This Row],[Comparable '#1 Date Check]]="Pass",Benchmark1[[#This Row],[Comparable '#1 Return]]-Benchmark1[[#This Row],[Benchmark '#1 Return]],"-"),"-")</f>
        <v>-1.5620216588211017E-2</v>
      </c>
      <c r="L51" s="1" t="str">
        <f>IF(COUNTIF(Comp2[Comparable '#2 Dates],Benchmark1[[#This Row],[Benchmark '#1 Dates]])=1,"Pass","Fail")</f>
        <v>Pass</v>
      </c>
      <c r="M51" s="6">
        <f>IF(Benchmark1[[#This Row],[Comparable '#2 Date Check]]="Pass",INDEX(Comp2[Comparable '#2 Price],MATCH(Benchmark1[[#This Row],[Benchmark '#1 Dates]],Comp2[Comparable '#2 Dates],0)),"-")</f>
        <v>44.85</v>
      </c>
      <c r="N51" s="22">
        <f>IF(Benchmark1[[#This Row],[Comparable '#2 Date Check]]="Pass",INDEX(Comp2[Comparable '#2 Return],MATCH(Benchmark1[[#This Row],[Benchmark '#1 Dates]],Comp2[Comparable '#2 Dates],0)),"-")</f>
        <v>7.8343993326105924E-3</v>
      </c>
      <c r="O51" s="1">
        <f>IFERROR(IF(Benchmark1[[#This Row],[Comparable '#2 Date Check]]="Pass",Benchmark1[[#This Row],[Comparable '#2 Return]]-Benchmark1[[#This Row],[Benchmark '#1 Return]],"-"),"-")</f>
        <v>2.5635636064029839E-3</v>
      </c>
      <c r="P51" s="1" t="str">
        <f>IF(COUNTIF(Comp3[Comparable '#3 Dates],Benchmark1[[#This Row],[Benchmark '#1 Dates]])=1,"Pass","Fail")</f>
        <v>Pass</v>
      </c>
      <c r="Q51" s="6">
        <f>IF(Benchmark1[[#This Row],[Comparable '#3 Date Check]]="Pass",INDEX(Comp3[Comparable '#3 Price],MATCH(Benchmark1[[#This Row],[Benchmark '#1 Dates]],Comp3[Comparable '#3 Dates],0)),"-")</f>
        <v>136.57</v>
      </c>
      <c r="R51" s="22">
        <f>IF(Benchmark1[[#This Row],[Comparable '#3 Date Check]]="Pass",INDEX(Comp3[Comparable '#3 Return],MATCH(Benchmark1[[#This Row],[Benchmark '#1 Dates]],Comp3[Comparable '#3 Dates],0)),"-")</f>
        <v>1.1710684375072724E-2</v>
      </c>
      <c r="S51" s="1">
        <f>IFERROR(IF(Benchmark1[[#This Row],[Comparable '#3 Date Check]]="Pass",Benchmark1[[#This Row],[Comparable '#3 Return]]-Benchmark1[[#This Row],[Benchmark '#1 Return]],"-"),"-")</f>
        <v>6.439848648865115E-3</v>
      </c>
    </row>
    <row r="52" spans="1:19">
      <c r="A52" s="103">
        <v>43357</v>
      </c>
      <c r="B52" s="104">
        <v>2904.9753853013653</v>
      </c>
      <c r="C52" s="4">
        <f t="shared" si="0"/>
        <v>2.7250932839016807E-4</v>
      </c>
      <c r="D52" s="1" t="str">
        <f>IF(COUNTIF(Target1[Target Dates],Benchmark1[[#This Row],[Benchmark '#1 Dates]])=1,"Pass","Fail")</f>
        <v>Pass</v>
      </c>
      <c r="E52" s="6">
        <f>IF(Benchmark1[[#This Row],[Target Date Check]]="Pass",INDEX(Target1[Target Price],MATCH(Benchmark1[[#This Row],[Benchmark '#1 Dates]],Target1[Target Dates],0)),"-")</f>
        <v>17.170000000000002</v>
      </c>
      <c r="F52" s="22">
        <f>IF(Benchmark1[[#This Row],[Target Date Check]]="Pass",INDEX(Target1[Target Return],MATCH(Benchmark1[[#This Row],[Benchmark '#1 Dates]],Target1[Target Dates],0)),"-")</f>
        <v>1.4667320731306882E-2</v>
      </c>
      <c r="G52" s="1">
        <f>IFERROR(IF(Benchmark1[[#This Row],[Target Date Check]]="Pass",Benchmark1[[#This Row],[Target Return]]-Benchmark1[[#This Row],[Benchmark '#1 Return]],"-"),"-")</f>
        <v>1.4394811402916714E-2</v>
      </c>
      <c r="H52" s="1" t="str">
        <f>IF(COUNTIF(Comp1[Comparable '#1 Dates],Benchmark1[[#This Row],[Benchmark '#1 Dates]])=1,"Pass","Fail")</f>
        <v>Pass</v>
      </c>
      <c r="I52" s="6">
        <f>IF(Benchmark1[[#This Row],[Comparable '#1 Date Check]]="Pass",INDEX(Comp1[Comparable '#1 Price],MATCH(Benchmark1[[#This Row],[Benchmark '#1 Dates]],Comp1[Comparable '#1 Dates],0)),"-")</f>
        <v>15.34</v>
      </c>
      <c r="J52" s="22">
        <f>IF(Benchmark1[[#This Row],[Comparable '#1 Date Check]]="Pass",INDEX(Comp1[Comparable '#1 Return],MATCH(Benchmark1[[#This Row],[Benchmark '#1 Dates]],Comp1[Comparable '#1 Dates],0)),"-")</f>
        <v>-2.604168138387855E-3</v>
      </c>
      <c r="K52" s="1">
        <f>IFERROR(IF(Benchmark1[[#This Row],[Comparable '#1 Date Check]]="Pass",Benchmark1[[#This Row],[Comparable '#1 Return]]-Benchmark1[[#This Row],[Benchmark '#1 Return]],"-"),"-")</f>
        <v>-2.8766774667780231E-3</v>
      </c>
      <c r="L52" s="1" t="str">
        <f>IF(COUNTIF(Comp2[Comparable '#2 Dates],Benchmark1[[#This Row],[Benchmark '#1 Dates]])=1,"Pass","Fail")</f>
        <v>Pass</v>
      </c>
      <c r="M52" s="6">
        <f>IF(Benchmark1[[#This Row],[Comparable '#2 Date Check]]="Pass",INDEX(Comp2[Comparable '#2 Price],MATCH(Benchmark1[[#This Row],[Benchmark '#1 Dates]],Comp2[Comparable '#2 Dates],0)),"-")</f>
        <v>44.85</v>
      </c>
      <c r="N52" s="22">
        <f>IF(Benchmark1[[#This Row],[Comparable '#2 Date Check]]="Pass",INDEX(Comp2[Comparable '#2 Return],MATCH(Benchmark1[[#This Row],[Benchmark '#1 Dates]],Comp2[Comparable '#2 Dates],0)),"-")</f>
        <v>0</v>
      </c>
      <c r="O52" s="1">
        <f>IFERROR(IF(Benchmark1[[#This Row],[Comparable '#2 Date Check]]="Pass",Benchmark1[[#This Row],[Comparable '#2 Return]]-Benchmark1[[#This Row],[Benchmark '#1 Return]],"-"),"-")</f>
        <v>-2.7250932839016807E-4</v>
      </c>
      <c r="P52" s="1" t="str">
        <f>IF(COUNTIF(Comp3[Comparable '#3 Dates],Benchmark1[[#This Row],[Benchmark '#1 Dates]])=1,"Pass","Fail")</f>
        <v>Pass</v>
      </c>
      <c r="Q52" s="6">
        <f>IF(Benchmark1[[#This Row],[Comparable '#3 Date Check]]="Pass",INDEX(Comp3[Comparable '#3 Price],MATCH(Benchmark1[[#This Row],[Benchmark '#1 Dates]],Comp3[Comparable '#3 Dates],0)),"-")</f>
        <v>138.22</v>
      </c>
      <c r="R52" s="22">
        <f>IF(Benchmark1[[#This Row],[Comparable '#3 Date Check]]="Pass",INDEX(Comp3[Comparable '#3 Return],MATCH(Benchmark1[[#This Row],[Benchmark '#1 Dates]],Comp3[Comparable '#3 Dates],0)),"-")</f>
        <v>1.2009314972915203E-2</v>
      </c>
      <c r="S52" s="1">
        <f>IFERROR(IF(Benchmark1[[#This Row],[Comparable '#3 Date Check]]="Pass",Benchmark1[[#This Row],[Comparable '#3 Return]]-Benchmark1[[#This Row],[Benchmark '#1 Return]],"-"),"-")</f>
        <v>1.1736805644525035E-2</v>
      </c>
    </row>
    <row r="53" spans="1:19">
      <c r="A53" s="103">
        <v>43360</v>
      </c>
      <c r="B53" s="104">
        <v>2888.8011449654723</v>
      </c>
      <c r="C53" s="4">
        <f t="shared" si="0"/>
        <v>-5.5833297224284198E-3</v>
      </c>
      <c r="D53" s="1" t="str">
        <f>IF(COUNTIF(Target1[Target Dates],Benchmark1[[#This Row],[Benchmark '#1 Dates]])=1,"Pass","Fail")</f>
        <v>Pass</v>
      </c>
      <c r="E53" s="6">
        <f>IF(Benchmark1[[#This Row],[Target Date Check]]="Pass",INDEX(Target1[Target Price],MATCH(Benchmark1[[#This Row],[Benchmark '#1 Dates]],Target1[Target Dates],0)),"-")</f>
        <v>17</v>
      </c>
      <c r="F53" s="22">
        <f>IF(Benchmark1[[#This Row],[Target Date Check]]="Pass",INDEX(Target1[Target Return],MATCH(Benchmark1[[#This Row],[Benchmark '#1 Dates]],Target1[Target Dates],0)),"-")</f>
        <v>-9.950330853168203E-3</v>
      </c>
      <c r="G53" s="1">
        <f>IFERROR(IF(Benchmark1[[#This Row],[Target Date Check]]="Pass",Benchmark1[[#This Row],[Target Return]]-Benchmark1[[#This Row],[Benchmark '#1 Return]],"-"),"-")</f>
        <v>-4.3670011307397833E-3</v>
      </c>
      <c r="H53" s="1" t="str">
        <f>IF(COUNTIF(Comp1[Comparable '#1 Dates],Benchmark1[[#This Row],[Benchmark '#1 Dates]])=1,"Pass","Fail")</f>
        <v>Pass</v>
      </c>
      <c r="I53" s="6">
        <f>IF(Benchmark1[[#This Row],[Comparable '#1 Date Check]]="Pass",INDEX(Comp1[Comparable '#1 Price],MATCH(Benchmark1[[#This Row],[Benchmark '#1 Dates]],Comp1[Comparable '#1 Dates],0)),"-")</f>
        <v>15.55</v>
      </c>
      <c r="J53" s="22">
        <f>IF(Benchmark1[[#This Row],[Comparable '#1 Date Check]]="Pass",INDEX(Comp1[Comparable '#1 Return],MATCH(Benchmark1[[#This Row],[Benchmark '#1 Dates]],Comp1[Comparable '#1 Dates],0)),"-")</f>
        <v>1.3596842686133094E-2</v>
      </c>
      <c r="K53" s="1">
        <f>IFERROR(IF(Benchmark1[[#This Row],[Comparable '#1 Date Check]]="Pass",Benchmark1[[#This Row],[Comparable '#1 Return]]-Benchmark1[[#This Row],[Benchmark '#1 Return]],"-"),"-")</f>
        <v>1.9180172408561513E-2</v>
      </c>
      <c r="L53" s="1" t="str">
        <f>IF(COUNTIF(Comp2[Comparable '#2 Dates],Benchmark1[[#This Row],[Benchmark '#1 Dates]])=1,"Pass","Fail")</f>
        <v>Pass</v>
      </c>
      <c r="M53" s="6">
        <f>IF(Benchmark1[[#This Row],[Comparable '#2 Date Check]]="Pass",INDEX(Comp2[Comparable '#2 Price],MATCH(Benchmark1[[#This Row],[Benchmark '#1 Dates]],Comp2[Comparable '#2 Dates],0)),"-")</f>
        <v>44.65</v>
      </c>
      <c r="N53" s="22">
        <f>IF(Benchmark1[[#This Row],[Comparable '#2 Date Check]]="Pass",INDEX(Comp2[Comparable '#2 Return],MATCH(Benchmark1[[#This Row],[Benchmark '#1 Dates]],Comp2[Comparable '#2 Dates],0)),"-")</f>
        <v>-4.469281182297143E-3</v>
      </c>
      <c r="O53" s="1">
        <f>IFERROR(IF(Benchmark1[[#This Row],[Comparable '#2 Date Check]]="Pass",Benchmark1[[#This Row],[Comparable '#2 Return]]-Benchmark1[[#This Row],[Benchmark '#1 Return]],"-"),"-")</f>
        <v>1.1140485401312768E-3</v>
      </c>
      <c r="P53" s="1" t="str">
        <f>IF(COUNTIF(Comp3[Comparable '#3 Dates],Benchmark1[[#This Row],[Benchmark '#1 Dates]])=1,"Pass","Fail")</f>
        <v>Pass</v>
      </c>
      <c r="Q53" s="6">
        <f>IF(Benchmark1[[#This Row],[Comparable '#3 Date Check]]="Pass",INDEX(Comp3[Comparable '#3 Price],MATCH(Benchmark1[[#This Row],[Benchmark '#1 Dates]],Comp3[Comparable '#3 Dates],0)),"-")</f>
        <v>136.69999999999999</v>
      </c>
      <c r="R53" s="22">
        <f>IF(Benchmark1[[#This Row],[Comparable '#3 Date Check]]="Pass",INDEX(Comp3[Comparable '#3 Return],MATCH(Benchmark1[[#This Row],[Benchmark '#1 Dates]],Comp3[Comparable '#3 Dates],0)),"-")</f>
        <v>-1.1057874933344458E-2</v>
      </c>
      <c r="S53" s="1">
        <f>IFERROR(IF(Benchmark1[[#This Row],[Comparable '#3 Date Check]]="Pass",Benchmark1[[#This Row],[Comparable '#3 Return]]-Benchmark1[[#This Row],[Benchmark '#1 Return]],"-"),"-")</f>
        <v>-5.474545210916038E-3</v>
      </c>
    </row>
    <row r="54" spans="1:19">
      <c r="A54" s="103">
        <v>43361</v>
      </c>
      <c r="B54" s="104">
        <v>2904.3106462579349</v>
      </c>
      <c r="C54" s="4">
        <f t="shared" si="0"/>
        <v>5.3544757659453731E-3</v>
      </c>
      <c r="D54" s="1" t="str">
        <f>IF(COUNTIF(Target1[Target Dates],Benchmark1[[#This Row],[Benchmark '#1 Dates]])=1,"Pass","Fail")</f>
        <v>Pass</v>
      </c>
      <c r="E54" s="6">
        <f>IF(Benchmark1[[#This Row],[Target Date Check]]="Pass",INDEX(Target1[Target Price],MATCH(Benchmark1[[#This Row],[Benchmark '#1 Dates]],Target1[Target Dates],0)),"-")</f>
        <v>17.29</v>
      </c>
      <c r="F54" s="22">
        <f>IF(Benchmark1[[#This Row],[Target Date Check]]="Pass",INDEX(Target1[Target Return],MATCH(Benchmark1[[#This Row],[Benchmark '#1 Dates]],Target1[Target Dates],0)),"-")</f>
        <v>1.6914955638983081E-2</v>
      </c>
      <c r="G54" s="1">
        <f>IFERROR(IF(Benchmark1[[#This Row],[Target Date Check]]="Pass",Benchmark1[[#This Row],[Target Return]]-Benchmark1[[#This Row],[Benchmark '#1 Return]],"-"),"-")</f>
        <v>1.1560479873037707E-2</v>
      </c>
      <c r="H54" s="1" t="str">
        <f>IF(COUNTIF(Comp1[Comparable '#1 Dates],Benchmark1[[#This Row],[Benchmark '#1 Dates]])=1,"Pass","Fail")</f>
        <v>Pass</v>
      </c>
      <c r="I54" s="6">
        <f>IF(Benchmark1[[#This Row],[Comparable '#1 Date Check]]="Pass",INDEX(Comp1[Comparable '#1 Price],MATCH(Benchmark1[[#This Row],[Benchmark '#1 Dates]],Comp1[Comparable '#1 Dates],0)),"-")</f>
        <v>15.72</v>
      </c>
      <c r="J54" s="22">
        <f>IF(Benchmark1[[#This Row],[Comparable '#1 Date Check]]="Pass",INDEX(Comp1[Comparable '#1 Return],MATCH(Benchmark1[[#This Row],[Benchmark '#1 Dates]],Comp1[Comparable '#1 Dates],0)),"-")</f>
        <v>1.0873148375817369E-2</v>
      </c>
      <c r="K54" s="1">
        <f>IFERROR(IF(Benchmark1[[#This Row],[Comparable '#1 Date Check]]="Pass",Benchmark1[[#This Row],[Comparable '#1 Return]]-Benchmark1[[#This Row],[Benchmark '#1 Return]],"-"),"-")</f>
        <v>5.5186726098719963E-3</v>
      </c>
      <c r="L54" s="1" t="str">
        <f>IF(COUNTIF(Comp2[Comparable '#2 Dates],Benchmark1[[#This Row],[Benchmark '#1 Dates]])=1,"Pass","Fail")</f>
        <v>Pass</v>
      </c>
      <c r="M54" s="6">
        <f>IF(Benchmark1[[#This Row],[Comparable '#2 Date Check]]="Pass",INDEX(Comp2[Comparable '#2 Price],MATCH(Benchmark1[[#This Row],[Benchmark '#1 Dates]],Comp2[Comparable '#2 Dates],0)),"-")</f>
        <v>44.85</v>
      </c>
      <c r="N54" s="22">
        <f>IF(Benchmark1[[#This Row],[Comparable '#2 Date Check]]="Pass",INDEX(Comp2[Comparable '#2 Return],MATCH(Benchmark1[[#This Row],[Benchmark '#1 Dates]],Comp2[Comparable '#2 Dates],0)),"-")</f>
        <v>4.4692811822970432E-3</v>
      </c>
      <c r="O54" s="1">
        <f>IFERROR(IF(Benchmark1[[#This Row],[Comparable '#2 Date Check]]="Pass",Benchmark1[[#This Row],[Comparable '#2 Return]]-Benchmark1[[#This Row],[Benchmark '#1 Return]],"-"),"-")</f>
        <v>-8.8519458364832992E-4</v>
      </c>
      <c r="P54" s="1" t="str">
        <f>IF(COUNTIF(Comp3[Comparable '#3 Dates],Benchmark1[[#This Row],[Benchmark '#1 Dates]])=1,"Pass","Fail")</f>
        <v>Pass</v>
      </c>
      <c r="Q54" s="6">
        <f>IF(Benchmark1[[#This Row],[Comparable '#3 Date Check]]="Pass",INDEX(Comp3[Comparable '#3 Price],MATCH(Benchmark1[[#This Row],[Benchmark '#1 Dates]],Comp3[Comparable '#3 Dates],0)),"-")</f>
        <v>134.87</v>
      </c>
      <c r="R54" s="22">
        <f>IF(Benchmark1[[#This Row],[Comparable '#3 Date Check]]="Pass",INDEX(Comp3[Comparable '#3 Return],MATCH(Benchmark1[[#This Row],[Benchmark '#1 Dates]],Comp3[Comparable '#3 Dates],0)),"-")</f>
        <v>-1.3477392201137589E-2</v>
      </c>
      <c r="S54" s="1">
        <f>IFERROR(IF(Benchmark1[[#This Row],[Comparable '#3 Date Check]]="Pass",Benchmark1[[#This Row],[Comparable '#3 Return]]-Benchmark1[[#This Row],[Benchmark '#1 Return]],"-"),"-")</f>
        <v>-1.8831867967082961E-2</v>
      </c>
    </row>
    <row r="55" spans="1:19">
      <c r="A55" s="103">
        <v>43362</v>
      </c>
      <c r="B55" s="104">
        <v>2907.9453942372807</v>
      </c>
      <c r="C55" s="4">
        <f t="shared" si="0"/>
        <v>1.2507186289938258E-3</v>
      </c>
      <c r="D55" s="1" t="str">
        <f>IF(COUNTIF(Target1[Target Dates],Benchmark1[[#This Row],[Benchmark '#1 Dates]])=1,"Pass","Fail")</f>
        <v>Pass</v>
      </c>
      <c r="E55" s="6">
        <f>IF(Benchmark1[[#This Row],[Target Date Check]]="Pass",INDEX(Target1[Target Price],MATCH(Benchmark1[[#This Row],[Benchmark '#1 Dates]],Target1[Target Dates],0)),"-")</f>
        <v>17.559999999999999</v>
      </c>
      <c r="F55" s="22">
        <f>IF(Benchmark1[[#This Row],[Target Date Check]]="Pass",INDEX(Target1[Target Return],MATCH(Benchmark1[[#This Row],[Benchmark '#1 Dates]],Target1[Target Dates],0)),"-")</f>
        <v>1.5495288511771378E-2</v>
      </c>
      <c r="G55" s="1">
        <f>IFERROR(IF(Benchmark1[[#This Row],[Target Date Check]]="Pass",Benchmark1[[#This Row],[Target Return]]-Benchmark1[[#This Row],[Benchmark '#1 Return]],"-"),"-")</f>
        <v>1.4244569882777553E-2</v>
      </c>
      <c r="H55" s="1" t="str">
        <f>IF(COUNTIF(Comp1[Comparable '#1 Dates],Benchmark1[[#This Row],[Benchmark '#1 Dates]])=1,"Pass","Fail")</f>
        <v>Pass</v>
      </c>
      <c r="I55" s="6">
        <f>IF(Benchmark1[[#This Row],[Comparable '#1 Date Check]]="Pass",INDEX(Comp1[Comparable '#1 Price],MATCH(Benchmark1[[#This Row],[Benchmark '#1 Dates]],Comp1[Comparable '#1 Dates],0)),"-")</f>
        <v>15.81</v>
      </c>
      <c r="J55" s="22">
        <f>IF(Benchmark1[[#This Row],[Comparable '#1 Date Check]]="Pass",INDEX(Comp1[Comparable '#1 Return],MATCH(Benchmark1[[#This Row],[Benchmark '#1 Dates]],Comp1[Comparable '#1 Dates],0)),"-")</f>
        <v>5.7088642203202006E-3</v>
      </c>
      <c r="K55" s="1">
        <f>IFERROR(IF(Benchmark1[[#This Row],[Comparable '#1 Date Check]]="Pass",Benchmark1[[#This Row],[Comparable '#1 Return]]-Benchmark1[[#This Row],[Benchmark '#1 Return]],"-"),"-")</f>
        <v>4.4581455913263752E-3</v>
      </c>
      <c r="L55" s="1" t="str">
        <f>IF(COUNTIF(Comp2[Comparable '#2 Dates],Benchmark1[[#This Row],[Benchmark '#1 Dates]])=1,"Pass","Fail")</f>
        <v>Pass</v>
      </c>
      <c r="M55" s="6">
        <f>IF(Benchmark1[[#This Row],[Comparable '#2 Date Check]]="Pass",INDEX(Comp2[Comparable '#2 Price],MATCH(Benchmark1[[#This Row],[Benchmark '#1 Dates]],Comp2[Comparable '#2 Dates],0)),"-")</f>
        <v>45.05</v>
      </c>
      <c r="N55" s="22">
        <f>IF(Benchmark1[[#This Row],[Comparable '#2 Date Check]]="Pass",INDEX(Comp2[Comparable '#2 Return],MATCH(Benchmark1[[#This Row],[Benchmark '#1 Dates]],Comp2[Comparable '#2 Dates],0)),"-")</f>
        <v>4.4493955495416458E-3</v>
      </c>
      <c r="O55" s="1">
        <f>IFERROR(IF(Benchmark1[[#This Row],[Comparable '#2 Date Check]]="Pass",Benchmark1[[#This Row],[Comparable '#2 Return]]-Benchmark1[[#This Row],[Benchmark '#1 Return]],"-"),"-")</f>
        <v>3.19867692054782E-3</v>
      </c>
      <c r="P55" s="1" t="str">
        <f>IF(COUNTIF(Comp3[Comparable '#3 Dates],Benchmark1[[#This Row],[Benchmark '#1 Dates]])=1,"Pass","Fail")</f>
        <v>Pass</v>
      </c>
      <c r="Q55" s="6">
        <f>IF(Benchmark1[[#This Row],[Comparable '#3 Date Check]]="Pass",INDEX(Comp3[Comparable '#3 Price],MATCH(Benchmark1[[#This Row],[Benchmark '#1 Dates]],Comp3[Comparable '#3 Dates],0)),"-")</f>
        <v>134.71</v>
      </c>
      <c r="R55" s="22">
        <f>IF(Benchmark1[[#This Row],[Comparable '#3 Date Check]]="Pass",INDEX(Comp3[Comparable '#3 Return],MATCH(Benchmark1[[#This Row],[Benchmark '#1 Dates]],Comp3[Comparable '#3 Dates],0)),"-")</f>
        <v>-1.1870318182895672E-3</v>
      </c>
      <c r="S55" s="1">
        <f>IFERROR(IF(Benchmark1[[#This Row],[Comparable '#3 Date Check]]="Pass",Benchmark1[[#This Row],[Comparable '#3 Return]]-Benchmark1[[#This Row],[Benchmark '#1 Return]],"-"),"-")</f>
        <v>-2.4377504472833933E-3</v>
      </c>
    </row>
    <row r="56" spans="1:19">
      <c r="A56" s="103">
        <v>43363</v>
      </c>
      <c r="B56" s="104">
        <v>2930.7461520994852</v>
      </c>
      <c r="C56" s="4">
        <f t="shared" si="0"/>
        <v>7.8102683060205461E-3</v>
      </c>
      <c r="D56" s="1" t="str">
        <f>IF(COUNTIF(Target1[Target Dates],Benchmark1[[#This Row],[Benchmark '#1 Dates]])=1,"Pass","Fail")</f>
        <v>Pass</v>
      </c>
      <c r="E56" s="6">
        <f>IF(Benchmark1[[#This Row],[Target Date Check]]="Pass",INDEX(Target1[Target Price],MATCH(Benchmark1[[#This Row],[Benchmark '#1 Dates]],Target1[Target Dates],0)),"-")</f>
        <v>17.64</v>
      </c>
      <c r="F56" s="22">
        <f>IF(Benchmark1[[#This Row],[Target Date Check]]="Pass",INDEX(Target1[Target Return],MATCH(Benchmark1[[#This Row],[Benchmark '#1 Dates]],Target1[Target Dates],0)),"-")</f>
        <v>4.5454623716746382E-3</v>
      </c>
      <c r="G56" s="1">
        <f>IFERROR(IF(Benchmark1[[#This Row],[Target Date Check]]="Pass",Benchmark1[[#This Row],[Target Return]]-Benchmark1[[#This Row],[Benchmark '#1 Return]],"-"),"-")</f>
        <v>-3.2648059343459079E-3</v>
      </c>
      <c r="H56" s="1" t="str">
        <f>IF(COUNTIF(Comp1[Comparable '#1 Dates],Benchmark1[[#This Row],[Benchmark '#1 Dates]])=1,"Pass","Fail")</f>
        <v>Pass</v>
      </c>
      <c r="I56" s="6">
        <f>IF(Benchmark1[[#This Row],[Comparable '#1 Date Check]]="Pass",INDEX(Comp1[Comparable '#1 Price],MATCH(Benchmark1[[#This Row],[Benchmark '#1 Dates]],Comp1[Comparable '#1 Dates],0)),"-")</f>
        <v>15.98</v>
      </c>
      <c r="J56" s="22">
        <f>IF(Benchmark1[[#This Row],[Comparable '#1 Date Check]]="Pass",INDEX(Comp1[Comparable '#1 Return],MATCH(Benchmark1[[#This Row],[Benchmark '#1 Dates]],Comp1[Comparable '#1 Dates],0)),"-")</f>
        <v>1.069528911674795E-2</v>
      </c>
      <c r="K56" s="1">
        <f>IFERROR(IF(Benchmark1[[#This Row],[Comparable '#1 Date Check]]="Pass",Benchmark1[[#This Row],[Comparable '#1 Return]]-Benchmark1[[#This Row],[Benchmark '#1 Return]],"-"),"-")</f>
        <v>2.8850208107274039E-3</v>
      </c>
      <c r="L56" s="1" t="str">
        <f>IF(COUNTIF(Comp2[Comparable '#2 Dates],Benchmark1[[#This Row],[Benchmark '#1 Dates]])=1,"Pass","Fail")</f>
        <v>Pass</v>
      </c>
      <c r="M56" s="6">
        <f>IF(Benchmark1[[#This Row],[Comparable '#2 Date Check]]="Pass",INDEX(Comp2[Comparable '#2 Price],MATCH(Benchmark1[[#This Row],[Benchmark '#1 Dates]],Comp2[Comparable '#2 Dates],0)),"-")</f>
        <v>45.45</v>
      </c>
      <c r="N56" s="22">
        <f>IF(Benchmark1[[#This Row],[Comparable '#2 Date Check]]="Pass",INDEX(Comp2[Comparable '#2 Return],MATCH(Benchmark1[[#This Row],[Benchmark '#1 Dates]],Comp2[Comparable '#2 Dates],0)),"-")</f>
        <v>8.839836569141021E-3</v>
      </c>
      <c r="O56" s="1">
        <f>IFERROR(IF(Benchmark1[[#This Row],[Comparable '#2 Date Check]]="Pass",Benchmark1[[#This Row],[Comparable '#2 Return]]-Benchmark1[[#This Row],[Benchmark '#1 Return]],"-"),"-")</f>
        <v>1.0295682631204749E-3</v>
      </c>
      <c r="P56" s="1" t="str">
        <f>IF(COUNTIF(Comp3[Comparable '#3 Dates],Benchmark1[[#This Row],[Benchmark '#1 Dates]])=1,"Pass","Fail")</f>
        <v>Pass</v>
      </c>
      <c r="Q56" s="6">
        <f>IF(Benchmark1[[#This Row],[Comparable '#3 Date Check]]="Pass",INDEX(Comp3[Comparable '#3 Price],MATCH(Benchmark1[[#This Row],[Benchmark '#1 Dates]],Comp3[Comparable '#3 Dates],0)),"-")</f>
        <v>135.82</v>
      </c>
      <c r="R56" s="22">
        <f>IF(Benchmark1[[#This Row],[Comparable '#3 Date Check]]="Pass",INDEX(Comp3[Comparable '#3 Return],MATCH(Benchmark1[[#This Row],[Benchmark '#1 Dates]],Comp3[Comparable '#3 Dates],0)),"-")</f>
        <v>8.2061599751687263E-3</v>
      </c>
      <c r="S56" s="1">
        <f>IFERROR(IF(Benchmark1[[#This Row],[Comparable '#3 Date Check]]="Pass",Benchmark1[[#This Row],[Comparable '#3 Return]]-Benchmark1[[#This Row],[Benchmark '#1 Return]],"-"),"-")</f>
        <v>3.9589166914818022E-4</v>
      </c>
    </row>
    <row r="57" spans="1:19">
      <c r="A57" s="103">
        <v>43364</v>
      </c>
      <c r="B57" s="104">
        <v>2929.6671956253276</v>
      </c>
      <c r="C57" s="4">
        <f t="shared" si="0"/>
        <v>-3.6821856150043021E-4</v>
      </c>
      <c r="D57" s="1" t="str">
        <f>IF(COUNTIF(Target1[Target Dates],Benchmark1[[#This Row],[Benchmark '#1 Dates]])=1,"Pass","Fail")</f>
        <v>Pass</v>
      </c>
      <c r="E57" s="6">
        <f>IF(Benchmark1[[#This Row],[Target Date Check]]="Pass",INDEX(Target1[Target Price],MATCH(Benchmark1[[#This Row],[Benchmark '#1 Dates]],Target1[Target Dates],0)),"-")</f>
        <v>17.559999999999999</v>
      </c>
      <c r="F57" s="22">
        <f>IF(Benchmark1[[#This Row],[Target Date Check]]="Pass",INDEX(Target1[Target Return],MATCH(Benchmark1[[#This Row],[Benchmark '#1 Dates]],Target1[Target Dates],0)),"-")</f>
        <v>-4.5454623716747224E-3</v>
      </c>
      <c r="G57" s="1">
        <f>IFERROR(IF(Benchmark1[[#This Row],[Target Date Check]]="Pass",Benchmark1[[#This Row],[Target Return]]-Benchmark1[[#This Row],[Benchmark '#1 Return]],"-"),"-")</f>
        <v>-4.177243810174292E-3</v>
      </c>
      <c r="H57" s="1" t="str">
        <f>IF(COUNTIF(Comp1[Comparable '#1 Dates],Benchmark1[[#This Row],[Benchmark '#1 Dates]])=1,"Pass","Fail")</f>
        <v>Pass</v>
      </c>
      <c r="I57" s="6">
        <f>IF(Benchmark1[[#This Row],[Comparable '#1 Date Check]]="Pass",INDEX(Comp1[Comparable '#1 Price],MATCH(Benchmark1[[#This Row],[Benchmark '#1 Dates]],Comp1[Comparable '#1 Dates],0)),"-")</f>
        <v>15.99</v>
      </c>
      <c r="J57" s="22">
        <f>IF(Benchmark1[[#This Row],[Comparable '#1 Date Check]]="Pass",INDEX(Comp1[Comparable '#1 Return],MATCH(Benchmark1[[#This Row],[Benchmark '#1 Dates]],Comp1[Comparable '#1 Dates],0)),"-")</f>
        <v>6.2558650773416767E-4</v>
      </c>
      <c r="K57" s="1">
        <f>IFERROR(IF(Benchmark1[[#This Row],[Comparable '#1 Date Check]]="Pass",Benchmark1[[#This Row],[Comparable '#1 Return]]-Benchmark1[[#This Row],[Benchmark '#1 Return]],"-"),"-")</f>
        <v>9.9380506923459782E-4</v>
      </c>
      <c r="L57" s="1" t="str">
        <f>IF(COUNTIF(Comp2[Comparable '#2 Dates],Benchmark1[[#This Row],[Benchmark '#1 Dates]])=1,"Pass","Fail")</f>
        <v>Pass</v>
      </c>
      <c r="M57" s="6">
        <f>IF(Benchmark1[[#This Row],[Comparable '#2 Date Check]]="Pass",INDEX(Comp2[Comparable '#2 Price],MATCH(Benchmark1[[#This Row],[Benchmark '#1 Dates]],Comp2[Comparable '#2 Dates],0)),"-")</f>
        <v>45.35</v>
      </c>
      <c r="N57" s="22">
        <f>IF(Benchmark1[[#This Row],[Comparable '#2 Date Check]]="Pass",INDEX(Comp2[Comparable '#2 Return],MATCH(Benchmark1[[#This Row],[Benchmark '#1 Dates]],Comp2[Comparable '#2 Dates],0)),"-")</f>
        <v>-2.2026440623422947E-3</v>
      </c>
      <c r="O57" s="1">
        <f>IFERROR(IF(Benchmark1[[#This Row],[Comparable '#2 Date Check]]="Pass",Benchmark1[[#This Row],[Comparable '#2 Return]]-Benchmark1[[#This Row],[Benchmark '#1 Return]],"-"),"-")</f>
        <v>-1.8344255008418645E-3</v>
      </c>
      <c r="P57" s="1" t="str">
        <f>IF(COUNTIF(Comp3[Comparable '#3 Dates],Benchmark1[[#This Row],[Benchmark '#1 Dates]])=1,"Pass","Fail")</f>
        <v>Pass</v>
      </c>
      <c r="Q57" s="6">
        <f>IF(Benchmark1[[#This Row],[Comparable '#3 Date Check]]="Pass",INDEX(Comp3[Comparable '#3 Price],MATCH(Benchmark1[[#This Row],[Benchmark '#1 Dates]],Comp3[Comparable '#3 Dates],0)),"-")</f>
        <v>136.87</v>
      </c>
      <c r="R57" s="22">
        <f>IF(Benchmark1[[#This Row],[Comparable '#3 Date Check]]="Pass",INDEX(Comp3[Comparable '#3 Return],MATCH(Benchmark1[[#This Row],[Benchmark '#1 Dates]],Comp3[Comparable '#3 Dates],0)),"-")</f>
        <v>7.7010905375297263E-3</v>
      </c>
      <c r="S57" s="1">
        <f>IFERROR(IF(Benchmark1[[#This Row],[Comparable '#3 Date Check]]="Pass",Benchmark1[[#This Row],[Comparable '#3 Return]]-Benchmark1[[#This Row],[Benchmark '#1 Return]],"-"),"-")</f>
        <v>8.0693090990301558E-3</v>
      </c>
    </row>
    <row r="58" spans="1:19">
      <c r="A58" s="103">
        <v>43367</v>
      </c>
      <c r="B58" s="104">
        <v>2919.3731493785617</v>
      </c>
      <c r="C58" s="4">
        <f t="shared" si="0"/>
        <v>-3.5199131030025717E-3</v>
      </c>
      <c r="D58" s="1" t="str">
        <f>IF(COUNTIF(Target1[Target Dates],Benchmark1[[#This Row],[Benchmark '#1 Dates]])=1,"Pass","Fail")</f>
        <v>Pass</v>
      </c>
      <c r="E58" s="6">
        <f>IF(Benchmark1[[#This Row],[Target Date Check]]="Pass",INDEX(Target1[Target Price],MATCH(Benchmark1[[#This Row],[Benchmark '#1 Dates]],Target1[Target Dates],0)),"-")</f>
        <v>17.61</v>
      </c>
      <c r="F58" s="22">
        <f>IF(Benchmark1[[#This Row],[Target Date Check]]="Pass",INDEX(Target1[Target Return],MATCH(Benchmark1[[#This Row],[Benchmark '#1 Dates]],Target1[Target Dates],0)),"-")</f>
        <v>2.8433343011442509E-3</v>
      </c>
      <c r="G58" s="1">
        <f>IFERROR(IF(Benchmark1[[#This Row],[Target Date Check]]="Pass",Benchmark1[[#This Row],[Target Return]]-Benchmark1[[#This Row],[Benchmark '#1 Return]],"-"),"-")</f>
        <v>6.3632474041468226E-3</v>
      </c>
      <c r="H58" s="1" t="str">
        <f>IF(COUNTIF(Comp1[Comparable '#1 Dates],Benchmark1[[#This Row],[Benchmark '#1 Dates]])=1,"Pass","Fail")</f>
        <v>Pass</v>
      </c>
      <c r="I58" s="6">
        <f>IF(Benchmark1[[#This Row],[Comparable '#1 Date Check]]="Pass",INDEX(Comp1[Comparable '#1 Price],MATCH(Benchmark1[[#This Row],[Benchmark '#1 Dates]],Comp1[Comparable '#1 Dates],0)),"-")</f>
        <v>15.45</v>
      </c>
      <c r="J58" s="22">
        <f>IF(Benchmark1[[#This Row],[Comparable '#1 Date Check]]="Pass",INDEX(Comp1[Comparable '#1 Return],MATCH(Benchmark1[[#This Row],[Benchmark '#1 Dates]],Comp1[Comparable '#1 Dates],0)),"-")</f>
        <v>-3.4354523502108464E-2</v>
      </c>
      <c r="K58" s="1">
        <f>IFERROR(IF(Benchmark1[[#This Row],[Comparable '#1 Date Check]]="Pass",Benchmark1[[#This Row],[Comparable '#1 Return]]-Benchmark1[[#This Row],[Benchmark '#1 Return]],"-"),"-")</f>
        <v>-3.0834610399105893E-2</v>
      </c>
      <c r="L58" s="1" t="str">
        <f>IF(COUNTIF(Comp2[Comparable '#2 Dates],Benchmark1[[#This Row],[Benchmark '#1 Dates]])=1,"Pass","Fail")</f>
        <v>Pass</v>
      </c>
      <c r="M58" s="6">
        <f>IF(Benchmark1[[#This Row],[Comparable '#2 Date Check]]="Pass",INDEX(Comp2[Comparable '#2 Price],MATCH(Benchmark1[[#This Row],[Benchmark '#1 Dates]],Comp2[Comparable '#2 Dates],0)),"-")</f>
        <v>46.05</v>
      </c>
      <c r="N58" s="22">
        <f>IF(Benchmark1[[#This Row],[Comparable '#2 Date Check]]="Pass",INDEX(Comp2[Comparable '#2 Return],MATCH(Benchmark1[[#This Row],[Benchmark '#1 Dates]],Comp2[Comparable '#2 Dates],0)),"-")</f>
        <v>1.5317586140170191E-2</v>
      </c>
      <c r="O58" s="1">
        <f>IFERROR(IF(Benchmark1[[#This Row],[Comparable '#2 Date Check]]="Pass",Benchmark1[[#This Row],[Comparable '#2 Return]]-Benchmark1[[#This Row],[Benchmark '#1 Return]],"-"),"-")</f>
        <v>1.8837499243172764E-2</v>
      </c>
      <c r="P58" s="1" t="str">
        <f>IF(COUNTIF(Comp3[Comparable '#3 Dates],Benchmark1[[#This Row],[Benchmark '#1 Dates]])=1,"Pass","Fail")</f>
        <v>Pass</v>
      </c>
      <c r="Q58" s="6">
        <f>IF(Benchmark1[[#This Row],[Comparable '#3 Date Check]]="Pass",INDEX(Comp3[Comparable '#3 Price],MATCH(Benchmark1[[#This Row],[Benchmark '#1 Dates]],Comp3[Comparable '#3 Dates],0)),"-")</f>
        <v>137.47999999999999</v>
      </c>
      <c r="R58" s="22">
        <f>IF(Benchmark1[[#This Row],[Comparable '#3 Date Check]]="Pass",INDEX(Comp3[Comparable '#3 Return],MATCH(Benchmark1[[#This Row],[Benchmark '#1 Dates]],Comp3[Comparable '#3 Dates],0)),"-")</f>
        <v>4.4468817584579854E-3</v>
      </c>
      <c r="S58" s="1">
        <f>IFERROR(IF(Benchmark1[[#This Row],[Comparable '#3 Date Check]]="Pass",Benchmark1[[#This Row],[Comparable '#3 Return]]-Benchmark1[[#This Row],[Benchmark '#1 Return]],"-"),"-")</f>
        <v>7.9667948614605567E-3</v>
      </c>
    </row>
    <row r="59" spans="1:19">
      <c r="A59" s="103">
        <v>43368</v>
      </c>
      <c r="B59" s="104">
        <v>2915.5642837762534</v>
      </c>
      <c r="C59" s="4">
        <f t="shared" si="0"/>
        <v>-1.3055379554409384E-3</v>
      </c>
      <c r="D59" s="1" t="str">
        <f>IF(COUNTIF(Target1[Target Dates],Benchmark1[[#This Row],[Benchmark '#1 Dates]])=1,"Pass","Fail")</f>
        <v>Pass</v>
      </c>
      <c r="E59" s="6">
        <f>IF(Benchmark1[[#This Row],[Target Date Check]]="Pass",INDEX(Target1[Target Price],MATCH(Benchmark1[[#This Row],[Benchmark '#1 Dates]],Target1[Target Dates],0)),"-")</f>
        <v>17.920000000000002</v>
      </c>
      <c r="F59" s="22">
        <f>IF(Benchmark1[[#This Row],[Target Date Check]]="Pass",INDEX(Target1[Target Return],MATCH(Benchmark1[[#This Row],[Benchmark '#1 Dates]],Target1[Target Dates],0)),"-")</f>
        <v>1.7450485038669764E-2</v>
      </c>
      <c r="G59" s="1">
        <f>IFERROR(IF(Benchmark1[[#This Row],[Target Date Check]]="Pass",Benchmark1[[#This Row],[Target Return]]-Benchmark1[[#This Row],[Benchmark '#1 Return]],"-"),"-")</f>
        <v>1.8756022994110701E-2</v>
      </c>
      <c r="H59" s="1" t="str">
        <f>IF(COUNTIF(Comp1[Comparable '#1 Dates],Benchmark1[[#This Row],[Benchmark '#1 Dates]])=1,"Pass","Fail")</f>
        <v>Pass</v>
      </c>
      <c r="I59" s="6">
        <f>IF(Benchmark1[[#This Row],[Comparable '#1 Date Check]]="Pass",INDEX(Comp1[Comparable '#1 Price],MATCH(Benchmark1[[#This Row],[Benchmark '#1 Dates]],Comp1[Comparable '#1 Dates],0)),"-")</f>
        <v>15.42</v>
      </c>
      <c r="J59" s="22">
        <f>IF(Benchmark1[[#This Row],[Comparable '#1 Date Check]]="Pass",INDEX(Comp1[Comparable '#1 Return],MATCH(Benchmark1[[#This Row],[Benchmark '#1 Dates]],Comp1[Comparable '#1 Dates],0)),"-")</f>
        <v>-1.9436352085710144E-3</v>
      </c>
      <c r="K59" s="1">
        <f>IFERROR(IF(Benchmark1[[#This Row],[Comparable '#1 Date Check]]="Pass",Benchmark1[[#This Row],[Comparable '#1 Return]]-Benchmark1[[#This Row],[Benchmark '#1 Return]],"-"),"-")</f>
        <v>-6.3809725313007594E-4</v>
      </c>
      <c r="L59" s="1" t="str">
        <f>IF(COUNTIF(Comp2[Comparable '#2 Dates],Benchmark1[[#This Row],[Benchmark '#1 Dates]])=1,"Pass","Fail")</f>
        <v>Pass</v>
      </c>
      <c r="M59" s="6">
        <f>IF(Benchmark1[[#This Row],[Comparable '#2 Date Check]]="Pass",INDEX(Comp2[Comparable '#2 Price],MATCH(Benchmark1[[#This Row],[Benchmark '#1 Dates]],Comp2[Comparable '#2 Dates],0)),"-")</f>
        <v>47.15</v>
      </c>
      <c r="N59" s="22">
        <f>IF(Benchmark1[[#This Row],[Comparable '#2 Date Check]]="Pass",INDEX(Comp2[Comparable '#2 Return],MATCH(Benchmark1[[#This Row],[Benchmark '#1 Dates]],Comp2[Comparable '#2 Dates],0)),"-")</f>
        <v>2.3606246378150661E-2</v>
      </c>
      <c r="O59" s="1">
        <f>IFERROR(IF(Benchmark1[[#This Row],[Comparable '#2 Date Check]]="Pass",Benchmark1[[#This Row],[Comparable '#2 Return]]-Benchmark1[[#This Row],[Benchmark '#1 Return]],"-"),"-")</f>
        <v>2.4911784333591598E-2</v>
      </c>
      <c r="P59" s="1" t="str">
        <f>IF(COUNTIF(Comp3[Comparable '#3 Dates],Benchmark1[[#This Row],[Benchmark '#1 Dates]])=1,"Pass","Fail")</f>
        <v>Pass</v>
      </c>
      <c r="Q59" s="6">
        <f>IF(Benchmark1[[#This Row],[Comparable '#3 Date Check]]="Pass",INDEX(Comp3[Comparable '#3 Price],MATCH(Benchmark1[[#This Row],[Benchmark '#1 Dates]],Comp3[Comparable '#3 Dates],0)),"-")</f>
        <v>137.53</v>
      </c>
      <c r="R59" s="22">
        <f>IF(Benchmark1[[#This Row],[Comparable '#3 Date Check]]="Pass",INDEX(Comp3[Comparable '#3 Return],MATCH(Benchmark1[[#This Row],[Benchmark '#1 Dates]],Comp3[Comparable '#3 Dates],0)),"-")</f>
        <v>3.6362314498330052E-4</v>
      </c>
      <c r="S59" s="1">
        <f>IFERROR(IF(Benchmark1[[#This Row],[Comparable '#3 Date Check]]="Pass",Benchmark1[[#This Row],[Comparable '#3 Return]]-Benchmark1[[#This Row],[Benchmark '#1 Return]],"-"),"-")</f>
        <v>1.669161100424239E-3</v>
      </c>
    </row>
    <row r="60" spans="1:19">
      <c r="A60" s="103">
        <v>43369</v>
      </c>
      <c r="B60" s="104">
        <v>2905.96558764057</v>
      </c>
      <c r="C60" s="4">
        <f t="shared" si="0"/>
        <v>-3.2976571609683912E-3</v>
      </c>
      <c r="D60" s="1" t="str">
        <f>IF(COUNTIF(Target1[Target Dates],Benchmark1[[#This Row],[Benchmark '#1 Dates]])=1,"Pass","Fail")</f>
        <v>Pass</v>
      </c>
      <c r="E60" s="6">
        <f>IF(Benchmark1[[#This Row],[Target Date Check]]="Pass",INDEX(Target1[Target Price],MATCH(Benchmark1[[#This Row],[Benchmark '#1 Dates]],Target1[Target Dates],0)),"-")</f>
        <v>18.02</v>
      </c>
      <c r="F60" s="22">
        <f>IF(Benchmark1[[#This Row],[Target Date Check]]="Pass",INDEX(Target1[Target Return],MATCH(Benchmark1[[#This Row],[Benchmark '#1 Dates]],Target1[Target Dates],0)),"-")</f>
        <v>5.564844633407286E-3</v>
      </c>
      <c r="G60" s="1">
        <f>IFERROR(IF(Benchmark1[[#This Row],[Target Date Check]]="Pass",Benchmark1[[#This Row],[Target Return]]-Benchmark1[[#This Row],[Benchmark '#1 Return]],"-"),"-")</f>
        <v>8.8625017943756781E-3</v>
      </c>
      <c r="H60" s="1" t="str">
        <f>IF(COUNTIF(Comp1[Comparable '#1 Dates],Benchmark1[[#This Row],[Benchmark '#1 Dates]])=1,"Pass","Fail")</f>
        <v>Pass</v>
      </c>
      <c r="I60" s="6">
        <f>IF(Benchmark1[[#This Row],[Comparable '#1 Date Check]]="Pass",INDEX(Comp1[Comparable '#1 Price],MATCH(Benchmark1[[#This Row],[Benchmark '#1 Dates]],Comp1[Comparable '#1 Dates],0)),"-")</f>
        <v>15.21</v>
      </c>
      <c r="J60" s="22">
        <f>IF(Benchmark1[[#This Row],[Comparable '#1 Date Check]]="Pass",INDEX(Comp1[Comparable '#1 Return],MATCH(Benchmark1[[#This Row],[Benchmark '#1 Dates]],Comp1[Comparable '#1 Dates],0)),"-")</f>
        <v>-1.3712261863981895E-2</v>
      </c>
      <c r="K60" s="1">
        <f>IFERROR(IF(Benchmark1[[#This Row],[Comparable '#1 Date Check]]="Pass",Benchmark1[[#This Row],[Comparable '#1 Return]]-Benchmark1[[#This Row],[Benchmark '#1 Return]],"-"),"-")</f>
        <v>-1.0414604703013502E-2</v>
      </c>
      <c r="L60" s="1" t="str">
        <f>IF(COUNTIF(Comp2[Comparable '#2 Dates],Benchmark1[[#This Row],[Benchmark '#1 Dates]])=1,"Pass","Fail")</f>
        <v>Pass</v>
      </c>
      <c r="M60" s="6">
        <f>IF(Benchmark1[[#This Row],[Comparable '#2 Date Check]]="Pass",INDEX(Comp2[Comparable '#2 Price],MATCH(Benchmark1[[#This Row],[Benchmark '#1 Dates]],Comp2[Comparable '#2 Dates],0)),"-")</f>
        <v>47.35</v>
      </c>
      <c r="N60" s="22">
        <f>IF(Benchmark1[[#This Row],[Comparable '#2 Date Check]]="Pass",INDEX(Comp2[Comparable '#2 Return],MATCH(Benchmark1[[#This Row],[Benchmark '#1 Dates]],Comp2[Comparable '#2 Dates],0)),"-")</f>
        <v>4.2328105526207626E-3</v>
      </c>
      <c r="O60" s="1">
        <f>IFERROR(IF(Benchmark1[[#This Row],[Comparable '#2 Date Check]]="Pass",Benchmark1[[#This Row],[Comparable '#2 Return]]-Benchmark1[[#This Row],[Benchmark '#1 Return]],"-"),"-")</f>
        <v>7.5304677135891538E-3</v>
      </c>
      <c r="P60" s="1" t="str">
        <f>IF(COUNTIF(Comp3[Comparable '#3 Dates],Benchmark1[[#This Row],[Benchmark '#1 Dates]])=1,"Pass","Fail")</f>
        <v>Pass</v>
      </c>
      <c r="Q60" s="6">
        <f>IF(Benchmark1[[#This Row],[Comparable '#3 Date Check]]="Pass",INDEX(Comp3[Comparable '#3 Price],MATCH(Benchmark1[[#This Row],[Benchmark '#1 Dates]],Comp3[Comparable '#3 Dates],0)),"-")</f>
        <v>135.5</v>
      </c>
      <c r="R60" s="22">
        <f>IF(Benchmark1[[#This Row],[Comparable '#3 Date Check]]="Pass",INDEX(Comp3[Comparable '#3 Return],MATCH(Benchmark1[[#This Row],[Benchmark '#1 Dates]],Comp3[Comparable '#3 Dates],0)),"-")</f>
        <v>-1.487043480686079E-2</v>
      </c>
      <c r="S60" s="1">
        <f>IFERROR(IF(Benchmark1[[#This Row],[Comparable '#3 Date Check]]="Pass",Benchmark1[[#This Row],[Comparable '#3 Return]]-Benchmark1[[#This Row],[Benchmark '#1 Return]],"-"),"-")</f>
        <v>-1.1572777645892398E-2</v>
      </c>
    </row>
    <row r="61" spans="1:19">
      <c r="A61" s="103">
        <v>43370</v>
      </c>
      <c r="B61" s="104">
        <v>2913.9981861058263</v>
      </c>
      <c r="C61" s="4">
        <f t="shared" si="0"/>
        <v>2.7603620496477509E-3</v>
      </c>
      <c r="D61" s="1" t="str">
        <f>IF(COUNTIF(Target1[Target Dates],Benchmark1[[#This Row],[Benchmark '#1 Dates]])=1,"Pass","Fail")</f>
        <v>Pass</v>
      </c>
      <c r="E61" s="6">
        <f>IF(Benchmark1[[#This Row],[Target Date Check]]="Pass",INDEX(Target1[Target Price],MATCH(Benchmark1[[#This Row],[Benchmark '#1 Dates]],Target1[Target Dates],0)),"-")</f>
        <v>17.7</v>
      </c>
      <c r="F61" s="22">
        <f>IF(Benchmark1[[#This Row],[Target Date Check]]="Pass",INDEX(Target1[Target Return],MATCH(Benchmark1[[#This Row],[Benchmark '#1 Dates]],Target1[Target Dates],0)),"-")</f>
        <v>-1.7917612600408382E-2</v>
      </c>
      <c r="G61" s="1">
        <f>IFERROR(IF(Benchmark1[[#This Row],[Target Date Check]]="Pass",Benchmark1[[#This Row],[Target Return]]-Benchmark1[[#This Row],[Benchmark '#1 Return]],"-"),"-")</f>
        <v>-2.0677974650056132E-2</v>
      </c>
      <c r="H61" s="1" t="str">
        <f>IF(COUNTIF(Comp1[Comparable '#1 Dates],Benchmark1[[#This Row],[Benchmark '#1 Dates]])=1,"Pass","Fail")</f>
        <v>Pass</v>
      </c>
      <c r="I61" s="6">
        <f>IF(Benchmark1[[#This Row],[Comparable '#1 Date Check]]="Pass",INDEX(Comp1[Comparable '#1 Price],MATCH(Benchmark1[[#This Row],[Benchmark '#1 Dates]],Comp1[Comparable '#1 Dates],0)),"-")</f>
        <v>15.18</v>
      </c>
      <c r="J61" s="22">
        <f>IF(Benchmark1[[#This Row],[Comparable '#1 Date Check]]="Pass",INDEX(Comp1[Comparable '#1 Return],MATCH(Benchmark1[[#This Row],[Benchmark '#1 Dates]],Comp1[Comparable '#1 Dates],0)),"-")</f>
        <v>-1.9743343037177405E-3</v>
      </c>
      <c r="K61" s="1">
        <f>IFERROR(IF(Benchmark1[[#This Row],[Comparable '#1 Date Check]]="Pass",Benchmark1[[#This Row],[Comparable '#1 Return]]-Benchmark1[[#This Row],[Benchmark '#1 Return]],"-"),"-")</f>
        <v>-4.7346963533654914E-3</v>
      </c>
      <c r="L61" s="1" t="str">
        <f>IF(COUNTIF(Comp2[Comparable '#2 Dates],Benchmark1[[#This Row],[Benchmark '#1 Dates]])=1,"Pass","Fail")</f>
        <v>Pass</v>
      </c>
      <c r="M61" s="6">
        <f>IF(Benchmark1[[#This Row],[Comparable '#2 Date Check]]="Pass",INDEX(Comp2[Comparable '#2 Price],MATCH(Benchmark1[[#This Row],[Benchmark '#1 Dates]],Comp2[Comparable '#2 Dates],0)),"-")</f>
        <v>47.5</v>
      </c>
      <c r="N61" s="22">
        <f>IF(Benchmark1[[#This Row],[Comparable '#2 Date Check]]="Pass",INDEX(Comp2[Comparable '#2 Return],MATCH(Benchmark1[[#This Row],[Benchmark '#1 Dates]],Comp2[Comparable '#2 Dates],0)),"-")</f>
        <v>3.162891408508217E-3</v>
      </c>
      <c r="O61" s="1">
        <f>IFERROR(IF(Benchmark1[[#This Row],[Comparable '#2 Date Check]]="Pass",Benchmark1[[#This Row],[Comparable '#2 Return]]-Benchmark1[[#This Row],[Benchmark '#1 Return]],"-"),"-")</f>
        <v>4.0252935886046608E-4</v>
      </c>
      <c r="P61" s="1" t="str">
        <f>IF(COUNTIF(Comp3[Comparable '#3 Dates],Benchmark1[[#This Row],[Benchmark '#1 Dates]])=1,"Pass","Fail")</f>
        <v>Pass</v>
      </c>
      <c r="Q61" s="6">
        <f>IF(Benchmark1[[#This Row],[Comparable '#3 Date Check]]="Pass",INDEX(Comp3[Comparable '#3 Price],MATCH(Benchmark1[[#This Row],[Benchmark '#1 Dates]],Comp3[Comparable '#3 Dates],0)),"-")</f>
        <v>135.72</v>
      </c>
      <c r="R61" s="22">
        <f>IF(Benchmark1[[#This Row],[Comparable '#3 Date Check]]="Pass",INDEX(Comp3[Comparable '#3 Return],MATCH(Benchmark1[[#This Row],[Benchmark '#1 Dates]],Comp3[Comparable '#3 Dates],0)),"-")</f>
        <v>1.6222995962736956E-3</v>
      </c>
      <c r="S61" s="1">
        <f>IFERROR(IF(Benchmark1[[#This Row],[Comparable '#3 Date Check]]="Pass",Benchmark1[[#This Row],[Comparable '#3 Return]]-Benchmark1[[#This Row],[Benchmark '#1 Return]],"-"),"-")</f>
        <v>-1.1380624533740553E-3</v>
      </c>
    </row>
    <row r="62" spans="1:19">
      <c r="A62" s="103">
        <v>43371</v>
      </c>
      <c r="B62" s="104">
        <v>2913.9781398860332</v>
      </c>
      <c r="C62" s="4">
        <f t="shared" si="0"/>
        <v>-6.8793072146320404E-6</v>
      </c>
      <c r="D62" s="1" t="str">
        <f>IF(COUNTIF(Target1[Target Dates],Benchmark1[[#This Row],[Benchmark '#1 Dates]])=1,"Pass","Fail")</f>
        <v>Pass</v>
      </c>
      <c r="E62" s="6">
        <f>IF(Benchmark1[[#This Row],[Target Date Check]]="Pass",INDEX(Target1[Target Price],MATCH(Benchmark1[[#This Row],[Benchmark '#1 Dates]],Target1[Target Dates],0)),"-")</f>
        <v>17.7</v>
      </c>
      <c r="F62" s="22">
        <f>IF(Benchmark1[[#This Row],[Target Date Check]]="Pass",INDEX(Target1[Target Return],MATCH(Benchmark1[[#This Row],[Benchmark '#1 Dates]],Target1[Target Dates],0)),"-")</f>
        <v>0</v>
      </c>
      <c r="G62" s="1">
        <f>IFERROR(IF(Benchmark1[[#This Row],[Target Date Check]]="Pass",Benchmark1[[#This Row],[Target Return]]-Benchmark1[[#This Row],[Benchmark '#1 Return]],"-"),"-")</f>
        <v>6.8793072146320404E-6</v>
      </c>
      <c r="H62" s="1" t="str">
        <f>IF(COUNTIF(Comp1[Comparable '#1 Dates],Benchmark1[[#This Row],[Benchmark '#1 Dates]])=1,"Pass","Fail")</f>
        <v>Pass</v>
      </c>
      <c r="I62" s="6">
        <f>IF(Benchmark1[[#This Row],[Comparable '#1 Date Check]]="Pass",INDEX(Comp1[Comparable '#1 Price],MATCH(Benchmark1[[#This Row],[Benchmark '#1 Dates]],Comp1[Comparable '#1 Dates],0)),"-")</f>
        <v>15.44</v>
      </c>
      <c r="J62" s="22">
        <f>IF(Benchmark1[[#This Row],[Comparable '#1 Date Check]]="Pass",INDEX(Comp1[Comparable '#1 Return],MATCH(Benchmark1[[#This Row],[Benchmark '#1 Dates]],Comp1[Comparable '#1 Dates],0)),"-")</f>
        <v>1.6982772629146221E-2</v>
      </c>
      <c r="K62" s="1">
        <f>IFERROR(IF(Benchmark1[[#This Row],[Comparable '#1 Date Check]]="Pass",Benchmark1[[#This Row],[Comparable '#1 Return]]-Benchmark1[[#This Row],[Benchmark '#1 Return]],"-"),"-")</f>
        <v>1.6989651936360855E-2</v>
      </c>
      <c r="L62" s="1" t="str">
        <f>IF(COUNTIF(Comp2[Comparable '#2 Dates],Benchmark1[[#This Row],[Benchmark '#1 Dates]])=1,"Pass","Fail")</f>
        <v>Pass</v>
      </c>
      <c r="M62" s="6">
        <f>IF(Benchmark1[[#This Row],[Comparable '#2 Date Check]]="Pass",INDEX(Comp2[Comparable '#2 Price],MATCH(Benchmark1[[#This Row],[Benchmark '#1 Dates]],Comp2[Comparable '#2 Dates],0)),"-")</f>
        <v>48.2</v>
      </c>
      <c r="N62" s="22">
        <f>IF(Benchmark1[[#This Row],[Comparable '#2 Date Check]]="Pass",INDEX(Comp2[Comparable '#2 Return],MATCH(Benchmark1[[#This Row],[Benchmark '#1 Dates]],Comp2[Comparable '#2 Dates],0)),"-")</f>
        <v>1.4629310015959096E-2</v>
      </c>
      <c r="O62" s="1">
        <f>IFERROR(IF(Benchmark1[[#This Row],[Comparable '#2 Date Check]]="Pass",Benchmark1[[#This Row],[Comparable '#2 Return]]-Benchmark1[[#This Row],[Benchmark '#1 Return]],"-"),"-")</f>
        <v>1.4636189323173728E-2</v>
      </c>
      <c r="P62" s="1" t="str">
        <f>IF(COUNTIF(Comp3[Comparable '#3 Dates],Benchmark1[[#This Row],[Benchmark '#1 Dates]])=1,"Pass","Fail")</f>
        <v>Pass</v>
      </c>
      <c r="Q62" s="6">
        <f>IF(Benchmark1[[#This Row],[Comparable '#3 Date Check]]="Pass",INDEX(Comp3[Comparable '#3 Price],MATCH(Benchmark1[[#This Row],[Benchmark '#1 Dates]],Comp3[Comparable '#3 Dates],0)),"-")</f>
        <v>137.03</v>
      </c>
      <c r="R62" s="22">
        <f>IF(Benchmark1[[#This Row],[Comparable '#3 Date Check]]="Pass",INDEX(Comp3[Comparable '#3 Return],MATCH(Benchmark1[[#This Row],[Benchmark '#1 Dates]],Comp3[Comparable '#3 Dates],0)),"-")</f>
        <v>9.6059400420802805E-3</v>
      </c>
      <c r="S62" s="1">
        <f>IFERROR(IF(Benchmark1[[#This Row],[Comparable '#3 Date Check]]="Pass",Benchmark1[[#This Row],[Comparable '#3 Return]]-Benchmark1[[#This Row],[Benchmark '#1 Return]],"-"),"-")</f>
        <v>9.6128193492949123E-3</v>
      </c>
    </row>
    <row r="63" spans="1:19">
      <c r="A63" s="103">
        <v>43374</v>
      </c>
      <c r="B63" s="104">
        <v>2924.5909370455697</v>
      </c>
      <c r="C63" s="4">
        <f t="shared" si="0"/>
        <v>3.6354143311938454E-3</v>
      </c>
      <c r="D63" s="1" t="str">
        <f>IF(COUNTIF(Target1[Target Dates],Benchmark1[[#This Row],[Benchmark '#1 Dates]])=1,"Pass","Fail")</f>
        <v>Pass</v>
      </c>
      <c r="E63" s="6">
        <f>IF(Benchmark1[[#This Row],[Target Date Check]]="Pass",INDEX(Target1[Target Price],MATCH(Benchmark1[[#This Row],[Benchmark '#1 Dates]],Target1[Target Dates],0)),"-")</f>
        <v>17.670000000000002</v>
      </c>
      <c r="F63" s="22">
        <f>IF(Benchmark1[[#This Row],[Target Date Check]]="Pass",INDEX(Target1[Target Return],MATCH(Benchmark1[[#This Row],[Benchmark '#1 Dates]],Target1[Target Dates],0)),"-")</f>
        <v>-1.6963532481782907E-3</v>
      </c>
      <c r="G63" s="1">
        <f>IFERROR(IF(Benchmark1[[#This Row],[Target Date Check]]="Pass",Benchmark1[[#This Row],[Target Return]]-Benchmark1[[#This Row],[Benchmark '#1 Return]],"-"),"-")</f>
        <v>-5.3317675793721365E-3</v>
      </c>
      <c r="H63" s="1" t="str">
        <f>IF(COUNTIF(Comp1[Comparable '#1 Dates],Benchmark1[[#This Row],[Benchmark '#1 Dates]])=1,"Pass","Fail")</f>
        <v>Pass</v>
      </c>
      <c r="I63" s="6">
        <f>IF(Benchmark1[[#This Row],[Comparable '#1 Date Check]]="Pass",INDEX(Comp1[Comparable '#1 Price],MATCH(Benchmark1[[#This Row],[Benchmark '#1 Dates]],Comp1[Comparable '#1 Dates],0)),"-")</f>
        <v>15.15</v>
      </c>
      <c r="J63" s="22">
        <f>IF(Benchmark1[[#This Row],[Comparable '#1 Date Check]]="Pass",INDEX(Comp1[Comparable '#1 Return],MATCH(Benchmark1[[#This Row],[Benchmark '#1 Dates]],Comp1[Comparable '#1 Dates],0)),"-")</f>
        <v>-1.8961012641251919E-2</v>
      </c>
      <c r="K63" s="1">
        <f>IFERROR(IF(Benchmark1[[#This Row],[Comparable '#1 Date Check]]="Pass",Benchmark1[[#This Row],[Comparable '#1 Return]]-Benchmark1[[#This Row],[Benchmark '#1 Return]],"-"),"-")</f>
        <v>-2.2596426972445766E-2</v>
      </c>
      <c r="L63" s="1" t="str">
        <f>IF(COUNTIF(Comp2[Comparable '#2 Dates],Benchmark1[[#This Row],[Benchmark '#1 Dates]])=1,"Pass","Fail")</f>
        <v>Pass</v>
      </c>
      <c r="M63" s="6">
        <f>IF(Benchmark1[[#This Row],[Comparable '#2 Date Check]]="Pass",INDEX(Comp2[Comparable '#2 Price],MATCH(Benchmark1[[#This Row],[Benchmark '#1 Dates]],Comp2[Comparable '#2 Dates],0)),"-")</f>
        <v>47.88</v>
      </c>
      <c r="N63" s="22">
        <f>IF(Benchmark1[[#This Row],[Comparable '#2 Date Check]]="Pass",INDEX(Comp2[Comparable '#2 Return],MATCH(Benchmark1[[#This Row],[Benchmark '#1 Dates]],Comp2[Comparable '#2 Dates],0)),"-")</f>
        <v>-6.6611403667821987E-3</v>
      </c>
      <c r="O63" s="1">
        <f>IFERROR(IF(Benchmark1[[#This Row],[Comparable '#2 Date Check]]="Pass",Benchmark1[[#This Row],[Comparable '#2 Return]]-Benchmark1[[#This Row],[Benchmark '#1 Return]],"-"),"-")</f>
        <v>-1.0296554697976044E-2</v>
      </c>
      <c r="P63" s="1" t="str">
        <f>IF(COUNTIF(Comp3[Comparable '#3 Dates],Benchmark1[[#This Row],[Benchmark '#1 Dates]])=1,"Pass","Fail")</f>
        <v>Pass</v>
      </c>
      <c r="Q63" s="6">
        <f>IF(Benchmark1[[#This Row],[Comparable '#3 Date Check]]="Pass",INDEX(Comp3[Comparable '#3 Price],MATCH(Benchmark1[[#This Row],[Benchmark '#1 Dates]],Comp3[Comparable '#3 Dates],0)),"-")</f>
        <v>136.16999999999999</v>
      </c>
      <c r="R63" s="22">
        <f>IF(Benchmark1[[#This Row],[Comparable '#3 Date Check]]="Pass",INDEX(Comp3[Comparable '#3 Return],MATCH(Benchmark1[[#This Row],[Benchmark '#1 Dates]],Comp3[Comparable '#3 Dates],0)),"-")</f>
        <v>-6.2957748216257462E-3</v>
      </c>
      <c r="S63" s="1">
        <f>IFERROR(IF(Benchmark1[[#This Row],[Comparable '#3 Date Check]]="Pass",Benchmark1[[#This Row],[Comparable '#3 Return]]-Benchmark1[[#This Row],[Benchmark '#1 Return]],"-"),"-")</f>
        <v>-9.931189152819592E-3</v>
      </c>
    </row>
    <row r="64" spans="1:19">
      <c r="A64" s="103">
        <v>43375</v>
      </c>
      <c r="B64" s="104">
        <v>2923.4334526643311</v>
      </c>
      <c r="C64" s="4">
        <f t="shared" si="0"/>
        <v>-3.9585484574599636E-4</v>
      </c>
      <c r="D64" s="1" t="str">
        <f>IF(COUNTIF(Target1[Target Dates],Benchmark1[[#This Row],[Benchmark '#1 Dates]])=1,"Pass","Fail")</f>
        <v>Pass</v>
      </c>
      <c r="E64" s="6">
        <f>IF(Benchmark1[[#This Row],[Target Date Check]]="Pass",INDEX(Target1[Target Price],MATCH(Benchmark1[[#This Row],[Benchmark '#1 Dates]],Target1[Target Dates],0)),"-")</f>
        <v>17.66</v>
      </c>
      <c r="F64" s="22">
        <f>IF(Benchmark1[[#This Row],[Target Date Check]]="Pass",INDEX(Target1[Target Return],MATCH(Benchmark1[[#This Row],[Benchmark '#1 Dates]],Target1[Target Dates],0)),"-")</f>
        <v>-5.6609115579119083E-4</v>
      </c>
      <c r="G64" s="1">
        <f>IFERROR(IF(Benchmark1[[#This Row],[Target Date Check]]="Pass",Benchmark1[[#This Row],[Target Return]]-Benchmark1[[#This Row],[Benchmark '#1 Return]],"-"),"-")</f>
        <v>-1.7023631004519448E-4</v>
      </c>
      <c r="H64" s="1" t="str">
        <f>IF(COUNTIF(Comp1[Comparable '#1 Dates],Benchmark1[[#This Row],[Benchmark '#1 Dates]])=1,"Pass","Fail")</f>
        <v>Pass</v>
      </c>
      <c r="I64" s="6">
        <f>IF(Benchmark1[[#This Row],[Comparable '#1 Date Check]]="Pass",INDEX(Comp1[Comparable '#1 Price],MATCH(Benchmark1[[#This Row],[Benchmark '#1 Dates]],Comp1[Comparable '#1 Dates],0)),"-")</f>
        <v>15.1</v>
      </c>
      <c r="J64" s="22">
        <f>IF(Benchmark1[[#This Row],[Comparable '#1 Date Check]]="Pass",INDEX(Comp1[Comparable '#1 Return],MATCH(Benchmark1[[#This Row],[Benchmark '#1 Dates]],Comp1[Comparable '#1 Dates],0)),"-")</f>
        <v>-3.3057881344995439E-3</v>
      </c>
      <c r="K64" s="1">
        <f>IFERROR(IF(Benchmark1[[#This Row],[Comparable '#1 Date Check]]="Pass",Benchmark1[[#This Row],[Comparable '#1 Return]]-Benchmark1[[#This Row],[Benchmark '#1 Return]],"-"),"-")</f>
        <v>-2.9099332887535475E-3</v>
      </c>
      <c r="L64" s="1" t="str">
        <f>IF(COUNTIF(Comp2[Comparable '#2 Dates],Benchmark1[[#This Row],[Benchmark '#1 Dates]])=1,"Pass","Fail")</f>
        <v>Pass</v>
      </c>
      <c r="M64" s="6">
        <f>IF(Benchmark1[[#This Row],[Comparable '#2 Date Check]]="Pass",INDEX(Comp2[Comparable '#2 Price],MATCH(Benchmark1[[#This Row],[Benchmark '#1 Dates]],Comp2[Comparable '#2 Dates],0)),"-")</f>
        <v>46.28</v>
      </c>
      <c r="N64" s="22">
        <f>IF(Benchmark1[[#This Row],[Comparable '#2 Date Check]]="Pass",INDEX(Comp2[Comparable '#2 Return],MATCH(Benchmark1[[#This Row],[Benchmark '#1 Dates]],Comp2[Comparable '#2 Dates],0)),"-")</f>
        <v>-3.3987978364296574E-2</v>
      </c>
      <c r="O64" s="1">
        <f>IFERROR(IF(Benchmark1[[#This Row],[Comparable '#2 Date Check]]="Pass",Benchmark1[[#This Row],[Comparable '#2 Return]]-Benchmark1[[#This Row],[Benchmark '#1 Return]],"-"),"-")</f>
        <v>-3.3592123518550579E-2</v>
      </c>
      <c r="P64" s="1" t="str">
        <f>IF(COUNTIF(Comp3[Comparable '#3 Dates],Benchmark1[[#This Row],[Benchmark '#1 Dates]])=1,"Pass","Fail")</f>
        <v>Pass</v>
      </c>
      <c r="Q64" s="6">
        <f>IF(Benchmark1[[#This Row],[Comparable '#3 Date Check]]="Pass",INDEX(Comp3[Comparable '#3 Price],MATCH(Benchmark1[[#This Row],[Benchmark '#1 Dates]],Comp3[Comparable '#3 Dates],0)),"-")</f>
        <v>132.21</v>
      </c>
      <c r="R64" s="22">
        <f>IF(Benchmark1[[#This Row],[Comparable '#3 Date Check]]="Pass",INDEX(Comp3[Comparable '#3 Return],MATCH(Benchmark1[[#This Row],[Benchmark '#1 Dates]],Comp3[Comparable '#3 Dates],0)),"-")</f>
        <v>-2.9512537614478467E-2</v>
      </c>
      <c r="S64" s="1">
        <f>IFERROR(IF(Benchmark1[[#This Row],[Comparable '#3 Date Check]]="Pass",Benchmark1[[#This Row],[Comparable '#3 Return]]-Benchmark1[[#This Row],[Benchmark '#1 Return]],"-"),"-")</f>
        <v>-2.9116682768732471E-2</v>
      </c>
    </row>
    <row r="65" spans="1:19">
      <c r="A65" s="103">
        <v>43376</v>
      </c>
      <c r="B65" s="104">
        <v>2925.5130376728262</v>
      </c>
      <c r="C65" s="4">
        <f t="shared" si="0"/>
        <v>7.1109732310286342E-4</v>
      </c>
      <c r="D65" s="1" t="str">
        <f>IF(COUNTIF(Target1[Target Dates],Benchmark1[[#This Row],[Benchmark '#1 Dates]])=1,"Pass","Fail")</f>
        <v>Pass</v>
      </c>
      <c r="E65" s="6">
        <f>IF(Benchmark1[[#This Row],[Target Date Check]]="Pass",INDEX(Target1[Target Price],MATCH(Benchmark1[[#This Row],[Benchmark '#1 Dates]],Target1[Target Dates],0)),"-")</f>
        <v>17.39</v>
      </c>
      <c r="F65" s="22">
        <f>IF(Benchmark1[[#This Row],[Target Date Check]]="Pass",INDEX(Target1[Target Return],MATCH(Benchmark1[[#This Row],[Benchmark '#1 Dates]],Target1[Target Dates],0)),"-")</f>
        <v>-1.5406866809622288E-2</v>
      </c>
      <c r="G65" s="1">
        <f>IFERROR(IF(Benchmark1[[#This Row],[Target Date Check]]="Pass",Benchmark1[[#This Row],[Target Return]]-Benchmark1[[#This Row],[Benchmark '#1 Return]],"-"),"-")</f>
        <v>-1.6117964132725152E-2</v>
      </c>
      <c r="H65" s="1" t="str">
        <f>IF(COUNTIF(Comp1[Comparable '#1 Dates],Benchmark1[[#This Row],[Benchmark '#1 Dates]])=1,"Pass","Fail")</f>
        <v>Pass</v>
      </c>
      <c r="I65" s="6">
        <f>IF(Benchmark1[[#This Row],[Comparable '#1 Date Check]]="Pass",INDEX(Comp1[Comparable '#1 Price],MATCH(Benchmark1[[#This Row],[Benchmark '#1 Dates]],Comp1[Comparable '#1 Dates],0)),"-")</f>
        <v>15.18</v>
      </c>
      <c r="J65" s="22">
        <f>IF(Benchmark1[[#This Row],[Comparable '#1 Date Check]]="Pass",INDEX(Comp1[Comparable '#1 Return],MATCH(Benchmark1[[#This Row],[Benchmark '#1 Dates]],Comp1[Comparable '#1 Dates],0)),"-")</f>
        <v>5.2840281466052059E-3</v>
      </c>
      <c r="K65" s="1">
        <f>IFERROR(IF(Benchmark1[[#This Row],[Comparable '#1 Date Check]]="Pass",Benchmark1[[#This Row],[Comparable '#1 Return]]-Benchmark1[[#This Row],[Benchmark '#1 Return]],"-"),"-")</f>
        <v>4.5729308235023421E-3</v>
      </c>
      <c r="L65" s="1" t="str">
        <f>IF(COUNTIF(Comp2[Comparable '#2 Dates],Benchmark1[[#This Row],[Benchmark '#1 Dates]])=1,"Pass","Fail")</f>
        <v>Pass</v>
      </c>
      <c r="M65" s="6">
        <f>IF(Benchmark1[[#This Row],[Comparable '#2 Date Check]]="Pass",INDEX(Comp2[Comparable '#2 Price],MATCH(Benchmark1[[#This Row],[Benchmark '#1 Dates]],Comp2[Comparable '#2 Dates],0)),"-")</f>
        <v>46.74</v>
      </c>
      <c r="N65" s="22">
        <f>IF(Benchmark1[[#This Row],[Comparable '#2 Date Check]]="Pass",INDEX(Comp2[Comparable '#2 Return],MATCH(Benchmark1[[#This Row],[Benchmark '#1 Dates]],Comp2[Comparable '#2 Dates],0)),"-")</f>
        <v>9.8904267852361373E-3</v>
      </c>
      <c r="O65" s="1">
        <f>IFERROR(IF(Benchmark1[[#This Row],[Comparable '#2 Date Check]]="Pass",Benchmark1[[#This Row],[Comparable '#2 Return]]-Benchmark1[[#This Row],[Benchmark '#1 Return]],"-"),"-")</f>
        <v>9.1793294621332743E-3</v>
      </c>
      <c r="P65" s="1" t="str">
        <f>IF(COUNTIF(Comp3[Comparable '#3 Dates],Benchmark1[[#This Row],[Benchmark '#1 Dates]])=1,"Pass","Fail")</f>
        <v>Pass</v>
      </c>
      <c r="Q65" s="6">
        <f>IF(Benchmark1[[#This Row],[Comparable '#3 Date Check]]="Pass",INDEX(Comp3[Comparable '#3 Price],MATCH(Benchmark1[[#This Row],[Benchmark '#1 Dates]],Comp3[Comparable '#3 Dates],0)),"-")</f>
        <v>134.99</v>
      </c>
      <c r="R65" s="22">
        <f>IF(Benchmark1[[#This Row],[Comparable '#3 Date Check]]="Pass",INDEX(Comp3[Comparable '#3 Return],MATCH(Benchmark1[[#This Row],[Benchmark '#1 Dates]],Comp3[Comparable '#3 Dates],0)),"-")</f>
        <v>2.0809134098730409E-2</v>
      </c>
      <c r="S65" s="1">
        <f>IFERROR(IF(Benchmark1[[#This Row],[Comparable '#3 Date Check]]="Pass",Benchmark1[[#This Row],[Comparable '#3 Return]]-Benchmark1[[#This Row],[Benchmark '#1 Return]],"-"),"-")</f>
        <v>2.0098036775627545E-2</v>
      </c>
    </row>
    <row r="66" spans="1:19">
      <c r="A66" s="103">
        <v>43377</v>
      </c>
      <c r="B66" s="104">
        <v>2901.6114880517202</v>
      </c>
      <c r="C66" s="4">
        <f t="shared" ref="C66:C129" si="1">IFERROR(IF(B66="","-",LN(B66/B65)),"-")</f>
        <v>-8.2035946069913077E-3</v>
      </c>
      <c r="D66" s="1" t="str">
        <f>IF(COUNTIF(Target1[Target Dates],Benchmark1[[#This Row],[Benchmark '#1 Dates]])=1,"Pass","Fail")</f>
        <v>Pass</v>
      </c>
      <c r="E66" s="6">
        <f>IF(Benchmark1[[#This Row],[Target Date Check]]="Pass",INDEX(Target1[Target Price],MATCH(Benchmark1[[#This Row],[Benchmark '#1 Dates]],Target1[Target Dates],0)),"-")</f>
        <v>16.89</v>
      </c>
      <c r="F66" s="22">
        <f>IF(Benchmark1[[#This Row],[Target Date Check]]="Pass",INDEX(Target1[Target Return],MATCH(Benchmark1[[#This Row],[Benchmark '#1 Dates]],Target1[Target Dates],0)),"-")</f>
        <v>-2.9173597546482979E-2</v>
      </c>
      <c r="G66" s="1">
        <f>IFERROR(IF(Benchmark1[[#This Row],[Target Date Check]]="Pass",Benchmark1[[#This Row],[Target Return]]-Benchmark1[[#This Row],[Benchmark '#1 Return]],"-"),"-")</f>
        <v>-2.0970002939491673E-2</v>
      </c>
      <c r="H66" s="1" t="str">
        <f>IF(COUNTIF(Comp1[Comparable '#1 Dates],Benchmark1[[#This Row],[Benchmark '#1 Dates]])=1,"Pass","Fail")</f>
        <v>Pass</v>
      </c>
      <c r="I66" s="6">
        <f>IF(Benchmark1[[#This Row],[Comparable '#1 Date Check]]="Pass",INDEX(Comp1[Comparable '#1 Price],MATCH(Benchmark1[[#This Row],[Benchmark '#1 Dates]],Comp1[Comparable '#1 Dates],0)),"-")</f>
        <v>14.91</v>
      </c>
      <c r="J66" s="22">
        <f>IF(Benchmark1[[#This Row],[Comparable '#1 Date Check]]="Pass",INDEX(Comp1[Comparable '#1 Return],MATCH(Benchmark1[[#This Row],[Benchmark '#1 Dates]],Comp1[Comparable '#1 Dates],0)),"-")</f>
        <v>-1.7946643190836827E-2</v>
      </c>
      <c r="K66" s="1">
        <f>IFERROR(IF(Benchmark1[[#This Row],[Comparable '#1 Date Check]]="Pass",Benchmark1[[#This Row],[Comparable '#1 Return]]-Benchmark1[[#This Row],[Benchmark '#1 Return]],"-"),"-")</f>
        <v>-9.7430485838455195E-3</v>
      </c>
      <c r="L66" s="1" t="str">
        <f>IF(COUNTIF(Comp2[Comparable '#2 Dates],Benchmark1[[#This Row],[Benchmark '#1 Dates]])=1,"Pass","Fail")</f>
        <v>Pass</v>
      </c>
      <c r="M66" s="6">
        <f>IF(Benchmark1[[#This Row],[Comparable '#2 Date Check]]="Pass",INDEX(Comp2[Comparable '#2 Price],MATCH(Benchmark1[[#This Row],[Benchmark '#1 Dates]],Comp2[Comparable '#2 Dates],0)),"-")</f>
        <v>45.51</v>
      </c>
      <c r="N66" s="22">
        <f>IF(Benchmark1[[#This Row],[Comparable '#2 Date Check]]="Pass",INDEX(Comp2[Comparable '#2 Return],MATCH(Benchmark1[[#This Row],[Benchmark '#1 Dates]],Comp2[Comparable '#2 Dates],0)),"-")</f>
        <v>-2.6668247082161409E-2</v>
      </c>
      <c r="O66" s="1">
        <f>IFERROR(IF(Benchmark1[[#This Row],[Comparable '#2 Date Check]]="Pass",Benchmark1[[#This Row],[Comparable '#2 Return]]-Benchmark1[[#This Row],[Benchmark '#1 Return]],"-"),"-")</f>
        <v>-1.8464652475170103E-2</v>
      </c>
      <c r="P66" s="1" t="str">
        <f>IF(COUNTIF(Comp3[Comparable '#3 Dates],Benchmark1[[#This Row],[Benchmark '#1 Dates]])=1,"Pass","Fail")</f>
        <v>Pass</v>
      </c>
      <c r="Q66" s="6">
        <f>IF(Benchmark1[[#This Row],[Comparable '#3 Date Check]]="Pass",INDEX(Comp3[Comparable '#3 Price],MATCH(Benchmark1[[#This Row],[Benchmark '#1 Dates]],Comp3[Comparable '#3 Dates],0)),"-")</f>
        <v>131.41</v>
      </c>
      <c r="R66" s="22">
        <f>IF(Benchmark1[[#This Row],[Comparable '#3 Date Check]]="Pass",INDEX(Comp3[Comparable '#3 Return],MATCH(Benchmark1[[#This Row],[Benchmark '#1 Dates]],Comp3[Comparable '#3 Dates],0)),"-")</f>
        <v>-2.6878494965189112E-2</v>
      </c>
      <c r="S66" s="1">
        <f>IFERROR(IF(Benchmark1[[#This Row],[Comparable '#3 Date Check]]="Pass",Benchmark1[[#This Row],[Comparable '#3 Return]]-Benchmark1[[#This Row],[Benchmark '#1 Return]],"-"),"-")</f>
        <v>-1.8674900358197806E-2</v>
      </c>
    </row>
    <row r="67" spans="1:19">
      <c r="A67" s="103">
        <v>43378</v>
      </c>
      <c r="B67" s="104">
        <v>2885.5662522711777</v>
      </c>
      <c r="C67" s="4">
        <f t="shared" si="1"/>
        <v>-5.5451128733567303E-3</v>
      </c>
      <c r="D67" s="1" t="str">
        <f>IF(COUNTIF(Target1[Target Dates],Benchmark1[[#This Row],[Benchmark '#1 Dates]])=1,"Pass","Fail")</f>
        <v>Pass</v>
      </c>
      <c r="E67" s="6">
        <f>IF(Benchmark1[[#This Row],[Target Date Check]]="Pass",INDEX(Target1[Target Price],MATCH(Benchmark1[[#This Row],[Benchmark '#1 Dates]],Target1[Target Dates],0)),"-")</f>
        <v>17.22</v>
      </c>
      <c r="F67" s="22">
        <f>IF(Benchmark1[[#This Row],[Target Date Check]]="Pass",INDEX(Target1[Target Return],MATCH(Benchmark1[[#This Row],[Benchmark '#1 Dates]],Target1[Target Dates],0)),"-")</f>
        <v>1.9349768179875871E-2</v>
      </c>
      <c r="G67" s="1">
        <f>IFERROR(IF(Benchmark1[[#This Row],[Target Date Check]]="Pass",Benchmark1[[#This Row],[Target Return]]-Benchmark1[[#This Row],[Benchmark '#1 Return]],"-"),"-")</f>
        <v>2.48948810532326E-2</v>
      </c>
      <c r="H67" s="1" t="str">
        <f>IF(COUNTIF(Comp1[Comparable '#1 Dates],Benchmark1[[#This Row],[Benchmark '#1 Dates]])=1,"Pass","Fail")</f>
        <v>Pass</v>
      </c>
      <c r="I67" s="6">
        <f>IF(Benchmark1[[#This Row],[Comparable '#1 Date Check]]="Pass",INDEX(Comp1[Comparable '#1 Price],MATCH(Benchmark1[[#This Row],[Benchmark '#1 Dates]],Comp1[Comparable '#1 Dates],0)),"-")</f>
        <v>14.99</v>
      </c>
      <c r="J67" s="22">
        <f>IF(Benchmark1[[#This Row],[Comparable '#1 Date Check]]="Pass",INDEX(Comp1[Comparable '#1 Return],MATCH(Benchmark1[[#This Row],[Benchmark '#1 Dates]],Comp1[Comparable '#1 Dates],0)),"-")</f>
        <v>5.3511833378593948E-3</v>
      </c>
      <c r="K67" s="1">
        <f>IFERROR(IF(Benchmark1[[#This Row],[Comparable '#1 Date Check]]="Pass",Benchmark1[[#This Row],[Comparable '#1 Return]]-Benchmark1[[#This Row],[Benchmark '#1 Return]],"-"),"-")</f>
        <v>1.0896296211216124E-2</v>
      </c>
      <c r="L67" s="1" t="str">
        <f>IF(COUNTIF(Comp2[Comparable '#2 Dates],Benchmark1[[#This Row],[Benchmark '#1 Dates]])=1,"Pass","Fail")</f>
        <v>Pass</v>
      </c>
      <c r="M67" s="6">
        <f>IF(Benchmark1[[#This Row],[Comparable '#2 Date Check]]="Pass",INDEX(Comp2[Comparable '#2 Price],MATCH(Benchmark1[[#This Row],[Benchmark '#1 Dates]],Comp2[Comparable '#2 Dates],0)),"-")</f>
        <v>46.05</v>
      </c>
      <c r="N67" s="22">
        <f>IF(Benchmark1[[#This Row],[Comparable '#2 Date Check]]="Pass",INDEX(Comp2[Comparable '#2 Return],MATCH(Benchmark1[[#This Row],[Benchmark '#1 Dates]],Comp2[Comparable '#2 Dates],0)),"-")</f>
        <v>1.1795680672765273E-2</v>
      </c>
      <c r="O67" s="1">
        <f>IFERROR(IF(Benchmark1[[#This Row],[Comparable '#2 Date Check]]="Pass",Benchmark1[[#This Row],[Comparable '#2 Return]]-Benchmark1[[#This Row],[Benchmark '#1 Return]],"-"),"-")</f>
        <v>1.7340793546122002E-2</v>
      </c>
      <c r="P67" s="1" t="str">
        <f>IF(COUNTIF(Comp3[Comparable '#3 Dates],Benchmark1[[#This Row],[Benchmark '#1 Dates]])=1,"Pass","Fail")</f>
        <v>Pass</v>
      </c>
      <c r="Q67" s="6">
        <f>IF(Benchmark1[[#This Row],[Comparable '#3 Date Check]]="Pass",INDEX(Comp3[Comparable '#3 Price],MATCH(Benchmark1[[#This Row],[Benchmark '#1 Dates]],Comp3[Comparable '#3 Dates],0)),"-")</f>
        <v>130.91999999999999</v>
      </c>
      <c r="R67" s="22">
        <f>IF(Benchmark1[[#This Row],[Comparable '#3 Date Check]]="Pass",INDEX(Comp3[Comparable '#3 Return],MATCH(Benchmark1[[#This Row],[Benchmark '#1 Dates]],Comp3[Comparable '#3 Dates],0)),"-")</f>
        <v>-3.7357570225669892E-3</v>
      </c>
      <c r="S67" s="1">
        <f>IFERROR(IF(Benchmark1[[#This Row],[Comparable '#3 Date Check]]="Pass",Benchmark1[[#This Row],[Comparable '#3 Return]]-Benchmark1[[#This Row],[Benchmark '#1 Return]],"-"),"-")</f>
        <v>1.8093558507897411E-3</v>
      </c>
    </row>
    <row r="68" spans="1:19">
      <c r="A68" s="103">
        <v>43381</v>
      </c>
      <c r="B68" s="104">
        <v>2884.4326743418965</v>
      </c>
      <c r="C68" s="4">
        <f t="shared" si="1"/>
        <v>-3.9292137079503385E-4</v>
      </c>
      <c r="D68" s="1" t="str">
        <f>IF(COUNTIF(Target1[Target Dates],Benchmark1[[#This Row],[Benchmark '#1 Dates]])=1,"Pass","Fail")</f>
        <v>Pass</v>
      </c>
      <c r="E68" s="6">
        <f>IF(Benchmark1[[#This Row],[Target Date Check]]="Pass",INDEX(Target1[Target Price],MATCH(Benchmark1[[#This Row],[Benchmark '#1 Dates]],Target1[Target Dates],0)),"-")</f>
        <v>17.28</v>
      </c>
      <c r="F68" s="22">
        <f>IF(Benchmark1[[#This Row],[Target Date Check]]="Pass",INDEX(Target1[Target Return],MATCH(Benchmark1[[#This Row],[Benchmark '#1 Dates]],Target1[Target Dates],0)),"-")</f>
        <v>3.4782643763250137E-3</v>
      </c>
      <c r="G68" s="1">
        <f>IFERROR(IF(Benchmark1[[#This Row],[Target Date Check]]="Pass",Benchmark1[[#This Row],[Target Return]]-Benchmark1[[#This Row],[Benchmark '#1 Return]],"-"),"-")</f>
        <v>3.8711857471200473E-3</v>
      </c>
      <c r="H68" s="1" t="str">
        <f>IF(COUNTIF(Comp1[Comparable '#1 Dates],Benchmark1[[#This Row],[Benchmark '#1 Dates]])=1,"Pass","Fail")</f>
        <v>Pass</v>
      </c>
      <c r="I68" s="6">
        <f>IF(Benchmark1[[#This Row],[Comparable '#1 Date Check]]="Pass",INDEX(Comp1[Comparable '#1 Price],MATCH(Benchmark1[[#This Row],[Benchmark '#1 Dates]],Comp1[Comparable '#1 Dates],0)),"-")</f>
        <v>14.91</v>
      </c>
      <c r="J68" s="22">
        <f>IF(Benchmark1[[#This Row],[Comparable '#1 Date Check]]="Pass",INDEX(Comp1[Comparable '#1 Return],MATCH(Benchmark1[[#This Row],[Benchmark '#1 Dates]],Comp1[Comparable '#1 Dates],0)),"-")</f>
        <v>-5.3511833378593072E-3</v>
      </c>
      <c r="K68" s="1">
        <f>IFERROR(IF(Benchmark1[[#This Row],[Comparable '#1 Date Check]]="Pass",Benchmark1[[#This Row],[Comparable '#1 Return]]-Benchmark1[[#This Row],[Benchmark '#1 Return]],"-"),"-")</f>
        <v>-4.9582619670642735E-3</v>
      </c>
      <c r="L68" s="1" t="str">
        <f>IF(COUNTIF(Comp2[Comparable '#2 Dates],Benchmark1[[#This Row],[Benchmark '#1 Dates]])=1,"Pass","Fail")</f>
        <v>Pass</v>
      </c>
      <c r="M68" s="6">
        <f>IF(Benchmark1[[#This Row],[Comparable '#2 Date Check]]="Pass",INDEX(Comp2[Comparable '#2 Price],MATCH(Benchmark1[[#This Row],[Benchmark '#1 Dates]],Comp2[Comparable '#2 Dates],0)),"-")</f>
        <v>45.49</v>
      </c>
      <c r="N68" s="22">
        <f>IF(Benchmark1[[#This Row],[Comparable '#2 Date Check]]="Pass",INDEX(Comp2[Comparable '#2 Return],MATCH(Benchmark1[[#This Row],[Benchmark '#1 Dates]],Comp2[Comparable '#2 Dates],0)),"-")</f>
        <v>-1.2235241119403004E-2</v>
      </c>
      <c r="O68" s="1">
        <f>IFERROR(IF(Benchmark1[[#This Row],[Comparable '#2 Date Check]]="Pass",Benchmark1[[#This Row],[Comparable '#2 Return]]-Benchmark1[[#This Row],[Benchmark '#1 Return]],"-"),"-")</f>
        <v>-1.1842319748607969E-2</v>
      </c>
      <c r="P68" s="1" t="str">
        <f>IF(COUNTIF(Comp3[Comparable '#3 Dates],Benchmark1[[#This Row],[Benchmark '#1 Dates]])=1,"Pass","Fail")</f>
        <v>Pass</v>
      </c>
      <c r="Q68" s="6">
        <f>IF(Benchmark1[[#This Row],[Comparable '#3 Date Check]]="Pass",INDEX(Comp3[Comparable '#3 Price],MATCH(Benchmark1[[#This Row],[Benchmark '#1 Dates]],Comp3[Comparable '#3 Dates],0)),"-")</f>
        <v>127.94</v>
      </c>
      <c r="R68" s="22">
        <f>IF(Benchmark1[[#This Row],[Comparable '#3 Date Check]]="Pass",INDEX(Comp3[Comparable '#3 Return],MATCH(Benchmark1[[#This Row],[Benchmark '#1 Dates]],Comp3[Comparable '#3 Dates],0)),"-")</f>
        <v>-2.3025045610988084E-2</v>
      </c>
      <c r="S68" s="1">
        <f>IFERROR(IF(Benchmark1[[#This Row],[Comparable '#3 Date Check]]="Pass",Benchmark1[[#This Row],[Comparable '#3 Return]]-Benchmark1[[#This Row],[Benchmark '#1 Return]],"-"),"-")</f>
        <v>-2.2632124240193049E-2</v>
      </c>
    </row>
    <row r="69" spans="1:19">
      <c r="A69" s="103">
        <v>43382</v>
      </c>
      <c r="B69" s="104">
        <v>2880.3437116676805</v>
      </c>
      <c r="C69" s="4">
        <f t="shared" si="1"/>
        <v>-1.4186025913753347E-3</v>
      </c>
      <c r="D69" s="1" t="str">
        <f>IF(COUNTIF(Target1[Target Dates],Benchmark1[[#This Row],[Benchmark '#1 Dates]])=1,"Pass","Fail")</f>
        <v>Pass</v>
      </c>
      <c r="E69" s="6">
        <f>IF(Benchmark1[[#This Row],[Target Date Check]]="Pass",INDEX(Target1[Target Price],MATCH(Benchmark1[[#This Row],[Benchmark '#1 Dates]],Target1[Target Dates],0)),"-")</f>
        <v>17.329999999999998</v>
      </c>
      <c r="F69" s="22">
        <f>IF(Benchmark1[[#This Row],[Target Date Check]]="Pass",INDEX(Target1[Target Return],MATCH(Benchmark1[[#This Row],[Benchmark '#1 Dates]],Target1[Target Dates],0)),"-")</f>
        <v>2.8893403516050097E-3</v>
      </c>
      <c r="G69" s="1">
        <f>IFERROR(IF(Benchmark1[[#This Row],[Target Date Check]]="Pass",Benchmark1[[#This Row],[Target Return]]-Benchmark1[[#This Row],[Benchmark '#1 Return]],"-"),"-")</f>
        <v>4.3079429429803444E-3</v>
      </c>
      <c r="H69" s="1" t="str">
        <f>IF(COUNTIF(Comp1[Comparable '#1 Dates],Benchmark1[[#This Row],[Benchmark '#1 Dates]])=1,"Pass","Fail")</f>
        <v>Pass</v>
      </c>
      <c r="I69" s="6">
        <f>IF(Benchmark1[[#This Row],[Comparable '#1 Date Check]]="Pass",INDEX(Comp1[Comparable '#1 Price],MATCH(Benchmark1[[#This Row],[Benchmark '#1 Dates]],Comp1[Comparable '#1 Dates],0)),"-")</f>
        <v>14.82</v>
      </c>
      <c r="J69" s="22">
        <f>IF(Benchmark1[[#This Row],[Comparable '#1 Date Check]]="Pass",INDEX(Comp1[Comparable '#1 Return],MATCH(Benchmark1[[#This Row],[Benchmark '#1 Dates]],Comp1[Comparable '#1 Dates],0)),"-")</f>
        <v>-6.0545089087062605E-3</v>
      </c>
      <c r="K69" s="1">
        <f>IFERROR(IF(Benchmark1[[#This Row],[Comparable '#1 Date Check]]="Pass",Benchmark1[[#This Row],[Comparable '#1 Return]]-Benchmark1[[#This Row],[Benchmark '#1 Return]],"-"),"-")</f>
        <v>-4.6359063173309258E-3</v>
      </c>
      <c r="L69" s="1" t="str">
        <f>IF(COUNTIF(Comp2[Comparable '#2 Dates],Benchmark1[[#This Row],[Benchmark '#1 Dates]])=1,"Pass","Fail")</f>
        <v>Pass</v>
      </c>
      <c r="M69" s="6">
        <f>IF(Benchmark1[[#This Row],[Comparable '#2 Date Check]]="Pass",INDEX(Comp2[Comparable '#2 Price],MATCH(Benchmark1[[#This Row],[Benchmark '#1 Dates]],Comp2[Comparable '#2 Dates],0)),"-")</f>
        <v>47.08</v>
      </c>
      <c r="N69" s="22">
        <f>IF(Benchmark1[[#This Row],[Comparable '#2 Date Check]]="Pass",INDEX(Comp2[Comparable '#2 Return],MATCH(Benchmark1[[#This Row],[Benchmark '#1 Dates]],Comp2[Comparable '#2 Dates],0)),"-")</f>
        <v>3.4355760810163061E-2</v>
      </c>
      <c r="O69" s="1">
        <f>IFERROR(IF(Benchmark1[[#This Row],[Comparable '#2 Date Check]]="Pass",Benchmark1[[#This Row],[Comparable '#2 Return]]-Benchmark1[[#This Row],[Benchmark '#1 Return]],"-"),"-")</f>
        <v>3.5774363401538396E-2</v>
      </c>
      <c r="P69" s="1" t="str">
        <f>IF(COUNTIF(Comp3[Comparable '#3 Dates],Benchmark1[[#This Row],[Benchmark '#1 Dates]])=1,"Pass","Fail")</f>
        <v>Pass</v>
      </c>
      <c r="Q69" s="6">
        <f>IF(Benchmark1[[#This Row],[Comparable '#3 Date Check]]="Pass",INDEX(Comp3[Comparable '#3 Price],MATCH(Benchmark1[[#This Row],[Benchmark '#1 Dates]],Comp3[Comparable '#3 Dates],0)),"-")</f>
        <v>129.56</v>
      </c>
      <c r="R69" s="22">
        <f>IF(Benchmark1[[#This Row],[Comparable '#3 Date Check]]="Pass",INDEX(Comp3[Comparable '#3 Return],MATCH(Benchmark1[[#This Row],[Benchmark '#1 Dates]],Comp3[Comparable '#3 Dates],0)),"-")</f>
        <v>1.2582690281137012E-2</v>
      </c>
      <c r="S69" s="1">
        <f>IFERROR(IF(Benchmark1[[#This Row],[Comparable '#3 Date Check]]="Pass",Benchmark1[[#This Row],[Comparable '#3 Return]]-Benchmark1[[#This Row],[Benchmark '#1 Return]],"-"),"-")</f>
        <v>1.4001292872512346E-2</v>
      </c>
    </row>
    <row r="70" spans="1:19">
      <c r="A70" s="103">
        <v>43383</v>
      </c>
      <c r="B70" s="104">
        <v>2785.679179099056</v>
      </c>
      <c r="C70" s="4">
        <f t="shared" si="1"/>
        <v>-3.3417917295662999E-2</v>
      </c>
      <c r="D70" s="1" t="str">
        <f>IF(COUNTIF(Target1[Target Dates],Benchmark1[[#This Row],[Benchmark '#1 Dates]])=1,"Pass","Fail")</f>
        <v>Pass</v>
      </c>
      <c r="E70" s="6">
        <f>IF(Benchmark1[[#This Row],[Target Date Check]]="Pass",INDEX(Target1[Target Price],MATCH(Benchmark1[[#This Row],[Benchmark '#1 Dates]],Target1[Target Dates],0)),"-")</f>
        <v>17.079999999999998</v>
      </c>
      <c r="F70" s="22">
        <f>IF(Benchmark1[[#This Row],[Target Date Check]]="Pass",INDEX(Target1[Target Return],MATCH(Benchmark1[[#This Row],[Benchmark '#1 Dates]],Target1[Target Dates],0)),"-")</f>
        <v>-1.4530915367090958E-2</v>
      </c>
      <c r="G70" s="1">
        <f>IFERROR(IF(Benchmark1[[#This Row],[Target Date Check]]="Pass",Benchmark1[[#This Row],[Target Return]]-Benchmark1[[#This Row],[Benchmark '#1 Return]],"-"),"-")</f>
        <v>1.8887001928572039E-2</v>
      </c>
      <c r="H70" s="1" t="str">
        <f>IF(COUNTIF(Comp1[Comparable '#1 Dates],Benchmark1[[#This Row],[Benchmark '#1 Dates]])=1,"Pass","Fail")</f>
        <v>Pass</v>
      </c>
      <c r="I70" s="6">
        <f>IF(Benchmark1[[#This Row],[Comparable '#1 Date Check]]="Pass",INDEX(Comp1[Comparable '#1 Price],MATCH(Benchmark1[[#This Row],[Benchmark '#1 Dates]],Comp1[Comparable '#1 Dates],0)),"-")</f>
        <v>14.9</v>
      </c>
      <c r="J70" s="22">
        <f>IF(Benchmark1[[#This Row],[Comparable '#1 Date Check]]="Pass",INDEX(Comp1[Comparable '#1 Return],MATCH(Benchmark1[[#This Row],[Benchmark '#1 Dates]],Comp1[Comparable '#1 Dates],0)),"-")</f>
        <v>5.3835930834726792E-3</v>
      </c>
      <c r="K70" s="1">
        <f>IFERROR(IF(Benchmark1[[#This Row],[Comparable '#1 Date Check]]="Pass",Benchmark1[[#This Row],[Comparable '#1 Return]]-Benchmark1[[#This Row],[Benchmark '#1 Return]],"-"),"-")</f>
        <v>3.8801510379135679E-2</v>
      </c>
      <c r="L70" s="1" t="str">
        <f>IF(COUNTIF(Comp2[Comparable '#2 Dates],Benchmark1[[#This Row],[Benchmark '#1 Dates]])=1,"Pass","Fail")</f>
        <v>Pass</v>
      </c>
      <c r="M70" s="6">
        <f>IF(Benchmark1[[#This Row],[Comparable '#2 Date Check]]="Pass",INDEX(Comp2[Comparable '#2 Price],MATCH(Benchmark1[[#This Row],[Benchmark '#1 Dates]],Comp2[Comparable '#2 Dates],0)),"-")</f>
        <v>47.37</v>
      </c>
      <c r="N70" s="22">
        <f>IF(Benchmark1[[#This Row],[Comparable '#2 Date Check]]="Pass",INDEX(Comp2[Comparable '#2 Return],MATCH(Benchmark1[[#This Row],[Benchmark '#1 Dates]],Comp2[Comparable '#2 Dates],0)),"-")</f>
        <v>6.1408345435843888E-3</v>
      </c>
      <c r="O70" s="1">
        <f>IFERROR(IF(Benchmark1[[#This Row],[Comparable '#2 Date Check]]="Pass",Benchmark1[[#This Row],[Comparable '#2 Return]]-Benchmark1[[#This Row],[Benchmark '#1 Return]],"-"),"-")</f>
        <v>3.955875183924739E-2</v>
      </c>
      <c r="P70" s="1" t="str">
        <f>IF(COUNTIF(Comp3[Comparable '#3 Dates],Benchmark1[[#This Row],[Benchmark '#1 Dates]])=1,"Pass","Fail")</f>
        <v>Pass</v>
      </c>
      <c r="Q70" s="6">
        <f>IF(Benchmark1[[#This Row],[Comparable '#3 Date Check]]="Pass",INDEX(Comp3[Comparable '#3 Price],MATCH(Benchmark1[[#This Row],[Benchmark '#1 Dates]],Comp3[Comparable '#3 Dates],0)),"-")</f>
        <v>127.41</v>
      </c>
      <c r="R70" s="22">
        <f>IF(Benchmark1[[#This Row],[Comparable '#3 Date Check]]="Pass",INDEX(Comp3[Comparable '#3 Return],MATCH(Benchmark1[[#This Row],[Benchmark '#1 Dates]],Comp3[Comparable '#3 Dates],0)),"-")</f>
        <v>-1.6733861309839056E-2</v>
      </c>
      <c r="S70" s="1">
        <f>IFERROR(IF(Benchmark1[[#This Row],[Comparable '#3 Date Check]]="Pass",Benchmark1[[#This Row],[Comparable '#3 Return]]-Benchmark1[[#This Row],[Benchmark '#1 Return]],"-"),"-")</f>
        <v>1.6684055985823943E-2</v>
      </c>
    </row>
    <row r="71" spans="1:19">
      <c r="A71" s="103">
        <v>43384</v>
      </c>
      <c r="B71" s="104">
        <v>2728.3662914992874</v>
      </c>
      <c r="C71" s="4">
        <f t="shared" si="1"/>
        <v>-2.0788712015166598E-2</v>
      </c>
      <c r="D71" s="1" t="str">
        <f>IF(COUNTIF(Target1[Target Dates],Benchmark1[[#This Row],[Benchmark '#1 Dates]])=1,"Pass","Fail")</f>
        <v>Pass</v>
      </c>
      <c r="E71" s="6">
        <f>IF(Benchmark1[[#This Row],[Target Date Check]]="Pass",INDEX(Target1[Target Price],MATCH(Benchmark1[[#This Row],[Benchmark '#1 Dates]],Target1[Target Dates],0)),"-")</f>
        <v>16.66</v>
      </c>
      <c r="F71" s="22">
        <f>IF(Benchmark1[[#This Row],[Target Date Check]]="Pass",INDEX(Target1[Target Return],MATCH(Benchmark1[[#This Row],[Benchmark '#1 Dates]],Target1[Target Dates],0)),"-")</f>
        <v>-2.4897551621727087E-2</v>
      </c>
      <c r="G71" s="1">
        <f>IFERROR(IF(Benchmark1[[#This Row],[Target Date Check]]="Pass",Benchmark1[[#This Row],[Target Return]]-Benchmark1[[#This Row],[Benchmark '#1 Return]],"-"),"-")</f>
        <v>-4.1088396065604889E-3</v>
      </c>
      <c r="H71" s="1" t="str">
        <f>IF(COUNTIF(Comp1[Comparable '#1 Dates],Benchmark1[[#This Row],[Benchmark '#1 Dates]])=1,"Pass","Fail")</f>
        <v>Pass</v>
      </c>
      <c r="I71" s="6">
        <f>IF(Benchmark1[[#This Row],[Comparable '#1 Date Check]]="Pass",INDEX(Comp1[Comparable '#1 Price],MATCH(Benchmark1[[#This Row],[Benchmark '#1 Dates]],Comp1[Comparable '#1 Dates],0)),"-")</f>
        <v>15</v>
      </c>
      <c r="J71" s="22">
        <f>IF(Benchmark1[[#This Row],[Comparable '#1 Date Check]]="Pass",INDEX(Comp1[Comparable '#1 Return],MATCH(Benchmark1[[#This Row],[Benchmark '#1 Dates]],Comp1[Comparable '#1 Dates],0)),"-")</f>
        <v>6.6889881507964889E-3</v>
      </c>
      <c r="K71" s="1">
        <f>IFERROR(IF(Benchmark1[[#This Row],[Comparable '#1 Date Check]]="Pass",Benchmark1[[#This Row],[Comparable '#1 Return]]-Benchmark1[[#This Row],[Benchmark '#1 Return]],"-"),"-")</f>
        <v>2.7477700165963088E-2</v>
      </c>
      <c r="L71" s="1" t="str">
        <f>IF(COUNTIF(Comp2[Comparable '#2 Dates],Benchmark1[[#This Row],[Benchmark '#1 Dates]])=1,"Pass","Fail")</f>
        <v>Pass</v>
      </c>
      <c r="M71" s="6">
        <f>IF(Benchmark1[[#This Row],[Comparable '#2 Date Check]]="Pass",INDEX(Comp2[Comparable '#2 Price],MATCH(Benchmark1[[#This Row],[Benchmark '#1 Dates]],Comp2[Comparable '#2 Dates],0)),"-")</f>
        <v>46.33</v>
      </c>
      <c r="N71" s="22">
        <f>IF(Benchmark1[[#This Row],[Comparable '#2 Date Check]]="Pass",INDEX(Comp2[Comparable '#2 Return],MATCH(Benchmark1[[#This Row],[Benchmark '#1 Dates]],Comp2[Comparable '#2 Dates],0)),"-")</f>
        <v>-2.2199417507103442E-2</v>
      </c>
      <c r="O71" s="1">
        <f>IFERROR(IF(Benchmark1[[#This Row],[Comparable '#2 Date Check]]="Pass",Benchmark1[[#This Row],[Comparable '#2 Return]]-Benchmark1[[#This Row],[Benchmark '#1 Return]],"-"),"-")</f>
        <v>-1.4107054919368436E-3</v>
      </c>
      <c r="P71" s="1" t="str">
        <f>IF(COUNTIF(Comp3[Comparable '#3 Dates],Benchmark1[[#This Row],[Benchmark '#1 Dates]])=1,"Pass","Fail")</f>
        <v>Pass</v>
      </c>
      <c r="Q71" s="6">
        <f>IF(Benchmark1[[#This Row],[Comparable '#3 Date Check]]="Pass",INDEX(Comp3[Comparable '#3 Price],MATCH(Benchmark1[[#This Row],[Benchmark '#1 Dates]],Comp3[Comparable '#3 Dates],0)),"-")</f>
        <v>122.57</v>
      </c>
      <c r="R71" s="22">
        <f>IF(Benchmark1[[#This Row],[Comparable '#3 Date Check]]="Pass",INDEX(Comp3[Comparable '#3 Return],MATCH(Benchmark1[[#This Row],[Benchmark '#1 Dates]],Comp3[Comparable '#3 Dates],0)),"-")</f>
        <v>-3.872793764021569E-2</v>
      </c>
      <c r="S71" s="1">
        <f>IFERROR(IF(Benchmark1[[#This Row],[Comparable '#3 Date Check]]="Pass",Benchmark1[[#This Row],[Comparable '#3 Return]]-Benchmark1[[#This Row],[Benchmark '#1 Return]],"-"),"-")</f>
        <v>-1.7939225625049092E-2</v>
      </c>
    </row>
    <row r="72" spans="1:19">
      <c r="A72" s="103">
        <v>43385</v>
      </c>
      <c r="B72" s="104">
        <v>2767.1260181810098</v>
      </c>
      <c r="C72" s="4">
        <f t="shared" si="1"/>
        <v>1.4106240975598847E-2</v>
      </c>
      <c r="D72" s="1" t="str">
        <f>IF(COUNTIF(Target1[Target Dates],Benchmark1[[#This Row],[Benchmark '#1 Dates]])=1,"Pass","Fail")</f>
        <v>Pass</v>
      </c>
      <c r="E72" s="6">
        <f>IF(Benchmark1[[#This Row],[Target Date Check]]="Pass",INDEX(Target1[Target Price],MATCH(Benchmark1[[#This Row],[Benchmark '#1 Dates]],Target1[Target Dates],0)),"-")</f>
        <v>16.38</v>
      </c>
      <c r="F72" s="22">
        <f>IF(Benchmark1[[#This Row],[Target Date Check]]="Pass",INDEX(Target1[Target Return],MATCH(Benchmark1[[#This Row],[Benchmark '#1 Dates]],Target1[Target Dates],0)),"-")</f>
        <v>-1.694955831377332E-2</v>
      </c>
      <c r="G72" s="1">
        <f>IFERROR(IF(Benchmark1[[#This Row],[Target Date Check]]="Pass",Benchmark1[[#This Row],[Target Return]]-Benchmark1[[#This Row],[Benchmark '#1 Return]],"-"),"-")</f>
        <v>-3.1055799289372167E-2</v>
      </c>
      <c r="H72" s="1" t="str">
        <f>IF(COUNTIF(Comp1[Comparable '#1 Dates],Benchmark1[[#This Row],[Benchmark '#1 Dates]])=1,"Pass","Fail")</f>
        <v>Pass</v>
      </c>
      <c r="I72" s="6">
        <f>IF(Benchmark1[[#This Row],[Comparable '#1 Date Check]]="Pass",INDEX(Comp1[Comparable '#1 Price],MATCH(Benchmark1[[#This Row],[Benchmark '#1 Dates]],Comp1[Comparable '#1 Dates],0)),"-")</f>
        <v>15.07</v>
      </c>
      <c r="J72" s="22">
        <f>IF(Benchmark1[[#This Row],[Comparable '#1 Date Check]]="Pass",INDEX(Comp1[Comparable '#1 Return],MATCH(Benchmark1[[#This Row],[Benchmark '#1 Dates]],Comp1[Comparable '#1 Dates],0)),"-")</f>
        <v>4.6558115361939557E-3</v>
      </c>
      <c r="K72" s="1">
        <f>IFERROR(IF(Benchmark1[[#This Row],[Comparable '#1 Date Check]]="Pass",Benchmark1[[#This Row],[Comparable '#1 Return]]-Benchmark1[[#This Row],[Benchmark '#1 Return]],"-"),"-")</f>
        <v>-9.4504294394048907E-3</v>
      </c>
      <c r="L72" s="1" t="str">
        <f>IF(COUNTIF(Comp2[Comparable '#2 Dates],Benchmark1[[#This Row],[Benchmark '#1 Dates]])=1,"Pass","Fail")</f>
        <v>Pass</v>
      </c>
      <c r="M72" s="6">
        <f>IF(Benchmark1[[#This Row],[Comparable '#2 Date Check]]="Pass",INDEX(Comp2[Comparable '#2 Price],MATCH(Benchmark1[[#This Row],[Benchmark '#1 Dates]],Comp2[Comparable '#2 Dates],0)),"-")</f>
        <v>45.79</v>
      </c>
      <c r="N72" s="22">
        <f>IF(Benchmark1[[#This Row],[Comparable '#2 Date Check]]="Pass",INDEX(Comp2[Comparable '#2 Return],MATCH(Benchmark1[[#This Row],[Benchmark '#1 Dates]],Comp2[Comparable '#2 Dates],0)),"-")</f>
        <v>-1.1723972759552866E-2</v>
      </c>
      <c r="O72" s="1">
        <f>IFERROR(IF(Benchmark1[[#This Row],[Comparable '#2 Date Check]]="Pass",Benchmark1[[#This Row],[Comparable '#2 Return]]-Benchmark1[[#This Row],[Benchmark '#1 Return]],"-"),"-")</f>
        <v>-2.5830213735151715E-2</v>
      </c>
      <c r="P72" s="1" t="str">
        <f>IF(COUNTIF(Comp3[Comparable '#3 Dates],Benchmark1[[#This Row],[Benchmark '#1 Dates]])=1,"Pass","Fail")</f>
        <v>Pass</v>
      </c>
      <c r="Q72" s="6">
        <f>IF(Benchmark1[[#This Row],[Comparable '#3 Date Check]]="Pass",INDEX(Comp3[Comparable '#3 Price],MATCH(Benchmark1[[#This Row],[Benchmark '#1 Dates]],Comp3[Comparable '#3 Dates],0)),"-")</f>
        <v>122.78</v>
      </c>
      <c r="R72" s="22">
        <f>IF(Benchmark1[[#This Row],[Comparable '#3 Date Check]]="Pass",INDEX(Comp3[Comparable '#3 Return],MATCH(Benchmark1[[#This Row],[Benchmark '#1 Dates]],Comp3[Comparable '#3 Dates],0)),"-")</f>
        <v>1.7118406462766152E-3</v>
      </c>
      <c r="S72" s="1">
        <f>IFERROR(IF(Benchmark1[[#This Row],[Comparable '#3 Date Check]]="Pass",Benchmark1[[#This Row],[Comparable '#3 Return]]-Benchmark1[[#This Row],[Benchmark '#1 Return]],"-"),"-")</f>
        <v>-1.2394400329322233E-2</v>
      </c>
    </row>
    <row r="73" spans="1:19">
      <c r="A73" s="103">
        <v>43388</v>
      </c>
      <c r="B73" s="104">
        <v>2750.7860409097952</v>
      </c>
      <c r="C73" s="4">
        <f t="shared" si="1"/>
        <v>-5.9225391266102181E-3</v>
      </c>
      <c r="D73" s="1" t="str">
        <f>IF(COUNTIF(Target1[Target Dates],Benchmark1[[#This Row],[Benchmark '#1 Dates]])=1,"Pass","Fail")</f>
        <v>Pass</v>
      </c>
      <c r="E73" s="6">
        <f>IF(Benchmark1[[#This Row],[Target Date Check]]="Pass",INDEX(Target1[Target Price],MATCH(Benchmark1[[#This Row],[Benchmark '#1 Dates]],Target1[Target Dates],0)),"-")</f>
        <v>16.73</v>
      </c>
      <c r="F73" s="22">
        <f>IF(Benchmark1[[#This Row],[Target Date Check]]="Pass",INDEX(Target1[Target Return],MATCH(Benchmark1[[#This Row],[Benchmark '#1 Dates]],Target1[Target Dates],0)),"-")</f>
        <v>2.1142436573809383E-2</v>
      </c>
      <c r="G73" s="1">
        <f>IFERROR(IF(Benchmark1[[#This Row],[Target Date Check]]="Pass",Benchmark1[[#This Row],[Target Return]]-Benchmark1[[#This Row],[Benchmark '#1 Return]],"-"),"-")</f>
        <v>2.7064975700419602E-2</v>
      </c>
      <c r="H73" s="1" t="str">
        <f>IF(COUNTIF(Comp1[Comparable '#1 Dates],Benchmark1[[#This Row],[Benchmark '#1 Dates]])=1,"Pass","Fail")</f>
        <v>Pass</v>
      </c>
      <c r="I73" s="6">
        <f>IF(Benchmark1[[#This Row],[Comparable '#1 Date Check]]="Pass",INDEX(Comp1[Comparable '#1 Price],MATCH(Benchmark1[[#This Row],[Benchmark '#1 Dates]],Comp1[Comparable '#1 Dates],0)),"-")</f>
        <v>15.44</v>
      </c>
      <c r="J73" s="22">
        <f>IF(Benchmark1[[#This Row],[Comparable '#1 Date Check]]="Pass",INDEX(Comp1[Comparable '#1 Return],MATCH(Benchmark1[[#This Row],[Benchmark '#1 Dates]],Comp1[Comparable '#1 Dates],0)),"-")</f>
        <v>2.4255531958225864E-2</v>
      </c>
      <c r="K73" s="1">
        <f>IFERROR(IF(Benchmark1[[#This Row],[Comparable '#1 Date Check]]="Pass",Benchmark1[[#This Row],[Comparable '#1 Return]]-Benchmark1[[#This Row],[Benchmark '#1 Return]],"-"),"-")</f>
        <v>3.0178071084836083E-2</v>
      </c>
      <c r="L73" s="1" t="str">
        <f>IF(COUNTIF(Comp2[Comparable '#2 Dates],Benchmark1[[#This Row],[Benchmark '#1 Dates]])=1,"Pass","Fail")</f>
        <v>Pass</v>
      </c>
      <c r="M73" s="6">
        <f>IF(Benchmark1[[#This Row],[Comparable '#2 Date Check]]="Pass",INDEX(Comp2[Comparable '#2 Price],MATCH(Benchmark1[[#This Row],[Benchmark '#1 Dates]],Comp2[Comparable '#2 Dates],0)),"-")</f>
        <v>46.55</v>
      </c>
      <c r="N73" s="22">
        <f>IF(Benchmark1[[#This Row],[Comparable '#2 Date Check]]="Pass",INDEX(Comp2[Comparable '#2 Return],MATCH(Benchmark1[[#This Row],[Benchmark '#1 Dates]],Comp2[Comparable '#2 Dates],0)),"-")</f>
        <v>1.6461277054071931E-2</v>
      </c>
      <c r="O73" s="1">
        <f>IFERROR(IF(Benchmark1[[#This Row],[Comparable '#2 Date Check]]="Pass",Benchmark1[[#This Row],[Comparable '#2 Return]]-Benchmark1[[#This Row],[Benchmark '#1 Return]],"-"),"-")</f>
        <v>2.2383816180682151E-2</v>
      </c>
      <c r="P73" s="1" t="str">
        <f>IF(COUNTIF(Comp3[Comparable '#3 Dates],Benchmark1[[#This Row],[Benchmark '#1 Dates]])=1,"Pass","Fail")</f>
        <v>Pass</v>
      </c>
      <c r="Q73" s="6">
        <f>IF(Benchmark1[[#This Row],[Comparable '#3 Date Check]]="Pass",INDEX(Comp3[Comparable '#3 Price],MATCH(Benchmark1[[#This Row],[Benchmark '#1 Dates]],Comp3[Comparable '#3 Dates],0)),"-")</f>
        <v>125.36</v>
      </c>
      <c r="R73" s="22">
        <f>IF(Benchmark1[[#This Row],[Comparable '#3 Date Check]]="Pass",INDEX(Comp3[Comparable '#3 Return],MATCH(Benchmark1[[#This Row],[Benchmark '#1 Dates]],Comp3[Comparable '#3 Dates],0)),"-")</f>
        <v>2.0795462048415096E-2</v>
      </c>
      <c r="S73" s="1">
        <f>IFERROR(IF(Benchmark1[[#This Row],[Comparable '#3 Date Check]]="Pass",Benchmark1[[#This Row],[Comparable '#3 Return]]-Benchmark1[[#This Row],[Benchmark '#1 Return]],"-"),"-")</f>
        <v>2.6718001175025312E-2</v>
      </c>
    </row>
    <row r="74" spans="1:19">
      <c r="A74" s="103">
        <v>43389</v>
      </c>
      <c r="B74" s="104">
        <v>2809.9156707527286</v>
      </c>
      <c r="C74" s="4">
        <f t="shared" si="1"/>
        <v>2.1267768592950157E-2</v>
      </c>
      <c r="D74" s="1" t="str">
        <f>IF(COUNTIF(Target1[Target Dates],Benchmark1[[#This Row],[Benchmark '#1 Dates]])=1,"Pass","Fail")</f>
        <v>Pass</v>
      </c>
      <c r="E74" s="6">
        <f>IF(Benchmark1[[#This Row],[Target Date Check]]="Pass",INDEX(Target1[Target Price],MATCH(Benchmark1[[#This Row],[Benchmark '#1 Dates]],Target1[Target Dates],0)),"-")</f>
        <v>17.13</v>
      </c>
      <c r="F74" s="22">
        <f>IF(Benchmark1[[#This Row],[Target Date Check]]="Pass",INDEX(Target1[Target Return],MATCH(Benchmark1[[#This Row],[Benchmark '#1 Dates]],Target1[Target Dates],0)),"-")</f>
        <v>2.3627797337295874E-2</v>
      </c>
      <c r="G74" s="1">
        <f>IFERROR(IF(Benchmark1[[#This Row],[Target Date Check]]="Pass",Benchmark1[[#This Row],[Target Return]]-Benchmark1[[#This Row],[Benchmark '#1 Return]],"-"),"-")</f>
        <v>2.3600287443457171E-3</v>
      </c>
      <c r="H74" s="1" t="str">
        <f>IF(COUNTIF(Comp1[Comparable '#1 Dates],Benchmark1[[#This Row],[Benchmark '#1 Dates]])=1,"Pass","Fail")</f>
        <v>Pass</v>
      </c>
      <c r="I74" s="6">
        <f>IF(Benchmark1[[#This Row],[Comparable '#1 Date Check]]="Pass",INDEX(Comp1[Comparable '#1 Price],MATCH(Benchmark1[[#This Row],[Benchmark '#1 Dates]],Comp1[Comparable '#1 Dates],0)),"-")</f>
        <v>15.79</v>
      </c>
      <c r="J74" s="22">
        <f>IF(Benchmark1[[#This Row],[Comparable '#1 Date Check]]="Pass",INDEX(Comp1[Comparable '#1 Return],MATCH(Benchmark1[[#This Row],[Benchmark '#1 Dates]],Comp1[Comparable '#1 Dates],0)),"-")</f>
        <v>2.2415283670920688E-2</v>
      </c>
      <c r="K74" s="1">
        <f>IFERROR(IF(Benchmark1[[#This Row],[Comparable '#1 Date Check]]="Pass",Benchmark1[[#This Row],[Comparable '#1 Return]]-Benchmark1[[#This Row],[Benchmark '#1 Return]],"-"),"-")</f>
        <v>1.1475150779705311E-3</v>
      </c>
      <c r="L74" s="1" t="str">
        <f>IF(COUNTIF(Comp2[Comparable '#2 Dates],Benchmark1[[#This Row],[Benchmark '#1 Dates]])=1,"Pass","Fail")</f>
        <v>Pass</v>
      </c>
      <c r="M74" s="6">
        <f>IF(Benchmark1[[#This Row],[Comparable '#2 Date Check]]="Pass",INDEX(Comp2[Comparable '#2 Price],MATCH(Benchmark1[[#This Row],[Benchmark '#1 Dates]],Comp2[Comparable '#2 Dates],0)),"-")</f>
        <v>48.5</v>
      </c>
      <c r="N74" s="22">
        <f>IF(Benchmark1[[#This Row],[Comparable '#2 Date Check]]="Pass",INDEX(Comp2[Comparable '#2 Return],MATCH(Benchmark1[[#This Row],[Benchmark '#1 Dates]],Comp2[Comparable '#2 Dates],0)),"-")</f>
        <v>4.103679422036155E-2</v>
      </c>
      <c r="O74" s="1">
        <f>IFERROR(IF(Benchmark1[[#This Row],[Comparable '#2 Date Check]]="Pass",Benchmark1[[#This Row],[Comparable '#2 Return]]-Benchmark1[[#This Row],[Benchmark '#1 Return]],"-"),"-")</f>
        <v>1.9769025627411393E-2</v>
      </c>
      <c r="P74" s="1" t="str">
        <f>IF(COUNTIF(Comp3[Comparable '#3 Dates],Benchmark1[[#This Row],[Benchmark '#1 Dates]])=1,"Pass","Fail")</f>
        <v>Pass</v>
      </c>
      <c r="Q74" s="6">
        <f>IF(Benchmark1[[#This Row],[Comparable '#3 Date Check]]="Pass",INDEX(Comp3[Comparable '#3 Price],MATCH(Benchmark1[[#This Row],[Benchmark '#1 Dates]],Comp3[Comparable '#3 Dates],0)),"-")</f>
        <v>133.35</v>
      </c>
      <c r="R74" s="22">
        <f>IF(Benchmark1[[#This Row],[Comparable '#3 Date Check]]="Pass",INDEX(Comp3[Comparable '#3 Return],MATCH(Benchmark1[[#This Row],[Benchmark '#1 Dates]],Comp3[Comparable '#3 Dates],0)),"-")</f>
        <v>6.178765258025775E-2</v>
      </c>
      <c r="S74" s="1">
        <f>IFERROR(IF(Benchmark1[[#This Row],[Comparable '#3 Date Check]]="Pass",Benchmark1[[#This Row],[Comparable '#3 Return]]-Benchmark1[[#This Row],[Benchmark '#1 Return]],"-"),"-")</f>
        <v>4.0519883987307589E-2</v>
      </c>
    </row>
    <row r="75" spans="1:19">
      <c r="A75" s="103">
        <v>43390</v>
      </c>
      <c r="B75" s="104">
        <v>2809.2090822675141</v>
      </c>
      <c r="C75" s="4">
        <f t="shared" si="1"/>
        <v>-2.5149414543928567E-4</v>
      </c>
      <c r="D75" s="1" t="str">
        <f>IF(COUNTIF(Target1[Target Dates],Benchmark1[[#This Row],[Benchmark '#1 Dates]])=1,"Pass","Fail")</f>
        <v>Pass</v>
      </c>
      <c r="E75" s="6">
        <f>IF(Benchmark1[[#This Row],[Target Date Check]]="Pass",INDEX(Target1[Target Price],MATCH(Benchmark1[[#This Row],[Benchmark '#1 Dates]],Target1[Target Dates],0)),"-")</f>
        <v>16.97</v>
      </c>
      <c r="F75" s="22">
        <f>IF(Benchmark1[[#This Row],[Target Date Check]]="Pass",INDEX(Target1[Target Return],MATCH(Benchmark1[[#This Row],[Benchmark '#1 Dates]],Target1[Target Dates],0)),"-")</f>
        <v>-9.3842330898935931E-3</v>
      </c>
      <c r="G75" s="1">
        <f>IFERROR(IF(Benchmark1[[#This Row],[Target Date Check]]="Pass",Benchmark1[[#This Row],[Target Return]]-Benchmark1[[#This Row],[Benchmark '#1 Return]],"-"),"-")</f>
        <v>-9.1327389444543078E-3</v>
      </c>
      <c r="H75" s="1" t="str">
        <f>IF(COUNTIF(Comp1[Comparable '#1 Dates],Benchmark1[[#This Row],[Benchmark '#1 Dates]])=1,"Pass","Fail")</f>
        <v>Pass</v>
      </c>
      <c r="I75" s="6">
        <f>IF(Benchmark1[[#This Row],[Comparable '#1 Date Check]]="Pass",INDEX(Comp1[Comparable '#1 Price],MATCH(Benchmark1[[#This Row],[Benchmark '#1 Dates]],Comp1[Comparable '#1 Dates],0)),"-")</f>
        <v>15.49</v>
      </c>
      <c r="J75" s="22">
        <f>IF(Benchmark1[[#This Row],[Comparable '#1 Date Check]]="Pass",INDEX(Comp1[Comparable '#1 Return],MATCH(Benchmark1[[#This Row],[Benchmark '#1 Dates]],Comp1[Comparable '#1 Dates],0)),"-")</f>
        <v>-1.9182173838773405E-2</v>
      </c>
      <c r="K75" s="1">
        <f>IFERROR(IF(Benchmark1[[#This Row],[Comparable '#1 Date Check]]="Pass",Benchmark1[[#This Row],[Comparable '#1 Return]]-Benchmark1[[#This Row],[Benchmark '#1 Return]],"-"),"-")</f>
        <v>-1.8930679693334118E-2</v>
      </c>
      <c r="L75" s="1" t="str">
        <f>IF(COUNTIF(Comp2[Comparable '#2 Dates],Benchmark1[[#This Row],[Benchmark '#1 Dates]])=1,"Pass","Fail")</f>
        <v>Pass</v>
      </c>
      <c r="M75" s="6">
        <f>IF(Benchmark1[[#This Row],[Comparable '#2 Date Check]]="Pass",INDEX(Comp2[Comparable '#2 Price],MATCH(Benchmark1[[#This Row],[Benchmark '#1 Dates]],Comp2[Comparable '#2 Dates],0)),"-")</f>
        <v>48.62</v>
      </c>
      <c r="N75" s="22">
        <f>IF(Benchmark1[[#This Row],[Comparable '#2 Date Check]]="Pass",INDEX(Comp2[Comparable '#2 Return],MATCH(Benchmark1[[#This Row],[Benchmark '#1 Dates]],Comp2[Comparable '#2 Dates],0)),"-")</f>
        <v>2.4711709445396474E-3</v>
      </c>
      <c r="O75" s="1">
        <f>IFERROR(IF(Benchmark1[[#This Row],[Comparable '#2 Date Check]]="Pass",Benchmark1[[#This Row],[Comparable '#2 Return]]-Benchmark1[[#This Row],[Benchmark '#1 Return]],"-"),"-")</f>
        <v>2.7226650899789331E-3</v>
      </c>
      <c r="P75" s="1" t="str">
        <f>IF(COUNTIF(Comp3[Comparable '#3 Dates],Benchmark1[[#This Row],[Benchmark '#1 Dates]])=1,"Pass","Fail")</f>
        <v>Pass</v>
      </c>
      <c r="Q75" s="6">
        <f>IF(Benchmark1[[#This Row],[Comparable '#3 Date Check]]="Pass",INDEX(Comp3[Comparable '#3 Price],MATCH(Benchmark1[[#This Row],[Benchmark '#1 Dates]],Comp3[Comparable '#3 Dates],0)),"-")</f>
        <v>131.5</v>
      </c>
      <c r="R75" s="22">
        <f>IF(Benchmark1[[#This Row],[Comparable '#3 Date Check]]="Pass",INDEX(Comp3[Comparable '#3 Return],MATCH(Benchmark1[[#This Row],[Benchmark '#1 Dates]],Comp3[Comparable '#3 Dates],0)),"-")</f>
        <v>-1.3970399010203988E-2</v>
      </c>
      <c r="S75" s="1">
        <f>IFERROR(IF(Benchmark1[[#This Row],[Comparable '#3 Date Check]]="Pass",Benchmark1[[#This Row],[Comparable '#3 Return]]-Benchmark1[[#This Row],[Benchmark '#1 Return]],"-"),"-")</f>
        <v>-1.3718904864764703E-2</v>
      </c>
    </row>
    <row r="76" spans="1:19">
      <c r="A76" s="103">
        <v>43391</v>
      </c>
      <c r="B76" s="104">
        <v>2768.7845929155847</v>
      </c>
      <c r="C76" s="4">
        <f t="shared" si="1"/>
        <v>-1.4494529553063388E-2</v>
      </c>
      <c r="D76" s="1" t="str">
        <f>IF(COUNTIF(Target1[Target Dates],Benchmark1[[#This Row],[Benchmark '#1 Dates]])=1,"Pass","Fail")</f>
        <v>Pass</v>
      </c>
      <c r="E76" s="6">
        <f>IF(Benchmark1[[#This Row],[Target Date Check]]="Pass",INDEX(Target1[Target Price],MATCH(Benchmark1[[#This Row],[Benchmark '#1 Dates]],Target1[Target Dates],0)),"-")</f>
        <v>16.940000000000001</v>
      </c>
      <c r="F76" s="22">
        <f>IF(Benchmark1[[#This Row],[Target Date Check]]="Pass",INDEX(Target1[Target Return],MATCH(Benchmark1[[#This Row],[Benchmark '#1 Dates]],Target1[Target Dates],0)),"-")</f>
        <v>-1.7693900222264366E-3</v>
      </c>
      <c r="G76" s="1">
        <f>IFERROR(IF(Benchmark1[[#This Row],[Target Date Check]]="Pass",Benchmark1[[#This Row],[Target Return]]-Benchmark1[[#This Row],[Benchmark '#1 Return]],"-"),"-")</f>
        <v>1.2725139530836951E-2</v>
      </c>
      <c r="H76" s="1" t="str">
        <f>IF(COUNTIF(Comp1[Comparable '#1 Dates],Benchmark1[[#This Row],[Benchmark '#1 Dates]])=1,"Pass","Fail")</f>
        <v>Pass</v>
      </c>
      <c r="I76" s="6">
        <f>IF(Benchmark1[[#This Row],[Comparable '#1 Date Check]]="Pass",INDEX(Comp1[Comparable '#1 Price],MATCH(Benchmark1[[#This Row],[Benchmark '#1 Dates]],Comp1[Comparable '#1 Dates],0)),"-")</f>
        <v>15.33</v>
      </c>
      <c r="J76" s="22">
        <f>IF(Benchmark1[[#This Row],[Comparable '#1 Date Check]]="Pass",INDEX(Comp1[Comparable '#1 Return],MATCH(Benchmark1[[#This Row],[Benchmark '#1 Dates]],Comp1[Comparable '#1 Dates],0)),"-")</f>
        <v>-1.0382961545054508E-2</v>
      </c>
      <c r="K76" s="1">
        <f>IFERROR(IF(Benchmark1[[#This Row],[Comparable '#1 Date Check]]="Pass",Benchmark1[[#This Row],[Comparable '#1 Return]]-Benchmark1[[#This Row],[Benchmark '#1 Return]],"-"),"-")</f>
        <v>4.1115680080088795E-3</v>
      </c>
      <c r="L76" s="1" t="str">
        <f>IF(COUNTIF(Comp2[Comparable '#2 Dates],Benchmark1[[#This Row],[Benchmark '#1 Dates]])=1,"Pass","Fail")</f>
        <v>Pass</v>
      </c>
      <c r="M76" s="6">
        <f>IF(Benchmark1[[#This Row],[Comparable '#2 Date Check]]="Pass",INDEX(Comp2[Comparable '#2 Price],MATCH(Benchmark1[[#This Row],[Benchmark '#1 Dates]],Comp2[Comparable '#2 Dates],0)),"-")</f>
        <v>47.56</v>
      </c>
      <c r="N76" s="22">
        <f>IF(Benchmark1[[#This Row],[Comparable '#2 Date Check]]="Pass",INDEX(Comp2[Comparable '#2 Return],MATCH(Benchmark1[[#This Row],[Benchmark '#1 Dates]],Comp2[Comparable '#2 Dates],0)),"-")</f>
        <v>-2.2042897065396101E-2</v>
      </c>
      <c r="O76" s="1">
        <f>IFERROR(IF(Benchmark1[[#This Row],[Comparable '#2 Date Check]]="Pass",Benchmark1[[#This Row],[Comparable '#2 Return]]-Benchmark1[[#This Row],[Benchmark '#1 Return]],"-"),"-")</f>
        <v>-7.548367512332713E-3</v>
      </c>
      <c r="P76" s="1" t="str">
        <f>IF(COUNTIF(Comp3[Comparable '#3 Dates],Benchmark1[[#This Row],[Benchmark '#1 Dates]])=1,"Pass","Fail")</f>
        <v>Pass</v>
      </c>
      <c r="Q76" s="6">
        <f>IF(Benchmark1[[#This Row],[Comparable '#3 Date Check]]="Pass",INDEX(Comp3[Comparable '#3 Price],MATCH(Benchmark1[[#This Row],[Benchmark '#1 Dates]],Comp3[Comparable '#3 Dates],0)),"-")</f>
        <v>127.7</v>
      </c>
      <c r="R76" s="22">
        <f>IF(Benchmark1[[#This Row],[Comparable '#3 Date Check]]="Pass",INDEX(Comp3[Comparable '#3 Return],MATCH(Benchmark1[[#This Row],[Benchmark '#1 Dates]],Comp3[Comparable '#3 Dates],0)),"-")</f>
        <v>-2.9323088579325567E-2</v>
      </c>
      <c r="S76" s="1">
        <f>IFERROR(IF(Benchmark1[[#This Row],[Comparable '#3 Date Check]]="Pass",Benchmark1[[#This Row],[Comparable '#3 Return]]-Benchmark1[[#This Row],[Benchmark '#1 Return]],"-"),"-")</f>
        <v>-1.482855902626218E-2</v>
      </c>
    </row>
    <row r="77" spans="1:19">
      <c r="A77" s="103">
        <v>43392</v>
      </c>
      <c r="B77" s="104">
        <v>2767.7804874456674</v>
      </c>
      <c r="C77" s="4">
        <f t="shared" si="1"/>
        <v>-3.6271784630065638E-4</v>
      </c>
      <c r="D77" s="1" t="str">
        <f>IF(COUNTIF(Target1[Target Dates],Benchmark1[[#This Row],[Benchmark '#1 Dates]])=1,"Pass","Fail")</f>
        <v>Pass</v>
      </c>
      <c r="E77" s="6">
        <f>IF(Benchmark1[[#This Row],[Target Date Check]]="Pass",INDEX(Target1[Target Price],MATCH(Benchmark1[[#This Row],[Benchmark '#1 Dates]],Target1[Target Dates],0)),"-")</f>
        <v>17.12</v>
      </c>
      <c r="F77" s="22">
        <f>IF(Benchmark1[[#This Row],[Target Date Check]]="Pass",INDEX(Target1[Target Return],MATCH(Benchmark1[[#This Row],[Benchmark '#1 Dates]],Target1[Target Dates],0)),"-")</f>
        <v>1.0569681489687642E-2</v>
      </c>
      <c r="G77" s="1">
        <f>IFERROR(IF(Benchmark1[[#This Row],[Target Date Check]]="Pass",Benchmark1[[#This Row],[Target Return]]-Benchmark1[[#This Row],[Benchmark '#1 Return]],"-"),"-")</f>
        <v>1.0932399335988299E-2</v>
      </c>
      <c r="H77" s="1" t="str">
        <f>IF(COUNTIF(Comp1[Comparable '#1 Dates],Benchmark1[[#This Row],[Benchmark '#1 Dates]])=1,"Pass","Fail")</f>
        <v>Pass</v>
      </c>
      <c r="I77" s="6">
        <f>IF(Benchmark1[[#This Row],[Comparable '#1 Date Check]]="Pass",INDEX(Comp1[Comparable '#1 Price],MATCH(Benchmark1[[#This Row],[Benchmark '#1 Dates]],Comp1[Comparable '#1 Dates],0)),"-")</f>
        <v>15.18</v>
      </c>
      <c r="J77" s="22">
        <f>IF(Benchmark1[[#This Row],[Comparable '#1 Date Check]]="Pass",INDEX(Comp1[Comparable '#1 Return],MATCH(Benchmark1[[#This Row],[Benchmark '#1 Dates]],Comp1[Comparable '#1 Dates],0)),"-")</f>
        <v>-9.832920916238946E-3</v>
      </c>
      <c r="K77" s="1">
        <f>IFERROR(IF(Benchmark1[[#This Row],[Comparable '#1 Date Check]]="Pass",Benchmark1[[#This Row],[Comparable '#1 Return]]-Benchmark1[[#This Row],[Benchmark '#1 Return]],"-"),"-")</f>
        <v>-9.4702030699382895E-3</v>
      </c>
      <c r="L77" s="1" t="str">
        <f>IF(COUNTIF(Comp2[Comparable '#2 Dates],Benchmark1[[#This Row],[Benchmark '#1 Dates]])=1,"Pass","Fail")</f>
        <v>Pass</v>
      </c>
      <c r="M77" s="6">
        <f>IF(Benchmark1[[#This Row],[Comparable '#2 Date Check]]="Pass",INDEX(Comp2[Comparable '#2 Price],MATCH(Benchmark1[[#This Row],[Benchmark '#1 Dates]],Comp2[Comparable '#2 Dates],0)),"-")</f>
        <v>47.51</v>
      </c>
      <c r="N77" s="22">
        <f>IF(Benchmark1[[#This Row],[Comparable '#2 Date Check]]="Pass",INDEX(Comp2[Comparable '#2 Return],MATCH(Benchmark1[[#This Row],[Benchmark '#1 Dates]],Comp2[Comparable '#2 Dates],0)),"-")</f>
        <v>-1.0518566237512181E-3</v>
      </c>
      <c r="O77" s="1">
        <f>IFERROR(IF(Benchmark1[[#This Row],[Comparable '#2 Date Check]]="Pass",Benchmark1[[#This Row],[Comparable '#2 Return]]-Benchmark1[[#This Row],[Benchmark '#1 Return]],"-"),"-")</f>
        <v>-6.8913877745056177E-4</v>
      </c>
      <c r="P77" s="1" t="str">
        <f>IF(COUNTIF(Comp3[Comparable '#3 Dates],Benchmark1[[#This Row],[Benchmark '#1 Dates]])=1,"Pass","Fail")</f>
        <v>Pass</v>
      </c>
      <c r="Q77" s="6">
        <f>IF(Benchmark1[[#This Row],[Comparable '#3 Date Check]]="Pass",INDEX(Comp3[Comparable '#3 Price],MATCH(Benchmark1[[#This Row],[Benchmark '#1 Dates]],Comp3[Comparable '#3 Dates],0)),"-")</f>
        <v>128.30000000000001</v>
      </c>
      <c r="R77" s="22">
        <f>IF(Benchmark1[[#This Row],[Comparable '#3 Date Check]]="Pass",INDEX(Comp3[Comparable '#3 Return],MATCH(Benchmark1[[#This Row],[Benchmark '#1 Dates]],Comp3[Comparable '#3 Dates],0)),"-")</f>
        <v>4.6875085830972432E-3</v>
      </c>
      <c r="S77" s="1">
        <f>IFERROR(IF(Benchmark1[[#This Row],[Comparable '#3 Date Check]]="Pass",Benchmark1[[#This Row],[Comparable '#3 Return]]-Benchmark1[[#This Row],[Benchmark '#1 Return]],"-"),"-")</f>
        <v>5.0502264293978997E-3</v>
      </c>
    </row>
    <row r="78" spans="1:19">
      <c r="A78" s="103">
        <v>43395</v>
      </c>
      <c r="B78" s="104">
        <v>2755.883758432607</v>
      </c>
      <c r="C78" s="4">
        <f t="shared" si="1"/>
        <v>-4.3075563172727026E-3</v>
      </c>
      <c r="D78" s="1" t="str">
        <f>IF(COUNTIF(Target1[Target Dates],Benchmark1[[#This Row],[Benchmark '#1 Dates]])=1,"Pass","Fail")</f>
        <v>Pass</v>
      </c>
      <c r="E78" s="6">
        <f>IF(Benchmark1[[#This Row],[Target Date Check]]="Pass",INDEX(Target1[Target Price],MATCH(Benchmark1[[#This Row],[Benchmark '#1 Dates]],Target1[Target Dates],0)),"-")</f>
        <v>16.96</v>
      </c>
      <c r="F78" s="22">
        <f>IF(Benchmark1[[#This Row],[Target Date Check]]="Pass",INDEX(Target1[Target Return],MATCH(Benchmark1[[#This Row],[Benchmark '#1 Dates]],Target1[Target Dates],0)),"-")</f>
        <v>-9.3897403498390316E-3</v>
      </c>
      <c r="G78" s="1">
        <f>IFERROR(IF(Benchmark1[[#This Row],[Target Date Check]]="Pass",Benchmark1[[#This Row],[Target Return]]-Benchmark1[[#This Row],[Benchmark '#1 Return]],"-"),"-")</f>
        <v>-5.082184032566329E-3</v>
      </c>
      <c r="H78" s="1" t="str">
        <f>IF(COUNTIF(Comp1[Comparable '#1 Dates],Benchmark1[[#This Row],[Benchmark '#1 Dates]])=1,"Pass","Fail")</f>
        <v>Pass</v>
      </c>
      <c r="I78" s="6">
        <f>IF(Benchmark1[[#This Row],[Comparable '#1 Date Check]]="Pass",INDEX(Comp1[Comparable '#1 Price],MATCH(Benchmark1[[#This Row],[Benchmark '#1 Dates]],Comp1[Comparable '#1 Dates],0)),"-")</f>
        <v>15.37</v>
      </c>
      <c r="J78" s="22">
        <f>IF(Benchmark1[[#This Row],[Comparable '#1 Date Check]]="Pass",INDEX(Comp1[Comparable '#1 Return],MATCH(Benchmark1[[#This Row],[Benchmark '#1 Dates]],Comp1[Comparable '#1 Dates],0)),"-")</f>
        <v>1.24387855830207E-2</v>
      </c>
      <c r="K78" s="1">
        <f>IFERROR(IF(Benchmark1[[#This Row],[Comparable '#1 Date Check]]="Pass",Benchmark1[[#This Row],[Comparable '#1 Return]]-Benchmark1[[#This Row],[Benchmark '#1 Return]],"-"),"-")</f>
        <v>1.6746341900293404E-2</v>
      </c>
      <c r="L78" s="1" t="str">
        <f>IF(COUNTIF(Comp2[Comparable '#2 Dates],Benchmark1[[#This Row],[Benchmark '#1 Dates]])=1,"Pass","Fail")</f>
        <v>Pass</v>
      </c>
      <c r="M78" s="6">
        <f>IF(Benchmark1[[#This Row],[Comparable '#2 Date Check]]="Pass",INDEX(Comp2[Comparable '#2 Price],MATCH(Benchmark1[[#This Row],[Benchmark '#1 Dates]],Comp2[Comparable '#2 Dates],0)),"-")</f>
        <v>47.6</v>
      </c>
      <c r="N78" s="22">
        <f>IF(Benchmark1[[#This Row],[Comparable '#2 Date Check]]="Pass",INDEX(Comp2[Comparable '#2 Return],MATCH(Benchmark1[[#This Row],[Benchmark '#1 Dates]],Comp2[Comparable '#2 Dates],0)),"-")</f>
        <v>1.8925460385443875E-3</v>
      </c>
      <c r="O78" s="1">
        <f>IFERROR(IF(Benchmark1[[#This Row],[Comparable '#2 Date Check]]="Pass",Benchmark1[[#This Row],[Comparable '#2 Return]]-Benchmark1[[#This Row],[Benchmark '#1 Return]],"-"),"-")</f>
        <v>6.2001023558170901E-3</v>
      </c>
      <c r="P78" s="1" t="str">
        <f>IF(COUNTIF(Comp3[Comparable '#3 Dates],Benchmark1[[#This Row],[Benchmark '#1 Dates]])=1,"Pass","Fail")</f>
        <v>Pass</v>
      </c>
      <c r="Q78" s="6">
        <f>IF(Benchmark1[[#This Row],[Comparable '#3 Date Check]]="Pass",INDEX(Comp3[Comparable '#3 Price],MATCH(Benchmark1[[#This Row],[Benchmark '#1 Dates]],Comp3[Comparable '#3 Dates],0)),"-")</f>
        <v>127.76</v>
      </c>
      <c r="R78" s="22">
        <f>IF(Benchmark1[[#This Row],[Comparable '#3 Date Check]]="Pass",INDEX(Comp3[Comparable '#3 Return],MATCH(Benchmark1[[#This Row],[Benchmark '#1 Dates]],Comp3[Comparable '#3 Dates],0)),"-")</f>
        <v>-4.2177677148337936E-3</v>
      </c>
      <c r="S78" s="1">
        <f>IFERROR(IF(Benchmark1[[#This Row],[Comparable '#3 Date Check]]="Pass",Benchmark1[[#This Row],[Comparable '#3 Return]]-Benchmark1[[#This Row],[Benchmark '#1 Return]],"-"),"-")</f>
        <v>8.9788602438909022E-5</v>
      </c>
    </row>
    <row r="79" spans="1:19">
      <c r="A79" s="103">
        <v>43396</v>
      </c>
      <c r="B79" s="104">
        <v>2740.6923846722912</v>
      </c>
      <c r="C79" s="4">
        <f t="shared" si="1"/>
        <v>-5.5275910111622301E-3</v>
      </c>
      <c r="D79" s="1" t="str">
        <f>IF(COUNTIF(Target1[Target Dates],Benchmark1[[#This Row],[Benchmark '#1 Dates]])=1,"Pass","Fail")</f>
        <v>Pass</v>
      </c>
      <c r="E79" s="6">
        <f>IF(Benchmark1[[#This Row],[Target Date Check]]="Pass",INDEX(Target1[Target Price],MATCH(Benchmark1[[#This Row],[Benchmark '#1 Dates]],Target1[Target Dates],0)),"-")</f>
        <v>17.329999999999998</v>
      </c>
      <c r="F79" s="22">
        <f>IF(Benchmark1[[#This Row],[Target Date Check]]="Pass",INDEX(Target1[Target Return],MATCH(Benchmark1[[#This Row],[Benchmark '#1 Dates]],Target1[Target Dates],0)),"-")</f>
        <v>2.1581473363757594E-2</v>
      </c>
      <c r="G79" s="1">
        <f>IFERROR(IF(Benchmark1[[#This Row],[Target Date Check]]="Pass",Benchmark1[[#This Row],[Target Return]]-Benchmark1[[#This Row],[Benchmark '#1 Return]],"-"),"-")</f>
        <v>2.7109064374919823E-2</v>
      </c>
      <c r="H79" s="1" t="str">
        <f>IF(COUNTIF(Comp1[Comparable '#1 Dates],Benchmark1[[#This Row],[Benchmark '#1 Dates]])=1,"Pass","Fail")</f>
        <v>Pass</v>
      </c>
      <c r="I79" s="6">
        <f>IF(Benchmark1[[#This Row],[Comparable '#1 Date Check]]="Pass",INDEX(Comp1[Comparable '#1 Price],MATCH(Benchmark1[[#This Row],[Benchmark '#1 Dates]],Comp1[Comparable '#1 Dates],0)),"-")</f>
        <v>15.26</v>
      </c>
      <c r="J79" s="22">
        <f>IF(Benchmark1[[#This Row],[Comparable '#1 Date Check]]="Pass",INDEX(Comp1[Comparable '#1 Return],MATCH(Benchmark1[[#This Row],[Benchmark '#1 Dates]],Comp1[Comparable '#1 Dates],0)),"-")</f>
        <v>-7.1825316941934872E-3</v>
      </c>
      <c r="K79" s="1">
        <f>IFERROR(IF(Benchmark1[[#This Row],[Comparable '#1 Date Check]]="Pass",Benchmark1[[#This Row],[Comparable '#1 Return]]-Benchmark1[[#This Row],[Benchmark '#1 Return]],"-"),"-")</f>
        <v>-1.6549406830312571E-3</v>
      </c>
      <c r="L79" s="1" t="str">
        <f>IF(COUNTIF(Comp2[Comparable '#2 Dates],Benchmark1[[#This Row],[Benchmark '#1 Dates]])=1,"Pass","Fail")</f>
        <v>Pass</v>
      </c>
      <c r="M79" s="6">
        <f>IF(Benchmark1[[#This Row],[Comparable '#2 Date Check]]="Pass",INDEX(Comp2[Comparable '#2 Price],MATCH(Benchmark1[[#This Row],[Benchmark '#1 Dates]],Comp2[Comparable '#2 Dates],0)),"-")</f>
        <v>46.86</v>
      </c>
      <c r="N79" s="22">
        <f>IF(Benchmark1[[#This Row],[Comparable '#2 Date Check]]="Pass",INDEX(Comp2[Comparable '#2 Return],MATCH(Benchmark1[[#This Row],[Benchmark '#1 Dates]],Comp2[Comparable '#2 Dates],0)),"-")</f>
        <v>-1.566832815772478E-2</v>
      </c>
      <c r="O79" s="1">
        <f>IFERROR(IF(Benchmark1[[#This Row],[Comparable '#2 Date Check]]="Pass",Benchmark1[[#This Row],[Comparable '#2 Return]]-Benchmark1[[#This Row],[Benchmark '#1 Return]],"-"),"-")</f>
        <v>-1.0140737146562551E-2</v>
      </c>
      <c r="P79" s="1" t="str">
        <f>IF(COUNTIF(Comp3[Comparable '#3 Dates],Benchmark1[[#This Row],[Benchmark '#1 Dates]])=1,"Pass","Fail")</f>
        <v>Pass</v>
      </c>
      <c r="Q79" s="6">
        <f>IF(Benchmark1[[#This Row],[Comparable '#3 Date Check]]="Pass",INDEX(Comp3[Comparable '#3 Price],MATCH(Benchmark1[[#This Row],[Benchmark '#1 Dates]],Comp3[Comparable '#3 Dates],0)),"-")</f>
        <v>123.8</v>
      </c>
      <c r="R79" s="22">
        <f>IF(Benchmark1[[#This Row],[Comparable '#3 Date Check]]="Pass",INDEX(Comp3[Comparable '#3 Return],MATCH(Benchmark1[[#This Row],[Benchmark '#1 Dates]],Comp3[Comparable '#3 Dates],0)),"-")</f>
        <v>-3.1486143656261366E-2</v>
      </c>
      <c r="S79" s="1">
        <f>IFERROR(IF(Benchmark1[[#This Row],[Comparable '#3 Date Check]]="Pass",Benchmark1[[#This Row],[Comparable '#3 Return]]-Benchmark1[[#This Row],[Benchmark '#1 Return]],"-"),"-")</f>
        <v>-2.5958552645099137E-2</v>
      </c>
    </row>
    <row r="80" spans="1:19">
      <c r="A80" s="103">
        <v>43397</v>
      </c>
      <c r="B80" s="104">
        <v>2656.1032247737976</v>
      </c>
      <c r="C80" s="4">
        <f t="shared" si="1"/>
        <v>-3.1350488005669822E-2</v>
      </c>
      <c r="D80" s="1" t="str">
        <f>IF(COUNTIF(Target1[Target Dates],Benchmark1[[#This Row],[Benchmark '#1 Dates]])=1,"Pass","Fail")</f>
        <v>Pass</v>
      </c>
      <c r="E80" s="6">
        <f>IF(Benchmark1[[#This Row],[Target Date Check]]="Pass",INDEX(Target1[Target Price],MATCH(Benchmark1[[#This Row],[Benchmark '#1 Dates]],Target1[Target Dates],0)),"-")</f>
        <v>20.77</v>
      </c>
      <c r="F80" s="22">
        <f>IF(Benchmark1[[#This Row],[Target Date Check]]="Pass",INDEX(Target1[Target Return],MATCH(Benchmark1[[#This Row],[Benchmark '#1 Dates]],Target1[Target Dates],0)),"-")</f>
        <v>0.18107053416050634</v>
      </c>
      <c r="G80" s="1">
        <f>IFERROR(IF(Benchmark1[[#This Row],[Target Date Check]]="Pass",Benchmark1[[#This Row],[Target Return]]-Benchmark1[[#This Row],[Benchmark '#1 Return]],"-"),"-")</f>
        <v>0.21242102216617614</v>
      </c>
      <c r="H80" s="1" t="str">
        <f>IF(COUNTIF(Comp1[Comparable '#1 Dates],Benchmark1[[#This Row],[Benchmark '#1 Dates]])=1,"Pass","Fail")</f>
        <v>Pass</v>
      </c>
      <c r="I80" s="6">
        <f>IF(Benchmark1[[#This Row],[Comparable '#1 Date Check]]="Pass",INDEX(Comp1[Comparable '#1 Price],MATCH(Benchmark1[[#This Row],[Benchmark '#1 Dates]],Comp1[Comparable '#1 Dates],0)),"-")</f>
        <v>14.74</v>
      </c>
      <c r="J80" s="22">
        <f>IF(Benchmark1[[#This Row],[Comparable '#1 Date Check]]="Pass",INDEX(Comp1[Comparable '#1 Return],MATCH(Benchmark1[[#This Row],[Benchmark '#1 Dates]],Comp1[Comparable '#1 Dates],0)),"-")</f>
        <v>-3.4670139095120352E-2</v>
      </c>
      <c r="K80" s="1">
        <f>IFERROR(IF(Benchmark1[[#This Row],[Comparable '#1 Date Check]]="Pass",Benchmark1[[#This Row],[Comparable '#1 Return]]-Benchmark1[[#This Row],[Benchmark '#1 Return]],"-"),"-")</f>
        <v>-3.3196510894505302E-3</v>
      </c>
      <c r="L80" s="1" t="str">
        <f>IF(COUNTIF(Comp2[Comparable '#2 Dates],Benchmark1[[#This Row],[Benchmark '#1 Dates]])=1,"Pass","Fail")</f>
        <v>Pass</v>
      </c>
      <c r="M80" s="6">
        <f>IF(Benchmark1[[#This Row],[Comparable '#2 Date Check]]="Pass",INDEX(Comp2[Comparable '#2 Price],MATCH(Benchmark1[[#This Row],[Benchmark '#1 Dates]],Comp2[Comparable '#2 Dates],0)),"-")</f>
        <v>45.79</v>
      </c>
      <c r="N80" s="22">
        <f>IF(Benchmark1[[#This Row],[Comparable '#2 Date Check]]="Pass",INDEX(Comp2[Comparable '#2 Return],MATCH(Benchmark1[[#This Row],[Benchmark '#1 Dates]],Comp2[Comparable '#2 Dates],0)),"-")</f>
        <v>-2.3098706410645559E-2</v>
      </c>
      <c r="O80" s="1">
        <f>IFERROR(IF(Benchmark1[[#This Row],[Comparable '#2 Date Check]]="Pass",Benchmark1[[#This Row],[Comparable '#2 Return]]-Benchmark1[[#This Row],[Benchmark '#1 Return]],"-"),"-")</f>
        <v>8.2517815950242622E-3</v>
      </c>
      <c r="P80" s="1" t="str">
        <f>IF(COUNTIF(Comp3[Comparable '#3 Dates],Benchmark1[[#This Row],[Benchmark '#1 Dates]])=1,"Pass","Fail")</f>
        <v>Pass</v>
      </c>
      <c r="Q80" s="6">
        <f>IF(Benchmark1[[#This Row],[Comparable '#3 Date Check]]="Pass",INDEX(Comp3[Comparable '#3 Price],MATCH(Benchmark1[[#This Row],[Benchmark '#1 Dates]],Comp3[Comparable '#3 Dates],0)),"-")</f>
        <v>122.5</v>
      </c>
      <c r="R80" s="22">
        <f>IF(Benchmark1[[#This Row],[Comparable '#3 Date Check]]="Pass",INDEX(Comp3[Comparable '#3 Return],MATCH(Benchmark1[[#This Row],[Benchmark '#1 Dates]],Comp3[Comparable '#3 Dates],0)),"-")</f>
        <v>-1.0556330265714023E-2</v>
      </c>
      <c r="S80" s="1">
        <f>IFERROR(IF(Benchmark1[[#This Row],[Comparable '#3 Date Check]]="Pass",Benchmark1[[#This Row],[Comparable '#3 Return]]-Benchmark1[[#This Row],[Benchmark '#1 Return]],"-"),"-")</f>
        <v>2.0794157739955799E-2</v>
      </c>
    </row>
    <row r="81" spans="1:19">
      <c r="A81" s="103">
        <v>43398</v>
      </c>
      <c r="B81" s="104">
        <v>2705.5682809798473</v>
      </c>
      <c r="C81" s="4">
        <f t="shared" si="1"/>
        <v>1.8451880015418268E-2</v>
      </c>
      <c r="D81" s="1" t="str">
        <f>IF(COUNTIF(Target1[Target Dates],Benchmark1[[#This Row],[Benchmark '#1 Dates]])=1,"Pass","Fail")</f>
        <v>Pass</v>
      </c>
      <c r="E81" s="6">
        <f>IF(Benchmark1[[#This Row],[Target Date Check]]="Pass",INDEX(Target1[Target Price],MATCH(Benchmark1[[#This Row],[Benchmark '#1 Dates]],Target1[Target Dates],0)),"-")</f>
        <v>20.75</v>
      </c>
      <c r="F81" s="22">
        <f>IF(Benchmark1[[#This Row],[Target Date Check]]="Pass",INDEX(Target1[Target Return],MATCH(Benchmark1[[#This Row],[Benchmark '#1 Dates]],Target1[Target Dates],0)),"-")</f>
        <v>-9.6339121131365361E-4</v>
      </c>
      <c r="G81" s="1">
        <f>IFERROR(IF(Benchmark1[[#This Row],[Target Date Check]]="Pass",Benchmark1[[#This Row],[Target Return]]-Benchmark1[[#This Row],[Benchmark '#1 Return]],"-"),"-")</f>
        <v>-1.9415271226731923E-2</v>
      </c>
      <c r="H81" s="1" t="str">
        <f>IF(COUNTIF(Comp1[Comparable '#1 Dates],Benchmark1[[#This Row],[Benchmark '#1 Dates]])=1,"Pass","Fail")</f>
        <v>Pass</v>
      </c>
      <c r="I81" s="6">
        <f>IF(Benchmark1[[#This Row],[Comparable '#1 Date Check]]="Pass",INDEX(Comp1[Comparable '#1 Price],MATCH(Benchmark1[[#This Row],[Benchmark '#1 Dates]],Comp1[Comparable '#1 Dates],0)),"-")</f>
        <v>15.23</v>
      </c>
      <c r="J81" s="22">
        <f>IF(Benchmark1[[#This Row],[Comparable '#1 Date Check]]="Pass",INDEX(Comp1[Comparable '#1 Return],MATCH(Benchmark1[[#This Row],[Benchmark '#1 Dates]],Comp1[Comparable '#1 Dates],0)),"-")</f>
        <v>3.2702280145879802E-2</v>
      </c>
      <c r="K81" s="1">
        <f>IFERROR(IF(Benchmark1[[#This Row],[Comparable '#1 Date Check]]="Pass",Benchmark1[[#This Row],[Comparable '#1 Return]]-Benchmark1[[#This Row],[Benchmark '#1 Return]],"-"),"-")</f>
        <v>1.4250400130461534E-2</v>
      </c>
      <c r="L81" s="1" t="str">
        <f>IF(COUNTIF(Comp2[Comparable '#2 Dates],Benchmark1[[#This Row],[Benchmark '#1 Dates]])=1,"Pass","Fail")</f>
        <v>Pass</v>
      </c>
      <c r="M81" s="6">
        <f>IF(Benchmark1[[#This Row],[Comparable '#2 Date Check]]="Pass",INDEX(Comp2[Comparable '#2 Price],MATCH(Benchmark1[[#This Row],[Benchmark '#1 Dates]],Comp2[Comparable '#2 Dates],0)),"-")</f>
        <v>48.04</v>
      </c>
      <c r="N81" s="22">
        <f>IF(Benchmark1[[#This Row],[Comparable '#2 Date Check]]="Pass",INDEX(Comp2[Comparable '#2 Return],MATCH(Benchmark1[[#This Row],[Benchmark '#1 Dates]],Comp2[Comparable '#2 Dates],0)),"-")</f>
        <v>4.7968270542778704E-2</v>
      </c>
      <c r="O81" s="1">
        <f>IFERROR(IF(Benchmark1[[#This Row],[Comparable '#2 Date Check]]="Pass",Benchmark1[[#This Row],[Comparable '#2 Return]]-Benchmark1[[#This Row],[Benchmark '#1 Return]],"-"),"-")</f>
        <v>2.9516390527360437E-2</v>
      </c>
      <c r="P81" s="1" t="str">
        <f>IF(COUNTIF(Comp3[Comparable '#3 Dates],Benchmark1[[#This Row],[Benchmark '#1 Dates]])=1,"Pass","Fail")</f>
        <v>Pass</v>
      </c>
      <c r="Q81" s="6">
        <f>IF(Benchmark1[[#This Row],[Comparable '#3 Date Check]]="Pass",INDEX(Comp3[Comparable '#3 Price],MATCH(Benchmark1[[#This Row],[Benchmark '#1 Dates]],Comp3[Comparable '#3 Dates],0)),"-")</f>
        <v>125.72</v>
      </c>
      <c r="R81" s="22">
        <f>IF(Benchmark1[[#This Row],[Comparable '#3 Date Check]]="Pass",INDEX(Comp3[Comparable '#3 Return],MATCH(Benchmark1[[#This Row],[Benchmark '#1 Dates]],Comp3[Comparable '#3 Dates],0)),"-")</f>
        <v>2.5946181944585135E-2</v>
      </c>
      <c r="S81" s="1">
        <f>IFERROR(IF(Benchmark1[[#This Row],[Comparable '#3 Date Check]]="Pass",Benchmark1[[#This Row],[Comparable '#3 Return]]-Benchmark1[[#This Row],[Benchmark '#1 Return]],"-"),"-")</f>
        <v>7.4943019291668668E-3</v>
      </c>
    </row>
    <row r="82" spans="1:19">
      <c r="A82" s="103">
        <v>43399</v>
      </c>
      <c r="B82" s="104">
        <v>2658.6851131378226</v>
      </c>
      <c r="C82" s="4">
        <f t="shared" si="1"/>
        <v>-1.7480293414795938E-2</v>
      </c>
      <c r="D82" s="1" t="str">
        <f>IF(COUNTIF(Target1[Target Dates],Benchmark1[[#This Row],[Benchmark '#1 Dates]])=1,"Pass","Fail")</f>
        <v>Pass</v>
      </c>
      <c r="E82" s="6">
        <f>IF(Benchmark1[[#This Row],[Target Date Check]]="Pass",INDEX(Target1[Target Price],MATCH(Benchmark1[[#This Row],[Benchmark '#1 Dates]],Target1[Target Dates],0)),"-")</f>
        <v>21.79</v>
      </c>
      <c r="F82" s="22">
        <f>IF(Benchmark1[[#This Row],[Target Date Check]]="Pass",INDEX(Target1[Target Return],MATCH(Benchmark1[[#This Row],[Benchmark '#1 Dates]],Target1[Target Dates],0)),"-")</f>
        <v>4.8904902279821152E-2</v>
      </c>
      <c r="G82" s="1">
        <f>IFERROR(IF(Benchmark1[[#This Row],[Target Date Check]]="Pass",Benchmark1[[#This Row],[Target Return]]-Benchmark1[[#This Row],[Benchmark '#1 Return]],"-"),"-")</f>
        <v>6.6385195694617094E-2</v>
      </c>
      <c r="H82" s="1" t="str">
        <f>IF(COUNTIF(Comp1[Comparable '#1 Dates],Benchmark1[[#This Row],[Benchmark '#1 Dates]])=1,"Pass","Fail")</f>
        <v>Pass</v>
      </c>
      <c r="I82" s="6">
        <f>IF(Benchmark1[[#This Row],[Comparable '#1 Date Check]]="Pass",INDEX(Comp1[Comparable '#1 Price],MATCH(Benchmark1[[#This Row],[Benchmark '#1 Dates]],Comp1[Comparable '#1 Dates],0)),"-")</f>
        <v>14.86</v>
      </c>
      <c r="J82" s="22">
        <f>IF(Benchmark1[[#This Row],[Comparable '#1 Date Check]]="Pass",INDEX(Comp1[Comparable '#1 Return],MATCH(Benchmark1[[#This Row],[Benchmark '#1 Dates]],Comp1[Comparable '#1 Dates],0)),"-")</f>
        <v>-2.4594127617457412E-2</v>
      </c>
      <c r="K82" s="1">
        <f>IFERROR(IF(Benchmark1[[#This Row],[Comparable '#1 Date Check]]="Pass",Benchmark1[[#This Row],[Comparable '#1 Return]]-Benchmark1[[#This Row],[Benchmark '#1 Return]],"-"),"-")</f>
        <v>-7.1138342026614738E-3</v>
      </c>
      <c r="L82" s="1" t="str">
        <f>IF(COUNTIF(Comp2[Comparable '#2 Dates],Benchmark1[[#This Row],[Benchmark '#1 Dates]])=1,"Pass","Fail")</f>
        <v>Pass</v>
      </c>
      <c r="M82" s="6">
        <f>IF(Benchmark1[[#This Row],[Comparable '#2 Date Check]]="Pass",INDEX(Comp2[Comparable '#2 Price],MATCH(Benchmark1[[#This Row],[Benchmark '#1 Dates]],Comp2[Comparable '#2 Dates],0)),"-")</f>
        <v>48.25</v>
      </c>
      <c r="N82" s="22">
        <f>IF(Benchmark1[[#This Row],[Comparable '#2 Date Check]]="Pass",INDEX(Comp2[Comparable '#2 Return],MATCH(Benchmark1[[#This Row],[Benchmark '#1 Dates]],Comp2[Comparable '#2 Dates],0)),"-")</f>
        <v>4.361830573212145E-3</v>
      </c>
      <c r="O82" s="1">
        <f>IFERROR(IF(Benchmark1[[#This Row],[Comparable '#2 Date Check]]="Pass",Benchmark1[[#This Row],[Comparable '#2 Return]]-Benchmark1[[#This Row],[Benchmark '#1 Return]],"-"),"-")</f>
        <v>2.1842123988008083E-2</v>
      </c>
      <c r="P82" s="1" t="str">
        <f>IF(COUNTIF(Comp3[Comparable '#3 Dates],Benchmark1[[#This Row],[Benchmark '#1 Dates]])=1,"Pass","Fail")</f>
        <v>Pass</v>
      </c>
      <c r="Q82" s="6">
        <f>IF(Benchmark1[[#This Row],[Comparable '#3 Date Check]]="Pass",INDEX(Comp3[Comparable '#3 Price],MATCH(Benchmark1[[#This Row],[Benchmark '#1 Dates]],Comp3[Comparable '#3 Dates],0)),"-")</f>
        <v>125.79</v>
      </c>
      <c r="R82" s="22">
        <f>IF(Benchmark1[[#This Row],[Comparable '#3 Date Check]]="Pass",INDEX(Comp3[Comparable '#3 Return],MATCH(Benchmark1[[#This Row],[Benchmark '#1 Dates]],Comp3[Comparable '#3 Dates],0)),"-")</f>
        <v>5.566379214141182E-4</v>
      </c>
      <c r="S82" s="1">
        <f>IFERROR(IF(Benchmark1[[#This Row],[Comparable '#3 Date Check]]="Pass",Benchmark1[[#This Row],[Comparable '#3 Return]]-Benchmark1[[#This Row],[Benchmark '#1 Return]],"-"),"-")</f>
        <v>1.8036931336210055E-2</v>
      </c>
    </row>
    <row r="83" spans="1:19">
      <c r="A83" s="103">
        <v>43402</v>
      </c>
      <c r="B83" s="104">
        <v>2641.2451186667349</v>
      </c>
      <c r="C83" s="4">
        <f t="shared" si="1"/>
        <v>-6.581240377162882E-3</v>
      </c>
      <c r="D83" s="1" t="str">
        <f>IF(COUNTIF(Target1[Target Dates],Benchmark1[[#This Row],[Benchmark '#1 Dates]])=1,"Pass","Fail")</f>
        <v>Pass</v>
      </c>
      <c r="E83" s="6">
        <f>IF(Benchmark1[[#This Row],[Target Date Check]]="Pass",INDEX(Target1[Target Price],MATCH(Benchmark1[[#This Row],[Benchmark '#1 Dates]],Target1[Target Dates],0)),"-")</f>
        <v>22.41</v>
      </c>
      <c r="F83" s="22">
        <f>IF(Benchmark1[[#This Row],[Target Date Check]]="Pass",INDEX(Target1[Target Return],MATCH(Benchmark1[[#This Row],[Benchmark '#1 Dates]],Target1[Target Dates],0)),"-")</f>
        <v>2.8056138856307172E-2</v>
      </c>
      <c r="G83" s="1">
        <f>IFERROR(IF(Benchmark1[[#This Row],[Target Date Check]]="Pass",Benchmark1[[#This Row],[Target Return]]-Benchmark1[[#This Row],[Benchmark '#1 Return]],"-"),"-")</f>
        <v>3.4637379233470052E-2</v>
      </c>
      <c r="H83" s="1" t="str">
        <f>IF(COUNTIF(Comp1[Comparable '#1 Dates],Benchmark1[[#This Row],[Benchmark '#1 Dates]])=1,"Pass","Fail")</f>
        <v>Pass</v>
      </c>
      <c r="I83" s="6">
        <f>IF(Benchmark1[[#This Row],[Comparable '#1 Date Check]]="Pass",INDEX(Comp1[Comparable '#1 Price],MATCH(Benchmark1[[#This Row],[Benchmark '#1 Dates]],Comp1[Comparable '#1 Dates],0)),"-")</f>
        <v>14.46</v>
      </c>
      <c r="J83" s="22">
        <f>IF(Benchmark1[[#This Row],[Comparable '#1 Date Check]]="Pass",INDEX(Comp1[Comparable '#1 Return],MATCH(Benchmark1[[#This Row],[Benchmark '#1 Dates]],Comp1[Comparable '#1 Dates],0)),"-")</f>
        <v>-2.728682255899437E-2</v>
      </c>
      <c r="K83" s="1">
        <f>IFERROR(IF(Benchmark1[[#This Row],[Comparable '#1 Date Check]]="Pass",Benchmark1[[#This Row],[Comparable '#1 Return]]-Benchmark1[[#This Row],[Benchmark '#1 Return]],"-"),"-")</f>
        <v>-2.0705582181831488E-2</v>
      </c>
      <c r="L83" s="1" t="str">
        <f>IF(COUNTIF(Comp2[Comparable '#2 Dates],Benchmark1[[#This Row],[Benchmark '#1 Dates]])=1,"Pass","Fail")</f>
        <v>Pass</v>
      </c>
      <c r="M83" s="6">
        <f>IF(Benchmark1[[#This Row],[Comparable '#2 Date Check]]="Pass",INDEX(Comp2[Comparable '#2 Price],MATCH(Benchmark1[[#This Row],[Benchmark '#1 Dates]],Comp2[Comparable '#2 Dates],0)),"-")</f>
        <v>48.15</v>
      </c>
      <c r="N83" s="22">
        <f>IF(Benchmark1[[#This Row],[Comparable '#2 Date Check]]="Pass",INDEX(Comp2[Comparable '#2 Return],MATCH(Benchmark1[[#This Row],[Benchmark '#1 Dates]],Comp2[Comparable '#2 Dates],0)),"-")</f>
        <v>-2.0746895408603554E-3</v>
      </c>
      <c r="O83" s="1">
        <f>IFERROR(IF(Benchmark1[[#This Row],[Comparable '#2 Date Check]]="Pass",Benchmark1[[#This Row],[Comparable '#2 Return]]-Benchmark1[[#This Row],[Benchmark '#1 Return]],"-"),"-")</f>
        <v>4.506550836302527E-3</v>
      </c>
      <c r="P83" s="1" t="str">
        <f>IF(COUNTIF(Comp3[Comparable '#3 Dates],Benchmark1[[#This Row],[Benchmark '#1 Dates]])=1,"Pass","Fail")</f>
        <v>Pass</v>
      </c>
      <c r="Q83" s="6">
        <f>IF(Benchmark1[[#This Row],[Comparable '#3 Date Check]]="Pass",INDEX(Comp3[Comparable '#3 Price],MATCH(Benchmark1[[#This Row],[Benchmark '#1 Dates]],Comp3[Comparable '#3 Dates],0)),"-")</f>
        <v>124.23</v>
      </c>
      <c r="R83" s="22">
        <f>IF(Benchmark1[[#This Row],[Comparable '#3 Date Check]]="Pass",INDEX(Comp3[Comparable '#3 Return],MATCH(Benchmark1[[#This Row],[Benchmark '#1 Dates]],Comp3[Comparable '#3 Dates],0)),"-")</f>
        <v>-1.2479163625195397E-2</v>
      </c>
      <c r="S83" s="1">
        <f>IFERROR(IF(Benchmark1[[#This Row],[Comparable '#3 Date Check]]="Pass",Benchmark1[[#This Row],[Comparable '#3 Return]]-Benchmark1[[#This Row],[Benchmark '#1 Return]],"-"),"-")</f>
        <v>-5.8979232480325149E-3</v>
      </c>
    </row>
    <row r="84" spans="1:19">
      <c r="A84" s="103">
        <v>43403</v>
      </c>
      <c r="B84" s="104">
        <v>2682.6309958886231</v>
      </c>
      <c r="C84" s="4">
        <f t="shared" si="1"/>
        <v>1.5547586008069027E-2</v>
      </c>
      <c r="D84" s="1" t="str">
        <f>IF(COUNTIF(Target1[Target Dates],Benchmark1[[#This Row],[Benchmark '#1 Dates]])=1,"Pass","Fail")</f>
        <v>Pass</v>
      </c>
      <c r="E84" s="6">
        <f>IF(Benchmark1[[#This Row],[Target Date Check]]="Pass",INDEX(Target1[Target Price],MATCH(Benchmark1[[#This Row],[Benchmark '#1 Dates]],Target1[Target Dates],0)),"-")</f>
        <v>21.98</v>
      </c>
      <c r="F84" s="22">
        <f>IF(Benchmark1[[#This Row],[Target Date Check]]="Pass",INDEX(Target1[Target Return],MATCH(Benchmark1[[#This Row],[Benchmark '#1 Dates]],Target1[Target Dates],0)),"-")</f>
        <v>-1.9374338837360304E-2</v>
      </c>
      <c r="G84" s="1">
        <f>IFERROR(IF(Benchmark1[[#This Row],[Target Date Check]]="Pass",Benchmark1[[#This Row],[Target Return]]-Benchmark1[[#This Row],[Benchmark '#1 Return]],"-"),"-")</f>
        <v>-3.4921924845429331E-2</v>
      </c>
      <c r="H84" s="1" t="str">
        <f>IF(COUNTIF(Comp1[Comparable '#1 Dates],Benchmark1[[#This Row],[Benchmark '#1 Dates]])=1,"Pass","Fail")</f>
        <v>Pass</v>
      </c>
      <c r="I84" s="6">
        <f>IF(Benchmark1[[#This Row],[Comparable '#1 Date Check]]="Pass",INDEX(Comp1[Comparable '#1 Price],MATCH(Benchmark1[[#This Row],[Benchmark '#1 Dates]],Comp1[Comparable '#1 Dates],0)),"-")</f>
        <v>14.9</v>
      </c>
      <c r="J84" s="22">
        <f>IF(Benchmark1[[#This Row],[Comparable '#1 Date Check]]="Pass",INDEX(Comp1[Comparable '#1 Return],MATCH(Benchmark1[[#This Row],[Benchmark '#1 Dates]],Comp1[Comparable '#1 Dates],0)),"-")</f>
        <v>2.9974996220794723E-2</v>
      </c>
      <c r="K84" s="1">
        <f>IFERROR(IF(Benchmark1[[#This Row],[Comparable '#1 Date Check]]="Pass",Benchmark1[[#This Row],[Comparable '#1 Return]]-Benchmark1[[#This Row],[Benchmark '#1 Return]],"-"),"-")</f>
        <v>1.4427410212725696E-2</v>
      </c>
      <c r="L84" s="1" t="str">
        <f>IF(COUNTIF(Comp2[Comparable '#2 Dates],Benchmark1[[#This Row],[Benchmark '#1 Dates]])=1,"Pass","Fail")</f>
        <v>Pass</v>
      </c>
      <c r="M84" s="6">
        <f>IF(Benchmark1[[#This Row],[Comparable '#2 Date Check]]="Pass",INDEX(Comp2[Comparable '#2 Price],MATCH(Benchmark1[[#This Row],[Benchmark '#1 Dates]],Comp2[Comparable '#2 Dates],0)),"-")</f>
        <v>49.55</v>
      </c>
      <c r="N84" s="22">
        <f>IF(Benchmark1[[#This Row],[Comparable '#2 Date Check]]="Pass",INDEX(Comp2[Comparable '#2 Return],MATCH(Benchmark1[[#This Row],[Benchmark '#1 Dates]],Comp2[Comparable '#2 Dates],0)),"-")</f>
        <v>2.866112253186251E-2</v>
      </c>
      <c r="O84" s="1">
        <f>IFERROR(IF(Benchmark1[[#This Row],[Comparable '#2 Date Check]]="Pass",Benchmark1[[#This Row],[Comparable '#2 Return]]-Benchmark1[[#This Row],[Benchmark '#1 Return]],"-"),"-")</f>
        <v>1.3113536523793483E-2</v>
      </c>
      <c r="P84" s="1" t="str">
        <f>IF(COUNTIF(Comp3[Comparable '#3 Dates],Benchmark1[[#This Row],[Benchmark '#1 Dates]])=1,"Pass","Fail")</f>
        <v>Pass</v>
      </c>
      <c r="Q84" s="6">
        <f>IF(Benchmark1[[#This Row],[Comparable '#3 Date Check]]="Pass",INDEX(Comp3[Comparable '#3 Price],MATCH(Benchmark1[[#This Row],[Benchmark '#1 Dates]],Comp3[Comparable '#3 Dates],0)),"-")</f>
        <v>124.14</v>
      </c>
      <c r="R84" s="22">
        <f>IF(Benchmark1[[#This Row],[Comparable '#3 Date Check]]="Pass",INDEX(Comp3[Comparable '#3 Return],MATCH(Benchmark1[[#This Row],[Benchmark '#1 Dates]],Comp3[Comparable '#3 Dates],0)),"-")</f>
        <v>-7.2472524007891526E-4</v>
      </c>
      <c r="S84" s="1">
        <f>IFERROR(IF(Benchmark1[[#This Row],[Comparable '#3 Date Check]]="Pass",Benchmark1[[#This Row],[Comparable '#3 Return]]-Benchmark1[[#This Row],[Benchmark '#1 Return]],"-"),"-")</f>
        <v>-1.6272311248147941E-2</v>
      </c>
    </row>
    <row r="85" spans="1:19">
      <c r="A85" s="103">
        <v>43404</v>
      </c>
      <c r="B85" s="104">
        <v>2711.7444081047333</v>
      </c>
      <c r="C85" s="4">
        <f t="shared" si="1"/>
        <v>1.0794092998017413E-2</v>
      </c>
      <c r="D85" s="1" t="str">
        <f>IF(COUNTIF(Target1[Target Dates],Benchmark1[[#This Row],[Benchmark '#1 Dates]])=1,"Pass","Fail")</f>
        <v>Pass</v>
      </c>
      <c r="E85" s="6">
        <f>IF(Benchmark1[[#This Row],[Target Date Check]]="Pass",INDEX(Target1[Target Price],MATCH(Benchmark1[[#This Row],[Benchmark '#1 Dates]],Target1[Target Dates],0)),"-")</f>
        <v>21.41</v>
      </c>
      <c r="F85" s="22">
        <f>IF(Benchmark1[[#This Row],[Target Date Check]]="Pass",INDEX(Target1[Target Return],MATCH(Benchmark1[[#This Row],[Benchmark '#1 Dates]],Target1[Target Dates],0)),"-")</f>
        <v>-2.6274846373883901E-2</v>
      </c>
      <c r="G85" s="1">
        <f>IFERROR(IF(Benchmark1[[#This Row],[Target Date Check]]="Pass",Benchmark1[[#This Row],[Target Return]]-Benchmark1[[#This Row],[Benchmark '#1 Return]],"-"),"-")</f>
        <v>-3.706893937190131E-2</v>
      </c>
      <c r="H85" s="1" t="str">
        <f>IF(COUNTIF(Comp1[Comparable '#1 Dates],Benchmark1[[#This Row],[Benchmark '#1 Dates]])=1,"Pass","Fail")</f>
        <v>Pass</v>
      </c>
      <c r="I85" s="6">
        <f>IF(Benchmark1[[#This Row],[Comparable '#1 Date Check]]="Pass",INDEX(Comp1[Comparable '#1 Price],MATCH(Benchmark1[[#This Row],[Benchmark '#1 Dates]],Comp1[Comparable '#1 Dates],0)),"-")</f>
        <v>14.89</v>
      </c>
      <c r="J85" s="22">
        <f>IF(Benchmark1[[#This Row],[Comparable '#1 Date Check]]="Pass",INDEX(Comp1[Comparable '#1 Return],MATCH(Benchmark1[[#This Row],[Benchmark '#1 Dates]],Comp1[Comparable '#1 Dates],0)),"-")</f>
        <v>-6.7136625549582801E-4</v>
      </c>
      <c r="K85" s="1">
        <f>IFERROR(IF(Benchmark1[[#This Row],[Comparable '#1 Date Check]]="Pass",Benchmark1[[#This Row],[Comparable '#1 Return]]-Benchmark1[[#This Row],[Benchmark '#1 Return]],"-"),"-")</f>
        <v>-1.1465459253513241E-2</v>
      </c>
      <c r="L85" s="1" t="str">
        <f>IF(COUNTIF(Comp2[Comparable '#2 Dates],Benchmark1[[#This Row],[Benchmark '#1 Dates]])=1,"Pass","Fail")</f>
        <v>Pass</v>
      </c>
      <c r="M85" s="6">
        <f>IF(Benchmark1[[#This Row],[Comparable '#2 Date Check]]="Pass",INDEX(Comp2[Comparable '#2 Price],MATCH(Benchmark1[[#This Row],[Benchmark '#1 Dates]],Comp2[Comparable '#2 Dates],0)),"-")</f>
        <v>50.63</v>
      </c>
      <c r="N85" s="22">
        <f>IF(Benchmark1[[#This Row],[Comparable '#2 Date Check]]="Pass",INDEX(Comp2[Comparable '#2 Return],MATCH(Benchmark1[[#This Row],[Benchmark '#1 Dates]],Comp2[Comparable '#2 Dates],0)),"-")</f>
        <v>2.1562025205820935E-2</v>
      </c>
      <c r="O85" s="1">
        <f>IFERROR(IF(Benchmark1[[#This Row],[Comparable '#2 Date Check]]="Pass",Benchmark1[[#This Row],[Comparable '#2 Return]]-Benchmark1[[#This Row],[Benchmark '#1 Return]],"-"),"-")</f>
        <v>1.0767932207803522E-2</v>
      </c>
      <c r="P85" s="1" t="str">
        <f>IF(COUNTIF(Comp3[Comparable '#3 Dates],Benchmark1[[#This Row],[Benchmark '#1 Dates]])=1,"Pass","Fail")</f>
        <v>Pass</v>
      </c>
      <c r="Q85" s="6">
        <f>IF(Benchmark1[[#This Row],[Comparable '#3 Date Check]]="Pass",INDEX(Comp3[Comparable '#3 Price],MATCH(Benchmark1[[#This Row],[Benchmark '#1 Dates]],Comp3[Comparable '#3 Dates],0)),"-")</f>
        <v>125.82</v>
      </c>
      <c r="R85" s="22">
        <f>IF(Benchmark1[[#This Row],[Comparable '#3 Date Check]]="Pass",INDEX(Comp3[Comparable '#3 Return],MATCH(Benchmark1[[#This Row],[Benchmark '#1 Dates]],Comp3[Comparable '#3 Dates],0)),"-")</f>
        <v>1.344235315637677E-2</v>
      </c>
      <c r="S85" s="1">
        <f>IFERROR(IF(Benchmark1[[#This Row],[Comparable '#3 Date Check]]="Pass",Benchmark1[[#This Row],[Comparable '#3 Return]]-Benchmark1[[#This Row],[Benchmark '#1 Return]],"-"),"-")</f>
        <v>2.6482601583593564E-3</v>
      </c>
    </row>
    <row r="86" spans="1:19">
      <c r="A86" s="103">
        <v>43405</v>
      </c>
      <c r="B86" s="104">
        <v>2740.3724576891732</v>
      </c>
      <c r="C86" s="4">
        <f t="shared" si="1"/>
        <v>1.0501723787375258E-2</v>
      </c>
      <c r="D86" s="1" t="str">
        <f>IF(COUNTIF(Target1[Target Dates],Benchmark1[[#This Row],[Benchmark '#1 Dates]])=1,"Pass","Fail")</f>
        <v>Pass</v>
      </c>
      <c r="E86" s="6">
        <f>IF(Benchmark1[[#This Row],[Target Date Check]]="Pass",INDEX(Target1[Target Price],MATCH(Benchmark1[[#This Row],[Benchmark '#1 Dates]],Target1[Target Dates],0)),"-")</f>
        <v>21.82</v>
      </c>
      <c r="F86" s="22">
        <f>IF(Benchmark1[[#This Row],[Target Date Check]]="Pass",INDEX(Target1[Target Return],MATCH(Benchmark1[[#This Row],[Benchmark '#1 Dates]],Target1[Target Dates],0)),"-")</f>
        <v>1.8968877803333395E-2</v>
      </c>
      <c r="G86" s="1">
        <f>IFERROR(IF(Benchmark1[[#This Row],[Target Date Check]]="Pass",Benchmark1[[#This Row],[Target Return]]-Benchmark1[[#This Row],[Benchmark '#1 Return]],"-"),"-")</f>
        <v>8.4671540159581369E-3</v>
      </c>
      <c r="H86" s="1" t="str">
        <f>IF(COUNTIF(Comp1[Comparable '#1 Dates],Benchmark1[[#This Row],[Benchmark '#1 Dates]])=1,"Pass","Fail")</f>
        <v>Pass</v>
      </c>
      <c r="I86" s="6">
        <f>IF(Benchmark1[[#This Row],[Comparable '#1 Date Check]]="Pass",INDEX(Comp1[Comparable '#1 Price],MATCH(Benchmark1[[#This Row],[Benchmark '#1 Dates]],Comp1[Comparable '#1 Dates],0)),"-")</f>
        <v>15.21</v>
      </c>
      <c r="J86" s="22">
        <f>IF(Benchmark1[[#This Row],[Comparable '#1 Date Check]]="Pass",INDEX(Comp1[Comparable '#1 Return],MATCH(Benchmark1[[#This Row],[Benchmark '#1 Dates]],Comp1[Comparable '#1 Dates],0)),"-")</f>
        <v>2.1263259575283903E-2</v>
      </c>
      <c r="K86" s="1">
        <f>IFERROR(IF(Benchmark1[[#This Row],[Comparable '#1 Date Check]]="Pass",Benchmark1[[#This Row],[Comparable '#1 Return]]-Benchmark1[[#This Row],[Benchmark '#1 Return]],"-"),"-")</f>
        <v>1.0761535787908645E-2</v>
      </c>
      <c r="L86" s="1" t="str">
        <f>IF(COUNTIF(Comp2[Comparable '#2 Dates],Benchmark1[[#This Row],[Benchmark '#1 Dates]])=1,"Pass","Fail")</f>
        <v>Pass</v>
      </c>
      <c r="M86" s="6">
        <f>IF(Benchmark1[[#This Row],[Comparable '#2 Date Check]]="Pass",INDEX(Comp2[Comparable '#2 Price],MATCH(Benchmark1[[#This Row],[Benchmark '#1 Dates]],Comp2[Comparable '#2 Dates],0)),"-")</f>
        <v>50</v>
      </c>
      <c r="N86" s="22">
        <f>IF(Benchmark1[[#This Row],[Comparable '#2 Date Check]]="Pass",INDEX(Comp2[Comparable '#2 Return],MATCH(Benchmark1[[#This Row],[Benchmark '#1 Dates]],Comp2[Comparable '#2 Dates],0)),"-")</f>
        <v>-1.2521280553671833E-2</v>
      </c>
      <c r="O86" s="1">
        <f>IFERROR(IF(Benchmark1[[#This Row],[Comparable '#2 Date Check]]="Pass",Benchmark1[[#This Row],[Comparable '#2 Return]]-Benchmark1[[#This Row],[Benchmark '#1 Return]],"-"),"-")</f>
        <v>-2.3023004341047093E-2</v>
      </c>
      <c r="P86" s="1" t="str">
        <f>IF(COUNTIF(Comp3[Comparable '#3 Dates],Benchmark1[[#This Row],[Benchmark '#1 Dates]])=1,"Pass","Fail")</f>
        <v>Pass</v>
      </c>
      <c r="Q86" s="6">
        <f>IF(Benchmark1[[#This Row],[Comparable '#3 Date Check]]="Pass",INDEX(Comp3[Comparable '#3 Price],MATCH(Benchmark1[[#This Row],[Benchmark '#1 Dates]],Comp3[Comparable '#3 Dates],0)),"-")</f>
        <v>125.82</v>
      </c>
      <c r="R86" s="22">
        <f>IF(Benchmark1[[#This Row],[Comparable '#3 Date Check]]="Pass",INDEX(Comp3[Comparable '#3 Return],MATCH(Benchmark1[[#This Row],[Benchmark '#1 Dates]],Comp3[Comparable '#3 Dates],0)),"-")</f>
        <v>0</v>
      </c>
      <c r="S86" s="1">
        <f>IFERROR(IF(Benchmark1[[#This Row],[Comparable '#3 Date Check]]="Pass",Benchmark1[[#This Row],[Comparable '#3 Return]]-Benchmark1[[#This Row],[Benchmark '#1 Return]],"-"),"-")</f>
        <v>-1.0501723787375258E-2</v>
      </c>
    </row>
    <row r="87" spans="1:19">
      <c r="A87" s="103">
        <v>43406</v>
      </c>
      <c r="B87" s="104">
        <v>2723.0582781223666</v>
      </c>
      <c r="C87" s="4">
        <f t="shared" si="1"/>
        <v>-6.338228987523651E-3</v>
      </c>
      <c r="D87" s="1" t="str">
        <f>IF(COUNTIF(Target1[Target Dates],Benchmark1[[#This Row],[Benchmark '#1 Dates]])=1,"Pass","Fail")</f>
        <v>Pass</v>
      </c>
      <c r="E87" s="6">
        <f>IF(Benchmark1[[#This Row],[Target Date Check]]="Pass",INDEX(Target1[Target Price],MATCH(Benchmark1[[#This Row],[Benchmark '#1 Dates]],Target1[Target Dates],0)),"-")</f>
        <v>22.12</v>
      </c>
      <c r="F87" s="22">
        <f>IF(Benchmark1[[#This Row],[Target Date Check]]="Pass",INDEX(Target1[Target Return],MATCH(Benchmark1[[#This Row],[Benchmark '#1 Dates]],Target1[Target Dates],0)),"-")</f>
        <v>1.3655196249209361E-2</v>
      </c>
      <c r="G87" s="1">
        <f>IFERROR(IF(Benchmark1[[#This Row],[Target Date Check]]="Pass",Benchmark1[[#This Row],[Target Return]]-Benchmark1[[#This Row],[Benchmark '#1 Return]],"-"),"-")</f>
        <v>1.999342523673301E-2</v>
      </c>
      <c r="H87" s="1" t="str">
        <f>IF(COUNTIF(Comp1[Comparable '#1 Dates],Benchmark1[[#This Row],[Benchmark '#1 Dates]])=1,"Pass","Fail")</f>
        <v>Pass</v>
      </c>
      <c r="I87" s="6">
        <f>IF(Benchmark1[[#This Row],[Comparable '#1 Date Check]]="Pass",INDEX(Comp1[Comparable '#1 Price],MATCH(Benchmark1[[#This Row],[Benchmark '#1 Dates]],Comp1[Comparable '#1 Dates],0)),"-")</f>
        <v>15.07</v>
      </c>
      <c r="J87" s="22">
        <f>IF(Benchmark1[[#This Row],[Comparable '#1 Date Check]]="Pass",INDEX(Comp1[Comparable '#1 Return],MATCH(Benchmark1[[#This Row],[Benchmark '#1 Dates]],Comp1[Comparable '#1 Dates],0)),"-")</f>
        <v>-9.2470936327974061E-3</v>
      </c>
      <c r="K87" s="1">
        <f>IFERROR(IF(Benchmark1[[#This Row],[Comparable '#1 Date Check]]="Pass",Benchmark1[[#This Row],[Comparable '#1 Return]]-Benchmark1[[#This Row],[Benchmark '#1 Return]],"-"),"-")</f>
        <v>-2.9088646452737552E-3</v>
      </c>
      <c r="L87" s="1" t="str">
        <f>IF(COUNTIF(Comp2[Comparable '#2 Dates],Benchmark1[[#This Row],[Benchmark '#1 Dates]])=1,"Pass","Fail")</f>
        <v>Pass</v>
      </c>
      <c r="M87" s="6">
        <f>IF(Benchmark1[[#This Row],[Comparable '#2 Date Check]]="Pass",INDEX(Comp2[Comparable '#2 Price],MATCH(Benchmark1[[#This Row],[Benchmark '#1 Dates]],Comp2[Comparable '#2 Dates],0)),"-")</f>
        <v>52.79</v>
      </c>
      <c r="N87" s="22">
        <f>IF(Benchmark1[[#This Row],[Comparable '#2 Date Check]]="Pass",INDEX(Comp2[Comparable '#2 Return],MATCH(Benchmark1[[#This Row],[Benchmark '#1 Dates]],Comp2[Comparable '#2 Dates],0)),"-")</f>
        <v>5.4298773407378875E-2</v>
      </c>
      <c r="O87" s="1">
        <f>IFERROR(IF(Benchmark1[[#This Row],[Comparable '#2 Date Check]]="Pass",Benchmark1[[#This Row],[Comparable '#2 Return]]-Benchmark1[[#This Row],[Benchmark '#1 Return]],"-"),"-")</f>
        <v>6.0637002394902523E-2</v>
      </c>
      <c r="P87" s="1" t="str">
        <f>IF(COUNTIF(Comp3[Comparable '#3 Dates],Benchmark1[[#This Row],[Benchmark '#1 Dates]])=1,"Pass","Fail")</f>
        <v>Pass</v>
      </c>
      <c r="Q87" s="6">
        <f>IF(Benchmark1[[#This Row],[Comparable '#3 Date Check]]="Pass",INDEX(Comp3[Comparable '#3 Price],MATCH(Benchmark1[[#This Row],[Benchmark '#1 Dates]],Comp3[Comparable '#3 Dates],0)),"-")</f>
        <v>128.58000000000001</v>
      </c>
      <c r="R87" s="22">
        <f>IF(Benchmark1[[#This Row],[Comparable '#3 Date Check]]="Pass",INDEX(Comp3[Comparable '#3 Return],MATCH(Benchmark1[[#This Row],[Benchmark '#1 Dates]],Comp3[Comparable '#3 Dates],0)),"-")</f>
        <v>2.1698964571657261E-2</v>
      </c>
      <c r="S87" s="1">
        <f>IFERROR(IF(Benchmark1[[#This Row],[Comparable '#3 Date Check]]="Pass",Benchmark1[[#This Row],[Comparable '#3 Return]]-Benchmark1[[#This Row],[Benchmark '#1 Return]],"-"),"-")</f>
        <v>2.8037193559180912E-2</v>
      </c>
    </row>
    <row r="88" spans="1:19">
      <c r="A88" s="103">
        <v>43409</v>
      </c>
      <c r="B88" s="104">
        <v>2738.3136785317497</v>
      </c>
      <c r="C88" s="4">
        <f t="shared" si="1"/>
        <v>5.586669506603659E-3</v>
      </c>
      <c r="D88" s="1" t="str">
        <f>IF(COUNTIF(Target1[Target Dates],Benchmark1[[#This Row],[Benchmark '#1 Dates]])=1,"Pass","Fail")</f>
        <v>Pass</v>
      </c>
      <c r="E88" s="6">
        <f>IF(Benchmark1[[#This Row],[Target Date Check]]="Pass",INDEX(Target1[Target Price],MATCH(Benchmark1[[#This Row],[Benchmark '#1 Dates]],Target1[Target Dates],0)),"-")</f>
        <v>21.81</v>
      </c>
      <c r="F88" s="22">
        <f>IF(Benchmark1[[#This Row],[Target Date Check]]="Pass",INDEX(Target1[Target Return],MATCH(Benchmark1[[#This Row],[Benchmark '#1 Dates]],Target1[Target Dates],0)),"-")</f>
        <v>-1.4113596440596517E-2</v>
      </c>
      <c r="G88" s="1">
        <f>IFERROR(IF(Benchmark1[[#This Row],[Target Date Check]]="Pass",Benchmark1[[#This Row],[Target Return]]-Benchmark1[[#This Row],[Benchmark '#1 Return]],"-"),"-")</f>
        <v>-1.9700265947200174E-2</v>
      </c>
      <c r="H88" s="1" t="str">
        <f>IF(COUNTIF(Comp1[Comparable '#1 Dates],Benchmark1[[#This Row],[Benchmark '#1 Dates]])=1,"Pass","Fail")</f>
        <v>Pass</v>
      </c>
      <c r="I88" s="6">
        <f>IF(Benchmark1[[#This Row],[Comparable '#1 Date Check]]="Pass",INDEX(Comp1[Comparable '#1 Price],MATCH(Benchmark1[[#This Row],[Benchmark '#1 Dates]],Comp1[Comparable '#1 Dates],0)),"-")</f>
        <v>15.25</v>
      </c>
      <c r="J88" s="22">
        <f>IF(Benchmark1[[#This Row],[Comparable '#1 Date Check]]="Pass",INDEX(Comp1[Comparable '#1 Return],MATCH(Benchmark1[[#This Row],[Benchmark '#1 Dates]],Comp1[Comparable '#1 Dates],0)),"-")</f>
        <v>1.1873490415016544E-2</v>
      </c>
      <c r="K88" s="1">
        <f>IFERROR(IF(Benchmark1[[#This Row],[Comparable '#1 Date Check]]="Pass",Benchmark1[[#This Row],[Comparable '#1 Return]]-Benchmark1[[#This Row],[Benchmark '#1 Return]],"-"),"-")</f>
        <v>6.2868209084128851E-3</v>
      </c>
      <c r="L88" s="1" t="str">
        <f>IF(COUNTIF(Comp2[Comparable '#2 Dates],Benchmark1[[#This Row],[Benchmark '#1 Dates]])=1,"Pass","Fail")</f>
        <v>Pass</v>
      </c>
      <c r="M88" s="6">
        <f>IF(Benchmark1[[#This Row],[Comparable '#2 Date Check]]="Pass",INDEX(Comp2[Comparable '#2 Price],MATCH(Benchmark1[[#This Row],[Benchmark '#1 Dates]],Comp2[Comparable '#2 Dates],0)),"-")</f>
        <v>54.7</v>
      </c>
      <c r="N88" s="22">
        <f>IF(Benchmark1[[#This Row],[Comparable '#2 Date Check]]="Pass",INDEX(Comp2[Comparable '#2 Return],MATCH(Benchmark1[[#This Row],[Benchmark '#1 Dates]],Comp2[Comparable '#2 Dates],0)),"-")</f>
        <v>3.5541930592410675E-2</v>
      </c>
      <c r="O88" s="1">
        <f>IFERROR(IF(Benchmark1[[#This Row],[Comparable '#2 Date Check]]="Pass",Benchmark1[[#This Row],[Comparable '#2 Return]]-Benchmark1[[#This Row],[Benchmark '#1 Return]],"-"),"-")</f>
        <v>2.9955261085807018E-2</v>
      </c>
      <c r="P88" s="1" t="str">
        <f>IF(COUNTIF(Comp3[Comparable '#3 Dates],Benchmark1[[#This Row],[Benchmark '#1 Dates]])=1,"Pass","Fail")</f>
        <v>Pass</v>
      </c>
      <c r="Q88" s="6">
        <f>IF(Benchmark1[[#This Row],[Comparable '#3 Date Check]]="Pass",INDEX(Comp3[Comparable '#3 Price],MATCH(Benchmark1[[#This Row],[Benchmark '#1 Dates]],Comp3[Comparable '#3 Dates],0)),"-")</f>
        <v>131.6</v>
      </c>
      <c r="R88" s="22">
        <f>IF(Benchmark1[[#This Row],[Comparable '#3 Date Check]]="Pass",INDEX(Comp3[Comparable '#3 Return],MATCH(Benchmark1[[#This Row],[Benchmark '#1 Dates]],Comp3[Comparable '#3 Dates],0)),"-")</f>
        <v>2.3215740177676022E-2</v>
      </c>
      <c r="S88" s="1">
        <f>IFERROR(IF(Benchmark1[[#This Row],[Comparable '#3 Date Check]]="Pass",Benchmark1[[#This Row],[Comparable '#3 Return]]-Benchmark1[[#This Row],[Benchmark '#1 Return]],"-"),"-")</f>
        <v>1.7629070671072361E-2</v>
      </c>
    </row>
    <row r="89" spans="1:19">
      <c r="A89" s="103">
        <v>43410</v>
      </c>
      <c r="B89" s="104">
        <v>2755.4508359136771</v>
      </c>
      <c r="C89" s="4">
        <f t="shared" si="1"/>
        <v>6.2387868725932508E-3</v>
      </c>
      <c r="D89" s="1" t="str">
        <f>IF(COUNTIF(Target1[Target Dates],Benchmark1[[#This Row],[Benchmark '#1 Dates]])=1,"Pass","Fail")</f>
        <v>Pass</v>
      </c>
      <c r="E89" s="6">
        <f>IF(Benchmark1[[#This Row],[Target Date Check]]="Pass",INDEX(Target1[Target Price],MATCH(Benchmark1[[#This Row],[Benchmark '#1 Dates]],Target1[Target Dates],0)),"-")</f>
        <v>22.18</v>
      </c>
      <c r="F89" s="22">
        <f>IF(Benchmark1[[#This Row],[Target Date Check]]="Pass",INDEX(Target1[Target Return],MATCH(Benchmark1[[#This Row],[Benchmark '#1 Dates]],Target1[Target Dates],0)),"-")</f>
        <v>1.682240170868338E-2</v>
      </c>
      <c r="G89" s="1">
        <f>IFERROR(IF(Benchmark1[[#This Row],[Target Date Check]]="Pass",Benchmark1[[#This Row],[Target Return]]-Benchmark1[[#This Row],[Benchmark '#1 Return]],"-"),"-")</f>
        <v>1.0583614836090129E-2</v>
      </c>
      <c r="H89" s="1" t="str">
        <f>IF(COUNTIF(Comp1[Comparable '#1 Dates],Benchmark1[[#This Row],[Benchmark '#1 Dates]])=1,"Pass","Fail")</f>
        <v>Pass</v>
      </c>
      <c r="I89" s="6">
        <f>IF(Benchmark1[[#This Row],[Comparable '#1 Date Check]]="Pass",INDEX(Comp1[Comparable '#1 Price],MATCH(Benchmark1[[#This Row],[Benchmark '#1 Dates]],Comp1[Comparable '#1 Dates],0)),"-")</f>
        <v>15.34</v>
      </c>
      <c r="J89" s="22">
        <f>IF(Benchmark1[[#This Row],[Comparable '#1 Date Check]]="Pass",INDEX(Comp1[Comparable '#1 Return],MATCH(Benchmark1[[#This Row],[Benchmark '#1 Dates]],Comp1[Comparable '#1 Dates],0)),"-")</f>
        <v>5.8842928856895575E-3</v>
      </c>
      <c r="K89" s="1">
        <f>IFERROR(IF(Benchmark1[[#This Row],[Comparable '#1 Date Check]]="Pass",Benchmark1[[#This Row],[Comparable '#1 Return]]-Benchmark1[[#This Row],[Benchmark '#1 Return]],"-"),"-")</f>
        <v>-3.5449398690369331E-4</v>
      </c>
      <c r="L89" s="1" t="str">
        <f>IF(COUNTIF(Comp2[Comparable '#2 Dates],Benchmark1[[#This Row],[Benchmark '#1 Dates]])=1,"Pass","Fail")</f>
        <v>Pass</v>
      </c>
      <c r="M89" s="6">
        <f>IF(Benchmark1[[#This Row],[Comparable '#2 Date Check]]="Pass",INDEX(Comp2[Comparable '#2 Price],MATCH(Benchmark1[[#This Row],[Benchmark '#1 Dates]],Comp2[Comparable '#2 Dates],0)),"-")</f>
        <v>56.04</v>
      </c>
      <c r="N89" s="22">
        <f>IF(Benchmark1[[#This Row],[Comparable '#2 Date Check]]="Pass",INDEX(Comp2[Comparable '#2 Return],MATCH(Benchmark1[[#This Row],[Benchmark '#1 Dates]],Comp2[Comparable '#2 Dates],0)),"-")</f>
        <v>2.4202012040870587E-2</v>
      </c>
      <c r="O89" s="1">
        <f>IFERROR(IF(Benchmark1[[#This Row],[Comparable '#2 Date Check]]="Pass",Benchmark1[[#This Row],[Comparable '#2 Return]]-Benchmark1[[#This Row],[Benchmark '#1 Return]],"-"),"-")</f>
        <v>1.7963225168277336E-2</v>
      </c>
      <c r="P89" s="1" t="str">
        <f>IF(COUNTIF(Comp3[Comparable '#3 Dates],Benchmark1[[#This Row],[Benchmark '#1 Dates]])=1,"Pass","Fail")</f>
        <v>Pass</v>
      </c>
      <c r="Q89" s="6">
        <f>IF(Benchmark1[[#This Row],[Comparable '#3 Date Check]]="Pass",INDEX(Comp3[Comparable '#3 Price],MATCH(Benchmark1[[#This Row],[Benchmark '#1 Dates]],Comp3[Comparable '#3 Dates],0)),"-")</f>
        <v>132.9</v>
      </c>
      <c r="R89" s="22">
        <f>IF(Benchmark1[[#This Row],[Comparable '#3 Date Check]]="Pass",INDEX(Comp3[Comparable '#3 Return],MATCH(Benchmark1[[#This Row],[Benchmark '#1 Dates]],Comp3[Comparable '#3 Dates],0)),"-")</f>
        <v>9.8299468279828689E-3</v>
      </c>
      <c r="S89" s="1">
        <f>IFERROR(IF(Benchmark1[[#This Row],[Comparable '#3 Date Check]]="Pass",Benchmark1[[#This Row],[Comparable '#3 Return]]-Benchmark1[[#This Row],[Benchmark '#1 Return]],"-"),"-")</f>
        <v>3.5911599553896181E-3</v>
      </c>
    </row>
    <row r="90" spans="1:19">
      <c r="A90" s="103">
        <v>43411</v>
      </c>
      <c r="B90" s="104">
        <v>2813.8948144072206</v>
      </c>
      <c r="C90" s="4">
        <f t="shared" si="1"/>
        <v>2.0988506590627898E-2</v>
      </c>
      <c r="D90" s="1" t="str">
        <f>IF(COUNTIF(Target1[Target Dates],Benchmark1[[#This Row],[Benchmark '#1 Dates]])=1,"Pass","Fail")</f>
        <v>Pass</v>
      </c>
      <c r="E90" s="6">
        <f>IF(Benchmark1[[#This Row],[Target Date Check]]="Pass",INDEX(Target1[Target Price],MATCH(Benchmark1[[#This Row],[Benchmark '#1 Dates]],Target1[Target Dates],0)),"-")</f>
        <v>23.13</v>
      </c>
      <c r="F90" s="22">
        <f>IF(Benchmark1[[#This Row],[Target Date Check]]="Pass",INDEX(Target1[Target Return],MATCH(Benchmark1[[#This Row],[Benchmark '#1 Dates]],Target1[Target Dates],0)),"-")</f>
        <v>4.1939494321126876E-2</v>
      </c>
      <c r="G90" s="1">
        <f>IFERROR(IF(Benchmark1[[#This Row],[Target Date Check]]="Pass",Benchmark1[[#This Row],[Target Return]]-Benchmark1[[#This Row],[Benchmark '#1 Return]],"-"),"-")</f>
        <v>2.0950987730498978E-2</v>
      </c>
      <c r="H90" s="1" t="str">
        <f>IF(COUNTIF(Comp1[Comparable '#1 Dates],Benchmark1[[#This Row],[Benchmark '#1 Dates]])=1,"Pass","Fail")</f>
        <v>Pass</v>
      </c>
      <c r="I90" s="6">
        <f>IF(Benchmark1[[#This Row],[Comparable '#1 Date Check]]="Pass",INDEX(Comp1[Comparable '#1 Price],MATCH(Benchmark1[[#This Row],[Benchmark '#1 Dates]],Comp1[Comparable '#1 Dates],0)),"-")</f>
        <v>15.95</v>
      </c>
      <c r="J90" s="22">
        <f>IF(Benchmark1[[#This Row],[Comparable '#1 Date Check]]="Pass",INDEX(Comp1[Comparable '#1 Return],MATCH(Benchmark1[[#This Row],[Benchmark '#1 Dates]],Comp1[Comparable '#1 Dates],0)),"-")</f>
        <v>3.8995033291743399E-2</v>
      </c>
      <c r="K90" s="1">
        <f>IFERROR(IF(Benchmark1[[#This Row],[Comparable '#1 Date Check]]="Pass",Benchmark1[[#This Row],[Comparable '#1 Return]]-Benchmark1[[#This Row],[Benchmark '#1 Return]],"-"),"-")</f>
        <v>1.8006526701115501E-2</v>
      </c>
      <c r="L90" s="1" t="str">
        <f>IF(COUNTIF(Comp2[Comparable '#2 Dates],Benchmark1[[#This Row],[Benchmark '#1 Dates]])=1,"Pass","Fail")</f>
        <v>Pass</v>
      </c>
      <c r="M90" s="6">
        <f>IF(Benchmark1[[#This Row],[Comparable '#2 Date Check]]="Pass",INDEX(Comp2[Comparable '#2 Price],MATCH(Benchmark1[[#This Row],[Benchmark '#1 Dates]],Comp2[Comparable '#2 Dates],0)),"-")</f>
        <v>57.89</v>
      </c>
      <c r="N90" s="22">
        <f>IF(Benchmark1[[#This Row],[Comparable '#2 Date Check]]="Pass",INDEX(Comp2[Comparable '#2 Return],MATCH(Benchmark1[[#This Row],[Benchmark '#1 Dates]],Comp2[Comparable '#2 Dates],0)),"-")</f>
        <v>3.2478936622106991E-2</v>
      </c>
      <c r="O90" s="1">
        <f>IFERROR(IF(Benchmark1[[#This Row],[Comparable '#2 Date Check]]="Pass",Benchmark1[[#This Row],[Comparable '#2 Return]]-Benchmark1[[#This Row],[Benchmark '#1 Return]],"-"),"-")</f>
        <v>1.1490430031479093E-2</v>
      </c>
      <c r="P90" s="1" t="str">
        <f>IF(COUNTIF(Comp3[Comparable '#3 Dates],Benchmark1[[#This Row],[Benchmark '#1 Dates]])=1,"Pass","Fail")</f>
        <v>Pass</v>
      </c>
      <c r="Q90" s="6">
        <f>IF(Benchmark1[[#This Row],[Comparable '#3 Date Check]]="Pass",INDEX(Comp3[Comparable '#3 Price],MATCH(Benchmark1[[#This Row],[Benchmark '#1 Dates]],Comp3[Comparable '#3 Dates],0)),"-")</f>
        <v>134.28</v>
      </c>
      <c r="R90" s="22">
        <f>IF(Benchmark1[[#This Row],[Comparable '#3 Date Check]]="Pass",INDEX(Comp3[Comparable '#3 Return],MATCH(Benchmark1[[#This Row],[Benchmark '#1 Dates]],Comp3[Comparable '#3 Dates],0)),"-")</f>
        <v>1.0330206392634421E-2</v>
      </c>
      <c r="S90" s="1">
        <f>IFERROR(IF(Benchmark1[[#This Row],[Comparable '#3 Date Check]]="Pass",Benchmark1[[#This Row],[Comparable '#3 Return]]-Benchmark1[[#This Row],[Benchmark '#1 Return]],"-"),"-")</f>
        <v>-1.0658300197993477E-2</v>
      </c>
    </row>
    <row r="91" spans="1:19">
      <c r="A91" s="103">
        <v>43412</v>
      </c>
      <c r="B91" s="104">
        <v>2806.830987803075</v>
      </c>
      <c r="C91" s="4">
        <f t="shared" si="1"/>
        <v>-2.5134940118470748E-3</v>
      </c>
      <c r="D91" s="1" t="str">
        <f>IF(COUNTIF(Target1[Target Dates],Benchmark1[[#This Row],[Benchmark '#1 Dates]])=1,"Pass","Fail")</f>
        <v>Pass</v>
      </c>
      <c r="E91" s="6">
        <f>IF(Benchmark1[[#This Row],[Target Date Check]]="Pass",INDEX(Target1[Target Price],MATCH(Benchmark1[[#This Row],[Benchmark '#1 Dates]],Target1[Target Dates],0)),"-")</f>
        <v>23.21</v>
      </c>
      <c r="F91" s="22">
        <f>IF(Benchmark1[[#This Row],[Target Date Check]]="Pass",INDEX(Target1[Target Return],MATCH(Benchmark1[[#This Row],[Benchmark '#1 Dates]],Target1[Target Dates],0)),"-")</f>
        <v>3.4527440429978464E-3</v>
      </c>
      <c r="G91" s="1">
        <f>IFERROR(IF(Benchmark1[[#This Row],[Target Date Check]]="Pass",Benchmark1[[#This Row],[Target Return]]-Benchmark1[[#This Row],[Benchmark '#1 Return]],"-"),"-")</f>
        <v>5.9662380548449207E-3</v>
      </c>
      <c r="H91" s="1" t="str">
        <f>IF(COUNTIF(Comp1[Comparable '#1 Dates],Benchmark1[[#This Row],[Benchmark '#1 Dates]])=1,"Pass","Fail")</f>
        <v>Pass</v>
      </c>
      <c r="I91" s="6">
        <f>IF(Benchmark1[[#This Row],[Comparable '#1 Date Check]]="Pass",INDEX(Comp1[Comparable '#1 Price],MATCH(Benchmark1[[#This Row],[Benchmark '#1 Dates]],Comp1[Comparable '#1 Dates],0)),"-")</f>
        <v>15.85</v>
      </c>
      <c r="J91" s="22">
        <f>IF(Benchmark1[[#This Row],[Comparable '#1 Date Check]]="Pass",INDEX(Comp1[Comparable '#1 Return],MATCH(Benchmark1[[#This Row],[Benchmark '#1 Dates]],Comp1[Comparable '#1 Dates],0)),"-")</f>
        <v>-6.2893289075639904E-3</v>
      </c>
      <c r="K91" s="1">
        <f>IFERROR(IF(Benchmark1[[#This Row],[Comparable '#1 Date Check]]="Pass",Benchmark1[[#This Row],[Comparable '#1 Return]]-Benchmark1[[#This Row],[Benchmark '#1 Return]],"-"),"-")</f>
        <v>-3.7758348957169156E-3</v>
      </c>
      <c r="L91" s="1" t="str">
        <f>IF(COUNTIF(Comp2[Comparable '#2 Dates],Benchmark1[[#This Row],[Benchmark '#1 Dates]])=1,"Pass","Fail")</f>
        <v>Pass</v>
      </c>
      <c r="M91" s="6">
        <f>IF(Benchmark1[[#This Row],[Comparable '#2 Date Check]]="Pass",INDEX(Comp2[Comparable '#2 Price],MATCH(Benchmark1[[#This Row],[Benchmark '#1 Dates]],Comp2[Comparable '#2 Dates],0)),"-")</f>
        <v>57.87</v>
      </c>
      <c r="N91" s="22">
        <f>IF(Benchmark1[[#This Row],[Comparable '#2 Date Check]]="Pass",INDEX(Comp2[Comparable '#2 Return],MATCH(Benchmark1[[#This Row],[Benchmark '#1 Dates]],Comp2[Comparable '#2 Dates],0)),"-")</f>
        <v>-3.4554250516588255E-4</v>
      </c>
      <c r="O91" s="1">
        <f>IFERROR(IF(Benchmark1[[#This Row],[Comparable '#2 Date Check]]="Pass",Benchmark1[[#This Row],[Comparable '#2 Return]]-Benchmark1[[#This Row],[Benchmark '#1 Return]],"-"),"-")</f>
        <v>2.1679515066811922E-3</v>
      </c>
      <c r="P91" s="1" t="str">
        <f>IF(COUNTIF(Comp3[Comparable '#3 Dates],Benchmark1[[#This Row],[Benchmark '#1 Dates]])=1,"Pass","Fail")</f>
        <v>Pass</v>
      </c>
      <c r="Q91" s="6">
        <f>IF(Benchmark1[[#This Row],[Comparable '#3 Date Check]]="Pass",INDEX(Comp3[Comparable '#3 Price],MATCH(Benchmark1[[#This Row],[Benchmark '#1 Dates]],Comp3[Comparable '#3 Dates],0)),"-")</f>
        <v>150.21</v>
      </c>
      <c r="R91" s="22">
        <f>IF(Benchmark1[[#This Row],[Comparable '#3 Date Check]]="Pass",INDEX(Comp3[Comparable '#3 Return],MATCH(Benchmark1[[#This Row],[Benchmark '#1 Dates]],Comp3[Comparable '#3 Dates],0)),"-")</f>
        <v>0.11210714289812904</v>
      </c>
      <c r="S91" s="1">
        <f>IFERROR(IF(Benchmark1[[#This Row],[Comparable '#3 Date Check]]="Pass",Benchmark1[[#This Row],[Comparable '#3 Return]]-Benchmark1[[#This Row],[Benchmark '#1 Return]],"-"),"-")</f>
        <v>0.11462063690997611</v>
      </c>
    </row>
    <row r="92" spans="1:19">
      <c r="A92" s="103">
        <v>43413</v>
      </c>
      <c r="B92" s="104">
        <v>2781.0091567204208</v>
      </c>
      <c r="C92" s="4">
        <f t="shared" si="1"/>
        <v>-9.2422167491762498E-3</v>
      </c>
      <c r="D92" s="1" t="str">
        <f>IF(COUNTIF(Target1[Target Dates],Benchmark1[[#This Row],[Benchmark '#1 Dates]])=1,"Pass","Fail")</f>
        <v>Pass</v>
      </c>
      <c r="E92" s="6">
        <f>IF(Benchmark1[[#This Row],[Target Date Check]]="Pass",INDEX(Target1[Target Price],MATCH(Benchmark1[[#This Row],[Benchmark '#1 Dates]],Target1[Target Dates],0)),"-")</f>
        <v>23.19</v>
      </c>
      <c r="F92" s="22">
        <f>IF(Benchmark1[[#This Row],[Target Date Check]]="Pass",INDEX(Target1[Target Return],MATCH(Benchmark1[[#This Row],[Benchmark '#1 Dates]],Target1[Target Dates],0)),"-")</f>
        <v>-8.6206901890537545E-4</v>
      </c>
      <c r="G92" s="1">
        <f>IFERROR(IF(Benchmark1[[#This Row],[Target Date Check]]="Pass",Benchmark1[[#This Row],[Target Return]]-Benchmark1[[#This Row],[Benchmark '#1 Return]],"-"),"-")</f>
        <v>8.3801477302708743E-3</v>
      </c>
      <c r="H92" s="1" t="str">
        <f>IF(COUNTIF(Comp1[Comparable '#1 Dates],Benchmark1[[#This Row],[Benchmark '#1 Dates]])=1,"Pass","Fail")</f>
        <v>Pass</v>
      </c>
      <c r="I92" s="6">
        <f>IF(Benchmark1[[#This Row],[Comparable '#1 Date Check]]="Pass",INDEX(Comp1[Comparable '#1 Price],MATCH(Benchmark1[[#This Row],[Benchmark '#1 Dates]],Comp1[Comparable '#1 Dates],0)),"-")</f>
        <v>15.9</v>
      </c>
      <c r="J92" s="22">
        <f>IF(Benchmark1[[#This Row],[Comparable '#1 Date Check]]="Pass",INDEX(Comp1[Comparable '#1 Return],MATCH(Benchmark1[[#This Row],[Benchmark '#1 Dates]],Comp1[Comparable '#1 Dates],0)),"-")</f>
        <v>3.1496089028962013E-3</v>
      </c>
      <c r="K92" s="1">
        <f>IFERROR(IF(Benchmark1[[#This Row],[Comparable '#1 Date Check]]="Pass",Benchmark1[[#This Row],[Comparable '#1 Return]]-Benchmark1[[#This Row],[Benchmark '#1 Return]],"-"),"-")</f>
        <v>1.239182565207245E-2</v>
      </c>
      <c r="L92" s="1" t="str">
        <f>IF(COUNTIF(Comp2[Comparable '#2 Dates],Benchmark1[[#This Row],[Benchmark '#1 Dates]])=1,"Pass","Fail")</f>
        <v>Pass</v>
      </c>
      <c r="M92" s="6">
        <f>IF(Benchmark1[[#This Row],[Comparable '#2 Date Check]]="Pass",INDEX(Comp2[Comparable '#2 Price],MATCH(Benchmark1[[#This Row],[Benchmark '#1 Dates]],Comp2[Comparable '#2 Dates],0)),"-")</f>
        <v>58</v>
      </c>
      <c r="N92" s="22">
        <f>IF(Benchmark1[[#This Row],[Comparable '#2 Date Check]]="Pass",INDEX(Comp2[Comparable '#2 Return],MATCH(Benchmark1[[#This Row],[Benchmark '#1 Dates]],Comp2[Comparable '#2 Dates],0)),"-")</f>
        <v>2.2438949606718968E-3</v>
      </c>
      <c r="O92" s="1">
        <f>IFERROR(IF(Benchmark1[[#This Row],[Comparable '#2 Date Check]]="Pass",Benchmark1[[#This Row],[Comparable '#2 Return]]-Benchmark1[[#This Row],[Benchmark '#1 Return]],"-"),"-")</f>
        <v>1.1486111709848146E-2</v>
      </c>
      <c r="P92" s="1" t="str">
        <f>IF(COUNTIF(Comp3[Comparable '#3 Dates],Benchmark1[[#This Row],[Benchmark '#1 Dates]])=1,"Pass","Fail")</f>
        <v>Pass</v>
      </c>
      <c r="Q92" s="6">
        <f>IF(Benchmark1[[#This Row],[Comparable '#3 Date Check]]="Pass",INDEX(Comp3[Comparable '#3 Price],MATCH(Benchmark1[[#This Row],[Benchmark '#1 Dates]],Comp3[Comparable '#3 Dates],0)),"-")</f>
        <v>140.33000000000001</v>
      </c>
      <c r="R92" s="22">
        <f>IF(Benchmark1[[#This Row],[Comparable '#3 Date Check]]="Pass",INDEX(Comp3[Comparable '#3 Return],MATCH(Benchmark1[[#This Row],[Benchmark '#1 Dates]],Comp3[Comparable '#3 Dates],0)),"-")</f>
        <v>-6.8037523246918752E-2</v>
      </c>
      <c r="S92" s="1">
        <f>IFERROR(IF(Benchmark1[[#This Row],[Comparable '#3 Date Check]]="Pass",Benchmark1[[#This Row],[Comparable '#3 Return]]-Benchmark1[[#This Row],[Benchmark '#1 Return]],"-"),"-")</f>
        <v>-5.8795306497742506E-2</v>
      </c>
    </row>
    <row r="93" spans="1:19">
      <c r="A93" s="103">
        <v>43416</v>
      </c>
      <c r="B93" s="104">
        <v>2726.2158367041047</v>
      </c>
      <c r="C93" s="4">
        <f t="shared" si="1"/>
        <v>-1.9899360632201345E-2</v>
      </c>
      <c r="D93" s="1" t="str">
        <f>IF(COUNTIF(Target1[Target Dates],Benchmark1[[#This Row],[Benchmark '#1 Dates]])=1,"Pass","Fail")</f>
        <v>Pass</v>
      </c>
      <c r="E93" s="6">
        <f>IF(Benchmark1[[#This Row],[Target Date Check]]="Pass",INDEX(Target1[Target Price],MATCH(Benchmark1[[#This Row],[Benchmark '#1 Dates]],Target1[Target Dates],0)),"-")</f>
        <v>23.13</v>
      </c>
      <c r="F93" s="22">
        <f>IF(Benchmark1[[#This Row],[Target Date Check]]="Pass",INDEX(Target1[Target Return],MATCH(Benchmark1[[#This Row],[Benchmark '#1 Dates]],Target1[Target Dates],0)),"-")</f>
        <v>-2.5906750240926178E-3</v>
      </c>
      <c r="G93" s="1">
        <f>IFERROR(IF(Benchmark1[[#This Row],[Target Date Check]]="Pass",Benchmark1[[#This Row],[Target Return]]-Benchmark1[[#This Row],[Benchmark '#1 Return]],"-"),"-")</f>
        <v>1.7308685608108727E-2</v>
      </c>
      <c r="H93" s="1" t="str">
        <f>IF(COUNTIF(Comp1[Comparable '#1 Dates],Benchmark1[[#This Row],[Benchmark '#1 Dates]])=1,"Pass","Fail")</f>
        <v>Pass</v>
      </c>
      <c r="I93" s="6">
        <f>IF(Benchmark1[[#This Row],[Comparable '#1 Date Check]]="Pass",INDEX(Comp1[Comparable '#1 Price],MATCH(Benchmark1[[#This Row],[Benchmark '#1 Dates]],Comp1[Comparable '#1 Dates],0)),"-")</f>
        <v>15.93</v>
      </c>
      <c r="J93" s="22">
        <f>IF(Benchmark1[[#This Row],[Comparable '#1 Date Check]]="Pass",INDEX(Comp1[Comparable '#1 Return],MATCH(Benchmark1[[#This Row],[Benchmark '#1 Dates]],Comp1[Comparable '#1 Dates],0)),"-")</f>
        <v>1.8850146957712041E-3</v>
      </c>
      <c r="K93" s="1">
        <f>IFERROR(IF(Benchmark1[[#This Row],[Comparable '#1 Date Check]]="Pass",Benchmark1[[#This Row],[Comparable '#1 Return]]-Benchmark1[[#This Row],[Benchmark '#1 Return]],"-"),"-")</f>
        <v>2.178437532797255E-2</v>
      </c>
      <c r="L93" s="1" t="str">
        <f>IF(COUNTIF(Comp2[Comparable '#2 Dates],Benchmark1[[#This Row],[Benchmark '#1 Dates]])=1,"Pass","Fail")</f>
        <v>Pass</v>
      </c>
      <c r="M93" s="6">
        <f>IF(Benchmark1[[#This Row],[Comparable '#2 Date Check]]="Pass",INDEX(Comp2[Comparable '#2 Price],MATCH(Benchmark1[[#This Row],[Benchmark '#1 Dates]],Comp2[Comparable '#2 Dates],0)),"-")</f>
        <v>58.16</v>
      </c>
      <c r="N93" s="22">
        <f>IF(Benchmark1[[#This Row],[Comparable '#2 Date Check]]="Pass",INDEX(Comp2[Comparable '#2 Return],MATCH(Benchmark1[[#This Row],[Benchmark '#1 Dates]],Comp2[Comparable '#2 Dates],0)),"-")</f>
        <v>2.7548226788444621E-3</v>
      </c>
      <c r="O93" s="1">
        <f>IFERROR(IF(Benchmark1[[#This Row],[Comparable '#2 Date Check]]="Pass",Benchmark1[[#This Row],[Comparable '#2 Return]]-Benchmark1[[#This Row],[Benchmark '#1 Return]],"-"),"-")</f>
        <v>2.2654183311045809E-2</v>
      </c>
      <c r="P93" s="1" t="str">
        <f>IF(COUNTIF(Comp3[Comparable '#3 Dates],Benchmark1[[#This Row],[Benchmark '#1 Dates]])=1,"Pass","Fail")</f>
        <v>Pass</v>
      </c>
      <c r="Q93" s="6">
        <f>IF(Benchmark1[[#This Row],[Comparable '#3 Date Check]]="Pass",INDEX(Comp3[Comparable '#3 Price],MATCH(Benchmark1[[#This Row],[Benchmark '#1 Dates]],Comp3[Comparable '#3 Dates],0)),"-")</f>
        <v>144.09</v>
      </c>
      <c r="R93" s="22">
        <f>IF(Benchmark1[[#This Row],[Comparable '#3 Date Check]]="Pass",INDEX(Comp3[Comparable '#3 Return],MATCH(Benchmark1[[#This Row],[Benchmark '#1 Dates]],Comp3[Comparable '#3 Dates],0)),"-")</f>
        <v>2.6441312581798285E-2</v>
      </c>
      <c r="S93" s="1">
        <f>IFERROR(IF(Benchmark1[[#This Row],[Comparable '#3 Date Check]]="Pass",Benchmark1[[#This Row],[Comparable '#3 Return]]-Benchmark1[[#This Row],[Benchmark '#1 Return]],"-"),"-")</f>
        <v>4.6340673213999629E-2</v>
      </c>
    </row>
    <row r="94" spans="1:19">
      <c r="A94" s="103">
        <v>43417</v>
      </c>
      <c r="B94" s="104">
        <v>2722.1819896261986</v>
      </c>
      <c r="C94" s="4">
        <f t="shared" si="1"/>
        <v>-1.4807464298830686E-3</v>
      </c>
      <c r="D94" s="1" t="str">
        <f>IF(COUNTIF(Target1[Target Dates],Benchmark1[[#This Row],[Benchmark '#1 Dates]])=1,"Pass","Fail")</f>
        <v>Pass</v>
      </c>
      <c r="E94" s="6">
        <f>IF(Benchmark1[[#This Row],[Target Date Check]]="Pass",INDEX(Target1[Target Price],MATCH(Benchmark1[[#This Row],[Benchmark '#1 Dates]],Target1[Target Dates],0)),"-")</f>
        <v>23.21</v>
      </c>
      <c r="F94" s="22">
        <f>IF(Benchmark1[[#This Row],[Target Date Check]]="Pass",INDEX(Target1[Target Return],MATCH(Benchmark1[[#This Row],[Benchmark '#1 Dates]],Target1[Target Dates],0)),"-")</f>
        <v>3.4527440429978464E-3</v>
      </c>
      <c r="G94" s="1">
        <f>IFERROR(IF(Benchmark1[[#This Row],[Target Date Check]]="Pass",Benchmark1[[#This Row],[Target Return]]-Benchmark1[[#This Row],[Benchmark '#1 Return]],"-"),"-")</f>
        <v>4.9334904728809154E-3</v>
      </c>
      <c r="H94" s="1" t="str">
        <f>IF(COUNTIF(Comp1[Comparable '#1 Dates],Benchmark1[[#This Row],[Benchmark '#1 Dates]])=1,"Pass","Fail")</f>
        <v>Pass</v>
      </c>
      <c r="I94" s="6">
        <f>IF(Benchmark1[[#This Row],[Comparable '#1 Date Check]]="Pass",INDEX(Comp1[Comparable '#1 Price],MATCH(Benchmark1[[#This Row],[Benchmark '#1 Dates]],Comp1[Comparable '#1 Dates],0)),"-")</f>
        <v>15.53</v>
      </c>
      <c r="J94" s="22">
        <f>IF(Benchmark1[[#This Row],[Comparable '#1 Date Check]]="Pass",INDEX(Comp1[Comparable '#1 Return],MATCH(Benchmark1[[#This Row],[Benchmark '#1 Dates]],Comp1[Comparable '#1 Dates],0)),"-")</f>
        <v>-2.5430486761361497E-2</v>
      </c>
      <c r="K94" s="1">
        <f>IFERROR(IF(Benchmark1[[#This Row],[Comparable '#1 Date Check]]="Pass",Benchmark1[[#This Row],[Comparable '#1 Return]]-Benchmark1[[#This Row],[Benchmark '#1 Return]],"-"),"-")</f>
        <v>-2.3949740331478429E-2</v>
      </c>
      <c r="L94" s="1" t="str">
        <f>IF(COUNTIF(Comp2[Comparable '#2 Dates],Benchmark1[[#This Row],[Benchmark '#1 Dates]])=1,"Pass","Fail")</f>
        <v>Pass</v>
      </c>
      <c r="M94" s="6">
        <f>IF(Benchmark1[[#This Row],[Comparable '#2 Date Check]]="Pass",INDEX(Comp2[Comparable '#2 Price],MATCH(Benchmark1[[#This Row],[Benchmark '#1 Dates]],Comp2[Comparable '#2 Dates],0)),"-")</f>
        <v>57.74</v>
      </c>
      <c r="N94" s="22">
        <f>IF(Benchmark1[[#This Row],[Comparable '#2 Date Check]]="Pass",INDEX(Comp2[Comparable '#2 Return],MATCH(Benchmark1[[#This Row],[Benchmark '#1 Dates]],Comp2[Comparable '#2 Dates],0)),"-")</f>
        <v>-7.2476589904747896E-3</v>
      </c>
      <c r="O94" s="1">
        <f>IFERROR(IF(Benchmark1[[#This Row],[Comparable '#2 Date Check]]="Pass",Benchmark1[[#This Row],[Comparable '#2 Return]]-Benchmark1[[#This Row],[Benchmark '#1 Return]],"-"),"-")</f>
        <v>-5.7669125605917214E-3</v>
      </c>
      <c r="P94" s="1" t="str">
        <f>IF(COUNTIF(Comp3[Comparable '#3 Dates],Benchmark1[[#This Row],[Benchmark '#1 Dates]])=1,"Pass","Fail")</f>
        <v>Pass</v>
      </c>
      <c r="Q94" s="6">
        <f>IF(Benchmark1[[#This Row],[Comparable '#3 Date Check]]="Pass",INDEX(Comp3[Comparable '#3 Price],MATCH(Benchmark1[[#This Row],[Benchmark '#1 Dates]],Comp3[Comparable '#3 Dates],0)),"-")</f>
        <v>142.56</v>
      </c>
      <c r="R94" s="22">
        <f>IF(Benchmark1[[#This Row],[Comparable '#3 Date Check]]="Pass",INDEX(Comp3[Comparable '#3 Return],MATCH(Benchmark1[[#This Row],[Benchmark '#1 Dates]],Comp3[Comparable '#3 Dates],0)),"-")</f>
        <v>-1.0675140622343484E-2</v>
      </c>
      <c r="S94" s="1">
        <f>IFERROR(IF(Benchmark1[[#This Row],[Comparable '#3 Date Check]]="Pass",Benchmark1[[#This Row],[Comparable '#3 Return]]-Benchmark1[[#This Row],[Benchmark '#1 Return]],"-"),"-")</f>
        <v>-9.1943941924604155E-3</v>
      </c>
    </row>
    <row r="95" spans="1:19">
      <c r="A95" s="103">
        <v>43418</v>
      </c>
      <c r="B95" s="104">
        <v>2701.5761416005184</v>
      </c>
      <c r="C95" s="4">
        <f t="shared" si="1"/>
        <v>-7.5984019449751167E-3</v>
      </c>
      <c r="D95" s="1" t="str">
        <f>IF(COUNTIF(Target1[Target Dates],Benchmark1[[#This Row],[Benchmark '#1 Dates]])=1,"Pass","Fail")</f>
        <v>Pass</v>
      </c>
      <c r="E95" s="6">
        <f>IF(Benchmark1[[#This Row],[Target Date Check]]="Pass",INDEX(Target1[Target Price],MATCH(Benchmark1[[#This Row],[Benchmark '#1 Dates]],Target1[Target Dates],0)),"-")</f>
        <v>23.2</v>
      </c>
      <c r="F95" s="22">
        <f>IF(Benchmark1[[#This Row],[Target Date Check]]="Pass",INDEX(Target1[Target Return],MATCH(Benchmark1[[#This Row],[Benchmark '#1 Dates]],Target1[Target Dates],0)),"-")</f>
        <v>-4.3094161408150576E-4</v>
      </c>
      <c r="G95" s="1">
        <f>IFERROR(IF(Benchmark1[[#This Row],[Target Date Check]]="Pass",Benchmark1[[#This Row],[Target Return]]-Benchmark1[[#This Row],[Benchmark '#1 Return]],"-"),"-")</f>
        <v>7.1674603308936108E-3</v>
      </c>
      <c r="H95" s="1" t="str">
        <f>IF(COUNTIF(Comp1[Comparable '#1 Dates],Benchmark1[[#This Row],[Benchmark '#1 Dates]])=1,"Pass","Fail")</f>
        <v>Pass</v>
      </c>
      <c r="I95" s="6">
        <f>IF(Benchmark1[[#This Row],[Comparable '#1 Date Check]]="Pass",INDEX(Comp1[Comparable '#1 Price],MATCH(Benchmark1[[#This Row],[Benchmark '#1 Dates]],Comp1[Comparable '#1 Dates],0)),"-")</f>
        <v>14.135</v>
      </c>
      <c r="J95" s="22">
        <f>IF(Benchmark1[[#This Row],[Comparable '#1 Date Check]]="Pass",INDEX(Comp1[Comparable '#1 Return],MATCH(Benchmark1[[#This Row],[Benchmark '#1 Dates]],Comp1[Comparable '#1 Dates],0)),"-")</f>
        <v>-9.4119646015042038E-2</v>
      </c>
      <c r="K95" s="1">
        <f>IFERROR(IF(Benchmark1[[#This Row],[Comparable '#1 Date Check]]="Pass",Benchmark1[[#This Row],[Comparable '#1 Return]]-Benchmark1[[#This Row],[Benchmark '#1 Return]],"-"),"-")</f>
        <v>-8.6521244070066922E-2</v>
      </c>
      <c r="L95" s="1" t="str">
        <f>IF(COUNTIF(Comp2[Comparable '#2 Dates],Benchmark1[[#This Row],[Benchmark '#1 Dates]])=1,"Pass","Fail")</f>
        <v>Pass</v>
      </c>
      <c r="M95" s="6">
        <f>IF(Benchmark1[[#This Row],[Comparable '#2 Date Check]]="Pass",INDEX(Comp2[Comparable '#2 Price],MATCH(Benchmark1[[#This Row],[Benchmark '#1 Dates]],Comp2[Comparable '#2 Dates],0)),"-")</f>
        <v>57.02</v>
      </c>
      <c r="N95" s="22">
        <f>IF(Benchmark1[[#This Row],[Comparable '#2 Date Check]]="Pass",INDEX(Comp2[Comparable '#2 Return],MATCH(Benchmark1[[#This Row],[Benchmark '#1 Dates]],Comp2[Comparable '#2 Dates],0)),"-")</f>
        <v>-1.2548090750263129E-2</v>
      </c>
      <c r="O95" s="1">
        <f>IFERROR(IF(Benchmark1[[#This Row],[Comparable '#2 Date Check]]="Pass",Benchmark1[[#This Row],[Comparable '#2 Return]]-Benchmark1[[#This Row],[Benchmark '#1 Return]],"-"),"-")</f>
        <v>-4.9496888052880123E-3</v>
      </c>
      <c r="P95" s="1" t="str">
        <f>IF(COUNTIF(Comp3[Comparable '#3 Dates],Benchmark1[[#This Row],[Benchmark '#1 Dates]])=1,"Pass","Fail")</f>
        <v>Pass</v>
      </c>
      <c r="Q95" s="6">
        <f>IF(Benchmark1[[#This Row],[Comparable '#3 Date Check]]="Pass",INDEX(Comp3[Comparable '#3 Price],MATCH(Benchmark1[[#This Row],[Benchmark '#1 Dates]],Comp3[Comparable '#3 Dates],0)),"-")</f>
        <v>137.88999999999999</v>
      </c>
      <c r="R95" s="22">
        <f>IF(Benchmark1[[#This Row],[Comparable '#3 Date Check]]="Pass",INDEX(Comp3[Comparable '#3 Return],MATCH(Benchmark1[[#This Row],[Benchmark '#1 Dates]],Comp3[Comparable '#3 Dates],0)),"-")</f>
        <v>-3.3306697868849447E-2</v>
      </c>
      <c r="S95" s="1">
        <f>IFERROR(IF(Benchmark1[[#This Row],[Comparable '#3 Date Check]]="Pass",Benchmark1[[#This Row],[Comparable '#3 Return]]-Benchmark1[[#This Row],[Benchmark '#1 Return]],"-"),"-")</f>
        <v>-2.570829592387433E-2</v>
      </c>
    </row>
    <row r="96" spans="1:19">
      <c r="A96" s="103">
        <v>43419</v>
      </c>
      <c r="B96" s="104">
        <v>2730.2025202453119</v>
      </c>
      <c r="C96" s="4">
        <f t="shared" si="1"/>
        <v>1.054043084618568E-2</v>
      </c>
      <c r="D96" s="1" t="str">
        <f>IF(COUNTIF(Target1[Target Dates],Benchmark1[[#This Row],[Benchmark '#1 Dates]])=1,"Pass","Fail")</f>
        <v>Pass</v>
      </c>
      <c r="E96" s="6">
        <f>IF(Benchmark1[[#This Row],[Target Date Check]]="Pass",INDEX(Target1[Target Price],MATCH(Benchmark1[[#This Row],[Benchmark '#1 Dates]],Target1[Target Dates],0)),"-")</f>
        <v>23.01</v>
      </c>
      <c r="F96" s="22">
        <f>IF(Benchmark1[[#This Row],[Target Date Check]]="Pass",INDEX(Target1[Target Return],MATCH(Benchmark1[[#This Row],[Benchmark '#1 Dates]],Target1[Target Dates],0)),"-")</f>
        <v>-8.2233746249896246E-3</v>
      </c>
      <c r="G96" s="1">
        <f>IFERROR(IF(Benchmark1[[#This Row],[Target Date Check]]="Pass",Benchmark1[[#This Row],[Target Return]]-Benchmark1[[#This Row],[Benchmark '#1 Return]],"-"),"-")</f>
        <v>-1.8763805471175305E-2</v>
      </c>
      <c r="H96" s="1" t="str">
        <f>IF(COUNTIF(Comp1[Comparable '#1 Dates],Benchmark1[[#This Row],[Benchmark '#1 Dates]])=1,"Pass","Fail")</f>
        <v>Pass</v>
      </c>
      <c r="I96" s="6">
        <f>IF(Benchmark1[[#This Row],[Comparable '#1 Date Check]]="Pass",INDEX(Comp1[Comparable '#1 Price],MATCH(Benchmark1[[#This Row],[Benchmark '#1 Dates]],Comp1[Comparable '#1 Dates],0)),"-")</f>
        <v>14.46</v>
      </c>
      <c r="J96" s="22">
        <f>IF(Benchmark1[[#This Row],[Comparable '#1 Date Check]]="Pass",INDEX(Comp1[Comparable '#1 Return],MATCH(Benchmark1[[#This Row],[Benchmark '#1 Dates]],Comp1[Comparable '#1 Dates],0)),"-")</f>
        <v>2.273222558506504E-2</v>
      </c>
      <c r="K96" s="1">
        <f>IFERROR(IF(Benchmark1[[#This Row],[Comparable '#1 Date Check]]="Pass",Benchmark1[[#This Row],[Comparable '#1 Return]]-Benchmark1[[#This Row],[Benchmark '#1 Return]],"-"),"-")</f>
        <v>1.2191794738879359E-2</v>
      </c>
      <c r="L96" s="1" t="str">
        <f>IF(COUNTIF(Comp2[Comparable '#2 Dates],Benchmark1[[#This Row],[Benchmark '#1 Dates]])=1,"Pass","Fail")</f>
        <v>Pass</v>
      </c>
      <c r="M96" s="6">
        <f>IF(Benchmark1[[#This Row],[Comparable '#2 Date Check]]="Pass",INDEX(Comp2[Comparable '#2 Price],MATCH(Benchmark1[[#This Row],[Benchmark '#1 Dates]],Comp2[Comparable '#2 Dates],0)),"-")</f>
        <v>57.71</v>
      </c>
      <c r="N96" s="22">
        <f>IF(Benchmark1[[#This Row],[Comparable '#2 Date Check]]="Pass",INDEX(Comp2[Comparable '#2 Return],MATCH(Benchmark1[[#This Row],[Benchmark '#1 Dates]],Comp2[Comparable '#2 Dates],0)),"-")</f>
        <v>1.2028385238349175E-2</v>
      </c>
      <c r="O96" s="1">
        <f>IFERROR(IF(Benchmark1[[#This Row],[Comparable '#2 Date Check]]="Pass",Benchmark1[[#This Row],[Comparable '#2 Return]]-Benchmark1[[#This Row],[Benchmark '#1 Return]],"-"),"-")</f>
        <v>1.4879543921634941E-3</v>
      </c>
      <c r="P96" s="1" t="str">
        <f>IF(COUNTIF(Comp3[Comparable '#3 Dates],Benchmark1[[#This Row],[Benchmark '#1 Dates]])=1,"Pass","Fail")</f>
        <v>Pass</v>
      </c>
      <c r="Q96" s="6">
        <f>IF(Benchmark1[[#This Row],[Comparable '#3 Date Check]]="Pass",INDEX(Comp3[Comparable '#3 Price],MATCH(Benchmark1[[#This Row],[Benchmark '#1 Dates]],Comp3[Comparable '#3 Dates],0)),"-")</f>
        <v>138.82</v>
      </c>
      <c r="R96" s="22">
        <f>IF(Benchmark1[[#This Row],[Comparable '#3 Date Check]]="Pass",INDEX(Comp3[Comparable '#3 Return],MATCH(Benchmark1[[#This Row],[Benchmark '#1 Dates]],Comp3[Comparable '#3 Dates],0)),"-")</f>
        <v>6.7218640577878849E-3</v>
      </c>
      <c r="S96" s="1">
        <f>IFERROR(IF(Benchmark1[[#This Row],[Comparable '#3 Date Check]]="Pass",Benchmark1[[#This Row],[Comparable '#3 Return]]-Benchmark1[[#This Row],[Benchmark '#1 Return]],"-"),"-")</f>
        <v>-3.8185667883977956E-3</v>
      </c>
    </row>
    <row r="97" spans="1:19">
      <c r="A97" s="103">
        <v>43420</v>
      </c>
      <c r="B97" s="104">
        <v>2736.2689880356529</v>
      </c>
      <c r="C97" s="4">
        <f t="shared" si="1"/>
        <v>2.2195195828135961E-3</v>
      </c>
      <c r="D97" s="1" t="str">
        <f>IF(COUNTIF(Target1[Target Dates],Benchmark1[[#This Row],[Benchmark '#1 Dates]])=1,"Pass","Fail")</f>
        <v>Pass</v>
      </c>
      <c r="E97" s="6">
        <f>IF(Benchmark1[[#This Row],[Target Date Check]]="Pass",INDEX(Target1[Target Price],MATCH(Benchmark1[[#This Row],[Benchmark '#1 Dates]],Target1[Target Dates],0)),"-")</f>
        <v>22.7</v>
      </c>
      <c r="F97" s="22">
        <f>IF(Benchmark1[[#This Row],[Target Date Check]]="Pass",INDEX(Target1[Target Return],MATCH(Benchmark1[[#This Row],[Benchmark '#1 Dates]],Target1[Target Dates],0)),"-")</f>
        <v>-1.3563979559917626E-2</v>
      </c>
      <c r="G97" s="1">
        <f>IFERROR(IF(Benchmark1[[#This Row],[Target Date Check]]="Pass",Benchmark1[[#This Row],[Target Return]]-Benchmark1[[#This Row],[Benchmark '#1 Return]],"-"),"-")</f>
        <v>-1.5783499142731222E-2</v>
      </c>
      <c r="H97" s="1" t="str">
        <f>IF(COUNTIF(Comp1[Comparable '#1 Dates],Benchmark1[[#This Row],[Benchmark '#1 Dates]])=1,"Pass","Fail")</f>
        <v>Pass</v>
      </c>
      <c r="I97" s="6">
        <f>IF(Benchmark1[[#This Row],[Comparable '#1 Date Check]]="Pass",INDEX(Comp1[Comparable '#1 Price],MATCH(Benchmark1[[#This Row],[Benchmark '#1 Dates]],Comp1[Comparable '#1 Dates],0)),"-")</f>
        <v>14.88</v>
      </c>
      <c r="J97" s="22">
        <f>IF(Benchmark1[[#This Row],[Comparable '#1 Date Check]]="Pass",INDEX(Comp1[Comparable '#1 Return],MATCH(Benchmark1[[#This Row],[Benchmark '#1 Dates]],Comp1[Comparable '#1 Dates],0)),"-")</f>
        <v>2.863181267432708E-2</v>
      </c>
      <c r="K97" s="1">
        <f>IFERROR(IF(Benchmark1[[#This Row],[Comparable '#1 Date Check]]="Pass",Benchmark1[[#This Row],[Comparable '#1 Return]]-Benchmark1[[#This Row],[Benchmark '#1 Return]],"-"),"-")</f>
        <v>2.6412293091513484E-2</v>
      </c>
      <c r="L97" s="1" t="str">
        <f>IF(COUNTIF(Comp2[Comparable '#2 Dates],Benchmark1[[#This Row],[Benchmark '#1 Dates]])=1,"Pass","Fail")</f>
        <v>Pass</v>
      </c>
      <c r="M97" s="6">
        <f>IF(Benchmark1[[#This Row],[Comparable '#2 Date Check]]="Pass",INDEX(Comp2[Comparable '#2 Price],MATCH(Benchmark1[[#This Row],[Benchmark '#1 Dates]],Comp2[Comparable '#2 Dates],0)),"-")</f>
        <v>57.54</v>
      </c>
      <c r="N97" s="22">
        <f>IF(Benchmark1[[#This Row],[Comparable '#2 Date Check]]="Pass",INDEX(Comp2[Comparable '#2 Return],MATCH(Benchmark1[[#This Row],[Benchmark '#1 Dates]],Comp2[Comparable '#2 Dates],0)),"-")</f>
        <v>-2.9501105994731948E-3</v>
      </c>
      <c r="O97" s="1">
        <f>IFERROR(IF(Benchmark1[[#This Row],[Comparable '#2 Date Check]]="Pass",Benchmark1[[#This Row],[Comparable '#2 Return]]-Benchmark1[[#This Row],[Benchmark '#1 Return]],"-"),"-")</f>
        <v>-5.1696301822867913E-3</v>
      </c>
      <c r="P97" s="1" t="str">
        <f>IF(COUNTIF(Comp3[Comparable '#3 Dates],Benchmark1[[#This Row],[Benchmark '#1 Dates]])=1,"Pass","Fail")</f>
        <v>Pass</v>
      </c>
      <c r="Q97" s="6">
        <f>IF(Benchmark1[[#This Row],[Comparable '#3 Date Check]]="Pass",INDEX(Comp3[Comparable '#3 Price],MATCH(Benchmark1[[#This Row],[Benchmark '#1 Dates]],Comp3[Comparable '#3 Dates],0)),"-")</f>
        <v>134.18</v>
      </c>
      <c r="R97" s="22">
        <f>IF(Benchmark1[[#This Row],[Comparable '#3 Date Check]]="Pass",INDEX(Comp3[Comparable '#3 Return],MATCH(Benchmark1[[#This Row],[Benchmark '#1 Dates]],Comp3[Comparable '#3 Dates],0)),"-")</f>
        <v>-3.3995947776695547E-2</v>
      </c>
      <c r="S97" s="1">
        <f>IFERROR(IF(Benchmark1[[#This Row],[Comparable '#3 Date Check]]="Pass",Benchmark1[[#This Row],[Comparable '#3 Return]]-Benchmark1[[#This Row],[Benchmark '#1 Return]],"-"),"-")</f>
        <v>-3.6215467359509146E-2</v>
      </c>
    </row>
    <row r="98" spans="1:19">
      <c r="A98" s="103">
        <v>43423</v>
      </c>
      <c r="B98" s="104">
        <v>2690.7312158320915</v>
      </c>
      <c r="C98" s="4">
        <f t="shared" si="1"/>
        <v>-1.6782325146047179E-2</v>
      </c>
      <c r="D98" s="1" t="str">
        <f>IF(COUNTIF(Target1[Target Dates],Benchmark1[[#This Row],[Benchmark '#1 Dates]])=1,"Pass","Fail")</f>
        <v>Pass</v>
      </c>
      <c r="E98" s="6">
        <f>IF(Benchmark1[[#This Row],[Target Date Check]]="Pass",INDEX(Target1[Target Price],MATCH(Benchmark1[[#This Row],[Benchmark '#1 Dates]],Target1[Target Dates],0)),"-")</f>
        <v>22.83</v>
      </c>
      <c r="F98" s="22">
        <f>IF(Benchmark1[[#This Row],[Target Date Check]]="Pass",INDEX(Target1[Target Return],MATCH(Benchmark1[[#This Row],[Benchmark '#1 Dates]],Target1[Target Dates],0)),"-")</f>
        <v>5.7105360543472355E-3</v>
      </c>
      <c r="G98" s="1">
        <f>IFERROR(IF(Benchmark1[[#This Row],[Target Date Check]]="Pass",Benchmark1[[#This Row],[Target Return]]-Benchmark1[[#This Row],[Benchmark '#1 Return]],"-"),"-")</f>
        <v>2.2492861200394412E-2</v>
      </c>
      <c r="H98" s="1" t="str">
        <f>IF(COUNTIF(Comp1[Comparable '#1 Dates],Benchmark1[[#This Row],[Benchmark '#1 Dates]])=1,"Pass","Fail")</f>
        <v>Pass</v>
      </c>
      <c r="I98" s="6">
        <f>IF(Benchmark1[[#This Row],[Comparable '#1 Date Check]]="Pass",INDEX(Comp1[Comparable '#1 Price],MATCH(Benchmark1[[#This Row],[Benchmark '#1 Dates]],Comp1[Comparable '#1 Dates],0)),"-")</f>
        <v>14.99</v>
      </c>
      <c r="J98" s="22">
        <f>IF(Benchmark1[[#This Row],[Comparable '#1 Date Check]]="Pass",INDEX(Comp1[Comparable '#1 Return],MATCH(Benchmark1[[#This Row],[Benchmark '#1 Dates]],Comp1[Comparable '#1 Dates],0)),"-")</f>
        <v>7.3652827095604676E-3</v>
      </c>
      <c r="K98" s="1">
        <f>IFERROR(IF(Benchmark1[[#This Row],[Comparable '#1 Date Check]]="Pass",Benchmark1[[#This Row],[Comparable '#1 Return]]-Benchmark1[[#This Row],[Benchmark '#1 Return]],"-"),"-")</f>
        <v>2.4147607855607645E-2</v>
      </c>
      <c r="L98" s="1" t="str">
        <f>IF(COUNTIF(Comp2[Comparable '#2 Dates],Benchmark1[[#This Row],[Benchmark '#1 Dates]])=1,"Pass","Fail")</f>
        <v>Pass</v>
      </c>
      <c r="M98" s="6">
        <f>IF(Benchmark1[[#This Row],[Comparable '#2 Date Check]]="Pass",INDEX(Comp2[Comparable '#2 Price],MATCH(Benchmark1[[#This Row],[Benchmark '#1 Dates]],Comp2[Comparable '#2 Dates],0)),"-")</f>
        <v>56.24</v>
      </c>
      <c r="N98" s="22">
        <f>IF(Benchmark1[[#This Row],[Comparable '#2 Date Check]]="Pass",INDEX(Comp2[Comparable '#2 Return],MATCH(Benchmark1[[#This Row],[Benchmark '#1 Dates]],Comp2[Comparable '#2 Dates],0)),"-")</f>
        <v>-2.285211062099236E-2</v>
      </c>
      <c r="O98" s="1">
        <f>IFERROR(IF(Benchmark1[[#This Row],[Comparable '#2 Date Check]]="Pass",Benchmark1[[#This Row],[Comparable '#2 Return]]-Benchmark1[[#This Row],[Benchmark '#1 Return]],"-"),"-")</f>
        <v>-6.0697854749451816E-3</v>
      </c>
      <c r="P98" s="1" t="str">
        <f>IF(COUNTIF(Comp3[Comparable '#3 Dates],Benchmark1[[#This Row],[Benchmark '#1 Dates]])=1,"Pass","Fail")</f>
        <v>Pass</v>
      </c>
      <c r="Q98" s="6">
        <f>IF(Benchmark1[[#This Row],[Comparable '#3 Date Check]]="Pass",INDEX(Comp3[Comparable '#3 Price],MATCH(Benchmark1[[#This Row],[Benchmark '#1 Dates]],Comp3[Comparable '#3 Dates],0)),"-")</f>
        <v>129.16999999999999</v>
      </c>
      <c r="R98" s="22">
        <f>IF(Benchmark1[[#This Row],[Comparable '#3 Date Check]]="Pass",INDEX(Comp3[Comparable '#3 Return],MATCH(Benchmark1[[#This Row],[Benchmark '#1 Dates]],Comp3[Comparable '#3 Dates],0)),"-")</f>
        <v>-3.8052815890818006E-2</v>
      </c>
      <c r="S98" s="1">
        <f>IFERROR(IF(Benchmark1[[#This Row],[Comparable '#3 Date Check]]="Pass",Benchmark1[[#This Row],[Comparable '#3 Return]]-Benchmark1[[#This Row],[Benchmark '#1 Return]],"-"),"-")</f>
        <v>-2.1270490744770828E-2</v>
      </c>
    </row>
    <row r="99" spans="1:19">
      <c r="A99" s="103">
        <v>43424</v>
      </c>
      <c r="B99" s="104">
        <v>2641.8902979657269</v>
      </c>
      <c r="C99" s="4">
        <f t="shared" si="1"/>
        <v>-1.8318301228717498E-2</v>
      </c>
      <c r="D99" s="1" t="str">
        <f>IF(COUNTIF(Target1[Target Dates],Benchmark1[[#This Row],[Benchmark '#1 Dates]])=1,"Pass","Fail")</f>
        <v>Pass</v>
      </c>
      <c r="E99" s="6">
        <f>IF(Benchmark1[[#This Row],[Target Date Check]]="Pass",INDEX(Target1[Target Price],MATCH(Benchmark1[[#This Row],[Benchmark '#1 Dates]],Target1[Target Dates],0)),"-")</f>
        <v>22.89</v>
      </c>
      <c r="F99" s="22">
        <f>IF(Benchmark1[[#This Row],[Target Date Check]]="Pass",INDEX(Target1[Target Return],MATCH(Benchmark1[[#This Row],[Benchmark '#1 Dates]],Target1[Target Dates],0)),"-")</f>
        <v>2.6246734227713016E-3</v>
      </c>
      <c r="G99" s="1">
        <f>IFERROR(IF(Benchmark1[[#This Row],[Target Date Check]]="Pass",Benchmark1[[#This Row],[Target Return]]-Benchmark1[[#This Row],[Benchmark '#1 Return]],"-"),"-")</f>
        <v>2.09429746514888E-2</v>
      </c>
      <c r="H99" s="1" t="str">
        <f>IF(COUNTIF(Comp1[Comparable '#1 Dates],Benchmark1[[#This Row],[Benchmark '#1 Dates]])=1,"Pass","Fail")</f>
        <v>Pass</v>
      </c>
      <c r="I99" s="6">
        <f>IF(Benchmark1[[#This Row],[Comparable '#1 Date Check]]="Pass",INDEX(Comp1[Comparable '#1 Price],MATCH(Benchmark1[[#This Row],[Benchmark '#1 Dates]],Comp1[Comparable '#1 Dates],0)),"-")</f>
        <v>14.57</v>
      </c>
      <c r="J99" s="22">
        <f>IF(Benchmark1[[#This Row],[Comparable '#1 Date Check]]="Pass",INDEX(Comp1[Comparable '#1 Return],MATCH(Benchmark1[[#This Row],[Benchmark '#1 Dates]],Comp1[Comparable '#1 Dates],0)),"-")</f>
        <v>-2.8418691907392844E-2</v>
      </c>
      <c r="K99" s="1">
        <f>IFERROR(IF(Benchmark1[[#This Row],[Comparable '#1 Date Check]]="Pass",Benchmark1[[#This Row],[Comparable '#1 Return]]-Benchmark1[[#This Row],[Benchmark '#1 Return]],"-"),"-")</f>
        <v>-1.0100390678675346E-2</v>
      </c>
      <c r="L99" s="1" t="str">
        <f>IF(COUNTIF(Comp2[Comparable '#2 Dates],Benchmark1[[#This Row],[Benchmark '#1 Dates]])=1,"Pass","Fail")</f>
        <v>Pass</v>
      </c>
      <c r="M99" s="6">
        <f>IF(Benchmark1[[#This Row],[Comparable '#2 Date Check]]="Pass",INDEX(Comp2[Comparable '#2 Price],MATCH(Benchmark1[[#This Row],[Benchmark '#1 Dates]],Comp2[Comparable '#2 Dates],0)),"-")</f>
        <v>55.15</v>
      </c>
      <c r="N99" s="22">
        <f>IF(Benchmark1[[#This Row],[Comparable '#2 Date Check]]="Pass",INDEX(Comp2[Comparable '#2 Return],MATCH(Benchmark1[[#This Row],[Benchmark '#1 Dates]],Comp2[Comparable '#2 Dates],0)),"-")</f>
        <v>-1.9571501802898062E-2</v>
      </c>
      <c r="O99" s="1">
        <f>IFERROR(IF(Benchmark1[[#This Row],[Comparable '#2 Date Check]]="Pass",Benchmark1[[#This Row],[Comparable '#2 Return]]-Benchmark1[[#This Row],[Benchmark '#1 Return]],"-"),"-")</f>
        <v>-1.2532005741805637E-3</v>
      </c>
      <c r="P99" s="1" t="str">
        <f>IF(COUNTIF(Comp3[Comparable '#3 Dates],Benchmark1[[#This Row],[Benchmark '#1 Dates]])=1,"Pass","Fail")</f>
        <v>Pass</v>
      </c>
      <c r="Q99" s="6">
        <f>IF(Benchmark1[[#This Row],[Comparable '#3 Date Check]]="Pass",INDEX(Comp3[Comparable '#3 Price],MATCH(Benchmark1[[#This Row],[Benchmark '#1 Dates]],Comp3[Comparable '#3 Dates],0)),"-")</f>
        <v>128.54</v>
      </c>
      <c r="R99" s="22">
        <f>IF(Benchmark1[[#This Row],[Comparable '#3 Date Check]]="Pass",INDEX(Comp3[Comparable '#3 Return],MATCH(Benchmark1[[#This Row],[Benchmark '#1 Dates]],Comp3[Comparable '#3 Dates],0)),"-")</f>
        <v>-4.8892263007840426E-3</v>
      </c>
      <c r="S99" s="1">
        <f>IFERROR(IF(Benchmark1[[#This Row],[Comparable '#3 Date Check]]="Pass",Benchmark1[[#This Row],[Comparable '#3 Return]]-Benchmark1[[#This Row],[Benchmark '#1 Return]],"-"),"-")</f>
        <v>1.3429074927933455E-2</v>
      </c>
    </row>
    <row r="100" spans="1:19">
      <c r="A100" s="103">
        <v>43425</v>
      </c>
      <c r="B100" s="104">
        <v>2649.9290793202922</v>
      </c>
      <c r="C100" s="4">
        <f t="shared" si="1"/>
        <v>3.0381942258459267E-3</v>
      </c>
      <c r="D100" s="1" t="str">
        <f>IF(COUNTIF(Target1[Target Dates],Benchmark1[[#This Row],[Benchmark '#1 Dates]])=1,"Pass","Fail")</f>
        <v>Pass</v>
      </c>
      <c r="E100" s="6">
        <f>IF(Benchmark1[[#This Row],[Target Date Check]]="Pass",INDEX(Target1[Target Price],MATCH(Benchmark1[[#This Row],[Benchmark '#1 Dates]],Target1[Target Dates],0)),"-")</f>
        <v>23.13</v>
      </c>
      <c r="F100" s="22">
        <f>IF(Benchmark1[[#This Row],[Target Date Check]]="Pass",INDEX(Target1[Target Return],MATCH(Benchmark1[[#This Row],[Benchmark '#1 Dates]],Target1[Target Dates],0)),"-")</f>
        <v>1.0430342278872453E-2</v>
      </c>
      <c r="G100" s="1">
        <f>IFERROR(IF(Benchmark1[[#This Row],[Target Date Check]]="Pass",Benchmark1[[#This Row],[Target Return]]-Benchmark1[[#This Row],[Benchmark '#1 Return]],"-"),"-")</f>
        <v>7.392148053026527E-3</v>
      </c>
      <c r="H100" s="1" t="str">
        <f>IF(COUNTIF(Comp1[Comparable '#1 Dates],Benchmark1[[#This Row],[Benchmark '#1 Dates]])=1,"Pass","Fail")</f>
        <v>Pass</v>
      </c>
      <c r="I100" s="6">
        <f>IF(Benchmark1[[#This Row],[Comparable '#1 Date Check]]="Pass",INDEX(Comp1[Comparable '#1 Price],MATCH(Benchmark1[[#This Row],[Benchmark '#1 Dates]],Comp1[Comparable '#1 Dates],0)),"-")</f>
        <v>14.5</v>
      </c>
      <c r="J100" s="22">
        <f>IF(Benchmark1[[#This Row],[Comparable '#1 Date Check]]="Pass",INDEX(Comp1[Comparable '#1 Return],MATCH(Benchmark1[[#This Row],[Benchmark '#1 Dates]],Comp1[Comparable '#1 Dates],0)),"-")</f>
        <v>-4.8159707805848113E-3</v>
      </c>
      <c r="K100" s="1">
        <f>IFERROR(IF(Benchmark1[[#This Row],[Comparable '#1 Date Check]]="Pass",Benchmark1[[#This Row],[Comparable '#1 Return]]-Benchmark1[[#This Row],[Benchmark '#1 Return]],"-"),"-")</f>
        <v>-7.8541650064307376E-3</v>
      </c>
      <c r="L100" s="1" t="str">
        <f>IF(COUNTIF(Comp2[Comparable '#2 Dates],Benchmark1[[#This Row],[Benchmark '#1 Dates]])=1,"Pass","Fail")</f>
        <v>Pass</v>
      </c>
      <c r="M100" s="6">
        <f>IF(Benchmark1[[#This Row],[Comparable '#2 Date Check]]="Pass",INDEX(Comp2[Comparable '#2 Price],MATCH(Benchmark1[[#This Row],[Benchmark '#1 Dates]],Comp2[Comparable '#2 Dates],0)),"-")</f>
        <v>55.86</v>
      </c>
      <c r="N100" s="22">
        <f>IF(Benchmark1[[#This Row],[Comparable '#2 Date Check]]="Pass",INDEX(Comp2[Comparable '#2 Return],MATCH(Benchmark1[[#This Row],[Benchmark '#1 Dates]],Comp2[Comparable '#2 Dates],0)),"-")</f>
        <v>1.2791814817519231E-2</v>
      </c>
      <c r="O100" s="1">
        <f>IFERROR(IF(Benchmark1[[#This Row],[Comparable '#2 Date Check]]="Pass",Benchmark1[[#This Row],[Comparable '#2 Return]]-Benchmark1[[#This Row],[Benchmark '#1 Return]],"-"),"-")</f>
        <v>9.7536205916733051E-3</v>
      </c>
      <c r="P100" s="1" t="str">
        <f>IF(COUNTIF(Comp3[Comparable '#3 Dates],Benchmark1[[#This Row],[Benchmark '#1 Dates]])=1,"Pass","Fail")</f>
        <v>Pass</v>
      </c>
      <c r="Q100" s="6">
        <f>IF(Benchmark1[[#This Row],[Comparable '#3 Date Check]]="Pass",INDEX(Comp3[Comparable '#3 Price],MATCH(Benchmark1[[#This Row],[Benchmark '#1 Dates]],Comp3[Comparable '#3 Dates],0)),"-")</f>
        <v>130.24</v>
      </c>
      <c r="R100" s="22">
        <f>IF(Benchmark1[[#This Row],[Comparable '#3 Date Check]]="Pass",INDEX(Comp3[Comparable '#3 Return],MATCH(Benchmark1[[#This Row],[Benchmark '#1 Dates]],Comp3[Comparable '#3 Dates],0)),"-")</f>
        <v>1.3138762311090237E-2</v>
      </c>
      <c r="S100" s="1">
        <f>IFERROR(IF(Benchmark1[[#This Row],[Comparable '#3 Date Check]]="Pass",Benchmark1[[#This Row],[Comparable '#3 Return]]-Benchmark1[[#This Row],[Benchmark '#1 Return]],"-"),"-")</f>
        <v>1.0100568085244311E-2</v>
      </c>
    </row>
    <row r="101" spans="1:19">
      <c r="A101" s="103">
        <v>43427</v>
      </c>
      <c r="B101" s="104">
        <v>2632.5566345943107</v>
      </c>
      <c r="C101" s="4">
        <f t="shared" si="1"/>
        <v>-6.5773987087122884E-3</v>
      </c>
      <c r="D101" s="1" t="str">
        <f>IF(COUNTIF(Target1[Target Dates],Benchmark1[[#This Row],[Benchmark '#1 Dates]])=1,"Pass","Fail")</f>
        <v>Pass</v>
      </c>
      <c r="E101" s="6">
        <f>IF(Benchmark1[[#This Row],[Target Date Check]]="Pass",INDEX(Target1[Target Price],MATCH(Benchmark1[[#This Row],[Benchmark '#1 Dates]],Target1[Target Dates],0)),"-")</f>
        <v>23</v>
      </c>
      <c r="F101" s="22">
        <f>IF(Benchmark1[[#This Row],[Target Date Check]]="Pass",INDEX(Target1[Target Return],MATCH(Benchmark1[[#This Row],[Benchmark '#1 Dates]],Target1[Target Dates],0)),"-")</f>
        <v>-5.6362603141981021E-3</v>
      </c>
      <c r="G101" s="1">
        <f>IFERROR(IF(Benchmark1[[#This Row],[Target Date Check]]="Pass",Benchmark1[[#This Row],[Target Return]]-Benchmark1[[#This Row],[Benchmark '#1 Return]],"-"),"-")</f>
        <v>9.4113839451418629E-4</v>
      </c>
      <c r="H101" s="1" t="str">
        <f>IF(COUNTIF(Comp1[Comparable '#1 Dates],Benchmark1[[#This Row],[Benchmark '#1 Dates]])=1,"Pass","Fail")</f>
        <v>Pass</v>
      </c>
      <c r="I101" s="6">
        <f>IF(Benchmark1[[#This Row],[Comparable '#1 Date Check]]="Pass",INDEX(Comp1[Comparable '#1 Price],MATCH(Benchmark1[[#This Row],[Benchmark '#1 Dates]],Comp1[Comparable '#1 Dates],0)),"-")</f>
        <v>14.49</v>
      </c>
      <c r="J101" s="22">
        <f>IF(Benchmark1[[#This Row],[Comparable '#1 Date Check]]="Pass",INDEX(Comp1[Comparable '#1 Return],MATCH(Benchmark1[[#This Row],[Benchmark '#1 Dates]],Comp1[Comparable '#1 Dates],0)),"-")</f>
        <v>-6.8989309393773066E-4</v>
      </c>
      <c r="K101" s="1">
        <f>IFERROR(IF(Benchmark1[[#This Row],[Comparable '#1 Date Check]]="Pass",Benchmark1[[#This Row],[Comparable '#1 Return]]-Benchmark1[[#This Row],[Benchmark '#1 Return]],"-"),"-")</f>
        <v>5.887505614774558E-3</v>
      </c>
      <c r="L101" s="1" t="str">
        <f>IF(COUNTIF(Comp2[Comparable '#2 Dates],Benchmark1[[#This Row],[Benchmark '#1 Dates]])=1,"Pass","Fail")</f>
        <v>Pass</v>
      </c>
      <c r="M101" s="6">
        <f>IF(Benchmark1[[#This Row],[Comparable '#2 Date Check]]="Pass",INDEX(Comp2[Comparable '#2 Price],MATCH(Benchmark1[[#This Row],[Benchmark '#1 Dates]],Comp2[Comparable '#2 Dates],0)),"-")</f>
        <v>56.02</v>
      </c>
      <c r="N101" s="22">
        <f>IF(Benchmark1[[#This Row],[Comparable '#2 Date Check]]="Pass",INDEX(Comp2[Comparable '#2 Return],MATCH(Benchmark1[[#This Row],[Benchmark '#1 Dates]],Comp2[Comparable '#2 Dates],0)),"-")</f>
        <v>2.8602093149317307E-3</v>
      </c>
      <c r="O101" s="1">
        <f>IFERROR(IF(Benchmark1[[#This Row],[Comparable '#2 Date Check]]="Pass",Benchmark1[[#This Row],[Comparable '#2 Return]]-Benchmark1[[#This Row],[Benchmark '#1 Return]],"-"),"-")</f>
        <v>9.4376080236440191E-3</v>
      </c>
      <c r="P101" s="1" t="str">
        <f>IF(COUNTIF(Comp3[Comparable '#3 Dates],Benchmark1[[#This Row],[Benchmark '#1 Dates]])=1,"Pass","Fail")</f>
        <v>Pass</v>
      </c>
      <c r="Q101" s="6">
        <f>IF(Benchmark1[[#This Row],[Comparable '#3 Date Check]]="Pass",INDEX(Comp3[Comparable '#3 Price],MATCH(Benchmark1[[#This Row],[Benchmark '#1 Dates]],Comp3[Comparable '#3 Dates],0)),"-")</f>
        <v>128.31</v>
      </c>
      <c r="R101" s="22">
        <f>IF(Benchmark1[[#This Row],[Comparable '#3 Date Check]]="Pass",INDEX(Comp3[Comparable '#3 Return],MATCH(Benchmark1[[#This Row],[Benchmark '#1 Dates]],Comp3[Comparable '#3 Dates],0)),"-")</f>
        <v>-1.4929691347303251E-2</v>
      </c>
      <c r="S101" s="1">
        <f>IFERROR(IF(Benchmark1[[#This Row],[Comparable '#3 Date Check]]="Pass",Benchmark1[[#This Row],[Comparable '#3 Return]]-Benchmark1[[#This Row],[Benchmark '#1 Return]],"-"),"-")</f>
        <v>-8.3522926385909621E-3</v>
      </c>
    </row>
    <row r="102" spans="1:19">
      <c r="A102" s="103">
        <v>43430</v>
      </c>
      <c r="B102" s="104">
        <v>2673.4474145930994</v>
      </c>
      <c r="C102" s="4">
        <f t="shared" si="1"/>
        <v>1.5413327677104186E-2</v>
      </c>
      <c r="D102" s="1" t="str">
        <f>IF(COUNTIF(Target1[Target Dates],Benchmark1[[#This Row],[Benchmark '#1 Dates]])=1,"Pass","Fail")</f>
        <v>Pass</v>
      </c>
      <c r="E102" s="6">
        <f>IF(Benchmark1[[#This Row],[Target Date Check]]="Pass",INDEX(Target1[Target Price],MATCH(Benchmark1[[#This Row],[Benchmark '#1 Dates]],Target1[Target Dates],0)),"-")</f>
        <v>22.94</v>
      </c>
      <c r="F102" s="22">
        <f>IF(Benchmark1[[#This Row],[Target Date Check]]="Pass",INDEX(Target1[Target Return],MATCH(Benchmark1[[#This Row],[Benchmark '#1 Dates]],Target1[Target Dates],0)),"-")</f>
        <v>-2.612104227924955E-3</v>
      </c>
      <c r="G102" s="1">
        <f>IFERROR(IF(Benchmark1[[#This Row],[Target Date Check]]="Pass",Benchmark1[[#This Row],[Target Return]]-Benchmark1[[#This Row],[Benchmark '#1 Return]],"-"),"-")</f>
        <v>-1.802543190502914E-2</v>
      </c>
      <c r="H102" s="1" t="str">
        <f>IF(COUNTIF(Comp1[Comparable '#1 Dates],Benchmark1[[#This Row],[Benchmark '#1 Dates]])=1,"Pass","Fail")</f>
        <v>Pass</v>
      </c>
      <c r="I102" s="6">
        <f>IF(Benchmark1[[#This Row],[Comparable '#1 Date Check]]="Pass",INDEX(Comp1[Comparable '#1 Price],MATCH(Benchmark1[[#This Row],[Benchmark '#1 Dates]],Comp1[Comparable '#1 Dates],0)),"-")</f>
        <v>14.85</v>
      </c>
      <c r="J102" s="22">
        <f>IF(Benchmark1[[#This Row],[Comparable '#1 Date Check]]="Pass",INDEX(Comp1[Comparable '#1 Return],MATCH(Benchmark1[[#This Row],[Benchmark '#1 Dates]],Comp1[Comparable '#1 Dates],0)),"-")</f>
        <v>2.454110891611766E-2</v>
      </c>
      <c r="K102" s="1">
        <f>IFERROR(IF(Benchmark1[[#This Row],[Comparable '#1 Date Check]]="Pass",Benchmark1[[#This Row],[Comparable '#1 Return]]-Benchmark1[[#This Row],[Benchmark '#1 Return]],"-"),"-")</f>
        <v>9.1277812390134737E-3</v>
      </c>
      <c r="L102" s="1" t="str">
        <f>IF(COUNTIF(Comp2[Comparable '#2 Dates],Benchmark1[[#This Row],[Benchmark '#1 Dates]])=1,"Pass","Fail")</f>
        <v>Pass</v>
      </c>
      <c r="M102" s="6">
        <f>IF(Benchmark1[[#This Row],[Comparable '#2 Date Check]]="Pass",INDEX(Comp2[Comparable '#2 Price],MATCH(Benchmark1[[#This Row],[Benchmark '#1 Dates]],Comp2[Comparable '#2 Dates],0)),"-")</f>
        <v>55.93</v>
      </c>
      <c r="N102" s="22">
        <f>IF(Benchmark1[[#This Row],[Comparable '#2 Date Check]]="Pass",INDEX(Comp2[Comparable '#2 Return],MATCH(Benchmark1[[#This Row],[Benchmark '#1 Dates]],Comp2[Comparable '#2 Dates],0)),"-")</f>
        <v>-1.6078609984659033E-3</v>
      </c>
      <c r="O102" s="1">
        <f>IFERROR(IF(Benchmark1[[#This Row],[Comparable '#2 Date Check]]="Pass",Benchmark1[[#This Row],[Comparable '#2 Return]]-Benchmark1[[#This Row],[Benchmark '#1 Return]],"-"),"-")</f>
        <v>-1.7021188675570089E-2</v>
      </c>
      <c r="P102" s="1" t="str">
        <f>IF(COUNTIF(Comp3[Comparable '#3 Dates],Benchmark1[[#This Row],[Benchmark '#1 Dates]])=1,"Pass","Fail")</f>
        <v>Pass</v>
      </c>
      <c r="Q102" s="6">
        <f>IF(Benchmark1[[#This Row],[Comparable '#3 Date Check]]="Pass",INDEX(Comp3[Comparable '#3 Price],MATCH(Benchmark1[[#This Row],[Benchmark '#1 Dates]],Comp3[Comparable '#3 Dates],0)),"-")</f>
        <v>131.66999999999999</v>
      </c>
      <c r="R102" s="22">
        <f>IF(Benchmark1[[#This Row],[Comparable '#3 Date Check]]="Pass",INDEX(Comp3[Comparable '#3 Return],MATCH(Benchmark1[[#This Row],[Benchmark '#1 Dates]],Comp3[Comparable '#3 Dates],0)),"-")</f>
        <v>2.5849581461325311E-2</v>
      </c>
      <c r="S102" s="1">
        <f>IFERROR(IF(Benchmark1[[#This Row],[Comparable '#3 Date Check]]="Pass",Benchmark1[[#This Row],[Comparable '#3 Return]]-Benchmark1[[#This Row],[Benchmark '#1 Return]],"-"),"-")</f>
        <v>1.0436253784221125E-2</v>
      </c>
    </row>
    <row r="103" spans="1:19">
      <c r="A103" s="103">
        <v>43431</v>
      </c>
      <c r="B103" s="104">
        <v>2682.1697306202718</v>
      </c>
      <c r="C103" s="4">
        <f t="shared" si="1"/>
        <v>3.2572618626293599E-3</v>
      </c>
      <c r="D103" s="1" t="str">
        <f>IF(COUNTIF(Target1[Target Dates],Benchmark1[[#This Row],[Benchmark '#1 Dates]])=1,"Pass","Fail")</f>
        <v>Pass</v>
      </c>
      <c r="E103" s="6">
        <f>IF(Benchmark1[[#This Row],[Target Date Check]]="Pass",INDEX(Target1[Target Price],MATCH(Benchmark1[[#This Row],[Benchmark '#1 Dates]],Target1[Target Dates],0)),"-")</f>
        <v>22.99</v>
      </c>
      <c r="F103" s="22">
        <f>IF(Benchmark1[[#This Row],[Target Date Check]]="Pass",INDEX(Target1[Target Return],MATCH(Benchmark1[[#This Row],[Benchmark '#1 Dates]],Target1[Target Dates],0)),"-")</f>
        <v>2.1772270738653191E-3</v>
      </c>
      <c r="G103" s="1">
        <f>IFERROR(IF(Benchmark1[[#This Row],[Target Date Check]]="Pass",Benchmark1[[#This Row],[Target Return]]-Benchmark1[[#This Row],[Benchmark '#1 Return]],"-"),"-")</f>
        <v>-1.0800347887640407E-3</v>
      </c>
      <c r="H103" s="1" t="str">
        <f>IF(COUNTIF(Comp1[Comparable '#1 Dates],Benchmark1[[#This Row],[Benchmark '#1 Dates]])=1,"Pass","Fail")</f>
        <v>Pass</v>
      </c>
      <c r="I103" s="6">
        <f>IF(Benchmark1[[#This Row],[Comparable '#1 Date Check]]="Pass",INDEX(Comp1[Comparable '#1 Price],MATCH(Benchmark1[[#This Row],[Benchmark '#1 Dates]],Comp1[Comparable '#1 Dates],0)),"-")</f>
        <v>14.59</v>
      </c>
      <c r="J103" s="22">
        <f>IF(Benchmark1[[#This Row],[Comparable '#1 Date Check]]="Pass",INDEX(Comp1[Comparable '#1 Return],MATCH(Benchmark1[[#This Row],[Benchmark '#1 Dates]],Comp1[Comparable '#1 Dates],0)),"-")</f>
        <v>-1.7663502714014311E-2</v>
      </c>
      <c r="K103" s="1">
        <f>IFERROR(IF(Benchmark1[[#This Row],[Comparable '#1 Date Check]]="Pass",Benchmark1[[#This Row],[Comparable '#1 Return]]-Benchmark1[[#This Row],[Benchmark '#1 Return]],"-"),"-")</f>
        <v>-2.0920764576643672E-2</v>
      </c>
      <c r="L103" s="1" t="str">
        <f>IF(COUNTIF(Comp2[Comparable '#2 Dates],Benchmark1[[#This Row],[Benchmark '#1 Dates]])=1,"Pass","Fail")</f>
        <v>Pass</v>
      </c>
      <c r="M103" s="6">
        <f>IF(Benchmark1[[#This Row],[Comparable '#2 Date Check]]="Pass",INDEX(Comp2[Comparable '#2 Price],MATCH(Benchmark1[[#This Row],[Benchmark '#1 Dates]],Comp2[Comparable '#2 Dates],0)),"-")</f>
        <v>55.15</v>
      </c>
      <c r="N103" s="22">
        <f>IF(Benchmark1[[#This Row],[Comparable '#2 Date Check]]="Pass",INDEX(Comp2[Comparable '#2 Return],MATCH(Benchmark1[[#This Row],[Benchmark '#1 Dates]],Comp2[Comparable '#2 Dates],0)),"-")</f>
        <v>-1.4044163133985165E-2</v>
      </c>
      <c r="O103" s="1">
        <f>IFERROR(IF(Benchmark1[[#This Row],[Comparable '#2 Date Check]]="Pass",Benchmark1[[#This Row],[Comparable '#2 Return]]-Benchmark1[[#This Row],[Benchmark '#1 Return]],"-"),"-")</f>
        <v>-1.7301424996614526E-2</v>
      </c>
      <c r="P103" s="1" t="str">
        <f>IF(COUNTIF(Comp3[Comparable '#3 Dates],Benchmark1[[#This Row],[Benchmark '#1 Dates]])=1,"Pass","Fail")</f>
        <v>Pass</v>
      </c>
      <c r="Q103" s="6">
        <f>IF(Benchmark1[[#This Row],[Comparable '#3 Date Check]]="Pass",INDEX(Comp3[Comparable '#3 Price],MATCH(Benchmark1[[#This Row],[Benchmark '#1 Dates]],Comp3[Comparable '#3 Dates],0)),"-")</f>
        <v>129.84</v>
      </c>
      <c r="R103" s="22">
        <f>IF(Benchmark1[[#This Row],[Comparable '#3 Date Check]]="Pass",INDEX(Comp3[Comparable '#3 Return],MATCH(Benchmark1[[#This Row],[Benchmark '#1 Dates]],Comp3[Comparable '#3 Dates],0)),"-")</f>
        <v>-1.3995869161916454E-2</v>
      </c>
      <c r="S103" s="1">
        <f>IFERROR(IF(Benchmark1[[#This Row],[Comparable '#3 Date Check]]="Pass",Benchmark1[[#This Row],[Comparable '#3 Return]]-Benchmark1[[#This Row],[Benchmark '#1 Return]],"-"),"-")</f>
        <v>-1.7253131024545815E-2</v>
      </c>
    </row>
    <row r="104" spans="1:19">
      <c r="A104" s="103">
        <v>43432</v>
      </c>
      <c r="B104" s="104">
        <v>2743.7852107165145</v>
      </c>
      <c r="C104" s="4">
        <f t="shared" si="1"/>
        <v>2.2712362871582726E-2</v>
      </c>
      <c r="D104" s="1" t="str">
        <f>IF(COUNTIF(Target1[Target Dates],Benchmark1[[#This Row],[Benchmark '#1 Dates]])=1,"Pass","Fail")</f>
        <v>Pass</v>
      </c>
      <c r="E104" s="6">
        <f>IF(Benchmark1[[#This Row],[Target Date Check]]="Pass",INDEX(Target1[Target Price],MATCH(Benchmark1[[#This Row],[Benchmark '#1 Dates]],Target1[Target Dates],0)),"-")</f>
        <v>23.04</v>
      </c>
      <c r="F104" s="22">
        <f>IF(Benchmark1[[#This Row],[Target Date Check]]="Pass",INDEX(Target1[Target Return],MATCH(Benchmark1[[#This Row],[Benchmark '#1 Dates]],Target1[Target Dates],0)),"-")</f>
        <v>2.1724970526002911E-3</v>
      </c>
      <c r="G104" s="1">
        <f>IFERROR(IF(Benchmark1[[#This Row],[Target Date Check]]="Pass",Benchmark1[[#This Row],[Target Return]]-Benchmark1[[#This Row],[Benchmark '#1 Return]],"-"),"-")</f>
        <v>-2.0539865818982435E-2</v>
      </c>
      <c r="H104" s="1" t="str">
        <f>IF(COUNTIF(Comp1[Comparable '#1 Dates],Benchmark1[[#This Row],[Benchmark '#1 Dates]])=1,"Pass","Fail")</f>
        <v>Pass</v>
      </c>
      <c r="I104" s="6">
        <f>IF(Benchmark1[[#This Row],[Comparable '#1 Date Check]]="Pass",INDEX(Comp1[Comparable '#1 Price],MATCH(Benchmark1[[#This Row],[Benchmark '#1 Dates]],Comp1[Comparable '#1 Dates],0)),"-")</f>
        <v>14.54</v>
      </c>
      <c r="J104" s="22">
        <f>IF(Benchmark1[[#This Row],[Comparable '#1 Date Check]]="Pass",INDEX(Comp1[Comparable '#1 Return],MATCH(Benchmark1[[#This Row],[Benchmark '#1 Dates]],Comp1[Comparable '#1 Dates],0)),"-")</f>
        <v>-3.4328904293210302E-3</v>
      </c>
      <c r="K104" s="1">
        <f>IFERROR(IF(Benchmark1[[#This Row],[Comparable '#1 Date Check]]="Pass",Benchmark1[[#This Row],[Comparable '#1 Return]]-Benchmark1[[#This Row],[Benchmark '#1 Return]],"-"),"-")</f>
        <v>-2.6145253300903757E-2</v>
      </c>
      <c r="L104" s="1" t="str">
        <f>IF(COUNTIF(Comp2[Comparable '#2 Dates],Benchmark1[[#This Row],[Benchmark '#1 Dates]])=1,"Pass","Fail")</f>
        <v>Pass</v>
      </c>
      <c r="M104" s="6">
        <f>IF(Benchmark1[[#This Row],[Comparable '#2 Date Check]]="Pass",INDEX(Comp2[Comparable '#2 Price],MATCH(Benchmark1[[#This Row],[Benchmark '#1 Dates]],Comp2[Comparable '#2 Dates],0)),"-")</f>
        <v>56.46</v>
      </c>
      <c r="N104" s="22">
        <f>IF(Benchmark1[[#This Row],[Comparable '#2 Date Check]]="Pass",INDEX(Comp2[Comparable '#2 Return],MATCH(Benchmark1[[#This Row],[Benchmark '#1 Dates]],Comp2[Comparable '#2 Dates],0)),"-")</f>
        <v>2.3475677125831755E-2</v>
      </c>
      <c r="O104" s="1">
        <f>IFERROR(IF(Benchmark1[[#This Row],[Comparable '#2 Date Check]]="Pass",Benchmark1[[#This Row],[Comparable '#2 Return]]-Benchmark1[[#This Row],[Benchmark '#1 Return]],"-"),"-")</f>
        <v>7.6331425424902913E-4</v>
      </c>
      <c r="P104" s="1" t="str">
        <f>IF(COUNTIF(Comp3[Comparable '#3 Dates],Benchmark1[[#This Row],[Benchmark '#1 Dates]])=1,"Pass","Fail")</f>
        <v>Pass</v>
      </c>
      <c r="Q104" s="6">
        <f>IF(Benchmark1[[#This Row],[Comparable '#3 Date Check]]="Pass",INDEX(Comp3[Comparable '#3 Price],MATCH(Benchmark1[[#This Row],[Benchmark '#1 Dates]],Comp3[Comparable '#3 Dates],0)),"-")</f>
        <v>133.36000000000001</v>
      </c>
      <c r="R104" s="22">
        <f>IF(Benchmark1[[#This Row],[Comparable '#3 Date Check]]="Pass",INDEX(Comp3[Comparable '#3 Return],MATCH(Benchmark1[[#This Row],[Benchmark '#1 Dates]],Comp3[Comparable '#3 Dates],0)),"-")</f>
        <v>2.6749315236202761E-2</v>
      </c>
      <c r="S104" s="1">
        <f>IFERROR(IF(Benchmark1[[#This Row],[Comparable '#3 Date Check]]="Pass",Benchmark1[[#This Row],[Comparable '#3 Return]]-Benchmark1[[#This Row],[Benchmark '#1 Return]],"-"),"-")</f>
        <v>4.0369523646200355E-3</v>
      </c>
    </row>
    <row r="105" spans="1:19">
      <c r="A105" s="103">
        <v>43433</v>
      </c>
      <c r="B105" s="104">
        <v>2737.7602948259027</v>
      </c>
      <c r="C105" s="4">
        <f t="shared" si="1"/>
        <v>-2.1982553317185728E-3</v>
      </c>
      <c r="D105" s="1" t="str">
        <f>IF(COUNTIF(Target1[Target Dates],Benchmark1[[#This Row],[Benchmark '#1 Dates]])=1,"Pass","Fail")</f>
        <v>Pass</v>
      </c>
      <c r="E105" s="6">
        <f>IF(Benchmark1[[#This Row],[Target Date Check]]="Pass",INDEX(Target1[Target Price],MATCH(Benchmark1[[#This Row],[Benchmark '#1 Dates]],Target1[Target Dates],0)),"-")</f>
        <v>23.96</v>
      </c>
      <c r="F105" s="22">
        <f>IF(Benchmark1[[#This Row],[Target Date Check]]="Pass",INDEX(Target1[Target Return],MATCH(Benchmark1[[#This Row],[Benchmark '#1 Dates]],Target1[Target Dates],0)),"-")</f>
        <v>3.9153937419558131E-2</v>
      </c>
      <c r="G105" s="1">
        <f>IFERROR(IF(Benchmark1[[#This Row],[Target Date Check]]="Pass",Benchmark1[[#This Row],[Target Return]]-Benchmark1[[#This Row],[Benchmark '#1 Return]],"-"),"-")</f>
        <v>4.1352192751276703E-2</v>
      </c>
      <c r="H105" s="1" t="str">
        <f>IF(COUNTIF(Comp1[Comparable '#1 Dates],Benchmark1[[#This Row],[Benchmark '#1 Dates]])=1,"Pass","Fail")</f>
        <v>Pass</v>
      </c>
      <c r="I105" s="6">
        <f>IF(Benchmark1[[#This Row],[Comparable '#1 Date Check]]="Pass",INDEX(Comp1[Comparable '#1 Price],MATCH(Benchmark1[[#This Row],[Benchmark '#1 Dates]],Comp1[Comparable '#1 Dates],0)),"-")</f>
        <v>14.96</v>
      </c>
      <c r="J105" s="22">
        <f>IF(Benchmark1[[#This Row],[Comparable '#1 Date Check]]="Pass",INDEX(Comp1[Comparable '#1 Return],MATCH(Benchmark1[[#This Row],[Benchmark '#1 Dates]],Comp1[Comparable '#1 Dates],0)),"-")</f>
        <v>2.8476500440957918E-2</v>
      </c>
      <c r="K105" s="1">
        <f>IFERROR(IF(Benchmark1[[#This Row],[Comparable '#1 Date Check]]="Pass",Benchmark1[[#This Row],[Comparable '#1 Return]]-Benchmark1[[#This Row],[Benchmark '#1 Return]],"-"),"-")</f>
        <v>3.067475577267649E-2</v>
      </c>
      <c r="L105" s="1" t="str">
        <f>IF(COUNTIF(Comp2[Comparable '#2 Dates],Benchmark1[[#This Row],[Benchmark '#1 Dates]])=1,"Pass","Fail")</f>
        <v>Pass</v>
      </c>
      <c r="M105" s="6">
        <f>IF(Benchmark1[[#This Row],[Comparable '#2 Date Check]]="Pass",INDEX(Comp2[Comparable '#2 Price],MATCH(Benchmark1[[#This Row],[Benchmark '#1 Dates]],Comp2[Comparable '#2 Dates],0)),"-")</f>
        <v>57.42</v>
      </c>
      <c r="N105" s="22">
        <f>IF(Benchmark1[[#This Row],[Comparable '#2 Date Check]]="Pass",INDEX(Comp2[Comparable '#2 Return],MATCH(Benchmark1[[#This Row],[Benchmark '#1 Dates]],Comp2[Comparable '#2 Dates],0)),"-")</f>
        <v>1.6860251867574647E-2</v>
      </c>
      <c r="O105" s="1">
        <f>IFERROR(IF(Benchmark1[[#This Row],[Comparable '#2 Date Check]]="Pass",Benchmark1[[#This Row],[Comparable '#2 Return]]-Benchmark1[[#This Row],[Benchmark '#1 Return]],"-"),"-")</f>
        <v>1.905850719929322E-2</v>
      </c>
      <c r="P105" s="1" t="str">
        <f>IF(COUNTIF(Comp3[Comparable '#3 Dates],Benchmark1[[#This Row],[Benchmark '#1 Dates]])=1,"Pass","Fail")</f>
        <v>Pass</v>
      </c>
      <c r="Q105" s="6">
        <f>IF(Benchmark1[[#This Row],[Comparable '#3 Date Check]]="Pass",INDEX(Comp3[Comparable '#3 Price],MATCH(Benchmark1[[#This Row],[Benchmark '#1 Dates]],Comp3[Comparable '#3 Dates],0)),"-")</f>
        <v>135.41</v>
      </c>
      <c r="R105" s="22">
        <f>IF(Benchmark1[[#This Row],[Comparable '#3 Date Check]]="Pass",INDEX(Comp3[Comparable '#3 Return],MATCH(Benchmark1[[#This Row],[Benchmark '#1 Dates]],Comp3[Comparable '#3 Dates],0)),"-")</f>
        <v>1.5254974552194092E-2</v>
      </c>
      <c r="S105" s="1">
        <f>IFERROR(IF(Benchmark1[[#This Row],[Comparable '#3 Date Check]]="Pass",Benchmark1[[#This Row],[Comparable '#3 Return]]-Benchmark1[[#This Row],[Benchmark '#1 Return]],"-"),"-")</f>
        <v>1.7453229883912666E-2</v>
      </c>
    </row>
    <row r="106" spans="1:19">
      <c r="A106" s="103">
        <v>43434</v>
      </c>
      <c r="B106" s="104">
        <v>2760.1742565631562</v>
      </c>
      <c r="C106" s="4">
        <f t="shared" si="1"/>
        <v>8.1536386817144951E-3</v>
      </c>
      <c r="D106" s="1" t="str">
        <f>IF(COUNTIF(Target1[Target Dates],Benchmark1[[#This Row],[Benchmark '#1 Dates]])=1,"Pass","Fail")</f>
        <v>Pass</v>
      </c>
      <c r="E106" s="6">
        <f>IF(Benchmark1[[#This Row],[Target Date Check]]="Pass",INDEX(Target1[Target Price],MATCH(Benchmark1[[#This Row],[Benchmark '#1 Dates]],Target1[Target Dates],0)),"-")</f>
        <v>23.86</v>
      </c>
      <c r="F106" s="22">
        <f>IF(Benchmark1[[#This Row],[Target Date Check]]="Pass",INDEX(Target1[Target Return],MATCH(Benchmark1[[#This Row],[Benchmark '#1 Dates]],Target1[Target Dates],0)),"-")</f>
        <v>-4.1823565774786395E-3</v>
      </c>
      <c r="G106" s="1">
        <f>IFERROR(IF(Benchmark1[[#This Row],[Target Date Check]]="Pass",Benchmark1[[#This Row],[Target Return]]-Benchmark1[[#This Row],[Benchmark '#1 Return]],"-"),"-")</f>
        <v>-1.2335995259193135E-2</v>
      </c>
      <c r="H106" s="1" t="str">
        <f>IF(COUNTIF(Comp1[Comparable '#1 Dates],Benchmark1[[#This Row],[Benchmark '#1 Dates]])=1,"Pass","Fail")</f>
        <v>Pass</v>
      </c>
      <c r="I106" s="6">
        <f>IF(Benchmark1[[#This Row],[Comparable '#1 Date Check]]="Pass",INDEX(Comp1[Comparable '#1 Price],MATCH(Benchmark1[[#This Row],[Benchmark '#1 Dates]],Comp1[Comparable '#1 Dates],0)),"-")</f>
        <v>14.75</v>
      </c>
      <c r="J106" s="22">
        <f>IF(Benchmark1[[#This Row],[Comparable '#1 Date Check]]="Pass",INDEX(Comp1[Comparable '#1 Return],MATCH(Benchmark1[[#This Row],[Benchmark '#1 Dates]],Comp1[Comparable '#1 Dates],0)),"-")</f>
        <v>-1.4136889760502466E-2</v>
      </c>
      <c r="K106" s="1">
        <f>IFERROR(IF(Benchmark1[[#This Row],[Comparable '#1 Date Check]]="Pass",Benchmark1[[#This Row],[Comparable '#1 Return]]-Benchmark1[[#This Row],[Benchmark '#1 Return]],"-"),"-")</f>
        <v>-2.2290528442216961E-2</v>
      </c>
      <c r="L106" s="1" t="str">
        <f>IF(COUNTIF(Comp2[Comparable '#2 Dates],Benchmark1[[#This Row],[Benchmark '#1 Dates]])=1,"Pass","Fail")</f>
        <v>Pass</v>
      </c>
      <c r="M106" s="6">
        <f>IF(Benchmark1[[#This Row],[Comparable '#2 Date Check]]="Pass",INDEX(Comp2[Comparable '#2 Price],MATCH(Benchmark1[[#This Row],[Benchmark '#1 Dates]],Comp2[Comparable '#2 Dates],0)),"-")</f>
        <v>57.74</v>
      </c>
      <c r="N106" s="22">
        <f>IF(Benchmark1[[#This Row],[Comparable '#2 Date Check]]="Pass",INDEX(Comp2[Comparable '#2 Return],MATCH(Benchmark1[[#This Row],[Benchmark '#1 Dates]],Comp2[Comparable '#2 Dates],0)),"-")</f>
        <v>5.5574995418710459E-3</v>
      </c>
      <c r="O106" s="1">
        <f>IFERROR(IF(Benchmark1[[#This Row],[Comparable '#2 Date Check]]="Pass",Benchmark1[[#This Row],[Comparable '#2 Return]]-Benchmark1[[#This Row],[Benchmark '#1 Return]],"-"),"-")</f>
        <v>-2.5961391398434492E-3</v>
      </c>
      <c r="P106" s="1" t="str">
        <f>IF(COUNTIF(Comp3[Comparable '#3 Dates],Benchmark1[[#This Row],[Benchmark '#1 Dates]])=1,"Pass","Fail")</f>
        <v>Pass</v>
      </c>
      <c r="Q106" s="6">
        <f>IF(Benchmark1[[#This Row],[Comparable '#3 Date Check]]="Pass",INDEX(Comp3[Comparable '#3 Price],MATCH(Benchmark1[[#This Row],[Benchmark '#1 Dates]],Comp3[Comparable '#3 Dates],0)),"-")</f>
        <v>136.49</v>
      </c>
      <c r="R106" s="22">
        <f>IF(Benchmark1[[#This Row],[Comparable '#3 Date Check]]="Pass",INDEX(Comp3[Comparable '#3 Return],MATCH(Benchmark1[[#This Row],[Benchmark '#1 Dates]],Comp3[Comparable '#3 Dates],0)),"-")</f>
        <v>7.9441388733716197E-3</v>
      </c>
      <c r="S106" s="1">
        <f>IFERROR(IF(Benchmark1[[#This Row],[Comparable '#3 Date Check]]="Pass",Benchmark1[[#This Row],[Comparable '#3 Return]]-Benchmark1[[#This Row],[Benchmark '#1 Return]],"-"),"-")</f>
        <v>-2.0949980834287542E-4</v>
      </c>
    </row>
    <row r="107" spans="1:19">
      <c r="A107" s="103">
        <v>43437</v>
      </c>
      <c r="B107" s="104">
        <v>2790.3694781067056</v>
      </c>
      <c r="C107" s="4">
        <f t="shared" si="1"/>
        <v>1.0880202322234271E-2</v>
      </c>
      <c r="D107" s="1" t="str">
        <f>IF(COUNTIF(Target1[Target Dates],Benchmark1[[#This Row],[Benchmark '#1 Dates]])=1,"Pass","Fail")</f>
        <v>Pass</v>
      </c>
      <c r="E107" s="6">
        <f>IF(Benchmark1[[#This Row],[Target Date Check]]="Pass",INDEX(Target1[Target Price],MATCH(Benchmark1[[#This Row],[Benchmark '#1 Dates]],Target1[Target Dates],0)),"-")</f>
        <v>24.15</v>
      </c>
      <c r="F107" s="22">
        <f>IF(Benchmark1[[#This Row],[Target Date Check]]="Pass",INDEX(Target1[Target Return],MATCH(Benchmark1[[#This Row],[Benchmark '#1 Dates]],Target1[Target Dates],0)),"-")</f>
        <v>1.2080963428811677E-2</v>
      </c>
      <c r="G107" s="1">
        <f>IFERROR(IF(Benchmark1[[#This Row],[Target Date Check]]="Pass",Benchmark1[[#This Row],[Target Return]]-Benchmark1[[#This Row],[Benchmark '#1 Return]],"-"),"-")</f>
        <v>1.2007611065774065E-3</v>
      </c>
      <c r="H107" s="1" t="str">
        <f>IF(COUNTIF(Comp1[Comparable '#1 Dates],Benchmark1[[#This Row],[Benchmark '#1 Dates]])=1,"Pass","Fail")</f>
        <v>Pass</v>
      </c>
      <c r="I107" s="6">
        <f>IF(Benchmark1[[#This Row],[Comparable '#1 Date Check]]="Pass",INDEX(Comp1[Comparable '#1 Price],MATCH(Benchmark1[[#This Row],[Benchmark '#1 Dates]],Comp1[Comparable '#1 Dates],0)),"-")</f>
        <v>15.455</v>
      </c>
      <c r="J107" s="22">
        <f>IF(Benchmark1[[#This Row],[Comparable '#1 Date Check]]="Pass",INDEX(Comp1[Comparable '#1 Return],MATCH(Benchmark1[[#This Row],[Benchmark '#1 Dates]],Comp1[Comparable '#1 Dates],0)),"-")</f>
        <v>4.6689492798250826E-2</v>
      </c>
      <c r="K107" s="1">
        <f>IFERROR(IF(Benchmark1[[#This Row],[Comparable '#1 Date Check]]="Pass",Benchmark1[[#This Row],[Comparable '#1 Return]]-Benchmark1[[#This Row],[Benchmark '#1 Return]],"-"),"-")</f>
        <v>3.5809290476016553E-2</v>
      </c>
      <c r="L107" s="1" t="str">
        <f>IF(COUNTIF(Comp2[Comparable '#2 Dates],Benchmark1[[#This Row],[Benchmark '#1 Dates]])=1,"Pass","Fail")</f>
        <v>Pass</v>
      </c>
      <c r="M107" s="6">
        <f>IF(Benchmark1[[#This Row],[Comparable '#2 Date Check]]="Pass",INDEX(Comp2[Comparable '#2 Price],MATCH(Benchmark1[[#This Row],[Benchmark '#1 Dates]],Comp2[Comparable '#2 Dates],0)),"-")</f>
        <v>56.37</v>
      </c>
      <c r="N107" s="22">
        <f>IF(Benchmark1[[#This Row],[Comparable '#2 Date Check]]="Pass",INDEX(Comp2[Comparable '#2 Return],MATCH(Benchmark1[[#This Row],[Benchmark '#1 Dates]],Comp2[Comparable '#2 Dates],0)),"-")</f>
        <v>-2.4013072141305429E-2</v>
      </c>
      <c r="O107" s="1">
        <f>IFERROR(IF(Benchmark1[[#This Row],[Comparable '#2 Date Check]]="Pass",Benchmark1[[#This Row],[Comparable '#2 Return]]-Benchmark1[[#This Row],[Benchmark '#1 Return]],"-"),"-")</f>
        <v>-3.4893274463539702E-2</v>
      </c>
      <c r="P107" s="1" t="str">
        <f>IF(COUNTIF(Comp3[Comparable '#3 Dates],Benchmark1[[#This Row],[Benchmark '#1 Dates]])=1,"Pass","Fail")</f>
        <v>Pass</v>
      </c>
      <c r="Q107" s="6">
        <f>IF(Benchmark1[[#This Row],[Comparable '#3 Date Check]]="Pass",INDEX(Comp3[Comparable '#3 Price],MATCH(Benchmark1[[#This Row],[Benchmark '#1 Dates]],Comp3[Comparable '#3 Dates],0)),"-")</f>
        <v>136.21</v>
      </c>
      <c r="R107" s="22">
        <f>IF(Benchmark1[[#This Row],[Comparable '#3 Date Check]]="Pass",INDEX(Comp3[Comparable '#3 Return],MATCH(Benchmark1[[#This Row],[Benchmark '#1 Dates]],Comp3[Comparable '#3 Dates],0)),"-")</f>
        <v>-2.0535394088538822E-3</v>
      </c>
      <c r="S107" s="1">
        <f>IFERROR(IF(Benchmark1[[#This Row],[Comparable '#3 Date Check]]="Pass",Benchmark1[[#This Row],[Comparable '#3 Return]]-Benchmark1[[#This Row],[Benchmark '#1 Return]],"-"),"-")</f>
        <v>-1.2933741731088154E-2</v>
      </c>
    </row>
    <row r="108" spans="1:19">
      <c r="A108" s="103">
        <v>43438</v>
      </c>
      <c r="B108" s="104">
        <v>2700.06436831879</v>
      </c>
      <c r="C108" s="4">
        <f t="shared" si="1"/>
        <v>-3.2898403650015645E-2</v>
      </c>
      <c r="D108" s="1" t="str">
        <f>IF(COUNTIF(Target1[Target Dates],Benchmark1[[#This Row],[Benchmark '#1 Dates]])=1,"Pass","Fail")</f>
        <v>Pass</v>
      </c>
      <c r="E108" s="6">
        <f>IF(Benchmark1[[#This Row],[Target Date Check]]="Pass",INDEX(Target1[Target Price],MATCH(Benchmark1[[#This Row],[Benchmark '#1 Dates]],Target1[Target Dates],0)),"-")</f>
        <v>23.86</v>
      </c>
      <c r="F108" s="22">
        <f>IF(Benchmark1[[#This Row],[Target Date Check]]="Pass",INDEX(Target1[Target Return],MATCH(Benchmark1[[#This Row],[Benchmark '#1 Dates]],Target1[Target Dates],0)),"-")</f>
        <v>-1.2080963428811655E-2</v>
      </c>
      <c r="G108" s="1">
        <f>IFERROR(IF(Benchmark1[[#This Row],[Target Date Check]]="Pass",Benchmark1[[#This Row],[Target Return]]-Benchmark1[[#This Row],[Benchmark '#1 Return]],"-"),"-")</f>
        <v>2.0817440221203992E-2</v>
      </c>
      <c r="H108" s="1" t="str">
        <f>IF(COUNTIF(Comp1[Comparable '#1 Dates],Benchmark1[[#This Row],[Benchmark '#1 Dates]])=1,"Pass","Fail")</f>
        <v>Pass</v>
      </c>
      <c r="I108" s="6">
        <f>IF(Benchmark1[[#This Row],[Comparable '#1 Date Check]]="Pass",INDEX(Comp1[Comparable '#1 Price],MATCH(Benchmark1[[#This Row],[Benchmark '#1 Dates]],Comp1[Comparable '#1 Dates],0)),"-")</f>
        <v>15.07</v>
      </c>
      <c r="J108" s="22">
        <f>IF(Benchmark1[[#This Row],[Comparable '#1 Date Check]]="Pass",INDEX(Comp1[Comparable '#1 Return],MATCH(Benchmark1[[#This Row],[Benchmark '#1 Dates]],Comp1[Comparable '#1 Dates],0)),"-")</f>
        <v>-2.5226562945675574E-2</v>
      </c>
      <c r="K108" s="1">
        <f>IFERROR(IF(Benchmark1[[#This Row],[Comparable '#1 Date Check]]="Pass",Benchmark1[[#This Row],[Comparable '#1 Return]]-Benchmark1[[#This Row],[Benchmark '#1 Return]],"-"),"-")</f>
        <v>7.6718407043400716E-3</v>
      </c>
      <c r="L108" s="1" t="str">
        <f>IF(COUNTIF(Comp2[Comparable '#2 Dates],Benchmark1[[#This Row],[Benchmark '#1 Dates]])=1,"Pass","Fail")</f>
        <v>Pass</v>
      </c>
      <c r="M108" s="6">
        <f>IF(Benchmark1[[#This Row],[Comparable '#2 Date Check]]="Pass",INDEX(Comp2[Comparable '#2 Price],MATCH(Benchmark1[[#This Row],[Benchmark '#1 Dates]],Comp2[Comparable '#2 Dates],0)),"-")</f>
        <v>54.63</v>
      </c>
      <c r="N108" s="22">
        <f>IF(Benchmark1[[#This Row],[Comparable '#2 Date Check]]="Pass",INDEX(Comp2[Comparable '#2 Return],MATCH(Benchmark1[[#This Row],[Benchmark '#1 Dates]],Comp2[Comparable '#2 Dates],0)),"-")</f>
        <v>-3.1353919685857282E-2</v>
      </c>
      <c r="O108" s="1">
        <f>IFERROR(IF(Benchmark1[[#This Row],[Comparable '#2 Date Check]]="Pass",Benchmark1[[#This Row],[Comparable '#2 Return]]-Benchmark1[[#This Row],[Benchmark '#1 Return]],"-"),"-")</f>
        <v>1.5444839641583635E-3</v>
      </c>
      <c r="P108" s="1" t="str">
        <f>IF(COUNTIF(Comp3[Comparable '#3 Dates],Benchmark1[[#This Row],[Benchmark '#1 Dates]])=1,"Pass","Fail")</f>
        <v>Pass</v>
      </c>
      <c r="Q108" s="6">
        <f>IF(Benchmark1[[#This Row],[Comparable '#3 Date Check]]="Pass",INDEX(Comp3[Comparable '#3 Price],MATCH(Benchmark1[[#This Row],[Benchmark '#1 Dates]],Comp3[Comparable '#3 Dates],0)),"-")</f>
        <v>128.63</v>
      </c>
      <c r="R108" s="22">
        <f>IF(Benchmark1[[#This Row],[Comparable '#3 Date Check]]="Pass",INDEX(Comp3[Comparable '#3 Return],MATCH(Benchmark1[[#This Row],[Benchmark '#1 Dates]],Comp3[Comparable '#3 Dates],0)),"-")</f>
        <v>-5.7257746368626308E-2</v>
      </c>
      <c r="S108" s="1">
        <f>IFERROR(IF(Benchmark1[[#This Row],[Comparable '#3 Date Check]]="Pass",Benchmark1[[#This Row],[Comparable '#3 Return]]-Benchmark1[[#This Row],[Benchmark '#1 Return]],"-"),"-")</f>
        <v>-2.4359342718610663E-2</v>
      </c>
    </row>
    <row r="109" spans="1:19">
      <c r="A109" s="103">
        <v>43440</v>
      </c>
      <c r="B109" s="104">
        <v>2695.9453547182547</v>
      </c>
      <c r="C109" s="4">
        <f t="shared" si="1"/>
        <v>-1.5266890209603302E-3</v>
      </c>
      <c r="D109" s="1" t="str">
        <f>IF(COUNTIF(Target1[Target Dates],Benchmark1[[#This Row],[Benchmark '#1 Dates]])=1,"Pass","Fail")</f>
        <v>Pass</v>
      </c>
      <c r="E109" s="6">
        <f>IF(Benchmark1[[#This Row],[Target Date Check]]="Pass",INDEX(Target1[Target Price],MATCH(Benchmark1[[#This Row],[Benchmark '#1 Dates]],Target1[Target Dates],0)),"-")</f>
        <v>23.37</v>
      </c>
      <c r="F109" s="22">
        <f>IF(Benchmark1[[#This Row],[Target Date Check]]="Pass",INDEX(Target1[Target Return],MATCH(Benchmark1[[#This Row],[Benchmark '#1 Dates]],Target1[Target Dates],0)),"-")</f>
        <v>-2.0750268119003452E-2</v>
      </c>
      <c r="G109" s="1">
        <f>IFERROR(IF(Benchmark1[[#This Row],[Target Date Check]]="Pass",Benchmark1[[#This Row],[Target Return]]-Benchmark1[[#This Row],[Benchmark '#1 Return]],"-"),"-")</f>
        <v>-1.922357909804312E-2</v>
      </c>
      <c r="H109" s="1" t="str">
        <f>IF(COUNTIF(Comp1[Comparable '#1 Dates],Benchmark1[[#This Row],[Benchmark '#1 Dates]])=1,"Pass","Fail")</f>
        <v>Pass</v>
      </c>
      <c r="I109" s="6">
        <f>IF(Benchmark1[[#This Row],[Comparable '#1 Date Check]]="Pass",INDEX(Comp1[Comparable '#1 Price],MATCH(Benchmark1[[#This Row],[Benchmark '#1 Dates]],Comp1[Comparable '#1 Dates],0)),"-")</f>
        <v>14.97</v>
      </c>
      <c r="J109" s="22">
        <f>IF(Benchmark1[[#This Row],[Comparable '#1 Date Check]]="Pass",INDEX(Comp1[Comparable '#1 Return],MATCH(Benchmark1[[#This Row],[Benchmark '#1 Dates]],Comp1[Comparable '#1 Dates],0)),"-")</f>
        <v>-6.6578142068670441E-3</v>
      </c>
      <c r="K109" s="1">
        <f>IFERROR(IF(Benchmark1[[#This Row],[Comparable '#1 Date Check]]="Pass",Benchmark1[[#This Row],[Comparable '#1 Return]]-Benchmark1[[#This Row],[Benchmark '#1 Return]],"-"),"-")</f>
        <v>-5.1311251859067139E-3</v>
      </c>
      <c r="L109" s="1" t="str">
        <f>IF(COUNTIF(Comp2[Comparable '#2 Dates],Benchmark1[[#This Row],[Benchmark '#1 Dates]])=1,"Pass","Fail")</f>
        <v>Pass</v>
      </c>
      <c r="M109" s="6">
        <f>IF(Benchmark1[[#This Row],[Comparable '#2 Date Check]]="Pass",INDEX(Comp2[Comparable '#2 Price],MATCH(Benchmark1[[#This Row],[Benchmark '#1 Dates]],Comp2[Comparable '#2 Dates],0)),"-")</f>
        <v>54.5</v>
      </c>
      <c r="N109" s="22">
        <f>IF(Benchmark1[[#This Row],[Comparable '#2 Date Check]]="Pass",INDEX(Comp2[Comparable '#2 Return],MATCH(Benchmark1[[#This Row],[Benchmark '#1 Dates]],Comp2[Comparable '#2 Dates],0)),"-")</f>
        <v>-2.3824807384279071E-3</v>
      </c>
      <c r="O109" s="1">
        <f>IFERROR(IF(Benchmark1[[#This Row],[Comparable '#2 Date Check]]="Pass",Benchmark1[[#This Row],[Comparable '#2 Return]]-Benchmark1[[#This Row],[Benchmark '#1 Return]],"-"),"-")</f>
        <v>-8.5579171746757695E-4</v>
      </c>
      <c r="P109" s="1" t="str">
        <f>IF(COUNTIF(Comp3[Comparable '#3 Dates],Benchmark1[[#This Row],[Benchmark '#1 Dates]])=1,"Pass","Fail")</f>
        <v>Pass</v>
      </c>
      <c r="Q109" s="6">
        <f>IF(Benchmark1[[#This Row],[Comparable '#3 Date Check]]="Pass",INDEX(Comp3[Comparable '#3 Price],MATCH(Benchmark1[[#This Row],[Benchmark '#1 Dates]],Comp3[Comparable '#3 Dates],0)),"-")</f>
        <v>125.45</v>
      </c>
      <c r="R109" s="22">
        <f>IF(Benchmark1[[#This Row],[Comparable '#3 Date Check]]="Pass",INDEX(Comp3[Comparable '#3 Return],MATCH(Benchmark1[[#This Row],[Benchmark '#1 Dates]],Comp3[Comparable '#3 Dates],0)),"-")</f>
        <v>-2.5032793278192786E-2</v>
      </c>
      <c r="S109" s="1">
        <f>IFERROR(IF(Benchmark1[[#This Row],[Comparable '#3 Date Check]]="Pass",Benchmark1[[#This Row],[Comparable '#3 Return]]-Benchmark1[[#This Row],[Benchmark '#1 Return]],"-"),"-")</f>
        <v>-2.3506104257232457E-2</v>
      </c>
    </row>
    <row r="110" spans="1:19">
      <c r="A110" s="103">
        <v>43441</v>
      </c>
      <c r="B110" s="104">
        <v>2633.0788205870267</v>
      </c>
      <c r="C110" s="4">
        <f t="shared" si="1"/>
        <v>-2.3595108099297893E-2</v>
      </c>
      <c r="D110" s="1" t="str">
        <f>IF(COUNTIF(Target1[Target Dates],Benchmark1[[#This Row],[Benchmark '#1 Dates]])=1,"Pass","Fail")</f>
        <v>Pass</v>
      </c>
      <c r="E110" s="6">
        <f>IF(Benchmark1[[#This Row],[Target Date Check]]="Pass",INDEX(Target1[Target Price],MATCH(Benchmark1[[#This Row],[Benchmark '#1 Dates]],Target1[Target Dates],0)),"-")</f>
        <v>22.99</v>
      </c>
      <c r="F110" s="22">
        <f>IF(Benchmark1[[#This Row],[Target Date Check]]="Pass",INDEX(Target1[Target Return],MATCH(Benchmark1[[#This Row],[Benchmark '#1 Dates]],Target1[Target Dates],0)),"-")</f>
        <v>-1.6393809775676497E-2</v>
      </c>
      <c r="G110" s="1">
        <f>IFERROR(IF(Benchmark1[[#This Row],[Target Date Check]]="Pass",Benchmark1[[#This Row],[Target Return]]-Benchmark1[[#This Row],[Benchmark '#1 Return]],"-"),"-")</f>
        <v>7.2012983236213954E-3</v>
      </c>
      <c r="H110" s="1" t="str">
        <f>IF(COUNTIF(Comp1[Comparable '#1 Dates],Benchmark1[[#This Row],[Benchmark '#1 Dates]])=1,"Pass","Fail")</f>
        <v>Pass</v>
      </c>
      <c r="I110" s="6">
        <f>IF(Benchmark1[[#This Row],[Comparable '#1 Date Check]]="Pass",INDEX(Comp1[Comparable '#1 Price],MATCH(Benchmark1[[#This Row],[Benchmark '#1 Dates]],Comp1[Comparable '#1 Dates],0)),"-")</f>
        <v>14.69</v>
      </c>
      <c r="J110" s="22">
        <f>IF(Benchmark1[[#This Row],[Comparable '#1 Date Check]]="Pass",INDEX(Comp1[Comparable '#1 Return],MATCH(Benchmark1[[#This Row],[Benchmark '#1 Dates]],Comp1[Comparable '#1 Dates],0)),"-")</f>
        <v>-1.888120824575111E-2</v>
      </c>
      <c r="K110" s="1">
        <f>IFERROR(IF(Benchmark1[[#This Row],[Comparable '#1 Date Check]]="Pass",Benchmark1[[#This Row],[Comparable '#1 Return]]-Benchmark1[[#This Row],[Benchmark '#1 Return]],"-"),"-")</f>
        <v>4.7138998535467824E-3</v>
      </c>
      <c r="L110" s="1" t="str">
        <f>IF(COUNTIF(Comp2[Comparable '#2 Dates],Benchmark1[[#This Row],[Benchmark '#1 Dates]])=1,"Pass","Fail")</f>
        <v>Pass</v>
      </c>
      <c r="M110" s="6">
        <f>IF(Benchmark1[[#This Row],[Comparable '#2 Date Check]]="Pass",INDEX(Comp2[Comparable '#2 Price],MATCH(Benchmark1[[#This Row],[Benchmark '#1 Dates]],Comp2[Comparable '#2 Dates],0)),"-")</f>
        <v>52.76</v>
      </c>
      <c r="N110" s="22">
        <f>IF(Benchmark1[[#This Row],[Comparable '#2 Date Check]]="Pass",INDEX(Comp2[Comparable '#2 Return],MATCH(Benchmark1[[#This Row],[Benchmark '#1 Dates]],Comp2[Comparable '#2 Dates],0)),"-")</f>
        <v>-3.244737382008453E-2</v>
      </c>
      <c r="O110" s="1">
        <f>IFERROR(IF(Benchmark1[[#This Row],[Comparable '#2 Date Check]]="Pass",Benchmark1[[#This Row],[Comparable '#2 Return]]-Benchmark1[[#This Row],[Benchmark '#1 Return]],"-"),"-")</f>
        <v>-8.8522657207866368E-3</v>
      </c>
      <c r="P110" s="1" t="str">
        <f>IF(COUNTIF(Comp3[Comparable '#3 Dates],Benchmark1[[#This Row],[Benchmark '#1 Dates]])=1,"Pass","Fail")</f>
        <v>Pass</v>
      </c>
      <c r="Q110" s="6">
        <f>IF(Benchmark1[[#This Row],[Comparable '#3 Date Check]]="Pass",INDEX(Comp3[Comparable '#3 Price],MATCH(Benchmark1[[#This Row],[Benchmark '#1 Dates]],Comp3[Comparable '#3 Dates],0)),"-")</f>
        <v>119.59</v>
      </c>
      <c r="R110" s="22">
        <f>IF(Benchmark1[[#This Row],[Comparable '#3 Date Check]]="Pass",INDEX(Comp3[Comparable '#3 Return],MATCH(Benchmark1[[#This Row],[Benchmark '#1 Dates]],Comp3[Comparable '#3 Dates],0)),"-")</f>
        <v>-4.7838046831715192E-2</v>
      </c>
      <c r="S110" s="1">
        <f>IFERROR(IF(Benchmark1[[#This Row],[Comparable '#3 Date Check]]="Pass",Benchmark1[[#This Row],[Comparable '#3 Return]]-Benchmark1[[#This Row],[Benchmark '#1 Return]],"-"),"-")</f>
        <v>-2.4242938732417299E-2</v>
      </c>
    </row>
    <row r="111" spans="1:19">
      <c r="A111" s="103">
        <v>43444</v>
      </c>
      <c r="B111" s="104">
        <v>2637.7230706961318</v>
      </c>
      <c r="C111" s="4">
        <f t="shared" si="1"/>
        <v>1.7622560691180895E-3</v>
      </c>
      <c r="D111" s="1" t="str">
        <f>IF(COUNTIF(Target1[Target Dates],Benchmark1[[#This Row],[Benchmark '#1 Dates]])=1,"Pass","Fail")</f>
        <v>Pass</v>
      </c>
      <c r="E111" s="6">
        <f>IF(Benchmark1[[#This Row],[Target Date Check]]="Pass",INDEX(Target1[Target Price],MATCH(Benchmark1[[#This Row],[Benchmark '#1 Dates]],Target1[Target Dates],0)),"-")</f>
        <v>22.7</v>
      </c>
      <c r="F111" s="22">
        <f>IF(Benchmark1[[#This Row],[Target Date Check]]="Pass",INDEX(Target1[Target Return],MATCH(Benchmark1[[#This Row],[Benchmark '#1 Dates]],Target1[Target Dates],0)),"-")</f>
        <v>-1.2694414287733123E-2</v>
      </c>
      <c r="G111" s="1">
        <f>IFERROR(IF(Benchmark1[[#This Row],[Target Date Check]]="Pass",Benchmark1[[#This Row],[Target Return]]-Benchmark1[[#This Row],[Benchmark '#1 Return]],"-"),"-")</f>
        <v>-1.4456670356851213E-2</v>
      </c>
      <c r="H111" s="1" t="str">
        <f>IF(COUNTIF(Comp1[Comparable '#1 Dates],Benchmark1[[#This Row],[Benchmark '#1 Dates]])=1,"Pass","Fail")</f>
        <v>Pass</v>
      </c>
      <c r="I111" s="6">
        <f>IF(Benchmark1[[#This Row],[Comparable '#1 Date Check]]="Pass",INDEX(Comp1[Comparable '#1 Price],MATCH(Benchmark1[[#This Row],[Benchmark '#1 Dates]],Comp1[Comparable '#1 Dates],0)),"-")</f>
        <v>14.59</v>
      </c>
      <c r="J111" s="22">
        <f>IF(Benchmark1[[#This Row],[Comparable '#1 Date Check]]="Pass",INDEX(Comp1[Comparable '#1 Return],MATCH(Benchmark1[[#This Row],[Benchmark '#1 Dates]],Comp1[Comparable '#1 Dates],0)),"-")</f>
        <v>-6.8306276510916525E-3</v>
      </c>
      <c r="K111" s="1">
        <f>IFERROR(IF(Benchmark1[[#This Row],[Comparable '#1 Date Check]]="Pass",Benchmark1[[#This Row],[Comparable '#1 Return]]-Benchmark1[[#This Row],[Benchmark '#1 Return]],"-"),"-")</f>
        <v>-8.5928837202097416E-3</v>
      </c>
      <c r="L111" s="1" t="str">
        <f>IF(COUNTIF(Comp2[Comparable '#2 Dates],Benchmark1[[#This Row],[Benchmark '#1 Dates]])=1,"Pass","Fail")</f>
        <v>Pass</v>
      </c>
      <c r="M111" s="6">
        <f>IF(Benchmark1[[#This Row],[Comparable '#2 Date Check]]="Pass",INDEX(Comp2[Comparable '#2 Price],MATCH(Benchmark1[[#This Row],[Benchmark '#1 Dates]],Comp2[Comparable '#2 Dates],0)),"-")</f>
        <v>52.04</v>
      </c>
      <c r="N111" s="22">
        <f>IF(Benchmark1[[#This Row],[Comparable '#2 Date Check]]="Pass",INDEX(Comp2[Comparable '#2 Return],MATCH(Benchmark1[[#This Row],[Benchmark '#1 Dates]],Comp2[Comparable '#2 Dates],0)),"-")</f>
        <v>-1.3740674204809259E-2</v>
      </c>
      <c r="O111" s="1">
        <f>IFERROR(IF(Benchmark1[[#This Row],[Comparable '#2 Date Check]]="Pass",Benchmark1[[#This Row],[Comparable '#2 Return]]-Benchmark1[[#This Row],[Benchmark '#1 Return]],"-"),"-")</f>
        <v>-1.5502930273927349E-2</v>
      </c>
      <c r="P111" s="1" t="str">
        <f>IF(COUNTIF(Comp3[Comparable '#3 Dates],Benchmark1[[#This Row],[Benchmark '#1 Dates]])=1,"Pass","Fail")</f>
        <v>Pass</v>
      </c>
      <c r="Q111" s="6">
        <f>IF(Benchmark1[[#This Row],[Comparable '#3 Date Check]]="Pass",INDEX(Comp3[Comparable '#3 Price],MATCH(Benchmark1[[#This Row],[Benchmark '#1 Dates]],Comp3[Comparable '#3 Dates],0)),"-")</f>
        <v>119.63</v>
      </c>
      <c r="R111" s="22">
        <f>IF(Benchmark1[[#This Row],[Comparable '#3 Date Check]]="Pass",INDEX(Comp3[Comparable '#3 Return],MATCH(Benchmark1[[#This Row],[Benchmark '#1 Dates]],Comp3[Comparable '#3 Dates],0)),"-")</f>
        <v>3.344202020965676E-4</v>
      </c>
      <c r="S111" s="1">
        <f>IFERROR(IF(Benchmark1[[#This Row],[Comparable '#3 Date Check]]="Pass",Benchmark1[[#This Row],[Comparable '#3 Return]]-Benchmark1[[#This Row],[Benchmark '#1 Return]],"-"),"-")</f>
        <v>-1.427835867021522E-3</v>
      </c>
    </row>
    <row r="112" spans="1:19">
      <c r="A112" s="103">
        <v>43445</v>
      </c>
      <c r="B112" s="104">
        <v>2636.7837605198529</v>
      </c>
      <c r="C112" s="4">
        <f t="shared" si="1"/>
        <v>-3.5616986242190059E-4</v>
      </c>
      <c r="D112" s="1" t="str">
        <f>IF(COUNTIF(Target1[Target Dates],Benchmark1[[#This Row],[Benchmark '#1 Dates]])=1,"Pass","Fail")</f>
        <v>Pass</v>
      </c>
      <c r="E112" s="6">
        <f>IF(Benchmark1[[#This Row],[Target Date Check]]="Pass",INDEX(Target1[Target Price],MATCH(Benchmark1[[#This Row],[Benchmark '#1 Dates]],Target1[Target Dates],0)),"-")</f>
        <v>23.22</v>
      </c>
      <c r="F112" s="22">
        <f>IF(Benchmark1[[#This Row],[Target Date Check]]="Pass",INDEX(Target1[Target Return],MATCH(Benchmark1[[#This Row],[Benchmark '#1 Dates]],Target1[Target Dates],0)),"-")</f>
        <v>2.2649051782388491E-2</v>
      </c>
      <c r="G112" s="1">
        <f>IFERROR(IF(Benchmark1[[#This Row],[Target Date Check]]="Pass",Benchmark1[[#This Row],[Target Return]]-Benchmark1[[#This Row],[Benchmark '#1 Return]],"-"),"-")</f>
        <v>2.3005221644810392E-2</v>
      </c>
      <c r="H112" s="1" t="str">
        <f>IF(COUNTIF(Comp1[Comparable '#1 Dates],Benchmark1[[#This Row],[Benchmark '#1 Dates]])=1,"Pass","Fail")</f>
        <v>Pass</v>
      </c>
      <c r="I112" s="6">
        <f>IF(Benchmark1[[#This Row],[Comparable '#1 Date Check]]="Pass",INDEX(Comp1[Comparable '#1 Price],MATCH(Benchmark1[[#This Row],[Benchmark '#1 Dates]],Comp1[Comparable '#1 Dates],0)),"-")</f>
        <v>14.69</v>
      </c>
      <c r="J112" s="22">
        <f>IF(Benchmark1[[#This Row],[Comparable '#1 Date Check]]="Pass",INDEX(Comp1[Comparable '#1 Return],MATCH(Benchmark1[[#This Row],[Benchmark '#1 Dates]],Comp1[Comparable '#1 Dates],0)),"-")</f>
        <v>6.8306276510915562E-3</v>
      </c>
      <c r="K112" s="1">
        <f>IFERROR(IF(Benchmark1[[#This Row],[Comparable '#1 Date Check]]="Pass",Benchmark1[[#This Row],[Comparable '#1 Return]]-Benchmark1[[#This Row],[Benchmark '#1 Return]],"-"),"-")</f>
        <v>7.1867975135134566E-3</v>
      </c>
      <c r="L112" s="1" t="str">
        <f>IF(COUNTIF(Comp2[Comparable '#2 Dates],Benchmark1[[#This Row],[Benchmark '#1 Dates]])=1,"Pass","Fail")</f>
        <v>Pass</v>
      </c>
      <c r="M112" s="6">
        <f>IF(Benchmark1[[#This Row],[Comparable '#2 Date Check]]="Pass",INDEX(Comp2[Comparable '#2 Price],MATCH(Benchmark1[[#This Row],[Benchmark '#1 Dates]],Comp2[Comparable '#2 Dates],0)),"-")</f>
        <v>52.03</v>
      </c>
      <c r="N112" s="22">
        <f>IF(Benchmark1[[#This Row],[Comparable '#2 Date Check]]="Pass",INDEX(Comp2[Comparable '#2 Return],MATCH(Benchmark1[[#This Row],[Benchmark '#1 Dates]],Comp2[Comparable '#2 Dates],0)),"-")</f>
        <v>-1.9217834209229797E-4</v>
      </c>
      <c r="O112" s="1">
        <f>IFERROR(IF(Benchmark1[[#This Row],[Comparable '#2 Date Check]]="Pass",Benchmark1[[#This Row],[Comparable '#2 Return]]-Benchmark1[[#This Row],[Benchmark '#1 Return]],"-"),"-")</f>
        <v>1.6399152032960262E-4</v>
      </c>
      <c r="P112" s="1" t="str">
        <f>IF(COUNTIF(Comp3[Comparable '#3 Dates],Benchmark1[[#This Row],[Benchmark '#1 Dates]])=1,"Pass","Fail")</f>
        <v>Pass</v>
      </c>
      <c r="Q112" s="6">
        <f>IF(Benchmark1[[#This Row],[Comparable '#3 Date Check]]="Pass",INDEX(Comp3[Comparable '#3 Price],MATCH(Benchmark1[[#This Row],[Benchmark '#1 Dates]],Comp3[Comparable '#3 Dates],0)),"-")</f>
        <v>120.57</v>
      </c>
      <c r="R112" s="22">
        <f>IF(Benchmark1[[#This Row],[Comparable '#3 Date Check]]="Pass",INDEX(Comp3[Comparable '#3 Return],MATCH(Benchmark1[[#This Row],[Benchmark '#1 Dates]],Comp3[Comparable '#3 Dates],0)),"-")</f>
        <v>7.8268509464064859E-3</v>
      </c>
      <c r="S112" s="1">
        <f>IFERROR(IF(Benchmark1[[#This Row],[Comparable '#3 Date Check]]="Pass",Benchmark1[[#This Row],[Comparable '#3 Return]]-Benchmark1[[#This Row],[Benchmark '#1 Return]],"-"),"-")</f>
        <v>8.1830208088283871E-3</v>
      </c>
    </row>
    <row r="113" spans="1:19">
      <c r="A113" s="103">
        <v>43446</v>
      </c>
      <c r="B113" s="104">
        <v>2651.0676966616925</v>
      </c>
      <c r="C113" s="4">
        <f t="shared" si="1"/>
        <v>5.4025613239658725E-3</v>
      </c>
      <c r="D113" s="1" t="str">
        <f>IF(COUNTIF(Target1[Target Dates],Benchmark1[[#This Row],[Benchmark '#1 Dates]])=1,"Pass","Fail")</f>
        <v>Pass</v>
      </c>
      <c r="E113" s="6">
        <f>IF(Benchmark1[[#This Row],[Target Date Check]]="Pass",INDEX(Target1[Target Price],MATCH(Benchmark1[[#This Row],[Benchmark '#1 Dates]],Target1[Target Dates],0)),"-")</f>
        <v>23.2</v>
      </c>
      <c r="F113" s="22">
        <f>IF(Benchmark1[[#This Row],[Target Date Check]]="Pass",INDEX(Target1[Target Return],MATCH(Benchmark1[[#This Row],[Benchmark '#1 Dates]],Target1[Target Dates],0)),"-")</f>
        <v>-8.6169759748111973E-4</v>
      </c>
      <c r="G113" s="1">
        <f>IFERROR(IF(Benchmark1[[#This Row],[Target Date Check]]="Pass",Benchmark1[[#This Row],[Target Return]]-Benchmark1[[#This Row],[Benchmark '#1 Return]],"-"),"-")</f>
        <v>-6.2642589214469925E-3</v>
      </c>
      <c r="H113" s="1" t="str">
        <f>IF(COUNTIF(Comp1[Comparable '#1 Dates],Benchmark1[[#This Row],[Benchmark '#1 Dates]])=1,"Pass","Fail")</f>
        <v>Pass</v>
      </c>
      <c r="I113" s="6">
        <f>IF(Benchmark1[[#This Row],[Comparable '#1 Date Check]]="Pass",INDEX(Comp1[Comparable '#1 Price],MATCH(Benchmark1[[#This Row],[Benchmark '#1 Dates]],Comp1[Comparable '#1 Dates],0)),"-")</f>
        <v>15.4</v>
      </c>
      <c r="J113" s="22">
        <f>IF(Benchmark1[[#This Row],[Comparable '#1 Date Check]]="Pass",INDEX(Comp1[Comparable '#1 Return],MATCH(Benchmark1[[#This Row],[Benchmark '#1 Dates]],Comp1[Comparable '#1 Dates],0)),"-")</f>
        <v>4.7200519233797644E-2</v>
      </c>
      <c r="K113" s="1">
        <f>IFERROR(IF(Benchmark1[[#This Row],[Comparable '#1 Date Check]]="Pass",Benchmark1[[#This Row],[Comparable '#1 Return]]-Benchmark1[[#This Row],[Benchmark '#1 Return]],"-"),"-")</f>
        <v>4.1797957909831769E-2</v>
      </c>
      <c r="L113" s="1" t="str">
        <f>IF(COUNTIF(Comp2[Comparable '#2 Dates],Benchmark1[[#This Row],[Benchmark '#1 Dates]])=1,"Pass","Fail")</f>
        <v>Pass</v>
      </c>
      <c r="M113" s="6">
        <f>IF(Benchmark1[[#This Row],[Comparable '#2 Date Check]]="Pass",INDEX(Comp2[Comparable '#2 Price],MATCH(Benchmark1[[#This Row],[Benchmark '#1 Dates]],Comp2[Comparable '#2 Dates],0)),"-")</f>
        <v>53.05</v>
      </c>
      <c r="N113" s="22">
        <f>IF(Benchmark1[[#This Row],[Comparable '#2 Date Check]]="Pass",INDEX(Comp2[Comparable '#2 Return],MATCH(Benchmark1[[#This Row],[Benchmark '#1 Dates]],Comp2[Comparable '#2 Dates],0)),"-")</f>
        <v>1.9414389757779919E-2</v>
      </c>
      <c r="O113" s="1">
        <f>IFERROR(IF(Benchmark1[[#This Row],[Comparable '#2 Date Check]]="Pass",Benchmark1[[#This Row],[Comparable '#2 Return]]-Benchmark1[[#This Row],[Benchmark '#1 Return]],"-"),"-")</f>
        <v>1.4011828433814048E-2</v>
      </c>
      <c r="P113" s="1" t="str">
        <f>IF(COUNTIF(Comp3[Comparable '#3 Dates],Benchmark1[[#This Row],[Benchmark '#1 Dates]])=1,"Pass","Fail")</f>
        <v>Pass</v>
      </c>
      <c r="Q113" s="6">
        <f>IF(Benchmark1[[#This Row],[Comparable '#3 Date Check]]="Pass",INDEX(Comp3[Comparable '#3 Price],MATCH(Benchmark1[[#This Row],[Benchmark '#1 Dates]],Comp3[Comparable '#3 Dates],0)),"-")</f>
        <v>124.38</v>
      </c>
      <c r="R113" s="22">
        <f>IF(Benchmark1[[#This Row],[Comparable '#3 Date Check]]="Pass",INDEX(Comp3[Comparable '#3 Return],MATCH(Benchmark1[[#This Row],[Benchmark '#1 Dates]],Comp3[Comparable '#3 Dates],0)),"-")</f>
        <v>3.1110898546523887E-2</v>
      </c>
      <c r="S113" s="1">
        <f>IFERROR(IF(Benchmark1[[#This Row],[Comparable '#3 Date Check]]="Pass",Benchmark1[[#This Row],[Comparable '#3 Return]]-Benchmark1[[#This Row],[Benchmark '#1 Return]],"-"),"-")</f>
        <v>2.5708337222558015E-2</v>
      </c>
    </row>
    <row r="114" spans="1:19">
      <c r="A114" s="103">
        <v>43447</v>
      </c>
      <c r="B114" s="104">
        <v>2650.5351771228297</v>
      </c>
      <c r="C114" s="4">
        <f t="shared" si="1"/>
        <v>-2.0089001508839877E-4</v>
      </c>
      <c r="D114" s="1" t="str">
        <f>IF(COUNTIF(Target1[Target Dates],Benchmark1[[#This Row],[Benchmark '#1 Dates]])=1,"Pass","Fail")</f>
        <v>Pass</v>
      </c>
      <c r="E114" s="6">
        <f>IF(Benchmark1[[#This Row],[Target Date Check]]="Pass",INDEX(Target1[Target Price],MATCH(Benchmark1[[#This Row],[Benchmark '#1 Dates]],Target1[Target Dates],0)),"-")</f>
        <v>22.85</v>
      </c>
      <c r="F114" s="22">
        <f>IF(Benchmark1[[#This Row],[Target Date Check]]="Pass",INDEX(Target1[Target Return],MATCH(Benchmark1[[#This Row],[Benchmark '#1 Dates]],Target1[Target Dates],0)),"-")</f>
        <v>-1.520116133205044E-2</v>
      </c>
      <c r="G114" s="1">
        <f>IFERROR(IF(Benchmark1[[#This Row],[Target Date Check]]="Pass",Benchmark1[[#This Row],[Target Return]]-Benchmark1[[#This Row],[Benchmark '#1 Return]],"-"),"-")</f>
        <v>-1.5000271316962042E-2</v>
      </c>
      <c r="H114" s="1" t="str">
        <f>IF(COUNTIF(Comp1[Comparable '#1 Dates],Benchmark1[[#This Row],[Benchmark '#1 Dates]])=1,"Pass","Fail")</f>
        <v>Pass</v>
      </c>
      <c r="I114" s="6">
        <f>IF(Benchmark1[[#This Row],[Comparable '#1 Date Check]]="Pass",INDEX(Comp1[Comparable '#1 Price],MATCH(Benchmark1[[#This Row],[Benchmark '#1 Dates]],Comp1[Comparable '#1 Dates],0)),"-")</f>
        <v>14.97</v>
      </c>
      <c r="J114" s="22">
        <f>IF(Benchmark1[[#This Row],[Comparable '#1 Date Check]]="Pass",INDEX(Comp1[Comparable '#1 Return],MATCH(Benchmark1[[#This Row],[Benchmark '#1 Dates]],Comp1[Comparable '#1 Dates],0)),"-")</f>
        <v>-2.8319310988046468E-2</v>
      </c>
      <c r="K114" s="1">
        <f>IFERROR(IF(Benchmark1[[#This Row],[Comparable '#1 Date Check]]="Pass",Benchmark1[[#This Row],[Comparable '#1 Return]]-Benchmark1[[#This Row],[Benchmark '#1 Return]],"-"),"-")</f>
        <v>-2.811842097295807E-2</v>
      </c>
      <c r="L114" s="1" t="str">
        <f>IF(COUNTIF(Comp2[Comparable '#2 Dates],Benchmark1[[#This Row],[Benchmark '#1 Dates]])=1,"Pass","Fail")</f>
        <v>Pass</v>
      </c>
      <c r="M114" s="6">
        <f>IF(Benchmark1[[#This Row],[Comparable '#2 Date Check]]="Pass",INDEX(Comp2[Comparable '#2 Price],MATCH(Benchmark1[[#This Row],[Benchmark '#1 Dates]],Comp2[Comparable '#2 Dates],0)),"-")</f>
        <v>52.25</v>
      </c>
      <c r="N114" s="22">
        <f>IF(Benchmark1[[#This Row],[Comparable '#2 Date Check]]="Pass",INDEX(Comp2[Comparable '#2 Return],MATCH(Benchmark1[[#This Row],[Benchmark '#1 Dates]],Comp2[Comparable '#2 Dates],0)),"-")</f>
        <v>-1.5194974215071724E-2</v>
      </c>
      <c r="O114" s="1">
        <f>IFERROR(IF(Benchmark1[[#This Row],[Comparable '#2 Date Check]]="Pass",Benchmark1[[#This Row],[Comparable '#2 Return]]-Benchmark1[[#This Row],[Benchmark '#1 Return]],"-"),"-")</f>
        <v>-1.4994084199983326E-2</v>
      </c>
      <c r="P114" s="1" t="str">
        <f>IF(COUNTIF(Comp3[Comparable '#3 Dates],Benchmark1[[#This Row],[Benchmark '#1 Dates]])=1,"Pass","Fail")</f>
        <v>Pass</v>
      </c>
      <c r="Q114" s="6">
        <f>IF(Benchmark1[[#This Row],[Comparable '#3 Date Check]]="Pass",INDEX(Comp3[Comparable '#3 Price],MATCH(Benchmark1[[#This Row],[Benchmark '#1 Dates]],Comp3[Comparable '#3 Dates],0)),"-")</f>
        <v>126.98</v>
      </c>
      <c r="R114" s="22">
        <f>IF(Benchmark1[[#This Row],[Comparable '#3 Date Check]]="Pass",INDEX(Comp3[Comparable '#3 Return],MATCH(Benchmark1[[#This Row],[Benchmark '#1 Dates]],Comp3[Comparable '#3 Dates],0)),"-")</f>
        <v>2.0688198066560651E-2</v>
      </c>
      <c r="S114" s="1">
        <f>IFERROR(IF(Benchmark1[[#This Row],[Comparable '#3 Date Check]]="Pass",Benchmark1[[#This Row],[Comparable '#3 Return]]-Benchmark1[[#This Row],[Benchmark '#1 Return]],"-"),"-")</f>
        <v>2.0889088081649049E-2</v>
      </c>
    </row>
    <row r="115" spans="1:19">
      <c r="A115" s="103">
        <v>43448</v>
      </c>
      <c r="B115" s="104">
        <v>2599.9543457297646</v>
      </c>
      <c r="C115" s="4">
        <f t="shared" si="1"/>
        <v>-1.926768770093441E-2</v>
      </c>
      <c r="D115" s="1" t="str">
        <f>IF(COUNTIF(Target1[Target Dates],Benchmark1[[#This Row],[Benchmark '#1 Dates]])=1,"Pass","Fail")</f>
        <v>Pass</v>
      </c>
      <c r="E115" s="6">
        <f>IF(Benchmark1[[#This Row],[Target Date Check]]="Pass",INDEX(Target1[Target Price],MATCH(Benchmark1[[#This Row],[Benchmark '#1 Dates]],Target1[Target Dates],0)),"-")</f>
        <v>22.73</v>
      </c>
      <c r="F115" s="22">
        <f>IF(Benchmark1[[#This Row],[Target Date Check]]="Pass",INDEX(Target1[Target Return],MATCH(Benchmark1[[#This Row],[Benchmark '#1 Dates]],Target1[Target Dates],0)),"-")</f>
        <v>-5.2654794757618778E-3</v>
      </c>
      <c r="G115" s="1">
        <f>IFERROR(IF(Benchmark1[[#This Row],[Target Date Check]]="Pass",Benchmark1[[#This Row],[Target Return]]-Benchmark1[[#This Row],[Benchmark '#1 Return]],"-"),"-")</f>
        <v>1.4002208225172532E-2</v>
      </c>
      <c r="H115" s="1" t="str">
        <f>IF(COUNTIF(Comp1[Comparable '#1 Dates],Benchmark1[[#This Row],[Benchmark '#1 Dates]])=1,"Pass","Fail")</f>
        <v>Pass</v>
      </c>
      <c r="I115" s="6">
        <f>IF(Benchmark1[[#This Row],[Comparable '#1 Date Check]]="Pass",INDEX(Comp1[Comparable '#1 Price],MATCH(Benchmark1[[#This Row],[Benchmark '#1 Dates]],Comp1[Comparable '#1 Dates],0)),"-")</f>
        <v>14.96</v>
      </c>
      <c r="J115" s="22">
        <f>IF(Benchmark1[[#This Row],[Comparable '#1 Date Check]]="Pass",INDEX(Comp1[Comparable '#1 Return],MATCH(Benchmark1[[#This Row],[Benchmark '#1 Dates]],Comp1[Comparable '#1 Dates],0)),"-")</f>
        <v>-6.6822588520584183E-4</v>
      </c>
      <c r="K115" s="1">
        <f>IFERROR(IF(Benchmark1[[#This Row],[Comparable '#1 Date Check]]="Pass",Benchmark1[[#This Row],[Comparable '#1 Return]]-Benchmark1[[#This Row],[Benchmark '#1 Return]],"-"),"-")</f>
        <v>1.8599461815728569E-2</v>
      </c>
      <c r="L115" s="1" t="str">
        <f>IF(COUNTIF(Comp2[Comparable '#2 Dates],Benchmark1[[#This Row],[Benchmark '#1 Dates]])=1,"Pass","Fail")</f>
        <v>Pass</v>
      </c>
      <c r="M115" s="6">
        <f>IF(Benchmark1[[#This Row],[Comparable '#2 Date Check]]="Pass",INDEX(Comp2[Comparable '#2 Price],MATCH(Benchmark1[[#This Row],[Benchmark '#1 Dates]],Comp2[Comparable '#2 Dates],0)),"-")</f>
        <v>51.13</v>
      </c>
      <c r="N115" s="22">
        <f>IF(Benchmark1[[#This Row],[Comparable '#2 Date Check]]="Pass",INDEX(Comp2[Comparable '#2 Return],MATCH(Benchmark1[[#This Row],[Benchmark '#1 Dates]],Comp2[Comparable '#2 Dates],0)),"-")</f>
        <v>-2.1668481753012503E-2</v>
      </c>
      <c r="O115" s="1">
        <f>IFERROR(IF(Benchmark1[[#This Row],[Comparable '#2 Date Check]]="Pass",Benchmark1[[#This Row],[Comparable '#2 Return]]-Benchmark1[[#This Row],[Benchmark '#1 Return]],"-"),"-")</f>
        <v>-2.4007940520780931E-3</v>
      </c>
      <c r="P115" s="1" t="str">
        <f>IF(COUNTIF(Comp3[Comparable '#3 Dates],Benchmark1[[#This Row],[Benchmark '#1 Dates]])=1,"Pass","Fail")</f>
        <v>Pass</v>
      </c>
      <c r="Q115" s="6">
        <f>IF(Benchmark1[[#This Row],[Comparable '#3 Date Check]]="Pass",INDEX(Comp3[Comparable '#3 Price],MATCH(Benchmark1[[#This Row],[Benchmark '#1 Dates]],Comp3[Comparable '#3 Dates],0)),"-")</f>
        <v>128.5</v>
      </c>
      <c r="R115" s="22">
        <f>IF(Benchmark1[[#This Row],[Comparable '#3 Date Check]]="Pass",INDEX(Comp3[Comparable '#3 Return],MATCH(Benchmark1[[#This Row],[Benchmark '#1 Dates]],Comp3[Comparable '#3 Dates],0)),"-")</f>
        <v>1.1899310592970608E-2</v>
      </c>
      <c r="S115" s="1">
        <f>IFERROR(IF(Benchmark1[[#This Row],[Comparable '#3 Date Check]]="Pass",Benchmark1[[#This Row],[Comparable '#3 Return]]-Benchmark1[[#This Row],[Benchmark '#1 Return]],"-"),"-")</f>
        <v>3.116699829390502E-2</v>
      </c>
    </row>
    <row r="116" spans="1:19">
      <c r="A116" s="103">
        <v>43451</v>
      </c>
      <c r="B116" s="104">
        <v>2545.9397688436702</v>
      </c>
      <c r="C116" s="4">
        <f t="shared" si="1"/>
        <v>-2.0994042853777036E-2</v>
      </c>
      <c r="D116" s="1" t="str">
        <f>IF(COUNTIF(Target1[Target Dates],Benchmark1[[#This Row],[Benchmark '#1 Dates]])=1,"Pass","Fail")</f>
        <v>Pass</v>
      </c>
      <c r="E116" s="6">
        <f>IF(Benchmark1[[#This Row],[Target Date Check]]="Pass",INDEX(Target1[Target Price],MATCH(Benchmark1[[#This Row],[Benchmark '#1 Dates]],Target1[Target Dates],0)),"-")</f>
        <v>22.73</v>
      </c>
      <c r="F116" s="22">
        <f>IF(Benchmark1[[#This Row],[Target Date Check]]="Pass",INDEX(Target1[Target Return],MATCH(Benchmark1[[#This Row],[Benchmark '#1 Dates]],Target1[Target Dates],0)),"-")</f>
        <v>0</v>
      </c>
      <c r="G116" s="1">
        <f>IFERROR(IF(Benchmark1[[#This Row],[Target Date Check]]="Pass",Benchmark1[[#This Row],[Target Return]]-Benchmark1[[#This Row],[Benchmark '#1 Return]],"-"),"-")</f>
        <v>2.0994042853777036E-2</v>
      </c>
      <c r="H116" s="1" t="str">
        <f>IF(COUNTIF(Comp1[Comparable '#1 Dates],Benchmark1[[#This Row],[Benchmark '#1 Dates]])=1,"Pass","Fail")</f>
        <v>Pass</v>
      </c>
      <c r="I116" s="6">
        <f>IF(Benchmark1[[#This Row],[Comparable '#1 Date Check]]="Pass",INDEX(Comp1[Comparable '#1 Price],MATCH(Benchmark1[[#This Row],[Benchmark '#1 Dates]],Comp1[Comparable '#1 Dates],0)),"-")</f>
        <v>14.64</v>
      </c>
      <c r="J116" s="22">
        <f>IF(Benchmark1[[#This Row],[Comparable '#1 Date Check]]="Pass",INDEX(Comp1[Comparable '#1 Return],MATCH(Benchmark1[[#This Row],[Benchmark '#1 Dates]],Comp1[Comparable '#1 Dates],0)),"-")</f>
        <v>-2.1622464013165657E-2</v>
      </c>
      <c r="K116" s="1">
        <f>IFERROR(IF(Benchmark1[[#This Row],[Comparable '#1 Date Check]]="Pass",Benchmark1[[#This Row],[Comparable '#1 Return]]-Benchmark1[[#This Row],[Benchmark '#1 Return]],"-"),"-")</f>
        <v>-6.2842115938862089E-4</v>
      </c>
      <c r="L116" s="1" t="str">
        <f>IF(COUNTIF(Comp2[Comparable '#2 Dates],Benchmark1[[#This Row],[Benchmark '#1 Dates]])=1,"Pass","Fail")</f>
        <v>Pass</v>
      </c>
      <c r="M116" s="6">
        <f>IF(Benchmark1[[#This Row],[Comparable '#2 Date Check]]="Pass",INDEX(Comp2[Comparable '#2 Price],MATCH(Benchmark1[[#This Row],[Benchmark '#1 Dates]],Comp2[Comparable '#2 Dates],0)),"-")</f>
        <v>49.99</v>
      </c>
      <c r="N116" s="22">
        <f>IF(Benchmark1[[#This Row],[Comparable '#2 Date Check]]="Pass",INDEX(Comp2[Comparable '#2 Return],MATCH(Benchmark1[[#This Row],[Benchmark '#1 Dates]],Comp2[Comparable '#2 Dates],0)),"-")</f>
        <v>-2.254842366642891E-2</v>
      </c>
      <c r="O116" s="1">
        <f>IFERROR(IF(Benchmark1[[#This Row],[Comparable '#2 Date Check]]="Pass",Benchmark1[[#This Row],[Comparable '#2 Return]]-Benchmark1[[#This Row],[Benchmark '#1 Return]],"-"),"-")</f>
        <v>-1.5543808126518739E-3</v>
      </c>
      <c r="P116" s="1" t="str">
        <f>IF(COUNTIF(Comp3[Comparable '#3 Dates],Benchmark1[[#This Row],[Benchmark '#1 Dates]])=1,"Pass","Fail")</f>
        <v>Pass</v>
      </c>
      <c r="Q116" s="6">
        <f>IF(Benchmark1[[#This Row],[Comparable '#3 Date Check]]="Pass",INDEX(Comp3[Comparable '#3 Price],MATCH(Benchmark1[[#This Row],[Benchmark '#1 Dates]],Comp3[Comparable '#3 Dates],0)),"-")</f>
        <v>125.25</v>
      </c>
      <c r="R116" s="22">
        <f>IF(Benchmark1[[#This Row],[Comparable '#3 Date Check]]="Pass",INDEX(Comp3[Comparable '#3 Return],MATCH(Benchmark1[[#This Row],[Benchmark '#1 Dates]],Comp3[Comparable '#3 Dates],0)),"-")</f>
        <v>-2.561716437030033E-2</v>
      </c>
      <c r="S116" s="1">
        <f>IFERROR(IF(Benchmark1[[#This Row],[Comparable '#3 Date Check]]="Pass",Benchmark1[[#This Row],[Comparable '#3 Return]]-Benchmark1[[#This Row],[Benchmark '#1 Return]],"-"),"-")</f>
        <v>-4.6231215165232938E-3</v>
      </c>
    </row>
    <row r="117" spans="1:19">
      <c r="A117" s="103">
        <v>43452</v>
      </c>
      <c r="B117" s="104">
        <v>2546.1611006952598</v>
      </c>
      <c r="C117" s="4">
        <f t="shared" si="1"/>
        <v>8.6931448295851204E-5</v>
      </c>
      <c r="D117" s="1" t="str">
        <f>IF(COUNTIF(Target1[Target Dates],Benchmark1[[#This Row],[Benchmark '#1 Dates]])=1,"Pass","Fail")</f>
        <v>Pass</v>
      </c>
      <c r="E117" s="6">
        <f>IF(Benchmark1[[#This Row],[Target Date Check]]="Pass",INDEX(Target1[Target Price],MATCH(Benchmark1[[#This Row],[Benchmark '#1 Dates]],Target1[Target Dates],0)),"-")</f>
        <v>23.01</v>
      </c>
      <c r="F117" s="22">
        <f>IF(Benchmark1[[#This Row],[Target Date Check]]="Pass",INDEX(Target1[Target Return],MATCH(Benchmark1[[#This Row],[Benchmark '#1 Dates]],Target1[Target Dates],0)),"-")</f>
        <v>1.2243266182822642E-2</v>
      </c>
      <c r="G117" s="1">
        <f>IFERROR(IF(Benchmark1[[#This Row],[Target Date Check]]="Pass",Benchmark1[[#This Row],[Target Return]]-Benchmark1[[#This Row],[Benchmark '#1 Return]],"-"),"-")</f>
        <v>1.215633473452679E-2</v>
      </c>
      <c r="H117" s="1" t="str">
        <f>IF(COUNTIF(Comp1[Comparable '#1 Dates],Benchmark1[[#This Row],[Benchmark '#1 Dates]])=1,"Pass","Fail")</f>
        <v>Pass</v>
      </c>
      <c r="I117" s="6">
        <f>IF(Benchmark1[[#This Row],[Comparable '#1 Date Check]]="Pass",INDEX(Comp1[Comparable '#1 Price],MATCH(Benchmark1[[#This Row],[Benchmark '#1 Dates]],Comp1[Comparable '#1 Dates],0)),"-")</f>
        <v>14.78</v>
      </c>
      <c r="J117" s="22">
        <f>IF(Benchmark1[[#This Row],[Comparable '#1 Date Check]]="Pass",INDEX(Comp1[Comparable '#1 Return],MATCH(Benchmark1[[#This Row],[Benchmark '#1 Dates]],Comp1[Comparable '#1 Dates],0)),"-")</f>
        <v>9.5174069868901711E-3</v>
      </c>
      <c r="K117" s="1">
        <f>IFERROR(IF(Benchmark1[[#This Row],[Comparable '#1 Date Check]]="Pass",Benchmark1[[#This Row],[Comparable '#1 Return]]-Benchmark1[[#This Row],[Benchmark '#1 Return]],"-"),"-")</f>
        <v>9.4304755385943191E-3</v>
      </c>
      <c r="L117" s="1" t="str">
        <f>IF(COUNTIF(Comp2[Comparable '#2 Dates],Benchmark1[[#This Row],[Benchmark '#1 Dates]])=1,"Pass","Fail")</f>
        <v>Pass</v>
      </c>
      <c r="M117" s="6">
        <f>IF(Benchmark1[[#This Row],[Comparable '#2 Date Check]]="Pass",INDEX(Comp2[Comparable '#2 Price],MATCH(Benchmark1[[#This Row],[Benchmark '#1 Dates]],Comp2[Comparable '#2 Dates],0)),"-")</f>
        <v>49.62</v>
      </c>
      <c r="N117" s="22">
        <f>IF(Benchmark1[[#This Row],[Comparable '#2 Date Check]]="Pass",INDEX(Comp2[Comparable '#2 Return],MATCH(Benchmark1[[#This Row],[Benchmark '#1 Dates]],Comp2[Comparable '#2 Dates],0)),"-")</f>
        <v>-7.4290071618240815E-3</v>
      </c>
      <c r="O117" s="1">
        <f>IFERROR(IF(Benchmark1[[#This Row],[Comparable '#2 Date Check]]="Pass",Benchmark1[[#This Row],[Comparable '#2 Return]]-Benchmark1[[#This Row],[Benchmark '#1 Return]],"-"),"-")</f>
        <v>-7.5159386101199327E-3</v>
      </c>
      <c r="P117" s="1" t="str">
        <f>IF(COUNTIF(Comp3[Comparable '#3 Dates],Benchmark1[[#This Row],[Benchmark '#1 Dates]])=1,"Pass","Fail")</f>
        <v>Pass</v>
      </c>
      <c r="Q117" s="6">
        <f>IF(Benchmark1[[#This Row],[Comparable '#3 Date Check]]="Pass",INDEX(Comp3[Comparable '#3 Price],MATCH(Benchmark1[[#This Row],[Benchmark '#1 Dates]],Comp3[Comparable '#3 Dates],0)),"-")</f>
        <v>120.21</v>
      </c>
      <c r="R117" s="22">
        <f>IF(Benchmark1[[#This Row],[Comparable '#3 Date Check]]="Pass",INDEX(Comp3[Comparable '#3 Return],MATCH(Benchmark1[[#This Row],[Benchmark '#1 Dates]],Comp3[Comparable '#3 Dates],0)),"-")</f>
        <v>-4.1071526648811391E-2</v>
      </c>
      <c r="S117" s="1">
        <f>IFERROR(IF(Benchmark1[[#This Row],[Comparable '#3 Date Check]]="Pass",Benchmark1[[#This Row],[Comparable '#3 Return]]-Benchmark1[[#This Row],[Benchmark '#1 Return]],"-"),"-")</f>
        <v>-4.1158458097107241E-2</v>
      </c>
    </row>
    <row r="118" spans="1:19">
      <c r="A118" s="103">
        <v>43453</v>
      </c>
      <c r="B118" s="104">
        <v>2506.9552153653513</v>
      </c>
      <c r="C118" s="4">
        <f t="shared" si="1"/>
        <v>-1.5517818951607422E-2</v>
      </c>
      <c r="D118" s="1" t="str">
        <f>IF(COUNTIF(Target1[Target Dates],Benchmark1[[#This Row],[Benchmark '#1 Dates]])=1,"Pass","Fail")</f>
        <v>Pass</v>
      </c>
      <c r="E118" s="6">
        <f>IF(Benchmark1[[#This Row],[Target Date Check]]="Pass",INDEX(Target1[Target Price],MATCH(Benchmark1[[#This Row],[Benchmark '#1 Dates]],Target1[Target Dates],0)),"-")</f>
        <v>22.85</v>
      </c>
      <c r="F118" s="22">
        <f>IF(Benchmark1[[#This Row],[Target Date Check]]="Pass",INDEX(Target1[Target Return],MATCH(Benchmark1[[#This Row],[Benchmark '#1 Dates]],Target1[Target Dates],0)),"-")</f>
        <v>-6.9777867070608341E-3</v>
      </c>
      <c r="G118" s="1">
        <f>IFERROR(IF(Benchmark1[[#This Row],[Target Date Check]]="Pass",Benchmark1[[#This Row],[Target Return]]-Benchmark1[[#This Row],[Benchmark '#1 Return]],"-"),"-")</f>
        <v>8.5400322445465873E-3</v>
      </c>
      <c r="H118" s="1" t="str">
        <f>IF(COUNTIF(Comp1[Comparable '#1 Dates],Benchmark1[[#This Row],[Benchmark '#1 Dates]])=1,"Pass","Fail")</f>
        <v>Pass</v>
      </c>
      <c r="I118" s="6">
        <f>IF(Benchmark1[[#This Row],[Comparable '#1 Date Check]]="Pass",INDEX(Comp1[Comparable '#1 Price],MATCH(Benchmark1[[#This Row],[Benchmark '#1 Dates]],Comp1[Comparable '#1 Dates],0)),"-")</f>
        <v>14.56</v>
      </c>
      <c r="J118" s="22">
        <f>IF(Benchmark1[[#This Row],[Comparable '#1 Date Check]]="Pass",INDEX(Comp1[Comparable '#1 Return],MATCH(Benchmark1[[#This Row],[Benchmark '#1 Dates]],Comp1[Comparable '#1 Dates],0)),"-")</f>
        <v>-1.4996872751515691E-2</v>
      </c>
      <c r="K118" s="1">
        <f>IFERROR(IF(Benchmark1[[#This Row],[Comparable '#1 Date Check]]="Pass",Benchmark1[[#This Row],[Comparable '#1 Return]]-Benchmark1[[#This Row],[Benchmark '#1 Return]],"-"),"-")</f>
        <v>5.2094620009173094E-4</v>
      </c>
      <c r="L118" s="1" t="str">
        <f>IF(COUNTIF(Comp2[Comparable '#2 Dates],Benchmark1[[#This Row],[Benchmark '#1 Dates]])=1,"Pass","Fail")</f>
        <v>Pass</v>
      </c>
      <c r="M118" s="6">
        <f>IF(Benchmark1[[#This Row],[Comparable '#2 Date Check]]="Pass",INDEX(Comp2[Comparable '#2 Price],MATCH(Benchmark1[[#This Row],[Benchmark '#1 Dates]],Comp2[Comparable '#2 Dates],0)),"-")</f>
        <v>48.41</v>
      </c>
      <c r="N118" s="22">
        <f>IF(Benchmark1[[#This Row],[Comparable '#2 Date Check]]="Pass",INDEX(Comp2[Comparable '#2 Return],MATCH(Benchmark1[[#This Row],[Benchmark '#1 Dates]],Comp2[Comparable '#2 Dates],0)),"-")</f>
        <v>-2.4687574312051926E-2</v>
      </c>
      <c r="O118" s="1">
        <f>IFERROR(IF(Benchmark1[[#This Row],[Comparable '#2 Date Check]]="Pass",Benchmark1[[#This Row],[Comparable '#2 Return]]-Benchmark1[[#This Row],[Benchmark '#1 Return]],"-"),"-")</f>
        <v>-9.169755360444504E-3</v>
      </c>
      <c r="P118" s="1" t="str">
        <f>IF(COUNTIF(Comp3[Comparable '#3 Dates],Benchmark1[[#This Row],[Benchmark '#1 Dates]])=1,"Pass","Fail")</f>
        <v>Pass</v>
      </c>
      <c r="Q118" s="6">
        <f>IF(Benchmark1[[#This Row],[Comparable '#3 Date Check]]="Pass",INDEX(Comp3[Comparable '#3 Price],MATCH(Benchmark1[[#This Row],[Benchmark '#1 Dates]],Comp3[Comparable '#3 Dates],0)),"-")</f>
        <v>114.48</v>
      </c>
      <c r="R118" s="22">
        <f>IF(Benchmark1[[#This Row],[Comparable '#3 Date Check]]="Pass",INDEX(Comp3[Comparable '#3 Return],MATCH(Benchmark1[[#This Row],[Benchmark '#1 Dates]],Comp3[Comparable '#3 Dates],0)),"-")</f>
        <v>-4.8840078067967342E-2</v>
      </c>
      <c r="S118" s="1">
        <f>IFERROR(IF(Benchmark1[[#This Row],[Comparable '#3 Date Check]]="Pass",Benchmark1[[#This Row],[Comparable '#3 Return]]-Benchmark1[[#This Row],[Benchmark '#1 Return]],"-"),"-")</f>
        <v>-3.3322259116359922E-2</v>
      </c>
    </row>
    <row r="119" spans="1:19">
      <c r="A119" s="103">
        <v>43454</v>
      </c>
      <c r="B119" s="104">
        <v>2467.4184701403537</v>
      </c>
      <c r="C119" s="4">
        <f t="shared" si="1"/>
        <v>-1.5896504884996523E-2</v>
      </c>
      <c r="D119" s="1" t="str">
        <f>IF(COUNTIF(Target1[Target Dates],Benchmark1[[#This Row],[Benchmark '#1 Dates]])=1,"Pass","Fail")</f>
        <v>Pass</v>
      </c>
      <c r="E119" s="6">
        <f>IF(Benchmark1[[#This Row],[Target Date Check]]="Pass",INDEX(Target1[Target Price],MATCH(Benchmark1[[#This Row],[Benchmark '#1 Dates]],Target1[Target Dates],0)),"-")</f>
        <v>23.15</v>
      </c>
      <c r="F119" s="22">
        <f>IF(Benchmark1[[#This Row],[Target Date Check]]="Pass",INDEX(Target1[Target Return],MATCH(Benchmark1[[#This Row],[Benchmark '#1 Dates]],Target1[Target Dates],0)),"-")</f>
        <v>1.3043663192029179E-2</v>
      </c>
      <c r="G119" s="1">
        <f>IFERROR(IF(Benchmark1[[#This Row],[Target Date Check]]="Pass",Benchmark1[[#This Row],[Target Return]]-Benchmark1[[#This Row],[Benchmark '#1 Return]],"-"),"-")</f>
        <v>2.8940168077025701E-2</v>
      </c>
      <c r="H119" s="1" t="str">
        <f>IF(COUNTIF(Comp1[Comparable '#1 Dates],Benchmark1[[#This Row],[Benchmark '#1 Dates]])=1,"Pass","Fail")</f>
        <v>Pass</v>
      </c>
      <c r="I119" s="6">
        <f>IF(Benchmark1[[#This Row],[Comparable '#1 Date Check]]="Pass",INDEX(Comp1[Comparable '#1 Price],MATCH(Benchmark1[[#This Row],[Benchmark '#1 Dates]],Comp1[Comparable '#1 Dates],0)),"-")</f>
        <v>14.42</v>
      </c>
      <c r="J119" s="22">
        <f>IF(Benchmark1[[#This Row],[Comparable '#1 Date Check]]="Pass",INDEX(Comp1[Comparable '#1 Return],MATCH(Benchmark1[[#This Row],[Benchmark '#1 Dates]],Comp1[Comparable '#1 Dates],0)),"-")</f>
        <v>-9.6619109117369716E-3</v>
      </c>
      <c r="K119" s="1">
        <f>IFERROR(IF(Benchmark1[[#This Row],[Comparable '#1 Date Check]]="Pass",Benchmark1[[#This Row],[Comparable '#1 Return]]-Benchmark1[[#This Row],[Benchmark '#1 Return]],"-"),"-")</f>
        <v>6.2345939732595512E-3</v>
      </c>
      <c r="L119" s="1" t="str">
        <f>IF(COUNTIF(Comp2[Comparable '#2 Dates],Benchmark1[[#This Row],[Benchmark '#1 Dates]])=1,"Pass","Fail")</f>
        <v>Pass</v>
      </c>
      <c r="M119" s="6">
        <f>IF(Benchmark1[[#This Row],[Comparable '#2 Date Check]]="Pass",INDEX(Comp2[Comparable '#2 Price],MATCH(Benchmark1[[#This Row],[Benchmark '#1 Dates]],Comp2[Comparable '#2 Dates],0)),"-")</f>
        <v>47.66</v>
      </c>
      <c r="N119" s="22">
        <f>IF(Benchmark1[[#This Row],[Comparable '#2 Date Check]]="Pass",INDEX(Comp2[Comparable '#2 Return],MATCH(Benchmark1[[#This Row],[Benchmark '#1 Dates]],Comp2[Comparable '#2 Dates],0)),"-")</f>
        <v>-1.5613932281006883E-2</v>
      </c>
      <c r="O119" s="1">
        <f>IFERROR(IF(Benchmark1[[#This Row],[Comparable '#2 Date Check]]="Pass",Benchmark1[[#This Row],[Comparable '#2 Return]]-Benchmark1[[#This Row],[Benchmark '#1 Return]],"-"),"-")</f>
        <v>2.8257260398963958E-4</v>
      </c>
      <c r="P119" s="1" t="str">
        <f>IF(COUNTIF(Comp3[Comparable '#3 Dates],Benchmark1[[#This Row],[Benchmark '#1 Dates]])=1,"Pass","Fail")</f>
        <v>Pass</v>
      </c>
      <c r="Q119" s="6">
        <f>IF(Benchmark1[[#This Row],[Comparable '#3 Date Check]]="Pass",INDEX(Comp3[Comparable '#3 Price],MATCH(Benchmark1[[#This Row],[Benchmark '#1 Dates]],Comp3[Comparable '#3 Dates],0)),"-")</f>
        <v>112.02</v>
      </c>
      <c r="R119" s="22">
        <f>IF(Benchmark1[[#This Row],[Comparable '#3 Date Check]]="Pass",INDEX(Comp3[Comparable '#3 Return],MATCH(Benchmark1[[#This Row],[Benchmark '#1 Dates]],Comp3[Comparable '#3 Dates],0)),"-")</f>
        <v>-2.1722708466509234E-2</v>
      </c>
      <c r="S119" s="1">
        <f>IFERROR(IF(Benchmark1[[#This Row],[Comparable '#3 Date Check]]="Pass",Benchmark1[[#This Row],[Comparable '#3 Return]]-Benchmark1[[#This Row],[Benchmark '#1 Return]],"-"),"-")</f>
        <v>-5.8262035815127115E-3</v>
      </c>
    </row>
    <row r="120" spans="1:19">
      <c r="A120" s="103">
        <v>43455</v>
      </c>
      <c r="B120" s="104">
        <v>2416.618385209938</v>
      </c>
      <c r="C120" s="4">
        <f t="shared" si="1"/>
        <v>-2.0803248831397024E-2</v>
      </c>
      <c r="D120" s="1" t="str">
        <f>IF(COUNTIF(Target1[Target Dates],Benchmark1[[#This Row],[Benchmark '#1 Dates]])=1,"Pass","Fail")</f>
        <v>Pass</v>
      </c>
      <c r="E120" s="6">
        <f>IF(Benchmark1[[#This Row],[Target Date Check]]="Pass",INDEX(Target1[Target Price],MATCH(Benchmark1[[#This Row],[Benchmark '#1 Dates]],Target1[Target Dates],0)),"-")</f>
        <v>22.65</v>
      </c>
      <c r="F120" s="22">
        <f>IF(Benchmark1[[#This Row],[Target Date Check]]="Pass",INDEX(Target1[Target Return],MATCH(Benchmark1[[#This Row],[Benchmark '#1 Dates]],Target1[Target Dates],0)),"-")</f>
        <v>-2.183492860320007E-2</v>
      </c>
      <c r="G120" s="1">
        <f>IFERROR(IF(Benchmark1[[#This Row],[Target Date Check]]="Pass",Benchmark1[[#This Row],[Target Return]]-Benchmark1[[#This Row],[Benchmark '#1 Return]],"-"),"-")</f>
        <v>-1.0316797718030457E-3</v>
      </c>
      <c r="H120" s="1" t="str">
        <f>IF(COUNTIF(Comp1[Comparable '#1 Dates],Benchmark1[[#This Row],[Benchmark '#1 Dates]])=1,"Pass","Fail")</f>
        <v>Pass</v>
      </c>
      <c r="I120" s="6">
        <f>IF(Benchmark1[[#This Row],[Comparable '#1 Date Check]]="Pass",INDEX(Comp1[Comparable '#1 Price],MATCH(Benchmark1[[#This Row],[Benchmark '#1 Dates]],Comp1[Comparable '#1 Dates],0)),"-")</f>
        <v>13.9</v>
      </c>
      <c r="J120" s="22">
        <f>IF(Benchmark1[[#This Row],[Comparable '#1 Date Check]]="Pass",INDEX(Comp1[Comparable '#1 Return],MATCH(Benchmark1[[#This Row],[Benchmark '#1 Dates]],Comp1[Comparable '#1 Dates],0)),"-")</f>
        <v>-3.6727291720156929E-2</v>
      </c>
      <c r="K120" s="1">
        <f>IFERROR(IF(Benchmark1[[#This Row],[Comparable '#1 Date Check]]="Pass",Benchmark1[[#This Row],[Comparable '#1 Return]]-Benchmark1[[#This Row],[Benchmark '#1 Return]],"-"),"-")</f>
        <v>-1.5924042888759905E-2</v>
      </c>
      <c r="L120" s="1" t="str">
        <f>IF(COUNTIF(Comp2[Comparable '#2 Dates],Benchmark1[[#This Row],[Benchmark '#1 Dates]])=1,"Pass","Fail")</f>
        <v>Pass</v>
      </c>
      <c r="M120" s="6">
        <f>IF(Benchmark1[[#This Row],[Comparable '#2 Date Check]]="Pass",INDEX(Comp2[Comparable '#2 Price],MATCH(Benchmark1[[#This Row],[Benchmark '#1 Dates]],Comp2[Comparable '#2 Dates],0)),"-")</f>
        <v>45.53</v>
      </c>
      <c r="N120" s="22">
        <f>IF(Benchmark1[[#This Row],[Comparable '#2 Date Check]]="Pass",INDEX(Comp2[Comparable '#2 Return],MATCH(Benchmark1[[#This Row],[Benchmark '#1 Dates]],Comp2[Comparable '#2 Dates],0)),"-")</f>
        <v>-4.5721022323905194E-2</v>
      </c>
      <c r="O120" s="1">
        <f>IFERROR(IF(Benchmark1[[#This Row],[Comparable '#2 Date Check]]="Pass",Benchmark1[[#This Row],[Comparable '#2 Return]]-Benchmark1[[#This Row],[Benchmark '#1 Return]],"-"),"-")</f>
        <v>-2.491777349250817E-2</v>
      </c>
      <c r="P120" s="1" t="str">
        <f>IF(COUNTIF(Comp3[Comparable '#3 Dates],Benchmark1[[#This Row],[Benchmark '#1 Dates]])=1,"Pass","Fail")</f>
        <v>Pass</v>
      </c>
      <c r="Q120" s="6">
        <f>IF(Benchmark1[[#This Row],[Comparable '#3 Date Check]]="Pass",INDEX(Comp3[Comparable '#3 Price],MATCH(Benchmark1[[#This Row],[Benchmark '#1 Dates]],Comp3[Comparable '#3 Dates],0)),"-")</f>
        <v>107.89</v>
      </c>
      <c r="R120" s="22">
        <f>IF(Benchmark1[[#This Row],[Comparable '#3 Date Check]]="Pass",INDEX(Comp3[Comparable '#3 Return],MATCH(Benchmark1[[#This Row],[Benchmark '#1 Dates]],Comp3[Comparable '#3 Dates],0)),"-")</f>
        <v>-3.7565237218437499E-2</v>
      </c>
      <c r="S120" s="1">
        <f>IFERROR(IF(Benchmark1[[#This Row],[Comparable '#3 Date Check]]="Pass",Benchmark1[[#This Row],[Comparable '#3 Return]]-Benchmark1[[#This Row],[Benchmark '#1 Return]],"-"),"-")</f>
        <v>-1.6761988387040475E-2</v>
      </c>
    </row>
    <row r="121" spans="1:19">
      <c r="A121" s="103">
        <v>43458</v>
      </c>
      <c r="B121" s="104">
        <v>2351.0995341865109</v>
      </c>
      <c r="C121" s="4">
        <f t="shared" si="1"/>
        <v>-2.7486095846075715E-2</v>
      </c>
      <c r="D121" s="1" t="str">
        <f>IF(COUNTIF(Target1[Target Dates],Benchmark1[[#This Row],[Benchmark '#1 Dates]])=1,"Pass","Fail")</f>
        <v>Pass</v>
      </c>
      <c r="E121" s="6">
        <f>IF(Benchmark1[[#This Row],[Target Date Check]]="Pass",INDEX(Target1[Target Price],MATCH(Benchmark1[[#This Row],[Benchmark '#1 Dates]],Target1[Target Dates],0)),"-")</f>
        <v>22.62</v>
      </c>
      <c r="F121" s="22">
        <f>IF(Benchmark1[[#This Row],[Target Date Check]]="Pass",INDEX(Target1[Target Return],MATCH(Benchmark1[[#This Row],[Benchmark '#1 Dates]],Target1[Target Dates],0)),"-")</f>
        <v>-1.3253812410685707E-3</v>
      </c>
      <c r="G121" s="1">
        <f>IFERROR(IF(Benchmark1[[#This Row],[Target Date Check]]="Pass",Benchmark1[[#This Row],[Target Return]]-Benchmark1[[#This Row],[Benchmark '#1 Return]],"-"),"-")</f>
        <v>2.6160714605007143E-2</v>
      </c>
      <c r="H121" s="1" t="str">
        <f>IF(COUNTIF(Comp1[Comparable '#1 Dates],Benchmark1[[#This Row],[Benchmark '#1 Dates]])=1,"Pass","Fail")</f>
        <v>Pass</v>
      </c>
      <c r="I121" s="6">
        <f>IF(Benchmark1[[#This Row],[Comparable '#1 Date Check]]="Pass",INDEX(Comp1[Comparable '#1 Price],MATCH(Benchmark1[[#This Row],[Benchmark '#1 Dates]],Comp1[Comparable '#1 Dates],0)),"-")</f>
        <v>13.98</v>
      </c>
      <c r="J121" s="22">
        <f>IF(Benchmark1[[#This Row],[Comparable '#1 Date Check]]="Pass",INDEX(Comp1[Comparable '#1 Return],MATCH(Benchmark1[[#This Row],[Benchmark '#1 Dates]],Comp1[Comparable '#1 Dates],0)),"-")</f>
        <v>5.7388966690181779E-3</v>
      </c>
      <c r="K121" s="1">
        <f>IFERROR(IF(Benchmark1[[#This Row],[Comparable '#1 Date Check]]="Pass",Benchmark1[[#This Row],[Comparable '#1 Return]]-Benchmark1[[#This Row],[Benchmark '#1 Return]],"-"),"-")</f>
        <v>3.3224992515093893E-2</v>
      </c>
      <c r="L121" s="1" t="str">
        <f>IF(COUNTIF(Comp2[Comparable '#2 Dates],Benchmark1[[#This Row],[Benchmark '#1 Dates]])=1,"Pass","Fail")</f>
        <v>Pass</v>
      </c>
      <c r="M121" s="6">
        <f>IF(Benchmark1[[#This Row],[Comparable '#2 Date Check]]="Pass",INDEX(Comp2[Comparable '#2 Price],MATCH(Benchmark1[[#This Row],[Benchmark '#1 Dates]],Comp2[Comparable '#2 Dates],0)),"-")</f>
        <v>44.57</v>
      </c>
      <c r="N121" s="22">
        <f>IF(Benchmark1[[#This Row],[Comparable '#2 Date Check]]="Pass",INDEX(Comp2[Comparable '#2 Return],MATCH(Benchmark1[[#This Row],[Benchmark '#1 Dates]],Comp2[Comparable '#2 Dates],0)),"-")</f>
        <v>-2.1310462388226318E-2</v>
      </c>
      <c r="O121" s="1">
        <f>IFERROR(IF(Benchmark1[[#This Row],[Comparable '#2 Date Check]]="Pass",Benchmark1[[#This Row],[Comparable '#2 Return]]-Benchmark1[[#This Row],[Benchmark '#1 Return]],"-"),"-")</f>
        <v>6.1756334578493971E-3</v>
      </c>
      <c r="P121" s="1" t="str">
        <f>IF(COUNTIF(Comp3[Comparable '#3 Dates],Benchmark1[[#This Row],[Benchmark '#1 Dates]])=1,"Pass","Fail")</f>
        <v>Pass</v>
      </c>
      <c r="Q121" s="6">
        <f>IF(Benchmark1[[#This Row],[Comparable '#3 Date Check]]="Pass",INDEX(Comp3[Comparable '#3 Price],MATCH(Benchmark1[[#This Row],[Benchmark '#1 Dates]],Comp3[Comparable '#3 Dates],0)),"-")</f>
        <v>104.43</v>
      </c>
      <c r="R121" s="22">
        <f>IF(Benchmark1[[#This Row],[Comparable '#3 Date Check]]="Pass",INDEX(Comp3[Comparable '#3 Return],MATCH(Benchmark1[[#This Row],[Benchmark '#1 Dates]],Comp3[Comparable '#3 Dates],0)),"-")</f>
        <v>-3.2595199071791411E-2</v>
      </c>
      <c r="S121" s="1">
        <f>IFERROR(IF(Benchmark1[[#This Row],[Comparable '#3 Date Check]]="Pass",Benchmark1[[#This Row],[Comparable '#3 Return]]-Benchmark1[[#This Row],[Benchmark '#1 Return]],"-"),"-")</f>
        <v>-5.1091032257156964E-3</v>
      </c>
    </row>
    <row r="122" spans="1:19">
      <c r="A122" s="103">
        <v>43460</v>
      </c>
      <c r="B122" s="104">
        <v>2467.7040648018474</v>
      </c>
      <c r="C122" s="4">
        <f t="shared" si="1"/>
        <v>4.8405084321135189E-2</v>
      </c>
      <c r="D122" s="1" t="str">
        <f>IF(COUNTIF(Target1[Target Dates],Benchmark1[[#This Row],[Benchmark '#1 Dates]])=1,"Pass","Fail")</f>
        <v>Pass</v>
      </c>
      <c r="E122" s="6">
        <f>IF(Benchmark1[[#This Row],[Target Date Check]]="Pass",INDEX(Target1[Target Price],MATCH(Benchmark1[[#This Row],[Benchmark '#1 Dates]],Target1[Target Dates],0)),"-")</f>
        <v>23.52</v>
      </c>
      <c r="F122" s="22">
        <f>IF(Benchmark1[[#This Row],[Target Date Check]]="Pass",INDEX(Target1[Target Return],MATCH(Benchmark1[[#This Row],[Benchmark '#1 Dates]],Target1[Target Dates],0)),"-")</f>
        <v>3.9016652342451719E-2</v>
      </c>
      <c r="G122" s="1">
        <f>IFERROR(IF(Benchmark1[[#This Row],[Target Date Check]]="Pass",Benchmark1[[#This Row],[Target Return]]-Benchmark1[[#This Row],[Benchmark '#1 Return]],"-"),"-")</f>
        <v>-9.3884319786834702E-3</v>
      </c>
      <c r="H122" s="1" t="str">
        <f>IF(COUNTIF(Comp1[Comparable '#1 Dates],Benchmark1[[#This Row],[Benchmark '#1 Dates]])=1,"Pass","Fail")</f>
        <v>Pass</v>
      </c>
      <c r="I122" s="6">
        <f>IF(Benchmark1[[#This Row],[Comparable '#1 Date Check]]="Pass",INDEX(Comp1[Comparable '#1 Price],MATCH(Benchmark1[[#This Row],[Benchmark '#1 Dates]],Comp1[Comparable '#1 Dates],0)),"-")</f>
        <v>14.54</v>
      </c>
      <c r="J122" s="22">
        <f>IF(Benchmark1[[#This Row],[Comparable '#1 Date Check]]="Pass",INDEX(Comp1[Comparable '#1 Return],MATCH(Benchmark1[[#This Row],[Benchmark '#1 Dates]],Comp1[Comparable '#1 Dates],0)),"-")</f>
        <v>3.9275735299708965E-2</v>
      </c>
      <c r="K122" s="1">
        <f>IFERROR(IF(Benchmark1[[#This Row],[Comparable '#1 Date Check]]="Pass",Benchmark1[[#This Row],[Comparable '#1 Return]]-Benchmark1[[#This Row],[Benchmark '#1 Return]],"-"),"-")</f>
        <v>-9.1293490214262238E-3</v>
      </c>
      <c r="L122" s="1" t="str">
        <f>IF(COUNTIF(Comp2[Comparable '#2 Dates],Benchmark1[[#This Row],[Benchmark '#1 Dates]])=1,"Pass","Fail")</f>
        <v>Pass</v>
      </c>
      <c r="M122" s="6">
        <f>IF(Benchmark1[[#This Row],[Comparable '#2 Date Check]]="Pass",INDEX(Comp2[Comparable '#2 Price],MATCH(Benchmark1[[#This Row],[Benchmark '#1 Dates]],Comp2[Comparable '#2 Dates],0)),"-")</f>
        <v>46.59</v>
      </c>
      <c r="N122" s="22">
        <f>IF(Benchmark1[[#This Row],[Comparable '#2 Date Check]]="Pass",INDEX(Comp2[Comparable '#2 Return],MATCH(Benchmark1[[#This Row],[Benchmark '#1 Dates]],Comp2[Comparable '#2 Dates],0)),"-")</f>
        <v>4.4324938870240908E-2</v>
      </c>
      <c r="O122" s="1">
        <f>IFERROR(IF(Benchmark1[[#This Row],[Comparable '#2 Date Check]]="Pass",Benchmark1[[#This Row],[Comparable '#2 Return]]-Benchmark1[[#This Row],[Benchmark '#1 Return]],"-"),"-")</f>
        <v>-4.0801454508942805E-3</v>
      </c>
      <c r="P122" s="1" t="str">
        <f>IF(COUNTIF(Comp3[Comparable '#3 Dates],Benchmark1[[#This Row],[Benchmark '#1 Dates]])=1,"Pass","Fail")</f>
        <v>Pass</v>
      </c>
      <c r="Q122" s="6">
        <f>IF(Benchmark1[[#This Row],[Comparable '#3 Date Check]]="Pass",INDEX(Comp3[Comparable '#3 Price],MATCH(Benchmark1[[#This Row],[Benchmark '#1 Dates]],Comp3[Comparable '#3 Dates],0)),"-")</f>
        <v>109.3</v>
      </c>
      <c r="R122" s="22">
        <f>IF(Benchmark1[[#This Row],[Comparable '#3 Date Check]]="Pass",INDEX(Comp3[Comparable '#3 Return],MATCH(Benchmark1[[#This Row],[Benchmark '#1 Dates]],Comp3[Comparable '#3 Dates],0)),"-")</f>
        <v>4.5579404691035483E-2</v>
      </c>
      <c r="S122" s="1">
        <f>IFERROR(IF(Benchmark1[[#This Row],[Comparable '#3 Date Check]]="Pass",Benchmark1[[#This Row],[Comparable '#3 Return]]-Benchmark1[[#This Row],[Benchmark '#1 Return]],"-"),"-")</f>
        <v>-2.8256796300997061E-3</v>
      </c>
    </row>
    <row r="123" spans="1:19">
      <c r="A123" s="103">
        <v>43461</v>
      </c>
      <c r="B123" s="104">
        <v>2488.8274361944336</v>
      </c>
      <c r="C123" s="4">
        <f t="shared" si="1"/>
        <v>8.5235004650740884E-3</v>
      </c>
      <c r="D123" s="1" t="str">
        <f>IF(COUNTIF(Target1[Target Dates],Benchmark1[[#This Row],[Benchmark '#1 Dates]])=1,"Pass","Fail")</f>
        <v>Pass</v>
      </c>
      <c r="E123" s="6">
        <f>IF(Benchmark1[[#This Row],[Target Date Check]]="Pass",INDEX(Target1[Target Price],MATCH(Benchmark1[[#This Row],[Benchmark '#1 Dates]],Target1[Target Dates],0)),"-")</f>
        <v>23.91</v>
      </c>
      <c r="F123" s="22">
        <f>IF(Benchmark1[[#This Row],[Target Date Check]]="Pass",INDEX(Target1[Target Return],MATCH(Benchmark1[[#This Row],[Benchmark '#1 Dates]],Target1[Target Dates],0)),"-")</f>
        <v>1.6445658439807196E-2</v>
      </c>
      <c r="G123" s="1">
        <f>IFERROR(IF(Benchmark1[[#This Row],[Target Date Check]]="Pass",Benchmark1[[#This Row],[Target Return]]-Benchmark1[[#This Row],[Benchmark '#1 Return]],"-"),"-")</f>
        <v>7.9221579747331076E-3</v>
      </c>
      <c r="H123" s="1" t="str">
        <f>IF(COUNTIF(Comp1[Comparable '#1 Dates],Benchmark1[[#This Row],[Benchmark '#1 Dates]])=1,"Pass","Fail")</f>
        <v>Pass</v>
      </c>
      <c r="I123" s="6">
        <f>IF(Benchmark1[[#This Row],[Comparable '#1 Date Check]]="Pass",INDEX(Comp1[Comparable '#1 Price],MATCH(Benchmark1[[#This Row],[Benchmark '#1 Dates]],Comp1[Comparable '#1 Dates],0)),"-")</f>
        <v>14.68</v>
      </c>
      <c r="J123" s="22">
        <f>IF(Benchmark1[[#This Row],[Comparable '#1 Date Check]]="Pass",INDEX(Comp1[Comparable '#1 Return],MATCH(Benchmark1[[#This Row],[Benchmark '#1 Dates]],Comp1[Comparable '#1 Dates],0)),"-")</f>
        <v>9.5825510809961559E-3</v>
      </c>
      <c r="K123" s="1">
        <f>IFERROR(IF(Benchmark1[[#This Row],[Comparable '#1 Date Check]]="Pass",Benchmark1[[#This Row],[Comparable '#1 Return]]-Benchmark1[[#This Row],[Benchmark '#1 Return]],"-"),"-")</f>
        <v>1.0590506159220674E-3</v>
      </c>
      <c r="L123" s="1" t="str">
        <f>IF(COUNTIF(Comp2[Comparable '#2 Dates],Benchmark1[[#This Row],[Benchmark '#1 Dates]])=1,"Pass","Fail")</f>
        <v>Pass</v>
      </c>
      <c r="M123" s="6">
        <f>IF(Benchmark1[[#This Row],[Comparable '#2 Date Check]]="Pass",INDEX(Comp2[Comparable '#2 Price],MATCH(Benchmark1[[#This Row],[Benchmark '#1 Dates]],Comp2[Comparable '#2 Dates],0)),"-")</f>
        <v>46.53</v>
      </c>
      <c r="N123" s="22">
        <f>IF(Benchmark1[[#This Row],[Comparable '#2 Date Check]]="Pass",INDEX(Comp2[Comparable '#2 Return],MATCH(Benchmark1[[#This Row],[Benchmark '#1 Dates]],Comp2[Comparable '#2 Dates],0)),"-")</f>
        <v>-1.2886599721482696E-3</v>
      </c>
      <c r="O123" s="1">
        <f>IFERROR(IF(Benchmark1[[#This Row],[Comparable '#2 Date Check]]="Pass",Benchmark1[[#This Row],[Comparable '#2 Return]]-Benchmark1[[#This Row],[Benchmark '#1 Return]],"-"),"-")</f>
        <v>-9.8121604372223576E-3</v>
      </c>
      <c r="P123" s="1" t="str">
        <f>IF(COUNTIF(Comp3[Comparable '#3 Dates],Benchmark1[[#This Row],[Benchmark '#1 Dates]])=1,"Pass","Fail")</f>
        <v>Pass</v>
      </c>
      <c r="Q123" s="6">
        <f>IF(Benchmark1[[#This Row],[Comparable '#3 Date Check]]="Pass",INDEX(Comp3[Comparable '#3 Price],MATCH(Benchmark1[[#This Row],[Benchmark '#1 Dates]],Comp3[Comparable '#3 Dates],0)),"-")</f>
        <v>111.06</v>
      </c>
      <c r="R123" s="22">
        <f>IF(Benchmark1[[#This Row],[Comparable '#3 Date Check]]="Pass",INDEX(Comp3[Comparable '#3 Return],MATCH(Benchmark1[[#This Row],[Benchmark '#1 Dates]],Comp3[Comparable '#3 Dates],0)),"-")</f>
        <v>1.5974200630968209E-2</v>
      </c>
      <c r="S123" s="1">
        <f>IFERROR(IF(Benchmark1[[#This Row],[Comparable '#3 Date Check]]="Pass",Benchmark1[[#This Row],[Comparable '#3 Return]]-Benchmark1[[#This Row],[Benchmark '#1 Return]],"-"),"-")</f>
        <v>7.4507001658941207E-3</v>
      </c>
    </row>
    <row r="124" spans="1:19">
      <c r="A124" s="103">
        <v>43462</v>
      </c>
      <c r="B124" s="104">
        <v>2485.7352155441395</v>
      </c>
      <c r="C124" s="4">
        <f t="shared" si="1"/>
        <v>-1.243213229000617E-3</v>
      </c>
      <c r="D124" s="1" t="str">
        <f>IF(COUNTIF(Target1[Target Dates],Benchmark1[[#This Row],[Benchmark '#1 Dates]])=1,"Pass","Fail")</f>
        <v>Pass</v>
      </c>
      <c r="E124" s="6">
        <f>IF(Benchmark1[[#This Row],[Target Date Check]]="Pass",INDEX(Target1[Target Price],MATCH(Benchmark1[[#This Row],[Benchmark '#1 Dates]],Target1[Target Dates],0)),"-")</f>
        <v>24.42</v>
      </c>
      <c r="F124" s="22">
        <f>IF(Benchmark1[[#This Row],[Target Date Check]]="Pass",INDEX(Target1[Target Return],MATCH(Benchmark1[[#This Row],[Benchmark '#1 Dates]],Target1[Target Dates],0)),"-")</f>
        <v>2.1105687212325374E-2</v>
      </c>
      <c r="G124" s="1">
        <f>IFERROR(IF(Benchmark1[[#This Row],[Target Date Check]]="Pass",Benchmark1[[#This Row],[Target Return]]-Benchmark1[[#This Row],[Benchmark '#1 Return]],"-"),"-")</f>
        <v>2.2348900441325991E-2</v>
      </c>
      <c r="H124" s="1" t="str">
        <f>IF(COUNTIF(Comp1[Comparable '#1 Dates],Benchmark1[[#This Row],[Benchmark '#1 Dates]])=1,"Pass","Fail")</f>
        <v>Pass</v>
      </c>
      <c r="I124" s="6">
        <f>IF(Benchmark1[[#This Row],[Comparable '#1 Date Check]]="Pass",INDEX(Comp1[Comparable '#1 Price],MATCH(Benchmark1[[#This Row],[Benchmark '#1 Dates]],Comp1[Comparable '#1 Dates],0)),"-")</f>
        <v>14.82</v>
      </c>
      <c r="J124" s="22">
        <f>IF(Benchmark1[[#This Row],[Comparable '#1 Date Check]]="Pass",INDEX(Comp1[Comparable '#1 Return],MATCH(Benchmark1[[#This Row],[Benchmark '#1 Dates]],Comp1[Comparable '#1 Dates],0)),"-")</f>
        <v>9.4915966815713911E-3</v>
      </c>
      <c r="K124" s="1">
        <f>IFERROR(IF(Benchmark1[[#This Row],[Comparable '#1 Date Check]]="Pass",Benchmark1[[#This Row],[Comparable '#1 Return]]-Benchmark1[[#This Row],[Benchmark '#1 Return]],"-"),"-")</f>
        <v>1.0734809910572008E-2</v>
      </c>
      <c r="L124" s="1" t="str">
        <f>IF(COUNTIF(Comp2[Comparable '#2 Dates],Benchmark1[[#This Row],[Benchmark '#1 Dates]])=1,"Pass","Fail")</f>
        <v>Pass</v>
      </c>
      <c r="M124" s="6">
        <f>IF(Benchmark1[[#This Row],[Comparable '#2 Date Check]]="Pass",INDEX(Comp2[Comparable '#2 Price],MATCH(Benchmark1[[#This Row],[Benchmark '#1 Dates]],Comp2[Comparable '#2 Dates],0)),"-")</f>
        <v>46.93</v>
      </c>
      <c r="N124" s="22">
        <f>IF(Benchmark1[[#This Row],[Comparable '#2 Date Check]]="Pass",INDEX(Comp2[Comparable '#2 Return],MATCH(Benchmark1[[#This Row],[Benchmark '#1 Dates]],Comp2[Comparable '#2 Dates],0)),"-")</f>
        <v>8.5598639497690143E-3</v>
      </c>
      <c r="O124" s="1">
        <f>IFERROR(IF(Benchmark1[[#This Row],[Comparable '#2 Date Check]]="Pass",Benchmark1[[#This Row],[Comparable '#2 Return]]-Benchmark1[[#This Row],[Benchmark '#1 Return]],"-"),"-")</f>
        <v>9.8030771787696314E-3</v>
      </c>
      <c r="P124" s="1" t="str">
        <f>IF(COUNTIF(Comp3[Comparable '#3 Dates],Benchmark1[[#This Row],[Benchmark '#1 Dates]])=1,"Pass","Fail")</f>
        <v>Pass</v>
      </c>
      <c r="Q124" s="6">
        <f>IF(Benchmark1[[#This Row],[Comparable '#3 Date Check]]="Pass",INDEX(Comp3[Comparable '#3 Price],MATCH(Benchmark1[[#This Row],[Benchmark '#1 Dates]],Comp3[Comparable '#3 Dates],0)),"-")</f>
        <v>113.43</v>
      </c>
      <c r="R124" s="22">
        <f>IF(Benchmark1[[#This Row],[Comparable '#3 Date Check]]="Pass",INDEX(Comp3[Comparable '#3 Return],MATCH(Benchmark1[[#This Row],[Benchmark '#1 Dates]],Comp3[Comparable '#3 Dates],0)),"-")</f>
        <v>2.1115310757490097E-2</v>
      </c>
      <c r="S124" s="1">
        <f>IFERROR(IF(Benchmark1[[#This Row],[Comparable '#3 Date Check]]="Pass",Benchmark1[[#This Row],[Comparable '#3 Return]]-Benchmark1[[#This Row],[Benchmark '#1 Return]],"-"),"-")</f>
        <v>2.2358523986490714E-2</v>
      </c>
    </row>
    <row r="125" spans="1:19">
      <c r="A125" s="103">
        <v>43465</v>
      </c>
      <c r="B125" s="104">
        <v>2506.8471826272225</v>
      </c>
      <c r="C125" s="4">
        <f t="shared" si="1"/>
        <v>8.4573838704822251E-3</v>
      </c>
      <c r="D125" s="1" t="str">
        <f>IF(COUNTIF(Target1[Target Dates],Benchmark1[[#This Row],[Benchmark '#1 Dates]])=1,"Pass","Fail")</f>
        <v>Pass</v>
      </c>
      <c r="E125" s="6">
        <f>IF(Benchmark1[[#This Row],[Target Date Check]]="Pass",INDEX(Target1[Target Price],MATCH(Benchmark1[[#This Row],[Benchmark '#1 Dates]],Target1[Target Dates],0)),"-")</f>
        <v>24.79</v>
      </c>
      <c r="F125" s="22">
        <f>IF(Benchmark1[[#This Row],[Target Date Check]]="Pass",INDEX(Target1[Target Return],MATCH(Benchmark1[[#This Row],[Benchmark '#1 Dates]],Target1[Target Dates],0)),"-")</f>
        <v>1.5037877364540502E-2</v>
      </c>
      <c r="G125" s="1">
        <f>IFERROR(IF(Benchmark1[[#This Row],[Target Date Check]]="Pass",Benchmark1[[#This Row],[Target Return]]-Benchmark1[[#This Row],[Benchmark '#1 Return]],"-"),"-")</f>
        <v>6.5804934940582767E-3</v>
      </c>
      <c r="H125" s="1" t="str">
        <f>IF(COUNTIF(Comp1[Comparable '#1 Dates],Benchmark1[[#This Row],[Benchmark '#1 Dates]])=1,"Pass","Fail")</f>
        <v>Pass</v>
      </c>
      <c r="I125" s="6">
        <f>IF(Benchmark1[[#This Row],[Comparable '#1 Date Check]]="Pass",INDEX(Comp1[Comparable '#1 Price],MATCH(Benchmark1[[#This Row],[Benchmark '#1 Dates]],Comp1[Comparable '#1 Dates],0)),"-")</f>
        <v>15.24</v>
      </c>
      <c r="J125" s="22">
        <f>IF(Benchmark1[[#This Row],[Comparable '#1 Date Check]]="Pass",INDEX(Comp1[Comparable '#1 Return],MATCH(Benchmark1[[#This Row],[Benchmark '#1 Dates]],Comp1[Comparable '#1 Dates],0)),"-")</f>
        <v>2.7945930390559322E-2</v>
      </c>
      <c r="K125" s="1">
        <f>IFERROR(IF(Benchmark1[[#This Row],[Comparable '#1 Date Check]]="Pass",Benchmark1[[#This Row],[Comparable '#1 Return]]-Benchmark1[[#This Row],[Benchmark '#1 Return]],"-"),"-")</f>
        <v>1.9488546520077095E-2</v>
      </c>
      <c r="L125" s="1" t="str">
        <f>IF(COUNTIF(Comp2[Comparable '#2 Dates],Benchmark1[[#This Row],[Benchmark '#1 Dates]])=1,"Pass","Fail")</f>
        <v>Pass</v>
      </c>
      <c r="M125" s="6">
        <f>IF(Benchmark1[[#This Row],[Comparable '#2 Date Check]]="Pass",INDEX(Comp2[Comparable '#2 Price],MATCH(Benchmark1[[#This Row],[Benchmark '#1 Dates]],Comp2[Comparable '#2 Dates],0)),"-")</f>
        <v>47.32</v>
      </c>
      <c r="N125" s="22">
        <f>IF(Benchmark1[[#This Row],[Comparable '#2 Date Check]]="Pass",INDEX(Comp2[Comparable '#2 Return],MATCH(Benchmark1[[#This Row],[Benchmark '#1 Dates]],Comp2[Comparable '#2 Dates],0)),"-")</f>
        <v>8.2759093038596611E-3</v>
      </c>
      <c r="O125" s="1">
        <f>IFERROR(IF(Benchmark1[[#This Row],[Comparable '#2 Date Check]]="Pass",Benchmark1[[#This Row],[Comparable '#2 Return]]-Benchmark1[[#This Row],[Benchmark '#1 Return]],"-"),"-")</f>
        <v>-1.8147456662256402E-4</v>
      </c>
      <c r="P125" s="1" t="str">
        <f>IF(COUNTIF(Comp3[Comparable '#3 Dates],Benchmark1[[#This Row],[Benchmark '#1 Dates]])=1,"Pass","Fail")</f>
        <v>Pass</v>
      </c>
      <c r="Q125" s="6">
        <f>IF(Benchmark1[[#This Row],[Comparable '#3 Date Check]]="Pass",INDEX(Comp3[Comparable '#3 Price],MATCH(Benchmark1[[#This Row],[Benchmark '#1 Dates]],Comp3[Comparable '#3 Dates],0)),"-")</f>
        <v>113.42</v>
      </c>
      <c r="R125" s="22">
        <f>IF(Benchmark1[[#This Row],[Comparable '#3 Date Check]]="Pass",INDEX(Comp3[Comparable '#3 Return],MATCH(Benchmark1[[#This Row],[Benchmark '#1 Dates]],Comp3[Comparable '#3 Dates],0)),"-")</f>
        <v>-8.8163985069273184E-5</v>
      </c>
      <c r="S125" s="1">
        <f>IFERROR(IF(Benchmark1[[#This Row],[Comparable '#3 Date Check]]="Pass",Benchmark1[[#This Row],[Comparable '#3 Return]]-Benchmark1[[#This Row],[Benchmark '#1 Return]],"-"),"-")</f>
        <v>-8.5455478555514983E-3</v>
      </c>
    </row>
    <row r="126" spans="1:19">
      <c r="A126" s="103">
        <v>43467</v>
      </c>
      <c r="B126" s="104">
        <v>2510.0301337680094</v>
      </c>
      <c r="C126" s="4">
        <f t="shared" si="1"/>
        <v>1.2688975101932637E-3</v>
      </c>
      <c r="D126" s="1" t="str">
        <f>IF(COUNTIF(Target1[Target Dates],Benchmark1[[#This Row],[Benchmark '#1 Dates]])=1,"Pass","Fail")</f>
        <v>Pass</v>
      </c>
      <c r="E126" s="6">
        <f>IF(Benchmark1[[#This Row],[Target Date Check]]="Pass",INDEX(Target1[Target Price],MATCH(Benchmark1[[#This Row],[Benchmark '#1 Dates]],Target1[Target Dates],0)),"-")</f>
        <v>23.97</v>
      </c>
      <c r="F126" s="22">
        <f>IF(Benchmark1[[#This Row],[Target Date Check]]="Pass",INDEX(Target1[Target Return],MATCH(Benchmark1[[#This Row],[Benchmark '#1 Dates]],Target1[Target Dates],0)),"-")</f>
        <v>-3.3637297600806151E-2</v>
      </c>
      <c r="G126" s="1">
        <f>IFERROR(IF(Benchmark1[[#This Row],[Target Date Check]]="Pass",Benchmark1[[#This Row],[Target Return]]-Benchmark1[[#This Row],[Benchmark '#1 Return]],"-"),"-")</f>
        <v>-3.4906195110999412E-2</v>
      </c>
      <c r="H126" s="1" t="str">
        <f>IF(COUNTIF(Comp1[Comparable '#1 Dates],Benchmark1[[#This Row],[Benchmark '#1 Dates]])=1,"Pass","Fail")</f>
        <v>Pass</v>
      </c>
      <c r="I126" s="6">
        <f>IF(Benchmark1[[#This Row],[Comparable '#1 Date Check]]="Pass",INDEX(Comp1[Comparable '#1 Price],MATCH(Benchmark1[[#This Row],[Benchmark '#1 Dates]],Comp1[Comparable '#1 Dates],0)),"-")</f>
        <v>15.36</v>
      </c>
      <c r="J126" s="22">
        <f>IF(Benchmark1[[#This Row],[Comparable '#1 Date Check]]="Pass",INDEX(Comp1[Comparable '#1 Return],MATCH(Benchmark1[[#This Row],[Benchmark '#1 Dates]],Comp1[Comparable '#1 Dates],0)),"-")</f>
        <v>7.8431774610258787E-3</v>
      </c>
      <c r="K126" s="1">
        <f>IFERROR(IF(Benchmark1[[#This Row],[Comparable '#1 Date Check]]="Pass",Benchmark1[[#This Row],[Comparable '#1 Return]]-Benchmark1[[#This Row],[Benchmark '#1 Return]],"-"),"-")</f>
        <v>6.5742799508326146E-3</v>
      </c>
      <c r="L126" s="1" t="str">
        <f>IF(COUNTIF(Comp2[Comparable '#2 Dates],Benchmark1[[#This Row],[Benchmark '#1 Dates]])=1,"Pass","Fail")</f>
        <v>Pass</v>
      </c>
      <c r="M126" s="6">
        <f>IF(Benchmark1[[#This Row],[Comparable '#2 Date Check]]="Pass",INDEX(Comp2[Comparable '#2 Price],MATCH(Benchmark1[[#This Row],[Benchmark '#1 Dates]],Comp2[Comparable '#2 Dates],0)),"-")</f>
        <v>47.37</v>
      </c>
      <c r="N126" s="22">
        <f>IF(Benchmark1[[#This Row],[Comparable '#2 Date Check]]="Pass",INDEX(Comp2[Comparable '#2 Return],MATCH(Benchmark1[[#This Row],[Benchmark '#1 Dates]],Comp2[Comparable '#2 Dates],0)),"-")</f>
        <v>1.0560778254743992E-3</v>
      </c>
      <c r="O126" s="1">
        <f>IFERROR(IF(Benchmark1[[#This Row],[Comparable '#2 Date Check]]="Pass",Benchmark1[[#This Row],[Comparable '#2 Return]]-Benchmark1[[#This Row],[Benchmark '#1 Return]],"-"),"-")</f>
        <v>-2.1281968471886445E-4</v>
      </c>
      <c r="P126" s="1" t="str">
        <f>IF(COUNTIF(Comp3[Comparable '#3 Dates],Benchmark1[[#This Row],[Benchmark '#1 Dates]])=1,"Pass","Fail")</f>
        <v>Pass</v>
      </c>
      <c r="Q126" s="6">
        <f>IF(Benchmark1[[#This Row],[Comparable '#3 Date Check]]="Pass",INDEX(Comp3[Comparable '#3 Price],MATCH(Benchmark1[[#This Row],[Benchmark '#1 Dates]],Comp3[Comparable '#3 Dates],0)),"-")</f>
        <v>111.98</v>
      </c>
      <c r="R126" s="22">
        <f>IF(Benchmark1[[#This Row],[Comparable '#3 Date Check]]="Pass",INDEX(Comp3[Comparable '#3 Return],MATCH(Benchmark1[[#This Row],[Benchmark '#1 Dates]],Comp3[Comparable '#3 Dates],0)),"-")</f>
        <v>-1.2777458665134713E-2</v>
      </c>
      <c r="S126" s="1">
        <f>IFERROR(IF(Benchmark1[[#This Row],[Comparable '#3 Date Check]]="Pass",Benchmark1[[#This Row],[Comparable '#3 Return]]-Benchmark1[[#This Row],[Benchmark '#1 Return]],"-"),"-")</f>
        <v>-1.4046356175327977E-2</v>
      </c>
    </row>
    <row r="127" spans="1:19">
      <c r="A127" s="103">
        <v>43468</v>
      </c>
      <c r="B127" s="104">
        <v>2447.8934305159109</v>
      </c>
      <c r="C127" s="4">
        <f t="shared" si="1"/>
        <v>-2.5066928140395371E-2</v>
      </c>
      <c r="D127" s="1" t="str">
        <f>IF(COUNTIF(Target1[Target Dates],Benchmark1[[#This Row],[Benchmark '#1 Dates]])=1,"Pass","Fail")</f>
        <v>Pass</v>
      </c>
      <c r="E127" s="6">
        <f>IF(Benchmark1[[#This Row],[Target Date Check]]="Pass",INDEX(Target1[Target Price],MATCH(Benchmark1[[#This Row],[Benchmark '#1 Dates]],Target1[Target Dates],0)),"-")</f>
        <v>23.93</v>
      </c>
      <c r="F127" s="22">
        <f>IF(Benchmark1[[#This Row],[Target Date Check]]="Pass",INDEX(Target1[Target Return],MATCH(Benchmark1[[#This Row],[Benchmark '#1 Dates]],Target1[Target Dates],0)),"-")</f>
        <v>-1.6701465260110246E-3</v>
      </c>
      <c r="G127" s="1">
        <f>IFERROR(IF(Benchmark1[[#This Row],[Target Date Check]]="Pass",Benchmark1[[#This Row],[Target Return]]-Benchmark1[[#This Row],[Benchmark '#1 Return]],"-"),"-")</f>
        <v>2.3396781614384347E-2</v>
      </c>
      <c r="H127" s="1" t="str">
        <f>IF(COUNTIF(Comp1[Comparable '#1 Dates],Benchmark1[[#This Row],[Benchmark '#1 Dates]])=1,"Pass","Fail")</f>
        <v>Pass</v>
      </c>
      <c r="I127" s="6">
        <f>IF(Benchmark1[[#This Row],[Comparable '#1 Date Check]]="Pass",INDEX(Comp1[Comparable '#1 Price],MATCH(Benchmark1[[#This Row],[Benchmark '#1 Dates]],Comp1[Comparable '#1 Dates],0)),"-")</f>
        <v>14.57</v>
      </c>
      <c r="J127" s="22">
        <f>IF(Benchmark1[[#This Row],[Comparable '#1 Date Check]]="Pass",INDEX(Comp1[Comparable '#1 Return],MATCH(Benchmark1[[#This Row],[Benchmark '#1 Dates]],Comp1[Comparable '#1 Dates],0)),"-")</f>
        <v>-5.2802107512412606E-2</v>
      </c>
      <c r="K127" s="1">
        <f>IFERROR(IF(Benchmark1[[#This Row],[Comparable '#1 Date Check]]="Pass",Benchmark1[[#This Row],[Comparable '#1 Return]]-Benchmark1[[#This Row],[Benchmark '#1 Return]],"-"),"-")</f>
        <v>-2.7735179372017235E-2</v>
      </c>
      <c r="L127" s="1" t="str">
        <f>IF(COUNTIF(Comp2[Comparable '#2 Dates],Benchmark1[[#This Row],[Benchmark '#1 Dates]])=1,"Pass","Fail")</f>
        <v>Pass</v>
      </c>
      <c r="M127" s="6">
        <f>IF(Benchmark1[[#This Row],[Comparable '#2 Date Check]]="Pass",INDEX(Comp2[Comparable '#2 Price],MATCH(Benchmark1[[#This Row],[Benchmark '#1 Dates]],Comp2[Comparable '#2 Dates],0)),"-")</f>
        <v>46.99</v>
      </c>
      <c r="N127" s="22">
        <f>IF(Benchmark1[[#This Row],[Comparable '#2 Date Check]]="Pass",INDEX(Comp2[Comparable '#2 Return],MATCH(Benchmark1[[#This Row],[Benchmark '#1 Dates]],Comp2[Comparable '#2 Dates],0)),"-")</f>
        <v>-8.0543038209359933E-3</v>
      </c>
      <c r="O127" s="1">
        <f>IFERROR(IF(Benchmark1[[#This Row],[Comparable '#2 Date Check]]="Pass",Benchmark1[[#This Row],[Comparable '#2 Return]]-Benchmark1[[#This Row],[Benchmark '#1 Return]],"-"),"-")</f>
        <v>1.701262431945938E-2</v>
      </c>
      <c r="P127" s="1" t="str">
        <f>IF(COUNTIF(Comp3[Comparable '#3 Dates],Benchmark1[[#This Row],[Benchmark '#1 Dates]])=1,"Pass","Fail")</f>
        <v>Pass</v>
      </c>
      <c r="Q127" s="6">
        <f>IF(Benchmark1[[#This Row],[Comparable '#3 Date Check]]="Pass",INDEX(Comp3[Comparable '#3 Price],MATCH(Benchmark1[[#This Row],[Benchmark '#1 Dates]],Comp3[Comparable '#3 Dates],0)),"-")</f>
        <v>109.15</v>
      </c>
      <c r="R127" s="22">
        <f>IF(Benchmark1[[#This Row],[Comparable '#3 Date Check]]="Pass",INDEX(Comp3[Comparable '#3 Return],MATCH(Benchmark1[[#This Row],[Benchmark '#1 Dates]],Comp3[Comparable '#3 Dates],0)),"-")</f>
        <v>-2.559720092479428E-2</v>
      </c>
      <c r="S127" s="1">
        <f>IFERROR(IF(Benchmark1[[#This Row],[Comparable '#3 Date Check]]="Pass",Benchmark1[[#This Row],[Comparable '#3 Return]]-Benchmark1[[#This Row],[Benchmark '#1 Return]],"-"),"-")</f>
        <v>-5.3027278439890871E-4</v>
      </c>
    </row>
    <row r="128" spans="1:19">
      <c r="A128" s="103">
        <v>43469</v>
      </c>
      <c r="B128" s="104">
        <v>2531.9434115550075</v>
      </c>
      <c r="C128" s="4">
        <f t="shared" si="1"/>
        <v>3.3759324308816695E-2</v>
      </c>
      <c r="D128" s="1" t="str">
        <f>IF(COUNTIF(Target1[Target Dates],Benchmark1[[#This Row],[Benchmark '#1 Dates]])=1,"Pass","Fail")</f>
        <v>Pass</v>
      </c>
      <c r="E128" s="6">
        <f>IF(Benchmark1[[#This Row],[Target Date Check]]="Pass",INDEX(Target1[Target Price],MATCH(Benchmark1[[#This Row],[Benchmark '#1 Dates]],Target1[Target Dates],0)),"-")</f>
        <v>24.1</v>
      </c>
      <c r="F128" s="22">
        <f>IF(Benchmark1[[#This Row],[Target Date Check]]="Pass",INDEX(Target1[Target Return],MATCH(Benchmark1[[#This Row],[Benchmark '#1 Dates]],Target1[Target Dates],0)),"-")</f>
        <v>7.0789385763274995E-3</v>
      </c>
      <c r="G128" s="1">
        <f>IFERROR(IF(Benchmark1[[#This Row],[Target Date Check]]="Pass",Benchmark1[[#This Row],[Target Return]]-Benchmark1[[#This Row],[Benchmark '#1 Return]],"-"),"-")</f>
        <v>-2.6680385732489195E-2</v>
      </c>
      <c r="H128" s="1" t="str">
        <f>IF(COUNTIF(Comp1[Comparable '#1 Dates],Benchmark1[[#This Row],[Benchmark '#1 Dates]])=1,"Pass","Fail")</f>
        <v>Pass</v>
      </c>
      <c r="I128" s="6">
        <f>IF(Benchmark1[[#This Row],[Comparable '#1 Date Check]]="Pass",INDEX(Comp1[Comparable '#1 Price],MATCH(Benchmark1[[#This Row],[Benchmark '#1 Dates]],Comp1[Comparable '#1 Dates],0)),"-")</f>
        <v>15.06</v>
      </c>
      <c r="J128" s="22">
        <f>IF(Benchmark1[[#This Row],[Comparable '#1 Date Check]]="Pass",INDEX(Comp1[Comparable '#1 Return],MATCH(Benchmark1[[#This Row],[Benchmark '#1 Dates]],Comp1[Comparable '#1 Dates],0)),"-")</f>
        <v>3.3077602164634165E-2</v>
      </c>
      <c r="K128" s="1">
        <f>IFERROR(IF(Benchmark1[[#This Row],[Comparable '#1 Date Check]]="Pass",Benchmark1[[#This Row],[Comparable '#1 Return]]-Benchmark1[[#This Row],[Benchmark '#1 Return]],"-"),"-")</f>
        <v>-6.8172214418252969E-4</v>
      </c>
      <c r="L128" s="1" t="str">
        <f>IF(COUNTIF(Comp2[Comparable '#2 Dates],Benchmark1[[#This Row],[Benchmark '#1 Dates]])=1,"Pass","Fail")</f>
        <v>Pass</v>
      </c>
      <c r="M128" s="6">
        <f>IF(Benchmark1[[#This Row],[Comparable '#2 Date Check]]="Pass",INDEX(Comp2[Comparable '#2 Price],MATCH(Benchmark1[[#This Row],[Benchmark '#1 Dates]],Comp2[Comparable '#2 Dates],0)),"-")</f>
        <v>48.21</v>
      </c>
      <c r="N128" s="22">
        <f>IF(Benchmark1[[#This Row],[Comparable '#2 Date Check]]="Pass",INDEX(Comp2[Comparable '#2 Return],MATCH(Benchmark1[[#This Row],[Benchmark '#1 Dates]],Comp2[Comparable '#2 Dates],0)),"-")</f>
        <v>2.5631655302806498E-2</v>
      </c>
      <c r="O128" s="1">
        <f>IFERROR(IF(Benchmark1[[#This Row],[Comparable '#2 Date Check]]="Pass",Benchmark1[[#This Row],[Comparable '#2 Return]]-Benchmark1[[#This Row],[Benchmark '#1 Return]],"-"),"-")</f>
        <v>-8.1276690060101964E-3</v>
      </c>
      <c r="P128" s="1" t="str">
        <f>IF(COUNTIF(Comp3[Comparable '#3 Dates],Benchmark1[[#This Row],[Benchmark '#1 Dates]])=1,"Pass","Fail")</f>
        <v>Pass</v>
      </c>
      <c r="Q128" s="6">
        <f>IF(Benchmark1[[#This Row],[Comparable '#3 Date Check]]="Pass",INDEX(Comp3[Comparable '#3 Price],MATCH(Benchmark1[[#This Row],[Benchmark '#1 Dates]],Comp3[Comparable '#3 Dates],0)),"-")</f>
        <v>113.31</v>
      </c>
      <c r="R128" s="22">
        <f>IF(Benchmark1[[#This Row],[Comparable '#3 Date Check]]="Pass",INDEX(Comp3[Comparable '#3 Return],MATCH(Benchmark1[[#This Row],[Benchmark '#1 Dates]],Comp3[Comparable '#3 Dates],0)),"-")</f>
        <v>3.7404342396522322E-2</v>
      </c>
      <c r="S128" s="1">
        <f>IFERROR(IF(Benchmark1[[#This Row],[Comparable '#3 Date Check]]="Pass",Benchmark1[[#This Row],[Comparable '#3 Return]]-Benchmark1[[#This Row],[Benchmark '#1 Return]],"-"),"-")</f>
        <v>3.6450180877056274E-3</v>
      </c>
    </row>
    <row r="129" spans="1:19">
      <c r="A129" s="103">
        <v>43472</v>
      </c>
      <c r="B129" s="104">
        <v>2549.6900137501761</v>
      </c>
      <c r="C129" s="4">
        <f t="shared" si="1"/>
        <v>6.9846338203895016E-3</v>
      </c>
      <c r="D129" s="1" t="str">
        <f>IF(COUNTIF(Target1[Target Dates],Benchmark1[[#This Row],[Benchmark '#1 Dates]])=1,"Pass","Fail")</f>
        <v>Pass</v>
      </c>
      <c r="E129" s="6">
        <f>IF(Benchmark1[[#This Row],[Target Date Check]]="Pass",INDEX(Target1[Target Price],MATCH(Benchmark1[[#This Row],[Benchmark '#1 Dates]],Target1[Target Dates],0)),"-")</f>
        <v>24.26</v>
      </c>
      <c r="F129" s="22">
        <f>IF(Benchmark1[[#This Row],[Target Date Check]]="Pass",INDEX(Target1[Target Return],MATCH(Benchmark1[[#This Row],[Benchmark '#1 Dates]],Target1[Target Dates],0)),"-")</f>
        <v>6.6170630192947371E-3</v>
      </c>
      <c r="G129" s="1">
        <f>IFERROR(IF(Benchmark1[[#This Row],[Target Date Check]]="Pass",Benchmark1[[#This Row],[Target Return]]-Benchmark1[[#This Row],[Benchmark '#1 Return]],"-"),"-")</f>
        <v>-3.6757080109476453E-4</v>
      </c>
      <c r="H129" s="1" t="str">
        <f>IF(COUNTIF(Comp1[Comparable '#1 Dates],Benchmark1[[#This Row],[Benchmark '#1 Dates]])=1,"Pass","Fail")</f>
        <v>Pass</v>
      </c>
      <c r="I129" s="6">
        <f>IF(Benchmark1[[#This Row],[Comparable '#1 Date Check]]="Pass",INDEX(Comp1[Comparable '#1 Price],MATCH(Benchmark1[[#This Row],[Benchmark '#1 Dates]],Comp1[Comparable '#1 Dates],0)),"-")</f>
        <v>14.99</v>
      </c>
      <c r="J129" s="22">
        <f>IF(Benchmark1[[#This Row],[Comparable '#1 Date Check]]="Pass",INDEX(Comp1[Comparable '#1 Return],MATCH(Benchmark1[[#This Row],[Benchmark '#1 Dates]],Comp1[Comparable '#1 Dates],0)),"-")</f>
        <v>-4.6589102572411785E-3</v>
      </c>
      <c r="K129" s="1">
        <f>IFERROR(IF(Benchmark1[[#This Row],[Comparable '#1 Date Check]]="Pass",Benchmark1[[#This Row],[Comparable '#1 Return]]-Benchmark1[[#This Row],[Benchmark '#1 Return]],"-"),"-")</f>
        <v>-1.164354407763068E-2</v>
      </c>
      <c r="L129" s="1" t="str">
        <f>IF(COUNTIF(Comp2[Comparable '#2 Dates],Benchmark1[[#This Row],[Benchmark '#1 Dates]])=1,"Pass","Fail")</f>
        <v>Pass</v>
      </c>
      <c r="M129" s="6">
        <f>IF(Benchmark1[[#This Row],[Comparable '#2 Date Check]]="Pass",INDEX(Comp2[Comparable '#2 Price],MATCH(Benchmark1[[#This Row],[Benchmark '#1 Dates]],Comp2[Comparable '#2 Dates],0)),"-")</f>
        <v>47.77</v>
      </c>
      <c r="N129" s="22">
        <f>IF(Benchmark1[[#This Row],[Comparable '#2 Date Check]]="Pass",INDEX(Comp2[Comparable '#2 Return],MATCH(Benchmark1[[#This Row],[Benchmark '#1 Dates]],Comp2[Comparable '#2 Dates],0)),"-")</f>
        <v>-9.1686410156603358E-3</v>
      </c>
      <c r="O129" s="1">
        <f>IFERROR(IF(Benchmark1[[#This Row],[Comparable '#2 Date Check]]="Pass",Benchmark1[[#This Row],[Comparable '#2 Return]]-Benchmark1[[#This Row],[Benchmark '#1 Return]],"-"),"-")</f>
        <v>-1.6153274836049836E-2</v>
      </c>
      <c r="P129" s="1" t="str">
        <f>IF(COUNTIF(Comp3[Comparable '#3 Dates],Benchmark1[[#This Row],[Benchmark '#1 Dates]])=1,"Pass","Fail")</f>
        <v>Pass</v>
      </c>
      <c r="Q129" s="6">
        <f>IF(Benchmark1[[#This Row],[Comparable '#3 Date Check]]="Pass",INDEX(Comp3[Comparable '#3 Price],MATCH(Benchmark1[[#This Row],[Benchmark '#1 Dates]],Comp3[Comparable '#3 Dates],0)),"-")</f>
        <v>110.35</v>
      </c>
      <c r="R129" s="22">
        <f>IF(Benchmark1[[#This Row],[Comparable '#3 Date Check]]="Pass",INDEX(Comp3[Comparable '#3 Return],MATCH(Benchmark1[[#This Row],[Benchmark '#1 Dates]],Comp3[Comparable '#3 Dates],0)),"-")</f>
        <v>-2.6470292689729842E-2</v>
      </c>
      <c r="S129" s="1">
        <f>IFERROR(IF(Benchmark1[[#This Row],[Comparable '#3 Date Check]]="Pass",Benchmark1[[#This Row],[Comparable '#3 Return]]-Benchmark1[[#This Row],[Benchmark '#1 Return]],"-"),"-")</f>
        <v>-3.3454926510119345E-2</v>
      </c>
    </row>
    <row r="130" spans="1:19">
      <c r="A130" s="103">
        <v>43473</v>
      </c>
      <c r="B130" s="104">
        <v>2574.4109626665086</v>
      </c>
      <c r="C130" s="4">
        <f t="shared" ref="C130:C193" si="2">IFERROR(IF(B130="","-",LN(B130/B129)),"-")</f>
        <v>9.6489670396653696E-3</v>
      </c>
      <c r="D130" s="1" t="str">
        <f>IF(COUNTIF(Target1[Target Dates],Benchmark1[[#This Row],[Benchmark '#1 Dates]])=1,"Pass","Fail")</f>
        <v>Pass</v>
      </c>
      <c r="E130" s="6">
        <f>IF(Benchmark1[[#This Row],[Target Date Check]]="Pass",INDEX(Target1[Target Price],MATCH(Benchmark1[[#This Row],[Benchmark '#1 Dates]],Target1[Target Dates],0)),"-")</f>
        <v>24.28</v>
      </c>
      <c r="F130" s="22">
        <f>IF(Benchmark1[[#This Row],[Target Date Check]]="Pass",INDEX(Target1[Target Return],MATCH(Benchmark1[[#This Row],[Benchmark '#1 Dates]],Target1[Target Dates],0)),"-")</f>
        <v>8.2406267539334387E-4</v>
      </c>
      <c r="G130" s="1">
        <f>IFERROR(IF(Benchmark1[[#This Row],[Target Date Check]]="Pass",Benchmark1[[#This Row],[Target Return]]-Benchmark1[[#This Row],[Benchmark '#1 Return]],"-"),"-")</f>
        <v>-8.8249043642720255E-3</v>
      </c>
      <c r="H130" s="1" t="str">
        <f>IF(COUNTIF(Comp1[Comparable '#1 Dates],Benchmark1[[#This Row],[Benchmark '#1 Dates]])=1,"Pass","Fail")</f>
        <v>Pass</v>
      </c>
      <c r="I130" s="6">
        <f>IF(Benchmark1[[#This Row],[Comparable '#1 Date Check]]="Pass",INDEX(Comp1[Comparable '#1 Price],MATCH(Benchmark1[[#This Row],[Benchmark '#1 Dates]],Comp1[Comparable '#1 Dates],0)),"-")</f>
        <v>14.82</v>
      </c>
      <c r="J130" s="22">
        <f>IF(Benchmark1[[#This Row],[Comparable '#1 Date Check]]="Pass",INDEX(Comp1[Comparable '#1 Return],MATCH(Benchmark1[[#This Row],[Benchmark '#1 Dates]],Comp1[Comparable '#1 Dates],0)),"-")</f>
        <v>-1.1405692246565482E-2</v>
      </c>
      <c r="K130" s="1">
        <f>IFERROR(IF(Benchmark1[[#This Row],[Comparable '#1 Date Check]]="Pass",Benchmark1[[#This Row],[Comparable '#1 Return]]-Benchmark1[[#This Row],[Benchmark '#1 Return]],"-"),"-")</f>
        <v>-2.1054659286230851E-2</v>
      </c>
      <c r="L130" s="1" t="str">
        <f>IF(COUNTIF(Comp2[Comparable '#2 Dates],Benchmark1[[#This Row],[Benchmark '#1 Dates]])=1,"Pass","Fail")</f>
        <v>Pass</v>
      </c>
      <c r="M130" s="6">
        <f>IF(Benchmark1[[#This Row],[Comparable '#2 Date Check]]="Pass",INDEX(Comp2[Comparable '#2 Price],MATCH(Benchmark1[[#This Row],[Benchmark '#1 Dates]],Comp2[Comparable '#2 Dates],0)),"-")</f>
        <v>47.5</v>
      </c>
      <c r="N130" s="22">
        <f>IF(Benchmark1[[#This Row],[Comparable '#2 Date Check]]="Pass",INDEX(Comp2[Comparable '#2 Return],MATCH(Benchmark1[[#This Row],[Benchmark '#1 Dates]],Comp2[Comparable '#2 Dates],0)),"-")</f>
        <v>-5.6681163612749864E-3</v>
      </c>
      <c r="O130" s="1">
        <f>IFERROR(IF(Benchmark1[[#This Row],[Comparable '#2 Date Check]]="Pass",Benchmark1[[#This Row],[Comparable '#2 Return]]-Benchmark1[[#This Row],[Benchmark '#1 Return]],"-"),"-")</f>
        <v>-1.5317083400940356E-2</v>
      </c>
      <c r="P130" s="1" t="str">
        <f>IF(COUNTIF(Comp3[Comparable '#3 Dates],Benchmark1[[#This Row],[Benchmark '#1 Dates]])=1,"Pass","Fail")</f>
        <v>Pass</v>
      </c>
      <c r="Q130" s="6">
        <f>IF(Benchmark1[[#This Row],[Comparable '#3 Date Check]]="Pass",INDEX(Comp3[Comparable '#3 Price],MATCH(Benchmark1[[#This Row],[Benchmark '#1 Dates]],Comp3[Comparable '#3 Dates],0)),"-")</f>
        <v>109.52</v>
      </c>
      <c r="R130" s="22">
        <f>IF(Benchmark1[[#This Row],[Comparable '#3 Date Check]]="Pass",INDEX(Comp3[Comparable '#3 Return],MATCH(Benchmark1[[#This Row],[Benchmark '#1 Dates]],Comp3[Comparable '#3 Dates],0)),"-")</f>
        <v>-7.5499517225519289E-3</v>
      </c>
      <c r="S130" s="1">
        <f>IFERROR(IF(Benchmark1[[#This Row],[Comparable '#3 Date Check]]="Pass",Benchmark1[[#This Row],[Comparable '#3 Return]]-Benchmark1[[#This Row],[Benchmark '#1 Return]],"-"),"-")</f>
        <v>-1.7198918762217297E-2</v>
      </c>
    </row>
    <row r="131" spans="1:19">
      <c r="A131" s="103">
        <v>43474</v>
      </c>
      <c r="B131" s="104">
        <v>2584.9636616079283</v>
      </c>
      <c r="C131" s="4">
        <f t="shared" si="2"/>
        <v>4.090694871163294E-3</v>
      </c>
      <c r="D131" s="1" t="str">
        <f>IF(COUNTIF(Target1[Target Dates],Benchmark1[[#This Row],[Benchmark '#1 Dates]])=1,"Pass","Fail")</f>
        <v>Pass</v>
      </c>
      <c r="E131" s="6">
        <f>IF(Benchmark1[[#This Row],[Target Date Check]]="Pass",INDEX(Target1[Target Price],MATCH(Benchmark1[[#This Row],[Benchmark '#1 Dates]],Target1[Target Dates],0)),"-")</f>
        <v>25.02</v>
      </c>
      <c r="F131" s="22">
        <f>IF(Benchmark1[[#This Row],[Target Date Check]]="Pass",INDEX(Target1[Target Return],MATCH(Benchmark1[[#This Row],[Benchmark '#1 Dates]],Target1[Target Dates],0)),"-")</f>
        <v>3.0022538847467601E-2</v>
      </c>
      <c r="G131" s="1">
        <f>IFERROR(IF(Benchmark1[[#This Row],[Target Date Check]]="Pass",Benchmark1[[#This Row],[Target Return]]-Benchmark1[[#This Row],[Benchmark '#1 Return]],"-"),"-")</f>
        <v>2.5931843976304308E-2</v>
      </c>
      <c r="H131" s="1" t="str">
        <f>IF(COUNTIF(Comp1[Comparable '#1 Dates],Benchmark1[[#This Row],[Benchmark '#1 Dates]])=1,"Pass","Fail")</f>
        <v>Pass</v>
      </c>
      <c r="I131" s="6">
        <f>IF(Benchmark1[[#This Row],[Comparable '#1 Date Check]]="Pass",INDEX(Comp1[Comparable '#1 Price],MATCH(Benchmark1[[#This Row],[Benchmark '#1 Dates]],Comp1[Comparable '#1 Dates],0)),"-")</f>
        <v>15.21</v>
      </c>
      <c r="J131" s="22">
        <f>IF(Benchmark1[[#This Row],[Comparable '#1 Date Check]]="Pass",INDEX(Comp1[Comparable '#1 Return],MATCH(Benchmark1[[#This Row],[Benchmark '#1 Dates]],Comp1[Comparable '#1 Dates],0)),"-")</f>
        <v>2.5975486403260736E-2</v>
      </c>
      <c r="K131" s="1">
        <f>IFERROR(IF(Benchmark1[[#This Row],[Comparable '#1 Date Check]]="Pass",Benchmark1[[#This Row],[Comparable '#1 Return]]-Benchmark1[[#This Row],[Benchmark '#1 Return]],"-"),"-")</f>
        <v>2.1884791532097443E-2</v>
      </c>
      <c r="L131" s="1" t="str">
        <f>IF(COUNTIF(Comp2[Comparable '#2 Dates],Benchmark1[[#This Row],[Benchmark '#1 Dates]])=1,"Pass","Fail")</f>
        <v>Pass</v>
      </c>
      <c r="M131" s="6">
        <f>IF(Benchmark1[[#This Row],[Comparable '#2 Date Check]]="Pass",INDEX(Comp2[Comparable '#2 Price],MATCH(Benchmark1[[#This Row],[Benchmark '#1 Dates]],Comp2[Comparable '#2 Dates],0)),"-")</f>
        <v>47.37</v>
      </c>
      <c r="N131" s="22">
        <f>IF(Benchmark1[[#This Row],[Comparable '#2 Date Check]]="Pass",INDEX(Comp2[Comparable '#2 Return],MATCH(Benchmark1[[#This Row],[Benchmark '#1 Dates]],Comp2[Comparable '#2 Dates],0)),"-")</f>
        <v>-2.7405941049352131E-3</v>
      </c>
      <c r="O131" s="1">
        <f>IFERROR(IF(Benchmark1[[#This Row],[Comparable '#2 Date Check]]="Pass",Benchmark1[[#This Row],[Comparable '#2 Return]]-Benchmark1[[#This Row],[Benchmark '#1 Return]],"-"),"-")</f>
        <v>-6.8312889760985072E-3</v>
      </c>
      <c r="P131" s="1" t="str">
        <f>IF(COUNTIF(Comp3[Comparable '#3 Dates],Benchmark1[[#This Row],[Benchmark '#1 Dates]])=1,"Pass","Fail")</f>
        <v>Pass</v>
      </c>
      <c r="Q131" s="6">
        <f>IF(Benchmark1[[#This Row],[Comparable '#3 Date Check]]="Pass",INDEX(Comp3[Comparable '#3 Price],MATCH(Benchmark1[[#This Row],[Benchmark '#1 Dates]],Comp3[Comparable '#3 Dates],0)),"-")</f>
        <v>109.01</v>
      </c>
      <c r="R131" s="22">
        <f>IF(Benchmark1[[#This Row],[Comparable '#3 Date Check]]="Pass",INDEX(Comp3[Comparable '#3 Return],MATCH(Benchmark1[[#This Row],[Benchmark '#1 Dates]],Comp3[Comparable '#3 Dates],0)),"-")</f>
        <v>-4.6675598399262041E-3</v>
      </c>
      <c r="S131" s="1">
        <f>IFERROR(IF(Benchmark1[[#This Row],[Comparable '#3 Date Check]]="Pass",Benchmark1[[#This Row],[Comparable '#3 Return]]-Benchmark1[[#This Row],[Benchmark '#1 Return]],"-"),"-")</f>
        <v>-8.7582547110894981E-3</v>
      </c>
    </row>
    <row r="132" spans="1:19">
      <c r="A132" s="103">
        <v>43475</v>
      </c>
      <c r="B132" s="104">
        <v>2596.640507923843</v>
      </c>
      <c r="C132" s="4">
        <f t="shared" si="2"/>
        <v>4.5070467369963388E-3</v>
      </c>
      <c r="D132" s="1" t="str">
        <f>IF(COUNTIF(Target1[Target Dates],Benchmark1[[#This Row],[Benchmark '#1 Dates]])=1,"Pass","Fail")</f>
        <v>Pass</v>
      </c>
      <c r="E132" s="6">
        <f>IF(Benchmark1[[#This Row],[Target Date Check]]="Pass",INDEX(Target1[Target Price],MATCH(Benchmark1[[#This Row],[Benchmark '#1 Dates]],Target1[Target Dates],0)),"-")</f>
        <v>24.94</v>
      </c>
      <c r="F132" s="22">
        <f>IF(Benchmark1[[#This Row],[Target Date Check]]="Pass",INDEX(Target1[Target Return],MATCH(Benchmark1[[#This Row],[Benchmark '#1 Dates]],Target1[Target Dates],0)),"-")</f>
        <v>-3.2025647868746321E-3</v>
      </c>
      <c r="G132" s="1">
        <f>IFERROR(IF(Benchmark1[[#This Row],[Target Date Check]]="Pass",Benchmark1[[#This Row],[Target Return]]-Benchmark1[[#This Row],[Benchmark '#1 Return]],"-"),"-")</f>
        <v>-7.7096115238709708E-3</v>
      </c>
      <c r="H132" s="1" t="str">
        <f>IF(COUNTIF(Comp1[Comparable '#1 Dates],Benchmark1[[#This Row],[Benchmark '#1 Dates]])=1,"Pass","Fail")</f>
        <v>Pass</v>
      </c>
      <c r="I132" s="6">
        <f>IF(Benchmark1[[#This Row],[Comparable '#1 Date Check]]="Pass",INDEX(Comp1[Comparable '#1 Price],MATCH(Benchmark1[[#This Row],[Benchmark '#1 Dates]],Comp1[Comparable '#1 Dates],0)),"-")</f>
        <v>15.24</v>
      </c>
      <c r="J132" s="22">
        <f>IF(Benchmark1[[#This Row],[Comparable '#1 Date Check]]="Pass",INDEX(Comp1[Comparable '#1 Return],MATCH(Benchmark1[[#This Row],[Benchmark '#1 Dates]],Comp1[Comparable '#1 Dates],0)),"-")</f>
        <v>1.9704439872987385E-3</v>
      </c>
      <c r="K132" s="1">
        <f>IFERROR(IF(Benchmark1[[#This Row],[Comparable '#1 Date Check]]="Pass",Benchmark1[[#This Row],[Comparable '#1 Return]]-Benchmark1[[#This Row],[Benchmark '#1 Return]],"-"),"-")</f>
        <v>-2.5366027496976002E-3</v>
      </c>
      <c r="L132" s="1" t="str">
        <f>IF(COUNTIF(Comp2[Comparable '#2 Dates],Benchmark1[[#This Row],[Benchmark '#1 Dates]])=1,"Pass","Fail")</f>
        <v>Pass</v>
      </c>
      <c r="M132" s="6">
        <f>IF(Benchmark1[[#This Row],[Comparable '#2 Date Check]]="Pass",INDEX(Comp2[Comparable '#2 Price],MATCH(Benchmark1[[#This Row],[Benchmark '#1 Dates]],Comp2[Comparable '#2 Dates],0)),"-")</f>
        <v>47.38</v>
      </c>
      <c r="N132" s="22">
        <f>IF(Benchmark1[[#This Row],[Comparable '#2 Date Check]]="Pass",INDEX(Comp2[Comparable '#2 Return],MATCH(Benchmark1[[#This Row],[Benchmark '#1 Dates]],Comp2[Comparable '#2 Dates],0)),"-")</f>
        <v>2.1108179497904265E-4</v>
      </c>
      <c r="O132" s="1">
        <f>IFERROR(IF(Benchmark1[[#This Row],[Comparable '#2 Date Check]]="Pass",Benchmark1[[#This Row],[Comparable '#2 Return]]-Benchmark1[[#This Row],[Benchmark '#1 Return]],"-"),"-")</f>
        <v>-4.295964942017296E-3</v>
      </c>
      <c r="P132" s="1" t="str">
        <f>IF(COUNTIF(Comp3[Comparable '#3 Dates],Benchmark1[[#This Row],[Benchmark '#1 Dates]])=1,"Pass","Fail")</f>
        <v>Pass</v>
      </c>
      <c r="Q132" s="6">
        <f>IF(Benchmark1[[#This Row],[Comparable '#3 Date Check]]="Pass",INDEX(Comp3[Comparable '#3 Price],MATCH(Benchmark1[[#This Row],[Benchmark '#1 Dates]],Comp3[Comparable '#3 Dates],0)),"-")</f>
        <v>109.35</v>
      </c>
      <c r="R132" s="22">
        <f>IF(Benchmark1[[#This Row],[Comparable '#3 Date Check]]="Pass",INDEX(Comp3[Comparable '#3 Return],MATCH(Benchmark1[[#This Row],[Benchmark '#1 Dates]],Comp3[Comparable '#3 Dates],0)),"-")</f>
        <v>3.114125982509596E-3</v>
      </c>
      <c r="S132" s="1">
        <f>IFERROR(IF(Benchmark1[[#This Row],[Comparable '#3 Date Check]]="Pass",Benchmark1[[#This Row],[Comparable '#3 Return]]-Benchmark1[[#This Row],[Benchmark '#1 Return]],"-"),"-")</f>
        <v>-1.3929207544867428E-3</v>
      </c>
    </row>
    <row r="133" spans="1:19">
      <c r="A133" s="103">
        <v>43476</v>
      </c>
      <c r="B133" s="104">
        <v>2596.2573015640428</v>
      </c>
      <c r="C133" s="4">
        <f t="shared" si="2"/>
        <v>-1.4758863915847491E-4</v>
      </c>
      <c r="D133" s="1" t="str">
        <f>IF(COUNTIF(Target1[Target Dates],Benchmark1[[#This Row],[Benchmark '#1 Dates]])=1,"Pass","Fail")</f>
        <v>Pass</v>
      </c>
      <c r="E133" s="6">
        <f>IF(Benchmark1[[#This Row],[Target Date Check]]="Pass",INDEX(Target1[Target Price],MATCH(Benchmark1[[#This Row],[Benchmark '#1 Dates]],Target1[Target Dates],0)),"-")</f>
        <v>24.58</v>
      </c>
      <c r="F133" s="22">
        <f>IF(Benchmark1[[#This Row],[Target Date Check]]="Pass",INDEX(Target1[Target Return],MATCH(Benchmark1[[#This Row],[Benchmark '#1 Dates]],Target1[Target Dates],0)),"-")</f>
        <v>-1.4539836114001713E-2</v>
      </c>
      <c r="G133" s="1">
        <f>IFERROR(IF(Benchmark1[[#This Row],[Target Date Check]]="Pass",Benchmark1[[#This Row],[Target Return]]-Benchmark1[[#This Row],[Benchmark '#1 Return]],"-"),"-")</f>
        <v>-1.4392247474843238E-2</v>
      </c>
      <c r="H133" s="1" t="str">
        <f>IF(COUNTIF(Comp1[Comparable '#1 Dates],Benchmark1[[#This Row],[Benchmark '#1 Dates]])=1,"Pass","Fail")</f>
        <v>Pass</v>
      </c>
      <c r="I133" s="6">
        <f>IF(Benchmark1[[#This Row],[Comparable '#1 Date Check]]="Pass",INDEX(Comp1[Comparable '#1 Price],MATCH(Benchmark1[[#This Row],[Benchmark '#1 Dates]],Comp1[Comparable '#1 Dates],0)),"-")</f>
        <v>15.1</v>
      </c>
      <c r="J133" s="22">
        <f>IF(Benchmark1[[#This Row],[Comparable '#1 Date Check]]="Pass",INDEX(Comp1[Comparable '#1 Return],MATCH(Benchmark1[[#This Row],[Benchmark '#1 Dates]],Comp1[Comparable '#1 Dates],0)),"-")</f>
        <v>-9.2288064376215909E-3</v>
      </c>
      <c r="K133" s="1">
        <f>IFERROR(IF(Benchmark1[[#This Row],[Comparable '#1 Date Check]]="Pass",Benchmark1[[#This Row],[Comparable '#1 Return]]-Benchmark1[[#This Row],[Benchmark '#1 Return]],"-"),"-")</f>
        <v>-9.0812177984631159E-3</v>
      </c>
      <c r="L133" s="1" t="str">
        <f>IF(COUNTIF(Comp2[Comparable '#2 Dates],Benchmark1[[#This Row],[Benchmark '#1 Dates]])=1,"Pass","Fail")</f>
        <v>Pass</v>
      </c>
      <c r="M133" s="6">
        <f>IF(Benchmark1[[#This Row],[Comparable '#2 Date Check]]="Pass",INDEX(Comp2[Comparable '#2 Price],MATCH(Benchmark1[[#This Row],[Benchmark '#1 Dates]],Comp2[Comparable '#2 Dates],0)),"-")</f>
        <v>47.37</v>
      </c>
      <c r="N133" s="22">
        <f>IF(Benchmark1[[#This Row],[Comparable '#2 Date Check]]="Pass",INDEX(Comp2[Comparable '#2 Return],MATCH(Benchmark1[[#This Row],[Benchmark '#1 Dates]],Comp2[Comparable '#2 Dates],0)),"-")</f>
        <v>-2.1108179497910959E-4</v>
      </c>
      <c r="O133" s="1">
        <f>IFERROR(IF(Benchmark1[[#This Row],[Comparable '#2 Date Check]]="Pass",Benchmark1[[#This Row],[Comparable '#2 Return]]-Benchmark1[[#This Row],[Benchmark '#1 Return]],"-"),"-")</f>
        <v>-6.3493155820634685E-5</v>
      </c>
      <c r="P133" s="1" t="str">
        <f>IF(COUNTIF(Comp3[Comparable '#3 Dates],Benchmark1[[#This Row],[Benchmark '#1 Dates]])=1,"Pass","Fail")</f>
        <v>Pass</v>
      </c>
      <c r="Q133" s="6">
        <f>IF(Benchmark1[[#This Row],[Comparable '#3 Date Check]]="Pass",INDEX(Comp3[Comparable '#3 Price],MATCH(Benchmark1[[#This Row],[Benchmark '#1 Dates]],Comp3[Comparable '#3 Dates],0)),"-")</f>
        <v>110.49</v>
      </c>
      <c r="R133" s="22">
        <f>IF(Benchmark1[[#This Row],[Comparable '#3 Date Check]]="Pass",INDEX(Comp3[Comparable '#3 Return],MATCH(Benchmark1[[#This Row],[Benchmark '#1 Dates]],Comp3[Comparable '#3 Dates],0)),"-")</f>
        <v>1.037127200230676E-2</v>
      </c>
      <c r="S133" s="1">
        <f>IFERROR(IF(Benchmark1[[#This Row],[Comparable '#3 Date Check]]="Pass",Benchmark1[[#This Row],[Comparable '#3 Return]]-Benchmark1[[#This Row],[Benchmark '#1 Return]],"-"),"-")</f>
        <v>1.0518860641465235E-2</v>
      </c>
    </row>
    <row r="134" spans="1:19">
      <c r="A134" s="103">
        <v>43479</v>
      </c>
      <c r="B134" s="104">
        <v>2582.6138621381956</v>
      </c>
      <c r="C134" s="4">
        <f t="shared" si="2"/>
        <v>-5.2688976256980852E-3</v>
      </c>
      <c r="D134" s="1" t="str">
        <f>IF(COUNTIF(Target1[Target Dates],Benchmark1[[#This Row],[Benchmark '#1 Dates]])=1,"Pass","Fail")</f>
        <v>Pass</v>
      </c>
      <c r="E134" s="6">
        <f>IF(Benchmark1[[#This Row],[Target Date Check]]="Pass",INDEX(Target1[Target Price],MATCH(Benchmark1[[#This Row],[Benchmark '#1 Dates]],Target1[Target Dates],0)),"-")</f>
        <v>24.21</v>
      </c>
      <c r="F134" s="22">
        <f>IF(Benchmark1[[#This Row],[Target Date Check]]="Pass",INDEX(Target1[Target Return],MATCH(Benchmark1[[#This Row],[Benchmark '#1 Dates]],Target1[Target Dates],0)),"-")</f>
        <v>-1.5167333187921541E-2</v>
      </c>
      <c r="G134" s="1">
        <f>IFERROR(IF(Benchmark1[[#This Row],[Target Date Check]]="Pass",Benchmark1[[#This Row],[Target Return]]-Benchmark1[[#This Row],[Benchmark '#1 Return]],"-"),"-")</f>
        <v>-9.8984355622234559E-3</v>
      </c>
      <c r="H134" s="1" t="str">
        <f>IF(COUNTIF(Comp1[Comparable '#1 Dates],Benchmark1[[#This Row],[Benchmark '#1 Dates]])=1,"Pass","Fail")</f>
        <v>Pass</v>
      </c>
      <c r="I134" s="6">
        <f>IF(Benchmark1[[#This Row],[Comparable '#1 Date Check]]="Pass",INDEX(Comp1[Comparable '#1 Price],MATCH(Benchmark1[[#This Row],[Benchmark '#1 Dates]],Comp1[Comparable '#1 Dates],0)),"-")</f>
        <v>15.05</v>
      </c>
      <c r="J134" s="22">
        <f>IF(Benchmark1[[#This Row],[Comparable '#1 Date Check]]="Pass",INDEX(Comp1[Comparable '#1 Return],MATCH(Benchmark1[[#This Row],[Benchmark '#1 Dates]],Comp1[Comparable '#1 Dates],0)),"-")</f>
        <v>-3.316752625993815E-3</v>
      </c>
      <c r="K134" s="1">
        <f>IFERROR(IF(Benchmark1[[#This Row],[Comparable '#1 Date Check]]="Pass",Benchmark1[[#This Row],[Comparable '#1 Return]]-Benchmark1[[#This Row],[Benchmark '#1 Return]],"-"),"-")</f>
        <v>1.9521449997042702E-3</v>
      </c>
      <c r="L134" s="1" t="str">
        <f>IF(COUNTIF(Comp2[Comparable '#2 Dates],Benchmark1[[#This Row],[Benchmark '#1 Dates]])=1,"Pass","Fail")</f>
        <v>Pass</v>
      </c>
      <c r="M134" s="6">
        <f>IF(Benchmark1[[#This Row],[Comparable '#2 Date Check]]="Pass",INDEX(Comp2[Comparable '#2 Price],MATCH(Benchmark1[[#This Row],[Benchmark '#1 Dates]],Comp2[Comparable '#2 Dates],0)),"-")</f>
        <v>47.2</v>
      </c>
      <c r="N134" s="22">
        <f>IF(Benchmark1[[#This Row],[Comparable '#2 Date Check]]="Pass",INDEX(Comp2[Comparable '#2 Return],MATCH(Benchmark1[[#This Row],[Benchmark '#1 Dates]],Comp2[Comparable '#2 Dates],0)),"-")</f>
        <v>-3.5952243441506322E-3</v>
      </c>
      <c r="O134" s="1">
        <f>IFERROR(IF(Benchmark1[[#This Row],[Comparable '#2 Date Check]]="Pass",Benchmark1[[#This Row],[Comparable '#2 Return]]-Benchmark1[[#This Row],[Benchmark '#1 Return]],"-"),"-")</f>
        <v>1.673673281547453E-3</v>
      </c>
      <c r="P134" s="1" t="str">
        <f>IF(COUNTIF(Comp3[Comparable '#3 Dates],Benchmark1[[#This Row],[Benchmark '#1 Dates]])=1,"Pass","Fail")</f>
        <v>Pass</v>
      </c>
      <c r="Q134" s="6">
        <f>IF(Benchmark1[[#This Row],[Comparable '#3 Date Check]]="Pass",INDEX(Comp3[Comparable '#3 Price],MATCH(Benchmark1[[#This Row],[Benchmark '#1 Dates]],Comp3[Comparable '#3 Dates],0)),"-")</f>
        <v>107.92</v>
      </c>
      <c r="R134" s="22">
        <f>IF(Benchmark1[[#This Row],[Comparable '#3 Date Check]]="Pass",INDEX(Comp3[Comparable '#3 Return],MATCH(Benchmark1[[#This Row],[Benchmark '#1 Dates]],Comp3[Comparable '#3 Dates],0)),"-")</f>
        <v>-2.3534807225583081E-2</v>
      </c>
      <c r="S134" s="1">
        <f>IFERROR(IF(Benchmark1[[#This Row],[Comparable '#3 Date Check]]="Pass",Benchmark1[[#This Row],[Comparable '#3 Return]]-Benchmark1[[#This Row],[Benchmark '#1 Return]],"-"),"-")</f>
        <v>-1.8265909599884996E-2</v>
      </c>
    </row>
    <row r="135" spans="1:19">
      <c r="A135" s="103">
        <v>43480</v>
      </c>
      <c r="B135" s="104">
        <v>2610.3025667069328</v>
      </c>
      <c r="C135" s="4">
        <f t="shared" si="2"/>
        <v>1.0664129628393826E-2</v>
      </c>
      <c r="D135" s="1" t="str">
        <f>IF(COUNTIF(Target1[Target Dates],Benchmark1[[#This Row],[Benchmark '#1 Dates]])=1,"Pass","Fail")</f>
        <v>Pass</v>
      </c>
      <c r="E135" s="6">
        <f>IF(Benchmark1[[#This Row],[Target Date Check]]="Pass",INDEX(Target1[Target Price],MATCH(Benchmark1[[#This Row],[Benchmark '#1 Dates]],Target1[Target Dates],0)),"-")</f>
        <v>24.88</v>
      </c>
      <c r="F135" s="22">
        <f>IF(Benchmark1[[#This Row],[Target Date Check]]="Pass",INDEX(Target1[Target Return],MATCH(Benchmark1[[#This Row],[Benchmark '#1 Dates]],Target1[Target Dates],0)),"-")</f>
        <v>2.7298496921011457E-2</v>
      </c>
      <c r="G135" s="1">
        <f>IFERROR(IF(Benchmark1[[#This Row],[Target Date Check]]="Pass",Benchmark1[[#This Row],[Target Return]]-Benchmark1[[#This Row],[Benchmark '#1 Return]],"-"),"-")</f>
        <v>1.6634367292617629E-2</v>
      </c>
      <c r="H135" s="1" t="str">
        <f>IF(COUNTIF(Comp1[Comparable '#1 Dates],Benchmark1[[#This Row],[Benchmark '#1 Dates]])=1,"Pass","Fail")</f>
        <v>Pass</v>
      </c>
      <c r="I135" s="6">
        <f>IF(Benchmark1[[#This Row],[Comparable '#1 Date Check]]="Pass",INDEX(Comp1[Comparable '#1 Price],MATCH(Benchmark1[[#This Row],[Benchmark '#1 Dates]],Comp1[Comparable '#1 Dates],0)),"-")</f>
        <v>15.19</v>
      </c>
      <c r="J135" s="22">
        <f>IF(Benchmark1[[#This Row],[Comparable '#1 Date Check]]="Pass",INDEX(Comp1[Comparable '#1 Return],MATCH(Benchmark1[[#This Row],[Benchmark '#1 Dates]],Comp1[Comparable '#1 Dates],0)),"-")</f>
        <v>9.2593254127967262E-3</v>
      </c>
      <c r="K135" s="1">
        <f>IFERROR(IF(Benchmark1[[#This Row],[Comparable '#1 Date Check]]="Pass",Benchmark1[[#This Row],[Comparable '#1 Return]]-Benchmark1[[#This Row],[Benchmark '#1 Return]],"-"),"-")</f>
        <v>-1.4048042155971E-3</v>
      </c>
      <c r="L135" s="1" t="str">
        <f>IF(COUNTIF(Comp2[Comparable '#2 Dates],Benchmark1[[#This Row],[Benchmark '#1 Dates]])=1,"Pass","Fail")</f>
        <v>Pass</v>
      </c>
      <c r="M135" s="6">
        <f>IF(Benchmark1[[#This Row],[Comparable '#2 Date Check]]="Pass",INDEX(Comp2[Comparable '#2 Price],MATCH(Benchmark1[[#This Row],[Benchmark '#1 Dates]],Comp2[Comparable '#2 Dates],0)),"-")</f>
        <v>47.85</v>
      </c>
      <c r="N135" s="22">
        <f>IF(Benchmark1[[#This Row],[Comparable '#2 Date Check]]="Pass",INDEX(Comp2[Comparable '#2 Return],MATCH(Benchmark1[[#This Row],[Benchmark '#1 Dates]],Comp2[Comparable '#2 Dates],0)),"-")</f>
        <v>1.3677225307453593E-2</v>
      </c>
      <c r="O135" s="1">
        <f>IFERROR(IF(Benchmark1[[#This Row],[Comparable '#2 Date Check]]="Pass",Benchmark1[[#This Row],[Comparable '#2 Return]]-Benchmark1[[#This Row],[Benchmark '#1 Return]],"-"),"-")</f>
        <v>3.0130956790597671E-3</v>
      </c>
      <c r="P135" s="1" t="str">
        <f>IF(COUNTIF(Comp3[Comparable '#3 Dates],Benchmark1[[#This Row],[Benchmark '#1 Dates]])=1,"Pass","Fail")</f>
        <v>Pass</v>
      </c>
      <c r="Q135" s="6">
        <f>IF(Benchmark1[[#This Row],[Comparable '#3 Date Check]]="Pass",INDEX(Comp3[Comparable '#3 Price],MATCH(Benchmark1[[#This Row],[Benchmark '#1 Dates]],Comp3[Comparable '#3 Dates],0)),"-")</f>
        <v>108.55</v>
      </c>
      <c r="R135" s="22">
        <f>IF(Benchmark1[[#This Row],[Comparable '#3 Date Check]]="Pass",INDEX(Comp3[Comparable '#3 Return],MATCH(Benchmark1[[#This Row],[Benchmark '#1 Dates]],Comp3[Comparable '#3 Dates],0)),"-")</f>
        <v>5.820684424800421E-3</v>
      </c>
      <c r="S135" s="1">
        <f>IFERROR(IF(Benchmark1[[#This Row],[Comparable '#3 Date Check]]="Pass",Benchmark1[[#This Row],[Comparable '#3 Return]]-Benchmark1[[#This Row],[Benchmark '#1 Return]],"-"),"-")</f>
        <v>-4.8434452035934052E-3</v>
      </c>
    </row>
    <row r="136" spans="1:19">
      <c r="A136" s="103">
        <v>43481</v>
      </c>
      <c r="B136" s="104">
        <v>2616.0971261446803</v>
      </c>
      <c r="C136" s="4">
        <f t="shared" si="2"/>
        <v>2.2174200798190462E-3</v>
      </c>
      <c r="D136" s="1" t="str">
        <f>IF(COUNTIF(Target1[Target Dates],Benchmark1[[#This Row],[Benchmark '#1 Dates]])=1,"Pass","Fail")</f>
        <v>Pass</v>
      </c>
      <c r="E136" s="6">
        <f>IF(Benchmark1[[#This Row],[Target Date Check]]="Pass",INDEX(Target1[Target Price],MATCH(Benchmark1[[#This Row],[Benchmark '#1 Dates]],Target1[Target Dates],0)),"-")</f>
        <v>24.89</v>
      </c>
      <c r="F136" s="22">
        <f>IF(Benchmark1[[#This Row],[Target Date Check]]="Pass",INDEX(Target1[Target Return],MATCH(Benchmark1[[#This Row],[Benchmark '#1 Dates]],Target1[Target Dates],0)),"-")</f>
        <v>4.0184850852202094E-4</v>
      </c>
      <c r="G136" s="1">
        <f>IFERROR(IF(Benchmark1[[#This Row],[Target Date Check]]="Pass",Benchmark1[[#This Row],[Target Return]]-Benchmark1[[#This Row],[Benchmark '#1 Return]],"-"),"-")</f>
        <v>-1.8155715712970253E-3</v>
      </c>
      <c r="H136" s="1" t="str">
        <f>IF(COUNTIF(Comp1[Comparable '#1 Dates],Benchmark1[[#This Row],[Benchmark '#1 Dates]])=1,"Pass","Fail")</f>
        <v>Pass</v>
      </c>
      <c r="I136" s="6">
        <f>IF(Benchmark1[[#This Row],[Comparable '#1 Date Check]]="Pass",INDEX(Comp1[Comparable '#1 Price],MATCH(Benchmark1[[#This Row],[Benchmark '#1 Dates]],Comp1[Comparable '#1 Dates],0)),"-")</f>
        <v>15.25</v>
      </c>
      <c r="J136" s="22">
        <f>IF(Benchmark1[[#This Row],[Comparable '#1 Date Check]]="Pass",INDEX(Comp1[Comparable '#1 Return],MATCH(Benchmark1[[#This Row],[Benchmark '#1 Dates]],Comp1[Comparable '#1 Dates],0)),"-")</f>
        <v>3.9421864457391247E-3</v>
      </c>
      <c r="K136" s="1">
        <f>IFERROR(IF(Benchmark1[[#This Row],[Comparable '#1 Date Check]]="Pass",Benchmark1[[#This Row],[Comparable '#1 Return]]-Benchmark1[[#This Row],[Benchmark '#1 Return]],"-"),"-")</f>
        <v>1.7247663659200785E-3</v>
      </c>
      <c r="L136" s="1" t="str">
        <f>IF(COUNTIF(Comp2[Comparable '#2 Dates],Benchmark1[[#This Row],[Benchmark '#1 Dates]])=1,"Pass","Fail")</f>
        <v>Pass</v>
      </c>
      <c r="M136" s="6">
        <f>IF(Benchmark1[[#This Row],[Comparable '#2 Date Check]]="Pass",INDEX(Comp2[Comparable '#2 Price],MATCH(Benchmark1[[#This Row],[Benchmark '#1 Dates]],Comp2[Comparable '#2 Dates],0)),"-")</f>
        <v>47.99</v>
      </c>
      <c r="N136" s="22">
        <f>IF(Benchmark1[[#This Row],[Comparable '#2 Date Check]]="Pass",INDEX(Comp2[Comparable '#2 Return],MATCH(Benchmark1[[#This Row],[Benchmark '#1 Dates]],Comp2[Comparable '#2 Dates],0)),"-")</f>
        <v>2.9215379711907967E-3</v>
      </c>
      <c r="O136" s="1">
        <f>IFERROR(IF(Benchmark1[[#This Row],[Comparable '#2 Date Check]]="Pass",Benchmark1[[#This Row],[Comparable '#2 Return]]-Benchmark1[[#This Row],[Benchmark '#1 Return]],"-"),"-")</f>
        <v>7.0411789137175048E-4</v>
      </c>
      <c r="P136" s="1" t="str">
        <f>IF(COUNTIF(Comp3[Comparable '#3 Dates],Benchmark1[[#This Row],[Benchmark '#1 Dates]])=1,"Pass","Fail")</f>
        <v>Pass</v>
      </c>
      <c r="Q136" s="6">
        <f>IF(Benchmark1[[#This Row],[Comparable '#3 Date Check]]="Pass",INDEX(Comp3[Comparable '#3 Price],MATCH(Benchmark1[[#This Row],[Benchmark '#1 Dates]],Comp3[Comparable '#3 Dates],0)),"-")</f>
        <v>107.64</v>
      </c>
      <c r="R136" s="22">
        <f>IF(Benchmark1[[#This Row],[Comparable '#3 Date Check]]="Pass",INDEX(Comp3[Comparable '#3 Return],MATCH(Benchmark1[[#This Row],[Benchmark '#1 Dates]],Comp3[Comparable '#3 Dates],0)),"-")</f>
        <v>-8.4185704655957896E-3</v>
      </c>
      <c r="S136" s="1">
        <f>IFERROR(IF(Benchmark1[[#This Row],[Comparable '#3 Date Check]]="Pass",Benchmark1[[#This Row],[Comparable '#3 Return]]-Benchmark1[[#This Row],[Benchmark '#1 Return]],"-"),"-")</f>
        <v>-1.0635990545414836E-2</v>
      </c>
    </row>
    <row r="137" spans="1:19">
      <c r="A137" s="103">
        <v>43482</v>
      </c>
      <c r="B137" s="104">
        <v>2635.9566785208253</v>
      </c>
      <c r="C137" s="4">
        <f t="shared" si="2"/>
        <v>7.5626213162910839E-3</v>
      </c>
      <c r="D137" s="1" t="str">
        <f>IF(COUNTIF(Target1[Target Dates],Benchmark1[[#This Row],[Benchmark '#1 Dates]])=1,"Pass","Fail")</f>
        <v>Pass</v>
      </c>
      <c r="E137" s="6">
        <f>IF(Benchmark1[[#This Row],[Target Date Check]]="Pass",INDEX(Target1[Target Price],MATCH(Benchmark1[[#This Row],[Benchmark '#1 Dates]],Target1[Target Dates],0)),"-")</f>
        <v>25.16</v>
      </c>
      <c r="F137" s="22">
        <f>IF(Benchmark1[[#This Row],[Target Date Check]]="Pass",INDEX(Target1[Target Return],MATCH(Benchmark1[[#This Row],[Benchmark '#1 Dates]],Target1[Target Dates],0)),"-")</f>
        <v>1.0789315452739185E-2</v>
      </c>
      <c r="G137" s="1">
        <f>IFERROR(IF(Benchmark1[[#This Row],[Target Date Check]]="Pass",Benchmark1[[#This Row],[Target Return]]-Benchmark1[[#This Row],[Benchmark '#1 Return]],"-"),"-")</f>
        <v>3.2266941364481015E-3</v>
      </c>
      <c r="H137" s="1" t="str">
        <f>IF(COUNTIF(Comp1[Comparable '#1 Dates],Benchmark1[[#This Row],[Benchmark '#1 Dates]])=1,"Pass","Fail")</f>
        <v>Pass</v>
      </c>
      <c r="I137" s="6">
        <f>IF(Benchmark1[[#This Row],[Comparable '#1 Date Check]]="Pass",INDEX(Comp1[Comparable '#1 Price],MATCH(Benchmark1[[#This Row],[Benchmark '#1 Dates]],Comp1[Comparable '#1 Dates],0)),"-")</f>
        <v>15.26</v>
      </c>
      <c r="J137" s="22">
        <f>IF(Benchmark1[[#This Row],[Comparable '#1 Date Check]]="Pass",INDEX(Comp1[Comparable '#1 Return],MATCH(Benchmark1[[#This Row],[Benchmark '#1 Dates]],Comp1[Comparable '#1 Dates],0)),"-")</f>
        <v>6.5552280289039758E-4</v>
      </c>
      <c r="K137" s="1">
        <f>IFERROR(IF(Benchmark1[[#This Row],[Comparable '#1 Date Check]]="Pass",Benchmark1[[#This Row],[Comparable '#1 Return]]-Benchmark1[[#This Row],[Benchmark '#1 Return]],"-"),"-")</f>
        <v>-6.9070985134006861E-3</v>
      </c>
      <c r="L137" s="1" t="str">
        <f>IF(COUNTIF(Comp2[Comparable '#2 Dates],Benchmark1[[#This Row],[Benchmark '#1 Dates]])=1,"Pass","Fail")</f>
        <v>Pass</v>
      </c>
      <c r="M137" s="6">
        <f>IF(Benchmark1[[#This Row],[Comparable '#2 Date Check]]="Pass",INDEX(Comp2[Comparable '#2 Price],MATCH(Benchmark1[[#This Row],[Benchmark '#1 Dates]],Comp2[Comparable '#2 Dates],0)),"-")</f>
        <v>47.93</v>
      </c>
      <c r="N137" s="22">
        <f>IF(Benchmark1[[#This Row],[Comparable '#2 Date Check]]="Pass",INDEX(Comp2[Comparable '#2 Return],MATCH(Benchmark1[[#This Row],[Benchmark '#1 Dates]],Comp2[Comparable '#2 Dates],0)),"-")</f>
        <v>-1.2510426986142597E-3</v>
      </c>
      <c r="O137" s="1">
        <f>IFERROR(IF(Benchmark1[[#This Row],[Comparable '#2 Date Check]]="Pass",Benchmark1[[#This Row],[Comparable '#2 Return]]-Benchmark1[[#This Row],[Benchmark '#1 Return]],"-"),"-")</f>
        <v>-8.8136640149053432E-3</v>
      </c>
      <c r="P137" s="1" t="str">
        <f>IF(COUNTIF(Comp3[Comparable '#3 Dates],Benchmark1[[#This Row],[Benchmark '#1 Dates]])=1,"Pass","Fail")</f>
        <v>Pass</v>
      </c>
      <c r="Q137" s="6">
        <f>IF(Benchmark1[[#This Row],[Comparable '#3 Date Check]]="Pass",INDEX(Comp3[Comparable '#3 Price],MATCH(Benchmark1[[#This Row],[Benchmark '#1 Dates]],Comp3[Comparable '#3 Dates],0)),"-")</f>
        <v>108.99</v>
      </c>
      <c r="R137" s="22">
        <f>IF(Benchmark1[[#This Row],[Comparable '#3 Date Check]]="Pass",INDEX(Comp3[Comparable '#3 Return],MATCH(Benchmark1[[#This Row],[Benchmark '#1 Dates]],Comp3[Comparable '#3 Dates],0)),"-")</f>
        <v>1.2463809042515143E-2</v>
      </c>
      <c r="S137" s="1">
        <f>IFERROR(IF(Benchmark1[[#This Row],[Comparable '#3 Date Check]]="Pass",Benchmark1[[#This Row],[Comparable '#3 Return]]-Benchmark1[[#This Row],[Benchmark '#1 Return]],"-"),"-")</f>
        <v>4.9011877262240596E-3</v>
      </c>
    </row>
    <row r="138" spans="1:19">
      <c r="A138" s="103">
        <v>43483</v>
      </c>
      <c r="B138" s="104">
        <v>2670.7117125111131</v>
      </c>
      <c r="C138" s="4">
        <f t="shared" si="2"/>
        <v>1.3098813931374933E-2</v>
      </c>
      <c r="D138" s="1" t="str">
        <f>IF(COUNTIF(Target1[Target Dates],Benchmark1[[#This Row],[Benchmark '#1 Dates]])=1,"Pass","Fail")</f>
        <v>Pass</v>
      </c>
      <c r="E138" s="6">
        <f>IF(Benchmark1[[#This Row],[Target Date Check]]="Pass",INDEX(Target1[Target Price],MATCH(Benchmark1[[#This Row],[Benchmark '#1 Dates]],Target1[Target Dates],0)),"-")</f>
        <v>25.59</v>
      </c>
      <c r="F138" s="22">
        <f>IF(Benchmark1[[#This Row],[Target Date Check]]="Pass",INDEX(Target1[Target Return],MATCH(Benchmark1[[#This Row],[Benchmark '#1 Dates]],Target1[Target Dates],0)),"-")</f>
        <v>1.6946218339457565E-2</v>
      </c>
      <c r="G138" s="1">
        <f>IFERROR(IF(Benchmark1[[#This Row],[Target Date Check]]="Pass",Benchmark1[[#This Row],[Target Return]]-Benchmark1[[#This Row],[Benchmark '#1 Return]],"-"),"-")</f>
        <v>3.8474044080826324E-3</v>
      </c>
      <c r="H138" s="1" t="str">
        <f>IF(COUNTIF(Comp1[Comparable '#1 Dates],Benchmark1[[#This Row],[Benchmark '#1 Dates]])=1,"Pass","Fail")</f>
        <v>Pass</v>
      </c>
      <c r="I138" s="6">
        <f>IF(Benchmark1[[#This Row],[Comparable '#1 Date Check]]="Pass",INDEX(Comp1[Comparable '#1 Price],MATCH(Benchmark1[[#This Row],[Benchmark '#1 Dates]],Comp1[Comparable '#1 Dates],0)),"-")</f>
        <v>15.28</v>
      </c>
      <c r="J138" s="22">
        <f>IF(Benchmark1[[#This Row],[Comparable '#1 Date Check]]="Pass",INDEX(Comp1[Comparable '#1 Return],MATCH(Benchmark1[[#This Row],[Benchmark '#1 Dates]],Comp1[Comparable '#1 Dates],0)),"-")</f>
        <v>1.3097578820635101E-3</v>
      </c>
      <c r="K138" s="1">
        <f>IFERROR(IF(Benchmark1[[#This Row],[Comparable '#1 Date Check]]="Pass",Benchmark1[[#This Row],[Comparable '#1 Return]]-Benchmark1[[#This Row],[Benchmark '#1 Return]],"-"),"-")</f>
        <v>-1.1789056049311422E-2</v>
      </c>
      <c r="L138" s="1" t="str">
        <f>IF(COUNTIF(Comp2[Comparable '#2 Dates],Benchmark1[[#This Row],[Benchmark '#1 Dates]])=1,"Pass","Fail")</f>
        <v>Pass</v>
      </c>
      <c r="M138" s="6">
        <f>IF(Benchmark1[[#This Row],[Comparable '#2 Date Check]]="Pass",INDEX(Comp2[Comparable '#2 Price],MATCH(Benchmark1[[#This Row],[Benchmark '#1 Dates]],Comp2[Comparable '#2 Dates],0)),"-")</f>
        <v>48.88</v>
      </c>
      <c r="N138" s="22">
        <f>IF(Benchmark1[[#This Row],[Comparable '#2 Date Check]]="Pass",INDEX(Comp2[Comparable '#2 Return],MATCH(Benchmark1[[#This Row],[Benchmark '#1 Dates]],Comp2[Comparable '#2 Dates],0)),"-")</f>
        <v>1.9626701691800134E-2</v>
      </c>
      <c r="O138" s="1">
        <f>IFERROR(IF(Benchmark1[[#This Row],[Comparable '#2 Date Check]]="Pass",Benchmark1[[#This Row],[Comparable '#2 Return]]-Benchmark1[[#This Row],[Benchmark '#1 Return]],"-"),"-")</f>
        <v>6.5278877604252016E-3</v>
      </c>
      <c r="P138" s="1" t="str">
        <f>IF(COUNTIF(Comp3[Comparable '#3 Dates],Benchmark1[[#This Row],[Benchmark '#1 Dates]])=1,"Pass","Fail")</f>
        <v>Pass</v>
      </c>
      <c r="Q138" s="6">
        <f>IF(Benchmark1[[#This Row],[Comparable '#3 Date Check]]="Pass",INDEX(Comp3[Comparable '#3 Price],MATCH(Benchmark1[[#This Row],[Benchmark '#1 Dates]],Comp3[Comparable '#3 Dates],0)),"-")</f>
        <v>111.26</v>
      </c>
      <c r="R138" s="22">
        <f>IF(Benchmark1[[#This Row],[Comparable '#3 Date Check]]="Pass",INDEX(Comp3[Comparable '#3 Return],MATCH(Benchmark1[[#This Row],[Benchmark '#1 Dates]],Comp3[Comparable '#3 Dates],0)),"-")</f>
        <v>2.0613669745926971E-2</v>
      </c>
      <c r="S138" s="1">
        <f>IFERROR(IF(Benchmark1[[#This Row],[Comparable '#3 Date Check]]="Pass",Benchmark1[[#This Row],[Comparable '#3 Return]]-Benchmark1[[#This Row],[Benchmark '#1 Return]],"-"),"-")</f>
        <v>7.5148558145520378E-3</v>
      </c>
    </row>
    <row r="139" spans="1:19">
      <c r="A139" s="103">
        <v>43487</v>
      </c>
      <c r="B139" s="104">
        <v>2632.9039259058227</v>
      </c>
      <c r="C139" s="4">
        <f t="shared" si="2"/>
        <v>-1.4257604488118835E-2</v>
      </c>
      <c r="D139" s="1" t="str">
        <f>IF(COUNTIF(Target1[Target Dates],Benchmark1[[#This Row],[Benchmark '#1 Dates]])=1,"Pass","Fail")</f>
        <v>Pass</v>
      </c>
      <c r="E139" s="6">
        <f>IF(Benchmark1[[#This Row],[Target Date Check]]="Pass",INDEX(Target1[Target Price],MATCH(Benchmark1[[#This Row],[Benchmark '#1 Dates]],Target1[Target Dates],0)),"-")</f>
        <v>25.86</v>
      </c>
      <c r="F139" s="22">
        <f>IF(Benchmark1[[#This Row],[Target Date Check]]="Pass",INDEX(Target1[Target Return],MATCH(Benchmark1[[#This Row],[Benchmark '#1 Dates]],Target1[Target Dates],0)),"-")</f>
        <v>1.049572317201387E-2</v>
      </c>
      <c r="G139" s="1">
        <f>IFERROR(IF(Benchmark1[[#This Row],[Target Date Check]]="Pass",Benchmark1[[#This Row],[Target Return]]-Benchmark1[[#This Row],[Benchmark '#1 Return]],"-"),"-")</f>
        <v>2.4753327660132704E-2</v>
      </c>
      <c r="H139" s="1" t="str">
        <f>IF(COUNTIF(Comp1[Comparable '#1 Dates],Benchmark1[[#This Row],[Benchmark '#1 Dates]])=1,"Pass","Fail")</f>
        <v>Pass</v>
      </c>
      <c r="I139" s="6">
        <f>IF(Benchmark1[[#This Row],[Comparable '#1 Date Check]]="Pass",INDEX(Comp1[Comparable '#1 Price],MATCH(Benchmark1[[#This Row],[Benchmark '#1 Dates]],Comp1[Comparable '#1 Dates],0)),"-")</f>
        <v>15.56</v>
      </c>
      <c r="J139" s="22">
        <f>IF(Benchmark1[[#This Row],[Comparable '#1 Date Check]]="Pass",INDEX(Comp1[Comparable '#1 Return],MATCH(Benchmark1[[#This Row],[Benchmark '#1 Dates]],Comp1[Comparable '#1 Dates],0)),"-")</f>
        <v>1.8158735011871267E-2</v>
      </c>
      <c r="K139" s="1">
        <f>IFERROR(IF(Benchmark1[[#This Row],[Comparable '#1 Date Check]]="Pass",Benchmark1[[#This Row],[Comparable '#1 Return]]-Benchmark1[[#This Row],[Benchmark '#1 Return]],"-"),"-")</f>
        <v>3.24163394999901E-2</v>
      </c>
      <c r="L139" s="1" t="str">
        <f>IF(COUNTIF(Comp2[Comparable '#2 Dates],Benchmark1[[#This Row],[Benchmark '#1 Dates]])=1,"Pass","Fail")</f>
        <v>Pass</v>
      </c>
      <c r="M139" s="6">
        <f>IF(Benchmark1[[#This Row],[Comparable '#2 Date Check]]="Pass",INDEX(Comp2[Comparable '#2 Price],MATCH(Benchmark1[[#This Row],[Benchmark '#1 Dates]],Comp2[Comparable '#2 Dates],0)),"-")</f>
        <v>48.7</v>
      </c>
      <c r="N139" s="22">
        <f>IF(Benchmark1[[#This Row],[Comparable '#2 Date Check]]="Pass",INDEX(Comp2[Comparable '#2 Return],MATCH(Benchmark1[[#This Row],[Benchmark '#1 Dates]],Comp2[Comparable '#2 Dates],0)),"-")</f>
        <v>-3.6892847747957325E-3</v>
      </c>
      <c r="O139" s="1">
        <f>IFERROR(IF(Benchmark1[[#This Row],[Comparable '#2 Date Check]]="Pass",Benchmark1[[#This Row],[Comparable '#2 Return]]-Benchmark1[[#This Row],[Benchmark '#1 Return]],"-"),"-")</f>
        <v>1.0568319713323103E-2</v>
      </c>
      <c r="P139" s="1" t="str">
        <f>IF(COUNTIF(Comp3[Comparable '#3 Dates],Benchmark1[[#This Row],[Benchmark '#1 Dates]])=1,"Pass","Fail")</f>
        <v>Pass</v>
      </c>
      <c r="Q139" s="6">
        <f>IF(Benchmark1[[#This Row],[Comparable '#3 Date Check]]="Pass",INDEX(Comp3[Comparable '#3 Price],MATCH(Benchmark1[[#This Row],[Benchmark '#1 Dates]],Comp3[Comparable '#3 Dates],0)),"-")</f>
        <v>108.74</v>
      </c>
      <c r="R139" s="22">
        <f>IF(Benchmark1[[#This Row],[Comparable '#3 Date Check]]="Pass",INDEX(Comp3[Comparable '#3 Return],MATCH(Benchmark1[[#This Row],[Benchmark '#1 Dates]],Comp3[Comparable '#3 Dates],0)),"-")</f>
        <v>-2.2910092929372673E-2</v>
      </c>
      <c r="S139" s="1">
        <f>IFERROR(IF(Benchmark1[[#This Row],[Comparable '#3 Date Check]]="Pass",Benchmark1[[#This Row],[Comparable '#3 Return]]-Benchmark1[[#This Row],[Benchmark '#1 Return]],"-"),"-")</f>
        <v>-8.6524884412538371E-3</v>
      </c>
    </row>
    <row r="140" spans="1:19">
      <c r="A140" s="103">
        <v>43488</v>
      </c>
      <c r="B140" s="104">
        <v>2638.6968458998326</v>
      </c>
      <c r="C140" s="4">
        <f t="shared" si="2"/>
        <v>2.1977849145054427E-3</v>
      </c>
      <c r="D140" s="1" t="str">
        <f>IF(COUNTIF(Target1[Target Dates],Benchmark1[[#This Row],[Benchmark '#1 Dates]])=1,"Pass","Fail")</f>
        <v>Pass</v>
      </c>
      <c r="E140" s="6">
        <f>IF(Benchmark1[[#This Row],[Target Date Check]]="Pass",INDEX(Target1[Target Price],MATCH(Benchmark1[[#This Row],[Benchmark '#1 Dates]],Target1[Target Dates],0)),"-")</f>
        <v>29.64</v>
      </c>
      <c r="F140" s="22">
        <f>IF(Benchmark1[[#This Row],[Target Date Check]]="Pass",INDEX(Target1[Target Return],MATCH(Benchmark1[[#This Row],[Benchmark '#1 Dates]],Target1[Target Dates],0)),"-")</f>
        <v>0.13642742708417474</v>
      </c>
      <c r="G140" s="1">
        <f>IFERROR(IF(Benchmark1[[#This Row],[Target Date Check]]="Pass",Benchmark1[[#This Row],[Target Return]]-Benchmark1[[#This Row],[Benchmark '#1 Return]],"-"),"-")</f>
        <v>0.13422964216966929</v>
      </c>
      <c r="H140" s="1" t="str">
        <f>IF(COUNTIF(Comp1[Comparable '#1 Dates],Benchmark1[[#This Row],[Benchmark '#1 Dates]])=1,"Pass","Fail")</f>
        <v>Pass</v>
      </c>
      <c r="I140" s="6">
        <f>IF(Benchmark1[[#This Row],[Comparable '#1 Date Check]]="Pass",INDEX(Comp1[Comparable '#1 Price],MATCH(Benchmark1[[#This Row],[Benchmark '#1 Dates]],Comp1[Comparable '#1 Dates],0)),"-")</f>
        <v>15.62</v>
      </c>
      <c r="J140" s="22">
        <f>IF(Benchmark1[[#This Row],[Comparable '#1 Date Check]]="Pass",INDEX(Comp1[Comparable '#1 Return],MATCH(Benchmark1[[#This Row],[Benchmark '#1 Dates]],Comp1[Comparable '#1 Dates],0)),"-")</f>
        <v>3.8486256612942351E-3</v>
      </c>
      <c r="K140" s="1">
        <f>IFERROR(IF(Benchmark1[[#This Row],[Comparable '#1 Date Check]]="Pass",Benchmark1[[#This Row],[Comparable '#1 Return]]-Benchmark1[[#This Row],[Benchmark '#1 Return]],"-"),"-")</f>
        <v>1.6508407467887925E-3</v>
      </c>
      <c r="L140" s="1" t="str">
        <f>IF(COUNTIF(Comp2[Comparable '#2 Dates],Benchmark1[[#This Row],[Benchmark '#1 Dates]])=1,"Pass","Fail")</f>
        <v>Pass</v>
      </c>
      <c r="M140" s="6">
        <f>IF(Benchmark1[[#This Row],[Comparable '#2 Date Check]]="Pass",INDEX(Comp2[Comparable '#2 Price],MATCH(Benchmark1[[#This Row],[Benchmark '#1 Dates]],Comp2[Comparable '#2 Dates],0)),"-")</f>
        <v>49.15</v>
      </c>
      <c r="N140" s="22">
        <f>IF(Benchmark1[[#This Row],[Comparable '#2 Date Check]]="Pass",INDEX(Comp2[Comparable '#2 Return],MATCH(Benchmark1[[#This Row],[Benchmark '#1 Dates]],Comp2[Comparable '#2 Dates],0)),"-")</f>
        <v>9.1978165046314505E-3</v>
      </c>
      <c r="O140" s="1">
        <f>IFERROR(IF(Benchmark1[[#This Row],[Comparable '#2 Date Check]]="Pass",Benchmark1[[#This Row],[Comparable '#2 Return]]-Benchmark1[[#This Row],[Benchmark '#1 Return]],"-"),"-")</f>
        <v>7.0000315901260074E-3</v>
      </c>
      <c r="P140" s="1" t="str">
        <f>IF(COUNTIF(Comp3[Comparable '#3 Dates],Benchmark1[[#This Row],[Benchmark '#1 Dates]])=1,"Pass","Fail")</f>
        <v>Pass</v>
      </c>
      <c r="Q140" s="6">
        <f>IF(Benchmark1[[#This Row],[Comparable '#3 Date Check]]="Pass",INDEX(Comp3[Comparable '#3 Price],MATCH(Benchmark1[[#This Row],[Benchmark '#1 Dates]],Comp3[Comparable '#3 Dates],0)),"-")</f>
        <v>110.13</v>
      </c>
      <c r="R140" s="22">
        <f>IF(Benchmark1[[#This Row],[Comparable '#3 Date Check]]="Pass",INDEX(Comp3[Comparable '#3 Return],MATCH(Benchmark1[[#This Row],[Benchmark '#1 Dates]],Comp3[Comparable '#3 Dates],0)),"-")</f>
        <v>1.2701774459078051E-2</v>
      </c>
      <c r="S140" s="1">
        <f>IFERROR(IF(Benchmark1[[#This Row],[Comparable '#3 Date Check]]="Pass",Benchmark1[[#This Row],[Comparable '#3 Return]]-Benchmark1[[#This Row],[Benchmark '#1 Return]],"-"),"-")</f>
        <v>1.0503989544572608E-2</v>
      </c>
    </row>
    <row r="141" spans="1:19">
      <c r="A141" s="103">
        <v>43489</v>
      </c>
      <c r="B141" s="104">
        <v>2642.3325665204056</v>
      </c>
      <c r="C141" s="4">
        <f t="shared" si="2"/>
        <v>1.3768986729823811E-3</v>
      </c>
      <c r="D141" s="1" t="str">
        <f>IF(COUNTIF(Target1[Target Dates],Benchmark1[[#This Row],[Benchmark '#1 Dates]])=1,"Pass","Fail")</f>
        <v>Pass</v>
      </c>
      <c r="E141" s="6">
        <f>IF(Benchmark1[[#This Row],[Target Date Check]]="Pass",INDEX(Target1[Target Price],MATCH(Benchmark1[[#This Row],[Benchmark '#1 Dates]],Target1[Target Dates],0)),"-")</f>
        <v>30.2</v>
      </c>
      <c r="F141" s="22">
        <f>IF(Benchmark1[[#This Row],[Target Date Check]]="Pass",INDEX(Target1[Target Return],MATCH(Benchmark1[[#This Row],[Benchmark '#1 Dates]],Target1[Target Dates],0)),"-")</f>
        <v>1.8717123952937773E-2</v>
      </c>
      <c r="G141" s="1">
        <f>IFERROR(IF(Benchmark1[[#This Row],[Target Date Check]]="Pass",Benchmark1[[#This Row],[Target Return]]-Benchmark1[[#This Row],[Benchmark '#1 Return]],"-"),"-")</f>
        <v>1.7340225279955393E-2</v>
      </c>
      <c r="H141" s="1" t="str">
        <f>IF(COUNTIF(Comp1[Comparable '#1 Dates],Benchmark1[[#This Row],[Benchmark '#1 Dates]])=1,"Pass","Fail")</f>
        <v>Pass</v>
      </c>
      <c r="I141" s="6">
        <f>IF(Benchmark1[[#This Row],[Comparable '#1 Date Check]]="Pass",INDEX(Comp1[Comparable '#1 Price],MATCH(Benchmark1[[#This Row],[Benchmark '#1 Dates]],Comp1[Comparable '#1 Dates],0)),"-")</f>
        <v>15.71</v>
      </c>
      <c r="J141" s="22">
        <f>IF(Benchmark1[[#This Row],[Comparable '#1 Date Check]]="Pass",INDEX(Comp1[Comparable '#1 Return],MATCH(Benchmark1[[#This Row],[Benchmark '#1 Dates]],Comp1[Comparable '#1 Dates],0)),"-")</f>
        <v>5.745307855989955E-3</v>
      </c>
      <c r="K141" s="1">
        <f>IFERROR(IF(Benchmark1[[#This Row],[Comparable '#1 Date Check]]="Pass",Benchmark1[[#This Row],[Comparable '#1 Return]]-Benchmark1[[#This Row],[Benchmark '#1 Return]],"-"),"-")</f>
        <v>4.3684091830075737E-3</v>
      </c>
      <c r="L141" s="1" t="str">
        <f>IF(COUNTIF(Comp2[Comparable '#2 Dates],Benchmark1[[#This Row],[Benchmark '#1 Dates]])=1,"Pass","Fail")</f>
        <v>Pass</v>
      </c>
      <c r="M141" s="6">
        <f>IF(Benchmark1[[#This Row],[Comparable '#2 Date Check]]="Pass",INDEX(Comp2[Comparable '#2 Price],MATCH(Benchmark1[[#This Row],[Benchmark '#1 Dates]],Comp2[Comparable '#2 Dates],0)),"-")</f>
        <v>49.07</v>
      </c>
      <c r="N141" s="22">
        <f>IF(Benchmark1[[#This Row],[Comparable '#2 Date Check]]="Pass",INDEX(Comp2[Comparable '#2 Return],MATCH(Benchmark1[[#This Row],[Benchmark '#1 Dates]],Comp2[Comparable '#2 Dates],0)),"-")</f>
        <v>-1.6289964913634789E-3</v>
      </c>
      <c r="O141" s="1">
        <f>IFERROR(IF(Benchmark1[[#This Row],[Comparable '#2 Date Check]]="Pass",Benchmark1[[#This Row],[Comparable '#2 Return]]-Benchmark1[[#This Row],[Benchmark '#1 Return]],"-"),"-")</f>
        <v>-3.00589516434586E-3</v>
      </c>
      <c r="P141" s="1" t="str">
        <f>IF(COUNTIF(Comp3[Comparable '#3 Dates],Benchmark1[[#This Row],[Benchmark '#1 Dates]])=1,"Pass","Fail")</f>
        <v>Pass</v>
      </c>
      <c r="Q141" s="6">
        <f>IF(Benchmark1[[#This Row],[Comparable '#3 Date Check]]="Pass",INDEX(Comp3[Comparable '#3 Price],MATCH(Benchmark1[[#This Row],[Benchmark '#1 Dates]],Comp3[Comparable '#3 Dates],0)),"-")</f>
        <v>111.01</v>
      </c>
      <c r="R141" s="22">
        <f>IF(Benchmark1[[#This Row],[Comparable '#3 Date Check]]="Pass",INDEX(Comp3[Comparable '#3 Return],MATCH(Benchmark1[[#This Row],[Benchmark '#1 Dates]],Comp3[Comparable '#3 Dates],0)),"-")</f>
        <v>7.9588011677031653E-3</v>
      </c>
      <c r="S141" s="1">
        <f>IFERROR(IF(Benchmark1[[#This Row],[Comparable '#3 Date Check]]="Pass",Benchmark1[[#This Row],[Comparable '#3 Return]]-Benchmark1[[#This Row],[Benchmark '#1 Return]],"-"),"-")</f>
        <v>6.581902494720784E-3</v>
      </c>
    </row>
    <row r="142" spans="1:19">
      <c r="A142" s="103">
        <v>43490</v>
      </c>
      <c r="B142" s="104">
        <v>2664.7605095733361</v>
      </c>
      <c r="C142" s="4">
        <f t="shared" si="2"/>
        <v>8.4521135201115569E-3</v>
      </c>
      <c r="D142" s="1" t="str">
        <f>IF(COUNTIF(Target1[Target Dates],Benchmark1[[#This Row],[Benchmark '#1 Dates]])=1,"Pass","Fail")</f>
        <v>Pass</v>
      </c>
      <c r="E142" s="6">
        <f>IF(Benchmark1[[#This Row],[Target Date Check]]="Pass",INDEX(Target1[Target Price],MATCH(Benchmark1[[#This Row],[Benchmark '#1 Dates]],Target1[Target Dates],0)),"-")</f>
        <v>29.4</v>
      </c>
      <c r="F142" s="22">
        <f>IF(Benchmark1[[#This Row],[Target Date Check]]="Pass",INDEX(Target1[Target Return],MATCH(Benchmark1[[#This Row],[Benchmark '#1 Dates]],Target1[Target Dates],0)),"-")</f>
        <v>-2.6847250036188052E-2</v>
      </c>
      <c r="G142" s="1">
        <f>IFERROR(IF(Benchmark1[[#This Row],[Target Date Check]]="Pass",Benchmark1[[#This Row],[Target Return]]-Benchmark1[[#This Row],[Benchmark '#1 Return]],"-"),"-")</f>
        <v>-3.5299363556299611E-2</v>
      </c>
      <c r="H142" s="1" t="str">
        <f>IF(COUNTIF(Comp1[Comparable '#1 Dates],Benchmark1[[#This Row],[Benchmark '#1 Dates]])=1,"Pass","Fail")</f>
        <v>Pass</v>
      </c>
      <c r="I142" s="6">
        <f>IF(Benchmark1[[#This Row],[Comparable '#1 Date Check]]="Pass",INDEX(Comp1[Comparable '#1 Price],MATCH(Benchmark1[[#This Row],[Benchmark '#1 Dates]],Comp1[Comparable '#1 Dates],0)),"-")</f>
        <v>15.84</v>
      </c>
      <c r="J142" s="22">
        <f>IF(Benchmark1[[#This Row],[Comparable '#1 Date Check]]="Pass",INDEX(Comp1[Comparable '#1 Return],MATCH(Benchmark1[[#This Row],[Benchmark '#1 Dates]],Comp1[Comparable '#1 Dates],0)),"-")</f>
        <v>8.2409341187499579E-3</v>
      </c>
      <c r="K142" s="1">
        <f>IFERROR(IF(Benchmark1[[#This Row],[Comparable '#1 Date Check]]="Pass",Benchmark1[[#This Row],[Comparable '#1 Return]]-Benchmark1[[#This Row],[Benchmark '#1 Return]],"-"),"-")</f>
        <v>-2.1117940136159905E-4</v>
      </c>
      <c r="L142" s="1" t="str">
        <f>IF(COUNTIF(Comp2[Comparable '#2 Dates],Benchmark1[[#This Row],[Benchmark '#1 Dates]])=1,"Pass","Fail")</f>
        <v>Pass</v>
      </c>
      <c r="M142" s="6">
        <f>IF(Benchmark1[[#This Row],[Comparable '#2 Date Check]]="Pass",INDEX(Comp2[Comparable '#2 Price],MATCH(Benchmark1[[#This Row],[Benchmark '#1 Dates]],Comp2[Comparable '#2 Dates],0)),"-")</f>
        <v>49.66</v>
      </c>
      <c r="N142" s="22">
        <f>IF(Benchmark1[[#This Row],[Comparable '#2 Date Check]]="Pass",INDEX(Comp2[Comparable '#2 Return],MATCH(Benchmark1[[#This Row],[Benchmark '#1 Dates]],Comp2[Comparable '#2 Dates],0)),"-")</f>
        <v>1.1951929978208401E-2</v>
      </c>
      <c r="O142" s="1">
        <f>IFERROR(IF(Benchmark1[[#This Row],[Comparable '#2 Date Check]]="Pass",Benchmark1[[#This Row],[Comparable '#2 Return]]-Benchmark1[[#This Row],[Benchmark '#1 Return]],"-"),"-")</f>
        <v>3.4998164580968445E-3</v>
      </c>
      <c r="P142" s="1" t="str">
        <f>IF(COUNTIF(Comp3[Comparable '#3 Dates],Benchmark1[[#This Row],[Benchmark '#1 Dates]])=1,"Pass","Fail")</f>
        <v>Pass</v>
      </c>
      <c r="Q142" s="6">
        <f>IF(Benchmark1[[#This Row],[Comparable '#3 Date Check]]="Pass",INDEX(Comp3[Comparable '#3 Price],MATCH(Benchmark1[[#This Row],[Benchmark '#1 Dates]],Comp3[Comparable '#3 Dates],0)),"-")</f>
        <v>113.6</v>
      </c>
      <c r="R142" s="22">
        <f>IF(Benchmark1[[#This Row],[Comparable '#3 Date Check]]="Pass",INDEX(Comp3[Comparable '#3 Return],MATCH(Benchmark1[[#This Row],[Benchmark '#1 Dates]],Comp3[Comparable '#3 Dates],0)),"-")</f>
        <v>2.3063218942495144E-2</v>
      </c>
      <c r="S142" s="1">
        <f>IFERROR(IF(Benchmark1[[#This Row],[Comparable '#3 Date Check]]="Pass",Benchmark1[[#This Row],[Comparable '#3 Return]]-Benchmark1[[#This Row],[Benchmark '#1 Return]],"-"),"-")</f>
        <v>1.4611105422383587E-2</v>
      </c>
    </row>
    <row r="143" spans="1:19">
      <c r="A143" s="103">
        <v>43493</v>
      </c>
      <c r="B143" s="104">
        <v>2643.845686124128</v>
      </c>
      <c r="C143" s="4">
        <f t="shared" si="2"/>
        <v>-7.879632013537155E-3</v>
      </c>
      <c r="D143" s="1" t="str">
        <f>IF(COUNTIF(Target1[Target Dates],Benchmark1[[#This Row],[Benchmark '#1 Dates]])=1,"Pass","Fail")</f>
        <v>Pass</v>
      </c>
      <c r="E143" s="6">
        <f>IF(Benchmark1[[#This Row],[Target Date Check]]="Pass",INDEX(Target1[Target Price],MATCH(Benchmark1[[#This Row],[Benchmark '#1 Dates]],Target1[Target Dates],0)),"-")</f>
        <v>29.48</v>
      </c>
      <c r="F143" s="22">
        <f>IF(Benchmark1[[#This Row],[Target Date Check]]="Pass",INDEX(Target1[Target Return],MATCH(Benchmark1[[#This Row],[Benchmark '#1 Dates]],Target1[Target Dates],0)),"-")</f>
        <v>2.7173929764998861E-3</v>
      </c>
      <c r="G143" s="1">
        <f>IFERROR(IF(Benchmark1[[#This Row],[Target Date Check]]="Pass",Benchmark1[[#This Row],[Target Return]]-Benchmark1[[#This Row],[Benchmark '#1 Return]],"-"),"-")</f>
        <v>1.0597024990037042E-2</v>
      </c>
      <c r="H143" s="1" t="str">
        <f>IF(COUNTIF(Comp1[Comparable '#1 Dates],Benchmark1[[#This Row],[Benchmark '#1 Dates]])=1,"Pass","Fail")</f>
        <v>Pass</v>
      </c>
      <c r="I143" s="6">
        <f>IF(Benchmark1[[#This Row],[Comparable '#1 Date Check]]="Pass",INDEX(Comp1[Comparable '#1 Price],MATCH(Benchmark1[[#This Row],[Benchmark '#1 Dates]],Comp1[Comparable '#1 Dates],0)),"-")</f>
        <v>15.92</v>
      </c>
      <c r="J143" s="22">
        <f>IF(Benchmark1[[#This Row],[Comparable '#1 Date Check]]="Pass",INDEX(Comp1[Comparable '#1 Return],MATCH(Benchmark1[[#This Row],[Benchmark '#1 Dates]],Comp1[Comparable '#1 Dates],0)),"-")</f>
        <v>5.037794029957081E-3</v>
      </c>
      <c r="K143" s="1">
        <f>IFERROR(IF(Benchmark1[[#This Row],[Comparable '#1 Date Check]]="Pass",Benchmark1[[#This Row],[Comparable '#1 Return]]-Benchmark1[[#This Row],[Benchmark '#1 Return]],"-"),"-")</f>
        <v>1.2917426043494235E-2</v>
      </c>
      <c r="L143" s="1" t="str">
        <f>IF(COUNTIF(Comp2[Comparable '#2 Dates],Benchmark1[[#This Row],[Benchmark '#1 Dates]])=1,"Pass","Fail")</f>
        <v>Pass</v>
      </c>
      <c r="M143" s="6">
        <f>IF(Benchmark1[[#This Row],[Comparable '#2 Date Check]]="Pass",INDEX(Comp2[Comparable '#2 Price],MATCH(Benchmark1[[#This Row],[Benchmark '#1 Dates]],Comp2[Comparable '#2 Dates],0)),"-")</f>
        <v>49.22</v>
      </c>
      <c r="N143" s="22">
        <f>IF(Benchmark1[[#This Row],[Comparable '#2 Date Check]]="Pass",INDEX(Comp2[Comparable '#2 Return],MATCH(Benchmark1[[#This Row],[Benchmark '#1 Dates]],Comp2[Comparable '#2 Dates],0)),"-")</f>
        <v>-8.899735117110676E-3</v>
      </c>
      <c r="O143" s="1">
        <f>IFERROR(IF(Benchmark1[[#This Row],[Comparable '#2 Date Check]]="Pass",Benchmark1[[#This Row],[Comparable '#2 Return]]-Benchmark1[[#This Row],[Benchmark '#1 Return]],"-"),"-")</f>
        <v>-1.0201031035735209E-3</v>
      </c>
      <c r="P143" s="1" t="str">
        <f>IF(COUNTIF(Comp3[Comparable '#3 Dates],Benchmark1[[#This Row],[Benchmark '#1 Dates]])=1,"Pass","Fail")</f>
        <v>Pass</v>
      </c>
      <c r="Q143" s="6">
        <f>IF(Benchmark1[[#This Row],[Comparable '#3 Date Check]]="Pass",INDEX(Comp3[Comparable '#3 Price],MATCH(Benchmark1[[#This Row],[Benchmark '#1 Dates]],Comp3[Comparable '#3 Dates],0)),"-")</f>
        <v>111.18</v>
      </c>
      <c r="R143" s="22">
        <f>IF(Benchmark1[[#This Row],[Comparable '#3 Date Check]]="Pass",INDEX(Comp3[Comparable '#3 Return],MATCH(Benchmark1[[#This Row],[Benchmark '#1 Dates]],Comp3[Comparable '#3 Dates],0)),"-")</f>
        <v>-2.1532996761727447E-2</v>
      </c>
      <c r="S143" s="1">
        <f>IFERROR(IF(Benchmark1[[#This Row],[Comparable '#3 Date Check]]="Pass",Benchmark1[[#This Row],[Comparable '#3 Return]]-Benchmark1[[#This Row],[Benchmark '#1 Return]],"-"),"-")</f>
        <v>-1.3653364748190292E-2</v>
      </c>
    </row>
    <row r="144" spans="1:19">
      <c r="A144" s="103">
        <v>43494</v>
      </c>
      <c r="B144" s="104">
        <v>2640.004723079096</v>
      </c>
      <c r="C144" s="4">
        <f t="shared" si="2"/>
        <v>-1.4538502887550479E-3</v>
      </c>
      <c r="D144" s="1" t="str">
        <f>IF(COUNTIF(Target1[Target Dates],Benchmark1[[#This Row],[Benchmark '#1 Dates]])=1,"Pass","Fail")</f>
        <v>Pass</v>
      </c>
      <c r="E144" s="6">
        <f>IF(Benchmark1[[#This Row],[Target Date Check]]="Pass",INDEX(Target1[Target Price],MATCH(Benchmark1[[#This Row],[Benchmark '#1 Dates]],Target1[Target Dates],0)),"-")</f>
        <v>29.9</v>
      </c>
      <c r="F144" s="22">
        <f>IF(Benchmark1[[#This Row],[Target Date Check]]="Pass",INDEX(Target1[Target Return],MATCH(Benchmark1[[#This Row],[Benchmark '#1 Dates]],Target1[Target Dates],0)),"-")</f>
        <v>1.4146413075504878E-2</v>
      </c>
      <c r="G144" s="1">
        <f>IFERROR(IF(Benchmark1[[#This Row],[Target Date Check]]="Pass",Benchmark1[[#This Row],[Target Return]]-Benchmark1[[#This Row],[Benchmark '#1 Return]],"-"),"-")</f>
        <v>1.5600263364259926E-2</v>
      </c>
      <c r="H144" s="1" t="str">
        <f>IF(COUNTIF(Comp1[Comparable '#1 Dates],Benchmark1[[#This Row],[Benchmark '#1 Dates]])=1,"Pass","Fail")</f>
        <v>Pass</v>
      </c>
      <c r="I144" s="6">
        <f>IF(Benchmark1[[#This Row],[Comparable '#1 Date Check]]="Pass",INDEX(Comp1[Comparable '#1 Price],MATCH(Benchmark1[[#This Row],[Benchmark '#1 Dates]],Comp1[Comparable '#1 Dates],0)),"-")</f>
        <v>15.74</v>
      </c>
      <c r="J144" s="22">
        <f>IF(Benchmark1[[#This Row],[Comparable '#1 Date Check]]="Pass",INDEX(Comp1[Comparable '#1 Return],MATCH(Benchmark1[[#This Row],[Benchmark '#1 Dates]],Comp1[Comparable '#1 Dates],0)),"-")</f>
        <v>-1.1370937426979809E-2</v>
      </c>
      <c r="K144" s="1">
        <f>IFERROR(IF(Benchmark1[[#This Row],[Comparable '#1 Date Check]]="Pass",Benchmark1[[#This Row],[Comparable '#1 Return]]-Benchmark1[[#This Row],[Benchmark '#1 Return]],"-"),"-")</f>
        <v>-9.9170871382247613E-3</v>
      </c>
      <c r="L144" s="1" t="str">
        <f>IF(COUNTIF(Comp2[Comparable '#2 Dates],Benchmark1[[#This Row],[Benchmark '#1 Dates]])=1,"Pass","Fail")</f>
        <v>Pass</v>
      </c>
      <c r="M144" s="6">
        <f>IF(Benchmark1[[#This Row],[Comparable '#2 Date Check]]="Pass",INDEX(Comp2[Comparable '#2 Price],MATCH(Benchmark1[[#This Row],[Benchmark '#1 Dates]],Comp2[Comparable '#2 Dates],0)),"-")</f>
        <v>48.8</v>
      </c>
      <c r="N144" s="22">
        <f>IF(Benchmark1[[#This Row],[Comparable '#2 Date Check]]="Pass",INDEX(Comp2[Comparable '#2 Return],MATCH(Benchmark1[[#This Row],[Benchmark '#1 Dates]],Comp2[Comparable '#2 Dates],0)),"-")</f>
        <v>-8.5697321038083335E-3</v>
      </c>
      <c r="O144" s="1">
        <f>IFERROR(IF(Benchmark1[[#This Row],[Comparable '#2 Date Check]]="Pass",Benchmark1[[#This Row],[Comparable '#2 Return]]-Benchmark1[[#This Row],[Benchmark '#1 Return]],"-"),"-")</f>
        <v>-7.1158818150532854E-3</v>
      </c>
      <c r="P144" s="1" t="str">
        <f>IF(COUNTIF(Comp3[Comparable '#3 Dates],Benchmark1[[#This Row],[Benchmark '#1 Dates]])=1,"Pass","Fail")</f>
        <v>Pass</v>
      </c>
      <c r="Q144" s="6">
        <f>IF(Benchmark1[[#This Row],[Comparable '#3 Date Check]]="Pass",INDEX(Comp3[Comparable '#3 Price],MATCH(Benchmark1[[#This Row],[Benchmark '#1 Dates]],Comp3[Comparable '#3 Dates],0)),"-")</f>
        <v>109.34</v>
      </c>
      <c r="R144" s="22">
        <f>IF(Benchmark1[[#This Row],[Comparable '#3 Date Check]]="Pass",INDEX(Comp3[Comparable '#3 Return],MATCH(Benchmark1[[#This Row],[Benchmark '#1 Dates]],Comp3[Comparable '#3 Dates],0)),"-")</f>
        <v>-1.6688216058470224E-2</v>
      </c>
      <c r="S144" s="1">
        <f>IFERROR(IF(Benchmark1[[#This Row],[Comparable '#3 Date Check]]="Pass",Benchmark1[[#This Row],[Comparable '#3 Return]]-Benchmark1[[#This Row],[Benchmark '#1 Return]],"-"),"-")</f>
        <v>-1.5234365769715177E-2</v>
      </c>
    </row>
    <row r="145" spans="1:19">
      <c r="A145" s="103">
        <v>43495</v>
      </c>
      <c r="B145" s="104">
        <v>2681.051086292432</v>
      </c>
      <c r="C145" s="4">
        <f t="shared" si="2"/>
        <v>1.5428207809905453E-2</v>
      </c>
      <c r="D145" s="1" t="str">
        <f>IF(COUNTIF(Target1[Target Dates],Benchmark1[[#This Row],[Benchmark '#1 Dates]])=1,"Pass","Fail")</f>
        <v>Pass</v>
      </c>
      <c r="E145" s="6">
        <f>IF(Benchmark1[[#This Row],[Target Date Check]]="Pass",INDEX(Target1[Target Price],MATCH(Benchmark1[[#This Row],[Benchmark '#1 Dates]],Target1[Target Dates],0)),"-")</f>
        <v>29.93</v>
      </c>
      <c r="F145" s="22">
        <f>IF(Benchmark1[[#This Row],[Target Date Check]]="Pass",INDEX(Target1[Target Return],MATCH(Benchmark1[[#This Row],[Benchmark '#1 Dates]],Target1[Target Dates],0)),"-")</f>
        <v>1.0028414679667992E-3</v>
      </c>
      <c r="G145" s="1">
        <f>IFERROR(IF(Benchmark1[[#This Row],[Target Date Check]]="Pass",Benchmark1[[#This Row],[Target Return]]-Benchmark1[[#This Row],[Benchmark '#1 Return]],"-"),"-")</f>
        <v>-1.4425366341938653E-2</v>
      </c>
      <c r="H145" s="1" t="str">
        <f>IF(COUNTIF(Comp1[Comparable '#1 Dates],Benchmark1[[#This Row],[Benchmark '#1 Dates]])=1,"Pass","Fail")</f>
        <v>Pass</v>
      </c>
      <c r="I145" s="6">
        <f>IF(Benchmark1[[#This Row],[Comparable '#1 Date Check]]="Pass",INDEX(Comp1[Comparable '#1 Price],MATCH(Benchmark1[[#This Row],[Benchmark '#1 Dates]],Comp1[Comparable '#1 Dates],0)),"-")</f>
        <v>15.7</v>
      </c>
      <c r="J145" s="22">
        <f>IF(Benchmark1[[#This Row],[Comparable '#1 Date Check]]="Pass",INDEX(Comp1[Comparable '#1 Return],MATCH(Benchmark1[[#This Row],[Benchmark '#1 Dates]],Comp1[Comparable '#1 Dates],0)),"-")</f>
        <v>-2.5445306349948728E-3</v>
      </c>
      <c r="K145" s="1">
        <f>IFERROR(IF(Benchmark1[[#This Row],[Comparable '#1 Date Check]]="Pass",Benchmark1[[#This Row],[Comparable '#1 Return]]-Benchmark1[[#This Row],[Benchmark '#1 Return]],"-"),"-")</f>
        <v>-1.7972738444900327E-2</v>
      </c>
      <c r="L145" s="1" t="str">
        <f>IF(COUNTIF(Comp2[Comparable '#2 Dates],Benchmark1[[#This Row],[Benchmark '#1 Dates]])=1,"Pass","Fail")</f>
        <v>Pass</v>
      </c>
      <c r="M145" s="6">
        <f>IF(Benchmark1[[#This Row],[Comparable '#2 Date Check]]="Pass",INDEX(Comp2[Comparable '#2 Price],MATCH(Benchmark1[[#This Row],[Benchmark '#1 Dates]],Comp2[Comparable '#2 Dates],0)),"-")</f>
        <v>49.24</v>
      </c>
      <c r="N145" s="22">
        <f>IF(Benchmark1[[#This Row],[Comparable '#2 Date Check]]="Pass",INDEX(Comp2[Comparable '#2 Return],MATCH(Benchmark1[[#This Row],[Benchmark '#1 Dates]],Comp2[Comparable '#2 Dates],0)),"-")</f>
        <v>8.9759884571513765E-3</v>
      </c>
      <c r="O145" s="1">
        <f>IFERROR(IF(Benchmark1[[#This Row],[Comparable '#2 Date Check]]="Pass",Benchmark1[[#This Row],[Comparable '#2 Return]]-Benchmark1[[#This Row],[Benchmark '#1 Return]],"-"),"-")</f>
        <v>-6.4522193527540763E-3</v>
      </c>
      <c r="P145" s="1" t="str">
        <f>IF(COUNTIF(Comp3[Comparable '#3 Dates],Benchmark1[[#This Row],[Benchmark '#1 Dates]])=1,"Pass","Fail")</f>
        <v>Pass</v>
      </c>
      <c r="Q145" s="6">
        <f>IF(Benchmark1[[#This Row],[Comparable '#3 Date Check]]="Pass",INDEX(Comp3[Comparable '#3 Price],MATCH(Benchmark1[[#This Row],[Benchmark '#1 Dates]],Comp3[Comparable '#3 Dates],0)),"-")</f>
        <v>108.47</v>
      </c>
      <c r="R145" s="22">
        <f>IF(Benchmark1[[#This Row],[Comparable '#3 Date Check]]="Pass",INDEX(Comp3[Comparable '#3 Return],MATCH(Benchmark1[[#This Row],[Benchmark '#1 Dates]],Comp3[Comparable '#3 Dates],0)),"-")</f>
        <v>-7.9886564147270724E-3</v>
      </c>
      <c r="S145" s="1">
        <f>IFERROR(IF(Benchmark1[[#This Row],[Comparable '#3 Date Check]]="Pass",Benchmark1[[#This Row],[Comparable '#3 Return]]-Benchmark1[[#This Row],[Benchmark '#1 Return]],"-"),"-")</f>
        <v>-2.3416864224632523E-2</v>
      </c>
    </row>
    <row r="146" spans="1:19">
      <c r="A146" s="103">
        <v>43496</v>
      </c>
      <c r="B146" s="104">
        <v>2704.1005797025632</v>
      </c>
      <c r="C146" s="4">
        <f t="shared" si="2"/>
        <v>8.560440112861209E-3</v>
      </c>
      <c r="D146" s="1" t="str">
        <f>IF(COUNTIF(Target1[Target Dates],Benchmark1[[#This Row],[Benchmark '#1 Dates]])=1,"Pass","Fail")</f>
        <v>Pass</v>
      </c>
      <c r="E146" s="6">
        <f>IF(Benchmark1[[#This Row],[Target Date Check]]="Pass",INDEX(Target1[Target Price],MATCH(Benchmark1[[#This Row],[Benchmark '#1 Dates]],Target1[Target Dates],0)),"-")</f>
        <v>31.51</v>
      </c>
      <c r="F146" s="22">
        <f>IF(Benchmark1[[#This Row],[Target Date Check]]="Pass",INDEX(Target1[Target Return],MATCH(Benchmark1[[#This Row],[Benchmark '#1 Dates]],Target1[Target Dates],0)),"-")</f>
        <v>5.1443633904575757E-2</v>
      </c>
      <c r="G146" s="1">
        <f>IFERROR(IF(Benchmark1[[#This Row],[Target Date Check]]="Pass",Benchmark1[[#This Row],[Target Return]]-Benchmark1[[#This Row],[Benchmark '#1 Return]],"-"),"-")</f>
        <v>4.2883193791714548E-2</v>
      </c>
      <c r="H146" s="1" t="str">
        <f>IF(COUNTIF(Comp1[Comparable '#1 Dates],Benchmark1[[#This Row],[Benchmark '#1 Dates]])=1,"Pass","Fail")</f>
        <v>Pass</v>
      </c>
      <c r="I146" s="6">
        <f>IF(Benchmark1[[#This Row],[Comparable '#1 Date Check]]="Pass",INDEX(Comp1[Comparable '#1 Price],MATCH(Benchmark1[[#This Row],[Benchmark '#1 Dates]],Comp1[Comparable '#1 Dates],0)),"-")</f>
        <v>16</v>
      </c>
      <c r="J146" s="22">
        <f>IF(Benchmark1[[#This Row],[Comparable '#1 Date Check]]="Pass",INDEX(Comp1[Comparable '#1 Return],MATCH(Benchmark1[[#This Row],[Benchmark '#1 Dates]],Comp1[Comparable '#1 Dates],0)),"-")</f>
        <v>1.8928009885518859E-2</v>
      </c>
      <c r="K146" s="1">
        <f>IFERROR(IF(Benchmark1[[#This Row],[Comparable '#1 Date Check]]="Pass",Benchmark1[[#This Row],[Comparable '#1 Return]]-Benchmark1[[#This Row],[Benchmark '#1 Return]],"-"),"-")</f>
        <v>1.036756977265765E-2</v>
      </c>
      <c r="L146" s="1" t="str">
        <f>IF(COUNTIF(Comp2[Comparable '#2 Dates],Benchmark1[[#This Row],[Benchmark '#1 Dates]])=1,"Pass","Fail")</f>
        <v>Pass</v>
      </c>
      <c r="M146" s="6">
        <f>IF(Benchmark1[[#This Row],[Comparable '#2 Date Check]]="Pass",INDEX(Comp2[Comparable '#2 Price],MATCH(Benchmark1[[#This Row],[Benchmark '#1 Dates]],Comp2[Comparable '#2 Dates],0)),"-")</f>
        <v>48.9</v>
      </c>
      <c r="N146" s="22">
        <f>IF(Benchmark1[[#This Row],[Comparable '#2 Date Check]]="Pass",INDEX(Comp2[Comparable '#2 Return],MATCH(Benchmark1[[#This Row],[Benchmark '#1 Dates]],Comp2[Comparable '#2 Dates],0)),"-")</f>
        <v>-6.9289048354265106E-3</v>
      </c>
      <c r="O146" s="1">
        <f>IFERROR(IF(Benchmark1[[#This Row],[Comparable '#2 Date Check]]="Pass",Benchmark1[[#This Row],[Comparable '#2 Return]]-Benchmark1[[#This Row],[Benchmark '#1 Return]],"-"),"-")</f>
        <v>-1.548934494828772E-2</v>
      </c>
      <c r="P146" s="1" t="str">
        <f>IF(COUNTIF(Comp3[Comparable '#3 Dates],Benchmark1[[#This Row],[Benchmark '#1 Dates]])=1,"Pass","Fail")</f>
        <v>Pass</v>
      </c>
      <c r="Q146" s="6">
        <f>IF(Benchmark1[[#This Row],[Comparable '#3 Date Check]]="Pass",INDEX(Comp3[Comparable '#3 Price],MATCH(Benchmark1[[#This Row],[Benchmark '#1 Dates]],Comp3[Comparable '#3 Dates],0)),"-")</f>
        <v>109.4</v>
      </c>
      <c r="R146" s="22">
        <f>IF(Benchmark1[[#This Row],[Comparable '#3 Date Check]]="Pass",INDEX(Comp3[Comparable '#3 Return],MATCH(Benchmark1[[#This Row],[Benchmark '#1 Dates]],Comp3[Comparable '#3 Dates],0)),"-")</f>
        <v>8.5372529357547865E-3</v>
      </c>
      <c r="S146" s="1">
        <f>IFERROR(IF(Benchmark1[[#This Row],[Comparable '#3 Date Check]]="Pass",Benchmark1[[#This Row],[Comparable '#3 Return]]-Benchmark1[[#This Row],[Benchmark '#1 Return]],"-"),"-")</f>
        <v>-2.3187177106422444E-5</v>
      </c>
    </row>
    <row r="147" spans="1:19">
      <c r="A147" s="103">
        <v>43497</v>
      </c>
      <c r="B147" s="104">
        <v>2706.5334599593471</v>
      </c>
      <c r="C147" s="4">
        <f t="shared" si="2"/>
        <v>8.992958691763967E-4</v>
      </c>
      <c r="D147" s="1" t="str">
        <f>IF(COUNTIF(Target1[Target Dates],Benchmark1[[#This Row],[Benchmark '#1 Dates]])=1,"Pass","Fail")</f>
        <v>Pass</v>
      </c>
      <c r="E147" s="6">
        <f>IF(Benchmark1[[#This Row],[Target Date Check]]="Pass",INDEX(Target1[Target Price],MATCH(Benchmark1[[#This Row],[Benchmark '#1 Dates]],Target1[Target Dates],0)),"-")</f>
        <v>31.63</v>
      </c>
      <c r="F147" s="22">
        <f>IF(Benchmark1[[#This Row],[Target Date Check]]="Pass",INDEX(Target1[Target Return],MATCH(Benchmark1[[#This Row],[Benchmark '#1 Dates]],Target1[Target Dates],0)),"-")</f>
        <v>3.8010815483741625E-3</v>
      </c>
      <c r="G147" s="1">
        <f>IFERROR(IF(Benchmark1[[#This Row],[Target Date Check]]="Pass",Benchmark1[[#This Row],[Target Return]]-Benchmark1[[#This Row],[Benchmark '#1 Return]],"-"),"-")</f>
        <v>2.9017856791977658E-3</v>
      </c>
      <c r="H147" s="1" t="str">
        <f>IF(COUNTIF(Comp1[Comparable '#1 Dates],Benchmark1[[#This Row],[Benchmark '#1 Dates]])=1,"Pass","Fail")</f>
        <v>Pass</v>
      </c>
      <c r="I147" s="6">
        <f>IF(Benchmark1[[#This Row],[Comparable '#1 Date Check]]="Pass",INDEX(Comp1[Comparable '#1 Price],MATCH(Benchmark1[[#This Row],[Benchmark '#1 Dates]],Comp1[Comparable '#1 Dates],0)),"-")</f>
        <v>15.7</v>
      </c>
      <c r="J147" s="22">
        <f>IF(Benchmark1[[#This Row],[Comparable '#1 Date Check]]="Pass",INDEX(Comp1[Comparable '#1 Return],MATCH(Benchmark1[[#This Row],[Benchmark '#1 Dates]],Comp1[Comparable '#1 Dates],0)),"-")</f>
        <v>-1.8928009885518911E-2</v>
      </c>
      <c r="K147" s="1">
        <f>IFERROR(IF(Benchmark1[[#This Row],[Comparable '#1 Date Check]]="Pass",Benchmark1[[#This Row],[Comparable '#1 Return]]-Benchmark1[[#This Row],[Benchmark '#1 Return]],"-"),"-")</f>
        <v>-1.9827305754695306E-2</v>
      </c>
      <c r="L147" s="1" t="str">
        <f>IF(COUNTIF(Comp2[Comparable '#2 Dates],Benchmark1[[#This Row],[Benchmark '#1 Dates]])=1,"Pass","Fail")</f>
        <v>Pass</v>
      </c>
      <c r="M147" s="6">
        <f>IF(Benchmark1[[#This Row],[Comparable '#2 Date Check]]="Pass",INDEX(Comp2[Comparable '#2 Price],MATCH(Benchmark1[[#This Row],[Benchmark '#1 Dates]],Comp2[Comparable '#2 Dates],0)),"-")</f>
        <v>49.26</v>
      </c>
      <c r="N147" s="22">
        <f>IF(Benchmark1[[#This Row],[Comparable '#2 Date Check]]="Pass",INDEX(Comp2[Comparable '#2 Return],MATCH(Benchmark1[[#This Row],[Benchmark '#1 Dates]],Comp2[Comparable '#2 Dates],0)),"-")</f>
        <v>7.3349962115654707E-3</v>
      </c>
      <c r="O147" s="1">
        <f>IFERROR(IF(Benchmark1[[#This Row],[Comparable '#2 Date Check]]="Pass",Benchmark1[[#This Row],[Comparable '#2 Return]]-Benchmark1[[#This Row],[Benchmark '#1 Return]],"-"),"-")</f>
        <v>6.4357003423890745E-3</v>
      </c>
      <c r="P147" s="1" t="str">
        <f>IF(COUNTIF(Comp3[Comparable '#3 Dates],Benchmark1[[#This Row],[Benchmark '#1 Dates]])=1,"Pass","Fail")</f>
        <v>Pass</v>
      </c>
      <c r="Q147" s="6">
        <f>IF(Benchmark1[[#This Row],[Comparable '#3 Date Check]]="Pass",INDEX(Comp3[Comparable '#3 Price],MATCH(Benchmark1[[#This Row],[Benchmark '#1 Dates]],Comp3[Comparable '#3 Dates],0)),"-")</f>
        <v>109.42</v>
      </c>
      <c r="R147" s="22">
        <f>IF(Benchmark1[[#This Row],[Comparable '#3 Date Check]]="Pass",INDEX(Comp3[Comparable '#3 Return],MATCH(Benchmark1[[#This Row],[Benchmark '#1 Dates]],Comp3[Comparable '#3 Dates],0)),"-")</f>
        <v>1.8279864779909523E-4</v>
      </c>
      <c r="S147" s="1">
        <f>IFERROR(IF(Benchmark1[[#This Row],[Comparable '#3 Date Check]]="Pass",Benchmark1[[#This Row],[Comparable '#3 Return]]-Benchmark1[[#This Row],[Benchmark '#1 Return]],"-"),"-")</f>
        <v>-7.1649722137730144E-4</v>
      </c>
    </row>
    <row r="148" spans="1:19">
      <c r="A148" s="103">
        <v>43500</v>
      </c>
      <c r="B148" s="104">
        <v>2724.8669074194954</v>
      </c>
      <c r="C148" s="4">
        <f t="shared" si="2"/>
        <v>6.7509356148052887E-3</v>
      </c>
      <c r="D148" s="1" t="str">
        <f>IF(COUNTIF(Target1[Target Dates],Benchmark1[[#This Row],[Benchmark '#1 Dates]])=1,"Pass","Fail")</f>
        <v>Pass</v>
      </c>
      <c r="E148" s="6">
        <f>IF(Benchmark1[[#This Row],[Target Date Check]]="Pass",INDEX(Target1[Target Price],MATCH(Benchmark1[[#This Row],[Benchmark '#1 Dates]],Target1[Target Dates],0)),"-")</f>
        <v>31.83</v>
      </c>
      <c r="F148" s="22">
        <f>IF(Benchmark1[[#This Row],[Target Date Check]]="Pass",INDEX(Target1[Target Return],MATCH(Benchmark1[[#This Row],[Benchmark '#1 Dates]],Target1[Target Dates],0)),"-")</f>
        <v>6.3032039764439086E-3</v>
      </c>
      <c r="G148" s="1">
        <f>IFERROR(IF(Benchmark1[[#This Row],[Target Date Check]]="Pass",Benchmark1[[#This Row],[Target Return]]-Benchmark1[[#This Row],[Benchmark '#1 Return]],"-"),"-")</f>
        <v>-4.4773163836138007E-4</v>
      </c>
      <c r="H148" s="1" t="str">
        <f>IF(COUNTIF(Comp1[Comparable '#1 Dates],Benchmark1[[#This Row],[Benchmark '#1 Dates]])=1,"Pass","Fail")</f>
        <v>Pass</v>
      </c>
      <c r="I148" s="6">
        <f>IF(Benchmark1[[#This Row],[Comparable '#1 Date Check]]="Pass",INDEX(Comp1[Comparable '#1 Price],MATCH(Benchmark1[[#This Row],[Benchmark '#1 Dates]],Comp1[Comparable '#1 Dates],0)),"-")</f>
        <v>15.86</v>
      </c>
      <c r="J148" s="22">
        <f>IF(Benchmark1[[#This Row],[Comparable '#1 Date Check]]="Pass",INDEX(Comp1[Comparable '#1 Return],MATCH(Benchmark1[[#This Row],[Benchmark '#1 Dates]],Comp1[Comparable '#1 Dates],0)),"-")</f>
        <v>1.0139503852439551E-2</v>
      </c>
      <c r="K148" s="1">
        <f>IFERROR(IF(Benchmark1[[#This Row],[Comparable '#1 Date Check]]="Pass",Benchmark1[[#This Row],[Comparable '#1 Return]]-Benchmark1[[#This Row],[Benchmark '#1 Return]],"-"),"-")</f>
        <v>3.3885682376342619E-3</v>
      </c>
      <c r="L148" s="1" t="str">
        <f>IF(COUNTIF(Comp2[Comparable '#2 Dates],Benchmark1[[#This Row],[Benchmark '#1 Dates]])=1,"Pass","Fail")</f>
        <v>Pass</v>
      </c>
      <c r="M148" s="6">
        <f>IF(Benchmark1[[#This Row],[Comparable '#2 Date Check]]="Pass",INDEX(Comp2[Comparable '#2 Price],MATCH(Benchmark1[[#This Row],[Benchmark '#1 Dates]],Comp2[Comparable '#2 Dates],0)),"-")</f>
        <v>49.65</v>
      </c>
      <c r="N148" s="22">
        <f>IF(Benchmark1[[#This Row],[Comparable '#2 Date Check]]="Pass",INDEX(Comp2[Comparable '#2 Return],MATCH(Benchmark1[[#This Row],[Benchmark '#1 Dates]],Comp2[Comparable '#2 Dates],0)),"-")</f>
        <v>7.8859977987897189E-3</v>
      </c>
      <c r="O148" s="1">
        <f>IFERROR(IF(Benchmark1[[#This Row],[Comparable '#2 Date Check]]="Pass",Benchmark1[[#This Row],[Comparable '#2 Return]]-Benchmark1[[#This Row],[Benchmark '#1 Return]],"-"),"-")</f>
        <v>1.1350621839844302E-3</v>
      </c>
      <c r="P148" s="1" t="str">
        <f>IF(COUNTIF(Comp3[Comparable '#3 Dates],Benchmark1[[#This Row],[Benchmark '#1 Dates]])=1,"Pass","Fail")</f>
        <v>Pass</v>
      </c>
      <c r="Q148" s="6">
        <f>IF(Benchmark1[[#This Row],[Comparable '#3 Date Check]]="Pass",INDEX(Comp3[Comparable '#3 Price],MATCH(Benchmark1[[#This Row],[Benchmark '#1 Dates]],Comp3[Comparable '#3 Dates],0)),"-")</f>
        <v>113.44</v>
      </c>
      <c r="R148" s="22">
        <f>IF(Benchmark1[[#This Row],[Comparable '#3 Date Check]]="Pass",INDEX(Comp3[Comparable '#3 Return],MATCH(Benchmark1[[#This Row],[Benchmark '#1 Dates]],Comp3[Comparable '#3 Dates],0)),"-")</f>
        <v>3.6080374148137369E-2</v>
      </c>
      <c r="S148" s="1">
        <f>IFERROR(IF(Benchmark1[[#This Row],[Comparable '#3 Date Check]]="Pass",Benchmark1[[#This Row],[Comparable '#3 Return]]-Benchmark1[[#This Row],[Benchmark '#1 Return]],"-"),"-")</f>
        <v>2.9329438533332079E-2</v>
      </c>
    </row>
    <row r="149" spans="1:19">
      <c r="A149" s="103">
        <v>43501</v>
      </c>
      <c r="B149" s="104">
        <v>2737.7021308237281</v>
      </c>
      <c r="C149" s="4">
        <f t="shared" si="2"/>
        <v>4.6993445520897492E-3</v>
      </c>
      <c r="D149" s="1" t="str">
        <f>IF(COUNTIF(Target1[Target Dates],Benchmark1[[#This Row],[Benchmark '#1 Dates]])=1,"Pass","Fail")</f>
        <v>Pass</v>
      </c>
      <c r="E149" s="6">
        <f>IF(Benchmark1[[#This Row],[Target Date Check]]="Pass",INDEX(Target1[Target Price],MATCH(Benchmark1[[#This Row],[Benchmark '#1 Dates]],Target1[Target Dates],0)),"-")</f>
        <v>31.92</v>
      </c>
      <c r="F149" s="22">
        <f>IF(Benchmark1[[#This Row],[Target Date Check]]="Pass",INDEX(Target1[Target Return],MATCH(Benchmark1[[#This Row],[Benchmark '#1 Dates]],Target1[Target Dates],0)),"-")</f>
        <v>2.8235312876065664E-3</v>
      </c>
      <c r="G149" s="1">
        <f>IFERROR(IF(Benchmark1[[#This Row],[Target Date Check]]="Pass",Benchmark1[[#This Row],[Target Return]]-Benchmark1[[#This Row],[Benchmark '#1 Return]],"-"),"-")</f>
        <v>-1.8758132644831828E-3</v>
      </c>
      <c r="H149" s="1" t="str">
        <f>IF(COUNTIF(Comp1[Comparable '#1 Dates],Benchmark1[[#This Row],[Benchmark '#1 Dates]])=1,"Pass","Fail")</f>
        <v>Pass</v>
      </c>
      <c r="I149" s="6">
        <f>IF(Benchmark1[[#This Row],[Comparable '#1 Date Check]]="Pass",INDEX(Comp1[Comparable '#1 Price],MATCH(Benchmark1[[#This Row],[Benchmark '#1 Dates]],Comp1[Comparable '#1 Dates],0)),"-")</f>
        <v>15.86</v>
      </c>
      <c r="J149" s="22">
        <f>IF(Benchmark1[[#This Row],[Comparable '#1 Date Check]]="Pass",INDEX(Comp1[Comparable '#1 Return],MATCH(Benchmark1[[#This Row],[Benchmark '#1 Dates]],Comp1[Comparable '#1 Dates],0)),"-")</f>
        <v>0</v>
      </c>
      <c r="K149" s="1">
        <f>IFERROR(IF(Benchmark1[[#This Row],[Comparable '#1 Date Check]]="Pass",Benchmark1[[#This Row],[Comparable '#1 Return]]-Benchmark1[[#This Row],[Benchmark '#1 Return]],"-"),"-")</f>
        <v>-4.6993445520897492E-3</v>
      </c>
      <c r="L149" s="1" t="str">
        <f>IF(COUNTIF(Comp2[Comparable '#2 Dates],Benchmark1[[#This Row],[Benchmark '#1 Dates]])=1,"Pass","Fail")</f>
        <v>Pass</v>
      </c>
      <c r="M149" s="6">
        <f>IF(Benchmark1[[#This Row],[Comparable '#2 Date Check]]="Pass",INDEX(Comp2[Comparable '#2 Price],MATCH(Benchmark1[[#This Row],[Benchmark '#1 Dates]],Comp2[Comparable '#2 Dates],0)),"-")</f>
        <v>49.56</v>
      </c>
      <c r="N149" s="22">
        <f>IF(Benchmark1[[#This Row],[Comparable '#2 Date Check]]="Pass",INDEX(Comp2[Comparable '#2 Return],MATCH(Benchmark1[[#This Row],[Benchmark '#1 Dates]],Comp2[Comparable '#2 Dates],0)),"-")</f>
        <v>-1.8143337302398634E-3</v>
      </c>
      <c r="O149" s="1">
        <f>IFERROR(IF(Benchmark1[[#This Row],[Comparable '#2 Date Check]]="Pass",Benchmark1[[#This Row],[Comparable '#2 Return]]-Benchmark1[[#This Row],[Benchmark '#1 Return]],"-"),"-")</f>
        <v>-6.513678282329613E-3</v>
      </c>
      <c r="P149" s="1" t="str">
        <f>IF(COUNTIF(Comp3[Comparable '#3 Dates],Benchmark1[[#This Row],[Benchmark '#1 Dates]])=1,"Pass","Fail")</f>
        <v>Pass</v>
      </c>
      <c r="Q149" s="6">
        <f>IF(Benchmark1[[#This Row],[Comparable '#3 Date Check]]="Pass",INDEX(Comp3[Comparable '#3 Price],MATCH(Benchmark1[[#This Row],[Benchmark '#1 Dates]],Comp3[Comparable '#3 Dates],0)),"-")</f>
        <v>114.5</v>
      </c>
      <c r="R149" s="22">
        <f>IF(Benchmark1[[#This Row],[Comparable '#3 Date Check]]="Pass",INDEX(Comp3[Comparable '#3 Return],MATCH(Benchmark1[[#This Row],[Benchmark '#1 Dates]],Comp3[Comparable '#3 Dates],0)),"-")</f>
        <v>9.3007602104769275E-3</v>
      </c>
      <c r="S149" s="1">
        <f>IFERROR(IF(Benchmark1[[#This Row],[Comparable '#3 Date Check]]="Pass",Benchmark1[[#This Row],[Comparable '#3 Return]]-Benchmark1[[#This Row],[Benchmark '#1 Return]],"-"),"-")</f>
        <v>4.6014156583871783E-3</v>
      </c>
    </row>
    <row r="150" spans="1:19">
      <c r="A150" s="103">
        <v>43502</v>
      </c>
      <c r="B150" s="104">
        <v>2731.6149825967159</v>
      </c>
      <c r="C150" s="4">
        <f t="shared" si="2"/>
        <v>-2.2259271547574021E-3</v>
      </c>
      <c r="D150" s="1" t="str">
        <f>IF(COUNTIF(Target1[Target Dates],Benchmark1[[#This Row],[Benchmark '#1 Dates]])=1,"Pass","Fail")</f>
        <v>Pass</v>
      </c>
      <c r="E150" s="6">
        <f>IF(Benchmark1[[#This Row],[Target Date Check]]="Pass",INDEX(Target1[Target Price],MATCH(Benchmark1[[#This Row],[Benchmark '#1 Dates]],Target1[Target Dates],0)),"-")</f>
        <v>31.14</v>
      </c>
      <c r="F150" s="22">
        <f>IF(Benchmark1[[#This Row],[Target Date Check]]="Pass",INDEX(Target1[Target Return],MATCH(Benchmark1[[#This Row],[Benchmark '#1 Dates]],Target1[Target Dates],0)),"-")</f>
        <v>-2.4739606175755758E-2</v>
      </c>
      <c r="G150" s="1">
        <f>IFERROR(IF(Benchmark1[[#This Row],[Target Date Check]]="Pass",Benchmark1[[#This Row],[Target Return]]-Benchmark1[[#This Row],[Benchmark '#1 Return]],"-"),"-")</f>
        <v>-2.2513679020998358E-2</v>
      </c>
      <c r="H150" s="1" t="str">
        <f>IF(COUNTIF(Comp1[Comparable '#1 Dates],Benchmark1[[#This Row],[Benchmark '#1 Dates]])=1,"Pass","Fail")</f>
        <v>Pass</v>
      </c>
      <c r="I150" s="6">
        <f>IF(Benchmark1[[#This Row],[Comparable '#1 Date Check]]="Pass",INDEX(Comp1[Comparable '#1 Price],MATCH(Benchmark1[[#This Row],[Benchmark '#1 Dates]],Comp1[Comparable '#1 Dates],0)),"-")</f>
        <v>15.1</v>
      </c>
      <c r="J150" s="22">
        <f>IF(Benchmark1[[#This Row],[Comparable '#1 Date Check]]="Pass",INDEX(Comp1[Comparable '#1 Return],MATCH(Benchmark1[[#This Row],[Benchmark '#1 Dates]],Comp1[Comparable '#1 Dates],0)),"-")</f>
        <v>-4.9105472385823301E-2</v>
      </c>
      <c r="K150" s="1">
        <f>IFERROR(IF(Benchmark1[[#This Row],[Comparable '#1 Date Check]]="Pass",Benchmark1[[#This Row],[Comparable '#1 Return]]-Benchmark1[[#This Row],[Benchmark '#1 Return]],"-"),"-")</f>
        <v>-4.6879545231065897E-2</v>
      </c>
      <c r="L150" s="1" t="str">
        <f>IF(COUNTIF(Comp2[Comparable '#2 Dates],Benchmark1[[#This Row],[Benchmark '#1 Dates]])=1,"Pass","Fail")</f>
        <v>Pass</v>
      </c>
      <c r="M150" s="6">
        <f>IF(Benchmark1[[#This Row],[Comparable '#2 Date Check]]="Pass",INDEX(Comp2[Comparable '#2 Price],MATCH(Benchmark1[[#This Row],[Benchmark '#1 Dates]],Comp2[Comparable '#2 Dates],0)),"-")</f>
        <v>49.41</v>
      </c>
      <c r="N150" s="22">
        <f>IF(Benchmark1[[#This Row],[Comparable '#2 Date Check]]="Pass",INDEX(Comp2[Comparable '#2 Return],MATCH(Benchmark1[[#This Row],[Benchmark '#1 Dates]],Comp2[Comparable '#2 Dates],0)),"-")</f>
        <v>-3.0312239032831388E-3</v>
      </c>
      <c r="O150" s="1">
        <f>IFERROR(IF(Benchmark1[[#This Row],[Comparable '#2 Date Check]]="Pass",Benchmark1[[#This Row],[Comparable '#2 Return]]-Benchmark1[[#This Row],[Benchmark '#1 Return]],"-"),"-")</f>
        <v>-8.0529674852573667E-4</v>
      </c>
      <c r="P150" s="1" t="str">
        <f>IF(COUNTIF(Comp3[Comparable '#3 Dates],Benchmark1[[#This Row],[Benchmark '#1 Dates]])=1,"Pass","Fail")</f>
        <v>Pass</v>
      </c>
      <c r="Q150" s="6">
        <f>IF(Benchmark1[[#This Row],[Comparable '#3 Date Check]]="Pass",INDEX(Comp3[Comparable '#3 Price],MATCH(Benchmark1[[#This Row],[Benchmark '#1 Dates]],Comp3[Comparable '#3 Dates],0)),"-")</f>
        <v>111.74</v>
      </c>
      <c r="R150" s="22">
        <f>IF(Benchmark1[[#This Row],[Comparable '#3 Date Check]]="Pass",INDEX(Comp3[Comparable '#3 Return],MATCH(Benchmark1[[#This Row],[Benchmark '#1 Dates]],Comp3[Comparable '#3 Dates],0)),"-")</f>
        <v>-2.4400078963291633E-2</v>
      </c>
      <c r="S150" s="1">
        <f>IFERROR(IF(Benchmark1[[#This Row],[Comparable '#3 Date Check]]="Pass",Benchmark1[[#This Row],[Comparable '#3 Return]]-Benchmark1[[#This Row],[Benchmark '#1 Return]],"-"),"-")</f>
        <v>-2.2174151808534229E-2</v>
      </c>
    </row>
    <row r="151" spans="1:19">
      <c r="A151" s="103">
        <v>43503</v>
      </c>
      <c r="B151" s="104">
        <v>2706.0544351983308</v>
      </c>
      <c r="C151" s="4">
        <f t="shared" si="2"/>
        <v>-9.4013569782795507E-3</v>
      </c>
      <c r="D151" s="1" t="str">
        <f>IF(COUNTIF(Target1[Target Dates],Benchmark1[[#This Row],[Benchmark '#1 Dates]])=1,"Pass","Fail")</f>
        <v>Pass</v>
      </c>
      <c r="E151" s="6">
        <f>IF(Benchmark1[[#This Row],[Target Date Check]]="Pass",INDEX(Target1[Target Price],MATCH(Benchmark1[[#This Row],[Benchmark '#1 Dates]],Target1[Target Dates],0)),"-")</f>
        <v>31.11</v>
      </c>
      <c r="F151" s="22">
        <f>IF(Benchmark1[[#This Row],[Target Date Check]]="Pass",INDEX(Target1[Target Return],MATCH(Benchmark1[[#This Row],[Benchmark '#1 Dates]],Target1[Target Dates],0)),"-")</f>
        <v>-9.6385549630662753E-4</v>
      </c>
      <c r="G151" s="1">
        <f>IFERROR(IF(Benchmark1[[#This Row],[Target Date Check]]="Pass",Benchmark1[[#This Row],[Target Return]]-Benchmark1[[#This Row],[Benchmark '#1 Return]],"-"),"-")</f>
        <v>8.4375014819729234E-3</v>
      </c>
      <c r="H151" s="1" t="str">
        <f>IF(COUNTIF(Comp1[Comparable '#1 Dates],Benchmark1[[#This Row],[Benchmark '#1 Dates]])=1,"Pass","Fail")</f>
        <v>Pass</v>
      </c>
      <c r="I151" s="6">
        <f>IF(Benchmark1[[#This Row],[Comparable '#1 Date Check]]="Pass",INDEX(Comp1[Comparable '#1 Price],MATCH(Benchmark1[[#This Row],[Benchmark '#1 Dates]],Comp1[Comparable '#1 Dates],0)),"-")</f>
        <v>14.86</v>
      </c>
      <c r="J151" s="22">
        <f>IF(Benchmark1[[#This Row],[Comparable '#1 Date Check]]="Pass",INDEX(Comp1[Comparable '#1 Return],MATCH(Benchmark1[[#This Row],[Benchmark '#1 Dates]],Comp1[Comparable '#1 Dates],0)),"-")</f>
        <v>-1.6021704531265599E-2</v>
      </c>
      <c r="K151" s="1">
        <f>IFERROR(IF(Benchmark1[[#This Row],[Comparable '#1 Date Check]]="Pass",Benchmark1[[#This Row],[Comparable '#1 Return]]-Benchmark1[[#This Row],[Benchmark '#1 Return]],"-"),"-")</f>
        <v>-6.620347552986048E-3</v>
      </c>
      <c r="L151" s="1" t="str">
        <f>IF(COUNTIF(Comp2[Comparable '#2 Dates],Benchmark1[[#This Row],[Benchmark '#1 Dates]])=1,"Pass","Fail")</f>
        <v>Pass</v>
      </c>
      <c r="M151" s="6">
        <f>IF(Benchmark1[[#This Row],[Comparable '#2 Date Check]]="Pass",INDEX(Comp2[Comparable '#2 Price],MATCH(Benchmark1[[#This Row],[Benchmark '#1 Dates]],Comp2[Comparable '#2 Dates],0)),"-")</f>
        <v>49</v>
      </c>
      <c r="N151" s="22">
        <f>IF(Benchmark1[[#This Row],[Comparable '#2 Date Check]]="Pass",INDEX(Comp2[Comparable '#2 Return],MATCH(Benchmark1[[#This Row],[Benchmark '#1 Dates]],Comp2[Comparable '#2 Dates],0)),"-")</f>
        <v>-8.3325347470320169E-3</v>
      </c>
      <c r="O151" s="1">
        <f>IFERROR(IF(Benchmark1[[#This Row],[Comparable '#2 Date Check]]="Pass",Benchmark1[[#This Row],[Comparable '#2 Return]]-Benchmark1[[#This Row],[Benchmark '#1 Return]],"-"),"-")</f>
        <v>1.0688222312475338E-3</v>
      </c>
      <c r="P151" s="1" t="str">
        <f>IF(COUNTIF(Comp3[Comparable '#3 Dates],Benchmark1[[#This Row],[Benchmark '#1 Dates]])=1,"Pass","Fail")</f>
        <v>Pass</v>
      </c>
      <c r="Q151" s="6">
        <f>IF(Benchmark1[[#This Row],[Comparable '#3 Date Check]]="Pass",INDEX(Comp3[Comparable '#3 Price],MATCH(Benchmark1[[#This Row],[Benchmark '#1 Dates]],Comp3[Comparable '#3 Dates],0)),"-")</f>
        <v>110.57</v>
      </c>
      <c r="R151" s="22">
        <f>IF(Benchmark1[[#This Row],[Comparable '#3 Date Check]]="Pass",INDEX(Comp3[Comparable '#3 Return],MATCH(Benchmark1[[#This Row],[Benchmark '#1 Dates]],Comp3[Comparable '#3 Dates],0)),"-")</f>
        <v>-1.0525939476692286E-2</v>
      </c>
      <c r="S151" s="1">
        <f>IFERROR(IF(Benchmark1[[#This Row],[Comparable '#3 Date Check]]="Pass",Benchmark1[[#This Row],[Comparable '#3 Return]]-Benchmark1[[#This Row],[Benchmark '#1 Return]],"-"),"-")</f>
        <v>-1.1245824984127354E-3</v>
      </c>
    </row>
    <row r="152" spans="1:19">
      <c r="A152" s="103">
        <v>43504</v>
      </c>
      <c r="B152" s="104">
        <v>2707.8803848977204</v>
      </c>
      <c r="C152" s="4">
        <f t="shared" si="2"/>
        <v>6.7453703426416768E-4</v>
      </c>
      <c r="D152" s="1" t="str">
        <f>IF(COUNTIF(Target1[Target Dates],Benchmark1[[#This Row],[Benchmark '#1 Dates]])=1,"Pass","Fail")</f>
        <v>Pass</v>
      </c>
      <c r="E152" s="6">
        <f>IF(Benchmark1[[#This Row],[Target Date Check]]="Pass",INDEX(Target1[Target Price],MATCH(Benchmark1[[#This Row],[Benchmark '#1 Dates]],Target1[Target Dates],0)),"-")</f>
        <v>31.18</v>
      </c>
      <c r="F152" s="22">
        <f>IF(Benchmark1[[#This Row],[Target Date Check]]="Pass",INDEX(Target1[Target Return],MATCH(Benchmark1[[#This Row],[Benchmark '#1 Dates]],Target1[Target Dates],0)),"-")</f>
        <v>2.2475527200849022E-3</v>
      </c>
      <c r="G152" s="1">
        <f>IFERROR(IF(Benchmark1[[#This Row],[Target Date Check]]="Pass",Benchmark1[[#This Row],[Target Return]]-Benchmark1[[#This Row],[Benchmark '#1 Return]],"-"),"-")</f>
        <v>1.5730156858207345E-3</v>
      </c>
      <c r="H152" s="1" t="str">
        <f>IF(COUNTIF(Comp1[Comparable '#1 Dates],Benchmark1[[#This Row],[Benchmark '#1 Dates]])=1,"Pass","Fail")</f>
        <v>Pass</v>
      </c>
      <c r="I152" s="6">
        <f>IF(Benchmark1[[#This Row],[Comparable '#1 Date Check]]="Pass",INDEX(Comp1[Comparable '#1 Price],MATCH(Benchmark1[[#This Row],[Benchmark '#1 Dates]],Comp1[Comparable '#1 Dates],0)),"-")</f>
        <v>14.96</v>
      </c>
      <c r="J152" s="22">
        <f>IF(Benchmark1[[#This Row],[Comparable '#1 Date Check]]="Pass",INDEX(Comp1[Comparable '#1 Return],MATCH(Benchmark1[[#This Row],[Benchmark '#1 Dates]],Comp1[Comparable '#1 Dates],0)),"-")</f>
        <v>6.7069332567180799E-3</v>
      </c>
      <c r="K152" s="1">
        <f>IFERROR(IF(Benchmark1[[#This Row],[Comparable '#1 Date Check]]="Pass",Benchmark1[[#This Row],[Comparable '#1 Return]]-Benchmark1[[#This Row],[Benchmark '#1 Return]],"-"),"-")</f>
        <v>6.0323962224539118E-3</v>
      </c>
      <c r="L152" s="1" t="str">
        <f>IF(COUNTIF(Comp2[Comparable '#2 Dates],Benchmark1[[#This Row],[Benchmark '#1 Dates]])=1,"Pass","Fail")</f>
        <v>Pass</v>
      </c>
      <c r="M152" s="6">
        <f>IF(Benchmark1[[#This Row],[Comparable '#2 Date Check]]="Pass",INDEX(Comp2[Comparable '#2 Price],MATCH(Benchmark1[[#This Row],[Benchmark '#1 Dates]],Comp2[Comparable '#2 Dates],0)),"-")</f>
        <v>47.79</v>
      </c>
      <c r="N152" s="22">
        <f>IF(Benchmark1[[#This Row],[Comparable '#2 Date Check]]="Pass",INDEX(Comp2[Comparable '#2 Return],MATCH(Benchmark1[[#This Row],[Benchmark '#1 Dates]],Comp2[Comparable '#2 Dates],0)),"-")</f>
        <v>-2.5003885520559724E-2</v>
      </c>
      <c r="O152" s="1">
        <f>IFERROR(IF(Benchmark1[[#This Row],[Comparable '#2 Date Check]]="Pass",Benchmark1[[#This Row],[Comparable '#2 Return]]-Benchmark1[[#This Row],[Benchmark '#1 Return]],"-"),"-")</f>
        <v>-2.5678422554823891E-2</v>
      </c>
      <c r="P152" s="1" t="str">
        <f>IF(COUNTIF(Comp3[Comparable '#3 Dates],Benchmark1[[#This Row],[Benchmark '#1 Dates]])=1,"Pass","Fail")</f>
        <v>Pass</v>
      </c>
      <c r="Q152" s="6">
        <f>IF(Benchmark1[[#This Row],[Comparable '#3 Date Check]]="Pass",INDEX(Comp3[Comparable '#3 Price],MATCH(Benchmark1[[#This Row],[Benchmark '#1 Dates]],Comp3[Comparable '#3 Dates],0)),"-")</f>
        <v>111</v>
      </c>
      <c r="R152" s="22">
        <f>IF(Benchmark1[[#This Row],[Comparable '#3 Date Check]]="Pass",INDEX(Comp3[Comparable '#3 Return],MATCH(Benchmark1[[#This Row],[Benchmark '#1 Dates]],Comp3[Comparable '#3 Dates],0)),"-")</f>
        <v>3.8813967580237693E-3</v>
      </c>
      <c r="S152" s="1">
        <f>IFERROR(IF(Benchmark1[[#This Row],[Comparable '#3 Date Check]]="Pass",Benchmark1[[#This Row],[Comparable '#3 Return]]-Benchmark1[[#This Row],[Benchmark '#1 Return]],"-"),"-")</f>
        <v>3.2068597237596016E-3</v>
      </c>
    </row>
    <row r="153" spans="1:19">
      <c r="A153" s="103">
        <v>43507</v>
      </c>
      <c r="B153" s="104">
        <v>2709.8038743006036</v>
      </c>
      <c r="C153" s="4">
        <f t="shared" si="2"/>
        <v>7.1007810410419548E-4</v>
      </c>
      <c r="D153" s="1" t="str">
        <f>IF(COUNTIF(Target1[Target Dates],Benchmark1[[#This Row],[Benchmark '#1 Dates]])=1,"Pass","Fail")</f>
        <v>Pass</v>
      </c>
      <c r="E153" s="6">
        <f>IF(Benchmark1[[#This Row],[Target Date Check]]="Pass",INDEX(Target1[Target Price],MATCH(Benchmark1[[#This Row],[Benchmark '#1 Dates]],Target1[Target Dates],0)),"-")</f>
        <v>31.95</v>
      </c>
      <c r="F153" s="22">
        <f>IF(Benchmark1[[#This Row],[Target Date Check]]="Pass",INDEX(Target1[Target Return],MATCH(Benchmark1[[#This Row],[Benchmark '#1 Dates]],Target1[Target Dates],0)),"-")</f>
        <v>2.4395317193913427E-2</v>
      </c>
      <c r="G153" s="1">
        <f>IFERROR(IF(Benchmark1[[#This Row],[Target Date Check]]="Pass",Benchmark1[[#This Row],[Target Return]]-Benchmark1[[#This Row],[Benchmark '#1 Return]],"-"),"-")</f>
        <v>2.368523908980923E-2</v>
      </c>
      <c r="H153" s="1" t="str">
        <f>IF(COUNTIF(Comp1[Comparable '#1 Dates],Benchmark1[[#This Row],[Benchmark '#1 Dates]])=1,"Pass","Fail")</f>
        <v>Pass</v>
      </c>
      <c r="I153" s="6">
        <f>IF(Benchmark1[[#This Row],[Comparable '#1 Date Check]]="Pass",INDEX(Comp1[Comparable '#1 Price],MATCH(Benchmark1[[#This Row],[Benchmark '#1 Dates]],Comp1[Comparable '#1 Dates],0)),"-")</f>
        <v>15.08</v>
      </c>
      <c r="J153" s="22">
        <f>IF(Benchmark1[[#This Row],[Comparable '#1 Date Check]]="Pass",INDEX(Comp1[Comparable '#1 Return],MATCH(Benchmark1[[#This Row],[Benchmark '#1 Dates]],Comp1[Comparable '#1 Dates],0)),"-")</f>
        <v>7.989390033478861E-3</v>
      </c>
      <c r="K153" s="1">
        <f>IFERROR(IF(Benchmark1[[#This Row],[Comparable '#1 Date Check]]="Pass",Benchmark1[[#This Row],[Comparable '#1 Return]]-Benchmark1[[#This Row],[Benchmark '#1 Return]],"-"),"-")</f>
        <v>7.2793119293746659E-3</v>
      </c>
      <c r="L153" s="1" t="str">
        <f>IF(COUNTIF(Comp2[Comparable '#2 Dates],Benchmark1[[#This Row],[Benchmark '#1 Dates]])=1,"Pass","Fail")</f>
        <v>Pass</v>
      </c>
      <c r="M153" s="6">
        <f>IF(Benchmark1[[#This Row],[Comparable '#2 Date Check]]="Pass",INDEX(Comp2[Comparable '#2 Price],MATCH(Benchmark1[[#This Row],[Benchmark '#1 Dates]],Comp2[Comparable '#2 Dates],0)),"-")</f>
        <v>47.77</v>
      </c>
      <c r="N153" s="22">
        <f>IF(Benchmark1[[#This Row],[Comparable '#2 Date Check]]="Pass",INDEX(Comp2[Comparable '#2 Return],MATCH(Benchmark1[[#This Row],[Benchmark '#1 Dates]],Comp2[Comparable '#2 Dates],0)),"-")</f>
        <v>-4.1858518819630117E-4</v>
      </c>
      <c r="O153" s="1">
        <f>IFERROR(IF(Benchmark1[[#This Row],[Comparable '#2 Date Check]]="Pass",Benchmark1[[#This Row],[Comparable '#2 Return]]-Benchmark1[[#This Row],[Benchmark '#1 Return]],"-"),"-")</f>
        <v>-1.1286632923004965E-3</v>
      </c>
      <c r="P153" s="1" t="str">
        <f>IF(COUNTIF(Comp3[Comparable '#3 Dates],Benchmark1[[#This Row],[Benchmark '#1 Dates]])=1,"Pass","Fail")</f>
        <v>Pass</v>
      </c>
      <c r="Q153" s="6">
        <f>IF(Benchmark1[[#This Row],[Comparable '#3 Date Check]]="Pass",INDEX(Comp3[Comparable '#3 Price],MATCH(Benchmark1[[#This Row],[Benchmark '#1 Dates]],Comp3[Comparable '#3 Dates],0)),"-")</f>
        <v>113.47</v>
      </c>
      <c r="R153" s="22">
        <f>IF(Benchmark1[[#This Row],[Comparable '#3 Date Check]]="Pass",INDEX(Comp3[Comparable '#3 Return],MATCH(Benchmark1[[#This Row],[Benchmark '#1 Dates]],Comp3[Comparable '#3 Dates],0)),"-")</f>
        <v>2.2008283490563791E-2</v>
      </c>
      <c r="S153" s="1">
        <f>IFERROR(IF(Benchmark1[[#This Row],[Comparable '#3 Date Check]]="Pass",Benchmark1[[#This Row],[Comparable '#3 Return]]-Benchmark1[[#This Row],[Benchmark '#1 Return]],"-"),"-")</f>
        <v>2.1298205386459594E-2</v>
      </c>
    </row>
    <row r="154" spans="1:19">
      <c r="A154" s="103">
        <v>43508</v>
      </c>
      <c r="B154" s="104">
        <v>2744.7335220390523</v>
      </c>
      <c r="C154" s="4">
        <f t="shared" si="2"/>
        <v>1.2807731501852533E-2</v>
      </c>
      <c r="D154" s="1" t="str">
        <f>IF(COUNTIF(Target1[Target Dates],Benchmark1[[#This Row],[Benchmark '#1 Dates]])=1,"Pass","Fail")</f>
        <v>Pass</v>
      </c>
      <c r="E154" s="6">
        <f>IF(Benchmark1[[#This Row],[Target Date Check]]="Pass",INDEX(Target1[Target Price],MATCH(Benchmark1[[#This Row],[Benchmark '#1 Dates]],Target1[Target Dates],0)),"-")</f>
        <v>32</v>
      </c>
      <c r="F154" s="22">
        <f>IF(Benchmark1[[#This Row],[Target Date Check]]="Pass",INDEX(Target1[Target Return],MATCH(Benchmark1[[#This Row],[Benchmark '#1 Dates]],Target1[Target Dates],0)),"-")</f>
        <v>1.5637219761827589E-3</v>
      </c>
      <c r="G154" s="1">
        <f>IFERROR(IF(Benchmark1[[#This Row],[Target Date Check]]="Pass",Benchmark1[[#This Row],[Target Return]]-Benchmark1[[#This Row],[Benchmark '#1 Return]],"-"),"-")</f>
        <v>-1.1244009525669774E-2</v>
      </c>
      <c r="H154" s="1" t="str">
        <f>IF(COUNTIF(Comp1[Comparable '#1 Dates],Benchmark1[[#This Row],[Benchmark '#1 Dates]])=1,"Pass","Fail")</f>
        <v>Pass</v>
      </c>
      <c r="I154" s="6">
        <f>IF(Benchmark1[[#This Row],[Comparable '#1 Date Check]]="Pass",INDEX(Comp1[Comparable '#1 Price],MATCH(Benchmark1[[#This Row],[Benchmark '#1 Dates]],Comp1[Comparable '#1 Dates],0)),"-")</f>
        <v>15.05</v>
      </c>
      <c r="J154" s="22">
        <f>IF(Benchmark1[[#This Row],[Comparable '#1 Date Check]]="Pass",INDEX(Comp1[Comparable '#1 Return],MATCH(Benchmark1[[#This Row],[Benchmark '#1 Dates]],Comp1[Comparable '#1 Dates],0)),"-")</f>
        <v>-1.991371384925287E-3</v>
      </c>
      <c r="K154" s="1">
        <f>IFERROR(IF(Benchmark1[[#This Row],[Comparable '#1 Date Check]]="Pass",Benchmark1[[#This Row],[Comparable '#1 Return]]-Benchmark1[[#This Row],[Benchmark '#1 Return]],"-"),"-")</f>
        <v>-1.4799102886777819E-2</v>
      </c>
      <c r="L154" s="1" t="str">
        <f>IF(COUNTIF(Comp2[Comparable '#2 Dates],Benchmark1[[#This Row],[Benchmark '#1 Dates]])=1,"Pass","Fail")</f>
        <v>Pass</v>
      </c>
      <c r="M154" s="6">
        <f>IF(Benchmark1[[#This Row],[Comparable '#2 Date Check]]="Pass",INDEX(Comp2[Comparable '#2 Price],MATCH(Benchmark1[[#This Row],[Benchmark '#1 Dates]],Comp2[Comparable '#2 Dates],0)),"-")</f>
        <v>47.64</v>
      </c>
      <c r="N154" s="22">
        <f>IF(Benchmark1[[#This Row],[Comparable '#2 Date Check]]="Pass",INDEX(Comp2[Comparable '#2 Return],MATCH(Benchmark1[[#This Row],[Benchmark '#1 Dates]],Comp2[Comparable '#2 Dates],0)),"-")</f>
        <v>-2.7250829147711592E-3</v>
      </c>
      <c r="O154" s="1">
        <f>IFERROR(IF(Benchmark1[[#This Row],[Comparable '#2 Date Check]]="Pass",Benchmark1[[#This Row],[Comparable '#2 Return]]-Benchmark1[[#This Row],[Benchmark '#1 Return]],"-"),"-")</f>
        <v>-1.5532814416623693E-2</v>
      </c>
      <c r="P154" s="1" t="str">
        <f>IF(COUNTIF(Comp3[Comparable '#3 Dates],Benchmark1[[#This Row],[Benchmark '#1 Dates]])=1,"Pass","Fail")</f>
        <v>Pass</v>
      </c>
      <c r="Q154" s="6">
        <f>IF(Benchmark1[[#This Row],[Comparable '#3 Date Check]]="Pass",INDEX(Comp3[Comparable '#3 Price],MATCH(Benchmark1[[#This Row],[Benchmark '#1 Dates]],Comp3[Comparable '#3 Dates],0)),"-")</f>
        <v>114.9</v>
      </c>
      <c r="R154" s="22">
        <f>IF(Benchmark1[[#This Row],[Comparable '#3 Date Check]]="Pass",INDEX(Comp3[Comparable '#3 Return],MATCH(Benchmark1[[#This Row],[Benchmark '#1 Dates]],Comp3[Comparable '#3 Dates],0)),"-")</f>
        <v>1.2523700051812038E-2</v>
      </c>
      <c r="S154" s="1">
        <f>IFERROR(IF(Benchmark1[[#This Row],[Comparable '#3 Date Check]]="Pass",Benchmark1[[#This Row],[Comparable '#3 Return]]-Benchmark1[[#This Row],[Benchmark '#1 Return]],"-"),"-")</f>
        <v>-2.8403145004049501E-4</v>
      </c>
    </row>
    <row r="155" spans="1:19">
      <c r="A155" s="103">
        <v>43509</v>
      </c>
      <c r="B155" s="104">
        <v>2753.0335488485302</v>
      </c>
      <c r="C155" s="4">
        <f t="shared" si="2"/>
        <v>3.0194197056115941E-3</v>
      </c>
      <c r="D155" s="1" t="str">
        <f>IF(COUNTIF(Target1[Target Dates],Benchmark1[[#This Row],[Benchmark '#1 Dates]])=1,"Pass","Fail")</f>
        <v>Pass</v>
      </c>
      <c r="E155" s="6">
        <f>IF(Benchmark1[[#This Row],[Target Date Check]]="Pass",INDEX(Target1[Target Price],MATCH(Benchmark1[[#This Row],[Benchmark '#1 Dates]],Target1[Target Dates],0)),"-")</f>
        <v>32.159999999999997</v>
      </c>
      <c r="F155" s="22">
        <f>IF(Benchmark1[[#This Row],[Target Date Check]]="Pass",INDEX(Target1[Target Return],MATCH(Benchmark1[[#This Row],[Benchmark '#1 Dates]],Target1[Target Dates],0)),"-")</f>
        <v>4.9875415110389679E-3</v>
      </c>
      <c r="G155" s="1">
        <f>IFERROR(IF(Benchmark1[[#This Row],[Target Date Check]]="Pass",Benchmark1[[#This Row],[Target Return]]-Benchmark1[[#This Row],[Benchmark '#1 Return]],"-"),"-")</f>
        <v>1.9681218054273739E-3</v>
      </c>
      <c r="H155" s="1" t="str">
        <f>IF(COUNTIF(Comp1[Comparable '#1 Dates],Benchmark1[[#This Row],[Benchmark '#1 Dates]])=1,"Pass","Fail")</f>
        <v>Pass</v>
      </c>
      <c r="I155" s="6">
        <f>IF(Benchmark1[[#This Row],[Comparable '#1 Date Check]]="Pass",INDEX(Comp1[Comparable '#1 Price],MATCH(Benchmark1[[#This Row],[Benchmark '#1 Dates]],Comp1[Comparable '#1 Dates],0)),"-")</f>
        <v>15.11</v>
      </c>
      <c r="J155" s="22">
        <f>IF(Benchmark1[[#This Row],[Comparable '#1 Date Check]]="Pass",INDEX(Comp1[Comparable '#1 Return],MATCH(Benchmark1[[#This Row],[Benchmark '#1 Dates]],Comp1[Comparable '#1 Dates],0)),"-")</f>
        <v>3.9787850897633594E-3</v>
      </c>
      <c r="K155" s="1">
        <f>IFERROR(IF(Benchmark1[[#This Row],[Comparable '#1 Date Check]]="Pass",Benchmark1[[#This Row],[Comparable '#1 Return]]-Benchmark1[[#This Row],[Benchmark '#1 Return]],"-"),"-")</f>
        <v>9.593653841517653E-4</v>
      </c>
      <c r="L155" s="1" t="str">
        <f>IF(COUNTIF(Comp2[Comparable '#2 Dates],Benchmark1[[#This Row],[Benchmark '#1 Dates]])=1,"Pass","Fail")</f>
        <v>Pass</v>
      </c>
      <c r="M155" s="6">
        <f>IF(Benchmark1[[#This Row],[Comparable '#2 Date Check]]="Pass",INDEX(Comp2[Comparable '#2 Price],MATCH(Benchmark1[[#This Row],[Benchmark '#1 Dates]],Comp2[Comparable '#2 Dates],0)),"-")</f>
        <v>48.24</v>
      </c>
      <c r="N155" s="22">
        <f>IF(Benchmark1[[#This Row],[Comparable '#2 Date Check]]="Pass",INDEX(Comp2[Comparable '#2 Return],MATCH(Benchmark1[[#This Row],[Benchmark '#1 Dates]],Comp2[Comparable '#2 Dates],0)),"-")</f>
        <v>1.2515807931830597E-2</v>
      </c>
      <c r="O155" s="1">
        <f>IFERROR(IF(Benchmark1[[#This Row],[Comparable '#2 Date Check]]="Pass",Benchmark1[[#This Row],[Comparable '#2 Return]]-Benchmark1[[#This Row],[Benchmark '#1 Return]],"-"),"-")</f>
        <v>9.4963882262190033E-3</v>
      </c>
      <c r="P155" s="1" t="str">
        <f>IF(COUNTIF(Comp3[Comparable '#3 Dates],Benchmark1[[#This Row],[Benchmark '#1 Dates]])=1,"Pass","Fail")</f>
        <v>Pass</v>
      </c>
      <c r="Q155" s="6">
        <f>IF(Benchmark1[[#This Row],[Comparable '#3 Date Check]]="Pass",INDEX(Comp3[Comparable '#3 Price],MATCH(Benchmark1[[#This Row],[Benchmark '#1 Dates]],Comp3[Comparable '#3 Dates],0)),"-")</f>
        <v>118.27</v>
      </c>
      <c r="R155" s="22">
        <f>IF(Benchmark1[[#This Row],[Comparable '#3 Date Check]]="Pass",INDEX(Comp3[Comparable '#3 Return],MATCH(Benchmark1[[#This Row],[Benchmark '#1 Dates]],Comp3[Comparable '#3 Dates],0)),"-")</f>
        <v>2.8907961408315499E-2</v>
      </c>
      <c r="S155" s="1">
        <f>IFERROR(IF(Benchmark1[[#This Row],[Comparable '#3 Date Check]]="Pass",Benchmark1[[#This Row],[Comparable '#3 Return]]-Benchmark1[[#This Row],[Benchmark '#1 Return]],"-"),"-")</f>
        <v>2.5888541702703903E-2</v>
      </c>
    </row>
    <row r="156" spans="1:19">
      <c r="A156" s="103">
        <v>43510</v>
      </c>
      <c r="B156" s="104">
        <v>2745.7297848148623</v>
      </c>
      <c r="C156" s="4">
        <f t="shared" si="2"/>
        <v>-2.656513068752483E-3</v>
      </c>
      <c r="D156" s="1" t="str">
        <f>IF(COUNTIF(Target1[Target Dates],Benchmark1[[#This Row],[Benchmark '#1 Dates]])=1,"Pass","Fail")</f>
        <v>Pass</v>
      </c>
      <c r="E156" s="6">
        <f>IF(Benchmark1[[#This Row],[Target Date Check]]="Pass",INDEX(Target1[Target Price],MATCH(Benchmark1[[#This Row],[Benchmark '#1 Dates]],Target1[Target Dates],0)),"-")</f>
        <v>31.98</v>
      </c>
      <c r="F156" s="22">
        <f>IF(Benchmark1[[#This Row],[Target Date Check]]="Pass",INDEX(Target1[Target Return],MATCH(Benchmark1[[#This Row],[Benchmark '#1 Dates]],Target1[Target Dates],0)),"-")</f>
        <v>-5.6127369049573245E-3</v>
      </c>
      <c r="G156" s="1">
        <f>IFERROR(IF(Benchmark1[[#This Row],[Target Date Check]]="Pass",Benchmark1[[#This Row],[Target Return]]-Benchmark1[[#This Row],[Benchmark '#1 Return]],"-"),"-")</f>
        <v>-2.9562238362048415E-3</v>
      </c>
      <c r="H156" s="1" t="str">
        <f>IF(COUNTIF(Comp1[Comparable '#1 Dates],Benchmark1[[#This Row],[Benchmark '#1 Dates]])=1,"Pass","Fail")</f>
        <v>Pass</v>
      </c>
      <c r="I156" s="6">
        <f>IF(Benchmark1[[#This Row],[Comparable '#1 Date Check]]="Pass",INDEX(Comp1[Comparable '#1 Price],MATCH(Benchmark1[[#This Row],[Benchmark '#1 Dates]],Comp1[Comparable '#1 Dates],0)),"-")</f>
        <v>14.95</v>
      </c>
      <c r="J156" s="22">
        <f>IF(Benchmark1[[#This Row],[Comparable '#1 Date Check]]="Pass",INDEX(Comp1[Comparable '#1 Return],MATCH(Benchmark1[[#This Row],[Benchmark '#1 Dates]],Comp1[Comparable '#1 Dates],0)),"-")</f>
        <v>-1.0645476447952783E-2</v>
      </c>
      <c r="K156" s="1">
        <f>IFERROR(IF(Benchmark1[[#This Row],[Comparable '#1 Date Check]]="Pass",Benchmark1[[#This Row],[Comparable '#1 Return]]-Benchmark1[[#This Row],[Benchmark '#1 Return]],"-"),"-")</f>
        <v>-7.9889633792003013E-3</v>
      </c>
      <c r="L156" s="1" t="str">
        <f>IF(COUNTIF(Comp2[Comparable '#2 Dates],Benchmark1[[#This Row],[Benchmark '#1 Dates]])=1,"Pass","Fail")</f>
        <v>Pass</v>
      </c>
      <c r="M156" s="6">
        <f>IF(Benchmark1[[#This Row],[Comparable '#2 Date Check]]="Pass",INDEX(Comp2[Comparable '#2 Price],MATCH(Benchmark1[[#This Row],[Benchmark '#1 Dates]],Comp2[Comparable '#2 Dates],0)),"-")</f>
        <v>48.15</v>
      </c>
      <c r="N156" s="22">
        <f>IF(Benchmark1[[#This Row],[Comparable '#2 Date Check]]="Pass",INDEX(Comp2[Comparable '#2 Return],MATCH(Benchmark1[[#This Row],[Benchmark '#1 Dates]],Comp2[Comparable '#2 Dates],0)),"-")</f>
        <v>-1.8674141747954732E-3</v>
      </c>
      <c r="O156" s="1">
        <f>IFERROR(IF(Benchmark1[[#This Row],[Comparable '#2 Date Check]]="Pass",Benchmark1[[#This Row],[Comparable '#2 Return]]-Benchmark1[[#This Row],[Benchmark '#1 Return]],"-"),"-")</f>
        <v>7.8909889395700978E-4</v>
      </c>
      <c r="P156" s="1" t="str">
        <f>IF(COUNTIF(Comp3[Comparable '#3 Dates],Benchmark1[[#This Row],[Benchmark '#1 Dates]])=1,"Pass","Fail")</f>
        <v>Pass</v>
      </c>
      <c r="Q156" s="6">
        <f>IF(Benchmark1[[#This Row],[Comparable '#3 Date Check]]="Pass",INDEX(Comp3[Comparable '#3 Price],MATCH(Benchmark1[[#This Row],[Benchmark '#1 Dates]],Comp3[Comparable '#3 Dates],0)),"-")</f>
        <v>118.75</v>
      </c>
      <c r="R156" s="22">
        <f>IF(Benchmark1[[#This Row],[Comparable '#3 Date Check]]="Pass",INDEX(Comp3[Comparable '#3 Return],MATCH(Benchmark1[[#This Row],[Benchmark '#1 Dates]],Comp3[Comparable '#3 Dates],0)),"-")</f>
        <v>4.0502966517252052E-3</v>
      </c>
      <c r="S156" s="1">
        <f>IFERROR(IF(Benchmark1[[#This Row],[Comparable '#3 Date Check]]="Pass",Benchmark1[[#This Row],[Comparable '#3 Return]]-Benchmark1[[#This Row],[Benchmark '#1 Return]],"-"),"-")</f>
        <v>6.7068097204776881E-3</v>
      </c>
    </row>
    <row r="157" spans="1:19">
      <c r="A157" s="103">
        <v>43511</v>
      </c>
      <c r="B157" s="104">
        <v>2775.5971005229862</v>
      </c>
      <c r="C157" s="4">
        <f t="shared" si="2"/>
        <v>1.0818996107377854E-2</v>
      </c>
      <c r="D157" s="1" t="str">
        <f>IF(COUNTIF(Target1[Target Dates],Benchmark1[[#This Row],[Benchmark '#1 Dates]])=1,"Pass","Fail")</f>
        <v>Pass</v>
      </c>
      <c r="E157" s="6">
        <f>IF(Benchmark1[[#This Row],[Target Date Check]]="Pass",INDEX(Target1[Target Price],MATCH(Benchmark1[[#This Row],[Benchmark '#1 Dates]],Target1[Target Dates],0)),"-")</f>
        <v>32.06</v>
      </c>
      <c r="F157" s="22">
        <f>IF(Benchmark1[[#This Row],[Target Date Check]]="Pass",INDEX(Target1[Target Return],MATCH(Benchmark1[[#This Row],[Benchmark '#1 Dates]],Target1[Target Dates],0)),"-")</f>
        <v>2.4984397755987188E-3</v>
      </c>
      <c r="G157" s="1">
        <f>IFERROR(IF(Benchmark1[[#This Row],[Target Date Check]]="Pass",Benchmark1[[#This Row],[Target Return]]-Benchmark1[[#This Row],[Benchmark '#1 Return]],"-"),"-")</f>
        <v>-8.3205563317791352E-3</v>
      </c>
      <c r="H157" s="1" t="str">
        <f>IF(COUNTIF(Comp1[Comparable '#1 Dates],Benchmark1[[#This Row],[Benchmark '#1 Dates]])=1,"Pass","Fail")</f>
        <v>Pass</v>
      </c>
      <c r="I157" s="6">
        <f>IF(Benchmark1[[#This Row],[Comparable '#1 Date Check]]="Pass",INDEX(Comp1[Comparable '#1 Price],MATCH(Benchmark1[[#This Row],[Benchmark '#1 Dates]],Comp1[Comparable '#1 Dates],0)),"-")</f>
        <v>14.97</v>
      </c>
      <c r="J157" s="22">
        <f>IF(Benchmark1[[#This Row],[Comparable '#1 Date Check]]="Pass",INDEX(Comp1[Comparable '#1 Return],MATCH(Benchmark1[[#This Row],[Benchmark '#1 Dates]],Comp1[Comparable '#1 Dates],0)),"-")</f>
        <v>1.3368985948415987E-3</v>
      </c>
      <c r="K157" s="1">
        <f>IFERROR(IF(Benchmark1[[#This Row],[Comparable '#1 Date Check]]="Pass",Benchmark1[[#This Row],[Comparable '#1 Return]]-Benchmark1[[#This Row],[Benchmark '#1 Return]],"-"),"-")</f>
        <v>-9.4820975125362549E-3</v>
      </c>
      <c r="L157" s="1" t="str">
        <f>IF(COUNTIF(Comp2[Comparable '#2 Dates],Benchmark1[[#This Row],[Benchmark '#1 Dates]])=1,"Pass","Fail")</f>
        <v>Pass</v>
      </c>
      <c r="M157" s="6">
        <f>IF(Benchmark1[[#This Row],[Comparable '#2 Date Check]]="Pass",INDEX(Comp2[Comparable '#2 Price],MATCH(Benchmark1[[#This Row],[Benchmark '#1 Dates]],Comp2[Comparable '#2 Dates],0)),"-")</f>
        <v>48.47</v>
      </c>
      <c r="N157" s="22">
        <f>IF(Benchmark1[[#This Row],[Comparable '#2 Date Check]]="Pass",INDEX(Comp2[Comparable '#2 Return],MATCH(Benchmark1[[#This Row],[Benchmark '#1 Dates]],Comp2[Comparable '#2 Dates],0)),"-")</f>
        <v>6.6239116131500877E-3</v>
      </c>
      <c r="O157" s="1">
        <f>IFERROR(IF(Benchmark1[[#This Row],[Comparable '#2 Date Check]]="Pass",Benchmark1[[#This Row],[Comparable '#2 Return]]-Benchmark1[[#This Row],[Benchmark '#1 Return]],"-"),"-")</f>
        <v>-4.1950844942277663E-3</v>
      </c>
      <c r="P157" s="1" t="str">
        <f>IF(COUNTIF(Comp3[Comparable '#3 Dates],Benchmark1[[#This Row],[Benchmark '#1 Dates]])=1,"Pass","Fail")</f>
        <v>Pass</v>
      </c>
      <c r="Q157" s="6">
        <f>IF(Benchmark1[[#This Row],[Comparable '#3 Date Check]]="Pass",INDEX(Comp3[Comparable '#3 Price],MATCH(Benchmark1[[#This Row],[Benchmark '#1 Dates]],Comp3[Comparable '#3 Dates],0)),"-")</f>
        <v>119.11</v>
      </c>
      <c r="R157" s="22">
        <f>IF(Benchmark1[[#This Row],[Comparable '#3 Date Check]]="Pass",INDEX(Comp3[Comparable '#3 Return],MATCH(Benchmark1[[#This Row],[Benchmark '#1 Dates]],Comp3[Comparable '#3 Dates],0)),"-")</f>
        <v>3.0269929780590401E-3</v>
      </c>
      <c r="S157" s="1">
        <f>IFERROR(IF(Benchmark1[[#This Row],[Comparable '#3 Date Check]]="Pass",Benchmark1[[#This Row],[Comparable '#3 Return]]-Benchmark1[[#This Row],[Benchmark '#1 Return]],"-"),"-")</f>
        <v>-7.7920031293188139E-3</v>
      </c>
    </row>
    <row r="158" spans="1:19">
      <c r="A158" s="103">
        <v>43515</v>
      </c>
      <c r="B158" s="104">
        <v>2779.7580988146674</v>
      </c>
      <c r="C158" s="4">
        <f t="shared" si="2"/>
        <v>1.4980136896736052E-3</v>
      </c>
      <c r="D158" s="1" t="str">
        <f>IF(COUNTIF(Target1[Target Dates],Benchmark1[[#This Row],[Benchmark '#1 Dates]])=1,"Pass","Fail")</f>
        <v>Pass</v>
      </c>
      <c r="E158" s="6">
        <f>IF(Benchmark1[[#This Row],[Target Date Check]]="Pass",INDEX(Target1[Target Price],MATCH(Benchmark1[[#This Row],[Benchmark '#1 Dates]],Target1[Target Dates],0)),"-")</f>
        <v>32.229999999999997</v>
      </c>
      <c r="F158" s="22">
        <f>IF(Benchmark1[[#This Row],[Target Date Check]]="Pass",INDEX(Target1[Target Return],MATCH(Benchmark1[[#This Row],[Benchmark '#1 Dates]],Target1[Target Dates],0)),"-")</f>
        <v>5.2885486459393703E-3</v>
      </c>
      <c r="G158" s="1">
        <f>IFERROR(IF(Benchmark1[[#This Row],[Target Date Check]]="Pass",Benchmark1[[#This Row],[Target Return]]-Benchmark1[[#This Row],[Benchmark '#1 Return]],"-"),"-")</f>
        <v>3.7905349562657653E-3</v>
      </c>
      <c r="H158" s="1" t="str">
        <f>IF(COUNTIF(Comp1[Comparable '#1 Dates],Benchmark1[[#This Row],[Benchmark '#1 Dates]])=1,"Pass","Fail")</f>
        <v>Pass</v>
      </c>
      <c r="I158" s="6">
        <f>IF(Benchmark1[[#This Row],[Comparable '#1 Date Check]]="Pass",INDEX(Comp1[Comparable '#1 Price],MATCH(Benchmark1[[#This Row],[Benchmark '#1 Dates]],Comp1[Comparable '#1 Dates],0)),"-")</f>
        <v>14.8</v>
      </c>
      <c r="J158" s="22">
        <f>IF(Benchmark1[[#This Row],[Comparable '#1 Date Check]]="Pass",INDEX(Comp1[Comparable '#1 Return],MATCH(Benchmark1[[#This Row],[Benchmark '#1 Dates]],Comp1[Comparable '#1 Dates],0)),"-")</f>
        <v>-1.1421017661467584E-2</v>
      </c>
      <c r="K158" s="1">
        <f>IFERROR(IF(Benchmark1[[#This Row],[Comparable '#1 Date Check]]="Pass",Benchmark1[[#This Row],[Comparable '#1 Return]]-Benchmark1[[#This Row],[Benchmark '#1 Return]],"-"),"-")</f>
        <v>-1.291903135114119E-2</v>
      </c>
      <c r="L158" s="1" t="str">
        <f>IF(COUNTIF(Comp2[Comparable '#2 Dates],Benchmark1[[#This Row],[Benchmark '#1 Dates]])=1,"Pass","Fail")</f>
        <v>Pass</v>
      </c>
      <c r="M158" s="6">
        <f>IF(Benchmark1[[#This Row],[Comparable '#2 Date Check]]="Pass",INDEX(Comp2[Comparable '#2 Price],MATCH(Benchmark1[[#This Row],[Benchmark '#1 Dates]],Comp2[Comparable '#2 Dates],0)),"-")</f>
        <v>49.03</v>
      </c>
      <c r="N158" s="22">
        <f>IF(Benchmark1[[#This Row],[Comparable '#2 Date Check]]="Pass",INDEX(Comp2[Comparable '#2 Return],MATCH(Benchmark1[[#This Row],[Benchmark '#1 Dates]],Comp2[Comparable '#2 Dates],0)),"-")</f>
        <v>1.148730580585736E-2</v>
      </c>
      <c r="O158" s="1">
        <f>IFERROR(IF(Benchmark1[[#This Row],[Comparable '#2 Date Check]]="Pass",Benchmark1[[#This Row],[Comparable '#2 Return]]-Benchmark1[[#This Row],[Benchmark '#1 Return]],"-"),"-")</f>
        <v>9.9892921161837539E-3</v>
      </c>
      <c r="P158" s="1" t="str">
        <f>IF(COUNTIF(Comp3[Comparable '#3 Dates],Benchmark1[[#This Row],[Benchmark '#1 Dates]])=1,"Pass","Fail")</f>
        <v>Pass</v>
      </c>
      <c r="Q158" s="6">
        <f>IF(Benchmark1[[#This Row],[Comparable '#3 Date Check]]="Pass",INDEX(Comp3[Comparable '#3 Price],MATCH(Benchmark1[[#This Row],[Benchmark '#1 Dates]],Comp3[Comparable '#3 Dates],0)),"-")</f>
        <v>119.8</v>
      </c>
      <c r="R158" s="22">
        <f>IF(Benchmark1[[#This Row],[Comparable '#3 Date Check]]="Pass",INDEX(Comp3[Comparable '#3 Return],MATCH(Benchmark1[[#This Row],[Benchmark '#1 Dates]],Comp3[Comparable '#3 Dates],0)),"-")</f>
        <v>5.7762497885394445E-3</v>
      </c>
      <c r="S158" s="1">
        <f>IFERROR(IF(Benchmark1[[#This Row],[Comparable '#3 Date Check]]="Pass",Benchmark1[[#This Row],[Comparable '#3 Return]]-Benchmark1[[#This Row],[Benchmark '#1 Return]],"-"),"-")</f>
        <v>4.2782360988658395E-3</v>
      </c>
    </row>
    <row r="159" spans="1:19">
      <c r="A159" s="103">
        <v>43516</v>
      </c>
      <c r="B159" s="104">
        <v>2784.6961763037662</v>
      </c>
      <c r="C159" s="4">
        <f t="shared" si="2"/>
        <v>1.7748654373837211E-3</v>
      </c>
      <c r="D159" s="1" t="str">
        <f>IF(COUNTIF(Target1[Target Dates],Benchmark1[[#This Row],[Benchmark '#1 Dates]])=1,"Pass","Fail")</f>
        <v>Pass</v>
      </c>
      <c r="E159" s="6">
        <f>IF(Benchmark1[[#This Row],[Target Date Check]]="Pass",INDEX(Target1[Target Price],MATCH(Benchmark1[[#This Row],[Benchmark '#1 Dates]],Target1[Target Dates],0)),"-")</f>
        <v>32</v>
      </c>
      <c r="F159" s="22">
        <f>IF(Benchmark1[[#This Row],[Target Date Check]]="Pass",INDEX(Target1[Target Return],MATCH(Benchmark1[[#This Row],[Benchmark '#1 Dates]],Target1[Target Dates],0)),"-")</f>
        <v>-7.161793027619788E-3</v>
      </c>
      <c r="G159" s="1">
        <f>IFERROR(IF(Benchmark1[[#This Row],[Target Date Check]]="Pass",Benchmark1[[#This Row],[Target Return]]-Benchmark1[[#This Row],[Benchmark '#1 Return]],"-"),"-")</f>
        <v>-8.9366584650035098E-3</v>
      </c>
      <c r="H159" s="1" t="str">
        <f>IF(COUNTIF(Comp1[Comparable '#1 Dates],Benchmark1[[#This Row],[Benchmark '#1 Dates]])=1,"Pass","Fail")</f>
        <v>Pass</v>
      </c>
      <c r="I159" s="6">
        <f>IF(Benchmark1[[#This Row],[Comparable '#1 Date Check]]="Pass",INDEX(Comp1[Comparable '#1 Price],MATCH(Benchmark1[[#This Row],[Benchmark '#1 Dates]],Comp1[Comparable '#1 Dates],0)),"-")</f>
        <v>14.78</v>
      </c>
      <c r="J159" s="22">
        <f>IF(Benchmark1[[#This Row],[Comparable '#1 Date Check]]="Pass",INDEX(Comp1[Comparable '#1 Return],MATCH(Benchmark1[[#This Row],[Benchmark '#1 Dates]],Comp1[Comparable '#1 Dates],0)),"-")</f>
        <v>-1.3522652500137608E-3</v>
      </c>
      <c r="K159" s="1">
        <f>IFERROR(IF(Benchmark1[[#This Row],[Comparable '#1 Date Check]]="Pass",Benchmark1[[#This Row],[Comparable '#1 Return]]-Benchmark1[[#This Row],[Benchmark '#1 Return]],"-"),"-")</f>
        <v>-3.1271306873974819E-3</v>
      </c>
      <c r="L159" s="1" t="str">
        <f>IF(COUNTIF(Comp2[Comparable '#2 Dates],Benchmark1[[#This Row],[Benchmark '#1 Dates]])=1,"Pass","Fail")</f>
        <v>Pass</v>
      </c>
      <c r="M159" s="6">
        <f>IF(Benchmark1[[#This Row],[Comparable '#2 Date Check]]="Pass",INDEX(Comp2[Comparable '#2 Price],MATCH(Benchmark1[[#This Row],[Benchmark '#1 Dates]],Comp2[Comparable '#2 Dates],0)),"-")</f>
        <v>48.15</v>
      </c>
      <c r="N159" s="22">
        <f>IF(Benchmark1[[#This Row],[Comparable '#2 Date Check]]="Pass",INDEX(Comp2[Comparable '#2 Return],MATCH(Benchmark1[[#This Row],[Benchmark '#1 Dates]],Comp2[Comparable '#2 Dates],0)),"-")</f>
        <v>-1.8111217419007404E-2</v>
      </c>
      <c r="O159" s="1">
        <f>IFERROR(IF(Benchmark1[[#This Row],[Comparable '#2 Date Check]]="Pass",Benchmark1[[#This Row],[Comparable '#2 Return]]-Benchmark1[[#This Row],[Benchmark '#1 Return]],"-"),"-")</f>
        <v>-1.9886082856391124E-2</v>
      </c>
      <c r="P159" s="1" t="str">
        <f>IF(COUNTIF(Comp3[Comparable '#3 Dates],Benchmark1[[#This Row],[Benchmark '#1 Dates]])=1,"Pass","Fail")</f>
        <v>Pass</v>
      </c>
      <c r="Q159" s="6">
        <f>IF(Benchmark1[[#This Row],[Comparable '#3 Date Check]]="Pass",INDEX(Comp3[Comparable '#3 Price],MATCH(Benchmark1[[#This Row],[Benchmark '#1 Dates]],Comp3[Comparable '#3 Dates],0)),"-")</f>
        <v>120.19</v>
      </c>
      <c r="R159" s="22">
        <f>IF(Benchmark1[[#This Row],[Comparable '#3 Date Check]]="Pass",INDEX(Comp3[Comparable '#3 Return],MATCH(Benchmark1[[#This Row],[Benchmark '#1 Dates]],Comp3[Comparable '#3 Dates],0)),"-")</f>
        <v>3.2501382833485032E-3</v>
      </c>
      <c r="S159" s="1">
        <f>IFERROR(IF(Benchmark1[[#This Row],[Comparable '#3 Date Check]]="Pass",Benchmark1[[#This Row],[Comparable '#3 Return]]-Benchmark1[[#This Row],[Benchmark '#1 Return]],"-"),"-")</f>
        <v>1.4752728459647821E-3</v>
      </c>
    </row>
    <row r="160" spans="1:19">
      <c r="A160" s="103">
        <v>43517</v>
      </c>
      <c r="B160" s="104">
        <v>2774.8761249443078</v>
      </c>
      <c r="C160" s="4">
        <f t="shared" si="2"/>
        <v>-3.5326679967431613E-3</v>
      </c>
      <c r="D160" s="1" t="str">
        <f>IF(COUNTIF(Target1[Target Dates],Benchmark1[[#This Row],[Benchmark '#1 Dates]])=1,"Pass","Fail")</f>
        <v>Pass</v>
      </c>
      <c r="E160" s="6">
        <f>IF(Benchmark1[[#This Row],[Target Date Check]]="Pass",INDEX(Target1[Target Price],MATCH(Benchmark1[[#This Row],[Benchmark '#1 Dates]],Target1[Target Dates],0)),"-")</f>
        <v>32.659999999999997</v>
      </c>
      <c r="F160" s="22">
        <f>IF(Benchmark1[[#This Row],[Target Date Check]]="Pass",INDEX(Target1[Target Return],MATCH(Benchmark1[[#This Row],[Benchmark '#1 Dates]],Target1[Target Dates],0)),"-")</f>
        <v>2.0415184742592404E-2</v>
      </c>
      <c r="G160" s="1">
        <f>IFERROR(IF(Benchmark1[[#This Row],[Target Date Check]]="Pass",Benchmark1[[#This Row],[Target Return]]-Benchmark1[[#This Row],[Benchmark '#1 Return]],"-"),"-")</f>
        <v>2.3947852739335564E-2</v>
      </c>
      <c r="H160" s="1" t="str">
        <f>IF(COUNTIF(Comp1[Comparable '#1 Dates],Benchmark1[[#This Row],[Benchmark '#1 Dates]])=1,"Pass","Fail")</f>
        <v>Pass</v>
      </c>
      <c r="I160" s="6">
        <f>IF(Benchmark1[[#This Row],[Comparable '#1 Date Check]]="Pass",INDEX(Comp1[Comparable '#1 Price],MATCH(Benchmark1[[#This Row],[Benchmark '#1 Dates]],Comp1[Comparable '#1 Dates],0)),"-")</f>
        <v>15.09</v>
      </c>
      <c r="J160" s="22">
        <f>IF(Benchmark1[[#This Row],[Comparable '#1 Date Check]]="Pass",INDEX(Comp1[Comparable '#1 Return],MATCH(Benchmark1[[#This Row],[Benchmark '#1 Dates]],Comp1[Comparable '#1 Dates],0)),"-")</f>
        <v>2.0757357259701886E-2</v>
      </c>
      <c r="K160" s="1">
        <f>IFERROR(IF(Benchmark1[[#This Row],[Comparable '#1 Date Check]]="Pass",Benchmark1[[#This Row],[Comparable '#1 Return]]-Benchmark1[[#This Row],[Benchmark '#1 Return]],"-"),"-")</f>
        <v>2.4290025256445046E-2</v>
      </c>
      <c r="L160" s="1" t="str">
        <f>IF(COUNTIF(Comp2[Comparable '#2 Dates],Benchmark1[[#This Row],[Benchmark '#1 Dates]])=1,"Pass","Fail")</f>
        <v>Pass</v>
      </c>
      <c r="M160" s="6">
        <f>IF(Benchmark1[[#This Row],[Comparable '#2 Date Check]]="Pass",INDEX(Comp2[Comparable '#2 Price],MATCH(Benchmark1[[#This Row],[Benchmark '#1 Dates]],Comp2[Comparable '#2 Dates],0)),"-")</f>
        <v>49.24</v>
      </c>
      <c r="N160" s="22">
        <f>IF(Benchmark1[[#This Row],[Comparable '#2 Date Check]]="Pass",INDEX(Comp2[Comparable '#2 Return],MATCH(Benchmark1[[#This Row],[Benchmark '#1 Dates]],Comp2[Comparable '#2 Dates],0)),"-")</f>
        <v>2.2385163072118366E-2</v>
      </c>
      <c r="O160" s="1">
        <f>IFERROR(IF(Benchmark1[[#This Row],[Comparable '#2 Date Check]]="Pass",Benchmark1[[#This Row],[Comparable '#2 Return]]-Benchmark1[[#This Row],[Benchmark '#1 Return]],"-"),"-")</f>
        <v>2.5917831068861526E-2</v>
      </c>
      <c r="P160" s="1" t="str">
        <f>IF(COUNTIF(Comp3[Comparable '#3 Dates],Benchmark1[[#This Row],[Benchmark '#1 Dates]])=1,"Pass","Fail")</f>
        <v>Pass</v>
      </c>
      <c r="Q160" s="6">
        <f>IF(Benchmark1[[#This Row],[Comparable '#3 Date Check]]="Pass",INDEX(Comp3[Comparable '#3 Price],MATCH(Benchmark1[[#This Row],[Benchmark '#1 Dates]],Comp3[Comparable '#3 Dates],0)),"-")</f>
        <v>126.92</v>
      </c>
      <c r="R160" s="22">
        <f>IF(Benchmark1[[#This Row],[Comparable '#3 Date Check]]="Pass",INDEX(Comp3[Comparable '#3 Return],MATCH(Benchmark1[[#This Row],[Benchmark '#1 Dates]],Comp3[Comparable '#3 Dates],0)),"-")</f>
        <v>5.4483142750297482E-2</v>
      </c>
      <c r="S160" s="1">
        <f>IFERROR(IF(Benchmark1[[#This Row],[Comparable '#3 Date Check]]="Pass",Benchmark1[[#This Row],[Comparable '#3 Return]]-Benchmark1[[#This Row],[Benchmark '#1 Return]],"-"),"-")</f>
        <v>5.8015810747040646E-2</v>
      </c>
    </row>
    <row r="161" spans="1:19">
      <c r="A161" s="103">
        <v>43518</v>
      </c>
      <c r="B161" s="104">
        <v>2792.6710222261108</v>
      </c>
      <c r="C161" s="4">
        <f t="shared" si="2"/>
        <v>6.3923869549279144E-3</v>
      </c>
      <c r="D161" s="1" t="str">
        <f>IF(COUNTIF(Target1[Target Dates],Benchmark1[[#This Row],[Benchmark '#1 Dates]])=1,"Pass","Fail")</f>
        <v>Pass</v>
      </c>
      <c r="E161" s="6">
        <f>IF(Benchmark1[[#This Row],[Target Date Check]]="Pass",INDEX(Target1[Target Price],MATCH(Benchmark1[[#This Row],[Benchmark '#1 Dates]],Target1[Target Dates],0)),"-")</f>
        <v>32.840000000000003</v>
      </c>
      <c r="F161" s="22">
        <f>IF(Benchmark1[[#This Row],[Target Date Check]]="Pass",INDEX(Target1[Target Return],MATCH(Benchmark1[[#This Row],[Benchmark '#1 Dates]],Target1[Target Dates],0)),"-")</f>
        <v>5.4961970419086514E-3</v>
      </c>
      <c r="G161" s="1">
        <f>IFERROR(IF(Benchmark1[[#This Row],[Target Date Check]]="Pass",Benchmark1[[#This Row],[Target Return]]-Benchmark1[[#This Row],[Benchmark '#1 Return]],"-"),"-")</f>
        <v>-8.9618991301926298E-4</v>
      </c>
      <c r="H161" s="1" t="str">
        <f>IF(COUNTIF(Comp1[Comparable '#1 Dates],Benchmark1[[#This Row],[Benchmark '#1 Dates]])=1,"Pass","Fail")</f>
        <v>Pass</v>
      </c>
      <c r="I161" s="6">
        <f>IF(Benchmark1[[#This Row],[Comparable '#1 Date Check]]="Pass",INDEX(Comp1[Comparable '#1 Price],MATCH(Benchmark1[[#This Row],[Benchmark '#1 Dates]],Comp1[Comparable '#1 Dates],0)),"-")</f>
        <v>14.87</v>
      </c>
      <c r="J161" s="22">
        <f>IF(Benchmark1[[#This Row],[Comparable '#1 Date Check]]="Pass",INDEX(Comp1[Comparable '#1 Return],MATCH(Benchmark1[[#This Row],[Benchmark '#1 Dates]],Comp1[Comparable '#1 Dates],0)),"-")</f>
        <v>-1.46865123076939E-2</v>
      </c>
      <c r="K161" s="1">
        <f>IFERROR(IF(Benchmark1[[#This Row],[Comparable '#1 Date Check]]="Pass",Benchmark1[[#This Row],[Comparable '#1 Return]]-Benchmark1[[#This Row],[Benchmark '#1 Return]],"-"),"-")</f>
        <v>-2.1078899262621815E-2</v>
      </c>
      <c r="L161" s="1" t="str">
        <f>IF(COUNTIF(Comp2[Comparable '#2 Dates],Benchmark1[[#This Row],[Benchmark '#1 Dates]])=1,"Pass","Fail")</f>
        <v>Pass</v>
      </c>
      <c r="M161" s="6">
        <f>IF(Benchmark1[[#This Row],[Comparable '#2 Date Check]]="Pass",INDEX(Comp2[Comparable '#2 Price],MATCH(Benchmark1[[#This Row],[Benchmark '#1 Dates]],Comp2[Comparable '#2 Dates],0)),"-")</f>
        <v>49.24</v>
      </c>
      <c r="N161" s="22">
        <f>IF(Benchmark1[[#This Row],[Comparable '#2 Date Check]]="Pass",INDEX(Comp2[Comparable '#2 Return],MATCH(Benchmark1[[#This Row],[Benchmark '#1 Dates]],Comp2[Comparable '#2 Dates],0)),"-")</f>
        <v>0</v>
      </c>
      <c r="O161" s="1">
        <f>IFERROR(IF(Benchmark1[[#This Row],[Comparable '#2 Date Check]]="Pass",Benchmark1[[#This Row],[Comparable '#2 Return]]-Benchmark1[[#This Row],[Benchmark '#1 Return]],"-"),"-")</f>
        <v>-6.3923869549279144E-3</v>
      </c>
      <c r="P161" s="1" t="str">
        <f>IF(COUNTIF(Comp3[Comparable '#3 Dates],Benchmark1[[#This Row],[Benchmark '#1 Dates]])=1,"Pass","Fail")</f>
        <v>Pass</v>
      </c>
      <c r="Q161" s="6">
        <f>IF(Benchmark1[[#This Row],[Comparable '#3 Date Check]]="Pass",INDEX(Comp3[Comparable '#3 Price],MATCH(Benchmark1[[#This Row],[Benchmark '#1 Dates]],Comp3[Comparable '#3 Dates],0)),"-")</f>
        <v>127.33</v>
      </c>
      <c r="R161" s="22">
        <f>IF(Benchmark1[[#This Row],[Comparable '#3 Date Check]]="Pass",INDEX(Comp3[Comparable '#3 Return],MATCH(Benchmark1[[#This Row],[Benchmark '#1 Dates]],Comp3[Comparable '#3 Dates],0)),"-")</f>
        <v>3.2251748703493966E-3</v>
      </c>
      <c r="S161" s="1">
        <f>IFERROR(IF(Benchmark1[[#This Row],[Comparable '#3 Date Check]]="Pass",Benchmark1[[#This Row],[Comparable '#3 Return]]-Benchmark1[[#This Row],[Benchmark '#1 Return]],"-"),"-")</f>
        <v>-3.1672120845785178E-3</v>
      </c>
    </row>
    <row r="162" spans="1:19">
      <c r="A162" s="103">
        <v>43521</v>
      </c>
      <c r="B162" s="104">
        <v>2796.1065493129413</v>
      </c>
      <c r="C162" s="4">
        <f t="shared" si="2"/>
        <v>1.229437913959655E-3</v>
      </c>
      <c r="D162" s="1" t="str">
        <f>IF(COUNTIF(Target1[Target Dates],Benchmark1[[#This Row],[Benchmark '#1 Dates]])=1,"Pass","Fail")</f>
        <v>Pass</v>
      </c>
      <c r="E162" s="6">
        <f>IF(Benchmark1[[#This Row],[Target Date Check]]="Pass",INDEX(Target1[Target Price],MATCH(Benchmark1[[#This Row],[Benchmark '#1 Dates]],Target1[Target Dates],0)),"-")</f>
        <v>32.67</v>
      </c>
      <c r="F162" s="22">
        <f>IF(Benchmark1[[#This Row],[Target Date Check]]="Pass",INDEX(Target1[Target Return],MATCH(Benchmark1[[#This Row],[Benchmark '#1 Dates]],Target1[Target Dates],0)),"-")</f>
        <v>-5.1900589712486961E-3</v>
      </c>
      <c r="G162" s="1">
        <f>IFERROR(IF(Benchmark1[[#This Row],[Target Date Check]]="Pass",Benchmark1[[#This Row],[Target Return]]-Benchmark1[[#This Row],[Benchmark '#1 Return]],"-"),"-")</f>
        <v>-6.4194968852083513E-3</v>
      </c>
      <c r="H162" s="1" t="str">
        <f>IF(COUNTIF(Comp1[Comparable '#1 Dates],Benchmark1[[#This Row],[Benchmark '#1 Dates]])=1,"Pass","Fail")</f>
        <v>Pass</v>
      </c>
      <c r="I162" s="6">
        <f>IF(Benchmark1[[#This Row],[Comparable '#1 Date Check]]="Pass",INDEX(Comp1[Comparable '#1 Price],MATCH(Benchmark1[[#This Row],[Benchmark '#1 Dates]],Comp1[Comparable '#1 Dates],0)),"-")</f>
        <v>15.03</v>
      </c>
      <c r="J162" s="22">
        <f>IF(Benchmark1[[#This Row],[Comparable '#1 Date Check]]="Pass",INDEX(Comp1[Comparable '#1 Return],MATCH(Benchmark1[[#This Row],[Benchmark '#1 Dates]],Comp1[Comparable '#1 Dates],0)),"-")</f>
        <v>1.070244329281933E-2</v>
      </c>
      <c r="K162" s="1">
        <f>IFERROR(IF(Benchmark1[[#This Row],[Comparable '#1 Date Check]]="Pass",Benchmark1[[#This Row],[Comparable '#1 Return]]-Benchmark1[[#This Row],[Benchmark '#1 Return]],"-"),"-")</f>
        <v>9.4730053788596759E-3</v>
      </c>
      <c r="L162" s="1" t="str">
        <f>IF(COUNTIF(Comp2[Comparable '#2 Dates],Benchmark1[[#This Row],[Benchmark '#1 Dates]])=1,"Pass","Fail")</f>
        <v>Pass</v>
      </c>
      <c r="M162" s="6">
        <f>IF(Benchmark1[[#This Row],[Comparable '#2 Date Check]]="Pass",INDEX(Comp2[Comparable '#2 Price],MATCH(Benchmark1[[#This Row],[Benchmark '#1 Dates]],Comp2[Comparable '#2 Dates],0)),"-")</f>
        <v>48.96</v>
      </c>
      <c r="N162" s="22">
        <f>IF(Benchmark1[[#This Row],[Comparable '#2 Date Check]]="Pass",INDEX(Comp2[Comparable '#2 Return],MATCH(Benchmark1[[#This Row],[Benchmark '#1 Dates]],Comp2[Comparable '#2 Dates],0)),"-")</f>
        <v>-5.7026631121821682E-3</v>
      </c>
      <c r="O162" s="1">
        <f>IFERROR(IF(Benchmark1[[#This Row],[Comparable '#2 Date Check]]="Pass",Benchmark1[[#This Row],[Comparable '#2 Return]]-Benchmark1[[#This Row],[Benchmark '#1 Return]],"-"),"-")</f>
        <v>-6.9321010261418235E-3</v>
      </c>
      <c r="P162" s="1" t="str">
        <f>IF(COUNTIF(Comp3[Comparable '#3 Dates],Benchmark1[[#This Row],[Benchmark '#1 Dates]])=1,"Pass","Fail")</f>
        <v>Pass</v>
      </c>
      <c r="Q162" s="6">
        <f>IF(Benchmark1[[#This Row],[Comparable '#3 Date Check]]="Pass",INDEX(Comp3[Comparable '#3 Price],MATCH(Benchmark1[[#This Row],[Benchmark '#1 Dates]],Comp3[Comparable '#3 Dates],0)),"-")</f>
        <v>126.25</v>
      </c>
      <c r="R162" s="22">
        <f>IF(Benchmark1[[#This Row],[Comparable '#3 Date Check]]="Pass",INDEX(Comp3[Comparable '#3 Return],MATCH(Benchmark1[[#This Row],[Benchmark '#1 Dates]],Comp3[Comparable '#3 Dates],0)),"-")</f>
        <v>-8.5180734298749283E-3</v>
      </c>
      <c r="S162" s="1">
        <f>IFERROR(IF(Benchmark1[[#This Row],[Comparable '#3 Date Check]]="Pass",Benchmark1[[#This Row],[Comparable '#3 Return]]-Benchmark1[[#This Row],[Benchmark '#1 Return]],"-"),"-")</f>
        <v>-9.7475113438345827E-3</v>
      </c>
    </row>
    <row r="163" spans="1:19">
      <c r="A163" s="103">
        <v>43522</v>
      </c>
      <c r="B163" s="104">
        <v>2793.8985795749572</v>
      </c>
      <c r="C163" s="4">
        <f t="shared" si="2"/>
        <v>-7.8997059999039024E-4</v>
      </c>
      <c r="D163" s="1" t="str">
        <f>IF(COUNTIF(Target1[Target Dates],Benchmark1[[#This Row],[Benchmark '#1 Dates]])=1,"Pass","Fail")</f>
        <v>Pass</v>
      </c>
      <c r="E163" s="6">
        <f>IF(Benchmark1[[#This Row],[Target Date Check]]="Pass",INDEX(Target1[Target Price],MATCH(Benchmark1[[#This Row],[Benchmark '#1 Dates]],Target1[Target Dates],0)),"-")</f>
        <v>32.409999999999997</v>
      </c>
      <c r="F163" s="22">
        <f>IF(Benchmark1[[#This Row],[Target Date Check]]="Pass",INDEX(Target1[Target Return],MATCH(Benchmark1[[#This Row],[Benchmark '#1 Dates]],Target1[Target Dates],0)),"-")</f>
        <v>-7.9902084595228889E-3</v>
      </c>
      <c r="G163" s="1">
        <f>IFERROR(IF(Benchmark1[[#This Row],[Target Date Check]]="Pass",Benchmark1[[#This Row],[Target Return]]-Benchmark1[[#This Row],[Benchmark '#1 Return]],"-"),"-")</f>
        <v>-7.200237859532499E-3</v>
      </c>
      <c r="H163" s="1" t="str">
        <f>IF(COUNTIF(Comp1[Comparable '#1 Dates],Benchmark1[[#This Row],[Benchmark '#1 Dates]])=1,"Pass","Fail")</f>
        <v>Pass</v>
      </c>
      <c r="I163" s="6">
        <f>IF(Benchmark1[[#This Row],[Comparable '#1 Date Check]]="Pass",INDEX(Comp1[Comparable '#1 Price],MATCH(Benchmark1[[#This Row],[Benchmark '#1 Dates]],Comp1[Comparable '#1 Dates],0)),"-")</f>
        <v>14.64</v>
      </c>
      <c r="J163" s="22">
        <f>IF(Benchmark1[[#This Row],[Comparable '#1 Date Check]]="Pass",INDEX(Comp1[Comparable '#1 Return],MATCH(Benchmark1[[#This Row],[Benchmark '#1 Dates]],Comp1[Comparable '#1 Dates],0)),"-")</f>
        <v>-2.6290695231717526E-2</v>
      </c>
      <c r="K163" s="1">
        <f>IFERROR(IF(Benchmark1[[#This Row],[Comparable '#1 Date Check]]="Pass",Benchmark1[[#This Row],[Comparable '#1 Return]]-Benchmark1[[#This Row],[Benchmark '#1 Return]],"-"),"-")</f>
        <v>-2.5500724631727135E-2</v>
      </c>
      <c r="L163" s="1" t="str">
        <f>IF(COUNTIF(Comp2[Comparable '#2 Dates],Benchmark1[[#This Row],[Benchmark '#1 Dates]])=1,"Pass","Fail")</f>
        <v>Pass</v>
      </c>
      <c r="M163" s="6">
        <f>IF(Benchmark1[[#This Row],[Comparable '#2 Date Check]]="Pass",INDEX(Comp2[Comparable '#2 Price],MATCH(Benchmark1[[#This Row],[Benchmark '#1 Dates]],Comp2[Comparable '#2 Dates],0)),"-")</f>
        <v>48.33</v>
      </c>
      <c r="N163" s="22">
        <f>IF(Benchmark1[[#This Row],[Comparable '#2 Date Check]]="Pass",INDEX(Comp2[Comparable '#2 Return],MATCH(Benchmark1[[#This Row],[Benchmark '#1 Dates]],Comp2[Comparable '#2 Dates],0)),"-")</f>
        <v>-1.2951152347078006E-2</v>
      </c>
      <c r="O163" s="1">
        <f>IFERROR(IF(Benchmark1[[#This Row],[Comparable '#2 Date Check]]="Pass",Benchmark1[[#This Row],[Comparable '#2 Return]]-Benchmark1[[#This Row],[Benchmark '#1 Return]],"-"),"-")</f>
        <v>-1.2161181747087616E-2</v>
      </c>
      <c r="P163" s="1" t="str">
        <f>IF(COUNTIF(Comp3[Comparable '#3 Dates],Benchmark1[[#This Row],[Benchmark '#1 Dates]])=1,"Pass","Fail")</f>
        <v>Pass</v>
      </c>
      <c r="Q163" s="6">
        <f>IF(Benchmark1[[#This Row],[Comparable '#3 Date Check]]="Pass",INDEX(Comp3[Comparable '#3 Price],MATCH(Benchmark1[[#This Row],[Benchmark '#1 Dates]],Comp3[Comparable '#3 Dates],0)),"-")</f>
        <v>125.7</v>
      </c>
      <c r="R163" s="22">
        <f>IF(Benchmark1[[#This Row],[Comparable '#3 Date Check]]="Pass",INDEX(Comp3[Comparable '#3 Return],MATCH(Benchmark1[[#This Row],[Benchmark '#1 Dates]],Comp3[Comparable '#3 Dates],0)),"-")</f>
        <v>-4.3659525592674719E-3</v>
      </c>
      <c r="S163" s="1">
        <f>IFERROR(IF(Benchmark1[[#This Row],[Comparable '#3 Date Check]]="Pass",Benchmark1[[#This Row],[Comparable '#3 Return]]-Benchmark1[[#This Row],[Benchmark '#1 Return]],"-"),"-")</f>
        <v>-3.5759819592770816E-3</v>
      </c>
    </row>
    <row r="164" spans="1:19">
      <c r="A164" s="103">
        <v>43523</v>
      </c>
      <c r="B164" s="104">
        <v>2792.3800762076353</v>
      </c>
      <c r="C164" s="4">
        <f t="shared" si="2"/>
        <v>-5.4365472912848651E-4</v>
      </c>
      <c r="D164" s="1" t="str">
        <f>IF(COUNTIF(Target1[Target Dates],Benchmark1[[#This Row],[Benchmark '#1 Dates]])=1,"Pass","Fail")</f>
        <v>Pass</v>
      </c>
      <c r="E164" s="6">
        <f>IF(Benchmark1[[#This Row],[Target Date Check]]="Pass",INDEX(Target1[Target Price],MATCH(Benchmark1[[#This Row],[Benchmark '#1 Dates]],Target1[Target Dates],0)),"-")</f>
        <v>32.229999999999997</v>
      </c>
      <c r="F164" s="22">
        <f>IF(Benchmark1[[#This Row],[Target Date Check]]="Pass",INDEX(Target1[Target Return],MATCH(Benchmark1[[#This Row],[Benchmark '#1 Dates]],Target1[Target Dates],0)),"-")</f>
        <v>-5.5693213261094983E-3</v>
      </c>
      <c r="G164" s="1">
        <f>IFERROR(IF(Benchmark1[[#This Row],[Target Date Check]]="Pass",Benchmark1[[#This Row],[Target Return]]-Benchmark1[[#This Row],[Benchmark '#1 Return]],"-"),"-")</f>
        <v>-5.0256665969810113E-3</v>
      </c>
      <c r="H164" s="1" t="str">
        <f>IF(COUNTIF(Comp1[Comparable '#1 Dates],Benchmark1[[#This Row],[Benchmark '#1 Dates]])=1,"Pass","Fail")</f>
        <v>Pass</v>
      </c>
      <c r="I164" s="6">
        <f>IF(Benchmark1[[#This Row],[Comparable '#1 Date Check]]="Pass",INDEX(Comp1[Comparable '#1 Price],MATCH(Benchmark1[[#This Row],[Benchmark '#1 Dates]],Comp1[Comparable '#1 Dates],0)),"-")</f>
        <v>14.71</v>
      </c>
      <c r="J164" s="22">
        <f>IF(Benchmark1[[#This Row],[Comparable '#1 Date Check]]="Pass",INDEX(Comp1[Comparable '#1 Return],MATCH(Benchmark1[[#This Row],[Benchmark '#1 Dates]],Comp1[Comparable '#1 Dates],0)),"-")</f>
        <v>4.770026080180738E-3</v>
      </c>
      <c r="K164" s="1">
        <f>IFERROR(IF(Benchmark1[[#This Row],[Comparable '#1 Date Check]]="Pass",Benchmark1[[#This Row],[Comparable '#1 Return]]-Benchmark1[[#This Row],[Benchmark '#1 Return]],"-"),"-")</f>
        <v>5.313680809309225E-3</v>
      </c>
      <c r="L164" s="1" t="str">
        <f>IF(COUNTIF(Comp2[Comparable '#2 Dates],Benchmark1[[#This Row],[Benchmark '#1 Dates]])=1,"Pass","Fail")</f>
        <v>Pass</v>
      </c>
      <c r="M164" s="6">
        <f>IF(Benchmark1[[#This Row],[Comparable '#2 Date Check]]="Pass",INDEX(Comp2[Comparable '#2 Price],MATCH(Benchmark1[[#This Row],[Benchmark '#1 Dates]],Comp2[Comparable '#2 Dates],0)),"-")</f>
        <v>48.02</v>
      </c>
      <c r="N164" s="22">
        <f>IF(Benchmark1[[#This Row],[Comparable '#2 Date Check]]="Pass",INDEX(Comp2[Comparable '#2 Return],MATCH(Benchmark1[[#This Row],[Benchmark '#1 Dates]],Comp2[Comparable '#2 Dates],0)),"-")</f>
        <v>-6.4348950638854407E-3</v>
      </c>
      <c r="O164" s="1">
        <f>IFERROR(IF(Benchmark1[[#This Row],[Comparable '#2 Date Check]]="Pass",Benchmark1[[#This Row],[Comparable '#2 Return]]-Benchmark1[[#This Row],[Benchmark '#1 Return]],"-"),"-")</f>
        <v>-5.8912403347569538E-3</v>
      </c>
      <c r="P164" s="1" t="str">
        <f>IF(COUNTIF(Comp3[Comparable '#3 Dates],Benchmark1[[#This Row],[Benchmark '#1 Dates]])=1,"Pass","Fail")</f>
        <v>Pass</v>
      </c>
      <c r="Q164" s="6">
        <f>IF(Benchmark1[[#This Row],[Comparable '#3 Date Check]]="Pass",INDEX(Comp3[Comparable '#3 Price],MATCH(Benchmark1[[#This Row],[Benchmark '#1 Dates]],Comp3[Comparable '#3 Dates],0)),"-")</f>
        <v>127.06</v>
      </c>
      <c r="R164" s="22">
        <f>IF(Benchmark1[[#This Row],[Comparable '#3 Date Check]]="Pass",INDEX(Comp3[Comparable '#3 Return],MATCH(Benchmark1[[#This Row],[Benchmark '#1 Dates]],Comp3[Comparable '#3 Dates],0)),"-")</f>
        <v>1.076130024218554E-2</v>
      </c>
      <c r="S164" s="1">
        <f>IFERROR(IF(Benchmark1[[#This Row],[Comparable '#3 Date Check]]="Pass",Benchmark1[[#This Row],[Comparable '#3 Return]]-Benchmark1[[#This Row],[Benchmark '#1 Return]],"-"),"-")</f>
        <v>1.1304954971314026E-2</v>
      </c>
    </row>
    <row r="165" spans="1:19">
      <c r="A165" s="103">
        <v>43524</v>
      </c>
      <c r="B165" s="104">
        <v>2784.4913585212798</v>
      </c>
      <c r="C165" s="4">
        <f t="shared" si="2"/>
        <v>-2.829085461365558E-3</v>
      </c>
      <c r="D165" s="1" t="str">
        <f>IF(COUNTIF(Target1[Target Dates],Benchmark1[[#This Row],[Benchmark '#1 Dates]])=1,"Pass","Fail")</f>
        <v>Pass</v>
      </c>
      <c r="E165" s="6">
        <f>IF(Benchmark1[[#This Row],[Target Date Check]]="Pass",INDEX(Target1[Target Price],MATCH(Benchmark1[[#This Row],[Benchmark '#1 Dates]],Target1[Target Dates],0)),"-")</f>
        <v>32.04</v>
      </c>
      <c r="F165" s="22">
        <f>IF(Benchmark1[[#This Row],[Target Date Check]]="Pass",INDEX(Target1[Target Return],MATCH(Benchmark1[[#This Row],[Benchmark '#1 Dates]],Target1[Target Dates],0)),"-")</f>
        <v>-5.9125736271879665E-3</v>
      </c>
      <c r="G165" s="1">
        <f>IFERROR(IF(Benchmark1[[#This Row],[Target Date Check]]="Pass",Benchmark1[[#This Row],[Target Return]]-Benchmark1[[#This Row],[Benchmark '#1 Return]],"-"),"-")</f>
        <v>-3.0834881658224084E-3</v>
      </c>
      <c r="H165" s="1" t="str">
        <f>IF(COUNTIF(Comp1[Comparable '#1 Dates],Benchmark1[[#This Row],[Benchmark '#1 Dates]])=1,"Pass","Fail")</f>
        <v>Pass</v>
      </c>
      <c r="I165" s="6">
        <f>IF(Benchmark1[[#This Row],[Comparable '#1 Date Check]]="Pass",INDEX(Comp1[Comparable '#1 Price],MATCH(Benchmark1[[#This Row],[Benchmark '#1 Dates]],Comp1[Comparable '#1 Dates],0)),"-")</f>
        <v>15.29</v>
      </c>
      <c r="J165" s="22">
        <f>IF(Benchmark1[[#This Row],[Comparable '#1 Date Check]]="Pass",INDEX(Comp1[Comparable '#1 Return],MATCH(Benchmark1[[#This Row],[Benchmark '#1 Dates]],Comp1[Comparable '#1 Dates],0)),"-")</f>
        <v>3.8671485327624634E-2</v>
      </c>
      <c r="K165" s="1">
        <f>IFERROR(IF(Benchmark1[[#This Row],[Comparable '#1 Date Check]]="Pass",Benchmark1[[#This Row],[Comparable '#1 Return]]-Benchmark1[[#This Row],[Benchmark '#1 Return]],"-"),"-")</f>
        <v>4.1500570788990193E-2</v>
      </c>
      <c r="L165" s="1" t="str">
        <f>IF(COUNTIF(Comp2[Comparable '#2 Dates],Benchmark1[[#This Row],[Benchmark '#1 Dates]])=1,"Pass","Fail")</f>
        <v>Pass</v>
      </c>
      <c r="M165" s="6">
        <f>IF(Benchmark1[[#This Row],[Comparable '#2 Date Check]]="Pass",INDEX(Comp2[Comparable '#2 Price],MATCH(Benchmark1[[#This Row],[Benchmark '#1 Dates]],Comp2[Comparable '#2 Dates],0)),"-")</f>
        <v>48.2</v>
      </c>
      <c r="N165" s="22">
        <f>IF(Benchmark1[[#This Row],[Comparable '#2 Date Check]]="Pass",INDEX(Comp2[Comparable '#2 Return],MATCH(Benchmark1[[#This Row],[Benchmark '#1 Dates]],Comp2[Comparable '#2 Dates],0)),"-")</f>
        <v>3.7414302634473638E-3</v>
      </c>
      <c r="O165" s="1">
        <f>IFERROR(IF(Benchmark1[[#This Row],[Comparable '#2 Date Check]]="Pass",Benchmark1[[#This Row],[Comparable '#2 Return]]-Benchmark1[[#This Row],[Benchmark '#1 Return]],"-"),"-")</f>
        <v>6.5705157248129222E-3</v>
      </c>
      <c r="P165" s="1" t="str">
        <f>IF(COUNTIF(Comp3[Comparable '#3 Dates],Benchmark1[[#This Row],[Benchmark '#1 Dates]])=1,"Pass","Fail")</f>
        <v>Pass</v>
      </c>
      <c r="Q165" s="6">
        <f>IF(Benchmark1[[#This Row],[Comparable '#3 Date Check]]="Pass",INDEX(Comp3[Comparable '#3 Price],MATCH(Benchmark1[[#This Row],[Benchmark '#1 Dates]],Comp3[Comparable '#3 Dates],0)),"-")</f>
        <v>130.78</v>
      </c>
      <c r="R165" s="22">
        <f>IF(Benchmark1[[#This Row],[Comparable '#3 Date Check]]="Pass",INDEX(Comp3[Comparable '#3 Return],MATCH(Benchmark1[[#This Row],[Benchmark '#1 Dates]],Comp3[Comparable '#3 Dates],0)),"-")</f>
        <v>2.8857106294742644E-2</v>
      </c>
      <c r="S165" s="1">
        <f>IFERROR(IF(Benchmark1[[#This Row],[Comparable '#3 Date Check]]="Pass",Benchmark1[[#This Row],[Comparable '#3 Return]]-Benchmark1[[#This Row],[Benchmark '#1 Return]],"-"),"-")</f>
        <v>3.1686191756108199E-2</v>
      </c>
    </row>
    <row r="166" spans="1:19">
      <c r="A166" s="103">
        <v>43525</v>
      </c>
      <c r="B166" s="104">
        <v>2803.6943543530765</v>
      </c>
      <c r="C166" s="4">
        <f t="shared" si="2"/>
        <v>6.8727391699091754E-3</v>
      </c>
      <c r="D166" s="1" t="str">
        <f>IF(COUNTIF(Target1[Target Dates],Benchmark1[[#This Row],[Benchmark '#1 Dates]])=1,"Pass","Fail")</f>
        <v>Pass</v>
      </c>
      <c r="E166" s="6">
        <f>IF(Benchmark1[[#This Row],[Target Date Check]]="Pass",INDEX(Target1[Target Price],MATCH(Benchmark1[[#This Row],[Benchmark '#1 Dates]],Target1[Target Dates],0)),"-")</f>
        <v>32.619999999999997</v>
      </c>
      <c r="F166" s="22">
        <f>IF(Benchmark1[[#This Row],[Target Date Check]]="Pass",INDEX(Target1[Target Return],MATCH(Benchmark1[[#This Row],[Benchmark '#1 Dates]],Target1[Target Dates],0)),"-")</f>
        <v>1.7940474992709274E-2</v>
      </c>
      <c r="G166" s="1">
        <f>IFERROR(IF(Benchmark1[[#This Row],[Target Date Check]]="Pass",Benchmark1[[#This Row],[Target Return]]-Benchmark1[[#This Row],[Benchmark '#1 Return]],"-"),"-")</f>
        <v>1.1067735822800098E-2</v>
      </c>
      <c r="H166" s="1" t="str">
        <f>IF(COUNTIF(Comp1[Comparable '#1 Dates],Benchmark1[[#This Row],[Benchmark '#1 Dates]])=1,"Pass","Fail")</f>
        <v>Pass</v>
      </c>
      <c r="I166" s="6">
        <f>IF(Benchmark1[[#This Row],[Comparable '#1 Date Check]]="Pass",INDEX(Comp1[Comparable '#1 Price],MATCH(Benchmark1[[#This Row],[Benchmark '#1 Dates]],Comp1[Comparable '#1 Dates],0)),"-")</f>
        <v>15.3</v>
      </c>
      <c r="J166" s="22">
        <f>IF(Benchmark1[[#This Row],[Comparable '#1 Date Check]]="Pass",INDEX(Comp1[Comparable '#1 Return],MATCH(Benchmark1[[#This Row],[Benchmark '#1 Dates]],Comp1[Comparable '#1 Dates],0)),"-")</f>
        <v>6.5380845741894265E-4</v>
      </c>
      <c r="K166" s="1">
        <f>IFERROR(IF(Benchmark1[[#This Row],[Comparable '#1 Date Check]]="Pass",Benchmark1[[#This Row],[Comparable '#1 Return]]-Benchmark1[[#This Row],[Benchmark '#1 Return]],"-"),"-")</f>
        <v>-6.2189307124902327E-3</v>
      </c>
      <c r="L166" s="1" t="str">
        <f>IF(COUNTIF(Comp2[Comparable '#2 Dates],Benchmark1[[#This Row],[Benchmark '#1 Dates]])=1,"Pass","Fail")</f>
        <v>Pass</v>
      </c>
      <c r="M166" s="6">
        <f>IF(Benchmark1[[#This Row],[Comparable '#2 Date Check]]="Pass",INDEX(Comp2[Comparable '#2 Price],MATCH(Benchmark1[[#This Row],[Benchmark '#1 Dates]],Comp2[Comparable '#2 Dates],0)),"-")</f>
        <v>49.26</v>
      </c>
      <c r="N166" s="22">
        <f>IF(Benchmark1[[#This Row],[Comparable '#2 Date Check]]="Pass",INDEX(Comp2[Comparable '#2 Return],MATCH(Benchmark1[[#This Row],[Benchmark '#1 Dates]],Comp2[Comparable '#2 Dates],0)),"-")</f>
        <v>2.1753371635837158E-2</v>
      </c>
      <c r="O166" s="1">
        <f>IFERROR(IF(Benchmark1[[#This Row],[Comparable '#2 Date Check]]="Pass",Benchmark1[[#This Row],[Comparable '#2 Return]]-Benchmark1[[#This Row],[Benchmark '#1 Return]],"-"),"-")</f>
        <v>1.4880632465927982E-2</v>
      </c>
      <c r="P166" s="1" t="str">
        <f>IF(COUNTIF(Comp3[Comparable '#3 Dates],Benchmark1[[#This Row],[Benchmark '#1 Dates]])=1,"Pass","Fail")</f>
        <v>Pass</v>
      </c>
      <c r="Q166" s="6">
        <f>IF(Benchmark1[[#This Row],[Comparable '#3 Date Check]]="Pass",INDEX(Comp3[Comparable '#3 Price],MATCH(Benchmark1[[#This Row],[Benchmark '#1 Dates]],Comp3[Comparable '#3 Dates],0)),"-")</f>
        <v>144.61000000000001</v>
      </c>
      <c r="R166" s="22">
        <f>IF(Benchmark1[[#This Row],[Comparable '#3 Date Check]]="Pass",INDEX(Comp3[Comparable '#3 Return],MATCH(Benchmark1[[#This Row],[Benchmark '#1 Dates]],Comp3[Comparable '#3 Dates],0)),"-")</f>
        <v>0.10052394149357094</v>
      </c>
      <c r="S166" s="1">
        <f>IFERROR(IF(Benchmark1[[#This Row],[Comparable '#3 Date Check]]="Pass",Benchmark1[[#This Row],[Comparable '#3 Return]]-Benchmark1[[#This Row],[Benchmark '#1 Return]],"-"),"-")</f>
        <v>9.3651202323661767E-2</v>
      </c>
    </row>
    <row r="167" spans="1:19">
      <c r="A167" s="103">
        <v>43528</v>
      </c>
      <c r="B167" s="104">
        <v>2792.8109017188544</v>
      </c>
      <c r="C167" s="4">
        <f t="shared" si="2"/>
        <v>-3.8893794809384012E-3</v>
      </c>
      <c r="D167" s="1" t="str">
        <f>IF(COUNTIF(Target1[Target Dates],Benchmark1[[#This Row],[Benchmark '#1 Dates]])=1,"Pass","Fail")</f>
        <v>Pass</v>
      </c>
      <c r="E167" s="6">
        <f>IF(Benchmark1[[#This Row],[Target Date Check]]="Pass",INDEX(Target1[Target Price],MATCH(Benchmark1[[#This Row],[Benchmark '#1 Dates]],Target1[Target Dates],0)),"-")</f>
        <v>32.340000000000003</v>
      </c>
      <c r="F167" s="22">
        <f>IF(Benchmark1[[#This Row],[Target Date Check]]="Pass",INDEX(Target1[Target Return],MATCH(Benchmark1[[#This Row],[Benchmark '#1 Dates]],Target1[Target Dates],0)),"-")</f>
        <v>-8.6207430439068644E-3</v>
      </c>
      <c r="G167" s="1">
        <f>IFERROR(IF(Benchmark1[[#This Row],[Target Date Check]]="Pass",Benchmark1[[#This Row],[Target Return]]-Benchmark1[[#This Row],[Benchmark '#1 Return]],"-"),"-")</f>
        <v>-4.7313635629684632E-3</v>
      </c>
      <c r="H167" s="1" t="str">
        <f>IF(COUNTIF(Comp1[Comparable '#1 Dates],Benchmark1[[#This Row],[Benchmark '#1 Dates]])=1,"Pass","Fail")</f>
        <v>Pass</v>
      </c>
      <c r="I167" s="6">
        <f>IF(Benchmark1[[#This Row],[Comparable '#1 Date Check]]="Pass",INDEX(Comp1[Comparable '#1 Price],MATCH(Benchmark1[[#This Row],[Benchmark '#1 Dates]],Comp1[Comparable '#1 Dates],0)),"-")</f>
        <v>15.09</v>
      </c>
      <c r="J167" s="22">
        <f>IF(Benchmark1[[#This Row],[Comparable '#1 Date Check]]="Pass",INDEX(Comp1[Comparable '#1 Return],MATCH(Benchmark1[[#This Row],[Benchmark '#1 Dates]],Comp1[Comparable '#1 Dates],0)),"-")</f>
        <v>-1.3820555618632312E-2</v>
      </c>
      <c r="K167" s="1">
        <f>IFERROR(IF(Benchmark1[[#This Row],[Comparable '#1 Date Check]]="Pass",Benchmark1[[#This Row],[Comparable '#1 Return]]-Benchmark1[[#This Row],[Benchmark '#1 Return]],"-"),"-")</f>
        <v>-9.9311761376939117E-3</v>
      </c>
      <c r="L167" s="1" t="str">
        <f>IF(COUNTIF(Comp2[Comparable '#2 Dates],Benchmark1[[#This Row],[Benchmark '#1 Dates]])=1,"Pass","Fail")</f>
        <v>Pass</v>
      </c>
      <c r="M167" s="6">
        <f>IF(Benchmark1[[#This Row],[Comparable '#2 Date Check]]="Pass",INDEX(Comp2[Comparable '#2 Price],MATCH(Benchmark1[[#This Row],[Benchmark '#1 Dates]],Comp2[Comparable '#2 Dates],0)),"-")</f>
        <v>48.07</v>
      </c>
      <c r="N167" s="22">
        <f>IF(Benchmark1[[#This Row],[Comparable '#2 Date Check]]="Pass",INDEX(Comp2[Comparable '#2 Return],MATCH(Benchmark1[[#This Row],[Benchmark '#1 Dates]],Comp2[Comparable '#2 Dates],0)),"-")</f>
        <v>-2.4454110786522498E-2</v>
      </c>
      <c r="O167" s="1">
        <f>IFERROR(IF(Benchmark1[[#This Row],[Comparable '#2 Date Check]]="Pass",Benchmark1[[#This Row],[Comparable '#2 Return]]-Benchmark1[[#This Row],[Benchmark '#1 Return]],"-"),"-")</f>
        <v>-2.0564731305584096E-2</v>
      </c>
      <c r="P167" s="1" t="str">
        <f>IF(COUNTIF(Comp3[Comparable '#3 Dates],Benchmark1[[#This Row],[Benchmark '#1 Dates]])=1,"Pass","Fail")</f>
        <v>Pass</v>
      </c>
      <c r="Q167" s="6">
        <f>IF(Benchmark1[[#This Row],[Comparable '#3 Date Check]]="Pass",INDEX(Comp3[Comparable '#3 Price],MATCH(Benchmark1[[#This Row],[Benchmark '#1 Dates]],Comp3[Comparable '#3 Dates],0)),"-")</f>
        <v>142.15</v>
      </c>
      <c r="R167" s="22">
        <f>IF(Benchmark1[[#This Row],[Comparable '#3 Date Check]]="Pass",INDEX(Comp3[Comparable '#3 Return],MATCH(Benchmark1[[#This Row],[Benchmark '#1 Dates]],Comp3[Comparable '#3 Dates],0)),"-")</f>
        <v>-1.7157625529692019E-2</v>
      </c>
      <c r="S167" s="1">
        <f>IFERROR(IF(Benchmark1[[#This Row],[Comparable '#3 Date Check]]="Pass",Benchmark1[[#This Row],[Comparable '#3 Return]]-Benchmark1[[#This Row],[Benchmark '#1 Return]],"-"),"-")</f>
        <v>-1.3268246048753617E-2</v>
      </c>
    </row>
    <row r="168" spans="1:19">
      <c r="A168" s="103">
        <v>43529</v>
      </c>
      <c r="B168" s="104">
        <v>2789.6509801528641</v>
      </c>
      <c r="C168" s="4">
        <f t="shared" si="2"/>
        <v>-1.1320890210600686E-3</v>
      </c>
      <c r="D168" s="1" t="str">
        <f>IF(COUNTIF(Target1[Target Dates],Benchmark1[[#This Row],[Benchmark '#1 Dates]])=1,"Pass","Fail")</f>
        <v>Pass</v>
      </c>
      <c r="E168" s="6">
        <f>IF(Benchmark1[[#This Row],[Target Date Check]]="Pass",INDEX(Target1[Target Price],MATCH(Benchmark1[[#This Row],[Benchmark '#1 Dates]],Target1[Target Dates],0)),"-")</f>
        <v>32.39</v>
      </c>
      <c r="F168" s="22">
        <f>IF(Benchmark1[[#This Row],[Target Date Check]]="Pass",INDEX(Target1[Target Return],MATCH(Benchmark1[[#This Row],[Benchmark '#1 Dates]],Target1[Target Dates],0)),"-")</f>
        <v>1.5448790342771144E-3</v>
      </c>
      <c r="G168" s="1">
        <f>IFERROR(IF(Benchmark1[[#This Row],[Target Date Check]]="Pass",Benchmark1[[#This Row],[Target Return]]-Benchmark1[[#This Row],[Benchmark '#1 Return]],"-"),"-")</f>
        <v>2.6769680553371828E-3</v>
      </c>
      <c r="H168" s="1" t="str">
        <f>IF(COUNTIF(Comp1[Comparable '#1 Dates],Benchmark1[[#This Row],[Benchmark '#1 Dates]])=1,"Pass","Fail")</f>
        <v>Pass</v>
      </c>
      <c r="I168" s="6">
        <f>IF(Benchmark1[[#This Row],[Comparable '#1 Date Check]]="Pass",INDEX(Comp1[Comparable '#1 Price],MATCH(Benchmark1[[#This Row],[Benchmark '#1 Dates]],Comp1[Comparable '#1 Dates],0)),"-")</f>
        <v>15.1</v>
      </c>
      <c r="J168" s="22">
        <f>IF(Benchmark1[[#This Row],[Comparable '#1 Date Check]]="Pass",INDEX(Comp1[Comparable '#1 Return],MATCH(Benchmark1[[#This Row],[Benchmark '#1 Dates]],Comp1[Comparable '#1 Dates],0)),"-")</f>
        <v>6.624710411210125E-4</v>
      </c>
      <c r="K168" s="1">
        <f>IFERROR(IF(Benchmark1[[#This Row],[Comparable '#1 Date Check]]="Pass",Benchmark1[[#This Row],[Comparable '#1 Return]]-Benchmark1[[#This Row],[Benchmark '#1 Return]],"-"),"-")</f>
        <v>1.7945600621810812E-3</v>
      </c>
      <c r="L168" s="1" t="str">
        <f>IF(COUNTIF(Comp2[Comparable '#2 Dates],Benchmark1[[#This Row],[Benchmark '#1 Dates]])=1,"Pass","Fail")</f>
        <v>Pass</v>
      </c>
      <c r="M168" s="6">
        <f>IF(Benchmark1[[#This Row],[Comparable '#2 Date Check]]="Pass",INDEX(Comp2[Comparable '#2 Price],MATCH(Benchmark1[[#This Row],[Benchmark '#1 Dates]],Comp2[Comparable '#2 Dates],0)),"-")</f>
        <v>48.09</v>
      </c>
      <c r="N168" s="22">
        <f>IF(Benchmark1[[#This Row],[Comparable '#2 Date Check]]="Pass",INDEX(Comp2[Comparable '#2 Return],MATCH(Benchmark1[[#This Row],[Benchmark '#1 Dates]],Comp2[Comparable '#2 Dates],0)),"-")</f>
        <v>4.1597338370202944E-4</v>
      </c>
      <c r="O168" s="1">
        <f>IFERROR(IF(Benchmark1[[#This Row],[Comparable '#2 Date Check]]="Pass",Benchmark1[[#This Row],[Comparable '#2 Return]]-Benchmark1[[#This Row],[Benchmark '#1 Return]],"-"),"-")</f>
        <v>1.548062404762098E-3</v>
      </c>
      <c r="P168" s="1" t="str">
        <f>IF(COUNTIF(Comp3[Comparable '#3 Dates],Benchmark1[[#This Row],[Benchmark '#1 Dates]])=1,"Pass","Fail")</f>
        <v>Pass</v>
      </c>
      <c r="Q168" s="6">
        <f>IF(Benchmark1[[#This Row],[Comparable '#3 Date Check]]="Pass",INDEX(Comp3[Comparable '#3 Price],MATCH(Benchmark1[[#This Row],[Benchmark '#1 Dates]],Comp3[Comparable '#3 Dates],0)),"-")</f>
        <v>141.82</v>
      </c>
      <c r="R168" s="22">
        <f>IF(Benchmark1[[#This Row],[Comparable '#3 Date Check]]="Pass",INDEX(Comp3[Comparable '#3 Return],MATCH(Benchmark1[[#This Row],[Benchmark '#1 Dates]],Comp3[Comparable '#3 Dates],0)),"-")</f>
        <v>-2.3241902211582886E-3</v>
      </c>
      <c r="S168" s="1">
        <f>IFERROR(IF(Benchmark1[[#This Row],[Comparable '#3 Date Check]]="Pass",Benchmark1[[#This Row],[Comparable '#3 Return]]-Benchmark1[[#This Row],[Benchmark '#1 Return]],"-"),"-")</f>
        <v>-1.19210120009822E-3</v>
      </c>
    </row>
    <row r="169" spans="1:19">
      <c r="A169" s="103">
        <v>43530</v>
      </c>
      <c r="B169" s="104">
        <v>2771.4476422090356</v>
      </c>
      <c r="C169" s="4">
        <f t="shared" si="2"/>
        <v>-6.5466930888838943E-3</v>
      </c>
      <c r="D169" s="1" t="str">
        <f>IF(COUNTIF(Target1[Target Dates],Benchmark1[[#This Row],[Benchmark '#1 Dates]])=1,"Pass","Fail")</f>
        <v>Pass</v>
      </c>
      <c r="E169" s="6">
        <f>IF(Benchmark1[[#This Row],[Target Date Check]]="Pass",INDEX(Target1[Target Price],MATCH(Benchmark1[[#This Row],[Benchmark '#1 Dates]],Target1[Target Dates],0)),"-")</f>
        <v>32.44</v>
      </c>
      <c r="F169" s="22">
        <f>IF(Benchmark1[[#This Row],[Target Date Check]]="Pass",INDEX(Target1[Target Return],MATCH(Benchmark1[[#This Row],[Benchmark '#1 Dates]],Target1[Target Dates],0)),"-")</f>
        <v>1.542496063974061E-3</v>
      </c>
      <c r="G169" s="1">
        <f>IFERROR(IF(Benchmark1[[#This Row],[Target Date Check]]="Pass",Benchmark1[[#This Row],[Target Return]]-Benchmark1[[#This Row],[Benchmark '#1 Return]],"-"),"-")</f>
        <v>8.0891891528579556E-3</v>
      </c>
      <c r="H169" s="1" t="str">
        <f>IF(COUNTIF(Comp1[Comparable '#1 Dates],Benchmark1[[#This Row],[Benchmark '#1 Dates]])=1,"Pass","Fail")</f>
        <v>Pass</v>
      </c>
      <c r="I169" s="6">
        <f>IF(Benchmark1[[#This Row],[Comparable '#1 Date Check]]="Pass",INDEX(Comp1[Comparable '#1 Price],MATCH(Benchmark1[[#This Row],[Benchmark '#1 Dates]],Comp1[Comparable '#1 Dates],0)),"-")</f>
        <v>14.9</v>
      </c>
      <c r="J169" s="22">
        <f>IF(Benchmark1[[#This Row],[Comparable '#1 Date Check]]="Pass",INDEX(Comp1[Comparable '#1 Return],MATCH(Benchmark1[[#This Row],[Benchmark '#1 Dates]],Comp1[Comparable '#1 Dates],0)),"-")</f>
        <v>-1.3333530869465144E-2</v>
      </c>
      <c r="K169" s="1">
        <f>IFERROR(IF(Benchmark1[[#This Row],[Comparable '#1 Date Check]]="Pass",Benchmark1[[#This Row],[Comparable '#1 Return]]-Benchmark1[[#This Row],[Benchmark '#1 Return]],"-"),"-")</f>
        <v>-6.7868377805812494E-3</v>
      </c>
      <c r="L169" s="1" t="str">
        <f>IF(COUNTIF(Comp2[Comparable '#2 Dates],Benchmark1[[#This Row],[Benchmark '#1 Dates]])=1,"Pass","Fail")</f>
        <v>Pass</v>
      </c>
      <c r="M169" s="6">
        <f>IF(Benchmark1[[#This Row],[Comparable '#2 Date Check]]="Pass",INDEX(Comp2[Comparable '#2 Price],MATCH(Benchmark1[[#This Row],[Benchmark '#1 Dates]],Comp2[Comparable '#2 Dates],0)),"-")</f>
        <v>47.77</v>
      </c>
      <c r="N169" s="22">
        <f>IF(Benchmark1[[#This Row],[Comparable '#2 Date Check]]="Pass",INDEX(Comp2[Comparable '#2 Return],MATCH(Benchmark1[[#This Row],[Benchmark '#1 Dates]],Comp2[Comparable '#2 Dates],0)),"-")</f>
        <v>-6.6764278877008577E-3</v>
      </c>
      <c r="O169" s="1">
        <f>IFERROR(IF(Benchmark1[[#This Row],[Comparable '#2 Date Check]]="Pass",Benchmark1[[#This Row],[Comparable '#2 Return]]-Benchmark1[[#This Row],[Benchmark '#1 Return]],"-"),"-")</f>
        <v>-1.2973479881696337E-4</v>
      </c>
      <c r="P169" s="1" t="str">
        <f>IF(COUNTIF(Comp3[Comparable '#3 Dates],Benchmark1[[#This Row],[Benchmark '#1 Dates]])=1,"Pass","Fail")</f>
        <v>Pass</v>
      </c>
      <c r="Q169" s="6">
        <f>IF(Benchmark1[[#This Row],[Comparable '#3 Date Check]]="Pass",INDEX(Comp3[Comparable '#3 Price],MATCH(Benchmark1[[#This Row],[Benchmark '#1 Dates]],Comp3[Comparable '#3 Dates],0)),"-")</f>
        <v>139.26</v>
      </c>
      <c r="R169" s="22">
        <f>IF(Benchmark1[[#This Row],[Comparable '#3 Date Check]]="Pass",INDEX(Comp3[Comparable '#3 Return],MATCH(Benchmark1[[#This Row],[Benchmark '#1 Dates]],Comp3[Comparable '#3 Dates],0)),"-")</f>
        <v>-1.8215958361449975E-2</v>
      </c>
      <c r="S169" s="1">
        <f>IFERROR(IF(Benchmark1[[#This Row],[Comparable '#3 Date Check]]="Pass",Benchmark1[[#This Row],[Comparable '#3 Return]]-Benchmark1[[#This Row],[Benchmark '#1 Return]],"-"),"-")</f>
        <v>-1.1669265272566081E-2</v>
      </c>
    </row>
    <row r="170" spans="1:19">
      <c r="A170" s="103">
        <v>43531</v>
      </c>
      <c r="B170" s="104">
        <v>2748.9257803355367</v>
      </c>
      <c r="C170" s="4">
        <f t="shared" si="2"/>
        <v>-8.1595881677410283E-3</v>
      </c>
      <c r="D170" s="1" t="str">
        <f>IF(COUNTIF(Target1[Target Dates],Benchmark1[[#This Row],[Benchmark '#1 Dates]])=1,"Pass","Fail")</f>
        <v>Pass</v>
      </c>
      <c r="E170" s="6">
        <f>IF(Benchmark1[[#This Row],[Target Date Check]]="Pass",INDEX(Target1[Target Price],MATCH(Benchmark1[[#This Row],[Benchmark '#1 Dates]],Target1[Target Dates],0)),"-")</f>
        <v>32.44</v>
      </c>
      <c r="F170" s="22">
        <f>IF(Benchmark1[[#This Row],[Target Date Check]]="Pass",INDEX(Target1[Target Return],MATCH(Benchmark1[[#This Row],[Benchmark '#1 Dates]],Target1[Target Dates],0)),"-")</f>
        <v>0</v>
      </c>
      <c r="G170" s="1">
        <f>IFERROR(IF(Benchmark1[[#This Row],[Target Date Check]]="Pass",Benchmark1[[#This Row],[Target Return]]-Benchmark1[[#This Row],[Benchmark '#1 Return]],"-"),"-")</f>
        <v>8.1595881677410283E-3</v>
      </c>
      <c r="H170" s="1" t="str">
        <f>IF(COUNTIF(Comp1[Comparable '#1 Dates],Benchmark1[[#This Row],[Benchmark '#1 Dates]])=1,"Pass","Fail")</f>
        <v>Pass</v>
      </c>
      <c r="I170" s="6">
        <f>IF(Benchmark1[[#This Row],[Comparable '#1 Date Check]]="Pass",INDEX(Comp1[Comparable '#1 Price],MATCH(Benchmark1[[#This Row],[Benchmark '#1 Dates]],Comp1[Comparable '#1 Dates],0)),"-")</f>
        <v>14.64</v>
      </c>
      <c r="J170" s="22">
        <f>IF(Benchmark1[[#This Row],[Comparable '#1 Date Check]]="Pass",INDEX(Comp1[Comparable '#1 Return],MATCH(Benchmark1[[#This Row],[Benchmark '#1 Dates]],Comp1[Comparable '#1 Dates],0)),"-")</f>
        <v>-1.7603704418247976E-2</v>
      </c>
      <c r="K170" s="1">
        <f>IFERROR(IF(Benchmark1[[#This Row],[Comparable '#1 Date Check]]="Pass",Benchmark1[[#This Row],[Comparable '#1 Return]]-Benchmark1[[#This Row],[Benchmark '#1 Return]],"-"),"-")</f>
        <v>-9.4441162505069474E-3</v>
      </c>
      <c r="L170" s="1" t="str">
        <f>IF(COUNTIF(Comp2[Comparable '#2 Dates],Benchmark1[[#This Row],[Benchmark '#1 Dates]])=1,"Pass","Fail")</f>
        <v>Pass</v>
      </c>
      <c r="M170" s="6">
        <f>IF(Benchmark1[[#This Row],[Comparable '#2 Date Check]]="Pass",INDEX(Comp2[Comparable '#2 Price],MATCH(Benchmark1[[#This Row],[Benchmark '#1 Dates]],Comp2[Comparable '#2 Dates],0)),"-")</f>
        <v>47.27</v>
      </c>
      <c r="N170" s="22">
        <f>IF(Benchmark1[[#This Row],[Comparable '#2 Date Check]]="Pass",INDEX(Comp2[Comparable '#2 Return],MATCH(Benchmark1[[#This Row],[Benchmark '#1 Dates]],Comp2[Comparable '#2 Dates],0)),"-")</f>
        <v>-1.0521982596725489E-2</v>
      </c>
      <c r="O170" s="1">
        <f>IFERROR(IF(Benchmark1[[#This Row],[Comparable '#2 Date Check]]="Pass",Benchmark1[[#This Row],[Comparable '#2 Return]]-Benchmark1[[#This Row],[Benchmark '#1 Return]],"-"),"-")</f>
        <v>-2.3623944289844611E-3</v>
      </c>
      <c r="P170" s="1" t="str">
        <f>IF(COUNTIF(Comp3[Comparable '#3 Dates],Benchmark1[[#This Row],[Benchmark '#1 Dates]])=1,"Pass","Fail")</f>
        <v>Pass</v>
      </c>
      <c r="Q170" s="6">
        <f>IF(Benchmark1[[#This Row],[Comparable '#3 Date Check]]="Pass",INDEX(Comp3[Comparable '#3 Price],MATCH(Benchmark1[[#This Row],[Benchmark '#1 Dates]],Comp3[Comparable '#3 Dates],0)),"-")</f>
        <v>136.18</v>
      </c>
      <c r="R170" s="22">
        <f>IF(Benchmark1[[#This Row],[Comparable '#3 Date Check]]="Pass",INDEX(Comp3[Comparable '#3 Return],MATCH(Benchmark1[[#This Row],[Benchmark '#1 Dates]],Comp3[Comparable '#3 Dates],0)),"-")</f>
        <v>-2.2365149459579941E-2</v>
      </c>
      <c r="S170" s="1">
        <f>IFERROR(IF(Benchmark1[[#This Row],[Comparable '#3 Date Check]]="Pass",Benchmark1[[#This Row],[Comparable '#3 Return]]-Benchmark1[[#This Row],[Benchmark '#1 Return]],"-"),"-")</f>
        <v>-1.4205561291838913E-2</v>
      </c>
    </row>
    <row r="171" spans="1:19">
      <c r="A171" s="103">
        <v>43532</v>
      </c>
      <c r="B171" s="104">
        <v>2743.0676692161346</v>
      </c>
      <c r="C171" s="4">
        <f t="shared" si="2"/>
        <v>-2.1333285973286352E-3</v>
      </c>
      <c r="D171" s="1" t="str">
        <f>IF(COUNTIF(Target1[Target Dates],Benchmark1[[#This Row],[Benchmark '#1 Dates]])=1,"Pass","Fail")</f>
        <v>Pass</v>
      </c>
      <c r="E171" s="6">
        <f>IF(Benchmark1[[#This Row],[Target Date Check]]="Pass",INDEX(Target1[Target Price],MATCH(Benchmark1[[#This Row],[Benchmark '#1 Dates]],Target1[Target Dates],0)),"-")</f>
        <v>32.56</v>
      </c>
      <c r="F171" s="22">
        <f>IF(Benchmark1[[#This Row],[Target Date Check]]="Pass",INDEX(Target1[Target Return],MATCH(Benchmark1[[#This Row],[Benchmark '#1 Dates]],Target1[Target Dates],0)),"-")</f>
        <v>3.6923118871275921E-3</v>
      </c>
      <c r="G171" s="1">
        <f>IFERROR(IF(Benchmark1[[#This Row],[Target Date Check]]="Pass",Benchmark1[[#This Row],[Target Return]]-Benchmark1[[#This Row],[Benchmark '#1 Return]],"-"),"-")</f>
        <v>5.8256404844562269E-3</v>
      </c>
      <c r="H171" s="1" t="str">
        <f>IF(COUNTIF(Comp1[Comparable '#1 Dates],Benchmark1[[#This Row],[Benchmark '#1 Dates]])=1,"Pass","Fail")</f>
        <v>Pass</v>
      </c>
      <c r="I171" s="6">
        <f>IF(Benchmark1[[#This Row],[Comparable '#1 Date Check]]="Pass",INDEX(Comp1[Comparable '#1 Price],MATCH(Benchmark1[[#This Row],[Benchmark '#1 Dates]],Comp1[Comparable '#1 Dates],0)),"-")</f>
        <v>14.51</v>
      </c>
      <c r="J171" s="22">
        <f>IF(Benchmark1[[#This Row],[Comparable '#1 Date Check]]="Pass",INDEX(Comp1[Comparable '#1 Return],MATCH(Benchmark1[[#This Row],[Benchmark '#1 Dates]],Comp1[Comparable '#1 Dates],0)),"-")</f>
        <v>-8.9194416370690591E-3</v>
      </c>
      <c r="K171" s="1">
        <f>IFERROR(IF(Benchmark1[[#This Row],[Comparable '#1 Date Check]]="Pass",Benchmark1[[#This Row],[Comparable '#1 Return]]-Benchmark1[[#This Row],[Benchmark '#1 Return]],"-"),"-")</f>
        <v>-6.7861130397404244E-3</v>
      </c>
      <c r="L171" s="1" t="str">
        <f>IF(COUNTIF(Comp2[Comparable '#2 Dates],Benchmark1[[#This Row],[Benchmark '#1 Dates]])=1,"Pass","Fail")</f>
        <v>Pass</v>
      </c>
      <c r="M171" s="6">
        <f>IF(Benchmark1[[#This Row],[Comparable '#2 Date Check]]="Pass",INDEX(Comp2[Comparable '#2 Price],MATCH(Benchmark1[[#This Row],[Benchmark '#1 Dates]],Comp2[Comparable '#2 Dates],0)),"-")</f>
        <v>47.4</v>
      </c>
      <c r="N171" s="22">
        <f>IF(Benchmark1[[#This Row],[Comparable '#2 Date Check]]="Pass",INDEX(Comp2[Comparable '#2 Return],MATCH(Benchmark1[[#This Row],[Benchmark '#1 Dates]],Comp2[Comparable '#2 Dates],0)),"-")</f>
        <v>2.7463838958856875E-3</v>
      </c>
      <c r="O171" s="1">
        <f>IFERROR(IF(Benchmark1[[#This Row],[Comparable '#2 Date Check]]="Pass",Benchmark1[[#This Row],[Comparable '#2 Return]]-Benchmark1[[#This Row],[Benchmark '#1 Return]],"-"),"-")</f>
        <v>4.8797124932143231E-3</v>
      </c>
      <c r="P171" s="1" t="str">
        <f>IF(COUNTIF(Comp3[Comparable '#3 Dates],Benchmark1[[#This Row],[Benchmark '#1 Dates]])=1,"Pass","Fail")</f>
        <v>Pass</v>
      </c>
      <c r="Q171" s="6">
        <f>IF(Benchmark1[[#This Row],[Comparable '#3 Date Check]]="Pass",INDEX(Comp3[Comparable '#3 Price],MATCH(Benchmark1[[#This Row],[Benchmark '#1 Dates]],Comp3[Comparable '#3 Dates],0)),"-")</f>
        <v>133.79</v>
      </c>
      <c r="R171" s="22">
        <f>IF(Benchmark1[[#This Row],[Comparable '#3 Date Check]]="Pass",INDEX(Comp3[Comparable '#3 Return],MATCH(Benchmark1[[#This Row],[Benchmark '#1 Dates]],Comp3[Comparable '#3 Dates],0)),"-")</f>
        <v>-1.7706133569292737E-2</v>
      </c>
      <c r="S171" s="1">
        <f>IFERROR(IF(Benchmark1[[#This Row],[Comparable '#3 Date Check]]="Pass",Benchmark1[[#This Row],[Comparable '#3 Return]]-Benchmark1[[#This Row],[Benchmark '#1 Return]],"-"),"-")</f>
        <v>-1.5572804971964102E-2</v>
      </c>
    </row>
    <row r="172" spans="1:19">
      <c r="A172" s="103">
        <v>43535</v>
      </c>
      <c r="B172" s="104">
        <v>2783.2950066621156</v>
      </c>
      <c r="C172" s="4">
        <f t="shared" si="2"/>
        <v>1.4558598603660997E-2</v>
      </c>
      <c r="D172" s="1" t="str">
        <f>IF(COUNTIF(Target1[Target Dates],Benchmark1[[#This Row],[Benchmark '#1 Dates]])=1,"Pass","Fail")</f>
        <v>Pass</v>
      </c>
      <c r="E172" s="6">
        <f>IF(Benchmark1[[#This Row],[Target Date Check]]="Pass",INDEX(Target1[Target Price],MATCH(Benchmark1[[#This Row],[Benchmark '#1 Dates]],Target1[Target Dates],0)),"-")</f>
        <v>33.380000000000003</v>
      </c>
      <c r="F172" s="22">
        <f>IF(Benchmark1[[#This Row],[Target Date Check]]="Pass",INDEX(Target1[Target Return],MATCH(Benchmark1[[#This Row],[Benchmark '#1 Dates]],Target1[Target Dates],0)),"-")</f>
        <v>2.4872377099349523E-2</v>
      </c>
      <c r="G172" s="1">
        <f>IFERROR(IF(Benchmark1[[#This Row],[Target Date Check]]="Pass",Benchmark1[[#This Row],[Target Return]]-Benchmark1[[#This Row],[Benchmark '#1 Return]],"-"),"-")</f>
        <v>1.0313778495688526E-2</v>
      </c>
      <c r="H172" s="1" t="str">
        <f>IF(COUNTIF(Comp1[Comparable '#1 Dates],Benchmark1[[#This Row],[Benchmark '#1 Dates]])=1,"Pass","Fail")</f>
        <v>Pass</v>
      </c>
      <c r="I172" s="6">
        <f>IF(Benchmark1[[#This Row],[Comparable '#1 Date Check]]="Pass",INDEX(Comp1[Comparable '#1 Price],MATCH(Benchmark1[[#This Row],[Benchmark '#1 Dates]],Comp1[Comparable '#1 Dates],0)),"-")</f>
        <v>14.77</v>
      </c>
      <c r="J172" s="22">
        <f>IF(Benchmark1[[#This Row],[Comparable '#1 Date Check]]="Pass",INDEX(Comp1[Comparable '#1 Return],MATCH(Benchmark1[[#This Row],[Benchmark '#1 Dates]],Comp1[Comparable '#1 Dates],0)),"-")</f>
        <v>1.7760029647191984E-2</v>
      </c>
      <c r="K172" s="1">
        <f>IFERROR(IF(Benchmark1[[#This Row],[Comparable '#1 Date Check]]="Pass",Benchmark1[[#This Row],[Comparable '#1 Return]]-Benchmark1[[#This Row],[Benchmark '#1 Return]],"-"),"-")</f>
        <v>3.2014310435309872E-3</v>
      </c>
      <c r="L172" s="1" t="str">
        <f>IF(COUNTIF(Comp2[Comparable '#2 Dates],Benchmark1[[#This Row],[Benchmark '#1 Dates]])=1,"Pass","Fail")</f>
        <v>Pass</v>
      </c>
      <c r="M172" s="6">
        <f>IF(Benchmark1[[#This Row],[Comparable '#2 Date Check]]="Pass",INDEX(Comp2[Comparable '#2 Price],MATCH(Benchmark1[[#This Row],[Benchmark '#1 Dates]],Comp2[Comparable '#2 Dates],0)),"-")</f>
        <v>48.2</v>
      </c>
      <c r="N172" s="22">
        <f>IF(Benchmark1[[#This Row],[Comparable '#2 Date Check]]="Pass",INDEX(Comp2[Comparable '#2 Return],MATCH(Benchmark1[[#This Row],[Benchmark '#1 Dates]],Comp2[Comparable '#2 Dates],0)),"-")</f>
        <v>1.6736792355523826E-2</v>
      </c>
      <c r="O172" s="1">
        <f>IFERROR(IF(Benchmark1[[#This Row],[Comparable '#2 Date Check]]="Pass",Benchmark1[[#This Row],[Comparable '#2 Return]]-Benchmark1[[#This Row],[Benchmark '#1 Return]],"-"),"-")</f>
        <v>2.1781937518628291E-3</v>
      </c>
      <c r="P172" s="1" t="str">
        <f>IF(COUNTIF(Comp3[Comparable '#3 Dates],Benchmark1[[#This Row],[Benchmark '#1 Dates]])=1,"Pass","Fail")</f>
        <v>Pass</v>
      </c>
      <c r="Q172" s="6">
        <f>IF(Benchmark1[[#This Row],[Comparable '#3 Date Check]]="Pass",INDEX(Comp3[Comparable '#3 Price],MATCH(Benchmark1[[#This Row],[Benchmark '#1 Dates]],Comp3[Comparable '#3 Dates],0)),"-")</f>
        <v>137.63</v>
      </c>
      <c r="R172" s="22">
        <f>IF(Benchmark1[[#This Row],[Comparable '#3 Date Check]]="Pass",INDEX(Comp3[Comparable '#3 Return],MATCH(Benchmark1[[#This Row],[Benchmark '#1 Dates]],Comp3[Comparable '#3 Dates],0)),"-")</f>
        <v>2.8297518505913201E-2</v>
      </c>
      <c r="S172" s="1">
        <f>IFERROR(IF(Benchmark1[[#This Row],[Comparable '#3 Date Check]]="Pass",Benchmark1[[#This Row],[Comparable '#3 Return]]-Benchmark1[[#This Row],[Benchmark '#1 Return]],"-"),"-")</f>
        <v>1.3738919902252204E-2</v>
      </c>
    </row>
    <row r="173" spans="1:19">
      <c r="A173" s="103">
        <v>43536</v>
      </c>
      <c r="B173" s="104">
        <v>2791.5222805753579</v>
      </c>
      <c r="C173" s="4">
        <f t="shared" si="2"/>
        <v>2.9515872762273772E-3</v>
      </c>
      <c r="D173" s="1" t="str">
        <f>IF(COUNTIF(Target1[Target Dates],Benchmark1[[#This Row],[Benchmark '#1 Dates]])=1,"Pass","Fail")</f>
        <v>Pass</v>
      </c>
      <c r="E173" s="6">
        <f>IF(Benchmark1[[#This Row],[Target Date Check]]="Pass",INDEX(Target1[Target Price],MATCH(Benchmark1[[#This Row],[Benchmark '#1 Dates]],Target1[Target Dates],0)),"-")</f>
        <v>33.47</v>
      </c>
      <c r="F173" s="22">
        <f>IF(Benchmark1[[#This Row],[Target Date Check]]="Pass",INDEX(Target1[Target Return],MATCH(Benchmark1[[#This Row],[Benchmark '#1 Dates]],Target1[Target Dates],0)),"-")</f>
        <v>2.6925969895461167E-3</v>
      </c>
      <c r="G173" s="1">
        <f>IFERROR(IF(Benchmark1[[#This Row],[Target Date Check]]="Pass",Benchmark1[[#This Row],[Target Return]]-Benchmark1[[#This Row],[Benchmark '#1 Return]],"-"),"-")</f>
        <v>-2.589902866812605E-4</v>
      </c>
      <c r="H173" s="1" t="str">
        <f>IF(COUNTIF(Comp1[Comparable '#1 Dates],Benchmark1[[#This Row],[Benchmark '#1 Dates]])=1,"Pass","Fail")</f>
        <v>Pass</v>
      </c>
      <c r="I173" s="6">
        <f>IF(Benchmark1[[#This Row],[Comparable '#1 Date Check]]="Pass",INDEX(Comp1[Comparable '#1 Price],MATCH(Benchmark1[[#This Row],[Benchmark '#1 Dates]],Comp1[Comparable '#1 Dates],0)),"-")</f>
        <v>14.9</v>
      </c>
      <c r="J173" s="22">
        <f>IF(Benchmark1[[#This Row],[Comparable '#1 Date Check]]="Pass",INDEX(Comp1[Comparable '#1 Return],MATCH(Benchmark1[[#This Row],[Benchmark '#1 Dates]],Comp1[Comparable '#1 Dates],0)),"-")</f>
        <v>8.7631164081250993E-3</v>
      </c>
      <c r="K173" s="1">
        <f>IFERROR(IF(Benchmark1[[#This Row],[Comparable '#1 Date Check]]="Pass",Benchmark1[[#This Row],[Comparable '#1 Return]]-Benchmark1[[#This Row],[Benchmark '#1 Return]],"-"),"-")</f>
        <v>5.8115291318977221E-3</v>
      </c>
      <c r="L173" s="1" t="str">
        <f>IF(COUNTIF(Comp2[Comparable '#2 Dates],Benchmark1[[#This Row],[Benchmark '#1 Dates]])=1,"Pass","Fail")</f>
        <v>Pass</v>
      </c>
      <c r="M173" s="6">
        <f>IF(Benchmark1[[#This Row],[Comparable '#2 Date Check]]="Pass",INDEX(Comp2[Comparable '#2 Price],MATCH(Benchmark1[[#This Row],[Benchmark '#1 Dates]],Comp2[Comparable '#2 Dates],0)),"-")</f>
        <v>48.03</v>
      </c>
      <c r="N173" s="22">
        <f>IF(Benchmark1[[#This Row],[Comparable '#2 Date Check]]="Pass",INDEX(Comp2[Comparable '#2 Return],MATCH(Benchmark1[[#This Row],[Benchmark '#1 Dates]],Comp2[Comparable '#2 Dates],0)),"-")</f>
        <v>-3.5332053798215989E-3</v>
      </c>
      <c r="O173" s="1">
        <f>IFERROR(IF(Benchmark1[[#This Row],[Comparable '#2 Date Check]]="Pass",Benchmark1[[#This Row],[Comparable '#2 Return]]-Benchmark1[[#This Row],[Benchmark '#1 Return]],"-"),"-")</f>
        <v>-6.4847926560489761E-3</v>
      </c>
      <c r="P173" s="1" t="str">
        <f>IF(COUNTIF(Comp3[Comparable '#3 Dates],Benchmark1[[#This Row],[Benchmark '#1 Dates]])=1,"Pass","Fail")</f>
        <v>Pass</v>
      </c>
      <c r="Q173" s="6">
        <f>IF(Benchmark1[[#This Row],[Comparable '#3 Date Check]]="Pass",INDEX(Comp3[Comparable '#3 Price],MATCH(Benchmark1[[#This Row],[Benchmark '#1 Dates]],Comp3[Comparable '#3 Dates],0)),"-")</f>
        <v>138.77000000000001</v>
      </c>
      <c r="R173" s="22">
        <f>IF(Benchmark1[[#This Row],[Comparable '#3 Date Check]]="Pass",INDEX(Comp3[Comparable '#3 Return],MATCH(Benchmark1[[#This Row],[Benchmark '#1 Dates]],Comp3[Comparable '#3 Dates],0)),"-")</f>
        <v>8.2489613914780054E-3</v>
      </c>
      <c r="S173" s="1">
        <f>IFERROR(IF(Benchmark1[[#This Row],[Comparable '#3 Date Check]]="Pass",Benchmark1[[#This Row],[Comparable '#3 Return]]-Benchmark1[[#This Row],[Benchmark '#1 Return]],"-"),"-")</f>
        <v>5.2973741152506281E-3</v>
      </c>
    </row>
    <row r="174" spans="1:19">
      <c r="A174" s="103">
        <v>43537</v>
      </c>
      <c r="B174" s="104">
        <v>2810.9175122646666</v>
      </c>
      <c r="C174" s="4">
        <f t="shared" si="2"/>
        <v>6.9238795562460318E-3</v>
      </c>
      <c r="D174" s="1" t="str">
        <f>IF(COUNTIF(Target1[Target Dates],Benchmark1[[#This Row],[Benchmark '#1 Dates]])=1,"Pass","Fail")</f>
        <v>Pass</v>
      </c>
      <c r="E174" s="6">
        <f>IF(Benchmark1[[#This Row],[Target Date Check]]="Pass",INDEX(Target1[Target Price],MATCH(Benchmark1[[#This Row],[Benchmark '#1 Dates]],Target1[Target Dates],0)),"-")</f>
        <v>33.71</v>
      </c>
      <c r="F174" s="22">
        <f>IF(Benchmark1[[#This Row],[Target Date Check]]="Pass",INDEX(Target1[Target Return],MATCH(Benchmark1[[#This Row],[Benchmark '#1 Dates]],Target1[Target Dates],0)),"-")</f>
        <v>7.1450140227342432E-3</v>
      </c>
      <c r="G174" s="1">
        <f>IFERROR(IF(Benchmark1[[#This Row],[Target Date Check]]="Pass",Benchmark1[[#This Row],[Target Return]]-Benchmark1[[#This Row],[Benchmark '#1 Return]],"-"),"-")</f>
        <v>2.2113446648821134E-4</v>
      </c>
      <c r="H174" s="1" t="str">
        <f>IF(COUNTIF(Comp1[Comparable '#1 Dates],Benchmark1[[#This Row],[Benchmark '#1 Dates]])=1,"Pass","Fail")</f>
        <v>Pass</v>
      </c>
      <c r="I174" s="6">
        <f>IF(Benchmark1[[#This Row],[Comparable '#1 Date Check]]="Pass",INDEX(Comp1[Comparable '#1 Price],MATCH(Benchmark1[[#This Row],[Benchmark '#1 Dates]],Comp1[Comparable '#1 Dates],0)),"-")</f>
        <v>15.26</v>
      </c>
      <c r="J174" s="22">
        <f>IF(Benchmark1[[#This Row],[Comparable '#1 Date Check]]="Pass",INDEX(Comp1[Comparable '#1 Return],MATCH(Benchmark1[[#This Row],[Benchmark '#1 Dates]],Comp1[Comparable '#1 Dates],0)),"-")</f>
        <v>2.3873812904897498E-2</v>
      </c>
      <c r="K174" s="1">
        <f>IFERROR(IF(Benchmark1[[#This Row],[Comparable '#1 Date Check]]="Pass",Benchmark1[[#This Row],[Comparable '#1 Return]]-Benchmark1[[#This Row],[Benchmark '#1 Return]],"-"),"-")</f>
        <v>1.6949933348651466E-2</v>
      </c>
      <c r="L174" s="1" t="str">
        <f>IF(COUNTIF(Comp2[Comparable '#2 Dates],Benchmark1[[#This Row],[Benchmark '#1 Dates]])=1,"Pass","Fail")</f>
        <v>Pass</v>
      </c>
      <c r="M174" s="6">
        <f>IF(Benchmark1[[#This Row],[Comparable '#2 Date Check]]="Pass",INDEX(Comp2[Comparable '#2 Price],MATCH(Benchmark1[[#This Row],[Benchmark '#1 Dates]],Comp2[Comparable '#2 Dates],0)),"-")</f>
        <v>48.67</v>
      </c>
      <c r="N174" s="22">
        <f>IF(Benchmark1[[#This Row],[Comparable '#2 Date Check]]="Pass",INDEX(Comp2[Comparable '#2 Return],MATCH(Benchmark1[[#This Row],[Benchmark '#1 Dates]],Comp2[Comparable '#2 Dates],0)),"-")</f>
        <v>1.3237008168629943E-2</v>
      </c>
      <c r="O174" s="1">
        <f>IFERROR(IF(Benchmark1[[#This Row],[Comparable '#2 Date Check]]="Pass",Benchmark1[[#This Row],[Comparable '#2 Return]]-Benchmark1[[#This Row],[Benchmark '#1 Return]],"-"),"-")</f>
        <v>6.3131286123839113E-3</v>
      </c>
      <c r="P174" s="1" t="str">
        <f>IF(COUNTIF(Comp3[Comparable '#3 Dates],Benchmark1[[#This Row],[Benchmark '#1 Dates]])=1,"Pass","Fail")</f>
        <v>Pass</v>
      </c>
      <c r="Q174" s="6">
        <f>IF(Benchmark1[[#This Row],[Comparable '#3 Date Check]]="Pass",INDEX(Comp3[Comparable '#3 Price],MATCH(Benchmark1[[#This Row],[Benchmark '#1 Dates]],Comp3[Comparable '#3 Dates],0)),"-")</f>
        <v>138.82</v>
      </c>
      <c r="R174" s="22">
        <f>IF(Benchmark1[[#This Row],[Comparable '#3 Date Check]]="Pass",INDEX(Comp3[Comparable '#3 Return],MATCH(Benchmark1[[#This Row],[Benchmark '#1 Dates]],Comp3[Comparable '#3 Dates],0)),"-")</f>
        <v>3.602435285185005E-4</v>
      </c>
      <c r="S174" s="1">
        <f>IFERROR(IF(Benchmark1[[#This Row],[Comparable '#3 Date Check]]="Pass",Benchmark1[[#This Row],[Comparable '#3 Return]]-Benchmark1[[#This Row],[Benchmark '#1 Return]],"-"),"-")</f>
        <v>-6.5636360277275315E-3</v>
      </c>
    </row>
    <row r="175" spans="1:19">
      <c r="A175" s="103">
        <v>43538</v>
      </c>
      <c r="B175" s="104">
        <v>2808.4827876644808</v>
      </c>
      <c r="C175" s="4">
        <f t="shared" si="2"/>
        <v>-8.6654255706553626E-4</v>
      </c>
      <c r="D175" s="1" t="str">
        <f>IF(COUNTIF(Target1[Target Dates],Benchmark1[[#This Row],[Benchmark '#1 Dates]])=1,"Pass","Fail")</f>
        <v>Pass</v>
      </c>
      <c r="E175" s="6">
        <f>IF(Benchmark1[[#This Row],[Target Date Check]]="Pass",INDEX(Target1[Target Price],MATCH(Benchmark1[[#This Row],[Benchmark '#1 Dates]],Target1[Target Dates],0)),"-")</f>
        <v>33.619999999999997</v>
      </c>
      <c r="F175" s="22">
        <f>IF(Benchmark1[[#This Row],[Target Date Check]]="Pass",INDEX(Target1[Target Return],MATCH(Benchmark1[[#This Row],[Benchmark '#1 Dates]],Target1[Target Dates],0)),"-")</f>
        <v>-2.6734012654998683E-3</v>
      </c>
      <c r="G175" s="1">
        <f>IFERROR(IF(Benchmark1[[#This Row],[Target Date Check]]="Pass",Benchmark1[[#This Row],[Target Return]]-Benchmark1[[#This Row],[Benchmark '#1 Return]],"-"),"-")</f>
        <v>-1.8068587084343322E-3</v>
      </c>
      <c r="H175" s="1" t="str">
        <f>IF(COUNTIF(Comp1[Comparable '#1 Dates],Benchmark1[[#This Row],[Benchmark '#1 Dates]])=1,"Pass","Fail")</f>
        <v>Pass</v>
      </c>
      <c r="I175" s="6">
        <f>IF(Benchmark1[[#This Row],[Comparable '#1 Date Check]]="Pass",INDEX(Comp1[Comparable '#1 Price],MATCH(Benchmark1[[#This Row],[Benchmark '#1 Dates]],Comp1[Comparable '#1 Dates],0)),"-")</f>
        <v>14.97</v>
      </c>
      <c r="J175" s="22">
        <f>IF(Benchmark1[[#This Row],[Comparable '#1 Date Check]]="Pass",INDEX(Comp1[Comparable '#1 Return],MATCH(Benchmark1[[#This Row],[Benchmark '#1 Dates]],Comp1[Comparable '#1 Dates],0)),"-")</f>
        <v>-1.9186827424773858E-2</v>
      </c>
      <c r="K175" s="1">
        <f>IFERROR(IF(Benchmark1[[#This Row],[Comparable '#1 Date Check]]="Pass",Benchmark1[[#This Row],[Comparable '#1 Return]]-Benchmark1[[#This Row],[Benchmark '#1 Return]],"-"),"-")</f>
        <v>-1.8320284867708321E-2</v>
      </c>
      <c r="L175" s="1" t="str">
        <f>IF(COUNTIF(Comp2[Comparable '#2 Dates],Benchmark1[[#This Row],[Benchmark '#1 Dates]])=1,"Pass","Fail")</f>
        <v>Pass</v>
      </c>
      <c r="M175" s="6">
        <f>IF(Benchmark1[[#This Row],[Comparable '#2 Date Check]]="Pass",INDEX(Comp2[Comparable '#2 Price],MATCH(Benchmark1[[#This Row],[Benchmark '#1 Dates]],Comp2[Comparable '#2 Dates],0)),"-")</f>
        <v>48.32</v>
      </c>
      <c r="N175" s="22">
        <f>IF(Benchmark1[[#This Row],[Comparable '#2 Date Check]]="Pass",INDEX(Comp2[Comparable '#2 Return],MATCH(Benchmark1[[#This Row],[Benchmark '#1 Dates]],Comp2[Comparable '#2 Dates],0)),"-")</f>
        <v>-7.217270218803494E-3</v>
      </c>
      <c r="O175" s="1">
        <f>IFERROR(IF(Benchmark1[[#This Row],[Comparable '#2 Date Check]]="Pass",Benchmark1[[#This Row],[Comparable '#2 Return]]-Benchmark1[[#This Row],[Benchmark '#1 Return]],"-"),"-")</f>
        <v>-6.3507276617379574E-3</v>
      </c>
      <c r="P175" s="1" t="str">
        <f>IF(COUNTIF(Comp3[Comparable '#3 Dates],Benchmark1[[#This Row],[Benchmark '#1 Dates]])=1,"Pass","Fail")</f>
        <v>Pass</v>
      </c>
      <c r="Q175" s="6">
        <f>IF(Benchmark1[[#This Row],[Comparable '#3 Date Check]]="Pass",INDEX(Comp3[Comparable '#3 Price],MATCH(Benchmark1[[#This Row],[Benchmark '#1 Dates]],Comp3[Comparable '#3 Dates],0)),"-")</f>
        <v>137.36000000000001</v>
      </c>
      <c r="R175" s="22">
        <f>IF(Benchmark1[[#This Row],[Comparable '#3 Date Check]]="Pass",INDEX(Comp3[Comparable '#3 Return],MATCH(Benchmark1[[#This Row],[Benchmark '#1 Dates]],Comp3[Comparable '#3 Dates],0)),"-")</f>
        <v>-1.0572913322217412E-2</v>
      </c>
      <c r="S175" s="1">
        <f>IFERROR(IF(Benchmark1[[#This Row],[Comparable '#3 Date Check]]="Pass",Benchmark1[[#This Row],[Comparable '#3 Return]]-Benchmark1[[#This Row],[Benchmark '#1 Return]],"-"),"-")</f>
        <v>-9.7063707651518765E-3</v>
      </c>
    </row>
    <row r="176" spans="1:19">
      <c r="A176" s="103">
        <v>43539</v>
      </c>
      <c r="B176" s="104">
        <v>2822.4766492394797</v>
      </c>
      <c r="C176" s="4">
        <f t="shared" si="2"/>
        <v>4.9703396164754669E-3</v>
      </c>
      <c r="D176" s="1" t="str">
        <f>IF(COUNTIF(Target1[Target Dates],Benchmark1[[#This Row],[Benchmark '#1 Dates]])=1,"Pass","Fail")</f>
        <v>Pass</v>
      </c>
      <c r="E176" s="6">
        <f>IF(Benchmark1[[#This Row],[Target Date Check]]="Pass",INDEX(Target1[Target Price],MATCH(Benchmark1[[#This Row],[Benchmark '#1 Dates]],Target1[Target Dates],0)),"-")</f>
        <v>33.78</v>
      </c>
      <c r="F176" s="22">
        <f>IF(Benchmark1[[#This Row],[Target Date Check]]="Pass",INDEX(Target1[Target Return],MATCH(Benchmark1[[#This Row],[Benchmark '#1 Dates]],Target1[Target Dates],0)),"-")</f>
        <v>4.7477833991845667E-3</v>
      </c>
      <c r="G176" s="1">
        <f>IFERROR(IF(Benchmark1[[#This Row],[Target Date Check]]="Pass",Benchmark1[[#This Row],[Target Return]]-Benchmark1[[#This Row],[Benchmark '#1 Return]],"-"),"-")</f>
        <v>-2.2255621729090017E-4</v>
      </c>
      <c r="H176" s="1" t="str">
        <f>IF(COUNTIF(Comp1[Comparable '#1 Dates],Benchmark1[[#This Row],[Benchmark '#1 Dates]])=1,"Pass","Fail")</f>
        <v>Pass</v>
      </c>
      <c r="I176" s="6">
        <f>IF(Benchmark1[[#This Row],[Comparable '#1 Date Check]]="Pass",INDEX(Comp1[Comparable '#1 Price],MATCH(Benchmark1[[#This Row],[Benchmark '#1 Dates]],Comp1[Comparable '#1 Dates],0)),"-")</f>
        <v>15.09</v>
      </c>
      <c r="J176" s="22">
        <f>IF(Benchmark1[[#This Row],[Comparable '#1 Date Check]]="Pass",INDEX(Comp1[Comparable '#1 Return],MATCH(Benchmark1[[#This Row],[Benchmark '#1 Dates]],Comp1[Comparable '#1 Dates],0)),"-")</f>
        <v>7.9840743482205486E-3</v>
      </c>
      <c r="K176" s="1">
        <f>IFERROR(IF(Benchmark1[[#This Row],[Comparable '#1 Date Check]]="Pass",Benchmark1[[#This Row],[Comparable '#1 Return]]-Benchmark1[[#This Row],[Benchmark '#1 Return]],"-"),"-")</f>
        <v>3.0137347317450817E-3</v>
      </c>
      <c r="L176" s="1" t="str">
        <f>IF(COUNTIF(Comp2[Comparable '#2 Dates],Benchmark1[[#This Row],[Benchmark '#1 Dates]])=1,"Pass","Fail")</f>
        <v>Pass</v>
      </c>
      <c r="M176" s="6">
        <f>IF(Benchmark1[[#This Row],[Comparable '#2 Date Check]]="Pass",INDEX(Comp2[Comparable '#2 Price],MATCH(Benchmark1[[#This Row],[Benchmark '#1 Dates]],Comp2[Comparable '#2 Dates],0)),"-")</f>
        <v>48.84</v>
      </c>
      <c r="N176" s="22">
        <f>IF(Benchmark1[[#This Row],[Comparable '#2 Date Check]]="Pass",INDEX(Comp2[Comparable '#2 Return],MATCH(Benchmark1[[#This Row],[Benchmark '#1 Dates]],Comp2[Comparable '#2 Dates],0)),"-")</f>
        <v>1.070409561594456E-2</v>
      </c>
      <c r="O176" s="1">
        <f>IFERROR(IF(Benchmark1[[#This Row],[Comparable '#2 Date Check]]="Pass",Benchmark1[[#This Row],[Comparable '#2 Return]]-Benchmark1[[#This Row],[Benchmark '#1 Return]],"-"),"-")</f>
        <v>5.7337559994690927E-3</v>
      </c>
      <c r="P176" s="1" t="str">
        <f>IF(COUNTIF(Comp3[Comparable '#3 Dates],Benchmark1[[#This Row],[Benchmark '#1 Dates]])=1,"Pass","Fail")</f>
        <v>Pass</v>
      </c>
      <c r="Q176" s="6">
        <f>IF(Benchmark1[[#This Row],[Comparable '#3 Date Check]]="Pass",INDEX(Comp3[Comparable '#3 Price],MATCH(Benchmark1[[#This Row],[Benchmark '#1 Dates]],Comp3[Comparable '#3 Dates],0)),"-")</f>
        <v>138.29</v>
      </c>
      <c r="R176" s="22">
        <f>IF(Benchmark1[[#This Row],[Comparable '#3 Date Check]]="Pass",INDEX(Comp3[Comparable '#3 Return],MATCH(Benchmark1[[#This Row],[Benchmark '#1 Dates]],Comp3[Comparable '#3 Dates],0)),"-")</f>
        <v>6.7477128873468309E-3</v>
      </c>
      <c r="S176" s="1">
        <f>IFERROR(IF(Benchmark1[[#This Row],[Comparable '#3 Date Check]]="Pass",Benchmark1[[#This Row],[Comparable '#3 Return]]-Benchmark1[[#This Row],[Benchmark '#1 Return]],"-"),"-")</f>
        <v>1.777373270871364E-3</v>
      </c>
    </row>
    <row r="177" spans="1:19">
      <c r="A177" s="103">
        <v>43542</v>
      </c>
      <c r="B177" s="104">
        <v>2832.9405791163622</v>
      </c>
      <c r="C177" s="4">
        <f t="shared" si="2"/>
        <v>3.7005021540250232E-3</v>
      </c>
      <c r="D177" s="1" t="str">
        <f>IF(COUNTIF(Target1[Target Dates],Benchmark1[[#This Row],[Benchmark '#1 Dates]])=1,"Pass","Fail")</f>
        <v>Pass</v>
      </c>
      <c r="E177" s="6">
        <f>IF(Benchmark1[[#This Row],[Target Date Check]]="Pass",INDEX(Target1[Target Price],MATCH(Benchmark1[[#This Row],[Benchmark '#1 Dates]],Target1[Target Dates],0)),"-")</f>
        <v>33.28</v>
      </c>
      <c r="F177" s="22">
        <f>IF(Benchmark1[[#This Row],[Target Date Check]]="Pass",INDEX(Target1[Target Return],MATCH(Benchmark1[[#This Row],[Benchmark '#1 Dates]],Target1[Target Dates],0)),"-")</f>
        <v>-1.4912295426646172E-2</v>
      </c>
      <c r="G177" s="1">
        <f>IFERROR(IF(Benchmark1[[#This Row],[Target Date Check]]="Pass",Benchmark1[[#This Row],[Target Return]]-Benchmark1[[#This Row],[Benchmark '#1 Return]],"-"),"-")</f>
        <v>-1.8612797580671196E-2</v>
      </c>
      <c r="H177" s="1" t="str">
        <f>IF(COUNTIF(Comp1[Comparable '#1 Dates],Benchmark1[[#This Row],[Benchmark '#1 Dates]])=1,"Pass","Fail")</f>
        <v>Pass</v>
      </c>
      <c r="I177" s="6">
        <f>IF(Benchmark1[[#This Row],[Comparable '#1 Date Check]]="Pass",INDEX(Comp1[Comparable '#1 Price],MATCH(Benchmark1[[#This Row],[Benchmark '#1 Dates]],Comp1[Comparable '#1 Dates],0)),"-")</f>
        <v>15.25</v>
      </c>
      <c r="J177" s="22">
        <f>IF(Benchmark1[[#This Row],[Comparable '#1 Date Check]]="Pass",INDEX(Comp1[Comparable '#1 Return],MATCH(Benchmark1[[#This Row],[Benchmark '#1 Dates]],Comp1[Comparable '#1 Dates],0)),"-")</f>
        <v>1.0547230273663014E-2</v>
      </c>
      <c r="K177" s="1">
        <f>IFERROR(IF(Benchmark1[[#This Row],[Comparable '#1 Date Check]]="Pass",Benchmark1[[#This Row],[Comparable '#1 Return]]-Benchmark1[[#This Row],[Benchmark '#1 Return]],"-"),"-")</f>
        <v>6.8467281196379903E-3</v>
      </c>
      <c r="L177" s="1" t="str">
        <f>IF(COUNTIF(Comp2[Comparable '#2 Dates],Benchmark1[[#This Row],[Benchmark '#1 Dates]])=1,"Pass","Fail")</f>
        <v>Pass</v>
      </c>
      <c r="M177" s="6">
        <f>IF(Benchmark1[[#This Row],[Comparable '#2 Date Check]]="Pass",INDEX(Comp2[Comparable '#2 Price],MATCH(Benchmark1[[#This Row],[Benchmark '#1 Dates]],Comp2[Comparable '#2 Dates],0)),"-")</f>
        <v>48.83</v>
      </c>
      <c r="N177" s="22">
        <f>IF(Benchmark1[[#This Row],[Comparable '#2 Date Check]]="Pass",INDEX(Comp2[Comparable '#2 Return],MATCH(Benchmark1[[#This Row],[Benchmark '#1 Dates]],Comp2[Comparable '#2 Dates],0)),"-")</f>
        <v>-2.0477116893513915E-4</v>
      </c>
      <c r="O177" s="1">
        <f>IFERROR(IF(Benchmark1[[#This Row],[Comparable '#2 Date Check]]="Pass",Benchmark1[[#This Row],[Comparable '#2 Return]]-Benchmark1[[#This Row],[Benchmark '#1 Return]],"-"),"-")</f>
        <v>-3.9052733229601624E-3</v>
      </c>
      <c r="P177" s="1" t="str">
        <f>IF(COUNTIF(Comp3[Comparable '#3 Dates],Benchmark1[[#This Row],[Benchmark '#1 Dates]])=1,"Pass","Fail")</f>
        <v>Pass</v>
      </c>
      <c r="Q177" s="6">
        <f>IF(Benchmark1[[#This Row],[Comparable '#3 Date Check]]="Pass",INDEX(Comp3[Comparable '#3 Price],MATCH(Benchmark1[[#This Row],[Benchmark '#1 Dates]],Comp3[Comparable '#3 Dates],0)),"-")</f>
        <v>136.5</v>
      </c>
      <c r="R177" s="22">
        <f>IF(Benchmark1[[#This Row],[Comparable '#3 Date Check]]="Pass",INDEX(Comp3[Comparable '#3 Return],MATCH(Benchmark1[[#This Row],[Benchmark '#1 Dates]],Comp3[Comparable '#3 Dates],0)),"-")</f>
        <v>-1.3028314851552456E-2</v>
      </c>
      <c r="S177" s="1">
        <f>IFERROR(IF(Benchmark1[[#This Row],[Comparable '#3 Date Check]]="Pass",Benchmark1[[#This Row],[Comparable '#3 Return]]-Benchmark1[[#This Row],[Benchmark '#1 Return]],"-"),"-")</f>
        <v>-1.6728817005577479E-2</v>
      </c>
    </row>
    <row r="178" spans="1:19">
      <c r="A178" s="103">
        <v>43543</v>
      </c>
      <c r="B178" s="104">
        <v>2832.5673856183626</v>
      </c>
      <c r="C178" s="4">
        <f t="shared" si="2"/>
        <v>-1.3174229066925756E-4</v>
      </c>
      <c r="D178" s="1" t="str">
        <f>IF(COUNTIF(Target1[Target Dates],Benchmark1[[#This Row],[Benchmark '#1 Dates]])=1,"Pass","Fail")</f>
        <v>Pass</v>
      </c>
      <c r="E178" s="6">
        <f>IF(Benchmark1[[#This Row],[Target Date Check]]="Pass",INDEX(Target1[Target Price],MATCH(Benchmark1[[#This Row],[Benchmark '#1 Dates]],Target1[Target Dates],0)),"-")</f>
        <v>33.299999999999997</v>
      </c>
      <c r="F178" s="22">
        <f>IF(Benchmark1[[#This Row],[Target Date Check]]="Pass",INDEX(Target1[Target Return],MATCH(Benchmark1[[#This Row],[Benchmark '#1 Dates]],Target1[Target Dates],0)),"-")</f>
        <v>6.0078103339021441E-4</v>
      </c>
      <c r="G178" s="1">
        <f>IFERROR(IF(Benchmark1[[#This Row],[Target Date Check]]="Pass",Benchmark1[[#This Row],[Target Return]]-Benchmark1[[#This Row],[Benchmark '#1 Return]],"-"),"-")</f>
        <v>7.3252332405947197E-4</v>
      </c>
      <c r="H178" s="1" t="str">
        <f>IF(COUNTIF(Comp1[Comparable '#1 Dates],Benchmark1[[#This Row],[Benchmark '#1 Dates]])=1,"Pass","Fail")</f>
        <v>Pass</v>
      </c>
      <c r="I178" s="6">
        <f>IF(Benchmark1[[#This Row],[Comparable '#1 Date Check]]="Pass",INDEX(Comp1[Comparable '#1 Price],MATCH(Benchmark1[[#This Row],[Benchmark '#1 Dates]],Comp1[Comparable '#1 Dates],0)),"-")</f>
        <v>15.11</v>
      </c>
      <c r="J178" s="22">
        <f>IF(Benchmark1[[#This Row],[Comparable '#1 Date Check]]="Pass",INDEX(Comp1[Comparable '#1 Return],MATCH(Benchmark1[[#This Row],[Benchmark '#1 Dates]],Comp1[Comparable '#1 Dates],0)),"-")</f>
        <v>-9.2227267687724473E-3</v>
      </c>
      <c r="K178" s="1">
        <f>IFERROR(IF(Benchmark1[[#This Row],[Comparable '#1 Date Check]]="Pass",Benchmark1[[#This Row],[Comparable '#1 Return]]-Benchmark1[[#This Row],[Benchmark '#1 Return]],"-"),"-")</f>
        <v>-9.0909844781031889E-3</v>
      </c>
      <c r="L178" s="1" t="str">
        <f>IF(COUNTIF(Comp2[Comparable '#2 Dates],Benchmark1[[#This Row],[Benchmark '#1 Dates]])=1,"Pass","Fail")</f>
        <v>Pass</v>
      </c>
      <c r="M178" s="6">
        <f>IF(Benchmark1[[#This Row],[Comparable '#2 Date Check]]="Pass",INDEX(Comp2[Comparable '#2 Price],MATCH(Benchmark1[[#This Row],[Benchmark '#1 Dates]],Comp2[Comparable '#2 Dates],0)),"-")</f>
        <v>48.32</v>
      </c>
      <c r="N178" s="22">
        <f>IF(Benchmark1[[#This Row],[Comparable '#2 Date Check]]="Pass",INDEX(Comp2[Comparable '#2 Return],MATCH(Benchmark1[[#This Row],[Benchmark '#1 Dates]],Comp2[Comparable '#2 Dates],0)),"-")</f>
        <v>-1.0499324447009357E-2</v>
      </c>
      <c r="O178" s="1">
        <f>IFERROR(IF(Benchmark1[[#This Row],[Comparable '#2 Date Check]]="Pass",Benchmark1[[#This Row],[Comparable '#2 Return]]-Benchmark1[[#This Row],[Benchmark '#1 Return]],"-"),"-")</f>
        <v>-1.0367582156340101E-2</v>
      </c>
      <c r="P178" s="1" t="str">
        <f>IF(COUNTIF(Comp3[Comparable '#3 Dates],Benchmark1[[#This Row],[Benchmark '#1 Dates]])=1,"Pass","Fail")</f>
        <v>Pass</v>
      </c>
      <c r="Q178" s="6">
        <f>IF(Benchmark1[[#This Row],[Comparable '#3 Date Check]]="Pass",INDEX(Comp3[Comparable '#3 Price],MATCH(Benchmark1[[#This Row],[Benchmark '#1 Dates]],Comp3[Comparable '#3 Dates],0)),"-")</f>
        <v>136.01</v>
      </c>
      <c r="R178" s="22">
        <f>IF(Benchmark1[[#This Row],[Comparable '#3 Date Check]]="Pass",INDEX(Comp3[Comparable '#3 Return],MATCH(Benchmark1[[#This Row],[Benchmark '#1 Dates]],Comp3[Comparable '#3 Dates],0)),"-")</f>
        <v>-3.5962021803524311E-3</v>
      </c>
      <c r="S178" s="1">
        <f>IFERROR(IF(Benchmark1[[#This Row],[Comparable '#3 Date Check]]="Pass",Benchmark1[[#This Row],[Comparable '#3 Return]]-Benchmark1[[#This Row],[Benchmark '#1 Return]],"-"),"-")</f>
        <v>-3.4644598896831735E-3</v>
      </c>
    </row>
    <row r="179" spans="1:19">
      <c r="A179" s="103">
        <v>43544</v>
      </c>
      <c r="B179" s="104">
        <v>2824.2258141318821</v>
      </c>
      <c r="C179" s="4">
        <f t="shared" si="2"/>
        <v>-2.9492248481158187E-3</v>
      </c>
      <c r="D179" s="1" t="str">
        <f>IF(COUNTIF(Target1[Target Dates],Benchmark1[[#This Row],[Benchmark '#1 Dates]])=1,"Pass","Fail")</f>
        <v>Pass</v>
      </c>
      <c r="E179" s="6">
        <f>IF(Benchmark1[[#This Row],[Target Date Check]]="Pass",INDEX(Target1[Target Price],MATCH(Benchmark1[[#This Row],[Benchmark '#1 Dates]],Target1[Target Dates],0)),"-")</f>
        <v>32.89</v>
      </c>
      <c r="F179" s="22">
        <f>IF(Benchmark1[[#This Row],[Target Date Check]]="Pass",INDEX(Target1[Target Return],MATCH(Benchmark1[[#This Row],[Benchmark '#1 Dates]],Target1[Target Dates],0)),"-")</f>
        <v>-1.2388736785432451E-2</v>
      </c>
      <c r="G179" s="1">
        <f>IFERROR(IF(Benchmark1[[#This Row],[Target Date Check]]="Pass",Benchmark1[[#This Row],[Target Return]]-Benchmark1[[#This Row],[Benchmark '#1 Return]],"-"),"-")</f>
        <v>-9.4395119373166317E-3</v>
      </c>
      <c r="H179" s="1" t="str">
        <f>IF(COUNTIF(Comp1[Comparable '#1 Dates],Benchmark1[[#This Row],[Benchmark '#1 Dates]])=1,"Pass","Fail")</f>
        <v>Pass</v>
      </c>
      <c r="I179" s="6">
        <f>IF(Benchmark1[[#This Row],[Comparable '#1 Date Check]]="Pass",INDEX(Comp1[Comparable '#1 Price],MATCH(Benchmark1[[#This Row],[Benchmark '#1 Dates]],Comp1[Comparable '#1 Dates],0)),"-")</f>
        <v>15.29</v>
      </c>
      <c r="J179" s="22">
        <f>IF(Benchmark1[[#This Row],[Comparable '#1 Date Check]]="Pass",INDEX(Comp1[Comparable '#1 Return],MATCH(Benchmark1[[#This Row],[Benchmark '#1 Dates]],Comp1[Comparable '#1 Dates],0)),"-")</f>
        <v>1.1842243656322818E-2</v>
      </c>
      <c r="K179" s="1">
        <f>IFERROR(IF(Benchmark1[[#This Row],[Comparable '#1 Date Check]]="Pass",Benchmark1[[#This Row],[Comparable '#1 Return]]-Benchmark1[[#This Row],[Benchmark '#1 Return]],"-"),"-")</f>
        <v>1.4791468504438637E-2</v>
      </c>
      <c r="L179" s="1" t="str">
        <f>IF(COUNTIF(Comp2[Comparable '#2 Dates],Benchmark1[[#This Row],[Benchmark '#1 Dates]])=1,"Pass","Fail")</f>
        <v>Pass</v>
      </c>
      <c r="M179" s="6">
        <f>IF(Benchmark1[[#This Row],[Comparable '#2 Date Check]]="Pass",INDEX(Comp2[Comparable '#2 Price],MATCH(Benchmark1[[#This Row],[Benchmark '#1 Dates]],Comp2[Comparable '#2 Dates],0)),"-")</f>
        <v>47.3</v>
      </c>
      <c r="N179" s="22">
        <f>IF(Benchmark1[[#This Row],[Comparable '#2 Date Check]]="Pass",INDEX(Comp2[Comparable '#2 Return],MATCH(Benchmark1[[#This Row],[Benchmark '#1 Dates]],Comp2[Comparable '#2 Dates],0)),"-")</f>
        <v>-2.1335258128672291E-2</v>
      </c>
      <c r="O179" s="1">
        <f>IFERROR(IF(Benchmark1[[#This Row],[Comparable '#2 Date Check]]="Pass",Benchmark1[[#This Row],[Comparable '#2 Return]]-Benchmark1[[#This Row],[Benchmark '#1 Return]],"-"),"-")</f>
        <v>-1.8386033280556473E-2</v>
      </c>
      <c r="P179" s="1" t="str">
        <f>IF(COUNTIF(Comp3[Comparable '#3 Dates],Benchmark1[[#This Row],[Benchmark '#1 Dates]])=1,"Pass","Fail")</f>
        <v>Pass</v>
      </c>
      <c r="Q179" s="6">
        <f>IF(Benchmark1[[#This Row],[Comparable '#3 Date Check]]="Pass",INDEX(Comp3[Comparable '#3 Price],MATCH(Benchmark1[[#This Row],[Benchmark '#1 Dates]],Comp3[Comparable '#3 Dates],0)),"-")</f>
        <v>133.56</v>
      </c>
      <c r="R179" s="22">
        <f>IF(Benchmark1[[#This Row],[Comparable '#3 Date Check]]="Pass",INDEX(Comp3[Comparable '#3 Return],MATCH(Benchmark1[[#This Row],[Benchmark '#1 Dates]],Comp3[Comparable '#3 Dates],0)),"-")</f>
        <v>-1.8177597369208133E-2</v>
      </c>
      <c r="S179" s="1">
        <f>IFERROR(IF(Benchmark1[[#This Row],[Comparable '#3 Date Check]]="Pass",Benchmark1[[#This Row],[Comparable '#3 Return]]-Benchmark1[[#This Row],[Benchmark '#1 Return]],"-"),"-")</f>
        <v>-1.5228372521092314E-2</v>
      </c>
    </row>
    <row r="180" spans="1:19">
      <c r="A180" s="103">
        <v>43545</v>
      </c>
      <c r="B180" s="104">
        <v>2854.8766697000342</v>
      </c>
      <c r="C180" s="4">
        <f t="shared" si="2"/>
        <v>1.0794365225968187E-2</v>
      </c>
      <c r="D180" s="1" t="str">
        <f>IF(COUNTIF(Target1[Target Dates],Benchmark1[[#This Row],[Benchmark '#1 Dates]])=1,"Pass","Fail")</f>
        <v>Pass</v>
      </c>
      <c r="E180" s="6">
        <f>IF(Benchmark1[[#This Row],[Target Date Check]]="Pass",INDEX(Target1[Target Price],MATCH(Benchmark1[[#This Row],[Benchmark '#1 Dates]],Target1[Target Dates],0)),"-")</f>
        <v>33.229999999999997</v>
      </c>
      <c r="F180" s="22">
        <f>IF(Benchmark1[[#This Row],[Target Date Check]]="Pass",INDEX(Target1[Target Return],MATCH(Benchmark1[[#This Row],[Benchmark '#1 Dates]],Target1[Target Dates],0)),"-")</f>
        <v>1.0284422165537183E-2</v>
      </c>
      <c r="G180" s="1">
        <f>IFERROR(IF(Benchmark1[[#This Row],[Target Date Check]]="Pass",Benchmark1[[#This Row],[Target Return]]-Benchmark1[[#This Row],[Benchmark '#1 Return]],"-"),"-")</f>
        <v>-5.099430604310045E-4</v>
      </c>
      <c r="H180" s="1" t="str">
        <f>IF(COUNTIF(Comp1[Comparable '#1 Dates],Benchmark1[[#This Row],[Benchmark '#1 Dates]])=1,"Pass","Fail")</f>
        <v>Pass</v>
      </c>
      <c r="I180" s="6">
        <f>IF(Benchmark1[[#This Row],[Comparable '#1 Date Check]]="Pass",INDEX(Comp1[Comparable '#1 Price],MATCH(Benchmark1[[#This Row],[Benchmark '#1 Dates]],Comp1[Comparable '#1 Dates],0)),"-")</f>
        <v>15.52</v>
      </c>
      <c r="J180" s="22">
        <f>IF(Benchmark1[[#This Row],[Comparable '#1 Date Check]]="Pass",INDEX(Comp1[Comparable '#1 Return],MATCH(Benchmark1[[#This Row],[Benchmark '#1 Dates]],Comp1[Comparable '#1 Dates],0)),"-")</f>
        <v>1.4930494814101766E-2</v>
      </c>
      <c r="K180" s="1">
        <f>IFERROR(IF(Benchmark1[[#This Row],[Comparable '#1 Date Check]]="Pass",Benchmark1[[#This Row],[Comparable '#1 Return]]-Benchmark1[[#This Row],[Benchmark '#1 Return]],"-"),"-")</f>
        <v>4.1361295881335788E-3</v>
      </c>
      <c r="L180" s="1" t="str">
        <f>IF(COUNTIF(Comp2[Comparable '#2 Dates],Benchmark1[[#This Row],[Benchmark '#1 Dates]])=1,"Pass","Fail")</f>
        <v>Pass</v>
      </c>
      <c r="M180" s="6">
        <f>IF(Benchmark1[[#This Row],[Comparable '#2 Date Check]]="Pass",INDEX(Comp2[Comparable '#2 Price],MATCH(Benchmark1[[#This Row],[Benchmark '#1 Dates]],Comp2[Comparable '#2 Dates],0)),"-")</f>
        <v>47.9</v>
      </c>
      <c r="N180" s="22">
        <f>IF(Benchmark1[[#This Row],[Comparable '#2 Date Check]]="Pass",INDEX(Comp2[Comparable '#2 Return],MATCH(Benchmark1[[#This Row],[Benchmark '#1 Dates]],Comp2[Comparable '#2 Dates],0)),"-")</f>
        <v>1.260520891898219E-2</v>
      </c>
      <c r="O180" s="1">
        <f>IFERROR(IF(Benchmark1[[#This Row],[Comparable '#2 Date Check]]="Pass",Benchmark1[[#This Row],[Comparable '#2 Return]]-Benchmark1[[#This Row],[Benchmark '#1 Return]],"-"),"-")</f>
        <v>1.8108436930140033E-3</v>
      </c>
      <c r="P180" s="1" t="str">
        <f>IF(COUNTIF(Comp3[Comparable '#3 Dates],Benchmark1[[#This Row],[Benchmark '#1 Dates]])=1,"Pass","Fail")</f>
        <v>Pass</v>
      </c>
      <c r="Q180" s="6">
        <f>IF(Benchmark1[[#This Row],[Comparable '#3 Date Check]]="Pass",INDEX(Comp3[Comparable '#3 Price],MATCH(Benchmark1[[#This Row],[Benchmark '#1 Dates]],Comp3[Comparable '#3 Dates],0)),"-")</f>
        <v>136.58000000000001</v>
      </c>
      <c r="R180" s="22">
        <f>IF(Benchmark1[[#This Row],[Comparable '#3 Date Check]]="Pass",INDEX(Comp3[Comparable '#3 Return],MATCH(Benchmark1[[#This Row],[Benchmark '#1 Dates]],Comp3[Comparable '#3 Dates],0)),"-")</f>
        <v>2.2359708457489538E-2</v>
      </c>
      <c r="S180" s="1">
        <f>IFERROR(IF(Benchmark1[[#This Row],[Comparable '#3 Date Check]]="Pass",Benchmark1[[#This Row],[Comparable '#3 Return]]-Benchmark1[[#This Row],[Benchmark '#1 Return]],"-"),"-")</f>
        <v>1.1565343231521351E-2</v>
      </c>
    </row>
    <row r="181" spans="1:19">
      <c r="A181" s="103">
        <v>43546</v>
      </c>
      <c r="B181" s="104">
        <v>2800.7124470588578</v>
      </c>
      <c r="C181" s="4">
        <f t="shared" si="2"/>
        <v>-1.9154813977835621E-2</v>
      </c>
      <c r="D181" s="1" t="str">
        <f>IF(COUNTIF(Target1[Target Dates],Benchmark1[[#This Row],[Benchmark '#1 Dates]])=1,"Pass","Fail")</f>
        <v>Pass</v>
      </c>
      <c r="E181" s="6">
        <f>IF(Benchmark1[[#This Row],[Target Date Check]]="Pass",INDEX(Target1[Target Price],MATCH(Benchmark1[[#This Row],[Benchmark '#1 Dates]],Target1[Target Dates],0)),"-")</f>
        <v>32.6</v>
      </c>
      <c r="F181" s="22">
        <f>IF(Benchmark1[[#This Row],[Target Date Check]]="Pass",INDEX(Target1[Target Return],MATCH(Benchmark1[[#This Row],[Benchmark '#1 Dates]],Target1[Target Dates],0)),"-")</f>
        <v>-1.9140793993840766E-2</v>
      </c>
      <c r="G181" s="1">
        <f>IFERROR(IF(Benchmark1[[#This Row],[Target Date Check]]="Pass",Benchmark1[[#This Row],[Target Return]]-Benchmark1[[#This Row],[Benchmark '#1 Return]],"-"),"-")</f>
        <v>1.4019983994854879E-5</v>
      </c>
      <c r="H181" s="1" t="str">
        <f>IF(COUNTIF(Comp1[Comparable '#1 Dates],Benchmark1[[#This Row],[Benchmark '#1 Dates]])=1,"Pass","Fail")</f>
        <v>Pass</v>
      </c>
      <c r="I181" s="6">
        <f>IF(Benchmark1[[#This Row],[Comparable '#1 Date Check]]="Pass",INDEX(Comp1[Comparable '#1 Price],MATCH(Benchmark1[[#This Row],[Benchmark '#1 Dates]],Comp1[Comparable '#1 Dates],0)),"-")</f>
        <v>15.13</v>
      </c>
      <c r="J181" s="22">
        <f>IF(Benchmark1[[#This Row],[Comparable '#1 Date Check]]="Pass",INDEX(Comp1[Comparable '#1 Return],MATCH(Benchmark1[[#This Row],[Benchmark '#1 Dates]],Comp1[Comparable '#1 Dates],0)),"-")</f>
        <v>-2.5449986954808049E-2</v>
      </c>
      <c r="K181" s="1">
        <f>IFERROR(IF(Benchmark1[[#This Row],[Comparable '#1 Date Check]]="Pass",Benchmark1[[#This Row],[Comparable '#1 Return]]-Benchmark1[[#This Row],[Benchmark '#1 Return]],"-"),"-")</f>
        <v>-6.2951729769724282E-3</v>
      </c>
      <c r="L181" s="1" t="str">
        <f>IF(COUNTIF(Comp2[Comparable '#2 Dates],Benchmark1[[#This Row],[Benchmark '#1 Dates]])=1,"Pass","Fail")</f>
        <v>Pass</v>
      </c>
      <c r="M181" s="6">
        <f>IF(Benchmark1[[#This Row],[Comparable '#2 Date Check]]="Pass",INDEX(Comp2[Comparable '#2 Price],MATCH(Benchmark1[[#This Row],[Benchmark '#1 Dates]],Comp2[Comparable '#2 Dates],0)),"-")</f>
        <v>45.97</v>
      </c>
      <c r="N181" s="22">
        <f>IF(Benchmark1[[#This Row],[Comparable '#2 Date Check]]="Pass",INDEX(Comp2[Comparable '#2 Return],MATCH(Benchmark1[[#This Row],[Benchmark '#1 Dates]],Comp2[Comparable '#2 Dates],0)),"-")</f>
        <v>-4.1126494598732938E-2</v>
      </c>
      <c r="O181" s="1">
        <f>IFERROR(IF(Benchmark1[[#This Row],[Comparable '#2 Date Check]]="Pass",Benchmark1[[#This Row],[Comparable '#2 Return]]-Benchmark1[[#This Row],[Benchmark '#1 Return]],"-"),"-")</f>
        <v>-2.1971680620897317E-2</v>
      </c>
      <c r="P181" s="1" t="str">
        <f>IF(COUNTIF(Comp3[Comparable '#3 Dates],Benchmark1[[#This Row],[Benchmark '#1 Dates]])=1,"Pass","Fail")</f>
        <v>Pass</v>
      </c>
      <c r="Q181" s="6">
        <f>IF(Benchmark1[[#This Row],[Comparable '#3 Date Check]]="Pass",INDEX(Comp3[Comparable '#3 Price],MATCH(Benchmark1[[#This Row],[Benchmark '#1 Dates]],Comp3[Comparable '#3 Dates],0)),"-")</f>
        <v>132.54</v>
      </c>
      <c r="R181" s="22">
        <f>IF(Benchmark1[[#This Row],[Comparable '#3 Date Check]]="Pass",INDEX(Comp3[Comparable '#3 Return],MATCH(Benchmark1[[#This Row],[Benchmark '#1 Dates]],Comp3[Comparable '#3 Dates],0)),"-")</f>
        <v>-3.0026036872862587E-2</v>
      </c>
      <c r="S181" s="1">
        <f>IFERROR(IF(Benchmark1[[#This Row],[Comparable '#3 Date Check]]="Pass",Benchmark1[[#This Row],[Comparable '#3 Return]]-Benchmark1[[#This Row],[Benchmark '#1 Return]],"-"),"-")</f>
        <v>-1.0871222895026966E-2</v>
      </c>
    </row>
    <row r="182" spans="1:19">
      <c r="A182" s="103">
        <v>43549</v>
      </c>
      <c r="B182" s="104">
        <v>2798.3616451060097</v>
      </c>
      <c r="C182" s="4">
        <f t="shared" si="2"/>
        <v>-8.3971101374412426E-4</v>
      </c>
      <c r="D182" s="1" t="str">
        <f>IF(COUNTIF(Target1[Target Dates],Benchmark1[[#This Row],[Benchmark '#1 Dates]])=1,"Pass","Fail")</f>
        <v>Pass</v>
      </c>
      <c r="E182" s="6">
        <f>IF(Benchmark1[[#This Row],[Target Date Check]]="Pass",INDEX(Target1[Target Price],MATCH(Benchmark1[[#This Row],[Benchmark '#1 Dates]],Target1[Target Dates],0)),"-")</f>
        <v>33.200000000000003</v>
      </c>
      <c r="F182" s="22">
        <f>IF(Benchmark1[[#This Row],[Target Date Check]]="Pass",INDEX(Target1[Target Return],MATCH(Benchmark1[[#This Row],[Benchmark '#1 Dates]],Target1[Target Dates],0)),"-")</f>
        <v>1.8237587549781012E-2</v>
      </c>
      <c r="G182" s="1">
        <f>IFERROR(IF(Benchmark1[[#This Row],[Target Date Check]]="Pass",Benchmark1[[#This Row],[Target Return]]-Benchmark1[[#This Row],[Benchmark '#1 Return]],"-"),"-")</f>
        <v>1.9077298563525136E-2</v>
      </c>
      <c r="H182" s="1" t="str">
        <f>IF(COUNTIF(Comp1[Comparable '#1 Dates],Benchmark1[[#This Row],[Benchmark '#1 Dates]])=1,"Pass","Fail")</f>
        <v>Pass</v>
      </c>
      <c r="I182" s="6">
        <f>IF(Benchmark1[[#This Row],[Comparable '#1 Date Check]]="Pass",INDEX(Comp1[Comparable '#1 Price],MATCH(Benchmark1[[#This Row],[Benchmark '#1 Dates]],Comp1[Comparable '#1 Dates],0)),"-")</f>
        <v>14.76</v>
      </c>
      <c r="J182" s="22">
        <f>IF(Benchmark1[[#This Row],[Comparable '#1 Date Check]]="Pass",INDEX(Comp1[Comparable '#1 Return],MATCH(Benchmark1[[#This Row],[Benchmark '#1 Dates]],Comp1[Comparable '#1 Dates],0)),"-")</f>
        <v>-2.4758708627938188E-2</v>
      </c>
      <c r="K182" s="1">
        <f>IFERROR(IF(Benchmark1[[#This Row],[Comparable '#1 Date Check]]="Pass",Benchmark1[[#This Row],[Comparable '#1 Return]]-Benchmark1[[#This Row],[Benchmark '#1 Return]],"-"),"-")</f>
        <v>-2.3918997614194065E-2</v>
      </c>
      <c r="L182" s="1" t="str">
        <f>IF(COUNTIF(Comp2[Comparable '#2 Dates],Benchmark1[[#This Row],[Benchmark '#1 Dates]])=1,"Pass","Fail")</f>
        <v>Pass</v>
      </c>
      <c r="M182" s="6">
        <f>IF(Benchmark1[[#This Row],[Comparable '#2 Date Check]]="Pass",INDEX(Comp2[Comparable '#2 Price],MATCH(Benchmark1[[#This Row],[Benchmark '#1 Dates]],Comp2[Comparable '#2 Dates],0)),"-")</f>
        <v>45.53</v>
      </c>
      <c r="N182" s="22">
        <f>IF(Benchmark1[[#This Row],[Comparable '#2 Date Check]]="Pass",INDEX(Comp2[Comparable '#2 Return],MATCH(Benchmark1[[#This Row],[Benchmark '#1 Dates]],Comp2[Comparable '#2 Dates],0)),"-")</f>
        <v>-9.6175604714458518E-3</v>
      </c>
      <c r="O182" s="1">
        <f>IFERROR(IF(Benchmark1[[#This Row],[Comparable '#2 Date Check]]="Pass",Benchmark1[[#This Row],[Comparable '#2 Return]]-Benchmark1[[#This Row],[Benchmark '#1 Return]],"-"),"-")</f>
        <v>-8.777849457701728E-3</v>
      </c>
      <c r="P182" s="1" t="str">
        <f>IF(COUNTIF(Comp3[Comparable '#3 Dates],Benchmark1[[#This Row],[Benchmark '#1 Dates]])=1,"Pass","Fail")</f>
        <v>Pass</v>
      </c>
      <c r="Q182" s="6">
        <f>IF(Benchmark1[[#This Row],[Comparable '#3 Date Check]]="Pass",INDEX(Comp3[Comparable '#3 Price],MATCH(Benchmark1[[#This Row],[Benchmark '#1 Dates]],Comp3[Comparable '#3 Dates],0)),"-")</f>
        <v>131.80000000000001</v>
      </c>
      <c r="R182" s="22">
        <f>IF(Benchmark1[[#This Row],[Comparable '#3 Date Check]]="Pass",INDEX(Comp3[Comparable '#3 Return],MATCH(Benchmark1[[#This Row],[Benchmark '#1 Dates]],Comp3[Comparable '#3 Dates],0)),"-")</f>
        <v>-5.598864591673856E-3</v>
      </c>
      <c r="S182" s="1">
        <f>IFERROR(IF(Benchmark1[[#This Row],[Comparable '#3 Date Check]]="Pass",Benchmark1[[#This Row],[Comparable '#3 Return]]-Benchmark1[[#This Row],[Benchmark '#1 Return]],"-"),"-")</f>
        <v>-4.7591535779297322E-3</v>
      </c>
    </row>
    <row r="183" spans="1:19">
      <c r="A183" s="103">
        <v>43550</v>
      </c>
      <c r="B183" s="104">
        <v>2818.4578854696329</v>
      </c>
      <c r="C183" s="4">
        <f t="shared" si="2"/>
        <v>7.1557670694206866E-3</v>
      </c>
      <c r="D183" s="1" t="str">
        <f>IF(COUNTIF(Target1[Target Dates],Benchmark1[[#This Row],[Benchmark '#1 Dates]])=1,"Pass","Fail")</f>
        <v>Pass</v>
      </c>
      <c r="E183" s="6">
        <f>IF(Benchmark1[[#This Row],[Target Date Check]]="Pass",INDEX(Target1[Target Price],MATCH(Benchmark1[[#This Row],[Benchmark '#1 Dates]],Target1[Target Dates],0)),"-")</f>
        <v>33.229999999999997</v>
      </c>
      <c r="F183" s="22">
        <f>IF(Benchmark1[[#This Row],[Target Date Check]]="Pass",INDEX(Target1[Target Return],MATCH(Benchmark1[[#This Row],[Benchmark '#1 Dates]],Target1[Target Dates],0)),"-")</f>
        <v>9.032064440598871E-4</v>
      </c>
      <c r="G183" s="1">
        <f>IFERROR(IF(Benchmark1[[#This Row],[Target Date Check]]="Pass",Benchmark1[[#This Row],[Target Return]]-Benchmark1[[#This Row],[Benchmark '#1 Return]],"-"),"-")</f>
        <v>-6.2525606253607995E-3</v>
      </c>
      <c r="H183" s="1" t="str">
        <f>IF(COUNTIF(Comp1[Comparable '#1 Dates],Benchmark1[[#This Row],[Benchmark '#1 Dates]])=1,"Pass","Fail")</f>
        <v>Pass</v>
      </c>
      <c r="I183" s="6">
        <f>IF(Benchmark1[[#This Row],[Comparable '#1 Date Check]]="Pass",INDEX(Comp1[Comparable '#1 Price],MATCH(Benchmark1[[#This Row],[Benchmark '#1 Dates]],Comp1[Comparable '#1 Dates],0)),"-")</f>
        <v>14.74</v>
      </c>
      <c r="J183" s="22">
        <f>IF(Benchmark1[[#This Row],[Comparable '#1 Date Check]]="Pass",INDEX(Comp1[Comparable '#1 Return],MATCH(Benchmark1[[#This Row],[Benchmark '#1 Dates]],Comp1[Comparable '#1 Dates],0)),"-")</f>
        <v>-1.3559324111358441E-3</v>
      </c>
      <c r="K183" s="1">
        <f>IFERROR(IF(Benchmark1[[#This Row],[Comparable '#1 Date Check]]="Pass",Benchmark1[[#This Row],[Comparable '#1 Return]]-Benchmark1[[#This Row],[Benchmark '#1 Return]],"-"),"-")</f>
        <v>-8.5116994805565314E-3</v>
      </c>
      <c r="L183" s="1" t="str">
        <f>IF(COUNTIF(Comp2[Comparable '#2 Dates],Benchmark1[[#This Row],[Benchmark '#1 Dates]])=1,"Pass","Fail")</f>
        <v>Pass</v>
      </c>
      <c r="M183" s="6">
        <f>IF(Benchmark1[[#This Row],[Comparable '#2 Date Check]]="Pass",INDEX(Comp2[Comparable '#2 Price],MATCH(Benchmark1[[#This Row],[Benchmark '#1 Dates]],Comp2[Comparable '#2 Dates],0)),"-")</f>
        <v>45.67</v>
      </c>
      <c r="N183" s="22">
        <f>IF(Benchmark1[[#This Row],[Comparable '#2 Date Check]]="Pass",INDEX(Comp2[Comparable '#2 Return],MATCH(Benchmark1[[#This Row],[Benchmark '#1 Dates]],Comp2[Comparable '#2 Dates],0)),"-")</f>
        <v>3.0701778502168955E-3</v>
      </c>
      <c r="O183" s="1">
        <f>IFERROR(IF(Benchmark1[[#This Row],[Comparable '#2 Date Check]]="Pass",Benchmark1[[#This Row],[Comparable '#2 Return]]-Benchmark1[[#This Row],[Benchmark '#1 Return]],"-"),"-")</f>
        <v>-4.0855892192037911E-3</v>
      </c>
      <c r="P183" s="1" t="str">
        <f>IF(COUNTIF(Comp3[Comparable '#3 Dates],Benchmark1[[#This Row],[Benchmark '#1 Dates]])=1,"Pass","Fail")</f>
        <v>Pass</v>
      </c>
      <c r="Q183" s="6">
        <f>IF(Benchmark1[[#This Row],[Comparable '#3 Date Check]]="Pass",INDEX(Comp3[Comparable '#3 Price],MATCH(Benchmark1[[#This Row],[Benchmark '#1 Dates]],Comp3[Comparable '#3 Dates],0)),"-")</f>
        <v>132.69</v>
      </c>
      <c r="R183" s="22">
        <f>IF(Benchmark1[[#This Row],[Comparable '#3 Date Check]]="Pass",INDEX(Comp3[Comparable '#3 Return],MATCH(Benchmark1[[#This Row],[Benchmark '#1 Dates]],Comp3[Comparable '#3 Dates],0)),"-")</f>
        <v>6.7299584799382197E-3</v>
      </c>
      <c r="S183" s="1">
        <f>IFERROR(IF(Benchmark1[[#This Row],[Comparable '#3 Date Check]]="Pass",Benchmark1[[#This Row],[Comparable '#3 Return]]-Benchmark1[[#This Row],[Benchmark '#1 Return]],"-"),"-")</f>
        <v>-4.2580858948246692E-4</v>
      </c>
    </row>
    <row r="184" spans="1:19">
      <c r="A184" s="103">
        <v>43551</v>
      </c>
      <c r="B184" s="104">
        <v>2805.373156624692</v>
      </c>
      <c r="C184" s="4">
        <f t="shared" si="2"/>
        <v>-4.6533234578894399E-3</v>
      </c>
      <c r="D184" s="1" t="str">
        <f>IF(COUNTIF(Target1[Target Dates],Benchmark1[[#This Row],[Benchmark '#1 Dates]])=1,"Pass","Fail")</f>
        <v>Pass</v>
      </c>
      <c r="E184" s="6">
        <f>IF(Benchmark1[[#This Row],[Target Date Check]]="Pass",INDEX(Target1[Target Price],MATCH(Benchmark1[[#This Row],[Benchmark '#1 Dates]],Target1[Target Dates],0)),"-")</f>
        <v>33.51</v>
      </c>
      <c r="F184" s="22">
        <f>IF(Benchmark1[[#This Row],[Target Date Check]]="Pass",INDEX(Target1[Target Return],MATCH(Benchmark1[[#This Row],[Benchmark '#1 Dates]],Target1[Target Dates],0)),"-")</f>
        <v>8.3908193827162605E-3</v>
      </c>
      <c r="G184" s="1">
        <f>IFERROR(IF(Benchmark1[[#This Row],[Target Date Check]]="Pass",Benchmark1[[#This Row],[Target Return]]-Benchmark1[[#This Row],[Benchmark '#1 Return]],"-"),"-")</f>
        <v>1.3044142840605701E-2</v>
      </c>
      <c r="H184" s="1" t="str">
        <f>IF(COUNTIF(Comp1[Comparable '#1 Dates],Benchmark1[[#This Row],[Benchmark '#1 Dates]])=1,"Pass","Fail")</f>
        <v>Pass</v>
      </c>
      <c r="I184" s="6">
        <f>IF(Benchmark1[[#This Row],[Comparable '#1 Date Check]]="Pass",INDEX(Comp1[Comparable '#1 Price],MATCH(Benchmark1[[#This Row],[Benchmark '#1 Dates]],Comp1[Comparable '#1 Dates],0)),"-")</f>
        <v>14.65</v>
      </c>
      <c r="J184" s="22">
        <f>IF(Benchmark1[[#This Row],[Comparable '#1 Date Check]]="Pass",INDEX(Comp1[Comparable '#1 Return],MATCH(Benchmark1[[#This Row],[Benchmark '#1 Dates]],Comp1[Comparable '#1 Dates],0)),"-")</f>
        <v>-6.1245512981142605E-3</v>
      </c>
      <c r="K184" s="1">
        <f>IFERROR(IF(Benchmark1[[#This Row],[Comparable '#1 Date Check]]="Pass",Benchmark1[[#This Row],[Comparable '#1 Return]]-Benchmark1[[#This Row],[Benchmark '#1 Return]],"-"),"-")</f>
        <v>-1.4712278402248206E-3</v>
      </c>
      <c r="L184" s="1" t="str">
        <f>IF(COUNTIF(Comp2[Comparable '#2 Dates],Benchmark1[[#This Row],[Benchmark '#1 Dates]])=1,"Pass","Fail")</f>
        <v>Pass</v>
      </c>
      <c r="M184" s="6">
        <f>IF(Benchmark1[[#This Row],[Comparable '#2 Date Check]]="Pass",INDEX(Comp2[Comparable '#2 Price],MATCH(Benchmark1[[#This Row],[Benchmark '#1 Dates]],Comp2[Comparable '#2 Dates],0)),"-")</f>
        <v>45.42</v>
      </c>
      <c r="N184" s="22">
        <f>IF(Benchmark1[[#This Row],[Comparable '#2 Date Check]]="Pass",INDEX(Comp2[Comparable '#2 Return],MATCH(Benchmark1[[#This Row],[Benchmark '#1 Dates]],Comp2[Comparable '#2 Dates],0)),"-")</f>
        <v>-5.4890905194952232E-3</v>
      </c>
      <c r="O184" s="1">
        <f>IFERROR(IF(Benchmark1[[#This Row],[Comparable '#2 Date Check]]="Pass",Benchmark1[[#This Row],[Comparable '#2 Return]]-Benchmark1[[#This Row],[Benchmark '#1 Return]],"-"),"-")</f>
        <v>-8.3576706160578326E-4</v>
      </c>
      <c r="P184" s="1" t="str">
        <f>IF(COUNTIF(Comp3[Comparable '#3 Dates],Benchmark1[[#This Row],[Benchmark '#1 Dates]])=1,"Pass","Fail")</f>
        <v>Pass</v>
      </c>
      <c r="Q184" s="6">
        <f>IF(Benchmark1[[#This Row],[Comparable '#3 Date Check]]="Pass",INDEX(Comp3[Comparable '#3 Price],MATCH(Benchmark1[[#This Row],[Benchmark '#1 Dates]],Comp3[Comparable '#3 Dates],0)),"-")</f>
        <v>129.82</v>
      </c>
      <c r="R184" s="22">
        <f>IF(Benchmark1[[#This Row],[Comparable '#3 Date Check]]="Pass",INDEX(Comp3[Comparable '#3 Return],MATCH(Benchmark1[[#This Row],[Benchmark '#1 Dates]],Comp3[Comparable '#3 Dates],0)),"-")</f>
        <v>-2.186670494302256E-2</v>
      </c>
      <c r="S184" s="1">
        <f>IFERROR(IF(Benchmark1[[#This Row],[Comparable '#3 Date Check]]="Pass",Benchmark1[[#This Row],[Comparable '#3 Return]]-Benchmark1[[#This Row],[Benchmark '#1 Return]],"-"),"-")</f>
        <v>-1.7213381485133121E-2</v>
      </c>
    </row>
    <row r="185" spans="1:19">
      <c r="A185" s="103">
        <v>43552</v>
      </c>
      <c r="B185" s="104">
        <v>2815.437294914158</v>
      </c>
      <c r="C185" s="4">
        <f t="shared" si="2"/>
        <v>3.5810312876632996E-3</v>
      </c>
      <c r="D185" s="1" t="str">
        <f>IF(COUNTIF(Target1[Target Dates],Benchmark1[[#This Row],[Benchmark '#1 Dates]])=1,"Pass","Fail")</f>
        <v>Pass</v>
      </c>
      <c r="E185" s="6">
        <f>IF(Benchmark1[[#This Row],[Target Date Check]]="Pass",INDEX(Target1[Target Price],MATCH(Benchmark1[[#This Row],[Benchmark '#1 Dates]],Target1[Target Dates],0)),"-")</f>
        <v>34.03</v>
      </c>
      <c r="F185" s="22">
        <f>IF(Benchmark1[[#This Row],[Target Date Check]]="Pass",INDEX(Target1[Target Return],MATCH(Benchmark1[[#This Row],[Benchmark '#1 Dates]],Target1[Target Dates],0)),"-")</f>
        <v>1.5398586763595411E-2</v>
      </c>
      <c r="G185" s="1">
        <f>IFERROR(IF(Benchmark1[[#This Row],[Target Date Check]]="Pass",Benchmark1[[#This Row],[Target Return]]-Benchmark1[[#This Row],[Benchmark '#1 Return]],"-"),"-")</f>
        <v>1.1817555475932112E-2</v>
      </c>
      <c r="H185" s="1" t="str">
        <f>IF(COUNTIF(Comp1[Comparable '#1 Dates],Benchmark1[[#This Row],[Benchmark '#1 Dates]])=1,"Pass","Fail")</f>
        <v>Pass</v>
      </c>
      <c r="I185" s="6">
        <f>IF(Benchmark1[[#This Row],[Comparable '#1 Date Check]]="Pass",INDEX(Comp1[Comparable '#1 Price],MATCH(Benchmark1[[#This Row],[Benchmark '#1 Dates]],Comp1[Comparable '#1 Dates],0)),"-")</f>
        <v>14.83</v>
      </c>
      <c r="J185" s="22">
        <f>IF(Benchmark1[[#This Row],[Comparable '#1 Date Check]]="Pass",INDEX(Comp1[Comparable '#1 Return],MATCH(Benchmark1[[#This Row],[Benchmark '#1 Dates]],Comp1[Comparable '#1 Dates],0)),"-")</f>
        <v>1.2211820686764463E-2</v>
      </c>
      <c r="K185" s="1">
        <f>IFERROR(IF(Benchmark1[[#This Row],[Comparable '#1 Date Check]]="Pass",Benchmark1[[#This Row],[Comparable '#1 Return]]-Benchmark1[[#This Row],[Benchmark '#1 Return]],"-"),"-")</f>
        <v>8.6307893991011634E-3</v>
      </c>
      <c r="L185" s="1" t="str">
        <f>IF(COUNTIF(Comp2[Comparable '#2 Dates],Benchmark1[[#This Row],[Benchmark '#1 Dates]])=1,"Pass","Fail")</f>
        <v>Pass</v>
      </c>
      <c r="M185" s="6">
        <f>IF(Benchmark1[[#This Row],[Comparable '#2 Date Check]]="Pass",INDEX(Comp2[Comparable '#2 Price],MATCH(Benchmark1[[#This Row],[Benchmark '#1 Dates]],Comp2[Comparable '#2 Dates],0)),"-")</f>
        <v>46.05</v>
      </c>
      <c r="N185" s="22">
        <f>IF(Benchmark1[[#This Row],[Comparable '#2 Date Check]]="Pass",INDEX(Comp2[Comparable '#2 Return],MATCH(Benchmark1[[#This Row],[Benchmark '#1 Dates]],Comp2[Comparable '#2 Dates],0)),"-")</f>
        <v>1.3775226023903318E-2</v>
      </c>
      <c r="O185" s="1">
        <f>IFERROR(IF(Benchmark1[[#This Row],[Comparable '#2 Date Check]]="Pass",Benchmark1[[#This Row],[Comparable '#2 Return]]-Benchmark1[[#This Row],[Benchmark '#1 Return]],"-"),"-")</f>
        <v>1.0194194736240019E-2</v>
      </c>
      <c r="P185" s="1" t="str">
        <f>IF(COUNTIF(Comp3[Comparable '#3 Dates],Benchmark1[[#This Row],[Benchmark '#1 Dates]])=1,"Pass","Fail")</f>
        <v>Pass</v>
      </c>
      <c r="Q185" s="6">
        <f>IF(Benchmark1[[#This Row],[Comparable '#3 Date Check]]="Pass",INDEX(Comp3[Comparable '#3 Price],MATCH(Benchmark1[[#This Row],[Benchmark '#1 Dates]],Comp3[Comparable '#3 Dates],0)),"-")</f>
        <v>133.83000000000001</v>
      </c>
      <c r="R185" s="22">
        <f>IF(Benchmark1[[#This Row],[Comparable '#3 Date Check]]="Pass",INDEX(Comp3[Comparable '#3 Return],MATCH(Benchmark1[[#This Row],[Benchmark '#1 Dates]],Comp3[Comparable '#3 Dates],0)),"-")</f>
        <v>3.0421462202960697E-2</v>
      </c>
      <c r="S185" s="1">
        <f>IFERROR(IF(Benchmark1[[#This Row],[Comparable '#3 Date Check]]="Pass",Benchmark1[[#This Row],[Comparable '#3 Return]]-Benchmark1[[#This Row],[Benchmark '#1 Return]],"-"),"-")</f>
        <v>2.6840430915297399E-2</v>
      </c>
    </row>
    <row r="186" spans="1:19">
      <c r="A186" s="103">
        <v>43553</v>
      </c>
      <c r="B186" s="104">
        <v>2834.3998195751506</v>
      </c>
      <c r="C186" s="4">
        <f t="shared" si="2"/>
        <v>6.7126168346920128E-3</v>
      </c>
      <c r="D186" s="1" t="str">
        <f>IF(COUNTIF(Target1[Target Dates],Benchmark1[[#This Row],[Benchmark '#1 Dates]])=1,"Pass","Fail")</f>
        <v>Pass</v>
      </c>
      <c r="E186" s="6">
        <f>IF(Benchmark1[[#This Row],[Target Date Check]]="Pass",INDEX(Target1[Target Price],MATCH(Benchmark1[[#This Row],[Benchmark '#1 Dates]],Target1[Target Dates],0)),"-")</f>
        <v>34.130000000000003</v>
      </c>
      <c r="F186" s="22">
        <f>IF(Benchmark1[[#This Row],[Target Date Check]]="Pass",INDEX(Target1[Target Return],MATCH(Benchmark1[[#This Row],[Benchmark '#1 Dates]],Target1[Target Dates],0)),"-")</f>
        <v>2.9342744058014204E-3</v>
      </c>
      <c r="G186" s="1">
        <f>IFERROR(IF(Benchmark1[[#This Row],[Target Date Check]]="Pass",Benchmark1[[#This Row],[Target Return]]-Benchmark1[[#This Row],[Benchmark '#1 Return]],"-"),"-")</f>
        <v>-3.7783424288905924E-3</v>
      </c>
      <c r="H186" s="1" t="str">
        <f>IF(COUNTIF(Comp1[Comparable '#1 Dates],Benchmark1[[#This Row],[Benchmark '#1 Dates]])=1,"Pass","Fail")</f>
        <v>Pass</v>
      </c>
      <c r="I186" s="6">
        <f>IF(Benchmark1[[#This Row],[Comparable '#1 Date Check]]="Pass",INDEX(Comp1[Comparable '#1 Price],MATCH(Benchmark1[[#This Row],[Benchmark '#1 Dates]],Comp1[Comparable '#1 Dates],0)),"-")</f>
        <v>14.97</v>
      </c>
      <c r="J186" s="22">
        <f>IF(Benchmark1[[#This Row],[Comparable '#1 Date Check]]="Pass",INDEX(Comp1[Comparable '#1 Return],MATCH(Benchmark1[[#This Row],[Benchmark '#1 Dates]],Comp1[Comparable '#1 Dates],0)),"-")</f>
        <v>9.3960422816963089E-3</v>
      </c>
      <c r="K186" s="1">
        <f>IFERROR(IF(Benchmark1[[#This Row],[Comparable '#1 Date Check]]="Pass",Benchmark1[[#This Row],[Comparable '#1 Return]]-Benchmark1[[#This Row],[Benchmark '#1 Return]],"-"),"-")</f>
        <v>2.6834254470042961E-3</v>
      </c>
      <c r="L186" s="1" t="str">
        <f>IF(COUNTIF(Comp2[Comparable '#2 Dates],Benchmark1[[#This Row],[Benchmark '#1 Dates]])=1,"Pass","Fail")</f>
        <v>Pass</v>
      </c>
      <c r="M186" s="6">
        <f>IF(Benchmark1[[#This Row],[Comparable '#2 Date Check]]="Pass",INDEX(Comp2[Comparable '#2 Price],MATCH(Benchmark1[[#This Row],[Benchmark '#1 Dates]],Comp2[Comparable '#2 Dates],0)),"-")</f>
        <v>46.32</v>
      </c>
      <c r="N186" s="22">
        <f>IF(Benchmark1[[#This Row],[Comparable '#2 Date Check]]="Pass",INDEX(Comp2[Comparable '#2 Return],MATCH(Benchmark1[[#This Row],[Benchmark '#1 Dates]],Comp2[Comparable '#2 Dates],0)),"-")</f>
        <v>5.84607056342391E-3</v>
      </c>
      <c r="O186" s="1">
        <f>IFERROR(IF(Benchmark1[[#This Row],[Comparable '#2 Date Check]]="Pass",Benchmark1[[#This Row],[Comparable '#2 Return]]-Benchmark1[[#This Row],[Benchmark '#1 Return]],"-"),"-")</f>
        <v>-8.6654627126810276E-4</v>
      </c>
      <c r="P186" s="1" t="str">
        <f>IF(COUNTIF(Comp3[Comparable '#3 Dates],Benchmark1[[#This Row],[Benchmark '#1 Dates]])=1,"Pass","Fail")</f>
        <v>Pass</v>
      </c>
      <c r="Q186" s="6">
        <f>IF(Benchmark1[[#This Row],[Comparable '#3 Date Check]]="Pass",INDEX(Comp3[Comparable '#3 Price],MATCH(Benchmark1[[#This Row],[Benchmark '#1 Dates]],Comp3[Comparable '#3 Dates],0)),"-")</f>
        <v>131.31</v>
      </c>
      <c r="R186" s="22">
        <f>IF(Benchmark1[[#This Row],[Comparable '#3 Date Check]]="Pass",INDEX(Comp3[Comparable '#3 Return],MATCH(Benchmark1[[#This Row],[Benchmark '#1 Dates]],Comp3[Comparable '#3 Dates],0)),"-")</f>
        <v>-1.9009397937369499E-2</v>
      </c>
      <c r="S186" s="1">
        <f>IFERROR(IF(Benchmark1[[#This Row],[Comparable '#3 Date Check]]="Pass",Benchmark1[[#This Row],[Comparable '#3 Return]]-Benchmark1[[#This Row],[Benchmark '#1 Return]],"-"),"-")</f>
        <v>-2.5722014772061513E-2</v>
      </c>
    </row>
    <row r="187" spans="1:19">
      <c r="A187" s="103">
        <v>43556</v>
      </c>
      <c r="B187" s="104">
        <v>2867.1938893137999</v>
      </c>
      <c r="C187" s="4">
        <f t="shared" si="2"/>
        <v>1.1503601644262777E-2</v>
      </c>
      <c r="D187" s="1" t="str">
        <f>IF(COUNTIF(Target1[Target Dates],Benchmark1[[#This Row],[Benchmark '#1 Dates]])=1,"Pass","Fail")</f>
        <v>Pass</v>
      </c>
      <c r="E187" s="6">
        <f>IF(Benchmark1[[#This Row],[Target Date Check]]="Pass",INDEX(Target1[Target Price],MATCH(Benchmark1[[#This Row],[Benchmark '#1 Dates]],Target1[Target Dates],0)),"-")</f>
        <v>34.18</v>
      </c>
      <c r="F187" s="22">
        <f>IF(Benchmark1[[#This Row],[Target Date Check]]="Pass",INDEX(Target1[Target Return],MATCH(Benchmark1[[#This Row],[Benchmark '#1 Dates]],Target1[Target Dates],0)),"-")</f>
        <v>1.4639147688291349E-3</v>
      </c>
      <c r="G187" s="1">
        <f>IFERROR(IF(Benchmark1[[#This Row],[Target Date Check]]="Pass",Benchmark1[[#This Row],[Target Return]]-Benchmark1[[#This Row],[Benchmark '#1 Return]],"-"),"-")</f>
        <v>-1.0039686875433643E-2</v>
      </c>
      <c r="H187" s="1" t="str">
        <f>IF(COUNTIF(Comp1[Comparable '#1 Dates],Benchmark1[[#This Row],[Benchmark '#1 Dates]])=1,"Pass","Fail")</f>
        <v>Pass</v>
      </c>
      <c r="I187" s="6">
        <f>IF(Benchmark1[[#This Row],[Comparable '#1 Date Check]]="Pass",INDEX(Comp1[Comparable '#1 Price],MATCH(Benchmark1[[#This Row],[Benchmark '#1 Dates]],Comp1[Comparable '#1 Dates],0)),"-")</f>
        <v>14.95</v>
      </c>
      <c r="J187" s="22">
        <f>IF(Benchmark1[[#This Row],[Comparable '#1 Date Check]]="Pass",INDEX(Comp1[Comparable '#1 Return],MATCH(Benchmark1[[#This Row],[Benchmark '#1 Dates]],Comp1[Comparable '#1 Dates],0)),"-")</f>
        <v>-1.3368985948416306E-3</v>
      </c>
      <c r="K187" s="1">
        <f>IFERROR(IF(Benchmark1[[#This Row],[Comparable '#1 Date Check]]="Pass",Benchmark1[[#This Row],[Comparable '#1 Return]]-Benchmark1[[#This Row],[Benchmark '#1 Return]],"-"),"-")</f>
        <v>-1.2840500239104408E-2</v>
      </c>
      <c r="L187" s="1" t="str">
        <f>IF(COUNTIF(Comp2[Comparable '#2 Dates],Benchmark1[[#This Row],[Benchmark '#1 Dates]])=1,"Pass","Fail")</f>
        <v>Pass</v>
      </c>
      <c r="M187" s="6">
        <f>IF(Benchmark1[[#This Row],[Comparable '#2 Date Check]]="Pass",INDEX(Comp2[Comparable '#2 Price],MATCH(Benchmark1[[#This Row],[Benchmark '#1 Dates]],Comp2[Comparable '#2 Dates],0)),"-")</f>
        <v>46.93</v>
      </c>
      <c r="N187" s="22">
        <f>IF(Benchmark1[[#This Row],[Comparable '#2 Date Check]]="Pass",INDEX(Comp2[Comparable '#2 Return],MATCH(Benchmark1[[#This Row],[Benchmark '#1 Dates]],Comp2[Comparable '#2 Dates],0)),"-")</f>
        <v>1.3083296541586457E-2</v>
      </c>
      <c r="O187" s="1">
        <f>IFERROR(IF(Benchmark1[[#This Row],[Comparable '#2 Date Check]]="Pass",Benchmark1[[#This Row],[Comparable '#2 Return]]-Benchmark1[[#This Row],[Benchmark '#1 Return]],"-"),"-")</f>
        <v>1.5796948973236802E-3</v>
      </c>
      <c r="P187" s="1" t="str">
        <f>IF(COUNTIF(Comp3[Comparable '#3 Dates],Benchmark1[[#This Row],[Benchmark '#1 Dates]])=1,"Pass","Fail")</f>
        <v>Pass</v>
      </c>
      <c r="Q187" s="6">
        <f>IF(Benchmark1[[#This Row],[Comparable '#3 Date Check]]="Pass",INDEX(Comp3[Comparable '#3 Price],MATCH(Benchmark1[[#This Row],[Benchmark '#1 Dates]],Comp3[Comparable '#3 Dates],0)),"-")</f>
        <v>132.08000000000001</v>
      </c>
      <c r="R187" s="22">
        <f>IF(Benchmark1[[#This Row],[Comparable '#3 Date Check]]="Pass",INDEX(Comp3[Comparable '#3 Return],MATCH(Benchmark1[[#This Row],[Benchmark '#1 Dates]],Comp3[Comparable '#3 Dates],0)),"-")</f>
        <v>5.8468597409589039E-3</v>
      </c>
      <c r="S187" s="1">
        <f>IFERROR(IF(Benchmark1[[#This Row],[Comparable '#3 Date Check]]="Pass",Benchmark1[[#This Row],[Comparable '#3 Return]]-Benchmark1[[#This Row],[Benchmark '#1 Return]],"-"),"-")</f>
        <v>-5.6567419033038734E-3</v>
      </c>
    </row>
    <row r="188" spans="1:19">
      <c r="A188" s="103">
        <v>43557</v>
      </c>
      <c r="B188" s="104">
        <v>2867.2364436299208</v>
      </c>
      <c r="C188" s="4">
        <f t="shared" si="2"/>
        <v>1.4841689113184265E-5</v>
      </c>
      <c r="D188" s="1" t="str">
        <f>IF(COUNTIF(Target1[Target Dates],Benchmark1[[#This Row],[Benchmark '#1 Dates]])=1,"Pass","Fail")</f>
        <v>Pass</v>
      </c>
      <c r="E188" s="6">
        <f>IF(Benchmark1[[#This Row],[Target Date Check]]="Pass",INDEX(Target1[Target Price],MATCH(Benchmark1[[#This Row],[Benchmark '#1 Dates]],Target1[Target Dates],0)),"-")</f>
        <v>34.25</v>
      </c>
      <c r="F188" s="22">
        <f>IF(Benchmark1[[#This Row],[Target Date Check]]="Pass",INDEX(Target1[Target Return],MATCH(Benchmark1[[#This Row],[Benchmark '#1 Dates]],Target1[Target Dates],0)),"-")</f>
        <v>2.0458870207894966E-3</v>
      </c>
      <c r="G188" s="1">
        <f>IFERROR(IF(Benchmark1[[#This Row],[Target Date Check]]="Pass",Benchmark1[[#This Row],[Target Return]]-Benchmark1[[#This Row],[Benchmark '#1 Return]],"-"),"-")</f>
        <v>2.0310453316763123E-3</v>
      </c>
      <c r="H188" s="1" t="str">
        <f>IF(COUNTIF(Comp1[Comparable '#1 Dates],Benchmark1[[#This Row],[Benchmark '#1 Dates]])=1,"Pass","Fail")</f>
        <v>Pass</v>
      </c>
      <c r="I188" s="6">
        <f>IF(Benchmark1[[#This Row],[Comparable '#1 Date Check]]="Pass",INDEX(Comp1[Comparable '#1 Price],MATCH(Benchmark1[[#This Row],[Benchmark '#1 Dates]],Comp1[Comparable '#1 Dates],0)),"-")</f>
        <v>15.19</v>
      </c>
      <c r="J188" s="22">
        <f>IF(Benchmark1[[#This Row],[Comparable '#1 Date Check]]="Pass",INDEX(Comp1[Comparable '#1 Return],MATCH(Benchmark1[[#This Row],[Benchmark '#1 Dates]],Comp1[Comparable '#1 Dates],0)),"-")</f>
        <v>1.592601677098613E-2</v>
      </c>
      <c r="K188" s="1">
        <f>IFERROR(IF(Benchmark1[[#This Row],[Comparable '#1 Date Check]]="Pass",Benchmark1[[#This Row],[Comparable '#1 Return]]-Benchmark1[[#This Row],[Benchmark '#1 Return]],"-"),"-")</f>
        <v>1.5911175081872946E-2</v>
      </c>
      <c r="L188" s="1" t="str">
        <f>IF(COUNTIF(Comp2[Comparable '#2 Dates],Benchmark1[[#This Row],[Benchmark '#1 Dates]])=1,"Pass","Fail")</f>
        <v>Pass</v>
      </c>
      <c r="M188" s="6">
        <f>IF(Benchmark1[[#This Row],[Comparable '#2 Date Check]]="Pass",INDEX(Comp2[Comparable '#2 Price],MATCH(Benchmark1[[#This Row],[Benchmark '#1 Dates]],Comp2[Comparable '#2 Dates],0)),"-")</f>
        <v>46.48</v>
      </c>
      <c r="N188" s="22">
        <f>IF(Benchmark1[[#This Row],[Comparable '#2 Date Check]]="Pass",INDEX(Comp2[Comparable '#2 Return],MATCH(Benchmark1[[#This Row],[Benchmark '#1 Dates]],Comp2[Comparable '#2 Dates],0)),"-")</f>
        <v>-9.6350172626705963E-3</v>
      </c>
      <c r="O188" s="1">
        <f>IFERROR(IF(Benchmark1[[#This Row],[Comparable '#2 Date Check]]="Pass",Benchmark1[[#This Row],[Comparable '#2 Return]]-Benchmark1[[#This Row],[Benchmark '#1 Return]],"-"),"-")</f>
        <v>-9.649858951783781E-3</v>
      </c>
      <c r="P188" s="1" t="str">
        <f>IF(COUNTIF(Comp3[Comparable '#3 Dates],Benchmark1[[#This Row],[Benchmark '#1 Dates]])=1,"Pass","Fail")</f>
        <v>Pass</v>
      </c>
      <c r="Q188" s="6">
        <f>IF(Benchmark1[[#This Row],[Comparable '#3 Date Check]]="Pass",INDEX(Comp3[Comparable '#3 Price],MATCH(Benchmark1[[#This Row],[Benchmark '#1 Dates]],Comp3[Comparable '#3 Dates],0)),"-")</f>
        <v>133.4</v>
      </c>
      <c r="R188" s="22">
        <f>IF(Benchmark1[[#This Row],[Comparable '#3 Date Check]]="Pass",INDEX(Comp3[Comparable '#3 Return],MATCH(Benchmark1[[#This Row],[Benchmark '#1 Dates]],Comp3[Comparable '#3 Dates],0)),"-")</f>
        <v>9.944333869650622E-3</v>
      </c>
      <c r="S188" s="1">
        <f>IFERROR(IF(Benchmark1[[#This Row],[Comparable '#3 Date Check]]="Pass",Benchmark1[[#This Row],[Comparable '#3 Return]]-Benchmark1[[#This Row],[Benchmark '#1 Return]],"-"),"-")</f>
        <v>9.9294921805374373E-3</v>
      </c>
    </row>
    <row r="189" spans="1:19">
      <c r="A189" s="103">
        <v>43558</v>
      </c>
      <c r="B189" s="104">
        <v>2873.3991482144502</v>
      </c>
      <c r="C189" s="4">
        <f t="shared" si="2"/>
        <v>2.1470469091238197E-3</v>
      </c>
      <c r="D189" s="1" t="str">
        <f>IF(COUNTIF(Target1[Target Dates],Benchmark1[[#This Row],[Benchmark '#1 Dates]])=1,"Pass","Fail")</f>
        <v>Pass</v>
      </c>
      <c r="E189" s="6">
        <f>IF(Benchmark1[[#This Row],[Target Date Check]]="Pass",INDEX(Target1[Target Price],MATCH(Benchmark1[[#This Row],[Benchmark '#1 Dates]],Target1[Target Dates],0)),"-")</f>
        <v>35.1</v>
      </c>
      <c r="F189" s="22">
        <f>IF(Benchmark1[[#This Row],[Target Date Check]]="Pass",INDEX(Target1[Target Return],MATCH(Benchmark1[[#This Row],[Benchmark '#1 Dates]],Target1[Target Dates],0)),"-")</f>
        <v>2.451456576358578E-2</v>
      </c>
      <c r="G189" s="1">
        <f>IFERROR(IF(Benchmark1[[#This Row],[Target Date Check]]="Pass",Benchmark1[[#This Row],[Target Return]]-Benchmark1[[#This Row],[Benchmark '#1 Return]],"-"),"-")</f>
        <v>2.2367518854461959E-2</v>
      </c>
      <c r="H189" s="1" t="str">
        <f>IF(COUNTIF(Comp1[Comparable '#1 Dates],Benchmark1[[#This Row],[Benchmark '#1 Dates]])=1,"Pass","Fail")</f>
        <v>Pass</v>
      </c>
      <c r="I189" s="6">
        <f>IF(Benchmark1[[#This Row],[Comparable '#1 Date Check]]="Pass",INDEX(Comp1[Comparable '#1 Price],MATCH(Benchmark1[[#This Row],[Benchmark '#1 Dates]],Comp1[Comparable '#1 Dates],0)),"-")</f>
        <v>15.25</v>
      </c>
      <c r="J189" s="22">
        <f>IF(Benchmark1[[#This Row],[Comparable '#1 Date Check]]="Pass",INDEX(Comp1[Comparable '#1 Return],MATCH(Benchmark1[[#This Row],[Benchmark '#1 Dates]],Comp1[Comparable '#1 Dates],0)),"-")</f>
        <v>3.9421864457391247E-3</v>
      </c>
      <c r="K189" s="1">
        <f>IFERROR(IF(Benchmark1[[#This Row],[Comparable '#1 Date Check]]="Pass",Benchmark1[[#This Row],[Comparable '#1 Return]]-Benchmark1[[#This Row],[Benchmark '#1 Return]],"-"),"-")</f>
        <v>1.795139536615305E-3</v>
      </c>
      <c r="L189" s="1" t="str">
        <f>IF(COUNTIF(Comp2[Comparable '#2 Dates],Benchmark1[[#This Row],[Benchmark '#1 Dates]])=1,"Pass","Fail")</f>
        <v>Pass</v>
      </c>
      <c r="M189" s="6">
        <f>IF(Benchmark1[[#This Row],[Comparable '#2 Date Check]]="Pass",INDEX(Comp2[Comparable '#2 Price],MATCH(Benchmark1[[#This Row],[Benchmark '#1 Dates]],Comp2[Comparable '#2 Dates],0)),"-")</f>
        <v>47.48</v>
      </c>
      <c r="N189" s="22">
        <f>IF(Benchmark1[[#This Row],[Comparable '#2 Date Check]]="Pass",INDEX(Comp2[Comparable '#2 Return],MATCH(Benchmark1[[#This Row],[Benchmark '#1 Dates]],Comp2[Comparable '#2 Dates],0)),"-")</f>
        <v>2.1286457197811449E-2</v>
      </c>
      <c r="O189" s="1">
        <f>IFERROR(IF(Benchmark1[[#This Row],[Comparable '#2 Date Check]]="Pass",Benchmark1[[#This Row],[Comparable '#2 Return]]-Benchmark1[[#This Row],[Benchmark '#1 Return]],"-"),"-")</f>
        <v>1.9139410288687628E-2</v>
      </c>
      <c r="P189" s="1" t="str">
        <f>IF(COUNTIF(Comp3[Comparable '#3 Dates],Benchmark1[[#This Row],[Benchmark '#1 Dates]])=1,"Pass","Fail")</f>
        <v>Pass</v>
      </c>
      <c r="Q189" s="6">
        <f>IF(Benchmark1[[#This Row],[Comparable '#3 Date Check]]="Pass",INDEX(Comp3[Comparable '#3 Price],MATCH(Benchmark1[[#This Row],[Benchmark '#1 Dates]],Comp3[Comparable '#3 Dates],0)),"-")</f>
        <v>135.19999999999999</v>
      </c>
      <c r="R189" s="22">
        <f>IF(Benchmark1[[#This Row],[Comparable '#3 Date Check]]="Pass",INDEX(Comp3[Comparable '#3 Return],MATCH(Benchmark1[[#This Row],[Benchmark '#1 Dates]],Comp3[Comparable '#3 Dates],0)),"-")</f>
        <v>1.3403030127340228E-2</v>
      </c>
      <c r="S189" s="1">
        <f>IFERROR(IF(Benchmark1[[#This Row],[Comparable '#3 Date Check]]="Pass",Benchmark1[[#This Row],[Comparable '#3 Return]]-Benchmark1[[#This Row],[Benchmark '#1 Return]],"-"),"-")</f>
        <v>1.1255983218216409E-2</v>
      </c>
    </row>
    <row r="190" spans="1:19">
      <c r="A190" s="103">
        <v>43559</v>
      </c>
      <c r="B190" s="104">
        <v>2879.3907805172871</v>
      </c>
      <c r="C190" s="4">
        <f t="shared" si="2"/>
        <v>2.0830360724303212E-3</v>
      </c>
      <c r="D190" s="1" t="str">
        <f>IF(COUNTIF(Target1[Target Dates],Benchmark1[[#This Row],[Benchmark '#1 Dates]])=1,"Pass","Fail")</f>
        <v>Pass</v>
      </c>
      <c r="E190" s="6">
        <f>IF(Benchmark1[[#This Row],[Target Date Check]]="Pass",INDEX(Target1[Target Price],MATCH(Benchmark1[[#This Row],[Benchmark '#1 Dates]],Target1[Target Dates],0)),"-")</f>
        <v>35.78</v>
      </c>
      <c r="F190" s="22">
        <f>IF(Benchmark1[[#This Row],[Target Date Check]]="Pass",INDEX(Target1[Target Return],MATCH(Benchmark1[[#This Row],[Benchmark '#1 Dates]],Target1[Target Dates],0)),"-")</f>
        <v>1.9187947608753052E-2</v>
      </c>
      <c r="G190" s="1">
        <f>IFERROR(IF(Benchmark1[[#This Row],[Target Date Check]]="Pass",Benchmark1[[#This Row],[Target Return]]-Benchmark1[[#This Row],[Benchmark '#1 Return]],"-"),"-")</f>
        <v>1.710491153632273E-2</v>
      </c>
      <c r="H190" s="1" t="str">
        <f>IF(COUNTIF(Comp1[Comparable '#1 Dates],Benchmark1[[#This Row],[Benchmark '#1 Dates]])=1,"Pass","Fail")</f>
        <v>Pass</v>
      </c>
      <c r="I190" s="6">
        <f>IF(Benchmark1[[#This Row],[Comparable '#1 Date Check]]="Pass",INDEX(Comp1[Comparable '#1 Price],MATCH(Benchmark1[[#This Row],[Benchmark '#1 Dates]],Comp1[Comparable '#1 Dates],0)),"-")</f>
        <v>15.41</v>
      </c>
      <c r="J190" s="22">
        <f>IF(Benchmark1[[#This Row],[Comparable '#1 Date Check]]="Pass",INDEX(Comp1[Comparable '#1 Return],MATCH(Benchmark1[[#This Row],[Benchmark '#1 Dates]],Comp1[Comparable '#1 Dates],0)),"-")</f>
        <v>1.0437146278603711E-2</v>
      </c>
      <c r="K190" s="1">
        <f>IFERROR(IF(Benchmark1[[#This Row],[Comparable '#1 Date Check]]="Pass",Benchmark1[[#This Row],[Comparable '#1 Return]]-Benchmark1[[#This Row],[Benchmark '#1 Return]],"-"),"-")</f>
        <v>8.3541102061733888E-3</v>
      </c>
      <c r="L190" s="1" t="str">
        <f>IF(COUNTIF(Comp2[Comparable '#2 Dates],Benchmark1[[#This Row],[Benchmark '#1 Dates]])=1,"Pass","Fail")</f>
        <v>Pass</v>
      </c>
      <c r="M190" s="6">
        <f>IF(Benchmark1[[#This Row],[Comparable '#2 Date Check]]="Pass",INDEX(Comp2[Comparable '#2 Price],MATCH(Benchmark1[[#This Row],[Benchmark '#1 Dates]],Comp2[Comparable '#2 Dates],0)),"-")</f>
        <v>47.87</v>
      </c>
      <c r="N190" s="22">
        <f>IF(Benchmark1[[#This Row],[Comparable '#2 Date Check]]="Pass",INDEX(Comp2[Comparable '#2 Return],MATCH(Benchmark1[[#This Row],[Benchmark '#1 Dates]],Comp2[Comparable '#2 Dates],0)),"-")</f>
        <v>8.180433662950402E-3</v>
      </c>
      <c r="O190" s="1">
        <f>IFERROR(IF(Benchmark1[[#This Row],[Comparable '#2 Date Check]]="Pass",Benchmark1[[#This Row],[Comparable '#2 Return]]-Benchmark1[[#This Row],[Benchmark '#1 Return]],"-"),"-")</f>
        <v>6.0973975905200808E-3</v>
      </c>
      <c r="P190" s="1" t="str">
        <f>IF(COUNTIF(Comp3[Comparable '#3 Dates],Benchmark1[[#This Row],[Benchmark '#1 Dates]])=1,"Pass","Fail")</f>
        <v>Pass</v>
      </c>
      <c r="Q190" s="6">
        <f>IF(Benchmark1[[#This Row],[Comparable '#3 Date Check]]="Pass",INDEX(Comp3[Comparable '#3 Price],MATCH(Benchmark1[[#This Row],[Benchmark '#1 Dates]],Comp3[Comparable '#3 Dates],0)),"-")</f>
        <v>138.02000000000001</v>
      </c>
      <c r="R190" s="22">
        <f>IF(Benchmark1[[#This Row],[Comparable '#3 Date Check]]="Pass",INDEX(Comp3[Comparable '#3 Return],MATCH(Benchmark1[[#This Row],[Benchmark '#1 Dates]],Comp3[Comparable '#3 Dates],0)),"-")</f>
        <v>2.0643438583592317E-2</v>
      </c>
      <c r="S190" s="1">
        <f>IFERROR(IF(Benchmark1[[#This Row],[Comparable '#3 Date Check]]="Pass",Benchmark1[[#This Row],[Comparable '#3 Return]]-Benchmark1[[#This Row],[Benchmark '#1 Return]],"-"),"-")</f>
        <v>1.8560402511161995E-2</v>
      </c>
    </row>
    <row r="191" spans="1:19">
      <c r="A191" s="103">
        <v>43560</v>
      </c>
      <c r="B191" s="104">
        <v>2892.7443971570365</v>
      </c>
      <c r="C191" s="4">
        <f t="shared" si="2"/>
        <v>4.626932686817819E-3</v>
      </c>
      <c r="D191" s="1" t="str">
        <f>IF(COUNTIF(Target1[Target Dates],Benchmark1[[#This Row],[Benchmark '#1 Dates]])=1,"Pass","Fail")</f>
        <v>Pass</v>
      </c>
      <c r="E191" s="6">
        <f>IF(Benchmark1[[#This Row],[Target Date Check]]="Pass",INDEX(Target1[Target Price],MATCH(Benchmark1[[#This Row],[Benchmark '#1 Dates]],Target1[Target Dates],0)),"-")</f>
        <v>36.07</v>
      </c>
      <c r="F191" s="22">
        <f>IF(Benchmark1[[#This Row],[Target Date Check]]="Pass",INDEX(Target1[Target Return],MATCH(Benchmark1[[#This Row],[Benchmark '#1 Dates]],Target1[Target Dates],0)),"-")</f>
        <v>8.0724168348745972E-3</v>
      </c>
      <c r="G191" s="1">
        <f>IFERROR(IF(Benchmark1[[#This Row],[Target Date Check]]="Pass",Benchmark1[[#This Row],[Target Return]]-Benchmark1[[#This Row],[Benchmark '#1 Return]],"-"),"-")</f>
        <v>3.4454841480567782E-3</v>
      </c>
      <c r="H191" s="1" t="str">
        <f>IF(COUNTIF(Comp1[Comparable '#1 Dates],Benchmark1[[#This Row],[Benchmark '#1 Dates]])=1,"Pass","Fail")</f>
        <v>Pass</v>
      </c>
      <c r="I191" s="6">
        <f>IF(Benchmark1[[#This Row],[Comparable '#1 Date Check]]="Pass",INDEX(Comp1[Comparable '#1 Price],MATCH(Benchmark1[[#This Row],[Benchmark '#1 Dates]],Comp1[Comparable '#1 Dates],0)),"-")</f>
        <v>15.52</v>
      </c>
      <c r="J191" s="22">
        <f>IF(Benchmark1[[#This Row],[Comparable '#1 Date Check]]="Pass",INDEX(Comp1[Comparable '#1 Return],MATCH(Benchmark1[[#This Row],[Benchmark '#1 Dates]],Comp1[Comparable '#1 Dates],0)),"-")</f>
        <v>7.1128654230482912E-3</v>
      </c>
      <c r="K191" s="1">
        <f>IFERROR(IF(Benchmark1[[#This Row],[Comparable '#1 Date Check]]="Pass",Benchmark1[[#This Row],[Comparable '#1 Return]]-Benchmark1[[#This Row],[Benchmark '#1 Return]],"-"),"-")</f>
        <v>2.4859327362304721E-3</v>
      </c>
      <c r="L191" s="1" t="str">
        <f>IF(COUNTIF(Comp2[Comparable '#2 Dates],Benchmark1[[#This Row],[Benchmark '#1 Dates]])=1,"Pass","Fail")</f>
        <v>Pass</v>
      </c>
      <c r="M191" s="6">
        <f>IF(Benchmark1[[#This Row],[Comparable '#2 Date Check]]="Pass",INDEX(Comp2[Comparable '#2 Price],MATCH(Benchmark1[[#This Row],[Benchmark '#1 Dates]],Comp2[Comparable '#2 Dates],0)),"-")</f>
        <v>47.84</v>
      </c>
      <c r="N191" s="22">
        <f>IF(Benchmark1[[#This Row],[Comparable '#2 Date Check]]="Pass",INDEX(Comp2[Comparable '#2 Return],MATCH(Benchmark1[[#This Row],[Benchmark '#1 Dates]],Comp2[Comparable '#2 Dates],0)),"-")</f>
        <v>-6.2689376204126072E-4</v>
      </c>
      <c r="O191" s="1">
        <f>IFERROR(IF(Benchmark1[[#This Row],[Comparable '#2 Date Check]]="Pass",Benchmark1[[#This Row],[Comparable '#2 Return]]-Benchmark1[[#This Row],[Benchmark '#1 Return]],"-"),"-")</f>
        <v>-5.2538264488590797E-3</v>
      </c>
      <c r="P191" s="1" t="str">
        <f>IF(COUNTIF(Comp3[Comparable '#3 Dates],Benchmark1[[#This Row],[Benchmark '#1 Dates]])=1,"Pass","Fail")</f>
        <v>Pass</v>
      </c>
      <c r="Q191" s="6">
        <f>IF(Benchmark1[[#This Row],[Comparable '#3 Date Check]]="Pass",INDEX(Comp3[Comparable '#3 Price],MATCH(Benchmark1[[#This Row],[Benchmark '#1 Dates]],Comp3[Comparable '#3 Dates],0)),"-")</f>
        <v>139.33000000000001</v>
      </c>
      <c r="R191" s="22">
        <f>IF(Benchmark1[[#This Row],[Comparable '#3 Date Check]]="Pass",INDEX(Comp3[Comparable '#3 Return],MATCH(Benchmark1[[#This Row],[Benchmark '#1 Dates]],Comp3[Comparable '#3 Dates],0)),"-")</f>
        <v>9.4466179330445661E-3</v>
      </c>
      <c r="S191" s="1">
        <f>IFERROR(IF(Benchmark1[[#This Row],[Comparable '#3 Date Check]]="Pass",Benchmark1[[#This Row],[Comparable '#3 Return]]-Benchmark1[[#This Row],[Benchmark '#1 Return]],"-"),"-")</f>
        <v>4.8196852462267471E-3</v>
      </c>
    </row>
    <row r="192" spans="1:19">
      <c r="A192" s="103">
        <v>43563</v>
      </c>
      <c r="B192" s="104">
        <v>2895.7705932558702</v>
      </c>
      <c r="C192" s="4">
        <f t="shared" si="2"/>
        <v>1.0455864343601742E-3</v>
      </c>
      <c r="D192" s="1" t="str">
        <f>IF(COUNTIF(Target1[Target Dates],Benchmark1[[#This Row],[Benchmark '#1 Dates]])=1,"Pass","Fail")</f>
        <v>Pass</v>
      </c>
      <c r="E192" s="6">
        <f>IF(Benchmark1[[#This Row],[Target Date Check]]="Pass",INDEX(Target1[Target Price],MATCH(Benchmark1[[#This Row],[Benchmark '#1 Dates]],Target1[Target Dates],0)),"-")</f>
        <v>35.64</v>
      </c>
      <c r="F192" s="22">
        <f>IF(Benchmark1[[#This Row],[Target Date Check]]="Pass",INDEX(Target1[Target Return],MATCH(Benchmark1[[#This Row],[Benchmark '#1 Dates]],Target1[Target Dates],0)),"-")</f>
        <v>-1.1992892312839055E-2</v>
      </c>
      <c r="G192" s="1">
        <f>IFERROR(IF(Benchmark1[[#This Row],[Target Date Check]]="Pass",Benchmark1[[#This Row],[Target Return]]-Benchmark1[[#This Row],[Benchmark '#1 Return]],"-"),"-")</f>
        <v>-1.3038478747199229E-2</v>
      </c>
      <c r="H192" s="1" t="str">
        <f>IF(COUNTIF(Comp1[Comparable '#1 Dates],Benchmark1[[#This Row],[Benchmark '#1 Dates]])=1,"Pass","Fail")</f>
        <v>Pass</v>
      </c>
      <c r="I192" s="6">
        <f>IF(Benchmark1[[#This Row],[Comparable '#1 Date Check]]="Pass",INDEX(Comp1[Comparable '#1 Price],MATCH(Benchmark1[[#This Row],[Benchmark '#1 Dates]],Comp1[Comparable '#1 Dates],0)),"-")</f>
        <v>15.61</v>
      </c>
      <c r="J192" s="22">
        <f>IF(Benchmark1[[#This Row],[Comparable '#1 Date Check]]="Pass",INDEX(Comp1[Comparable '#1 Return],MATCH(Benchmark1[[#This Row],[Benchmark '#1 Dates]],Comp1[Comparable '#1 Dates],0)),"-")</f>
        <v>5.7822197722679838E-3</v>
      </c>
      <c r="K192" s="1">
        <f>IFERROR(IF(Benchmark1[[#This Row],[Comparable '#1 Date Check]]="Pass",Benchmark1[[#This Row],[Comparable '#1 Return]]-Benchmark1[[#This Row],[Benchmark '#1 Return]],"-"),"-")</f>
        <v>4.7366333379078099E-3</v>
      </c>
      <c r="L192" s="1" t="str">
        <f>IF(COUNTIF(Comp2[Comparable '#2 Dates],Benchmark1[[#This Row],[Benchmark '#1 Dates]])=1,"Pass","Fail")</f>
        <v>Pass</v>
      </c>
      <c r="M192" s="6">
        <f>IF(Benchmark1[[#This Row],[Comparable '#2 Date Check]]="Pass",INDEX(Comp2[Comparable '#2 Price],MATCH(Benchmark1[[#This Row],[Benchmark '#1 Dates]],Comp2[Comparable '#2 Dates],0)),"-")</f>
        <v>47.95</v>
      </c>
      <c r="N192" s="22">
        <f>IF(Benchmark1[[#This Row],[Comparable '#2 Date Check]]="Pass",INDEX(Comp2[Comparable '#2 Return],MATCH(Benchmark1[[#This Row],[Benchmark '#1 Dates]],Comp2[Comparable '#2 Dates],0)),"-")</f>
        <v>2.2966916870709704E-3</v>
      </c>
      <c r="O192" s="1">
        <f>IFERROR(IF(Benchmark1[[#This Row],[Comparable '#2 Date Check]]="Pass",Benchmark1[[#This Row],[Comparable '#2 Return]]-Benchmark1[[#This Row],[Benchmark '#1 Return]],"-"),"-")</f>
        <v>1.2511052527107963E-3</v>
      </c>
      <c r="P192" s="1" t="str">
        <f>IF(COUNTIF(Comp3[Comparable '#3 Dates],Benchmark1[[#This Row],[Benchmark '#1 Dates]])=1,"Pass","Fail")</f>
        <v>Pass</v>
      </c>
      <c r="Q192" s="6">
        <f>IF(Benchmark1[[#This Row],[Comparable '#3 Date Check]]="Pass",INDEX(Comp3[Comparable '#3 Price],MATCH(Benchmark1[[#This Row],[Benchmark '#1 Dates]],Comp3[Comparable '#3 Dates],0)),"-")</f>
        <v>139.62</v>
      </c>
      <c r="R192" s="22">
        <f>IF(Benchmark1[[#This Row],[Comparable '#3 Date Check]]="Pass",INDEX(Comp3[Comparable '#3 Return],MATCH(Benchmark1[[#This Row],[Benchmark '#1 Dates]],Comp3[Comparable '#3 Dates],0)),"-")</f>
        <v>2.0792264167550359E-3</v>
      </c>
      <c r="S192" s="1">
        <f>IFERROR(IF(Benchmark1[[#This Row],[Comparable '#3 Date Check]]="Pass",Benchmark1[[#This Row],[Comparable '#3 Return]]-Benchmark1[[#This Row],[Benchmark '#1 Return]],"-"),"-")</f>
        <v>1.0336399823948617E-3</v>
      </c>
    </row>
    <row r="193" spans="1:19">
      <c r="A193" s="103">
        <v>43564</v>
      </c>
      <c r="B193" s="104">
        <v>2878.2006311820792</v>
      </c>
      <c r="C193" s="4">
        <f t="shared" si="2"/>
        <v>-6.0859382984195885E-3</v>
      </c>
      <c r="D193" s="1" t="str">
        <f>IF(COUNTIF(Target1[Target Dates],Benchmark1[[#This Row],[Benchmark '#1 Dates]])=1,"Pass","Fail")</f>
        <v>Pass</v>
      </c>
      <c r="E193" s="6">
        <f>IF(Benchmark1[[#This Row],[Target Date Check]]="Pass",INDEX(Target1[Target Price],MATCH(Benchmark1[[#This Row],[Benchmark '#1 Dates]],Target1[Target Dates],0)),"-")</f>
        <v>36.22</v>
      </c>
      <c r="F193" s="22">
        <f>IF(Benchmark1[[#This Row],[Target Date Check]]="Pass",INDEX(Target1[Target Return],MATCH(Benchmark1[[#This Row],[Benchmark '#1 Dates]],Target1[Target Dates],0)),"-")</f>
        <v>1.6142849852658635E-2</v>
      </c>
      <c r="G193" s="1">
        <f>IFERROR(IF(Benchmark1[[#This Row],[Target Date Check]]="Pass",Benchmark1[[#This Row],[Target Return]]-Benchmark1[[#This Row],[Benchmark '#1 Return]],"-"),"-")</f>
        <v>2.2228788151078226E-2</v>
      </c>
      <c r="H193" s="1" t="str">
        <f>IF(COUNTIF(Comp1[Comparable '#1 Dates],Benchmark1[[#This Row],[Benchmark '#1 Dates]])=1,"Pass","Fail")</f>
        <v>Pass</v>
      </c>
      <c r="I193" s="6">
        <f>IF(Benchmark1[[#This Row],[Comparable '#1 Date Check]]="Pass",INDEX(Comp1[Comparable '#1 Price],MATCH(Benchmark1[[#This Row],[Benchmark '#1 Dates]],Comp1[Comparable '#1 Dates],0)),"-")</f>
        <v>15.64</v>
      </c>
      <c r="J193" s="22">
        <f>IF(Benchmark1[[#This Row],[Comparable '#1 Date Check]]="Pass",INDEX(Comp1[Comparable '#1 Return],MATCH(Benchmark1[[#This Row],[Benchmark '#1 Dates]],Comp1[Comparable '#1 Dates],0)),"-")</f>
        <v>1.9200005898244268E-3</v>
      </c>
      <c r="K193" s="1">
        <f>IFERROR(IF(Benchmark1[[#This Row],[Comparable '#1 Date Check]]="Pass",Benchmark1[[#This Row],[Comparable '#1 Return]]-Benchmark1[[#This Row],[Benchmark '#1 Return]],"-"),"-")</f>
        <v>8.0059388882440154E-3</v>
      </c>
      <c r="L193" s="1" t="str">
        <f>IF(COUNTIF(Comp2[Comparable '#2 Dates],Benchmark1[[#This Row],[Benchmark '#1 Dates]])=1,"Pass","Fail")</f>
        <v>Pass</v>
      </c>
      <c r="M193" s="6">
        <f>IF(Benchmark1[[#This Row],[Comparable '#2 Date Check]]="Pass",INDEX(Comp2[Comparable '#2 Price],MATCH(Benchmark1[[#This Row],[Benchmark '#1 Dates]],Comp2[Comparable '#2 Dates],0)),"-")</f>
        <v>47.66</v>
      </c>
      <c r="N193" s="22">
        <f>IF(Benchmark1[[#This Row],[Comparable '#2 Date Check]]="Pass",INDEX(Comp2[Comparable '#2 Return],MATCH(Benchmark1[[#This Row],[Benchmark '#1 Dates]],Comp2[Comparable '#2 Dates],0)),"-")</f>
        <v>-6.0663296588512449E-3</v>
      </c>
      <c r="O193" s="1">
        <f>IFERROR(IF(Benchmark1[[#This Row],[Comparable '#2 Date Check]]="Pass",Benchmark1[[#This Row],[Comparable '#2 Return]]-Benchmark1[[#This Row],[Benchmark '#1 Return]],"-"),"-")</f>
        <v>1.960863956834355E-5</v>
      </c>
      <c r="P193" s="1" t="str">
        <f>IF(COUNTIF(Comp3[Comparable '#3 Dates],Benchmark1[[#This Row],[Benchmark '#1 Dates]])=1,"Pass","Fail")</f>
        <v>Pass</v>
      </c>
      <c r="Q193" s="6">
        <f>IF(Benchmark1[[#This Row],[Comparable '#3 Date Check]]="Pass",INDEX(Comp3[Comparable '#3 Price],MATCH(Benchmark1[[#This Row],[Benchmark '#1 Dates]],Comp3[Comparable '#3 Dates],0)),"-")</f>
        <v>139.08000000000001</v>
      </c>
      <c r="R193" s="22">
        <f>IF(Benchmark1[[#This Row],[Comparable '#3 Date Check]]="Pass",INDEX(Comp3[Comparable '#3 Return],MATCH(Benchmark1[[#This Row],[Benchmark '#1 Dates]],Comp3[Comparable '#3 Dates],0)),"-")</f>
        <v>-3.8751394025946201E-3</v>
      </c>
      <c r="S193" s="1">
        <f>IFERROR(IF(Benchmark1[[#This Row],[Comparable '#3 Date Check]]="Pass",Benchmark1[[#This Row],[Comparable '#3 Return]]-Benchmark1[[#This Row],[Benchmark '#1 Return]],"-"),"-")</f>
        <v>2.2107988958249684E-3</v>
      </c>
    </row>
    <row r="194" spans="1:19">
      <c r="A194" s="103">
        <v>43565</v>
      </c>
      <c r="B194" s="104">
        <v>2888.2104169608015</v>
      </c>
      <c r="C194" s="4">
        <f t="shared" ref="C194:C257" si="3">IFERROR(IF(B194="","-",LN(B194/B193)),"-")</f>
        <v>3.4717593835195898E-3</v>
      </c>
      <c r="D194" s="1" t="str">
        <f>IF(COUNTIF(Target1[Target Dates],Benchmark1[[#This Row],[Benchmark '#1 Dates]])=1,"Pass","Fail")</f>
        <v>Pass</v>
      </c>
      <c r="E194" s="6">
        <f>IF(Benchmark1[[#This Row],[Target Date Check]]="Pass",INDEX(Target1[Target Price],MATCH(Benchmark1[[#This Row],[Benchmark '#1 Dates]],Target1[Target Dates],0)),"-")</f>
        <v>36.58</v>
      </c>
      <c r="F194" s="22">
        <f>IF(Benchmark1[[#This Row],[Target Date Check]]="Pass",INDEX(Target1[Target Return],MATCH(Benchmark1[[#This Row],[Benchmark '#1 Dates]],Target1[Target Dates],0)),"-")</f>
        <v>9.8901905074523476E-3</v>
      </c>
      <c r="G194" s="1">
        <f>IFERROR(IF(Benchmark1[[#This Row],[Target Date Check]]="Pass",Benchmark1[[#This Row],[Target Return]]-Benchmark1[[#This Row],[Benchmark '#1 Return]],"-"),"-")</f>
        <v>6.4184311239327578E-3</v>
      </c>
      <c r="H194" s="1" t="str">
        <f>IF(COUNTIF(Comp1[Comparable '#1 Dates],Benchmark1[[#This Row],[Benchmark '#1 Dates]])=1,"Pass","Fail")</f>
        <v>Pass</v>
      </c>
      <c r="I194" s="6">
        <f>IF(Benchmark1[[#This Row],[Comparable '#1 Date Check]]="Pass",INDEX(Comp1[Comparable '#1 Price],MATCH(Benchmark1[[#This Row],[Benchmark '#1 Dates]],Comp1[Comparable '#1 Dates],0)),"-")</f>
        <v>15.76</v>
      </c>
      <c r="J194" s="22">
        <f>IF(Benchmark1[[#This Row],[Comparable '#1 Date Check]]="Pass",INDEX(Comp1[Comparable '#1 Return],MATCH(Benchmark1[[#This Row],[Benchmark '#1 Dates]],Comp1[Comparable '#1 Dates],0)),"-")</f>
        <v>7.6433493125680659E-3</v>
      </c>
      <c r="K194" s="1">
        <f>IFERROR(IF(Benchmark1[[#This Row],[Comparable '#1 Date Check]]="Pass",Benchmark1[[#This Row],[Comparable '#1 Return]]-Benchmark1[[#This Row],[Benchmark '#1 Return]],"-"),"-")</f>
        <v>4.171589929048476E-3</v>
      </c>
      <c r="L194" s="1" t="str">
        <f>IF(COUNTIF(Comp2[Comparable '#2 Dates],Benchmark1[[#This Row],[Benchmark '#1 Dates]])=1,"Pass","Fail")</f>
        <v>Pass</v>
      </c>
      <c r="M194" s="6">
        <f>IF(Benchmark1[[#This Row],[Comparable '#2 Date Check]]="Pass",INDEX(Comp2[Comparable '#2 Price],MATCH(Benchmark1[[#This Row],[Benchmark '#1 Dates]],Comp2[Comparable '#2 Dates],0)),"-")</f>
        <v>48.36</v>
      </c>
      <c r="N194" s="22">
        <f>IF(Benchmark1[[#This Row],[Comparable '#2 Date Check]]="Pass",INDEX(Comp2[Comparable '#2 Return],MATCH(Benchmark1[[#This Row],[Benchmark '#1 Dates]],Comp2[Comparable '#2 Dates],0)),"-")</f>
        <v>1.4580554075995844E-2</v>
      </c>
      <c r="O194" s="1">
        <f>IFERROR(IF(Benchmark1[[#This Row],[Comparable '#2 Date Check]]="Pass",Benchmark1[[#This Row],[Comparable '#2 Return]]-Benchmark1[[#This Row],[Benchmark '#1 Return]],"-"),"-")</f>
        <v>1.1108794692476255E-2</v>
      </c>
      <c r="P194" s="1" t="str">
        <f>IF(COUNTIF(Comp3[Comparable '#3 Dates],Benchmark1[[#This Row],[Benchmark '#1 Dates]])=1,"Pass","Fail")</f>
        <v>Pass</v>
      </c>
      <c r="Q194" s="6">
        <f>IF(Benchmark1[[#This Row],[Comparable '#3 Date Check]]="Pass",INDEX(Comp3[Comparable '#3 Price],MATCH(Benchmark1[[#This Row],[Benchmark '#1 Dates]],Comp3[Comparable '#3 Dates],0)),"-")</f>
        <v>141.37</v>
      </c>
      <c r="R194" s="22">
        <f>IF(Benchmark1[[#This Row],[Comparable '#3 Date Check]]="Pass",INDEX(Comp3[Comparable '#3 Return],MATCH(Benchmark1[[#This Row],[Benchmark '#1 Dates]],Comp3[Comparable '#3 Dates],0)),"-")</f>
        <v>1.6331259739280488E-2</v>
      </c>
      <c r="S194" s="1">
        <f>IFERROR(IF(Benchmark1[[#This Row],[Comparable '#3 Date Check]]="Pass",Benchmark1[[#This Row],[Comparable '#3 Return]]-Benchmark1[[#This Row],[Benchmark '#1 Return]],"-"),"-")</f>
        <v>1.2859500355760899E-2</v>
      </c>
    </row>
    <row r="195" spans="1:19">
      <c r="A195" s="103">
        <v>43566</v>
      </c>
      <c r="B195" s="104">
        <v>2888.3194535660746</v>
      </c>
      <c r="C195" s="4">
        <f t="shared" si="3"/>
        <v>3.7751594029552542E-5</v>
      </c>
      <c r="D195" s="1" t="str">
        <f>IF(COUNTIF(Target1[Target Dates],Benchmark1[[#This Row],[Benchmark '#1 Dates]])=1,"Pass","Fail")</f>
        <v>Pass</v>
      </c>
      <c r="E195" s="6">
        <f>IF(Benchmark1[[#This Row],[Target Date Check]]="Pass",INDEX(Target1[Target Price],MATCH(Benchmark1[[#This Row],[Benchmark '#1 Dates]],Target1[Target Dates],0)),"-")</f>
        <v>36.85</v>
      </c>
      <c r="F195" s="22">
        <f>IF(Benchmark1[[#This Row],[Target Date Check]]="Pass",INDEX(Target1[Target Return],MATCH(Benchmark1[[#This Row],[Benchmark '#1 Dates]],Target1[Target Dates],0)),"-")</f>
        <v>7.3539756726261375E-3</v>
      </c>
      <c r="G195" s="1">
        <f>IFERROR(IF(Benchmark1[[#This Row],[Target Date Check]]="Pass",Benchmark1[[#This Row],[Target Return]]-Benchmark1[[#This Row],[Benchmark '#1 Return]],"-"),"-")</f>
        <v>7.3162240785965846E-3</v>
      </c>
      <c r="H195" s="1" t="str">
        <f>IF(COUNTIF(Comp1[Comparable '#1 Dates],Benchmark1[[#This Row],[Benchmark '#1 Dates]])=1,"Pass","Fail")</f>
        <v>Pass</v>
      </c>
      <c r="I195" s="6">
        <f>IF(Benchmark1[[#This Row],[Comparable '#1 Date Check]]="Pass",INDEX(Comp1[Comparable '#1 Price],MATCH(Benchmark1[[#This Row],[Benchmark '#1 Dates]],Comp1[Comparable '#1 Dates],0)),"-")</f>
        <v>15.7</v>
      </c>
      <c r="J195" s="22">
        <f>IF(Benchmark1[[#This Row],[Comparable '#1 Date Check]]="Pass",INDEX(Comp1[Comparable '#1 Return],MATCH(Benchmark1[[#This Row],[Benchmark '#1 Dates]],Comp1[Comparable '#1 Dates],0)),"-")</f>
        <v>-3.8143720754706774E-3</v>
      </c>
      <c r="K195" s="1">
        <f>IFERROR(IF(Benchmark1[[#This Row],[Comparable '#1 Date Check]]="Pass",Benchmark1[[#This Row],[Comparable '#1 Return]]-Benchmark1[[#This Row],[Benchmark '#1 Return]],"-"),"-")</f>
        <v>-3.8521236695002298E-3</v>
      </c>
      <c r="L195" s="1" t="str">
        <f>IF(COUNTIF(Comp2[Comparable '#2 Dates],Benchmark1[[#This Row],[Benchmark '#1 Dates]])=1,"Pass","Fail")</f>
        <v>Pass</v>
      </c>
      <c r="M195" s="6">
        <f>IF(Benchmark1[[#This Row],[Comparable '#2 Date Check]]="Pass",INDEX(Comp2[Comparable '#2 Price],MATCH(Benchmark1[[#This Row],[Benchmark '#1 Dates]],Comp2[Comparable '#2 Dates],0)),"-")</f>
        <v>48.33</v>
      </c>
      <c r="N195" s="22">
        <f>IF(Benchmark1[[#This Row],[Comparable '#2 Date Check]]="Pass",INDEX(Comp2[Comparable '#2 Return],MATCH(Benchmark1[[#This Row],[Benchmark '#1 Dates]],Comp2[Comparable '#2 Dates],0)),"-")</f>
        <v>-6.2053988959925551E-4</v>
      </c>
      <c r="O195" s="1">
        <f>IFERROR(IF(Benchmark1[[#This Row],[Comparable '#2 Date Check]]="Pass",Benchmark1[[#This Row],[Comparable '#2 Return]]-Benchmark1[[#This Row],[Benchmark '#1 Return]],"-"),"-")</f>
        <v>-6.5829148362880809E-4</v>
      </c>
      <c r="P195" s="1" t="str">
        <f>IF(COUNTIF(Comp3[Comparable '#3 Dates],Benchmark1[[#This Row],[Benchmark '#1 Dates]])=1,"Pass","Fail")</f>
        <v>Pass</v>
      </c>
      <c r="Q195" s="6">
        <f>IF(Benchmark1[[#This Row],[Comparable '#3 Date Check]]="Pass",INDEX(Comp3[Comparable '#3 Price],MATCH(Benchmark1[[#This Row],[Benchmark '#1 Dates]],Comp3[Comparable '#3 Dates],0)),"-")</f>
        <v>139.30000000000001</v>
      </c>
      <c r="R195" s="22">
        <f>IF(Benchmark1[[#This Row],[Comparable '#3 Date Check]]="Pass",INDEX(Comp3[Comparable '#3 Return],MATCH(Benchmark1[[#This Row],[Benchmark '#1 Dates]],Comp3[Comparable '#3 Dates],0)),"-")</f>
        <v>-1.4750686093181099E-2</v>
      </c>
      <c r="S195" s="1">
        <f>IFERROR(IF(Benchmark1[[#This Row],[Comparable '#3 Date Check]]="Pass",Benchmark1[[#This Row],[Comparable '#3 Return]]-Benchmark1[[#This Row],[Benchmark '#1 Return]],"-"),"-")</f>
        <v>-1.4788437687210651E-2</v>
      </c>
    </row>
    <row r="196" spans="1:19">
      <c r="A196" s="103">
        <v>43567</v>
      </c>
      <c r="B196" s="104">
        <v>2907.4143830768035</v>
      </c>
      <c r="C196" s="4">
        <f t="shared" si="3"/>
        <v>6.5893290270131518E-3</v>
      </c>
      <c r="D196" s="1" t="str">
        <f>IF(COUNTIF(Target1[Target Dates],Benchmark1[[#This Row],[Benchmark '#1 Dates]])=1,"Pass","Fail")</f>
        <v>Pass</v>
      </c>
      <c r="E196" s="6">
        <f>IF(Benchmark1[[#This Row],[Target Date Check]]="Pass",INDEX(Target1[Target Price],MATCH(Benchmark1[[#This Row],[Benchmark '#1 Dates]],Target1[Target Dates],0)),"-")</f>
        <v>36.46</v>
      </c>
      <c r="F196" s="22">
        <f>IF(Benchmark1[[#This Row],[Target Date Check]]="Pass",INDEX(Target1[Target Return],MATCH(Benchmark1[[#This Row],[Benchmark '#1 Dates]],Target1[Target Dates],0)),"-")</f>
        <v>-1.063984938482865E-2</v>
      </c>
      <c r="G196" s="1">
        <f>IFERROR(IF(Benchmark1[[#This Row],[Target Date Check]]="Pass",Benchmark1[[#This Row],[Target Return]]-Benchmark1[[#This Row],[Benchmark '#1 Return]],"-"),"-")</f>
        <v>-1.7229178411841801E-2</v>
      </c>
      <c r="H196" s="1" t="str">
        <f>IF(COUNTIF(Comp1[Comparable '#1 Dates],Benchmark1[[#This Row],[Benchmark '#1 Dates]])=1,"Pass","Fail")</f>
        <v>Pass</v>
      </c>
      <c r="I196" s="6">
        <f>IF(Benchmark1[[#This Row],[Comparable '#1 Date Check]]="Pass",INDEX(Comp1[Comparable '#1 Price],MATCH(Benchmark1[[#This Row],[Benchmark '#1 Dates]],Comp1[Comparable '#1 Dates],0)),"-")</f>
        <v>15.68</v>
      </c>
      <c r="J196" s="22">
        <f>IF(Benchmark1[[#This Row],[Comparable '#1 Date Check]]="Pass",INDEX(Comp1[Comparable '#1 Return],MATCH(Benchmark1[[#This Row],[Benchmark '#1 Dates]],Comp1[Comparable '#1 Dates],0)),"-")</f>
        <v>-1.2746974320005839E-3</v>
      </c>
      <c r="K196" s="1">
        <f>IFERROR(IF(Benchmark1[[#This Row],[Comparable '#1 Date Check]]="Pass",Benchmark1[[#This Row],[Comparable '#1 Return]]-Benchmark1[[#This Row],[Benchmark '#1 Return]],"-"),"-")</f>
        <v>-7.8640264590137364E-3</v>
      </c>
      <c r="L196" s="1" t="str">
        <f>IF(COUNTIF(Comp2[Comparable '#2 Dates],Benchmark1[[#This Row],[Benchmark '#1 Dates]])=1,"Pass","Fail")</f>
        <v>Pass</v>
      </c>
      <c r="M196" s="6">
        <f>IF(Benchmark1[[#This Row],[Comparable '#2 Date Check]]="Pass",INDEX(Comp2[Comparable '#2 Price],MATCH(Benchmark1[[#This Row],[Benchmark '#1 Dates]],Comp2[Comparable '#2 Dates],0)),"-")</f>
        <v>48.58</v>
      </c>
      <c r="N196" s="22">
        <f>IF(Benchmark1[[#This Row],[Comparable '#2 Date Check]]="Pass",INDEX(Comp2[Comparable '#2 Return],MATCH(Benchmark1[[#This Row],[Benchmark '#1 Dates]],Comp2[Comparable '#2 Dates],0)),"-")</f>
        <v>5.1594377170337494E-3</v>
      </c>
      <c r="O196" s="1">
        <f>IFERROR(IF(Benchmark1[[#This Row],[Comparable '#2 Date Check]]="Pass",Benchmark1[[#This Row],[Comparable '#2 Return]]-Benchmark1[[#This Row],[Benchmark '#1 Return]],"-"),"-")</f>
        <v>-1.4298913099794024E-3</v>
      </c>
      <c r="P196" s="1" t="str">
        <f>IF(COUNTIF(Comp3[Comparable '#3 Dates],Benchmark1[[#This Row],[Benchmark '#1 Dates]])=1,"Pass","Fail")</f>
        <v>Pass</v>
      </c>
      <c r="Q196" s="6">
        <f>IF(Benchmark1[[#This Row],[Comparable '#3 Date Check]]="Pass",INDEX(Comp3[Comparable '#3 Price],MATCH(Benchmark1[[#This Row],[Benchmark '#1 Dates]],Comp3[Comparable '#3 Dates],0)),"-")</f>
        <v>139.96</v>
      </c>
      <c r="R196" s="22">
        <f>IF(Benchmark1[[#This Row],[Comparable '#3 Date Check]]="Pass",INDEX(Comp3[Comparable '#3 Return],MATCH(Benchmark1[[#This Row],[Benchmark '#1 Dates]],Comp3[Comparable '#3 Dates],0)),"-")</f>
        <v>4.726786713727291E-3</v>
      </c>
      <c r="S196" s="1">
        <f>IFERROR(IF(Benchmark1[[#This Row],[Comparable '#3 Date Check]]="Pass",Benchmark1[[#This Row],[Comparable '#3 Return]]-Benchmark1[[#This Row],[Benchmark '#1 Return]],"-"),"-")</f>
        <v>-1.8625423132858608E-3</v>
      </c>
    </row>
    <row r="197" spans="1:19">
      <c r="A197" s="103">
        <v>43570</v>
      </c>
      <c r="B197" s="104">
        <v>2905.5832738591421</v>
      </c>
      <c r="C197" s="4">
        <f t="shared" si="3"/>
        <v>-6.3000516645370693E-4</v>
      </c>
      <c r="D197" s="1" t="str">
        <f>IF(COUNTIF(Target1[Target Dates],Benchmark1[[#This Row],[Benchmark '#1 Dates]])=1,"Pass","Fail")</f>
        <v>Pass</v>
      </c>
      <c r="E197" s="6">
        <f>IF(Benchmark1[[#This Row],[Target Date Check]]="Pass",INDEX(Target1[Target Price],MATCH(Benchmark1[[#This Row],[Benchmark '#1 Dates]],Target1[Target Dates],0)),"-")</f>
        <v>36.950000000000003</v>
      </c>
      <c r="F197" s="22">
        <f>IF(Benchmark1[[#This Row],[Target Date Check]]="Pass",INDEX(Target1[Target Return],MATCH(Benchmark1[[#This Row],[Benchmark '#1 Dates]],Target1[Target Dates],0)),"-")</f>
        <v>1.3349878143693893E-2</v>
      </c>
      <c r="G197" s="1">
        <f>IFERROR(IF(Benchmark1[[#This Row],[Target Date Check]]="Pass",Benchmark1[[#This Row],[Target Return]]-Benchmark1[[#This Row],[Benchmark '#1 Return]],"-"),"-")</f>
        <v>1.3979883310147599E-2</v>
      </c>
      <c r="H197" s="1" t="str">
        <f>IF(COUNTIF(Comp1[Comparable '#1 Dates],Benchmark1[[#This Row],[Benchmark '#1 Dates]])=1,"Pass","Fail")</f>
        <v>Pass</v>
      </c>
      <c r="I197" s="6">
        <f>IF(Benchmark1[[#This Row],[Comparable '#1 Date Check]]="Pass",INDEX(Comp1[Comparable '#1 Price],MATCH(Benchmark1[[#This Row],[Benchmark '#1 Dates]],Comp1[Comparable '#1 Dates],0)),"-")</f>
        <v>15.51</v>
      </c>
      <c r="J197" s="22">
        <f>IF(Benchmark1[[#This Row],[Comparable '#1 Date Check]]="Pass",INDEX(Comp1[Comparable '#1 Return],MATCH(Benchmark1[[#This Row],[Benchmark '#1 Dates]],Comp1[Comparable '#1 Dates],0)),"-")</f>
        <v>-1.0901037733814312E-2</v>
      </c>
      <c r="K197" s="1">
        <f>IFERROR(IF(Benchmark1[[#This Row],[Comparable '#1 Date Check]]="Pass",Benchmark1[[#This Row],[Comparable '#1 Return]]-Benchmark1[[#This Row],[Benchmark '#1 Return]],"-"),"-")</f>
        <v>-1.0271032567360606E-2</v>
      </c>
      <c r="L197" s="1" t="str">
        <f>IF(COUNTIF(Comp2[Comparable '#2 Dates],Benchmark1[[#This Row],[Benchmark '#1 Dates]])=1,"Pass","Fail")</f>
        <v>Pass</v>
      </c>
      <c r="M197" s="6">
        <f>IF(Benchmark1[[#This Row],[Comparable '#2 Date Check]]="Pass",INDEX(Comp2[Comparable '#2 Price],MATCH(Benchmark1[[#This Row],[Benchmark '#1 Dates]],Comp2[Comparable '#2 Dates],0)),"-")</f>
        <v>49.02</v>
      </c>
      <c r="N197" s="22">
        <f>IF(Benchmark1[[#This Row],[Comparable '#2 Date Check]]="Pass",INDEX(Comp2[Comparable '#2 Return],MATCH(Benchmark1[[#This Row],[Benchmark '#1 Dates]],Comp2[Comparable '#2 Dates],0)),"-")</f>
        <v>9.016454525940203E-3</v>
      </c>
      <c r="O197" s="1">
        <f>IFERROR(IF(Benchmark1[[#This Row],[Comparable '#2 Date Check]]="Pass",Benchmark1[[#This Row],[Comparable '#2 Return]]-Benchmark1[[#This Row],[Benchmark '#1 Return]],"-"),"-")</f>
        <v>9.6464596923939092E-3</v>
      </c>
      <c r="P197" s="1" t="str">
        <f>IF(COUNTIF(Comp3[Comparable '#3 Dates],Benchmark1[[#This Row],[Benchmark '#1 Dates]])=1,"Pass","Fail")</f>
        <v>Pass</v>
      </c>
      <c r="Q197" s="6">
        <f>IF(Benchmark1[[#This Row],[Comparable '#3 Date Check]]="Pass",INDEX(Comp3[Comparable '#3 Price],MATCH(Benchmark1[[#This Row],[Benchmark '#1 Dates]],Comp3[Comparable '#3 Dates],0)),"-")</f>
        <v>140.66</v>
      </c>
      <c r="R197" s="22">
        <f>IF(Benchmark1[[#This Row],[Comparable '#3 Date Check]]="Pass",INDEX(Comp3[Comparable '#3 Return],MATCH(Benchmark1[[#This Row],[Benchmark '#1 Dates]],Comp3[Comparable '#3 Dates],0)),"-")</f>
        <v>4.9889633803848893E-3</v>
      </c>
      <c r="S197" s="1">
        <f>IFERROR(IF(Benchmark1[[#This Row],[Comparable '#3 Date Check]]="Pass",Benchmark1[[#This Row],[Comparable '#3 Return]]-Benchmark1[[#This Row],[Benchmark '#1 Return]],"-"),"-")</f>
        <v>5.6189685468385963E-3</v>
      </c>
    </row>
    <row r="198" spans="1:19">
      <c r="A198" s="103">
        <v>43571</v>
      </c>
      <c r="B198" s="104">
        <v>2907.0575482500794</v>
      </c>
      <c r="C198" s="4">
        <f t="shared" si="3"/>
        <v>5.0726493092197319E-4</v>
      </c>
      <c r="D198" s="1" t="str">
        <f>IF(COUNTIF(Target1[Target Dates],Benchmark1[[#This Row],[Benchmark '#1 Dates]])=1,"Pass","Fail")</f>
        <v>Pass</v>
      </c>
      <c r="E198" s="6">
        <f>IF(Benchmark1[[#This Row],[Target Date Check]]="Pass",INDEX(Target1[Target Price],MATCH(Benchmark1[[#This Row],[Benchmark '#1 Dates]],Target1[Target Dates],0)),"-")</f>
        <v>37</v>
      </c>
      <c r="F198" s="22">
        <f>IF(Benchmark1[[#This Row],[Target Date Check]]="Pass",INDEX(Target1[Target Return],MATCH(Benchmark1[[#This Row],[Benchmark '#1 Dates]],Target1[Target Dates],0)),"-")</f>
        <v>1.3522652500135325E-3</v>
      </c>
      <c r="G198" s="1">
        <f>IFERROR(IF(Benchmark1[[#This Row],[Target Date Check]]="Pass",Benchmark1[[#This Row],[Target Return]]-Benchmark1[[#This Row],[Benchmark '#1 Return]],"-"),"-")</f>
        <v>8.4500031909155932E-4</v>
      </c>
      <c r="H198" s="1" t="str">
        <f>IF(COUNTIF(Comp1[Comparable '#1 Dates],Benchmark1[[#This Row],[Benchmark '#1 Dates]])=1,"Pass","Fail")</f>
        <v>Pass</v>
      </c>
      <c r="I198" s="6">
        <f>IF(Benchmark1[[#This Row],[Comparable '#1 Date Check]]="Pass",INDEX(Comp1[Comparable '#1 Price],MATCH(Benchmark1[[#This Row],[Benchmark '#1 Dates]],Comp1[Comparable '#1 Dates],0)),"-")</f>
        <v>15.5</v>
      </c>
      <c r="J198" s="22">
        <f>IF(Benchmark1[[#This Row],[Comparable '#1 Date Check]]="Pass",INDEX(Comp1[Comparable '#1 Return],MATCH(Benchmark1[[#This Row],[Benchmark '#1 Dates]],Comp1[Comparable '#1 Dates],0)),"-")</f>
        <v>-6.4495326324645803E-4</v>
      </c>
      <c r="K198" s="1">
        <f>IFERROR(IF(Benchmark1[[#This Row],[Comparable '#1 Date Check]]="Pass",Benchmark1[[#This Row],[Comparable '#1 Return]]-Benchmark1[[#This Row],[Benchmark '#1 Return]],"-"),"-")</f>
        <v>-1.1522181941684313E-3</v>
      </c>
      <c r="L198" s="1" t="str">
        <f>IF(COUNTIF(Comp2[Comparable '#2 Dates],Benchmark1[[#This Row],[Benchmark '#1 Dates]])=1,"Pass","Fail")</f>
        <v>Pass</v>
      </c>
      <c r="M198" s="6">
        <f>IF(Benchmark1[[#This Row],[Comparable '#2 Date Check]]="Pass",INDEX(Comp2[Comparable '#2 Price],MATCH(Benchmark1[[#This Row],[Benchmark '#1 Dates]],Comp2[Comparable '#2 Dates],0)),"-")</f>
        <v>49.18</v>
      </c>
      <c r="N198" s="22">
        <f>IF(Benchmark1[[#This Row],[Comparable '#2 Date Check]]="Pass",INDEX(Comp2[Comparable '#2 Return],MATCH(Benchmark1[[#This Row],[Benchmark '#1 Dates]],Comp2[Comparable '#2 Dates],0)),"-")</f>
        <v>3.2586586880798568E-3</v>
      </c>
      <c r="O198" s="1">
        <f>IFERROR(IF(Benchmark1[[#This Row],[Comparable '#2 Date Check]]="Pass",Benchmark1[[#This Row],[Comparable '#2 Return]]-Benchmark1[[#This Row],[Benchmark '#1 Return]],"-"),"-")</f>
        <v>2.7513937571578837E-3</v>
      </c>
      <c r="P198" s="1" t="str">
        <f>IF(COUNTIF(Comp3[Comparable '#3 Dates],Benchmark1[[#This Row],[Benchmark '#1 Dates]])=1,"Pass","Fail")</f>
        <v>Pass</v>
      </c>
      <c r="Q198" s="6">
        <f>IF(Benchmark1[[#This Row],[Comparable '#3 Date Check]]="Pass",INDEX(Comp3[Comparable '#3 Price],MATCH(Benchmark1[[#This Row],[Benchmark '#1 Dates]],Comp3[Comparable '#3 Dates],0)),"-")</f>
        <v>140.72</v>
      </c>
      <c r="R198" s="22">
        <f>IF(Benchmark1[[#This Row],[Comparable '#3 Date Check]]="Pass",INDEX(Comp3[Comparable '#3 Return],MATCH(Benchmark1[[#This Row],[Benchmark '#1 Dates]],Comp3[Comparable '#3 Dates],0)),"-")</f>
        <v>4.2646954943048501E-4</v>
      </c>
      <c r="S198" s="1">
        <f>IFERROR(IF(Benchmark1[[#This Row],[Comparable '#3 Date Check]]="Pass",Benchmark1[[#This Row],[Comparable '#3 Return]]-Benchmark1[[#This Row],[Benchmark '#1 Return]],"-"),"-")</f>
        <v>-8.0795381491488181E-5</v>
      </c>
    </row>
    <row r="199" spans="1:19">
      <c r="A199" s="103">
        <v>43572</v>
      </c>
      <c r="B199" s="104">
        <v>2900.4531359849407</v>
      </c>
      <c r="C199" s="4">
        <f t="shared" si="3"/>
        <v>-2.2744392464604684E-3</v>
      </c>
      <c r="D199" s="1" t="str">
        <f>IF(COUNTIF(Target1[Target Dates],Benchmark1[[#This Row],[Benchmark '#1 Dates]])=1,"Pass","Fail")</f>
        <v>Pass</v>
      </c>
      <c r="E199" s="6">
        <f>IF(Benchmark1[[#This Row],[Target Date Check]]="Pass",INDEX(Target1[Target Price],MATCH(Benchmark1[[#This Row],[Benchmark '#1 Dates]],Target1[Target Dates],0)),"-")</f>
        <v>35.97</v>
      </c>
      <c r="F199" s="22">
        <f>IF(Benchmark1[[#This Row],[Target Date Check]]="Pass",INDEX(Target1[Target Return],MATCH(Benchmark1[[#This Row],[Benchmark '#1 Dates]],Target1[Target Dates],0)),"-")</f>
        <v>-2.8232654936691928E-2</v>
      </c>
      <c r="G199" s="1">
        <f>IFERROR(IF(Benchmark1[[#This Row],[Target Date Check]]="Pass",Benchmark1[[#This Row],[Target Return]]-Benchmark1[[#This Row],[Benchmark '#1 Return]],"-"),"-")</f>
        <v>-2.5958215690231459E-2</v>
      </c>
      <c r="H199" s="1" t="str">
        <f>IF(COUNTIF(Comp1[Comparable '#1 Dates],Benchmark1[[#This Row],[Benchmark '#1 Dates]])=1,"Pass","Fail")</f>
        <v>Pass</v>
      </c>
      <c r="I199" s="6">
        <f>IF(Benchmark1[[#This Row],[Comparable '#1 Date Check]]="Pass",INDEX(Comp1[Comparable '#1 Price],MATCH(Benchmark1[[#This Row],[Benchmark '#1 Dates]],Comp1[Comparable '#1 Dates],0)),"-")</f>
        <v>15.53</v>
      </c>
      <c r="J199" s="22">
        <f>IF(Benchmark1[[#This Row],[Comparable '#1 Date Check]]="Pass",INDEX(Comp1[Comparable '#1 Return],MATCH(Benchmark1[[#This Row],[Benchmark '#1 Dates]],Comp1[Comparable '#1 Dates],0)),"-")</f>
        <v>1.933613235394781E-3</v>
      </c>
      <c r="K199" s="1">
        <f>IFERROR(IF(Benchmark1[[#This Row],[Comparable '#1 Date Check]]="Pass",Benchmark1[[#This Row],[Comparable '#1 Return]]-Benchmark1[[#This Row],[Benchmark '#1 Return]],"-"),"-")</f>
        <v>4.2080524818552496E-3</v>
      </c>
      <c r="L199" s="1" t="str">
        <f>IF(COUNTIF(Comp2[Comparable '#2 Dates],Benchmark1[[#This Row],[Benchmark '#1 Dates]])=1,"Pass","Fail")</f>
        <v>Pass</v>
      </c>
      <c r="M199" s="6">
        <f>IF(Benchmark1[[#This Row],[Comparable '#2 Date Check]]="Pass",INDEX(Comp2[Comparable '#2 Price],MATCH(Benchmark1[[#This Row],[Benchmark '#1 Dates]],Comp2[Comparable '#2 Dates],0)),"-")</f>
        <v>48.57</v>
      </c>
      <c r="N199" s="22">
        <f>IF(Benchmark1[[#This Row],[Comparable '#2 Date Check]]="Pass",INDEX(Comp2[Comparable '#2 Return],MATCH(Benchmark1[[#This Row],[Benchmark '#1 Dates]],Comp2[Comparable '#2 Dates],0)),"-")</f>
        <v>-1.2480980430393075E-2</v>
      </c>
      <c r="O199" s="1">
        <f>IFERROR(IF(Benchmark1[[#This Row],[Comparable '#2 Date Check]]="Pass",Benchmark1[[#This Row],[Comparable '#2 Return]]-Benchmark1[[#This Row],[Benchmark '#1 Return]],"-"),"-")</f>
        <v>-1.0206541183932607E-2</v>
      </c>
      <c r="P199" s="1" t="str">
        <f>IF(COUNTIF(Comp3[Comparable '#3 Dates],Benchmark1[[#This Row],[Benchmark '#1 Dates]])=1,"Pass","Fail")</f>
        <v>Pass</v>
      </c>
      <c r="Q199" s="6">
        <f>IF(Benchmark1[[#This Row],[Comparable '#3 Date Check]]="Pass",INDEX(Comp3[Comparable '#3 Price],MATCH(Benchmark1[[#This Row],[Benchmark '#1 Dates]],Comp3[Comparable '#3 Dates],0)),"-")</f>
        <v>142.16999999999999</v>
      </c>
      <c r="R199" s="22">
        <f>IF(Benchmark1[[#This Row],[Comparable '#3 Date Check]]="Pass",INDEX(Comp3[Comparable '#3 Return],MATCH(Benchmark1[[#This Row],[Benchmark '#1 Dates]],Comp3[Comparable '#3 Dates],0)),"-")</f>
        <v>1.0251424218303799E-2</v>
      </c>
      <c r="S199" s="1">
        <f>IFERROR(IF(Benchmark1[[#This Row],[Comparable '#3 Date Check]]="Pass",Benchmark1[[#This Row],[Comparable '#3 Return]]-Benchmark1[[#This Row],[Benchmark '#1 Return]],"-"),"-")</f>
        <v>1.2525863464764267E-2</v>
      </c>
    </row>
    <row r="200" spans="1:19">
      <c r="A200" s="103">
        <v>43573</v>
      </c>
      <c r="B200" s="104">
        <v>2905.0325202007193</v>
      </c>
      <c r="C200" s="4">
        <f t="shared" si="3"/>
        <v>1.5776062285777297E-3</v>
      </c>
      <c r="D200" s="1" t="str">
        <f>IF(COUNTIF(Target1[Target Dates],Benchmark1[[#This Row],[Benchmark '#1 Dates]])=1,"Pass","Fail")</f>
        <v>Pass</v>
      </c>
      <c r="E200" s="6">
        <f>IF(Benchmark1[[#This Row],[Target Date Check]]="Pass",INDEX(Target1[Target Price],MATCH(Benchmark1[[#This Row],[Benchmark '#1 Dates]],Target1[Target Dates],0)),"-")</f>
        <v>35.42</v>
      </c>
      <c r="F200" s="22">
        <f>IF(Benchmark1[[#This Row],[Target Date Check]]="Pass",INDEX(Target1[Target Return],MATCH(Benchmark1[[#This Row],[Benchmark '#1 Dates]],Target1[Target Dates],0)),"-")</f>
        <v>-1.5408625352844955E-2</v>
      </c>
      <c r="G200" s="1">
        <f>IFERROR(IF(Benchmark1[[#This Row],[Target Date Check]]="Pass",Benchmark1[[#This Row],[Target Return]]-Benchmark1[[#This Row],[Benchmark '#1 Return]],"-"),"-")</f>
        <v>-1.6986231581422685E-2</v>
      </c>
      <c r="H200" s="1" t="str">
        <f>IF(COUNTIF(Comp1[Comparable '#1 Dates],Benchmark1[[#This Row],[Benchmark '#1 Dates]])=1,"Pass","Fail")</f>
        <v>Pass</v>
      </c>
      <c r="I200" s="6">
        <f>IF(Benchmark1[[#This Row],[Comparable '#1 Date Check]]="Pass",INDEX(Comp1[Comparable '#1 Price],MATCH(Benchmark1[[#This Row],[Benchmark '#1 Dates]],Comp1[Comparable '#1 Dates],0)),"-")</f>
        <v>15.75</v>
      </c>
      <c r="J200" s="22">
        <f>IF(Benchmark1[[#This Row],[Comparable '#1 Date Check]]="Pass",INDEX(Comp1[Comparable '#1 Return],MATCH(Benchmark1[[#This Row],[Benchmark '#1 Dates]],Comp1[Comparable '#1 Dates],0)),"-")</f>
        <v>1.4066728111046391E-2</v>
      </c>
      <c r="K200" s="1">
        <f>IFERROR(IF(Benchmark1[[#This Row],[Comparable '#1 Date Check]]="Pass",Benchmark1[[#This Row],[Comparable '#1 Return]]-Benchmark1[[#This Row],[Benchmark '#1 Return]],"-"),"-")</f>
        <v>1.2489121882468661E-2</v>
      </c>
      <c r="L200" s="1" t="str">
        <f>IF(COUNTIF(Comp2[Comparable '#2 Dates],Benchmark1[[#This Row],[Benchmark '#1 Dates]])=1,"Pass","Fail")</f>
        <v>Pass</v>
      </c>
      <c r="M200" s="6">
        <f>IF(Benchmark1[[#This Row],[Comparable '#2 Date Check]]="Pass",INDEX(Comp2[Comparable '#2 Price],MATCH(Benchmark1[[#This Row],[Benchmark '#1 Dates]],Comp2[Comparable '#2 Dates],0)),"-")</f>
        <v>48</v>
      </c>
      <c r="N200" s="22">
        <f>IF(Benchmark1[[#This Row],[Comparable '#2 Date Check]]="Pass",INDEX(Comp2[Comparable '#2 Return],MATCH(Benchmark1[[#This Row],[Benchmark '#1 Dates]],Comp2[Comparable '#2 Dates],0)),"-")</f>
        <v>-1.1805045449762477E-2</v>
      </c>
      <c r="O200" s="1">
        <f>IFERROR(IF(Benchmark1[[#This Row],[Comparable '#2 Date Check]]="Pass",Benchmark1[[#This Row],[Comparable '#2 Return]]-Benchmark1[[#This Row],[Benchmark '#1 Return]],"-"),"-")</f>
        <v>-1.3382651678340208E-2</v>
      </c>
      <c r="P200" s="1" t="str">
        <f>IF(COUNTIF(Comp3[Comparable '#3 Dates],Benchmark1[[#This Row],[Benchmark '#1 Dates]])=1,"Pass","Fail")</f>
        <v>Pass</v>
      </c>
      <c r="Q200" s="6">
        <f>IF(Benchmark1[[#This Row],[Comparable '#3 Date Check]]="Pass",INDEX(Comp3[Comparable '#3 Price],MATCH(Benchmark1[[#This Row],[Benchmark '#1 Dates]],Comp3[Comparable '#3 Dates],0)),"-")</f>
        <v>139.33000000000001</v>
      </c>
      <c r="R200" s="22">
        <f>IF(Benchmark1[[#This Row],[Comparable '#3 Date Check]]="Pass",INDEX(Comp3[Comparable '#3 Return],MATCH(Benchmark1[[#This Row],[Benchmark '#1 Dates]],Comp3[Comparable '#3 Dates],0)),"-")</f>
        <v>-2.0178304522106096E-2</v>
      </c>
      <c r="S200" s="1">
        <f>IFERROR(IF(Benchmark1[[#This Row],[Comparable '#3 Date Check]]="Pass",Benchmark1[[#This Row],[Comparable '#3 Return]]-Benchmark1[[#This Row],[Benchmark '#1 Return]],"-"),"-")</f>
        <v>-2.1755910750683824E-2</v>
      </c>
    </row>
    <row r="201" spans="1:19">
      <c r="A201" s="103">
        <v>43577</v>
      </c>
      <c r="B201" s="104">
        <v>2907.9726774288615</v>
      </c>
      <c r="C201" s="4">
        <f t="shared" si="3"/>
        <v>1.0115791673681873E-3</v>
      </c>
      <c r="D201" s="1" t="str">
        <f>IF(COUNTIF(Target1[Target Dates],Benchmark1[[#This Row],[Benchmark '#1 Dates]])=1,"Pass","Fail")</f>
        <v>Pass</v>
      </c>
      <c r="E201" s="6">
        <f>IF(Benchmark1[[#This Row],[Target Date Check]]="Pass",INDEX(Target1[Target Price],MATCH(Benchmark1[[#This Row],[Benchmark '#1 Dates]],Target1[Target Dates],0)),"-")</f>
        <v>35.4</v>
      </c>
      <c r="F201" s="22">
        <f>IF(Benchmark1[[#This Row],[Target Date Check]]="Pass",INDEX(Target1[Target Return],MATCH(Benchmark1[[#This Row],[Benchmark '#1 Dates]],Target1[Target Dates],0)),"-")</f>
        <v>-5.6481221495880589E-4</v>
      </c>
      <c r="G201" s="1">
        <f>IFERROR(IF(Benchmark1[[#This Row],[Target Date Check]]="Pass",Benchmark1[[#This Row],[Target Return]]-Benchmark1[[#This Row],[Benchmark '#1 Return]],"-"),"-")</f>
        <v>-1.5763913823269933E-3</v>
      </c>
      <c r="H201" s="1" t="str">
        <f>IF(COUNTIF(Comp1[Comparable '#1 Dates],Benchmark1[[#This Row],[Benchmark '#1 Dates]])=1,"Pass","Fail")</f>
        <v>Pass</v>
      </c>
      <c r="I201" s="6">
        <f>IF(Benchmark1[[#This Row],[Comparable '#1 Date Check]]="Pass",INDEX(Comp1[Comparable '#1 Price],MATCH(Benchmark1[[#This Row],[Benchmark '#1 Dates]],Comp1[Comparable '#1 Dates],0)),"-")</f>
        <v>15.58</v>
      </c>
      <c r="J201" s="22">
        <f>IF(Benchmark1[[#This Row],[Comparable '#1 Date Check]]="Pass",INDEX(Comp1[Comparable '#1 Return],MATCH(Benchmark1[[#This Row],[Benchmark '#1 Dates]],Comp1[Comparable '#1 Dates],0)),"-")</f>
        <v>-1.085232482903987E-2</v>
      </c>
      <c r="K201" s="1">
        <f>IFERROR(IF(Benchmark1[[#This Row],[Comparable '#1 Date Check]]="Pass",Benchmark1[[#This Row],[Comparable '#1 Return]]-Benchmark1[[#This Row],[Benchmark '#1 Return]],"-"),"-")</f>
        <v>-1.1863903996408057E-2</v>
      </c>
      <c r="L201" s="1" t="str">
        <f>IF(COUNTIF(Comp2[Comparable '#2 Dates],Benchmark1[[#This Row],[Benchmark '#1 Dates]])=1,"Pass","Fail")</f>
        <v>Pass</v>
      </c>
      <c r="M201" s="6">
        <f>IF(Benchmark1[[#This Row],[Comparable '#2 Date Check]]="Pass",INDEX(Comp2[Comparable '#2 Price],MATCH(Benchmark1[[#This Row],[Benchmark '#1 Dates]],Comp2[Comparable '#2 Dates],0)),"-")</f>
        <v>47.67</v>
      </c>
      <c r="N201" s="22">
        <f>IF(Benchmark1[[#This Row],[Comparable '#2 Date Check]]="Pass",INDEX(Comp2[Comparable '#2 Return],MATCH(Benchmark1[[#This Row],[Benchmark '#1 Dates]],Comp2[Comparable '#2 Dates],0)),"-")</f>
        <v>-6.8987416911565902E-3</v>
      </c>
      <c r="O201" s="1">
        <f>IFERROR(IF(Benchmark1[[#This Row],[Comparable '#2 Date Check]]="Pass",Benchmark1[[#This Row],[Comparable '#2 Return]]-Benchmark1[[#This Row],[Benchmark '#1 Return]],"-"),"-")</f>
        <v>-7.9103208585247775E-3</v>
      </c>
      <c r="P201" s="1" t="str">
        <f>IF(COUNTIF(Comp3[Comparable '#3 Dates],Benchmark1[[#This Row],[Benchmark '#1 Dates]])=1,"Pass","Fail")</f>
        <v>Pass</v>
      </c>
      <c r="Q201" s="6">
        <f>IF(Benchmark1[[#This Row],[Comparable '#3 Date Check]]="Pass",INDEX(Comp3[Comparable '#3 Price],MATCH(Benchmark1[[#This Row],[Benchmark '#1 Dates]],Comp3[Comparable '#3 Dates],0)),"-")</f>
        <v>139.52000000000001</v>
      </c>
      <c r="R201" s="22">
        <f>IF(Benchmark1[[#This Row],[Comparable '#3 Date Check]]="Pass",INDEX(Comp3[Comparable '#3 Return],MATCH(Benchmark1[[#This Row],[Benchmark '#1 Dates]],Comp3[Comparable '#3 Dates],0)),"-")</f>
        <v>1.3627400351690093E-3</v>
      </c>
      <c r="S201" s="1">
        <f>IFERROR(IF(Benchmark1[[#This Row],[Comparable '#3 Date Check]]="Pass",Benchmark1[[#This Row],[Comparable '#3 Return]]-Benchmark1[[#This Row],[Benchmark '#1 Return]],"-"),"-")</f>
        <v>3.5116086780082197E-4</v>
      </c>
    </row>
    <row r="202" spans="1:19">
      <c r="A202" s="103">
        <v>43578</v>
      </c>
      <c r="B202" s="104">
        <v>2933.675818466224</v>
      </c>
      <c r="C202" s="4">
        <f t="shared" si="3"/>
        <v>8.8000183259358458E-3</v>
      </c>
      <c r="D202" s="1" t="str">
        <f>IF(COUNTIF(Target1[Target Dates],Benchmark1[[#This Row],[Benchmark '#1 Dates]])=1,"Pass","Fail")</f>
        <v>Pass</v>
      </c>
      <c r="E202" s="6">
        <f>IF(Benchmark1[[#This Row],[Target Date Check]]="Pass",INDEX(Target1[Target Price],MATCH(Benchmark1[[#This Row],[Benchmark '#1 Dates]],Target1[Target Dates],0)),"-")</f>
        <v>36.22</v>
      </c>
      <c r="F202" s="22">
        <f>IF(Benchmark1[[#This Row],[Target Date Check]]="Pass",INDEX(Target1[Target Return],MATCH(Benchmark1[[#This Row],[Benchmark '#1 Dates]],Target1[Target Dates],0)),"-")</f>
        <v>2.2899632315538598E-2</v>
      </c>
      <c r="G202" s="1">
        <f>IFERROR(IF(Benchmark1[[#This Row],[Target Date Check]]="Pass",Benchmark1[[#This Row],[Target Return]]-Benchmark1[[#This Row],[Benchmark '#1 Return]],"-"),"-")</f>
        <v>1.4099613989602753E-2</v>
      </c>
      <c r="H202" s="1" t="str">
        <f>IF(COUNTIF(Comp1[Comparable '#1 Dates],Benchmark1[[#This Row],[Benchmark '#1 Dates]])=1,"Pass","Fail")</f>
        <v>Pass</v>
      </c>
      <c r="I202" s="6">
        <f>IF(Benchmark1[[#This Row],[Comparable '#1 Date Check]]="Pass",INDEX(Comp1[Comparable '#1 Price],MATCH(Benchmark1[[#This Row],[Benchmark '#1 Dates]],Comp1[Comparable '#1 Dates],0)),"-")</f>
        <v>15.86</v>
      </c>
      <c r="J202" s="22">
        <f>IF(Benchmark1[[#This Row],[Comparable '#1 Date Check]]="Pass",INDEX(Comp1[Comparable '#1 Return],MATCH(Benchmark1[[#This Row],[Benchmark '#1 Dates]],Comp1[Comparable '#1 Dates],0)),"-")</f>
        <v>1.7812175764099689E-2</v>
      </c>
      <c r="K202" s="1">
        <f>IFERROR(IF(Benchmark1[[#This Row],[Comparable '#1 Date Check]]="Pass",Benchmark1[[#This Row],[Comparable '#1 Return]]-Benchmark1[[#This Row],[Benchmark '#1 Return]],"-"),"-")</f>
        <v>9.0121574381638436E-3</v>
      </c>
      <c r="L202" s="1" t="str">
        <f>IF(COUNTIF(Comp2[Comparable '#2 Dates],Benchmark1[[#This Row],[Benchmark '#1 Dates]])=1,"Pass","Fail")</f>
        <v>Pass</v>
      </c>
      <c r="M202" s="6">
        <f>IF(Benchmark1[[#This Row],[Comparable '#2 Date Check]]="Pass",INDEX(Comp2[Comparable '#2 Price],MATCH(Benchmark1[[#This Row],[Benchmark '#1 Dates]],Comp2[Comparable '#2 Dates],0)),"-")</f>
        <v>48.95</v>
      </c>
      <c r="N202" s="22">
        <f>IF(Benchmark1[[#This Row],[Comparable '#2 Date Check]]="Pass",INDEX(Comp2[Comparable '#2 Return],MATCH(Benchmark1[[#This Row],[Benchmark '#1 Dates]],Comp2[Comparable '#2 Dates],0)),"-")</f>
        <v>2.6497099759785012E-2</v>
      </c>
      <c r="O202" s="1">
        <f>IFERROR(IF(Benchmark1[[#This Row],[Comparable '#2 Date Check]]="Pass",Benchmark1[[#This Row],[Comparable '#2 Return]]-Benchmark1[[#This Row],[Benchmark '#1 Return]],"-"),"-")</f>
        <v>1.7697081433849168E-2</v>
      </c>
      <c r="P202" s="1" t="str">
        <f>IF(COUNTIF(Comp3[Comparable '#3 Dates],Benchmark1[[#This Row],[Benchmark '#1 Dates]])=1,"Pass","Fail")</f>
        <v>Pass</v>
      </c>
      <c r="Q202" s="6">
        <f>IF(Benchmark1[[#This Row],[Comparable '#3 Date Check]]="Pass",INDEX(Comp3[Comparable '#3 Price],MATCH(Benchmark1[[#This Row],[Benchmark '#1 Dates]],Comp3[Comparable '#3 Dates],0)),"-")</f>
        <v>143.94</v>
      </c>
      <c r="R202" s="22">
        <f>IF(Benchmark1[[#This Row],[Comparable '#3 Date Check]]="Pass",INDEX(Comp3[Comparable '#3 Return],MATCH(Benchmark1[[#This Row],[Benchmark '#1 Dates]],Comp3[Comparable '#3 Dates],0)),"-")</f>
        <v>3.1188585918988668E-2</v>
      </c>
      <c r="S202" s="1">
        <f>IFERROR(IF(Benchmark1[[#This Row],[Comparable '#3 Date Check]]="Pass",Benchmark1[[#This Row],[Comparable '#3 Return]]-Benchmark1[[#This Row],[Benchmark '#1 Return]],"-"),"-")</f>
        <v>2.238856759305282E-2</v>
      </c>
    </row>
    <row r="203" spans="1:19">
      <c r="A203" s="103">
        <v>43579</v>
      </c>
      <c r="B203" s="104">
        <v>2927.252365084114</v>
      </c>
      <c r="C203" s="4">
        <f t="shared" si="3"/>
        <v>-2.1919585952362222E-3</v>
      </c>
      <c r="D203" s="1" t="str">
        <f>IF(COUNTIF(Target1[Target Dates],Benchmark1[[#This Row],[Benchmark '#1 Dates]])=1,"Pass","Fail")</f>
        <v>Pass</v>
      </c>
      <c r="E203" s="6">
        <f>IF(Benchmark1[[#This Row],[Target Date Check]]="Pass",INDEX(Target1[Target Price],MATCH(Benchmark1[[#This Row],[Benchmark '#1 Dates]],Target1[Target Dates],0)),"-")</f>
        <v>31.35</v>
      </c>
      <c r="F203" s="22">
        <f>IF(Benchmark1[[#This Row],[Target Date Check]]="Pass",INDEX(Target1[Target Return],MATCH(Benchmark1[[#This Row],[Benchmark '#1 Dates]],Target1[Target Dates],0)),"-")</f>
        <v>-0.14439718537633753</v>
      </c>
      <c r="G203" s="1">
        <f>IFERROR(IF(Benchmark1[[#This Row],[Target Date Check]]="Pass",Benchmark1[[#This Row],[Target Return]]-Benchmark1[[#This Row],[Benchmark '#1 Return]],"-"),"-")</f>
        <v>-0.14220522678110131</v>
      </c>
      <c r="H203" s="1" t="str">
        <f>IF(COUNTIF(Comp1[Comparable '#1 Dates],Benchmark1[[#This Row],[Benchmark '#1 Dates]])=1,"Pass","Fail")</f>
        <v>Pass</v>
      </c>
      <c r="I203" s="6">
        <f>IF(Benchmark1[[#This Row],[Comparable '#1 Date Check]]="Pass",INDEX(Comp1[Comparable '#1 Price],MATCH(Benchmark1[[#This Row],[Benchmark '#1 Dates]],Comp1[Comparable '#1 Dates],0)),"-")</f>
        <v>15.68</v>
      </c>
      <c r="J203" s="22">
        <f>IF(Benchmark1[[#This Row],[Comparable '#1 Date Check]]="Pass",INDEX(Comp1[Comparable '#1 Return],MATCH(Benchmark1[[#This Row],[Benchmark '#1 Dates]],Comp1[Comparable '#1 Dates],0)),"-")</f>
        <v>-1.1414201284440123E-2</v>
      </c>
      <c r="K203" s="1">
        <f>IFERROR(IF(Benchmark1[[#This Row],[Comparable '#1 Date Check]]="Pass",Benchmark1[[#This Row],[Comparable '#1 Return]]-Benchmark1[[#This Row],[Benchmark '#1 Return]],"-"),"-")</f>
        <v>-9.2222426892039008E-3</v>
      </c>
      <c r="L203" s="1" t="str">
        <f>IF(COUNTIF(Comp2[Comparable '#2 Dates],Benchmark1[[#This Row],[Benchmark '#1 Dates]])=1,"Pass","Fail")</f>
        <v>Pass</v>
      </c>
      <c r="M203" s="6">
        <f>IF(Benchmark1[[#This Row],[Comparable '#2 Date Check]]="Pass",INDEX(Comp2[Comparable '#2 Price],MATCH(Benchmark1[[#This Row],[Benchmark '#1 Dates]],Comp2[Comparable '#2 Dates],0)),"-")</f>
        <v>48.84</v>
      </c>
      <c r="N203" s="22">
        <f>IF(Benchmark1[[#This Row],[Comparable '#2 Date Check]]="Pass",INDEX(Comp2[Comparable '#2 Return],MATCH(Benchmark1[[#This Row],[Benchmark '#1 Dates]],Comp2[Comparable '#2 Dates],0)),"-")</f>
        <v>-2.2497197340154416E-3</v>
      </c>
      <c r="O203" s="1">
        <f>IFERROR(IF(Benchmark1[[#This Row],[Comparable '#2 Date Check]]="Pass",Benchmark1[[#This Row],[Comparable '#2 Return]]-Benchmark1[[#This Row],[Benchmark '#1 Return]],"-"),"-")</f>
        <v>-5.7761138779219377E-5</v>
      </c>
      <c r="P203" s="1" t="str">
        <f>IF(COUNTIF(Comp3[Comparable '#3 Dates],Benchmark1[[#This Row],[Benchmark '#1 Dates]])=1,"Pass","Fail")</f>
        <v>Pass</v>
      </c>
      <c r="Q203" s="6">
        <f>IF(Benchmark1[[#This Row],[Comparable '#3 Date Check]]="Pass",INDEX(Comp3[Comparable '#3 Price],MATCH(Benchmark1[[#This Row],[Benchmark '#1 Dates]],Comp3[Comparable '#3 Dates],0)),"-")</f>
        <v>142.61000000000001</v>
      </c>
      <c r="R203" s="22">
        <f>IF(Benchmark1[[#This Row],[Comparable '#3 Date Check]]="Pass",INDEX(Comp3[Comparable '#3 Return],MATCH(Benchmark1[[#This Row],[Benchmark '#1 Dates]],Comp3[Comparable '#3 Dates],0)),"-")</f>
        <v>-9.2829143309824894E-3</v>
      </c>
      <c r="S203" s="1">
        <f>IFERROR(IF(Benchmark1[[#This Row],[Comparable '#3 Date Check]]="Pass",Benchmark1[[#This Row],[Comparable '#3 Return]]-Benchmark1[[#This Row],[Benchmark '#1 Return]],"-"),"-")</f>
        <v>-7.0909557357462672E-3</v>
      </c>
    </row>
    <row r="204" spans="1:19">
      <c r="A204" s="103">
        <v>43580</v>
      </c>
      <c r="B204" s="104">
        <v>2926.1730754066452</v>
      </c>
      <c r="C204" s="4">
        <f t="shared" si="3"/>
        <v>-3.6877199536335494E-4</v>
      </c>
      <c r="D204" s="1" t="str">
        <f>IF(COUNTIF(Target1[Target Dates],Benchmark1[[#This Row],[Benchmark '#1 Dates]])=1,"Pass","Fail")</f>
        <v>Pass</v>
      </c>
      <c r="E204" s="6">
        <f>IF(Benchmark1[[#This Row],[Target Date Check]]="Pass",INDEX(Target1[Target Price],MATCH(Benchmark1[[#This Row],[Benchmark '#1 Dates]],Target1[Target Dates],0)),"-")</f>
        <v>30.67</v>
      </c>
      <c r="F204" s="22">
        <f>IF(Benchmark1[[#This Row],[Target Date Check]]="Pass",INDEX(Target1[Target Return],MATCH(Benchmark1[[#This Row],[Benchmark '#1 Dates]],Target1[Target Dates],0)),"-")</f>
        <v>-2.1929288952769552E-2</v>
      </c>
      <c r="G204" s="1">
        <f>IFERROR(IF(Benchmark1[[#This Row],[Target Date Check]]="Pass",Benchmark1[[#This Row],[Target Return]]-Benchmark1[[#This Row],[Benchmark '#1 Return]],"-"),"-")</f>
        <v>-2.1560516957406198E-2</v>
      </c>
      <c r="H204" s="1" t="str">
        <f>IF(COUNTIF(Comp1[Comparable '#1 Dates],Benchmark1[[#This Row],[Benchmark '#1 Dates]])=1,"Pass","Fail")</f>
        <v>Pass</v>
      </c>
      <c r="I204" s="6">
        <f>IF(Benchmark1[[#This Row],[Comparable '#1 Date Check]]="Pass",INDEX(Comp1[Comparable '#1 Price],MATCH(Benchmark1[[#This Row],[Benchmark '#1 Dates]],Comp1[Comparable '#1 Dates],0)),"-")</f>
        <v>15.66</v>
      </c>
      <c r="J204" s="22">
        <f>IF(Benchmark1[[#This Row],[Comparable '#1 Date Check]]="Pass",INDEX(Comp1[Comparable '#1 Return],MATCH(Benchmark1[[#This Row],[Benchmark '#1 Dates]],Comp1[Comparable '#1 Dates],0)),"-")</f>
        <v>-1.2763243596046784E-3</v>
      </c>
      <c r="K204" s="1">
        <f>IFERROR(IF(Benchmark1[[#This Row],[Comparable '#1 Date Check]]="Pass",Benchmark1[[#This Row],[Comparable '#1 Return]]-Benchmark1[[#This Row],[Benchmark '#1 Return]],"-"),"-")</f>
        <v>-9.0755236424132346E-4</v>
      </c>
      <c r="L204" s="1" t="str">
        <f>IF(COUNTIF(Comp2[Comparable '#2 Dates],Benchmark1[[#This Row],[Benchmark '#1 Dates]])=1,"Pass","Fail")</f>
        <v>Pass</v>
      </c>
      <c r="M204" s="6">
        <f>IF(Benchmark1[[#This Row],[Comparable '#2 Date Check]]="Pass",INDEX(Comp2[Comparable '#2 Price],MATCH(Benchmark1[[#This Row],[Benchmark '#1 Dates]],Comp2[Comparable '#2 Dates],0)),"-")</f>
        <v>48.74</v>
      </c>
      <c r="N204" s="22">
        <f>IF(Benchmark1[[#This Row],[Comparable '#2 Date Check]]="Pass",INDEX(Comp2[Comparable '#2 Return],MATCH(Benchmark1[[#This Row],[Benchmark '#1 Dates]],Comp2[Comparable '#2 Dates],0)),"-")</f>
        <v>-2.0496010454437536E-3</v>
      </c>
      <c r="O204" s="1">
        <f>IFERROR(IF(Benchmark1[[#This Row],[Comparable '#2 Date Check]]="Pass",Benchmark1[[#This Row],[Comparable '#2 Return]]-Benchmark1[[#This Row],[Benchmark '#1 Return]],"-"),"-")</f>
        <v>-1.6808290500803986E-3</v>
      </c>
      <c r="P204" s="1" t="str">
        <f>IF(COUNTIF(Comp3[Comparable '#3 Dates],Benchmark1[[#This Row],[Benchmark '#1 Dates]])=1,"Pass","Fail")</f>
        <v>Pass</v>
      </c>
      <c r="Q204" s="6">
        <f>IF(Benchmark1[[#This Row],[Comparable '#3 Date Check]]="Pass",INDEX(Comp3[Comparable '#3 Price],MATCH(Benchmark1[[#This Row],[Benchmark '#1 Dates]],Comp3[Comparable '#3 Dates],0)),"-")</f>
        <v>141.1</v>
      </c>
      <c r="R204" s="22">
        <f>IF(Benchmark1[[#This Row],[Comparable '#3 Date Check]]="Pass",INDEX(Comp3[Comparable '#3 Return],MATCH(Benchmark1[[#This Row],[Benchmark '#1 Dates]],Comp3[Comparable '#3 Dates],0)),"-")</f>
        <v>-1.0644772889907407E-2</v>
      </c>
      <c r="S204" s="1">
        <f>IFERROR(IF(Benchmark1[[#This Row],[Comparable '#3 Date Check]]="Pass",Benchmark1[[#This Row],[Comparable '#3 Return]]-Benchmark1[[#This Row],[Benchmark '#1 Return]],"-"),"-")</f>
        <v>-1.0276000894544052E-2</v>
      </c>
    </row>
    <row r="205" spans="1:19">
      <c r="A205" s="103">
        <v>43581</v>
      </c>
      <c r="B205" s="104">
        <v>2939.8816692537521</v>
      </c>
      <c r="C205" s="4">
        <f t="shared" si="3"/>
        <v>4.6738802821804622E-3</v>
      </c>
      <c r="D205" s="1" t="str">
        <f>IF(COUNTIF(Target1[Target Dates],Benchmark1[[#This Row],[Benchmark '#1 Dates]])=1,"Pass","Fail")</f>
        <v>Pass</v>
      </c>
      <c r="E205" s="6">
        <f>IF(Benchmark1[[#This Row],[Target Date Check]]="Pass",INDEX(Target1[Target Price],MATCH(Benchmark1[[#This Row],[Benchmark '#1 Dates]],Target1[Target Dates],0)),"-")</f>
        <v>31.3</v>
      </c>
      <c r="F205" s="22">
        <f>IF(Benchmark1[[#This Row],[Target Date Check]]="Pass",INDEX(Target1[Target Return],MATCH(Benchmark1[[#This Row],[Benchmark '#1 Dates]],Target1[Target Dates],0)),"-")</f>
        <v>2.0333119419947417E-2</v>
      </c>
      <c r="G205" s="1">
        <f>IFERROR(IF(Benchmark1[[#This Row],[Target Date Check]]="Pass",Benchmark1[[#This Row],[Target Return]]-Benchmark1[[#This Row],[Benchmark '#1 Return]],"-"),"-")</f>
        <v>1.5659239137766956E-2</v>
      </c>
      <c r="H205" s="1" t="str">
        <f>IF(COUNTIF(Comp1[Comparable '#1 Dates],Benchmark1[[#This Row],[Benchmark '#1 Dates]])=1,"Pass","Fail")</f>
        <v>Pass</v>
      </c>
      <c r="I205" s="6">
        <f>IF(Benchmark1[[#This Row],[Comparable '#1 Date Check]]="Pass",INDEX(Comp1[Comparable '#1 Price],MATCH(Benchmark1[[#This Row],[Benchmark '#1 Dates]],Comp1[Comparable '#1 Dates],0)),"-")</f>
        <v>15.8</v>
      </c>
      <c r="J205" s="22">
        <f>IF(Benchmark1[[#This Row],[Comparable '#1 Date Check]]="Pass",INDEX(Comp1[Comparable '#1 Return],MATCH(Benchmark1[[#This Row],[Benchmark '#1 Dates]],Comp1[Comparable '#1 Dates],0)),"-")</f>
        <v>8.9002494702640784E-3</v>
      </c>
      <c r="K205" s="1">
        <f>IFERROR(IF(Benchmark1[[#This Row],[Comparable '#1 Date Check]]="Pass",Benchmark1[[#This Row],[Comparable '#1 Return]]-Benchmark1[[#This Row],[Benchmark '#1 Return]],"-"),"-")</f>
        <v>4.2263691880836162E-3</v>
      </c>
      <c r="L205" s="1" t="str">
        <f>IF(COUNTIF(Comp2[Comparable '#2 Dates],Benchmark1[[#This Row],[Benchmark '#1 Dates]])=1,"Pass","Fail")</f>
        <v>Pass</v>
      </c>
      <c r="M205" s="6">
        <f>IF(Benchmark1[[#This Row],[Comparable '#2 Date Check]]="Pass",INDEX(Comp2[Comparable '#2 Price],MATCH(Benchmark1[[#This Row],[Benchmark '#1 Dates]],Comp2[Comparable '#2 Dates],0)),"-")</f>
        <v>49.76</v>
      </c>
      <c r="N205" s="22">
        <f>IF(Benchmark1[[#This Row],[Comparable '#2 Date Check]]="Pass",INDEX(Comp2[Comparable '#2 Return],MATCH(Benchmark1[[#This Row],[Benchmark '#1 Dates]],Comp2[Comparable '#2 Dates],0)),"-")</f>
        <v>2.0711400233863662E-2</v>
      </c>
      <c r="O205" s="1">
        <f>IFERROR(IF(Benchmark1[[#This Row],[Comparable '#2 Date Check]]="Pass",Benchmark1[[#This Row],[Comparable '#2 Return]]-Benchmark1[[#This Row],[Benchmark '#1 Return]],"-"),"-")</f>
        <v>1.6037519951683201E-2</v>
      </c>
      <c r="P205" s="1" t="str">
        <f>IF(COUNTIF(Comp3[Comparable '#3 Dates],Benchmark1[[#This Row],[Benchmark '#1 Dates]])=1,"Pass","Fail")</f>
        <v>Pass</v>
      </c>
      <c r="Q205" s="6">
        <f>IF(Benchmark1[[#This Row],[Comparable '#3 Date Check]]="Pass",INDEX(Comp3[Comparable '#3 Price],MATCH(Benchmark1[[#This Row],[Benchmark '#1 Dates]],Comp3[Comparable '#3 Dates],0)),"-")</f>
        <v>144.82</v>
      </c>
      <c r="R205" s="22">
        <f>IF(Benchmark1[[#This Row],[Comparable '#3 Date Check]]="Pass",INDEX(Comp3[Comparable '#3 Return],MATCH(Benchmark1[[#This Row],[Benchmark '#1 Dates]],Comp3[Comparable '#3 Dates],0)),"-")</f>
        <v>2.6022733101906434E-2</v>
      </c>
      <c r="S205" s="1">
        <f>IFERROR(IF(Benchmark1[[#This Row],[Comparable '#3 Date Check]]="Pass",Benchmark1[[#This Row],[Comparable '#3 Return]]-Benchmark1[[#This Row],[Benchmark '#1 Return]],"-"),"-")</f>
        <v>2.1348852819725973E-2</v>
      </c>
    </row>
    <row r="206" spans="1:19">
      <c r="A206" s="103">
        <v>43584</v>
      </c>
      <c r="B206" s="104">
        <v>2943.026919667288</v>
      </c>
      <c r="C206" s="4">
        <f t="shared" si="3"/>
        <v>1.0692842377802094E-3</v>
      </c>
      <c r="D206" s="1" t="str">
        <f>IF(COUNTIF(Target1[Target Dates],Benchmark1[[#This Row],[Benchmark '#1 Dates]])=1,"Pass","Fail")</f>
        <v>Pass</v>
      </c>
      <c r="E206" s="6">
        <f>IF(Benchmark1[[#This Row],[Target Date Check]]="Pass",INDEX(Target1[Target Price],MATCH(Benchmark1[[#This Row],[Benchmark '#1 Dates]],Target1[Target Dates],0)),"-")</f>
        <v>30.58</v>
      </c>
      <c r="F206" s="22">
        <f>IF(Benchmark1[[#This Row],[Target Date Check]]="Pass",INDEX(Target1[Target Return],MATCH(Benchmark1[[#This Row],[Benchmark '#1 Dates]],Target1[Target Dates],0)),"-")</f>
        <v>-2.3271897045191413E-2</v>
      </c>
      <c r="G206" s="1">
        <f>IFERROR(IF(Benchmark1[[#This Row],[Target Date Check]]="Pass",Benchmark1[[#This Row],[Target Return]]-Benchmark1[[#This Row],[Benchmark '#1 Return]],"-"),"-")</f>
        <v>-2.4341181282971622E-2</v>
      </c>
      <c r="H206" s="1" t="str">
        <f>IF(COUNTIF(Comp1[Comparable '#1 Dates],Benchmark1[[#This Row],[Benchmark '#1 Dates]])=1,"Pass","Fail")</f>
        <v>Pass</v>
      </c>
      <c r="I206" s="6">
        <f>IF(Benchmark1[[#This Row],[Comparable '#1 Date Check]]="Pass",INDEX(Comp1[Comparable '#1 Price],MATCH(Benchmark1[[#This Row],[Benchmark '#1 Dates]],Comp1[Comparable '#1 Dates],0)),"-")</f>
        <v>15.75</v>
      </c>
      <c r="J206" s="22">
        <f>IF(Benchmark1[[#This Row],[Comparable '#1 Date Check]]="Pass",INDEX(Comp1[Comparable '#1 Return],MATCH(Benchmark1[[#This Row],[Benchmark '#1 Dates]],Comp1[Comparable '#1 Dates],0)),"-")</f>
        <v>-3.1695747612790672E-3</v>
      </c>
      <c r="K206" s="1">
        <f>IFERROR(IF(Benchmark1[[#This Row],[Comparable '#1 Date Check]]="Pass",Benchmark1[[#This Row],[Comparable '#1 Return]]-Benchmark1[[#This Row],[Benchmark '#1 Return]],"-"),"-")</f>
        <v>-4.2388589990592761E-3</v>
      </c>
      <c r="L206" s="1" t="str">
        <f>IF(COUNTIF(Comp2[Comparable '#2 Dates],Benchmark1[[#This Row],[Benchmark '#1 Dates]])=1,"Pass","Fail")</f>
        <v>Pass</v>
      </c>
      <c r="M206" s="6">
        <f>IF(Benchmark1[[#This Row],[Comparable '#2 Date Check]]="Pass",INDEX(Comp2[Comparable '#2 Price],MATCH(Benchmark1[[#This Row],[Benchmark '#1 Dates]],Comp2[Comparable '#2 Dates],0)),"-")</f>
        <v>49.78</v>
      </c>
      <c r="N206" s="22">
        <f>IF(Benchmark1[[#This Row],[Comparable '#2 Date Check]]="Pass",INDEX(Comp2[Comparable '#2 Return],MATCH(Benchmark1[[#This Row],[Benchmark '#1 Dates]],Comp2[Comparable '#2 Dates],0)),"-")</f>
        <v>4.0184850852202094E-4</v>
      </c>
      <c r="O206" s="1">
        <f>IFERROR(IF(Benchmark1[[#This Row],[Comparable '#2 Date Check]]="Pass",Benchmark1[[#This Row],[Comparable '#2 Return]]-Benchmark1[[#This Row],[Benchmark '#1 Return]],"-"),"-")</f>
        <v>-6.6743572925818842E-4</v>
      </c>
      <c r="P206" s="1" t="str">
        <f>IF(COUNTIF(Comp3[Comparable '#3 Dates],Benchmark1[[#This Row],[Benchmark '#1 Dates]])=1,"Pass","Fail")</f>
        <v>Pass</v>
      </c>
      <c r="Q206" s="6">
        <f>IF(Benchmark1[[#This Row],[Comparable '#3 Date Check]]="Pass",INDEX(Comp3[Comparable '#3 Price],MATCH(Benchmark1[[#This Row],[Benchmark '#1 Dates]],Comp3[Comparable '#3 Dates],0)),"-")</f>
        <v>143.97</v>
      </c>
      <c r="R206" s="22">
        <f>IF(Benchmark1[[#This Row],[Comparable '#3 Date Check]]="Pass",INDEX(Comp3[Comparable '#3 Return],MATCH(Benchmark1[[#This Row],[Benchmark '#1 Dates]],Comp3[Comparable '#3 Dates],0)),"-")</f>
        <v>-5.8866474224108373E-3</v>
      </c>
      <c r="S206" s="1">
        <f>IFERROR(IF(Benchmark1[[#This Row],[Comparable '#3 Date Check]]="Pass",Benchmark1[[#This Row],[Comparable '#3 Return]]-Benchmark1[[#This Row],[Benchmark '#1 Return]],"-"),"-")</f>
        <v>-6.9559316601910462E-3</v>
      </c>
    </row>
    <row r="207" spans="1:19">
      <c r="A207" s="103">
        <v>43585</v>
      </c>
      <c r="B207" s="104">
        <v>2945.8308868458057</v>
      </c>
      <c r="C207" s="4">
        <f t="shared" si="3"/>
        <v>9.522958381908979E-4</v>
      </c>
      <c r="D207" s="1" t="str">
        <f>IF(COUNTIF(Target1[Target Dates],Benchmark1[[#This Row],[Benchmark '#1 Dates]])=1,"Pass","Fail")</f>
        <v>Pass</v>
      </c>
      <c r="E207" s="6">
        <f>IF(Benchmark1[[#This Row],[Target Date Check]]="Pass",INDEX(Target1[Target Price],MATCH(Benchmark1[[#This Row],[Benchmark '#1 Dates]],Target1[Target Dates],0)),"-")</f>
        <v>30.12</v>
      </c>
      <c r="F207" s="22">
        <f>IF(Benchmark1[[#This Row],[Target Date Check]]="Pass",INDEX(Target1[Target Return],MATCH(Benchmark1[[#This Row],[Benchmark '#1 Dates]],Target1[Target Dates],0)),"-")</f>
        <v>-1.5156797569223309E-2</v>
      </c>
      <c r="G207" s="1">
        <f>IFERROR(IF(Benchmark1[[#This Row],[Target Date Check]]="Pass",Benchmark1[[#This Row],[Target Return]]-Benchmark1[[#This Row],[Benchmark '#1 Return]],"-"),"-")</f>
        <v>-1.6109093407414208E-2</v>
      </c>
      <c r="H207" s="1" t="str">
        <f>IF(COUNTIF(Comp1[Comparable '#1 Dates],Benchmark1[[#This Row],[Benchmark '#1 Dates]])=1,"Pass","Fail")</f>
        <v>Pass</v>
      </c>
      <c r="I207" s="6">
        <f>IF(Benchmark1[[#This Row],[Comparable '#1 Date Check]]="Pass",INDEX(Comp1[Comparable '#1 Price],MATCH(Benchmark1[[#This Row],[Benchmark '#1 Dates]],Comp1[Comparable '#1 Dates],0)),"-")</f>
        <v>15.74</v>
      </c>
      <c r="J207" s="22">
        <f>IF(Benchmark1[[#This Row],[Comparable '#1 Date Check]]="Pass",INDEX(Comp1[Comparable '#1 Return],MATCH(Benchmark1[[#This Row],[Benchmark '#1 Dates]],Comp1[Comparable '#1 Dates],0)),"-")</f>
        <v>-6.3512228238492047E-4</v>
      </c>
      <c r="K207" s="1">
        <f>IFERROR(IF(Benchmark1[[#This Row],[Comparable '#1 Date Check]]="Pass",Benchmark1[[#This Row],[Comparable '#1 Return]]-Benchmark1[[#This Row],[Benchmark '#1 Return]],"-"),"-")</f>
        <v>-1.5874181205758184E-3</v>
      </c>
      <c r="L207" s="1" t="str">
        <f>IF(COUNTIF(Comp2[Comparable '#2 Dates],Benchmark1[[#This Row],[Benchmark '#1 Dates]])=1,"Pass","Fail")</f>
        <v>Pass</v>
      </c>
      <c r="M207" s="6">
        <f>IF(Benchmark1[[#This Row],[Comparable '#2 Date Check]]="Pass",INDEX(Comp2[Comparable '#2 Price],MATCH(Benchmark1[[#This Row],[Benchmark '#1 Dates]],Comp2[Comparable '#2 Dates],0)),"-")</f>
        <v>49.32</v>
      </c>
      <c r="N207" s="22">
        <f>IF(Benchmark1[[#This Row],[Comparable '#2 Date Check]]="Pass",INDEX(Comp2[Comparable '#2 Return],MATCH(Benchmark1[[#This Row],[Benchmark '#1 Dates]],Comp2[Comparable '#2 Dates],0)),"-")</f>
        <v>-9.2836186433023701E-3</v>
      </c>
      <c r="O207" s="1">
        <f>IFERROR(IF(Benchmark1[[#This Row],[Comparable '#2 Date Check]]="Pass",Benchmark1[[#This Row],[Comparable '#2 Return]]-Benchmark1[[#This Row],[Benchmark '#1 Return]],"-"),"-")</f>
        <v>-1.0235914481493268E-2</v>
      </c>
      <c r="P207" s="1" t="str">
        <f>IF(COUNTIF(Comp3[Comparable '#3 Dates],Benchmark1[[#This Row],[Benchmark '#1 Dates]])=1,"Pass","Fail")</f>
        <v>Pass</v>
      </c>
      <c r="Q207" s="6">
        <f>IF(Benchmark1[[#This Row],[Comparable '#3 Date Check]]="Pass",INDEX(Comp3[Comparable '#3 Price],MATCH(Benchmark1[[#This Row],[Benchmark '#1 Dates]],Comp3[Comparable '#3 Dates],0)),"-")</f>
        <v>143.35</v>
      </c>
      <c r="R207" s="22">
        <f>IF(Benchmark1[[#This Row],[Comparable '#3 Date Check]]="Pass",INDEX(Comp3[Comparable '#3 Return],MATCH(Benchmark1[[#This Row],[Benchmark '#1 Dates]],Comp3[Comparable '#3 Dates],0)),"-")</f>
        <v>-4.3157522088849839E-3</v>
      </c>
      <c r="S207" s="1">
        <f>IFERROR(IF(Benchmark1[[#This Row],[Comparable '#3 Date Check]]="Pass",Benchmark1[[#This Row],[Comparable '#3 Return]]-Benchmark1[[#This Row],[Benchmark '#1 Return]],"-"),"-")</f>
        <v>-5.2680480470758823E-3</v>
      </c>
    </row>
    <row r="208" spans="1:19">
      <c r="A208" s="103">
        <v>43586</v>
      </c>
      <c r="B208" s="104">
        <v>2923.7319381825055</v>
      </c>
      <c r="C208" s="4">
        <f t="shared" si="3"/>
        <v>-7.5300507865995866E-3</v>
      </c>
      <c r="D208" s="1" t="str">
        <f>IF(COUNTIF(Target1[Target Dates],Benchmark1[[#This Row],[Benchmark '#1 Dates]])=1,"Pass","Fail")</f>
        <v>Pass</v>
      </c>
      <c r="E208" s="6">
        <f>IF(Benchmark1[[#This Row],[Target Date Check]]="Pass",INDEX(Target1[Target Price],MATCH(Benchmark1[[#This Row],[Benchmark '#1 Dates]],Target1[Target Dates],0)),"-")</f>
        <v>30.2</v>
      </c>
      <c r="F208" s="22">
        <f>IF(Benchmark1[[#This Row],[Target Date Check]]="Pass",INDEX(Target1[Target Return],MATCH(Benchmark1[[#This Row],[Benchmark '#1 Dates]],Target1[Target Dates],0)),"-")</f>
        <v>2.6525214491311235E-3</v>
      </c>
      <c r="G208" s="1">
        <f>IFERROR(IF(Benchmark1[[#This Row],[Target Date Check]]="Pass",Benchmark1[[#This Row],[Target Return]]-Benchmark1[[#This Row],[Benchmark '#1 Return]],"-"),"-")</f>
        <v>1.018257223573071E-2</v>
      </c>
      <c r="H208" s="1" t="str">
        <f>IF(COUNTIF(Comp1[Comparable '#1 Dates],Benchmark1[[#This Row],[Benchmark '#1 Dates]])=1,"Pass","Fail")</f>
        <v>Pass</v>
      </c>
      <c r="I208" s="6">
        <f>IF(Benchmark1[[#This Row],[Comparable '#1 Date Check]]="Pass",INDEX(Comp1[Comparable '#1 Price],MATCH(Benchmark1[[#This Row],[Benchmark '#1 Dates]],Comp1[Comparable '#1 Dates],0)),"-")</f>
        <v>15.76</v>
      </c>
      <c r="J208" s="22">
        <f>IF(Benchmark1[[#This Row],[Comparable '#1 Date Check]]="Pass",INDEX(Comp1[Comparable '#1 Return],MATCH(Benchmark1[[#This Row],[Benchmark '#1 Dates]],Comp1[Comparable '#1 Dates],0)),"-")</f>
        <v>1.269841440475937E-3</v>
      </c>
      <c r="K208" s="1">
        <f>IFERROR(IF(Benchmark1[[#This Row],[Comparable '#1 Date Check]]="Pass",Benchmark1[[#This Row],[Comparable '#1 Return]]-Benchmark1[[#This Row],[Benchmark '#1 Return]],"-"),"-")</f>
        <v>8.7998922270755234E-3</v>
      </c>
      <c r="L208" s="1" t="str">
        <f>IF(COUNTIF(Comp2[Comparable '#2 Dates],Benchmark1[[#This Row],[Benchmark '#1 Dates]])=1,"Pass","Fail")</f>
        <v>Pass</v>
      </c>
      <c r="M208" s="6">
        <f>IF(Benchmark1[[#This Row],[Comparable '#2 Date Check]]="Pass",INDEX(Comp2[Comparable '#2 Price],MATCH(Benchmark1[[#This Row],[Benchmark '#1 Dates]],Comp2[Comparable '#2 Dates],0)),"-")</f>
        <v>49.61</v>
      </c>
      <c r="N208" s="22">
        <f>IF(Benchmark1[[#This Row],[Comparable '#2 Date Check]]="Pass",INDEX(Comp2[Comparable '#2 Return],MATCH(Benchmark1[[#This Row],[Benchmark '#1 Dates]],Comp2[Comparable '#2 Dates],0)),"-")</f>
        <v>5.8627480168140138E-3</v>
      </c>
      <c r="O208" s="1">
        <f>IFERROR(IF(Benchmark1[[#This Row],[Comparable '#2 Date Check]]="Pass",Benchmark1[[#This Row],[Comparable '#2 Return]]-Benchmark1[[#This Row],[Benchmark '#1 Return]],"-"),"-")</f>
        <v>1.33927988034136E-2</v>
      </c>
      <c r="P208" s="1" t="str">
        <f>IF(COUNTIF(Comp3[Comparable '#3 Dates],Benchmark1[[#This Row],[Benchmark '#1 Dates]])=1,"Pass","Fail")</f>
        <v>Pass</v>
      </c>
      <c r="Q208" s="6">
        <f>IF(Benchmark1[[#This Row],[Comparable '#3 Date Check]]="Pass",INDEX(Comp3[Comparable '#3 Price],MATCH(Benchmark1[[#This Row],[Benchmark '#1 Dates]],Comp3[Comparable '#3 Dates],0)),"-")</f>
        <v>158.56</v>
      </c>
      <c r="R208" s="22">
        <f>IF(Benchmark1[[#This Row],[Comparable '#3 Date Check]]="Pass",INDEX(Comp3[Comparable '#3 Return],MATCH(Benchmark1[[#This Row],[Benchmark '#1 Dates]],Comp3[Comparable '#3 Dates],0)),"-")</f>
        <v>0.10084387825229899</v>
      </c>
      <c r="S208" s="1">
        <f>IFERROR(IF(Benchmark1[[#This Row],[Comparable '#3 Date Check]]="Pass",Benchmark1[[#This Row],[Comparable '#3 Return]]-Benchmark1[[#This Row],[Benchmark '#1 Return]],"-"),"-")</f>
        <v>0.10837392903889857</v>
      </c>
    </row>
    <row r="209" spans="1:19">
      <c r="A209" s="103">
        <v>43587</v>
      </c>
      <c r="B209" s="104">
        <v>2917.5163798788308</v>
      </c>
      <c r="C209" s="4">
        <f t="shared" si="3"/>
        <v>-2.1281617596528618E-3</v>
      </c>
      <c r="D209" s="1" t="str">
        <f>IF(COUNTIF(Target1[Target Dates],Benchmark1[[#This Row],[Benchmark '#1 Dates]])=1,"Pass","Fail")</f>
        <v>Pass</v>
      </c>
      <c r="E209" s="6">
        <f>IF(Benchmark1[[#This Row],[Target Date Check]]="Pass",INDEX(Target1[Target Price],MATCH(Benchmark1[[#This Row],[Benchmark '#1 Dates]],Target1[Target Dates],0)),"-")</f>
        <v>30.04</v>
      </c>
      <c r="F209" s="22">
        <f>IF(Benchmark1[[#This Row],[Target Date Check]]="Pass",INDEX(Target1[Target Return],MATCH(Benchmark1[[#This Row],[Benchmark '#1 Dates]],Target1[Target Dates],0)),"-")</f>
        <v>-5.3120974848899416E-3</v>
      </c>
      <c r="G209" s="1">
        <f>IFERROR(IF(Benchmark1[[#This Row],[Target Date Check]]="Pass",Benchmark1[[#This Row],[Target Return]]-Benchmark1[[#This Row],[Benchmark '#1 Return]],"-"),"-")</f>
        <v>-3.1839357252370797E-3</v>
      </c>
      <c r="H209" s="1" t="str">
        <f>IF(COUNTIF(Comp1[Comparable '#1 Dates],Benchmark1[[#This Row],[Benchmark '#1 Dates]])=1,"Pass","Fail")</f>
        <v>Pass</v>
      </c>
      <c r="I209" s="6">
        <f>IF(Benchmark1[[#This Row],[Comparable '#1 Date Check]]="Pass",INDEX(Comp1[Comparable '#1 Price],MATCH(Benchmark1[[#This Row],[Benchmark '#1 Dates]],Comp1[Comparable '#1 Dates],0)),"-")</f>
        <v>15.93</v>
      </c>
      <c r="J209" s="22">
        <f>IF(Benchmark1[[#This Row],[Comparable '#1 Date Check]]="Pass",INDEX(Comp1[Comparable '#1 Return],MATCH(Benchmark1[[#This Row],[Benchmark '#1 Dates]],Comp1[Comparable '#1 Dates],0)),"-")</f>
        <v>1.0729039492224136E-2</v>
      </c>
      <c r="K209" s="1">
        <f>IFERROR(IF(Benchmark1[[#This Row],[Comparable '#1 Date Check]]="Pass",Benchmark1[[#This Row],[Comparable '#1 Return]]-Benchmark1[[#This Row],[Benchmark '#1 Return]],"-"),"-")</f>
        <v>1.2857201251876997E-2</v>
      </c>
      <c r="L209" s="1" t="str">
        <f>IF(COUNTIF(Comp2[Comparable '#2 Dates],Benchmark1[[#This Row],[Benchmark '#1 Dates]])=1,"Pass","Fail")</f>
        <v>Pass</v>
      </c>
      <c r="M209" s="6">
        <f>IF(Benchmark1[[#This Row],[Comparable '#2 Date Check]]="Pass",INDEX(Comp2[Comparable '#2 Price],MATCH(Benchmark1[[#This Row],[Benchmark '#1 Dates]],Comp2[Comparable '#2 Dates],0)),"-")</f>
        <v>50.02</v>
      </c>
      <c r="N209" s="22">
        <f>IF(Benchmark1[[#This Row],[Comparable '#2 Date Check]]="Pass",INDEX(Comp2[Comparable '#2 Return],MATCH(Benchmark1[[#This Row],[Benchmark '#1 Dates]],Comp2[Comparable '#2 Dates],0)),"-")</f>
        <v>8.2304991365154435E-3</v>
      </c>
      <c r="O209" s="1">
        <f>IFERROR(IF(Benchmark1[[#This Row],[Comparable '#2 Date Check]]="Pass",Benchmark1[[#This Row],[Comparable '#2 Return]]-Benchmark1[[#This Row],[Benchmark '#1 Return]],"-"),"-")</f>
        <v>1.0358660896168305E-2</v>
      </c>
      <c r="P209" s="1" t="str">
        <f>IF(COUNTIF(Comp3[Comparable '#3 Dates],Benchmark1[[#This Row],[Benchmark '#1 Dates]])=1,"Pass","Fail")</f>
        <v>Pass</v>
      </c>
      <c r="Q209" s="6">
        <f>IF(Benchmark1[[#This Row],[Comparable '#3 Date Check]]="Pass",INDEX(Comp3[Comparable '#3 Price],MATCH(Benchmark1[[#This Row],[Benchmark '#1 Dates]],Comp3[Comparable '#3 Dates],0)),"-")</f>
        <v>162.49</v>
      </c>
      <c r="R209" s="22">
        <f>IF(Benchmark1[[#This Row],[Comparable '#3 Date Check]]="Pass",INDEX(Comp3[Comparable '#3 Return],MATCH(Benchmark1[[#This Row],[Benchmark '#1 Dates]],Comp3[Comparable '#3 Dates],0)),"-")</f>
        <v>2.4483390833007185E-2</v>
      </c>
      <c r="S209" s="1">
        <f>IFERROR(IF(Benchmark1[[#This Row],[Comparable '#3 Date Check]]="Pass",Benchmark1[[#This Row],[Comparable '#3 Return]]-Benchmark1[[#This Row],[Benchmark '#1 Return]],"-"),"-")</f>
        <v>2.6611552592660046E-2</v>
      </c>
    </row>
    <row r="210" spans="1:19">
      <c r="A210" s="103">
        <v>43588</v>
      </c>
      <c r="B210" s="104">
        <v>2945.6377901022634</v>
      </c>
      <c r="C210" s="4">
        <f t="shared" si="3"/>
        <v>9.5926612366554961E-3</v>
      </c>
      <c r="D210" s="1" t="str">
        <f>IF(COUNTIF(Target1[Target Dates],Benchmark1[[#This Row],[Benchmark '#1 Dates]])=1,"Pass","Fail")</f>
        <v>Pass</v>
      </c>
      <c r="E210" s="6">
        <f>IF(Benchmark1[[#This Row],[Target Date Check]]="Pass",INDEX(Target1[Target Price],MATCH(Benchmark1[[#This Row],[Benchmark '#1 Dates]],Target1[Target Dates],0)),"-")</f>
        <v>30.33</v>
      </c>
      <c r="F210" s="22">
        <f>IF(Benchmark1[[#This Row],[Target Date Check]]="Pass",INDEX(Target1[Target Return],MATCH(Benchmark1[[#This Row],[Benchmark '#1 Dates]],Target1[Target Dates],0)),"-")</f>
        <v>9.6074948045557461E-3</v>
      </c>
      <c r="G210" s="1">
        <f>IFERROR(IF(Benchmark1[[#This Row],[Target Date Check]]="Pass",Benchmark1[[#This Row],[Target Return]]-Benchmark1[[#This Row],[Benchmark '#1 Return]],"-"),"-")</f>
        <v>1.483356790024995E-5</v>
      </c>
      <c r="H210" s="1" t="str">
        <f>IF(COUNTIF(Comp1[Comparable '#1 Dates],Benchmark1[[#This Row],[Benchmark '#1 Dates]])=1,"Pass","Fail")</f>
        <v>Pass</v>
      </c>
      <c r="I210" s="6">
        <f>IF(Benchmark1[[#This Row],[Comparable '#1 Date Check]]="Pass",INDEX(Comp1[Comparable '#1 Price],MATCH(Benchmark1[[#This Row],[Benchmark '#1 Dates]],Comp1[Comparable '#1 Dates],0)),"-")</f>
        <v>15.95</v>
      </c>
      <c r="J210" s="22">
        <f>IF(Benchmark1[[#This Row],[Comparable '#1 Date Check]]="Pass",INDEX(Comp1[Comparable '#1 Return],MATCH(Benchmark1[[#This Row],[Benchmark '#1 Dates]],Comp1[Comparable '#1 Dates],0)),"-")</f>
        <v>1.2547053088964341E-3</v>
      </c>
      <c r="K210" s="1">
        <f>IFERROR(IF(Benchmark1[[#This Row],[Comparable '#1 Date Check]]="Pass",Benchmark1[[#This Row],[Comparable '#1 Return]]-Benchmark1[[#This Row],[Benchmark '#1 Return]],"-"),"-")</f>
        <v>-8.3379559277590616E-3</v>
      </c>
      <c r="L210" s="1" t="str">
        <f>IF(COUNTIF(Comp2[Comparable '#2 Dates],Benchmark1[[#This Row],[Benchmark '#1 Dates]])=1,"Pass","Fail")</f>
        <v>Pass</v>
      </c>
      <c r="M210" s="6">
        <f>IF(Benchmark1[[#This Row],[Comparable '#2 Date Check]]="Pass",INDEX(Comp2[Comparable '#2 Price],MATCH(Benchmark1[[#This Row],[Benchmark '#1 Dates]],Comp2[Comparable '#2 Dates],0)),"-")</f>
        <v>45.86</v>
      </c>
      <c r="N210" s="22">
        <f>IF(Benchmark1[[#This Row],[Comparable '#2 Date Check]]="Pass",INDEX(Comp2[Comparable '#2 Return],MATCH(Benchmark1[[#This Row],[Benchmark '#1 Dates]],Comp2[Comparable '#2 Dates],0)),"-")</f>
        <v>-8.6829648019714628E-2</v>
      </c>
      <c r="O210" s="1">
        <f>IFERROR(IF(Benchmark1[[#This Row],[Comparable '#2 Date Check]]="Pass",Benchmark1[[#This Row],[Comparable '#2 Return]]-Benchmark1[[#This Row],[Benchmark '#1 Return]],"-"),"-")</f>
        <v>-9.6422309256370131E-2</v>
      </c>
      <c r="P210" s="1" t="str">
        <f>IF(COUNTIF(Comp3[Comparable '#3 Dates],Benchmark1[[#This Row],[Benchmark '#1 Dates]])=1,"Pass","Fail")</f>
        <v>Pass</v>
      </c>
      <c r="Q210" s="6">
        <f>IF(Benchmark1[[#This Row],[Comparable '#3 Date Check]]="Pass",INDEX(Comp3[Comparable '#3 Price],MATCH(Benchmark1[[#This Row],[Benchmark '#1 Dates]],Comp3[Comparable '#3 Dates],0)),"-")</f>
        <v>164.82</v>
      </c>
      <c r="R210" s="22">
        <f>IF(Benchmark1[[#This Row],[Comparable '#3 Date Check]]="Pass",INDEX(Comp3[Comparable '#3 Return],MATCH(Benchmark1[[#This Row],[Benchmark '#1 Dates]],Comp3[Comparable '#3 Dates],0)),"-")</f>
        <v>1.4237507920552523E-2</v>
      </c>
      <c r="S210" s="1">
        <f>IFERROR(IF(Benchmark1[[#This Row],[Comparable '#3 Date Check]]="Pass",Benchmark1[[#This Row],[Comparable '#3 Return]]-Benchmark1[[#This Row],[Benchmark '#1 Return]],"-"),"-")</f>
        <v>4.6448466838970269E-3</v>
      </c>
    </row>
    <row r="211" spans="1:19">
      <c r="A211" s="103">
        <v>43591</v>
      </c>
      <c r="B211" s="104">
        <v>2932.4738490857135</v>
      </c>
      <c r="C211" s="4">
        <f t="shared" si="3"/>
        <v>-4.47897686592279E-3</v>
      </c>
      <c r="D211" s="1" t="str">
        <f>IF(COUNTIF(Target1[Target Dates],Benchmark1[[#This Row],[Benchmark '#1 Dates]])=1,"Pass","Fail")</f>
        <v>Pass</v>
      </c>
      <c r="E211" s="6">
        <f>IF(Benchmark1[[#This Row],[Target Date Check]]="Pass",INDEX(Target1[Target Price],MATCH(Benchmark1[[#This Row],[Benchmark '#1 Dates]],Target1[Target Dates],0)),"-")</f>
        <v>30.94</v>
      </c>
      <c r="F211" s="22">
        <f>IF(Benchmark1[[#This Row],[Target Date Check]]="Pass",INDEX(Target1[Target Return],MATCH(Benchmark1[[#This Row],[Benchmark '#1 Dates]],Target1[Target Dates],0)),"-")</f>
        <v>1.9912523444430411E-2</v>
      </c>
      <c r="G211" s="1">
        <f>IFERROR(IF(Benchmark1[[#This Row],[Target Date Check]]="Pass",Benchmark1[[#This Row],[Target Return]]-Benchmark1[[#This Row],[Benchmark '#1 Return]],"-"),"-")</f>
        <v>2.4391500310353201E-2</v>
      </c>
      <c r="H211" s="1" t="str">
        <f>IF(COUNTIF(Comp1[Comparable '#1 Dates],Benchmark1[[#This Row],[Benchmark '#1 Dates]])=1,"Pass","Fail")</f>
        <v>Pass</v>
      </c>
      <c r="I211" s="6">
        <f>IF(Benchmark1[[#This Row],[Comparable '#1 Date Check]]="Pass",INDEX(Comp1[Comparable '#1 Price],MATCH(Benchmark1[[#This Row],[Benchmark '#1 Dates]],Comp1[Comparable '#1 Dates],0)),"-")</f>
        <v>15.95</v>
      </c>
      <c r="J211" s="22">
        <f>IF(Benchmark1[[#This Row],[Comparable '#1 Date Check]]="Pass",INDEX(Comp1[Comparable '#1 Return],MATCH(Benchmark1[[#This Row],[Benchmark '#1 Dates]],Comp1[Comparable '#1 Dates],0)),"-")</f>
        <v>0</v>
      </c>
      <c r="K211" s="1">
        <f>IFERROR(IF(Benchmark1[[#This Row],[Comparable '#1 Date Check]]="Pass",Benchmark1[[#This Row],[Comparable '#1 Return]]-Benchmark1[[#This Row],[Benchmark '#1 Return]],"-"),"-")</f>
        <v>4.47897686592279E-3</v>
      </c>
      <c r="L211" s="1" t="str">
        <f>IF(COUNTIF(Comp2[Comparable '#2 Dates],Benchmark1[[#This Row],[Benchmark '#1 Dates]])=1,"Pass","Fail")</f>
        <v>Pass</v>
      </c>
      <c r="M211" s="6">
        <f>IF(Benchmark1[[#This Row],[Comparable '#2 Date Check]]="Pass",INDEX(Comp2[Comparable '#2 Price],MATCH(Benchmark1[[#This Row],[Benchmark '#1 Dates]],Comp2[Comparable '#2 Dates],0)),"-")</f>
        <v>46.3</v>
      </c>
      <c r="N211" s="22">
        <f>IF(Benchmark1[[#This Row],[Comparable '#2 Date Check]]="Pass",INDEX(Comp2[Comparable '#2 Return],MATCH(Benchmark1[[#This Row],[Benchmark '#1 Dates]],Comp2[Comparable '#2 Dates],0)),"-")</f>
        <v>9.54868366242995E-3</v>
      </c>
      <c r="O211" s="1">
        <f>IFERROR(IF(Benchmark1[[#This Row],[Comparable '#2 Date Check]]="Pass",Benchmark1[[#This Row],[Comparable '#2 Return]]-Benchmark1[[#This Row],[Benchmark '#1 Return]],"-"),"-")</f>
        <v>1.4027660528352741E-2</v>
      </c>
      <c r="P211" s="1" t="str">
        <f>IF(COUNTIF(Comp3[Comparable '#3 Dates],Benchmark1[[#This Row],[Benchmark '#1 Dates]])=1,"Pass","Fail")</f>
        <v>Pass</v>
      </c>
      <c r="Q211" s="6">
        <f>IF(Benchmark1[[#This Row],[Comparable '#3 Date Check]]="Pass",INDEX(Comp3[Comparable '#3 Price],MATCH(Benchmark1[[#This Row],[Benchmark '#1 Dates]],Comp3[Comparable '#3 Dates],0)),"-")</f>
        <v>167.06</v>
      </c>
      <c r="R211" s="22">
        <f>IF(Benchmark1[[#This Row],[Comparable '#3 Date Check]]="Pass",INDEX(Comp3[Comparable '#3 Return],MATCH(Benchmark1[[#This Row],[Benchmark '#1 Dates]],Comp3[Comparable '#3 Dates],0)),"-")</f>
        <v>1.3499059992522721E-2</v>
      </c>
      <c r="S211" s="1">
        <f>IFERROR(IF(Benchmark1[[#This Row],[Comparable '#3 Date Check]]="Pass",Benchmark1[[#This Row],[Comparable '#3 Return]]-Benchmark1[[#This Row],[Benchmark '#1 Return]],"-"),"-")</f>
        <v>1.7978036858445512E-2</v>
      </c>
    </row>
    <row r="212" spans="1:19">
      <c r="A212" s="103">
        <v>43592</v>
      </c>
      <c r="B212" s="104">
        <v>2884.0503077962385</v>
      </c>
      <c r="C212" s="4">
        <f t="shared" si="3"/>
        <v>-1.6650720859974967E-2</v>
      </c>
      <c r="D212" s="1" t="str">
        <f>IF(COUNTIF(Target1[Target Dates],Benchmark1[[#This Row],[Benchmark '#1 Dates]])=1,"Pass","Fail")</f>
        <v>Pass</v>
      </c>
      <c r="E212" s="6">
        <f>IF(Benchmark1[[#This Row],[Target Date Check]]="Pass",INDEX(Target1[Target Price],MATCH(Benchmark1[[#This Row],[Benchmark '#1 Dates]],Target1[Target Dates],0)),"-")</f>
        <v>30.99</v>
      </c>
      <c r="F212" s="22">
        <f>IF(Benchmark1[[#This Row],[Target Date Check]]="Pass",INDEX(Target1[Target Return],MATCH(Benchmark1[[#This Row],[Benchmark '#1 Dates]],Target1[Target Dates],0)),"-")</f>
        <v>1.6147266547368014E-3</v>
      </c>
      <c r="G212" s="1">
        <f>IFERROR(IF(Benchmark1[[#This Row],[Target Date Check]]="Pass",Benchmark1[[#This Row],[Target Return]]-Benchmark1[[#This Row],[Benchmark '#1 Return]],"-"),"-")</f>
        <v>1.8265447514711767E-2</v>
      </c>
      <c r="H212" s="1" t="str">
        <f>IF(COUNTIF(Comp1[Comparable '#1 Dates],Benchmark1[[#This Row],[Benchmark '#1 Dates]])=1,"Pass","Fail")</f>
        <v>Pass</v>
      </c>
      <c r="I212" s="6">
        <f>IF(Benchmark1[[#This Row],[Comparable '#1 Date Check]]="Pass",INDEX(Comp1[Comparable '#1 Price],MATCH(Benchmark1[[#This Row],[Benchmark '#1 Dates]],Comp1[Comparable '#1 Dates],0)),"-")</f>
        <v>15.8</v>
      </c>
      <c r="J212" s="22">
        <f>IF(Benchmark1[[#This Row],[Comparable '#1 Date Check]]="Pass",INDEX(Comp1[Comparable '#1 Return],MATCH(Benchmark1[[#This Row],[Benchmark '#1 Dates]],Comp1[Comparable '#1 Dates],0)),"-")</f>
        <v>-9.4488891979323964E-3</v>
      </c>
      <c r="K212" s="1">
        <f>IFERROR(IF(Benchmark1[[#This Row],[Comparable '#1 Date Check]]="Pass",Benchmark1[[#This Row],[Comparable '#1 Return]]-Benchmark1[[#This Row],[Benchmark '#1 Return]],"-"),"-")</f>
        <v>7.2018316620425706E-3</v>
      </c>
      <c r="L212" s="1" t="str">
        <f>IF(COUNTIF(Comp2[Comparable '#2 Dates],Benchmark1[[#This Row],[Benchmark '#1 Dates]])=1,"Pass","Fail")</f>
        <v>Pass</v>
      </c>
      <c r="M212" s="6">
        <f>IF(Benchmark1[[#This Row],[Comparable '#2 Date Check]]="Pass",INDEX(Comp2[Comparable '#2 Price],MATCH(Benchmark1[[#This Row],[Benchmark '#1 Dates]],Comp2[Comparable '#2 Dates],0)),"-")</f>
        <v>45.13</v>
      </c>
      <c r="N212" s="22">
        <f>IF(Benchmark1[[#This Row],[Comparable '#2 Date Check]]="Pass",INDEX(Comp2[Comparable '#2 Return],MATCH(Benchmark1[[#This Row],[Benchmark '#1 Dates]],Comp2[Comparable '#2 Dates],0)),"-")</f>
        <v>-2.5594747253278437E-2</v>
      </c>
      <c r="O212" s="1">
        <f>IFERROR(IF(Benchmark1[[#This Row],[Comparable '#2 Date Check]]="Pass",Benchmark1[[#This Row],[Comparable '#2 Return]]-Benchmark1[[#This Row],[Benchmark '#1 Return]],"-"),"-")</f>
        <v>-8.9440263933034704E-3</v>
      </c>
      <c r="P212" s="1" t="str">
        <f>IF(COUNTIF(Comp3[Comparable '#3 Dates],Benchmark1[[#This Row],[Benchmark '#1 Dates]])=1,"Pass","Fail")</f>
        <v>Pass</v>
      </c>
      <c r="Q212" s="6">
        <f>IF(Benchmark1[[#This Row],[Comparable '#3 Date Check]]="Pass",INDEX(Comp3[Comparable '#3 Price],MATCH(Benchmark1[[#This Row],[Benchmark '#1 Dates]],Comp3[Comparable '#3 Dates],0)),"-")</f>
        <v>165.41</v>
      </c>
      <c r="R212" s="22">
        <f>IF(Benchmark1[[#This Row],[Comparable '#3 Date Check]]="Pass",INDEX(Comp3[Comparable '#3 Return],MATCH(Benchmark1[[#This Row],[Benchmark '#1 Dates]],Comp3[Comparable '#3 Dates],0)),"-")</f>
        <v>-9.9257890736304862E-3</v>
      </c>
      <c r="S212" s="1">
        <f>IFERROR(IF(Benchmark1[[#This Row],[Comparable '#3 Date Check]]="Pass",Benchmark1[[#This Row],[Comparable '#3 Return]]-Benchmark1[[#This Row],[Benchmark '#1 Return]],"-"),"-")</f>
        <v>6.7249317863444808E-3</v>
      </c>
    </row>
    <row r="213" spans="1:19">
      <c r="A213" s="103">
        <v>43593</v>
      </c>
      <c r="B213" s="104">
        <v>2879.4196417361914</v>
      </c>
      <c r="C213" s="4">
        <f t="shared" si="3"/>
        <v>-1.606902472646766E-3</v>
      </c>
      <c r="D213" s="1" t="str">
        <f>IF(COUNTIF(Target1[Target Dates],Benchmark1[[#This Row],[Benchmark '#1 Dates]])=1,"Pass","Fail")</f>
        <v>Pass</v>
      </c>
      <c r="E213" s="6">
        <f>IF(Benchmark1[[#This Row],[Target Date Check]]="Pass",INDEX(Target1[Target Price],MATCH(Benchmark1[[#This Row],[Benchmark '#1 Dates]],Target1[Target Dates],0)),"-")</f>
        <v>30.47</v>
      </c>
      <c r="F213" s="22">
        <f>IF(Benchmark1[[#This Row],[Target Date Check]]="Pass",INDEX(Target1[Target Return],MATCH(Benchmark1[[#This Row],[Benchmark '#1 Dates]],Target1[Target Dates],0)),"-")</f>
        <v>-1.6921978802039182E-2</v>
      </c>
      <c r="G213" s="1">
        <f>IFERROR(IF(Benchmark1[[#This Row],[Target Date Check]]="Pass",Benchmark1[[#This Row],[Target Return]]-Benchmark1[[#This Row],[Benchmark '#1 Return]],"-"),"-")</f>
        <v>-1.5315076329392417E-2</v>
      </c>
      <c r="H213" s="1" t="str">
        <f>IF(COUNTIF(Comp1[Comparable '#1 Dates],Benchmark1[[#This Row],[Benchmark '#1 Dates]])=1,"Pass","Fail")</f>
        <v>Pass</v>
      </c>
      <c r="I213" s="6">
        <f>IF(Benchmark1[[#This Row],[Comparable '#1 Date Check]]="Pass",INDEX(Comp1[Comparable '#1 Price],MATCH(Benchmark1[[#This Row],[Benchmark '#1 Dates]],Comp1[Comparable '#1 Dates],0)),"-")</f>
        <v>15.61</v>
      </c>
      <c r="J213" s="22">
        <f>IF(Benchmark1[[#This Row],[Comparable '#1 Date Check]]="Pass",INDEX(Comp1[Comparable '#1 Return],MATCH(Benchmark1[[#This Row],[Benchmark '#1 Dates]],Comp1[Comparable '#1 Dates],0)),"-")</f>
        <v>-1.2098205505580488E-2</v>
      </c>
      <c r="K213" s="1">
        <f>IFERROR(IF(Benchmark1[[#This Row],[Comparable '#1 Date Check]]="Pass",Benchmark1[[#This Row],[Comparable '#1 Return]]-Benchmark1[[#This Row],[Benchmark '#1 Return]],"-"),"-")</f>
        <v>-1.0491303032933722E-2</v>
      </c>
      <c r="L213" s="1" t="str">
        <f>IF(COUNTIF(Comp2[Comparable '#2 Dates],Benchmark1[[#This Row],[Benchmark '#1 Dates]])=1,"Pass","Fail")</f>
        <v>Pass</v>
      </c>
      <c r="M213" s="6">
        <f>IF(Benchmark1[[#This Row],[Comparable '#2 Date Check]]="Pass",INDEX(Comp2[Comparable '#2 Price],MATCH(Benchmark1[[#This Row],[Benchmark '#1 Dates]],Comp2[Comparable '#2 Dates],0)),"-")</f>
        <v>44.36</v>
      </c>
      <c r="N213" s="22">
        <f>IF(Benchmark1[[#This Row],[Comparable '#2 Date Check]]="Pass",INDEX(Comp2[Comparable '#2 Return],MATCH(Benchmark1[[#This Row],[Benchmark '#1 Dates]],Comp2[Comparable '#2 Dates],0)),"-")</f>
        <v>-1.7209051356743638E-2</v>
      </c>
      <c r="O213" s="1">
        <f>IFERROR(IF(Benchmark1[[#This Row],[Comparable '#2 Date Check]]="Pass",Benchmark1[[#This Row],[Comparable '#2 Return]]-Benchmark1[[#This Row],[Benchmark '#1 Return]],"-"),"-")</f>
        <v>-1.5602148884096872E-2</v>
      </c>
      <c r="P213" s="1" t="str">
        <f>IF(COUNTIF(Comp3[Comparable '#3 Dates],Benchmark1[[#This Row],[Benchmark '#1 Dates]])=1,"Pass","Fail")</f>
        <v>Pass</v>
      </c>
      <c r="Q213" s="6">
        <f>IF(Benchmark1[[#This Row],[Comparable '#3 Date Check]]="Pass",INDEX(Comp3[Comparable '#3 Price],MATCH(Benchmark1[[#This Row],[Benchmark '#1 Dates]],Comp3[Comparable '#3 Dates],0)),"-")</f>
        <v>168.48</v>
      </c>
      <c r="R213" s="22">
        <f>IF(Benchmark1[[#This Row],[Comparable '#3 Date Check]]="Pass",INDEX(Comp3[Comparable '#3 Return],MATCH(Benchmark1[[#This Row],[Benchmark '#1 Dates]],Comp3[Comparable '#3 Dates],0)),"-")</f>
        <v>1.8389808131535648E-2</v>
      </c>
      <c r="S213" s="1">
        <f>IFERROR(IF(Benchmark1[[#This Row],[Comparable '#3 Date Check]]="Pass",Benchmark1[[#This Row],[Comparable '#3 Return]]-Benchmark1[[#This Row],[Benchmark '#1 Return]],"-"),"-")</f>
        <v>1.9996710604182413E-2</v>
      </c>
    </row>
    <row r="214" spans="1:19">
      <c r="A214" s="103">
        <v>43594</v>
      </c>
      <c r="B214" s="104">
        <v>2870.7170957245125</v>
      </c>
      <c r="C214" s="4">
        <f t="shared" si="3"/>
        <v>-3.0269028558847152E-3</v>
      </c>
      <c r="D214" s="1" t="str">
        <f>IF(COUNTIF(Target1[Target Dates],Benchmark1[[#This Row],[Benchmark '#1 Dates]])=1,"Pass","Fail")</f>
        <v>Pass</v>
      </c>
      <c r="E214" s="6">
        <f>IF(Benchmark1[[#This Row],[Target Date Check]]="Pass",INDEX(Target1[Target Price],MATCH(Benchmark1[[#This Row],[Benchmark '#1 Dates]],Target1[Target Dates],0)),"-")</f>
        <v>31</v>
      </c>
      <c r="F214" s="22">
        <f>IF(Benchmark1[[#This Row],[Target Date Check]]="Pass",INDEX(Target1[Target Return],MATCH(Benchmark1[[#This Row],[Benchmark '#1 Dates]],Target1[Target Dates],0)),"-")</f>
        <v>1.7244611487528635E-2</v>
      </c>
      <c r="G214" s="1">
        <f>IFERROR(IF(Benchmark1[[#This Row],[Target Date Check]]="Pass",Benchmark1[[#This Row],[Target Return]]-Benchmark1[[#This Row],[Benchmark '#1 Return]],"-"),"-")</f>
        <v>2.0271514343413351E-2</v>
      </c>
      <c r="H214" s="1" t="str">
        <f>IF(COUNTIF(Comp1[Comparable '#1 Dates],Benchmark1[[#This Row],[Benchmark '#1 Dates]])=1,"Pass","Fail")</f>
        <v>Pass</v>
      </c>
      <c r="I214" s="6">
        <f>IF(Benchmark1[[#This Row],[Comparable '#1 Date Check]]="Pass",INDEX(Comp1[Comparable '#1 Price],MATCH(Benchmark1[[#This Row],[Benchmark '#1 Dates]],Comp1[Comparable '#1 Dates],0)),"-")</f>
        <v>16.399999999999999</v>
      </c>
      <c r="J214" s="22">
        <f>IF(Benchmark1[[#This Row],[Comparable '#1 Date Check]]="Pass",INDEX(Comp1[Comparable '#1 Return],MATCH(Benchmark1[[#This Row],[Benchmark '#1 Dates]],Comp1[Comparable '#1 Dates],0)),"-")</f>
        <v>4.9369600302812032E-2</v>
      </c>
      <c r="K214" s="1">
        <f>IFERROR(IF(Benchmark1[[#This Row],[Comparable '#1 Date Check]]="Pass",Benchmark1[[#This Row],[Comparable '#1 Return]]-Benchmark1[[#This Row],[Benchmark '#1 Return]],"-"),"-")</f>
        <v>5.2396503158696747E-2</v>
      </c>
      <c r="L214" s="1" t="str">
        <f>IF(COUNTIF(Comp2[Comparable '#2 Dates],Benchmark1[[#This Row],[Benchmark '#1 Dates]])=1,"Pass","Fail")</f>
        <v>Pass</v>
      </c>
      <c r="M214" s="6">
        <f>IF(Benchmark1[[#This Row],[Comparable '#2 Date Check]]="Pass",INDEX(Comp2[Comparable '#2 Price],MATCH(Benchmark1[[#This Row],[Benchmark '#1 Dates]],Comp2[Comparable '#2 Dates],0)),"-")</f>
        <v>44.62</v>
      </c>
      <c r="N214" s="22">
        <f>IF(Benchmark1[[#This Row],[Comparable '#2 Date Check]]="Pass",INDEX(Comp2[Comparable '#2 Return],MATCH(Benchmark1[[#This Row],[Benchmark '#1 Dates]],Comp2[Comparable '#2 Dates],0)),"-")</f>
        <v>5.8440265222201764E-3</v>
      </c>
      <c r="O214" s="1">
        <f>IFERROR(IF(Benchmark1[[#This Row],[Comparable '#2 Date Check]]="Pass",Benchmark1[[#This Row],[Comparable '#2 Return]]-Benchmark1[[#This Row],[Benchmark '#1 Return]],"-"),"-")</f>
        <v>8.8709293781048908E-3</v>
      </c>
      <c r="P214" s="1" t="str">
        <f>IF(COUNTIF(Comp3[Comparable '#3 Dates],Benchmark1[[#This Row],[Benchmark '#1 Dates]])=1,"Pass","Fail")</f>
        <v>Pass</v>
      </c>
      <c r="Q214" s="6">
        <f>IF(Benchmark1[[#This Row],[Comparable '#3 Date Check]]="Pass",INDEX(Comp3[Comparable '#3 Price],MATCH(Benchmark1[[#This Row],[Benchmark '#1 Dates]],Comp3[Comparable '#3 Dates],0)),"-")</f>
        <v>171.76</v>
      </c>
      <c r="R214" s="22">
        <f>IF(Benchmark1[[#This Row],[Comparable '#3 Date Check]]="Pass",INDEX(Comp3[Comparable '#3 Return],MATCH(Benchmark1[[#This Row],[Benchmark '#1 Dates]],Comp3[Comparable '#3 Dates],0)),"-")</f>
        <v>1.9281105184860318E-2</v>
      </c>
      <c r="S214" s="1">
        <f>IFERROR(IF(Benchmark1[[#This Row],[Comparable '#3 Date Check]]="Pass",Benchmark1[[#This Row],[Comparable '#3 Return]]-Benchmark1[[#This Row],[Benchmark '#1 Return]],"-"),"-")</f>
        <v>2.2308008040745033E-2</v>
      </c>
    </row>
    <row r="215" spans="1:19">
      <c r="A215" s="103">
        <v>43595</v>
      </c>
      <c r="B215" s="104">
        <v>2881.4005103276745</v>
      </c>
      <c r="C215" s="4">
        <f t="shared" si="3"/>
        <v>3.71460655683863E-3</v>
      </c>
      <c r="D215" s="1" t="str">
        <f>IF(COUNTIF(Target1[Target Dates],Benchmark1[[#This Row],[Benchmark '#1 Dates]])=1,"Pass","Fail")</f>
        <v>Pass</v>
      </c>
      <c r="E215" s="6">
        <f>IF(Benchmark1[[#This Row],[Target Date Check]]="Pass",INDEX(Target1[Target Price],MATCH(Benchmark1[[#This Row],[Benchmark '#1 Dates]],Target1[Target Dates],0)),"-")</f>
        <v>31.71</v>
      </c>
      <c r="F215" s="22">
        <f>IF(Benchmark1[[#This Row],[Target Date Check]]="Pass",INDEX(Target1[Target Return],MATCH(Benchmark1[[#This Row],[Benchmark '#1 Dates]],Target1[Target Dates],0)),"-")</f>
        <v>2.2644884065109751E-2</v>
      </c>
      <c r="G215" s="1">
        <f>IFERROR(IF(Benchmark1[[#This Row],[Target Date Check]]="Pass",Benchmark1[[#This Row],[Target Return]]-Benchmark1[[#This Row],[Benchmark '#1 Return]],"-"),"-")</f>
        <v>1.8930277508271122E-2</v>
      </c>
      <c r="H215" s="1" t="str">
        <f>IF(COUNTIF(Comp1[Comparable '#1 Dates],Benchmark1[[#This Row],[Benchmark '#1 Dates]])=1,"Pass","Fail")</f>
        <v>Pass</v>
      </c>
      <c r="I215" s="6">
        <f>IF(Benchmark1[[#This Row],[Comparable '#1 Date Check]]="Pass",INDEX(Comp1[Comparable '#1 Price],MATCH(Benchmark1[[#This Row],[Benchmark '#1 Dates]],Comp1[Comparable '#1 Dates],0)),"-")</f>
        <v>16.39</v>
      </c>
      <c r="J215" s="22">
        <f>IF(Benchmark1[[#This Row],[Comparable '#1 Date Check]]="Pass",INDEX(Comp1[Comparable '#1 Return],MATCH(Benchmark1[[#This Row],[Benchmark '#1 Dates]],Comp1[Comparable '#1 Dates],0)),"-")</f>
        <v>-6.0994207441431112E-4</v>
      </c>
      <c r="K215" s="1">
        <f>IFERROR(IF(Benchmark1[[#This Row],[Comparable '#1 Date Check]]="Pass",Benchmark1[[#This Row],[Comparable '#1 Return]]-Benchmark1[[#This Row],[Benchmark '#1 Return]],"-"),"-")</f>
        <v>-4.3245486312529415E-3</v>
      </c>
      <c r="L215" s="1" t="str">
        <f>IF(COUNTIF(Comp2[Comparable '#2 Dates],Benchmark1[[#This Row],[Benchmark '#1 Dates]])=1,"Pass","Fail")</f>
        <v>Pass</v>
      </c>
      <c r="M215" s="6">
        <f>IF(Benchmark1[[#This Row],[Comparable '#2 Date Check]]="Pass",INDEX(Comp2[Comparable '#2 Price],MATCH(Benchmark1[[#This Row],[Benchmark '#1 Dates]],Comp2[Comparable '#2 Dates],0)),"-")</f>
        <v>45.46</v>
      </c>
      <c r="N215" s="22">
        <f>IF(Benchmark1[[#This Row],[Comparable '#2 Date Check]]="Pass",INDEX(Comp2[Comparable '#2 Return],MATCH(Benchmark1[[#This Row],[Benchmark '#1 Dates]],Comp2[Comparable '#2 Dates],0)),"-")</f>
        <v>1.8650629420010702E-2</v>
      </c>
      <c r="O215" s="1">
        <f>IFERROR(IF(Benchmark1[[#This Row],[Comparable '#2 Date Check]]="Pass",Benchmark1[[#This Row],[Comparable '#2 Return]]-Benchmark1[[#This Row],[Benchmark '#1 Return]],"-"),"-")</f>
        <v>1.4936022863172072E-2</v>
      </c>
      <c r="P215" s="1" t="str">
        <f>IF(COUNTIF(Comp3[Comparable '#3 Dates],Benchmark1[[#This Row],[Benchmark '#1 Dates]])=1,"Pass","Fail")</f>
        <v>Pass</v>
      </c>
      <c r="Q215" s="6">
        <f>IF(Benchmark1[[#This Row],[Comparable '#3 Date Check]]="Pass",INDEX(Comp3[Comparable '#3 Price],MATCH(Benchmark1[[#This Row],[Benchmark '#1 Dates]],Comp3[Comparable '#3 Dates],0)),"-")</f>
        <v>172.63</v>
      </c>
      <c r="R215" s="22">
        <f>IF(Benchmark1[[#This Row],[Comparable '#3 Date Check]]="Pass",INDEX(Comp3[Comparable '#3 Return],MATCH(Benchmark1[[#This Row],[Benchmark '#1 Dates]],Comp3[Comparable '#3 Dates],0)),"-")</f>
        <v>5.0524222579319232E-3</v>
      </c>
      <c r="S215" s="1">
        <f>IFERROR(IF(Benchmark1[[#This Row],[Comparable '#3 Date Check]]="Pass",Benchmark1[[#This Row],[Comparable '#3 Return]]-Benchmark1[[#This Row],[Benchmark '#1 Return]],"-"),"-")</f>
        <v>1.3378157010932932E-3</v>
      </c>
    </row>
    <row r="216" spans="1:19">
      <c r="A216" s="103">
        <v>43598</v>
      </c>
      <c r="B216" s="104">
        <v>2811.8654001004779</v>
      </c>
      <c r="C216" s="4">
        <f t="shared" si="3"/>
        <v>-2.4428357705048715E-2</v>
      </c>
      <c r="D216" s="1" t="str">
        <f>IF(COUNTIF(Target1[Target Dates],Benchmark1[[#This Row],[Benchmark '#1 Dates]])=1,"Pass","Fail")</f>
        <v>Pass</v>
      </c>
      <c r="E216" s="6">
        <f>IF(Benchmark1[[#This Row],[Target Date Check]]="Pass",INDEX(Target1[Target Price],MATCH(Benchmark1[[#This Row],[Benchmark '#1 Dates]],Target1[Target Dates],0)),"-")</f>
        <v>31.37</v>
      </c>
      <c r="F216" s="22">
        <f>IF(Benchmark1[[#This Row],[Target Date Check]]="Pass",INDEX(Target1[Target Return],MATCH(Benchmark1[[#This Row],[Benchmark '#1 Dates]],Target1[Target Dates],0)),"-")</f>
        <v>-1.0780066347669167E-2</v>
      </c>
      <c r="G216" s="1">
        <f>IFERROR(IF(Benchmark1[[#This Row],[Target Date Check]]="Pass",Benchmark1[[#This Row],[Target Return]]-Benchmark1[[#This Row],[Benchmark '#1 Return]],"-"),"-")</f>
        <v>1.3648291357379548E-2</v>
      </c>
      <c r="H216" s="1" t="str">
        <f>IF(COUNTIF(Comp1[Comparable '#1 Dates],Benchmark1[[#This Row],[Benchmark '#1 Dates]])=1,"Pass","Fail")</f>
        <v>Pass</v>
      </c>
      <c r="I216" s="6">
        <f>IF(Benchmark1[[#This Row],[Comparable '#1 Date Check]]="Pass",INDEX(Comp1[Comparable '#1 Price],MATCH(Benchmark1[[#This Row],[Benchmark '#1 Dates]],Comp1[Comparable '#1 Dates],0)),"-")</f>
        <v>15.99</v>
      </c>
      <c r="J216" s="22">
        <f>IF(Benchmark1[[#This Row],[Comparable '#1 Date Check]]="Pass",INDEX(Comp1[Comparable '#1 Return],MATCH(Benchmark1[[#This Row],[Benchmark '#1 Dates]],Comp1[Comparable '#1 Dates],0)),"-")</f>
        <v>-2.4707865909875459E-2</v>
      </c>
      <c r="K216" s="1">
        <f>IFERROR(IF(Benchmark1[[#This Row],[Comparable '#1 Date Check]]="Pass",Benchmark1[[#This Row],[Comparable '#1 Return]]-Benchmark1[[#This Row],[Benchmark '#1 Return]],"-"),"-")</f>
        <v>-2.795082048267436E-4</v>
      </c>
      <c r="L216" s="1" t="str">
        <f>IF(COUNTIF(Comp2[Comparable '#2 Dates],Benchmark1[[#This Row],[Benchmark '#1 Dates]])=1,"Pass","Fail")</f>
        <v>Pass</v>
      </c>
      <c r="M216" s="6">
        <f>IF(Benchmark1[[#This Row],[Comparable '#2 Date Check]]="Pass",INDEX(Comp2[Comparable '#2 Price],MATCH(Benchmark1[[#This Row],[Benchmark '#1 Dates]],Comp2[Comparable '#2 Dates],0)),"-")</f>
        <v>44.04</v>
      </c>
      <c r="N216" s="22">
        <f>IF(Benchmark1[[#This Row],[Comparable '#2 Date Check]]="Pass",INDEX(Comp2[Comparable '#2 Return],MATCH(Benchmark1[[#This Row],[Benchmark '#1 Dates]],Comp2[Comparable '#2 Dates],0)),"-")</f>
        <v>-3.1734506569917949E-2</v>
      </c>
      <c r="O216" s="1">
        <f>IFERROR(IF(Benchmark1[[#This Row],[Comparable '#2 Date Check]]="Pass",Benchmark1[[#This Row],[Comparable '#2 Return]]-Benchmark1[[#This Row],[Benchmark '#1 Return]],"-"),"-")</f>
        <v>-7.3061488648692337E-3</v>
      </c>
      <c r="P216" s="1" t="str">
        <f>IF(COUNTIF(Comp3[Comparable '#3 Dates],Benchmark1[[#This Row],[Benchmark '#1 Dates]])=1,"Pass","Fail")</f>
        <v>Pass</v>
      </c>
      <c r="Q216" s="6">
        <f>IF(Benchmark1[[#This Row],[Comparable '#3 Date Check]]="Pass",INDEX(Comp3[Comparable '#3 Price],MATCH(Benchmark1[[#This Row],[Benchmark '#1 Dates]],Comp3[Comparable '#3 Dates],0)),"-")</f>
        <v>168.5</v>
      </c>
      <c r="R216" s="22">
        <f>IF(Benchmark1[[#This Row],[Comparable '#3 Date Check]]="Pass",INDEX(Comp3[Comparable '#3 Return],MATCH(Benchmark1[[#This Row],[Benchmark '#1 Dates]],Comp3[Comparable '#3 Dates],0)),"-")</f>
        <v>-2.4214826036041054E-2</v>
      </c>
      <c r="S216" s="1">
        <f>IFERROR(IF(Benchmark1[[#This Row],[Comparable '#3 Date Check]]="Pass",Benchmark1[[#This Row],[Comparable '#3 Return]]-Benchmark1[[#This Row],[Benchmark '#1 Return]],"-"),"-")</f>
        <v>2.1353166900766121E-4</v>
      </c>
    </row>
    <row r="217" spans="1:19">
      <c r="A217" s="103">
        <v>43599</v>
      </c>
      <c r="B217" s="104">
        <v>2834.4068001572468</v>
      </c>
      <c r="C217" s="4">
        <f t="shared" si="3"/>
        <v>7.9845671673511136E-3</v>
      </c>
      <c r="D217" s="1" t="str">
        <f>IF(COUNTIF(Target1[Target Dates],Benchmark1[[#This Row],[Benchmark '#1 Dates]])=1,"Pass","Fail")</f>
        <v>Pass</v>
      </c>
      <c r="E217" s="6">
        <f>IF(Benchmark1[[#This Row],[Target Date Check]]="Pass",INDEX(Target1[Target Price],MATCH(Benchmark1[[#This Row],[Benchmark '#1 Dates]],Target1[Target Dates],0)),"-")</f>
        <v>31.68</v>
      </c>
      <c r="F217" s="22">
        <f>IF(Benchmark1[[#This Row],[Target Date Check]]="Pass",INDEX(Target1[Target Return],MATCH(Benchmark1[[#This Row],[Benchmark '#1 Dates]],Target1[Target Dates],0)),"-")</f>
        <v>9.8335447436383901E-3</v>
      </c>
      <c r="G217" s="1">
        <f>IFERROR(IF(Benchmark1[[#This Row],[Target Date Check]]="Pass",Benchmark1[[#This Row],[Target Return]]-Benchmark1[[#This Row],[Benchmark '#1 Return]],"-"),"-")</f>
        <v>1.8489775762872765E-3</v>
      </c>
      <c r="H217" s="1" t="str">
        <f>IF(COUNTIF(Comp1[Comparable '#1 Dates],Benchmark1[[#This Row],[Benchmark '#1 Dates]])=1,"Pass","Fail")</f>
        <v>Pass</v>
      </c>
      <c r="I217" s="6">
        <f>IF(Benchmark1[[#This Row],[Comparable '#1 Date Check]]="Pass",INDEX(Comp1[Comparable '#1 Price],MATCH(Benchmark1[[#This Row],[Benchmark '#1 Dates]],Comp1[Comparable '#1 Dates],0)),"-")</f>
        <v>16.55</v>
      </c>
      <c r="J217" s="22">
        <f>IF(Benchmark1[[#This Row],[Comparable '#1 Date Check]]="Pass",INDEX(Comp1[Comparable '#1 Return],MATCH(Benchmark1[[#This Row],[Benchmark '#1 Dates]],Comp1[Comparable '#1 Dates],0)),"-")</f>
        <v>3.4422574977208999E-2</v>
      </c>
      <c r="K217" s="1">
        <f>IFERROR(IF(Benchmark1[[#This Row],[Comparable '#1 Date Check]]="Pass",Benchmark1[[#This Row],[Comparable '#1 Return]]-Benchmark1[[#This Row],[Benchmark '#1 Return]],"-"),"-")</f>
        <v>2.6438007809857885E-2</v>
      </c>
      <c r="L217" s="1" t="str">
        <f>IF(COUNTIF(Comp2[Comparable '#2 Dates],Benchmark1[[#This Row],[Benchmark '#1 Dates]])=1,"Pass","Fail")</f>
        <v>Pass</v>
      </c>
      <c r="M217" s="6">
        <f>IF(Benchmark1[[#This Row],[Comparable '#2 Date Check]]="Pass",INDEX(Comp2[Comparable '#2 Price],MATCH(Benchmark1[[#This Row],[Benchmark '#1 Dates]],Comp2[Comparable '#2 Dates],0)),"-")</f>
        <v>43.42</v>
      </c>
      <c r="N217" s="22">
        <f>IF(Benchmark1[[#This Row],[Comparable '#2 Date Check]]="Pass",INDEX(Comp2[Comparable '#2 Return],MATCH(Benchmark1[[#This Row],[Benchmark '#1 Dates]],Comp2[Comparable '#2 Dates],0)),"-")</f>
        <v>-1.4178147404333359E-2</v>
      </c>
      <c r="O217" s="1">
        <f>IFERROR(IF(Benchmark1[[#This Row],[Comparable '#2 Date Check]]="Pass",Benchmark1[[#This Row],[Comparable '#2 Return]]-Benchmark1[[#This Row],[Benchmark '#1 Return]],"-"),"-")</f>
        <v>-2.2162714571684471E-2</v>
      </c>
      <c r="P217" s="1" t="str">
        <f>IF(COUNTIF(Comp3[Comparable '#3 Dates],Benchmark1[[#This Row],[Benchmark '#1 Dates]])=1,"Pass","Fail")</f>
        <v>Pass</v>
      </c>
      <c r="Q217" s="6">
        <f>IF(Benchmark1[[#This Row],[Comparable '#3 Date Check]]="Pass",INDEX(Comp3[Comparable '#3 Price],MATCH(Benchmark1[[#This Row],[Benchmark '#1 Dates]],Comp3[Comparable '#3 Dates],0)),"-")</f>
        <v>170.59</v>
      </c>
      <c r="R217" s="22">
        <f>IF(Benchmark1[[#This Row],[Comparable '#3 Date Check]]="Pass",INDEX(Comp3[Comparable '#3 Return],MATCH(Benchmark1[[#This Row],[Benchmark '#1 Dates]],Comp3[Comparable '#3 Dates],0)),"-")</f>
        <v>1.2327266900011794E-2</v>
      </c>
      <c r="S217" s="1">
        <f>IFERROR(IF(Benchmark1[[#This Row],[Comparable '#3 Date Check]]="Pass",Benchmark1[[#This Row],[Comparable '#3 Return]]-Benchmark1[[#This Row],[Benchmark '#1 Return]],"-"),"-")</f>
        <v>4.3426997326606806E-3</v>
      </c>
    </row>
    <row r="218" spans="1:19">
      <c r="A218" s="103">
        <v>43600</v>
      </c>
      <c r="B218" s="104">
        <v>2850.9645340323104</v>
      </c>
      <c r="C218" s="4">
        <f t="shared" si="3"/>
        <v>5.8246963002884936E-3</v>
      </c>
      <c r="D218" s="1" t="str">
        <f>IF(COUNTIF(Target1[Target Dates],Benchmark1[[#This Row],[Benchmark '#1 Dates]])=1,"Pass","Fail")</f>
        <v>Pass</v>
      </c>
      <c r="E218" s="6">
        <f>IF(Benchmark1[[#This Row],[Target Date Check]]="Pass",INDEX(Target1[Target Price],MATCH(Benchmark1[[#This Row],[Benchmark '#1 Dates]],Target1[Target Dates],0)),"-")</f>
        <v>32.15</v>
      </c>
      <c r="F218" s="22">
        <f>IF(Benchmark1[[#This Row],[Target Date Check]]="Pass",INDEX(Target1[Target Return],MATCH(Benchmark1[[#This Row],[Benchmark '#1 Dates]],Target1[Target Dates],0)),"-")</f>
        <v>1.4726883737403267E-2</v>
      </c>
      <c r="G218" s="1">
        <f>IFERROR(IF(Benchmark1[[#This Row],[Target Date Check]]="Pass",Benchmark1[[#This Row],[Target Return]]-Benchmark1[[#This Row],[Benchmark '#1 Return]],"-"),"-")</f>
        <v>8.9021874371147738E-3</v>
      </c>
      <c r="H218" s="1" t="str">
        <f>IF(COUNTIF(Comp1[Comparable '#1 Dates],Benchmark1[[#This Row],[Benchmark '#1 Dates]])=1,"Pass","Fail")</f>
        <v>Pass</v>
      </c>
      <c r="I218" s="6">
        <f>IF(Benchmark1[[#This Row],[Comparable '#1 Date Check]]="Pass",INDEX(Comp1[Comparable '#1 Price],MATCH(Benchmark1[[#This Row],[Benchmark '#1 Dates]],Comp1[Comparable '#1 Dates],0)),"-")</f>
        <v>16.809999999999999</v>
      </c>
      <c r="J218" s="22">
        <f>IF(Benchmark1[[#This Row],[Comparable '#1 Date Check]]="Pass",INDEX(Comp1[Comparable '#1 Return],MATCH(Benchmark1[[#This Row],[Benchmark '#1 Dates]],Comp1[Comparable '#1 Dates],0)),"-")</f>
        <v>1.558784559745216E-2</v>
      </c>
      <c r="K218" s="1">
        <f>IFERROR(IF(Benchmark1[[#This Row],[Comparable '#1 Date Check]]="Pass",Benchmark1[[#This Row],[Comparable '#1 Return]]-Benchmark1[[#This Row],[Benchmark '#1 Return]],"-"),"-")</f>
        <v>9.7631492971636674E-3</v>
      </c>
      <c r="L218" s="1" t="str">
        <f>IF(COUNTIF(Comp2[Comparable '#2 Dates],Benchmark1[[#This Row],[Benchmark '#1 Dates]])=1,"Pass","Fail")</f>
        <v>Pass</v>
      </c>
      <c r="M218" s="6">
        <f>IF(Benchmark1[[#This Row],[Comparable '#2 Date Check]]="Pass",INDEX(Comp2[Comparable '#2 Price],MATCH(Benchmark1[[#This Row],[Benchmark '#1 Dates]],Comp2[Comparable '#2 Dates],0)),"-")</f>
        <v>43.73</v>
      </c>
      <c r="N218" s="22">
        <f>IF(Benchmark1[[#This Row],[Comparable '#2 Date Check]]="Pass",INDEX(Comp2[Comparable '#2 Return],MATCH(Benchmark1[[#This Row],[Benchmark '#1 Dates]],Comp2[Comparable '#2 Dates],0)),"-")</f>
        <v>7.1142009746833516E-3</v>
      </c>
      <c r="O218" s="1">
        <f>IFERROR(IF(Benchmark1[[#This Row],[Comparable '#2 Date Check]]="Pass",Benchmark1[[#This Row],[Comparable '#2 Return]]-Benchmark1[[#This Row],[Benchmark '#1 Return]],"-"),"-")</f>
        <v>1.289504674394858E-3</v>
      </c>
      <c r="P218" s="1" t="str">
        <f>IF(COUNTIF(Comp3[Comparable '#3 Dates],Benchmark1[[#This Row],[Benchmark '#1 Dates]])=1,"Pass","Fail")</f>
        <v>Pass</v>
      </c>
      <c r="Q218" s="6">
        <f>IF(Benchmark1[[#This Row],[Comparable '#3 Date Check]]="Pass",INDEX(Comp3[Comparable '#3 Price],MATCH(Benchmark1[[#This Row],[Benchmark '#1 Dates]],Comp3[Comparable '#3 Dates],0)),"-")</f>
        <v>172.65</v>
      </c>
      <c r="R218" s="22">
        <f>IF(Benchmark1[[#This Row],[Comparable '#3 Date Check]]="Pass",INDEX(Comp3[Comparable '#3 Return],MATCH(Benchmark1[[#This Row],[Benchmark '#1 Dates]],Comp3[Comparable '#3 Dates],0)),"-")</f>
        <v>1.2003407143573269E-2</v>
      </c>
      <c r="S218" s="1">
        <f>IFERROR(IF(Benchmark1[[#This Row],[Comparable '#3 Date Check]]="Pass",Benchmark1[[#This Row],[Comparable '#3 Return]]-Benchmark1[[#This Row],[Benchmark '#1 Return]],"-"),"-")</f>
        <v>6.1787108432847749E-3</v>
      </c>
    </row>
    <row r="219" spans="1:19">
      <c r="A219" s="103">
        <v>43601</v>
      </c>
      <c r="B219" s="104">
        <v>2876.3169278960177</v>
      </c>
      <c r="C219" s="4">
        <f t="shared" si="3"/>
        <v>8.8532612290494611E-3</v>
      </c>
      <c r="D219" s="1" t="str">
        <f>IF(COUNTIF(Target1[Target Dates],Benchmark1[[#This Row],[Benchmark '#1 Dates]])=1,"Pass","Fail")</f>
        <v>Pass</v>
      </c>
      <c r="E219" s="6">
        <f>IF(Benchmark1[[#This Row],[Target Date Check]]="Pass",INDEX(Target1[Target Price],MATCH(Benchmark1[[#This Row],[Benchmark '#1 Dates]],Target1[Target Dates],0)),"-")</f>
        <v>32.35</v>
      </c>
      <c r="F219" s="22">
        <f>IF(Benchmark1[[#This Row],[Target Date Check]]="Pass",INDEX(Target1[Target Return],MATCH(Benchmark1[[#This Row],[Benchmark '#1 Dates]],Target1[Target Dates],0)),"-")</f>
        <v>6.2015702632813273E-3</v>
      </c>
      <c r="G219" s="1">
        <f>IFERROR(IF(Benchmark1[[#This Row],[Target Date Check]]="Pass",Benchmark1[[#This Row],[Target Return]]-Benchmark1[[#This Row],[Benchmark '#1 Return]],"-"),"-")</f>
        <v>-2.6516909657681338E-3</v>
      </c>
      <c r="H219" s="1" t="str">
        <f>IF(COUNTIF(Comp1[Comparable '#1 Dates],Benchmark1[[#This Row],[Benchmark '#1 Dates]])=1,"Pass","Fail")</f>
        <v>Pass</v>
      </c>
      <c r="I219" s="6">
        <f>IF(Benchmark1[[#This Row],[Comparable '#1 Date Check]]="Pass",INDEX(Comp1[Comparable '#1 Price],MATCH(Benchmark1[[#This Row],[Benchmark '#1 Dates]],Comp1[Comparable '#1 Dates],0)),"-")</f>
        <v>16.59</v>
      </c>
      <c r="J219" s="22">
        <f>IF(Benchmark1[[#This Row],[Comparable '#1 Date Check]]="Pass",INDEX(Comp1[Comparable '#1 Return],MATCH(Benchmark1[[#This Row],[Benchmark '#1 Dates]],Comp1[Comparable '#1 Dates],0)),"-")</f>
        <v>-1.3173843218171062E-2</v>
      </c>
      <c r="K219" s="1">
        <f>IFERROR(IF(Benchmark1[[#This Row],[Comparable '#1 Date Check]]="Pass",Benchmark1[[#This Row],[Comparable '#1 Return]]-Benchmark1[[#This Row],[Benchmark '#1 Return]],"-"),"-")</f>
        <v>-2.2027104447220523E-2</v>
      </c>
      <c r="L219" s="1" t="str">
        <f>IF(COUNTIF(Comp2[Comparable '#2 Dates],Benchmark1[[#This Row],[Benchmark '#1 Dates]])=1,"Pass","Fail")</f>
        <v>Pass</v>
      </c>
      <c r="M219" s="6">
        <f>IF(Benchmark1[[#This Row],[Comparable '#2 Date Check]]="Pass",INDEX(Comp2[Comparable '#2 Price],MATCH(Benchmark1[[#This Row],[Benchmark '#1 Dates]],Comp2[Comparable '#2 Dates],0)),"-")</f>
        <v>43.69</v>
      </c>
      <c r="N219" s="22">
        <f>IF(Benchmark1[[#This Row],[Comparable '#2 Date Check]]="Pass",INDEX(Comp2[Comparable '#2 Return],MATCH(Benchmark1[[#This Row],[Benchmark '#1 Dates]],Comp2[Comparable '#2 Dates],0)),"-")</f>
        <v>-9.1512246148466817E-4</v>
      </c>
      <c r="O219" s="1">
        <f>IFERROR(IF(Benchmark1[[#This Row],[Comparable '#2 Date Check]]="Pass",Benchmark1[[#This Row],[Comparable '#2 Return]]-Benchmark1[[#This Row],[Benchmark '#1 Return]],"-"),"-")</f>
        <v>-9.7683836905341284E-3</v>
      </c>
      <c r="P219" s="1" t="str">
        <f>IF(COUNTIF(Comp3[Comparable '#3 Dates],Benchmark1[[#This Row],[Benchmark '#1 Dates]])=1,"Pass","Fail")</f>
        <v>Pass</v>
      </c>
      <c r="Q219" s="6">
        <f>IF(Benchmark1[[#This Row],[Comparable '#3 Date Check]]="Pass",INDEX(Comp3[Comparable '#3 Price],MATCH(Benchmark1[[#This Row],[Benchmark '#1 Dates]],Comp3[Comparable '#3 Dates],0)),"-")</f>
        <v>175.98</v>
      </c>
      <c r="R219" s="22">
        <f>IF(Benchmark1[[#This Row],[Comparable '#3 Date Check]]="Pass",INDEX(Comp3[Comparable '#3 Return],MATCH(Benchmark1[[#This Row],[Benchmark '#1 Dates]],Comp3[Comparable '#3 Dates],0)),"-")</f>
        <v>1.9103928381413188E-2</v>
      </c>
      <c r="S219" s="1">
        <f>IFERROR(IF(Benchmark1[[#This Row],[Comparable '#3 Date Check]]="Pass",Benchmark1[[#This Row],[Comparable '#3 Return]]-Benchmark1[[#This Row],[Benchmark '#1 Return]],"-"),"-")</f>
        <v>1.0250667152363727E-2</v>
      </c>
    </row>
    <row r="220" spans="1:19">
      <c r="A220" s="103">
        <v>43602</v>
      </c>
      <c r="B220" s="104">
        <v>2859.5323467116914</v>
      </c>
      <c r="C220" s="4">
        <f t="shared" si="3"/>
        <v>-5.852534921942259E-3</v>
      </c>
      <c r="D220" s="1" t="str">
        <f>IF(COUNTIF(Target1[Target Dates],Benchmark1[[#This Row],[Benchmark '#1 Dates]])=1,"Pass","Fail")</f>
        <v>Pass</v>
      </c>
      <c r="E220" s="6">
        <f>IF(Benchmark1[[#This Row],[Target Date Check]]="Pass",INDEX(Target1[Target Price],MATCH(Benchmark1[[#This Row],[Benchmark '#1 Dates]],Target1[Target Dates],0)),"-")</f>
        <v>31.78</v>
      </c>
      <c r="F220" s="22">
        <f>IF(Benchmark1[[#This Row],[Target Date Check]]="Pass",INDEX(Target1[Target Return],MATCH(Benchmark1[[#This Row],[Benchmark '#1 Dates]],Target1[Target Dates],0)),"-")</f>
        <v>-1.7776859838339699E-2</v>
      </c>
      <c r="G220" s="1">
        <f>IFERROR(IF(Benchmark1[[#This Row],[Target Date Check]]="Pass",Benchmark1[[#This Row],[Target Return]]-Benchmark1[[#This Row],[Benchmark '#1 Return]],"-"),"-")</f>
        <v>-1.1924324916397441E-2</v>
      </c>
      <c r="H220" s="1" t="str">
        <f>IF(COUNTIF(Comp1[Comparable '#1 Dates],Benchmark1[[#This Row],[Benchmark '#1 Dates]])=1,"Pass","Fail")</f>
        <v>Pass</v>
      </c>
      <c r="I220" s="6">
        <f>IF(Benchmark1[[#This Row],[Comparable '#1 Date Check]]="Pass",INDEX(Comp1[Comparable '#1 Price],MATCH(Benchmark1[[#This Row],[Benchmark '#1 Dates]],Comp1[Comparable '#1 Dates],0)),"-")</f>
        <v>16.48</v>
      </c>
      <c r="J220" s="22">
        <f>IF(Benchmark1[[#This Row],[Comparable '#1 Date Check]]="Pass",INDEX(Comp1[Comparable '#1 Return],MATCH(Benchmark1[[#This Row],[Benchmark '#1 Dates]],Comp1[Comparable '#1 Dates],0)),"-")</f>
        <v>-6.6525797210274483E-3</v>
      </c>
      <c r="K220" s="1">
        <f>IFERROR(IF(Benchmark1[[#This Row],[Comparable '#1 Date Check]]="Pass",Benchmark1[[#This Row],[Comparable '#1 Return]]-Benchmark1[[#This Row],[Benchmark '#1 Return]],"-"),"-")</f>
        <v>-8.0004479908518927E-4</v>
      </c>
      <c r="L220" s="1" t="str">
        <f>IF(COUNTIF(Comp2[Comparable '#2 Dates],Benchmark1[[#This Row],[Benchmark '#1 Dates]])=1,"Pass","Fail")</f>
        <v>Pass</v>
      </c>
      <c r="M220" s="6">
        <f>IF(Benchmark1[[#This Row],[Comparable '#2 Date Check]]="Pass",INDEX(Comp2[Comparable '#2 Price],MATCH(Benchmark1[[#This Row],[Benchmark '#1 Dates]],Comp2[Comparable '#2 Dates],0)),"-")</f>
        <v>42.98</v>
      </c>
      <c r="N220" s="22">
        <f>IF(Benchmark1[[#This Row],[Comparable '#2 Date Check]]="Pass",INDEX(Comp2[Comparable '#2 Return],MATCH(Benchmark1[[#This Row],[Benchmark '#1 Dates]],Comp2[Comparable '#2 Dates],0)),"-")</f>
        <v>-1.6384351748980164E-2</v>
      </c>
      <c r="O220" s="1">
        <f>IFERROR(IF(Benchmark1[[#This Row],[Comparable '#2 Date Check]]="Pass",Benchmark1[[#This Row],[Comparable '#2 Return]]-Benchmark1[[#This Row],[Benchmark '#1 Return]],"-"),"-")</f>
        <v>-1.0531816827037906E-2</v>
      </c>
      <c r="P220" s="1" t="str">
        <f>IF(COUNTIF(Comp3[Comparable '#3 Dates],Benchmark1[[#This Row],[Benchmark '#1 Dates]])=1,"Pass","Fail")</f>
        <v>Pass</v>
      </c>
      <c r="Q220" s="6">
        <f>IF(Benchmark1[[#This Row],[Comparable '#3 Date Check]]="Pass",INDEX(Comp3[Comparable '#3 Price],MATCH(Benchmark1[[#This Row],[Benchmark '#1 Dates]],Comp3[Comparable '#3 Dates],0)),"-")</f>
        <v>174.61</v>
      </c>
      <c r="R220" s="22">
        <f>IF(Benchmark1[[#This Row],[Comparable '#3 Date Check]]="Pass",INDEX(Comp3[Comparable '#3 Return],MATCH(Benchmark1[[#This Row],[Benchmark '#1 Dates]],Comp3[Comparable '#3 Dates],0)),"-")</f>
        <v>-7.8154366833783941E-3</v>
      </c>
      <c r="S220" s="1">
        <f>IFERROR(IF(Benchmark1[[#This Row],[Comparable '#3 Date Check]]="Pass",Benchmark1[[#This Row],[Comparable '#3 Return]]-Benchmark1[[#This Row],[Benchmark '#1 Return]],"-"),"-")</f>
        <v>-1.962901761436135E-3</v>
      </c>
    </row>
    <row r="221" spans="1:19">
      <c r="A221" s="103">
        <v>43605</v>
      </c>
      <c r="B221" s="104">
        <v>2840.2331323810981</v>
      </c>
      <c r="C221" s="4">
        <f t="shared" si="3"/>
        <v>-6.7719586553398013E-3</v>
      </c>
      <c r="D221" s="1" t="str">
        <f>IF(COUNTIF(Target1[Target Dates],Benchmark1[[#This Row],[Benchmark '#1 Dates]])=1,"Pass","Fail")</f>
        <v>Pass</v>
      </c>
      <c r="E221" s="6">
        <f>IF(Benchmark1[[#This Row],[Target Date Check]]="Pass",INDEX(Target1[Target Price],MATCH(Benchmark1[[#This Row],[Benchmark '#1 Dates]],Target1[Target Dates],0)),"-")</f>
        <v>31.48</v>
      </c>
      <c r="F221" s="22">
        <f>IF(Benchmark1[[#This Row],[Target Date Check]]="Pass",INDEX(Target1[Target Return],MATCH(Benchmark1[[#This Row],[Benchmark '#1 Dates]],Target1[Target Dates],0)),"-")</f>
        <v>-9.4847375593674222E-3</v>
      </c>
      <c r="G221" s="1">
        <f>IFERROR(IF(Benchmark1[[#This Row],[Target Date Check]]="Pass",Benchmark1[[#This Row],[Target Return]]-Benchmark1[[#This Row],[Benchmark '#1 Return]],"-"),"-")</f>
        <v>-2.7127789040276209E-3</v>
      </c>
      <c r="H221" s="1" t="str">
        <f>IF(COUNTIF(Comp1[Comparable '#1 Dates],Benchmark1[[#This Row],[Benchmark '#1 Dates]])=1,"Pass","Fail")</f>
        <v>Pass</v>
      </c>
      <c r="I221" s="6">
        <f>IF(Benchmark1[[#This Row],[Comparable '#1 Date Check]]="Pass",INDEX(Comp1[Comparable '#1 Price],MATCH(Benchmark1[[#This Row],[Benchmark '#1 Dates]],Comp1[Comparable '#1 Dates],0)),"-")</f>
        <v>16.350000000000001</v>
      </c>
      <c r="J221" s="22">
        <f>IF(Benchmark1[[#This Row],[Comparable '#1 Date Check]]="Pass",INDEX(Comp1[Comparable '#1 Return],MATCH(Benchmark1[[#This Row],[Benchmark '#1 Dates]],Comp1[Comparable '#1 Dates],0)),"-")</f>
        <v>-7.9196271380632104E-3</v>
      </c>
      <c r="K221" s="1">
        <f>IFERROR(IF(Benchmark1[[#This Row],[Comparable '#1 Date Check]]="Pass",Benchmark1[[#This Row],[Comparable '#1 Return]]-Benchmark1[[#This Row],[Benchmark '#1 Return]],"-"),"-")</f>
        <v>-1.1476684827234091E-3</v>
      </c>
      <c r="L221" s="1" t="str">
        <f>IF(COUNTIF(Comp2[Comparable '#2 Dates],Benchmark1[[#This Row],[Benchmark '#1 Dates]])=1,"Pass","Fail")</f>
        <v>Pass</v>
      </c>
      <c r="M221" s="6">
        <f>IF(Benchmark1[[#This Row],[Comparable '#2 Date Check]]="Pass",INDEX(Comp2[Comparable '#2 Price],MATCH(Benchmark1[[#This Row],[Benchmark '#1 Dates]],Comp2[Comparable '#2 Dates],0)),"-")</f>
        <v>42.9</v>
      </c>
      <c r="N221" s="22">
        <f>IF(Benchmark1[[#This Row],[Comparable '#2 Date Check]]="Pass",INDEX(Comp2[Comparable '#2 Return],MATCH(Benchmark1[[#This Row],[Benchmark '#1 Dates]],Comp2[Comparable '#2 Dates],0)),"-")</f>
        <v>-1.8630652803930657E-3</v>
      </c>
      <c r="O221" s="1">
        <f>IFERROR(IF(Benchmark1[[#This Row],[Comparable '#2 Date Check]]="Pass",Benchmark1[[#This Row],[Comparable '#2 Return]]-Benchmark1[[#This Row],[Benchmark '#1 Return]],"-"),"-")</f>
        <v>4.9088933749467361E-3</v>
      </c>
      <c r="P221" s="1" t="str">
        <f>IF(COUNTIF(Comp3[Comparable '#3 Dates],Benchmark1[[#This Row],[Benchmark '#1 Dates]])=1,"Pass","Fail")</f>
        <v>Pass</v>
      </c>
      <c r="Q221" s="6">
        <f>IF(Benchmark1[[#This Row],[Comparable '#3 Date Check]]="Pass",INDEX(Comp3[Comparable '#3 Price],MATCH(Benchmark1[[#This Row],[Benchmark '#1 Dates]],Comp3[Comparable '#3 Dates],0)),"-")</f>
        <v>174.59</v>
      </c>
      <c r="R221" s="22">
        <f>IF(Benchmark1[[#This Row],[Comparable '#3 Date Check]]="Pass",INDEX(Comp3[Comparable '#3 Return],MATCH(Benchmark1[[#This Row],[Benchmark '#1 Dates]],Comp3[Comparable '#3 Dates],0)),"-")</f>
        <v>-1.1454753735322568E-4</v>
      </c>
      <c r="S221" s="1">
        <f>IFERROR(IF(Benchmark1[[#This Row],[Comparable '#3 Date Check]]="Pass",Benchmark1[[#This Row],[Comparable '#3 Return]]-Benchmark1[[#This Row],[Benchmark '#1 Return]],"-"),"-")</f>
        <v>6.6574111179865756E-3</v>
      </c>
    </row>
    <row r="222" spans="1:19">
      <c r="A222" s="103">
        <v>43606</v>
      </c>
      <c r="B222" s="104">
        <v>2864.3594093680108</v>
      </c>
      <c r="C222" s="4">
        <f t="shared" si="3"/>
        <v>8.4585956521018909E-3</v>
      </c>
      <c r="D222" s="1" t="str">
        <f>IF(COUNTIF(Target1[Target Dates],Benchmark1[[#This Row],[Benchmark '#1 Dates]])=1,"Pass","Fail")</f>
        <v>Pass</v>
      </c>
      <c r="E222" s="6">
        <f>IF(Benchmark1[[#This Row],[Target Date Check]]="Pass",INDEX(Target1[Target Price],MATCH(Benchmark1[[#This Row],[Benchmark '#1 Dates]],Target1[Target Dates],0)),"-")</f>
        <v>31.92</v>
      </c>
      <c r="F222" s="22">
        <f>IF(Benchmark1[[#This Row],[Target Date Check]]="Pass",INDEX(Target1[Target Return],MATCH(Benchmark1[[#This Row],[Benchmark '#1 Dates]],Target1[Target Dates],0)),"-")</f>
        <v>1.3880349032405519E-2</v>
      </c>
      <c r="G222" s="1">
        <f>IFERROR(IF(Benchmark1[[#This Row],[Target Date Check]]="Pass",Benchmark1[[#This Row],[Target Return]]-Benchmark1[[#This Row],[Benchmark '#1 Return]],"-"),"-")</f>
        <v>5.4217533803036285E-3</v>
      </c>
      <c r="H222" s="1" t="str">
        <f>IF(COUNTIF(Comp1[Comparable '#1 Dates],Benchmark1[[#This Row],[Benchmark '#1 Dates]])=1,"Pass","Fail")</f>
        <v>Pass</v>
      </c>
      <c r="I222" s="6">
        <f>IF(Benchmark1[[#This Row],[Comparable '#1 Date Check]]="Pass",INDEX(Comp1[Comparable '#1 Price],MATCH(Benchmark1[[#This Row],[Benchmark '#1 Dates]],Comp1[Comparable '#1 Dates],0)),"-")</f>
        <v>16.5</v>
      </c>
      <c r="J222" s="22">
        <f>IF(Benchmark1[[#This Row],[Comparable '#1 Date Check]]="Pass",INDEX(Comp1[Comparable '#1 Return],MATCH(Benchmark1[[#This Row],[Benchmark '#1 Dates]],Comp1[Comparable '#1 Dates],0)),"-")</f>
        <v>9.1324835632724723E-3</v>
      </c>
      <c r="K222" s="1">
        <f>IFERROR(IF(Benchmark1[[#This Row],[Comparable '#1 Date Check]]="Pass",Benchmark1[[#This Row],[Comparable '#1 Return]]-Benchmark1[[#This Row],[Benchmark '#1 Return]],"-"),"-")</f>
        <v>6.7388791117058144E-4</v>
      </c>
      <c r="L222" s="1" t="str">
        <f>IF(COUNTIF(Comp2[Comparable '#2 Dates],Benchmark1[[#This Row],[Benchmark '#1 Dates]])=1,"Pass","Fail")</f>
        <v>Pass</v>
      </c>
      <c r="M222" s="6">
        <f>IF(Benchmark1[[#This Row],[Comparable '#2 Date Check]]="Pass",INDEX(Comp2[Comparable '#2 Price],MATCH(Benchmark1[[#This Row],[Benchmark '#1 Dates]],Comp2[Comparable '#2 Dates],0)),"-")</f>
        <v>43.26</v>
      </c>
      <c r="N222" s="22">
        <f>IF(Benchmark1[[#This Row],[Comparable '#2 Date Check]]="Pass",INDEX(Comp2[Comparable '#2 Return],MATCH(Benchmark1[[#This Row],[Benchmark '#1 Dates]],Comp2[Comparable '#2 Dates],0)),"-")</f>
        <v>8.3565945909414921E-3</v>
      </c>
      <c r="O222" s="1">
        <f>IFERROR(IF(Benchmark1[[#This Row],[Comparable '#2 Date Check]]="Pass",Benchmark1[[#This Row],[Comparable '#2 Return]]-Benchmark1[[#This Row],[Benchmark '#1 Return]],"-"),"-")</f>
        <v>-1.020010611603988E-4</v>
      </c>
      <c r="P222" s="1" t="str">
        <f>IF(COUNTIF(Comp3[Comparable '#3 Dates],Benchmark1[[#This Row],[Benchmark '#1 Dates]])=1,"Pass","Fail")</f>
        <v>Pass</v>
      </c>
      <c r="Q222" s="6">
        <f>IF(Benchmark1[[#This Row],[Comparable '#3 Date Check]]="Pass",INDEX(Comp3[Comparable '#3 Price],MATCH(Benchmark1[[#This Row],[Benchmark '#1 Dates]],Comp3[Comparable '#3 Dates],0)),"-")</f>
        <v>176.06</v>
      </c>
      <c r="R222" s="22">
        <f>IF(Benchmark1[[#This Row],[Comparable '#3 Date Check]]="Pass",INDEX(Comp3[Comparable '#3 Return],MATCH(Benchmark1[[#This Row],[Benchmark '#1 Dates]],Comp3[Comparable '#3 Dates],0)),"-")</f>
        <v>8.384478036077064E-3</v>
      </c>
      <c r="S222" s="1">
        <f>IFERROR(IF(Benchmark1[[#This Row],[Comparable '#3 Date Check]]="Pass",Benchmark1[[#This Row],[Comparable '#3 Return]]-Benchmark1[[#This Row],[Benchmark '#1 Return]],"-"),"-")</f>
        <v>-7.4117616024826916E-5</v>
      </c>
    </row>
    <row r="223" spans="1:19">
      <c r="A223" s="103">
        <v>43607</v>
      </c>
      <c r="B223" s="104">
        <v>2856.2741510342721</v>
      </c>
      <c r="C223" s="4">
        <f t="shared" si="3"/>
        <v>-2.8267021937232158E-3</v>
      </c>
      <c r="D223" s="1" t="str">
        <f>IF(COUNTIF(Target1[Target Dates],Benchmark1[[#This Row],[Benchmark '#1 Dates]])=1,"Pass","Fail")</f>
        <v>Pass</v>
      </c>
      <c r="E223" s="6">
        <f>IF(Benchmark1[[#This Row],[Target Date Check]]="Pass",INDEX(Target1[Target Price],MATCH(Benchmark1[[#This Row],[Benchmark '#1 Dates]],Target1[Target Dates],0)),"-")</f>
        <v>31.83</v>
      </c>
      <c r="F223" s="22">
        <f>IF(Benchmark1[[#This Row],[Target Date Check]]="Pass",INDEX(Target1[Target Return],MATCH(Benchmark1[[#This Row],[Benchmark '#1 Dates]],Target1[Target Dates],0)),"-")</f>
        <v>-2.8235312876067182E-3</v>
      </c>
      <c r="G223" s="1">
        <f>IFERROR(IF(Benchmark1[[#This Row],[Target Date Check]]="Pass",Benchmark1[[#This Row],[Target Return]]-Benchmark1[[#This Row],[Benchmark '#1 Return]],"-"),"-")</f>
        <v>3.1709061164976286E-6</v>
      </c>
      <c r="H223" s="1" t="str">
        <f>IF(COUNTIF(Comp1[Comparable '#1 Dates],Benchmark1[[#This Row],[Benchmark '#1 Dates]])=1,"Pass","Fail")</f>
        <v>Pass</v>
      </c>
      <c r="I223" s="6">
        <f>IF(Benchmark1[[#This Row],[Comparable '#1 Date Check]]="Pass",INDEX(Comp1[Comparable '#1 Price],MATCH(Benchmark1[[#This Row],[Benchmark '#1 Dates]],Comp1[Comparable '#1 Dates],0)),"-")</f>
        <v>16.5</v>
      </c>
      <c r="J223" s="22">
        <f>IF(Benchmark1[[#This Row],[Comparable '#1 Date Check]]="Pass",INDEX(Comp1[Comparable '#1 Return],MATCH(Benchmark1[[#This Row],[Benchmark '#1 Dates]],Comp1[Comparable '#1 Dates],0)),"-")</f>
        <v>0</v>
      </c>
      <c r="K223" s="1">
        <f>IFERROR(IF(Benchmark1[[#This Row],[Comparable '#1 Date Check]]="Pass",Benchmark1[[#This Row],[Comparable '#1 Return]]-Benchmark1[[#This Row],[Benchmark '#1 Return]],"-"),"-")</f>
        <v>2.8267021937232158E-3</v>
      </c>
      <c r="L223" s="1" t="str">
        <f>IF(COUNTIF(Comp2[Comparable '#2 Dates],Benchmark1[[#This Row],[Benchmark '#1 Dates]])=1,"Pass","Fail")</f>
        <v>Pass</v>
      </c>
      <c r="M223" s="6">
        <f>IF(Benchmark1[[#This Row],[Comparable '#2 Date Check]]="Pass",INDEX(Comp2[Comparable '#2 Price],MATCH(Benchmark1[[#This Row],[Benchmark '#1 Dates]],Comp2[Comparable '#2 Dates],0)),"-")</f>
        <v>43.26</v>
      </c>
      <c r="N223" s="22">
        <f>IF(Benchmark1[[#This Row],[Comparable '#2 Date Check]]="Pass",INDEX(Comp2[Comparable '#2 Return],MATCH(Benchmark1[[#This Row],[Benchmark '#1 Dates]],Comp2[Comparable '#2 Dates],0)),"-")</f>
        <v>0</v>
      </c>
      <c r="O223" s="1">
        <f>IFERROR(IF(Benchmark1[[#This Row],[Comparable '#2 Date Check]]="Pass",Benchmark1[[#This Row],[Comparable '#2 Return]]-Benchmark1[[#This Row],[Benchmark '#1 Return]],"-"),"-")</f>
        <v>2.8267021937232158E-3</v>
      </c>
      <c r="P223" s="1" t="str">
        <f>IF(COUNTIF(Comp3[Comparable '#3 Dates],Benchmark1[[#This Row],[Benchmark '#1 Dates]])=1,"Pass","Fail")</f>
        <v>Pass</v>
      </c>
      <c r="Q223" s="6">
        <f>IF(Benchmark1[[#This Row],[Comparable '#3 Date Check]]="Pass",INDEX(Comp3[Comparable '#3 Price],MATCH(Benchmark1[[#This Row],[Benchmark '#1 Dates]],Comp3[Comparable '#3 Dates],0)),"-")</f>
        <v>176.87</v>
      </c>
      <c r="R223" s="22">
        <f>IF(Benchmark1[[#This Row],[Comparable '#3 Date Check]]="Pass",INDEX(Comp3[Comparable '#3 Return],MATCH(Benchmark1[[#This Row],[Benchmark '#1 Dates]],Comp3[Comparable '#3 Dates],0)),"-")</f>
        <v>4.5901534139422013E-3</v>
      </c>
      <c r="S223" s="1">
        <f>IFERROR(IF(Benchmark1[[#This Row],[Comparable '#3 Date Check]]="Pass",Benchmark1[[#This Row],[Comparable '#3 Return]]-Benchmark1[[#This Row],[Benchmark '#1 Return]],"-"),"-")</f>
        <v>7.4168556076654171E-3</v>
      </c>
    </row>
    <row r="224" spans="1:19">
      <c r="A224" s="103">
        <v>43608</v>
      </c>
      <c r="B224" s="104">
        <v>2822.2409559279745</v>
      </c>
      <c r="C224" s="4">
        <f t="shared" si="3"/>
        <v>-1.1986796535494889E-2</v>
      </c>
      <c r="D224" s="1" t="str">
        <f>IF(COUNTIF(Target1[Target Dates],Benchmark1[[#This Row],[Benchmark '#1 Dates]])=1,"Pass","Fail")</f>
        <v>Pass</v>
      </c>
      <c r="E224" s="6">
        <f>IF(Benchmark1[[#This Row],[Target Date Check]]="Pass",INDEX(Target1[Target Price],MATCH(Benchmark1[[#This Row],[Benchmark '#1 Dates]],Target1[Target Dates],0)),"-")</f>
        <v>31.73</v>
      </c>
      <c r="F224" s="22">
        <f>IF(Benchmark1[[#This Row],[Target Date Check]]="Pass",INDEX(Target1[Target Return],MATCH(Benchmark1[[#This Row],[Benchmark '#1 Dates]],Target1[Target Dates],0)),"-")</f>
        <v>-3.1466356988971689E-3</v>
      </c>
      <c r="G224" s="1">
        <f>IFERROR(IF(Benchmark1[[#This Row],[Target Date Check]]="Pass",Benchmark1[[#This Row],[Target Return]]-Benchmark1[[#This Row],[Benchmark '#1 Return]],"-"),"-")</f>
        <v>8.8401608365977196E-3</v>
      </c>
      <c r="H224" s="1" t="str">
        <f>IF(COUNTIF(Comp1[Comparable '#1 Dates],Benchmark1[[#This Row],[Benchmark '#1 Dates]])=1,"Pass","Fail")</f>
        <v>Pass</v>
      </c>
      <c r="I224" s="6">
        <f>IF(Benchmark1[[#This Row],[Comparable '#1 Date Check]]="Pass",INDEX(Comp1[Comparable '#1 Price],MATCH(Benchmark1[[#This Row],[Benchmark '#1 Dates]],Comp1[Comparable '#1 Dates],0)),"-")</f>
        <v>16.48</v>
      </c>
      <c r="J224" s="22">
        <f>IF(Benchmark1[[#This Row],[Comparable '#1 Date Check]]="Pass",INDEX(Comp1[Comparable '#1 Return],MATCH(Benchmark1[[#This Row],[Benchmark '#1 Dates]],Comp1[Comparable '#1 Dates],0)),"-")</f>
        <v>-1.2128564252092936E-3</v>
      </c>
      <c r="K224" s="1">
        <f>IFERROR(IF(Benchmark1[[#This Row],[Comparable '#1 Date Check]]="Pass",Benchmark1[[#This Row],[Comparable '#1 Return]]-Benchmark1[[#This Row],[Benchmark '#1 Return]],"-"),"-")</f>
        <v>1.0773940110285596E-2</v>
      </c>
      <c r="L224" s="1" t="str">
        <f>IF(COUNTIF(Comp2[Comparable '#2 Dates],Benchmark1[[#This Row],[Benchmark '#1 Dates]])=1,"Pass","Fail")</f>
        <v>Pass</v>
      </c>
      <c r="M224" s="6">
        <f>IF(Benchmark1[[#This Row],[Comparable '#2 Date Check]]="Pass",INDEX(Comp2[Comparable '#2 Price],MATCH(Benchmark1[[#This Row],[Benchmark '#1 Dates]],Comp2[Comparable '#2 Dates],0)),"-")</f>
        <v>43.24</v>
      </c>
      <c r="N224" s="22">
        <f>IF(Benchmark1[[#This Row],[Comparable '#2 Date Check]]="Pass",INDEX(Comp2[Comparable '#2 Return],MATCH(Benchmark1[[#This Row],[Benchmark '#1 Dates]],Comp2[Comparable '#2 Dates],0)),"-")</f>
        <v>-4.6242775390514297E-4</v>
      </c>
      <c r="O224" s="1">
        <f>IFERROR(IF(Benchmark1[[#This Row],[Comparable '#2 Date Check]]="Pass",Benchmark1[[#This Row],[Comparable '#2 Return]]-Benchmark1[[#This Row],[Benchmark '#1 Return]],"-"),"-")</f>
        <v>1.1524368781589746E-2</v>
      </c>
      <c r="P224" s="1" t="str">
        <f>IF(COUNTIF(Comp3[Comparable '#3 Dates],Benchmark1[[#This Row],[Benchmark '#1 Dates]])=1,"Pass","Fail")</f>
        <v>Pass</v>
      </c>
      <c r="Q224" s="6">
        <f>IF(Benchmark1[[#This Row],[Comparable '#3 Date Check]]="Pass",INDEX(Comp3[Comparable '#3 Price],MATCH(Benchmark1[[#This Row],[Benchmark '#1 Dates]],Comp3[Comparable '#3 Dates],0)),"-")</f>
        <v>176.72</v>
      </c>
      <c r="R224" s="22">
        <f>IF(Benchmark1[[#This Row],[Comparable '#3 Date Check]]="Pass",INDEX(Comp3[Comparable '#3 Return],MATCH(Benchmark1[[#This Row],[Benchmark '#1 Dates]],Comp3[Comparable '#3 Dates],0)),"-")</f>
        <v>-8.4844033484055871E-4</v>
      </c>
      <c r="S224" s="1">
        <f>IFERROR(IF(Benchmark1[[#This Row],[Comparable '#3 Date Check]]="Pass",Benchmark1[[#This Row],[Comparable '#3 Return]]-Benchmark1[[#This Row],[Benchmark '#1 Return]],"-"),"-")</f>
        <v>1.113835620065433E-2</v>
      </c>
    </row>
    <row r="225" spans="1:19">
      <c r="A225" s="103">
        <v>43609</v>
      </c>
      <c r="B225" s="104">
        <v>2826.0646864961</v>
      </c>
      <c r="C225" s="4">
        <f t="shared" si="3"/>
        <v>1.3539391790446155E-3</v>
      </c>
      <c r="D225" s="1" t="str">
        <f>IF(COUNTIF(Target1[Target Dates],Benchmark1[[#This Row],[Benchmark '#1 Dates]])=1,"Pass","Fail")</f>
        <v>Pass</v>
      </c>
      <c r="E225" s="6">
        <f>IF(Benchmark1[[#This Row],[Target Date Check]]="Pass",INDEX(Target1[Target Price],MATCH(Benchmark1[[#This Row],[Benchmark '#1 Dates]],Target1[Target Dates],0)),"-")</f>
        <v>31.98</v>
      </c>
      <c r="F225" s="22">
        <f>IF(Benchmark1[[#This Row],[Target Date Check]]="Pass",INDEX(Target1[Target Return],MATCH(Benchmark1[[#This Row],[Benchmark '#1 Dates]],Target1[Target Dates],0)),"-")</f>
        <v>7.8481018107039134E-3</v>
      </c>
      <c r="G225" s="1">
        <f>IFERROR(IF(Benchmark1[[#This Row],[Target Date Check]]="Pass",Benchmark1[[#This Row],[Target Return]]-Benchmark1[[#This Row],[Benchmark '#1 Return]],"-"),"-")</f>
        <v>6.4941626316592982E-3</v>
      </c>
      <c r="H225" s="1" t="str">
        <f>IF(COUNTIF(Comp1[Comparable '#1 Dates],Benchmark1[[#This Row],[Benchmark '#1 Dates]])=1,"Pass","Fail")</f>
        <v>Pass</v>
      </c>
      <c r="I225" s="6">
        <f>IF(Benchmark1[[#This Row],[Comparable '#1 Date Check]]="Pass",INDEX(Comp1[Comparable '#1 Price],MATCH(Benchmark1[[#This Row],[Benchmark '#1 Dates]],Comp1[Comparable '#1 Dates],0)),"-")</f>
        <v>16.489999999999998</v>
      </c>
      <c r="J225" s="22">
        <f>IF(Benchmark1[[#This Row],[Comparable '#1 Date Check]]="Pass",INDEX(Comp1[Comparable '#1 Return],MATCH(Benchmark1[[#This Row],[Benchmark '#1 Dates]],Comp1[Comparable '#1 Dates],0)),"-")</f>
        <v>6.0661209018186596E-4</v>
      </c>
      <c r="K225" s="1">
        <f>IFERROR(IF(Benchmark1[[#This Row],[Comparable '#1 Date Check]]="Pass",Benchmark1[[#This Row],[Comparable '#1 Return]]-Benchmark1[[#This Row],[Benchmark '#1 Return]],"-"),"-")</f>
        <v>-7.4732708886274951E-4</v>
      </c>
      <c r="L225" s="1" t="str">
        <f>IF(COUNTIF(Comp2[Comparable '#2 Dates],Benchmark1[[#This Row],[Benchmark '#1 Dates]])=1,"Pass","Fail")</f>
        <v>Pass</v>
      </c>
      <c r="M225" s="6">
        <f>IF(Benchmark1[[#This Row],[Comparable '#2 Date Check]]="Pass",INDEX(Comp2[Comparable '#2 Price],MATCH(Benchmark1[[#This Row],[Benchmark '#1 Dates]],Comp2[Comparable '#2 Dates],0)),"-")</f>
        <v>43.6</v>
      </c>
      <c r="N225" s="22">
        <f>IF(Benchmark1[[#This Row],[Comparable '#2 Date Check]]="Pass",INDEX(Comp2[Comparable '#2 Return],MATCH(Benchmark1[[#This Row],[Benchmark '#1 Dates]],Comp2[Comparable '#2 Dates],0)),"-")</f>
        <v>8.2911575839811815E-3</v>
      </c>
      <c r="O225" s="1">
        <f>IFERROR(IF(Benchmark1[[#This Row],[Comparable '#2 Date Check]]="Pass",Benchmark1[[#This Row],[Comparable '#2 Return]]-Benchmark1[[#This Row],[Benchmark '#1 Return]],"-"),"-")</f>
        <v>6.9372184049365663E-3</v>
      </c>
      <c r="P225" s="1" t="str">
        <f>IF(COUNTIF(Comp3[Comparable '#3 Dates],Benchmark1[[#This Row],[Benchmark '#1 Dates]])=1,"Pass","Fail")</f>
        <v>Pass</v>
      </c>
      <c r="Q225" s="6">
        <f>IF(Benchmark1[[#This Row],[Comparable '#3 Date Check]]="Pass",INDEX(Comp3[Comparable '#3 Price],MATCH(Benchmark1[[#This Row],[Benchmark '#1 Dates]],Comp3[Comparable '#3 Dates],0)),"-")</f>
        <v>180.23</v>
      </c>
      <c r="R225" s="22">
        <f>IF(Benchmark1[[#This Row],[Comparable '#3 Date Check]]="Pass",INDEX(Comp3[Comparable '#3 Return],MATCH(Benchmark1[[#This Row],[Benchmark '#1 Dates]],Comp3[Comparable '#3 Dates],0)),"-")</f>
        <v>1.9667253892852055E-2</v>
      </c>
      <c r="S225" s="1">
        <f>IFERROR(IF(Benchmark1[[#This Row],[Comparable '#3 Date Check]]="Pass",Benchmark1[[#This Row],[Comparable '#3 Return]]-Benchmark1[[#This Row],[Benchmark '#1 Return]],"-"),"-")</f>
        <v>1.8313314713807441E-2</v>
      </c>
    </row>
    <row r="226" spans="1:19">
      <c r="A226" s="103">
        <v>43613</v>
      </c>
      <c r="B226" s="104">
        <v>2802.3852184126117</v>
      </c>
      <c r="C226" s="4">
        <f t="shared" si="3"/>
        <v>-8.4142555025435439E-3</v>
      </c>
      <c r="D226" s="1" t="str">
        <f>IF(COUNTIF(Target1[Target Dates],Benchmark1[[#This Row],[Benchmark '#1 Dates]])=1,"Pass","Fail")</f>
        <v>Pass</v>
      </c>
      <c r="E226" s="6">
        <f>IF(Benchmark1[[#This Row],[Target Date Check]]="Pass",INDEX(Target1[Target Price],MATCH(Benchmark1[[#This Row],[Benchmark '#1 Dates]],Target1[Target Dates],0)),"-")</f>
        <v>31.42</v>
      </c>
      <c r="F226" s="22">
        <f>IF(Benchmark1[[#This Row],[Target Date Check]]="Pass",INDEX(Target1[Target Return],MATCH(Benchmark1[[#This Row],[Benchmark '#1 Dates]],Target1[Target Dates],0)),"-")</f>
        <v>-1.7666074578333048E-2</v>
      </c>
      <c r="G226" s="1">
        <f>IFERROR(IF(Benchmark1[[#This Row],[Target Date Check]]="Pass",Benchmark1[[#This Row],[Target Return]]-Benchmark1[[#This Row],[Benchmark '#1 Return]],"-"),"-")</f>
        <v>-9.2518190757895045E-3</v>
      </c>
      <c r="H226" s="1" t="str">
        <f>IF(COUNTIF(Comp1[Comparable '#1 Dates],Benchmark1[[#This Row],[Benchmark '#1 Dates]])=1,"Pass","Fail")</f>
        <v>Pass</v>
      </c>
      <c r="I226" s="6">
        <f>IF(Benchmark1[[#This Row],[Comparable '#1 Date Check]]="Pass",INDEX(Comp1[Comparable '#1 Price],MATCH(Benchmark1[[#This Row],[Benchmark '#1 Dates]],Comp1[Comparable '#1 Dates],0)),"-")</f>
        <v>16.47</v>
      </c>
      <c r="J226" s="22">
        <f>IF(Benchmark1[[#This Row],[Comparable '#1 Date Check]]="Pass",INDEX(Comp1[Comparable '#1 Return],MATCH(Benchmark1[[#This Row],[Benchmark '#1 Dates]],Comp1[Comparable '#1 Dates],0)),"-")</f>
        <v>-1.2135923819585751E-3</v>
      </c>
      <c r="K226" s="1">
        <f>IFERROR(IF(Benchmark1[[#This Row],[Comparable '#1 Date Check]]="Pass",Benchmark1[[#This Row],[Comparable '#1 Return]]-Benchmark1[[#This Row],[Benchmark '#1 Return]],"-"),"-")</f>
        <v>7.2006631205849686E-3</v>
      </c>
      <c r="L226" s="1" t="str">
        <f>IF(COUNTIF(Comp2[Comparable '#2 Dates],Benchmark1[[#This Row],[Benchmark '#1 Dates]])=1,"Pass","Fail")</f>
        <v>Pass</v>
      </c>
      <c r="M226" s="6">
        <f>IF(Benchmark1[[#This Row],[Comparable '#2 Date Check]]="Pass",INDEX(Comp2[Comparable '#2 Price],MATCH(Benchmark1[[#This Row],[Benchmark '#1 Dates]],Comp2[Comparable '#2 Dates],0)),"-")</f>
        <v>43.44</v>
      </c>
      <c r="N226" s="22">
        <f>IF(Benchmark1[[#This Row],[Comparable '#2 Date Check]]="Pass",INDEX(Comp2[Comparable '#2 Return],MATCH(Benchmark1[[#This Row],[Benchmark '#1 Dates]],Comp2[Comparable '#2 Dates],0)),"-")</f>
        <v>-3.6764747293087483E-3</v>
      </c>
      <c r="O226" s="1">
        <f>IFERROR(IF(Benchmark1[[#This Row],[Comparable '#2 Date Check]]="Pass",Benchmark1[[#This Row],[Comparable '#2 Return]]-Benchmark1[[#This Row],[Benchmark '#1 Return]],"-"),"-")</f>
        <v>4.7377807732347961E-3</v>
      </c>
      <c r="P226" s="1" t="str">
        <f>IF(COUNTIF(Comp3[Comparable '#3 Dates],Benchmark1[[#This Row],[Benchmark '#1 Dates]])=1,"Pass","Fail")</f>
        <v>Pass</v>
      </c>
      <c r="Q226" s="6">
        <f>IF(Benchmark1[[#This Row],[Comparable '#3 Date Check]]="Pass",INDEX(Comp3[Comparable '#3 Price],MATCH(Benchmark1[[#This Row],[Benchmark '#1 Dates]],Comp3[Comparable '#3 Dates],0)),"-")</f>
        <v>178.5</v>
      </c>
      <c r="R226" s="22">
        <f>IF(Benchmark1[[#This Row],[Comparable '#3 Date Check]]="Pass",INDEX(Comp3[Comparable '#3 Return],MATCH(Benchmark1[[#This Row],[Benchmark '#1 Dates]],Comp3[Comparable '#3 Dates],0)),"-")</f>
        <v>-9.6452117850199786E-3</v>
      </c>
      <c r="S226" s="1">
        <f>IFERROR(IF(Benchmark1[[#This Row],[Comparable '#3 Date Check]]="Pass",Benchmark1[[#This Row],[Comparable '#3 Return]]-Benchmark1[[#This Row],[Benchmark '#1 Return]],"-"),"-")</f>
        <v>-1.2309562824764347E-3</v>
      </c>
    </row>
    <row r="227" spans="1:19">
      <c r="A227" s="103">
        <v>43614</v>
      </c>
      <c r="B227" s="104">
        <v>2783.0183224371567</v>
      </c>
      <c r="C227" s="4">
        <f t="shared" si="3"/>
        <v>-6.9348520478750642E-3</v>
      </c>
      <c r="D227" s="1" t="str">
        <f>IF(COUNTIF(Target1[Target Dates],Benchmark1[[#This Row],[Benchmark '#1 Dates]])=1,"Pass","Fail")</f>
        <v>Pass</v>
      </c>
      <c r="E227" s="6">
        <f>IF(Benchmark1[[#This Row],[Target Date Check]]="Pass",INDEX(Target1[Target Price],MATCH(Benchmark1[[#This Row],[Benchmark '#1 Dates]],Target1[Target Dates],0)),"-")</f>
        <v>30.6</v>
      </c>
      <c r="F227" s="22">
        <f>IF(Benchmark1[[#This Row],[Target Date Check]]="Pass",INDEX(Target1[Target Return],MATCH(Benchmark1[[#This Row],[Benchmark '#1 Dates]],Target1[Target Dates],0)),"-")</f>
        <v>-2.644462386914E-2</v>
      </c>
      <c r="G227" s="1">
        <f>IFERROR(IF(Benchmark1[[#This Row],[Target Date Check]]="Pass",Benchmark1[[#This Row],[Target Return]]-Benchmark1[[#This Row],[Benchmark '#1 Return]],"-"),"-")</f>
        <v>-1.9509771821264937E-2</v>
      </c>
      <c r="H227" s="1" t="str">
        <f>IF(COUNTIF(Comp1[Comparable '#1 Dates],Benchmark1[[#This Row],[Benchmark '#1 Dates]])=1,"Pass","Fail")</f>
        <v>Pass</v>
      </c>
      <c r="I227" s="6">
        <f>IF(Benchmark1[[#This Row],[Comparable '#1 Date Check]]="Pass",INDEX(Comp1[Comparable '#1 Price],MATCH(Benchmark1[[#This Row],[Benchmark '#1 Dates]],Comp1[Comparable '#1 Dates],0)),"-")</f>
        <v>16.53</v>
      </c>
      <c r="J227" s="22">
        <f>IF(Benchmark1[[#This Row],[Comparable '#1 Date Check]]="Pass",INDEX(Comp1[Comparable '#1 Return],MATCH(Benchmark1[[#This Row],[Benchmark '#1 Dates]],Comp1[Comparable '#1 Dates],0)),"-")</f>
        <v>3.6363676433839335E-3</v>
      </c>
      <c r="K227" s="1">
        <f>IFERROR(IF(Benchmark1[[#This Row],[Comparable '#1 Date Check]]="Pass",Benchmark1[[#This Row],[Comparable '#1 Return]]-Benchmark1[[#This Row],[Benchmark '#1 Return]],"-"),"-")</f>
        <v>1.0571219691258998E-2</v>
      </c>
      <c r="L227" s="1" t="str">
        <f>IF(COUNTIF(Comp2[Comparable '#2 Dates],Benchmark1[[#This Row],[Benchmark '#1 Dates]])=1,"Pass","Fail")</f>
        <v>Pass</v>
      </c>
      <c r="M227" s="6">
        <f>IF(Benchmark1[[#This Row],[Comparable '#2 Date Check]]="Pass",INDEX(Comp2[Comparable '#2 Price],MATCH(Benchmark1[[#This Row],[Benchmark '#1 Dates]],Comp2[Comparable '#2 Dates],0)),"-")</f>
        <v>43.78</v>
      </c>
      <c r="N227" s="22">
        <f>IF(Benchmark1[[#This Row],[Comparable '#2 Date Check]]="Pass",INDEX(Comp2[Comparable '#2 Return],MATCH(Benchmark1[[#This Row],[Benchmark '#1 Dates]],Comp2[Comparable '#2 Dates],0)),"-")</f>
        <v>7.7964164690368905E-3</v>
      </c>
      <c r="O227" s="1">
        <f>IFERROR(IF(Benchmark1[[#This Row],[Comparable '#2 Date Check]]="Pass",Benchmark1[[#This Row],[Comparable '#2 Return]]-Benchmark1[[#This Row],[Benchmark '#1 Return]],"-"),"-")</f>
        <v>1.4731268516911955E-2</v>
      </c>
      <c r="P227" s="1" t="str">
        <f>IF(COUNTIF(Comp3[Comparable '#3 Dates],Benchmark1[[#This Row],[Benchmark '#1 Dates]])=1,"Pass","Fail")</f>
        <v>Pass</v>
      </c>
      <c r="Q227" s="6">
        <f>IF(Benchmark1[[#This Row],[Comparable '#3 Date Check]]="Pass",INDEX(Comp3[Comparable '#3 Price],MATCH(Benchmark1[[#This Row],[Benchmark '#1 Dates]],Comp3[Comparable '#3 Dates],0)),"-")</f>
        <v>176.67</v>
      </c>
      <c r="R227" s="22">
        <f>IF(Benchmark1[[#This Row],[Comparable '#3 Date Check]]="Pass",INDEX(Comp3[Comparable '#3 Return],MATCH(Benchmark1[[#This Row],[Benchmark '#1 Dates]],Comp3[Comparable '#3 Dates],0)),"-")</f>
        <v>-1.0305015595104786E-2</v>
      </c>
      <c r="S227" s="1">
        <f>IFERROR(IF(Benchmark1[[#This Row],[Comparable '#3 Date Check]]="Pass",Benchmark1[[#This Row],[Comparable '#3 Return]]-Benchmark1[[#This Row],[Benchmark '#1 Return]],"-"),"-")</f>
        <v>-3.3701635472297214E-3</v>
      </c>
    </row>
    <row r="228" spans="1:19">
      <c r="A228" s="103">
        <v>43615</v>
      </c>
      <c r="B228" s="104">
        <v>2788.8649306177908</v>
      </c>
      <c r="C228" s="4">
        <f t="shared" si="3"/>
        <v>2.0986119273828513E-3</v>
      </c>
      <c r="D228" s="1" t="str">
        <f>IF(COUNTIF(Target1[Target Dates],Benchmark1[[#This Row],[Benchmark '#1 Dates]])=1,"Pass","Fail")</f>
        <v>Pass</v>
      </c>
      <c r="E228" s="6">
        <f>IF(Benchmark1[[#This Row],[Target Date Check]]="Pass",INDEX(Target1[Target Price],MATCH(Benchmark1[[#This Row],[Benchmark '#1 Dates]],Target1[Target Dates],0)),"-")</f>
        <v>30.68</v>
      </c>
      <c r="F228" s="22">
        <f>IF(Benchmark1[[#This Row],[Target Date Check]]="Pass",INDEX(Target1[Target Return],MATCH(Benchmark1[[#This Row],[Benchmark '#1 Dates]],Target1[Target Dates],0)),"-")</f>
        <v>2.6109675407203397E-3</v>
      </c>
      <c r="G228" s="1">
        <f>IFERROR(IF(Benchmark1[[#This Row],[Target Date Check]]="Pass",Benchmark1[[#This Row],[Target Return]]-Benchmark1[[#This Row],[Benchmark '#1 Return]],"-"),"-")</f>
        <v>5.1235561333748837E-4</v>
      </c>
      <c r="H228" s="1" t="str">
        <f>IF(COUNTIF(Comp1[Comparable '#1 Dates],Benchmark1[[#This Row],[Benchmark '#1 Dates]])=1,"Pass","Fail")</f>
        <v>Pass</v>
      </c>
      <c r="I228" s="6">
        <f>IF(Benchmark1[[#This Row],[Comparable '#1 Date Check]]="Pass",INDEX(Comp1[Comparable '#1 Price],MATCH(Benchmark1[[#This Row],[Benchmark '#1 Dates]],Comp1[Comparable '#1 Dates],0)),"-")</f>
        <v>16.5</v>
      </c>
      <c r="J228" s="22">
        <f>IF(Benchmark1[[#This Row],[Comparable '#1 Date Check]]="Pass",INDEX(Comp1[Comparable '#1 Return],MATCH(Benchmark1[[#This Row],[Benchmark '#1 Dates]],Comp1[Comparable '#1 Dates],0)),"-")</f>
        <v>-1.8165309263980052E-3</v>
      </c>
      <c r="K228" s="1">
        <f>IFERROR(IF(Benchmark1[[#This Row],[Comparable '#1 Date Check]]="Pass",Benchmark1[[#This Row],[Comparable '#1 Return]]-Benchmark1[[#This Row],[Benchmark '#1 Return]],"-"),"-")</f>
        <v>-3.9151428537808567E-3</v>
      </c>
      <c r="L228" s="1" t="str">
        <f>IF(COUNTIF(Comp2[Comparable '#2 Dates],Benchmark1[[#This Row],[Benchmark '#1 Dates]])=1,"Pass","Fail")</f>
        <v>Pass</v>
      </c>
      <c r="M228" s="6">
        <f>IF(Benchmark1[[#This Row],[Comparable '#2 Date Check]]="Pass",INDEX(Comp2[Comparable '#2 Price],MATCH(Benchmark1[[#This Row],[Benchmark '#1 Dates]],Comp2[Comparable '#2 Dates],0)),"-")</f>
        <v>44.02</v>
      </c>
      <c r="N228" s="22">
        <f>IF(Benchmark1[[#This Row],[Comparable '#2 Date Check]]="Pass",INDEX(Comp2[Comparable '#2 Return],MATCH(Benchmark1[[#This Row],[Benchmark '#1 Dates]],Comp2[Comparable '#2 Dates],0)),"-")</f>
        <v>5.4669840035988316E-3</v>
      </c>
      <c r="O228" s="1">
        <f>IFERROR(IF(Benchmark1[[#This Row],[Comparable '#2 Date Check]]="Pass",Benchmark1[[#This Row],[Comparable '#2 Return]]-Benchmark1[[#This Row],[Benchmark '#1 Return]],"-"),"-")</f>
        <v>3.3683720762159803E-3</v>
      </c>
      <c r="P228" s="1" t="str">
        <f>IF(COUNTIF(Comp3[Comparable '#3 Dates],Benchmark1[[#This Row],[Benchmark '#1 Dates]])=1,"Pass","Fail")</f>
        <v>Pass</v>
      </c>
      <c r="Q228" s="6">
        <f>IF(Benchmark1[[#This Row],[Comparable '#3 Date Check]]="Pass",INDEX(Comp3[Comparable '#3 Price],MATCH(Benchmark1[[#This Row],[Benchmark '#1 Dates]],Comp3[Comparable '#3 Dates],0)),"-")</f>
        <v>178.3</v>
      </c>
      <c r="R228" s="22">
        <f>IF(Benchmark1[[#This Row],[Comparable '#3 Date Check]]="Pass",INDEX(Comp3[Comparable '#3 Return],MATCH(Benchmark1[[#This Row],[Benchmark '#1 Dates]],Comp3[Comparable '#3 Dates],0)),"-")</f>
        <v>9.1839392445058378E-3</v>
      </c>
      <c r="S228" s="1">
        <f>IFERROR(IF(Benchmark1[[#This Row],[Comparable '#3 Date Check]]="Pass",Benchmark1[[#This Row],[Comparable '#3 Return]]-Benchmark1[[#This Row],[Benchmark '#1 Return]],"-"),"-")</f>
        <v>7.0853273171229865E-3</v>
      </c>
    </row>
    <row r="229" spans="1:19">
      <c r="A229" s="103">
        <v>43616</v>
      </c>
      <c r="B229" s="104">
        <v>2752.0628861321829</v>
      </c>
      <c r="C229" s="4">
        <f t="shared" si="3"/>
        <v>-1.3283907273995428E-2</v>
      </c>
      <c r="D229" s="1" t="str">
        <f>IF(COUNTIF(Target1[Target Dates],Benchmark1[[#This Row],[Benchmark '#1 Dates]])=1,"Pass","Fail")</f>
        <v>Pass</v>
      </c>
      <c r="E229" s="6">
        <f>IF(Benchmark1[[#This Row],[Target Date Check]]="Pass",INDEX(Target1[Target Price],MATCH(Benchmark1[[#This Row],[Benchmark '#1 Dates]],Target1[Target Dates],0)),"-")</f>
        <v>30.57</v>
      </c>
      <c r="F229" s="22">
        <f>IF(Benchmark1[[#This Row],[Target Date Check]]="Pass",INDEX(Target1[Target Return],MATCH(Benchmark1[[#This Row],[Benchmark '#1 Dates]],Target1[Target Dates],0)),"-")</f>
        <v>-3.5918405963122481E-3</v>
      </c>
      <c r="G229" s="1">
        <f>IFERROR(IF(Benchmark1[[#This Row],[Target Date Check]]="Pass",Benchmark1[[#This Row],[Target Return]]-Benchmark1[[#This Row],[Benchmark '#1 Return]],"-"),"-")</f>
        <v>9.6920666776831796E-3</v>
      </c>
      <c r="H229" s="1" t="str">
        <f>IF(COUNTIF(Comp1[Comparable '#1 Dates],Benchmark1[[#This Row],[Benchmark '#1 Dates]])=1,"Pass","Fail")</f>
        <v>Pass</v>
      </c>
      <c r="I229" s="6">
        <f>IF(Benchmark1[[#This Row],[Comparable '#1 Date Check]]="Pass",INDEX(Comp1[Comparable '#1 Price],MATCH(Benchmark1[[#This Row],[Benchmark '#1 Dates]],Comp1[Comparable '#1 Dates],0)),"-")</f>
        <v>16.059999999999999</v>
      </c>
      <c r="J229" s="22">
        <f>IF(Benchmark1[[#This Row],[Comparable '#1 Date Check]]="Pass",INDEX(Comp1[Comparable '#1 Return],MATCH(Benchmark1[[#This Row],[Benchmark '#1 Dates]],Comp1[Comparable '#1 Dates],0)),"-")</f>
        <v>-2.7028672387919374E-2</v>
      </c>
      <c r="K229" s="1">
        <f>IFERROR(IF(Benchmark1[[#This Row],[Comparable '#1 Date Check]]="Pass",Benchmark1[[#This Row],[Comparable '#1 Return]]-Benchmark1[[#This Row],[Benchmark '#1 Return]],"-"),"-")</f>
        <v>-1.3744765113923946E-2</v>
      </c>
      <c r="L229" s="1" t="str">
        <f>IF(COUNTIF(Comp2[Comparable '#2 Dates],Benchmark1[[#This Row],[Benchmark '#1 Dates]])=1,"Pass","Fail")</f>
        <v>Pass</v>
      </c>
      <c r="M229" s="6">
        <f>IF(Benchmark1[[#This Row],[Comparable '#2 Date Check]]="Pass",INDEX(Comp2[Comparable '#2 Price],MATCH(Benchmark1[[#This Row],[Benchmark '#1 Dates]],Comp2[Comparable '#2 Dates],0)),"-")</f>
        <v>43.96</v>
      </c>
      <c r="N229" s="22">
        <f>IF(Benchmark1[[#This Row],[Comparable '#2 Date Check]]="Pass",INDEX(Comp2[Comparable '#2 Return],MATCH(Benchmark1[[#This Row],[Benchmark '#1 Dates]],Comp2[Comparable '#2 Dates],0)),"-")</f>
        <v>-1.3639465628950723E-3</v>
      </c>
      <c r="O229" s="1">
        <f>IFERROR(IF(Benchmark1[[#This Row],[Comparable '#2 Date Check]]="Pass",Benchmark1[[#This Row],[Comparable '#2 Return]]-Benchmark1[[#This Row],[Benchmark '#1 Return]],"-"),"-")</f>
        <v>1.1919960711100356E-2</v>
      </c>
      <c r="P229" s="1" t="str">
        <f>IF(COUNTIF(Comp3[Comparable '#3 Dates],Benchmark1[[#This Row],[Benchmark '#1 Dates]])=1,"Pass","Fail")</f>
        <v>Pass</v>
      </c>
      <c r="Q229" s="6">
        <f>IF(Benchmark1[[#This Row],[Comparable '#3 Date Check]]="Pass",INDEX(Comp3[Comparable '#3 Price],MATCH(Benchmark1[[#This Row],[Benchmark '#1 Dates]],Comp3[Comparable '#3 Dates],0)),"-")</f>
        <v>175.99</v>
      </c>
      <c r="R229" s="22">
        <f>IF(Benchmark1[[#This Row],[Comparable '#3 Date Check]]="Pass",INDEX(Comp3[Comparable '#3 Return],MATCH(Benchmark1[[#This Row],[Benchmark '#1 Dates]],Comp3[Comparable '#3 Dates],0)),"-")</f>
        <v>-1.304034962697522E-2</v>
      </c>
      <c r="S229" s="1">
        <f>IFERROR(IF(Benchmark1[[#This Row],[Comparable '#3 Date Check]]="Pass",Benchmark1[[#This Row],[Comparable '#3 Return]]-Benchmark1[[#This Row],[Benchmark '#1 Return]],"-"),"-")</f>
        <v>2.4355764702020839E-4</v>
      </c>
    </row>
    <row r="230" spans="1:19">
      <c r="A230" s="103">
        <v>43619</v>
      </c>
      <c r="B230" s="104">
        <v>2744.4464431785109</v>
      </c>
      <c r="C230" s="4">
        <f t="shared" si="3"/>
        <v>-2.7713762943741955E-3</v>
      </c>
      <c r="D230" s="1" t="str">
        <f>IF(COUNTIF(Target1[Target Dates],Benchmark1[[#This Row],[Benchmark '#1 Dates]])=1,"Pass","Fail")</f>
        <v>Pass</v>
      </c>
      <c r="E230" s="6">
        <f>IF(Benchmark1[[#This Row],[Target Date Check]]="Pass",INDEX(Target1[Target Price],MATCH(Benchmark1[[#This Row],[Benchmark '#1 Dates]],Target1[Target Dates],0)),"-")</f>
        <v>31.63</v>
      </c>
      <c r="F230" s="22">
        <f>IF(Benchmark1[[#This Row],[Target Date Check]]="Pass",INDEX(Target1[Target Return],MATCH(Benchmark1[[#This Row],[Benchmark '#1 Dates]],Target1[Target Dates],0)),"-")</f>
        <v>3.4086901414814387E-2</v>
      </c>
      <c r="G230" s="1">
        <f>IFERROR(IF(Benchmark1[[#This Row],[Target Date Check]]="Pass",Benchmark1[[#This Row],[Target Return]]-Benchmark1[[#This Row],[Benchmark '#1 Return]],"-"),"-")</f>
        <v>3.6858277709188585E-2</v>
      </c>
      <c r="H230" s="1" t="str">
        <f>IF(COUNTIF(Comp1[Comparable '#1 Dates],Benchmark1[[#This Row],[Benchmark '#1 Dates]])=1,"Pass","Fail")</f>
        <v>Pass</v>
      </c>
      <c r="I230" s="6">
        <f>IF(Benchmark1[[#This Row],[Comparable '#1 Date Check]]="Pass",INDEX(Comp1[Comparable '#1 Price],MATCH(Benchmark1[[#This Row],[Benchmark '#1 Dates]],Comp1[Comparable '#1 Dates],0)),"-")</f>
        <v>16.45</v>
      </c>
      <c r="J230" s="22">
        <f>IF(Benchmark1[[#This Row],[Comparable '#1 Date Check]]="Pass",INDEX(Comp1[Comparable '#1 Return],MATCH(Benchmark1[[#This Row],[Benchmark '#1 Dates]],Comp1[Comparable '#1 Dates],0)),"-")</f>
        <v>2.3993768692765378E-2</v>
      </c>
      <c r="K230" s="1">
        <f>IFERROR(IF(Benchmark1[[#This Row],[Comparable '#1 Date Check]]="Pass",Benchmark1[[#This Row],[Comparable '#1 Return]]-Benchmark1[[#This Row],[Benchmark '#1 Return]],"-"),"-")</f>
        <v>2.6765144987139573E-2</v>
      </c>
      <c r="L230" s="1" t="str">
        <f>IF(COUNTIF(Comp2[Comparable '#2 Dates],Benchmark1[[#This Row],[Benchmark '#1 Dates]])=1,"Pass","Fail")</f>
        <v>Pass</v>
      </c>
      <c r="M230" s="6">
        <f>IF(Benchmark1[[#This Row],[Comparable '#2 Date Check]]="Pass",INDEX(Comp2[Comparable '#2 Price],MATCH(Benchmark1[[#This Row],[Benchmark '#1 Dates]],Comp2[Comparable '#2 Dates],0)),"-")</f>
        <v>44.2</v>
      </c>
      <c r="N230" s="22">
        <f>IF(Benchmark1[[#This Row],[Comparable '#2 Date Check]]="Pass",INDEX(Comp2[Comparable '#2 Return],MATCH(Benchmark1[[#This Row],[Benchmark '#1 Dates]],Comp2[Comparable '#2 Dates],0)),"-")</f>
        <v>5.4446595482317639E-3</v>
      </c>
      <c r="O230" s="1">
        <f>IFERROR(IF(Benchmark1[[#This Row],[Comparable '#2 Date Check]]="Pass",Benchmark1[[#This Row],[Comparable '#2 Return]]-Benchmark1[[#This Row],[Benchmark '#1 Return]],"-"),"-")</f>
        <v>8.216035842605959E-3</v>
      </c>
      <c r="P230" s="1" t="str">
        <f>IF(COUNTIF(Comp3[Comparable '#3 Dates],Benchmark1[[#This Row],[Benchmark '#1 Dates]])=1,"Pass","Fail")</f>
        <v>Pass</v>
      </c>
      <c r="Q230" s="6">
        <f>IF(Benchmark1[[#This Row],[Comparable '#3 Date Check]]="Pass",INDEX(Comp3[Comparable '#3 Price],MATCH(Benchmark1[[#This Row],[Benchmark '#1 Dates]],Comp3[Comparable '#3 Dates],0)),"-")</f>
        <v>178.46</v>
      </c>
      <c r="R230" s="22">
        <f>IF(Benchmark1[[#This Row],[Comparable '#3 Date Check]]="Pass",INDEX(Comp3[Comparable '#3 Return],MATCH(Benchmark1[[#This Row],[Benchmark '#1 Dates]],Comp3[Comparable '#3 Dates],0)),"-")</f>
        <v>1.3937311229885762E-2</v>
      </c>
      <c r="S230" s="1">
        <f>IFERROR(IF(Benchmark1[[#This Row],[Comparable '#3 Date Check]]="Pass",Benchmark1[[#This Row],[Comparable '#3 Return]]-Benchmark1[[#This Row],[Benchmark '#1 Return]],"-"),"-")</f>
        <v>1.6708687524259958E-2</v>
      </c>
    </row>
    <row r="231" spans="1:19">
      <c r="A231" s="103">
        <v>43620</v>
      </c>
      <c r="B231" s="104">
        <v>2803.2725358166681</v>
      </c>
      <c r="C231" s="4">
        <f t="shared" si="3"/>
        <v>2.1208102920192026E-2</v>
      </c>
      <c r="D231" s="1" t="str">
        <f>IF(COUNTIF(Target1[Target Dates],Benchmark1[[#This Row],[Benchmark '#1 Dates]])=1,"Pass","Fail")</f>
        <v>Pass</v>
      </c>
      <c r="E231" s="6">
        <f>IF(Benchmark1[[#This Row],[Target Date Check]]="Pass",INDEX(Target1[Target Price],MATCH(Benchmark1[[#This Row],[Benchmark '#1 Dates]],Target1[Target Dates],0)),"-")</f>
        <v>32.69</v>
      </c>
      <c r="F231" s="22">
        <f>IF(Benchmark1[[#This Row],[Target Date Check]]="Pass",INDEX(Target1[Target Return],MATCH(Benchmark1[[#This Row],[Benchmark '#1 Dates]],Target1[Target Dates],0)),"-")</f>
        <v>3.2963183418561699E-2</v>
      </c>
      <c r="G231" s="1">
        <f>IFERROR(IF(Benchmark1[[#This Row],[Target Date Check]]="Pass",Benchmark1[[#This Row],[Target Return]]-Benchmark1[[#This Row],[Benchmark '#1 Return]],"-"),"-")</f>
        <v>1.1755080498369673E-2</v>
      </c>
      <c r="H231" s="1" t="str">
        <f>IF(COUNTIF(Comp1[Comparable '#1 Dates],Benchmark1[[#This Row],[Benchmark '#1 Dates]])=1,"Pass","Fail")</f>
        <v>Pass</v>
      </c>
      <c r="I231" s="6">
        <f>IF(Benchmark1[[#This Row],[Comparable '#1 Date Check]]="Pass",INDEX(Comp1[Comparable '#1 Price],MATCH(Benchmark1[[#This Row],[Benchmark '#1 Dates]],Comp1[Comparable '#1 Dates],0)),"-")</f>
        <v>16.829999999999998</v>
      </c>
      <c r="J231" s="22">
        <f>IF(Benchmark1[[#This Row],[Comparable '#1 Date Check]]="Pass",INDEX(Comp1[Comparable '#1 Return],MATCH(Benchmark1[[#This Row],[Benchmark '#1 Dates]],Comp1[Comparable '#1 Dates],0)),"-")</f>
        <v>2.2837530991333711E-2</v>
      </c>
      <c r="K231" s="1">
        <f>IFERROR(IF(Benchmark1[[#This Row],[Comparable '#1 Date Check]]="Pass",Benchmark1[[#This Row],[Comparable '#1 Return]]-Benchmark1[[#This Row],[Benchmark '#1 Return]],"-"),"-")</f>
        <v>1.629428071141685E-3</v>
      </c>
      <c r="L231" s="1" t="str">
        <f>IF(COUNTIF(Comp2[Comparable '#2 Dates],Benchmark1[[#This Row],[Benchmark '#1 Dates]])=1,"Pass","Fail")</f>
        <v>Pass</v>
      </c>
      <c r="M231" s="6">
        <f>IF(Benchmark1[[#This Row],[Comparable '#2 Date Check]]="Pass",INDEX(Comp2[Comparable '#2 Price],MATCH(Benchmark1[[#This Row],[Benchmark '#1 Dates]],Comp2[Comparable '#2 Dates],0)),"-")</f>
        <v>45.2</v>
      </c>
      <c r="N231" s="22">
        <f>IF(Benchmark1[[#This Row],[Comparable '#2 Date Check]]="Pass",INDEX(Comp2[Comparable '#2 Return],MATCH(Benchmark1[[#This Row],[Benchmark '#1 Dates]],Comp2[Comparable '#2 Dates],0)),"-")</f>
        <v>2.2372297754532984E-2</v>
      </c>
      <c r="O231" s="1">
        <f>IFERROR(IF(Benchmark1[[#This Row],[Comparable '#2 Date Check]]="Pass",Benchmark1[[#This Row],[Comparable '#2 Return]]-Benchmark1[[#This Row],[Benchmark '#1 Return]],"-"),"-")</f>
        <v>1.1641948343409578E-3</v>
      </c>
      <c r="P231" s="1" t="str">
        <f>IF(COUNTIF(Comp3[Comparable '#3 Dates],Benchmark1[[#This Row],[Benchmark '#1 Dates]])=1,"Pass","Fail")</f>
        <v>Pass</v>
      </c>
      <c r="Q231" s="6">
        <f>IF(Benchmark1[[#This Row],[Comparable '#3 Date Check]]="Pass",INDEX(Comp3[Comparable '#3 Price],MATCH(Benchmark1[[#This Row],[Benchmark '#1 Dates]],Comp3[Comparable '#3 Dates],0)),"-")</f>
        <v>181.34</v>
      </c>
      <c r="R231" s="22">
        <f>IF(Benchmark1[[#This Row],[Comparable '#3 Date Check]]="Pass",INDEX(Comp3[Comparable '#3 Return],MATCH(Benchmark1[[#This Row],[Benchmark '#1 Dates]],Comp3[Comparable '#3 Dates],0)),"-")</f>
        <v>1.6009235745904651E-2</v>
      </c>
      <c r="S231" s="1">
        <f>IFERROR(IF(Benchmark1[[#This Row],[Comparable '#3 Date Check]]="Pass",Benchmark1[[#This Row],[Comparable '#3 Return]]-Benchmark1[[#This Row],[Benchmark '#1 Return]],"-"),"-")</f>
        <v>-5.1988671742873756E-3</v>
      </c>
    </row>
    <row r="232" spans="1:19">
      <c r="A232" s="103">
        <v>43621</v>
      </c>
      <c r="B232" s="104">
        <v>2826.150599552202</v>
      </c>
      <c r="C232" s="4">
        <f t="shared" si="3"/>
        <v>8.1280760531609805E-3</v>
      </c>
      <c r="D232" s="1" t="str">
        <f>IF(COUNTIF(Target1[Target Dates],Benchmark1[[#This Row],[Benchmark '#1 Dates]])=1,"Pass","Fail")</f>
        <v>Pass</v>
      </c>
      <c r="E232" s="6">
        <f>IF(Benchmark1[[#This Row],[Target Date Check]]="Pass",INDEX(Target1[Target Price],MATCH(Benchmark1[[#This Row],[Benchmark '#1 Dates]],Target1[Target Dates],0)),"-")</f>
        <v>31.91</v>
      </c>
      <c r="F232" s="22">
        <f>IF(Benchmark1[[#This Row],[Target Date Check]]="Pass",INDEX(Target1[Target Return],MATCH(Benchmark1[[#This Row],[Benchmark '#1 Dates]],Target1[Target Dates],0)),"-")</f>
        <v>-2.4149780445967082E-2</v>
      </c>
      <c r="G232" s="1">
        <f>IFERROR(IF(Benchmark1[[#This Row],[Target Date Check]]="Pass",Benchmark1[[#This Row],[Target Return]]-Benchmark1[[#This Row],[Benchmark '#1 Return]],"-"),"-")</f>
        <v>-3.2277856499128066E-2</v>
      </c>
      <c r="H232" s="1" t="str">
        <f>IF(COUNTIF(Comp1[Comparable '#1 Dates],Benchmark1[[#This Row],[Benchmark '#1 Dates]])=1,"Pass","Fail")</f>
        <v>Pass</v>
      </c>
      <c r="I232" s="6">
        <f>IF(Benchmark1[[#This Row],[Comparable '#1 Date Check]]="Pass",INDEX(Comp1[Comparable '#1 Price],MATCH(Benchmark1[[#This Row],[Benchmark '#1 Dates]],Comp1[Comparable '#1 Dates],0)),"-")</f>
        <v>17.010000000000002</v>
      </c>
      <c r="J232" s="22">
        <f>IF(Benchmark1[[#This Row],[Comparable '#1 Date Check]]="Pass",INDEX(Comp1[Comparable '#1 Return],MATCH(Benchmark1[[#This Row],[Benchmark '#1 Dates]],Comp1[Comparable '#1 Dates],0)),"-")</f>
        <v>1.0638398205056018E-2</v>
      </c>
      <c r="K232" s="1">
        <f>IFERROR(IF(Benchmark1[[#This Row],[Comparable '#1 Date Check]]="Pass",Benchmark1[[#This Row],[Comparable '#1 Return]]-Benchmark1[[#This Row],[Benchmark '#1 Return]],"-"),"-")</f>
        <v>2.5103221518950371E-3</v>
      </c>
      <c r="L232" s="1" t="str">
        <f>IF(COUNTIF(Comp2[Comparable '#2 Dates],Benchmark1[[#This Row],[Benchmark '#1 Dates]])=1,"Pass","Fail")</f>
        <v>Pass</v>
      </c>
      <c r="M232" s="6">
        <f>IF(Benchmark1[[#This Row],[Comparable '#2 Date Check]]="Pass",INDEX(Comp2[Comparable '#2 Price],MATCH(Benchmark1[[#This Row],[Benchmark '#1 Dates]],Comp2[Comparable '#2 Dates],0)),"-")</f>
        <v>45.09</v>
      </c>
      <c r="N232" s="22">
        <f>IF(Benchmark1[[#This Row],[Comparable '#2 Date Check]]="Pass",INDEX(Comp2[Comparable '#2 Return],MATCH(Benchmark1[[#This Row],[Benchmark '#1 Dates]],Comp2[Comparable '#2 Dates],0)),"-")</f>
        <v>-2.4365944051926883E-3</v>
      </c>
      <c r="O232" s="1">
        <f>IFERROR(IF(Benchmark1[[#This Row],[Comparable '#2 Date Check]]="Pass",Benchmark1[[#This Row],[Comparable '#2 Return]]-Benchmark1[[#This Row],[Benchmark '#1 Return]],"-"),"-")</f>
        <v>-1.0564670458353669E-2</v>
      </c>
      <c r="P232" s="1" t="str">
        <f>IF(COUNTIF(Comp3[Comparable '#3 Dates],Benchmark1[[#This Row],[Benchmark '#1 Dates]])=1,"Pass","Fail")</f>
        <v>Pass</v>
      </c>
      <c r="Q232" s="6">
        <f>IF(Benchmark1[[#This Row],[Comparable '#3 Date Check]]="Pass",INDEX(Comp3[Comparable '#3 Price],MATCH(Benchmark1[[#This Row],[Benchmark '#1 Dates]],Comp3[Comparable '#3 Dates],0)),"-")</f>
        <v>184.79</v>
      </c>
      <c r="R232" s="22">
        <f>IF(Benchmark1[[#This Row],[Comparable '#3 Date Check]]="Pass",INDEX(Comp3[Comparable '#3 Return],MATCH(Benchmark1[[#This Row],[Benchmark '#1 Dates]],Comp3[Comparable '#3 Dates],0)),"-")</f>
        <v>1.8846322971423961E-2</v>
      </c>
      <c r="S232" s="1">
        <f>IFERROR(IF(Benchmark1[[#This Row],[Comparable '#3 Date Check]]="Pass",Benchmark1[[#This Row],[Comparable '#3 Return]]-Benchmark1[[#This Row],[Benchmark '#1 Return]],"-"),"-")</f>
        <v>1.071824691826298E-2</v>
      </c>
    </row>
    <row r="233" spans="1:19">
      <c r="A233" s="103">
        <v>43622</v>
      </c>
      <c r="B233" s="104">
        <v>2843.4903771814538</v>
      </c>
      <c r="C233" s="4">
        <f t="shared" si="3"/>
        <v>6.1167300587356647E-3</v>
      </c>
      <c r="D233" s="1" t="str">
        <f>IF(COUNTIF(Target1[Target Dates],Benchmark1[[#This Row],[Benchmark '#1 Dates]])=1,"Pass","Fail")</f>
        <v>Pass</v>
      </c>
      <c r="E233" s="6">
        <f>IF(Benchmark1[[#This Row],[Target Date Check]]="Pass",INDEX(Target1[Target Price],MATCH(Benchmark1[[#This Row],[Benchmark '#1 Dates]],Target1[Target Dates],0)),"-")</f>
        <v>31.61</v>
      </c>
      <c r="F233" s="22">
        <f>IF(Benchmark1[[#This Row],[Target Date Check]]="Pass",INDEX(Target1[Target Return],MATCH(Benchmark1[[#This Row],[Benchmark '#1 Dates]],Target1[Target Dates],0)),"-")</f>
        <v>-9.4459140626258365E-3</v>
      </c>
      <c r="G233" s="1">
        <f>IFERROR(IF(Benchmark1[[#This Row],[Target Date Check]]="Pass",Benchmark1[[#This Row],[Target Return]]-Benchmark1[[#This Row],[Benchmark '#1 Return]],"-"),"-")</f>
        <v>-1.5562644121361501E-2</v>
      </c>
      <c r="H233" s="1" t="str">
        <f>IF(COUNTIF(Comp1[Comparable '#1 Dates],Benchmark1[[#This Row],[Benchmark '#1 Dates]])=1,"Pass","Fail")</f>
        <v>Pass</v>
      </c>
      <c r="I233" s="6">
        <f>IF(Benchmark1[[#This Row],[Comparable '#1 Date Check]]="Pass",INDEX(Comp1[Comparable '#1 Price],MATCH(Benchmark1[[#This Row],[Benchmark '#1 Dates]],Comp1[Comparable '#1 Dates],0)),"-")</f>
        <v>17.010000000000002</v>
      </c>
      <c r="J233" s="22">
        <f>IF(Benchmark1[[#This Row],[Comparable '#1 Date Check]]="Pass",INDEX(Comp1[Comparable '#1 Return],MATCH(Benchmark1[[#This Row],[Benchmark '#1 Dates]],Comp1[Comparable '#1 Dates],0)),"-")</f>
        <v>0</v>
      </c>
      <c r="K233" s="1">
        <f>IFERROR(IF(Benchmark1[[#This Row],[Comparable '#1 Date Check]]="Pass",Benchmark1[[#This Row],[Comparable '#1 Return]]-Benchmark1[[#This Row],[Benchmark '#1 Return]],"-"),"-")</f>
        <v>-6.1167300587356647E-3</v>
      </c>
      <c r="L233" s="1" t="str">
        <f>IF(COUNTIF(Comp2[Comparable '#2 Dates],Benchmark1[[#This Row],[Benchmark '#1 Dates]])=1,"Pass","Fail")</f>
        <v>Pass</v>
      </c>
      <c r="M233" s="6">
        <f>IF(Benchmark1[[#This Row],[Comparable '#2 Date Check]]="Pass",INDEX(Comp2[Comparable '#2 Price],MATCH(Benchmark1[[#This Row],[Benchmark '#1 Dates]],Comp2[Comparable '#2 Dates],0)),"-")</f>
        <v>44.52</v>
      </c>
      <c r="N233" s="22">
        <f>IF(Benchmark1[[#This Row],[Comparable '#2 Date Check]]="Pass",INDEX(Comp2[Comparable '#2 Return],MATCH(Benchmark1[[#This Row],[Benchmark '#1 Dates]],Comp2[Comparable '#2 Dates],0)),"-")</f>
        <v>-1.2721966025648733E-2</v>
      </c>
      <c r="O233" s="1">
        <f>IFERROR(IF(Benchmark1[[#This Row],[Comparable '#2 Date Check]]="Pass",Benchmark1[[#This Row],[Comparable '#2 Return]]-Benchmark1[[#This Row],[Benchmark '#1 Return]],"-"),"-")</f>
        <v>-1.8838696084384397E-2</v>
      </c>
      <c r="P233" s="1" t="str">
        <f>IF(COUNTIF(Comp3[Comparable '#3 Dates],Benchmark1[[#This Row],[Benchmark '#1 Dates]])=1,"Pass","Fail")</f>
        <v>Pass</v>
      </c>
      <c r="Q233" s="6">
        <f>IF(Benchmark1[[#This Row],[Comparable '#3 Date Check]]="Pass",INDEX(Comp3[Comparable '#3 Price],MATCH(Benchmark1[[#This Row],[Benchmark '#1 Dates]],Comp3[Comparable '#3 Dates],0)),"-")</f>
        <v>183.95</v>
      </c>
      <c r="R233" s="22">
        <f>IF(Benchmark1[[#This Row],[Comparable '#3 Date Check]]="Pass",INDEX(Comp3[Comparable '#3 Return],MATCH(Benchmark1[[#This Row],[Benchmark '#1 Dates]],Comp3[Comparable '#3 Dates],0)),"-")</f>
        <v>-4.5560636385508129E-3</v>
      </c>
      <c r="S233" s="1">
        <f>IFERROR(IF(Benchmark1[[#This Row],[Comparable '#3 Date Check]]="Pass",Benchmark1[[#This Row],[Comparable '#3 Return]]-Benchmark1[[#This Row],[Benchmark '#1 Return]],"-"),"-")</f>
        <v>-1.0672793697286478E-2</v>
      </c>
    </row>
    <row r="234" spans="1:19">
      <c r="A234" s="103">
        <v>43623</v>
      </c>
      <c r="B234" s="104">
        <v>2873.3420016462501</v>
      </c>
      <c r="C234" s="4">
        <f t="shared" si="3"/>
        <v>1.0443509203977918E-2</v>
      </c>
      <c r="D234" s="1" t="str">
        <f>IF(COUNTIF(Target1[Target Dates],Benchmark1[[#This Row],[Benchmark '#1 Dates]])=1,"Pass","Fail")</f>
        <v>Pass</v>
      </c>
      <c r="E234" s="6">
        <f>IF(Benchmark1[[#This Row],[Target Date Check]]="Pass",INDEX(Target1[Target Price],MATCH(Benchmark1[[#This Row],[Benchmark '#1 Dates]],Target1[Target Dates],0)),"-")</f>
        <v>31.65</v>
      </c>
      <c r="F234" s="22">
        <f>IF(Benchmark1[[#This Row],[Target Date Check]]="Pass",INDEX(Target1[Target Return],MATCH(Benchmark1[[#This Row],[Benchmark '#1 Dates]],Target1[Target Dates],0)),"-")</f>
        <v>1.264622362658796E-3</v>
      </c>
      <c r="G234" s="1">
        <f>IFERROR(IF(Benchmark1[[#This Row],[Target Date Check]]="Pass",Benchmark1[[#This Row],[Target Return]]-Benchmark1[[#This Row],[Benchmark '#1 Return]],"-"),"-")</f>
        <v>-9.1788868413191227E-3</v>
      </c>
      <c r="H234" s="1" t="str">
        <f>IF(COUNTIF(Comp1[Comparable '#1 Dates],Benchmark1[[#This Row],[Benchmark '#1 Dates]])=1,"Pass","Fail")</f>
        <v>Pass</v>
      </c>
      <c r="I234" s="6">
        <f>IF(Benchmark1[[#This Row],[Comparable '#1 Date Check]]="Pass",INDEX(Comp1[Comparable '#1 Price],MATCH(Benchmark1[[#This Row],[Benchmark '#1 Dates]],Comp1[Comparable '#1 Dates],0)),"-")</f>
        <v>16.57</v>
      </c>
      <c r="J234" s="22">
        <f>IF(Benchmark1[[#This Row],[Comparable '#1 Date Check]]="Pass",INDEX(Comp1[Comparable '#1 Return],MATCH(Benchmark1[[#This Row],[Benchmark '#1 Dates]],Comp1[Comparable '#1 Dates],0)),"-")</f>
        <v>-2.6207574969298923E-2</v>
      </c>
      <c r="K234" s="1">
        <f>IFERROR(IF(Benchmark1[[#This Row],[Comparable '#1 Date Check]]="Pass",Benchmark1[[#This Row],[Comparable '#1 Return]]-Benchmark1[[#This Row],[Benchmark '#1 Return]],"-"),"-")</f>
        <v>-3.6651084173276838E-2</v>
      </c>
      <c r="L234" s="1" t="str">
        <f>IF(COUNTIF(Comp2[Comparable '#2 Dates],Benchmark1[[#This Row],[Benchmark '#1 Dates]])=1,"Pass","Fail")</f>
        <v>Pass</v>
      </c>
      <c r="M234" s="6">
        <f>IF(Benchmark1[[#This Row],[Comparable '#2 Date Check]]="Pass",INDEX(Comp2[Comparable '#2 Price],MATCH(Benchmark1[[#This Row],[Benchmark '#1 Dates]],Comp2[Comparable '#2 Dates],0)),"-")</f>
        <v>44.81</v>
      </c>
      <c r="N234" s="22">
        <f>IF(Benchmark1[[#This Row],[Comparable '#2 Date Check]]="Pass",INDEX(Comp2[Comparable '#2 Return],MATCH(Benchmark1[[#This Row],[Benchmark '#1 Dates]],Comp2[Comparable '#2 Dates],0)),"-")</f>
        <v>6.4928023907076622E-3</v>
      </c>
      <c r="O234" s="1">
        <f>IFERROR(IF(Benchmark1[[#This Row],[Comparable '#2 Date Check]]="Pass",Benchmark1[[#This Row],[Comparable '#2 Return]]-Benchmark1[[#This Row],[Benchmark '#1 Return]],"-"),"-")</f>
        <v>-3.9507068132702558E-3</v>
      </c>
      <c r="P234" s="1" t="str">
        <f>IF(COUNTIF(Comp3[Comparable '#3 Dates],Benchmark1[[#This Row],[Benchmark '#1 Dates]])=1,"Pass","Fail")</f>
        <v>Pass</v>
      </c>
      <c r="Q234" s="6">
        <f>IF(Benchmark1[[#This Row],[Comparable '#3 Date Check]]="Pass",INDEX(Comp3[Comparable '#3 Price],MATCH(Benchmark1[[#This Row],[Benchmark '#1 Dates]],Comp3[Comparable '#3 Dates],0)),"-")</f>
        <v>182.84</v>
      </c>
      <c r="R234" s="22">
        <f>IF(Benchmark1[[#This Row],[Comparable '#3 Date Check]]="Pass",INDEX(Comp3[Comparable '#3 Return],MATCH(Benchmark1[[#This Row],[Benchmark '#1 Dates]],Comp3[Comparable '#3 Dates],0)),"-")</f>
        <v>-6.0525280872396866E-3</v>
      </c>
      <c r="S234" s="1">
        <f>IFERROR(IF(Benchmark1[[#This Row],[Comparable '#3 Date Check]]="Pass",Benchmark1[[#This Row],[Comparable '#3 Return]]-Benchmark1[[#This Row],[Benchmark '#1 Return]],"-"),"-")</f>
        <v>-1.6496037291217604E-2</v>
      </c>
    </row>
    <row r="235" spans="1:19">
      <c r="A235" s="103">
        <v>43626</v>
      </c>
      <c r="B235" s="104">
        <v>2886.7341265343844</v>
      </c>
      <c r="C235" s="4">
        <f t="shared" si="3"/>
        <v>4.6499902851768757E-3</v>
      </c>
      <c r="D235" s="1" t="str">
        <f>IF(COUNTIF(Target1[Target Dates],Benchmark1[[#This Row],[Benchmark '#1 Dates]])=1,"Pass","Fail")</f>
        <v>Pass</v>
      </c>
      <c r="E235" s="6">
        <f>IF(Benchmark1[[#This Row],[Target Date Check]]="Pass",INDEX(Target1[Target Price],MATCH(Benchmark1[[#This Row],[Benchmark '#1 Dates]],Target1[Target Dates],0)),"-")</f>
        <v>31.65</v>
      </c>
      <c r="F235" s="22">
        <f>IF(Benchmark1[[#This Row],[Target Date Check]]="Pass",INDEX(Target1[Target Return],MATCH(Benchmark1[[#This Row],[Benchmark '#1 Dates]],Target1[Target Dates],0)),"-")</f>
        <v>0</v>
      </c>
      <c r="G235" s="1">
        <f>IFERROR(IF(Benchmark1[[#This Row],[Target Date Check]]="Pass",Benchmark1[[#This Row],[Target Return]]-Benchmark1[[#This Row],[Benchmark '#1 Return]],"-"),"-")</f>
        <v>-4.6499902851768757E-3</v>
      </c>
      <c r="H235" s="1" t="str">
        <f>IF(COUNTIF(Comp1[Comparable '#1 Dates],Benchmark1[[#This Row],[Benchmark '#1 Dates]])=1,"Pass","Fail")</f>
        <v>Pass</v>
      </c>
      <c r="I235" s="6">
        <f>IF(Benchmark1[[#This Row],[Comparable '#1 Date Check]]="Pass",INDEX(Comp1[Comparable '#1 Price],MATCH(Benchmark1[[#This Row],[Benchmark '#1 Dates]],Comp1[Comparable '#1 Dates],0)),"-")</f>
        <v>16.48</v>
      </c>
      <c r="J235" s="22">
        <f>IF(Benchmark1[[#This Row],[Comparable '#1 Date Check]]="Pass",INDEX(Comp1[Comparable '#1 Return],MATCH(Benchmark1[[#This Row],[Benchmark '#1 Dates]],Comp1[Comparable '#1 Dates],0)),"-")</f>
        <v>-5.4463069571458692E-3</v>
      </c>
      <c r="K235" s="1">
        <f>IFERROR(IF(Benchmark1[[#This Row],[Comparable '#1 Date Check]]="Pass",Benchmark1[[#This Row],[Comparable '#1 Return]]-Benchmark1[[#This Row],[Benchmark '#1 Return]],"-"),"-")</f>
        <v>-1.0096297242322746E-2</v>
      </c>
      <c r="L235" s="1" t="str">
        <f>IF(COUNTIF(Comp2[Comparable '#2 Dates],Benchmark1[[#This Row],[Benchmark '#1 Dates]])=1,"Pass","Fail")</f>
        <v>Pass</v>
      </c>
      <c r="M235" s="6">
        <f>IF(Benchmark1[[#This Row],[Comparable '#2 Date Check]]="Pass",INDEX(Comp2[Comparable '#2 Price],MATCH(Benchmark1[[#This Row],[Benchmark '#1 Dates]],Comp2[Comparable '#2 Dates],0)),"-")</f>
        <v>44.18</v>
      </c>
      <c r="N235" s="22">
        <f>IF(Benchmark1[[#This Row],[Comparable '#2 Date Check]]="Pass",INDEX(Comp2[Comparable '#2 Return],MATCH(Benchmark1[[#This Row],[Benchmark '#1 Dates]],Comp2[Comparable '#2 Dates],0)),"-")</f>
        <v>-1.4159130806080616E-2</v>
      </c>
      <c r="O235" s="1">
        <f>IFERROR(IF(Benchmark1[[#This Row],[Comparable '#2 Date Check]]="Pass",Benchmark1[[#This Row],[Comparable '#2 Return]]-Benchmark1[[#This Row],[Benchmark '#1 Return]],"-"),"-")</f>
        <v>-1.8809121091257493E-2</v>
      </c>
      <c r="P235" s="1" t="str">
        <f>IF(COUNTIF(Comp3[Comparable '#3 Dates],Benchmark1[[#This Row],[Benchmark '#1 Dates]])=1,"Pass","Fail")</f>
        <v>Pass</v>
      </c>
      <c r="Q235" s="6">
        <f>IF(Benchmark1[[#This Row],[Comparable '#3 Date Check]]="Pass",INDEX(Comp3[Comparable '#3 Price],MATCH(Benchmark1[[#This Row],[Benchmark '#1 Dates]],Comp3[Comparable '#3 Dates],0)),"-")</f>
        <v>179.37</v>
      </c>
      <c r="R235" s="22">
        <f>IF(Benchmark1[[#This Row],[Comparable '#3 Date Check]]="Pass",INDEX(Comp3[Comparable '#3 Return],MATCH(Benchmark1[[#This Row],[Benchmark '#1 Dates]],Comp3[Comparable '#3 Dates],0)),"-")</f>
        <v>-1.9160741902620838E-2</v>
      </c>
      <c r="S235" s="1">
        <f>IFERROR(IF(Benchmark1[[#This Row],[Comparable '#3 Date Check]]="Pass",Benchmark1[[#This Row],[Comparable '#3 Return]]-Benchmark1[[#This Row],[Benchmark '#1 Return]],"-"),"-")</f>
        <v>-2.3810732187797713E-2</v>
      </c>
    </row>
    <row r="236" spans="1:19">
      <c r="A236" s="103">
        <v>43627</v>
      </c>
      <c r="B236" s="104">
        <v>2885.7221462383695</v>
      </c>
      <c r="C236" s="4">
        <f t="shared" si="3"/>
        <v>-3.5062381023331002E-4</v>
      </c>
      <c r="D236" s="1" t="str">
        <f>IF(COUNTIF(Target1[Target Dates],Benchmark1[[#This Row],[Benchmark '#1 Dates]])=1,"Pass","Fail")</f>
        <v>Pass</v>
      </c>
      <c r="E236" s="6">
        <f>IF(Benchmark1[[#This Row],[Target Date Check]]="Pass",INDEX(Target1[Target Price],MATCH(Benchmark1[[#This Row],[Benchmark '#1 Dates]],Target1[Target Dates],0)),"-")</f>
        <v>30.88</v>
      </c>
      <c r="F236" s="22">
        <f>IF(Benchmark1[[#This Row],[Target Date Check]]="Pass",INDEX(Target1[Target Return],MATCH(Benchmark1[[#This Row],[Benchmark '#1 Dates]],Target1[Target Dates],0)),"-")</f>
        <v>-2.4629423433609725E-2</v>
      </c>
      <c r="G236" s="1">
        <f>IFERROR(IF(Benchmark1[[#This Row],[Target Date Check]]="Pass",Benchmark1[[#This Row],[Target Return]]-Benchmark1[[#This Row],[Benchmark '#1 Return]],"-"),"-")</f>
        <v>-2.4278799623376417E-2</v>
      </c>
      <c r="H236" s="1" t="str">
        <f>IF(COUNTIF(Comp1[Comparable '#1 Dates],Benchmark1[[#This Row],[Benchmark '#1 Dates]])=1,"Pass","Fail")</f>
        <v>Pass</v>
      </c>
      <c r="I236" s="6">
        <f>IF(Benchmark1[[#This Row],[Comparable '#1 Date Check]]="Pass",INDEX(Comp1[Comparable '#1 Price],MATCH(Benchmark1[[#This Row],[Benchmark '#1 Dates]],Comp1[Comparable '#1 Dates],0)),"-")</f>
        <v>16.329999999999998</v>
      </c>
      <c r="J236" s="22">
        <f>IF(Benchmark1[[#This Row],[Comparable '#1 Date Check]]="Pass",INDEX(Comp1[Comparable '#1 Return],MATCH(Benchmark1[[#This Row],[Benchmark '#1 Dates]],Comp1[Comparable '#1 Dates],0)),"-")</f>
        <v>-9.1436174989520322E-3</v>
      </c>
      <c r="K236" s="1">
        <f>IFERROR(IF(Benchmark1[[#This Row],[Comparable '#1 Date Check]]="Pass",Benchmark1[[#This Row],[Comparable '#1 Return]]-Benchmark1[[#This Row],[Benchmark '#1 Return]],"-"),"-")</f>
        <v>-8.7929936887187216E-3</v>
      </c>
      <c r="L236" s="1" t="str">
        <f>IF(COUNTIF(Comp2[Comparable '#2 Dates],Benchmark1[[#This Row],[Benchmark '#1 Dates]])=1,"Pass","Fail")</f>
        <v>Pass</v>
      </c>
      <c r="M236" s="6">
        <f>IF(Benchmark1[[#This Row],[Comparable '#2 Date Check]]="Pass",INDEX(Comp2[Comparable '#2 Price],MATCH(Benchmark1[[#This Row],[Benchmark '#1 Dates]],Comp2[Comparable '#2 Dates],0)),"-")</f>
        <v>43.93</v>
      </c>
      <c r="N236" s="22">
        <f>IF(Benchmark1[[#This Row],[Comparable '#2 Date Check]]="Pass",INDEX(Comp2[Comparable '#2 Return],MATCH(Benchmark1[[#This Row],[Benchmark '#1 Dates]],Comp2[Comparable '#2 Dates],0)),"-")</f>
        <v>-5.6747400042829648E-3</v>
      </c>
      <c r="O236" s="1">
        <f>IFERROR(IF(Benchmark1[[#This Row],[Comparable '#2 Date Check]]="Pass",Benchmark1[[#This Row],[Comparable '#2 Return]]-Benchmark1[[#This Row],[Benchmark '#1 Return]],"-"),"-")</f>
        <v>-5.3241161940496551E-3</v>
      </c>
      <c r="P236" s="1" t="str">
        <f>IF(COUNTIF(Comp3[Comparable '#3 Dates],Benchmark1[[#This Row],[Benchmark '#1 Dates]])=1,"Pass","Fail")</f>
        <v>Pass</v>
      </c>
      <c r="Q236" s="6">
        <f>IF(Benchmark1[[#This Row],[Comparable '#3 Date Check]]="Pass",INDEX(Comp3[Comparable '#3 Price],MATCH(Benchmark1[[#This Row],[Benchmark '#1 Dates]],Comp3[Comparable '#3 Dates],0)),"-")</f>
        <v>178.92</v>
      </c>
      <c r="R236" s="22">
        <f>IF(Benchmark1[[#This Row],[Comparable '#3 Date Check]]="Pass",INDEX(Comp3[Comparable '#3 Return],MATCH(Benchmark1[[#This Row],[Benchmark '#1 Dates]],Comp3[Comparable '#3 Dates],0)),"-")</f>
        <v>-2.5119329962755088E-3</v>
      </c>
      <c r="S236" s="1">
        <f>IFERROR(IF(Benchmark1[[#This Row],[Comparable '#3 Date Check]]="Pass",Benchmark1[[#This Row],[Comparable '#3 Return]]-Benchmark1[[#This Row],[Benchmark '#1 Return]],"-"),"-")</f>
        <v>-2.1613091860421987E-3</v>
      </c>
    </row>
    <row r="237" spans="1:19">
      <c r="A237" s="103">
        <v>43628</v>
      </c>
      <c r="B237" s="104">
        <v>2879.8364590721526</v>
      </c>
      <c r="C237" s="4">
        <f t="shared" si="3"/>
        <v>-2.0416718009938621E-3</v>
      </c>
      <c r="D237" s="1" t="str">
        <f>IF(COUNTIF(Target1[Target Dates],Benchmark1[[#This Row],[Benchmark '#1 Dates]])=1,"Pass","Fail")</f>
        <v>Pass</v>
      </c>
      <c r="E237" s="6">
        <f>IF(Benchmark1[[#This Row],[Target Date Check]]="Pass",INDEX(Target1[Target Price],MATCH(Benchmark1[[#This Row],[Benchmark '#1 Dates]],Target1[Target Dates],0)),"-")</f>
        <v>31.12</v>
      </c>
      <c r="F237" s="22">
        <f>IF(Benchmark1[[#This Row],[Target Date Check]]="Pass",INDEX(Target1[Target Return],MATCH(Benchmark1[[#This Row],[Benchmark '#1 Dates]],Target1[Target Dates],0)),"-")</f>
        <v>7.7419741536154593E-3</v>
      </c>
      <c r="G237" s="1">
        <f>IFERROR(IF(Benchmark1[[#This Row],[Target Date Check]]="Pass",Benchmark1[[#This Row],[Target Return]]-Benchmark1[[#This Row],[Benchmark '#1 Return]],"-"),"-")</f>
        <v>9.7836459546093209E-3</v>
      </c>
      <c r="H237" s="1" t="str">
        <f>IF(COUNTIF(Comp1[Comparable '#1 Dates],Benchmark1[[#This Row],[Benchmark '#1 Dates]])=1,"Pass","Fail")</f>
        <v>Pass</v>
      </c>
      <c r="I237" s="6">
        <f>IF(Benchmark1[[#This Row],[Comparable '#1 Date Check]]="Pass",INDEX(Comp1[Comparable '#1 Price],MATCH(Benchmark1[[#This Row],[Benchmark '#1 Dates]],Comp1[Comparable '#1 Dates],0)),"-")</f>
        <v>16.28</v>
      </c>
      <c r="J237" s="22">
        <f>IF(Benchmark1[[#This Row],[Comparable '#1 Date Check]]="Pass",INDEX(Comp1[Comparable '#1 Return],MATCH(Benchmark1[[#This Row],[Benchmark '#1 Dates]],Comp1[Comparable '#1 Dates],0)),"-")</f>
        <v>-3.0665464079793507E-3</v>
      </c>
      <c r="K237" s="1">
        <f>IFERROR(IF(Benchmark1[[#This Row],[Comparable '#1 Date Check]]="Pass",Benchmark1[[#This Row],[Comparable '#1 Return]]-Benchmark1[[#This Row],[Benchmark '#1 Return]],"-"),"-")</f>
        <v>-1.0248746069854886E-3</v>
      </c>
      <c r="L237" s="1" t="str">
        <f>IF(COUNTIF(Comp2[Comparable '#2 Dates],Benchmark1[[#This Row],[Benchmark '#1 Dates]])=1,"Pass","Fail")</f>
        <v>Pass</v>
      </c>
      <c r="M237" s="6">
        <f>IF(Benchmark1[[#This Row],[Comparable '#2 Date Check]]="Pass",INDEX(Comp2[Comparable '#2 Price],MATCH(Benchmark1[[#This Row],[Benchmark '#1 Dates]],Comp2[Comparable '#2 Dates],0)),"-")</f>
        <v>44.18</v>
      </c>
      <c r="N237" s="22">
        <f>IF(Benchmark1[[#This Row],[Comparable '#2 Date Check]]="Pass",INDEX(Comp2[Comparable '#2 Return],MATCH(Benchmark1[[#This Row],[Benchmark '#1 Dates]],Comp2[Comparable '#2 Dates],0)),"-")</f>
        <v>5.6747400042828173E-3</v>
      </c>
      <c r="O237" s="1">
        <f>IFERROR(IF(Benchmark1[[#This Row],[Comparable '#2 Date Check]]="Pass",Benchmark1[[#This Row],[Comparable '#2 Return]]-Benchmark1[[#This Row],[Benchmark '#1 Return]],"-"),"-")</f>
        <v>7.7164118052766798E-3</v>
      </c>
      <c r="P237" s="1" t="str">
        <f>IF(COUNTIF(Comp3[Comparable '#3 Dates],Benchmark1[[#This Row],[Benchmark '#1 Dates]])=1,"Pass","Fail")</f>
        <v>Pass</v>
      </c>
      <c r="Q237" s="6">
        <f>IF(Benchmark1[[#This Row],[Comparable '#3 Date Check]]="Pass",INDEX(Comp3[Comparable '#3 Price],MATCH(Benchmark1[[#This Row],[Benchmark '#1 Dates]],Comp3[Comparable '#3 Dates],0)),"-")</f>
        <v>181.05</v>
      </c>
      <c r="R237" s="22">
        <f>IF(Benchmark1[[#This Row],[Comparable '#3 Date Check]]="Pass",INDEX(Comp3[Comparable '#3 Return],MATCH(Benchmark1[[#This Row],[Benchmark '#1 Dates]],Comp3[Comparable '#3 Dates],0)),"-")</f>
        <v>1.1834457647003017E-2</v>
      </c>
      <c r="S237" s="1">
        <f>IFERROR(IF(Benchmark1[[#This Row],[Comparable '#3 Date Check]]="Pass",Benchmark1[[#This Row],[Comparable '#3 Return]]-Benchmark1[[#This Row],[Benchmark '#1 Return]],"-"),"-")</f>
        <v>1.3876129447996878E-2</v>
      </c>
    </row>
    <row r="238" spans="1:19">
      <c r="A238" s="103">
        <v>43629</v>
      </c>
      <c r="B238" s="104">
        <v>2891.6405345038365</v>
      </c>
      <c r="C238" s="4">
        <f t="shared" si="3"/>
        <v>4.0904925736553709E-3</v>
      </c>
      <c r="D238" s="1" t="str">
        <f>IF(COUNTIF(Target1[Target Dates],Benchmark1[[#This Row],[Benchmark '#1 Dates]])=1,"Pass","Fail")</f>
        <v>Pass</v>
      </c>
      <c r="E238" s="6">
        <f>IF(Benchmark1[[#This Row],[Target Date Check]]="Pass",INDEX(Target1[Target Price],MATCH(Benchmark1[[#This Row],[Benchmark '#1 Dates]],Target1[Target Dates],0)),"-")</f>
        <v>31.15</v>
      </c>
      <c r="F238" s="22">
        <f>IF(Benchmark1[[#This Row],[Target Date Check]]="Pass",INDEX(Target1[Target Return],MATCH(Benchmark1[[#This Row],[Benchmark '#1 Dates]],Target1[Target Dates],0)),"-")</f>
        <v>9.635459232713203E-4</v>
      </c>
      <c r="G238" s="1">
        <f>IFERROR(IF(Benchmark1[[#This Row],[Target Date Check]]="Pass",Benchmark1[[#This Row],[Target Return]]-Benchmark1[[#This Row],[Benchmark '#1 Return]],"-"),"-")</f>
        <v>-3.1269466503840507E-3</v>
      </c>
      <c r="H238" s="1" t="str">
        <f>IF(COUNTIF(Comp1[Comparable '#1 Dates],Benchmark1[[#This Row],[Benchmark '#1 Dates]])=1,"Pass","Fail")</f>
        <v>Pass</v>
      </c>
      <c r="I238" s="6">
        <f>IF(Benchmark1[[#This Row],[Comparable '#1 Date Check]]="Pass",INDEX(Comp1[Comparable '#1 Price],MATCH(Benchmark1[[#This Row],[Benchmark '#1 Dates]],Comp1[Comparable '#1 Dates],0)),"-")</f>
        <v>15.81</v>
      </c>
      <c r="J238" s="22">
        <f>IF(Benchmark1[[#This Row],[Comparable '#1 Date Check]]="Pass",INDEX(Comp1[Comparable '#1 Return],MATCH(Benchmark1[[#This Row],[Benchmark '#1 Dates]],Comp1[Comparable '#1 Dates],0)),"-")</f>
        <v>-2.9294709353013648E-2</v>
      </c>
      <c r="K238" s="1">
        <f>IFERROR(IF(Benchmark1[[#This Row],[Comparable '#1 Date Check]]="Pass",Benchmark1[[#This Row],[Comparable '#1 Return]]-Benchmark1[[#This Row],[Benchmark '#1 Return]],"-"),"-")</f>
        <v>-3.3385201926669023E-2</v>
      </c>
      <c r="L238" s="1" t="str">
        <f>IF(COUNTIF(Comp2[Comparable '#2 Dates],Benchmark1[[#This Row],[Benchmark '#1 Dates]])=1,"Pass","Fail")</f>
        <v>Pass</v>
      </c>
      <c r="M238" s="6">
        <f>IF(Benchmark1[[#This Row],[Comparable '#2 Date Check]]="Pass",INDEX(Comp2[Comparable '#2 Price],MATCH(Benchmark1[[#This Row],[Benchmark '#1 Dates]],Comp2[Comparable '#2 Dates],0)),"-")</f>
        <v>44.25</v>
      </c>
      <c r="N238" s="22">
        <f>IF(Benchmark1[[#This Row],[Comparable '#2 Date Check]]="Pass",INDEX(Comp2[Comparable '#2 Return],MATCH(Benchmark1[[#This Row],[Benchmark '#1 Dates]],Comp2[Comparable '#2 Dates],0)),"-")</f>
        <v>1.5831734619674517E-3</v>
      </c>
      <c r="O238" s="1">
        <f>IFERROR(IF(Benchmark1[[#This Row],[Comparable '#2 Date Check]]="Pass",Benchmark1[[#This Row],[Comparable '#2 Return]]-Benchmark1[[#This Row],[Benchmark '#1 Return]],"-"),"-")</f>
        <v>-2.5073191116879194E-3</v>
      </c>
      <c r="P238" s="1" t="str">
        <f>IF(COUNTIF(Comp3[Comparable '#3 Dates],Benchmark1[[#This Row],[Benchmark '#1 Dates]])=1,"Pass","Fail")</f>
        <v>Pass</v>
      </c>
      <c r="Q238" s="6">
        <f>IF(Benchmark1[[#This Row],[Comparable '#3 Date Check]]="Pass",INDEX(Comp3[Comparable '#3 Price],MATCH(Benchmark1[[#This Row],[Benchmark '#1 Dates]],Comp3[Comparable '#3 Dates],0)),"-")</f>
        <v>180.84</v>
      </c>
      <c r="R238" s="22">
        <f>IF(Benchmark1[[#This Row],[Comparable '#3 Date Check]]="Pass",INDEX(Comp3[Comparable '#3 Return],MATCH(Benchmark1[[#This Row],[Benchmark '#1 Dates]],Comp3[Comparable '#3 Dates],0)),"-")</f>
        <v>-1.1605737852458096E-3</v>
      </c>
      <c r="S238" s="1">
        <f>IFERROR(IF(Benchmark1[[#This Row],[Comparable '#3 Date Check]]="Pass",Benchmark1[[#This Row],[Comparable '#3 Return]]-Benchmark1[[#This Row],[Benchmark '#1 Return]],"-"),"-")</f>
        <v>-5.25106635890118E-3</v>
      </c>
    </row>
    <row r="239" spans="1:19">
      <c r="A239" s="103">
        <v>43630</v>
      </c>
      <c r="B239" s="104">
        <v>2886.9832099801311</v>
      </c>
      <c r="C239" s="4">
        <f t="shared" si="3"/>
        <v>-1.6119151334491816E-3</v>
      </c>
      <c r="D239" s="1" t="str">
        <f>IF(COUNTIF(Target1[Target Dates],Benchmark1[[#This Row],[Benchmark '#1 Dates]])=1,"Pass","Fail")</f>
        <v>Pass</v>
      </c>
      <c r="E239" s="6">
        <f>IF(Benchmark1[[#This Row],[Target Date Check]]="Pass",INDEX(Target1[Target Price],MATCH(Benchmark1[[#This Row],[Benchmark '#1 Dates]],Target1[Target Dates],0)),"-")</f>
        <v>30.76</v>
      </c>
      <c r="F239" s="22">
        <f>IF(Benchmark1[[#This Row],[Target Date Check]]="Pass",INDEX(Target1[Target Return],MATCH(Benchmark1[[#This Row],[Benchmark '#1 Dates]],Target1[Target Dates],0)),"-")</f>
        <v>-1.259910059601883E-2</v>
      </c>
      <c r="G239" s="1">
        <f>IFERROR(IF(Benchmark1[[#This Row],[Target Date Check]]="Pass",Benchmark1[[#This Row],[Target Return]]-Benchmark1[[#This Row],[Benchmark '#1 Return]],"-"),"-")</f>
        <v>-1.0987185462569649E-2</v>
      </c>
      <c r="H239" s="1" t="str">
        <f>IF(COUNTIF(Comp1[Comparable '#1 Dates],Benchmark1[[#This Row],[Benchmark '#1 Dates]])=1,"Pass","Fail")</f>
        <v>Pass</v>
      </c>
      <c r="I239" s="6">
        <f>IF(Benchmark1[[#This Row],[Comparable '#1 Date Check]]="Pass",INDEX(Comp1[Comparable '#1 Price],MATCH(Benchmark1[[#This Row],[Benchmark '#1 Dates]],Comp1[Comparable '#1 Dates],0)),"-")</f>
        <v>15.88</v>
      </c>
      <c r="J239" s="22">
        <f>IF(Benchmark1[[#This Row],[Comparable '#1 Date Check]]="Pass",INDEX(Comp1[Comparable '#1 Return],MATCH(Benchmark1[[#This Row],[Benchmark '#1 Dates]],Comp1[Comparable '#1 Dates],0)),"-")</f>
        <v>4.417804597608984E-3</v>
      </c>
      <c r="K239" s="1">
        <f>IFERROR(IF(Benchmark1[[#This Row],[Comparable '#1 Date Check]]="Pass",Benchmark1[[#This Row],[Comparable '#1 Return]]-Benchmark1[[#This Row],[Benchmark '#1 Return]],"-"),"-")</f>
        <v>6.0297197310581656E-3</v>
      </c>
      <c r="L239" s="1" t="str">
        <f>IF(COUNTIF(Comp2[Comparable '#2 Dates],Benchmark1[[#This Row],[Benchmark '#1 Dates]])=1,"Pass","Fail")</f>
        <v>Pass</v>
      </c>
      <c r="M239" s="6">
        <f>IF(Benchmark1[[#This Row],[Comparable '#2 Date Check]]="Pass",INDEX(Comp2[Comparable '#2 Price],MATCH(Benchmark1[[#This Row],[Benchmark '#1 Dates]],Comp2[Comparable '#2 Dates],0)),"-")</f>
        <v>44.68</v>
      </c>
      <c r="N239" s="22">
        <f>IF(Benchmark1[[#This Row],[Comparable '#2 Date Check]]="Pass",INDEX(Comp2[Comparable '#2 Return],MATCH(Benchmark1[[#This Row],[Benchmark '#1 Dates]],Comp2[Comparable '#2 Dates],0)),"-")</f>
        <v>9.6706027470614304E-3</v>
      </c>
      <c r="O239" s="1">
        <f>IFERROR(IF(Benchmark1[[#This Row],[Comparable '#2 Date Check]]="Pass",Benchmark1[[#This Row],[Comparable '#2 Return]]-Benchmark1[[#This Row],[Benchmark '#1 Return]],"-"),"-")</f>
        <v>1.1282517880510611E-2</v>
      </c>
      <c r="P239" s="1" t="str">
        <f>IF(COUNTIF(Comp3[Comparable '#3 Dates],Benchmark1[[#This Row],[Benchmark '#1 Dates]])=1,"Pass","Fail")</f>
        <v>Pass</v>
      </c>
      <c r="Q239" s="6">
        <f>IF(Benchmark1[[#This Row],[Comparable '#3 Date Check]]="Pass",INDEX(Comp3[Comparable '#3 Price],MATCH(Benchmark1[[#This Row],[Benchmark '#1 Dates]],Comp3[Comparable '#3 Dates],0)),"-")</f>
        <v>181.08</v>
      </c>
      <c r="R239" s="22">
        <f>IF(Benchmark1[[#This Row],[Comparable '#3 Date Check]]="Pass",INDEX(Comp3[Comparable '#3 Return],MATCH(Benchmark1[[#This Row],[Benchmark '#1 Dates]],Comp3[Comparable '#3 Dates],0)),"-")</f>
        <v>1.3262601413535377E-3</v>
      </c>
      <c r="S239" s="1">
        <f>IFERROR(IF(Benchmark1[[#This Row],[Comparable '#3 Date Check]]="Pass",Benchmark1[[#This Row],[Comparable '#3 Return]]-Benchmark1[[#This Row],[Benchmark '#1 Return]],"-"),"-")</f>
        <v>2.9381752748027191E-3</v>
      </c>
    </row>
    <row r="240" spans="1:19">
      <c r="A240" s="103">
        <v>43633</v>
      </c>
      <c r="B240" s="104">
        <v>2889.6699778407151</v>
      </c>
      <c r="C240" s="4">
        <f t="shared" si="3"/>
        <v>9.3021615352892686E-4</v>
      </c>
      <c r="D240" s="1" t="str">
        <f>IF(COUNTIF(Target1[Target Dates],Benchmark1[[#This Row],[Benchmark '#1 Dates]])=1,"Pass","Fail")</f>
        <v>Pass</v>
      </c>
      <c r="E240" s="6">
        <f>IF(Benchmark1[[#This Row],[Target Date Check]]="Pass",INDEX(Target1[Target Price],MATCH(Benchmark1[[#This Row],[Benchmark '#1 Dates]],Target1[Target Dates],0)),"-")</f>
        <v>30.56</v>
      </c>
      <c r="F240" s="22">
        <f>IF(Benchmark1[[#This Row],[Target Date Check]]="Pass",INDEX(Target1[Target Return],MATCH(Benchmark1[[#This Row],[Benchmark '#1 Dates]],Target1[Target Dates],0)),"-")</f>
        <v>-6.5231803391235955E-3</v>
      </c>
      <c r="G240" s="1">
        <f>IFERROR(IF(Benchmark1[[#This Row],[Target Date Check]]="Pass",Benchmark1[[#This Row],[Target Return]]-Benchmark1[[#This Row],[Benchmark '#1 Return]],"-"),"-")</f>
        <v>-7.4533964926525222E-3</v>
      </c>
      <c r="H240" s="1" t="str">
        <f>IF(COUNTIF(Comp1[Comparable '#1 Dates],Benchmark1[[#This Row],[Benchmark '#1 Dates]])=1,"Pass","Fail")</f>
        <v>Pass</v>
      </c>
      <c r="I240" s="6">
        <f>IF(Benchmark1[[#This Row],[Comparable '#1 Date Check]]="Pass",INDEX(Comp1[Comparable '#1 Price],MATCH(Benchmark1[[#This Row],[Benchmark '#1 Dates]],Comp1[Comparable '#1 Dates],0)),"-")</f>
        <v>15.6</v>
      </c>
      <c r="J240" s="22">
        <f>IF(Benchmark1[[#This Row],[Comparable '#1 Date Check]]="Pass",INDEX(Comp1[Comparable '#1 Return],MATCH(Benchmark1[[#This Row],[Benchmark '#1 Dates]],Comp1[Comparable '#1 Dates],0)),"-")</f>
        <v>-1.778954156349841E-2</v>
      </c>
      <c r="K240" s="1">
        <f>IFERROR(IF(Benchmark1[[#This Row],[Comparable '#1 Date Check]]="Pass",Benchmark1[[#This Row],[Comparable '#1 Return]]-Benchmark1[[#This Row],[Benchmark '#1 Return]],"-"),"-")</f>
        <v>-1.8719757717027337E-2</v>
      </c>
      <c r="L240" s="1" t="str">
        <f>IF(COUNTIF(Comp2[Comparable '#2 Dates],Benchmark1[[#This Row],[Benchmark '#1 Dates]])=1,"Pass","Fail")</f>
        <v>Pass</v>
      </c>
      <c r="M240" s="6">
        <f>IF(Benchmark1[[#This Row],[Comparable '#2 Date Check]]="Pass",INDEX(Comp2[Comparable '#2 Price],MATCH(Benchmark1[[#This Row],[Benchmark '#1 Dates]],Comp2[Comparable '#2 Dates],0)),"-")</f>
        <v>45.18</v>
      </c>
      <c r="N240" s="22">
        <f>IF(Benchmark1[[#This Row],[Comparable '#2 Date Check]]="Pass",INDEX(Comp2[Comparable '#2 Return],MATCH(Benchmark1[[#This Row],[Benchmark '#1 Dates]],Comp2[Comparable '#2 Dates],0)),"-")</f>
        <v>1.1128536838857232E-2</v>
      </c>
      <c r="O240" s="1">
        <f>IFERROR(IF(Benchmark1[[#This Row],[Comparable '#2 Date Check]]="Pass",Benchmark1[[#This Row],[Comparable '#2 Return]]-Benchmark1[[#This Row],[Benchmark '#1 Return]],"-"),"-")</f>
        <v>1.0198320685328305E-2</v>
      </c>
      <c r="P240" s="1" t="str">
        <f>IF(COUNTIF(Comp3[Comparable '#3 Dates],Benchmark1[[#This Row],[Benchmark '#1 Dates]])=1,"Pass","Fail")</f>
        <v>Pass</v>
      </c>
      <c r="Q240" s="6">
        <f>IF(Benchmark1[[#This Row],[Comparable '#3 Date Check]]="Pass",INDEX(Comp3[Comparable '#3 Price],MATCH(Benchmark1[[#This Row],[Benchmark '#1 Dates]],Comp3[Comparable '#3 Dates],0)),"-")</f>
        <v>180.35</v>
      </c>
      <c r="R240" s="22">
        <f>IF(Benchmark1[[#This Row],[Comparable '#3 Date Check]]="Pass",INDEX(Comp3[Comparable '#3 Return],MATCH(Benchmark1[[#This Row],[Benchmark '#1 Dates]],Comp3[Comparable '#3 Dates],0)),"-")</f>
        <v>-4.0395152182099011E-3</v>
      </c>
      <c r="S240" s="1">
        <f>IFERROR(IF(Benchmark1[[#This Row],[Comparable '#3 Date Check]]="Pass",Benchmark1[[#This Row],[Comparable '#3 Return]]-Benchmark1[[#This Row],[Benchmark '#1 Return]],"-"),"-")</f>
        <v>-4.9697313717388279E-3</v>
      </c>
    </row>
    <row r="241" spans="1:19">
      <c r="A241" s="103">
        <v>43634</v>
      </c>
      <c r="B241" s="104">
        <v>2917.7507616530788</v>
      </c>
      <c r="C241" s="4">
        <f t="shared" si="3"/>
        <v>9.6707312666655231E-3</v>
      </c>
      <c r="D241" s="1" t="str">
        <f>IF(COUNTIF(Target1[Target Dates],Benchmark1[[#This Row],[Benchmark '#1 Dates]])=1,"Pass","Fail")</f>
        <v>Pass</v>
      </c>
      <c r="E241" s="6">
        <f>IF(Benchmark1[[#This Row],[Target Date Check]]="Pass",INDEX(Target1[Target Price],MATCH(Benchmark1[[#This Row],[Benchmark '#1 Dates]],Target1[Target Dates],0)),"-")</f>
        <v>29.7</v>
      </c>
      <c r="F241" s="22">
        <f>IF(Benchmark1[[#This Row],[Target Date Check]]="Pass",INDEX(Target1[Target Return],MATCH(Benchmark1[[#This Row],[Benchmark '#1 Dates]],Target1[Target Dates],0)),"-")</f>
        <v>-2.8544918489665845E-2</v>
      </c>
      <c r="G241" s="1">
        <f>IFERROR(IF(Benchmark1[[#This Row],[Target Date Check]]="Pass",Benchmark1[[#This Row],[Target Return]]-Benchmark1[[#This Row],[Benchmark '#1 Return]],"-"),"-")</f>
        <v>-3.821564975633137E-2</v>
      </c>
      <c r="H241" s="1" t="str">
        <f>IF(COUNTIF(Comp1[Comparable '#1 Dates],Benchmark1[[#This Row],[Benchmark '#1 Dates]])=1,"Pass","Fail")</f>
        <v>Pass</v>
      </c>
      <c r="I241" s="6">
        <f>IF(Benchmark1[[#This Row],[Comparable '#1 Date Check]]="Pass",INDEX(Comp1[Comparable '#1 Price],MATCH(Benchmark1[[#This Row],[Benchmark '#1 Dates]],Comp1[Comparable '#1 Dates],0)),"-")</f>
        <v>15.505000000000001</v>
      </c>
      <c r="J241" s="22">
        <f>IF(Benchmark1[[#This Row],[Comparable '#1 Date Check]]="Pass",INDEX(Comp1[Comparable '#1 Return],MATCH(Benchmark1[[#This Row],[Benchmark '#1 Dates]],Comp1[Comparable '#1 Dates],0)),"-")</f>
        <v>-6.1083617030790746E-3</v>
      </c>
      <c r="K241" s="1">
        <f>IFERROR(IF(Benchmark1[[#This Row],[Comparable '#1 Date Check]]="Pass",Benchmark1[[#This Row],[Comparable '#1 Return]]-Benchmark1[[#This Row],[Benchmark '#1 Return]],"-"),"-")</f>
        <v>-1.5779092969744599E-2</v>
      </c>
      <c r="L241" s="1" t="str">
        <f>IF(COUNTIF(Comp2[Comparable '#2 Dates],Benchmark1[[#This Row],[Benchmark '#1 Dates]])=1,"Pass","Fail")</f>
        <v>Pass</v>
      </c>
      <c r="M241" s="6">
        <f>IF(Benchmark1[[#This Row],[Comparable '#2 Date Check]]="Pass",INDEX(Comp2[Comparable '#2 Price],MATCH(Benchmark1[[#This Row],[Benchmark '#1 Dates]],Comp2[Comparable '#2 Dates],0)),"-")</f>
        <v>45.11</v>
      </c>
      <c r="N241" s="22">
        <f>IF(Benchmark1[[#This Row],[Comparable '#2 Date Check]]="Pass",INDEX(Comp2[Comparable '#2 Return],MATCH(Benchmark1[[#This Row],[Benchmark '#1 Dates]],Comp2[Comparable '#2 Dates],0)),"-")</f>
        <v>-1.5505596195526858E-3</v>
      </c>
      <c r="O241" s="1">
        <f>IFERROR(IF(Benchmark1[[#This Row],[Comparable '#2 Date Check]]="Pass",Benchmark1[[#This Row],[Comparable '#2 Return]]-Benchmark1[[#This Row],[Benchmark '#1 Return]],"-"),"-")</f>
        <v>-1.1221290886218208E-2</v>
      </c>
      <c r="P241" s="1" t="str">
        <f>IF(COUNTIF(Comp3[Comparable '#3 Dates],Benchmark1[[#This Row],[Benchmark '#1 Dates]])=1,"Pass","Fail")</f>
        <v>Pass</v>
      </c>
      <c r="Q241" s="6">
        <f>IF(Benchmark1[[#This Row],[Comparable '#3 Date Check]]="Pass",INDEX(Comp3[Comparable '#3 Price],MATCH(Benchmark1[[#This Row],[Benchmark '#1 Dates]],Comp3[Comparable '#3 Dates],0)),"-")</f>
        <v>176.64</v>
      </c>
      <c r="R241" s="22">
        <f>IF(Benchmark1[[#This Row],[Comparable '#3 Date Check]]="Pass",INDEX(Comp3[Comparable '#3 Return],MATCH(Benchmark1[[#This Row],[Benchmark '#1 Dates]],Comp3[Comparable '#3 Dates],0)),"-")</f>
        <v>-2.0785644260817561E-2</v>
      </c>
      <c r="S241" s="1">
        <f>IFERROR(IF(Benchmark1[[#This Row],[Comparable '#3 Date Check]]="Pass",Benchmark1[[#This Row],[Comparable '#3 Return]]-Benchmark1[[#This Row],[Benchmark '#1 Return]],"-"),"-")</f>
        <v>-3.0456375527483086E-2</v>
      </c>
    </row>
    <row r="242" spans="1:19">
      <c r="A242" s="103">
        <v>43635</v>
      </c>
      <c r="B242" s="104">
        <v>2926.4558150439875</v>
      </c>
      <c r="C242" s="4">
        <f t="shared" si="3"/>
        <v>2.9790390584391035E-3</v>
      </c>
      <c r="D242" s="1" t="str">
        <f>IF(COUNTIF(Target1[Target Dates],Benchmark1[[#This Row],[Benchmark '#1 Dates]])=1,"Pass","Fail")</f>
        <v>Pass</v>
      </c>
      <c r="E242" s="6">
        <f>IF(Benchmark1[[#This Row],[Target Date Check]]="Pass",INDEX(Target1[Target Price],MATCH(Benchmark1[[#This Row],[Benchmark '#1 Dates]],Target1[Target Dates],0)),"-")</f>
        <v>30.54</v>
      </c>
      <c r="F242" s="22">
        <f>IF(Benchmark1[[#This Row],[Target Date Check]]="Pass",INDEX(Target1[Target Return],MATCH(Benchmark1[[#This Row],[Benchmark '#1 Dates]],Target1[Target Dates],0)),"-")</f>
        <v>2.7890253981832404E-2</v>
      </c>
      <c r="G242" s="1">
        <f>IFERROR(IF(Benchmark1[[#This Row],[Target Date Check]]="Pass",Benchmark1[[#This Row],[Target Return]]-Benchmark1[[#This Row],[Benchmark '#1 Return]],"-"),"-")</f>
        <v>2.49112149233933E-2</v>
      </c>
      <c r="H242" s="1" t="str">
        <f>IF(COUNTIF(Comp1[Comparable '#1 Dates],Benchmark1[[#This Row],[Benchmark '#1 Dates]])=1,"Pass","Fail")</f>
        <v>Pass</v>
      </c>
      <c r="I242" s="6">
        <f>IF(Benchmark1[[#This Row],[Comparable '#1 Date Check]]="Pass",INDEX(Comp1[Comparable '#1 Price],MATCH(Benchmark1[[#This Row],[Benchmark '#1 Dates]],Comp1[Comparable '#1 Dates],0)),"-")</f>
        <v>15.73</v>
      </c>
      <c r="J242" s="22">
        <f>IF(Benchmark1[[#This Row],[Comparable '#1 Date Check]]="Pass",INDEX(Comp1[Comparable '#1 Return],MATCH(Benchmark1[[#This Row],[Benchmark '#1 Dates]],Comp1[Comparable '#1 Dates],0)),"-")</f>
        <v>1.4407164517774072E-2</v>
      </c>
      <c r="K242" s="1">
        <f>IFERROR(IF(Benchmark1[[#This Row],[Comparable '#1 Date Check]]="Pass",Benchmark1[[#This Row],[Comparable '#1 Return]]-Benchmark1[[#This Row],[Benchmark '#1 Return]],"-"),"-")</f>
        <v>1.1428125459334968E-2</v>
      </c>
      <c r="L242" s="1" t="str">
        <f>IF(COUNTIF(Comp2[Comparable '#2 Dates],Benchmark1[[#This Row],[Benchmark '#1 Dates]])=1,"Pass","Fail")</f>
        <v>Pass</v>
      </c>
      <c r="M242" s="6">
        <f>IF(Benchmark1[[#This Row],[Comparable '#2 Date Check]]="Pass",INDEX(Comp2[Comparable '#2 Price],MATCH(Benchmark1[[#This Row],[Benchmark '#1 Dates]],Comp2[Comparable '#2 Dates],0)),"-")</f>
        <v>45.58</v>
      </c>
      <c r="N242" s="22">
        <f>IF(Benchmark1[[#This Row],[Comparable '#2 Date Check]]="Pass",INDEX(Comp2[Comparable '#2 Return],MATCH(Benchmark1[[#This Row],[Benchmark '#1 Dates]],Comp2[Comparable '#2 Dates],0)),"-")</f>
        <v>1.0365072397233515E-2</v>
      </c>
      <c r="O242" s="1">
        <f>IFERROR(IF(Benchmark1[[#This Row],[Comparable '#2 Date Check]]="Pass",Benchmark1[[#This Row],[Comparable '#2 Return]]-Benchmark1[[#This Row],[Benchmark '#1 Return]],"-"),"-")</f>
        <v>7.3860333387944111E-3</v>
      </c>
      <c r="P242" s="1" t="str">
        <f>IF(COUNTIF(Comp3[Comparable '#3 Dates],Benchmark1[[#This Row],[Benchmark '#1 Dates]])=1,"Pass","Fail")</f>
        <v>Pass</v>
      </c>
      <c r="Q242" s="6">
        <f>IF(Benchmark1[[#This Row],[Comparable '#3 Date Check]]="Pass",INDEX(Comp3[Comparable '#3 Price],MATCH(Benchmark1[[#This Row],[Benchmark '#1 Dates]],Comp3[Comparable '#3 Dates],0)),"-")</f>
        <v>180.07</v>
      </c>
      <c r="R242" s="22">
        <f>IF(Benchmark1[[#This Row],[Comparable '#3 Date Check]]="Pass",INDEX(Comp3[Comparable '#3 Return],MATCH(Benchmark1[[#This Row],[Benchmark '#1 Dates]],Comp3[Comparable '#3 Dates],0)),"-")</f>
        <v>1.9231901092683596E-2</v>
      </c>
      <c r="S242" s="1">
        <f>IFERROR(IF(Benchmark1[[#This Row],[Comparable '#3 Date Check]]="Pass",Benchmark1[[#This Row],[Comparable '#3 Return]]-Benchmark1[[#This Row],[Benchmark '#1 Return]],"-"),"-")</f>
        <v>1.6252862034244493E-2</v>
      </c>
    </row>
    <row r="243" spans="1:19">
      <c r="A243" s="103">
        <v>43636</v>
      </c>
      <c r="B243" s="104">
        <v>2954.1818728841436</v>
      </c>
      <c r="C243" s="4">
        <f t="shared" si="3"/>
        <v>9.4296791465991753E-3</v>
      </c>
      <c r="D243" s="1" t="str">
        <f>IF(COUNTIF(Target1[Target Dates],Benchmark1[[#This Row],[Benchmark '#1 Dates]])=1,"Pass","Fail")</f>
        <v>Pass</v>
      </c>
      <c r="E243" s="6">
        <f>IF(Benchmark1[[#This Row],[Target Date Check]]="Pass",INDEX(Target1[Target Price],MATCH(Benchmark1[[#This Row],[Benchmark '#1 Dates]],Target1[Target Dates],0)),"-")</f>
        <v>30.19</v>
      </c>
      <c r="F243" s="22">
        <f>IF(Benchmark1[[#This Row],[Target Date Check]]="Pass",INDEX(Target1[Target Return],MATCH(Benchmark1[[#This Row],[Benchmark '#1 Dates]],Target1[Target Dates],0)),"-")</f>
        <v>-1.1526556071738912E-2</v>
      </c>
      <c r="G243" s="1">
        <f>IFERROR(IF(Benchmark1[[#This Row],[Target Date Check]]="Pass",Benchmark1[[#This Row],[Target Return]]-Benchmark1[[#This Row],[Benchmark '#1 Return]],"-"),"-")</f>
        <v>-2.0956235218338087E-2</v>
      </c>
      <c r="H243" s="1" t="str">
        <f>IF(COUNTIF(Comp1[Comparable '#1 Dates],Benchmark1[[#This Row],[Benchmark '#1 Dates]])=1,"Pass","Fail")</f>
        <v>Pass</v>
      </c>
      <c r="I243" s="6">
        <f>IF(Benchmark1[[#This Row],[Comparable '#1 Date Check]]="Pass",INDEX(Comp1[Comparable '#1 Price],MATCH(Benchmark1[[#This Row],[Benchmark '#1 Dates]],Comp1[Comparable '#1 Dates],0)),"-")</f>
        <v>15.52</v>
      </c>
      <c r="J243" s="22">
        <f>IF(Benchmark1[[#This Row],[Comparable '#1 Date Check]]="Pass",INDEX(Comp1[Comparable '#1 Return],MATCH(Benchmark1[[#This Row],[Benchmark '#1 Dates]],Comp1[Comparable '#1 Dates],0)),"-")</f>
        <v>-1.3440202315113798E-2</v>
      </c>
      <c r="K243" s="1">
        <f>IFERROR(IF(Benchmark1[[#This Row],[Comparable '#1 Date Check]]="Pass",Benchmark1[[#This Row],[Comparable '#1 Return]]-Benchmark1[[#This Row],[Benchmark '#1 Return]],"-"),"-")</f>
        <v>-2.2869881461712975E-2</v>
      </c>
      <c r="L243" s="1" t="str">
        <f>IF(COUNTIF(Comp2[Comparable '#2 Dates],Benchmark1[[#This Row],[Benchmark '#1 Dates]])=1,"Pass","Fail")</f>
        <v>Pass</v>
      </c>
      <c r="M243" s="6">
        <f>IF(Benchmark1[[#This Row],[Comparable '#2 Date Check]]="Pass",INDEX(Comp2[Comparable '#2 Price],MATCH(Benchmark1[[#This Row],[Benchmark '#1 Dates]],Comp2[Comparable '#2 Dates],0)),"-")</f>
        <v>45.88</v>
      </c>
      <c r="N243" s="22">
        <f>IF(Benchmark1[[#This Row],[Comparable '#2 Date Check]]="Pass",INDEX(Comp2[Comparable '#2 Return],MATCH(Benchmark1[[#This Row],[Benchmark '#1 Dates]],Comp2[Comparable '#2 Dates],0)),"-")</f>
        <v>6.5602684436319204E-3</v>
      </c>
      <c r="O243" s="1">
        <f>IFERROR(IF(Benchmark1[[#This Row],[Comparable '#2 Date Check]]="Pass",Benchmark1[[#This Row],[Comparable '#2 Return]]-Benchmark1[[#This Row],[Benchmark '#1 Return]],"-"),"-")</f>
        <v>-2.8694107029672549E-3</v>
      </c>
      <c r="P243" s="1" t="str">
        <f>IF(COUNTIF(Comp3[Comparable '#3 Dates],Benchmark1[[#This Row],[Benchmark '#1 Dates]])=1,"Pass","Fail")</f>
        <v>Pass</v>
      </c>
      <c r="Q243" s="6">
        <f>IF(Benchmark1[[#This Row],[Comparable '#3 Date Check]]="Pass",INDEX(Comp3[Comparable '#3 Price],MATCH(Benchmark1[[#This Row],[Benchmark '#1 Dates]],Comp3[Comparable '#3 Dates],0)),"-")</f>
        <v>179.63</v>
      </c>
      <c r="R243" s="22">
        <f>IF(Benchmark1[[#This Row],[Comparable '#3 Date Check]]="Pass",INDEX(Comp3[Comparable '#3 Return],MATCH(Benchmark1[[#This Row],[Benchmark '#1 Dates]],Comp3[Comparable '#3 Dates],0)),"-")</f>
        <v>-2.4464844006698207E-3</v>
      </c>
      <c r="S243" s="1">
        <f>IFERROR(IF(Benchmark1[[#This Row],[Comparable '#3 Date Check]]="Pass",Benchmark1[[#This Row],[Comparable '#3 Return]]-Benchmark1[[#This Row],[Benchmark '#1 Return]],"-"),"-")</f>
        <v>-1.1876163547268996E-2</v>
      </c>
    </row>
    <row r="244" spans="1:19">
      <c r="A244" s="103">
        <v>43637</v>
      </c>
      <c r="B244" s="104">
        <v>2950.455013210636</v>
      </c>
      <c r="C244" s="4">
        <f t="shared" si="3"/>
        <v>-1.2623503325628759E-3</v>
      </c>
      <c r="D244" s="1" t="str">
        <f>IF(COUNTIF(Target1[Target Dates],Benchmark1[[#This Row],[Benchmark '#1 Dates]])=1,"Pass","Fail")</f>
        <v>Pass</v>
      </c>
      <c r="E244" s="6">
        <f>IF(Benchmark1[[#This Row],[Target Date Check]]="Pass",INDEX(Target1[Target Price],MATCH(Benchmark1[[#This Row],[Benchmark '#1 Dates]],Target1[Target Dates],0)),"-")</f>
        <v>29.41</v>
      </c>
      <c r="F244" s="22">
        <f>IF(Benchmark1[[#This Row],[Target Date Check]]="Pass",INDEX(Target1[Target Return],MATCH(Benchmark1[[#This Row],[Benchmark '#1 Dates]],Target1[Target Dates],0)),"-")</f>
        <v>-2.6175991152843869E-2</v>
      </c>
      <c r="G244" s="1">
        <f>IFERROR(IF(Benchmark1[[#This Row],[Target Date Check]]="Pass",Benchmark1[[#This Row],[Target Return]]-Benchmark1[[#This Row],[Benchmark '#1 Return]],"-"),"-")</f>
        <v>-2.4913640820280993E-2</v>
      </c>
      <c r="H244" s="1" t="str">
        <f>IF(COUNTIF(Comp1[Comparable '#1 Dates],Benchmark1[[#This Row],[Benchmark '#1 Dates]])=1,"Pass","Fail")</f>
        <v>Pass</v>
      </c>
      <c r="I244" s="6">
        <f>IF(Benchmark1[[#This Row],[Comparable '#1 Date Check]]="Pass",INDEX(Comp1[Comparable '#1 Price],MATCH(Benchmark1[[#This Row],[Benchmark '#1 Dates]],Comp1[Comparable '#1 Dates],0)),"-")</f>
        <v>15.36</v>
      </c>
      <c r="J244" s="22">
        <f>IF(Benchmark1[[#This Row],[Comparable '#1 Date Check]]="Pass",INDEX(Comp1[Comparable '#1 Return],MATCH(Benchmark1[[#This Row],[Benchmark '#1 Dates]],Comp1[Comparable '#1 Dates],0)),"-")</f>
        <v>-1.0362787035546547E-2</v>
      </c>
      <c r="K244" s="1">
        <f>IFERROR(IF(Benchmark1[[#This Row],[Comparable '#1 Date Check]]="Pass",Benchmark1[[#This Row],[Comparable '#1 Return]]-Benchmark1[[#This Row],[Benchmark '#1 Return]],"-"),"-")</f>
        <v>-9.1004367029836712E-3</v>
      </c>
      <c r="L244" s="1" t="str">
        <f>IF(COUNTIF(Comp2[Comparable '#2 Dates],Benchmark1[[#This Row],[Benchmark '#1 Dates]])=1,"Pass","Fail")</f>
        <v>Pass</v>
      </c>
      <c r="M244" s="6">
        <f>IF(Benchmark1[[#This Row],[Comparable '#2 Date Check]]="Pass",INDEX(Comp2[Comparable '#2 Price],MATCH(Benchmark1[[#This Row],[Benchmark '#1 Dates]],Comp2[Comparable '#2 Dates],0)),"-")</f>
        <v>45.04</v>
      </c>
      <c r="N244" s="22">
        <f>IF(Benchmark1[[#This Row],[Comparable '#2 Date Check]]="Pass",INDEX(Comp2[Comparable '#2 Return],MATCH(Benchmark1[[#This Row],[Benchmark '#1 Dates]],Comp2[Comparable '#2 Dates],0)),"-")</f>
        <v>-1.847830842973509E-2</v>
      </c>
      <c r="O244" s="1">
        <f>IFERROR(IF(Benchmark1[[#This Row],[Comparable '#2 Date Check]]="Pass",Benchmark1[[#This Row],[Comparable '#2 Return]]-Benchmark1[[#This Row],[Benchmark '#1 Return]],"-"),"-")</f>
        <v>-1.7215958097172215E-2</v>
      </c>
      <c r="P244" s="1" t="str">
        <f>IF(COUNTIF(Comp3[Comparable '#3 Dates],Benchmark1[[#This Row],[Benchmark '#1 Dates]])=1,"Pass","Fail")</f>
        <v>Pass</v>
      </c>
      <c r="Q244" s="6">
        <f>IF(Benchmark1[[#This Row],[Comparable '#3 Date Check]]="Pass",INDEX(Comp3[Comparable '#3 Price],MATCH(Benchmark1[[#This Row],[Benchmark '#1 Dates]],Comp3[Comparable '#3 Dates],0)),"-")</f>
        <v>180.42</v>
      </c>
      <c r="R244" s="22">
        <f>IF(Benchmark1[[#This Row],[Comparable '#3 Date Check]]="Pass",INDEX(Comp3[Comparable '#3 Return],MATCH(Benchmark1[[#This Row],[Benchmark '#1 Dates]],Comp3[Comparable '#3 Dates],0)),"-")</f>
        <v>4.3882864477483999E-3</v>
      </c>
      <c r="S244" s="1">
        <f>IFERROR(IF(Benchmark1[[#This Row],[Comparable '#3 Date Check]]="Pass",Benchmark1[[#This Row],[Comparable '#3 Return]]-Benchmark1[[#This Row],[Benchmark '#1 Return]],"-"),"-")</f>
        <v>5.6506367803112762E-3</v>
      </c>
    </row>
    <row r="245" spans="1:19">
      <c r="A245" s="103">
        <v>43640</v>
      </c>
      <c r="B245" s="104">
        <v>2945.3487961538822</v>
      </c>
      <c r="C245" s="4">
        <f t="shared" si="3"/>
        <v>-1.7321534089547036E-3</v>
      </c>
      <c r="D245" s="1" t="str">
        <f>IF(COUNTIF(Target1[Target Dates],Benchmark1[[#This Row],[Benchmark '#1 Dates]])=1,"Pass","Fail")</f>
        <v>Pass</v>
      </c>
      <c r="E245" s="6">
        <f>IF(Benchmark1[[#This Row],[Target Date Check]]="Pass",INDEX(Target1[Target Price],MATCH(Benchmark1[[#This Row],[Benchmark '#1 Dates]],Target1[Target Dates],0)),"-")</f>
        <v>29.28</v>
      </c>
      <c r="F245" s="22">
        <f>IF(Benchmark1[[#This Row],[Target Date Check]]="Pass",INDEX(Target1[Target Return],MATCH(Benchmark1[[#This Row],[Benchmark '#1 Dates]],Target1[Target Dates],0)),"-")</f>
        <v>-4.4300634727927717E-3</v>
      </c>
      <c r="G245" s="1">
        <f>IFERROR(IF(Benchmark1[[#This Row],[Target Date Check]]="Pass",Benchmark1[[#This Row],[Target Return]]-Benchmark1[[#This Row],[Benchmark '#1 Return]],"-"),"-")</f>
        <v>-2.6979100638380681E-3</v>
      </c>
      <c r="H245" s="1" t="str">
        <f>IF(COUNTIF(Comp1[Comparable '#1 Dates],Benchmark1[[#This Row],[Benchmark '#1 Dates]])=1,"Pass","Fail")</f>
        <v>Pass</v>
      </c>
      <c r="I245" s="6">
        <f>IF(Benchmark1[[#This Row],[Comparable '#1 Date Check]]="Pass",INDEX(Comp1[Comparable '#1 Price],MATCH(Benchmark1[[#This Row],[Benchmark '#1 Dates]],Comp1[Comparable '#1 Dates],0)),"-")</f>
        <v>15</v>
      </c>
      <c r="J245" s="22">
        <f>IF(Benchmark1[[#This Row],[Comparable '#1 Date Check]]="Pass",INDEX(Comp1[Comparable '#1 Return],MATCH(Benchmark1[[#This Row],[Benchmark '#1 Dates]],Comp1[Comparable '#1 Dates],0)),"-")</f>
        <v>-2.3716526617316044E-2</v>
      </c>
      <c r="K245" s="1">
        <f>IFERROR(IF(Benchmark1[[#This Row],[Comparable '#1 Date Check]]="Pass",Benchmark1[[#This Row],[Comparable '#1 Return]]-Benchmark1[[#This Row],[Benchmark '#1 Return]],"-"),"-")</f>
        <v>-2.198437320836134E-2</v>
      </c>
      <c r="L245" s="1" t="str">
        <f>IF(COUNTIF(Comp2[Comparable '#2 Dates],Benchmark1[[#This Row],[Benchmark '#1 Dates]])=1,"Pass","Fail")</f>
        <v>Pass</v>
      </c>
      <c r="M245" s="6">
        <f>IF(Benchmark1[[#This Row],[Comparable '#2 Date Check]]="Pass",INDEX(Comp2[Comparable '#2 Price],MATCH(Benchmark1[[#This Row],[Benchmark '#1 Dates]],Comp2[Comparable '#2 Dates],0)),"-")</f>
        <v>44.07</v>
      </c>
      <c r="N245" s="22">
        <f>IF(Benchmark1[[#This Row],[Comparable '#2 Date Check]]="Pass",INDEX(Comp2[Comparable '#2 Return],MATCH(Benchmark1[[#This Row],[Benchmark '#1 Dates]],Comp2[Comparable '#2 Dates],0)),"-")</f>
        <v>-2.1771704977539271E-2</v>
      </c>
      <c r="O245" s="1">
        <f>IFERROR(IF(Benchmark1[[#This Row],[Comparable '#2 Date Check]]="Pass",Benchmark1[[#This Row],[Comparable '#2 Return]]-Benchmark1[[#This Row],[Benchmark '#1 Return]],"-"),"-")</f>
        <v>-2.0039551568584568E-2</v>
      </c>
      <c r="P245" s="1" t="str">
        <f>IF(COUNTIF(Comp3[Comparable '#3 Dates],Benchmark1[[#This Row],[Benchmark '#1 Dates]])=1,"Pass","Fail")</f>
        <v>Pass</v>
      </c>
      <c r="Q245" s="6">
        <f>IF(Benchmark1[[#This Row],[Comparable '#3 Date Check]]="Pass",INDEX(Comp3[Comparable '#3 Price],MATCH(Benchmark1[[#This Row],[Benchmark '#1 Dates]],Comp3[Comparable '#3 Dates],0)),"-")</f>
        <v>177.45</v>
      </c>
      <c r="R245" s="22">
        <f>IF(Benchmark1[[#This Row],[Comparable '#3 Date Check]]="Pass",INDEX(Comp3[Comparable '#3 Return],MATCH(Benchmark1[[#This Row],[Benchmark '#1 Dates]],Comp3[Comparable '#3 Dates],0)),"-")</f>
        <v>-1.6598587135987233E-2</v>
      </c>
      <c r="S245" s="1">
        <f>IFERROR(IF(Benchmark1[[#This Row],[Comparable '#3 Date Check]]="Pass",Benchmark1[[#This Row],[Comparable '#3 Return]]-Benchmark1[[#This Row],[Benchmark '#1 Return]],"-"),"-")</f>
        <v>-1.486643372703253E-2</v>
      </c>
    </row>
    <row r="246" spans="1:19">
      <c r="A246" s="103">
        <v>43641</v>
      </c>
      <c r="B246" s="104">
        <v>2917.3831404343919</v>
      </c>
      <c r="C246" s="4">
        <f t="shared" si="3"/>
        <v>-9.540217131271584E-3</v>
      </c>
      <c r="D246" s="1" t="str">
        <f>IF(COUNTIF(Target1[Target Dates],Benchmark1[[#This Row],[Benchmark '#1 Dates]])=1,"Pass","Fail")</f>
        <v>Pass</v>
      </c>
      <c r="E246" s="6">
        <f>IF(Benchmark1[[#This Row],[Target Date Check]]="Pass",INDEX(Target1[Target Price],MATCH(Benchmark1[[#This Row],[Benchmark '#1 Dates]],Target1[Target Dates],0)),"-")</f>
        <v>28.37</v>
      </c>
      <c r="F246" s="22">
        <f>IF(Benchmark1[[#This Row],[Target Date Check]]="Pass",INDEX(Target1[Target Return],MATCH(Benchmark1[[#This Row],[Benchmark '#1 Dates]],Target1[Target Dates],0)),"-")</f>
        <v>-3.157244027235085E-2</v>
      </c>
      <c r="G246" s="1">
        <f>IFERROR(IF(Benchmark1[[#This Row],[Target Date Check]]="Pass",Benchmark1[[#This Row],[Target Return]]-Benchmark1[[#This Row],[Benchmark '#1 Return]],"-"),"-")</f>
        <v>-2.2032223141079266E-2</v>
      </c>
      <c r="H246" s="1" t="str">
        <f>IF(COUNTIF(Comp1[Comparable '#1 Dates],Benchmark1[[#This Row],[Benchmark '#1 Dates]])=1,"Pass","Fail")</f>
        <v>Pass</v>
      </c>
      <c r="I246" s="6">
        <f>IF(Benchmark1[[#This Row],[Comparable '#1 Date Check]]="Pass",INDEX(Comp1[Comparable '#1 Price],MATCH(Benchmark1[[#This Row],[Benchmark '#1 Dates]],Comp1[Comparable '#1 Dates],0)),"-")</f>
        <v>14.89</v>
      </c>
      <c r="J246" s="22">
        <f>IF(Benchmark1[[#This Row],[Comparable '#1 Date Check]]="Pass",INDEX(Comp1[Comparable '#1 Return],MATCH(Benchmark1[[#This Row],[Benchmark '#1 Dates]],Comp1[Comparable '#1 Dates],0)),"-")</f>
        <v>-7.3603544062924185E-3</v>
      </c>
      <c r="K246" s="1">
        <f>IFERROR(IF(Benchmark1[[#This Row],[Comparable '#1 Date Check]]="Pass",Benchmark1[[#This Row],[Comparable '#1 Return]]-Benchmark1[[#This Row],[Benchmark '#1 Return]],"-"),"-")</f>
        <v>2.1798627249791655E-3</v>
      </c>
      <c r="L246" s="1" t="str">
        <f>IF(COUNTIF(Comp2[Comparable '#2 Dates],Benchmark1[[#This Row],[Benchmark '#1 Dates]])=1,"Pass","Fail")</f>
        <v>Pass</v>
      </c>
      <c r="M246" s="6">
        <f>IF(Benchmark1[[#This Row],[Comparable '#2 Date Check]]="Pass",INDEX(Comp2[Comparable '#2 Price],MATCH(Benchmark1[[#This Row],[Benchmark '#1 Dates]],Comp2[Comparable '#2 Dates],0)),"-")</f>
        <v>44.86</v>
      </c>
      <c r="N246" s="22">
        <f>IF(Benchmark1[[#This Row],[Comparable '#2 Date Check]]="Pass",INDEX(Comp2[Comparable '#2 Return],MATCH(Benchmark1[[#This Row],[Benchmark '#1 Dates]],Comp2[Comparable '#2 Dates],0)),"-")</f>
        <v>1.7767250238166638E-2</v>
      </c>
      <c r="O246" s="1">
        <f>IFERROR(IF(Benchmark1[[#This Row],[Comparable '#2 Date Check]]="Pass",Benchmark1[[#This Row],[Comparable '#2 Return]]-Benchmark1[[#This Row],[Benchmark '#1 Return]],"-"),"-")</f>
        <v>2.7307467369438222E-2</v>
      </c>
      <c r="P246" s="1" t="str">
        <f>IF(COUNTIF(Comp3[Comparable '#3 Dates],Benchmark1[[#This Row],[Benchmark '#1 Dates]])=1,"Pass","Fail")</f>
        <v>Pass</v>
      </c>
      <c r="Q246" s="6">
        <f>IF(Benchmark1[[#This Row],[Comparable '#3 Date Check]]="Pass",INDEX(Comp3[Comparable '#3 Price],MATCH(Benchmark1[[#This Row],[Benchmark '#1 Dates]],Comp3[Comparable '#3 Dates],0)),"-")</f>
        <v>174.76</v>
      </c>
      <c r="R246" s="22">
        <f>IF(Benchmark1[[#This Row],[Comparable '#3 Date Check]]="Pass",INDEX(Comp3[Comparable '#3 Return],MATCH(Benchmark1[[#This Row],[Benchmark '#1 Dates]],Comp3[Comparable '#3 Dates],0)),"-")</f>
        <v>-1.5275275009270308E-2</v>
      </c>
      <c r="S246" s="1">
        <f>IFERROR(IF(Benchmark1[[#This Row],[Comparable '#3 Date Check]]="Pass",Benchmark1[[#This Row],[Comparable '#3 Return]]-Benchmark1[[#This Row],[Benchmark '#1 Return]],"-"),"-")</f>
        <v>-5.7350578779987241E-3</v>
      </c>
    </row>
    <row r="247" spans="1:19">
      <c r="A247" s="103">
        <v>43642</v>
      </c>
      <c r="B247" s="104">
        <v>2913.7787781963061</v>
      </c>
      <c r="C247" s="4">
        <f t="shared" si="3"/>
        <v>-1.2362416778767078E-3</v>
      </c>
      <c r="D247" s="1" t="str">
        <f>IF(COUNTIF(Target1[Target Dates],Benchmark1[[#This Row],[Benchmark '#1 Dates]])=1,"Pass","Fail")</f>
        <v>Pass</v>
      </c>
      <c r="E247" s="6">
        <f>IF(Benchmark1[[#This Row],[Target Date Check]]="Pass",INDEX(Target1[Target Price],MATCH(Benchmark1[[#This Row],[Benchmark '#1 Dates]],Target1[Target Dates],0)),"-")</f>
        <v>28.77</v>
      </c>
      <c r="F247" s="22">
        <f>IF(Benchmark1[[#This Row],[Target Date Check]]="Pass",INDEX(Target1[Target Return],MATCH(Benchmark1[[#This Row],[Benchmark '#1 Dates]],Target1[Target Dates],0)),"-")</f>
        <v>1.4000928742696419E-2</v>
      </c>
      <c r="G247" s="1">
        <f>IFERROR(IF(Benchmark1[[#This Row],[Target Date Check]]="Pass",Benchmark1[[#This Row],[Target Return]]-Benchmark1[[#This Row],[Benchmark '#1 Return]],"-"),"-")</f>
        <v>1.5237170420573126E-2</v>
      </c>
      <c r="H247" s="1" t="str">
        <f>IF(COUNTIF(Comp1[Comparable '#1 Dates],Benchmark1[[#This Row],[Benchmark '#1 Dates]])=1,"Pass","Fail")</f>
        <v>Pass</v>
      </c>
      <c r="I247" s="6">
        <f>IF(Benchmark1[[#This Row],[Comparable '#1 Date Check]]="Pass",INDEX(Comp1[Comparable '#1 Price],MATCH(Benchmark1[[#This Row],[Benchmark '#1 Dates]],Comp1[Comparable '#1 Dates],0)),"-")</f>
        <v>14.98</v>
      </c>
      <c r="J247" s="22">
        <f>IF(Benchmark1[[#This Row],[Comparable '#1 Date Check]]="Pass",INDEX(Comp1[Comparable '#1 Return],MATCH(Benchmark1[[#This Row],[Benchmark '#1 Dates]],Comp1[Comparable '#1 Dates],0)),"-")</f>
        <v>6.0261313931558747E-3</v>
      </c>
      <c r="K247" s="1">
        <f>IFERROR(IF(Benchmark1[[#This Row],[Comparable '#1 Date Check]]="Pass",Benchmark1[[#This Row],[Comparable '#1 Return]]-Benchmark1[[#This Row],[Benchmark '#1 Return]],"-"),"-")</f>
        <v>7.2623730710325825E-3</v>
      </c>
      <c r="L247" s="1" t="str">
        <f>IF(COUNTIF(Comp2[Comparable '#2 Dates],Benchmark1[[#This Row],[Benchmark '#1 Dates]])=1,"Pass","Fail")</f>
        <v>Pass</v>
      </c>
      <c r="M247" s="6">
        <f>IF(Benchmark1[[#This Row],[Comparable '#2 Date Check]]="Pass",INDEX(Comp2[Comparable '#2 Price],MATCH(Benchmark1[[#This Row],[Benchmark '#1 Dates]],Comp2[Comparable '#2 Dates],0)),"-")</f>
        <v>44.65</v>
      </c>
      <c r="N247" s="22">
        <f>IF(Benchmark1[[#This Row],[Comparable '#2 Date Check]]="Pass",INDEX(Comp2[Comparable '#2 Return],MATCH(Benchmark1[[#This Row],[Benchmark '#1 Dates]],Comp2[Comparable '#2 Dates],0)),"-")</f>
        <v>-4.6922217695542804E-3</v>
      </c>
      <c r="O247" s="1">
        <f>IFERROR(IF(Benchmark1[[#This Row],[Comparable '#2 Date Check]]="Pass",Benchmark1[[#This Row],[Comparable '#2 Return]]-Benchmark1[[#This Row],[Benchmark '#1 Return]],"-"),"-")</f>
        <v>-3.4559800916775726E-3</v>
      </c>
      <c r="P247" s="1" t="str">
        <f>IF(COUNTIF(Comp3[Comparable '#3 Dates],Benchmark1[[#This Row],[Benchmark '#1 Dates]])=1,"Pass","Fail")</f>
        <v>Pass</v>
      </c>
      <c r="Q247" s="6">
        <f>IF(Benchmark1[[#This Row],[Comparable '#3 Date Check]]="Pass",INDEX(Comp3[Comparable '#3 Price],MATCH(Benchmark1[[#This Row],[Benchmark '#1 Dates]],Comp3[Comparable '#3 Dates],0)),"-")</f>
        <v>176.6</v>
      </c>
      <c r="R247" s="22">
        <f>IF(Benchmark1[[#This Row],[Comparable '#3 Date Check]]="Pass",INDEX(Comp3[Comparable '#3 Return],MATCH(Benchmark1[[#This Row],[Benchmark '#1 Dates]],Comp3[Comparable '#3 Dates],0)),"-")</f>
        <v>1.0473684086624472E-2</v>
      </c>
      <c r="S247" s="1">
        <f>IFERROR(IF(Benchmark1[[#This Row],[Comparable '#3 Date Check]]="Pass",Benchmark1[[#This Row],[Comparable '#3 Return]]-Benchmark1[[#This Row],[Benchmark '#1 Return]],"-"),"-")</f>
        <v>1.1709925764501181E-2</v>
      </c>
    </row>
    <row r="248" spans="1:19">
      <c r="A248" s="103">
        <v>43643</v>
      </c>
      <c r="B248" s="104">
        <v>2924.9212016279544</v>
      </c>
      <c r="C248" s="4">
        <f t="shared" si="3"/>
        <v>3.8167527006626144E-3</v>
      </c>
      <c r="D248" s="1" t="str">
        <f>IF(COUNTIF(Target1[Target Dates],Benchmark1[[#This Row],[Benchmark '#1 Dates]])=1,"Pass","Fail")</f>
        <v>Pass</v>
      </c>
      <c r="E248" s="6">
        <f>IF(Benchmark1[[#This Row],[Target Date Check]]="Pass",INDEX(Target1[Target Price],MATCH(Benchmark1[[#This Row],[Benchmark '#1 Dates]],Target1[Target Dates],0)),"-")</f>
        <v>29.51</v>
      </c>
      <c r="F248" s="22">
        <f>IF(Benchmark1[[#This Row],[Target Date Check]]="Pass",INDEX(Target1[Target Return],MATCH(Benchmark1[[#This Row],[Benchmark '#1 Dates]],Target1[Target Dates],0)),"-")</f>
        <v>2.5396011391391467E-2</v>
      </c>
      <c r="G248" s="1">
        <f>IFERROR(IF(Benchmark1[[#This Row],[Target Date Check]]="Pass",Benchmark1[[#This Row],[Target Return]]-Benchmark1[[#This Row],[Benchmark '#1 Return]],"-"),"-")</f>
        <v>2.1579258690728853E-2</v>
      </c>
      <c r="H248" s="1" t="str">
        <f>IF(COUNTIF(Comp1[Comparable '#1 Dates],Benchmark1[[#This Row],[Benchmark '#1 Dates]])=1,"Pass","Fail")</f>
        <v>Pass</v>
      </c>
      <c r="I248" s="6">
        <f>IF(Benchmark1[[#This Row],[Comparable '#1 Date Check]]="Pass",INDEX(Comp1[Comparable '#1 Price],MATCH(Benchmark1[[#This Row],[Benchmark '#1 Dates]],Comp1[Comparable '#1 Dates],0)),"-")</f>
        <v>15.31</v>
      </c>
      <c r="J248" s="22">
        <f>IF(Benchmark1[[#This Row],[Comparable '#1 Date Check]]="Pass",INDEX(Comp1[Comparable '#1 Return],MATCH(Benchmark1[[#This Row],[Benchmark '#1 Dates]],Comp1[Comparable '#1 Dates],0)),"-")</f>
        <v>2.1790231580519008E-2</v>
      </c>
      <c r="K248" s="1">
        <f>IFERROR(IF(Benchmark1[[#This Row],[Comparable '#1 Date Check]]="Pass",Benchmark1[[#This Row],[Comparable '#1 Return]]-Benchmark1[[#This Row],[Benchmark '#1 Return]],"-"),"-")</f>
        <v>1.7973478879856394E-2</v>
      </c>
      <c r="L248" s="1" t="str">
        <f>IF(COUNTIF(Comp2[Comparable '#2 Dates],Benchmark1[[#This Row],[Benchmark '#1 Dates]])=1,"Pass","Fail")</f>
        <v>Pass</v>
      </c>
      <c r="M248" s="6">
        <f>IF(Benchmark1[[#This Row],[Comparable '#2 Date Check]]="Pass",INDEX(Comp2[Comparable '#2 Price],MATCH(Benchmark1[[#This Row],[Benchmark '#1 Dates]],Comp2[Comparable '#2 Dates],0)),"-")</f>
        <v>45.13</v>
      </c>
      <c r="N248" s="22">
        <f>IF(Benchmark1[[#This Row],[Comparable '#2 Date Check]]="Pass",INDEX(Comp2[Comparable '#2 Return],MATCH(Benchmark1[[#This Row],[Benchmark '#1 Dates]],Comp2[Comparable '#2 Dates],0)),"-")</f>
        <v>1.0692906516401875E-2</v>
      </c>
      <c r="O248" s="1">
        <f>IFERROR(IF(Benchmark1[[#This Row],[Comparable '#2 Date Check]]="Pass",Benchmark1[[#This Row],[Comparable '#2 Return]]-Benchmark1[[#This Row],[Benchmark '#1 Return]],"-"),"-")</f>
        <v>6.8761538157392603E-3</v>
      </c>
      <c r="P248" s="1" t="str">
        <f>IF(COUNTIF(Comp3[Comparable '#3 Dates],Benchmark1[[#This Row],[Benchmark '#1 Dates]])=1,"Pass","Fail")</f>
        <v>Pass</v>
      </c>
      <c r="Q248" s="6">
        <f>IF(Benchmark1[[#This Row],[Comparable '#3 Date Check]]="Pass",INDEX(Comp3[Comparable '#3 Price],MATCH(Benchmark1[[#This Row],[Benchmark '#1 Dates]],Comp3[Comparable '#3 Dates],0)),"-")</f>
        <v>180.43</v>
      </c>
      <c r="R248" s="22">
        <f>IF(Benchmark1[[#This Row],[Comparable '#3 Date Check]]="Pass",INDEX(Comp3[Comparable '#3 Return],MATCH(Benchmark1[[#This Row],[Benchmark '#1 Dates]],Comp3[Comparable '#3 Dates],0)),"-")</f>
        <v>2.1455602750347493E-2</v>
      </c>
      <c r="S248" s="1">
        <f>IFERROR(IF(Benchmark1[[#This Row],[Comparable '#3 Date Check]]="Pass",Benchmark1[[#This Row],[Comparable '#3 Return]]-Benchmark1[[#This Row],[Benchmark '#1 Return]],"-"),"-")</f>
        <v>1.7638850049684879E-2</v>
      </c>
    </row>
    <row r="249" spans="1:19">
      <c r="A249" s="103">
        <v>43644</v>
      </c>
      <c r="B249" s="104">
        <v>2941.7606374579345</v>
      </c>
      <c r="C249" s="4">
        <f t="shared" si="3"/>
        <v>5.7407176793679146E-3</v>
      </c>
      <c r="D249" s="1" t="str">
        <f>IF(COUNTIF(Target1[Target Dates],Benchmark1[[#This Row],[Benchmark '#1 Dates]])=1,"Pass","Fail")</f>
        <v>Pass</v>
      </c>
      <c r="E249" s="6">
        <f>IF(Benchmark1[[#This Row],[Target Date Check]]="Pass",INDEX(Target1[Target Price],MATCH(Benchmark1[[#This Row],[Benchmark '#1 Dates]],Target1[Target Dates],0)),"-")</f>
        <v>30.41</v>
      </c>
      <c r="F249" s="22">
        <f>IF(Benchmark1[[#This Row],[Target Date Check]]="Pass",INDEX(Target1[Target Return],MATCH(Benchmark1[[#This Row],[Benchmark '#1 Dates]],Target1[Target Dates],0)),"-")</f>
        <v>3.0042312734425283E-2</v>
      </c>
      <c r="G249" s="1">
        <f>IFERROR(IF(Benchmark1[[#This Row],[Target Date Check]]="Pass",Benchmark1[[#This Row],[Target Return]]-Benchmark1[[#This Row],[Benchmark '#1 Return]],"-"),"-")</f>
        <v>2.4301595055057367E-2</v>
      </c>
      <c r="H249" s="1" t="str">
        <f>IF(COUNTIF(Comp1[Comparable '#1 Dates],Benchmark1[[#This Row],[Benchmark '#1 Dates]])=1,"Pass","Fail")</f>
        <v>Pass</v>
      </c>
      <c r="I249" s="6">
        <f>IF(Benchmark1[[#This Row],[Comparable '#1 Date Check]]="Pass",INDEX(Comp1[Comparable '#1 Price],MATCH(Benchmark1[[#This Row],[Benchmark '#1 Dates]],Comp1[Comparable '#1 Dates],0)),"-")</f>
        <v>15.71</v>
      </c>
      <c r="J249" s="22">
        <f>IF(Benchmark1[[#This Row],[Comparable '#1 Date Check]]="Pass",INDEX(Comp1[Comparable '#1 Return],MATCH(Benchmark1[[#This Row],[Benchmark '#1 Dates]],Comp1[Comparable '#1 Dates],0)),"-")</f>
        <v>2.5791242597937448E-2</v>
      </c>
      <c r="K249" s="1">
        <f>IFERROR(IF(Benchmark1[[#This Row],[Comparable '#1 Date Check]]="Pass",Benchmark1[[#This Row],[Comparable '#1 Return]]-Benchmark1[[#This Row],[Benchmark '#1 Return]],"-"),"-")</f>
        <v>2.0050524918569533E-2</v>
      </c>
      <c r="L249" s="1" t="str">
        <f>IF(COUNTIF(Comp2[Comparable '#2 Dates],Benchmark1[[#This Row],[Benchmark '#1 Dates]])=1,"Pass","Fail")</f>
        <v>Pass</v>
      </c>
      <c r="M249" s="6">
        <f>IF(Benchmark1[[#This Row],[Comparable '#2 Date Check]]="Pass",INDEX(Comp2[Comparable '#2 Price],MATCH(Benchmark1[[#This Row],[Benchmark '#1 Dates]],Comp2[Comparable '#2 Dates],0)),"-")</f>
        <v>45.05</v>
      </c>
      <c r="N249" s="22">
        <f>IF(Benchmark1[[#This Row],[Comparable '#2 Date Check]]="Pass",INDEX(Comp2[Comparable '#2 Return],MATCH(Benchmark1[[#This Row],[Benchmark '#1 Dates]],Comp2[Comparable '#2 Dates],0)),"-")</f>
        <v>-1.774229784562997E-3</v>
      </c>
      <c r="O249" s="1">
        <f>IFERROR(IF(Benchmark1[[#This Row],[Comparable '#2 Date Check]]="Pass",Benchmark1[[#This Row],[Comparable '#2 Return]]-Benchmark1[[#This Row],[Benchmark '#1 Return]],"-"),"-")</f>
        <v>-7.514947463930912E-3</v>
      </c>
      <c r="P249" s="1" t="str">
        <f>IF(COUNTIF(Comp3[Comparable '#3 Dates],Benchmark1[[#This Row],[Benchmark '#1 Dates]])=1,"Pass","Fail")</f>
        <v>Pass</v>
      </c>
      <c r="Q249" s="6">
        <f>IF(Benchmark1[[#This Row],[Comparable '#3 Date Check]]="Pass",INDEX(Comp3[Comparable '#3 Price],MATCH(Benchmark1[[#This Row],[Benchmark '#1 Dates]],Comp3[Comparable '#3 Dates],0)),"-")</f>
        <v>178</v>
      </c>
      <c r="R249" s="22">
        <f>IF(Benchmark1[[#This Row],[Comparable '#3 Date Check]]="Pass",INDEX(Comp3[Comparable '#3 Return],MATCH(Benchmark1[[#This Row],[Benchmark '#1 Dates]],Comp3[Comparable '#3 Dates],0)),"-")</f>
        <v>-1.3559340628121957E-2</v>
      </c>
      <c r="S249" s="1">
        <f>IFERROR(IF(Benchmark1[[#This Row],[Comparable '#3 Date Check]]="Pass",Benchmark1[[#This Row],[Comparable '#3 Return]]-Benchmark1[[#This Row],[Benchmark '#1 Return]],"-"),"-")</f>
        <v>-1.9300058307489872E-2</v>
      </c>
    </row>
    <row r="250" spans="1:19">
      <c r="A250" s="103">
        <v>43647</v>
      </c>
      <c r="B250" s="104">
        <v>2964.33284246836</v>
      </c>
      <c r="C250" s="4">
        <f t="shared" si="3"/>
        <v>7.6437377731015041E-3</v>
      </c>
      <c r="D250" s="1" t="str">
        <f>IF(COUNTIF(Target1[Target Dates],Benchmark1[[#This Row],[Benchmark '#1 Dates]])=1,"Pass","Fail")</f>
        <v>Pass</v>
      </c>
      <c r="E250" s="6">
        <f>IF(Benchmark1[[#This Row],[Target Date Check]]="Pass",INDEX(Target1[Target Price],MATCH(Benchmark1[[#This Row],[Benchmark '#1 Dates]],Target1[Target Dates],0)),"-")</f>
        <v>29.98</v>
      </c>
      <c r="F250" s="22">
        <f>IF(Benchmark1[[#This Row],[Target Date Check]]="Pass",INDEX(Target1[Target Return],MATCH(Benchmark1[[#This Row],[Benchmark '#1 Dates]],Target1[Target Dates],0)),"-")</f>
        <v>-1.4241009014821594E-2</v>
      </c>
      <c r="G250" s="1">
        <f>IFERROR(IF(Benchmark1[[#This Row],[Target Date Check]]="Pass",Benchmark1[[#This Row],[Target Return]]-Benchmark1[[#This Row],[Benchmark '#1 Return]],"-"),"-")</f>
        <v>-2.1884746787923098E-2</v>
      </c>
      <c r="H250" s="1" t="str">
        <f>IF(COUNTIF(Comp1[Comparable '#1 Dates],Benchmark1[[#This Row],[Benchmark '#1 Dates]])=1,"Pass","Fail")</f>
        <v>Pass</v>
      </c>
      <c r="I250" s="6">
        <f>IF(Benchmark1[[#This Row],[Comparable '#1 Date Check]]="Pass",INDEX(Comp1[Comparable '#1 Price],MATCH(Benchmark1[[#This Row],[Benchmark '#1 Dates]],Comp1[Comparable '#1 Dates],0)),"-")</f>
        <v>15.81</v>
      </c>
      <c r="J250" s="22">
        <f>IF(Benchmark1[[#This Row],[Comparable '#1 Date Check]]="Pass",INDEX(Comp1[Comparable '#1 Return],MATCH(Benchmark1[[#This Row],[Benchmark '#1 Dates]],Comp1[Comparable '#1 Dates],0)),"-")</f>
        <v>6.3451989538507716E-3</v>
      </c>
      <c r="K250" s="1">
        <f>IFERROR(IF(Benchmark1[[#This Row],[Comparable '#1 Date Check]]="Pass",Benchmark1[[#This Row],[Comparable '#1 Return]]-Benchmark1[[#This Row],[Benchmark '#1 Return]],"-"),"-")</f>
        <v>-1.2985388192507325E-3</v>
      </c>
      <c r="L250" s="1" t="str">
        <f>IF(COUNTIF(Comp2[Comparable '#2 Dates],Benchmark1[[#This Row],[Benchmark '#1 Dates]])=1,"Pass","Fail")</f>
        <v>Pass</v>
      </c>
      <c r="M250" s="6">
        <f>IF(Benchmark1[[#This Row],[Comparable '#2 Date Check]]="Pass",INDEX(Comp2[Comparable '#2 Price],MATCH(Benchmark1[[#This Row],[Benchmark '#1 Dates]],Comp2[Comparable '#2 Dates],0)),"-")</f>
        <v>45.02</v>
      </c>
      <c r="N250" s="22">
        <f>IF(Benchmark1[[#This Row],[Comparable '#2 Date Check]]="Pass",INDEX(Comp2[Comparable '#2 Return],MATCH(Benchmark1[[#This Row],[Benchmark '#1 Dates]],Comp2[Comparable '#2 Dates],0)),"-")</f>
        <v>-6.6614857576056724E-4</v>
      </c>
      <c r="O250" s="1">
        <f>IFERROR(IF(Benchmark1[[#This Row],[Comparable '#2 Date Check]]="Pass",Benchmark1[[#This Row],[Comparable '#2 Return]]-Benchmark1[[#This Row],[Benchmark '#1 Return]],"-"),"-")</f>
        <v>-8.3098863488620719E-3</v>
      </c>
      <c r="P250" s="1" t="str">
        <f>IF(COUNTIF(Comp3[Comparable '#3 Dates],Benchmark1[[#This Row],[Benchmark '#1 Dates]])=1,"Pass","Fail")</f>
        <v>Pass</v>
      </c>
      <c r="Q250" s="6">
        <f>IF(Benchmark1[[#This Row],[Comparable '#3 Date Check]]="Pass",INDEX(Comp3[Comparable '#3 Price],MATCH(Benchmark1[[#This Row],[Benchmark '#1 Dates]],Comp3[Comparable '#3 Dates],0)),"-")</f>
        <v>180.75</v>
      </c>
      <c r="R250" s="22">
        <f>IF(Benchmark1[[#This Row],[Comparable '#3 Date Check]]="Pass",INDEX(Comp3[Comparable '#3 Return],MATCH(Benchmark1[[#This Row],[Benchmark '#1 Dates]],Comp3[Comparable '#3 Dates],0)),"-")</f>
        <v>1.533131074678893E-2</v>
      </c>
      <c r="S250" s="1">
        <f>IFERROR(IF(Benchmark1[[#This Row],[Comparable '#3 Date Check]]="Pass",Benchmark1[[#This Row],[Comparable '#3 Return]]-Benchmark1[[#This Row],[Benchmark '#1 Return]],"-"),"-")</f>
        <v>7.687572973687426E-3</v>
      </c>
    </row>
    <row r="251" spans="1:19">
      <c r="A251" s="103">
        <v>43648</v>
      </c>
      <c r="B251" s="104">
        <v>2973.011927566301</v>
      </c>
      <c r="C251" s="4">
        <f t="shared" si="3"/>
        <v>2.9235598119775981E-3</v>
      </c>
      <c r="D251" s="1" t="str">
        <f>IF(COUNTIF(Target1[Target Dates],Benchmark1[[#This Row],[Benchmark '#1 Dates]])=1,"Pass","Fail")</f>
        <v>Pass</v>
      </c>
      <c r="E251" s="6">
        <f>IF(Benchmark1[[#This Row],[Target Date Check]]="Pass",INDEX(Target1[Target Price],MATCH(Benchmark1[[#This Row],[Benchmark '#1 Dates]],Target1[Target Dates],0)),"-")</f>
        <v>30.19</v>
      </c>
      <c r="F251" s="22">
        <f>IF(Benchmark1[[#This Row],[Target Date Check]]="Pass",INDEX(Target1[Target Return],MATCH(Benchmark1[[#This Row],[Benchmark '#1 Dates]],Target1[Target Dates],0)),"-")</f>
        <v>6.98025104429592E-3</v>
      </c>
      <c r="G251" s="1">
        <f>IFERROR(IF(Benchmark1[[#This Row],[Target Date Check]]="Pass",Benchmark1[[#This Row],[Target Return]]-Benchmark1[[#This Row],[Benchmark '#1 Return]],"-"),"-")</f>
        <v>4.056691232318322E-3</v>
      </c>
      <c r="H251" s="1" t="str">
        <f>IF(COUNTIF(Comp1[Comparable '#1 Dates],Benchmark1[[#This Row],[Benchmark '#1 Dates]])=1,"Pass","Fail")</f>
        <v>Pass</v>
      </c>
      <c r="I251" s="6">
        <f>IF(Benchmark1[[#This Row],[Comparable '#1 Date Check]]="Pass",INDEX(Comp1[Comparable '#1 Price],MATCH(Benchmark1[[#This Row],[Benchmark '#1 Dates]],Comp1[Comparable '#1 Dates],0)),"-")</f>
        <v>15.84</v>
      </c>
      <c r="J251" s="22">
        <f>IF(Benchmark1[[#This Row],[Comparable '#1 Date Check]]="Pass",INDEX(Comp1[Comparable '#1 Return],MATCH(Benchmark1[[#This Row],[Benchmark '#1 Dates]],Comp1[Comparable '#1 Dates],0)),"-")</f>
        <v>1.8957351648991973E-3</v>
      </c>
      <c r="K251" s="1">
        <f>IFERROR(IF(Benchmark1[[#This Row],[Comparable '#1 Date Check]]="Pass",Benchmark1[[#This Row],[Comparable '#1 Return]]-Benchmark1[[#This Row],[Benchmark '#1 Return]],"-"),"-")</f>
        <v>-1.0278246470784007E-3</v>
      </c>
      <c r="L251" s="1" t="str">
        <f>IF(COUNTIF(Comp2[Comparable '#2 Dates],Benchmark1[[#This Row],[Benchmark '#1 Dates]])=1,"Pass","Fail")</f>
        <v>Pass</v>
      </c>
      <c r="M251" s="6">
        <f>IF(Benchmark1[[#This Row],[Comparable '#2 Date Check]]="Pass",INDEX(Comp2[Comparable '#2 Price],MATCH(Benchmark1[[#This Row],[Benchmark '#1 Dates]],Comp2[Comparable '#2 Dates],0)),"-")</f>
        <v>45.4</v>
      </c>
      <c r="N251" s="22">
        <f>IF(Benchmark1[[#This Row],[Comparable '#2 Date Check]]="Pass",INDEX(Comp2[Comparable '#2 Return],MATCH(Benchmark1[[#This Row],[Benchmark '#1 Dates]],Comp2[Comparable '#2 Dates],0)),"-")</f>
        <v>8.4052695687160603E-3</v>
      </c>
      <c r="O251" s="1">
        <f>IFERROR(IF(Benchmark1[[#This Row],[Comparable '#2 Date Check]]="Pass",Benchmark1[[#This Row],[Comparable '#2 Return]]-Benchmark1[[#This Row],[Benchmark '#1 Return]],"-"),"-")</f>
        <v>5.4817097567384622E-3</v>
      </c>
      <c r="P251" s="1" t="str">
        <f>IF(COUNTIF(Comp3[Comparable '#3 Dates],Benchmark1[[#This Row],[Benchmark '#1 Dates]])=1,"Pass","Fail")</f>
        <v>Pass</v>
      </c>
      <c r="Q251" s="6">
        <f>IF(Benchmark1[[#This Row],[Comparable '#3 Date Check]]="Pass",INDEX(Comp3[Comparable '#3 Price],MATCH(Benchmark1[[#This Row],[Benchmark '#1 Dates]],Comp3[Comparable '#3 Dates],0)),"-")</f>
        <v>180.19</v>
      </c>
      <c r="R251" s="22">
        <f>IF(Benchmark1[[#This Row],[Comparable '#3 Date Check]]="Pass",INDEX(Comp3[Comparable '#3 Return],MATCH(Benchmark1[[#This Row],[Benchmark '#1 Dates]],Comp3[Comparable '#3 Dates],0)),"-")</f>
        <v>-3.1030113001512122E-3</v>
      </c>
      <c r="S251" s="1">
        <f>IFERROR(IF(Benchmark1[[#This Row],[Comparable '#3 Date Check]]="Pass",Benchmark1[[#This Row],[Comparable '#3 Return]]-Benchmark1[[#This Row],[Benchmark '#1 Return]],"-"),"-")</f>
        <v>-6.0265711121288102E-3</v>
      </c>
    </row>
    <row r="252" spans="1:19">
      <c r="A252" s="103">
        <v>43649</v>
      </c>
      <c r="B252" s="104">
        <v>2995.8225920371956</v>
      </c>
      <c r="C252" s="4">
        <f t="shared" si="3"/>
        <v>7.6432929898290064E-3</v>
      </c>
      <c r="D252" s="1" t="str">
        <f>IF(COUNTIF(Target1[Target Dates],Benchmark1[[#This Row],[Benchmark '#1 Dates]])=1,"Pass","Fail")</f>
        <v>Pass</v>
      </c>
      <c r="E252" s="6">
        <f>IF(Benchmark1[[#This Row],[Target Date Check]]="Pass",INDEX(Target1[Target Price],MATCH(Benchmark1[[#This Row],[Benchmark '#1 Dates]],Target1[Target Dates],0)),"-")</f>
        <v>30.81</v>
      </c>
      <c r="F252" s="22">
        <f>IF(Benchmark1[[#This Row],[Target Date Check]]="Pass",INDEX(Target1[Target Return],MATCH(Benchmark1[[#This Row],[Benchmark '#1 Dates]],Target1[Target Dates],0)),"-")</f>
        <v>2.032856888982898E-2</v>
      </c>
      <c r="G252" s="1">
        <f>IFERROR(IF(Benchmark1[[#This Row],[Target Date Check]]="Pass",Benchmark1[[#This Row],[Target Return]]-Benchmark1[[#This Row],[Benchmark '#1 Return]],"-"),"-")</f>
        <v>1.2685275899999973E-2</v>
      </c>
      <c r="H252" s="1" t="str">
        <f>IF(COUNTIF(Comp1[Comparable '#1 Dates],Benchmark1[[#This Row],[Benchmark '#1 Dates]])=1,"Pass","Fail")</f>
        <v>Pass</v>
      </c>
      <c r="I252" s="6">
        <f>IF(Benchmark1[[#This Row],[Comparable '#1 Date Check]]="Pass",INDEX(Comp1[Comparable '#1 Price],MATCH(Benchmark1[[#This Row],[Benchmark '#1 Dates]],Comp1[Comparable '#1 Dates],0)),"-")</f>
        <v>16</v>
      </c>
      <c r="J252" s="22">
        <f>IF(Benchmark1[[#This Row],[Comparable '#1 Date Check]]="Pass",INDEX(Comp1[Comparable '#1 Return],MATCH(Benchmark1[[#This Row],[Benchmark '#1 Dates]],Comp1[Comparable '#1 Dates],0)),"-")</f>
        <v>1.0050335853501506E-2</v>
      </c>
      <c r="K252" s="1">
        <f>IFERROR(IF(Benchmark1[[#This Row],[Comparable '#1 Date Check]]="Pass",Benchmark1[[#This Row],[Comparable '#1 Return]]-Benchmark1[[#This Row],[Benchmark '#1 Return]],"-"),"-")</f>
        <v>2.4070428636724997E-3</v>
      </c>
      <c r="L252" s="1" t="str">
        <f>IF(COUNTIF(Comp2[Comparable '#2 Dates],Benchmark1[[#This Row],[Benchmark '#1 Dates]])=1,"Pass","Fail")</f>
        <v>Pass</v>
      </c>
      <c r="M252" s="6">
        <f>IF(Benchmark1[[#This Row],[Comparable '#2 Date Check]]="Pass",INDEX(Comp2[Comparable '#2 Price],MATCH(Benchmark1[[#This Row],[Benchmark '#1 Dates]],Comp2[Comparable '#2 Dates],0)),"-")</f>
        <v>45.52</v>
      </c>
      <c r="N252" s="22">
        <f>IF(Benchmark1[[#This Row],[Comparable '#2 Date Check]]="Pass",INDEX(Comp2[Comparable '#2 Return],MATCH(Benchmark1[[#This Row],[Benchmark '#1 Dates]],Comp2[Comparable '#2 Dates],0)),"-")</f>
        <v>2.6396847707732454E-3</v>
      </c>
      <c r="O252" s="1">
        <f>IFERROR(IF(Benchmark1[[#This Row],[Comparable '#2 Date Check]]="Pass",Benchmark1[[#This Row],[Comparable '#2 Return]]-Benchmark1[[#This Row],[Benchmark '#1 Return]],"-"),"-")</f>
        <v>-5.003608219055761E-3</v>
      </c>
      <c r="P252" s="1" t="str">
        <f>IF(COUNTIF(Comp3[Comparable '#3 Dates],Benchmark1[[#This Row],[Benchmark '#1 Dates]])=1,"Pass","Fail")</f>
        <v>Pass</v>
      </c>
      <c r="Q252" s="6">
        <f>IF(Benchmark1[[#This Row],[Comparable '#3 Date Check]]="Pass",INDEX(Comp3[Comparable '#3 Price],MATCH(Benchmark1[[#This Row],[Benchmark '#1 Dates]],Comp3[Comparable '#3 Dates],0)),"-")</f>
        <v>181.75</v>
      </c>
      <c r="R252" s="22">
        <f>IF(Benchmark1[[#This Row],[Comparable '#3 Date Check]]="Pass",INDEX(Comp3[Comparable '#3 Return],MATCH(Benchmark1[[#This Row],[Benchmark '#1 Dates]],Comp3[Comparable '#3 Dates],0)),"-")</f>
        <v>8.6202666749058462E-3</v>
      </c>
      <c r="S252" s="1">
        <f>IFERROR(IF(Benchmark1[[#This Row],[Comparable '#3 Date Check]]="Pass",Benchmark1[[#This Row],[Comparable '#3 Return]]-Benchmark1[[#This Row],[Benchmark '#1 Return]],"-"),"-")</f>
        <v>9.7697368507683978E-4</v>
      </c>
    </row>
    <row r="253" spans="1:19">
      <c r="A253" s="103">
        <v>43651</v>
      </c>
      <c r="B253" s="104">
        <v>2990.4095826285779</v>
      </c>
      <c r="C253" s="4">
        <f t="shared" si="3"/>
        <v>-1.808486783006051E-3</v>
      </c>
      <c r="D253" s="1" t="str">
        <f>IF(COUNTIF(Target1[Target Dates],Benchmark1[[#This Row],[Benchmark '#1 Dates]])=1,"Pass","Fail")</f>
        <v>Pass</v>
      </c>
      <c r="E253" s="6">
        <f>IF(Benchmark1[[#This Row],[Target Date Check]]="Pass",INDEX(Target1[Target Price],MATCH(Benchmark1[[#This Row],[Benchmark '#1 Dates]],Target1[Target Dates],0)),"-")</f>
        <v>31.55</v>
      </c>
      <c r="F253" s="22">
        <f>IF(Benchmark1[[#This Row],[Target Date Check]]="Pass",INDEX(Target1[Target Return],MATCH(Benchmark1[[#This Row],[Benchmark '#1 Dates]],Target1[Target Dates],0)),"-")</f>
        <v>2.3734276378645759E-2</v>
      </c>
      <c r="G253" s="1">
        <f>IFERROR(IF(Benchmark1[[#This Row],[Target Date Check]]="Pass",Benchmark1[[#This Row],[Target Return]]-Benchmark1[[#This Row],[Benchmark '#1 Return]],"-"),"-")</f>
        <v>2.554276316165181E-2</v>
      </c>
      <c r="H253" s="1" t="str">
        <f>IF(COUNTIF(Comp1[Comparable '#1 Dates],Benchmark1[[#This Row],[Benchmark '#1 Dates]])=1,"Pass","Fail")</f>
        <v>Pass</v>
      </c>
      <c r="I253" s="6">
        <f>IF(Benchmark1[[#This Row],[Comparable '#1 Date Check]]="Pass",INDEX(Comp1[Comparable '#1 Price],MATCH(Benchmark1[[#This Row],[Benchmark '#1 Dates]],Comp1[Comparable '#1 Dates],0)),"-")</f>
        <v>15.92</v>
      </c>
      <c r="J253" s="22">
        <f>IF(Benchmark1[[#This Row],[Comparable '#1 Date Check]]="Pass",INDEX(Comp1[Comparable '#1 Return],MATCH(Benchmark1[[#This Row],[Benchmark '#1 Dates]],Comp1[Comparable '#1 Dates],0)),"-")</f>
        <v>-5.0125418235442863E-3</v>
      </c>
      <c r="K253" s="1">
        <f>IFERROR(IF(Benchmark1[[#This Row],[Comparable '#1 Date Check]]="Pass",Benchmark1[[#This Row],[Comparable '#1 Return]]-Benchmark1[[#This Row],[Benchmark '#1 Return]],"-"),"-")</f>
        <v>-3.204055040538235E-3</v>
      </c>
      <c r="L253" s="1" t="str">
        <f>IF(COUNTIF(Comp2[Comparable '#2 Dates],Benchmark1[[#This Row],[Benchmark '#1 Dates]])=1,"Pass","Fail")</f>
        <v>Pass</v>
      </c>
      <c r="M253" s="6">
        <f>IF(Benchmark1[[#This Row],[Comparable '#2 Date Check]]="Pass",INDEX(Comp2[Comparable '#2 Price],MATCH(Benchmark1[[#This Row],[Benchmark '#1 Dates]],Comp2[Comparable '#2 Dates],0)),"-")</f>
        <v>45.54</v>
      </c>
      <c r="N253" s="22">
        <f>IF(Benchmark1[[#This Row],[Comparable '#2 Date Check]]="Pass",INDEX(Comp2[Comparable '#2 Return],MATCH(Benchmark1[[#This Row],[Benchmark '#1 Dates]],Comp2[Comparable '#2 Dates],0)),"-")</f>
        <v>4.3927081751788045E-4</v>
      </c>
      <c r="O253" s="1">
        <f>IFERROR(IF(Benchmark1[[#This Row],[Comparable '#2 Date Check]]="Pass",Benchmark1[[#This Row],[Comparable '#2 Return]]-Benchmark1[[#This Row],[Benchmark '#1 Return]],"-"),"-")</f>
        <v>2.2477576005239313E-3</v>
      </c>
      <c r="P253" s="1" t="str">
        <f>IF(COUNTIF(Comp3[Comparable '#3 Dates],Benchmark1[[#This Row],[Benchmark '#1 Dates]])=1,"Pass","Fail")</f>
        <v>Pass</v>
      </c>
      <c r="Q253" s="6">
        <f>IF(Benchmark1[[#This Row],[Comparable '#3 Date Check]]="Pass",INDEX(Comp3[Comparable '#3 Price],MATCH(Benchmark1[[#This Row],[Benchmark '#1 Dates]],Comp3[Comparable '#3 Dates],0)),"-")</f>
        <v>181.21</v>
      </c>
      <c r="R253" s="22">
        <f>IF(Benchmark1[[#This Row],[Comparable '#3 Date Check]]="Pass",INDEX(Comp3[Comparable '#3 Return],MATCH(Benchmark1[[#This Row],[Benchmark '#1 Dates]],Comp3[Comparable '#3 Dates],0)),"-")</f>
        <v>-2.9755366895623612E-3</v>
      </c>
      <c r="S253" s="1">
        <f>IFERROR(IF(Benchmark1[[#This Row],[Comparable '#3 Date Check]]="Pass",Benchmark1[[#This Row],[Comparable '#3 Return]]-Benchmark1[[#This Row],[Benchmark '#1 Return]],"-"),"-")</f>
        <v>-1.1670499065563101E-3</v>
      </c>
    </row>
    <row r="254" spans="1:19">
      <c r="A254" s="103">
        <v>43654</v>
      </c>
      <c r="B254" s="104">
        <v>2975.9455012433718</v>
      </c>
      <c r="C254" s="4">
        <f t="shared" si="3"/>
        <v>-4.848558128915709E-3</v>
      </c>
      <c r="D254" s="1" t="str">
        <f>IF(COUNTIF(Target1[Target Dates],Benchmark1[[#This Row],[Benchmark '#1 Dates]])=1,"Pass","Fail")</f>
        <v>Pass</v>
      </c>
      <c r="E254" s="6">
        <f>IF(Benchmark1[[#This Row],[Target Date Check]]="Pass",INDEX(Target1[Target Price],MATCH(Benchmark1[[#This Row],[Benchmark '#1 Dates]],Target1[Target Dates],0)),"-")</f>
        <v>30.86</v>
      </c>
      <c r="F254" s="22">
        <f>IF(Benchmark1[[#This Row],[Target Date Check]]="Pass",INDEX(Target1[Target Return],MATCH(Benchmark1[[#This Row],[Benchmark '#1 Dates]],Target1[Target Dates],0)),"-")</f>
        <v>-2.2112742052207451E-2</v>
      </c>
      <c r="G254" s="1">
        <f>IFERROR(IF(Benchmark1[[#This Row],[Target Date Check]]="Pass",Benchmark1[[#This Row],[Target Return]]-Benchmark1[[#This Row],[Benchmark '#1 Return]],"-"),"-")</f>
        <v>-1.7264183923291744E-2</v>
      </c>
      <c r="H254" s="1" t="str">
        <f>IF(COUNTIF(Comp1[Comparable '#1 Dates],Benchmark1[[#This Row],[Benchmark '#1 Dates]])=1,"Pass","Fail")</f>
        <v>Pass</v>
      </c>
      <c r="I254" s="6">
        <f>IF(Benchmark1[[#This Row],[Comparable '#1 Date Check]]="Pass",INDEX(Comp1[Comparable '#1 Price],MATCH(Benchmark1[[#This Row],[Benchmark '#1 Dates]],Comp1[Comparable '#1 Dates],0)),"-")</f>
        <v>15.78</v>
      </c>
      <c r="J254" s="22">
        <f>IF(Benchmark1[[#This Row],[Comparable '#1 Date Check]]="Pass",INDEX(Comp1[Comparable '#1 Return],MATCH(Benchmark1[[#This Row],[Benchmark '#1 Dates]],Comp1[Comparable '#1 Dates],0)),"-")</f>
        <v>-8.8328649985088374E-3</v>
      </c>
      <c r="K254" s="1">
        <f>IFERROR(IF(Benchmark1[[#This Row],[Comparable '#1 Date Check]]="Pass",Benchmark1[[#This Row],[Comparable '#1 Return]]-Benchmark1[[#This Row],[Benchmark '#1 Return]],"-"),"-")</f>
        <v>-3.9843068695931284E-3</v>
      </c>
      <c r="L254" s="1" t="str">
        <f>IF(COUNTIF(Comp2[Comparable '#2 Dates],Benchmark1[[#This Row],[Benchmark '#1 Dates]])=1,"Pass","Fail")</f>
        <v>Pass</v>
      </c>
      <c r="M254" s="6">
        <f>IF(Benchmark1[[#This Row],[Comparable '#2 Date Check]]="Pass",INDEX(Comp2[Comparable '#2 Price],MATCH(Benchmark1[[#This Row],[Benchmark '#1 Dates]],Comp2[Comparable '#2 Dates],0)),"-")</f>
        <v>45.17</v>
      </c>
      <c r="N254" s="22">
        <f>IF(Benchmark1[[#This Row],[Comparable '#2 Date Check]]="Pass",INDEX(Comp2[Comparable '#2 Return],MATCH(Benchmark1[[#This Row],[Benchmark '#1 Dates]],Comp2[Comparable '#2 Dates],0)),"-")</f>
        <v>-8.1579109690807314E-3</v>
      </c>
      <c r="O254" s="1">
        <f>IFERROR(IF(Benchmark1[[#This Row],[Comparable '#2 Date Check]]="Pass",Benchmark1[[#This Row],[Comparable '#2 Return]]-Benchmark1[[#This Row],[Benchmark '#1 Return]],"-"),"-")</f>
        <v>-3.3093528401650224E-3</v>
      </c>
      <c r="P254" s="1" t="str">
        <f>IF(COUNTIF(Comp3[Comparable '#3 Dates],Benchmark1[[#This Row],[Benchmark '#1 Dates]])=1,"Pass","Fail")</f>
        <v>Pass</v>
      </c>
      <c r="Q254" s="6">
        <f>IF(Benchmark1[[#This Row],[Comparable '#3 Date Check]]="Pass",INDEX(Comp3[Comparable '#3 Price],MATCH(Benchmark1[[#This Row],[Benchmark '#1 Dates]],Comp3[Comparable '#3 Dates],0)),"-")</f>
        <v>180</v>
      </c>
      <c r="R254" s="22">
        <f>IF(Benchmark1[[#This Row],[Comparable '#3 Date Check]]="Pass",INDEX(Comp3[Comparable '#3 Return],MATCH(Benchmark1[[#This Row],[Benchmark '#1 Dates]],Comp3[Comparable '#3 Dates],0)),"-")</f>
        <v>-6.699728833856047E-3</v>
      </c>
      <c r="S254" s="1">
        <f>IFERROR(IF(Benchmark1[[#This Row],[Comparable '#3 Date Check]]="Pass",Benchmark1[[#This Row],[Comparable '#3 Return]]-Benchmark1[[#This Row],[Benchmark '#1 Return]],"-"),"-")</f>
        <v>-1.8511707049403379E-3</v>
      </c>
    </row>
    <row r="255" spans="1:19">
      <c r="A255" s="103">
        <v>43655</v>
      </c>
      <c r="B255" s="104">
        <v>2979.6258058689832</v>
      </c>
      <c r="C255" s="4">
        <f t="shared" si="3"/>
        <v>1.2359200836661536E-3</v>
      </c>
      <c r="D255" s="1" t="str">
        <f>IF(COUNTIF(Target1[Target Dates],Benchmark1[[#This Row],[Benchmark '#1 Dates]])=1,"Pass","Fail")</f>
        <v>Pass</v>
      </c>
      <c r="E255" s="6">
        <f>IF(Benchmark1[[#This Row],[Target Date Check]]="Pass",INDEX(Target1[Target Price],MATCH(Benchmark1[[#This Row],[Benchmark '#1 Dates]],Target1[Target Dates],0)),"-")</f>
        <v>30.37</v>
      </c>
      <c r="F255" s="22">
        <f>IF(Benchmark1[[#This Row],[Target Date Check]]="Pass",INDEX(Target1[Target Return],MATCH(Benchmark1[[#This Row],[Benchmark '#1 Dates]],Target1[Target Dates],0)),"-")</f>
        <v>-1.6005567877357348E-2</v>
      </c>
      <c r="G255" s="1">
        <f>IFERROR(IF(Benchmark1[[#This Row],[Target Date Check]]="Pass",Benchmark1[[#This Row],[Target Return]]-Benchmark1[[#This Row],[Benchmark '#1 Return]],"-"),"-")</f>
        <v>-1.7241487961023504E-2</v>
      </c>
      <c r="H255" s="1" t="str">
        <f>IF(COUNTIF(Comp1[Comparable '#1 Dates],Benchmark1[[#This Row],[Benchmark '#1 Dates]])=1,"Pass","Fail")</f>
        <v>Pass</v>
      </c>
      <c r="I255" s="6">
        <f>IF(Benchmark1[[#This Row],[Comparable '#1 Date Check]]="Pass",INDEX(Comp1[Comparable '#1 Price],MATCH(Benchmark1[[#This Row],[Benchmark '#1 Dates]],Comp1[Comparable '#1 Dates],0)),"-")</f>
        <v>15.59</v>
      </c>
      <c r="J255" s="22">
        <f>IF(Benchmark1[[#This Row],[Comparable '#1 Date Check]]="Pass",INDEX(Comp1[Comparable '#1 Return],MATCH(Benchmark1[[#This Row],[Benchmark '#1 Dates]],Comp1[Comparable '#1 Dates],0)),"-")</f>
        <v>-1.2113632348043043E-2</v>
      </c>
      <c r="K255" s="1">
        <f>IFERROR(IF(Benchmark1[[#This Row],[Comparable '#1 Date Check]]="Pass",Benchmark1[[#This Row],[Comparable '#1 Return]]-Benchmark1[[#This Row],[Benchmark '#1 Return]],"-"),"-")</f>
        <v>-1.3349552431709197E-2</v>
      </c>
      <c r="L255" s="1" t="str">
        <f>IF(COUNTIF(Comp2[Comparable '#2 Dates],Benchmark1[[#This Row],[Benchmark '#1 Dates]])=1,"Pass","Fail")</f>
        <v>Pass</v>
      </c>
      <c r="M255" s="6">
        <f>IF(Benchmark1[[#This Row],[Comparable '#2 Date Check]]="Pass",INDEX(Comp2[Comparable '#2 Price],MATCH(Benchmark1[[#This Row],[Benchmark '#1 Dates]],Comp2[Comparable '#2 Dates],0)),"-")</f>
        <v>45.1</v>
      </c>
      <c r="N255" s="22">
        <f>IF(Benchmark1[[#This Row],[Comparable '#2 Date Check]]="Pass",INDEX(Comp2[Comparable '#2 Return],MATCH(Benchmark1[[#This Row],[Benchmark '#1 Dates]],Comp2[Comparable '#2 Dates],0)),"-")</f>
        <v>-1.5509031578801011E-3</v>
      </c>
      <c r="O255" s="1">
        <f>IFERROR(IF(Benchmark1[[#This Row],[Comparable '#2 Date Check]]="Pass",Benchmark1[[#This Row],[Comparable '#2 Return]]-Benchmark1[[#This Row],[Benchmark '#1 Return]],"-"),"-")</f>
        <v>-2.7868232415462547E-3</v>
      </c>
      <c r="P255" s="1" t="str">
        <f>IF(COUNTIF(Comp3[Comparable '#3 Dates],Benchmark1[[#This Row],[Benchmark '#1 Dates]])=1,"Pass","Fail")</f>
        <v>Pass</v>
      </c>
      <c r="Q255" s="6">
        <f>IF(Benchmark1[[#This Row],[Comparable '#3 Date Check]]="Pass",INDEX(Comp3[Comparable '#3 Price],MATCH(Benchmark1[[#This Row],[Benchmark '#1 Dates]],Comp3[Comparable '#3 Dates],0)),"-")</f>
        <v>181.19</v>
      </c>
      <c r="R255" s="22">
        <f>IF(Benchmark1[[#This Row],[Comparable '#3 Date Check]]="Pass",INDEX(Comp3[Comparable '#3 Return],MATCH(Benchmark1[[#This Row],[Benchmark '#1 Dates]],Comp3[Comparable '#3 Dates],0)),"-")</f>
        <v>6.589353557805773E-3</v>
      </c>
      <c r="S255" s="1">
        <f>IFERROR(IF(Benchmark1[[#This Row],[Comparable '#3 Date Check]]="Pass",Benchmark1[[#This Row],[Comparable '#3 Return]]-Benchmark1[[#This Row],[Benchmark '#1 Return]],"-"),"-")</f>
        <v>5.3534334741396194E-3</v>
      </c>
    </row>
    <row r="256" spans="1:19">
      <c r="A256" s="103">
        <v>43656</v>
      </c>
      <c r="B256" s="104">
        <v>2993.0699580184587</v>
      </c>
      <c r="C256" s="4">
        <f t="shared" si="3"/>
        <v>4.5018783433453833E-3</v>
      </c>
      <c r="D256" s="1" t="str">
        <f>IF(COUNTIF(Target1[Target Dates],Benchmark1[[#This Row],[Benchmark '#1 Dates]])=1,"Pass","Fail")</f>
        <v>Pass</v>
      </c>
      <c r="E256" s="6">
        <f>IF(Benchmark1[[#This Row],[Target Date Check]]="Pass",INDEX(Target1[Target Price],MATCH(Benchmark1[[#This Row],[Benchmark '#1 Dates]],Target1[Target Dates],0)),"-")</f>
        <v>30.15</v>
      </c>
      <c r="F256" s="22">
        <f>IF(Benchmark1[[#This Row],[Target Date Check]]="Pass",INDEX(Target1[Target Return],MATCH(Benchmark1[[#This Row],[Benchmark '#1 Dates]],Target1[Target Dates],0)),"-")</f>
        <v>-7.270355884462989E-3</v>
      </c>
      <c r="G256" s="1">
        <f>IFERROR(IF(Benchmark1[[#This Row],[Target Date Check]]="Pass",Benchmark1[[#This Row],[Target Return]]-Benchmark1[[#This Row],[Benchmark '#1 Return]],"-"),"-")</f>
        <v>-1.1772234227808372E-2</v>
      </c>
      <c r="H256" s="1" t="str">
        <f>IF(COUNTIF(Comp1[Comparable '#1 Dates],Benchmark1[[#This Row],[Benchmark '#1 Dates]])=1,"Pass","Fail")</f>
        <v>Pass</v>
      </c>
      <c r="I256" s="6">
        <f>IF(Benchmark1[[#This Row],[Comparable '#1 Date Check]]="Pass",INDEX(Comp1[Comparable '#1 Price],MATCH(Benchmark1[[#This Row],[Benchmark '#1 Dates]],Comp1[Comparable '#1 Dates],0)),"-")</f>
        <v>15.64</v>
      </c>
      <c r="J256" s="22">
        <f>IF(Benchmark1[[#This Row],[Comparable '#1 Date Check]]="Pass",INDEX(Comp1[Comparable '#1 Return],MATCH(Benchmark1[[#This Row],[Benchmark '#1 Dates]],Comp1[Comparable '#1 Dates],0)),"-")</f>
        <v>3.2020520474798347E-3</v>
      </c>
      <c r="K256" s="1">
        <f>IFERROR(IF(Benchmark1[[#This Row],[Comparable '#1 Date Check]]="Pass",Benchmark1[[#This Row],[Comparable '#1 Return]]-Benchmark1[[#This Row],[Benchmark '#1 Return]],"-"),"-")</f>
        <v>-1.2998262958655487E-3</v>
      </c>
      <c r="L256" s="1" t="str">
        <f>IF(COUNTIF(Comp2[Comparable '#2 Dates],Benchmark1[[#This Row],[Benchmark '#1 Dates]])=1,"Pass","Fail")</f>
        <v>Pass</v>
      </c>
      <c r="M256" s="6">
        <f>IF(Benchmark1[[#This Row],[Comparable '#2 Date Check]]="Pass",INDEX(Comp2[Comparable '#2 Price],MATCH(Benchmark1[[#This Row],[Benchmark '#1 Dates]],Comp2[Comparable '#2 Dates],0)),"-")</f>
        <v>45.28</v>
      </c>
      <c r="N256" s="22">
        <f>IF(Benchmark1[[#This Row],[Comparable '#2 Date Check]]="Pass",INDEX(Comp2[Comparable '#2 Return],MATCH(Benchmark1[[#This Row],[Benchmark '#1 Dates]],Comp2[Comparable '#2 Dates],0)),"-")</f>
        <v>3.9831873862947531E-3</v>
      </c>
      <c r="O256" s="1">
        <f>IFERROR(IF(Benchmark1[[#This Row],[Comparable '#2 Date Check]]="Pass",Benchmark1[[#This Row],[Comparable '#2 Return]]-Benchmark1[[#This Row],[Benchmark '#1 Return]],"-"),"-")</f>
        <v>-5.1869095705063019E-4</v>
      </c>
      <c r="P256" s="1" t="str">
        <f>IF(COUNTIF(Comp3[Comparable '#3 Dates],Benchmark1[[#This Row],[Benchmark '#1 Dates]])=1,"Pass","Fail")</f>
        <v>Pass</v>
      </c>
      <c r="Q256" s="6">
        <f>IF(Benchmark1[[#This Row],[Comparable '#3 Date Check]]="Pass",INDEX(Comp3[Comparable '#3 Price],MATCH(Benchmark1[[#This Row],[Benchmark '#1 Dates]],Comp3[Comparable '#3 Dates],0)),"-")</f>
        <v>180.89</v>
      </c>
      <c r="R256" s="22">
        <f>IF(Benchmark1[[#This Row],[Comparable '#3 Date Check]]="Pass",INDEX(Comp3[Comparable '#3 Return],MATCH(Benchmark1[[#This Row],[Benchmark '#1 Dates]],Comp3[Comparable '#3 Dates],0)),"-")</f>
        <v>-1.6570927344725821E-3</v>
      </c>
      <c r="S256" s="1">
        <f>IFERROR(IF(Benchmark1[[#This Row],[Comparable '#3 Date Check]]="Pass",Benchmark1[[#This Row],[Comparable '#3 Return]]-Benchmark1[[#This Row],[Benchmark '#1 Return]],"-"),"-")</f>
        <v>-6.1589710778179657E-3</v>
      </c>
    </row>
    <row r="257" spans="1:19">
      <c r="A257" s="103">
        <v>43657</v>
      </c>
      <c r="B257" s="104">
        <v>2999.90694729709</v>
      </c>
      <c r="C257" s="4">
        <f t="shared" si="3"/>
        <v>2.2816681434851003E-3</v>
      </c>
      <c r="D257" s="1" t="str">
        <f>IF(COUNTIF(Target1[Target Dates],Benchmark1[[#This Row],[Benchmark '#1 Dates]])=1,"Pass","Fail")</f>
        <v>Pass</v>
      </c>
      <c r="E257" s="6">
        <f>IF(Benchmark1[[#This Row],[Target Date Check]]="Pass",INDEX(Target1[Target Price],MATCH(Benchmark1[[#This Row],[Benchmark '#1 Dates]],Target1[Target Dates],0)),"-")</f>
        <v>30.9</v>
      </c>
      <c r="F257" s="22">
        <f>IF(Benchmark1[[#This Row],[Target Date Check]]="Pass",INDEX(Target1[Target Return],MATCH(Benchmark1[[#This Row],[Benchmark '#1 Dates]],Target1[Target Dates],0)),"-")</f>
        <v>2.4571260730505327E-2</v>
      </c>
      <c r="G257" s="1">
        <f>IFERROR(IF(Benchmark1[[#This Row],[Target Date Check]]="Pass",Benchmark1[[#This Row],[Target Return]]-Benchmark1[[#This Row],[Benchmark '#1 Return]],"-"),"-")</f>
        <v>2.2289592587020228E-2</v>
      </c>
      <c r="H257" s="1" t="str">
        <f>IF(COUNTIF(Comp1[Comparable '#1 Dates],Benchmark1[[#This Row],[Benchmark '#1 Dates]])=1,"Pass","Fail")</f>
        <v>Pass</v>
      </c>
      <c r="I257" s="6">
        <f>IF(Benchmark1[[#This Row],[Comparable '#1 Date Check]]="Pass",INDEX(Comp1[Comparable '#1 Price],MATCH(Benchmark1[[#This Row],[Benchmark '#1 Dates]],Comp1[Comparable '#1 Dates],0)),"-")</f>
        <v>15.8</v>
      </c>
      <c r="J257" s="22">
        <f>IF(Benchmark1[[#This Row],[Comparable '#1 Date Check]]="Pass",INDEX(Comp1[Comparable '#1 Return],MATCH(Benchmark1[[#This Row],[Benchmark '#1 Dates]],Comp1[Comparable '#1 Dates],0)),"-")</f>
        <v>1.0178204915756052E-2</v>
      </c>
      <c r="K257" s="1">
        <f>IFERROR(IF(Benchmark1[[#This Row],[Comparable '#1 Date Check]]="Pass",Benchmark1[[#This Row],[Comparable '#1 Return]]-Benchmark1[[#This Row],[Benchmark '#1 Return]],"-"),"-")</f>
        <v>7.8965367722709512E-3</v>
      </c>
      <c r="L257" s="1" t="str">
        <f>IF(COUNTIF(Comp2[Comparable '#2 Dates],Benchmark1[[#This Row],[Benchmark '#1 Dates]])=1,"Pass","Fail")</f>
        <v>Pass</v>
      </c>
      <c r="M257" s="6">
        <f>IF(Benchmark1[[#This Row],[Comparable '#2 Date Check]]="Pass",INDEX(Comp2[Comparable '#2 Price],MATCH(Benchmark1[[#This Row],[Benchmark '#1 Dates]],Comp2[Comparable '#2 Dates],0)),"-")</f>
        <v>45.34</v>
      </c>
      <c r="N257" s="22">
        <f>IF(Benchmark1[[#This Row],[Comparable '#2 Date Check]]="Pass",INDEX(Comp2[Comparable '#2 Return],MATCH(Benchmark1[[#This Row],[Benchmark '#1 Dates]],Comp2[Comparable '#2 Dates],0)),"-")</f>
        <v>1.3242111844554507E-3</v>
      </c>
      <c r="O257" s="1">
        <f>IFERROR(IF(Benchmark1[[#This Row],[Comparable '#2 Date Check]]="Pass",Benchmark1[[#This Row],[Comparable '#2 Return]]-Benchmark1[[#This Row],[Benchmark '#1 Return]],"-"),"-")</f>
        <v>-9.5745695902964951E-4</v>
      </c>
      <c r="P257" s="1" t="str">
        <f>IF(COUNTIF(Comp3[Comparable '#3 Dates],Benchmark1[[#This Row],[Benchmark '#1 Dates]])=1,"Pass","Fail")</f>
        <v>Pass</v>
      </c>
      <c r="Q257" s="6">
        <f>IF(Benchmark1[[#This Row],[Comparable '#3 Date Check]]="Pass",INDEX(Comp3[Comparable '#3 Price],MATCH(Benchmark1[[#This Row],[Benchmark '#1 Dates]],Comp3[Comparable '#3 Dates],0)),"-")</f>
        <v>182.43</v>
      </c>
      <c r="R257" s="22">
        <f>IF(Benchmark1[[#This Row],[Comparable '#3 Date Check]]="Pass",INDEX(Comp3[Comparable '#3 Return],MATCH(Benchmark1[[#This Row],[Benchmark '#1 Dates]],Comp3[Comparable '#3 Dates],0)),"-")</f>
        <v>8.4774260865846506E-3</v>
      </c>
      <c r="S257" s="1">
        <f>IFERROR(IF(Benchmark1[[#This Row],[Comparable '#3 Date Check]]="Pass",Benchmark1[[#This Row],[Comparable '#3 Return]]-Benchmark1[[#This Row],[Benchmark '#1 Return]],"-"),"-")</f>
        <v>6.1957579430995504E-3</v>
      </c>
    </row>
    <row r="258" spans="1:19">
      <c r="A258" s="103">
        <v>43658</v>
      </c>
      <c r="B258" s="104">
        <v>3013.7726490768137</v>
      </c>
      <c r="C258" s="4">
        <f t="shared" ref="C258:C321" si="4">IFERROR(IF(B258="","-",LN(B258/B257)),"-")</f>
        <v>4.6113951129733493E-3</v>
      </c>
      <c r="D258" s="1" t="str">
        <f>IF(COUNTIF(Target1[Target Dates],Benchmark1[[#This Row],[Benchmark '#1 Dates]])=1,"Pass","Fail")</f>
        <v>Pass</v>
      </c>
      <c r="E258" s="6">
        <f>IF(Benchmark1[[#This Row],[Target Date Check]]="Pass",INDEX(Target1[Target Price],MATCH(Benchmark1[[#This Row],[Benchmark '#1 Dates]],Target1[Target Dates],0)),"-")</f>
        <v>31.25</v>
      </c>
      <c r="F258" s="22">
        <f>IF(Benchmark1[[#This Row],[Target Date Check]]="Pass",INDEX(Target1[Target Return],MATCH(Benchmark1[[#This Row],[Benchmark '#1 Dates]],Target1[Target Dates],0)),"-")</f>
        <v>1.1263192278710869E-2</v>
      </c>
      <c r="G258" s="1">
        <f>IFERROR(IF(Benchmark1[[#This Row],[Target Date Check]]="Pass",Benchmark1[[#This Row],[Target Return]]-Benchmark1[[#This Row],[Benchmark '#1 Return]],"-"),"-")</f>
        <v>6.6517971657375193E-3</v>
      </c>
      <c r="H258" s="1" t="str">
        <f>IF(COUNTIF(Comp1[Comparable '#1 Dates],Benchmark1[[#This Row],[Benchmark '#1 Dates]])=1,"Pass","Fail")</f>
        <v>Pass</v>
      </c>
      <c r="I258" s="6">
        <f>IF(Benchmark1[[#This Row],[Comparable '#1 Date Check]]="Pass",INDEX(Comp1[Comparable '#1 Price],MATCH(Benchmark1[[#This Row],[Benchmark '#1 Dates]],Comp1[Comparable '#1 Dates],0)),"-")</f>
        <v>16.059999999999999</v>
      </c>
      <c r="J258" s="22">
        <f>IF(Benchmark1[[#This Row],[Comparable '#1 Date Check]]="Pass",INDEX(Comp1[Comparable '#1 Return],MATCH(Benchmark1[[#This Row],[Benchmark '#1 Dates]],Comp1[Comparable '#1 Dates],0)),"-")</f>
        <v>1.6321768485694364E-2</v>
      </c>
      <c r="K258" s="1">
        <f>IFERROR(IF(Benchmark1[[#This Row],[Comparable '#1 Date Check]]="Pass",Benchmark1[[#This Row],[Comparable '#1 Return]]-Benchmark1[[#This Row],[Benchmark '#1 Return]],"-"),"-")</f>
        <v>1.1710373372721013E-2</v>
      </c>
      <c r="L258" s="1" t="str">
        <f>IF(COUNTIF(Comp2[Comparable '#2 Dates],Benchmark1[[#This Row],[Benchmark '#1 Dates]])=1,"Pass","Fail")</f>
        <v>Pass</v>
      </c>
      <c r="M258" s="6">
        <f>IF(Benchmark1[[#This Row],[Comparable '#2 Date Check]]="Pass",INDEX(Comp2[Comparable '#2 Price],MATCH(Benchmark1[[#This Row],[Benchmark '#1 Dates]],Comp2[Comparable '#2 Dates],0)),"-")</f>
        <v>45.83</v>
      </c>
      <c r="N258" s="22">
        <f>IF(Benchmark1[[#This Row],[Comparable '#2 Date Check]]="Pass",INDEX(Comp2[Comparable '#2 Return],MATCH(Benchmark1[[#This Row],[Benchmark '#1 Dates]],Comp2[Comparable '#2 Dates],0)),"-")</f>
        <v>1.0749253441649587E-2</v>
      </c>
      <c r="O258" s="1">
        <f>IFERROR(IF(Benchmark1[[#This Row],[Comparable '#2 Date Check]]="Pass",Benchmark1[[#This Row],[Comparable '#2 Return]]-Benchmark1[[#This Row],[Benchmark '#1 Return]],"-"),"-")</f>
        <v>6.1378583286762376E-3</v>
      </c>
      <c r="P258" s="1" t="str">
        <f>IF(COUNTIF(Comp3[Comparable '#3 Dates],Benchmark1[[#This Row],[Benchmark '#1 Dates]])=1,"Pass","Fail")</f>
        <v>Pass</v>
      </c>
      <c r="Q258" s="6">
        <f>IF(Benchmark1[[#This Row],[Comparable '#3 Date Check]]="Pass",INDEX(Comp3[Comparable '#3 Price],MATCH(Benchmark1[[#This Row],[Benchmark '#1 Dates]],Comp3[Comparable '#3 Dates],0)),"-")</f>
        <v>180.99</v>
      </c>
      <c r="R258" s="22">
        <f>IF(Benchmark1[[#This Row],[Comparable '#3 Date Check]]="Pass",INDEX(Comp3[Comparable '#3 Return],MATCH(Benchmark1[[#This Row],[Benchmark '#1 Dates]],Comp3[Comparable '#3 Dates],0)),"-")</f>
        <v>-7.924756679347944E-3</v>
      </c>
      <c r="S258" s="1">
        <f>IFERROR(IF(Benchmark1[[#This Row],[Comparable '#3 Date Check]]="Pass",Benchmark1[[#This Row],[Comparable '#3 Return]]-Benchmark1[[#This Row],[Benchmark '#1 Return]],"-"),"-")</f>
        <v>-1.2536151792321294E-2</v>
      </c>
    </row>
    <row r="259" spans="1:19">
      <c r="A259" s="103">
        <v>43661</v>
      </c>
      <c r="B259" s="104">
        <v>3014.2978852130268</v>
      </c>
      <c r="C259" s="4">
        <f t="shared" si="4"/>
        <v>1.7426343456161062E-4</v>
      </c>
      <c r="D259" s="1" t="str">
        <f>IF(COUNTIF(Target1[Target Dates],Benchmark1[[#This Row],[Benchmark '#1 Dates]])=1,"Pass","Fail")</f>
        <v>Pass</v>
      </c>
      <c r="E259" s="6">
        <f>IF(Benchmark1[[#This Row],[Target Date Check]]="Pass",INDEX(Target1[Target Price],MATCH(Benchmark1[[#This Row],[Benchmark '#1 Dates]],Target1[Target Dates],0)),"-")</f>
        <v>31.36</v>
      </c>
      <c r="F259" s="22">
        <f>IF(Benchmark1[[#This Row],[Target Date Check]]="Pass",INDEX(Target1[Target Return],MATCH(Benchmark1[[#This Row],[Benchmark '#1 Dates]],Target1[Target Dates],0)),"-")</f>
        <v>3.5138192997965613E-3</v>
      </c>
      <c r="G259" s="1">
        <f>IFERROR(IF(Benchmark1[[#This Row],[Target Date Check]]="Pass",Benchmark1[[#This Row],[Target Return]]-Benchmark1[[#This Row],[Benchmark '#1 Return]],"-"),"-")</f>
        <v>3.3395558652349507E-3</v>
      </c>
      <c r="H259" s="1" t="str">
        <f>IF(COUNTIF(Comp1[Comparable '#1 Dates],Benchmark1[[#This Row],[Benchmark '#1 Dates]])=1,"Pass","Fail")</f>
        <v>Pass</v>
      </c>
      <c r="I259" s="6">
        <f>IF(Benchmark1[[#This Row],[Comparable '#1 Date Check]]="Pass",INDEX(Comp1[Comparable '#1 Price],MATCH(Benchmark1[[#This Row],[Benchmark '#1 Dates]],Comp1[Comparable '#1 Dates],0)),"-")</f>
        <v>16.190000000000001</v>
      </c>
      <c r="J259" s="22">
        <f>IF(Benchmark1[[#This Row],[Comparable '#1 Date Check]]="Pass",INDEX(Comp1[Comparable '#1 Return],MATCH(Benchmark1[[#This Row],[Benchmark '#1 Dates]],Comp1[Comparable '#1 Dates],0)),"-")</f>
        <v>8.0620591709283998E-3</v>
      </c>
      <c r="K259" s="1">
        <f>IFERROR(IF(Benchmark1[[#This Row],[Comparable '#1 Date Check]]="Pass",Benchmark1[[#This Row],[Comparable '#1 Return]]-Benchmark1[[#This Row],[Benchmark '#1 Return]],"-"),"-")</f>
        <v>7.88779573636679E-3</v>
      </c>
      <c r="L259" s="1" t="str">
        <f>IF(COUNTIF(Comp2[Comparable '#2 Dates],Benchmark1[[#This Row],[Benchmark '#1 Dates]])=1,"Pass","Fail")</f>
        <v>Pass</v>
      </c>
      <c r="M259" s="6">
        <f>IF(Benchmark1[[#This Row],[Comparable '#2 Date Check]]="Pass",INDEX(Comp2[Comparable '#2 Price],MATCH(Benchmark1[[#This Row],[Benchmark '#1 Dates]],Comp2[Comparable '#2 Dates],0)),"-")</f>
        <v>46.03</v>
      </c>
      <c r="N259" s="22">
        <f>IF(Benchmark1[[#This Row],[Comparable '#2 Date Check]]="Pass",INDEX(Comp2[Comparable '#2 Return],MATCH(Benchmark1[[#This Row],[Benchmark '#1 Dates]],Comp2[Comparable '#2 Dates],0)),"-")</f>
        <v>4.3544593081173552E-3</v>
      </c>
      <c r="O259" s="1">
        <f>IFERROR(IF(Benchmark1[[#This Row],[Comparable '#2 Date Check]]="Pass",Benchmark1[[#This Row],[Comparable '#2 Return]]-Benchmark1[[#This Row],[Benchmark '#1 Return]],"-"),"-")</f>
        <v>4.1801958735557445E-3</v>
      </c>
      <c r="P259" s="1" t="str">
        <f>IF(COUNTIF(Comp3[Comparable '#3 Dates],Benchmark1[[#This Row],[Benchmark '#1 Dates]])=1,"Pass","Fail")</f>
        <v>Pass</v>
      </c>
      <c r="Q259" s="6">
        <f>IF(Benchmark1[[#This Row],[Comparable '#3 Date Check]]="Pass",INDEX(Comp3[Comparable '#3 Price],MATCH(Benchmark1[[#This Row],[Benchmark '#1 Dates]],Comp3[Comparable '#3 Dates],0)),"-")</f>
        <v>183.58</v>
      </c>
      <c r="R259" s="22">
        <f>IF(Benchmark1[[#This Row],[Comparable '#3 Date Check]]="Pass",INDEX(Comp3[Comparable '#3 Return],MATCH(Benchmark1[[#This Row],[Benchmark '#1 Dates]],Comp3[Comparable '#3 Dates],0)),"-")</f>
        <v>1.420875867016496E-2</v>
      </c>
      <c r="S259" s="1">
        <f>IFERROR(IF(Benchmark1[[#This Row],[Comparable '#3 Date Check]]="Pass",Benchmark1[[#This Row],[Comparable '#3 Return]]-Benchmark1[[#This Row],[Benchmark '#1 Return]],"-"),"-")</f>
        <v>1.403449523560335E-2</v>
      </c>
    </row>
    <row r="260" spans="1:19">
      <c r="A260" s="103">
        <v>43662</v>
      </c>
      <c r="B260" s="104">
        <v>3004.0431039320347</v>
      </c>
      <c r="C260" s="4">
        <f t="shared" si="4"/>
        <v>-3.4078465224579167E-3</v>
      </c>
      <c r="D260" s="1" t="str">
        <f>IF(COUNTIF(Target1[Target Dates],Benchmark1[[#This Row],[Benchmark '#1 Dates]])=1,"Pass","Fail")</f>
        <v>Pass</v>
      </c>
      <c r="E260" s="6">
        <f>IF(Benchmark1[[#This Row],[Target Date Check]]="Pass",INDEX(Target1[Target Price],MATCH(Benchmark1[[#This Row],[Benchmark '#1 Dates]],Target1[Target Dates],0)),"-")</f>
        <v>30.68</v>
      </c>
      <c r="F260" s="22">
        <f>IF(Benchmark1[[#This Row],[Target Date Check]]="Pass",INDEX(Target1[Target Return],MATCH(Benchmark1[[#This Row],[Benchmark '#1 Dates]],Target1[Target Dates],0)),"-")</f>
        <v>-2.1922218983151616E-2</v>
      </c>
      <c r="G260" s="1">
        <f>IFERROR(IF(Benchmark1[[#This Row],[Target Date Check]]="Pass",Benchmark1[[#This Row],[Target Return]]-Benchmark1[[#This Row],[Benchmark '#1 Return]],"-"),"-")</f>
        <v>-1.85143724606937E-2</v>
      </c>
      <c r="H260" s="1" t="str">
        <f>IF(COUNTIF(Comp1[Comparable '#1 Dates],Benchmark1[[#This Row],[Benchmark '#1 Dates]])=1,"Pass","Fail")</f>
        <v>Pass</v>
      </c>
      <c r="I260" s="6">
        <f>IF(Benchmark1[[#This Row],[Comparable '#1 Date Check]]="Pass",INDEX(Comp1[Comparable '#1 Price],MATCH(Benchmark1[[#This Row],[Benchmark '#1 Dates]],Comp1[Comparable '#1 Dates],0)),"-")</f>
        <v>16.22</v>
      </c>
      <c r="J260" s="22">
        <f>IF(Benchmark1[[#This Row],[Comparable '#1 Date Check]]="Pass",INDEX(Comp1[Comparable '#1 Return],MATCH(Benchmark1[[#This Row],[Benchmark '#1 Dates]],Comp1[Comparable '#1 Dates],0)),"-")</f>
        <v>1.8512809977230173E-3</v>
      </c>
      <c r="K260" s="1">
        <f>IFERROR(IF(Benchmark1[[#This Row],[Comparable '#1 Date Check]]="Pass",Benchmark1[[#This Row],[Comparable '#1 Return]]-Benchmark1[[#This Row],[Benchmark '#1 Return]],"-"),"-")</f>
        <v>5.2591275201809336E-3</v>
      </c>
      <c r="L260" s="1" t="str">
        <f>IF(COUNTIF(Comp2[Comparable '#2 Dates],Benchmark1[[#This Row],[Benchmark '#1 Dates]])=1,"Pass","Fail")</f>
        <v>Pass</v>
      </c>
      <c r="M260" s="6">
        <f>IF(Benchmark1[[#This Row],[Comparable '#2 Date Check]]="Pass",INDEX(Comp2[Comparable '#2 Price],MATCH(Benchmark1[[#This Row],[Benchmark '#1 Dates]],Comp2[Comparable '#2 Dates],0)),"-")</f>
        <v>46.38</v>
      </c>
      <c r="N260" s="22">
        <f>IF(Benchmark1[[#This Row],[Comparable '#2 Date Check]]="Pass",INDEX(Comp2[Comparable '#2 Return],MATCH(Benchmark1[[#This Row],[Benchmark '#1 Dates]],Comp2[Comparable '#2 Dates],0)),"-")</f>
        <v>7.5749739982356656E-3</v>
      </c>
      <c r="O260" s="1">
        <f>IFERROR(IF(Benchmark1[[#This Row],[Comparable '#2 Date Check]]="Pass",Benchmark1[[#This Row],[Comparable '#2 Return]]-Benchmark1[[#This Row],[Benchmark '#1 Return]],"-"),"-")</f>
        <v>1.0982820520693583E-2</v>
      </c>
      <c r="P260" s="1" t="str">
        <f>IF(COUNTIF(Comp3[Comparable '#3 Dates],Benchmark1[[#This Row],[Benchmark '#1 Dates]])=1,"Pass","Fail")</f>
        <v>Pass</v>
      </c>
      <c r="Q260" s="6">
        <f>IF(Benchmark1[[#This Row],[Comparable '#3 Date Check]]="Pass",INDEX(Comp3[Comparable '#3 Price],MATCH(Benchmark1[[#This Row],[Benchmark '#1 Dates]],Comp3[Comparable '#3 Dates],0)),"-")</f>
        <v>181.84</v>
      </c>
      <c r="R260" s="22">
        <f>IF(Benchmark1[[#This Row],[Comparable '#3 Date Check]]="Pass",INDEX(Comp3[Comparable '#3 Return],MATCH(Benchmark1[[#This Row],[Benchmark '#1 Dates]],Comp3[Comparable '#3 Dates],0)),"-")</f>
        <v>-9.5233602466572535E-3</v>
      </c>
      <c r="S260" s="1">
        <f>IFERROR(IF(Benchmark1[[#This Row],[Comparable '#3 Date Check]]="Pass",Benchmark1[[#This Row],[Comparable '#3 Return]]-Benchmark1[[#This Row],[Benchmark '#1 Return]],"-"),"-")</f>
        <v>-6.1155137241993372E-3</v>
      </c>
    </row>
    <row r="261" spans="1:19">
      <c r="A261" s="103">
        <v>43663</v>
      </c>
      <c r="B261" s="104">
        <v>2984.4234710898791</v>
      </c>
      <c r="C261" s="4">
        <f t="shared" si="4"/>
        <v>-6.5524964676915709E-3</v>
      </c>
      <c r="D261" s="1" t="str">
        <f>IF(COUNTIF(Target1[Target Dates],Benchmark1[[#This Row],[Benchmark '#1 Dates]])=1,"Pass","Fail")</f>
        <v>Pass</v>
      </c>
      <c r="E261" s="6">
        <f>IF(Benchmark1[[#This Row],[Target Date Check]]="Pass",INDEX(Target1[Target Price],MATCH(Benchmark1[[#This Row],[Benchmark '#1 Dates]],Target1[Target Dates],0)),"-")</f>
        <v>30.78</v>
      </c>
      <c r="F261" s="22">
        <f>IF(Benchmark1[[#This Row],[Target Date Check]]="Pass",INDEX(Target1[Target Return],MATCH(Benchmark1[[#This Row],[Benchmark '#1 Dates]],Target1[Target Dates],0)),"-")</f>
        <v>3.2541519116778229E-3</v>
      </c>
      <c r="G261" s="1">
        <f>IFERROR(IF(Benchmark1[[#This Row],[Target Date Check]]="Pass",Benchmark1[[#This Row],[Target Return]]-Benchmark1[[#This Row],[Benchmark '#1 Return]],"-"),"-")</f>
        <v>9.8066483793693947E-3</v>
      </c>
      <c r="H261" s="1" t="str">
        <f>IF(COUNTIF(Comp1[Comparable '#1 Dates],Benchmark1[[#This Row],[Benchmark '#1 Dates]])=1,"Pass","Fail")</f>
        <v>Pass</v>
      </c>
      <c r="I261" s="6">
        <f>IF(Benchmark1[[#This Row],[Comparable '#1 Date Check]]="Pass",INDEX(Comp1[Comparable '#1 Price],MATCH(Benchmark1[[#This Row],[Benchmark '#1 Dates]],Comp1[Comparable '#1 Dates],0)),"-")</f>
        <v>16.28</v>
      </c>
      <c r="J261" s="22">
        <f>IF(Benchmark1[[#This Row],[Comparable '#1 Date Check]]="Pass",INDEX(Comp1[Comparable '#1 Return],MATCH(Benchmark1[[#This Row],[Benchmark '#1 Dates]],Comp1[Comparable '#1 Dates],0)),"-")</f>
        <v>3.6923118871275921E-3</v>
      </c>
      <c r="K261" s="1">
        <f>IFERROR(IF(Benchmark1[[#This Row],[Comparable '#1 Date Check]]="Pass",Benchmark1[[#This Row],[Comparable '#1 Return]]-Benchmark1[[#This Row],[Benchmark '#1 Return]],"-"),"-")</f>
        <v>1.0244808354819163E-2</v>
      </c>
      <c r="L261" s="1" t="str">
        <f>IF(COUNTIF(Comp2[Comparable '#2 Dates],Benchmark1[[#This Row],[Benchmark '#1 Dates]])=1,"Pass","Fail")</f>
        <v>Pass</v>
      </c>
      <c r="M261" s="6">
        <f>IF(Benchmark1[[#This Row],[Comparable '#2 Date Check]]="Pass",INDEX(Comp2[Comparable '#2 Price],MATCH(Benchmark1[[#This Row],[Benchmark '#1 Dates]],Comp2[Comparable '#2 Dates],0)),"-")</f>
        <v>46.61</v>
      </c>
      <c r="N261" s="22">
        <f>IF(Benchmark1[[#This Row],[Comparable '#2 Date Check]]="Pass",INDEX(Comp2[Comparable '#2 Return],MATCH(Benchmark1[[#This Row],[Benchmark '#1 Dates]],Comp2[Comparable '#2 Dates],0)),"-")</f>
        <v>4.9467785572639006E-3</v>
      </c>
      <c r="O261" s="1">
        <f>IFERROR(IF(Benchmark1[[#This Row],[Comparable '#2 Date Check]]="Pass",Benchmark1[[#This Row],[Comparable '#2 Return]]-Benchmark1[[#This Row],[Benchmark '#1 Return]],"-"),"-")</f>
        <v>1.1499275024955471E-2</v>
      </c>
      <c r="P261" s="1" t="str">
        <f>IF(COUNTIF(Comp3[Comparable '#3 Dates],Benchmark1[[#This Row],[Benchmark '#1 Dates]])=1,"Pass","Fail")</f>
        <v>Pass</v>
      </c>
      <c r="Q261" s="6">
        <f>IF(Benchmark1[[#This Row],[Comparable '#3 Date Check]]="Pass",INDEX(Comp3[Comparable '#3 Price],MATCH(Benchmark1[[#This Row],[Benchmark '#1 Dates]],Comp3[Comparable '#3 Dates],0)),"-")</f>
        <v>180.11</v>
      </c>
      <c r="R261" s="22">
        <f>IF(Benchmark1[[#This Row],[Comparable '#3 Date Check]]="Pass",INDEX(Comp3[Comparable '#3 Return],MATCH(Benchmark1[[#This Row],[Benchmark '#1 Dates]],Comp3[Comparable '#3 Dates],0)),"-")</f>
        <v>-9.5594041953215685E-3</v>
      </c>
      <c r="S261" s="1">
        <f>IFERROR(IF(Benchmark1[[#This Row],[Comparable '#3 Date Check]]="Pass",Benchmark1[[#This Row],[Comparable '#3 Return]]-Benchmark1[[#This Row],[Benchmark '#1 Return]],"-"),"-")</f>
        <v>-3.0069077276299976E-3</v>
      </c>
    </row>
    <row r="262" spans="1:19">
      <c r="A262" s="103">
        <v>43664</v>
      </c>
      <c r="B262" s="104">
        <v>2995.1124645295586</v>
      </c>
      <c r="C262" s="4">
        <f t="shared" si="4"/>
        <v>3.5751954467180811E-3</v>
      </c>
      <c r="D262" s="1" t="str">
        <f>IF(COUNTIF(Target1[Target Dates],Benchmark1[[#This Row],[Benchmark '#1 Dates]])=1,"Pass","Fail")</f>
        <v>Pass</v>
      </c>
      <c r="E262" s="6">
        <f>IF(Benchmark1[[#This Row],[Target Date Check]]="Pass",INDEX(Target1[Target Price],MATCH(Benchmark1[[#This Row],[Benchmark '#1 Dates]],Target1[Target Dates],0)),"-")</f>
        <v>31.08</v>
      </c>
      <c r="F262" s="22">
        <f>IF(Benchmark1[[#This Row],[Target Date Check]]="Pass",INDEX(Target1[Target Return],MATCH(Benchmark1[[#This Row],[Benchmark '#1 Dates]],Target1[Target Dates],0)),"-")</f>
        <v>9.6993970887133598E-3</v>
      </c>
      <c r="G262" s="1">
        <f>IFERROR(IF(Benchmark1[[#This Row],[Target Date Check]]="Pass",Benchmark1[[#This Row],[Target Return]]-Benchmark1[[#This Row],[Benchmark '#1 Return]],"-"),"-")</f>
        <v>6.1242016419952791E-3</v>
      </c>
      <c r="H262" s="1" t="str">
        <f>IF(COUNTIF(Comp1[Comparable '#1 Dates],Benchmark1[[#This Row],[Benchmark '#1 Dates]])=1,"Pass","Fail")</f>
        <v>Pass</v>
      </c>
      <c r="I262" s="6">
        <f>IF(Benchmark1[[#This Row],[Comparable '#1 Date Check]]="Pass",INDEX(Comp1[Comparable '#1 Price],MATCH(Benchmark1[[#This Row],[Benchmark '#1 Dates]],Comp1[Comparable '#1 Dates],0)),"-")</f>
        <v>16.5</v>
      </c>
      <c r="J262" s="22">
        <f>IF(Benchmark1[[#This Row],[Comparable '#1 Date Check]]="Pass",INDEX(Comp1[Comparable '#1 Return],MATCH(Benchmark1[[#This Row],[Benchmark '#1 Dates]],Comp1[Comparable '#1 Dates],0)),"-")</f>
        <v>1.342302033214055E-2</v>
      </c>
      <c r="K262" s="1">
        <f>IFERROR(IF(Benchmark1[[#This Row],[Comparable '#1 Date Check]]="Pass",Benchmark1[[#This Row],[Comparable '#1 Return]]-Benchmark1[[#This Row],[Benchmark '#1 Return]],"-"),"-")</f>
        <v>9.8478248854224695E-3</v>
      </c>
      <c r="L262" s="1" t="str">
        <f>IF(COUNTIF(Comp2[Comparable '#2 Dates],Benchmark1[[#This Row],[Benchmark '#1 Dates]])=1,"Pass","Fail")</f>
        <v>Pass</v>
      </c>
      <c r="M262" s="6">
        <f>IF(Benchmark1[[#This Row],[Comparable '#2 Date Check]]="Pass",INDEX(Comp2[Comparable '#2 Price],MATCH(Benchmark1[[#This Row],[Benchmark '#1 Dates]],Comp2[Comparable '#2 Dates],0)),"-")</f>
        <v>47.29</v>
      </c>
      <c r="N262" s="22">
        <f>IF(Benchmark1[[#This Row],[Comparable '#2 Date Check]]="Pass",INDEX(Comp2[Comparable '#2 Return],MATCH(Benchmark1[[#This Row],[Benchmark '#1 Dates]],Comp2[Comparable '#2 Dates],0)),"-")</f>
        <v>1.4483746271134808E-2</v>
      </c>
      <c r="O262" s="1">
        <f>IFERROR(IF(Benchmark1[[#This Row],[Comparable '#2 Date Check]]="Pass",Benchmark1[[#This Row],[Comparable '#2 Return]]-Benchmark1[[#This Row],[Benchmark '#1 Return]],"-"),"-")</f>
        <v>1.0908550824416727E-2</v>
      </c>
      <c r="P262" s="1" t="str">
        <f>IF(COUNTIF(Comp3[Comparable '#3 Dates],Benchmark1[[#This Row],[Benchmark '#1 Dates]])=1,"Pass","Fail")</f>
        <v>Pass</v>
      </c>
      <c r="Q262" s="6">
        <f>IF(Benchmark1[[#This Row],[Comparable '#3 Date Check]]="Pass",INDEX(Comp3[Comparable '#3 Price],MATCH(Benchmark1[[#This Row],[Benchmark '#1 Dates]],Comp3[Comparable '#3 Dates],0)),"-")</f>
        <v>188.04</v>
      </c>
      <c r="R262" s="22">
        <f>IF(Benchmark1[[#This Row],[Comparable '#3 Date Check]]="Pass",INDEX(Comp3[Comparable '#3 Return],MATCH(Benchmark1[[#This Row],[Benchmark '#1 Dates]],Comp3[Comparable '#3 Dates],0)),"-")</f>
        <v>4.3086930806963596E-2</v>
      </c>
      <c r="S262" s="1">
        <f>IFERROR(IF(Benchmark1[[#This Row],[Comparable '#3 Date Check]]="Pass",Benchmark1[[#This Row],[Comparable '#3 Return]]-Benchmark1[[#This Row],[Benchmark '#1 Return]],"-"),"-")</f>
        <v>3.9511735360245513E-2</v>
      </c>
    </row>
    <row r="263" spans="1:19">
      <c r="A263" s="103">
        <v>43665</v>
      </c>
      <c r="B263" s="104">
        <v>2976.6090569872754</v>
      </c>
      <c r="C263" s="4">
        <f t="shared" si="4"/>
        <v>-6.1970293461848375E-3</v>
      </c>
      <c r="D263" s="1" t="str">
        <f>IF(COUNTIF(Target1[Target Dates],Benchmark1[[#This Row],[Benchmark '#1 Dates]])=1,"Pass","Fail")</f>
        <v>Pass</v>
      </c>
      <c r="E263" s="6">
        <f>IF(Benchmark1[[#This Row],[Target Date Check]]="Pass",INDEX(Target1[Target Price],MATCH(Benchmark1[[#This Row],[Benchmark '#1 Dates]],Target1[Target Dates],0)),"-")</f>
        <v>30.2</v>
      </c>
      <c r="F263" s="22">
        <f>IF(Benchmark1[[#This Row],[Target Date Check]]="Pass",INDEX(Target1[Target Return],MATCH(Benchmark1[[#This Row],[Benchmark '#1 Dates]],Target1[Target Dates],0)),"-")</f>
        <v>-2.8722601118622716E-2</v>
      </c>
      <c r="G263" s="1">
        <f>IFERROR(IF(Benchmark1[[#This Row],[Target Date Check]]="Pass",Benchmark1[[#This Row],[Target Return]]-Benchmark1[[#This Row],[Benchmark '#1 Return]],"-"),"-")</f>
        <v>-2.2525571772437879E-2</v>
      </c>
      <c r="H263" s="1" t="str">
        <f>IF(COUNTIF(Comp1[Comparable '#1 Dates],Benchmark1[[#This Row],[Benchmark '#1 Dates]])=1,"Pass","Fail")</f>
        <v>Pass</v>
      </c>
      <c r="I263" s="6">
        <f>IF(Benchmark1[[#This Row],[Comparable '#1 Date Check]]="Pass",INDEX(Comp1[Comparable '#1 Price],MATCH(Benchmark1[[#This Row],[Benchmark '#1 Dates]],Comp1[Comparable '#1 Dates],0)),"-")</f>
        <v>16.48</v>
      </c>
      <c r="J263" s="22">
        <f>IF(Benchmark1[[#This Row],[Comparable '#1 Date Check]]="Pass",INDEX(Comp1[Comparable '#1 Return],MATCH(Benchmark1[[#This Row],[Benchmark '#1 Dates]],Comp1[Comparable '#1 Dates],0)),"-")</f>
        <v>-1.2128564252092936E-3</v>
      </c>
      <c r="K263" s="1">
        <f>IFERROR(IF(Benchmark1[[#This Row],[Comparable '#1 Date Check]]="Pass",Benchmark1[[#This Row],[Comparable '#1 Return]]-Benchmark1[[#This Row],[Benchmark '#1 Return]],"-"),"-")</f>
        <v>4.9841729209755443E-3</v>
      </c>
      <c r="L263" s="1" t="str">
        <f>IF(COUNTIF(Comp2[Comparable '#2 Dates],Benchmark1[[#This Row],[Benchmark '#1 Dates]])=1,"Pass","Fail")</f>
        <v>Pass</v>
      </c>
      <c r="M263" s="6">
        <f>IF(Benchmark1[[#This Row],[Comparable '#2 Date Check]]="Pass",INDEX(Comp2[Comparable '#2 Price],MATCH(Benchmark1[[#This Row],[Benchmark '#1 Dates]],Comp2[Comparable '#2 Dates],0)),"-")</f>
        <v>47.41</v>
      </c>
      <c r="N263" s="22">
        <f>IF(Benchmark1[[#This Row],[Comparable '#2 Date Check]]="Pass",INDEX(Comp2[Comparable '#2 Return],MATCH(Benchmark1[[#This Row],[Benchmark '#1 Dates]],Comp2[Comparable '#2 Dates],0)),"-")</f>
        <v>2.5343202582425871E-3</v>
      </c>
      <c r="O263" s="1">
        <f>IFERROR(IF(Benchmark1[[#This Row],[Comparable '#2 Date Check]]="Pass",Benchmark1[[#This Row],[Comparable '#2 Return]]-Benchmark1[[#This Row],[Benchmark '#1 Return]],"-"),"-")</f>
        <v>8.7313496044274241E-3</v>
      </c>
      <c r="P263" s="1" t="str">
        <f>IF(COUNTIF(Comp3[Comparable '#3 Dates],Benchmark1[[#This Row],[Benchmark '#1 Dates]])=1,"Pass","Fail")</f>
        <v>Pass</v>
      </c>
      <c r="Q263" s="6">
        <f>IF(Benchmark1[[#This Row],[Comparable '#3 Date Check]]="Pass",INDEX(Comp3[Comparable '#3 Price],MATCH(Benchmark1[[#This Row],[Benchmark '#1 Dates]],Comp3[Comparable '#3 Dates],0)),"-")</f>
        <v>185.84</v>
      </c>
      <c r="R263" s="22">
        <f>IF(Benchmark1[[#This Row],[Comparable '#3 Date Check]]="Pass",INDEX(Comp3[Comparable '#3 Return],MATCH(Benchmark1[[#This Row],[Benchmark '#1 Dates]],Comp3[Comparable '#3 Dates],0)),"-")</f>
        <v>-1.1768617693776002E-2</v>
      </c>
      <c r="S263" s="1">
        <f>IFERROR(IF(Benchmark1[[#This Row],[Comparable '#3 Date Check]]="Pass",Benchmark1[[#This Row],[Comparable '#3 Return]]-Benchmark1[[#This Row],[Benchmark '#1 Return]],"-"),"-")</f>
        <v>-5.5715883475911648E-3</v>
      </c>
    </row>
    <row r="264" spans="1:19">
      <c r="A264" s="103">
        <v>43668</v>
      </c>
      <c r="B264" s="104">
        <v>2985.0311553162123</v>
      </c>
      <c r="C264" s="4">
        <f t="shared" si="4"/>
        <v>2.8254318046235082E-3</v>
      </c>
      <c r="D264" s="1" t="str">
        <f>IF(COUNTIF(Target1[Target Dates],Benchmark1[[#This Row],[Benchmark '#1 Dates]])=1,"Pass","Fail")</f>
        <v>Pass</v>
      </c>
      <c r="E264" s="6">
        <f>IF(Benchmark1[[#This Row],[Target Date Check]]="Pass",INDEX(Target1[Target Price],MATCH(Benchmark1[[#This Row],[Benchmark '#1 Dates]],Target1[Target Dates],0)),"-")</f>
        <v>29.74</v>
      </c>
      <c r="F264" s="22">
        <f>IF(Benchmark1[[#This Row],[Target Date Check]]="Pass",INDEX(Target1[Target Return],MATCH(Benchmark1[[#This Row],[Benchmark '#1 Dates]],Target1[Target Dates],0)),"-")</f>
        <v>-1.5348983348814974E-2</v>
      </c>
      <c r="G264" s="1">
        <f>IFERROR(IF(Benchmark1[[#This Row],[Target Date Check]]="Pass",Benchmark1[[#This Row],[Target Return]]-Benchmark1[[#This Row],[Benchmark '#1 Return]],"-"),"-")</f>
        <v>-1.8174415153438483E-2</v>
      </c>
      <c r="H264" s="1" t="str">
        <f>IF(COUNTIF(Comp1[Comparable '#1 Dates],Benchmark1[[#This Row],[Benchmark '#1 Dates]])=1,"Pass","Fail")</f>
        <v>Pass</v>
      </c>
      <c r="I264" s="6">
        <f>IF(Benchmark1[[#This Row],[Comparable '#1 Date Check]]="Pass",INDEX(Comp1[Comparable '#1 Price],MATCH(Benchmark1[[#This Row],[Benchmark '#1 Dates]],Comp1[Comparable '#1 Dates],0)),"-")</f>
        <v>16.27</v>
      </c>
      <c r="J264" s="22">
        <f>IF(Benchmark1[[#This Row],[Comparable '#1 Date Check]]="Pass",INDEX(Comp1[Comparable '#1 Return],MATCH(Benchmark1[[#This Row],[Benchmark '#1 Dates]],Comp1[Comparable '#1 Dates],0)),"-")</f>
        <v>-1.2824603250379289E-2</v>
      </c>
      <c r="K264" s="1">
        <f>IFERROR(IF(Benchmark1[[#This Row],[Comparable '#1 Date Check]]="Pass",Benchmark1[[#This Row],[Comparable '#1 Return]]-Benchmark1[[#This Row],[Benchmark '#1 Return]],"-"),"-")</f>
        <v>-1.5650035055002797E-2</v>
      </c>
      <c r="L264" s="1" t="str">
        <f>IF(COUNTIF(Comp2[Comparable '#2 Dates],Benchmark1[[#This Row],[Benchmark '#1 Dates]])=1,"Pass","Fail")</f>
        <v>Pass</v>
      </c>
      <c r="M264" s="6">
        <f>IF(Benchmark1[[#This Row],[Comparable '#2 Date Check]]="Pass",INDEX(Comp2[Comparable '#2 Price],MATCH(Benchmark1[[#This Row],[Benchmark '#1 Dates]],Comp2[Comparable '#2 Dates],0)),"-")</f>
        <v>47.4</v>
      </c>
      <c r="N264" s="22">
        <f>IF(Benchmark1[[#This Row],[Comparable '#2 Date Check]]="Pass",INDEX(Comp2[Comparable '#2 Return],MATCH(Benchmark1[[#This Row],[Benchmark '#1 Dates]],Comp2[Comparable '#2 Dates],0)),"-")</f>
        <v>-2.1094821299614901E-4</v>
      </c>
      <c r="O264" s="1">
        <f>IFERROR(IF(Benchmark1[[#This Row],[Comparable '#2 Date Check]]="Pass",Benchmark1[[#This Row],[Comparable '#2 Return]]-Benchmark1[[#This Row],[Benchmark '#1 Return]],"-"),"-")</f>
        <v>-3.0363800176196575E-3</v>
      </c>
      <c r="P264" s="1" t="str">
        <f>IF(COUNTIF(Comp3[Comparable '#3 Dates],Benchmark1[[#This Row],[Benchmark '#1 Dates]])=1,"Pass","Fail")</f>
        <v>Pass</v>
      </c>
      <c r="Q264" s="6">
        <f>IF(Benchmark1[[#This Row],[Comparable '#3 Date Check]]="Pass",INDEX(Comp3[Comparable '#3 Price],MATCH(Benchmark1[[#This Row],[Benchmark '#1 Dates]],Comp3[Comparable '#3 Dates],0)),"-")</f>
        <v>186.11</v>
      </c>
      <c r="R264" s="22">
        <f>IF(Benchmark1[[#This Row],[Comparable '#3 Date Check]]="Pass",INDEX(Comp3[Comparable '#3 Return],MATCH(Benchmark1[[#This Row],[Benchmark '#1 Dates]],Comp3[Comparable '#3 Dates],0)),"-")</f>
        <v>1.4518082937185291E-3</v>
      </c>
      <c r="S264" s="1">
        <f>IFERROR(IF(Benchmark1[[#This Row],[Comparable '#3 Date Check]]="Pass",Benchmark1[[#This Row],[Comparable '#3 Return]]-Benchmark1[[#This Row],[Benchmark '#1 Return]],"-"),"-")</f>
        <v>-1.3736235109049792E-3</v>
      </c>
    </row>
    <row r="265" spans="1:19">
      <c r="A265" s="103">
        <v>43669</v>
      </c>
      <c r="B265" s="104">
        <v>3005.4734873057182</v>
      </c>
      <c r="C265" s="4">
        <f t="shared" si="4"/>
        <v>6.8249379840020974E-3</v>
      </c>
      <c r="D265" s="1" t="str">
        <f>IF(COUNTIF(Target1[Target Dates],Benchmark1[[#This Row],[Benchmark '#1 Dates]])=1,"Pass","Fail")</f>
        <v>Pass</v>
      </c>
      <c r="E265" s="6">
        <f>IF(Benchmark1[[#This Row],[Target Date Check]]="Pass",INDEX(Target1[Target Price],MATCH(Benchmark1[[#This Row],[Benchmark '#1 Dates]],Target1[Target Dates],0)),"-")</f>
        <v>30.2</v>
      </c>
      <c r="F265" s="22">
        <f>IF(Benchmark1[[#This Row],[Target Date Check]]="Pass",INDEX(Target1[Target Return],MATCH(Benchmark1[[#This Row],[Benchmark '#1 Dates]],Target1[Target Dates],0)),"-")</f>
        <v>1.5348983348814899E-2</v>
      </c>
      <c r="G265" s="1">
        <f>IFERROR(IF(Benchmark1[[#This Row],[Target Date Check]]="Pass",Benchmark1[[#This Row],[Target Return]]-Benchmark1[[#This Row],[Benchmark '#1 Return]],"-"),"-")</f>
        <v>8.5240453648128024E-3</v>
      </c>
      <c r="H265" s="1" t="str">
        <f>IF(COUNTIF(Comp1[Comparable '#1 Dates],Benchmark1[[#This Row],[Benchmark '#1 Dates]])=1,"Pass","Fail")</f>
        <v>Pass</v>
      </c>
      <c r="I265" s="6">
        <f>IF(Benchmark1[[#This Row],[Comparable '#1 Date Check]]="Pass",INDEX(Comp1[Comparable '#1 Price],MATCH(Benchmark1[[#This Row],[Benchmark '#1 Dates]],Comp1[Comparable '#1 Dates],0)),"-")</f>
        <v>16.36</v>
      </c>
      <c r="J265" s="22">
        <f>IF(Benchmark1[[#This Row],[Comparable '#1 Date Check]]="Pass",INDEX(Comp1[Comparable '#1 Return],MATCH(Benchmark1[[#This Row],[Benchmark '#1 Dates]],Comp1[Comparable '#1 Dates],0)),"-")</f>
        <v>5.5164099436545355E-3</v>
      </c>
      <c r="K265" s="1">
        <f>IFERROR(IF(Benchmark1[[#This Row],[Comparable '#1 Date Check]]="Pass",Benchmark1[[#This Row],[Comparable '#1 Return]]-Benchmark1[[#This Row],[Benchmark '#1 Return]],"-"),"-")</f>
        <v>-1.3085280403475619E-3</v>
      </c>
      <c r="L265" s="1" t="str">
        <f>IF(COUNTIF(Comp2[Comparable '#2 Dates],Benchmark1[[#This Row],[Benchmark '#1 Dates]])=1,"Pass","Fail")</f>
        <v>Pass</v>
      </c>
      <c r="M265" s="6">
        <f>IF(Benchmark1[[#This Row],[Comparable '#2 Date Check]]="Pass",INDEX(Comp2[Comparable '#2 Price],MATCH(Benchmark1[[#This Row],[Benchmark '#1 Dates]],Comp2[Comparable '#2 Dates],0)),"-")</f>
        <v>48.07</v>
      </c>
      <c r="N265" s="22">
        <f>IF(Benchmark1[[#This Row],[Comparable '#2 Date Check]]="Pass",INDEX(Comp2[Comparable '#2 Return],MATCH(Benchmark1[[#This Row],[Benchmark '#1 Dates]],Comp2[Comparable '#2 Dates],0)),"-")</f>
        <v>1.4036053204838445E-2</v>
      </c>
      <c r="O265" s="1">
        <f>IFERROR(IF(Benchmark1[[#This Row],[Comparable '#2 Date Check]]="Pass",Benchmark1[[#This Row],[Comparable '#2 Return]]-Benchmark1[[#This Row],[Benchmark '#1 Return]],"-"),"-")</f>
        <v>7.2111152208363472E-3</v>
      </c>
      <c r="P265" s="1" t="str">
        <f>IF(COUNTIF(Comp3[Comparable '#3 Dates],Benchmark1[[#This Row],[Benchmark '#1 Dates]])=1,"Pass","Fail")</f>
        <v>Pass</v>
      </c>
      <c r="Q265" s="6">
        <f>IF(Benchmark1[[#This Row],[Comparable '#3 Date Check]]="Pass",INDEX(Comp3[Comparable '#3 Price],MATCH(Benchmark1[[#This Row],[Benchmark '#1 Dates]],Comp3[Comparable '#3 Dates],0)),"-")</f>
        <v>186.67</v>
      </c>
      <c r="R265" s="22">
        <f>IF(Benchmark1[[#This Row],[Comparable '#3 Date Check]]="Pass",INDEX(Comp3[Comparable '#3 Return],MATCH(Benchmark1[[#This Row],[Benchmark '#1 Dates]],Comp3[Comparable '#3 Dates],0)),"-")</f>
        <v>3.0044552886330793E-3</v>
      </c>
      <c r="S265" s="1">
        <f>IFERROR(IF(Benchmark1[[#This Row],[Comparable '#3 Date Check]]="Pass",Benchmark1[[#This Row],[Comparable '#3 Return]]-Benchmark1[[#This Row],[Benchmark '#1 Return]],"-"),"-")</f>
        <v>-3.8204826953690181E-3</v>
      </c>
    </row>
    <row r="266" spans="1:19">
      <c r="A266" s="103">
        <v>43670</v>
      </c>
      <c r="B266" s="104">
        <v>3019.5565604111998</v>
      </c>
      <c r="C266" s="4">
        <f t="shared" si="4"/>
        <v>4.6748642386770156E-3</v>
      </c>
      <c r="D266" s="1" t="str">
        <f>IF(COUNTIF(Target1[Target Dates],Benchmark1[[#This Row],[Benchmark '#1 Dates]])=1,"Pass","Fail")</f>
        <v>Pass</v>
      </c>
      <c r="E266" s="6">
        <f>IF(Benchmark1[[#This Row],[Target Date Check]]="Pass",INDEX(Target1[Target Price],MATCH(Benchmark1[[#This Row],[Benchmark '#1 Dates]],Target1[Target Dates],0)),"-")</f>
        <v>30.73</v>
      </c>
      <c r="F266" s="22">
        <f>IF(Benchmark1[[#This Row],[Target Date Check]]="Pass",INDEX(Target1[Target Return],MATCH(Benchmark1[[#This Row],[Benchmark '#1 Dates]],Target1[Target Dates],0)),"-")</f>
        <v>1.7397451761569455E-2</v>
      </c>
      <c r="G266" s="1">
        <f>IFERROR(IF(Benchmark1[[#This Row],[Target Date Check]]="Pass",Benchmark1[[#This Row],[Target Return]]-Benchmark1[[#This Row],[Benchmark '#1 Return]],"-"),"-")</f>
        <v>1.2722587522892438E-2</v>
      </c>
      <c r="H266" s="1" t="str">
        <f>IF(COUNTIF(Comp1[Comparable '#1 Dates],Benchmark1[[#This Row],[Benchmark '#1 Dates]])=1,"Pass","Fail")</f>
        <v>Pass</v>
      </c>
      <c r="I266" s="6">
        <f>IF(Benchmark1[[#This Row],[Comparable '#1 Date Check]]="Pass",INDEX(Comp1[Comparable '#1 Price],MATCH(Benchmark1[[#This Row],[Benchmark '#1 Dates]],Comp1[Comparable '#1 Dates],0)),"-")</f>
        <v>16.399999999999999</v>
      </c>
      <c r="J266" s="22">
        <f>IF(Benchmark1[[#This Row],[Comparable '#1 Date Check]]="Pass",INDEX(Comp1[Comparable '#1 Return],MATCH(Benchmark1[[#This Row],[Benchmark '#1 Dates]],Comp1[Comparable '#1 Dates],0)),"-")</f>
        <v>2.4420036555515873E-3</v>
      </c>
      <c r="K266" s="1">
        <f>IFERROR(IF(Benchmark1[[#This Row],[Comparable '#1 Date Check]]="Pass",Benchmark1[[#This Row],[Comparable '#1 Return]]-Benchmark1[[#This Row],[Benchmark '#1 Return]],"-"),"-")</f>
        <v>-2.2328605831254283E-3</v>
      </c>
      <c r="L266" s="1" t="str">
        <f>IF(COUNTIF(Comp2[Comparable '#2 Dates],Benchmark1[[#This Row],[Benchmark '#1 Dates]])=1,"Pass","Fail")</f>
        <v>Pass</v>
      </c>
      <c r="M266" s="6">
        <f>IF(Benchmark1[[#This Row],[Comparable '#2 Date Check]]="Pass",INDEX(Comp2[Comparable '#2 Price],MATCH(Benchmark1[[#This Row],[Benchmark '#1 Dates]],Comp2[Comparable '#2 Dates],0)),"-")</f>
        <v>48.88</v>
      </c>
      <c r="N266" s="22">
        <f>IF(Benchmark1[[#This Row],[Comparable '#2 Date Check]]="Pass",INDEX(Comp2[Comparable '#2 Return],MATCH(Benchmark1[[#This Row],[Benchmark '#1 Dates]],Comp2[Comparable '#2 Dates],0)),"-")</f>
        <v>1.6710032957470554E-2</v>
      </c>
      <c r="O266" s="1">
        <f>IFERROR(IF(Benchmark1[[#This Row],[Comparable '#2 Date Check]]="Pass",Benchmark1[[#This Row],[Comparable '#2 Return]]-Benchmark1[[#This Row],[Benchmark '#1 Return]],"-"),"-")</f>
        <v>1.2035168718793537E-2</v>
      </c>
      <c r="P266" s="1" t="str">
        <f>IF(COUNTIF(Comp3[Comparable '#3 Dates],Benchmark1[[#This Row],[Benchmark '#1 Dates]])=1,"Pass","Fail")</f>
        <v>Pass</v>
      </c>
      <c r="Q266" s="6">
        <f>IF(Benchmark1[[#This Row],[Comparable '#3 Date Check]]="Pass",INDEX(Comp3[Comparable '#3 Price],MATCH(Benchmark1[[#This Row],[Benchmark '#1 Dates]],Comp3[Comparable '#3 Dates],0)),"-")</f>
        <v>187.78</v>
      </c>
      <c r="R266" s="22">
        <f>IF(Benchmark1[[#This Row],[Comparable '#3 Date Check]]="Pass",INDEX(Comp3[Comparable '#3 Return],MATCH(Benchmark1[[#This Row],[Benchmark '#1 Dates]],Comp3[Comparable '#3 Dates],0)),"-")</f>
        <v>5.9287127858960271E-3</v>
      </c>
      <c r="S266" s="1">
        <f>IFERROR(IF(Benchmark1[[#This Row],[Comparable '#3 Date Check]]="Pass",Benchmark1[[#This Row],[Comparable '#3 Return]]-Benchmark1[[#This Row],[Benchmark '#1 Return]],"-"),"-")</f>
        <v>1.2538485472190115E-3</v>
      </c>
    </row>
    <row r="267" spans="1:19">
      <c r="A267" s="103">
        <v>43671</v>
      </c>
      <c r="B267" s="104">
        <v>3003.6712511099136</v>
      </c>
      <c r="C267" s="4">
        <f t="shared" si="4"/>
        <v>-5.2746954387210623E-3</v>
      </c>
      <c r="D267" s="1" t="str">
        <f>IF(COUNTIF(Target1[Target Dates],Benchmark1[[#This Row],[Benchmark '#1 Dates]])=1,"Pass","Fail")</f>
        <v>Pass</v>
      </c>
      <c r="E267" s="6">
        <f>IF(Benchmark1[[#This Row],[Target Date Check]]="Pass",INDEX(Target1[Target Price],MATCH(Benchmark1[[#This Row],[Benchmark '#1 Dates]],Target1[Target Dates],0)),"-")</f>
        <v>29.99</v>
      </c>
      <c r="F267" s="22">
        <f>IF(Benchmark1[[#This Row],[Target Date Check]]="Pass",INDEX(Target1[Target Return],MATCH(Benchmark1[[#This Row],[Benchmark '#1 Dates]],Target1[Target Dates],0)),"-")</f>
        <v>-2.4375383381475609E-2</v>
      </c>
      <c r="G267" s="1">
        <f>IFERROR(IF(Benchmark1[[#This Row],[Target Date Check]]="Pass",Benchmark1[[#This Row],[Target Return]]-Benchmark1[[#This Row],[Benchmark '#1 Return]],"-"),"-")</f>
        <v>-1.9100687942754546E-2</v>
      </c>
      <c r="H267" s="1" t="str">
        <f>IF(COUNTIF(Comp1[Comparable '#1 Dates],Benchmark1[[#This Row],[Benchmark '#1 Dates]])=1,"Pass","Fail")</f>
        <v>Pass</v>
      </c>
      <c r="I267" s="6">
        <f>IF(Benchmark1[[#This Row],[Comparable '#1 Date Check]]="Pass",INDEX(Comp1[Comparable '#1 Price],MATCH(Benchmark1[[#This Row],[Benchmark '#1 Dates]],Comp1[Comparable '#1 Dates],0)),"-")</f>
        <v>16.27</v>
      </c>
      <c r="J267" s="22">
        <f>IF(Benchmark1[[#This Row],[Comparable '#1 Date Check]]="Pass",INDEX(Comp1[Comparable '#1 Return],MATCH(Benchmark1[[#This Row],[Benchmark '#1 Dates]],Comp1[Comparable '#1 Dates],0)),"-")</f>
        <v>-7.958413599206203E-3</v>
      </c>
      <c r="K267" s="1">
        <f>IFERROR(IF(Benchmark1[[#This Row],[Comparable '#1 Date Check]]="Pass",Benchmark1[[#This Row],[Comparable '#1 Return]]-Benchmark1[[#This Row],[Benchmark '#1 Return]],"-"),"-")</f>
        <v>-2.6837181604851407E-3</v>
      </c>
      <c r="L267" s="1" t="str">
        <f>IF(COUNTIF(Comp2[Comparable '#2 Dates],Benchmark1[[#This Row],[Benchmark '#1 Dates]])=1,"Pass","Fail")</f>
        <v>Pass</v>
      </c>
      <c r="M267" s="6">
        <f>IF(Benchmark1[[#This Row],[Comparable '#2 Date Check]]="Pass",INDEX(Comp2[Comparable '#2 Price],MATCH(Benchmark1[[#This Row],[Benchmark '#1 Dates]],Comp2[Comparable '#2 Dates],0)),"-")</f>
        <v>47.86</v>
      </c>
      <c r="N267" s="22">
        <f>IF(Benchmark1[[#This Row],[Comparable '#2 Date Check]]="Pass",INDEX(Comp2[Comparable '#2 Return],MATCH(Benchmark1[[#This Row],[Benchmark '#1 Dates]],Comp2[Comparable '#2 Dates],0)),"-")</f>
        <v>-2.108823238311263E-2</v>
      </c>
      <c r="O267" s="1">
        <f>IFERROR(IF(Benchmark1[[#This Row],[Comparable '#2 Date Check]]="Pass",Benchmark1[[#This Row],[Comparable '#2 Return]]-Benchmark1[[#This Row],[Benchmark '#1 Return]],"-"),"-")</f>
        <v>-1.5813536944391568E-2</v>
      </c>
      <c r="P267" s="1" t="str">
        <f>IF(COUNTIF(Comp3[Comparable '#3 Dates],Benchmark1[[#This Row],[Benchmark '#1 Dates]])=1,"Pass","Fail")</f>
        <v>Pass</v>
      </c>
      <c r="Q267" s="6">
        <f>IF(Benchmark1[[#This Row],[Comparable '#3 Date Check]]="Pass",INDEX(Comp3[Comparable '#3 Price],MATCH(Benchmark1[[#This Row],[Benchmark '#1 Dates]],Comp3[Comparable '#3 Dates],0)),"-")</f>
        <v>186.39</v>
      </c>
      <c r="R267" s="22">
        <f>IF(Benchmark1[[#This Row],[Comparable '#3 Date Check]]="Pass",INDEX(Comp3[Comparable '#3 Return],MATCH(Benchmark1[[#This Row],[Benchmark '#1 Dates]],Comp3[Comparable '#3 Dates],0)),"-")</f>
        <v>-7.4298120866892426E-3</v>
      </c>
      <c r="S267" s="1">
        <f>IFERROR(IF(Benchmark1[[#This Row],[Comparable '#3 Date Check]]="Pass",Benchmark1[[#This Row],[Comparable '#3 Return]]-Benchmark1[[#This Row],[Benchmark '#1 Return]],"-"),"-")</f>
        <v>-2.1551166479681803E-3</v>
      </c>
    </row>
    <row r="268" spans="1:19">
      <c r="A268" s="103">
        <v>43672</v>
      </c>
      <c r="B268" s="104">
        <v>3025.8591481188296</v>
      </c>
      <c r="C268" s="4">
        <f t="shared" si="4"/>
        <v>7.359776199054706E-3</v>
      </c>
      <c r="D268" s="1" t="str">
        <f>IF(COUNTIF(Target1[Target Dates],Benchmark1[[#This Row],[Benchmark '#1 Dates]])=1,"Pass","Fail")</f>
        <v>Pass</v>
      </c>
      <c r="E268" s="6">
        <f>IF(Benchmark1[[#This Row],[Target Date Check]]="Pass",INDEX(Target1[Target Price],MATCH(Benchmark1[[#This Row],[Benchmark '#1 Dates]],Target1[Target Dates],0)),"-")</f>
        <v>30.61</v>
      </c>
      <c r="F268" s="22">
        <f>IF(Benchmark1[[#This Row],[Target Date Check]]="Pass",INDEX(Target1[Target Return],MATCH(Benchmark1[[#This Row],[Benchmark '#1 Dates]],Target1[Target Dates],0)),"-")</f>
        <v>2.0462760196403473E-2</v>
      </c>
      <c r="G268" s="1">
        <f>IFERROR(IF(Benchmark1[[#This Row],[Target Date Check]]="Pass",Benchmark1[[#This Row],[Target Return]]-Benchmark1[[#This Row],[Benchmark '#1 Return]],"-"),"-")</f>
        <v>1.3102983997348768E-2</v>
      </c>
      <c r="H268" s="1" t="str">
        <f>IF(COUNTIF(Comp1[Comparable '#1 Dates],Benchmark1[[#This Row],[Benchmark '#1 Dates]])=1,"Pass","Fail")</f>
        <v>Pass</v>
      </c>
      <c r="I268" s="6">
        <f>IF(Benchmark1[[#This Row],[Comparable '#1 Date Check]]="Pass",INDEX(Comp1[Comparable '#1 Price],MATCH(Benchmark1[[#This Row],[Benchmark '#1 Dates]],Comp1[Comparable '#1 Dates],0)),"-")</f>
        <v>16.489999999999998</v>
      </c>
      <c r="J268" s="22">
        <f>IF(Benchmark1[[#This Row],[Comparable '#1 Date Check]]="Pass",INDEX(Comp1[Comparable '#1 Return],MATCH(Benchmark1[[#This Row],[Benchmark '#1 Dates]],Comp1[Comparable '#1 Dates],0)),"-")</f>
        <v>1.3431215340561031E-2</v>
      </c>
      <c r="K268" s="1">
        <f>IFERROR(IF(Benchmark1[[#This Row],[Comparable '#1 Date Check]]="Pass",Benchmark1[[#This Row],[Comparable '#1 Return]]-Benchmark1[[#This Row],[Benchmark '#1 Return]],"-"),"-")</f>
        <v>6.0714391415063245E-3</v>
      </c>
      <c r="L268" s="1" t="str">
        <f>IF(COUNTIF(Comp2[Comparable '#2 Dates],Benchmark1[[#This Row],[Benchmark '#1 Dates]])=1,"Pass","Fail")</f>
        <v>Pass</v>
      </c>
      <c r="M268" s="6">
        <f>IF(Benchmark1[[#This Row],[Comparable '#2 Date Check]]="Pass",INDEX(Comp2[Comparable '#2 Price],MATCH(Benchmark1[[#This Row],[Benchmark '#1 Dates]],Comp2[Comparable '#2 Dates],0)),"-")</f>
        <v>48.66</v>
      </c>
      <c r="N268" s="22">
        <f>IF(Benchmark1[[#This Row],[Comparable '#2 Date Check]]="Pass",INDEX(Comp2[Comparable '#2 Return],MATCH(Benchmark1[[#This Row],[Benchmark '#1 Dates]],Comp2[Comparable '#2 Dates],0)),"-")</f>
        <v>1.6577254875149289E-2</v>
      </c>
      <c r="O268" s="1">
        <f>IFERROR(IF(Benchmark1[[#This Row],[Comparable '#2 Date Check]]="Pass",Benchmark1[[#This Row],[Comparable '#2 Return]]-Benchmark1[[#This Row],[Benchmark '#1 Return]],"-"),"-")</f>
        <v>9.2174786760945843E-3</v>
      </c>
      <c r="P268" s="1" t="str">
        <f>IF(COUNTIF(Comp3[Comparable '#3 Dates],Benchmark1[[#This Row],[Benchmark '#1 Dates]])=1,"Pass","Fail")</f>
        <v>Pass</v>
      </c>
      <c r="Q268" s="6">
        <f>IF(Benchmark1[[#This Row],[Comparable '#3 Date Check]]="Pass",INDEX(Comp3[Comparable '#3 Price],MATCH(Benchmark1[[#This Row],[Benchmark '#1 Dates]],Comp3[Comparable '#3 Dates],0)),"-")</f>
        <v>187.6</v>
      </c>
      <c r="R268" s="22">
        <f>IF(Benchmark1[[#This Row],[Comparable '#3 Date Check]]="Pass",INDEX(Comp3[Comparable '#3 Return],MATCH(Benchmark1[[#This Row],[Benchmark '#1 Dates]],Comp3[Comparable '#3 Dates],0)),"-")</f>
        <v>6.4707838284122467E-3</v>
      </c>
      <c r="S268" s="1">
        <f>IFERROR(IF(Benchmark1[[#This Row],[Comparable '#3 Date Check]]="Pass",Benchmark1[[#This Row],[Comparable '#3 Return]]-Benchmark1[[#This Row],[Benchmark '#1 Return]],"-"),"-")</f>
        <v>-8.8899237064245934E-4</v>
      </c>
    </row>
    <row r="269" spans="1:19">
      <c r="A269" s="103">
        <v>43675</v>
      </c>
      <c r="B269" s="104">
        <v>3020.9681229405687</v>
      </c>
      <c r="C269" s="4">
        <f t="shared" si="4"/>
        <v>-1.617716539820313E-3</v>
      </c>
      <c r="D269" s="1" t="str">
        <f>IF(COUNTIF(Target1[Target Dates],Benchmark1[[#This Row],[Benchmark '#1 Dates]])=1,"Pass","Fail")</f>
        <v>Pass</v>
      </c>
      <c r="E269" s="6">
        <f>IF(Benchmark1[[#This Row],[Target Date Check]]="Pass",INDEX(Target1[Target Price],MATCH(Benchmark1[[#This Row],[Benchmark '#1 Dates]],Target1[Target Dates],0)),"-")</f>
        <v>30.43</v>
      </c>
      <c r="F269" s="22">
        <f>IF(Benchmark1[[#This Row],[Target Date Check]]="Pass",INDEX(Target1[Target Return],MATCH(Benchmark1[[#This Row],[Benchmark '#1 Dates]],Target1[Target Dates],0)),"-")</f>
        <v>-5.897789048441405E-3</v>
      </c>
      <c r="G269" s="1">
        <f>IFERROR(IF(Benchmark1[[#This Row],[Target Date Check]]="Pass",Benchmark1[[#This Row],[Target Return]]-Benchmark1[[#This Row],[Benchmark '#1 Return]],"-"),"-")</f>
        <v>-4.2800725086210925E-3</v>
      </c>
      <c r="H269" s="1" t="str">
        <f>IF(COUNTIF(Comp1[Comparable '#1 Dates],Benchmark1[[#This Row],[Benchmark '#1 Dates]])=1,"Pass","Fail")</f>
        <v>Pass</v>
      </c>
      <c r="I269" s="6">
        <f>IF(Benchmark1[[#This Row],[Comparable '#1 Date Check]]="Pass",INDEX(Comp1[Comparable '#1 Price],MATCH(Benchmark1[[#This Row],[Benchmark '#1 Dates]],Comp1[Comparable '#1 Dates],0)),"-")</f>
        <v>16.38</v>
      </c>
      <c r="J269" s="22">
        <f>IF(Benchmark1[[#This Row],[Comparable '#1 Date Check]]="Pass",INDEX(Comp1[Comparable '#1 Return],MATCH(Benchmark1[[#This Row],[Benchmark '#1 Dates]],Comp1[Comparable '#1 Dates],0)),"-")</f>
        <v>-6.693058146584145E-3</v>
      </c>
      <c r="K269" s="1">
        <f>IFERROR(IF(Benchmark1[[#This Row],[Comparable '#1 Date Check]]="Pass",Benchmark1[[#This Row],[Comparable '#1 Return]]-Benchmark1[[#This Row],[Benchmark '#1 Return]],"-"),"-")</f>
        <v>-5.0753416067638325E-3</v>
      </c>
      <c r="L269" s="1" t="str">
        <f>IF(COUNTIF(Comp2[Comparable '#2 Dates],Benchmark1[[#This Row],[Benchmark '#1 Dates]])=1,"Pass","Fail")</f>
        <v>Pass</v>
      </c>
      <c r="M269" s="6">
        <f>IF(Benchmark1[[#This Row],[Comparable '#2 Date Check]]="Pass",INDEX(Comp2[Comparable '#2 Price],MATCH(Benchmark1[[#This Row],[Benchmark '#1 Dates]],Comp2[Comparable '#2 Dates],0)),"-")</f>
        <v>48.21</v>
      </c>
      <c r="N269" s="22">
        <f>IF(Benchmark1[[#This Row],[Comparable '#2 Date Check]]="Pass",INDEX(Comp2[Comparable '#2 Return],MATCH(Benchmark1[[#This Row],[Benchmark '#1 Dates]],Comp2[Comparable '#2 Dates],0)),"-")</f>
        <v>-9.2908689378455173E-3</v>
      </c>
      <c r="O269" s="1">
        <f>IFERROR(IF(Benchmark1[[#This Row],[Comparable '#2 Date Check]]="Pass",Benchmark1[[#This Row],[Comparable '#2 Return]]-Benchmark1[[#This Row],[Benchmark '#1 Return]],"-"),"-")</f>
        <v>-7.6731523980252039E-3</v>
      </c>
      <c r="P269" s="1" t="str">
        <f>IF(COUNTIF(Comp3[Comparable '#3 Dates],Benchmark1[[#This Row],[Benchmark '#1 Dates]])=1,"Pass","Fail")</f>
        <v>Pass</v>
      </c>
      <c r="Q269" s="6">
        <f>IF(Benchmark1[[#This Row],[Comparable '#3 Date Check]]="Pass",INDEX(Comp3[Comparable '#3 Price],MATCH(Benchmark1[[#This Row],[Benchmark '#1 Dates]],Comp3[Comparable '#3 Dates],0)),"-")</f>
        <v>185.34</v>
      </c>
      <c r="R269" s="22">
        <f>IF(Benchmark1[[#This Row],[Comparable '#3 Date Check]]="Pass",INDEX(Comp3[Comparable '#3 Return],MATCH(Benchmark1[[#This Row],[Benchmark '#1 Dates]],Comp3[Comparable '#3 Dates],0)),"-")</f>
        <v>-1.2120060413578914E-2</v>
      </c>
      <c r="S269" s="1">
        <f>IFERROR(IF(Benchmark1[[#This Row],[Comparable '#3 Date Check]]="Pass",Benchmark1[[#This Row],[Comparable '#3 Return]]-Benchmark1[[#This Row],[Benchmark '#1 Return]],"-"),"-")</f>
        <v>-1.0502343873758601E-2</v>
      </c>
    </row>
    <row r="270" spans="1:19">
      <c r="A270" s="103">
        <v>43676</v>
      </c>
      <c r="B270" s="104">
        <v>3013.1818626619583</v>
      </c>
      <c r="C270" s="4">
        <f t="shared" si="4"/>
        <v>-2.580732868317958E-3</v>
      </c>
      <c r="D270" s="1" t="str">
        <f>IF(COUNTIF(Target1[Target Dates],Benchmark1[[#This Row],[Benchmark '#1 Dates]])=1,"Pass","Fail")</f>
        <v>Pass</v>
      </c>
      <c r="E270" s="6">
        <f>IF(Benchmark1[[#This Row],[Target Date Check]]="Pass",INDEX(Target1[Target Price],MATCH(Benchmark1[[#This Row],[Benchmark '#1 Dates]],Target1[Target Dates],0)),"-")</f>
        <v>30.85</v>
      </c>
      <c r="F270" s="22">
        <f>IF(Benchmark1[[#This Row],[Target Date Check]]="Pass",INDEX(Target1[Target Return],MATCH(Benchmark1[[#This Row],[Benchmark '#1 Dates]],Target1[Target Dates],0)),"-")</f>
        <v>1.3707786442517078E-2</v>
      </c>
      <c r="G270" s="1">
        <f>IFERROR(IF(Benchmark1[[#This Row],[Target Date Check]]="Pass",Benchmark1[[#This Row],[Target Return]]-Benchmark1[[#This Row],[Benchmark '#1 Return]],"-"),"-")</f>
        <v>1.6288519310835036E-2</v>
      </c>
      <c r="H270" s="1" t="str">
        <f>IF(COUNTIF(Comp1[Comparable '#1 Dates],Benchmark1[[#This Row],[Benchmark '#1 Dates]])=1,"Pass","Fail")</f>
        <v>Pass</v>
      </c>
      <c r="I270" s="6">
        <f>IF(Benchmark1[[#This Row],[Comparable '#1 Date Check]]="Pass",INDEX(Comp1[Comparable '#1 Price],MATCH(Benchmark1[[#This Row],[Benchmark '#1 Dates]],Comp1[Comparable '#1 Dates],0)),"-")</f>
        <v>16.55</v>
      </c>
      <c r="J270" s="22">
        <f>IF(Benchmark1[[#This Row],[Comparable '#1 Date Check]]="Pass",INDEX(Comp1[Comparable '#1 Return],MATCH(Benchmark1[[#This Row],[Benchmark '#1 Dates]],Comp1[Comparable '#1 Dates],0)),"-")</f>
        <v>1.0325023398148725E-2</v>
      </c>
      <c r="K270" s="1">
        <f>IFERROR(IF(Benchmark1[[#This Row],[Comparable '#1 Date Check]]="Pass",Benchmark1[[#This Row],[Comparable '#1 Return]]-Benchmark1[[#This Row],[Benchmark '#1 Return]],"-"),"-")</f>
        <v>1.2905756266466683E-2</v>
      </c>
      <c r="L270" s="1" t="str">
        <f>IF(COUNTIF(Comp2[Comparable '#2 Dates],Benchmark1[[#This Row],[Benchmark '#1 Dates]])=1,"Pass","Fail")</f>
        <v>Pass</v>
      </c>
      <c r="M270" s="6">
        <f>IF(Benchmark1[[#This Row],[Comparable '#2 Date Check]]="Pass",INDEX(Comp2[Comparable '#2 Price],MATCH(Benchmark1[[#This Row],[Benchmark '#1 Dates]],Comp2[Comparable '#2 Dates],0)),"-")</f>
        <v>48.97</v>
      </c>
      <c r="N270" s="22">
        <f>IF(Benchmark1[[#This Row],[Comparable '#2 Date Check]]="Pass",INDEX(Comp2[Comparable '#2 Return],MATCH(Benchmark1[[#This Row],[Benchmark '#1 Dates]],Comp2[Comparable '#2 Dates],0)),"-")</f>
        <v>1.5641397296695045E-2</v>
      </c>
      <c r="O270" s="1">
        <f>IFERROR(IF(Benchmark1[[#This Row],[Comparable '#2 Date Check]]="Pass",Benchmark1[[#This Row],[Comparable '#2 Return]]-Benchmark1[[#This Row],[Benchmark '#1 Return]],"-"),"-")</f>
        <v>1.8222130165013003E-2</v>
      </c>
      <c r="P270" s="1" t="str">
        <f>IF(COUNTIF(Comp3[Comparable '#3 Dates],Benchmark1[[#This Row],[Benchmark '#1 Dates]])=1,"Pass","Fail")</f>
        <v>Pass</v>
      </c>
      <c r="Q270" s="6">
        <f>IF(Benchmark1[[#This Row],[Comparable '#3 Date Check]]="Pass",INDEX(Comp3[Comparable '#3 Price],MATCH(Benchmark1[[#This Row],[Benchmark '#1 Dates]],Comp3[Comparable '#3 Dates],0)),"-")</f>
        <v>182.02</v>
      </c>
      <c r="R270" s="22">
        <f>IF(Benchmark1[[#This Row],[Comparable '#3 Date Check]]="Pass",INDEX(Comp3[Comparable '#3 Return],MATCH(Benchmark1[[#This Row],[Benchmark '#1 Dates]],Comp3[Comparable '#3 Dates],0)),"-")</f>
        <v>-1.8075405009335646E-2</v>
      </c>
      <c r="S270" s="1">
        <f>IFERROR(IF(Benchmark1[[#This Row],[Comparable '#3 Date Check]]="Pass",Benchmark1[[#This Row],[Comparable '#3 Return]]-Benchmark1[[#This Row],[Benchmark '#1 Return]],"-"),"-")</f>
        <v>-1.5494672141017688E-2</v>
      </c>
    </row>
    <row r="271" spans="1:19">
      <c r="A271" s="103">
        <v>43677</v>
      </c>
      <c r="B271" s="104">
        <v>2980.3788544642703</v>
      </c>
      <c r="C271" s="4">
        <f t="shared" si="4"/>
        <v>-1.0946192849596284E-2</v>
      </c>
      <c r="D271" s="1" t="str">
        <f>IF(COUNTIF(Target1[Target Dates],Benchmark1[[#This Row],[Benchmark '#1 Dates]])=1,"Pass","Fail")</f>
        <v>Pass</v>
      </c>
      <c r="E271" s="6">
        <f>IF(Benchmark1[[#This Row],[Target Date Check]]="Pass",INDEX(Target1[Target Price],MATCH(Benchmark1[[#This Row],[Benchmark '#1 Dates]],Target1[Target Dates],0)),"-")</f>
        <v>29.85</v>
      </c>
      <c r="F271" s="22">
        <f>IF(Benchmark1[[#This Row],[Target Date Check]]="Pass",INDEX(Target1[Target Return],MATCH(Benchmark1[[#This Row],[Benchmark '#1 Dates]],Target1[Target Dates],0)),"-")</f>
        <v>-3.2951910512785759E-2</v>
      </c>
      <c r="G271" s="1">
        <f>IFERROR(IF(Benchmark1[[#This Row],[Target Date Check]]="Pass",Benchmark1[[#This Row],[Target Return]]-Benchmark1[[#This Row],[Benchmark '#1 Return]],"-"),"-")</f>
        <v>-2.2005717663189477E-2</v>
      </c>
      <c r="H271" s="1" t="str">
        <f>IF(COUNTIF(Comp1[Comparable '#1 Dates],Benchmark1[[#This Row],[Benchmark '#1 Dates]])=1,"Pass","Fail")</f>
        <v>Pass</v>
      </c>
      <c r="I271" s="6">
        <f>IF(Benchmark1[[#This Row],[Comparable '#1 Date Check]]="Pass",INDEX(Comp1[Comparable '#1 Price],MATCH(Benchmark1[[#This Row],[Benchmark '#1 Dates]],Comp1[Comparable '#1 Dates],0)),"-")</f>
        <v>16.39</v>
      </c>
      <c r="J271" s="22">
        <f>IF(Benchmark1[[#This Row],[Comparable '#1 Date Check]]="Pass",INDEX(Comp1[Comparable '#1 Return],MATCH(Benchmark1[[#This Row],[Benchmark '#1 Dates]],Comp1[Comparable '#1 Dates],0)),"-")</f>
        <v>-9.7147090673335764E-3</v>
      </c>
      <c r="K271" s="1">
        <f>IFERROR(IF(Benchmark1[[#This Row],[Comparable '#1 Date Check]]="Pass",Benchmark1[[#This Row],[Comparable '#1 Return]]-Benchmark1[[#This Row],[Benchmark '#1 Return]],"-"),"-")</f>
        <v>1.231483782262708E-3</v>
      </c>
      <c r="L271" s="1" t="str">
        <f>IF(COUNTIF(Comp2[Comparable '#2 Dates],Benchmark1[[#This Row],[Benchmark '#1 Dates]])=1,"Pass","Fail")</f>
        <v>Pass</v>
      </c>
      <c r="M271" s="6">
        <f>IF(Benchmark1[[#This Row],[Comparable '#2 Date Check]]="Pass",INDEX(Comp2[Comparable '#2 Price],MATCH(Benchmark1[[#This Row],[Benchmark '#1 Dates]],Comp2[Comparable '#2 Dates],0)),"-")</f>
        <v>47.37</v>
      </c>
      <c r="N271" s="22">
        <f>IF(Benchmark1[[#This Row],[Comparable '#2 Date Check]]="Pass",INDEX(Comp2[Comparable '#2 Return],MATCH(Benchmark1[[#This Row],[Benchmark '#1 Dates]],Comp2[Comparable '#2 Dates],0)),"-")</f>
        <v>-3.3218748778565663E-2</v>
      </c>
      <c r="O271" s="1">
        <f>IFERROR(IF(Benchmark1[[#This Row],[Comparable '#2 Date Check]]="Pass",Benchmark1[[#This Row],[Comparable '#2 Return]]-Benchmark1[[#This Row],[Benchmark '#1 Return]],"-"),"-")</f>
        <v>-2.227255592896938E-2</v>
      </c>
      <c r="P271" s="1" t="str">
        <f>IF(COUNTIF(Comp3[Comparable '#3 Dates],Benchmark1[[#This Row],[Benchmark '#1 Dates]])=1,"Pass","Fail")</f>
        <v>Pass</v>
      </c>
      <c r="Q271" s="6">
        <f>IF(Benchmark1[[#This Row],[Comparable '#3 Date Check]]="Pass",INDEX(Comp3[Comparable '#3 Price],MATCH(Benchmark1[[#This Row],[Benchmark '#1 Dates]],Comp3[Comparable '#3 Dates],0)),"-")</f>
        <v>177.99</v>
      </c>
      <c r="R271" s="22">
        <f>IF(Benchmark1[[#This Row],[Comparable '#3 Date Check]]="Pass",INDEX(Comp3[Comparable '#3 Return],MATCH(Benchmark1[[#This Row],[Benchmark '#1 Dates]],Comp3[Comparable '#3 Dates],0)),"-")</f>
        <v>-2.2389202210548072E-2</v>
      </c>
      <c r="S271" s="1">
        <f>IFERROR(IF(Benchmark1[[#This Row],[Comparable '#3 Date Check]]="Pass",Benchmark1[[#This Row],[Comparable '#3 Return]]-Benchmark1[[#This Row],[Benchmark '#1 Return]],"-"),"-")</f>
        <v>-1.1443009360951788E-2</v>
      </c>
    </row>
    <row r="272" spans="1:19">
      <c r="A272" s="103">
        <v>43678</v>
      </c>
      <c r="B272" s="104">
        <v>2953.560123626331</v>
      </c>
      <c r="C272" s="4">
        <f t="shared" si="4"/>
        <v>-9.039160511061909E-3</v>
      </c>
      <c r="D272" s="1" t="str">
        <f>IF(COUNTIF(Target1[Target Dates],Benchmark1[[#This Row],[Benchmark '#1 Dates]])=1,"Pass","Fail")</f>
        <v>Pass</v>
      </c>
      <c r="E272" s="6">
        <f>IF(Benchmark1[[#This Row],[Target Date Check]]="Pass",INDEX(Target1[Target Price],MATCH(Benchmark1[[#This Row],[Benchmark '#1 Dates]],Target1[Target Dates],0)),"-")</f>
        <v>29.8</v>
      </c>
      <c r="F272" s="22">
        <f>IF(Benchmark1[[#This Row],[Target Date Check]]="Pass",INDEX(Target1[Target Return],MATCH(Benchmark1[[#This Row],[Benchmark '#1 Dates]],Target1[Target Dates],0)),"-")</f>
        <v>-1.6764463272523713E-3</v>
      </c>
      <c r="G272" s="1">
        <f>IFERROR(IF(Benchmark1[[#This Row],[Target Date Check]]="Pass",Benchmark1[[#This Row],[Target Return]]-Benchmark1[[#This Row],[Benchmark '#1 Return]],"-"),"-")</f>
        <v>7.3627141838095381E-3</v>
      </c>
      <c r="H272" s="1" t="str">
        <f>IF(COUNTIF(Comp1[Comparable '#1 Dates],Benchmark1[[#This Row],[Benchmark '#1 Dates]])=1,"Pass","Fail")</f>
        <v>Pass</v>
      </c>
      <c r="I272" s="6">
        <f>IF(Benchmark1[[#This Row],[Comparable '#1 Date Check]]="Pass",INDEX(Comp1[Comparable '#1 Price],MATCH(Benchmark1[[#This Row],[Benchmark '#1 Dates]],Comp1[Comparable '#1 Dates],0)),"-")</f>
        <v>16.399999999999999</v>
      </c>
      <c r="J272" s="22">
        <f>IF(Benchmark1[[#This Row],[Comparable '#1 Date Check]]="Pass",INDEX(Comp1[Comparable '#1 Return],MATCH(Benchmark1[[#This Row],[Benchmark '#1 Dates]],Comp1[Comparable '#1 Dates],0)),"-")</f>
        <v>6.0994207441441065E-4</v>
      </c>
      <c r="K272" s="1">
        <f>IFERROR(IF(Benchmark1[[#This Row],[Comparable '#1 Date Check]]="Pass",Benchmark1[[#This Row],[Comparable '#1 Return]]-Benchmark1[[#This Row],[Benchmark '#1 Return]],"-"),"-")</f>
        <v>9.6491025854763199E-3</v>
      </c>
      <c r="L272" s="1" t="str">
        <f>IF(COUNTIF(Comp2[Comparable '#2 Dates],Benchmark1[[#This Row],[Benchmark '#1 Dates]])=1,"Pass","Fail")</f>
        <v>Pass</v>
      </c>
      <c r="M272" s="6">
        <f>IF(Benchmark1[[#This Row],[Comparable '#2 Date Check]]="Pass",INDEX(Comp2[Comparable '#2 Price],MATCH(Benchmark1[[#This Row],[Benchmark '#1 Dates]],Comp2[Comparable '#2 Dates],0)),"-")</f>
        <v>47.28</v>
      </c>
      <c r="N272" s="22">
        <f>IF(Benchmark1[[#This Row],[Comparable '#2 Date Check]]="Pass",INDEX(Comp2[Comparable '#2 Return],MATCH(Benchmark1[[#This Row],[Benchmark '#1 Dates]],Comp2[Comparable '#2 Dates],0)),"-")</f>
        <v>-1.9017438378175833E-3</v>
      </c>
      <c r="O272" s="1">
        <f>IFERROR(IF(Benchmark1[[#This Row],[Comparable '#2 Date Check]]="Pass",Benchmark1[[#This Row],[Comparable '#2 Return]]-Benchmark1[[#This Row],[Benchmark '#1 Return]],"-"),"-")</f>
        <v>7.1374166732443255E-3</v>
      </c>
      <c r="P272" s="1" t="str">
        <f>IF(COUNTIF(Comp3[Comparable '#3 Dates],Benchmark1[[#This Row],[Benchmark '#1 Dates]])=1,"Pass","Fail")</f>
        <v>Pass</v>
      </c>
      <c r="Q272" s="6">
        <f>IF(Benchmark1[[#This Row],[Comparable '#3 Date Check]]="Pass",INDEX(Comp3[Comparable '#3 Price],MATCH(Benchmark1[[#This Row],[Benchmark '#1 Dates]],Comp3[Comparable '#3 Dates],0)),"-")</f>
        <v>176.96</v>
      </c>
      <c r="R272" s="22">
        <f>IF(Benchmark1[[#This Row],[Comparable '#3 Date Check]]="Pass",INDEX(Comp3[Comparable '#3 Return],MATCH(Benchmark1[[#This Row],[Benchmark '#1 Dates]],Comp3[Comparable '#3 Dates],0)),"-")</f>
        <v>-5.8036506046915525E-3</v>
      </c>
      <c r="S272" s="1">
        <f>IFERROR(IF(Benchmark1[[#This Row],[Comparable '#3 Date Check]]="Pass",Benchmark1[[#This Row],[Comparable '#3 Return]]-Benchmark1[[#This Row],[Benchmark '#1 Return]],"-"),"-")</f>
        <v>3.2355099063703565E-3</v>
      </c>
    </row>
    <row r="273" spans="1:19">
      <c r="A273" s="103">
        <v>43679</v>
      </c>
      <c r="B273" s="104">
        <v>2932.0452074070449</v>
      </c>
      <c r="C273" s="4">
        <f t="shared" si="4"/>
        <v>-7.311061766133632E-3</v>
      </c>
      <c r="D273" s="1" t="str">
        <f>IF(COUNTIF(Target1[Target Dates],Benchmark1[[#This Row],[Benchmark '#1 Dates]])=1,"Pass","Fail")</f>
        <v>Pass</v>
      </c>
      <c r="E273" s="6">
        <f>IF(Benchmark1[[#This Row],[Target Date Check]]="Pass",INDEX(Target1[Target Price],MATCH(Benchmark1[[#This Row],[Benchmark '#1 Dates]],Target1[Target Dates],0)),"-")</f>
        <v>28.47</v>
      </c>
      <c r="F273" s="22">
        <f>IF(Benchmark1[[#This Row],[Target Date Check]]="Pass",INDEX(Target1[Target Return],MATCH(Benchmark1[[#This Row],[Benchmark '#1 Dates]],Target1[Target Dates],0)),"-")</f>
        <v>-4.5657492221412611E-2</v>
      </c>
      <c r="G273" s="1">
        <f>IFERROR(IF(Benchmark1[[#This Row],[Target Date Check]]="Pass",Benchmark1[[#This Row],[Target Return]]-Benchmark1[[#This Row],[Benchmark '#1 Return]],"-"),"-")</f>
        <v>-3.8346430455278982E-2</v>
      </c>
      <c r="H273" s="1" t="str">
        <f>IF(COUNTIF(Comp1[Comparable '#1 Dates],Benchmark1[[#This Row],[Benchmark '#1 Dates]])=1,"Pass","Fail")</f>
        <v>Pass</v>
      </c>
      <c r="I273" s="6">
        <f>IF(Benchmark1[[#This Row],[Comparable '#1 Date Check]]="Pass",INDEX(Comp1[Comparable '#1 Price],MATCH(Benchmark1[[#This Row],[Benchmark '#1 Dates]],Comp1[Comparable '#1 Dates],0)),"-")</f>
        <v>15.99</v>
      </c>
      <c r="J273" s="22">
        <f>IF(Benchmark1[[#This Row],[Comparable '#1 Date Check]]="Pass",INDEX(Comp1[Comparable '#1 Return],MATCH(Benchmark1[[#This Row],[Benchmark '#1 Dates]],Comp1[Comparable '#1 Dates],0)),"-")</f>
        <v>-2.5317807984289783E-2</v>
      </c>
      <c r="K273" s="1">
        <f>IFERROR(IF(Benchmark1[[#This Row],[Comparable '#1 Date Check]]="Pass",Benchmark1[[#This Row],[Comparable '#1 Return]]-Benchmark1[[#This Row],[Benchmark '#1 Return]],"-"),"-")</f>
        <v>-1.800674621815615E-2</v>
      </c>
      <c r="L273" s="1" t="str">
        <f>IF(COUNTIF(Comp2[Comparable '#2 Dates],Benchmark1[[#This Row],[Benchmark '#1 Dates]])=1,"Pass","Fail")</f>
        <v>Pass</v>
      </c>
      <c r="M273" s="6">
        <f>IF(Benchmark1[[#This Row],[Comparable '#2 Date Check]]="Pass",INDEX(Comp2[Comparable '#2 Price],MATCH(Benchmark1[[#This Row],[Benchmark '#1 Dates]],Comp2[Comparable '#2 Dates],0)),"-")</f>
        <v>46.39</v>
      </c>
      <c r="N273" s="22">
        <f>IF(Benchmark1[[#This Row],[Comparable '#2 Date Check]]="Pass",INDEX(Comp2[Comparable '#2 Return],MATCH(Benchmark1[[#This Row],[Benchmark '#1 Dates]],Comp2[Comparable '#2 Dates],0)),"-")</f>
        <v>-1.9003454334190515E-2</v>
      </c>
      <c r="O273" s="1">
        <f>IFERROR(IF(Benchmark1[[#This Row],[Comparable '#2 Date Check]]="Pass",Benchmark1[[#This Row],[Comparable '#2 Return]]-Benchmark1[[#This Row],[Benchmark '#1 Return]],"-"),"-")</f>
        <v>-1.1692392568056882E-2</v>
      </c>
      <c r="P273" s="1" t="str">
        <f>IF(COUNTIF(Comp3[Comparable '#3 Dates],Benchmark1[[#This Row],[Benchmark '#1 Dates]])=1,"Pass","Fail")</f>
        <v>Pass</v>
      </c>
      <c r="Q273" s="6">
        <f>IF(Benchmark1[[#This Row],[Comparable '#3 Date Check]]="Pass",INDEX(Comp3[Comparable '#3 Price],MATCH(Benchmark1[[#This Row],[Benchmark '#1 Dates]],Comp3[Comparable '#3 Dates],0)),"-")</f>
        <v>175.29</v>
      </c>
      <c r="R273" s="22">
        <f>IF(Benchmark1[[#This Row],[Comparable '#3 Date Check]]="Pass",INDEX(Comp3[Comparable '#3 Return],MATCH(Benchmark1[[#This Row],[Benchmark '#1 Dates]],Comp3[Comparable '#3 Dates],0)),"-")</f>
        <v>-9.4819730995146668E-3</v>
      </c>
      <c r="S273" s="1">
        <f>IFERROR(IF(Benchmark1[[#This Row],[Comparable '#3 Date Check]]="Pass",Benchmark1[[#This Row],[Comparable '#3 Return]]-Benchmark1[[#This Row],[Benchmark '#1 Return]],"-"),"-")</f>
        <v>-2.1709113333810348E-3</v>
      </c>
    </row>
    <row r="274" spans="1:19">
      <c r="A274" s="103">
        <v>43682</v>
      </c>
      <c r="B274" s="104">
        <v>2844.7427082969057</v>
      </c>
      <c r="C274" s="4">
        <f t="shared" si="4"/>
        <v>-3.022757549237098E-2</v>
      </c>
      <c r="D274" s="1" t="str">
        <f>IF(COUNTIF(Target1[Target Dates],Benchmark1[[#This Row],[Benchmark '#1 Dates]])=1,"Pass","Fail")</f>
        <v>Pass</v>
      </c>
      <c r="E274" s="6">
        <f>IF(Benchmark1[[#This Row],[Target Date Check]]="Pass",INDEX(Target1[Target Price],MATCH(Benchmark1[[#This Row],[Benchmark '#1 Dates]],Target1[Target Dates],0)),"-")</f>
        <v>29.26</v>
      </c>
      <c r="F274" s="22">
        <f>IF(Benchmark1[[#This Row],[Target Date Check]]="Pass",INDEX(Target1[Target Return],MATCH(Benchmark1[[#This Row],[Benchmark '#1 Dates]],Target1[Target Dates],0)),"-")</f>
        <v>2.7370494302032165E-2</v>
      </c>
      <c r="G274" s="1">
        <f>IFERROR(IF(Benchmark1[[#This Row],[Target Date Check]]="Pass",Benchmark1[[#This Row],[Target Return]]-Benchmark1[[#This Row],[Benchmark '#1 Return]],"-"),"-")</f>
        <v>5.7598069794403142E-2</v>
      </c>
      <c r="H274" s="1" t="str">
        <f>IF(COUNTIF(Comp1[Comparable '#1 Dates],Benchmark1[[#This Row],[Benchmark '#1 Dates]])=1,"Pass","Fail")</f>
        <v>Pass</v>
      </c>
      <c r="I274" s="6">
        <f>IF(Benchmark1[[#This Row],[Comparable '#1 Date Check]]="Pass",INDEX(Comp1[Comparable '#1 Price],MATCH(Benchmark1[[#This Row],[Benchmark '#1 Dates]],Comp1[Comparable '#1 Dates],0)),"-")</f>
        <v>15.68</v>
      </c>
      <c r="J274" s="22">
        <f>IF(Benchmark1[[#This Row],[Comparable '#1 Date Check]]="Pass",INDEX(Comp1[Comparable '#1 Return],MATCH(Benchmark1[[#This Row],[Benchmark '#1 Dates]],Comp1[Comparable '#1 Dates],0)),"-")</f>
        <v>-1.9577511923601104E-2</v>
      </c>
      <c r="K274" s="1">
        <f>IFERROR(IF(Benchmark1[[#This Row],[Comparable '#1 Date Check]]="Pass",Benchmark1[[#This Row],[Comparable '#1 Return]]-Benchmark1[[#This Row],[Benchmark '#1 Return]],"-"),"-")</f>
        <v>1.0650063568769876E-2</v>
      </c>
      <c r="L274" s="1" t="str">
        <f>IF(COUNTIF(Comp2[Comparable '#2 Dates],Benchmark1[[#This Row],[Benchmark '#1 Dates]])=1,"Pass","Fail")</f>
        <v>Pass</v>
      </c>
      <c r="M274" s="6">
        <f>IF(Benchmark1[[#This Row],[Comparable '#2 Date Check]]="Pass",INDEX(Comp2[Comparable '#2 Price],MATCH(Benchmark1[[#This Row],[Benchmark '#1 Dates]],Comp2[Comparable '#2 Dates],0)),"-")</f>
        <v>44.42</v>
      </c>
      <c r="N274" s="22">
        <f>IF(Benchmark1[[#This Row],[Comparable '#2 Date Check]]="Pass",INDEX(Comp2[Comparable '#2 Return],MATCH(Benchmark1[[#This Row],[Benchmark '#1 Dates]],Comp2[Comparable '#2 Dates],0)),"-")</f>
        <v>-4.3394100297370945E-2</v>
      </c>
      <c r="O274" s="1">
        <f>IFERROR(IF(Benchmark1[[#This Row],[Comparable '#2 Date Check]]="Pass",Benchmark1[[#This Row],[Comparable '#2 Return]]-Benchmark1[[#This Row],[Benchmark '#1 Return]],"-"),"-")</f>
        <v>-1.3166524804999965E-2</v>
      </c>
      <c r="P274" s="1" t="str">
        <f>IF(COUNTIF(Comp3[Comparable '#3 Dates],Benchmark1[[#This Row],[Benchmark '#1 Dates]])=1,"Pass","Fail")</f>
        <v>Pass</v>
      </c>
      <c r="Q274" s="6">
        <f>IF(Benchmark1[[#This Row],[Comparable '#3 Date Check]]="Pass",INDEX(Comp3[Comparable '#3 Price],MATCH(Benchmark1[[#This Row],[Benchmark '#1 Dates]],Comp3[Comparable '#3 Dates],0)),"-")</f>
        <v>167.27</v>
      </c>
      <c r="R274" s="22">
        <f>IF(Benchmark1[[#This Row],[Comparable '#3 Date Check]]="Pass",INDEX(Comp3[Comparable '#3 Return],MATCH(Benchmark1[[#This Row],[Benchmark '#1 Dates]],Comp3[Comparable '#3 Dates],0)),"-")</f>
        <v>-4.683247191053793E-2</v>
      </c>
      <c r="S274" s="1">
        <f>IFERROR(IF(Benchmark1[[#This Row],[Comparable '#3 Date Check]]="Pass",Benchmark1[[#This Row],[Comparable '#3 Return]]-Benchmark1[[#This Row],[Benchmark '#1 Return]],"-"),"-")</f>
        <v>-1.660489641816695E-2</v>
      </c>
    </row>
    <row r="275" spans="1:19">
      <c r="A275" s="103">
        <v>43683</v>
      </c>
      <c r="B275" s="104">
        <v>2881.7740741992161</v>
      </c>
      <c r="C275" s="4">
        <f t="shared" si="4"/>
        <v>1.2933475447140271E-2</v>
      </c>
      <c r="D275" s="1" t="str">
        <f>IF(COUNTIF(Target1[Target Dates],Benchmark1[[#This Row],[Benchmark '#1 Dates]])=1,"Pass","Fail")</f>
        <v>Pass</v>
      </c>
      <c r="E275" s="6">
        <f>IF(Benchmark1[[#This Row],[Target Date Check]]="Pass",INDEX(Target1[Target Price],MATCH(Benchmark1[[#This Row],[Benchmark '#1 Dates]],Target1[Target Dates],0)),"-")</f>
        <v>28.51</v>
      </c>
      <c r="F275" s="22">
        <f>IF(Benchmark1[[#This Row],[Target Date Check]]="Pass",INDEX(Target1[Target Return],MATCH(Benchmark1[[#This Row],[Benchmark '#1 Dates]],Target1[Target Dates],0)),"-")</f>
        <v>-2.5966492667397673E-2</v>
      </c>
      <c r="G275" s="1">
        <f>IFERROR(IF(Benchmark1[[#This Row],[Target Date Check]]="Pass",Benchmark1[[#This Row],[Target Return]]-Benchmark1[[#This Row],[Benchmark '#1 Return]],"-"),"-")</f>
        <v>-3.8899968114537942E-2</v>
      </c>
      <c r="H275" s="1" t="str">
        <f>IF(COUNTIF(Comp1[Comparable '#1 Dates],Benchmark1[[#This Row],[Benchmark '#1 Dates]])=1,"Pass","Fail")</f>
        <v>Pass</v>
      </c>
      <c r="I275" s="6">
        <f>IF(Benchmark1[[#This Row],[Comparable '#1 Date Check]]="Pass",INDEX(Comp1[Comparable '#1 Price],MATCH(Benchmark1[[#This Row],[Benchmark '#1 Dates]],Comp1[Comparable '#1 Dates],0)),"-")</f>
        <v>15.52</v>
      </c>
      <c r="J275" s="22">
        <f>IF(Benchmark1[[#This Row],[Comparable '#1 Date Check]]="Pass",INDEX(Comp1[Comparable '#1 Return],MATCH(Benchmark1[[#This Row],[Benchmark '#1 Dates]],Comp1[Comparable '#1 Dates],0)),"-")</f>
        <v>-1.025650016718911E-2</v>
      </c>
      <c r="K275" s="1">
        <f>IFERROR(IF(Benchmark1[[#This Row],[Comparable '#1 Date Check]]="Pass",Benchmark1[[#This Row],[Comparable '#1 Return]]-Benchmark1[[#This Row],[Benchmark '#1 Return]],"-"),"-")</f>
        <v>-2.3189975614329381E-2</v>
      </c>
      <c r="L275" s="1" t="str">
        <f>IF(COUNTIF(Comp2[Comparable '#2 Dates],Benchmark1[[#This Row],[Benchmark '#1 Dates]])=1,"Pass","Fail")</f>
        <v>Pass</v>
      </c>
      <c r="M275" s="6">
        <f>IF(Benchmark1[[#This Row],[Comparable '#2 Date Check]]="Pass",INDEX(Comp2[Comparable '#2 Price],MATCH(Benchmark1[[#This Row],[Benchmark '#1 Dates]],Comp2[Comparable '#2 Dates],0)),"-")</f>
        <v>46.36</v>
      </c>
      <c r="N275" s="22">
        <f>IF(Benchmark1[[#This Row],[Comparable '#2 Date Check]]="Pass",INDEX(Comp2[Comparable '#2 Return],MATCH(Benchmark1[[#This Row],[Benchmark '#1 Dates]],Comp2[Comparable '#2 Dates],0)),"-")</f>
        <v>4.2747200005269569E-2</v>
      </c>
      <c r="O275" s="1">
        <f>IFERROR(IF(Benchmark1[[#This Row],[Comparable '#2 Date Check]]="Pass",Benchmark1[[#This Row],[Comparable '#2 Return]]-Benchmark1[[#This Row],[Benchmark '#1 Return]],"-"),"-")</f>
        <v>2.98137245581293E-2</v>
      </c>
      <c r="P275" s="1" t="str">
        <f>IF(COUNTIF(Comp3[Comparable '#3 Dates],Benchmark1[[#This Row],[Benchmark '#1 Dates]])=1,"Pass","Fail")</f>
        <v>Pass</v>
      </c>
      <c r="Q275" s="6">
        <f>IF(Benchmark1[[#This Row],[Comparable '#3 Date Check]]="Pass",INDEX(Comp3[Comparable '#3 Price],MATCH(Benchmark1[[#This Row],[Benchmark '#1 Dates]],Comp3[Comparable '#3 Dates],0)),"-")</f>
        <v>171.37</v>
      </c>
      <c r="R275" s="22">
        <f>IF(Benchmark1[[#This Row],[Comparable '#3 Date Check]]="Pass",INDEX(Comp3[Comparable '#3 Return],MATCH(Benchmark1[[#This Row],[Benchmark '#1 Dates]],Comp3[Comparable '#3 Dates],0)),"-")</f>
        <v>2.4215688348840358E-2</v>
      </c>
      <c r="S275" s="1">
        <f>IFERROR(IF(Benchmark1[[#This Row],[Comparable '#3 Date Check]]="Pass",Benchmark1[[#This Row],[Comparable '#3 Return]]-Benchmark1[[#This Row],[Benchmark '#1 Return]],"-"),"-")</f>
        <v>1.1282212901700088E-2</v>
      </c>
    </row>
    <row r="276" spans="1:19">
      <c r="A276" s="103">
        <v>43684</v>
      </c>
      <c r="B276" s="104">
        <v>2883.9844170452166</v>
      </c>
      <c r="C276" s="4">
        <f t="shared" si="4"/>
        <v>7.6671367960911782E-4</v>
      </c>
      <c r="D276" s="1" t="str">
        <f>IF(COUNTIF(Target1[Target Dates],Benchmark1[[#This Row],[Benchmark '#1 Dates]])=1,"Pass","Fail")</f>
        <v>Pass</v>
      </c>
      <c r="E276" s="6">
        <f>IF(Benchmark1[[#This Row],[Target Date Check]]="Pass",INDEX(Target1[Target Price],MATCH(Benchmark1[[#This Row],[Benchmark '#1 Dates]],Target1[Target Dates],0)),"-")</f>
        <v>27.28</v>
      </c>
      <c r="F276" s="22">
        <f>IF(Benchmark1[[#This Row],[Target Date Check]]="Pass",INDEX(Target1[Target Return],MATCH(Benchmark1[[#This Row],[Benchmark '#1 Dates]],Target1[Target Dates],0)),"-")</f>
        <v>-4.4101069949319269E-2</v>
      </c>
      <c r="G276" s="1">
        <f>IFERROR(IF(Benchmark1[[#This Row],[Target Date Check]]="Pass",Benchmark1[[#This Row],[Target Return]]-Benchmark1[[#This Row],[Benchmark '#1 Return]],"-"),"-")</f>
        <v>-4.486778362892839E-2</v>
      </c>
      <c r="H276" s="1" t="str">
        <f>IF(COUNTIF(Comp1[Comparable '#1 Dates],Benchmark1[[#This Row],[Benchmark '#1 Dates]])=1,"Pass","Fail")</f>
        <v>Pass</v>
      </c>
      <c r="I276" s="6">
        <f>IF(Benchmark1[[#This Row],[Comparable '#1 Date Check]]="Pass",INDEX(Comp1[Comparable '#1 Price],MATCH(Benchmark1[[#This Row],[Benchmark '#1 Dates]],Comp1[Comparable '#1 Dates],0)),"-")</f>
        <v>15.44</v>
      </c>
      <c r="J276" s="22">
        <f>IF(Benchmark1[[#This Row],[Comparable '#1 Date Check]]="Pass",INDEX(Comp1[Comparable '#1 Return],MATCH(Benchmark1[[#This Row],[Benchmark '#1 Dates]],Comp1[Comparable '#1 Dates],0)),"-")</f>
        <v>-5.1679701584425612E-3</v>
      </c>
      <c r="K276" s="1">
        <f>IFERROR(IF(Benchmark1[[#This Row],[Comparable '#1 Date Check]]="Pass",Benchmark1[[#This Row],[Comparable '#1 Return]]-Benchmark1[[#This Row],[Benchmark '#1 Return]],"-"),"-")</f>
        <v>-5.9346838380516789E-3</v>
      </c>
      <c r="L276" s="1" t="str">
        <f>IF(COUNTIF(Comp2[Comparable '#2 Dates],Benchmark1[[#This Row],[Benchmark '#1 Dates]])=1,"Pass","Fail")</f>
        <v>Pass</v>
      </c>
      <c r="M276" s="6">
        <f>IF(Benchmark1[[#This Row],[Comparable '#2 Date Check]]="Pass",INDEX(Comp2[Comparable '#2 Price],MATCH(Benchmark1[[#This Row],[Benchmark '#1 Dates]],Comp2[Comparable '#2 Dates],0)),"-")</f>
        <v>46.35</v>
      </c>
      <c r="N276" s="22">
        <f>IF(Benchmark1[[#This Row],[Comparable '#2 Date Check]]="Pass",INDEX(Comp2[Comparable '#2 Return],MATCH(Benchmark1[[#This Row],[Benchmark '#1 Dates]],Comp2[Comparable '#2 Dates],0)),"-")</f>
        <v>-2.157264596867091E-4</v>
      </c>
      <c r="O276" s="1">
        <f>IFERROR(IF(Benchmark1[[#This Row],[Comparable '#2 Date Check]]="Pass",Benchmark1[[#This Row],[Comparable '#2 Return]]-Benchmark1[[#This Row],[Benchmark '#1 Return]],"-"),"-")</f>
        <v>-9.8244013929582683E-4</v>
      </c>
      <c r="P276" s="1" t="str">
        <f>IF(COUNTIF(Comp3[Comparable '#3 Dates],Benchmark1[[#This Row],[Benchmark '#1 Dates]])=1,"Pass","Fail")</f>
        <v>Pass</v>
      </c>
      <c r="Q276" s="6">
        <f>IF(Benchmark1[[#This Row],[Comparable '#3 Date Check]]="Pass",INDEX(Comp3[Comparable '#3 Price],MATCH(Benchmark1[[#This Row],[Benchmark '#1 Dates]],Comp3[Comparable '#3 Dates],0)),"-")</f>
        <v>172.57</v>
      </c>
      <c r="R276" s="22">
        <f>IF(Benchmark1[[#This Row],[Comparable '#3 Date Check]]="Pass",INDEX(Comp3[Comparable '#3 Return],MATCH(Benchmark1[[#This Row],[Benchmark '#1 Dates]],Comp3[Comparable '#3 Dates],0)),"-")</f>
        <v>6.9779895867297494E-3</v>
      </c>
      <c r="S276" s="1">
        <f>IFERROR(IF(Benchmark1[[#This Row],[Comparable '#3 Date Check]]="Pass",Benchmark1[[#This Row],[Comparable '#3 Return]]-Benchmark1[[#This Row],[Benchmark '#1 Return]],"-"),"-")</f>
        <v>6.2112759071206317E-3</v>
      </c>
    </row>
    <row r="277" spans="1:19">
      <c r="A277" s="103">
        <v>43685</v>
      </c>
      <c r="B277" s="104">
        <v>2938.0945262595137</v>
      </c>
      <c r="C277" s="4">
        <f t="shared" si="4"/>
        <v>1.8588434745506956E-2</v>
      </c>
      <c r="D277" s="1" t="str">
        <f>IF(COUNTIF(Target1[Target Dates],Benchmark1[[#This Row],[Benchmark '#1 Dates]])=1,"Pass","Fail")</f>
        <v>Pass</v>
      </c>
      <c r="E277" s="6">
        <f>IF(Benchmark1[[#This Row],[Target Date Check]]="Pass",INDEX(Target1[Target Price],MATCH(Benchmark1[[#This Row],[Benchmark '#1 Dates]],Target1[Target Dates],0)),"-")</f>
        <v>28.71</v>
      </c>
      <c r="F277" s="22">
        <f>IF(Benchmark1[[#This Row],[Target Date Check]]="Pass",INDEX(Target1[Target Return],MATCH(Benchmark1[[#This Row],[Benchmark '#1 Dates]],Target1[Target Dates],0)),"-")</f>
        <v>5.1091661157711299E-2</v>
      </c>
      <c r="G277" s="1">
        <f>IFERROR(IF(Benchmark1[[#This Row],[Target Date Check]]="Pass",Benchmark1[[#This Row],[Target Return]]-Benchmark1[[#This Row],[Benchmark '#1 Return]],"-"),"-")</f>
        <v>3.2503226412204343E-2</v>
      </c>
      <c r="H277" s="1" t="str">
        <f>IF(COUNTIF(Comp1[Comparable '#1 Dates],Benchmark1[[#This Row],[Benchmark '#1 Dates]])=1,"Pass","Fail")</f>
        <v>Pass</v>
      </c>
      <c r="I277" s="6">
        <f>IF(Benchmark1[[#This Row],[Comparable '#1 Date Check]]="Pass",INDEX(Comp1[Comparable '#1 Price],MATCH(Benchmark1[[#This Row],[Benchmark '#1 Dates]],Comp1[Comparable '#1 Dates],0)),"-")</f>
        <v>16.97</v>
      </c>
      <c r="J277" s="22">
        <f>IF(Benchmark1[[#This Row],[Comparable '#1 Date Check]]="Pass",INDEX(Comp1[Comparable '#1 Return],MATCH(Benchmark1[[#This Row],[Benchmark '#1 Dates]],Comp1[Comparable '#1 Dates],0)),"-")</f>
        <v>9.4485534649504752E-2</v>
      </c>
      <c r="K277" s="1">
        <f>IFERROR(IF(Benchmark1[[#This Row],[Comparable '#1 Date Check]]="Pass",Benchmark1[[#This Row],[Comparable '#1 Return]]-Benchmark1[[#This Row],[Benchmark '#1 Return]],"-"),"-")</f>
        <v>7.5897099903997789E-2</v>
      </c>
      <c r="L277" s="1" t="str">
        <f>IF(COUNTIF(Comp2[Comparable '#2 Dates],Benchmark1[[#This Row],[Benchmark '#1 Dates]])=1,"Pass","Fail")</f>
        <v>Pass</v>
      </c>
      <c r="M277" s="6">
        <f>IF(Benchmark1[[#This Row],[Comparable '#2 Date Check]]="Pass",INDEX(Comp2[Comparable '#2 Price],MATCH(Benchmark1[[#This Row],[Benchmark '#1 Dates]],Comp2[Comparable '#2 Dates],0)),"-")</f>
        <v>48.18</v>
      </c>
      <c r="N277" s="22">
        <f>IF(Benchmark1[[#This Row],[Comparable '#2 Date Check]]="Pass",INDEX(Comp2[Comparable '#2 Return],MATCH(Benchmark1[[#This Row],[Benchmark '#1 Dates]],Comp2[Comparable '#2 Dates],0)),"-")</f>
        <v>3.8722705174861018E-2</v>
      </c>
      <c r="O277" s="1">
        <f>IFERROR(IF(Benchmark1[[#This Row],[Comparable '#2 Date Check]]="Pass",Benchmark1[[#This Row],[Comparable '#2 Return]]-Benchmark1[[#This Row],[Benchmark '#1 Return]],"-"),"-")</f>
        <v>2.0134270429354062E-2</v>
      </c>
      <c r="P277" s="1" t="str">
        <f>IF(COUNTIF(Comp3[Comparable '#3 Dates],Benchmark1[[#This Row],[Benchmark '#1 Dates]])=1,"Pass","Fail")</f>
        <v>Pass</v>
      </c>
      <c r="Q277" s="6">
        <f>IF(Benchmark1[[#This Row],[Comparable '#3 Date Check]]="Pass",INDEX(Comp3[Comparable '#3 Price],MATCH(Benchmark1[[#This Row],[Benchmark '#1 Dates]],Comp3[Comparable '#3 Dates],0)),"-")</f>
        <v>175.72</v>
      </c>
      <c r="R277" s="22">
        <f>IF(Benchmark1[[#This Row],[Comparable '#3 Date Check]]="Pass",INDEX(Comp3[Comparable '#3 Return],MATCH(Benchmark1[[#This Row],[Benchmark '#1 Dates]],Comp3[Comparable '#3 Dates],0)),"-")</f>
        <v>1.8088867848091227E-2</v>
      </c>
      <c r="S277" s="1">
        <f>IFERROR(IF(Benchmark1[[#This Row],[Comparable '#3 Date Check]]="Pass",Benchmark1[[#This Row],[Comparable '#3 Return]]-Benchmark1[[#This Row],[Benchmark '#1 Return]],"-"),"-")</f>
        <v>-4.9956689741572843E-4</v>
      </c>
    </row>
    <row r="278" spans="1:19">
      <c r="A278" s="103">
        <v>43686</v>
      </c>
      <c r="B278" s="104">
        <v>2918.6456020570922</v>
      </c>
      <c r="C278" s="4">
        <f t="shared" si="4"/>
        <v>-6.6415771463807487E-3</v>
      </c>
      <c r="D278" s="1" t="str">
        <f>IF(COUNTIF(Target1[Target Dates],Benchmark1[[#This Row],[Benchmark '#1 Dates]])=1,"Pass","Fail")</f>
        <v>Pass</v>
      </c>
      <c r="E278" s="6">
        <f>IF(Benchmark1[[#This Row],[Target Date Check]]="Pass",INDEX(Target1[Target Price],MATCH(Benchmark1[[#This Row],[Benchmark '#1 Dates]],Target1[Target Dates],0)),"-")</f>
        <v>28.95</v>
      </c>
      <c r="F278" s="22">
        <f>IF(Benchmark1[[#This Row],[Target Date Check]]="Pass",INDEX(Target1[Target Return],MATCH(Benchmark1[[#This Row],[Benchmark '#1 Dates]],Target1[Target Dates],0)),"-")</f>
        <v>8.3247098860316331E-3</v>
      </c>
      <c r="G278" s="1">
        <f>IFERROR(IF(Benchmark1[[#This Row],[Target Date Check]]="Pass",Benchmark1[[#This Row],[Target Return]]-Benchmark1[[#This Row],[Benchmark '#1 Return]],"-"),"-")</f>
        <v>1.4966287032412382E-2</v>
      </c>
      <c r="H278" s="1" t="str">
        <f>IF(COUNTIF(Comp1[Comparable '#1 Dates],Benchmark1[[#This Row],[Benchmark '#1 Dates]])=1,"Pass","Fail")</f>
        <v>Pass</v>
      </c>
      <c r="I278" s="6">
        <f>IF(Benchmark1[[#This Row],[Comparable '#1 Date Check]]="Pass",INDEX(Comp1[Comparable '#1 Price],MATCH(Benchmark1[[#This Row],[Benchmark '#1 Dates]],Comp1[Comparable '#1 Dates],0)),"-")</f>
        <v>17.82</v>
      </c>
      <c r="J278" s="22">
        <f>IF(Benchmark1[[#This Row],[Comparable '#1 Date Check]]="Pass",INDEX(Comp1[Comparable '#1 Return],MATCH(Benchmark1[[#This Row],[Benchmark '#1 Dates]],Comp1[Comparable '#1 Dates],0)),"-")</f>
        <v>4.8874342796528462E-2</v>
      </c>
      <c r="K278" s="1">
        <f>IFERROR(IF(Benchmark1[[#This Row],[Comparable '#1 Date Check]]="Pass",Benchmark1[[#This Row],[Comparable '#1 Return]]-Benchmark1[[#This Row],[Benchmark '#1 Return]],"-"),"-")</f>
        <v>5.5515919942909213E-2</v>
      </c>
      <c r="L278" s="1" t="str">
        <f>IF(COUNTIF(Comp2[Comparable '#2 Dates],Benchmark1[[#This Row],[Benchmark '#1 Dates]])=1,"Pass","Fail")</f>
        <v>Pass</v>
      </c>
      <c r="M278" s="6">
        <f>IF(Benchmark1[[#This Row],[Comparable '#2 Date Check]]="Pass",INDEX(Comp2[Comparable '#2 Price],MATCH(Benchmark1[[#This Row],[Benchmark '#1 Dates]],Comp2[Comparable '#2 Dates],0)),"-")</f>
        <v>48.09</v>
      </c>
      <c r="N278" s="22">
        <f>IF(Benchmark1[[#This Row],[Comparable '#2 Date Check]]="Pass",INDEX(Comp2[Comparable '#2 Return],MATCH(Benchmark1[[#This Row],[Benchmark '#1 Dates]],Comp2[Comparable '#2 Dates],0)),"-")</f>
        <v>-1.8697418971539252E-3</v>
      </c>
      <c r="O278" s="1">
        <f>IFERROR(IF(Benchmark1[[#This Row],[Comparable '#2 Date Check]]="Pass",Benchmark1[[#This Row],[Comparable '#2 Return]]-Benchmark1[[#This Row],[Benchmark '#1 Return]],"-"),"-")</f>
        <v>4.7718352492268235E-3</v>
      </c>
      <c r="P278" s="1" t="str">
        <f>IF(COUNTIF(Comp3[Comparable '#3 Dates],Benchmark1[[#This Row],[Benchmark '#1 Dates]])=1,"Pass","Fail")</f>
        <v>Pass</v>
      </c>
      <c r="Q278" s="6">
        <f>IF(Benchmark1[[#This Row],[Comparable '#3 Date Check]]="Pass",INDEX(Comp3[Comparable '#3 Price],MATCH(Benchmark1[[#This Row],[Benchmark '#1 Dates]],Comp3[Comparable '#3 Dates],0)),"-")</f>
        <v>174.01</v>
      </c>
      <c r="R278" s="22">
        <f>IF(Benchmark1[[#This Row],[Comparable '#3 Date Check]]="Pass",INDEX(Comp3[Comparable '#3 Return],MATCH(Benchmark1[[#This Row],[Benchmark '#1 Dates]],Comp3[Comparable '#3 Dates],0)),"-")</f>
        <v>-9.7790502800918812E-3</v>
      </c>
      <c r="S278" s="1">
        <f>IFERROR(IF(Benchmark1[[#This Row],[Comparable '#3 Date Check]]="Pass",Benchmark1[[#This Row],[Comparable '#3 Return]]-Benchmark1[[#This Row],[Benchmark '#1 Return]],"-"),"-")</f>
        <v>-3.1374731337111324E-3</v>
      </c>
    </row>
    <row r="279" spans="1:19">
      <c r="A279" s="103">
        <v>43689</v>
      </c>
      <c r="B279" s="104">
        <v>2883.75</v>
      </c>
      <c r="C279" s="4">
        <f t="shared" si="4"/>
        <v>-1.2028143257721344E-2</v>
      </c>
      <c r="D279" s="1" t="str">
        <f>IF(COUNTIF(Target1[Target Dates],Benchmark1[[#This Row],[Benchmark '#1 Dates]])=1,"Pass","Fail")</f>
        <v>Pass</v>
      </c>
      <c r="E279" s="6">
        <f>IF(Benchmark1[[#This Row],[Target Date Check]]="Pass",INDEX(Target1[Target Price],MATCH(Benchmark1[[#This Row],[Benchmark '#1 Dates]],Target1[Target Dates],0)),"-")</f>
        <v>28.58</v>
      </c>
      <c r="F279" s="22">
        <f>IF(Benchmark1[[#This Row],[Target Date Check]]="Pass",INDEX(Target1[Target Return],MATCH(Benchmark1[[#This Row],[Benchmark '#1 Dates]],Target1[Target Dates],0)),"-")</f>
        <v>-1.2863031517282941E-2</v>
      </c>
      <c r="G279" s="1">
        <f>IFERROR(IF(Benchmark1[[#This Row],[Target Date Check]]="Pass",Benchmark1[[#This Row],[Target Return]]-Benchmark1[[#This Row],[Benchmark '#1 Return]],"-"),"-")</f>
        <v>-8.3488825956159682E-4</v>
      </c>
      <c r="H279" s="1" t="str">
        <f>IF(COUNTIF(Comp1[Comparable '#1 Dates],Benchmark1[[#This Row],[Benchmark '#1 Dates]])=1,"Pass","Fail")</f>
        <v>Pass</v>
      </c>
      <c r="I279" s="6">
        <f>IF(Benchmark1[[#This Row],[Comparable '#1 Date Check]]="Pass",INDEX(Comp1[Comparable '#1 Price],MATCH(Benchmark1[[#This Row],[Benchmark '#1 Dates]],Comp1[Comparable '#1 Dates],0)),"-")</f>
        <v>17.350000000000001</v>
      </c>
      <c r="J279" s="22">
        <f>IF(Benchmark1[[#This Row],[Comparable '#1 Date Check]]="Pass",INDEX(Comp1[Comparable '#1 Return],MATCH(Benchmark1[[#This Row],[Benchmark '#1 Dates]],Comp1[Comparable '#1 Dates],0)),"-")</f>
        <v>-2.6728915649794984E-2</v>
      </c>
      <c r="K279" s="1">
        <f>IFERROR(IF(Benchmark1[[#This Row],[Comparable '#1 Date Check]]="Pass",Benchmark1[[#This Row],[Comparable '#1 Return]]-Benchmark1[[#This Row],[Benchmark '#1 Return]],"-"),"-")</f>
        <v>-1.470077239207364E-2</v>
      </c>
      <c r="L279" s="1" t="str">
        <f>IF(COUNTIF(Comp2[Comparable '#2 Dates],Benchmark1[[#This Row],[Benchmark '#1 Dates]])=1,"Pass","Fail")</f>
        <v>Pass</v>
      </c>
      <c r="M279" s="6">
        <f>IF(Benchmark1[[#This Row],[Comparable '#2 Date Check]]="Pass",INDEX(Comp2[Comparable '#2 Price],MATCH(Benchmark1[[#This Row],[Benchmark '#1 Dates]],Comp2[Comparable '#2 Dates],0)),"-")</f>
        <v>47.72</v>
      </c>
      <c r="N279" s="22">
        <f>IF(Benchmark1[[#This Row],[Comparable '#2 Date Check]]="Pass",INDEX(Comp2[Comparable '#2 Return],MATCH(Benchmark1[[#This Row],[Benchmark '#1 Dates]],Comp2[Comparable '#2 Dates],0)),"-")</f>
        <v>-7.7236580598559522E-3</v>
      </c>
      <c r="O279" s="1">
        <f>IFERROR(IF(Benchmark1[[#This Row],[Comparable '#2 Date Check]]="Pass",Benchmark1[[#This Row],[Comparable '#2 Return]]-Benchmark1[[#This Row],[Benchmark '#1 Return]],"-"),"-")</f>
        <v>4.3044851978653919E-3</v>
      </c>
      <c r="P279" s="1" t="str">
        <f>IF(COUNTIF(Comp3[Comparable '#3 Dates],Benchmark1[[#This Row],[Benchmark '#1 Dates]])=1,"Pass","Fail")</f>
        <v>Pass</v>
      </c>
      <c r="Q279" s="6">
        <f>IF(Benchmark1[[#This Row],[Comparable '#3 Date Check]]="Pass",INDEX(Comp3[Comparable '#3 Price],MATCH(Benchmark1[[#This Row],[Benchmark '#1 Dates]],Comp3[Comparable '#3 Dates],0)),"-")</f>
        <v>170.8</v>
      </c>
      <c r="R279" s="22">
        <f>IF(Benchmark1[[#This Row],[Comparable '#3 Date Check]]="Pass",INDEX(Comp3[Comparable '#3 Return],MATCH(Benchmark1[[#This Row],[Benchmark '#1 Dates]],Comp3[Comparable '#3 Dates],0)),"-")</f>
        <v>-1.8619487473017404E-2</v>
      </c>
      <c r="S279" s="1">
        <f>IFERROR(IF(Benchmark1[[#This Row],[Comparable '#3 Date Check]]="Pass",Benchmark1[[#This Row],[Comparable '#3 Return]]-Benchmark1[[#This Row],[Benchmark '#1 Return]],"-"),"-")</f>
        <v>-6.5913442152960595E-3</v>
      </c>
    </row>
    <row r="280" spans="1:19">
      <c r="A280" s="103">
        <v>43690</v>
      </c>
      <c r="B280" s="104">
        <v>2926.3247709496181</v>
      </c>
      <c r="C280" s="4">
        <f t="shared" si="4"/>
        <v>1.4655760788961674E-2</v>
      </c>
      <c r="D280" s="1" t="str">
        <f>IF(COUNTIF(Target1[Target Dates],Benchmark1[[#This Row],[Benchmark '#1 Dates]])=1,"Pass","Fail")</f>
        <v>Pass</v>
      </c>
      <c r="E280" s="6">
        <f>IF(Benchmark1[[#This Row],[Target Date Check]]="Pass",INDEX(Target1[Target Price],MATCH(Benchmark1[[#This Row],[Benchmark '#1 Dates]],Target1[Target Dates],0)),"-")</f>
        <v>27.94</v>
      </c>
      <c r="F280" s="22">
        <f>IF(Benchmark1[[#This Row],[Target Date Check]]="Pass",INDEX(Target1[Target Return],MATCH(Benchmark1[[#This Row],[Benchmark '#1 Dates]],Target1[Target Dates],0)),"-")</f>
        <v>-2.2647818672905461E-2</v>
      </c>
      <c r="G280" s="1">
        <f>IFERROR(IF(Benchmark1[[#This Row],[Target Date Check]]="Pass",Benchmark1[[#This Row],[Target Return]]-Benchmark1[[#This Row],[Benchmark '#1 Return]],"-"),"-")</f>
        <v>-3.7303579461867131E-2</v>
      </c>
      <c r="H280" s="1" t="str">
        <f>IF(COUNTIF(Comp1[Comparable '#1 Dates],Benchmark1[[#This Row],[Benchmark '#1 Dates]])=1,"Pass","Fail")</f>
        <v>Pass</v>
      </c>
      <c r="I280" s="6">
        <f>IF(Benchmark1[[#This Row],[Comparable '#1 Date Check]]="Pass",INDEX(Comp1[Comparable '#1 Price],MATCH(Benchmark1[[#This Row],[Benchmark '#1 Dates]],Comp1[Comparable '#1 Dates],0)),"-")</f>
        <v>16.88</v>
      </c>
      <c r="J280" s="22">
        <f>IF(Benchmark1[[#This Row],[Comparable '#1 Date Check]]="Pass",INDEX(Comp1[Comparable '#1 Return],MATCH(Benchmark1[[#This Row],[Benchmark '#1 Dates]],Comp1[Comparable '#1 Dates],0)),"-")</f>
        <v>-2.7463017225057288E-2</v>
      </c>
      <c r="K280" s="1">
        <f>IFERROR(IF(Benchmark1[[#This Row],[Comparable '#1 Date Check]]="Pass",Benchmark1[[#This Row],[Comparable '#1 Return]]-Benchmark1[[#This Row],[Benchmark '#1 Return]],"-"),"-")</f>
        <v>-4.2118778014018962E-2</v>
      </c>
      <c r="L280" s="1" t="str">
        <f>IF(COUNTIF(Comp2[Comparable '#2 Dates],Benchmark1[[#This Row],[Benchmark '#1 Dates]])=1,"Pass","Fail")</f>
        <v>Pass</v>
      </c>
      <c r="M280" s="6">
        <f>IF(Benchmark1[[#This Row],[Comparable '#2 Date Check]]="Pass",INDEX(Comp2[Comparable '#2 Price],MATCH(Benchmark1[[#This Row],[Benchmark '#1 Dates]],Comp2[Comparable '#2 Dates],0)),"-")</f>
        <v>48.11</v>
      </c>
      <c r="N280" s="22">
        <f>IF(Benchmark1[[#This Row],[Comparable '#2 Date Check]]="Pass",INDEX(Comp2[Comparable '#2 Return],MATCH(Benchmark1[[#This Row],[Benchmark '#1 Dates]],Comp2[Comparable '#2 Dates],0)),"-")</f>
        <v>8.1394584816470057E-3</v>
      </c>
      <c r="O280" s="1">
        <f>IFERROR(IF(Benchmark1[[#This Row],[Comparable '#2 Date Check]]="Pass",Benchmark1[[#This Row],[Comparable '#2 Return]]-Benchmark1[[#This Row],[Benchmark '#1 Return]],"-"),"-")</f>
        <v>-6.5163023073146684E-3</v>
      </c>
      <c r="P280" s="1" t="str">
        <f>IF(COUNTIF(Comp3[Comparable '#3 Dates],Benchmark1[[#This Row],[Benchmark '#1 Dates]])=1,"Pass","Fail")</f>
        <v>Pass</v>
      </c>
      <c r="Q280" s="6">
        <f>IF(Benchmark1[[#This Row],[Comparable '#3 Date Check]]="Pass",INDEX(Comp3[Comparable '#3 Price],MATCH(Benchmark1[[#This Row],[Benchmark '#1 Dates]],Comp3[Comparable '#3 Dates],0)),"-")</f>
        <v>173.44</v>
      </c>
      <c r="R280" s="22">
        <f>IF(Benchmark1[[#This Row],[Comparable '#3 Date Check]]="Pass",INDEX(Comp3[Comparable '#3 Return],MATCH(Benchmark1[[#This Row],[Benchmark '#1 Dates]],Comp3[Comparable '#3 Dates],0)),"-")</f>
        <v>1.5338436896811742E-2</v>
      </c>
      <c r="S280" s="1">
        <f>IFERROR(IF(Benchmark1[[#This Row],[Comparable '#3 Date Check]]="Pass",Benchmark1[[#This Row],[Comparable '#3 Return]]-Benchmark1[[#This Row],[Benchmark '#1 Return]],"-"),"-")</f>
        <v>6.8267610785006753E-4</v>
      </c>
    </row>
    <row r="281" spans="1:19">
      <c r="A281" s="103">
        <v>43691</v>
      </c>
      <c r="B281" s="104">
        <v>2840.5982828209867</v>
      </c>
      <c r="C281" s="4">
        <f t="shared" si="4"/>
        <v>-2.9732598342863865E-2</v>
      </c>
      <c r="D281" s="1" t="str">
        <f>IF(COUNTIF(Target1[Target Dates],Benchmark1[[#This Row],[Benchmark '#1 Dates]])=1,"Pass","Fail")</f>
        <v>Pass</v>
      </c>
      <c r="E281" s="6">
        <f>IF(Benchmark1[[#This Row],[Target Date Check]]="Pass",INDEX(Target1[Target Price],MATCH(Benchmark1[[#This Row],[Benchmark '#1 Dates]],Target1[Target Dates],0)),"-")</f>
        <v>27.96</v>
      </c>
      <c r="F281" s="22">
        <f>IF(Benchmark1[[#This Row],[Target Date Check]]="Pass",INDEX(Target1[Target Return],MATCH(Benchmark1[[#This Row],[Benchmark '#1 Dates]],Target1[Target Dates],0)),"-")</f>
        <v>7.155635367936872E-4</v>
      </c>
      <c r="G281" s="1">
        <f>IFERROR(IF(Benchmark1[[#This Row],[Target Date Check]]="Pass",Benchmark1[[#This Row],[Target Return]]-Benchmark1[[#This Row],[Benchmark '#1 Return]],"-"),"-")</f>
        <v>3.0448161879657553E-2</v>
      </c>
      <c r="H281" s="1" t="str">
        <f>IF(COUNTIF(Comp1[Comparable '#1 Dates],Benchmark1[[#This Row],[Benchmark '#1 Dates]])=1,"Pass","Fail")</f>
        <v>Pass</v>
      </c>
      <c r="I281" s="6">
        <f>IF(Benchmark1[[#This Row],[Comparable '#1 Date Check]]="Pass",INDEX(Comp1[Comparable '#1 Price],MATCH(Benchmark1[[#This Row],[Benchmark '#1 Dates]],Comp1[Comparable '#1 Dates],0)),"-")</f>
        <v>16.57</v>
      </c>
      <c r="J281" s="22">
        <f>IF(Benchmark1[[#This Row],[Comparable '#1 Date Check]]="Pass",INDEX(Comp1[Comparable '#1 Return],MATCH(Benchmark1[[#This Row],[Benchmark '#1 Dates]],Comp1[Comparable '#1 Dates],0)),"-")</f>
        <v>-1.8535657729339464E-2</v>
      </c>
      <c r="K281" s="1">
        <f>IFERROR(IF(Benchmark1[[#This Row],[Comparable '#1 Date Check]]="Pass",Benchmark1[[#This Row],[Comparable '#1 Return]]-Benchmark1[[#This Row],[Benchmark '#1 Return]],"-"),"-")</f>
        <v>1.11969406135244E-2</v>
      </c>
      <c r="L281" s="1" t="str">
        <f>IF(COUNTIF(Comp2[Comparable '#2 Dates],Benchmark1[[#This Row],[Benchmark '#1 Dates]])=1,"Pass","Fail")</f>
        <v>Pass</v>
      </c>
      <c r="M281" s="6">
        <f>IF(Benchmark1[[#This Row],[Comparable '#2 Date Check]]="Pass",INDEX(Comp2[Comparable '#2 Price],MATCH(Benchmark1[[#This Row],[Benchmark '#1 Dates]],Comp2[Comparable '#2 Dates],0)),"-")</f>
        <v>47.7</v>
      </c>
      <c r="N281" s="22">
        <f>IF(Benchmark1[[#This Row],[Comparable '#2 Date Check]]="Pass",INDEX(Comp2[Comparable '#2 Return],MATCH(Benchmark1[[#This Row],[Benchmark '#1 Dates]],Comp2[Comparable '#2 Dates],0)),"-")</f>
        <v>-8.5586578170667067E-3</v>
      </c>
      <c r="O281" s="1">
        <f>IFERROR(IF(Benchmark1[[#This Row],[Comparable '#2 Date Check]]="Pass",Benchmark1[[#This Row],[Comparable '#2 Return]]-Benchmark1[[#This Row],[Benchmark '#1 Return]],"-"),"-")</f>
        <v>2.1173940525797158E-2</v>
      </c>
      <c r="P281" s="1" t="str">
        <f>IF(COUNTIF(Comp3[Comparable '#3 Dates],Benchmark1[[#This Row],[Benchmark '#1 Dates]])=1,"Pass","Fail")</f>
        <v>Pass</v>
      </c>
      <c r="Q281" s="6">
        <f>IF(Benchmark1[[#This Row],[Comparable '#3 Date Check]]="Pass",INDEX(Comp3[Comparable '#3 Price],MATCH(Benchmark1[[#This Row],[Benchmark '#1 Dates]],Comp3[Comparable '#3 Dates],0)),"-")</f>
        <v>170.7</v>
      </c>
      <c r="R281" s="22">
        <f>IF(Benchmark1[[#This Row],[Comparable '#3 Date Check]]="Pass",INDEX(Comp3[Comparable '#3 Return],MATCH(Benchmark1[[#This Row],[Benchmark '#1 Dates]],Comp3[Comparable '#3 Dates],0)),"-")</f>
        <v>-1.5924088450886546E-2</v>
      </c>
      <c r="S281" s="1">
        <f>IFERROR(IF(Benchmark1[[#This Row],[Comparable '#3 Date Check]]="Pass",Benchmark1[[#This Row],[Comparable '#3 Return]]-Benchmark1[[#This Row],[Benchmark '#1 Return]],"-"),"-")</f>
        <v>1.3808509891977318E-2</v>
      </c>
    </row>
    <row r="282" spans="1:19">
      <c r="A282" s="103">
        <v>43692</v>
      </c>
      <c r="B282" s="104">
        <v>2847.5950637401747</v>
      </c>
      <c r="C282" s="4">
        <f t="shared" si="4"/>
        <v>2.4601078133897345E-3</v>
      </c>
      <c r="D282" s="1" t="str">
        <f>IF(COUNTIF(Target1[Target Dates],Benchmark1[[#This Row],[Benchmark '#1 Dates]])=1,"Pass","Fail")</f>
        <v>Pass</v>
      </c>
      <c r="E282" s="6">
        <f>IF(Benchmark1[[#This Row],[Target Date Check]]="Pass",INDEX(Target1[Target Price],MATCH(Benchmark1[[#This Row],[Benchmark '#1 Dates]],Target1[Target Dates],0)),"-")</f>
        <v>27.91</v>
      </c>
      <c r="F282" s="22">
        <f>IF(Benchmark1[[#This Row],[Target Date Check]]="Pass",INDEX(Target1[Target Return],MATCH(Benchmark1[[#This Row],[Benchmark '#1 Dates]],Target1[Target Dates],0)),"-")</f>
        <v>-1.7898698173787601E-3</v>
      </c>
      <c r="G282" s="1">
        <f>IFERROR(IF(Benchmark1[[#This Row],[Target Date Check]]="Pass",Benchmark1[[#This Row],[Target Return]]-Benchmark1[[#This Row],[Benchmark '#1 Return]],"-"),"-")</f>
        <v>-4.249977630768495E-3</v>
      </c>
      <c r="H282" s="1" t="str">
        <f>IF(COUNTIF(Comp1[Comparable '#1 Dates],Benchmark1[[#This Row],[Benchmark '#1 Dates]])=1,"Pass","Fail")</f>
        <v>Pass</v>
      </c>
      <c r="I282" s="6">
        <f>IF(Benchmark1[[#This Row],[Comparable '#1 Date Check]]="Pass",INDEX(Comp1[Comparable '#1 Price],MATCH(Benchmark1[[#This Row],[Benchmark '#1 Dates]],Comp1[Comparable '#1 Dates],0)),"-")</f>
        <v>16.66</v>
      </c>
      <c r="J282" s="22">
        <f>IF(Benchmark1[[#This Row],[Comparable '#1 Date Check]]="Pass",INDEX(Comp1[Comparable '#1 Return],MATCH(Benchmark1[[#This Row],[Benchmark '#1 Dates]],Comp1[Comparable '#1 Dates],0)),"-")</f>
        <v>5.4168053002251644E-3</v>
      </c>
      <c r="K282" s="1">
        <f>IFERROR(IF(Benchmark1[[#This Row],[Comparable '#1 Date Check]]="Pass",Benchmark1[[#This Row],[Comparable '#1 Return]]-Benchmark1[[#This Row],[Benchmark '#1 Return]],"-"),"-")</f>
        <v>2.9566974868354299E-3</v>
      </c>
      <c r="L282" s="1" t="str">
        <f>IF(COUNTIF(Comp2[Comparable '#2 Dates],Benchmark1[[#This Row],[Benchmark '#1 Dates]])=1,"Pass","Fail")</f>
        <v>Pass</v>
      </c>
      <c r="M282" s="6">
        <f>IF(Benchmark1[[#This Row],[Comparable '#2 Date Check]]="Pass",INDEX(Comp2[Comparable '#2 Price],MATCH(Benchmark1[[#This Row],[Benchmark '#1 Dates]],Comp2[Comparable '#2 Dates],0)),"-")</f>
        <v>47.67</v>
      </c>
      <c r="N282" s="22">
        <f>IF(Benchmark1[[#This Row],[Comparable '#2 Date Check]]="Pass",INDEX(Comp2[Comparable '#2 Return],MATCH(Benchmark1[[#This Row],[Benchmark '#1 Dates]],Comp2[Comparable '#2 Dates],0)),"-")</f>
        <v>-6.291286775612293E-4</v>
      </c>
      <c r="O282" s="1">
        <f>IFERROR(IF(Benchmark1[[#This Row],[Comparable '#2 Date Check]]="Pass",Benchmark1[[#This Row],[Comparable '#2 Return]]-Benchmark1[[#This Row],[Benchmark '#1 Return]],"-"),"-")</f>
        <v>-3.0892364909509639E-3</v>
      </c>
      <c r="P282" s="1" t="str">
        <f>IF(COUNTIF(Comp3[Comparable '#3 Dates],Benchmark1[[#This Row],[Benchmark '#1 Dates]])=1,"Pass","Fail")</f>
        <v>Pass</v>
      </c>
      <c r="Q282" s="6">
        <f>IF(Benchmark1[[#This Row],[Comparable '#3 Date Check]]="Pass",INDEX(Comp3[Comparable '#3 Price],MATCH(Benchmark1[[#This Row],[Benchmark '#1 Dates]],Comp3[Comparable '#3 Dates],0)),"-")</f>
        <v>172.97</v>
      </c>
      <c r="R282" s="22">
        <f>IF(Benchmark1[[#This Row],[Comparable '#3 Date Check]]="Pass",INDEX(Comp3[Comparable '#3 Return],MATCH(Benchmark1[[#This Row],[Benchmark '#1 Dates]],Comp3[Comparable '#3 Dates],0)),"-")</f>
        <v>1.3210539255437128E-2</v>
      </c>
      <c r="S282" s="1">
        <f>IFERROR(IF(Benchmark1[[#This Row],[Comparable '#3 Date Check]]="Pass",Benchmark1[[#This Row],[Comparable '#3 Return]]-Benchmark1[[#This Row],[Benchmark '#1 Return]],"-"),"-")</f>
        <v>1.0750431442047393E-2</v>
      </c>
    </row>
    <row r="283" spans="1:19">
      <c r="A283" s="103">
        <v>43693</v>
      </c>
      <c r="B283" s="104">
        <v>2888.677981429888</v>
      </c>
      <c r="C283" s="4">
        <f t="shared" si="4"/>
        <v>1.432415082673396E-2</v>
      </c>
      <c r="D283" s="1" t="str">
        <f>IF(COUNTIF(Target1[Target Dates],Benchmark1[[#This Row],[Benchmark '#1 Dates]])=1,"Pass","Fail")</f>
        <v>Pass</v>
      </c>
      <c r="E283" s="6">
        <f>IF(Benchmark1[[#This Row],[Target Date Check]]="Pass",INDEX(Target1[Target Price],MATCH(Benchmark1[[#This Row],[Benchmark '#1 Dates]],Target1[Target Dates],0)),"-")</f>
        <v>27.73</v>
      </c>
      <c r="F283" s="22">
        <f>IF(Benchmark1[[#This Row],[Target Date Check]]="Pass",INDEX(Target1[Target Return],MATCH(Benchmark1[[#This Row],[Benchmark '#1 Dates]],Target1[Target Dates],0)),"-")</f>
        <v>-6.4701879205440755E-3</v>
      </c>
      <c r="G283" s="1">
        <f>IFERROR(IF(Benchmark1[[#This Row],[Target Date Check]]="Pass",Benchmark1[[#This Row],[Target Return]]-Benchmark1[[#This Row],[Benchmark '#1 Return]],"-"),"-")</f>
        <v>-2.0794338747278034E-2</v>
      </c>
      <c r="H283" s="1" t="str">
        <f>IF(COUNTIF(Comp1[Comparable '#1 Dates],Benchmark1[[#This Row],[Benchmark '#1 Dates]])=1,"Pass","Fail")</f>
        <v>Pass</v>
      </c>
      <c r="I283" s="6">
        <f>IF(Benchmark1[[#This Row],[Comparable '#1 Date Check]]="Pass",INDEX(Comp1[Comparable '#1 Price],MATCH(Benchmark1[[#This Row],[Benchmark '#1 Dates]],Comp1[Comparable '#1 Dates],0)),"-")</f>
        <v>17.02</v>
      </c>
      <c r="J283" s="22">
        <f>IF(Benchmark1[[#This Row],[Comparable '#1 Date Check]]="Pass",INDEX(Comp1[Comparable '#1 Return],MATCH(Benchmark1[[#This Row],[Benchmark '#1 Dates]],Comp1[Comparable '#1 Dates],0)),"-")</f>
        <v>2.1378486406531495E-2</v>
      </c>
      <c r="K283" s="1">
        <f>IFERROR(IF(Benchmark1[[#This Row],[Comparable '#1 Date Check]]="Pass",Benchmark1[[#This Row],[Comparable '#1 Return]]-Benchmark1[[#This Row],[Benchmark '#1 Return]],"-"),"-")</f>
        <v>7.0543355797975348E-3</v>
      </c>
      <c r="L283" s="1" t="str">
        <f>IF(COUNTIF(Comp2[Comparable '#2 Dates],Benchmark1[[#This Row],[Benchmark '#1 Dates]])=1,"Pass","Fail")</f>
        <v>Pass</v>
      </c>
      <c r="M283" s="6">
        <f>IF(Benchmark1[[#This Row],[Comparable '#2 Date Check]]="Pass",INDEX(Comp2[Comparable '#2 Price],MATCH(Benchmark1[[#This Row],[Benchmark '#1 Dates]],Comp2[Comparable '#2 Dates],0)),"-")</f>
        <v>48.81</v>
      </c>
      <c r="N283" s="22">
        <f>IF(Benchmark1[[#This Row],[Comparable '#2 Date Check]]="Pass",INDEX(Comp2[Comparable '#2 Return],MATCH(Benchmark1[[#This Row],[Benchmark '#1 Dates]],Comp2[Comparable '#2 Dates],0)),"-")</f>
        <v>2.3632940682321722E-2</v>
      </c>
      <c r="O283" s="1">
        <f>IFERROR(IF(Benchmark1[[#This Row],[Comparable '#2 Date Check]]="Pass",Benchmark1[[#This Row],[Comparable '#2 Return]]-Benchmark1[[#This Row],[Benchmark '#1 Return]],"-"),"-")</f>
        <v>9.3087898555877617E-3</v>
      </c>
      <c r="P283" s="1" t="str">
        <f>IF(COUNTIF(Comp3[Comparable '#3 Dates],Benchmark1[[#This Row],[Benchmark '#1 Dates]])=1,"Pass","Fail")</f>
        <v>Pass</v>
      </c>
      <c r="Q283" s="6">
        <f>IF(Benchmark1[[#This Row],[Comparable '#3 Date Check]]="Pass",INDEX(Comp3[Comparable '#3 Price],MATCH(Benchmark1[[#This Row],[Benchmark '#1 Dates]],Comp3[Comparable '#3 Dates],0)),"-")</f>
        <v>175.17</v>
      </c>
      <c r="R283" s="22">
        <f>IF(Benchmark1[[#This Row],[Comparable '#3 Date Check]]="Pass",INDEX(Comp3[Comparable '#3 Return],MATCH(Benchmark1[[#This Row],[Benchmark '#1 Dates]],Comp3[Comparable '#3 Dates],0)),"-")</f>
        <v>1.2638761907723827E-2</v>
      </c>
      <c r="S283" s="1">
        <f>IFERROR(IF(Benchmark1[[#This Row],[Comparable '#3 Date Check]]="Pass",Benchmark1[[#This Row],[Comparable '#3 Return]]-Benchmark1[[#This Row],[Benchmark '#1 Return]],"-"),"-")</f>
        <v>-1.6853889190101331E-3</v>
      </c>
    </row>
    <row r="284" spans="1:19">
      <c r="A284" s="103">
        <v>43696</v>
      </c>
      <c r="B284" s="104">
        <v>2923.648225930589</v>
      </c>
      <c r="C284" s="4">
        <f t="shared" si="4"/>
        <v>1.2033277288872121E-2</v>
      </c>
      <c r="D284" s="1" t="str">
        <f>IF(COUNTIF(Target1[Target Dates],Benchmark1[[#This Row],[Benchmark '#1 Dates]])=1,"Pass","Fail")</f>
        <v>Pass</v>
      </c>
      <c r="E284" s="6">
        <f>IF(Benchmark1[[#This Row],[Target Date Check]]="Pass",INDEX(Target1[Target Price],MATCH(Benchmark1[[#This Row],[Benchmark '#1 Dates]],Target1[Target Dates],0)),"-")</f>
        <v>28.7</v>
      </c>
      <c r="F284" s="22">
        <f>IF(Benchmark1[[#This Row],[Target Date Check]]="Pass",INDEX(Target1[Target Return],MATCH(Benchmark1[[#This Row],[Benchmark '#1 Dates]],Target1[Target Dates],0)),"-")</f>
        <v>3.4382263137888822E-2</v>
      </c>
      <c r="G284" s="1">
        <f>IFERROR(IF(Benchmark1[[#This Row],[Target Date Check]]="Pass",Benchmark1[[#This Row],[Target Return]]-Benchmark1[[#This Row],[Benchmark '#1 Return]],"-"),"-")</f>
        <v>2.2348985849016699E-2</v>
      </c>
      <c r="H284" s="1" t="str">
        <f>IF(COUNTIF(Comp1[Comparable '#1 Dates],Benchmark1[[#This Row],[Benchmark '#1 Dates]])=1,"Pass","Fail")</f>
        <v>Pass</v>
      </c>
      <c r="I284" s="6">
        <f>IF(Benchmark1[[#This Row],[Comparable '#1 Date Check]]="Pass",INDEX(Comp1[Comparable '#1 Price],MATCH(Benchmark1[[#This Row],[Benchmark '#1 Dates]],Comp1[Comparable '#1 Dates],0)),"-")</f>
        <v>17.16</v>
      </c>
      <c r="J284" s="22">
        <f>IF(Benchmark1[[#This Row],[Comparable '#1 Date Check]]="Pass",INDEX(Comp1[Comparable '#1 Return],MATCH(Benchmark1[[#This Row],[Benchmark '#1 Dates]],Comp1[Comparable '#1 Dates],0)),"-")</f>
        <v>8.1919709145881585E-3</v>
      </c>
      <c r="K284" s="1">
        <f>IFERROR(IF(Benchmark1[[#This Row],[Comparable '#1 Date Check]]="Pass",Benchmark1[[#This Row],[Comparable '#1 Return]]-Benchmark1[[#This Row],[Benchmark '#1 Return]],"-"),"-")</f>
        <v>-3.8413063742839624E-3</v>
      </c>
      <c r="L284" s="1" t="str">
        <f>IF(COUNTIF(Comp2[Comparable '#2 Dates],Benchmark1[[#This Row],[Benchmark '#1 Dates]])=1,"Pass","Fail")</f>
        <v>Pass</v>
      </c>
      <c r="M284" s="6">
        <f>IF(Benchmark1[[#This Row],[Comparable '#2 Date Check]]="Pass",INDEX(Comp2[Comparable '#2 Price],MATCH(Benchmark1[[#This Row],[Benchmark '#1 Dates]],Comp2[Comparable '#2 Dates],0)),"-")</f>
        <v>50.01</v>
      </c>
      <c r="N284" s="22">
        <f>IF(Benchmark1[[#This Row],[Comparable '#2 Date Check]]="Pass",INDEX(Comp2[Comparable '#2 Return],MATCH(Benchmark1[[#This Row],[Benchmark '#1 Dates]],Comp2[Comparable '#2 Dates],0)),"-")</f>
        <v>2.4287775531756071E-2</v>
      </c>
      <c r="O284" s="1">
        <f>IFERROR(IF(Benchmark1[[#This Row],[Comparable '#2 Date Check]]="Pass",Benchmark1[[#This Row],[Comparable '#2 Return]]-Benchmark1[[#This Row],[Benchmark '#1 Return]],"-"),"-")</f>
        <v>1.225449824288395E-2</v>
      </c>
      <c r="P284" s="1" t="str">
        <f>IF(COUNTIF(Comp3[Comparable '#3 Dates],Benchmark1[[#This Row],[Benchmark '#1 Dates]])=1,"Pass","Fail")</f>
        <v>Pass</v>
      </c>
      <c r="Q284" s="6">
        <f>IF(Benchmark1[[#This Row],[Comparable '#3 Date Check]]="Pass",INDEX(Comp3[Comparable '#3 Price],MATCH(Benchmark1[[#This Row],[Benchmark '#1 Dates]],Comp3[Comparable '#3 Dates],0)),"-")</f>
        <v>178.97</v>
      </c>
      <c r="R284" s="22">
        <f>IF(Benchmark1[[#This Row],[Comparable '#3 Date Check]]="Pass",INDEX(Comp3[Comparable '#3 Return],MATCH(Benchmark1[[#This Row],[Benchmark '#1 Dates]],Comp3[Comparable '#3 Dates],0)),"-")</f>
        <v>2.14612630657612E-2</v>
      </c>
      <c r="S284" s="1">
        <f>IFERROR(IF(Benchmark1[[#This Row],[Comparable '#3 Date Check]]="Pass",Benchmark1[[#This Row],[Comparable '#3 Return]]-Benchmark1[[#This Row],[Benchmark '#1 Return]],"-"),"-")</f>
        <v>9.4279857768890789E-3</v>
      </c>
    </row>
    <row r="285" spans="1:19">
      <c r="A285" s="103">
        <v>43697</v>
      </c>
      <c r="B285" s="104">
        <v>2900.5102677585041</v>
      </c>
      <c r="C285" s="4">
        <f t="shared" si="4"/>
        <v>-7.9455529671673582E-3</v>
      </c>
      <c r="D285" s="1" t="str">
        <f>IF(COUNTIF(Target1[Target Dates],Benchmark1[[#This Row],[Benchmark '#1 Dates]])=1,"Pass","Fail")</f>
        <v>Pass</v>
      </c>
      <c r="E285" s="6">
        <f>IF(Benchmark1[[#This Row],[Target Date Check]]="Pass",INDEX(Target1[Target Price],MATCH(Benchmark1[[#This Row],[Benchmark '#1 Dates]],Target1[Target Dates],0)),"-")</f>
        <v>28.6</v>
      </c>
      <c r="F285" s="22">
        <f>IF(Benchmark1[[#This Row],[Target Date Check]]="Pass",INDEX(Target1[Target Return],MATCH(Benchmark1[[#This Row],[Benchmark '#1 Dates]],Target1[Target Dates],0)),"-")</f>
        <v>-3.4904049397684908E-3</v>
      </c>
      <c r="G285" s="1">
        <f>IFERROR(IF(Benchmark1[[#This Row],[Target Date Check]]="Pass",Benchmark1[[#This Row],[Target Return]]-Benchmark1[[#This Row],[Benchmark '#1 Return]],"-"),"-")</f>
        <v>4.455148027398867E-3</v>
      </c>
      <c r="H285" s="1" t="str">
        <f>IF(COUNTIF(Comp1[Comparable '#1 Dates],Benchmark1[[#This Row],[Benchmark '#1 Dates]])=1,"Pass","Fail")</f>
        <v>Pass</v>
      </c>
      <c r="I285" s="6">
        <f>IF(Benchmark1[[#This Row],[Comparable '#1 Date Check]]="Pass",INDEX(Comp1[Comparable '#1 Price],MATCH(Benchmark1[[#This Row],[Benchmark '#1 Dates]],Comp1[Comparable '#1 Dates],0)),"-")</f>
        <v>17.53</v>
      </c>
      <c r="J285" s="22">
        <f>IF(Benchmark1[[#This Row],[Comparable '#1 Date Check]]="Pass",INDEX(Comp1[Comparable '#1 Return],MATCH(Benchmark1[[#This Row],[Benchmark '#1 Dates]],Comp1[Comparable '#1 Dates],0)),"-")</f>
        <v>2.1332604873326874E-2</v>
      </c>
      <c r="K285" s="1">
        <f>IFERROR(IF(Benchmark1[[#This Row],[Comparable '#1 Date Check]]="Pass",Benchmark1[[#This Row],[Comparable '#1 Return]]-Benchmark1[[#This Row],[Benchmark '#1 Return]],"-"),"-")</f>
        <v>2.9278157840494232E-2</v>
      </c>
      <c r="L285" s="1" t="str">
        <f>IF(COUNTIF(Comp2[Comparable '#2 Dates],Benchmark1[[#This Row],[Benchmark '#1 Dates]])=1,"Pass","Fail")</f>
        <v>Pass</v>
      </c>
      <c r="M285" s="6">
        <f>IF(Benchmark1[[#This Row],[Comparable '#2 Date Check]]="Pass",INDEX(Comp2[Comparable '#2 Price],MATCH(Benchmark1[[#This Row],[Benchmark '#1 Dates]],Comp2[Comparable '#2 Dates],0)),"-")</f>
        <v>50.2</v>
      </c>
      <c r="N285" s="22">
        <f>IF(Benchmark1[[#This Row],[Comparable '#2 Date Check]]="Pass",INDEX(Comp2[Comparable '#2 Return],MATCH(Benchmark1[[#This Row],[Benchmark '#1 Dates]],Comp2[Comparable '#2 Dates],0)),"-")</f>
        <v>3.7920412668713314E-3</v>
      </c>
      <c r="O285" s="1">
        <f>IFERROR(IF(Benchmark1[[#This Row],[Comparable '#2 Date Check]]="Pass",Benchmark1[[#This Row],[Comparable '#2 Return]]-Benchmark1[[#This Row],[Benchmark '#1 Return]],"-"),"-")</f>
        <v>1.173759423403869E-2</v>
      </c>
      <c r="P285" s="1" t="str">
        <f>IF(COUNTIF(Comp3[Comparable '#3 Dates],Benchmark1[[#This Row],[Benchmark '#1 Dates]])=1,"Pass","Fail")</f>
        <v>Pass</v>
      </c>
      <c r="Q285" s="6">
        <f>IF(Benchmark1[[#This Row],[Comparable '#3 Date Check]]="Pass",INDEX(Comp3[Comparable '#3 Price],MATCH(Benchmark1[[#This Row],[Benchmark '#1 Dates]],Comp3[Comparable '#3 Dates],0)),"-")</f>
        <v>177.65</v>
      </c>
      <c r="R285" s="22">
        <f>IF(Benchmark1[[#This Row],[Comparable '#3 Date Check]]="Pass",INDEX(Comp3[Comparable '#3 Return],MATCH(Benchmark1[[#This Row],[Benchmark '#1 Dates]],Comp3[Comparable '#3 Dates],0)),"-")</f>
        <v>-7.4028715622808427E-3</v>
      </c>
      <c r="S285" s="1">
        <f>IFERROR(IF(Benchmark1[[#This Row],[Comparable '#3 Date Check]]="Pass",Benchmark1[[#This Row],[Comparable '#3 Return]]-Benchmark1[[#This Row],[Benchmark '#1 Return]],"-"),"-")</f>
        <v>5.4268140488651553E-4</v>
      </c>
    </row>
    <row r="286" spans="1:19">
      <c r="A286" s="103">
        <v>43698</v>
      </c>
      <c r="B286" s="104">
        <v>2924.4303174900924</v>
      </c>
      <c r="C286" s="4">
        <f t="shared" si="4"/>
        <v>8.213022549991544E-3</v>
      </c>
      <c r="D286" s="1" t="str">
        <f>IF(COUNTIF(Target1[Target Dates],Benchmark1[[#This Row],[Benchmark '#1 Dates]])=1,"Pass","Fail")</f>
        <v>Pass</v>
      </c>
      <c r="E286" s="6">
        <f>IF(Benchmark1[[#This Row],[Target Date Check]]="Pass",INDEX(Target1[Target Price],MATCH(Benchmark1[[#This Row],[Benchmark '#1 Dates]],Target1[Target Dates],0)),"-")</f>
        <v>29.7</v>
      </c>
      <c r="F286" s="22">
        <f>IF(Benchmark1[[#This Row],[Target Date Check]]="Pass",INDEX(Target1[Target Return],MATCH(Benchmark1[[#This Row],[Benchmark '#1 Dates]],Target1[Target Dates],0)),"-")</f>
        <v>3.7740327982846898E-2</v>
      </c>
      <c r="G286" s="1">
        <f>IFERROR(IF(Benchmark1[[#This Row],[Target Date Check]]="Pass",Benchmark1[[#This Row],[Target Return]]-Benchmark1[[#This Row],[Benchmark '#1 Return]],"-"),"-")</f>
        <v>2.9527305432855352E-2</v>
      </c>
      <c r="H286" s="1" t="str">
        <f>IF(COUNTIF(Comp1[Comparable '#1 Dates],Benchmark1[[#This Row],[Benchmark '#1 Dates]])=1,"Pass","Fail")</f>
        <v>Pass</v>
      </c>
      <c r="I286" s="6">
        <f>IF(Benchmark1[[#This Row],[Comparable '#1 Date Check]]="Pass",INDEX(Comp1[Comparable '#1 Price],MATCH(Benchmark1[[#This Row],[Benchmark '#1 Dates]],Comp1[Comparable '#1 Dates],0)),"-")</f>
        <v>17.850000000000001</v>
      </c>
      <c r="J286" s="22">
        <f>IF(Benchmark1[[#This Row],[Comparable '#1 Date Check]]="Pass",INDEX(Comp1[Comparable '#1 Return],MATCH(Benchmark1[[#This Row],[Benchmark '#1 Dates]],Comp1[Comparable '#1 Dates],0)),"-")</f>
        <v>1.8089809292504932E-2</v>
      </c>
      <c r="K286" s="1">
        <f>IFERROR(IF(Benchmark1[[#This Row],[Comparable '#1 Date Check]]="Pass",Benchmark1[[#This Row],[Comparable '#1 Return]]-Benchmark1[[#This Row],[Benchmark '#1 Return]],"-"),"-")</f>
        <v>9.8767867425133878E-3</v>
      </c>
      <c r="L286" s="1" t="str">
        <f>IF(COUNTIF(Comp2[Comparable '#2 Dates],Benchmark1[[#This Row],[Benchmark '#1 Dates]])=1,"Pass","Fail")</f>
        <v>Pass</v>
      </c>
      <c r="M286" s="6">
        <f>IF(Benchmark1[[#This Row],[Comparable '#2 Date Check]]="Pass",INDEX(Comp2[Comparable '#2 Price],MATCH(Benchmark1[[#This Row],[Benchmark '#1 Dates]],Comp2[Comparable '#2 Dates],0)),"-")</f>
        <v>51.38</v>
      </c>
      <c r="N286" s="22">
        <f>IF(Benchmark1[[#This Row],[Comparable '#2 Date Check]]="Pass",INDEX(Comp2[Comparable '#2 Return],MATCH(Benchmark1[[#This Row],[Benchmark '#1 Dates]],Comp2[Comparable '#2 Dates],0)),"-")</f>
        <v>2.3233964984054029E-2</v>
      </c>
      <c r="O286" s="1">
        <f>IFERROR(IF(Benchmark1[[#This Row],[Comparable '#2 Date Check]]="Pass",Benchmark1[[#This Row],[Comparable '#2 Return]]-Benchmark1[[#This Row],[Benchmark '#1 Return]],"-"),"-")</f>
        <v>1.5020942434062485E-2</v>
      </c>
      <c r="P286" s="1" t="str">
        <f>IF(COUNTIF(Comp3[Comparable '#3 Dates],Benchmark1[[#This Row],[Benchmark '#1 Dates]])=1,"Pass","Fail")</f>
        <v>Pass</v>
      </c>
      <c r="Q286" s="6">
        <f>IF(Benchmark1[[#This Row],[Comparable '#3 Date Check]]="Pass",INDEX(Comp3[Comparable '#3 Price],MATCH(Benchmark1[[#This Row],[Benchmark '#1 Dates]],Comp3[Comparable '#3 Dates],0)),"-")</f>
        <v>176.99</v>
      </c>
      <c r="R286" s="22">
        <f>IF(Benchmark1[[#This Row],[Comparable '#3 Date Check]]="Pass",INDEX(Comp3[Comparable '#3 Return],MATCH(Benchmark1[[#This Row],[Benchmark '#1 Dates]],Comp3[Comparable '#3 Dates],0)),"-")</f>
        <v>-3.7220886643737042E-3</v>
      </c>
      <c r="S286" s="1">
        <f>IFERROR(IF(Benchmark1[[#This Row],[Comparable '#3 Date Check]]="Pass",Benchmark1[[#This Row],[Comparable '#3 Return]]-Benchmark1[[#This Row],[Benchmark '#1 Return]],"-"),"-")</f>
        <v>-1.1935111214365248E-2</v>
      </c>
    </row>
    <row r="287" spans="1:19">
      <c r="A287" s="103">
        <v>43699</v>
      </c>
      <c r="B287" s="104">
        <v>2922.9523576930023</v>
      </c>
      <c r="C287" s="4">
        <f t="shared" si="4"/>
        <v>-5.055115803643456E-4</v>
      </c>
      <c r="D287" s="1" t="str">
        <f>IF(COUNTIF(Target1[Target Dates],Benchmark1[[#This Row],[Benchmark '#1 Dates]])=1,"Pass","Fail")</f>
        <v>Pass</v>
      </c>
      <c r="E287" s="6">
        <f>IF(Benchmark1[[#This Row],[Target Date Check]]="Pass",INDEX(Target1[Target Price],MATCH(Benchmark1[[#This Row],[Benchmark '#1 Dates]],Target1[Target Dates],0)),"-")</f>
        <v>28.47</v>
      </c>
      <c r="F287" s="22">
        <f>IF(Benchmark1[[#This Row],[Target Date Check]]="Pass",INDEX(Target1[Target Return],MATCH(Benchmark1[[#This Row],[Benchmark '#1 Dates]],Target1[Target Dates],0)),"-")</f>
        <v>-4.2296144518707793E-2</v>
      </c>
      <c r="G287" s="1">
        <f>IFERROR(IF(Benchmark1[[#This Row],[Target Date Check]]="Pass",Benchmark1[[#This Row],[Target Return]]-Benchmark1[[#This Row],[Benchmark '#1 Return]],"-"),"-")</f>
        <v>-4.1790632938343446E-2</v>
      </c>
      <c r="H287" s="1" t="str">
        <f>IF(COUNTIF(Comp1[Comparable '#1 Dates],Benchmark1[[#This Row],[Benchmark '#1 Dates]])=1,"Pass","Fail")</f>
        <v>Pass</v>
      </c>
      <c r="I287" s="6">
        <f>IF(Benchmark1[[#This Row],[Comparable '#1 Date Check]]="Pass",INDEX(Comp1[Comparable '#1 Price],MATCH(Benchmark1[[#This Row],[Benchmark '#1 Dates]],Comp1[Comparable '#1 Dates],0)),"-")</f>
        <v>17.93</v>
      </c>
      <c r="J287" s="22">
        <f>IF(Benchmark1[[#This Row],[Comparable '#1 Date Check]]="Pass",INDEX(Comp1[Comparable '#1 Return],MATCH(Benchmark1[[#This Row],[Benchmark '#1 Dates]],Comp1[Comparable '#1 Dates],0)),"-")</f>
        <v>4.4717793913934111E-3</v>
      </c>
      <c r="K287" s="1">
        <f>IFERROR(IF(Benchmark1[[#This Row],[Comparable '#1 Date Check]]="Pass",Benchmark1[[#This Row],[Comparable '#1 Return]]-Benchmark1[[#This Row],[Benchmark '#1 Return]],"-"),"-")</f>
        <v>4.9772909717577564E-3</v>
      </c>
      <c r="L287" s="1" t="str">
        <f>IF(COUNTIF(Comp2[Comparable '#2 Dates],Benchmark1[[#This Row],[Benchmark '#1 Dates]])=1,"Pass","Fail")</f>
        <v>Pass</v>
      </c>
      <c r="M287" s="6">
        <f>IF(Benchmark1[[#This Row],[Comparable '#2 Date Check]]="Pass",INDEX(Comp2[Comparable '#2 Price],MATCH(Benchmark1[[#This Row],[Benchmark '#1 Dates]],Comp2[Comparable '#2 Dates],0)),"-")</f>
        <v>50.96</v>
      </c>
      <c r="N287" s="22">
        <f>IF(Benchmark1[[#This Row],[Comparable '#2 Date Check]]="Pass",INDEX(Comp2[Comparable '#2 Return],MATCH(Benchmark1[[#This Row],[Benchmark '#1 Dates]],Comp2[Comparable '#2 Dates],0)),"-")</f>
        <v>-8.2079804178296217E-3</v>
      </c>
      <c r="O287" s="1">
        <f>IFERROR(IF(Benchmark1[[#This Row],[Comparable '#2 Date Check]]="Pass",Benchmark1[[#This Row],[Comparable '#2 Return]]-Benchmark1[[#This Row],[Benchmark '#1 Return]],"-"),"-")</f>
        <v>-7.7024688374652765E-3</v>
      </c>
      <c r="P287" s="1" t="str">
        <f>IF(COUNTIF(Comp3[Comparable '#3 Dates],Benchmark1[[#This Row],[Benchmark '#1 Dates]])=1,"Pass","Fail")</f>
        <v>Pass</v>
      </c>
      <c r="Q287" s="6">
        <f>IF(Benchmark1[[#This Row],[Comparable '#3 Date Check]]="Pass",INDEX(Comp3[Comparable '#3 Price],MATCH(Benchmark1[[#This Row],[Benchmark '#1 Dates]],Comp3[Comparable '#3 Dates],0)),"-")</f>
        <v>176.07</v>
      </c>
      <c r="R287" s="22">
        <f>IF(Benchmark1[[#This Row],[Comparable '#3 Date Check]]="Pass",INDEX(Comp3[Comparable '#3 Return],MATCH(Benchmark1[[#This Row],[Benchmark '#1 Dates]],Comp3[Comparable '#3 Dates],0)),"-")</f>
        <v>-5.2115905643096696E-3</v>
      </c>
      <c r="S287" s="1">
        <f>IFERROR(IF(Benchmark1[[#This Row],[Comparable '#3 Date Check]]="Pass",Benchmark1[[#This Row],[Comparable '#3 Return]]-Benchmark1[[#This Row],[Benchmark '#1 Return]],"-"),"-")</f>
        <v>-4.7060789839453243E-3</v>
      </c>
    </row>
    <row r="288" spans="1:19">
      <c r="A288" s="103">
        <v>43700</v>
      </c>
      <c r="B288" s="104">
        <v>2847.1109835578504</v>
      </c>
      <c r="C288" s="4">
        <f t="shared" si="4"/>
        <v>-2.6289396713685697E-2</v>
      </c>
      <c r="D288" s="1" t="str">
        <f>IF(COUNTIF(Target1[Target Dates],Benchmark1[[#This Row],[Benchmark '#1 Dates]])=1,"Pass","Fail")</f>
        <v>Pass</v>
      </c>
      <c r="E288" s="6">
        <f>IF(Benchmark1[[#This Row],[Target Date Check]]="Pass",INDEX(Target1[Target Price],MATCH(Benchmark1[[#This Row],[Benchmark '#1 Dates]],Target1[Target Dates],0)),"-")</f>
        <v>27.56</v>
      </c>
      <c r="F288" s="22">
        <f>IF(Benchmark1[[#This Row],[Target Date Check]]="Pass",INDEX(Target1[Target Return],MATCH(Benchmark1[[#This Row],[Benchmark '#1 Dates]],Target1[Target Dates],0)),"-")</f>
        <v>-3.2485455144488425E-2</v>
      </c>
      <c r="G288" s="1">
        <f>IFERROR(IF(Benchmark1[[#This Row],[Target Date Check]]="Pass",Benchmark1[[#This Row],[Target Return]]-Benchmark1[[#This Row],[Benchmark '#1 Return]],"-"),"-")</f>
        <v>-6.1960584308027276E-3</v>
      </c>
      <c r="H288" s="1" t="str">
        <f>IF(COUNTIF(Comp1[Comparable '#1 Dates],Benchmark1[[#This Row],[Benchmark '#1 Dates]])=1,"Pass","Fail")</f>
        <v>Pass</v>
      </c>
      <c r="I288" s="6">
        <f>IF(Benchmark1[[#This Row],[Comparable '#1 Date Check]]="Pass",INDEX(Comp1[Comparable '#1 Price],MATCH(Benchmark1[[#This Row],[Benchmark '#1 Dates]],Comp1[Comparable '#1 Dates],0)),"-")</f>
        <v>17.54</v>
      </c>
      <c r="J288" s="22">
        <f>IF(Benchmark1[[#This Row],[Comparable '#1 Date Check]]="Pass",INDEX(Comp1[Comparable '#1 Return],MATCH(Benchmark1[[#This Row],[Benchmark '#1 Dates]],Comp1[Comparable '#1 Dates],0)),"-")</f>
        <v>-2.1991300673004515E-2</v>
      </c>
      <c r="K288" s="1">
        <f>IFERROR(IF(Benchmark1[[#This Row],[Comparable '#1 Date Check]]="Pass",Benchmark1[[#This Row],[Comparable '#1 Return]]-Benchmark1[[#This Row],[Benchmark '#1 Return]],"-"),"-")</f>
        <v>4.2980960406811819E-3</v>
      </c>
      <c r="L288" s="1" t="str">
        <f>IF(COUNTIF(Comp2[Comparable '#2 Dates],Benchmark1[[#This Row],[Benchmark '#1 Dates]])=1,"Pass","Fail")</f>
        <v>Pass</v>
      </c>
      <c r="M288" s="6">
        <f>IF(Benchmark1[[#This Row],[Comparable '#2 Date Check]]="Pass",INDEX(Comp2[Comparable '#2 Price],MATCH(Benchmark1[[#This Row],[Benchmark '#1 Dates]],Comp2[Comparable '#2 Dates],0)),"-")</f>
        <v>44.94</v>
      </c>
      <c r="N288" s="22">
        <f>IF(Benchmark1[[#This Row],[Comparable '#2 Date Check]]="Pass",INDEX(Comp2[Comparable '#2 Return],MATCH(Benchmark1[[#This Row],[Benchmark '#1 Dates]],Comp2[Comparable '#2 Dates],0)),"-")</f>
        <v>-0.12571274450672482</v>
      </c>
      <c r="O288" s="1">
        <f>IFERROR(IF(Benchmark1[[#This Row],[Comparable '#2 Date Check]]="Pass",Benchmark1[[#This Row],[Comparable '#2 Return]]-Benchmark1[[#This Row],[Benchmark '#1 Return]],"-"),"-")</f>
        <v>-9.9423347793039116E-2</v>
      </c>
      <c r="P288" s="1" t="str">
        <f>IF(COUNTIF(Comp3[Comparable '#3 Dates],Benchmark1[[#This Row],[Benchmark '#1 Dates]])=1,"Pass","Fail")</f>
        <v>Pass</v>
      </c>
      <c r="Q288" s="6">
        <f>IF(Benchmark1[[#This Row],[Comparable '#3 Date Check]]="Pass",INDEX(Comp3[Comparable '#3 Price],MATCH(Benchmark1[[#This Row],[Benchmark '#1 Dates]],Comp3[Comparable '#3 Dates],0)),"-")</f>
        <v>167.57</v>
      </c>
      <c r="R288" s="22">
        <f>IF(Benchmark1[[#This Row],[Comparable '#3 Date Check]]="Pass",INDEX(Comp3[Comparable '#3 Return],MATCH(Benchmark1[[#This Row],[Benchmark '#1 Dates]],Comp3[Comparable '#3 Dates],0)),"-")</f>
        <v>-4.948046882572011E-2</v>
      </c>
      <c r="S288" s="1">
        <f>IFERROR(IF(Benchmark1[[#This Row],[Comparable '#3 Date Check]]="Pass",Benchmark1[[#This Row],[Comparable '#3 Return]]-Benchmark1[[#This Row],[Benchmark '#1 Return]],"-"),"-")</f>
        <v>-2.3191072112034413E-2</v>
      </c>
    </row>
    <row r="289" spans="1:19">
      <c r="A289" s="103">
        <v>43703</v>
      </c>
      <c r="B289" s="104">
        <v>2878.3838848430109</v>
      </c>
      <c r="C289" s="4">
        <f t="shared" si="4"/>
        <v>1.0924195377781968E-2</v>
      </c>
      <c r="D289" s="1" t="str">
        <f>IF(COUNTIF(Target1[Target Dates],Benchmark1[[#This Row],[Benchmark '#1 Dates]])=1,"Pass","Fail")</f>
        <v>Pass</v>
      </c>
      <c r="E289" s="6">
        <f>IF(Benchmark1[[#This Row],[Target Date Check]]="Pass",INDEX(Target1[Target Price],MATCH(Benchmark1[[#This Row],[Benchmark '#1 Dates]],Target1[Target Dates],0)),"-")</f>
        <v>27.66</v>
      </c>
      <c r="F289" s="22">
        <f>IF(Benchmark1[[#This Row],[Target Date Check]]="Pass",INDEX(Target1[Target Return],MATCH(Benchmark1[[#This Row],[Benchmark '#1 Dates]],Target1[Target Dates],0)),"-")</f>
        <v>3.621880091154355E-3</v>
      </c>
      <c r="G289" s="1">
        <f>IFERROR(IF(Benchmark1[[#This Row],[Target Date Check]]="Pass",Benchmark1[[#This Row],[Target Return]]-Benchmark1[[#This Row],[Benchmark '#1 Return]],"-"),"-")</f>
        <v>-7.3023152866276133E-3</v>
      </c>
      <c r="H289" s="1" t="str">
        <f>IF(COUNTIF(Comp1[Comparable '#1 Dates],Benchmark1[[#This Row],[Benchmark '#1 Dates]])=1,"Pass","Fail")</f>
        <v>Pass</v>
      </c>
      <c r="I289" s="6">
        <f>IF(Benchmark1[[#This Row],[Comparable '#1 Date Check]]="Pass",INDEX(Comp1[Comparable '#1 Price],MATCH(Benchmark1[[#This Row],[Benchmark '#1 Dates]],Comp1[Comparable '#1 Dates],0)),"-")</f>
        <v>17.46</v>
      </c>
      <c r="J289" s="22">
        <f>IF(Benchmark1[[#This Row],[Comparable '#1 Date Check]]="Pass",INDEX(Comp1[Comparable '#1 Return],MATCH(Benchmark1[[#This Row],[Benchmark '#1 Dates]],Comp1[Comparable '#1 Dates],0)),"-")</f>
        <v>-4.5714365325807658E-3</v>
      </c>
      <c r="K289" s="1">
        <f>IFERROR(IF(Benchmark1[[#This Row],[Comparable '#1 Date Check]]="Pass",Benchmark1[[#This Row],[Comparable '#1 Return]]-Benchmark1[[#This Row],[Benchmark '#1 Return]],"-"),"-")</f>
        <v>-1.5495631910362734E-2</v>
      </c>
      <c r="L289" s="1" t="str">
        <f>IF(COUNTIF(Comp2[Comparable '#2 Dates],Benchmark1[[#This Row],[Benchmark '#1 Dates]])=1,"Pass","Fail")</f>
        <v>Pass</v>
      </c>
      <c r="M289" s="6">
        <f>IF(Benchmark1[[#This Row],[Comparable '#2 Date Check]]="Pass",INDEX(Comp2[Comparable '#2 Price],MATCH(Benchmark1[[#This Row],[Benchmark '#1 Dates]],Comp2[Comparable '#2 Dates],0)),"-")</f>
        <v>45.55</v>
      </c>
      <c r="N289" s="22">
        <f>IF(Benchmark1[[#This Row],[Comparable '#2 Date Check]]="Pass",INDEX(Comp2[Comparable '#2 Return],MATCH(Benchmark1[[#This Row],[Benchmark '#1 Dates]],Comp2[Comparable '#2 Dates],0)),"-")</f>
        <v>1.3482356948784304E-2</v>
      </c>
      <c r="O289" s="1">
        <f>IFERROR(IF(Benchmark1[[#This Row],[Comparable '#2 Date Check]]="Pass",Benchmark1[[#This Row],[Comparable '#2 Return]]-Benchmark1[[#This Row],[Benchmark '#1 Return]],"-"),"-")</f>
        <v>2.5581615710023355E-3</v>
      </c>
      <c r="P289" s="1" t="str">
        <f>IF(COUNTIF(Comp3[Comparable '#3 Dates],Benchmark1[[#This Row],[Benchmark '#1 Dates]])=1,"Pass","Fail")</f>
        <v>Pass</v>
      </c>
      <c r="Q289" s="6">
        <f>IF(Benchmark1[[#This Row],[Comparable '#3 Date Check]]="Pass",INDEX(Comp3[Comparable '#3 Price],MATCH(Benchmark1[[#This Row],[Benchmark '#1 Dates]],Comp3[Comparable '#3 Dates],0)),"-")</f>
        <v>171.04</v>
      </c>
      <c r="R289" s="22">
        <f>IF(Benchmark1[[#This Row],[Comparable '#3 Date Check]]="Pass",INDEX(Comp3[Comparable '#3 Return],MATCH(Benchmark1[[#This Row],[Benchmark '#1 Dates]],Comp3[Comparable '#3 Dates],0)),"-")</f>
        <v>2.0496272864102421E-2</v>
      </c>
      <c r="S289" s="1">
        <f>IFERROR(IF(Benchmark1[[#This Row],[Comparable '#3 Date Check]]="Pass",Benchmark1[[#This Row],[Comparable '#3 Return]]-Benchmark1[[#This Row],[Benchmark '#1 Return]],"-"),"-")</f>
        <v>9.5720774863204527E-3</v>
      </c>
    </row>
    <row r="290" spans="1:19">
      <c r="A290" s="103">
        <v>43704</v>
      </c>
      <c r="B290" s="104">
        <v>2869.1561113139273</v>
      </c>
      <c r="C290" s="4">
        <f t="shared" si="4"/>
        <v>-3.2110368832684744E-3</v>
      </c>
      <c r="D290" s="1" t="str">
        <f>IF(COUNTIF(Target1[Target Dates],Benchmark1[[#This Row],[Benchmark '#1 Dates]])=1,"Pass","Fail")</f>
        <v>Pass</v>
      </c>
      <c r="E290" s="6">
        <f>IF(Benchmark1[[#This Row],[Target Date Check]]="Pass",INDEX(Target1[Target Price],MATCH(Benchmark1[[#This Row],[Benchmark '#1 Dates]],Target1[Target Dates],0)),"-")</f>
        <v>26.75</v>
      </c>
      <c r="F290" s="22">
        <f>IF(Benchmark1[[#This Row],[Target Date Check]]="Pass",INDEX(Target1[Target Return],MATCH(Benchmark1[[#This Row],[Benchmark '#1 Dates]],Target1[Target Dates],0)),"-")</f>
        <v>-3.3452852894596645E-2</v>
      </c>
      <c r="G290" s="1">
        <f>IFERROR(IF(Benchmark1[[#This Row],[Target Date Check]]="Pass",Benchmark1[[#This Row],[Target Return]]-Benchmark1[[#This Row],[Benchmark '#1 Return]],"-"),"-")</f>
        <v>-3.0241816011328172E-2</v>
      </c>
      <c r="H290" s="1" t="str">
        <f>IF(COUNTIF(Comp1[Comparable '#1 Dates],Benchmark1[[#This Row],[Benchmark '#1 Dates]])=1,"Pass","Fail")</f>
        <v>Pass</v>
      </c>
      <c r="I290" s="6">
        <f>IF(Benchmark1[[#This Row],[Comparable '#1 Date Check]]="Pass",INDEX(Comp1[Comparable '#1 Price],MATCH(Benchmark1[[#This Row],[Benchmark '#1 Dates]],Comp1[Comparable '#1 Dates],0)),"-")</f>
        <v>17.34</v>
      </c>
      <c r="J290" s="22">
        <f>IF(Benchmark1[[#This Row],[Comparable '#1 Date Check]]="Pass",INDEX(Comp1[Comparable '#1 Return],MATCH(Benchmark1[[#This Row],[Benchmark '#1 Dates]],Comp1[Comparable '#1 Dates],0)),"-")</f>
        <v>-6.8965790590604405E-3</v>
      </c>
      <c r="K290" s="1">
        <f>IFERROR(IF(Benchmark1[[#This Row],[Comparable '#1 Date Check]]="Pass",Benchmark1[[#This Row],[Comparable '#1 Return]]-Benchmark1[[#This Row],[Benchmark '#1 Return]],"-"),"-")</f>
        <v>-3.685542175791966E-3</v>
      </c>
      <c r="L290" s="1" t="str">
        <f>IF(COUNTIF(Comp2[Comparable '#2 Dates],Benchmark1[[#This Row],[Benchmark '#1 Dates]])=1,"Pass","Fail")</f>
        <v>Pass</v>
      </c>
      <c r="M290" s="6">
        <f>IF(Benchmark1[[#This Row],[Comparable '#2 Date Check]]="Pass",INDEX(Comp2[Comparable '#2 Price],MATCH(Benchmark1[[#This Row],[Benchmark '#1 Dates]],Comp2[Comparable '#2 Dates],0)),"-")</f>
        <v>43.86</v>
      </c>
      <c r="N290" s="22">
        <f>IF(Benchmark1[[#This Row],[Comparable '#2 Date Check]]="Pass",INDEX(Comp2[Comparable '#2 Return],MATCH(Benchmark1[[#This Row],[Benchmark '#1 Dates]],Comp2[Comparable '#2 Dates],0)),"-")</f>
        <v>-3.7807880716225171E-2</v>
      </c>
      <c r="O290" s="1">
        <f>IFERROR(IF(Benchmark1[[#This Row],[Comparable '#2 Date Check]]="Pass",Benchmark1[[#This Row],[Comparable '#2 Return]]-Benchmark1[[#This Row],[Benchmark '#1 Return]],"-"),"-")</f>
        <v>-3.4596843832956699E-2</v>
      </c>
      <c r="P290" s="1" t="str">
        <f>IF(COUNTIF(Comp3[Comparable '#3 Dates],Benchmark1[[#This Row],[Benchmark '#1 Dates]])=1,"Pass","Fail")</f>
        <v>Pass</v>
      </c>
      <c r="Q290" s="6">
        <f>IF(Benchmark1[[#This Row],[Comparable '#3 Date Check]]="Pass",INDEX(Comp3[Comparable '#3 Price],MATCH(Benchmark1[[#This Row],[Benchmark '#1 Dates]],Comp3[Comparable '#3 Dates],0)),"-")</f>
        <v>169.82</v>
      </c>
      <c r="R290" s="22">
        <f>IF(Benchmark1[[#This Row],[Comparable '#3 Date Check]]="Pass",INDEX(Comp3[Comparable '#3 Return],MATCH(Benchmark1[[#This Row],[Benchmark '#1 Dates]],Comp3[Comparable '#3 Dates],0)),"-")</f>
        <v>-7.1583947055176619E-3</v>
      </c>
      <c r="S290" s="1">
        <f>IFERROR(IF(Benchmark1[[#This Row],[Comparable '#3 Date Check]]="Pass",Benchmark1[[#This Row],[Comparable '#3 Return]]-Benchmark1[[#This Row],[Benchmark '#1 Return]],"-"),"-")</f>
        <v>-3.9473578222491874E-3</v>
      </c>
    </row>
    <row r="291" spans="1:19">
      <c r="A291" s="103">
        <v>43705</v>
      </c>
      <c r="B291" s="104">
        <v>2887.9387900043421</v>
      </c>
      <c r="C291" s="4">
        <f t="shared" si="4"/>
        <v>6.5250775449288848E-3</v>
      </c>
      <c r="D291" s="1" t="str">
        <f>IF(COUNTIF(Target1[Target Dates],Benchmark1[[#This Row],[Benchmark '#1 Dates]])=1,"Pass","Fail")</f>
        <v>Pass</v>
      </c>
      <c r="E291" s="6">
        <f>IF(Benchmark1[[#This Row],[Target Date Check]]="Pass",INDEX(Target1[Target Price],MATCH(Benchmark1[[#This Row],[Benchmark '#1 Dates]],Target1[Target Dates],0)),"-")</f>
        <v>26.84</v>
      </c>
      <c r="F291" s="22">
        <f>IF(Benchmark1[[#This Row],[Target Date Check]]="Pass",INDEX(Target1[Target Return],MATCH(Benchmark1[[#This Row],[Benchmark '#1 Dates]],Target1[Target Dates],0)),"-")</f>
        <v>3.3588387614655294E-3</v>
      </c>
      <c r="G291" s="1">
        <f>IFERROR(IF(Benchmark1[[#This Row],[Target Date Check]]="Pass",Benchmark1[[#This Row],[Target Return]]-Benchmark1[[#This Row],[Benchmark '#1 Return]],"-"),"-")</f>
        <v>-3.1662387834633554E-3</v>
      </c>
      <c r="H291" s="1" t="str">
        <f>IF(COUNTIF(Comp1[Comparable '#1 Dates],Benchmark1[[#This Row],[Benchmark '#1 Dates]])=1,"Pass","Fail")</f>
        <v>Pass</v>
      </c>
      <c r="I291" s="6">
        <f>IF(Benchmark1[[#This Row],[Comparable '#1 Date Check]]="Pass",INDEX(Comp1[Comparable '#1 Price],MATCH(Benchmark1[[#This Row],[Benchmark '#1 Dates]],Comp1[Comparable '#1 Dates],0)),"-")</f>
        <v>17.899999999999999</v>
      </c>
      <c r="J291" s="22">
        <f>IF(Benchmark1[[#This Row],[Comparable '#1 Date Check]]="Pass",INDEX(Comp1[Comparable '#1 Return],MATCH(Benchmark1[[#This Row],[Benchmark '#1 Dates]],Comp1[Comparable '#1 Dates],0)),"-")</f>
        <v>3.1784741494313498E-2</v>
      </c>
      <c r="K291" s="1">
        <f>IFERROR(IF(Benchmark1[[#This Row],[Comparable '#1 Date Check]]="Pass",Benchmark1[[#This Row],[Comparable '#1 Return]]-Benchmark1[[#This Row],[Benchmark '#1 Return]],"-"),"-")</f>
        <v>2.5259663949384614E-2</v>
      </c>
      <c r="L291" s="1" t="str">
        <f>IF(COUNTIF(Comp2[Comparable '#2 Dates],Benchmark1[[#This Row],[Benchmark '#1 Dates]])=1,"Pass","Fail")</f>
        <v>Pass</v>
      </c>
      <c r="M291" s="6">
        <f>IF(Benchmark1[[#This Row],[Comparable '#2 Date Check]]="Pass",INDEX(Comp2[Comparable '#2 Price],MATCH(Benchmark1[[#This Row],[Benchmark '#1 Dates]],Comp2[Comparable '#2 Dates],0)),"-")</f>
        <v>43.39</v>
      </c>
      <c r="N291" s="22">
        <f>IF(Benchmark1[[#This Row],[Comparable '#2 Date Check]]="Pass",INDEX(Comp2[Comparable '#2 Return],MATCH(Benchmark1[[#This Row],[Benchmark '#1 Dates]],Comp2[Comparable '#2 Dates],0)),"-")</f>
        <v>-1.0773743179482796E-2</v>
      </c>
      <c r="O291" s="1">
        <f>IFERROR(IF(Benchmark1[[#This Row],[Comparable '#2 Date Check]]="Pass",Benchmark1[[#This Row],[Comparable '#2 Return]]-Benchmark1[[#This Row],[Benchmark '#1 Return]],"-"),"-")</f>
        <v>-1.7298820724411679E-2</v>
      </c>
      <c r="P291" s="1" t="str">
        <f>IF(COUNTIF(Comp3[Comparable '#3 Dates],Benchmark1[[#This Row],[Benchmark '#1 Dates]])=1,"Pass","Fail")</f>
        <v>Pass</v>
      </c>
      <c r="Q291" s="6">
        <f>IF(Benchmark1[[#This Row],[Comparable '#3 Date Check]]="Pass",INDEX(Comp3[Comparable '#3 Price],MATCH(Benchmark1[[#This Row],[Benchmark '#1 Dates]],Comp3[Comparable '#3 Dates],0)),"-")</f>
        <v>170</v>
      </c>
      <c r="R291" s="22">
        <f>IF(Benchmark1[[#This Row],[Comparable '#3 Date Check]]="Pass",INDEX(Comp3[Comparable '#3 Return],MATCH(Benchmark1[[#This Row],[Benchmark '#1 Dates]],Comp3[Comparable '#3 Dates],0)),"-")</f>
        <v>1.0593844790443576E-3</v>
      </c>
      <c r="S291" s="1">
        <f>IFERROR(IF(Benchmark1[[#This Row],[Comparable '#3 Date Check]]="Pass",Benchmark1[[#This Row],[Comparable '#3 Return]]-Benchmark1[[#This Row],[Benchmark '#1 Return]],"-"),"-")</f>
        <v>-5.4656930658845276E-3</v>
      </c>
    </row>
    <row r="292" spans="1:19">
      <c r="A292" s="103">
        <v>43706</v>
      </c>
      <c r="B292" s="104">
        <v>2924.5770989022708</v>
      </c>
      <c r="C292" s="4">
        <f t="shared" si="4"/>
        <v>1.2606862449886973E-2</v>
      </c>
      <c r="D292" s="1" t="str">
        <f>IF(COUNTIF(Target1[Target Dates],Benchmark1[[#This Row],[Benchmark '#1 Dates]])=1,"Pass","Fail")</f>
        <v>Pass</v>
      </c>
      <c r="E292" s="6">
        <f>IF(Benchmark1[[#This Row],[Target Date Check]]="Pass",INDEX(Target1[Target Price],MATCH(Benchmark1[[#This Row],[Benchmark '#1 Dates]],Target1[Target Dates],0)),"-")</f>
        <v>26.71</v>
      </c>
      <c r="F292" s="22">
        <f>IF(Benchmark1[[#This Row],[Target Date Check]]="Pass",INDEX(Target1[Target Return],MATCH(Benchmark1[[#This Row],[Benchmark '#1 Dates]],Target1[Target Dates],0)),"-")</f>
        <v>-4.855284981611533E-3</v>
      </c>
      <c r="G292" s="1">
        <f>IFERROR(IF(Benchmark1[[#This Row],[Target Date Check]]="Pass",Benchmark1[[#This Row],[Target Return]]-Benchmark1[[#This Row],[Benchmark '#1 Return]],"-"),"-")</f>
        <v>-1.7462147431498508E-2</v>
      </c>
      <c r="H292" s="1" t="str">
        <f>IF(COUNTIF(Comp1[Comparable '#1 Dates],Benchmark1[[#This Row],[Benchmark '#1 Dates]])=1,"Pass","Fail")</f>
        <v>Pass</v>
      </c>
      <c r="I292" s="6">
        <f>IF(Benchmark1[[#This Row],[Comparable '#1 Date Check]]="Pass",INDEX(Comp1[Comparable '#1 Price],MATCH(Benchmark1[[#This Row],[Benchmark '#1 Dates]],Comp1[Comparable '#1 Dates],0)),"-")</f>
        <v>18.41</v>
      </c>
      <c r="J292" s="22">
        <f>IF(Benchmark1[[#This Row],[Comparable '#1 Date Check]]="Pass",INDEX(Comp1[Comparable '#1 Return],MATCH(Benchmark1[[#This Row],[Benchmark '#1 Dates]],Comp1[Comparable '#1 Dates],0)),"-")</f>
        <v>2.8093282398277335E-2</v>
      </c>
      <c r="K292" s="1">
        <f>IFERROR(IF(Benchmark1[[#This Row],[Comparable '#1 Date Check]]="Pass",Benchmark1[[#This Row],[Comparable '#1 Return]]-Benchmark1[[#This Row],[Benchmark '#1 Return]],"-"),"-")</f>
        <v>1.5486419948390362E-2</v>
      </c>
      <c r="L292" s="1" t="str">
        <f>IF(COUNTIF(Comp2[Comparable '#2 Dates],Benchmark1[[#This Row],[Benchmark '#1 Dates]])=1,"Pass","Fail")</f>
        <v>Pass</v>
      </c>
      <c r="M292" s="6">
        <f>IF(Benchmark1[[#This Row],[Comparable '#2 Date Check]]="Pass",INDEX(Comp2[Comparable '#2 Price],MATCH(Benchmark1[[#This Row],[Benchmark '#1 Dates]],Comp2[Comparable '#2 Dates],0)),"-")</f>
        <v>42.6</v>
      </c>
      <c r="N292" s="22">
        <f>IF(Benchmark1[[#This Row],[Comparable '#2 Date Check]]="Pass",INDEX(Comp2[Comparable '#2 Return],MATCH(Benchmark1[[#This Row],[Benchmark '#1 Dates]],Comp2[Comparable '#2 Dates],0)),"-")</f>
        <v>-1.8374746534934577E-2</v>
      </c>
      <c r="O292" s="1">
        <f>IFERROR(IF(Benchmark1[[#This Row],[Comparable '#2 Date Check]]="Pass",Benchmark1[[#This Row],[Comparable '#2 Return]]-Benchmark1[[#This Row],[Benchmark '#1 Return]],"-"),"-")</f>
        <v>-3.0981608984821551E-2</v>
      </c>
      <c r="P292" s="1" t="str">
        <f>IF(COUNTIF(Comp3[Comparable '#3 Dates],Benchmark1[[#This Row],[Benchmark '#1 Dates]])=1,"Pass","Fail")</f>
        <v>Pass</v>
      </c>
      <c r="Q292" s="6">
        <f>IF(Benchmark1[[#This Row],[Comparable '#3 Date Check]]="Pass",INDEX(Comp3[Comparable '#3 Price],MATCH(Benchmark1[[#This Row],[Benchmark '#1 Dates]],Comp3[Comparable '#3 Dates],0)),"-")</f>
        <v>170.78</v>
      </c>
      <c r="R292" s="22">
        <f>IF(Benchmark1[[#This Row],[Comparable '#3 Date Check]]="Pass",INDEX(Comp3[Comparable '#3 Return],MATCH(Benchmark1[[#This Row],[Benchmark '#1 Dates]],Comp3[Comparable '#3 Dates],0)),"-")</f>
        <v>4.5777414291982392E-3</v>
      </c>
      <c r="S292" s="1">
        <f>IFERROR(IF(Benchmark1[[#This Row],[Comparable '#3 Date Check]]="Pass",Benchmark1[[#This Row],[Comparable '#3 Return]]-Benchmark1[[#This Row],[Benchmark '#1 Return]],"-"),"-")</f>
        <v>-8.0291210206887339E-3</v>
      </c>
    </row>
    <row r="293" spans="1:19">
      <c r="A293" s="103">
        <v>43707</v>
      </c>
      <c r="B293" s="104">
        <v>2926.4581286088824</v>
      </c>
      <c r="C293" s="4">
        <f t="shared" si="4"/>
        <v>6.4297331951467408E-4</v>
      </c>
      <c r="D293" s="1" t="str">
        <f>IF(COUNTIF(Target1[Target Dates],Benchmark1[[#This Row],[Benchmark '#1 Dates]])=1,"Pass","Fail")</f>
        <v>Pass</v>
      </c>
      <c r="E293" s="6">
        <f>IF(Benchmark1[[#This Row],[Target Date Check]]="Pass",INDEX(Target1[Target Price],MATCH(Benchmark1[[#This Row],[Benchmark '#1 Dates]],Target1[Target Dates],0)),"-")</f>
        <v>26.35</v>
      </c>
      <c r="F293" s="22">
        <f>IF(Benchmark1[[#This Row],[Target Date Check]]="Pass",INDEX(Target1[Target Return],MATCH(Benchmark1[[#This Row],[Benchmark '#1 Dates]],Target1[Target Dates],0)),"-")</f>
        <v>-1.3569752134498139E-2</v>
      </c>
      <c r="G293" s="1">
        <f>IFERROR(IF(Benchmark1[[#This Row],[Target Date Check]]="Pass",Benchmark1[[#This Row],[Target Return]]-Benchmark1[[#This Row],[Benchmark '#1 Return]],"-"),"-")</f>
        <v>-1.4212725454012812E-2</v>
      </c>
      <c r="H293" s="1" t="str">
        <f>IF(COUNTIF(Comp1[Comparable '#1 Dates],Benchmark1[[#This Row],[Benchmark '#1 Dates]])=1,"Pass","Fail")</f>
        <v>Pass</v>
      </c>
      <c r="I293" s="6">
        <f>IF(Benchmark1[[#This Row],[Comparable '#1 Date Check]]="Pass",INDEX(Comp1[Comparable '#1 Price],MATCH(Benchmark1[[#This Row],[Benchmark '#1 Dates]],Comp1[Comparable '#1 Dates],0)),"-")</f>
        <v>18.3</v>
      </c>
      <c r="J293" s="22">
        <f>IF(Benchmark1[[#This Row],[Comparable '#1 Date Check]]="Pass",INDEX(Comp1[Comparable '#1 Return],MATCH(Benchmark1[[#This Row],[Benchmark '#1 Dates]],Comp1[Comparable '#1 Dates],0)),"-")</f>
        <v>-5.9929353976112196E-3</v>
      </c>
      <c r="K293" s="1">
        <f>IFERROR(IF(Benchmark1[[#This Row],[Comparable '#1 Date Check]]="Pass",Benchmark1[[#This Row],[Comparable '#1 Return]]-Benchmark1[[#This Row],[Benchmark '#1 Return]],"-"),"-")</f>
        <v>-6.6359087171258936E-3</v>
      </c>
      <c r="L293" s="1" t="str">
        <f>IF(COUNTIF(Comp2[Comparable '#2 Dates],Benchmark1[[#This Row],[Benchmark '#1 Dates]])=1,"Pass","Fail")</f>
        <v>Pass</v>
      </c>
      <c r="M293" s="6">
        <f>IF(Benchmark1[[#This Row],[Comparable '#2 Date Check]]="Pass",INDEX(Comp2[Comparable '#2 Price],MATCH(Benchmark1[[#This Row],[Benchmark '#1 Dates]],Comp2[Comparable '#2 Dates],0)),"-")</f>
        <v>42.72</v>
      </c>
      <c r="N293" s="22">
        <f>IF(Benchmark1[[#This Row],[Comparable '#2 Date Check]]="Pass",INDEX(Comp2[Comparable '#2 Return],MATCH(Benchmark1[[#This Row],[Benchmark '#1 Dates]],Comp2[Comparable '#2 Dates],0)),"-")</f>
        <v>2.8129413766146577E-3</v>
      </c>
      <c r="O293" s="1">
        <f>IFERROR(IF(Benchmark1[[#This Row],[Comparable '#2 Date Check]]="Pass",Benchmark1[[#This Row],[Comparable '#2 Return]]-Benchmark1[[#This Row],[Benchmark '#1 Return]],"-"),"-")</f>
        <v>2.1699680570999836E-3</v>
      </c>
      <c r="P293" s="1" t="str">
        <f>IF(COUNTIF(Comp3[Comparable '#3 Dates],Benchmark1[[#This Row],[Benchmark '#1 Dates]])=1,"Pass","Fail")</f>
        <v>Pass</v>
      </c>
      <c r="Q293" s="6">
        <f>IF(Benchmark1[[#This Row],[Comparable '#3 Date Check]]="Pass",INDEX(Comp3[Comparable '#3 Price],MATCH(Benchmark1[[#This Row],[Benchmark '#1 Dates]],Comp3[Comparable '#3 Dates],0)),"-")</f>
        <v>169.23</v>
      </c>
      <c r="R293" s="22">
        <f>IF(Benchmark1[[#This Row],[Comparable '#3 Date Check]]="Pass",INDEX(Comp3[Comparable '#3 Return],MATCH(Benchmark1[[#This Row],[Benchmark '#1 Dates]],Comp3[Comparable '#3 Dates],0)),"-")</f>
        <v>-9.117442059465776E-3</v>
      </c>
      <c r="S293" s="1">
        <f>IFERROR(IF(Benchmark1[[#This Row],[Comparable '#3 Date Check]]="Pass",Benchmark1[[#This Row],[Comparable '#3 Return]]-Benchmark1[[#This Row],[Benchmark '#1 Return]],"-"),"-")</f>
        <v>-9.7604153789804492E-3</v>
      </c>
    </row>
    <row r="294" spans="1:19">
      <c r="A294" s="103">
        <v>43711</v>
      </c>
      <c r="B294" s="104">
        <v>2906.2711064674472</v>
      </c>
      <c r="C294" s="4">
        <f t="shared" si="4"/>
        <v>-6.9220092109684144E-3</v>
      </c>
      <c r="D294" s="1" t="str">
        <f>IF(COUNTIF(Target1[Target Dates],Benchmark1[[#This Row],[Benchmark '#1 Dates]])=1,"Pass","Fail")</f>
        <v>Pass</v>
      </c>
      <c r="E294" s="6">
        <f>IF(Benchmark1[[#This Row],[Target Date Check]]="Pass",INDEX(Target1[Target Price],MATCH(Benchmark1[[#This Row],[Benchmark '#1 Dates]],Target1[Target Dates],0)),"-")</f>
        <v>26.15</v>
      </c>
      <c r="F294" s="22">
        <f>IF(Benchmark1[[#This Row],[Target Date Check]]="Pass",INDEX(Target1[Target Return],MATCH(Benchmark1[[#This Row],[Benchmark '#1 Dates]],Target1[Target Dates],0)),"-")</f>
        <v>-7.6190844764395171E-3</v>
      </c>
      <c r="G294" s="1">
        <f>IFERROR(IF(Benchmark1[[#This Row],[Target Date Check]]="Pass",Benchmark1[[#This Row],[Target Return]]-Benchmark1[[#This Row],[Benchmark '#1 Return]],"-"),"-")</f>
        <v>-6.9707526547110269E-4</v>
      </c>
      <c r="H294" s="1" t="str">
        <f>IF(COUNTIF(Comp1[Comparable '#1 Dates],Benchmark1[[#This Row],[Benchmark '#1 Dates]])=1,"Pass","Fail")</f>
        <v>Pass</v>
      </c>
      <c r="I294" s="6">
        <f>IF(Benchmark1[[#This Row],[Comparable '#1 Date Check]]="Pass",INDEX(Comp1[Comparable '#1 Price],MATCH(Benchmark1[[#This Row],[Benchmark '#1 Dates]],Comp1[Comparable '#1 Dates],0)),"-")</f>
        <v>18.18</v>
      </c>
      <c r="J294" s="22">
        <f>IF(Benchmark1[[#This Row],[Comparable '#1 Date Check]]="Pass",INDEX(Comp1[Comparable '#1 Return],MATCH(Benchmark1[[#This Row],[Benchmark '#1 Dates]],Comp1[Comparable '#1 Dates],0)),"-")</f>
        <v>-6.578971098042511E-3</v>
      </c>
      <c r="K294" s="1">
        <f>IFERROR(IF(Benchmark1[[#This Row],[Comparable '#1 Date Check]]="Pass",Benchmark1[[#This Row],[Comparable '#1 Return]]-Benchmark1[[#This Row],[Benchmark '#1 Return]],"-"),"-")</f>
        <v>3.4303811292590337E-4</v>
      </c>
      <c r="L294" s="1" t="str">
        <f>IF(COUNTIF(Comp2[Comparable '#2 Dates],Benchmark1[[#This Row],[Benchmark '#1 Dates]])=1,"Pass","Fail")</f>
        <v>Pass</v>
      </c>
      <c r="M294" s="6">
        <f>IF(Benchmark1[[#This Row],[Comparable '#2 Date Check]]="Pass",INDEX(Comp2[Comparable '#2 Price],MATCH(Benchmark1[[#This Row],[Benchmark '#1 Dates]],Comp2[Comparable '#2 Dates],0)),"-")</f>
        <v>41.58</v>
      </c>
      <c r="N294" s="22">
        <f>IF(Benchmark1[[#This Row],[Comparable '#2 Date Check]]="Pass",INDEX(Comp2[Comparable '#2 Return],MATCH(Benchmark1[[#This Row],[Benchmark '#1 Dates]],Comp2[Comparable '#2 Dates],0)),"-")</f>
        <v>-2.7047912222072572E-2</v>
      </c>
      <c r="O294" s="1">
        <f>IFERROR(IF(Benchmark1[[#This Row],[Comparable '#2 Date Check]]="Pass",Benchmark1[[#This Row],[Comparable '#2 Return]]-Benchmark1[[#This Row],[Benchmark '#1 Return]],"-"),"-")</f>
        <v>-2.012590301110416E-2</v>
      </c>
      <c r="P294" s="1" t="str">
        <f>IF(COUNTIF(Comp3[Comparable '#3 Dates],Benchmark1[[#This Row],[Benchmark '#1 Dates]])=1,"Pass","Fail")</f>
        <v>Pass</v>
      </c>
      <c r="Q294" s="6">
        <f>IF(Benchmark1[[#This Row],[Comparable '#3 Date Check]]="Pass",INDEX(Comp3[Comparable '#3 Price],MATCH(Benchmark1[[#This Row],[Benchmark '#1 Dates]],Comp3[Comparable '#3 Dates],0)),"-")</f>
        <v>167.66</v>
      </c>
      <c r="R294" s="22">
        <f>IF(Benchmark1[[#This Row],[Comparable '#3 Date Check]]="Pass",INDEX(Comp3[Comparable '#3 Return],MATCH(Benchmark1[[#This Row],[Benchmark '#1 Dates]],Comp3[Comparable '#3 Dates],0)),"-")</f>
        <v>-9.3206172102830893E-3</v>
      </c>
      <c r="S294" s="1">
        <f>IFERROR(IF(Benchmark1[[#This Row],[Comparable '#3 Date Check]]="Pass",Benchmark1[[#This Row],[Comparable '#3 Return]]-Benchmark1[[#This Row],[Benchmark '#1 Return]],"-"),"-")</f>
        <v>-2.3986079993146749E-3</v>
      </c>
    </row>
    <row r="295" spans="1:19">
      <c r="A295" s="103">
        <v>43712</v>
      </c>
      <c r="B295" s="104">
        <v>2937.7790248924434</v>
      </c>
      <c r="C295" s="4">
        <f t="shared" si="4"/>
        <v>1.0783009389136745E-2</v>
      </c>
      <c r="D295" s="1" t="str">
        <f>IF(COUNTIF(Target1[Target Dates],Benchmark1[[#This Row],[Benchmark '#1 Dates]])=1,"Pass","Fail")</f>
        <v>Pass</v>
      </c>
      <c r="E295" s="6">
        <f>IF(Benchmark1[[#This Row],[Target Date Check]]="Pass",INDEX(Target1[Target Price],MATCH(Benchmark1[[#This Row],[Benchmark '#1 Dates]],Target1[Target Dates],0)),"-")</f>
        <v>26</v>
      </c>
      <c r="F295" s="22">
        <f>IF(Benchmark1[[#This Row],[Target Date Check]]="Pass",INDEX(Target1[Target Return],MATCH(Benchmark1[[#This Row],[Benchmark '#1 Dates]],Target1[Target Dates],0)),"-")</f>
        <v>-5.752652489449811E-3</v>
      </c>
      <c r="G295" s="1">
        <f>IFERROR(IF(Benchmark1[[#This Row],[Target Date Check]]="Pass",Benchmark1[[#This Row],[Target Return]]-Benchmark1[[#This Row],[Benchmark '#1 Return]],"-"),"-")</f>
        <v>-1.6535661878586558E-2</v>
      </c>
      <c r="H295" s="1" t="str">
        <f>IF(COUNTIF(Comp1[Comparable '#1 Dates],Benchmark1[[#This Row],[Benchmark '#1 Dates]])=1,"Pass","Fail")</f>
        <v>Pass</v>
      </c>
      <c r="I295" s="6">
        <f>IF(Benchmark1[[#This Row],[Comparable '#1 Date Check]]="Pass",INDEX(Comp1[Comparable '#1 Price],MATCH(Benchmark1[[#This Row],[Benchmark '#1 Dates]],Comp1[Comparable '#1 Dates],0)),"-")</f>
        <v>17.96</v>
      </c>
      <c r="J295" s="22">
        <f>IF(Benchmark1[[#This Row],[Comparable '#1 Date Check]]="Pass",INDEX(Comp1[Comparable '#1 Return],MATCH(Benchmark1[[#This Row],[Benchmark '#1 Dates]],Comp1[Comparable '#1 Dates],0)),"-")</f>
        <v>-1.2175025875279192E-2</v>
      </c>
      <c r="K295" s="1">
        <f>IFERROR(IF(Benchmark1[[#This Row],[Comparable '#1 Date Check]]="Pass",Benchmark1[[#This Row],[Comparable '#1 Return]]-Benchmark1[[#This Row],[Benchmark '#1 Return]],"-"),"-")</f>
        <v>-2.2958035264415935E-2</v>
      </c>
      <c r="L295" s="1" t="str">
        <f>IF(COUNTIF(Comp2[Comparable '#2 Dates],Benchmark1[[#This Row],[Benchmark '#1 Dates]])=1,"Pass","Fail")</f>
        <v>Pass</v>
      </c>
      <c r="M295" s="6">
        <f>IF(Benchmark1[[#This Row],[Comparable '#2 Date Check]]="Pass",INDEX(Comp2[Comparable '#2 Price],MATCH(Benchmark1[[#This Row],[Benchmark '#1 Dates]],Comp2[Comparable '#2 Dates],0)),"-")</f>
        <v>41.02</v>
      </c>
      <c r="N295" s="22">
        <f>IF(Benchmark1[[#This Row],[Comparable '#2 Date Check]]="Pass",INDEX(Comp2[Comparable '#2 Return],MATCH(Benchmark1[[#This Row],[Benchmark '#1 Dates]],Comp2[Comparable '#2 Dates],0)),"-")</f>
        <v>-1.3559529785632251E-2</v>
      </c>
      <c r="O295" s="1">
        <f>IFERROR(IF(Benchmark1[[#This Row],[Comparable '#2 Date Check]]="Pass",Benchmark1[[#This Row],[Comparable '#2 Return]]-Benchmark1[[#This Row],[Benchmark '#1 Return]],"-"),"-")</f>
        <v>-2.4342539174768994E-2</v>
      </c>
      <c r="P295" s="1" t="str">
        <f>IF(COUNTIF(Comp3[Comparable '#3 Dates],Benchmark1[[#This Row],[Benchmark '#1 Dates]])=1,"Pass","Fail")</f>
        <v>Pass</v>
      </c>
      <c r="Q295" s="6">
        <f>IF(Benchmark1[[#This Row],[Comparable '#3 Date Check]]="Pass",INDEX(Comp3[Comparable '#3 Price],MATCH(Benchmark1[[#This Row],[Benchmark '#1 Dates]],Comp3[Comparable '#3 Dates],0)),"-")</f>
        <v>162.01</v>
      </c>
      <c r="R295" s="22">
        <f>IF(Benchmark1[[#This Row],[Comparable '#3 Date Check]]="Pass",INDEX(Comp3[Comparable '#3 Return],MATCH(Benchmark1[[#This Row],[Benchmark '#1 Dates]],Comp3[Comparable '#3 Dates],0)),"-")</f>
        <v>-3.4280057487384469E-2</v>
      </c>
      <c r="S295" s="1">
        <f>IFERROR(IF(Benchmark1[[#This Row],[Comparable '#3 Date Check]]="Pass",Benchmark1[[#This Row],[Comparable '#3 Return]]-Benchmark1[[#This Row],[Benchmark '#1 Return]],"-"),"-")</f>
        <v>-4.5063066876521216E-2</v>
      </c>
    </row>
    <row r="296" spans="1:19">
      <c r="A296" s="103">
        <v>43713</v>
      </c>
      <c r="B296" s="104">
        <v>2975.99744554974</v>
      </c>
      <c r="C296" s="4">
        <f t="shared" si="4"/>
        <v>1.2925396463548545E-2</v>
      </c>
      <c r="D296" s="1" t="str">
        <f>IF(COUNTIF(Target1[Target Dates],Benchmark1[[#This Row],[Benchmark '#1 Dates]])=1,"Pass","Fail")</f>
        <v>Pass</v>
      </c>
      <c r="E296" s="6">
        <f>IF(Benchmark1[[#This Row],[Target Date Check]]="Pass",INDEX(Target1[Target Price],MATCH(Benchmark1[[#This Row],[Benchmark '#1 Dates]],Target1[Target Dates],0)),"-")</f>
        <v>26.92</v>
      </c>
      <c r="F296" s="22">
        <f>IF(Benchmark1[[#This Row],[Target Date Check]]="Pass",INDEX(Target1[Target Return],MATCH(Benchmark1[[#This Row],[Benchmark '#1 Dates]],Target1[Target Dates],0)),"-")</f>
        <v>3.4772966755044973E-2</v>
      </c>
      <c r="G296" s="1">
        <f>IFERROR(IF(Benchmark1[[#This Row],[Target Date Check]]="Pass",Benchmark1[[#This Row],[Target Return]]-Benchmark1[[#This Row],[Benchmark '#1 Return]],"-"),"-")</f>
        <v>2.1847570291496428E-2</v>
      </c>
      <c r="H296" s="1" t="str">
        <f>IF(COUNTIF(Comp1[Comparable '#1 Dates],Benchmark1[[#This Row],[Benchmark '#1 Dates]])=1,"Pass","Fail")</f>
        <v>Pass</v>
      </c>
      <c r="I296" s="6">
        <f>IF(Benchmark1[[#This Row],[Comparable '#1 Date Check]]="Pass",INDEX(Comp1[Comparable '#1 Price],MATCH(Benchmark1[[#This Row],[Benchmark '#1 Dates]],Comp1[Comparable '#1 Dates],0)),"-")</f>
        <v>17.98</v>
      </c>
      <c r="J296" s="22">
        <f>IF(Benchmark1[[#This Row],[Comparable '#1 Date Check]]="Pass",INDEX(Comp1[Comparable '#1 Return],MATCH(Benchmark1[[#This Row],[Benchmark '#1 Dates]],Comp1[Comparable '#1 Dates],0)),"-")</f>
        <v>1.1129661694206506E-3</v>
      </c>
      <c r="K296" s="1">
        <f>IFERROR(IF(Benchmark1[[#This Row],[Comparable '#1 Date Check]]="Pass",Benchmark1[[#This Row],[Comparable '#1 Return]]-Benchmark1[[#This Row],[Benchmark '#1 Return]],"-"),"-")</f>
        <v>-1.1812430294127894E-2</v>
      </c>
      <c r="L296" s="1" t="str">
        <f>IF(COUNTIF(Comp2[Comparable '#2 Dates],Benchmark1[[#This Row],[Benchmark '#1 Dates]])=1,"Pass","Fail")</f>
        <v>Pass</v>
      </c>
      <c r="M296" s="6">
        <f>IF(Benchmark1[[#This Row],[Comparable '#2 Date Check]]="Pass",INDEX(Comp2[Comparable '#2 Price],MATCH(Benchmark1[[#This Row],[Benchmark '#1 Dates]],Comp2[Comparable '#2 Dates],0)),"-")</f>
        <v>41.53</v>
      </c>
      <c r="N296" s="22">
        <f>IF(Benchmark1[[#This Row],[Comparable '#2 Date Check]]="Pass",INDEX(Comp2[Comparable '#2 Return],MATCH(Benchmark1[[#This Row],[Benchmark '#1 Dates]],Comp2[Comparable '#2 Dates],0)),"-")</f>
        <v>1.235630499842766E-2</v>
      </c>
      <c r="O296" s="1">
        <f>IFERROR(IF(Benchmark1[[#This Row],[Comparable '#2 Date Check]]="Pass",Benchmark1[[#This Row],[Comparable '#2 Return]]-Benchmark1[[#This Row],[Benchmark '#1 Return]],"-"),"-")</f>
        <v>-5.6909146512088525E-4</v>
      </c>
      <c r="P296" s="1" t="str">
        <f>IF(COUNTIF(Comp3[Comparable '#3 Dates],Benchmark1[[#This Row],[Benchmark '#1 Dates]])=1,"Pass","Fail")</f>
        <v>Pass</v>
      </c>
      <c r="Q296" s="6">
        <f>IF(Benchmark1[[#This Row],[Comparable '#3 Date Check]]="Pass",INDEX(Comp3[Comparable '#3 Price],MATCH(Benchmark1[[#This Row],[Benchmark '#1 Dates]],Comp3[Comparable '#3 Dates],0)),"-")</f>
        <v>165.17</v>
      </c>
      <c r="R296" s="22">
        <f>IF(Benchmark1[[#This Row],[Comparable '#3 Date Check]]="Pass",INDEX(Comp3[Comparable '#3 Return],MATCH(Benchmark1[[#This Row],[Benchmark '#1 Dates]],Comp3[Comparable '#3 Dates],0)),"-")</f>
        <v>1.9317184810672201E-2</v>
      </c>
      <c r="S296" s="1">
        <f>IFERROR(IF(Benchmark1[[#This Row],[Comparable '#3 Date Check]]="Pass",Benchmark1[[#This Row],[Comparable '#3 Return]]-Benchmark1[[#This Row],[Benchmark '#1 Return]],"-"),"-")</f>
        <v>6.3917883471236552E-3</v>
      </c>
    </row>
    <row r="297" spans="1:19">
      <c r="A297" s="103">
        <v>43714</v>
      </c>
      <c r="B297" s="104">
        <v>2978.7078106171421</v>
      </c>
      <c r="C297" s="4">
        <f t="shared" si="4"/>
        <v>9.1032725818544378E-4</v>
      </c>
      <c r="D297" s="1" t="str">
        <f>IF(COUNTIF(Target1[Target Dates],Benchmark1[[#This Row],[Benchmark '#1 Dates]])=1,"Pass","Fail")</f>
        <v>Pass</v>
      </c>
      <c r="E297" s="6">
        <f>IF(Benchmark1[[#This Row],[Target Date Check]]="Pass",INDEX(Target1[Target Price],MATCH(Benchmark1[[#This Row],[Benchmark '#1 Dates]],Target1[Target Dates],0)),"-")</f>
        <v>27.26</v>
      </c>
      <c r="F297" s="22">
        <f>IF(Benchmark1[[#This Row],[Target Date Check]]="Pass",INDEX(Target1[Target Return],MATCH(Benchmark1[[#This Row],[Benchmark '#1 Dates]],Target1[Target Dates],0)),"-")</f>
        <v>1.2550921491859456E-2</v>
      </c>
      <c r="G297" s="1">
        <f>IFERROR(IF(Benchmark1[[#This Row],[Target Date Check]]="Pass",Benchmark1[[#This Row],[Target Return]]-Benchmark1[[#This Row],[Benchmark '#1 Return]],"-"),"-")</f>
        <v>1.1640594233674011E-2</v>
      </c>
      <c r="H297" s="1" t="str">
        <f>IF(COUNTIF(Comp1[Comparable '#1 Dates],Benchmark1[[#This Row],[Benchmark '#1 Dates]])=1,"Pass","Fail")</f>
        <v>Pass</v>
      </c>
      <c r="I297" s="6">
        <f>IF(Benchmark1[[#This Row],[Comparable '#1 Date Check]]="Pass",INDEX(Comp1[Comparable '#1 Price],MATCH(Benchmark1[[#This Row],[Benchmark '#1 Dates]],Comp1[Comparable '#1 Dates],0)),"-")</f>
        <v>17.68</v>
      </c>
      <c r="J297" s="22">
        <f>IF(Benchmark1[[#This Row],[Comparable '#1 Date Check]]="Pass",INDEX(Comp1[Comparable '#1 Return],MATCH(Benchmark1[[#This Row],[Benchmark '#1 Dates]],Comp1[Comparable '#1 Dates],0)),"-")</f>
        <v>-1.6825971833976903E-2</v>
      </c>
      <c r="K297" s="1">
        <f>IFERROR(IF(Benchmark1[[#This Row],[Comparable '#1 Date Check]]="Pass",Benchmark1[[#This Row],[Comparable '#1 Return]]-Benchmark1[[#This Row],[Benchmark '#1 Return]],"-"),"-")</f>
        <v>-1.7736299092162348E-2</v>
      </c>
      <c r="L297" s="1" t="str">
        <f>IF(COUNTIF(Comp2[Comparable '#2 Dates],Benchmark1[[#This Row],[Benchmark '#1 Dates]])=1,"Pass","Fail")</f>
        <v>Pass</v>
      </c>
      <c r="M297" s="6">
        <f>IF(Benchmark1[[#This Row],[Comparable '#2 Date Check]]="Pass",INDEX(Comp2[Comparable '#2 Price],MATCH(Benchmark1[[#This Row],[Benchmark '#1 Dates]],Comp2[Comparable '#2 Dates],0)),"-")</f>
        <v>40.840000000000003</v>
      </c>
      <c r="N297" s="22">
        <f>IF(Benchmark1[[#This Row],[Comparable '#2 Date Check]]="Pass",INDEX(Comp2[Comparable '#2 Return],MATCH(Benchmark1[[#This Row],[Benchmark '#1 Dates]],Comp2[Comparable '#2 Dates],0)),"-")</f>
        <v>-1.6754064346197341E-2</v>
      </c>
      <c r="O297" s="1">
        <f>IFERROR(IF(Benchmark1[[#This Row],[Comparable '#2 Date Check]]="Pass",Benchmark1[[#This Row],[Comparable '#2 Return]]-Benchmark1[[#This Row],[Benchmark '#1 Return]],"-"),"-")</f>
        <v>-1.7664391604382785E-2</v>
      </c>
      <c r="P297" s="1" t="str">
        <f>IF(COUNTIF(Comp3[Comparable '#3 Dates],Benchmark1[[#This Row],[Benchmark '#1 Dates]])=1,"Pass","Fail")</f>
        <v>Pass</v>
      </c>
      <c r="Q297" s="6">
        <f>IF(Benchmark1[[#This Row],[Comparable '#3 Date Check]]="Pass",INDEX(Comp3[Comparable '#3 Price],MATCH(Benchmark1[[#This Row],[Benchmark '#1 Dates]],Comp3[Comparable '#3 Dates],0)),"-")</f>
        <v>162.76</v>
      </c>
      <c r="R297" s="22">
        <f>IF(Benchmark1[[#This Row],[Comparable '#3 Date Check]]="Pass",INDEX(Comp3[Comparable '#3 Return],MATCH(Benchmark1[[#This Row],[Benchmark '#1 Dates]],Comp3[Comparable '#3 Dates],0)),"-")</f>
        <v>-1.4698523399509719E-2</v>
      </c>
      <c r="S297" s="1">
        <f>IFERROR(IF(Benchmark1[[#This Row],[Comparable '#3 Date Check]]="Pass",Benchmark1[[#This Row],[Comparable '#3 Return]]-Benchmark1[[#This Row],[Benchmark '#1 Return]],"-"),"-")</f>
        <v>-1.5608850657695163E-2</v>
      </c>
    </row>
    <row r="298" spans="1:19">
      <c r="A298" s="103">
        <v>43717</v>
      </c>
      <c r="B298" s="104">
        <v>2978.4337960358221</v>
      </c>
      <c r="C298" s="4">
        <f t="shared" si="4"/>
        <v>-9.1995322457125701E-5</v>
      </c>
      <c r="D298" s="1" t="str">
        <f>IF(COUNTIF(Target1[Target Dates],Benchmark1[[#This Row],[Benchmark '#1 Dates]])=1,"Pass","Fail")</f>
        <v>Pass</v>
      </c>
      <c r="E298" s="6">
        <f>IF(Benchmark1[[#This Row],[Target Date Check]]="Pass",INDEX(Target1[Target Price],MATCH(Benchmark1[[#This Row],[Benchmark '#1 Dates]],Target1[Target Dates],0)),"-")</f>
        <v>27.38</v>
      </c>
      <c r="F298" s="22">
        <f>IF(Benchmark1[[#This Row],[Target Date Check]]="Pass",INDEX(Target1[Target Return],MATCH(Benchmark1[[#This Row],[Benchmark '#1 Dates]],Target1[Target Dates],0)),"-")</f>
        <v>4.3923935919162509E-3</v>
      </c>
      <c r="G298" s="1">
        <f>IFERROR(IF(Benchmark1[[#This Row],[Target Date Check]]="Pass",Benchmark1[[#This Row],[Target Return]]-Benchmark1[[#This Row],[Benchmark '#1 Return]],"-"),"-")</f>
        <v>4.4843889143733762E-3</v>
      </c>
      <c r="H298" s="1" t="str">
        <f>IF(COUNTIF(Comp1[Comparable '#1 Dates],Benchmark1[[#This Row],[Benchmark '#1 Dates]])=1,"Pass","Fail")</f>
        <v>Pass</v>
      </c>
      <c r="I298" s="6">
        <f>IF(Benchmark1[[#This Row],[Comparable '#1 Date Check]]="Pass",INDEX(Comp1[Comparable '#1 Price],MATCH(Benchmark1[[#This Row],[Benchmark '#1 Dates]],Comp1[Comparable '#1 Dates],0)),"-")</f>
        <v>17.55</v>
      </c>
      <c r="J298" s="22">
        <f>IF(Benchmark1[[#This Row],[Comparable '#1 Date Check]]="Pass",INDEX(Comp1[Comparable '#1 Return],MATCH(Benchmark1[[#This Row],[Benchmark '#1 Dates]],Comp1[Comparable '#1 Dates],0)),"-")</f>
        <v>-7.3801072976225337E-3</v>
      </c>
      <c r="K298" s="1">
        <f>IFERROR(IF(Benchmark1[[#This Row],[Comparable '#1 Date Check]]="Pass",Benchmark1[[#This Row],[Comparable '#1 Return]]-Benchmark1[[#This Row],[Benchmark '#1 Return]],"-"),"-")</f>
        <v>-7.2881119751654084E-3</v>
      </c>
      <c r="L298" s="1" t="str">
        <f>IF(COUNTIF(Comp2[Comparable '#2 Dates],Benchmark1[[#This Row],[Benchmark '#1 Dates]])=1,"Pass","Fail")</f>
        <v>Pass</v>
      </c>
      <c r="M298" s="6">
        <f>IF(Benchmark1[[#This Row],[Comparable '#2 Date Check]]="Pass",INDEX(Comp2[Comparable '#2 Price],MATCH(Benchmark1[[#This Row],[Benchmark '#1 Dates]],Comp2[Comparable '#2 Dates],0)),"-")</f>
        <v>41</v>
      </c>
      <c r="N298" s="22">
        <f>IF(Benchmark1[[#This Row],[Comparable '#2 Date Check]]="Pass",INDEX(Comp2[Comparable '#2 Return],MATCH(Benchmark1[[#This Row],[Benchmark '#1 Dates]],Comp2[Comparable '#2 Dates],0)),"-")</f>
        <v>3.9100734078428186E-3</v>
      </c>
      <c r="O298" s="1">
        <f>IFERROR(IF(Benchmark1[[#This Row],[Comparable '#2 Date Check]]="Pass",Benchmark1[[#This Row],[Comparable '#2 Return]]-Benchmark1[[#This Row],[Benchmark '#1 Return]],"-"),"-")</f>
        <v>4.0020687302999439E-3</v>
      </c>
      <c r="P298" s="1" t="str">
        <f>IF(COUNTIF(Comp3[Comparable '#3 Dates],Benchmark1[[#This Row],[Benchmark '#1 Dates]])=1,"Pass","Fail")</f>
        <v>Pass</v>
      </c>
      <c r="Q298" s="6">
        <f>IF(Benchmark1[[#This Row],[Comparable '#3 Date Check]]="Pass",INDEX(Comp3[Comparable '#3 Price],MATCH(Benchmark1[[#This Row],[Benchmark '#1 Dates]],Comp3[Comparable '#3 Dates],0)),"-")</f>
        <v>161.87</v>
      </c>
      <c r="R298" s="22">
        <f>IF(Benchmark1[[#This Row],[Comparable '#3 Date Check]]="Pass",INDEX(Comp3[Comparable '#3 Return],MATCH(Benchmark1[[#This Row],[Benchmark '#1 Dates]],Comp3[Comparable '#3 Dates],0)),"-")</f>
        <v>-5.4831791876200457E-3</v>
      </c>
      <c r="S298" s="1">
        <f>IFERROR(IF(Benchmark1[[#This Row],[Comparable '#3 Date Check]]="Pass",Benchmark1[[#This Row],[Comparable '#3 Return]]-Benchmark1[[#This Row],[Benchmark '#1 Return]],"-"),"-")</f>
        <v>-5.3911838651629204E-3</v>
      </c>
    </row>
    <row r="299" spans="1:19">
      <c r="A299" s="103">
        <v>43718</v>
      </c>
      <c r="B299" s="104">
        <v>2979.3855462978045</v>
      </c>
      <c r="C299" s="4">
        <f t="shared" si="4"/>
        <v>3.1949618321455914E-4</v>
      </c>
      <c r="D299" s="1" t="str">
        <f>IF(COUNTIF(Target1[Target Dates],Benchmark1[[#This Row],[Benchmark '#1 Dates]])=1,"Pass","Fail")</f>
        <v>Pass</v>
      </c>
      <c r="E299" s="6">
        <f>IF(Benchmark1[[#This Row],[Target Date Check]]="Pass",INDEX(Target1[Target Price],MATCH(Benchmark1[[#This Row],[Benchmark '#1 Dates]],Target1[Target Dates],0)),"-")</f>
        <v>26.9</v>
      </c>
      <c r="F299" s="22">
        <f>IF(Benchmark1[[#This Row],[Target Date Check]]="Pass",INDEX(Target1[Target Return],MATCH(Benchmark1[[#This Row],[Benchmark '#1 Dates]],Target1[Target Dates],0)),"-")</f>
        <v>-1.7686533252509466E-2</v>
      </c>
      <c r="G299" s="1">
        <f>IFERROR(IF(Benchmark1[[#This Row],[Target Date Check]]="Pass",Benchmark1[[#This Row],[Target Return]]-Benchmark1[[#This Row],[Benchmark '#1 Return]],"-"),"-")</f>
        <v>-1.8006029435724026E-2</v>
      </c>
      <c r="H299" s="1" t="str">
        <f>IF(COUNTIF(Comp1[Comparable '#1 Dates],Benchmark1[[#This Row],[Benchmark '#1 Dates]])=1,"Pass","Fail")</f>
        <v>Pass</v>
      </c>
      <c r="I299" s="6">
        <f>IF(Benchmark1[[#This Row],[Comparable '#1 Date Check]]="Pass",INDEX(Comp1[Comparable '#1 Price],MATCH(Benchmark1[[#This Row],[Benchmark '#1 Dates]],Comp1[Comparable '#1 Dates],0)),"-")</f>
        <v>16.38</v>
      </c>
      <c r="J299" s="22">
        <f>IF(Benchmark1[[#This Row],[Comparable '#1 Date Check]]="Pass",INDEX(Comp1[Comparable '#1 Return],MATCH(Benchmark1[[#This Row],[Benchmark '#1 Dates]],Comp1[Comparable '#1 Dates],0)),"-")</f>
        <v>-6.899287148695156E-2</v>
      </c>
      <c r="K299" s="1">
        <f>IFERROR(IF(Benchmark1[[#This Row],[Comparable '#1 Date Check]]="Pass",Benchmark1[[#This Row],[Comparable '#1 Return]]-Benchmark1[[#This Row],[Benchmark '#1 Return]],"-"),"-")</f>
        <v>-6.9312367670166117E-2</v>
      </c>
      <c r="L299" s="1" t="str">
        <f>IF(COUNTIF(Comp2[Comparable '#2 Dates],Benchmark1[[#This Row],[Benchmark '#1 Dates]])=1,"Pass","Fail")</f>
        <v>Pass</v>
      </c>
      <c r="M299" s="6">
        <f>IF(Benchmark1[[#This Row],[Comparable '#2 Date Check]]="Pass",INDEX(Comp2[Comparable '#2 Price],MATCH(Benchmark1[[#This Row],[Benchmark '#1 Dates]],Comp2[Comparable '#2 Dates],0)),"-")</f>
        <v>40.82</v>
      </c>
      <c r="N299" s="22">
        <f>IF(Benchmark1[[#This Row],[Comparable '#2 Date Check]]="Pass",INDEX(Comp2[Comparable '#2 Return],MATCH(Benchmark1[[#This Row],[Benchmark '#1 Dates]],Comp2[Comparable '#2 Dates],0)),"-")</f>
        <v>-4.3999093226090727E-3</v>
      </c>
      <c r="O299" s="1">
        <f>IFERROR(IF(Benchmark1[[#This Row],[Comparable '#2 Date Check]]="Pass",Benchmark1[[#This Row],[Comparable '#2 Return]]-Benchmark1[[#This Row],[Benchmark '#1 Return]],"-"),"-")</f>
        <v>-4.7194055058236315E-3</v>
      </c>
      <c r="P299" s="1" t="str">
        <f>IF(COUNTIF(Comp3[Comparable '#3 Dates],Benchmark1[[#This Row],[Benchmark '#1 Dates]])=1,"Pass","Fail")</f>
        <v>Pass</v>
      </c>
      <c r="Q299" s="6">
        <f>IF(Benchmark1[[#This Row],[Comparable '#3 Date Check]]="Pass",INDEX(Comp3[Comparable '#3 Price],MATCH(Benchmark1[[#This Row],[Benchmark '#1 Dates]],Comp3[Comparable '#3 Dates],0)),"-")</f>
        <v>157.80000000000001</v>
      </c>
      <c r="R299" s="22">
        <f>IF(Benchmark1[[#This Row],[Comparable '#3 Date Check]]="Pass",INDEX(Comp3[Comparable '#3 Return],MATCH(Benchmark1[[#This Row],[Benchmark '#1 Dates]],Comp3[Comparable '#3 Dates],0)),"-")</f>
        <v>-2.5465135534095171E-2</v>
      </c>
      <c r="S299" s="1">
        <f>IFERROR(IF(Benchmark1[[#This Row],[Comparable '#3 Date Check]]="Pass",Benchmark1[[#This Row],[Comparable '#3 Return]]-Benchmark1[[#This Row],[Benchmark '#1 Return]],"-"),"-")</f>
        <v>-2.5784631717309731E-2</v>
      </c>
    </row>
    <row r="300" spans="1:19">
      <c r="A300" s="103">
        <v>43719</v>
      </c>
      <c r="B300" s="104">
        <v>3000.926355136351</v>
      </c>
      <c r="C300" s="4">
        <f t="shared" si="4"/>
        <v>7.2039393100715079E-3</v>
      </c>
      <c r="D300" s="1" t="str">
        <f>IF(COUNTIF(Target1[Target Dates],Benchmark1[[#This Row],[Benchmark '#1 Dates]])=1,"Pass","Fail")</f>
        <v>Pass</v>
      </c>
      <c r="E300" s="6">
        <f>IF(Benchmark1[[#This Row],[Target Date Check]]="Pass",INDEX(Target1[Target Price],MATCH(Benchmark1[[#This Row],[Benchmark '#1 Dates]],Target1[Target Dates],0)),"-")</f>
        <v>28.47</v>
      </c>
      <c r="F300" s="22">
        <f>IF(Benchmark1[[#This Row],[Target Date Check]]="Pass",INDEX(Target1[Target Return],MATCH(Benchmark1[[#This Row],[Benchmark '#1 Dates]],Target1[Target Dates],0)),"-")</f>
        <v>5.6724614682152806E-2</v>
      </c>
      <c r="G300" s="1">
        <f>IFERROR(IF(Benchmark1[[#This Row],[Target Date Check]]="Pass",Benchmark1[[#This Row],[Target Return]]-Benchmark1[[#This Row],[Benchmark '#1 Return]],"-"),"-")</f>
        <v>4.9520675372081296E-2</v>
      </c>
      <c r="H300" s="1" t="str">
        <f>IF(COUNTIF(Comp1[Comparable '#1 Dates],Benchmark1[[#This Row],[Benchmark '#1 Dates]])=1,"Pass","Fail")</f>
        <v>Pass</v>
      </c>
      <c r="I300" s="6">
        <f>IF(Benchmark1[[#This Row],[Comparable '#1 Date Check]]="Pass",INDEX(Comp1[Comparable '#1 Price],MATCH(Benchmark1[[#This Row],[Benchmark '#1 Dates]],Comp1[Comparable '#1 Dates],0)),"-")</f>
        <v>16.690000000000001</v>
      </c>
      <c r="J300" s="22">
        <f>IF(Benchmark1[[#This Row],[Comparable '#1 Date Check]]="Pass",INDEX(Comp1[Comparable '#1 Return],MATCH(Benchmark1[[#This Row],[Benchmark '#1 Dates]],Comp1[Comparable '#1 Dates],0)),"-")</f>
        <v>1.8748659248820496E-2</v>
      </c>
      <c r="K300" s="1">
        <f>IFERROR(IF(Benchmark1[[#This Row],[Comparable '#1 Date Check]]="Pass",Benchmark1[[#This Row],[Comparable '#1 Return]]-Benchmark1[[#This Row],[Benchmark '#1 Return]],"-"),"-")</f>
        <v>1.1544719938748988E-2</v>
      </c>
      <c r="L300" s="1" t="str">
        <f>IF(COUNTIF(Comp2[Comparable '#2 Dates],Benchmark1[[#This Row],[Benchmark '#1 Dates]])=1,"Pass","Fail")</f>
        <v>Pass</v>
      </c>
      <c r="M300" s="6">
        <f>IF(Benchmark1[[#This Row],[Comparable '#2 Date Check]]="Pass",INDEX(Comp2[Comparable '#2 Price],MATCH(Benchmark1[[#This Row],[Benchmark '#1 Dates]],Comp2[Comparable '#2 Dates],0)),"-")</f>
        <v>40.57</v>
      </c>
      <c r="N300" s="22">
        <f>IF(Benchmark1[[#This Row],[Comparable '#2 Date Check]]="Pass",INDEX(Comp2[Comparable '#2 Return],MATCH(Benchmark1[[#This Row],[Benchmark '#1 Dates]],Comp2[Comparable '#2 Dates],0)),"-")</f>
        <v>-6.1432801633428853E-3</v>
      </c>
      <c r="O300" s="1">
        <f>IFERROR(IF(Benchmark1[[#This Row],[Comparable '#2 Date Check]]="Pass",Benchmark1[[#This Row],[Comparable '#2 Return]]-Benchmark1[[#This Row],[Benchmark '#1 Return]],"-"),"-")</f>
        <v>-1.3347219473414393E-2</v>
      </c>
      <c r="P300" s="1" t="str">
        <f>IF(COUNTIF(Comp3[Comparable '#3 Dates],Benchmark1[[#This Row],[Benchmark '#1 Dates]])=1,"Pass","Fail")</f>
        <v>Pass</v>
      </c>
      <c r="Q300" s="6">
        <f>IF(Benchmark1[[#This Row],[Comparable '#3 Date Check]]="Pass",INDEX(Comp3[Comparable '#3 Price],MATCH(Benchmark1[[#This Row],[Benchmark '#1 Dates]],Comp3[Comparable '#3 Dates],0)),"-")</f>
        <v>159.36000000000001</v>
      </c>
      <c r="R300" s="22">
        <f>IF(Benchmark1[[#This Row],[Comparable '#3 Date Check]]="Pass",INDEX(Comp3[Comparable '#3 Return],MATCH(Benchmark1[[#This Row],[Benchmark '#1 Dates]],Comp3[Comparable '#3 Dates],0)),"-")</f>
        <v>9.8373854245143409E-3</v>
      </c>
      <c r="S300" s="1">
        <f>IFERROR(IF(Benchmark1[[#This Row],[Comparable '#3 Date Check]]="Pass",Benchmark1[[#This Row],[Comparable '#3 Return]]-Benchmark1[[#This Row],[Benchmark '#1 Return]],"-"),"-")</f>
        <v>2.633446114442833E-3</v>
      </c>
    </row>
    <row r="301" spans="1:19">
      <c r="A301" s="103">
        <v>43720</v>
      </c>
      <c r="B301" s="104">
        <v>3009.5718752192215</v>
      </c>
      <c r="C301" s="4">
        <f t="shared" si="4"/>
        <v>2.8768084488411888E-3</v>
      </c>
      <c r="D301" s="1" t="str">
        <f>IF(COUNTIF(Target1[Target Dates],Benchmark1[[#This Row],[Benchmark '#1 Dates]])=1,"Pass","Fail")</f>
        <v>Pass</v>
      </c>
      <c r="E301" s="6">
        <f>IF(Benchmark1[[#This Row],[Target Date Check]]="Pass",INDEX(Target1[Target Price],MATCH(Benchmark1[[#This Row],[Benchmark '#1 Dates]],Target1[Target Dates],0)),"-")</f>
        <v>28.53</v>
      </c>
      <c r="F301" s="22">
        <f>IF(Benchmark1[[#This Row],[Target Date Check]]="Pass",INDEX(Target1[Target Return],MATCH(Benchmark1[[#This Row],[Benchmark '#1 Dates]],Target1[Target Dates],0)),"-")</f>
        <v>2.1052639354624146E-3</v>
      </c>
      <c r="G301" s="1">
        <f>IFERROR(IF(Benchmark1[[#This Row],[Target Date Check]]="Pass",Benchmark1[[#This Row],[Target Return]]-Benchmark1[[#This Row],[Benchmark '#1 Return]],"-"),"-")</f>
        <v>-7.7154451337877426E-4</v>
      </c>
      <c r="H301" s="1" t="str">
        <f>IF(COUNTIF(Comp1[Comparable '#1 Dates],Benchmark1[[#This Row],[Benchmark '#1 Dates]])=1,"Pass","Fail")</f>
        <v>Pass</v>
      </c>
      <c r="I301" s="6">
        <f>IF(Benchmark1[[#This Row],[Comparable '#1 Date Check]]="Pass",INDEX(Comp1[Comparable '#1 Price],MATCH(Benchmark1[[#This Row],[Benchmark '#1 Dates]],Comp1[Comparable '#1 Dates],0)),"-")</f>
        <v>16.77</v>
      </c>
      <c r="J301" s="22">
        <f>IF(Benchmark1[[#This Row],[Comparable '#1 Date Check]]="Pass",INDEX(Comp1[Comparable '#1 Return],MATCH(Benchmark1[[#This Row],[Benchmark '#1 Dates]],Comp1[Comparable '#1 Dates],0)),"-")</f>
        <v>4.7818381613735838E-3</v>
      </c>
      <c r="K301" s="1">
        <f>IFERROR(IF(Benchmark1[[#This Row],[Comparable '#1 Date Check]]="Pass",Benchmark1[[#This Row],[Comparable '#1 Return]]-Benchmark1[[#This Row],[Benchmark '#1 Return]],"-"),"-")</f>
        <v>1.905029712532395E-3</v>
      </c>
      <c r="L301" s="1" t="str">
        <f>IF(COUNTIF(Comp2[Comparable '#2 Dates],Benchmark1[[#This Row],[Benchmark '#1 Dates]])=1,"Pass","Fail")</f>
        <v>Pass</v>
      </c>
      <c r="M301" s="6">
        <f>IF(Benchmark1[[#This Row],[Comparable '#2 Date Check]]="Pass",INDEX(Comp2[Comparable '#2 Price],MATCH(Benchmark1[[#This Row],[Benchmark '#1 Dates]],Comp2[Comparable '#2 Dates],0)),"-")</f>
        <v>41.7</v>
      </c>
      <c r="N301" s="22">
        <f>IF(Benchmark1[[#This Row],[Comparable '#2 Date Check]]="Pass",INDEX(Comp2[Comparable '#2 Return],MATCH(Benchmark1[[#This Row],[Benchmark '#1 Dates]],Comp2[Comparable '#2 Dates],0)),"-")</f>
        <v>2.7472251586399939E-2</v>
      </c>
      <c r="O301" s="1">
        <f>IFERROR(IF(Benchmark1[[#This Row],[Comparable '#2 Date Check]]="Pass",Benchmark1[[#This Row],[Comparable '#2 Return]]-Benchmark1[[#This Row],[Benchmark '#1 Return]],"-"),"-")</f>
        <v>2.4595443137558751E-2</v>
      </c>
      <c r="P301" s="1" t="str">
        <f>IF(COUNTIF(Comp3[Comparable '#3 Dates],Benchmark1[[#This Row],[Benchmark '#1 Dates]])=1,"Pass","Fail")</f>
        <v>Pass</v>
      </c>
      <c r="Q301" s="6">
        <f>IF(Benchmark1[[#This Row],[Comparable '#3 Date Check]]="Pass",INDEX(Comp3[Comparable '#3 Price],MATCH(Benchmark1[[#This Row],[Benchmark '#1 Dates]],Comp3[Comparable '#3 Dates],0)),"-")</f>
        <v>160.32</v>
      </c>
      <c r="R301" s="22">
        <f>IF(Benchmark1[[#This Row],[Comparable '#3 Date Check]]="Pass",INDEX(Comp3[Comparable '#3 Return],MATCH(Benchmark1[[#This Row],[Benchmark '#1 Dates]],Comp3[Comparable '#3 Dates],0)),"-")</f>
        <v>6.0060240602117284E-3</v>
      </c>
      <c r="S301" s="1">
        <f>IFERROR(IF(Benchmark1[[#This Row],[Comparable '#3 Date Check]]="Pass",Benchmark1[[#This Row],[Comparable '#3 Return]]-Benchmark1[[#This Row],[Benchmark '#1 Return]],"-"),"-")</f>
        <v>3.1292156113705396E-3</v>
      </c>
    </row>
    <row r="302" spans="1:19">
      <c r="A302" s="103">
        <v>43721</v>
      </c>
      <c r="B302" s="104">
        <v>3007.3873736277542</v>
      </c>
      <c r="C302" s="4">
        <f t="shared" si="4"/>
        <v>-7.261148354515308E-4</v>
      </c>
      <c r="D302" s="1" t="str">
        <f>IF(COUNTIF(Target1[Target Dates],Benchmark1[[#This Row],[Benchmark '#1 Dates]])=1,"Pass","Fail")</f>
        <v>Pass</v>
      </c>
      <c r="E302" s="6">
        <f>IF(Benchmark1[[#This Row],[Target Date Check]]="Pass",INDEX(Target1[Target Price],MATCH(Benchmark1[[#This Row],[Benchmark '#1 Dates]],Target1[Target Dates],0)),"-")</f>
        <v>28.71</v>
      </c>
      <c r="F302" s="22">
        <f>IF(Benchmark1[[#This Row],[Target Date Check]]="Pass",INDEX(Target1[Target Return],MATCH(Benchmark1[[#This Row],[Benchmark '#1 Dates]],Target1[Target Dates],0)),"-")</f>
        <v>6.2893289075639184E-3</v>
      </c>
      <c r="G302" s="1">
        <f>IFERROR(IF(Benchmark1[[#This Row],[Target Date Check]]="Pass",Benchmark1[[#This Row],[Target Return]]-Benchmark1[[#This Row],[Benchmark '#1 Return]],"-"),"-")</f>
        <v>7.0154437430154492E-3</v>
      </c>
      <c r="H302" s="1" t="str">
        <f>IF(COUNTIF(Comp1[Comparable '#1 Dates],Benchmark1[[#This Row],[Benchmark '#1 Dates]])=1,"Pass","Fail")</f>
        <v>Pass</v>
      </c>
      <c r="I302" s="6">
        <f>IF(Benchmark1[[#This Row],[Comparable '#1 Date Check]]="Pass",INDEX(Comp1[Comparable '#1 Price],MATCH(Benchmark1[[#This Row],[Benchmark '#1 Dates]],Comp1[Comparable '#1 Dates],0)),"-")</f>
        <v>16.829999999999998</v>
      </c>
      <c r="J302" s="22">
        <f>IF(Benchmark1[[#This Row],[Comparable '#1 Date Check]]="Pass",INDEX(Comp1[Comparable '#1 Return],MATCH(Benchmark1[[#This Row],[Benchmark '#1 Dates]],Comp1[Comparable '#1 Dates],0)),"-")</f>
        <v>3.5714323675971795E-3</v>
      </c>
      <c r="K302" s="1">
        <f>IFERROR(IF(Benchmark1[[#This Row],[Comparable '#1 Date Check]]="Pass",Benchmark1[[#This Row],[Comparable '#1 Return]]-Benchmark1[[#This Row],[Benchmark '#1 Return]],"-"),"-")</f>
        <v>4.2975472030487103E-3</v>
      </c>
      <c r="L302" s="1" t="str">
        <f>IF(COUNTIF(Comp2[Comparable '#2 Dates],Benchmark1[[#This Row],[Benchmark '#1 Dates]])=1,"Pass","Fail")</f>
        <v>Pass</v>
      </c>
      <c r="M302" s="6">
        <f>IF(Benchmark1[[#This Row],[Comparable '#2 Date Check]]="Pass",INDEX(Comp2[Comparable '#2 Price],MATCH(Benchmark1[[#This Row],[Benchmark '#1 Dates]],Comp2[Comparable '#2 Dates],0)),"-")</f>
        <v>41.24</v>
      </c>
      <c r="N302" s="22">
        <f>IF(Benchmark1[[#This Row],[Comparable '#2 Date Check]]="Pass",INDEX(Comp2[Comparable '#2 Return],MATCH(Benchmark1[[#This Row],[Benchmark '#1 Dates]],Comp2[Comparable '#2 Dates],0)),"-")</f>
        <v>-1.1092469655996653E-2</v>
      </c>
      <c r="O302" s="1">
        <f>IFERROR(IF(Benchmark1[[#This Row],[Comparable '#2 Date Check]]="Pass",Benchmark1[[#This Row],[Comparable '#2 Return]]-Benchmark1[[#This Row],[Benchmark '#1 Return]],"-"),"-")</f>
        <v>-1.0366354820545123E-2</v>
      </c>
      <c r="P302" s="1" t="str">
        <f>IF(COUNTIF(Comp3[Comparable '#3 Dates],Benchmark1[[#This Row],[Benchmark '#1 Dates]])=1,"Pass","Fail")</f>
        <v>Pass</v>
      </c>
      <c r="Q302" s="6">
        <f>IF(Benchmark1[[#This Row],[Comparable '#3 Date Check]]="Pass",INDEX(Comp3[Comparable '#3 Price],MATCH(Benchmark1[[#This Row],[Benchmark '#1 Dates]],Comp3[Comparable '#3 Dates],0)),"-")</f>
        <v>156</v>
      </c>
      <c r="R302" s="22">
        <f>IF(Benchmark1[[#This Row],[Comparable '#3 Date Check]]="Pass",INDEX(Comp3[Comparable '#3 Return],MATCH(Benchmark1[[#This Row],[Benchmark '#1 Dates]],Comp3[Comparable '#3 Dates],0)),"-")</f>
        <v>-2.7315810646962865E-2</v>
      </c>
      <c r="S302" s="1">
        <f>IFERROR(IF(Benchmark1[[#This Row],[Comparable '#3 Date Check]]="Pass",Benchmark1[[#This Row],[Comparable '#3 Return]]-Benchmark1[[#This Row],[Benchmark '#1 Return]],"-"),"-")</f>
        <v>-2.6589695811511334E-2</v>
      </c>
    </row>
    <row r="303" spans="1:19">
      <c r="A303" s="103">
        <v>43724</v>
      </c>
      <c r="B303" s="104">
        <v>2997.9595912212417</v>
      </c>
      <c r="C303" s="4">
        <f t="shared" si="4"/>
        <v>-3.1397986517287596E-3</v>
      </c>
      <c r="D303" s="1" t="str">
        <f>IF(COUNTIF(Target1[Target Dates],Benchmark1[[#This Row],[Benchmark '#1 Dates]])=1,"Pass","Fail")</f>
        <v>Pass</v>
      </c>
      <c r="E303" s="6">
        <f>IF(Benchmark1[[#This Row],[Target Date Check]]="Pass",INDEX(Target1[Target Price],MATCH(Benchmark1[[#This Row],[Benchmark '#1 Dates]],Target1[Target Dates],0)),"-")</f>
        <v>29.26</v>
      </c>
      <c r="F303" s="22">
        <f>IF(Benchmark1[[#This Row],[Target Date Check]]="Pass",INDEX(Target1[Target Return],MATCH(Benchmark1[[#This Row],[Benchmark '#1 Dates]],Target1[Target Dates],0)),"-")</f>
        <v>1.8975901459005604E-2</v>
      </c>
      <c r="G303" s="1">
        <f>IFERROR(IF(Benchmark1[[#This Row],[Target Date Check]]="Pass",Benchmark1[[#This Row],[Target Return]]-Benchmark1[[#This Row],[Benchmark '#1 Return]],"-"),"-")</f>
        <v>2.2115700110734365E-2</v>
      </c>
      <c r="H303" s="1" t="str">
        <f>IF(COUNTIF(Comp1[Comparable '#1 Dates],Benchmark1[[#This Row],[Benchmark '#1 Dates]])=1,"Pass","Fail")</f>
        <v>Pass</v>
      </c>
      <c r="I303" s="6">
        <f>IF(Benchmark1[[#This Row],[Comparable '#1 Date Check]]="Pass",INDEX(Comp1[Comparable '#1 Price],MATCH(Benchmark1[[#This Row],[Benchmark '#1 Dates]],Comp1[Comparable '#1 Dates],0)),"-")</f>
        <v>16.940000000000001</v>
      </c>
      <c r="J303" s="22">
        <f>IF(Benchmark1[[#This Row],[Comparable '#1 Date Check]]="Pass",INDEX(Comp1[Comparable '#1 Return],MATCH(Benchmark1[[#This Row],[Benchmark '#1 Dates]],Comp1[Comparable '#1 Dates],0)),"-")</f>
        <v>6.5146810211938935E-3</v>
      </c>
      <c r="K303" s="1">
        <f>IFERROR(IF(Benchmark1[[#This Row],[Comparable '#1 Date Check]]="Pass",Benchmark1[[#This Row],[Comparable '#1 Return]]-Benchmark1[[#This Row],[Benchmark '#1 Return]],"-"),"-")</f>
        <v>9.6544796729226522E-3</v>
      </c>
      <c r="L303" s="1" t="str">
        <f>IF(COUNTIF(Comp2[Comparable '#2 Dates],Benchmark1[[#This Row],[Benchmark '#1 Dates]])=1,"Pass","Fail")</f>
        <v>Pass</v>
      </c>
      <c r="M303" s="6">
        <f>IF(Benchmark1[[#This Row],[Comparable '#2 Date Check]]="Pass",INDEX(Comp2[Comparable '#2 Price],MATCH(Benchmark1[[#This Row],[Benchmark '#1 Dates]],Comp2[Comparable '#2 Dates],0)),"-")</f>
        <v>41.49</v>
      </c>
      <c r="N303" s="22">
        <f>IF(Benchmark1[[#This Row],[Comparable '#2 Date Check]]="Pass",INDEX(Comp2[Comparable '#2 Return],MATCH(Benchmark1[[#This Row],[Benchmark '#1 Dates]],Comp2[Comparable '#2 Dates],0)),"-")</f>
        <v>6.0437751960172557E-3</v>
      </c>
      <c r="O303" s="1">
        <f>IFERROR(IF(Benchmark1[[#This Row],[Comparable '#2 Date Check]]="Pass",Benchmark1[[#This Row],[Comparable '#2 Return]]-Benchmark1[[#This Row],[Benchmark '#1 Return]],"-"),"-")</f>
        <v>9.1835738477460162E-3</v>
      </c>
      <c r="P303" s="1" t="str">
        <f>IF(COUNTIF(Comp3[Comparable '#3 Dates],Benchmark1[[#This Row],[Benchmark '#1 Dates]])=1,"Pass","Fail")</f>
        <v>Pass</v>
      </c>
      <c r="Q303" s="6">
        <f>IF(Benchmark1[[#This Row],[Comparable '#3 Date Check]]="Pass",INDEX(Comp3[Comparable '#3 Price],MATCH(Benchmark1[[#This Row],[Benchmark '#1 Dates]],Comp3[Comparable '#3 Dates],0)),"-")</f>
        <v>156.4</v>
      </c>
      <c r="R303" s="22">
        <f>IF(Benchmark1[[#This Row],[Comparable '#3 Date Check]]="Pass",INDEX(Comp3[Comparable '#3 Return],MATCH(Benchmark1[[#This Row],[Benchmark '#1 Dates]],Comp3[Comparable '#3 Dates],0)),"-")</f>
        <v>2.5608208616736505E-3</v>
      </c>
      <c r="S303" s="1">
        <f>IFERROR(IF(Benchmark1[[#This Row],[Comparable '#3 Date Check]]="Pass",Benchmark1[[#This Row],[Comparable '#3 Return]]-Benchmark1[[#This Row],[Benchmark '#1 Return]],"-"),"-")</f>
        <v>5.7006195134024096E-3</v>
      </c>
    </row>
    <row r="304" spans="1:19">
      <c r="A304" s="103">
        <v>43725</v>
      </c>
      <c r="B304" s="104">
        <v>3005.6964617529316</v>
      </c>
      <c r="C304" s="4">
        <f t="shared" si="4"/>
        <v>2.5773877605172186E-3</v>
      </c>
      <c r="D304" s="1" t="str">
        <f>IF(COUNTIF(Target1[Target Dates],Benchmark1[[#This Row],[Benchmark '#1 Dates]])=1,"Pass","Fail")</f>
        <v>Pass</v>
      </c>
      <c r="E304" s="6">
        <f>IF(Benchmark1[[#This Row],[Target Date Check]]="Pass",INDEX(Target1[Target Price],MATCH(Benchmark1[[#This Row],[Benchmark '#1 Dates]],Target1[Target Dates],0)),"-")</f>
        <v>28.7</v>
      </c>
      <c r="F304" s="22">
        <f>IF(Benchmark1[[#This Row],[Target Date Check]]="Pass",INDEX(Target1[Target Return],MATCH(Benchmark1[[#This Row],[Benchmark '#1 Dates]],Target1[Target Dates],0)),"-")</f>
        <v>-1.9324272826402929E-2</v>
      </c>
      <c r="G304" s="1">
        <f>IFERROR(IF(Benchmark1[[#This Row],[Target Date Check]]="Pass",Benchmark1[[#This Row],[Target Return]]-Benchmark1[[#This Row],[Benchmark '#1 Return]],"-"),"-")</f>
        <v>-2.1901660586920148E-2</v>
      </c>
      <c r="H304" s="1" t="str">
        <f>IF(COUNTIF(Comp1[Comparable '#1 Dates],Benchmark1[[#This Row],[Benchmark '#1 Dates]])=1,"Pass","Fail")</f>
        <v>Pass</v>
      </c>
      <c r="I304" s="6">
        <f>IF(Benchmark1[[#This Row],[Comparable '#1 Date Check]]="Pass",INDEX(Comp1[Comparable '#1 Price],MATCH(Benchmark1[[#This Row],[Benchmark '#1 Dates]],Comp1[Comparable '#1 Dates],0)),"-")</f>
        <v>17.11</v>
      </c>
      <c r="J304" s="22">
        <f>IF(Benchmark1[[#This Row],[Comparable '#1 Date Check]]="Pass",INDEX(Comp1[Comparable '#1 Return],MATCH(Benchmark1[[#This Row],[Benchmark '#1 Dates]],Comp1[Comparable '#1 Dates],0)),"-")</f>
        <v>9.985398680193663E-3</v>
      </c>
      <c r="K304" s="1">
        <f>IFERROR(IF(Benchmark1[[#This Row],[Comparable '#1 Date Check]]="Pass",Benchmark1[[#This Row],[Comparable '#1 Return]]-Benchmark1[[#This Row],[Benchmark '#1 Return]],"-"),"-")</f>
        <v>7.408010919676444E-3</v>
      </c>
      <c r="L304" s="1" t="str">
        <f>IF(COUNTIF(Comp2[Comparable '#2 Dates],Benchmark1[[#This Row],[Benchmark '#1 Dates]])=1,"Pass","Fail")</f>
        <v>Pass</v>
      </c>
      <c r="M304" s="6">
        <f>IF(Benchmark1[[#This Row],[Comparable '#2 Date Check]]="Pass",INDEX(Comp2[Comparable '#2 Price],MATCH(Benchmark1[[#This Row],[Benchmark '#1 Dates]],Comp2[Comparable '#2 Dates],0)),"-")</f>
        <v>41.79</v>
      </c>
      <c r="N304" s="22">
        <f>IF(Benchmark1[[#This Row],[Comparable '#2 Date Check]]="Pass",INDEX(Comp2[Comparable '#2 Return],MATCH(Benchmark1[[#This Row],[Benchmark '#1 Dates]],Comp2[Comparable '#2 Dates],0)),"-")</f>
        <v>7.2046421150475104E-3</v>
      </c>
      <c r="O304" s="1">
        <f>IFERROR(IF(Benchmark1[[#This Row],[Comparable '#2 Date Check]]="Pass",Benchmark1[[#This Row],[Comparable '#2 Return]]-Benchmark1[[#This Row],[Benchmark '#1 Return]],"-"),"-")</f>
        <v>4.6272543545302913E-3</v>
      </c>
      <c r="P304" s="1" t="str">
        <f>IF(COUNTIF(Comp3[Comparable '#3 Dates],Benchmark1[[#This Row],[Benchmark '#1 Dates]])=1,"Pass","Fail")</f>
        <v>Pass</v>
      </c>
      <c r="Q304" s="6">
        <f>IF(Benchmark1[[#This Row],[Comparable '#3 Date Check]]="Pass",INDEX(Comp3[Comparable '#3 Price],MATCH(Benchmark1[[#This Row],[Benchmark '#1 Dates]],Comp3[Comparable '#3 Dates],0)),"-")</f>
        <v>157.74</v>
      </c>
      <c r="R304" s="22">
        <f>IF(Benchmark1[[#This Row],[Comparable '#3 Date Check]]="Pass",INDEX(Comp3[Comparable '#3 Return],MATCH(Benchmark1[[#This Row],[Benchmark '#1 Dates]],Comp3[Comparable '#3 Dates],0)),"-")</f>
        <v>8.5312798586340693E-3</v>
      </c>
      <c r="S304" s="1">
        <f>IFERROR(IF(Benchmark1[[#This Row],[Comparable '#3 Date Check]]="Pass",Benchmark1[[#This Row],[Comparable '#3 Return]]-Benchmark1[[#This Row],[Benchmark '#1 Return]],"-"),"-")</f>
        <v>5.9538920981168503E-3</v>
      </c>
    </row>
    <row r="305" spans="1:19">
      <c r="A305" s="103">
        <v>43726</v>
      </c>
      <c r="B305" s="104">
        <v>3006.729985500393</v>
      </c>
      <c r="C305" s="4">
        <f t="shared" si="4"/>
        <v>3.437958922935042E-4</v>
      </c>
      <c r="D305" s="1" t="str">
        <f>IF(COUNTIF(Target1[Target Dates],Benchmark1[[#This Row],[Benchmark '#1 Dates]])=1,"Pass","Fail")</f>
        <v>Pass</v>
      </c>
      <c r="E305" s="6">
        <f>IF(Benchmark1[[#This Row],[Target Date Check]]="Pass",INDEX(Target1[Target Price],MATCH(Benchmark1[[#This Row],[Benchmark '#1 Dates]],Target1[Target Dates],0)),"-")</f>
        <v>28.46</v>
      </c>
      <c r="F305" s="22">
        <f>IF(Benchmark1[[#This Row],[Target Date Check]]="Pass",INDEX(Target1[Target Return],MATCH(Benchmark1[[#This Row],[Benchmark '#1 Dates]],Target1[Target Dates],0)),"-")</f>
        <v>-8.3975301038690907E-3</v>
      </c>
      <c r="G305" s="1">
        <f>IFERROR(IF(Benchmark1[[#This Row],[Target Date Check]]="Pass",Benchmark1[[#This Row],[Target Return]]-Benchmark1[[#This Row],[Benchmark '#1 Return]],"-"),"-")</f>
        <v>-8.7413259961625946E-3</v>
      </c>
      <c r="H305" s="1" t="str">
        <f>IF(COUNTIF(Comp1[Comparable '#1 Dates],Benchmark1[[#This Row],[Benchmark '#1 Dates]])=1,"Pass","Fail")</f>
        <v>Pass</v>
      </c>
      <c r="I305" s="6">
        <f>IF(Benchmark1[[#This Row],[Comparable '#1 Date Check]]="Pass",INDEX(Comp1[Comparable '#1 Price],MATCH(Benchmark1[[#This Row],[Benchmark '#1 Dates]],Comp1[Comparable '#1 Dates],0)),"-")</f>
        <v>17.53</v>
      </c>
      <c r="J305" s="22">
        <f>IF(Benchmark1[[#This Row],[Comparable '#1 Date Check]]="Pass",INDEX(Comp1[Comparable '#1 Return],MATCH(Benchmark1[[#This Row],[Benchmark '#1 Dates]],Comp1[Comparable '#1 Dates],0)),"-")</f>
        <v>2.4250611029041046E-2</v>
      </c>
      <c r="K305" s="1">
        <f>IFERROR(IF(Benchmark1[[#This Row],[Comparable '#1 Date Check]]="Pass",Benchmark1[[#This Row],[Comparable '#1 Return]]-Benchmark1[[#This Row],[Benchmark '#1 Return]],"-"),"-")</f>
        <v>2.3906815136747542E-2</v>
      </c>
      <c r="L305" s="1" t="str">
        <f>IF(COUNTIF(Comp2[Comparable '#2 Dates],Benchmark1[[#This Row],[Benchmark '#1 Dates]])=1,"Pass","Fail")</f>
        <v>Pass</v>
      </c>
      <c r="M305" s="6">
        <f>IF(Benchmark1[[#This Row],[Comparable '#2 Date Check]]="Pass",INDEX(Comp2[Comparable '#2 Price],MATCH(Benchmark1[[#This Row],[Benchmark '#1 Dates]],Comp2[Comparable '#2 Dates],0)),"-")</f>
        <v>42</v>
      </c>
      <c r="N305" s="22">
        <f>IF(Benchmark1[[#This Row],[Comparable '#2 Date Check]]="Pass",INDEX(Comp2[Comparable '#2 Return],MATCH(Benchmark1[[#This Row],[Benchmark '#1 Dates]],Comp2[Comparable '#2 Dates],0)),"-")</f>
        <v>5.0125418235441935E-3</v>
      </c>
      <c r="O305" s="1">
        <f>IFERROR(IF(Benchmark1[[#This Row],[Comparable '#2 Date Check]]="Pass",Benchmark1[[#This Row],[Comparable '#2 Return]]-Benchmark1[[#This Row],[Benchmark '#1 Return]],"-"),"-")</f>
        <v>4.6687459312506896E-3</v>
      </c>
      <c r="P305" s="1" t="str">
        <f>IF(COUNTIF(Comp3[Comparable '#3 Dates],Benchmark1[[#This Row],[Benchmark '#1 Dates]])=1,"Pass","Fail")</f>
        <v>Pass</v>
      </c>
      <c r="Q305" s="6">
        <f>IF(Benchmark1[[#This Row],[Comparable '#3 Date Check]]="Pass",INDEX(Comp3[Comparable '#3 Price],MATCH(Benchmark1[[#This Row],[Benchmark '#1 Dates]],Comp3[Comparable '#3 Dates],0)),"-")</f>
        <v>156.91999999999999</v>
      </c>
      <c r="R305" s="22">
        <f>IF(Benchmark1[[#This Row],[Comparable '#3 Date Check]]="Pass",INDEX(Comp3[Comparable '#3 Return],MATCH(Benchmark1[[#This Row],[Benchmark '#1 Dates]],Comp3[Comparable '#3 Dates],0)),"-")</f>
        <v>-5.2119866284931595E-3</v>
      </c>
      <c r="S305" s="1">
        <f>IFERROR(IF(Benchmark1[[#This Row],[Comparable '#3 Date Check]]="Pass",Benchmark1[[#This Row],[Comparable '#3 Return]]-Benchmark1[[#This Row],[Benchmark '#1 Return]],"-"),"-")</f>
        <v>-5.5557825207866634E-3</v>
      </c>
    </row>
    <row r="306" spans="1:19">
      <c r="A306" s="103">
        <v>43727</v>
      </c>
      <c r="B306" s="104">
        <v>3006.790781830704</v>
      </c>
      <c r="C306" s="4">
        <f t="shared" si="4"/>
        <v>2.0219878725155646E-5</v>
      </c>
      <c r="D306" s="1" t="str">
        <f>IF(COUNTIF(Target1[Target Dates],Benchmark1[[#This Row],[Benchmark '#1 Dates]])=1,"Pass","Fail")</f>
        <v>Pass</v>
      </c>
      <c r="E306" s="6">
        <f>IF(Benchmark1[[#This Row],[Target Date Check]]="Pass",INDEX(Target1[Target Price],MATCH(Benchmark1[[#This Row],[Benchmark '#1 Dates]],Target1[Target Dates],0)),"-")</f>
        <v>28.17</v>
      </c>
      <c r="F306" s="22">
        <f>IF(Benchmark1[[#This Row],[Target Date Check]]="Pass",INDEX(Target1[Target Return],MATCH(Benchmark1[[#This Row],[Benchmark '#1 Dates]],Target1[Target Dates],0)),"-")</f>
        <v>-1.0242010773425082E-2</v>
      </c>
      <c r="G306" s="1">
        <f>IFERROR(IF(Benchmark1[[#This Row],[Target Date Check]]="Pass",Benchmark1[[#This Row],[Target Return]]-Benchmark1[[#This Row],[Benchmark '#1 Return]],"-"),"-")</f>
        <v>-1.0262230652150237E-2</v>
      </c>
      <c r="H306" s="1" t="str">
        <f>IF(COUNTIF(Comp1[Comparable '#1 Dates],Benchmark1[[#This Row],[Benchmark '#1 Dates]])=1,"Pass","Fail")</f>
        <v>Pass</v>
      </c>
      <c r="I306" s="6">
        <f>IF(Benchmark1[[#This Row],[Comparable '#1 Date Check]]="Pass",INDEX(Comp1[Comparable '#1 Price],MATCH(Benchmark1[[#This Row],[Benchmark '#1 Dates]],Comp1[Comparable '#1 Dates],0)),"-")</f>
        <v>17.5</v>
      </c>
      <c r="J306" s="22">
        <f>IF(Benchmark1[[#This Row],[Comparable '#1 Date Check]]="Pass",INDEX(Comp1[Comparable '#1 Return],MATCH(Benchmark1[[#This Row],[Benchmark '#1 Dates]],Comp1[Comparable '#1 Dates],0)),"-")</f>
        <v>-1.7128180036748277E-3</v>
      </c>
      <c r="K306" s="1">
        <f>IFERROR(IF(Benchmark1[[#This Row],[Comparable '#1 Date Check]]="Pass",Benchmark1[[#This Row],[Comparable '#1 Return]]-Benchmark1[[#This Row],[Benchmark '#1 Return]],"-"),"-")</f>
        <v>-1.7330378823999834E-3</v>
      </c>
      <c r="L306" s="1" t="str">
        <f>IF(COUNTIF(Comp2[Comparable '#2 Dates],Benchmark1[[#This Row],[Benchmark '#1 Dates]])=1,"Pass","Fail")</f>
        <v>Pass</v>
      </c>
      <c r="M306" s="6">
        <f>IF(Benchmark1[[#This Row],[Comparable '#2 Date Check]]="Pass",INDEX(Comp2[Comparable '#2 Price],MATCH(Benchmark1[[#This Row],[Benchmark '#1 Dates]],Comp2[Comparable '#2 Dates],0)),"-")</f>
        <v>42.28</v>
      </c>
      <c r="N306" s="22">
        <f>IF(Benchmark1[[#This Row],[Comparable '#2 Date Check]]="Pass",INDEX(Comp2[Comparable '#2 Return],MATCH(Benchmark1[[#This Row],[Benchmark '#1 Dates]],Comp2[Comparable '#2 Dates],0)),"-")</f>
        <v>6.6445427186685108E-3</v>
      </c>
      <c r="O306" s="1">
        <f>IFERROR(IF(Benchmark1[[#This Row],[Comparable '#2 Date Check]]="Pass",Benchmark1[[#This Row],[Comparable '#2 Return]]-Benchmark1[[#This Row],[Benchmark '#1 Return]],"-"),"-")</f>
        <v>6.6243228399433555E-3</v>
      </c>
      <c r="P306" s="1" t="str">
        <f>IF(COUNTIF(Comp3[Comparable '#3 Dates],Benchmark1[[#This Row],[Benchmark '#1 Dates]])=1,"Pass","Fail")</f>
        <v>Pass</v>
      </c>
      <c r="Q306" s="6">
        <f>IF(Benchmark1[[#This Row],[Comparable '#3 Date Check]]="Pass",INDEX(Comp3[Comparable '#3 Price],MATCH(Benchmark1[[#This Row],[Benchmark '#1 Dates]],Comp3[Comparable '#3 Dates],0)),"-")</f>
        <v>158.74</v>
      </c>
      <c r="R306" s="22">
        <f>IF(Benchmark1[[#This Row],[Comparable '#3 Date Check]]="Pass",INDEX(Comp3[Comparable '#3 Return],MATCH(Benchmark1[[#This Row],[Benchmark '#1 Dates]],Comp3[Comparable '#3 Dates],0)),"-")</f>
        <v>1.1531522321377864E-2</v>
      </c>
      <c r="S306" s="1">
        <f>IFERROR(IF(Benchmark1[[#This Row],[Comparable '#3 Date Check]]="Pass",Benchmark1[[#This Row],[Comparable '#3 Return]]-Benchmark1[[#This Row],[Benchmark '#1 Return]],"-"),"-")</f>
        <v>1.1511302442652709E-2</v>
      </c>
    </row>
    <row r="307" spans="1:19">
      <c r="A307" s="103">
        <v>43728</v>
      </c>
      <c r="B307" s="104">
        <v>2992.0722935071785</v>
      </c>
      <c r="C307" s="4">
        <f t="shared" si="4"/>
        <v>-4.9071024536964693E-3</v>
      </c>
      <c r="D307" s="1" t="str">
        <f>IF(COUNTIF(Target1[Target Dates],Benchmark1[[#This Row],[Benchmark '#1 Dates]])=1,"Pass","Fail")</f>
        <v>Pass</v>
      </c>
      <c r="E307" s="6">
        <f>IF(Benchmark1[[#This Row],[Target Date Check]]="Pass",INDEX(Target1[Target Price],MATCH(Benchmark1[[#This Row],[Benchmark '#1 Dates]],Target1[Target Dates],0)),"-")</f>
        <v>26.07</v>
      </c>
      <c r="F307" s="22">
        <f>IF(Benchmark1[[#This Row],[Target Date Check]]="Pass",INDEX(Target1[Target Return],MATCH(Benchmark1[[#This Row],[Benchmark '#1 Dates]],Target1[Target Dates],0)),"-")</f>
        <v>-7.7472353942870872E-2</v>
      </c>
      <c r="G307" s="1">
        <f>IFERROR(IF(Benchmark1[[#This Row],[Target Date Check]]="Pass",Benchmark1[[#This Row],[Target Return]]-Benchmark1[[#This Row],[Benchmark '#1 Return]],"-"),"-")</f>
        <v>-7.2565251489174407E-2</v>
      </c>
      <c r="H307" s="1" t="str">
        <f>IF(COUNTIF(Comp1[Comparable '#1 Dates],Benchmark1[[#This Row],[Benchmark '#1 Dates]])=1,"Pass","Fail")</f>
        <v>Pass</v>
      </c>
      <c r="I307" s="6">
        <f>IF(Benchmark1[[#This Row],[Comparable '#1 Date Check]]="Pass",INDEX(Comp1[Comparable '#1 Price],MATCH(Benchmark1[[#This Row],[Benchmark '#1 Dates]],Comp1[Comparable '#1 Dates],0)),"-")</f>
        <v>17.39</v>
      </c>
      <c r="J307" s="22">
        <f>IF(Benchmark1[[#This Row],[Comparable '#1 Date Check]]="Pass",INDEX(Comp1[Comparable '#1 Return],MATCH(Benchmark1[[#This Row],[Benchmark '#1 Dates]],Comp1[Comparable '#1 Dates],0)),"-")</f>
        <v>-6.3055525632766491E-3</v>
      </c>
      <c r="K307" s="1">
        <f>IFERROR(IF(Benchmark1[[#This Row],[Comparable '#1 Date Check]]="Pass",Benchmark1[[#This Row],[Comparable '#1 Return]]-Benchmark1[[#This Row],[Benchmark '#1 Return]],"-"),"-")</f>
        <v>-1.3984501095801799E-3</v>
      </c>
      <c r="L307" s="1" t="str">
        <f>IF(COUNTIF(Comp2[Comparable '#2 Dates],Benchmark1[[#This Row],[Benchmark '#1 Dates]])=1,"Pass","Fail")</f>
        <v>Pass</v>
      </c>
      <c r="M307" s="6">
        <f>IF(Benchmark1[[#This Row],[Comparable '#2 Date Check]]="Pass",INDEX(Comp2[Comparable '#2 Price],MATCH(Benchmark1[[#This Row],[Benchmark '#1 Dates]],Comp2[Comparable '#2 Dates],0)),"-")</f>
        <v>40.659999999999997</v>
      </c>
      <c r="N307" s="22">
        <f>IF(Benchmark1[[#This Row],[Comparable '#2 Date Check]]="Pass",INDEX(Comp2[Comparable '#2 Return],MATCH(Benchmark1[[#This Row],[Benchmark '#1 Dates]],Comp2[Comparable '#2 Dates],0)),"-")</f>
        <v>-3.9069352801836446E-2</v>
      </c>
      <c r="O307" s="1">
        <f>IFERROR(IF(Benchmark1[[#This Row],[Comparable '#2 Date Check]]="Pass",Benchmark1[[#This Row],[Comparable '#2 Return]]-Benchmark1[[#This Row],[Benchmark '#1 Return]],"-"),"-")</f>
        <v>-3.416225034813998E-2</v>
      </c>
      <c r="P307" s="1" t="str">
        <f>IF(COUNTIF(Comp3[Comparable '#3 Dates],Benchmark1[[#This Row],[Benchmark '#1 Dates]])=1,"Pass","Fail")</f>
        <v>Pass</v>
      </c>
      <c r="Q307" s="6">
        <f>IF(Benchmark1[[#This Row],[Comparable '#3 Date Check]]="Pass",INDEX(Comp3[Comparable '#3 Price],MATCH(Benchmark1[[#This Row],[Benchmark '#1 Dates]],Comp3[Comparable '#3 Dates],0)),"-")</f>
        <v>147.01</v>
      </c>
      <c r="R307" s="22">
        <f>IF(Benchmark1[[#This Row],[Comparable '#3 Date Check]]="Pass",INDEX(Comp3[Comparable '#3 Return],MATCH(Benchmark1[[#This Row],[Benchmark '#1 Dates]],Comp3[Comparable '#3 Dates],0)),"-")</f>
        <v>-7.676703198685475E-2</v>
      </c>
      <c r="S307" s="1">
        <f>IFERROR(IF(Benchmark1[[#This Row],[Comparable '#3 Date Check]]="Pass",Benchmark1[[#This Row],[Comparable '#3 Return]]-Benchmark1[[#This Row],[Benchmark '#1 Return]],"-"),"-")</f>
        <v>-7.1859929533158284E-2</v>
      </c>
    </row>
    <row r="308" spans="1:19">
      <c r="A308" s="103">
        <v>43731</v>
      </c>
      <c r="B308" s="104">
        <v>2991.7790334705755</v>
      </c>
      <c r="C308" s="4">
        <f t="shared" si="4"/>
        <v>-9.8017153439484419E-5</v>
      </c>
      <c r="D308" s="1" t="str">
        <f>IF(COUNTIF(Target1[Target Dates],Benchmark1[[#This Row],[Benchmark '#1 Dates]])=1,"Pass","Fail")</f>
        <v>Pass</v>
      </c>
      <c r="E308" s="6">
        <f>IF(Benchmark1[[#This Row],[Target Date Check]]="Pass",INDEX(Target1[Target Price],MATCH(Benchmark1[[#This Row],[Benchmark '#1 Dates]],Target1[Target Dates],0)),"-")</f>
        <v>27.05</v>
      </c>
      <c r="F308" s="22">
        <f>IF(Benchmark1[[#This Row],[Target Date Check]]="Pass",INDEX(Target1[Target Return],MATCH(Benchmark1[[#This Row],[Benchmark '#1 Dates]],Target1[Target Dates],0)),"-")</f>
        <v>3.6901777347080091E-2</v>
      </c>
      <c r="G308" s="1">
        <f>IFERROR(IF(Benchmark1[[#This Row],[Target Date Check]]="Pass",Benchmark1[[#This Row],[Target Return]]-Benchmark1[[#This Row],[Benchmark '#1 Return]],"-"),"-")</f>
        <v>3.6999794500519573E-2</v>
      </c>
      <c r="H308" s="1" t="str">
        <f>IF(COUNTIF(Comp1[Comparable '#1 Dates],Benchmark1[[#This Row],[Benchmark '#1 Dates]])=1,"Pass","Fail")</f>
        <v>Pass</v>
      </c>
      <c r="I308" s="6">
        <f>IF(Benchmark1[[#This Row],[Comparable '#1 Date Check]]="Pass",INDEX(Comp1[Comparable '#1 Price],MATCH(Benchmark1[[#This Row],[Benchmark '#1 Dates]],Comp1[Comparable '#1 Dates],0)),"-")</f>
        <v>17.12</v>
      </c>
      <c r="J308" s="22">
        <f>IF(Benchmark1[[#This Row],[Comparable '#1 Date Check]]="Pass",INDEX(Comp1[Comparable '#1 Return],MATCH(Benchmark1[[#This Row],[Benchmark '#1 Dates]],Comp1[Comparable '#1 Dates],0)),"-")</f>
        <v>-1.5647957652595624E-2</v>
      </c>
      <c r="K308" s="1">
        <f>IFERROR(IF(Benchmark1[[#This Row],[Comparable '#1 Date Check]]="Pass",Benchmark1[[#This Row],[Comparable '#1 Return]]-Benchmark1[[#This Row],[Benchmark '#1 Return]],"-"),"-")</f>
        <v>-1.554994049915614E-2</v>
      </c>
      <c r="L308" s="1" t="str">
        <f>IF(COUNTIF(Comp2[Comparable '#2 Dates],Benchmark1[[#This Row],[Benchmark '#1 Dates]])=1,"Pass","Fail")</f>
        <v>Pass</v>
      </c>
      <c r="M308" s="6">
        <f>IF(Benchmark1[[#This Row],[Comparable '#2 Date Check]]="Pass",INDEX(Comp2[Comparable '#2 Price],MATCH(Benchmark1[[#This Row],[Benchmark '#1 Dates]],Comp2[Comparable '#2 Dates],0)),"-")</f>
        <v>41.19</v>
      </c>
      <c r="N308" s="22">
        <f>IF(Benchmark1[[#This Row],[Comparable '#2 Date Check]]="Pass",INDEX(Comp2[Comparable '#2 Return],MATCH(Benchmark1[[#This Row],[Benchmark '#1 Dates]],Comp2[Comparable '#2 Dates],0)),"-")</f>
        <v>1.2950700247788884E-2</v>
      </c>
      <c r="O308" s="1">
        <f>IFERROR(IF(Benchmark1[[#This Row],[Comparable '#2 Date Check]]="Pass",Benchmark1[[#This Row],[Comparable '#2 Return]]-Benchmark1[[#This Row],[Benchmark '#1 Return]],"-"),"-")</f>
        <v>1.3048717401228368E-2</v>
      </c>
      <c r="P308" s="1" t="str">
        <f>IF(COUNTIF(Comp3[Comparable '#3 Dates],Benchmark1[[#This Row],[Benchmark '#1 Dates]])=1,"Pass","Fail")</f>
        <v>Pass</v>
      </c>
      <c r="Q308" s="6">
        <f>IF(Benchmark1[[#This Row],[Comparable '#3 Date Check]]="Pass",INDEX(Comp3[Comparable '#3 Price],MATCH(Benchmark1[[#This Row],[Benchmark '#1 Dates]],Comp3[Comparable '#3 Dates],0)),"-")</f>
        <v>148.16999999999999</v>
      </c>
      <c r="R308" s="22">
        <f>IF(Benchmark1[[#This Row],[Comparable '#3 Date Check]]="Pass",INDEX(Comp3[Comparable '#3 Return],MATCH(Benchmark1[[#This Row],[Benchmark '#1 Dates]],Comp3[Comparable '#3 Dates],0)),"-")</f>
        <v>7.8596515447681876E-3</v>
      </c>
      <c r="S308" s="1">
        <f>IFERROR(IF(Benchmark1[[#This Row],[Comparable '#3 Date Check]]="Pass",Benchmark1[[#This Row],[Comparable '#3 Return]]-Benchmark1[[#This Row],[Benchmark '#1 Return]],"-"),"-")</f>
        <v>7.9576686982076716E-3</v>
      </c>
    </row>
    <row r="309" spans="1:19">
      <c r="A309" s="103">
        <v>43732</v>
      </c>
      <c r="B309" s="104">
        <v>2966.5960039121405</v>
      </c>
      <c r="C309" s="4">
        <f t="shared" si="4"/>
        <v>-8.4530360550406809E-3</v>
      </c>
      <c r="D309" s="1" t="str">
        <f>IF(COUNTIF(Target1[Target Dates],Benchmark1[[#This Row],[Benchmark '#1 Dates]])=1,"Pass","Fail")</f>
        <v>Pass</v>
      </c>
      <c r="E309" s="6">
        <f>IF(Benchmark1[[#This Row],[Target Date Check]]="Pass",INDEX(Target1[Target Price],MATCH(Benchmark1[[#This Row],[Benchmark '#1 Dates]],Target1[Target Dates],0)),"-")</f>
        <v>27.1</v>
      </c>
      <c r="F309" s="22">
        <f>IF(Benchmark1[[#This Row],[Target Date Check]]="Pass",INDEX(Target1[Target Return],MATCH(Benchmark1[[#This Row],[Benchmark '#1 Dates]],Target1[Target Dates],0)),"-")</f>
        <v>1.8467225931647112E-3</v>
      </c>
      <c r="G309" s="1">
        <f>IFERROR(IF(Benchmark1[[#This Row],[Target Date Check]]="Pass",Benchmark1[[#This Row],[Target Return]]-Benchmark1[[#This Row],[Benchmark '#1 Return]],"-"),"-")</f>
        <v>1.0299758648205391E-2</v>
      </c>
      <c r="H309" s="1" t="str">
        <f>IF(COUNTIF(Comp1[Comparable '#1 Dates],Benchmark1[[#This Row],[Benchmark '#1 Dates]])=1,"Pass","Fail")</f>
        <v>Pass</v>
      </c>
      <c r="I309" s="6">
        <f>IF(Benchmark1[[#This Row],[Comparable '#1 Date Check]]="Pass",INDEX(Comp1[Comparable '#1 Price],MATCH(Benchmark1[[#This Row],[Benchmark '#1 Dates]],Comp1[Comparable '#1 Dates],0)),"-")</f>
        <v>17.55</v>
      </c>
      <c r="J309" s="22">
        <f>IF(Benchmark1[[#This Row],[Comparable '#1 Date Check]]="Pass",INDEX(Comp1[Comparable '#1 Return],MATCH(Benchmark1[[#This Row],[Benchmark '#1 Dates]],Comp1[Comparable '#1 Dates],0)),"-")</f>
        <v>2.4806579198278771E-2</v>
      </c>
      <c r="K309" s="1">
        <f>IFERROR(IF(Benchmark1[[#This Row],[Comparable '#1 Date Check]]="Pass",Benchmark1[[#This Row],[Comparable '#1 Return]]-Benchmark1[[#This Row],[Benchmark '#1 Return]],"-"),"-")</f>
        <v>3.3259615253319455E-2</v>
      </c>
      <c r="L309" s="1" t="str">
        <f>IF(COUNTIF(Comp2[Comparable '#2 Dates],Benchmark1[[#This Row],[Benchmark '#1 Dates]])=1,"Pass","Fail")</f>
        <v>Pass</v>
      </c>
      <c r="M309" s="6">
        <f>IF(Benchmark1[[#This Row],[Comparable '#2 Date Check]]="Pass",INDEX(Comp2[Comparable '#2 Price],MATCH(Benchmark1[[#This Row],[Benchmark '#1 Dates]],Comp2[Comparable '#2 Dates],0)),"-")</f>
        <v>41.13</v>
      </c>
      <c r="N309" s="22">
        <f>IF(Benchmark1[[#This Row],[Comparable '#2 Date Check]]="Pass",INDEX(Comp2[Comparable '#2 Return],MATCH(Benchmark1[[#This Row],[Benchmark '#1 Dates]],Comp2[Comparable '#2 Dates],0)),"-")</f>
        <v>-1.4577262056565143E-3</v>
      </c>
      <c r="O309" s="1">
        <f>IFERROR(IF(Benchmark1[[#This Row],[Comparable '#2 Date Check]]="Pass",Benchmark1[[#This Row],[Comparable '#2 Return]]-Benchmark1[[#This Row],[Benchmark '#1 Return]],"-"),"-")</f>
        <v>6.9953098493841671E-3</v>
      </c>
      <c r="P309" s="1" t="str">
        <f>IF(COUNTIF(Comp3[Comparable '#3 Dates],Benchmark1[[#This Row],[Benchmark '#1 Dates]])=1,"Pass","Fail")</f>
        <v>Pass</v>
      </c>
      <c r="Q309" s="6">
        <f>IF(Benchmark1[[#This Row],[Comparable '#3 Date Check]]="Pass",INDEX(Comp3[Comparable '#3 Price],MATCH(Benchmark1[[#This Row],[Benchmark '#1 Dates]],Comp3[Comparable '#3 Dates],0)),"-")</f>
        <v>149.75</v>
      </c>
      <c r="R309" s="22">
        <f>IF(Benchmark1[[#This Row],[Comparable '#3 Date Check]]="Pass",INDEX(Comp3[Comparable '#3 Return],MATCH(Benchmark1[[#This Row],[Benchmark '#1 Dates]],Comp3[Comparable '#3 Dates],0)),"-")</f>
        <v>1.0606973774915688E-2</v>
      </c>
      <c r="S309" s="1">
        <f>IFERROR(IF(Benchmark1[[#This Row],[Comparable '#3 Date Check]]="Pass",Benchmark1[[#This Row],[Comparable '#3 Return]]-Benchmark1[[#This Row],[Benchmark '#1 Return]],"-"),"-")</f>
        <v>1.906000982995637E-2</v>
      </c>
    </row>
    <row r="310" spans="1:19">
      <c r="A310" s="103">
        <v>43733</v>
      </c>
      <c r="B310" s="104">
        <v>2984.8683331356365</v>
      </c>
      <c r="C310" s="4">
        <f t="shared" si="4"/>
        <v>6.1404674891235474E-3</v>
      </c>
      <c r="D310" s="1" t="str">
        <f>IF(COUNTIF(Target1[Target Dates],Benchmark1[[#This Row],[Benchmark '#1 Dates]])=1,"Pass","Fail")</f>
        <v>Pass</v>
      </c>
      <c r="E310" s="6">
        <f>IF(Benchmark1[[#This Row],[Target Date Check]]="Pass",INDEX(Target1[Target Price],MATCH(Benchmark1[[#This Row],[Benchmark '#1 Dates]],Target1[Target Dates],0)),"-")</f>
        <v>26.89</v>
      </c>
      <c r="F310" s="22">
        <f>IF(Benchmark1[[#This Row],[Target Date Check]]="Pass",INDEX(Target1[Target Return],MATCH(Benchmark1[[#This Row],[Benchmark '#1 Dates]],Target1[Target Dates],0)),"-")</f>
        <v>-7.779257604881921E-3</v>
      </c>
      <c r="G310" s="1">
        <f>IFERROR(IF(Benchmark1[[#This Row],[Target Date Check]]="Pass",Benchmark1[[#This Row],[Target Return]]-Benchmark1[[#This Row],[Benchmark '#1 Return]],"-"),"-")</f>
        <v>-1.3919725094005467E-2</v>
      </c>
      <c r="H310" s="1" t="str">
        <f>IF(COUNTIF(Comp1[Comparable '#1 Dates],Benchmark1[[#This Row],[Benchmark '#1 Dates]])=1,"Pass","Fail")</f>
        <v>Pass</v>
      </c>
      <c r="I310" s="6">
        <f>IF(Benchmark1[[#This Row],[Comparable '#1 Date Check]]="Pass",INDEX(Comp1[Comparable '#1 Price],MATCH(Benchmark1[[#This Row],[Benchmark '#1 Dates]],Comp1[Comparable '#1 Dates],0)),"-")</f>
        <v>16.95</v>
      </c>
      <c r="J310" s="22">
        <f>IF(Benchmark1[[#This Row],[Comparable '#1 Date Check]]="Pass",INDEX(Comp1[Comparable '#1 Return],MATCH(Benchmark1[[#This Row],[Benchmark '#1 Dates]],Comp1[Comparable '#1 Dates],0)),"-")</f>
        <v>-3.4786116085415653E-2</v>
      </c>
      <c r="K310" s="1">
        <f>IFERROR(IF(Benchmark1[[#This Row],[Comparable '#1 Date Check]]="Pass",Benchmark1[[#This Row],[Comparable '#1 Return]]-Benchmark1[[#This Row],[Benchmark '#1 Return]],"-"),"-")</f>
        <v>-4.0926583574539196E-2</v>
      </c>
      <c r="L310" s="1" t="str">
        <f>IF(COUNTIF(Comp2[Comparable '#2 Dates],Benchmark1[[#This Row],[Benchmark '#1 Dates]])=1,"Pass","Fail")</f>
        <v>Pass</v>
      </c>
      <c r="M310" s="6">
        <f>IF(Benchmark1[[#This Row],[Comparable '#2 Date Check]]="Pass",INDEX(Comp2[Comparable '#2 Price],MATCH(Benchmark1[[#This Row],[Benchmark '#1 Dates]],Comp2[Comparable '#2 Dates],0)),"-")</f>
        <v>38.729999999999997</v>
      </c>
      <c r="N310" s="22">
        <f>IF(Benchmark1[[#This Row],[Comparable '#2 Date Check]]="Pass",INDEX(Comp2[Comparable '#2 Return],MATCH(Benchmark1[[#This Row],[Benchmark '#1 Dates]],Comp2[Comparable '#2 Dates],0)),"-")</f>
        <v>-6.0123288715672053E-2</v>
      </c>
      <c r="O310" s="1">
        <f>IFERROR(IF(Benchmark1[[#This Row],[Comparable '#2 Date Check]]="Pass",Benchmark1[[#This Row],[Comparable '#2 Return]]-Benchmark1[[#This Row],[Benchmark '#1 Return]],"-"),"-")</f>
        <v>-6.6263756204795604E-2</v>
      </c>
      <c r="P310" s="1" t="str">
        <f>IF(COUNTIF(Comp3[Comparable '#3 Dates],Benchmark1[[#This Row],[Benchmark '#1 Dates]])=1,"Pass","Fail")</f>
        <v>Pass</v>
      </c>
      <c r="Q310" s="6">
        <f>IF(Benchmark1[[#This Row],[Comparable '#3 Date Check]]="Pass",INDEX(Comp3[Comparable '#3 Price],MATCH(Benchmark1[[#This Row],[Benchmark '#1 Dates]],Comp3[Comparable '#3 Dates],0)),"-")</f>
        <v>143.04</v>
      </c>
      <c r="R310" s="22">
        <f>IF(Benchmark1[[#This Row],[Comparable '#3 Date Check]]="Pass",INDEX(Comp3[Comparable '#3 Return],MATCH(Benchmark1[[#This Row],[Benchmark '#1 Dates]],Comp3[Comparable '#3 Dates],0)),"-")</f>
        <v>-4.584292557035477E-2</v>
      </c>
      <c r="S310" s="1">
        <f>IFERROR(IF(Benchmark1[[#This Row],[Comparable '#3 Date Check]]="Pass",Benchmark1[[#This Row],[Comparable '#3 Return]]-Benchmark1[[#This Row],[Benchmark '#1 Return]],"-"),"-")</f>
        <v>-5.1983393059478314E-2</v>
      </c>
    </row>
    <row r="311" spans="1:19">
      <c r="A311" s="103">
        <v>43734</v>
      </c>
      <c r="B311" s="104">
        <v>2977.6174364771396</v>
      </c>
      <c r="C311" s="4">
        <f t="shared" si="4"/>
        <v>-2.432173597736953E-3</v>
      </c>
      <c r="D311" s="1" t="str">
        <f>IF(COUNTIF(Target1[Target Dates],Benchmark1[[#This Row],[Benchmark '#1 Dates]])=1,"Pass","Fail")</f>
        <v>Pass</v>
      </c>
      <c r="E311" s="6">
        <f>IF(Benchmark1[[#This Row],[Target Date Check]]="Pass",INDEX(Target1[Target Price],MATCH(Benchmark1[[#This Row],[Benchmark '#1 Dates]],Target1[Target Dates],0)),"-")</f>
        <v>26.42</v>
      </c>
      <c r="F311" s="22">
        <f>IF(Benchmark1[[#This Row],[Target Date Check]]="Pass",INDEX(Target1[Target Return],MATCH(Benchmark1[[#This Row],[Benchmark '#1 Dates]],Target1[Target Dates],0)),"-")</f>
        <v>-1.7633171186593955E-2</v>
      </c>
      <c r="G311" s="1">
        <f>IFERROR(IF(Benchmark1[[#This Row],[Target Date Check]]="Pass",Benchmark1[[#This Row],[Target Return]]-Benchmark1[[#This Row],[Benchmark '#1 Return]],"-"),"-")</f>
        <v>-1.5200997588857002E-2</v>
      </c>
      <c r="H311" s="1" t="str">
        <f>IF(COUNTIF(Comp1[Comparable '#1 Dates],Benchmark1[[#This Row],[Benchmark '#1 Dates]])=1,"Pass","Fail")</f>
        <v>Pass</v>
      </c>
      <c r="I311" s="6">
        <f>IF(Benchmark1[[#This Row],[Comparable '#1 Date Check]]="Pass",INDEX(Comp1[Comparable '#1 Price],MATCH(Benchmark1[[#This Row],[Benchmark '#1 Dates]],Comp1[Comparable '#1 Dates],0)),"-")</f>
        <v>16.71</v>
      </c>
      <c r="J311" s="22">
        <f>IF(Benchmark1[[#This Row],[Comparable '#1 Date Check]]="Pass",INDEX(Comp1[Comparable '#1 Return],MATCH(Benchmark1[[#This Row],[Benchmark '#1 Dates]],Comp1[Comparable '#1 Dates],0)),"-")</f>
        <v>-1.4260491219156809E-2</v>
      </c>
      <c r="K311" s="1">
        <f>IFERROR(IF(Benchmark1[[#This Row],[Comparable '#1 Date Check]]="Pass",Benchmark1[[#This Row],[Comparable '#1 Return]]-Benchmark1[[#This Row],[Benchmark '#1 Return]],"-"),"-")</f>
        <v>-1.1828317621419856E-2</v>
      </c>
      <c r="L311" s="1" t="str">
        <f>IF(COUNTIF(Comp2[Comparable '#2 Dates],Benchmark1[[#This Row],[Benchmark '#1 Dates]])=1,"Pass","Fail")</f>
        <v>Pass</v>
      </c>
      <c r="M311" s="6">
        <f>IF(Benchmark1[[#This Row],[Comparable '#2 Date Check]]="Pass",INDEX(Comp2[Comparable '#2 Price],MATCH(Benchmark1[[#This Row],[Benchmark '#1 Dates]],Comp2[Comparable '#2 Dates],0)),"-")</f>
        <v>38.200000000000003</v>
      </c>
      <c r="N311" s="22">
        <f>IF(Benchmark1[[#This Row],[Comparable '#2 Date Check]]="Pass",INDEX(Comp2[Comparable '#2 Return],MATCH(Benchmark1[[#This Row],[Benchmark '#1 Dates]],Comp2[Comparable '#2 Dates],0)),"-")</f>
        <v>-1.3778977914131203E-2</v>
      </c>
      <c r="O311" s="1">
        <f>IFERROR(IF(Benchmark1[[#This Row],[Comparable '#2 Date Check]]="Pass",Benchmark1[[#This Row],[Comparable '#2 Return]]-Benchmark1[[#This Row],[Benchmark '#1 Return]],"-"),"-")</f>
        <v>-1.134680431639425E-2</v>
      </c>
      <c r="P311" s="1" t="str">
        <f>IF(COUNTIF(Comp3[Comparable '#3 Dates],Benchmark1[[#This Row],[Benchmark '#1 Dates]])=1,"Pass","Fail")</f>
        <v>Pass</v>
      </c>
      <c r="Q311" s="6">
        <f>IF(Benchmark1[[#This Row],[Comparable '#3 Date Check]]="Pass",INDEX(Comp3[Comparable '#3 Price],MATCH(Benchmark1[[#This Row],[Benchmark '#1 Dates]],Comp3[Comparable '#3 Dates],0)),"-")</f>
        <v>139.66</v>
      </c>
      <c r="R311" s="22">
        <f>IF(Benchmark1[[#This Row],[Comparable '#3 Date Check]]="Pass",INDEX(Comp3[Comparable '#3 Return],MATCH(Benchmark1[[#This Row],[Benchmark '#1 Dates]],Comp3[Comparable '#3 Dates],0)),"-")</f>
        <v>-2.3913414007314743E-2</v>
      </c>
      <c r="S311" s="1">
        <f>IFERROR(IF(Benchmark1[[#This Row],[Comparable '#3 Date Check]]="Pass",Benchmark1[[#This Row],[Comparable '#3 Return]]-Benchmark1[[#This Row],[Benchmark '#1 Return]],"-"),"-")</f>
        <v>-2.148124040957779E-2</v>
      </c>
    </row>
    <row r="312" spans="1:19">
      <c r="A312" s="103">
        <v>43735</v>
      </c>
      <c r="B312" s="104">
        <v>2961.7931162999603</v>
      </c>
      <c r="C312" s="4">
        <f t="shared" si="4"/>
        <v>-5.3285953141079083E-3</v>
      </c>
      <c r="D312" s="1" t="str">
        <f>IF(COUNTIF(Target1[Target Dates],Benchmark1[[#This Row],[Benchmark '#1 Dates]])=1,"Pass","Fail")</f>
        <v>Pass</v>
      </c>
      <c r="E312" s="6">
        <f>IF(Benchmark1[[#This Row],[Target Date Check]]="Pass",INDEX(Target1[Target Price],MATCH(Benchmark1[[#This Row],[Benchmark '#1 Dates]],Target1[Target Dates],0)),"-")</f>
        <v>26.48</v>
      </c>
      <c r="F312" s="22">
        <f>IF(Benchmark1[[#This Row],[Target Date Check]]="Pass",INDEX(Target1[Target Return],MATCH(Benchmark1[[#This Row],[Benchmark '#1 Dates]],Target1[Target Dates],0)),"-")</f>
        <v>2.2684319746280441E-3</v>
      </c>
      <c r="G312" s="1">
        <f>IFERROR(IF(Benchmark1[[#This Row],[Target Date Check]]="Pass",Benchmark1[[#This Row],[Target Return]]-Benchmark1[[#This Row],[Benchmark '#1 Return]],"-"),"-")</f>
        <v>7.5970272887359528E-3</v>
      </c>
      <c r="H312" s="1" t="str">
        <f>IF(COUNTIF(Comp1[Comparable '#1 Dates],Benchmark1[[#This Row],[Benchmark '#1 Dates]])=1,"Pass","Fail")</f>
        <v>Pass</v>
      </c>
      <c r="I312" s="6">
        <f>IF(Benchmark1[[#This Row],[Comparable '#1 Date Check]]="Pass",INDEX(Comp1[Comparable '#1 Price],MATCH(Benchmark1[[#This Row],[Benchmark '#1 Dates]],Comp1[Comparable '#1 Dates],0)),"-")</f>
        <v>16.62</v>
      </c>
      <c r="J312" s="22">
        <f>IF(Benchmark1[[#This Row],[Comparable '#1 Date Check]]="Pass",INDEX(Comp1[Comparable '#1 Return],MATCH(Benchmark1[[#This Row],[Benchmark '#1 Dates]],Comp1[Comparable '#1 Dates],0)),"-")</f>
        <v>-5.4005531800001656E-3</v>
      </c>
      <c r="K312" s="1">
        <f>IFERROR(IF(Benchmark1[[#This Row],[Comparable '#1 Date Check]]="Pass",Benchmark1[[#This Row],[Comparable '#1 Return]]-Benchmark1[[#This Row],[Benchmark '#1 Return]],"-"),"-")</f>
        <v>-7.1957865892257299E-5</v>
      </c>
      <c r="L312" s="1" t="str">
        <f>IF(COUNTIF(Comp2[Comparable '#2 Dates],Benchmark1[[#This Row],[Benchmark '#1 Dates]])=1,"Pass","Fail")</f>
        <v>Pass</v>
      </c>
      <c r="M312" s="6">
        <f>IF(Benchmark1[[#This Row],[Comparable '#2 Date Check]]="Pass",INDEX(Comp2[Comparable '#2 Price],MATCH(Benchmark1[[#This Row],[Benchmark '#1 Dates]],Comp2[Comparable '#2 Dates],0)),"-")</f>
        <v>38.020000000000003</v>
      </c>
      <c r="N312" s="22">
        <f>IF(Benchmark1[[#This Row],[Comparable '#2 Date Check]]="Pass",INDEX(Comp2[Comparable '#2 Return],MATCH(Benchmark1[[#This Row],[Benchmark '#1 Dates]],Comp2[Comparable '#2 Dates],0)),"-")</f>
        <v>-4.7231785522464168E-3</v>
      </c>
      <c r="O312" s="1">
        <f>IFERROR(IF(Benchmark1[[#This Row],[Comparable '#2 Date Check]]="Pass",Benchmark1[[#This Row],[Comparable '#2 Return]]-Benchmark1[[#This Row],[Benchmark '#1 Return]],"-"),"-")</f>
        <v>6.0541676186149154E-4</v>
      </c>
      <c r="P312" s="1" t="str">
        <f>IF(COUNTIF(Comp3[Comparable '#3 Dates],Benchmark1[[#This Row],[Benchmark '#1 Dates]])=1,"Pass","Fail")</f>
        <v>Pass</v>
      </c>
      <c r="Q312" s="6">
        <f>IF(Benchmark1[[#This Row],[Comparable '#3 Date Check]]="Pass",INDEX(Comp3[Comparable '#3 Price],MATCH(Benchmark1[[#This Row],[Benchmark '#1 Dates]],Comp3[Comparable '#3 Dates],0)),"-")</f>
        <v>135.33000000000001</v>
      </c>
      <c r="R312" s="22">
        <f>IF(Benchmark1[[#This Row],[Comparable '#3 Date Check]]="Pass",INDEX(Comp3[Comparable '#3 Return],MATCH(Benchmark1[[#This Row],[Benchmark '#1 Dates]],Comp3[Comparable '#3 Dates],0)),"-")</f>
        <v>-3.1494657329474818E-2</v>
      </c>
      <c r="S312" s="1">
        <f>IFERROR(IF(Benchmark1[[#This Row],[Comparable '#3 Date Check]]="Pass",Benchmark1[[#This Row],[Comparable '#3 Return]]-Benchmark1[[#This Row],[Benchmark '#1 Return]],"-"),"-")</f>
        <v>-2.6166062015366909E-2</v>
      </c>
    </row>
    <row r="313" spans="1:19">
      <c r="A313" s="103">
        <v>43738</v>
      </c>
      <c r="B313" s="104">
        <v>2976.7372717443327</v>
      </c>
      <c r="C313" s="4">
        <f t="shared" si="4"/>
        <v>5.0329579924004494E-3</v>
      </c>
      <c r="D313" s="1" t="str">
        <f>IF(COUNTIF(Target1[Target Dates],Benchmark1[[#This Row],[Benchmark '#1 Dates]])=1,"Pass","Fail")</f>
        <v>Pass</v>
      </c>
      <c r="E313" s="6">
        <f>IF(Benchmark1[[#This Row],[Target Date Check]]="Pass",INDEX(Target1[Target Price],MATCH(Benchmark1[[#This Row],[Benchmark '#1 Dates]],Target1[Target Dates],0)),"-")</f>
        <v>26.4</v>
      </c>
      <c r="F313" s="22">
        <f>IF(Benchmark1[[#This Row],[Target Date Check]]="Pass",INDEX(Target1[Target Return],MATCH(Benchmark1[[#This Row],[Benchmark '#1 Dates]],Target1[Target Dates],0)),"-")</f>
        <v>-3.0257209165370676E-3</v>
      </c>
      <c r="G313" s="1">
        <f>IFERROR(IF(Benchmark1[[#This Row],[Target Date Check]]="Pass",Benchmark1[[#This Row],[Target Return]]-Benchmark1[[#This Row],[Benchmark '#1 Return]],"-"),"-")</f>
        <v>-8.0586789089375169E-3</v>
      </c>
      <c r="H313" s="1" t="str">
        <f>IF(COUNTIF(Comp1[Comparable '#1 Dates],Benchmark1[[#This Row],[Benchmark '#1 Dates]])=1,"Pass","Fail")</f>
        <v>Pass</v>
      </c>
      <c r="I313" s="6">
        <f>IF(Benchmark1[[#This Row],[Comparable '#1 Date Check]]="Pass",INDEX(Comp1[Comparable '#1 Price],MATCH(Benchmark1[[#This Row],[Benchmark '#1 Dates]],Comp1[Comparable '#1 Dates],0)),"-")</f>
        <v>16.574999999999999</v>
      </c>
      <c r="J313" s="22">
        <f>IF(Benchmark1[[#This Row],[Comparable '#1 Date Check]]="Pass",INDEX(Comp1[Comparable '#1 Return],MATCH(Benchmark1[[#This Row],[Benchmark '#1 Dates]],Comp1[Comparable '#1 Dates],0)),"-")</f>
        <v>-2.7112533553760778E-3</v>
      </c>
      <c r="K313" s="1">
        <f>IFERROR(IF(Benchmark1[[#This Row],[Comparable '#1 Date Check]]="Pass",Benchmark1[[#This Row],[Comparable '#1 Return]]-Benchmark1[[#This Row],[Benchmark '#1 Return]],"-"),"-")</f>
        <v>-7.7442113477765272E-3</v>
      </c>
      <c r="L313" s="1" t="str">
        <f>IF(COUNTIF(Comp2[Comparable '#2 Dates],Benchmark1[[#This Row],[Benchmark '#1 Dates]])=1,"Pass","Fail")</f>
        <v>Pass</v>
      </c>
      <c r="M313" s="6">
        <f>IF(Benchmark1[[#This Row],[Comparable '#2 Date Check]]="Pass",INDEX(Comp2[Comparable '#2 Price],MATCH(Benchmark1[[#This Row],[Benchmark '#1 Dates]],Comp2[Comparable '#2 Dates],0)),"-")</f>
        <v>38.090000000000003</v>
      </c>
      <c r="N313" s="22">
        <f>IF(Benchmark1[[#This Row],[Comparable '#2 Date Check]]="Pass",INDEX(Comp2[Comparable '#2 Return],MATCH(Benchmark1[[#This Row],[Benchmark '#1 Dates]],Comp2[Comparable '#2 Dates],0)),"-")</f>
        <v>1.839443430229507E-3</v>
      </c>
      <c r="O313" s="1">
        <f>IFERROR(IF(Benchmark1[[#This Row],[Comparable '#2 Date Check]]="Pass",Benchmark1[[#This Row],[Comparable '#2 Return]]-Benchmark1[[#This Row],[Benchmark '#1 Return]],"-"),"-")</f>
        <v>-3.1935145621709423E-3</v>
      </c>
      <c r="P313" s="1" t="str">
        <f>IF(COUNTIF(Comp3[Comparable '#3 Dates],Benchmark1[[#This Row],[Benchmark '#1 Dates]])=1,"Pass","Fail")</f>
        <v>Pass</v>
      </c>
      <c r="Q313" s="6">
        <f>IF(Benchmark1[[#This Row],[Comparable '#3 Date Check]]="Pass",INDEX(Comp3[Comparable '#3 Price],MATCH(Benchmark1[[#This Row],[Benchmark '#1 Dates]],Comp3[Comparable '#3 Dates],0)),"-")</f>
        <v>135.88</v>
      </c>
      <c r="R313" s="22">
        <f>IF(Benchmark1[[#This Row],[Comparable '#3 Date Check]]="Pass",INDEX(Comp3[Comparable '#3 Return],MATCH(Benchmark1[[#This Row],[Benchmark '#1 Dates]],Comp3[Comparable '#3 Dates],0)),"-")</f>
        <v>4.0559032039687096E-3</v>
      </c>
      <c r="S313" s="1">
        <f>IFERROR(IF(Benchmark1[[#This Row],[Comparable '#3 Date Check]]="Pass",Benchmark1[[#This Row],[Comparable '#3 Return]]-Benchmark1[[#This Row],[Benchmark '#1 Return]],"-"),"-")</f>
        <v>-9.770547884317398E-4</v>
      </c>
    </row>
    <row r="314" spans="1:19">
      <c r="A314" s="103">
        <v>43739</v>
      </c>
      <c r="B314" s="104">
        <v>2940.2485884777147</v>
      </c>
      <c r="C314" s="4">
        <f t="shared" si="4"/>
        <v>-1.2333693769873854E-2</v>
      </c>
      <c r="D314" s="1" t="str">
        <f>IF(COUNTIF(Target1[Target Dates],Benchmark1[[#This Row],[Benchmark '#1 Dates]])=1,"Pass","Fail")</f>
        <v>Pass</v>
      </c>
      <c r="E314" s="6">
        <f>IF(Benchmark1[[#This Row],[Target Date Check]]="Pass",INDEX(Target1[Target Price],MATCH(Benchmark1[[#This Row],[Benchmark '#1 Dates]],Target1[Target Dates],0)),"-")</f>
        <v>26.44</v>
      </c>
      <c r="F314" s="22">
        <f>IF(Benchmark1[[#This Row],[Target Date Check]]="Pass",INDEX(Target1[Target Return],MATCH(Benchmark1[[#This Row],[Benchmark '#1 Dates]],Target1[Target Dates],0)),"-")</f>
        <v>1.5140048312152329E-3</v>
      </c>
      <c r="G314" s="1">
        <f>IFERROR(IF(Benchmark1[[#This Row],[Target Date Check]]="Pass",Benchmark1[[#This Row],[Target Return]]-Benchmark1[[#This Row],[Benchmark '#1 Return]],"-"),"-")</f>
        <v>1.3847698601089087E-2</v>
      </c>
      <c r="H314" s="1" t="str">
        <f>IF(COUNTIF(Comp1[Comparable '#1 Dates],Benchmark1[[#This Row],[Benchmark '#1 Dates]])=1,"Pass","Fail")</f>
        <v>Pass</v>
      </c>
      <c r="I314" s="6">
        <f>IF(Benchmark1[[#This Row],[Comparable '#1 Date Check]]="Pass",INDEX(Comp1[Comparable '#1 Price],MATCH(Benchmark1[[#This Row],[Benchmark '#1 Dates]],Comp1[Comparable '#1 Dates],0)),"-")</f>
        <v>16.399999999999999</v>
      </c>
      <c r="J314" s="22">
        <f>IF(Benchmark1[[#This Row],[Comparable '#1 Date Check]]="Pass",INDEX(Comp1[Comparable '#1 Return],MATCH(Benchmark1[[#This Row],[Benchmark '#1 Dates]],Comp1[Comparable '#1 Dates],0)),"-")</f>
        <v>-1.0614201241773541E-2</v>
      </c>
      <c r="K314" s="1">
        <f>IFERROR(IF(Benchmark1[[#This Row],[Comparable '#1 Date Check]]="Pass",Benchmark1[[#This Row],[Comparable '#1 Return]]-Benchmark1[[#This Row],[Benchmark '#1 Return]],"-"),"-")</f>
        <v>1.719492528100313E-3</v>
      </c>
      <c r="L314" s="1" t="str">
        <f>IF(COUNTIF(Comp2[Comparable '#2 Dates],Benchmark1[[#This Row],[Benchmark '#1 Dates]])=1,"Pass","Fail")</f>
        <v>Pass</v>
      </c>
      <c r="M314" s="6">
        <f>IF(Benchmark1[[#This Row],[Comparable '#2 Date Check]]="Pass",INDEX(Comp2[Comparable '#2 Price],MATCH(Benchmark1[[#This Row],[Benchmark '#1 Dates]],Comp2[Comparable '#2 Dates],0)),"-")</f>
        <v>37.950000000000003</v>
      </c>
      <c r="N314" s="22">
        <f>IF(Benchmark1[[#This Row],[Comparable '#2 Date Check]]="Pass",INDEX(Comp2[Comparable '#2 Return],MATCH(Benchmark1[[#This Row],[Benchmark '#1 Dates]],Comp2[Comparable '#2 Dates],0)),"-")</f>
        <v>-3.6822766488737359E-3</v>
      </c>
      <c r="O314" s="1">
        <f>IFERROR(IF(Benchmark1[[#This Row],[Comparable '#2 Date Check]]="Pass",Benchmark1[[#This Row],[Comparable '#2 Return]]-Benchmark1[[#This Row],[Benchmark '#1 Return]],"-"),"-")</f>
        <v>8.6514171210001177E-3</v>
      </c>
      <c r="P314" s="1" t="str">
        <f>IF(COUNTIF(Comp3[Comparable '#3 Dates],Benchmark1[[#This Row],[Benchmark '#1 Dates]])=1,"Pass","Fail")</f>
        <v>Pass</v>
      </c>
      <c r="Q314" s="6">
        <f>IF(Benchmark1[[#This Row],[Comparable '#3 Date Check]]="Pass",INDEX(Comp3[Comparable '#3 Price],MATCH(Benchmark1[[#This Row],[Benchmark '#1 Dates]],Comp3[Comparable '#3 Dates],0)),"-")</f>
        <v>133.19</v>
      </c>
      <c r="R314" s="22">
        <f>IF(Benchmark1[[#This Row],[Comparable '#3 Date Check]]="Pass",INDEX(Comp3[Comparable '#3 Return],MATCH(Benchmark1[[#This Row],[Benchmark '#1 Dates]],Comp3[Comparable '#3 Dates],0)),"-")</f>
        <v>-1.9995463079443949E-2</v>
      </c>
      <c r="S314" s="1">
        <f>IFERROR(IF(Benchmark1[[#This Row],[Comparable '#3 Date Check]]="Pass",Benchmark1[[#This Row],[Comparable '#3 Return]]-Benchmark1[[#This Row],[Benchmark '#1 Return]],"-"),"-")</f>
        <v>-7.6617693095700958E-3</v>
      </c>
    </row>
    <row r="315" spans="1:19">
      <c r="A315" s="103">
        <v>43740</v>
      </c>
      <c r="B315" s="104">
        <v>2887.606504162995</v>
      </c>
      <c r="C315" s="4">
        <f t="shared" si="4"/>
        <v>-1.8066171953788665E-2</v>
      </c>
      <c r="D315" s="1" t="str">
        <f>IF(COUNTIF(Target1[Target Dates],Benchmark1[[#This Row],[Benchmark '#1 Dates]])=1,"Pass","Fail")</f>
        <v>Pass</v>
      </c>
      <c r="E315" s="6">
        <f>IF(Benchmark1[[#This Row],[Target Date Check]]="Pass",INDEX(Target1[Target Price],MATCH(Benchmark1[[#This Row],[Benchmark '#1 Dates]],Target1[Target Dates],0)),"-")</f>
        <v>26.43</v>
      </c>
      <c r="F315" s="22">
        <f>IF(Benchmark1[[#This Row],[Target Date Check]]="Pass",INDEX(Target1[Target Return],MATCH(Benchmark1[[#This Row],[Benchmark '#1 Dates]],Target1[Target Dates],0)),"-")</f>
        <v>-3.7828636728770863E-4</v>
      </c>
      <c r="G315" s="1">
        <f>IFERROR(IF(Benchmark1[[#This Row],[Target Date Check]]="Pass",Benchmark1[[#This Row],[Target Return]]-Benchmark1[[#This Row],[Benchmark '#1 Return]],"-"),"-")</f>
        <v>1.7687885586500956E-2</v>
      </c>
      <c r="H315" s="1" t="str">
        <f>IF(COUNTIF(Comp1[Comparable '#1 Dates],Benchmark1[[#This Row],[Benchmark '#1 Dates]])=1,"Pass","Fail")</f>
        <v>Pass</v>
      </c>
      <c r="I315" s="6">
        <f>IF(Benchmark1[[#This Row],[Comparable '#1 Date Check]]="Pass",INDEX(Comp1[Comparable '#1 Price],MATCH(Benchmark1[[#This Row],[Benchmark '#1 Dates]],Comp1[Comparable '#1 Dates],0)),"-")</f>
        <v>16.36</v>
      </c>
      <c r="J315" s="22">
        <f>IF(Benchmark1[[#This Row],[Comparable '#1 Date Check]]="Pass",INDEX(Comp1[Comparable '#1 Return],MATCH(Benchmark1[[#This Row],[Benchmark '#1 Dates]],Comp1[Comparable '#1 Dates],0)),"-")</f>
        <v>-2.4420036555517443E-3</v>
      </c>
      <c r="K315" s="1">
        <f>IFERROR(IF(Benchmark1[[#This Row],[Comparable '#1 Date Check]]="Pass",Benchmark1[[#This Row],[Comparable '#1 Return]]-Benchmark1[[#This Row],[Benchmark '#1 Return]],"-"),"-")</f>
        <v>1.562416829823692E-2</v>
      </c>
      <c r="L315" s="1" t="str">
        <f>IF(COUNTIF(Comp2[Comparable '#2 Dates],Benchmark1[[#This Row],[Benchmark '#1 Dates]])=1,"Pass","Fail")</f>
        <v>Pass</v>
      </c>
      <c r="M315" s="6">
        <f>IF(Benchmark1[[#This Row],[Comparable '#2 Date Check]]="Pass",INDEX(Comp2[Comparable '#2 Price],MATCH(Benchmark1[[#This Row],[Benchmark '#1 Dates]],Comp2[Comparable '#2 Dates],0)),"-")</f>
        <v>37.78</v>
      </c>
      <c r="N315" s="22">
        <f>IF(Benchmark1[[#This Row],[Comparable '#2 Date Check]]="Pass",INDEX(Comp2[Comparable '#2 Return],MATCH(Benchmark1[[#This Row],[Benchmark '#1 Dates]],Comp2[Comparable '#2 Dates],0)),"-")</f>
        <v>-4.4896417682754874E-3</v>
      </c>
      <c r="O315" s="1">
        <f>IFERROR(IF(Benchmark1[[#This Row],[Comparable '#2 Date Check]]="Pass",Benchmark1[[#This Row],[Comparable '#2 Return]]-Benchmark1[[#This Row],[Benchmark '#1 Return]],"-"),"-")</f>
        <v>1.3576530185513178E-2</v>
      </c>
      <c r="P315" s="1" t="str">
        <f>IF(COUNTIF(Comp3[Comparable '#3 Dates],Benchmark1[[#This Row],[Benchmark '#1 Dates]])=1,"Pass","Fail")</f>
        <v>Pass</v>
      </c>
      <c r="Q315" s="6">
        <f>IF(Benchmark1[[#This Row],[Comparable '#3 Date Check]]="Pass",INDEX(Comp3[Comparable '#3 Price],MATCH(Benchmark1[[#This Row],[Benchmark '#1 Dates]],Comp3[Comparable '#3 Dates],0)),"-")</f>
        <v>135.06</v>
      </c>
      <c r="R315" s="22">
        <f>IF(Benchmark1[[#This Row],[Comparable '#3 Date Check]]="Pass",INDEX(Comp3[Comparable '#3 Return],MATCH(Benchmark1[[#This Row],[Benchmark '#1 Dates]],Comp3[Comparable '#3 Dates],0)),"-")</f>
        <v>1.3942443933756689E-2</v>
      </c>
      <c r="S315" s="1">
        <f>IFERROR(IF(Benchmark1[[#This Row],[Comparable '#3 Date Check]]="Pass",Benchmark1[[#This Row],[Comparable '#3 Return]]-Benchmark1[[#This Row],[Benchmark '#1 Return]],"-"),"-")</f>
        <v>3.2008615887545354E-2</v>
      </c>
    </row>
    <row r="316" spans="1:19">
      <c r="A316" s="103">
        <v>43741</v>
      </c>
      <c r="B316" s="104">
        <v>2910.6340405401388</v>
      </c>
      <c r="C316" s="4">
        <f t="shared" si="4"/>
        <v>7.9429810710923768E-3</v>
      </c>
      <c r="D316" s="1" t="str">
        <f>IF(COUNTIF(Target1[Target Dates],Benchmark1[[#This Row],[Benchmark '#1 Dates]])=1,"Pass","Fail")</f>
        <v>Pass</v>
      </c>
      <c r="E316" s="6">
        <f>IF(Benchmark1[[#This Row],[Target Date Check]]="Pass",INDEX(Target1[Target Price],MATCH(Benchmark1[[#This Row],[Benchmark '#1 Dates]],Target1[Target Dates],0)),"-")</f>
        <v>26.1</v>
      </c>
      <c r="F316" s="22">
        <f>IF(Benchmark1[[#This Row],[Target Date Check]]="Pass",INDEX(Target1[Target Return],MATCH(Benchmark1[[#This Row],[Benchmark '#1 Dates]],Target1[Target Dates],0)),"-")</f>
        <v>-1.2564414287550077E-2</v>
      </c>
      <c r="G316" s="1">
        <f>IFERROR(IF(Benchmark1[[#This Row],[Target Date Check]]="Pass",Benchmark1[[#This Row],[Target Return]]-Benchmark1[[#This Row],[Benchmark '#1 Return]],"-"),"-")</f>
        <v>-2.0507395358642454E-2</v>
      </c>
      <c r="H316" s="1" t="str">
        <f>IF(COUNTIF(Comp1[Comparable '#1 Dates],Benchmark1[[#This Row],[Benchmark '#1 Dates]])=1,"Pass","Fail")</f>
        <v>Pass</v>
      </c>
      <c r="I316" s="6">
        <f>IF(Benchmark1[[#This Row],[Comparable '#1 Date Check]]="Pass",INDEX(Comp1[Comparable '#1 Price],MATCH(Benchmark1[[#This Row],[Benchmark '#1 Dates]],Comp1[Comparable '#1 Dates],0)),"-")</f>
        <v>16.43</v>
      </c>
      <c r="J316" s="22">
        <f>IF(Benchmark1[[#This Row],[Comparable '#1 Date Check]]="Pass",INDEX(Comp1[Comparable '#1 Return],MATCH(Benchmark1[[#This Row],[Benchmark '#1 Dates]],Comp1[Comparable '#1 Dates],0)),"-")</f>
        <v>4.2696008745757765E-3</v>
      </c>
      <c r="K316" s="1">
        <f>IFERROR(IF(Benchmark1[[#This Row],[Comparable '#1 Date Check]]="Pass",Benchmark1[[#This Row],[Comparable '#1 Return]]-Benchmark1[[#This Row],[Benchmark '#1 Return]],"-"),"-")</f>
        <v>-3.6733801965166003E-3</v>
      </c>
      <c r="L316" s="1" t="str">
        <f>IF(COUNTIF(Comp2[Comparable '#2 Dates],Benchmark1[[#This Row],[Benchmark '#1 Dates]])=1,"Pass","Fail")</f>
        <v>Pass</v>
      </c>
      <c r="M316" s="6">
        <f>IF(Benchmark1[[#This Row],[Comparable '#2 Date Check]]="Pass",INDEX(Comp2[Comparable '#2 Price],MATCH(Benchmark1[[#This Row],[Benchmark '#1 Dates]],Comp2[Comparable '#2 Dates],0)),"-")</f>
        <v>37.69</v>
      </c>
      <c r="N316" s="22">
        <f>IF(Benchmark1[[#This Row],[Comparable '#2 Date Check]]="Pass",INDEX(Comp2[Comparable '#2 Return],MATCH(Benchmark1[[#This Row],[Benchmark '#1 Dates]],Comp2[Comparable '#2 Dates],0)),"-")</f>
        <v>-2.3850547943195678E-3</v>
      </c>
      <c r="O316" s="1">
        <f>IFERROR(IF(Benchmark1[[#This Row],[Comparable '#2 Date Check]]="Pass",Benchmark1[[#This Row],[Comparable '#2 Return]]-Benchmark1[[#This Row],[Benchmark '#1 Return]],"-"),"-")</f>
        <v>-1.0328035865411945E-2</v>
      </c>
      <c r="P316" s="1" t="str">
        <f>IF(COUNTIF(Comp3[Comparable '#3 Dates],Benchmark1[[#This Row],[Benchmark '#1 Dates]])=1,"Pass","Fail")</f>
        <v>Pass</v>
      </c>
      <c r="Q316" s="6">
        <f>IF(Benchmark1[[#This Row],[Comparable '#3 Date Check]]="Pass",INDEX(Comp3[Comparable '#3 Price],MATCH(Benchmark1[[#This Row],[Benchmark '#1 Dates]],Comp3[Comparable '#3 Dates],0)),"-")</f>
        <v>133.56</v>
      </c>
      <c r="R316" s="22">
        <f>IF(Benchmark1[[#This Row],[Comparable '#3 Date Check]]="Pass",INDEX(Comp3[Comparable '#3 Return],MATCH(Benchmark1[[#This Row],[Benchmark '#1 Dates]],Comp3[Comparable '#3 Dates],0)),"-")</f>
        <v>-1.1168309071242144E-2</v>
      </c>
      <c r="S316" s="1">
        <f>IFERROR(IF(Benchmark1[[#This Row],[Comparable '#3 Date Check]]="Pass",Benchmark1[[#This Row],[Comparable '#3 Return]]-Benchmark1[[#This Row],[Benchmark '#1 Return]],"-"),"-")</f>
        <v>-1.9111290142334522E-2</v>
      </c>
    </row>
    <row r="317" spans="1:19">
      <c r="A317" s="103">
        <v>43742</v>
      </c>
      <c r="B317" s="104">
        <v>2952.0075644403978</v>
      </c>
      <c r="C317" s="4">
        <f t="shared" si="4"/>
        <v>1.4114528417353828E-2</v>
      </c>
      <c r="D317" s="1" t="str">
        <f>IF(COUNTIF(Target1[Target Dates],Benchmark1[[#This Row],[Benchmark '#1 Dates]])=1,"Pass","Fail")</f>
        <v>Pass</v>
      </c>
      <c r="E317" s="6">
        <f>IF(Benchmark1[[#This Row],[Target Date Check]]="Pass",INDEX(Target1[Target Price],MATCH(Benchmark1[[#This Row],[Benchmark '#1 Dates]],Target1[Target Dates],0)),"-")</f>
        <v>26.25</v>
      </c>
      <c r="F317" s="22">
        <f>IF(Benchmark1[[#This Row],[Target Date Check]]="Pass",INDEX(Target1[Target Return],MATCH(Benchmark1[[#This Row],[Benchmark '#1 Dates]],Target1[Target Dates],0)),"-")</f>
        <v>5.7306747089850745E-3</v>
      </c>
      <c r="G317" s="1">
        <f>IFERROR(IF(Benchmark1[[#This Row],[Target Date Check]]="Pass",Benchmark1[[#This Row],[Target Return]]-Benchmark1[[#This Row],[Benchmark '#1 Return]],"-"),"-")</f>
        <v>-8.3838537083687527E-3</v>
      </c>
      <c r="H317" s="1" t="str">
        <f>IF(COUNTIF(Comp1[Comparable '#1 Dates],Benchmark1[[#This Row],[Benchmark '#1 Dates]])=1,"Pass","Fail")</f>
        <v>Pass</v>
      </c>
      <c r="I317" s="6">
        <f>IF(Benchmark1[[#This Row],[Comparable '#1 Date Check]]="Pass",INDEX(Comp1[Comparable '#1 Price],MATCH(Benchmark1[[#This Row],[Benchmark '#1 Dates]],Comp1[Comparable '#1 Dates],0)),"-")</f>
        <v>16.29</v>
      </c>
      <c r="J317" s="22">
        <f>IF(Benchmark1[[#This Row],[Comparable '#1 Date Check]]="Pass",INDEX(Comp1[Comparable '#1 Return],MATCH(Benchmark1[[#This Row],[Benchmark '#1 Dates]],Comp1[Comparable '#1 Dates],0)),"-")</f>
        <v>-8.5575094352229441E-3</v>
      </c>
      <c r="K317" s="1">
        <f>IFERROR(IF(Benchmark1[[#This Row],[Comparable '#1 Date Check]]="Pass",Benchmark1[[#This Row],[Comparable '#1 Return]]-Benchmark1[[#This Row],[Benchmark '#1 Return]],"-"),"-")</f>
        <v>-2.2672037852576772E-2</v>
      </c>
      <c r="L317" s="1" t="str">
        <f>IF(COUNTIF(Comp2[Comparable '#2 Dates],Benchmark1[[#This Row],[Benchmark '#1 Dates]])=1,"Pass","Fail")</f>
        <v>Pass</v>
      </c>
      <c r="M317" s="6">
        <f>IF(Benchmark1[[#This Row],[Comparable '#2 Date Check]]="Pass",INDEX(Comp2[Comparable '#2 Price],MATCH(Benchmark1[[#This Row],[Benchmark '#1 Dates]],Comp2[Comparable '#2 Dates],0)),"-")</f>
        <v>36.76</v>
      </c>
      <c r="N317" s="22">
        <f>IF(Benchmark1[[#This Row],[Comparable '#2 Date Check]]="Pass",INDEX(Comp2[Comparable '#2 Return],MATCH(Benchmark1[[#This Row],[Benchmark '#1 Dates]],Comp2[Comparable '#2 Dates],0)),"-")</f>
        <v>-2.4984509791557738E-2</v>
      </c>
      <c r="O317" s="1">
        <f>IFERROR(IF(Benchmark1[[#This Row],[Comparable '#2 Date Check]]="Pass",Benchmark1[[#This Row],[Comparable '#2 Return]]-Benchmark1[[#This Row],[Benchmark '#1 Return]],"-"),"-")</f>
        <v>-3.9099038208911564E-2</v>
      </c>
      <c r="P317" s="1" t="str">
        <f>IF(COUNTIF(Comp3[Comparable '#3 Dates],Benchmark1[[#This Row],[Benchmark '#1 Dates]])=1,"Pass","Fail")</f>
        <v>Pass</v>
      </c>
      <c r="Q317" s="6">
        <f>IF(Benchmark1[[#This Row],[Comparable '#3 Date Check]]="Pass",INDEX(Comp3[Comparable '#3 Price],MATCH(Benchmark1[[#This Row],[Benchmark '#1 Dates]],Comp3[Comparable '#3 Dates],0)),"-")</f>
        <v>133.71</v>
      </c>
      <c r="R317" s="22">
        <f>IF(Benchmark1[[#This Row],[Comparable '#3 Date Check]]="Pass",INDEX(Comp3[Comparable '#3 Return],MATCH(Benchmark1[[#This Row],[Benchmark '#1 Dates]],Comp3[Comparable '#3 Dates],0)),"-")</f>
        <v>1.1224605511203629E-3</v>
      </c>
      <c r="S317" s="1">
        <f>IFERROR(IF(Benchmark1[[#This Row],[Comparable '#3 Date Check]]="Pass",Benchmark1[[#This Row],[Comparable '#3 Return]]-Benchmark1[[#This Row],[Benchmark '#1 Return]],"-"),"-")</f>
        <v>-1.2992067866233465E-2</v>
      </c>
    </row>
    <row r="318" spans="1:19">
      <c r="A318" s="103">
        <v>43745</v>
      </c>
      <c r="B318" s="104">
        <v>2938.7893931237022</v>
      </c>
      <c r="C318" s="4">
        <f t="shared" si="4"/>
        <v>-4.4877437114992213E-3</v>
      </c>
      <c r="D318" s="1" t="str">
        <f>IF(COUNTIF(Target1[Target Dates],Benchmark1[[#This Row],[Benchmark '#1 Dates]])=1,"Pass","Fail")</f>
        <v>Pass</v>
      </c>
      <c r="E318" s="6">
        <f>IF(Benchmark1[[#This Row],[Target Date Check]]="Pass",INDEX(Target1[Target Price],MATCH(Benchmark1[[#This Row],[Benchmark '#1 Dates]],Target1[Target Dates],0)),"-")</f>
        <v>26.19</v>
      </c>
      <c r="F318" s="22">
        <f>IF(Benchmark1[[#This Row],[Target Date Check]]="Pass",INDEX(Target1[Target Return],MATCH(Benchmark1[[#This Row],[Benchmark '#1 Dates]],Target1[Target Dates],0)),"-")</f>
        <v>-2.2883305180121626E-3</v>
      </c>
      <c r="G318" s="1">
        <f>IFERROR(IF(Benchmark1[[#This Row],[Target Date Check]]="Pass",Benchmark1[[#This Row],[Target Return]]-Benchmark1[[#This Row],[Benchmark '#1 Return]],"-"),"-")</f>
        <v>2.1994131934870587E-3</v>
      </c>
      <c r="H318" s="1" t="str">
        <f>IF(COUNTIF(Comp1[Comparable '#1 Dates],Benchmark1[[#This Row],[Benchmark '#1 Dates]])=1,"Pass","Fail")</f>
        <v>Pass</v>
      </c>
      <c r="I318" s="6">
        <f>IF(Benchmark1[[#This Row],[Comparable '#1 Date Check]]="Pass",INDEX(Comp1[Comparable '#1 Price],MATCH(Benchmark1[[#This Row],[Benchmark '#1 Dates]],Comp1[Comparable '#1 Dates],0)),"-")</f>
        <v>16.34</v>
      </c>
      <c r="J318" s="22">
        <f>IF(Benchmark1[[#This Row],[Comparable '#1 Date Check]]="Pass",INDEX(Comp1[Comparable '#1 Return],MATCH(Benchmark1[[#This Row],[Benchmark '#1 Dates]],Comp1[Comparable '#1 Dates],0)),"-")</f>
        <v>3.0646668179031659E-3</v>
      </c>
      <c r="K318" s="1">
        <f>IFERROR(IF(Benchmark1[[#This Row],[Comparable '#1 Date Check]]="Pass",Benchmark1[[#This Row],[Comparable '#1 Return]]-Benchmark1[[#This Row],[Benchmark '#1 Return]],"-"),"-")</f>
        <v>7.5524105294023872E-3</v>
      </c>
      <c r="L318" s="1" t="str">
        <f>IF(COUNTIF(Comp2[Comparable '#2 Dates],Benchmark1[[#This Row],[Benchmark '#1 Dates]])=1,"Pass","Fail")</f>
        <v>Pass</v>
      </c>
      <c r="M318" s="6">
        <f>IF(Benchmark1[[#This Row],[Comparable '#2 Date Check]]="Pass",INDEX(Comp2[Comparable '#2 Price],MATCH(Benchmark1[[#This Row],[Benchmark '#1 Dates]],Comp2[Comparable '#2 Dates],0)),"-")</f>
        <v>36.880000000000003</v>
      </c>
      <c r="N318" s="22">
        <f>IF(Benchmark1[[#This Row],[Comparable '#2 Date Check]]="Pass",INDEX(Comp2[Comparable '#2 Return],MATCH(Benchmark1[[#This Row],[Benchmark '#1 Dates]],Comp2[Comparable '#2 Dates],0)),"-")</f>
        <v>3.2591012009069243E-3</v>
      </c>
      <c r="O318" s="1">
        <f>IFERROR(IF(Benchmark1[[#This Row],[Comparable '#2 Date Check]]="Pass",Benchmark1[[#This Row],[Comparable '#2 Return]]-Benchmark1[[#This Row],[Benchmark '#1 Return]],"-"),"-")</f>
        <v>7.7468449124061456E-3</v>
      </c>
      <c r="P318" s="1" t="str">
        <f>IF(COUNTIF(Comp3[Comparable '#3 Dates],Benchmark1[[#This Row],[Benchmark '#1 Dates]])=1,"Pass","Fail")</f>
        <v>Pass</v>
      </c>
      <c r="Q318" s="6">
        <f>IF(Benchmark1[[#This Row],[Comparable '#3 Date Check]]="Pass",INDEX(Comp3[Comparable '#3 Price],MATCH(Benchmark1[[#This Row],[Benchmark '#1 Dates]],Comp3[Comparable '#3 Dates],0)),"-")</f>
        <v>133.96</v>
      </c>
      <c r="R318" s="22">
        <f>IF(Benchmark1[[#This Row],[Comparable '#3 Date Check]]="Pass",INDEX(Comp3[Comparable '#3 Return],MATCH(Benchmark1[[#This Row],[Benchmark '#1 Dates]],Comp3[Comparable '#3 Dates],0)),"-")</f>
        <v>1.867972299429696E-3</v>
      </c>
      <c r="S318" s="1">
        <f>IFERROR(IF(Benchmark1[[#This Row],[Comparable '#3 Date Check]]="Pass",Benchmark1[[#This Row],[Comparable '#3 Return]]-Benchmark1[[#This Row],[Benchmark '#1 Return]],"-"),"-")</f>
        <v>6.3557160109289175E-3</v>
      </c>
    </row>
    <row r="319" spans="1:19">
      <c r="A319" s="103">
        <v>43746</v>
      </c>
      <c r="B319" s="104">
        <v>2893.0555807820838</v>
      </c>
      <c r="C319" s="4">
        <f t="shared" si="4"/>
        <v>-1.5684487532698986E-2</v>
      </c>
      <c r="D319" s="1" t="str">
        <f>IF(COUNTIF(Target1[Target Dates],Benchmark1[[#This Row],[Benchmark '#1 Dates]])=1,"Pass","Fail")</f>
        <v>Pass</v>
      </c>
      <c r="E319" s="6">
        <f>IF(Benchmark1[[#This Row],[Target Date Check]]="Pass",INDEX(Target1[Target Price],MATCH(Benchmark1[[#This Row],[Benchmark '#1 Dates]],Target1[Target Dates],0)),"-")</f>
        <v>25.68</v>
      </c>
      <c r="F319" s="22">
        <f>IF(Benchmark1[[#This Row],[Target Date Check]]="Pass",INDEX(Target1[Target Return],MATCH(Benchmark1[[#This Row],[Benchmark '#1 Dates]],Target1[Target Dates],0)),"-")</f>
        <v>-1.9665179697860146E-2</v>
      </c>
      <c r="G319" s="1">
        <f>IFERROR(IF(Benchmark1[[#This Row],[Target Date Check]]="Pass",Benchmark1[[#This Row],[Target Return]]-Benchmark1[[#This Row],[Benchmark '#1 Return]],"-"),"-")</f>
        <v>-3.98069216516116E-3</v>
      </c>
      <c r="H319" s="1" t="str">
        <f>IF(COUNTIF(Comp1[Comparable '#1 Dates],Benchmark1[[#This Row],[Benchmark '#1 Dates]])=1,"Pass","Fail")</f>
        <v>Pass</v>
      </c>
      <c r="I319" s="6">
        <f>IF(Benchmark1[[#This Row],[Comparable '#1 Date Check]]="Pass",INDEX(Comp1[Comparable '#1 Price],MATCH(Benchmark1[[#This Row],[Benchmark '#1 Dates]],Comp1[Comparable '#1 Dates],0)),"-")</f>
        <v>15.51</v>
      </c>
      <c r="J319" s="22">
        <f>IF(Benchmark1[[#This Row],[Comparable '#1 Date Check]]="Pass",INDEX(Comp1[Comparable '#1 Return],MATCH(Benchmark1[[#This Row],[Benchmark '#1 Dates]],Comp1[Comparable '#1 Dates],0)),"-")</f>
        <v>-5.2131112243409328E-2</v>
      </c>
      <c r="K319" s="1">
        <f>IFERROR(IF(Benchmark1[[#This Row],[Comparable '#1 Date Check]]="Pass",Benchmark1[[#This Row],[Comparable '#1 Return]]-Benchmark1[[#This Row],[Benchmark '#1 Return]],"-"),"-")</f>
        <v>-3.6446624710710342E-2</v>
      </c>
      <c r="L319" s="1" t="str">
        <f>IF(COUNTIF(Comp2[Comparable '#2 Dates],Benchmark1[[#This Row],[Benchmark '#1 Dates]])=1,"Pass","Fail")</f>
        <v>Pass</v>
      </c>
      <c r="M319" s="6">
        <f>IF(Benchmark1[[#This Row],[Comparable '#2 Date Check]]="Pass",INDEX(Comp2[Comparable '#2 Price],MATCH(Benchmark1[[#This Row],[Benchmark '#1 Dates]],Comp2[Comparable '#2 Dates],0)),"-")</f>
        <v>35.479999999999997</v>
      </c>
      <c r="N319" s="22">
        <f>IF(Benchmark1[[#This Row],[Comparable '#2 Date Check]]="Pass",INDEX(Comp2[Comparable '#2 Return],MATCH(Benchmark1[[#This Row],[Benchmark '#1 Dates]],Comp2[Comparable '#2 Dates],0)),"-")</f>
        <v>-3.8700241247014447E-2</v>
      </c>
      <c r="O319" s="1">
        <f>IFERROR(IF(Benchmark1[[#This Row],[Comparable '#2 Date Check]]="Pass",Benchmark1[[#This Row],[Comparable '#2 Return]]-Benchmark1[[#This Row],[Benchmark '#1 Return]],"-"),"-")</f>
        <v>-2.3015753714315461E-2</v>
      </c>
      <c r="P319" s="1" t="str">
        <f>IF(COUNTIF(Comp3[Comparable '#3 Dates],Benchmark1[[#This Row],[Benchmark '#1 Dates]])=1,"Pass","Fail")</f>
        <v>Pass</v>
      </c>
      <c r="Q319" s="6">
        <f>IF(Benchmark1[[#This Row],[Comparable '#3 Date Check]]="Pass",INDEX(Comp3[Comparable '#3 Price],MATCH(Benchmark1[[#This Row],[Benchmark '#1 Dates]],Comp3[Comparable '#3 Dates],0)),"-")</f>
        <v>132.54</v>
      </c>
      <c r="R319" s="22">
        <f>IF(Benchmark1[[#This Row],[Comparable '#3 Date Check]]="Pass",INDEX(Comp3[Comparable '#3 Return],MATCH(Benchmark1[[#This Row],[Benchmark '#1 Dates]],Comp3[Comparable '#3 Dates],0)),"-")</f>
        <v>-1.0656761265923178E-2</v>
      </c>
      <c r="S319" s="1">
        <f>IFERROR(IF(Benchmark1[[#This Row],[Comparable '#3 Date Check]]="Pass",Benchmark1[[#This Row],[Comparable '#3 Return]]-Benchmark1[[#This Row],[Benchmark '#1 Return]],"-"),"-")</f>
        <v>5.0277262667758078E-3</v>
      </c>
    </row>
    <row r="320" spans="1:19">
      <c r="A320" s="103">
        <v>43747</v>
      </c>
      <c r="B320" s="104">
        <v>2919.4000974809646</v>
      </c>
      <c r="C320" s="4">
        <f t="shared" si="4"/>
        <v>9.0649111345390224E-3</v>
      </c>
      <c r="D320" s="1" t="str">
        <f>IF(COUNTIF(Target1[Target Dates],Benchmark1[[#This Row],[Benchmark '#1 Dates]])=1,"Pass","Fail")</f>
        <v>Pass</v>
      </c>
      <c r="E320" s="6">
        <f>IF(Benchmark1[[#This Row],[Target Date Check]]="Pass",INDEX(Target1[Target Price],MATCH(Benchmark1[[#This Row],[Benchmark '#1 Dates]],Target1[Target Dates],0)),"-")</f>
        <v>25.58</v>
      </c>
      <c r="F320" s="22">
        <f>IF(Benchmark1[[#This Row],[Target Date Check]]="Pass",INDEX(Target1[Target Return],MATCH(Benchmark1[[#This Row],[Benchmark '#1 Dates]],Target1[Target Dates],0)),"-")</f>
        <v>-3.9016826710638777E-3</v>
      </c>
      <c r="G320" s="1">
        <f>IFERROR(IF(Benchmark1[[#This Row],[Target Date Check]]="Pass",Benchmark1[[#This Row],[Target Return]]-Benchmark1[[#This Row],[Benchmark '#1 Return]],"-"),"-")</f>
        <v>-1.2966593805602901E-2</v>
      </c>
      <c r="H320" s="1" t="str">
        <f>IF(COUNTIF(Comp1[Comparable '#1 Dates],Benchmark1[[#This Row],[Benchmark '#1 Dates]])=1,"Pass","Fail")</f>
        <v>Pass</v>
      </c>
      <c r="I320" s="6">
        <f>IF(Benchmark1[[#This Row],[Comparable '#1 Date Check]]="Pass",INDEX(Comp1[Comparable '#1 Price],MATCH(Benchmark1[[#This Row],[Benchmark '#1 Dates]],Comp1[Comparable '#1 Dates],0)),"-")</f>
        <v>15.295</v>
      </c>
      <c r="J320" s="22">
        <f>IF(Benchmark1[[#This Row],[Comparable '#1 Date Check]]="Pass",INDEX(Comp1[Comparable '#1 Return],MATCH(Benchmark1[[#This Row],[Benchmark '#1 Dates]],Comp1[Comparable '#1 Dates],0)),"-")</f>
        <v>-1.395899958558067E-2</v>
      </c>
      <c r="K320" s="1">
        <f>IFERROR(IF(Benchmark1[[#This Row],[Comparable '#1 Date Check]]="Pass",Benchmark1[[#This Row],[Comparable '#1 Return]]-Benchmark1[[#This Row],[Benchmark '#1 Return]],"-"),"-")</f>
        <v>-2.3023910720119695E-2</v>
      </c>
      <c r="L320" s="1" t="str">
        <f>IF(COUNTIF(Comp2[Comparable '#2 Dates],Benchmark1[[#This Row],[Benchmark '#1 Dates]])=1,"Pass","Fail")</f>
        <v>Pass</v>
      </c>
      <c r="M320" s="6">
        <f>IF(Benchmark1[[#This Row],[Comparable '#2 Date Check]]="Pass",INDEX(Comp2[Comparable '#2 Price],MATCH(Benchmark1[[#This Row],[Benchmark '#1 Dates]],Comp2[Comparable '#2 Dates],0)),"-")</f>
        <v>35.67</v>
      </c>
      <c r="N320" s="22">
        <f>IF(Benchmark1[[#This Row],[Comparable '#2 Date Check]]="Pass",INDEX(Comp2[Comparable '#2 Return],MATCH(Benchmark1[[#This Row],[Benchmark '#1 Dates]],Comp2[Comparable '#2 Dates],0)),"-")</f>
        <v>5.3408419294215239E-3</v>
      </c>
      <c r="O320" s="1">
        <f>IFERROR(IF(Benchmark1[[#This Row],[Comparable '#2 Date Check]]="Pass",Benchmark1[[#This Row],[Comparable '#2 Return]]-Benchmark1[[#This Row],[Benchmark '#1 Return]],"-"),"-")</f>
        <v>-3.7240692051174985E-3</v>
      </c>
      <c r="P320" s="1" t="str">
        <f>IF(COUNTIF(Comp3[Comparable '#3 Dates],Benchmark1[[#This Row],[Benchmark '#1 Dates]])=1,"Pass","Fail")</f>
        <v>Pass</v>
      </c>
      <c r="Q320" s="6">
        <f>IF(Benchmark1[[#This Row],[Comparable '#3 Date Check]]="Pass",INDEX(Comp3[Comparable '#3 Price],MATCH(Benchmark1[[#This Row],[Benchmark '#1 Dates]],Comp3[Comparable '#3 Dates],0)),"-")</f>
        <v>135.69999999999999</v>
      </c>
      <c r="R320" s="22">
        <f>IF(Benchmark1[[#This Row],[Comparable '#3 Date Check]]="Pass",INDEX(Comp3[Comparable '#3 Return],MATCH(Benchmark1[[#This Row],[Benchmark '#1 Dates]],Comp3[Comparable '#3 Dates],0)),"-")</f>
        <v>2.3562080180742569E-2</v>
      </c>
      <c r="S320" s="1">
        <f>IFERROR(IF(Benchmark1[[#This Row],[Comparable '#3 Date Check]]="Pass",Benchmark1[[#This Row],[Comparable '#3 Return]]-Benchmark1[[#This Row],[Benchmark '#1 Return]],"-"),"-")</f>
        <v>1.4497169046203547E-2</v>
      </c>
    </row>
    <row r="321" spans="1:19">
      <c r="A321" s="103">
        <v>43748</v>
      </c>
      <c r="B321" s="104">
        <v>2938.1323548147861</v>
      </c>
      <c r="C321" s="4">
        <f t="shared" si="4"/>
        <v>6.3959769221644041E-3</v>
      </c>
      <c r="D321" s="1" t="str">
        <f>IF(COUNTIF(Target1[Target Dates],Benchmark1[[#This Row],[Benchmark '#1 Dates]])=1,"Pass","Fail")</f>
        <v>Pass</v>
      </c>
      <c r="E321" s="6">
        <f>IF(Benchmark1[[#This Row],[Target Date Check]]="Pass",INDEX(Target1[Target Price],MATCH(Benchmark1[[#This Row],[Benchmark '#1 Dates]],Target1[Target Dates],0)),"-")</f>
        <v>25.3</v>
      </c>
      <c r="F321" s="22">
        <f>IF(Benchmark1[[#This Row],[Target Date Check]]="Pass",INDEX(Target1[Target Return],MATCH(Benchmark1[[#This Row],[Benchmark '#1 Dates]],Target1[Target Dates],0)),"-")</f>
        <v>-1.1006400417221968E-2</v>
      </c>
      <c r="G321" s="1">
        <f>IFERROR(IF(Benchmark1[[#This Row],[Target Date Check]]="Pass",Benchmark1[[#This Row],[Target Return]]-Benchmark1[[#This Row],[Benchmark '#1 Return]],"-"),"-")</f>
        <v>-1.7402377339386373E-2</v>
      </c>
      <c r="H321" s="1" t="str">
        <f>IF(COUNTIF(Comp1[Comparable '#1 Dates],Benchmark1[[#This Row],[Benchmark '#1 Dates]])=1,"Pass","Fail")</f>
        <v>Pass</v>
      </c>
      <c r="I321" s="6">
        <f>IF(Benchmark1[[#This Row],[Comparable '#1 Date Check]]="Pass",INDEX(Comp1[Comparable '#1 Price],MATCH(Benchmark1[[#This Row],[Benchmark '#1 Dates]],Comp1[Comparable '#1 Dates],0)),"-")</f>
        <v>15.25</v>
      </c>
      <c r="J321" s="22">
        <f>IF(Benchmark1[[#This Row],[Comparable '#1 Date Check]]="Pass",INDEX(Comp1[Comparable '#1 Return],MATCH(Benchmark1[[#This Row],[Benchmark '#1 Dates]],Comp1[Comparable '#1 Dates],0)),"-")</f>
        <v>-2.9464745494461072E-3</v>
      </c>
      <c r="K321" s="1">
        <f>IFERROR(IF(Benchmark1[[#This Row],[Comparable '#1 Date Check]]="Pass",Benchmark1[[#This Row],[Comparable '#1 Return]]-Benchmark1[[#This Row],[Benchmark '#1 Return]],"-"),"-")</f>
        <v>-9.3424514716105109E-3</v>
      </c>
      <c r="L321" s="1" t="str">
        <f>IF(COUNTIF(Comp2[Comparable '#2 Dates],Benchmark1[[#This Row],[Benchmark '#1 Dates]])=1,"Pass","Fail")</f>
        <v>Pass</v>
      </c>
      <c r="M321" s="6">
        <f>IF(Benchmark1[[#This Row],[Comparable '#2 Date Check]]="Pass",INDEX(Comp2[Comparable '#2 Price],MATCH(Benchmark1[[#This Row],[Benchmark '#1 Dates]],Comp2[Comparable '#2 Dates],0)),"-")</f>
        <v>35.42</v>
      </c>
      <c r="N321" s="22">
        <f>IF(Benchmark1[[#This Row],[Comparable '#2 Date Check]]="Pass",INDEX(Comp2[Comparable '#2 Return],MATCH(Benchmark1[[#This Row],[Benchmark '#1 Dates]],Comp2[Comparable '#2 Dates],0)),"-")</f>
        <v>-7.0333670161127002E-3</v>
      </c>
      <c r="O321" s="1">
        <f>IFERROR(IF(Benchmark1[[#This Row],[Comparable '#2 Date Check]]="Pass",Benchmark1[[#This Row],[Comparable '#2 Return]]-Benchmark1[[#This Row],[Benchmark '#1 Return]],"-"),"-")</f>
        <v>-1.3429343938277105E-2</v>
      </c>
      <c r="P321" s="1" t="str">
        <f>IF(COUNTIF(Comp3[Comparable '#3 Dates],Benchmark1[[#This Row],[Benchmark '#1 Dates]])=1,"Pass","Fail")</f>
        <v>Pass</v>
      </c>
      <c r="Q321" s="6">
        <f>IF(Benchmark1[[#This Row],[Comparable '#3 Date Check]]="Pass",INDEX(Comp3[Comparable '#3 Price],MATCH(Benchmark1[[#This Row],[Benchmark '#1 Dates]],Comp3[Comparable '#3 Dates],0)),"-")</f>
        <v>136.19</v>
      </c>
      <c r="R321" s="22">
        <f>IF(Benchmark1[[#This Row],[Comparable '#3 Date Check]]="Pass",INDEX(Comp3[Comparable '#3 Return],MATCH(Benchmark1[[#This Row],[Benchmark '#1 Dates]],Comp3[Comparable '#3 Dates],0)),"-")</f>
        <v>3.6044027400426739E-3</v>
      </c>
      <c r="S321" s="1">
        <f>IFERROR(IF(Benchmark1[[#This Row],[Comparable '#3 Date Check]]="Pass",Benchmark1[[#This Row],[Comparable '#3 Return]]-Benchmark1[[#This Row],[Benchmark '#1 Return]],"-"),"-")</f>
        <v>-2.7915741821217302E-3</v>
      </c>
    </row>
    <row r="322" spans="1:19">
      <c r="A322" s="103">
        <v>43749</v>
      </c>
      <c r="B322" s="104">
        <v>2970.2695448855425</v>
      </c>
      <c r="C322" s="4">
        <f t="shared" ref="C322:C385" si="5">IFERROR(IF(B322="","-",LN(B322/B321)),"-")</f>
        <v>1.0878578523005332E-2</v>
      </c>
      <c r="D322" s="1" t="str">
        <f>IF(COUNTIF(Target1[Target Dates],Benchmark1[[#This Row],[Benchmark '#1 Dates]])=1,"Pass","Fail")</f>
        <v>Pass</v>
      </c>
      <c r="E322" s="6">
        <f>IF(Benchmark1[[#This Row],[Target Date Check]]="Pass",INDEX(Target1[Target Price],MATCH(Benchmark1[[#This Row],[Benchmark '#1 Dates]],Target1[Target Dates],0)),"-")</f>
        <v>25.7</v>
      </c>
      <c r="F322" s="22">
        <f>IF(Benchmark1[[#This Row],[Target Date Check]]="Pass",INDEX(Target1[Target Return],MATCH(Benchmark1[[#This Row],[Benchmark '#1 Dates]],Target1[Target Dates],0)),"-")</f>
        <v>1.5686596167699473E-2</v>
      </c>
      <c r="G322" s="1">
        <f>IFERROR(IF(Benchmark1[[#This Row],[Target Date Check]]="Pass",Benchmark1[[#This Row],[Target Return]]-Benchmark1[[#This Row],[Benchmark '#1 Return]],"-"),"-")</f>
        <v>4.8080176446941413E-3</v>
      </c>
      <c r="H322" s="1" t="str">
        <f>IF(COUNTIF(Comp1[Comparable '#1 Dates],Benchmark1[[#This Row],[Benchmark '#1 Dates]])=1,"Pass","Fail")</f>
        <v>Pass</v>
      </c>
      <c r="I322" s="6">
        <f>IF(Benchmark1[[#This Row],[Comparable '#1 Date Check]]="Pass",INDEX(Comp1[Comparable '#1 Price],MATCH(Benchmark1[[#This Row],[Benchmark '#1 Dates]],Comp1[Comparable '#1 Dates],0)),"-")</f>
        <v>15.615</v>
      </c>
      <c r="J322" s="22">
        <f>IF(Benchmark1[[#This Row],[Comparable '#1 Date Check]]="Pass",INDEX(Comp1[Comparable '#1 Return],MATCH(Benchmark1[[#This Row],[Benchmark '#1 Dates]],Comp1[Comparable '#1 Dates],0)),"-")</f>
        <v>2.3652487681621325E-2</v>
      </c>
      <c r="K322" s="1">
        <f>IFERROR(IF(Benchmark1[[#This Row],[Comparable '#1 Date Check]]="Pass",Benchmark1[[#This Row],[Comparable '#1 Return]]-Benchmark1[[#This Row],[Benchmark '#1 Return]],"-"),"-")</f>
        <v>1.2773909158615994E-2</v>
      </c>
      <c r="L322" s="1" t="str">
        <f>IF(COUNTIF(Comp2[Comparable '#2 Dates],Benchmark1[[#This Row],[Benchmark '#1 Dates]])=1,"Pass","Fail")</f>
        <v>Pass</v>
      </c>
      <c r="M322" s="6">
        <f>IF(Benchmark1[[#This Row],[Comparable '#2 Date Check]]="Pass",INDEX(Comp2[Comparable '#2 Price],MATCH(Benchmark1[[#This Row],[Benchmark '#1 Dates]],Comp2[Comparable '#2 Dates],0)),"-")</f>
        <v>35.979999999999997</v>
      </c>
      <c r="N322" s="22">
        <f>IF(Benchmark1[[#This Row],[Comparable '#2 Date Check]]="Pass",INDEX(Comp2[Comparable '#2 Return],MATCH(Benchmark1[[#This Row],[Benchmark '#1 Dates]],Comp2[Comparable '#2 Dates],0)),"-")</f>
        <v>1.5686596167699473E-2</v>
      </c>
      <c r="O322" s="1">
        <f>IFERROR(IF(Benchmark1[[#This Row],[Comparable '#2 Date Check]]="Pass",Benchmark1[[#This Row],[Comparable '#2 Return]]-Benchmark1[[#This Row],[Benchmark '#1 Return]],"-"),"-")</f>
        <v>4.8080176446941413E-3</v>
      </c>
      <c r="P322" s="1" t="str">
        <f>IF(COUNTIF(Comp3[Comparable '#3 Dates],Benchmark1[[#This Row],[Benchmark '#1 Dates]])=1,"Pass","Fail")</f>
        <v>Pass</v>
      </c>
      <c r="Q322" s="6">
        <f>IF(Benchmark1[[#This Row],[Comparable '#3 Date Check]]="Pass",INDEX(Comp3[Comparable '#3 Price],MATCH(Benchmark1[[#This Row],[Benchmark '#1 Dates]],Comp3[Comparable '#3 Dates],0)),"-")</f>
        <v>139.16999999999999</v>
      </c>
      <c r="R322" s="22">
        <f>IF(Benchmark1[[#This Row],[Comparable '#3 Date Check]]="Pass",INDEX(Comp3[Comparable '#3 Return],MATCH(Benchmark1[[#This Row],[Benchmark '#1 Dates]],Comp3[Comparable '#3 Dates],0)),"-")</f>
        <v>2.1645237850895904E-2</v>
      </c>
      <c r="S322" s="1">
        <f>IFERROR(IF(Benchmark1[[#This Row],[Comparable '#3 Date Check]]="Pass",Benchmark1[[#This Row],[Comparable '#3 Return]]-Benchmark1[[#This Row],[Benchmark '#1 Return]],"-"),"-")</f>
        <v>1.0766659327890572E-2</v>
      </c>
    </row>
    <row r="323" spans="1:19">
      <c r="A323" s="103">
        <v>43752</v>
      </c>
      <c r="B323" s="104">
        <v>2966.1504555803626</v>
      </c>
      <c r="C323" s="4">
        <f t="shared" si="5"/>
        <v>-1.3877353576414958E-3</v>
      </c>
      <c r="D323" s="1" t="str">
        <f>IF(COUNTIF(Target1[Target Dates],Benchmark1[[#This Row],[Benchmark '#1 Dates]])=1,"Pass","Fail")</f>
        <v>Pass</v>
      </c>
      <c r="E323" s="6">
        <f>IF(Benchmark1[[#This Row],[Target Date Check]]="Pass",INDEX(Target1[Target Price],MATCH(Benchmark1[[#This Row],[Benchmark '#1 Dates]],Target1[Target Dates],0)),"-")</f>
        <v>25.56</v>
      </c>
      <c r="F323" s="22">
        <f>IF(Benchmark1[[#This Row],[Target Date Check]]="Pass",INDEX(Target1[Target Return],MATCH(Benchmark1[[#This Row],[Benchmark '#1 Dates]],Target1[Target Dates],0)),"-")</f>
        <v>-5.4623623918400397E-3</v>
      </c>
      <c r="G323" s="1">
        <f>IFERROR(IF(Benchmark1[[#This Row],[Target Date Check]]="Pass",Benchmark1[[#This Row],[Target Return]]-Benchmark1[[#This Row],[Benchmark '#1 Return]],"-"),"-")</f>
        <v>-4.0746270341985441E-3</v>
      </c>
      <c r="H323" s="1" t="str">
        <f>IF(COUNTIF(Comp1[Comparable '#1 Dates],Benchmark1[[#This Row],[Benchmark '#1 Dates]])=1,"Pass","Fail")</f>
        <v>Pass</v>
      </c>
      <c r="I323" s="6">
        <f>IF(Benchmark1[[#This Row],[Comparable '#1 Date Check]]="Pass",INDEX(Comp1[Comparable '#1 Price],MATCH(Benchmark1[[#This Row],[Benchmark '#1 Dates]],Comp1[Comparable '#1 Dates],0)),"-")</f>
        <v>15.45</v>
      </c>
      <c r="J323" s="22">
        <f>IF(Benchmark1[[#This Row],[Comparable '#1 Date Check]]="Pass",INDEX(Comp1[Comparable '#1 Return],MATCH(Benchmark1[[#This Row],[Benchmark '#1 Dates]],Comp1[Comparable '#1 Dates],0)),"-")</f>
        <v>-1.0622987391287466E-2</v>
      </c>
      <c r="K323" s="1">
        <f>IFERROR(IF(Benchmark1[[#This Row],[Comparable '#1 Date Check]]="Pass",Benchmark1[[#This Row],[Comparable '#1 Return]]-Benchmark1[[#This Row],[Benchmark '#1 Return]],"-"),"-")</f>
        <v>-9.2352520336459708E-3</v>
      </c>
      <c r="L323" s="1" t="str">
        <f>IF(COUNTIF(Comp2[Comparable '#2 Dates],Benchmark1[[#This Row],[Benchmark '#1 Dates]])=1,"Pass","Fail")</f>
        <v>Pass</v>
      </c>
      <c r="M323" s="6">
        <f>IF(Benchmark1[[#This Row],[Comparable '#2 Date Check]]="Pass",INDEX(Comp2[Comparable '#2 Price],MATCH(Benchmark1[[#This Row],[Benchmark '#1 Dates]],Comp2[Comparable '#2 Dates],0)),"-")</f>
        <v>35.840000000000003</v>
      </c>
      <c r="N323" s="22">
        <f>IF(Benchmark1[[#This Row],[Comparable '#2 Date Check]]="Pass",INDEX(Comp2[Comparable '#2 Return],MATCH(Benchmark1[[#This Row],[Benchmark '#1 Dates]],Comp2[Comparable '#2 Dates],0)),"-")</f>
        <v>-3.8986404156570861E-3</v>
      </c>
      <c r="O323" s="1">
        <f>IFERROR(IF(Benchmark1[[#This Row],[Comparable '#2 Date Check]]="Pass",Benchmark1[[#This Row],[Comparable '#2 Return]]-Benchmark1[[#This Row],[Benchmark '#1 Return]],"-"),"-")</f>
        <v>-2.5109050580155905E-3</v>
      </c>
      <c r="P323" s="1" t="str">
        <f>IF(COUNTIF(Comp3[Comparable '#3 Dates],Benchmark1[[#This Row],[Benchmark '#1 Dates]])=1,"Pass","Fail")</f>
        <v>Pass</v>
      </c>
      <c r="Q323" s="6">
        <f>IF(Benchmark1[[#This Row],[Comparable '#3 Date Check]]="Pass",INDEX(Comp3[Comparable '#3 Price],MATCH(Benchmark1[[#This Row],[Benchmark '#1 Dates]],Comp3[Comparable '#3 Dates],0)),"-")</f>
        <v>135.97</v>
      </c>
      <c r="R323" s="22">
        <f>IF(Benchmark1[[#This Row],[Comparable '#3 Date Check]]="Pass",INDEX(Comp3[Comparable '#3 Return],MATCH(Benchmark1[[#This Row],[Benchmark '#1 Dates]],Comp3[Comparable '#3 Dates],0)),"-")</f>
        <v>-2.3261934264167235E-2</v>
      </c>
      <c r="S323" s="1">
        <f>IFERROR(IF(Benchmark1[[#This Row],[Comparable '#3 Date Check]]="Pass",Benchmark1[[#This Row],[Comparable '#3 Return]]-Benchmark1[[#This Row],[Benchmark '#1 Return]],"-"),"-")</f>
        <v>-2.1874198906525737E-2</v>
      </c>
    </row>
    <row r="324" spans="1:19">
      <c r="A324" s="103">
        <v>43753</v>
      </c>
      <c r="B324" s="104">
        <v>2995.6831330241921</v>
      </c>
      <c r="C324" s="4">
        <f t="shared" si="5"/>
        <v>9.9073275259546813E-3</v>
      </c>
      <c r="D324" s="1" t="str">
        <f>IF(COUNTIF(Target1[Target Dates],Benchmark1[[#This Row],[Benchmark '#1 Dates]])=1,"Pass","Fail")</f>
        <v>Pass</v>
      </c>
      <c r="E324" s="6">
        <f>IF(Benchmark1[[#This Row],[Target Date Check]]="Pass",INDEX(Target1[Target Price],MATCH(Benchmark1[[#This Row],[Benchmark '#1 Dates]],Target1[Target Dates],0)),"-")</f>
        <v>25.18</v>
      </c>
      <c r="F324" s="22">
        <f>IF(Benchmark1[[#This Row],[Target Date Check]]="Pass",INDEX(Target1[Target Return],MATCH(Benchmark1[[#This Row],[Benchmark '#1 Dates]],Target1[Target Dates],0)),"-")</f>
        <v>-1.4978600893132939E-2</v>
      </c>
      <c r="G324" s="1">
        <f>IFERROR(IF(Benchmark1[[#This Row],[Target Date Check]]="Pass",Benchmark1[[#This Row],[Target Return]]-Benchmark1[[#This Row],[Benchmark '#1 Return]],"-"),"-")</f>
        <v>-2.488592841908762E-2</v>
      </c>
      <c r="H324" s="1" t="str">
        <f>IF(COUNTIF(Comp1[Comparable '#1 Dates],Benchmark1[[#This Row],[Benchmark '#1 Dates]])=1,"Pass","Fail")</f>
        <v>Pass</v>
      </c>
      <c r="I324" s="6">
        <f>IF(Benchmark1[[#This Row],[Comparable '#1 Date Check]]="Pass",INDEX(Comp1[Comparable '#1 Price],MATCH(Benchmark1[[#This Row],[Benchmark '#1 Dates]],Comp1[Comparable '#1 Dates],0)),"-")</f>
        <v>15.53</v>
      </c>
      <c r="J324" s="22">
        <f>IF(Benchmark1[[#This Row],[Comparable '#1 Date Check]]="Pass",INDEX(Comp1[Comparable '#1 Return],MATCH(Benchmark1[[#This Row],[Benchmark '#1 Dates]],Comp1[Comparable '#1 Dates],0)),"-")</f>
        <v>5.1646338168411712E-3</v>
      </c>
      <c r="K324" s="1">
        <f>IFERROR(IF(Benchmark1[[#This Row],[Comparable '#1 Date Check]]="Pass",Benchmark1[[#This Row],[Comparable '#1 Return]]-Benchmark1[[#This Row],[Benchmark '#1 Return]],"-"),"-")</f>
        <v>-4.7426937091135102E-3</v>
      </c>
      <c r="L324" s="1" t="str">
        <f>IF(COUNTIF(Comp2[Comparable '#2 Dates],Benchmark1[[#This Row],[Benchmark '#1 Dates]])=1,"Pass","Fail")</f>
        <v>Pass</v>
      </c>
      <c r="M324" s="6">
        <f>IF(Benchmark1[[#This Row],[Comparable '#2 Date Check]]="Pass",INDEX(Comp2[Comparable '#2 Price],MATCH(Benchmark1[[#This Row],[Benchmark '#1 Dates]],Comp2[Comparable '#2 Dates],0)),"-")</f>
        <v>36.69</v>
      </c>
      <c r="N324" s="22">
        <f>IF(Benchmark1[[#This Row],[Comparable '#2 Date Check]]="Pass",INDEX(Comp2[Comparable '#2 Return],MATCH(Benchmark1[[#This Row],[Benchmark '#1 Dates]],Comp2[Comparable '#2 Dates],0)),"-")</f>
        <v>2.3439650260460895E-2</v>
      </c>
      <c r="O324" s="1">
        <f>IFERROR(IF(Benchmark1[[#This Row],[Comparable '#2 Date Check]]="Pass",Benchmark1[[#This Row],[Comparable '#2 Return]]-Benchmark1[[#This Row],[Benchmark '#1 Return]],"-"),"-")</f>
        <v>1.3532322734506214E-2</v>
      </c>
      <c r="P324" s="1" t="str">
        <f>IF(COUNTIF(Comp3[Comparable '#3 Dates],Benchmark1[[#This Row],[Benchmark '#1 Dates]])=1,"Pass","Fail")</f>
        <v>Pass</v>
      </c>
      <c r="Q324" s="6">
        <f>IF(Benchmark1[[#This Row],[Comparable '#3 Date Check]]="Pass",INDEX(Comp3[Comparable '#3 Price],MATCH(Benchmark1[[#This Row],[Benchmark '#1 Dates]],Comp3[Comparable '#3 Dates],0)),"-")</f>
        <v>134.19</v>
      </c>
      <c r="R324" s="22">
        <f>IF(Benchmark1[[#This Row],[Comparable '#3 Date Check]]="Pass",INDEX(Comp3[Comparable '#3 Return],MATCH(Benchmark1[[#This Row],[Benchmark '#1 Dates]],Comp3[Comparable '#3 Dates],0)),"-")</f>
        <v>-1.3177567054728197E-2</v>
      </c>
      <c r="S324" s="1">
        <f>IFERROR(IF(Benchmark1[[#This Row],[Comparable '#3 Date Check]]="Pass",Benchmark1[[#This Row],[Comparable '#3 Return]]-Benchmark1[[#This Row],[Benchmark '#1 Return]],"-"),"-")</f>
        <v>-2.3084894580682878E-2</v>
      </c>
    </row>
    <row r="325" spans="1:19">
      <c r="A325" s="103">
        <v>43754</v>
      </c>
      <c r="B325" s="104">
        <v>2989.693781043632</v>
      </c>
      <c r="C325" s="4">
        <f t="shared" si="5"/>
        <v>-2.0013289273688051E-3</v>
      </c>
      <c r="D325" s="1" t="str">
        <f>IF(COUNTIF(Target1[Target Dates],Benchmark1[[#This Row],[Benchmark '#1 Dates]])=1,"Pass","Fail")</f>
        <v>Pass</v>
      </c>
      <c r="E325" s="6">
        <f>IF(Benchmark1[[#This Row],[Target Date Check]]="Pass",INDEX(Target1[Target Price],MATCH(Benchmark1[[#This Row],[Benchmark '#1 Dates]],Target1[Target Dates],0)),"-")</f>
        <v>25.07</v>
      </c>
      <c r="F325" s="22">
        <f>IF(Benchmark1[[#This Row],[Target Date Check]]="Pass",INDEX(Target1[Target Return],MATCH(Benchmark1[[#This Row],[Benchmark '#1 Dates]],Target1[Target Dates],0)),"-")</f>
        <v>-4.3781164459990238E-3</v>
      </c>
      <c r="G325" s="1">
        <f>IFERROR(IF(Benchmark1[[#This Row],[Target Date Check]]="Pass",Benchmark1[[#This Row],[Target Return]]-Benchmark1[[#This Row],[Benchmark '#1 Return]],"-"),"-")</f>
        <v>-2.3767875186302186E-3</v>
      </c>
      <c r="H325" s="1" t="str">
        <f>IF(COUNTIF(Comp1[Comparable '#1 Dates],Benchmark1[[#This Row],[Benchmark '#1 Dates]])=1,"Pass","Fail")</f>
        <v>Pass</v>
      </c>
      <c r="I325" s="6">
        <f>IF(Benchmark1[[#This Row],[Comparable '#1 Date Check]]="Pass",INDEX(Comp1[Comparable '#1 Price],MATCH(Benchmark1[[#This Row],[Benchmark '#1 Dates]],Comp1[Comparable '#1 Dates],0)),"-")</f>
        <v>15.59</v>
      </c>
      <c r="J325" s="22">
        <f>IF(Benchmark1[[#This Row],[Comparable '#1 Date Check]]="Pass",INDEX(Comp1[Comparable '#1 Return],MATCH(Benchmark1[[#This Row],[Benchmark '#1 Dates]],Comp1[Comparable '#1 Dates],0)),"-")</f>
        <v>3.8560459090895166E-3</v>
      </c>
      <c r="K325" s="1">
        <f>IFERROR(IF(Benchmark1[[#This Row],[Comparable '#1 Date Check]]="Pass",Benchmark1[[#This Row],[Comparable '#1 Return]]-Benchmark1[[#This Row],[Benchmark '#1 Return]],"-"),"-")</f>
        <v>5.8573748364583213E-3</v>
      </c>
      <c r="L325" s="1" t="str">
        <f>IF(COUNTIF(Comp2[Comparable '#2 Dates],Benchmark1[[#This Row],[Benchmark '#1 Dates]])=1,"Pass","Fail")</f>
        <v>Pass</v>
      </c>
      <c r="M325" s="6">
        <f>IF(Benchmark1[[#This Row],[Comparable '#2 Date Check]]="Pass",INDEX(Comp2[Comparable '#2 Price],MATCH(Benchmark1[[#This Row],[Benchmark '#1 Dates]],Comp2[Comparable '#2 Dates],0)),"-")</f>
        <v>36.5</v>
      </c>
      <c r="N325" s="22">
        <f>IF(Benchmark1[[#This Row],[Comparable '#2 Date Check]]="Pass",INDEX(Comp2[Comparable '#2 Return],MATCH(Benchmark1[[#This Row],[Benchmark '#1 Dates]],Comp2[Comparable '#2 Dates],0)),"-")</f>
        <v>-5.191977778744813E-3</v>
      </c>
      <c r="O325" s="1">
        <f>IFERROR(IF(Benchmark1[[#This Row],[Comparable '#2 Date Check]]="Pass",Benchmark1[[#This Row],[Comparable '#2 Return]]-Benchmark1[[#This Row],[Benchmark '#1 Return]],"-"),"-")</f>
        <v>-3.1906488513760078E-3</v>
      </c>
      <c r="P325" s="1" t="str">
        <f>IF(COUNTIF(Comp3[Comparable '#3 Dates],Benchmark1[[#This Row],[Benchmark '#1 Dates]])=1,"Pass","Fail")</f>
        <v>Pass</v>
      </c>
      <c r="Q325" s="6">
        <f>IF(Benchmark1[[#This Row],[Comparable '#3 Date Check]]="Pass",INDEX(Comp3[Comparable '#3 Price],MATCH(Benchmark1[[#This Row],[Benchmark '#1 Dates]],Comp3[Comparable '#3 Dates],0)),"-")</f>
        <v>132.31</v>
      </c>
      <c r="R325" s="22">
        <f>IF(Benchmark1[[#This Row],[Comparable '#3 Date Check]]="Pass",INDEX(Comp3[Comparable '#3 Return],MATCH(Benchmark1[[#This Row],[Benchmark '#1 Dates]],Comp3[Comparable '#3 Dates],0)),"-")</f>
        <v>-1.4109052058546732E-2</v>
      </c>
      <c r="S325" s="1">
        <f>IFERROR(IF(Benchmark1[[#This Row],[Comparable '#3 Date Check]]="Pass",Benchmark1[[#This Row],[Comparable '#3 Return]]-Benchmark1[[#This Row],[Benchmark '#1 Return]],"-"),"-")</f>
        <v>-1.2107723131177927E-2</v>
      </c>
    </row>
    <row r="326" spans="1:19">
      <c r="A326" s="103">
        <v>43755</v>
      </c>
      <c r="B326" s="104">
        <v>2997.9528862060724</v>
      </c>
      <c r="C326" s="4">
        <f t="shared" si="5"/>
        <v>2.7587166910231428E-3</v>
      </c>
      <c r="D326" s="1" t="str">
        <f>IF(COUNTIF(Target1[Target Dates],Benchmark1[[#This Row],[Benchmark '#1 Dates]])=1,"Pass","Fail")</f>
        <v>Pass</v>
      </c>
      <c r="E326" s="6">
        <f>IF(Benchmark1[[#This Row],[Target Date Check]]="Pass",INDEX(Target1[Target Price],MATCH(Benchmark1[[#This Row],[Benchmark '#1 Dates]],Target1[Target Dates],0)),"-")</f>
        <v>25.08</v>
      </c>
      <c r="F326" s="22">
        <f>IF(Benchmark1[[#This Row],[Target Date Check]]="Pass",INDEX(Target1[Target Return],MATCH(Benchmark1[[#This Row],[Benchmark '#1 Dates]],Target1[Target Dates],0)),"-")</f>
        <v>3.9880359451788212E-4</v>
      </c>
      <c r="G326" s="1">
        <f>IFERROR(IF(Benchmark1[[#This Row],[Target Date Check]]="Pass",Benchmark1[[#This Row],[Target Return]]-Benchmark1[[#This Row],[Benchmark '#1 Return]],"-"),"-")</f>
        <v>-2.3599130965052608E-3</v>
      </c>
      <c r="H326" s="1" t="str">
        <f>IF(COUNTIF(Comp1[Comparable '#1 Dates],Benchmark1[[#This Row],[Benchmark '#1 Dates]])=1,"Pass","Fail")</f>
        <v>Pass</v>
      </c>
      <c r="I326" s="6">
        <f>IF(Benchmark1[[#This Row],[Comparable '#1 Date Check]]="Pass",INDEX(Comp1[Comparable '#1 Price],MATCH(Benchmark1[[#This Row],[Benchmark '#1 Dates]],Comp1[Comparable '#1 Dates],0)),"-")</f>
        <v>15.71</v>
      </c>
      <c r="J326" s="22">
        <f>IF(Benchmark1[[#This Row],[Comparable '#1 Date Check]]="Pass",INDEX(Comp1[Comparable '#1 Return],MATCH(Benchmark1[[#This Row],[Benchmark '#1 Dates]],Comp1[Comparable '#1 Dates],0)),"-")</f>
        <v>7.6677691978445962E-3</v>
      </c>
      <c r="K326" s="1">
        <f>IFERROR(IF(Benchmark1[[#This Row],[Comparable '#1 Date Check]]="Pass",Benchmark1[[#This Row],[Comparable '#1 Return]]-Benchmark1[[#This Row],[Benchmark '#1 Return]],"-"),"-")</f>
        <v>4.9090525068214534E-3</v>
      </c>
      <c r="L326" s="1" t="str">
        <f>IF(COUNTIF(Comp2[Comparable '#2 Dates],Benchmark1[[#This Row],[Benchmark '#1 Dates]])=1,"Pass","Fail")</f>
        <v>Pass</v>
      </c>
      <c r="M326" s="6">
        <f>IF(Benchmark1[[#This Row],[Comparable '#2 Date Check]]="Pass",INDEX(Comp2[Comparable '#2 Price],MATCH(Benchmark1[[#This Row],[Benchmark '#1 Dates]],Comp2[Comparable '#2 Dates],0)),"-")</f>
        <v>36.29</v>
      </c>
      <c r="N326" s="22">
        <f>IF(Benchmark1[[#This Row],[Comparable '#2 Date Check]]="Pass",INDEX(Comp2[Comparable '#2 Return],MATCH(Benchmark1[[#This Row],[Benchmark '#1 Dates]],Comp2[Comparable '#2 Dates],0)),"-")</f>
        <v>-5.7700393634668645E-3</v>
      </c>
      <c r="O326" s="1">
        <f>IFERROR(IF(Benchmark1[[#This Row],[Comparable '#2 Date Check]]="Pass",Benchmark1[[#This Row],[Comparable '#2 Return]]-Benchmark1[[#This Row],[Benchmark '#1 Return]],"-"),"-")</f>
        <v>-8.5287560544900082E-3</v>
      </c>
      <c r="P326" s="1" t="str">
        <f>IF(COUNTIF(Comp3[Comparable '#3 Dates],Benchmark1[[#This Row],[Benchmark '#1 Dates]])=1,"Pass","Fail")</f>
        <v>Pass</v>
      </c>
      <c r="Q326" s="6">
        <f>IF(Benchmark1[[#This Row],[Comparable '#3 Date Check]]="Pass",INDEX(Comp3[Comparable '#3 Price],MATCH(Benchmark1[[#This Row],[Benchmark '#1 Dates]],Comp3[Comparable '#3 Dates],0)),"-")</f>
        <v>132.28</v>
      </c>
      <c r="R326" s="22">
        <f>IF(Benchmark1[[#This Row],[Comparable '#3 Date Check]]="Pass",INDEX(Comp3[Comparable '#3 Return],MATCH(Benchmark1[[#This Row],[Benchmark '#1 Dates]],Comp3[Comparable '#3 Dates],0)),"-")</f>
        <v>-2.2676594072755976E-4</v>
      </c>
      <c r="S326" s="1">
        <f>IFERROR(IF(Benchmark1[[#This Row],[Comparable '#3 Date Check]]="Pass",Benchmark1[[#This Row],[Comparable '#3 Return]]-Benchmark1[[#This Row],[Benchmark '#1 Return]],"-"),"-")</f>
        <v>-2.9854826317507028E-3</v>
      </c>
    </row>
    <row r="327" spans="1:19">
      <c r="A327" s="103">
        <v>43756</v>
      </c>
      <c r="B327" s="104">
        <v>2986.2034836123844</v>
      </c>
      <c r="C327" s="4">
        <f t="shared" si="5"/>
        <v>-3.926841802132831E-3</v>
      </c>
      <c r="D327" s="1" t="str">
        <f>IF(COUNTIF(Target1[Target Dates],Benchmark1[[#This Row],[Benchmark '#1 Dates]])=1,"Pass","Fail")</f>
        <v>Pass</v>
      </c>
      <c r="E327" s="6">
        <f>IF(Benchmark1[[#This Row],[Target Date Check]]="Pass",INDEX(Target1[Target Price],MATCH(Benchmark1[[#This Row],[Benchmark '#1 Dates]],Target1[Target Dates],0)),"-")</f>
        <v>24.75</v>
      </c>
      <c r="F327" s="22">
        <f>IF(Benchmark1[[#This Row],[Target Date Check]]="Pass",INDEX(Target1[Target Return],MATCH(Benchmark1[[#This Row],[Benchmark '#1 Dates]],Target1[Target Dates],0)),"-")</f>
        <v>-1.3245226750020567E-2</v>
      </c>
      <c r="G327" s="1">
        <f>IFERROR(IF(Benchmark1[[#This Row],[Target Date Check]]="Pass",Benchmark1[[#This Row],[Target Return]]-Benchmark1[[#This Row],[Benchmark '#1 Return]],"-"),"-")</f>
        <v>-9.3183849478877361E-3</v>
      </c>
      <c r="H327" s="1" t="str">
        <f>IF(COUNTIF(Comp1[Comparable '#1 Dates],Benchmark1[[#This Row],[Benchmark '#1 Dates]])=1,"Pass","Fail")</f>
        <v>Pass</v>
      </c>
      <c r="I327" s="6">
        <f>IF(Benchmark1[[#This Row],[Comparable '#1 Date Check]]="Pass",INDEX(Comp1[Comparable '#1 Price],MATCH(Benchmark1[[#This Row],[Benchmark '#1 Dates]],Comp1[Comparable '#1 Dates],0)),"-")</f>
        <v>15.55</v>
      </c>
      <c r="J327" s="22">
        <f>IF(Benchmark1[[#This Row],[Comparable '#1 Date Check]]="Pass",INDEX(Comp1[Comparable '#1 Return],MATCH(Benchmark1[[#This Row],[Benchmark '#1 Dates]],Comp1[Comparable '#1 Dates],0)),"-")</f>
        <v>-1.0236813642286638E-2</v>
      </c>
      <c r="K327" s="1">
        <f>IFERROR(IF(Benchmark1[[#This Row],[Comparable '#1 Date Check]]="Pass",Benchmark1[[#This Row],[Comparable '#1 Return]]-Benchmark1[[#This Row],[Benchmark '#1 Return]],"-"),"-")</f>
        <v>-6.3099718401538069E-3</v>
      </c>
      <c r="L327" s="1" t="str">
        <f>IF(COUNTIF(Comp2[Comparable '#2 Dates],Benchmark1[[#This Row],[Benchmark '#1 Dates]])=1,"Pass","Fail")</f>
        <v>Pass</v>
      </c>
      <c r="M327" s="6">
        <f>IF(Benchmark1[[#This Row],[Comparable '#2 Date Check]]="Pass",INDEX(Comp2[Comparable '#2 Price],MATCH(Benchmark1[[#This Row],[Benchmark '#1 Dates]],Comp2[Comparable '#2 Dates],0)),"-")</f>
        <v>35.85</v>
      </c>
      <c r="N327" s="22">
        <f>IF(Benchmark1[[#This Row],[Comparable '#2 Date Check]]="Pass",INDEX(Comp2[Comparable '#2 Return],MATCH(Benchmark1[[#This Row],[Benchmark '#1 Dates]],Comp2[Comparable '#2 Dates],0)),"-")</f>
        <v>-1.2198654179349483E-2</v>
      </c>
      <c r="O327" s="1">
        <f>IFERROR(IF(Benchmark1[[#This Row],[Comparable '#2 Date Check]]="Pass",Benchmark1[[#This Row],[Comparable '#2 Return]]-Benchmark1[[#This Row],[Benchmark '#1 Return]],"-"),"-")</f>
        <v>-8.2718123772166519E-3</v>
      </c>
      <c r="P327" s="1" t="str">
        <f>IF(COUNTIF(Comp3[Comparable '#3 Dates],Benchmark1[[#This Row],[Benchmark '#1 Dates]])=1,"Pass","Fail")</f>
        <v>Pass</v>
      </c>
      <c r="Q327" s="6">
        <f>IF(Benchmark1[[#This Row],[Comparable '#3 Date Check]]="Pass",INDEX(Comp3[Comparable '#3 Price],MATCH(Benchmark1[[#This Row],[Benchmark '#1 Dates]],Comp3[Comparable '#3 Dates],0)),"-")</f>
        <v>129.84</v>
      </c>
      <c r="R327" s="22">
        <f>IF(Benchmark1[[#This Row],[Comparable '#3 Date Check]]="Pass",INDEX(Comp3[Comparable '#3 Return],MATCH(Benchmark1[[#This Row],[Benchmark '#1 Dates]],Comp3[Comparable '#3 Dates],0)),"-")</f>
        <v>-1.8617964907256233E-2</v>
      </c>
      <c r="S327" s="1">
        <f>IFERROR(IF(Benchmark1[[#This Row],[Comparable '#3 Date Check]]="Pass",Benchmark1[[#This Row],[Comparable '#3 Return]]-Benchmark1[[#This Row],[Benchmark '#1 Return]],"-"),"-")</f>
        <v>-1.4691123105123402E-2</v>
      </c>
    </row>
    <row r="328" spans="1:19">
      <c r="A328" s="103">
        <v>43759</v>
      </c>
      <c r="B328" s="104">
        <v>3006.7242822969392</v>
      </c>
      <c r="C328" s="4">
        <f t="shared" si="5"/>
        <v>6.8483651692004908E-3</v>
      </c>
      <c r="D328" s="1" t="str">
        <f>IF(COUNTIF(Target1[Target Dates],Benchmark1[[#This Row],[Benchmark '#1 Dates]])=1,"Pass","Fail")</f>
        <v>Pass</v>
      </c>
      <c r="E328" s="6">
        <f>IF(Benchmark1[[#This Row],[Target Date Check]]="Pass",INDEX(Target1[Target Price],MATCH(Benchmark1[[#This Row],[Benchmark '#1 Dates]],Target1[Target Dates],0)),"-")</f>
        <v>25.35</v>
      </c>
      <c r="F328" s="22">
        <f>IF(Benchmark1[[#This Row],[Target Date Check]]="Pass",INDEX(Target1[Target Return],MATCH(Benchmark1[[#This Row],[Benchmark '#1 Dates]],Target1[Target Dates],0)),"-")</f>
        <v>2.3953241022493015E-2</v>
      </c>
      <c r="G328" s="1">
        <f>IFERROR(IF(Benchmark1[[#This Row],[Target Date Check]]="Pass",Benchmark1[[#This Row],[Target Return]]-Benchmark1[[#This Row],[Benchmark '#1 Return]],"-"),"-")</f>
        <v>1.7104875853292525E-2</v>
      </c>
      <c r="H328" s="1" t="str">
        <f>IF(COUNTIF(Comp1[Comparable '#1 Dates],Benchmark1[[#This Row],[Benchmark '#1 Dates]])=1,"Pass","Fail")</f>
        <v>Pass</v>
      </c>
      <c r="I328" s="6">
        <f>IF(Benchmark1[[#This Row],[Comparable '#1 Date Check]]="Pass",INDEX(Comp1[Comparable '#1 Price],MATCH(Benchmark1[[#This Row],[Benchmark '#1 Dates]],Comp1[Comparable '#1 Dates],0)),"-")</f>
        <v>15.7</v>
      </c>
      <c r="J328" s="22">
        <f>IF(Benchmark1[[#This Row],[Comparable '#1 Date Check]]="Pass",INDEX(Comp1[Comparable '#1 Return],MATCH(Benchmark1[[#This Row],[Benchmark '#1 Dates]],Comp1[Comparable '#1 Dates],0)),"-")</f>
        <v>9.6000737290191374E-3</v>
      </c>
      <c r="K328" s="1">
        <f>IFERROR(IF(Benchmark1[[#This Row],[Comparable '#1 Date Check]]="Pass",Benchmark1[[#This Row],[Comparable '#1 Return]]-Benchmark1[[#This Row],[Benchmark '#1 Return]],"-"),"-")</f>
        <v>2.7517085598186466E-3</v>
      </c>
      <c r="L328" s="1" t="str">
        <f>IF(COUNTIF(Comp2[Comparable '#2 Dates],Benchmark1[[#This Row],[Benchmark '#1 Dates]])=1,"Pass","Fail")</f>
        <v>Pass</v>
      </c>
      <c r="M328" s="6">
        <f>IF(Benchmark1[[#This Row],[Comparable '#2 Date Check]]="Pass",INDEX(Comp2[Comparable '#2 Price],MATCH(Benchmark1[[#This Row],[Benchmark '#1 Dates]],Comp2[Comparable '#2 Dates],0)),"-")</f>
        <v>36.25</v>
      </c>
      <c r="N328" s="22">
        <f>IF(Benchmark1[[#This Row],[Comparable '#2 Date Check]]="Pass",INDEX(Comp2[Comparable '#2 Return],MATCH(Benchmark1[[#This Row],[Benchmark '#1 Dates]],Comp2[Comparable '#2 Dates],0)),"-")</f>
        <v>1.1095814255054447E-2</v>
      </c>
      <c r="O328" s="1">
        <f>IFERROR(IF(Benchmark1[[#This Row],[Comparable '#2 Date Check]]="Pass",Benchmark1[[#This Row],[Comparable '#2 Return]]-Benchmark1[[#This Row],[Benchmark '#1 Return]],"-"),"-")</f>
        <v>4.2474490858539563E-3</v>
      </c>
      <c r="P328" s="1" t="str">
        <f>IF(COUNTIF(Comp3[Comparable '#3 Dates],Benchmark1[[#This Row],[Benchmark '#1 Dates]])=1,"Pass","Fail")</f>
        <v>Pass</v>
      </c>
      <c r="Q328" s="6">
        <f>IF(Benchmark1[[#This Row],[Comparable '#3 Date Check]]="Pass",INDEX(Comp3[Comparable '#3 Price],MATCH(Benchmark1[[#This Row],[Benchmark '#1 Dates]],Comp3[Comparable '#3 Dates],0)),"-")</f>
        <v>129.29</v>
      </c>
      <c r="R328" s="22">
        <f>IF(Benchmark1[[#This Row],[Comparable '#3 Date Check]]="Pass",INDEX(Comp3[Comparable '#3 Return],MATCH(Benchmark1[[#This Row],[Benchmark '#1 Dates]],Comp3[Comparable '#3 Dates],0)),"-")</f>
        <v>-4.2449799398739749E-3</v>
      </c>
      <c r="S328" s="1">
        <f>IFERROR(IF(Benchmark1[[#This Row],[Comparable '#3 Date Check]]="Pass",Benchmark1[[#This Row],[Comparable '#3 Return]]-Benchmark1[[#This Row],[Benchmark '#1 Return]],"-"),"-")</f>
        <v>-1.1093345109074466E-2</v>
      </c>
    </row>
    <row r="329" spans="1:19">
      <c r="A329" s="103">
        <v>43760</v>
      </c>
      <c r="B329" s="104">
        <v>2995.9929636091292</v>
      </c>
      <c r="C329" s="4">
        <f t="shared" si="5"/>
        <v>-3.5754907921668952E-3</v>
      </c>
      <c r="D329" s="1" t="str">
        <f>IF(COUNTIF(Target1[Target Dates],Benchmark1[[#This Row],[Benchmark '#1 Dates]])=1,"Pass","Fail")</f>
        <v>Pass</v>
      </c>
      <c r="E329" s="6">
        <f>IF(Benchmark1[[#This Row],[Target Date Check]]="Pass",INDEX(Target1[Target Price],MATCH(Benchmark1[[#This Row],[Benchmark '#1 Dates]],Target1[Target Dates],0)),"-")</f>
        <v>24.86</v>
      </c>
      <c r="F329" s="22">
        <f>IF(Benchmark1[[#This Row],[Target Date Check]]="Pass",INDEX(Target1[Target Return],MATCH(Benchmark1[[#This Row],[Benchmark '#1 Dates]],Target1[Target Dates],0)),"-")</f>
        <v>-1.9518643954627195E-2</v>
      </c>
      <c r="G329" s="1">
        <f>IFERROR(IF(Benchmark1[[#This Row],[Target Date Check]]="Pass",Benchmark1[[#This Row],[Target Return]]-Benchmark1[[#This Row],[Benchmark '#1 Return]],"-"),"-")</f>
        <v>-1.59431531624603E-2</v>
      </c>
      <c r="H329" s="1" t="str">
        <f>IF(COUNTIF(Comp1[Comparable '#1 Dates],Benchmark1[[#This Row],[Benchmark '#1 Dates]])=1,"Pass","Fail")</f>
        <v>Pass</v>
      </c>
      <c r="I329" s="6">
        <f>IF(Benchmark1[[#This Row],[Comparable '#1 Date Check]]="Pass",INDEX(Comp1[Comparable '#1 Price],MATCH(Benchmark1[[#This Row],[Benchmark '#1 Dates]],Comp1[Comparable '#1 Dates],0)),"-")</f>
        <v>15.505000000000001</v>
      </c>
      <c r="J329" s="22">
        <f>IF(Benchmark1[[#This Row],[Comparable '#1 Date Check]]="Pass",INDEX(Comp1[Comparable '#1 Return],MATCH(Benchmark1[[#This Row],[Benchmark '#1 Dates]],Comp1[Comparable '#1 Dates],0)),"-")</f>
        <v>-1.2498159801850048E-2</v>
      </c>
      <c r="K329" s="1">
        <f>IFERROR(IF(Benchmark1[[#This Row],[Comparable '#1 Date Check]]="Pass",Benchmark1[[#This Row],[Comparable '#1 Return]]-Benchmark1[[#This Row],[Benchmark '#1 Return]],"-"),"-")</f>
        <v>-8.922669009683153E-3</v>
      </c>
      <c r="L329" s="1" t="str">
        <f>IF(COUNTIF(Comp2[Comparable '#2 Dates],Benchmark1[[#This Row],[Benchmark '#1 Dates]])=1,"Pass","Fail")</f>
        <v>Pass</v>
      </c>
      <c r="M329" s="6">
        <f>IF(Benchmark1[[#This Row],[Comparable '#2 Date Check]]="Pass",INDEX(Comp2[Comparable '#2 Price],MATCH(Benchmark1[[#This Row],[Benchmark '#1 Dates]],Comp2[Comparable '#2 Dates],0)),"-")</f>
        <v>36.33</v>
      </c>
      <c r="N329" s="22">
        <f>IF(Benchmark1[[#This Row],[Comparable '#2 Date Check]]="Pass",INDEX(Comp2[Comparable '#2 Return],MATCH(Benchmark1[[#This Row],[Benchmark '#1 Dates]],Comp2[Comparable '#2 Dates],0)),"-")</f>
        <v>2.2044649324267792E-3</v>
      </c>
      <c r="O329" s="1">
        <f>IFERROR(IF(Benchmark1[[#This Row],[Comparable '#2 Date Check]]="Pass",Benchmark1[[#This Row],[Comparable '#2 Return]]-Benchmark1[[#This Row],[Benchmark '#1 Return]],"-"),"-")</f>
        <v>5.7799557245936748E-3</v>
      </c>
      <c r="P329" s="1" t="str">
        <f>IF(COUNTIF(Comp3[Comparable '#3 Dates],Benchmark1[[#This Row],[Benchmark '#1 Dates]])=1,"Pass","Fail")</f>
        <v>Pass</v>
      </c>
      <c r="Q329" s="6">
        <f>IF(Benchmark1[[#This Row],[Comparable '#3 Date Check]]="Pass",INDEX(Comp3[Comparable '#3 Price],MATCH(Benchmark1[[#This Row],[Benchmark '#1 Dates]],Comp3[Comparable '#3 Dates],0)),"-")</f>
        <v>127.94</v>
      </c>
      <c r="R329" s="22">
        <f>IF(Benchmark1[[#This Row],[Comparable '#3 Date Check]]="Pass",INDEX(Comp3[Comparable '#3 Return],MATCH(Benchmark1[[#This Row],[Benchmark '#1 Dates]],Comp3[Comparable '#3 Dates],0)),"-")</f>
        <v>-1.0496539244470268E-2</v>
      </c>
      <c r="S329" s="1">
        <f>IFERROR(IF(Benchmark1[[#This Row],[Comparable '#3 Date Check]]="Pass",Benchmark1[[#This Row],[Comparable '#3 Return]]-Benchmark1[[#This Row],[Benchmark '#1 Return]],"-"),"-")</f>
        <v>-6.9210484523033727E-3</v>
      </c>
    </row>
    <row r="330" spans="1:19">
      <c r="A330" s="103">
        <v>43761</v>
      </c>
      <c r="B330" s="104">
        <v>3004.524330502762</v>
      </c>
      <c r="C330" s="4">
        <f t="shared" si="5"/>
        <v>2.843545722481956E-3</v>
      </c>
      <c r="D330" s="1" t="str">
        <f>IF(COUNTIF(Target1[Target Dates],Benchmark1[[#This Row],[Benchmark '#1 Dates]])=1,"Pass","Fail")</f>
        <v>Pass</v>
      </c>
      <c r="E330" s="6">
        <f>IF(Benchmark1[[#This Row],[Target Date Check]]="Pass",INDEX(Target1[Target Price],MATCH(Benchmark1[[#This Row],[Benchmark '#1 Dates]],Target1[Target Dates],0)),"-")</f>
        <v>21.09</v>
      </c>
      <c r="F330" s="22">
        <f>IF(Benchmark1[[#This Row],[Target Date Check]]="Pass",INDEX(Target1[Target Return],MATCH(Benchmark1[[#This Row],[Benchmark '#1 Dates]],Target1[Target Dates],0)),"-")</f>
        <v>-0.16446109159188185</v>
      </c>
      <c r="G330" s="1">
        <f>IFERROR(IF(Benchmark1[[#This Row],[Target Date Check]]="Pass",Benchmark1[[#This Row],[Target Return]]-Benchmark1[[#This Row],[Benchmark '#1 Return]],"-"),"-")</f>
        <v>-0.16730463731436382</v>
      </c>
      <c r="H330" s="1" t="str">
        <f>IF(COUNTIF(Comp1[Comparable '#1 Dates],Benchmark1[[#This Row],[Benchmark '#1 Dates]])=1,"Pass","Fail")</f>
        <v>Pass</v>
      </c>
      <c r="I330" s="6">
        <f>IF(Benchmark1[[#This Row],[Comparable '#1 Date Check]]="Pass",INDEX(Comp1[Comparable '#1 Price],MATCH(Benchmark1[[#This Row],[Benchmark '#1 Dates]],Comp1[Comparable '#1 Dates],0)),"-")</f>
        <v>15.88</v>
      </c>
      <c r="J330" s="22">
        <f>IF(Benchmark1[[#This Row],[Comparable '#1 Date Check]]="Pass",INDEX(Comp1[Comparable '#1 Return],MATCH(Benchmark1[[#This Row],[Benchmark '#1 Dates]],Comp1[Comparable '#1 Dates],0)),"-")</f>
        <v>2.3897903266577418E-2</v>
      </c>
      <c r="K330" s="1">
        <f>IFERROR(IF(Benchmark1[[#This Row],[Comparable '#1 Date Check]]="Pass",Benchmark1[[#This Row],[Comparable '#1 Return]]-Benchmark1[[#This Row],[Benchmark '#1 Return]],"-"),"-")</f>
        <v>2.1054357544095462E-2</v>
      </c>
      <c r="L330" s="1" t="str">
        <f>IF(COUNTIF(Comp2[Comparable '#2 Dates],Benchmark1[[#This Row],[Benchmark '#1 Dates]])=1,"Pass","Fail")</f>
        <v>Pass</v>
      </c>
      <c r="M330" s="6">
        <f>IF(Benchmark1[[#This Row],[Comparable '#2 Date Check]]="Pass",INDEX(Comp2[Comparable '#2 Price],MATCH(Benchmark1[[#This Row],[Benchmark '#1 Dates]],Comp2[Comparable '#2 Dates],0)),"-")</f>
        <v>36.47</v>
      </c>
      <c r="N330" s="22">
        <f>IF(Benchmark1[[#This Row],[Comparable '#2 Date Check]]="Pass",INDEX(Comp2[Comparable '#2 Return],MATCH(Benchmark1[[#This Row],[Benchmark '#1 Dates]],Comp2[Comparable '#2 Dates],0)),"-")</f>
        <v>3.8461585874783148E-3</v>
      </c>
      <c r="O330" s="1">
        <f>IFERROR(IF(Benchmark1[[#This Row],[Comparable '#2 Date Check]]="Pass",Benchmark1[[#This Row],[Comparable '#2 Return]]-Benchmark1[[#This Row],[Benchmark '#1 Return]],"-"),"-")</f>
        <v>1.0026128649963588E-3</v>
      </c>
      <c r="P330" s="1" t="str">
        <f>IF(COUNTIF(Comp3[Comparable '#3 Dates],Benchmark1[[#This Row],[Benchmark '#1 Dates]])=1,"Pass","Fail")</f>
        <v>Pass</v>
      </c>
      <c r="Q330" s="6">
        <f>IF(Benchmark1[[#This Row],[Comparable '#3 Date Check]]="Pass",INDEX(Comp3[Comparable '#3 Price],MATCH(Benchmark1[[#This Row],[Benchmark '#1 Dates]],Comp3[Comparable '#3 Dates],0)),"-")</f>
        <v>126.01</v>
      </c>
      <c r="R330" s="22">
        <f>IF(Benchmark1[[#This Row],[Comparable '#3 Date Check]]="Pass",INDEX(Comp3[Comparable '#3 Return],MATCH(Benchmark1[[#This Row],[Benchmark '#1 Dates]],Comp3[Comparable '#3 Dates],0)),"-")</f>
        <v>-1.5200135140389747E-2</v>
      </c>
      <c r="S330" s="1">
        <f>IFERROR(IF(Benchmark1[[#This Row],[Comparable '#3 Date Check]]="Pass",Benchmark1[[#This Row],[Comparable '#3 Return]]-Benchmark1[[#This Row],[Benchmark '#1 Return]],"-"),"-")</f>
        <v>-1.8043680862871704E-2</v>
      </c>
    </row>
    <row r="331" spans="1:19">
      <c r="A331" s="103">
        <v>43762</v>
      </c>
      <c r="B331" s="104">
        <v>3010.2853025981613</v>
      </c>
      <c r="C331" s="4">
        <f t="shared" si="5"/>
        <v>1.9155964056972933E-3</v>
      </c>
      <c r="D331" s="1" t="str">
        <f>IF(COUNTIF(Target1[Target Dates],Benchmark1[[#This Row],[Benchmark '#1 Dates]])=1,"Pass","Fail")</f>
        <v>Pass</v>
      </c>
      <c r="E331" s="6">
        <f>IF(Benchmark1[[#This Row],[Target Date Check]]="Pass",INDEX(Target1[Target Price],MATCH(Benchmark1[[#This Row],[Benchmark '#1 Dates]],Target1[Target Dates],0)),"-")</f>
        <v>20.059999999999999</v>
      </c>
      <c r="F331" s="22">
        <f>IF(Benchmark1[[#This Row],[Target Date Check]]="Pass",INDEX(Target1[Target Return],MATCH(Benchmark1[[#This Row],[Benchmark '#1 Dates]],Target1[Target Dates],0)),"-")</f>
        <v>-5.0071211956893832E-2</v>
      </c>
      <c r="G331" s="1">
        <f>IFERROR(IF(Benchmark1[[#This Row],[Target Date Check]]="Pass",Benchmark1[[#This Row],[Target Return]]-Benchmark1[[#This Row],[Benchmark '#1 Return]],"-"),"-")</f>
        <v>-5.1986808362591126E-2</v>
      </c>
      <c r="H331" s="1" t="str">
        <f>IF(COUNTIF(Comp1[Comparable '#1 Dates],Benchmark1[[#This Row],[Benchmark '#1 Dates]])=1,"Pass","Fail")</f>
        <v>Pass</v>
      </c>
      <c r="I331" s="6">
        <f>IF(Benchmark1[[#This Row],[Comparable '#1 Date Check]]="Pass",INDEX(Comp1[Comparable '#1 Price],MATCH(Benchmark1[[#This Row],[Benchmark '#1 Dates]],Comp1[Comparable '#1 Dates],0)),"-")</f>
        <v>15.65</v>
      </c>
      <c r="J331" s="22">
        <f>IF(Benchmark1[[#This Row],[Comparable '#1 Date Check]]="Pass",INDEX(Comp1[Comparable '#1 Return],MATCH(Benchmark1[[#This Row],[Benchmark '#1 Dates]],Comp1[Comparable '#1 Dates],0)),"-")</f>
        <v>-1.4589538832827506E-2</v>
      </c>
      <c r="K331" s="1">
        <f>IFERROR(IF(Benchmark1[[#This Row],[Comparable '#1 Date Check]]="Pass",Benchmark1[[#This Row],[Comparable '#1 Return]]-Benchmark1[[#This Row],[Benchmark '#1 Return]],"-"),"-")</f>
        <v>-1.6505135238524798E-2</v>
      </c>
      <c r="L331" s="1" t="str">
        <f>IF(COUNTIF(Comp2[Comparable '#2 Dates],Benchmark1[[#This Row],[Benchmark '#1 Dates]])=1,"Pass","Fail")</f>
        <v>Pass</v>
      </c>
      <c r="M331" s="6">
        <f>IF(Benchmark1[[#This Row],[Comparable '#2 Date Check]]="Pass",INDEX(Comp2[Comparable '#2 Price],MATCH(Benchmark1[[#This Row],[Benchmark '#1 Dates]],Comp2[Comparable '#2 Dates],0)),"-")</f>
        <v>36.130000000000003</v>
      </c>
      <c r="N331" s="22">
        <f>IF(Benchmark1[[#This Row],[Comparable '#2 Date Check]]="Pass",INDEX(Comp2[Comparable '#2 Return],MATCH(Benchmark1[[#This Row],[Benchmark '#1 Dates]],Comp2[Comparable '#2 Dates],0)),"-")</f>
        <v>-9.3664596610398606E-3</v>
      </c>
      <c r="O331" s="1">
        <f>IFERROR(IF(Benchmark1[[#This Row],[Comparable '#2 Date Check]]="Pass",Benchmark1[[#This Row],[Comparable '#2 Return]]-Benchmark1[[#This Row],[Benchmark '#1 Return]],"-"),"-")</f>
        <v>-1.1282056066737154E-2</v>
      </c>
      <c r="P331" s="1" t="str">
        <f>IF(COUNTIF(Comp3[Comparable '#3 Dates],Benchmark1[[#This Row],[Benchmark '#1 Dates]])=1,"Pass","Fail")</f>
        <v>Pass</v>
      </c>
      <c r="Q331" s="6">
        <f>IF(Benchmark1[[#This Row],[Comparable '#3 Date Check]]="Pass",INDEX(Comp3[Comparable '#3 Price],MATCH(Benchmark1[[#This Row],[Benchmark '#1 Dates]],Comp3[Comparable '#3 Dates],0)),"-")</f>
        <v>128.82</v>
      </c>
      <c r="R331" s="22">
        <f>IF(Benchmark1[[#This Row],[Comparable '#3 Date Check]]="Pass",INDEX(Comp3[Comparable '#3 Return],MATCH(Benchmark1[[#This Row],[Benchmark '#1 Dates]],Comp3[Comparable '#3 Dates],0)),"-")</f>
        <v>2.205481223714276E-2</v>
      </c>
      <c r="S331" s="1">
        <f>IFERROR(IF(Benchmark1[[#This Row],[Comparable '#3 Date Check]]="Pass",Benchmark1[[#This Row],[Comparable '#3 Return]]-Benchmark1[[#This Row],[Benchmark '#1 Return]],"-"),"-")</f>
        <v>2.0139215831445467E-2</v>
      </c>
    </row>
    <row r="332" spans="1:19">
      <c r="A332" s="103">
        <v>43763</v>
      </c>
      <c r="B332" s="104">
        <v>3022.549643690118</v>
      </c>
      <c r="C332" s="4">
        <f t="shared" si="5"/>
        <v>4.0658688979867373E-3</v>
      </c>
      <c r="D332" s="1" t="str">
        <f>IF(COUNTIF(Target1[Target Dates],Benchmark1[[#This Row],[Benchmark '#1 Dates]])=1,"Pass","Fail")</f>
        <v>Pass</v>
      </c>
      <c r="E332" s="6">
        <f>IF(Benchmark1[[#This Row],[Target Date Check]]="Pass",INDEX(Target1[Target Price],MATCH(Benchmark1[[#This Row],[Benchmark '#1 Dates]],Target1[Target Dates],0)),"-")</f>
        <v>21.48</v>
      </c>
      <c r="F332" s="22">
        <f>IF(Benchmark1[[#This Row],[Target Date Check]]="Pass",INDEX(Target1[Target Return],MATCH(Benchmark1[[#This Row],[Benchmark '#1 Dates]],Target1[Target Dates],0)),"-")</f>
        <v>6.8394487106874582E-2</v>
      </c>
      <c r="G332" s="1">
        <f>IFERROR(IF(Benchmark1[[#This Row],[Target Date Check]]="Pass",Benchmark1[[#This Row],[Target Return]]-Benchmark1[[#This Row],[Benchmark '#1 Return]],"-"),"-")</f>
        <v>6.4328618208887842E-2</v>
      </c>
      <c r="H332" s="1" t="str">
        <f>IF(COUNTIF(Comp1[Comparable '#1 Dates],Benchmark1[[#This Row],[Benchmark '#1 Dates]])=1,"Pass","Fail")</f>
        <v>Pass</v>
      </c>
      <c r="I332" s="6">
        <f>IF(Benchmark1[[#This Row],[Comparable '#1 Date Check]]="Pass",INDEX(Comp1[Comparable '#1 Price],MATCH(Benchmark1[[#This Row],[Benchmark '#1 Dates]],Comp1[Comparable '#1 Dates],0)),"-")</f>
        <v>15.78</v>
      </c>
      <c r="J332" s="22">
        <f>IF(Benchmark1[[#This Row],[Comparable '#1 Date Check]]="Pass",INDEX(Comp1[Comparable '#1 Return],MATCH(Benchmark1[[#This Row],[Benchmark '#1 Dates]],Comp1[Comparable '#1 Dates],0)),"-")</f>
        <v>8.2723984315658701E-3</v>
      </c>
      <c r="K332" s="1">
        <f>IFERROR(IF(Benchmark1[[#This Row],[Comparable '#1 Date Check]]="Pass",Benchmark1[[#This Row],[Comparable '#1 Return]]-Benchmark1[[#This Row],[Benchmark '#1 Return]],"-"),"-")</f>
        <v>4.2065295335791328E-3</v>
      </c>
      <c r="L332" s="1" t="str">
        <f>IF(COUNTIF(Comp2[Comparable '#2 Dates],Benchmark1[[#This Row],[Benchmark '#1 Dates]])=1,"Pass","Fail")</f>
        <v>Pass</v>
      </c>
      <c r="M332" s="6">
        <f>IF(Benchmark1[[#This Row],[Comparable '#2 Date Check]]="Pass",INDEX(Comp2[Comparable '#2 Price],MATCH(Benchmark1[[#This Row],[Benchmark '#1 Dates]],Comp2[Comparable '#2 Dates],0)),"-")</f>
        <v>36.47</v>
      </c>
      <c r="N332" s="22">
        <f>IF(Benchmark1[[#This Row],[Comparable '#2 Date Check]]="Pass",INDEX(Comp2[Comparable '#2 Return],MATCH(Benchmark1[[#This Row],[Benchmark '#1 Dates]],Comp2[Comparable '#2 Dates],0)),"-")</f>
        <v>9.3664596610399681E-3</v>
      </c>
      <c r="O332" s="1">
        <f>IFERROR(IF(Benchmark1[[#This Row],[Comparable '#2 Date Check]]="Pass",Benchmark1[[#This Row],[Comparable '#2 Return]]-Benchmark1[[#This Row],[Benchmark '#1 Return]],"-"),"-")</f>
        <v>5.3005907630532308E-3</v>
      </c>
      <c r="P332" s="1" t="str">
        <f>IF(COUNTIF(Comp3[Comparable '#3 Dates],Benchmark1[[#This Row],[Benchmark '#1 Dates]])=1,"Pass","Fail")</f>
        <v>Pass</v>
      </c>
      <c r="Q332" s="6">
        <f>IF(Benchmark1[[#This Row],[Comparable '#3 Date Check]]="Pass",INDEX(Comp3[Comparable '#3 Price],MATCH(Benchmark1[[#This Row],[Benchmark '#1 Dates]],Comp3[Comparable '#3 Dates],0)),"-")</f>
        <v>131.22</v>
      </c>
      <c r="R332" s="22">
        <f>IF(Benchmark1[[#This Row],[Comparable '#3 Date Check]]="Pass",INDEX(Comp3[Comparable '#3 Return],MATCH(Benchmark1[[#This Row],[Benchmark '#1 Dates]],Comp3[Comparable '#3 Dates],0)),"-")</f>
        <v>1.8459222797986896E-2</v>
      </c>
      <c r="S332" s="1">
        <f>IFERROR(IF(Benchmark1[[#This Row],[Comparable '#3 Date Check]]="Pass",Benchmark1[[#This Row],[Comparable '#3 Return]]-Benchmark1[[#This Row],[Benchmark '#1 Return]],"-"),"-")</f>
        <v>1.4393353900000159E-2</v>
      </c>
    </row>
    <row r="333" spans="1:19">
      <c r="A333" s="103">
        <v>43766</v>
      </c>
      <c r="B333" s="104">
        <v>3039.4199220226506</v>
      </c>
      <c r="C333" s="4">
        <f t="shared" si="5"/>
        <v>5.5659540031829102E-3</v>
      </c>
      <c r="D333" s="1" t="str">
        <f>IF(COUNTIF(Target1[Target Dates],Benchmark1[[#This Row],[Benchmark '#1 Dates]])=1,"Pass","Fail")</f>
        <v>Pass</v>
      </c>
      <c r="E333" s="6">
        <f>IF(Benchmark1[[#This Row],[Target Date Check]]="Pass",INDEX(Target1[Target Price],MATCH(Benchmark1[[#This Row],[Benchmark '#1 Dates]],Target1[Target Dates],0)),"-")</f>
        <v>21.2</v>
      </c>
      <c r="F333" s="22">
        <f>IF(Benchmark1[[#This Row],[Target Date Check]]="Pass",INDEX(Target1[Target Return],MATCH(Benchmark1[[#This Row],[Benchmark '#1 Dates]],Target1[Target Dates],0)),"-")</f>
        <v>-1.3121087962697212E-2</v>
      </c>
      <c r="G333" s="1">
        <f>IFERROR(IF(Benchmark1[[#This Row],[Target Date Check]]="Pass",Benchmark1[[#This Row],[Target Return]]-Benchmark1[[#This Row],[Benchmark '#1 Return]],"-"),"-")</f>
        <v>-1.868704196588012E-2</v>
      </c>
      <c r="H333" s="1" t="str">
        <f>IF(COUNTIF(Comp1[Comparable '#1 Dates],Benchmark1[[#This Row],[Benchmark '#1 Dates]])=1,"Pass","Fail")</f>
        <v>Pass</v>
      </c>
      <c r="I333" s="6">
        <f>IF(Benchmark1[[#This Row],[Comparable '#1 Date Check]]="Pass",INDEX(Comp1[Comparable '#1 Price],MATCH(Benchmark1[[#This Row],[Benchmark '#1 Dates]],Comp1[Comparable '#1 Dates],0)),"-")</f>
        <v>15.79</v>
      </c>
      <c r="J333" s="22">
        <f>IF(Benchmark1[[#This Row],[Comparable '#1 Date Check]]="Pass",INDEX(Comp1[Comparable '#1 Return],MATCH(Benchmark1[[#This Row],[Benchmark '#1 Dates]],Comp1[Comparable '#1 Dates],0)),"-")</f>
        <v>6.3351284982256261E-4</v>
      </c>
      <c r="K333" s="1">
        <f>IFERROR(IF(Benchmark1[[#This Row],[Comparable '#1 Date Check]]="Pass",Benchmark1[[#This Row],[Comparable '#1 Return]]-Benchmark1[[#This Row],[Benchmark '#1 Return]],"-"),"-")</f>
        <v>-4.9324411533603479E-3</v>
      </c>
      <c r="L333" s="1" t="str">
        <f>IF(COUNTIF(Comp2[Comparable '#2 Dates],Benchmark1[[#This Row],[Benchmark '#1 Dates]])=1,"Pass","Fail")</f>
        <v>Pass</v>
      </c>
      <c r="M333" s="6">
        <f>IF(Benchmark1[[#This Row],[Comparable '#2 Date Check]]="Pass",INDEX(Comp2[Comparable '#2 Price],MATCH(Benchmark1[[#This Row],[Benchmark '#1 Dates]],Comp2[Comparable '#2 Dates],0)),"-")</f>
        <v>36.75</v>
      </c>
      <c r="N333" s="22">
        <f>IF(Benchmark1[[#This Row],[Comparable '#2 Date Check]]="Pass",INDEX(Comp2[Comparable '#2 Return],MATCH(Benchmark1[[#This Row],[Benchmark '#1 Dates]],Comp2[Comparable '#2 Dates],0)),"-")</f>
        <v>7.6482208382568188E-3</v>
      </c>
      <c r="O333" s="1">
        <f>IFERROR(IF(Benchmark1[[#This Row],[Comparable '#2 Date Check]]="Pass",Benchmark1[[#This Row],[Comparable '#2 Return]]-Benchmark1[[#This Row],[Benchmark '#1 Return]],"-"),"-")</f>
        <v>2.0822668350739086E-3</v>
      </c>
      <c r="P333" s="1" t="str">
        <f>IF(COUNTIF(Comp3[Comparable '#3 Dates],Benchmark1[[#This Row],[Benchmark '#1 Dates]])=1,"Pass","Fail")</f>
        <v>Pass</v>
      </c>
      <c r="Q333" s="6">
        <f>IF(Benchmark1[[#This Row],[Comparable '#3 Date Check]]="Pass",INDEX(Comp3[Comparable '#3 Price],MATCH(Benchmark1[[#This Row],[Benchmark '#1 Dates]],Comp3[Comparable '#3 Dates],0)),"-")</f>
        <v>128.66999999999999</v>
      </c>
      <c r="R333" s="22">
        <f>IF(Benchmark1[[#This Row],[Comparable '#3 Date Check]]="Pass",INDEX(Comp3[Comparable '#3 Return],MATCH(Benchmark1[[#This Row],[Benchmark '#1 Dates]],Comp3[Comparable '#3 Dates],0)),"-")</f>
        <v>-1.9624316719832821E-2</v>
      </c>
      <c r="S333" s="1">
        <f>IFERROR(IF(Benchmark1[[#This Row],[Comparable '#3 Date Check]]="Pass",Benchmark1[[#This Row],[Comparable '#3 Return]]-Benchmark1[[#This Row],[Benchmark '#1 Return]],"-"),"-")</f>
        <v>-2.5190270723015731E-2</v>
      </c>
    </row>
    <row r="334" spans="1:19">
      <c r="A334" s="103">
        <v>43767</v>
      </c>
      <c r="B334" s="104">
        <v>3036.8922475774289</v>
      </c>
      <c r="C334" s="4">
        <f t="shared" si="5"/>
        <v>-8.3197654118862376E-4</v>
      </c>
      <c r="D334" s="1" t="str">
        <f>IF(COUNTIF(Target1[Target Dates],Benchmark1[[#This Row],[Benchmark '#1 Dates]])=1,"Pass","Fail")</f>
        <v>Pass</v>
      </c>
      <c r="E334" s="6">
        <f>IF(Benchmark1[[#This Row],[Target Date Check]]="Pass",INDEX(Target1[Target Price],MATCH(Benchmark1[[#This Row],[Benchmark '#1 Dates]],Target1[Target Dates],0)),"-")</f>
        <v>20.85</v>
      </c>
      <c r="F334" s="22">
        <f>IF(Benchmark1[[#This Row],[Target Date Check]]="Pass",INDEX(Target1[Target Return],MATCH(Benchmark1[[#This Row],[Benchmark '#1 Dates]],Target1[Target Dates],0)),"-")</f>
        <v>-1.6647233433156168E-2</v>
      </c>
      <c r="G334" s="1">
        <f>IFERROR(IF(Benchmark1[[#This Row],[Target Date Check]]="Pass",Benchmark1[[#This Row],[Target Return]]-Benchmark1[[#This Row],[Benchmark '#1 Return]],"-"),"-")</f>
        <v>-1.5815256891967545E-2</v>
      </c>
      <c r="H334" s="1" t="str">
        <f>IF(COUNTIF(Comp1[Comparable '#1 Dates],Benchmark1[[#This Row],[Benchmark '#1 Dates]])=1,"Pass","Fail")</f>
        <v>Pass</v>
      </c>
      <c r="I334" s="6">
        <f>IF(Benchmark1[[#This Row],[Comparable '#1 Date Check]]="Pass",INDEX(Comp1[Comparable '#1 Price],MATCH(Benchmark1[[#This Row],[Benchmark '#1 Dates]],Comp1[Comparable '#1 Dates],0)),"-")</f>
        <v>15.88</v>
      </c>
      <c r="J334" s="22">
        <f>IF(Benchmark1[[#This Row],[Comparable '#1 Date Check]]="Pass",INDEX(Comp1[Comparable '#1 Return],MATCH(Benchmark1[[#This Row],[Benchmark '#1 Dates]],Comp1[Comparable '#1 Dates],0)),"-")</f>
        <v>5.6836275514390577E-3</v>
      </c>
      <c r="K334" s="1">
        <f>IFERROR(IF(Benchmark1[[#This Row],[Comparable '#1 Date Check]]="Pass",Benchmark1[[#This Row],[Comparable '#1 Return]]-Benchmark1[[#This Row],[Benchmark '#1 Return]],"-"),"-")</f>
        <v>6.5156040926276811E-3</v>
      </c>
      <c r="L334" s="1" t="str">
        <f>IF(COUNTIF(Comp2[Comparable '#2 Dates],Benchmark1[[#This Row],[Benchmark '#1 Dates]])=1,"Pass","Fail")</f>
        <v>Pass</v>
      </c>
      <c r="M334" s="6">
        <f>IF(Benchmark1[[#This Row],[Comparable '#2 Date Check]]="Pass",INDEX(Comp2[Comparable '#2 Price],MATCH(Benchmark1[[#This Row],[Benchmark '#1 Dates]],Comp2[Comparable '#2 Dates],0)),"-")</f>
        <v>36.54</v>
      </c>
      <c r="N334" s="22">
        <f>IF(Benchmark1[[#This Row],[Comparable '#2 Date Check]]="Pass",INDEX(Comp2[Comparable '#2 Return],MATCH(Benchmark1[[#This Row],[Benchmark '#1 Dates]],Comp2[Comparable '#2 Dates],0)),"-")</f>
        <v>-5.7306747089850953E-3</v>
      </c>
      <c r="O334" s="1">
        <f>IFERROR(IF(Benchmark1[[#This Row],[Comparable '#2 Date Check]]="Pass",Benchmark1[[#This Row],[Comparable '#2 Return]]-Benchmark1[[#This Row],[Benchmark '#1 Return]],"-"),"-")</f>
        <v>-4.8986981677964711E-3</v>
      </c>
      <c r="P334" s="1" t="str">
        <f>IF(COUNTIF(Comp3[Comparable '#3 Dates],Benchmark1[[#This Row],[Benchmark '#1 Dates]])=1,"Pass","Fail")</f>
        <v>Pass</v>
      </c>
      <c r="Q334" s="6">
        <f>IF(Benchmark1[[#This Row],[Comparable '#3 Date Check]]="Pass",INDEX(Comp3[Comparable '#3 Price],MATCH(Benchmark1[[#This Row],[Benchmark '#1 Dates]],Comp3[Comparable '#3 Dates],0)),"-")</f>
        <v>128.63</v>
      </c>
      <c r="R334" s="22">
        <f>IF(Benchmark1[[#This Row],[Comparable '#3 Date Check]]="Pass",INDEX(Comp3[Comparable '#3 Return],MATCH(Benchmark1[[#This Row],[Benchmark '#1 Dates]],Comp3[Comparable '#3 Dates],0)),"-")</f>
        <v>-3.1092110627460172E-4</v>
      </c>
      <c r="S334" s="1">
        <f>IFERROR(IF(Benchmark1[[#This Row],[Comparable '#3 Date Check]]="Pass",Benchmark1[[#This Row],[Comparable '#3 Return]]-Benchmark1[[#This Row],[Benchmark '#1 Return]],"-"),"-")</f>
        <v>5.2105543491402198E-4</v>
      </c>
    </row>
    <row r="335" spans="1:19">
      <c r="A335" s="103">
        <v>43768</v>
      </c>
      <c r="B335" s="104">
        <v>3046.7662003716096</v>
      </c>
      <c r="C335" s="4">
        <f t="shared" si="5"/>
        <v>3.2460604252316501E-3</v>
      </c>
      <c r="D335" s="1" t="str">
        <f>IF(COUNTIF(Target1[Target Dates],Benchmark1[[#This Row],[Benchmark '#1 Dates]])=1,"Pass","Fail")</f>
        <v>Pass</v>
      </c>
      <c r="E335" s="6">
        <f>IF(Benchmark1[[#This Row],[Target Date Check]]="Pass",INDEX(Target1[Target Price],MATCH(Benchmark1[[#This Row],[Benchmark '#1 Dates]],Target1[Target Dates],0)),"-")</f>
        <v>20.149999999999999</v>
      </c>
      <c r="F335" s="22">
        <f>IF(Benchmark1[[#This Row],[Target Date Check]]="Pass",INDEX(Target1[Target Return],MATCH(Benchmark1[[#This Row],[Benchmark '#1 Dates]],Target1[Target Dates],0)),"-")</f>
        <v>-3.4149659852118597E-2</v>
      </c>
      <c r="G335" s="1">
        <f>IFERROR(IF(Benchmark1[[#This Row],[Target Date Check]]="Pass",Benchmark1[[#This Row],[Target Return]]-Benchmark1[[#This Row],[Benchmark '#1 Return]],"-"),"-")</f>
        <v>-3.7395720277350247E-2</v>
      </c>
      <c r="H335" s="1" t="str">
        <f>IF(COUNTIF(Comp1[Comparable '#1 Dates],Benchmark1[[#This Row],[Benchmark '#1 Dates]])=1,"Pass","Fail")</f>
        <v>Pass</v>
      </c>
      <c r="I335" s="6">
        <f>IF(Benchmark1[[#This Row],[Comparable '#1 Date Check]]="Pass",INDEX(Comp1[Comparable '#1 Price],MATCH(Benchmark1[[#This Row],[Benchmark '#1 Dates]],Comp1[Comparable '#1 Dates],0)),"-")</f>
        <v>15.5</v>
      </c>
      <c r="J335" s="22">
        <f>IF(Benchmark1[[#This Row],[Comparable '#1 Date Check]]="Pass",INDEX(Comp1[Comparable '#1 Return],MATCH(Benchmark1[[#This Row],[Benchmark '#1 Dates]],Comp1[Comparable '#1 Dates],0)),"-")</f>
        <v>-2.4220431893788811E-2</v>
      </c>
      <c r="K335" s="1">
        <f>IFERROR(IF(Benchmark1[[#This Row],[Comparable '#1 Date Check]]="Pass",Benchmark1[[#This Row],[Comparable '#1 Return]]-Benchmark1[[#This Row],[Benchmark '#1 Return]],"-"),"-")</f>
        <v>-2.7466492319020461E-2</v>
      </c>
      <c r="L335" s="1" t="str">
        <f>IF(COUNTIF(Comp2[Comparable '#2 Dates],Benchmark1[[#This Row],[Benchmark '#1 Dates]])=1,"Pass","Fail")</f>
        <v>Pass</v>
      </c>
      <c r="M335" s="6">
        <f>IF(Benchmark1[[#This Row],[Comparable '#2 Date Check]]="Pass",INDEX(Comp2[Comparable '#2 Price],MATCH(Benchmark1[[#This Row],[Benchmark '#1 Dates]],Comp2[Comparable '#2 Dates],0)),"-")</f>
        <v>29.7</v>
      </c>
      <c r="N335" s="22">
        <f>IF(Benchmark1[[#This Row],[Comparable '#2 Date Check]]="Pass",INDEX(Comp2[Comparable '#2 Return],MATCH(Benchmark1[[#This Row],[Benchmark '#1 Dates]],Comp2[Comparable '#2 Dates],0)),"-")</f>
        <v>-0.20726050514120672</v>
      </c>
      <c r="O335" s="1">
        <f>IFERROR(IF(Benchmark1[[#This Row],[Comparable '#2 Date Check]]="Pass",Benchmark1[[#This Row],[Comparable '#2 Return]]-Benchmark1[[#This Row],[Benchmark '#1 Return]],"-"),"-")</f>
        <v>-0.21050656556643838</v>
      </c>
      <c r="P335" s="1" t="str">
        <f>IF(COUNTIF(Comp3[Comparable '#3 Dates],Benchmark1[[#This Row],[Benchmark '#1 Dates]])=1,"Pass","Fail")</f>
        <v>Pass</v>
      </c>
      <c r="Q335" s="6">
        <f>IF(Benchmark1[[#This Row],[Comparable '#3 Date Check]]="Pass",INDEX(Comp3[Comparable '#3 Price],MATCH(Benchmark1[[#This Row],[Benchmark '#1 Dates]],Comp3[Comparable '#3 Dates],0)),"-")</f>
        <v>127.11</v>
      </c>
      <c r="R335" s="22">
        <f>IF(Benchmark1[[#This Row],[Comparable '#3 Date Check]]="Pass",INDEX(Comp3[Comparable '#3 Return],MATCH(Benchmark1[[#This Row],[Benchmark '#1 Dates]],Comp3[Comparable '#3 Dates],0)),"-")</f>
        <v>-1.188721278404648E-2</v>
      </c>
      <c r="S335" s="1">
        <f>IFERROR(IF(Benchmark1[[#This Row],[Comparable '#3 Date Check]]="Pass",Benchmark1[[#This Row],[Comparable '#3 Return]]-Benchmark1[[#This Row],[Benchmark '#1 Return]],"-"),"-")</f>
        <v>-1.513327320927813E-2</v>
      </c>
    </row>
    <row r="336" spans="1:19">
      <c r="A336" s="103">
        <v>43769</v>
      </c>
      <c r="B336" s="104">
        <v>3037.5644352599625</v>
      </c>
      <c r="C336" s="4">
        <f t="shared" si="5"/>
        <v>-3.0247442745457219E-3</v>
      </c>
      <c r="D336" s="1" t="str">
        <f>IF(COUNTIF(Target1[Target Dates],Benchmark1[[#This Row],[Benchmark '#1 Dates]])=1,"Pass","Fail")</f>
        <v>Pass</v>
      </c>
      <c r="E336" s="6">
        <f>IF(Benchmark1[[#This Row],[Target Date Check]]="Pass",INDEX(Target1[Target Price],MATCH(Benchmark1[[#This Row],[Benchmark '#1 Dates]],Target1[Target Dates],0)),"-")</f>
        <v>19.79</v>
      </c>
      <c r="F336" s="22">
        <f>IF(Benchmark1[[#This Row],[Target Date Check]]="Pass",INDEX(Target1[Target Return],MATCH(Benchmark1[[#This Row],[Benchmark '#1 Dates]],Target1[Target Dates],0)),"-")</f>
        <v>-1.8027528778217599E-2</v>
      </c>
      <c r="G336" s="1">
        <f>IFERROR(IF(Benchmark1[[#This Row],[Target Date Check]]="Pass",Benchmark1[[#This Row],[Target Return]]-Benchmark1[[#This Row],[Benchmark '#1 Return]],"-"),"-")</f>
        <v>-1.5002784503671877E-2</v>
      </c>
      <c r="H336" s="1" t="str">
        <f>IF(COUNTIF(Comp1[Comparable '#1 Dates],Benchmark1[[#This Row],[Benchmark '#1 Dates]])=1,"Pass","Fail")</f>
        <v>Pass</v>
      </c>
      <c r="I336" s="6">
        <f>IF(Benchmark1[[#This Row],[Comparable '#1 Date Check]]="Pass",INDEX(Comp1[Comparable '#1 Price],MATCH(Benchmark1[[#This Row],[Benchmark '#1 Dates]],Comp1[Comparable '#1 Dates],0)),"-")</f>
        <v>15.455</v>
      </c>
      <c r="J336" s="22">
        <f>IF(Benchmark1[[#This Row],[Comparable '#1 Date Check]]="Pass",INDEX(Comp1[Comparable '#1 Return],MATCH(Benchmark1[[#This Row],[Benchmark '#1 Dates]],Comp1[Comparable '#1 Dates],0)),"-")</f>
        <v>-2.9074483411213291E-3</v>
      </c>
      <c r="K336" s="1">
        <f>IFERROR(IF(Benchmark1[[#This Row],[Comparable '#1 Date Check]]="Pass",Benchmark1[[#This Row],[Comparable '#1 Return]]-Benchmark1[[#This Row],[Benchmark '#1 Return]],"-"),"-")</f>
        <v>1.172959334243928E-4</v>
      </c>
      <c r="L336" s="1" t="str">
        <f>IF(COUNTIF(Comp2[Comparable '#2 Dates],Benchmark1[[#This Row],[Benchmark '#1 Dates]])=1,"Pass","Fail")</f>
        <v>Pass</v>
      </c>
      <c r="M336" s="6">
        <f>IF(Benchmark1[[#This Row],[Comparable '#2 Date Check]]="Pass",INDEX(Comp2[Comparable '#2 Price],MATCH(Benchmark1[[#This Row],[Benchmark '#1 Dates]],Comp2[Comparable '#2 Dates],0)),"-")</f>
        <v>29.78</v>
      </c>
      <c r="N336" s="22">
        <f>IF(Benchmark1[[#This Row],[Comparable '#2 Date Check]]="Pass",INDEX(Comp2[Comparable '#2 Return],MATCH(Benchmark1[[#This Row],[Benchmark '#1 Dates]],Comp2[Comparable '#2 Dates],0)),"-")</f>
        <v>2.689981447209157E-3</v>
      </c>
      <c r="O336" s="1">
        <f>IFERROR(IF(Benchmark1[[#This Row],[Comparable '#2 Date Check]]="Pass",Benchmark1[[#This Row],[Comparable '#2 Return]]-Benchmark1[[#This Row],[Benchmark '#1 Return]],"-"),"-")</f>
        <v>5.7147257217548784E-3</v>
      </c>
      <c r="P336" s="1" t="str">
        <f>IF(COUNTIF(Comp3[Comparable '#3 Dates],Benchmark1[[#This Row],[Benchmark '#1 Dates]])=1,"Pass","Fail")</f>
        <v>Pass</v>
      </c>
      <c r="Q336" s="6">
        <f>IF(Benchmark1[[#This Row],[Comparable '#3 Date Check]]="Pass",INDEX(Comp3[Comparable '#3 Price],MATCH(Benchmark1[[#This Row],[Benchmark '#1 Dates]],Comp3[Comparable '#3 Dates],0)),"-")</f>
        <v>123.03</v>
      </c>
      <c r="R336" s="22">
        <f>IF(Benchmark1[[#This Row],[Comparable '#3 Date Check]]="Pass",INDEX(Comp3[Comparable '#3 Return],MATCH(Benchmark1[[#This Row],[Benchmark '#1 Dates]],Comp3[Comparable '#3 Dates],0)),"-")</f>
        <v>-3.2624625234499917E-2</v>
      </c>
      <c r="S336" s="1">
        <f>IFERROR(IF(Benchmark1[[#This Row],[Comparable '#3 Date Check]]="Pass",Benchmark1[[#This Row],[Comparable '#3 Return]]-Benchmark1[[#This Row],[Benchmark '#1 Return]],"-"),"-")</f>
        <v>-2.9599880959954195E-2</v>
      </c>
    </row>
    <row r="337" spans="1:19">
      <c r="A337" s="103">
        <v>43770</v>
      </c>
      <c r="B337" s="104">
        <v>3066.914735031588</v>
      </c>
      <c r="C337" s="4">
        <f t="shared" si="5"/>
        <v>9.6160622774640221E-3</v>
      </c>
      <c r="D337" s="1" t="str">
        <f>IF(COUNTIF(Target1[Target Dates],Benchmark1[[#This Row],[Benchmark '#1 Dates]])=1,"Pass","Fail")</f>
        <v>Pass</v>
      </c>
      <c r="E337" s="6">
        <f>IF(Benchmark1[[#This Row],[Target Date Check]]="Pass",INDEX(Target1[Target Price],MATCH(Benchmark1[[#This Row],[Benchmark '#1 Dates]],Target1[Target Dates],0)),"-")</f>
        <v>19.850000000000001</v>
      </c>
      <c r="F337" s="22">
        <f>IF(Benchmark1[[#This Row],[Target Date Check]]="Pass",INDEX(Target1[Target Return],MATCH(Benchmark1[[#This Row],[Benchmark '#1 Dates]],Target1[Target Dates],0)),"-")</f>
        <v>3.0272475187252314E-3</v>
      </c>
      <c r="G337" s="1">
        <f>IFERROR(IF(Benchmark1[[#This Row],[Target Date Check]]="Pass",Benchmark1[[#This Row],[Target Return]]-Benchmark1[[#This Row],[Benchmark '#1 Return]],"-"),"-")</f>
        <v>-6.5888147587387907E-3</v>
      </c>
      <c r="H337" s="1" t="str">
        <f>IF(COUNTIF(Comp1[Comparable '#1 Dates],Benchmark1[[#This Row],[Benchmark '#1 Dates]])=1,"Pass","Fail")</f>
        <v>Pass</v>
      </c>
      <c r="I337" s="6">
        <f>IF(Benchmark1[[#This Row],[Comparable '#1 Date Check]]="Pass",INDEX(Comp1[Comparable '#1 Price],MATCH(Benchmark1[[#This Row],[Benchmark '#1 Dates]],Comp1[Comparable '#1 Dates],0)),"-")</f>
        <v>15.6</v>
      </c>
      <c r="J337" s="22">
        <f>IF(Benchmark1[[#This Row],[Comparable '#1 Date Check]]="Pass",INDEX(Comp1[Comparable '#1 Return],MATCH(Benchmark1[[#This Row],[Benchmark '#1 Dates]],Comp1[Comparable '#1 Dates],0)),"-")</f>
        <v>9.3383386714116709E-3</v>
      </c>
      <c r="K337" s="1">
        <f>IFERROR(IF(Benchmark1[[#This Row],[Comparable '#1 Date Check]]="Pass",Benchmark1[[#This Row],[Comparable '#1 Return]]-Benchmark1[[#This Row],[Benchmark '#1 Return]],"-"),"-")</f>
        <v>-2.7772360605235122E-4</v>
      </c>
      <c r="L337" s="1" t="str">
        <f>IF(COUNTIF(Comp2[Comparable '#2 Dates],Benchmark1[[#This Row],[Benchmark '#1 Dates]])=1,"Pass","Fail")</f>
        <v>Pass</v>
      </c>
      <c r="M337" s="6">
        <f>IF(Benchmark1[[#This Row],[Comparable '#2 Date Check]]="Pass",INDEX(Comp2[Comparable '#2 Price],MATCH(Benchmark1[[#This Row],[Benchmark '#1 Dates]],Comp2[Comparable '#2 Dates],0)),"-")</f>
        <v>30.56</v>
      </c>
      <c r="N337" s="22">
        <f>IF(Benchmark1[[#This Row],[Comparable '#2 Date Check]]="Pass",INDEX(Comp2[Comparable '#2 Return],MATCH(Benchmark1[[#This Row],[Benchmark '#1 Dates]],Comp2[Comparable '#2 Dates],0)),"-")</f>
        <v>2.5854937042456689E-2</v>
      </c>
      <c r="O337" s="1">
        <f>IFERROR(IF(Benchmark1[[#This Row],[Comparable '#2 Date Check]]="Pass",Benchmark1[[#This Row],[Comparable '#2 Return]]-Benchmark1[[#This Row],[Benchmark '#1 Return]],"-"),"-")</f>
        <v>1.6238874764992667E-2</v>
      </c>
      <c r="P337" s="1" t="str">
        <f>IF(COUNTIF(Comp3[Comparable '#3 Dates],Benchmark1[[#This Row],[Benchmark '#1 Dates]])=1,"Pass","Fail")</f>
        <v>Pass</v>
      </c>
      <c r="Q337" s="6">
        <f>IF(Benchmark1[[#This Row],[Comparable '#3 Date Check]]="Pass",INDEX(Comp3[Comparable '#3 Price],MATCH(Benchmark1[[#This Row],[Benchmark '#1 Dates]],Comp3[Comparable '#3 Dates],0)),"-")</f>
        <v>123.52</v>
      </c>
      <c r="R337" s="22">
        <f>IF(Benchmark1[[#This Row],[Comparable '#3 Date Check]]="Pass",INDEX(Comp3[Comparable '#3 Return],MATCH(Benchmark1[[#This Row],[Benchmark '#1 Dates]],Comp3[Comparable '#3 Dates],0)),"-")</f>
        <v>3.9748582043884293E-3</v>
      </c>
      <c r="S337" s="1">
        <f>IFERROR(IF(Benchmark1[[#This Row],[Comparable '#3 Date Check]]="Pass",Benchmark1[[#This Row],[Comparable '#3 Return]]-Benchmark1[[#This Row],[Benchmark '#1 Return]],"-"),"-")</f>
        <v>-5.6412040730755928E-3</v>
      </c>
    </row>
    <row r="338" spans="1:19">
      <c r="A338" s="103">
        <v>43773</v>
      </c>
      <c r="B338" s="104">
        <v>3078.2697296470428</v>
      </c>
      <c r="C338" s="4">
        <f t="shared" si="5"/>
        <v>3.6955790681099656E-3</v>
      </c>
      <c r="D338" s="1" t="str">
        <f>IF(COUNTIF(Target1[Target Dates],Benchmark1[[#This Row],[Benchmark '#1 Dates]])=1,"Pass","Fail")</f>
        <v>Pass</v>
      </c>
      <c r="E338" s="6">
        <f>IF(Benchmark1[[#This Row],[Target Date Check]]="Pass",INDEX(Target1[Target Price],MATCH(Benchmark1[[#This Row],[Benchmark '#1 Dates]],Target1[Target Dates],0)),"-")</f>
        <v>19.97</v>
      </c>
      <c r="F338" s="22">
        <f>IF(Benchmark1[[#This Row],[Target Date Check]]="Pass",INDEX(Target1[Target Return],MATCH(Benchmark1[[#This Row],[Benchmark '#1 Dates]],Target1[Target Dates],0)),"-")</f>
        <v>6.0271402945243071E-3</v>
      </c>
      <c r="G338" s="1">
        <f>IFERROR(IF(Benchmark1[[#This Row],[Target Date Check]]="Pass",Benchmark1[[#This Row],[Target Return]]-Benchmark1[[#This Row],[Benchmark '#1 Return]],"-"),"-")</f>
        <v>2.3315612264143415E-3</v>
      </c>
      <c r="H338" s="1" t="str">
        <f>IF(COUNTIF(Comp1[Comparable '#1 Dates],Benchmark1[[#This Row],[Benchmark '#1 Dates]])=1,"Pass","Fail")</f>
        <v>Pass</v>
      </c>
      <c r="I338" s="6">
        <f>IF(Benchmark1[[#This Row],[Comparable '#1 Date Check]]="Pass",INDEX(Comp1[Comparable '#1 Price],MATCH(Benchmark1[[#This Row],[Benchmark '#1 Dates]],Comp1[Comparable '#1 Dates],0)),"-")</f>
        <v>15.95</v>
      </c>
      <c r="J338" s="22">
        <f>IF(Benchmark1[[#This Row],[Comparable '#1 Date Check]]="Pass",INDEX(Comp1[Comparable '#1 Return],MATCH(Benchmark1[[#This Row],[Benchmark '#1 Dates]],Comp1[Comparable '#1 Dates],0)),"-")</f>
        <v>2.2187914975362138E-2</v>
      </c>
      <c r="K338" s="1">
        <f>IFERROR(IF(Benchmark1[[#This Row],[Comparable '#1 Date Check]]="Pass",Benchmark1[[#This Row],[Comparable '#1 Return]]-Benchmark1[[#This Row],[Benchmark '#1 Return]],"-"),"-")</f>
        <v>1.8492335907252171E-2</v>
      </c>
      <c r="L338" s="1" t="str">
        <f>IF(COUNTIF(Comp2[Comparable '#2 Dates],Benchmark1[[#This Row],[Benchmark '#1 Dates]])=1,"Pass","Fail")</f>
        <v>Pass</v>
      </c>
      <c r="M338" s="6">
        <f>IF(Benchmark1[[#This Row],[Comparable '#2 Date Check]]="Pass",INDEX(Comp2[Comparable '#2 Price],MATCH(Benchmark1[[#This Row],[Benchmark '#1 Dates]],Comp2[Comparable '#2 Dates],0)),"-")</f>
        <v>30.82</v>
      </c>
      <c r="N338" s="22">
        <f>IF(Benchmark1[[#This Row],[Comparable '#2 Date Check]]="Pass",INDEX(Comp2[Comparable '#2 Return],MATCH(Benchmark1[[#This Row],[Benchmark '#1 Dates]],Comp2[Comparable '#2 Dates],0)),"-")</f>
        <v>8.4718655936498969E-3</v>
      </c>
      <c r="O338" s="1">
        <f>IFERROR(IF(Benchmark1[[#This Row],[Comparable '#2 Date Check]]="Pass",Benchmark1[[#This Row],[Comparable '#2 Return]]-Benchmark1[[#This Row],[Benchmark '#1 Return]],"-"),"-")</f>
        <v>4.7762865255399313E-3</v>
      </c>
      <c r="P338" s="1" t="str">
        <f>IF(COUNTIF(Comp3[Comparable '#3 Dates],Benchmark1[[#This Row],[Benchmark '#1 Dates]])=1,"Pass","Fail")</f>
        <v>Pass</v>
      </c>
      <c r="Q338" s="6">
        <f>IF(Benchmark1[[#This Row],[Comparable '#3 Date Check]]="Pass",INDEX(Comp3[Comparable '#3 Price],MATCH(Benchmark1[[#This Row],[Benchmark '#1 Dates]],Comp3[Comparable '#3 Dates],0)),"-")</f>
        <v>122.95</v>
      </c>
      <c r="R338" s="22">
        <f>IF(Benchmark1[[#This Row],[Comparable '#3 Date Check]]="Pass",INDEX(Comp3[Comparable '#3 Return],MATCH(Benchmark1[[#This Row],[Benchmark '#1 Dates]],Comp3[Comparable '#3 Dates],0)),"-")</f>
        <v>-4.6253176142644287E-3</v>
      </c>
      <c r="S338" s="1">
        <f>IFERROR(IF(Benchmark1[[#This Row],[Comparable '#3 Date Check]]="Pass",Benchmark1[[#This Row],[Comparable '#3 Return]]-Benchmark1[[#This Row],[Benchmark '#1 Return]],"-"),"-")</f>
        <v>-8.3208966823743943E-3</v>
      </c>
    </row>
    <row r="339" spans="1:19">
      <c r="A339" s="103">
        <v>43774</v>
      </c>
      <c r="B339" s="104">
        <v>3074.6159174574223</v>
      </c>
      <c r="C339" s="4">
        <f t="shared" si="5"/>
        <v>-1.1876744762311067E-3</v>
      </c>
      <c r="D339" s="1" t="str">
        <f>IF(COUNTIF(Target1[Target Dates],Benchmark1[[#This Row],[Benchmark '#1 Dates]])=1,"Pass","Fail")</f>
        <v>Pass</v>
      </c>
      <c r="E339" s="6">
        <f>IF(Benchmark1[[#This Row],[Target Date Check]]="Pass",INDEX(Target1[Target Price],MATCH(Benchmark1[[#This Row],[Benchmark '#1 Dates]],Target1[Target Dates],0)),"-")</f>
        <v>20.12</v>
      </c>
      <c r="F339" s="22">
        <f>IF(Benchmark1[[#This Row],[Target Date Check]]="Pass",INDEX(Target1[Target Return],MATCH(Benchmark1[[#This Row],[Benchmark '#1 Dates]],Target1[Target Dates],0)),"-")</f>
        <v>7.483197803814616E-3</v>
      </c>
      <c r="G339" s="1">
        <f>IFERROR(IF(Benchmark1[[#This Row],[Target Date Check]]="Pass",Benchmark1[[#This Row],[Target Return]]-Benchmark1[[#This Row],[Benchmark '#1 Return]],"-"),"-")</f>
        <v>8.6708722800457223E-3</v>
      </c>
      <c r="H339" s="1" t="str">
        <f>IF(COUNTIF(Comp1[Comparable '#1 Dates],Benchmark1[[#This Row],[Benchmark '#1 Dates]])=1,"Pass","Fail")</f>
        <v>Pass</v>
      </c>
      <c r="I339" s="6">
        <f>IF(Benchmark1[[#This Row],[Comparable '#1 Date Check]]="Pass",INDEX(Comp1[Comparable '#1 Price],MATCH(Benchmark1[[#This Row],[Benchmark '#1 Dates]],Comp1[Comparable '#1 Dates],0)),"-")</f>
        <v>15.9</v>
      </c>
      <c r="J339" s="22">
        <f>IF(Benchmark1[[#This Row],[Comparable '#1 Date Check]]="Pass",INDEX(Comp1[Comparable '#1 Return],MATCH(Benchmark1[[#This Row],[Benchmark '#1 Dates]],Comp1[Comparable '#1 Dates],0)),"-")</f>
        <v>-3.1397200046676412E-3</v>
      </c>
      <c r="K339" s="1">
        <f>IFERROR(IF(Benchmark1[[#This Row],[Comparable '#1 Date Check]]="Pass",Benchmark1[[#This Row],[Comparable '#1 Return]]-Benchmark1[[#This Row],[Benchmark '#1 Return]],"-"),"-")</f>
        <v>-1.9520455284365345E-3</v>
      </c>
      <c r="L339" s="1" t="str">
        <f>IF(COUNTIF(Comp2[Comparable '#2 Dates],Benchmark1[[#This Row],[Benchmark '#1 Dates]])=1,"Pass","Fail")</f>
        <v>Pass</v>
      </c>
      <c r="M339" s="6">
        <f>IF(Benchmark1[[#This Row],[Comparable '#2 Date Check]]="Pass",INDEX(Comp2[Comparable '#2 Price],MATCH(Benchmark1[[#This Row],[Benchmark '#1 Dates]],Comp2[Comparable '#2 Dates],0)),"-")</f>
        <v>31.35</v>
      </c>
      <c r="N339" s="22">
        <f>IF(Benchmark1[[#This Row],[Comparable '#2 Date Check]]="Pass",INDEX(Comp2[Comparable '#2 Return],MATCH(Benchmark1[[#This Row],[Benchmark '#1 Dates]],Comp2[Comparable '#2 Dates],0)),"-")</f>
        <v>1.7050437186959998E-2</v>
      </c>
      <c r="O339" s="1">
        <f>IFERROR(IF(Benchmark1[[#This Row],[Comparable '#2 Date Check]]="Pass",Benchmark1[[#This Row],[Comparable '#2 Return]]-Benchmark1[[#This Row],[Benchmark '#1 Return]],"-"),"-")</f>
        <v>1.8238111663191104E-2</v>
      </c>
      <c r="P339" s="1" t="str">
        <f>IF(COUNTIF(Comp3[Comparable '#3 Dates],Benchmark1[[#This Row],[Benchmark '#1 Dates]])=1,"Pass","Fail")</f>
        <v>Pass</v>
      </c>
      <c r="Q339" s="6">
        <f>IF(Benchmark1[[#This Row],[Comparable '#3 Date Check]]="Pass",INDEX(Comp3[Comparable '#3 Price],MATCH(Benchmark1[[#This Row],[Benchmark '#1 Dates]],Comp3[Comparable '#3 Dates],0)),"-")</f>
        <v>123.39</v>
      </c>
      <c r="R339" s="22">
        <f>IF(Benchmark1[[#This Row],[Comparable '#3 Date Check]]="Pass",INDEX(Comp3[Comparable '#3 Return],MATCH(Benchmark1[[#This Row],[Benchmark '#1 Dates]],Comp3[Comparable '#3 Dates],0)),"-")</f>
        <v>3.5723022482409138E-3</v>
      </c>
      <c r="S339" s="1">
        <f>IFERROR(IF(Benchmark1[[#This Row],[Comparable '#3 Date Check]]="Pass",Benchmark1[[#This Row],[Comparable '#3 Return]]-Benchmark1[[#This Row],[Benchmark '#1 Return]],"-"),"-")</f>
        <v>4.7599767244720205E-3</v>
      </c>
    </row>
    <row r="340" spans="1:19">
      <c r="A340" s="103">
        <v>43775</v>
      </c>
      <c r="B340" s="104">
        <v>3076.7753427904145</v>
      </c>
      <c r="C340" s="4">
        <f t="shared" si="5"/>
        <v>7.0209334127446647E-4</v>
      </c>
      <c r="D340" s="1" t="str">
        <f>IF(COUNTIF(Target1[Target Dates],Benchmark1[[#This Row],[Benchmark '#1 Dates]])=1,"Pass","Fail")</f>
        <v>Pass</v>
      </c>
      <c r="E340" s="6">
        <f>IF(Benchmark1[[#This Row],[Target Date Check]]="Pass",INDEX(Target1[Target Price],MATCH(Benchmark1[[#This Row],[Benchmark '#1 Dates]],Target1[Target Dates],0)),"-")</f>
        <v>20.11</v>
      </c>
      <c r="F340" s="22">
        <f>IF(Benchmark1[[#This Row],[Target Date Check]]="Pass",INDEX(Target1[Target Return],MATCH(Benchmark1[[#This Row],[Benchmark '#1 Dates]],Target1[Target Dates],0)),"-")</f>
        <v>-4.9714144697786812E-4</v>
      </c>
      <c r="G340" s="1">
        <f>IFERROR(IF(Benchmark1[[#This Row],[Target Date Check]]="Pass",Benchmark1[[#This Row],[Target Return]]-Benchmark1[[#This Row],[Benchmark '#1 Return]],"-"),"-")</f>
        <v>-1.1992347882523345E-3</v>
      </c>
      <c r="H340" s="1" t="str">
        <f>IF(COUNTIF(Comp1[Comparable '#1 Dates],Benchmark1[[#This Row],[Benchmark '#1 Dates]])=1,"Pass","Fail")</f>
        <v>Pass</v>
      </c>
      <c r="I340" s="6">
        <f>IF(Benchmark1[[#This Row],[Comparable '#1 Date Check]]="Pass",INDEX(Comp1[Comparable '#1 Price],MATCH(Benchmark1[[#This Row],[Benchmark '#1 Dates]],Comp1[Comparable '#1 Dates],0)),"-")</f>
        <v>16.21</v>
      </c>
      <c r="J340" s="22">
        <f>IF(Benchmark1[[#This Row],[Comparable '#1 Date Check]]="Pass",INDEX(Comp1[Comparable '#1 Return],MATCH(Benchmark1[[#This Row],[Benchmark '#1 Dates]],Comp1[Comparable '#1 Dates],0)),"-")</f>
        <v>1.9309226521398999E-2</v>
      </c>
      <c r="K340" s="1">
        <f>IFERROR(IF(Benchmark1[[#This Row],[Comparable '#1 Date Check]]="Pass",Benchmark1[[#This Row],[Comparable '#1 Return]]-Benchmark1[[#This Row],[Benchmark '#1 Return]],"-"),"-")</f>
        <v>1.8607133180124531E-2</v>
      </c>
      <c r="L340" s="1" t="str">
        <f>IF(COUNTIF(Comp2[Comparable '#2 Dates],Benchmark1[[#This Row],[Benchmark '#1 Dates]])=1,"Pass","Fail")</f>
        <v>Pass</v>
      </c>
      <c r="M340" s="6">
        <f>IF(Benchmark1[[#This Row],[Comparable '#2 Date Check]]="Pass",INDEX(Comp2[Comparable '#2 Price],MATCH(Benchmark1[[#This Row],[Benchmark '#1 Dates]],Comp2[Comparable '#2 Dates],0)),"-")</f>
        <v>31.74</v>
      </c>
      <c r="N340" s="22">
        <f>IF(Benchmark1[[#This Row],[Comparable '#2 Date Check]]="Pass",INDEX(Comp2[Comparable '#2 Return],MATCH(Benchmark1[[#This Row],[Benchmark '#1 Dates]],Comp2[Comparable '#2 Dates],0)),"-")</f>
        <v>1.236344801933331E-2</v>
      </c>
      <c r="O340" s="1">
        <f>IFERROR(IF(Benchmark1[[#This Row],[Comparable '#2 Date Check]]="Pass",Benchmark1[[#This Row],[Comparable '#2 Return]]-Benchmark1[[#This Row],[Benchmark '#1 Return]],"-"),"-")</f>
        <v>1.1661354678058844E-2</v>
      </c>
      <c r="P340" s="1" t="str">
        <f>IF(COUNTIF(Comp3[Comparable '#3 Dates],Benchmark1[[#This Row],[Benchmark '#1 Dates]])=1,"Pass","Fail")</f>
        <v>Pass</v>
      </c>
      <c r="Q340" s="6">
        <f>IF(Benchmark1[[#This Row],[Comparable '#3 Date Check]]="Pass",INDEX(Comp3[Comparable '#3 Price],MATCH(Benchmark1[[#This Row],[Benchmark '#1 Dates]],Comp3[Comparable '#3 Dates],0)),"-")</f>
        <v>122.09</v>
      </c>
      <c r="R340" s="22">
        <f>IF(Benchmark1[[#This Row],[Comparable '#3 Date Check]]="Pass",INDEX(Comp3[Comparable '#3 Return],MATCH(Benchmark1[[#This Row],[Benchmark '#1 Dates]],Comp3[Comparable '#3 Dates],0)),"-")</f>
        <v>-1.0591593229678313E-2</v>
      </c>
      <c r="S340" s="1">
        <f>IFERROR(IF(Benchmark1[[#This Row],[Comparable '#3 Date Check]]="Pass",Benchmark1[[#This Row],[Comparable '#3 Return]]-Benchmark1[[#This Row],[Benchmark '#1 Return]],"-"),"-")</f>
        <v>-1.1293686570952779E-2</v>
      </c>
    </row>
    <row r="341" spans="1:19">
      <c r="A341" s="103">
        <v>43776</v>
      </c>
      <c r="B341" s="104">
        <v>3085.1818609346037</v>
      </c>
      <c r="C341" s="4">
        <f t="shared" si="5"/>
        <v>2.7285237731089983E-3</v>
      </c>
      <c r="D341" s="1" t="str">
        <f>IF(COUNTIF(Target1[Target Dates],Benchmark1[[#This Row],[Benchmark '#1 Dates]])=1,"Pass","Fail")</f>
        <v>Pass</v>
      </c>
      <c r="E341" s="6">
        <f>IF(Benchmark1[[#This Row],[Target Date Check]]="Pass",INDEX(Target1[Target Price],MATCH(Benchmark1[[#This Row],[Benchmark '#1 Dates]],Target1[Target Dates],0)),"-")</f>
        <v>19.8</v>
      </c>
      <c r="F341" s="22">
        <f>IF(Benchmark1[[#This Row],[Target Date Check]]="Pass",INDEX(Target1[Target Return],MATCH(Benchmark1[[#This Row],[Benchmark '#1 Dates]],Target1[Target Dates],0)),"-")</f>
        <v>-1.5535266084071039E-2</v>
      </c>
      <c r="G341" s="1">
        <f>IFERROR(IF(Benchmark1[[#This Row],[Target Date Check]]="Pass",Benchmark1[[#This Row],[Target Return]]-Benchmark1[[#This Row],[Benchmark '#1 Return]],"-"),"-")</f>
        <v>-1.8263789857180038E-2</v>
      </c>
      <c r="H341" s="1" t="str">
        <f>IF(COUNTIF(Comp1[Comparable '#1 Dates],Benchmark1[[#This Row],[Benchmark '#1 Dates]])=1,"Pass","Fail")</f>
        <v>Pass</v>
      </c>
      <c r="I341" s="6">
        <f>IF(Benchmark1[[#This Row],[Comparable '#1 Date Check]]="Pass",INDEX(Comp1[Comparable '#1 Price],MATCH(Benchmark1[[#This Row],[Benchmark '#1 Dates]],Comp1[Comparable '#1 Dates],0)),"-")</f>
        <v>16.850000000000001</v>
      </c>
      <c r="J341" s="22">
        <f>IF(Benchmark1[[#This Row],[Comparable '#1 Date Check]]="Pass",INDEX(Comp1[Comparable '#1 Return],MATCH(Benchmark1[[#This Row],[Benchmark '#1 Dates]],Comp1[Comparable '#1 Dates],0)),"-")</f>
        <v>3.8722321050786004E-2</v>
      </c>
      <c r="K341" s="1">
        <f>IFERROR(IF(Benchmark1[[#This Row],[Comparable '#1 Date Check]]="Pass",Benchmark1[[#This Row],[Comparable '#1 Return]]-Benchmark1[[#This Row],[Benchmark '#1 Return]],"-"),"-")</f>
        <v>3.5993797277677007E-2</v>
      </c>
      <c r="L341" s="1" t="str">
        <f>IF(COUNTIF(Comp2[Comparable '#2 Dates],Benchmark1[[#This Row],[Benchmark '#1 Dates]])=1,"Pass","Fail")</f>
        <v>Pass</v>
      </c>
      <c r="M341" s="6">
        <f>IF(Benchmark1[[#This Row],[Comparable '#2 Date Check]]="Pass",INDEX(Comp2[Comparable '#2 Price],MATCH(Benchmark1[[#This Row],[Benchmark '#1 Dates]],Comp2[Comparable '#2 Dates],0)),"-")</f>
        <v>31.82</v>
      </c>
      <c r="N341" s="22">
        <f>IF(Benchmark1[[#This Row],[Comparable '#2 Date Check]]="Pass",INDEX(Comp2[Comparable '#2 Return],MATCH(Benchmark1[[#This Row],[Benchmark '#1 Dates]],Comp2[Comparable '#2 Dates],0)),"-")</f>
        <v>2.5173078113778927E-3</v>
      </c>
      <c r="O341" s="1">
        <f>IFERROR(IF(Benchmark1[[#This Row],[Comparable '#2 Date Check]]="Pass",Benchmark1[[#This Row],[Comparable '#2 Return]]-Benchmark1[[#This Row],[Benchmark '#1 Return]],"-"),"-")</f>
        <v>-2.1121596173110562E-4</v>
      </c>
      <c r="P341" s="1" t="str">
        <f>IF(COUNTIF(Comp3[Comparable '#3 Dates],Benchmark1[[#This Row],[Benchmark '#1 Dates]])=1,"Pass","Fail")</f>
        <v>Pass</v>
      </c>
      <c r="Q341" s="6">
        <f>IF(Benchmark1[[#This Row],[Comparable '#3 Date Check]]="Pass",INDEX(Comp3[Comparable '#3 Price],MATCH(Benchmark1[[#This Row],[Benchmark '#1 Dates]],Comp3[Comparable '#3 Dates],0)),"-")</f>
        <v>132.12</v>
      </c>
      <c r="R341" s="22">
        <f>IF(Benchmark1[[#This Row],[Comparable '#3 Date Check]]="Pass",INDEX(Comp3[Comparable '#3 Return],MATCH(Benchmark1[[#This Row],[Benchmark '#1 Dates]],Comp3[Comparable '#3 Dates],0)),"-")</f>
        <v>7.8952122841824873E-2</v>
      </c>
      <c r="S341" s="1">
        <f>IFERROR(IF(Benchmark1[[#This Row],[Comparable '#3 Date Check]]="Pass",Benchmark1[[#This Row],[Comparable '#3 Return]]-Benchmark1[[#This Row],[Benchmark '#1 Return]],"-"),"-")</f>
        <v>7.6223599068715869E-2</v>
      </c>
    </row>
    <row r="342" spans="1:19">
      <c r="A342" s="103">
        <v>43777</v>
      </c>
      <c r="B342" s="104">
        <v>3093.0848032675412</v>
      </c>
      <c r="C342" s="4">
        <f t="shared" si="5"/>
        <v>2.5583054512930822E-3</v>
      </c>
      <c r="D342" s="1" t="str">
        <f>IF(COUNTIF(Target1[Target Dates],Benchmark1[[#This Row],[Benchmark '#1 Dates]])=1,"Pass","Fail")</f>
        <v>Pass</v>
      </c>
      <c r="E342" s="6">
        <f>IF(Benchmark1[[#This Row],[Target Date Check]]="Pass",INDEX(Target1[Target Price],MATCH(Benchmark1[[#This Row],[Benchmark '#1 Dates]],Target1[Target Dates],0)),"-")</f>
        <v>19.850000000000001</v>
      </c>
      <c r="F342" s="22">
        <f>IF(Benchmark1[[#This Row],[Target Date Check]]="Pass",INDEX(Target1[Target Return],MATCH(Benchmark1[[#This Row],[Benchmark '#1 Dates]],Target1[Target Dates],0)),"-")</f>
        <v>2.5220694327099391E-3</v>
      </c>
      <c r="G342" s="1">
        <f>IFERROR(IF(Benchmark1[[#This Row],[Target Date Check]]="Pass",Benchmark1[[#This Row],[Target Return]]-Benchmark1[[#This Row],[Benchmark '#1 Return]],"-"),"-")</f>
        <v>-3.6236018583143091E-5</v>
      </c>
      <c r="H342" s="1" t="str">
        <f>IF(COUNTIF(Comp1[Comparable '#1 Dates],Benchmark1[[#This Row],[Benchmark '#1 Dates]])=1,"Pass","Fail")</f>
        <v>Pass</v>
      </c>
      <c r="I342" s="6">
        <f>IF(Benchmark1[[#This Row],[Comparable '#1 Date Check]]="Pass",INDEX(Comp1[Comparable '#1 Price],MATCH(Benchmark1[[#This Row],[Benchmark '#1 Dates]],Comp1[Comparable '#1 Dates],0)),"-")</f>
        <v>16.670000000000002</v>
      </c>
      <c r="J342" s="22">
        <f>IF(Benchmark1[[#This Row],[Comparable '#1 Date Check]]="Pass",INDEX(Comp1[Comparable '#1 Return],MATCH(Benchmark1[[#This Row],[Benchmark '#1 Dates]],Comp1[Comparable '#1 Dates],0)),"-")</f>
        <v>-1.0739960035668088E-2</v>
      </c>
      <c r="K342" s="1">
        <f>IFERROR(IF(Benchmark1[[#This Row],[Comparable '#1 Date Check]]="Pass",Benchmark1[[#This Row],[Comparable '#1 Return]]-Benchmark1[[#This Row],[Benchmark '#1 Return]],"-"),"-")</f>
        <v>-1.3298265486961169E-2</v>
      </c>
      <c r="L342" s="1" t="str">
        <f>IF(COUNTIF(Comp2[Comparable '#2 Dates],Benchmark1[[#This Row],[Benchmark '#1 Dates]])=1,"Pass","Fail")</f>
        <v>Pass</v>
      </c>
      <c r="M342" s="6">
        <f>IF(Benchmark1[[#This Row],[Comparable '#2 Date Check]]="Pass",INDEX(Comp2[Comparable '#2 Price],MATCH(Benchmark1[[#This Row],[Benchmark '#1 Dates]],Comp2[Comparable '#2 Dates],0)),"-")</f>
        <v>31.78</v>
      </c>
      <c r="N342" s="22">
        <f>IF(Benchmark1[[#This Row],[Comparable '#2 Date Check]]="Pass",INDEX(Comp2[Comparable '#2 Return],MATCH(Benchmark1[[#This Row],[Benchmark '#1 Dates]],Comp2[Comparable '#2 Dates],0)),"-")</f>
        <v>-1.2578618010708929E-3</v>
      </c>
      <c r="O342" s="1">
        <f>IFERROR(IF(Benchmark1[[#This Row],[Comparable '#2 Date Check]]="Pass",Benchmark1[[#This Row],[Comparable '#2 Return]]-Benchmark1[[#This Row],[Benchmark '#1 Return]],"-"),"-")</f>
        <v>-3.8161672523639749E-3</v>
      </c>
      <c r="P342" s="1" t="str">
        <f>IF(COUNTIF(Comp3[Comparable '#3 Dates],Benchmark1[[#This Row],[Benchmark '#1 Dates]])=1,"Pass","Fail")</f>
        <v>Pass</v>
      </c>
      <c r="Q342" s="6">
        <f>IF(Benchmark1[[#This Row],[Comparable '#3 Date Check]]="Pass",INDEX(Comp3[Comparable '#3 Price],MATCH(Benchmark1[[#This Row],[Benchmark '#1 Dates]],Comp3[Comparable '#3 Dates],0)),"-")</f>
        <v>133.88</v>
      </c>
      <c r="R342" s="22">
        <f>IF(Benchmark1[[#This Row],[Comparable '#3 Date Check]]="Pass",INDEX(Comp3[Comparable '#3 Return],MATCH(Benchmark1[[#This Row],[Benchmark '#1 Dates]],Comp3[Comparable '#3 Dates],0)),"-")</f>
        <v>1.3233275820536858E-2</v>
      </c>
      <c r="S342" s="1">
        <f>IFERROR(IF(Benchmark1[[#This Row],[Comparable '#3 Date Check]]="Pass",Benchmark1[[#This Row],[Comparable '#3 Return]]-Benchmark1[[#This Row],[Benchmark '#1 Return]],"-"),"-")</f>
        <v>1.0674970369243777E-2</v>
      </c>
    </row>
    <row r="343" spans="1:19">
      <c r="A343" s="103">
        <v>43780</v>
      </c>
      <c r="B343" s="104">
        <v>3087.0050177695357</v>
      </c>
      <c r="C343" s="4">
        <f t="shared" si="5"/>
        <v>-1.9675401605509751E-3</v>
      </c>
      <c r="D343" s="1" t="str">
        <f>IF(COUNTIF(Target1[Target Dates],Benchmark1[[#This Row],[Benchmark '#1 Dates]])=1,"Pass","Fail")</f>
        <v>Pass</v>
      </c>
      <c r="E343" s="6">
        <f>IF(Benchmark1[[#This Row],[Target Date Check]]="Pass",INDEX(Target1[Target Price],MATCH(Benchmark1[[#This Row],[Benchmark '#1 Dates]],Target1[Target Dates],0)),"-")</f>
        <v>19.91</v>
      </c>
      <c r="F343" s="22">
        <f>IF(Benchmark1[[#This Row],[Target Date Check]]="Pass",INDEX(Target1[Target Return],MATCH(Benchmark1[[#This Row],[Benchmark '#1 Dates]],Target1[Target Dates],0)),"-")</f>
        <v>3.018110942905332E-3</v>
      </c>
      <c r="G343" s="1">
        <f>IFERROR(IF(Benchmark1[[#This Row],[Target Date Check]]="Pass",Benchmark1[[#This Row],[Target Return]]-Benchmark1[[#This Row],[Benchmark '#1 Return]],"-"),"-")</f>
        <v>4.9856511034563067E-3</v>
      </c>
      <c r="H343" s="1" t="str">
        <f>IF(COUNTIF(Comp1[Comparable '#1 Dates],Benchmark1[[#This Row],[Benchmark '#1 Dates]])=1,"Pass","Fail")</f>
        <v>Pass</v>
      </c>
      <c r="I343" s="6">
        <f>IF(Benchmark1[[#This Row],[Comparable '#1 Date Check]]="Pass",INDEX(Comp1[Comparable '#1 Price],MATCH(Benchmark1[[#This Row],[Benchmark '#1 Dates]],Comp1[Comparable '#1 Dates],0)),"-")</f>
        <v>16.73</v>
      </c>
      <c r="J343" s="22">
        <f>IF(Benchmark1[[#This Row],[Comparable '#1 Date Check]]="Pass",INDEX(Comp1[Comparable '#1 Return],MATCH(Benchmark1[[#This Row],[Benchmark '#1 Dates]],Comp1[Comparable '#1 Dates],0)),"-")</f>
        <v>3.5928182360298049E-3</v>
      </c>
      <c r="K343" s="1">
        <f>IFERROR(IF(Benchmark1[[#This Row],[Comparable '#1 Date Check]]="Pass",Benchmark1[[#This Row],[Comparable '#1 Return]]-Benchmark1[[#This Row],[Benchmark '#1 Return]],"-"),"-")</f>
        <v>5.56035839658078E-3</v>
      </c>
      <c r="L343" s="1" t="str">
        <f>IF(COUNTIF(Comp2[Comparable '#2 Dates],Benchmark1[[#This Row],[Benchmark '#1 Dates]])=1,"Pass","Fail")</f>
        <v>Pass</v>
      </c>
      <c r="M343" s="6">
        <f>IF(Benchmark1[[#This Row],[Comparable '#2 Date Check]]="Pass",INDEX(Comp2[Comparable '#2 Price],MATCH(Benchmark1[[#This Row],[Benchmark '#1 Dates]],Comp2[Comparable '#2 Dates],0)),"-")</f>
        <v>31.99</v>
      </c>
      <c r="N343" s="22">
        <f>IF(Benchmark1[[#This Row],[Comparable '#2 Date Check]]="Pass",INDEX(Comp2[Comparable '#2 Return],MATCH(Benchmark1[[#This Row],[Benchmark '#1 Dates]],Comp2[Comparable '#2 Dates],0)),"-")</f>
        <v>6.5861928528566554E-3</v>
      </c>
      <c r="O343" s="1">
        <f>IFERROR(IF(Benchmark1[[#This Row],[Comparable '#2 Date Check]]="Pass",Benchmark1[[#This Row],[Comparable '#2 Return]]-Benchmark1[[#This Row],[Benchmark '#1 Return]],"-"),"-")</f>
        <v>8.55373301340763E-3</v>
      </c>
      <c r="P343" s="1" t="str">
        <f>IF(COUNTIF(Comp3[Comparable '#3 Dates],Benchmark1[[#This Row],[Benchmark '#1 Dates]])=1,"Pass","Fail")</f>
        <v>Pass</v>
      </c>
      <c r="Q343" s="6">
        <f>IF(Benchmark1[[#This Row],[Comparable '#3 Date Check]]="Pass",INDEX(Comp3[Comparable '#3 Price],MATCH(Benchmark1[[#This Row],[Benchmark '#1 Dates]],Comp3[Comparable '#3 Dates],0)),"-")</f>
        <v>138.54</v>
      </c>
      <c r="R343" s="22">
        <f>IF(Benchmark1[[#This Row],[Comparable '#3 Date Check]]="Pass",INDEX(Comp3[Comparable '#3 Return],MATCH(Benchmark1[[#This Row],[Benchmark '#1 Dates]],Comp3[Comparable '#3 Dates],0)),"-")</f>
        <v>3.42152162513331E-2</v>
      </c>
      <c r="S343" s="1">
        <f>IFERROR(IF(Benchmark1[[#This Row],[Comparable '#3 Date Check]]="Pass",Benchmark1[[#This Row],[Comparable '#3 Return]]-Benchmark1[[#This Row],[Benchmark '#1 Return]],"-"),"-")</f>
        <v>3.6182756411884072E-2</v>
      </c>
    </row>
    <row r="344" spans="1:19">
      <c r="A344" s="103">
        <v>43781</v>
      </c>
      <c r="B344" s="104">
        <v>3091.839016023886</v>
      </c>
      <c r="C344" s="4">
        <f t="shared" si="5"/>
        <v>1.5646937239893874E-3</v>
      </c>
      <c r="D344" s="1" t="str">
        <f>IF(COUNTIF(Target1[Target Dates],Benchmark1[[#This Row],[Benchmark '#1 Dates]])=1,"Pass","Fail")</f>
        <v>Pass</v>
      </c>
      <c r="E344" s="6">
        <f>IF(Benchmark1[[#This Row],[Target Date Check]]="Pass",INDEX(Target1[Target Price],MATCH(Benchmark1[[#This Row],[Benchmark '#1 Dates]],Target1[Target Dates],0)),"-")</f>
        <v>19.97</v>
      </c>
      <c r="F344" s="22">
        <f>IF(Benchmark1[[#This Row],[Target Date Check]]="Pass",INDEX(Target1[Target Return],MATCH(Benchmark1[[#This Row],[Benchmark '#1 Dates]],Target1[Target Dates],0)),"-")</f>
        <v>3.0090293516188771E-3</v>
      </c>
      <c r="G344" s="1">
        <f>IFERROR(IF(Benchmark1[[#This Row],[Target Date Check]]="Pass",Benchmark1[[#This Row],[Target Return]]-Benchmark1[[#This Row],[Benchmark '#1 Return]],"-"),"-")</f>
        <v>1.4443356276294898E-3</v>
      </c>
      <c r="H344" s="1" t="str">
        <f>IF(COUNTIF(Comp1[Comparable '#1 Dates],Benchmark1[[#This Row],[Benchmark '#1 Dates]])=1,"Pass","Fail")</f>
        <v>Pass</v>
      </c>
      <c r="I344" s="6">
        <f>IF(Benchmark1[[#This Row],[Comparable '#1 Date Check]]="Pass",INDEX(Comp1[Comparable '#1 Price],MATCH(Benchmark1[[#This Row],[Benchmark '#1 Dates]],Comp1[Comparable '#1 Dates],0)),"-")</f>
        <v>16.79</v>
      </c>
      <c r="J344" s="22">
        <f>IF(Benchmark1[[#This Row],[Comparable '#1 Date Check]]="Pass",INDEX(Comp1[Comparable '#1 Return],MATCH(Benchmark1[[#This Row],[Benchmark '#1 Dates]],Comp1[Comparable '#1 Dates],0)),"-")</f>
        <v>3.5799560907166833E-3</v>
      </c>
      <c r="K344" s="1">
        <f>IFERROR(IF(Benchmark1[[#This Row],[Comparable '#1 Date Check]]="Pass",Benchmark1[[#This Row],[Comparable '#1 Return]]-Benchmark1[[#This Row],[Benchmark '#1 Return]],"-"),"-")</f>
        <v>2.015262366727296E-3</v>
      </c>
      <c r="L344" s="1" t="str">
        <f>IF(COUNTIF(Comp2[Comparable '#2 Dates],Benchmark1[[#This Row],[Benchmark '#1 Dates]])=1,"Pass","Fail")</f>
        <v>Pass</v>
      </c>
      <c r="M344" s="6">
        <f>IF(Benchmark1[[#This Row],[Comparable '#2 Date Check]]="Pass",INDEX(Comp2[Comparable '#2 Price],MATCH(Benchmark1[[#This Row],[Benchmark '#1 Dates]],Comp2[Comparable '#2 Dates],0)),"-")</f>
        <v>32.54</v>
      </c>
      <c r="N344" s="22">
        <f>IF(Benchmark1[[#This Row],[Comparable '#2 Date Check]]="Pass",INDEX(Comp2[Comparable '#2 Return],MATCH(Benchmark1[[#This Row],[Benchmark '#1 Dates]],Comp2[Comparable '#2 Dates],0)),"-")</f>
        <v>1.704674782946513E-2</v>
      </c>
      <c r="O344" s="1">
        <f>IFERROR(IF(Benchmark1[[#This Row],[Comparable '#2 Date Check]]="Pass",Benchmark1[[#This Row],[Comparable '#2 Return]]-Benchmark1[[#This Row],[Benchmark '#1 Return]],"-"),"-")</f>
        <v>1.5482054105475741E-2</v>
      </c>
      <c r="P344" s="1" t="str">
        <f>IF(COUNTIF(Comp3[Comparable '#3 Dates],Benchmark1[[#This Row],[Benchmark '#1 Dates]])=1,"Pass","Fail")</f>
        <v>Pass</v>
      </c>
      <c r="Q344" s="6">
        <f>IF(Benchmark1[[#This Row],[Comparable '#3 Date Check]]="Pass",INDEX(Comp3[Comparable '#3 Price],MATCH(Benchmark1[[#This Row],[Benchmark '#1 Dates]],Comp3[Comparable '#3 Dates],0)),"-")</f>
        <v>138.27000000000001</v>
      </c>
      <c r="R344" s="22">
        <f>IF(Benchmark1[[#This Row],[Comparable '#3 Date Check]]="Pass",INDEX(Comp3[Comparable '#3 Return],MATCH(Benchmark1[[#This Row],[Benchmark '#1 Dates]],Comp3[Comparable '#3 Dates],0)),"-")</f>
        <v>-1.9507971939322596E-3</v>
      </c>
      <c r="S344" s="1">
        <f>IFERROR(IF(Benchmark1[[#This Row],[Comparable '#3 Date Check]]="Pass",Benchmark1[[#This Row],[Comparable '#3 Return]]-Benchmark1[[#This Row],[Benchmark '#1 Return]],"-"),"-")</f>
        <v>-3.5154909179216471E-3</v>
      </c>
    </row>
    <row r="345" spans="1:19">
      <c r="A345" s="103">
        <v>43782</v>
      </c>
      <c r="B345" s="104">
        <v>3094.0353401605175</v>
      </c>
      <c r="C345" s="4">
        <f t="shared" si="5"/>
        <v>7.1010955039149009E-4</v>
      </c>
      <c r="D345" s="1" t="str">
        <f>IF(COUNTIF(Target1[Target Dates],Benchmark1[[#This Row],[Benchmark '#1 Dates]])=1,"Pass","Fail")</f>
        <v>Pass</v>
      </c>
      <c r="E345" s="6">
        <f>IF(Benchmark1[[#This Row],[Target Date Check]]="Pass",INDEX(Target1[Target Price],MATCH(Benchmark1[[#This Row],[Benchmark '#1 Dates]],Target1[Target Dates],0)),"-")</f>
        <v>19.829999999999998</v>
      </c>
      <c r="F345" s="22">
        <f>IF(Benchmark1[[#This Row],[Target Date Check]]="Pass",INDEX(Target1[Target Return],MATCH(Benchmark1[[#This Row],[Benchmark '#1 Dates]],Target1[Target Dates],0)),"-")</f>
        <v>-7.0352048960192672E-3</v>
      </c>
      <c r="G345" s="1">
        <f>IFERROR(IF(Benchmark1[[#This Row],[Target Date Check]]="Pass",Benchmark1[[#This Row],[Target Return]]-Benchmark1[[#This Row],[Benchmark '#1 Return]],"-"),"-")</f>
        <v>-7.745314446410757E-3</v>
      </c>
      <c r="H345" s="1" t="str">
        <f>IF(COUNTIF(Comp1[Comparable '#1 Dates],Benchmark1[[#This Row],[Benchmark '#1 Dates]])=1,"Pass","Fail")</f>
        <v>Pass</v>
      </c>
      <c r="I345" s="6">
        <f>IF(Benchmark1[[#This Row],[Comparable '#1 Date Check]]="Pass",INDEX(Comp1[Comparable '#1 Price],MATCH(Benchmark1[[#This Row],[Benchmark '#1 Dates]],Comp1[Comparable '#1 Dates],0)),"-")</f>
        <v>16.84</v>
      </c>
      <c r="J345" s="22">
        <f>IF(Benchmark1[[#This Row],[Comparable '#1 Date Check]]="Pass",INDEX(Comp1[Comparable '#1 Return],MATCH(Benchmark1[[#This Row],[Benchmark '#1 Dates]],Comp1[Comparable '#1 Dates],0)),"-")</f>
        <v>2.9735377247313631E-3</v>
      </c>
      <c r="K345" s="1">
        <f>IFERROR(IF(Benchmark1[[#This Row],[Comparable '#1 Date Check]]="Pass",Benchmark1[[#This Row],[Comparable '#1 Return]]-Benchmark1[[#This Row],[Benchmark '#1 Return]],"-"),"-")</f>
        <v>2.2634281743398729E-3</v>
      </c>
      <c r="L345" s="1" t="str">
        <f>IF(COUNTIF(Comp2[Comparable '#2 Dates],Benchmark1[[#This Row],[Benchmark '#1 Dates]])=1,"Pass","Fail")</f>
        <v>Pass</v>
      </c>
      <c r="M345" s="6">
        <f>IF(Benchmark1[[#This Row],[Comparable '#2 Date Check]]="Pass",INDEX(Comp2[Comparable '#2 Price],MATCH(Benchmark1[[#This Row],[Benchmark '#1 Dates]],Comp2[Comparable '#2 Dates],0)),"-")</f>
        <v>32.380000000000003</v>
      </c>
      <c r="N345" s="22">
        <f>IF(Benchmark1[[#This Row],[Comparable '#2 Date Check]]="Pass",INDEX(Comp2[Comparable '#2 Return],MATCH(Benchmark1[[#This Row],[Benchmark '#1 Dates]],Comp2[Comparable '#2 Dates],0)),"-")</f>
        <v>-4.9291535414025291E-3</v>
      </c>
      <c r="O345" s="1">
        <f>IFERROR(IF(Benchmark1[[#This Row],[Comparable '#2 Date Check]]="Pass",Benchmark1[[#This Row],[Comparable '#2 Return]]-Benchmark1[[#This Row],[Benchmark '#1 Return]],"-"),"-")</f>
        <v>-5.6392630917940188E-3</v>
      </c>
      <c r="P345" s="1" t="str">
        <f>IF(COUNTIF(Comp3[Comparable '#3 Dates],Benchmark1[[#This Row],[Benchmark '#1 Dates]])=1,"Pass","Fail")</f>
        <v>Pass</v>
      </c>
      <c r="Q345" s="6">
        <f>IF(Benchmark1[[#This Row],[Comparable '#3 Date Check]]="Pass",INDEX(Comp3[Comparable '#3 Price],MATCH(Benchmark1[[#This Row],[Benchmark '#1 Dates]],Comp3[Comparable '#3 Dates],0)),"-")</f>
        <v>135.43</v>
      </c>
      <c r="R345" s="22">
        <f>IF(Benchmark1[[#This Row],[Comparable '#3 Date Check]]="Pass",INDEX(Comp3[Comparable '#3 Return],MATCH(Benchmark1[[#This Row],[Benchmark '#1 Dates]],Comp3[Comparable '#3 Dates],0)),"-")</f>
        <v>-2.0753393733246701E-2</v>
      </c>
      <c r="S345" s="1">
        <f>IFERROR(IF(Benchmark1[[#This Row],[Comparable '#3 Date Check]]="Pass",Benchmark1[[#This Row],[Comparable '#3 Return]]-Benchmark1[[#This Row],[Benchmark '#1 Return]],"-"),"-")</f>
        <v>-2.1463503283638191E-2</v>
      </c>
    </row>
    <row r="346" spans="1:19">
      <c r="A346" s="103">
        <v>43783</v>
      </c>
      <c r="B346" s="104">
        <v>3096.6331268924378</v>
      </c>
      <c r="C346" s="4">
        <f t="shared" si="5"/>
        <v>8.3925892598714629E-4</v>
      </c>
      <c r="D346" s="1" t="str">
        <f>IF(COUNTIF(Target1[Target Dates],Benchmark1[[#This Row],[Benchmark '#1 Dates]])=1,"Pass","Fail")</f>
        <v>Pass</v>
      </c>
      <c r="E346" s="6">
        <f>IF(Benchmark1[[#This Row],[Target Date Check]]="Pass",INDEX(Target1[Target Price],MATCH(Benchmark1[[#This Row],[Benchmark '#1 Dates]],Target1[Target Dates],0)),"-")</f>
        <v>20.05</v>
      </c>
      <c r="F346" s="22">
        <f>IF(Benchmark1[[#This Row],[Target Date Check]]="Pass",INDEX(Target1[Target Return],MATCH(Benchmark1[[#This Row],[Benchmark '#1 Dates]],Target1[Target Dates],0)),"-")</f>
        <v>1.103321122087369E-2</v>
      </c>
      <c r="G346" s="1">
        <f>IFERROR(IF(Benchmark1[[#This Row],[Target Date Check]]="Pass",Benchmark1[[#This Row],[Target Return]]-Benchmark1[[#This Row],[Benchmark '#1 Return]],"-"),"-")</f>
        <v>1.0193952294886543E-2</v>
      </c>
      <c r="H346" s="1" t="str">
        <f>IF(COUNTIF(Comp1[Comparable '#1 Dates],Benchmark1[[#This Row],[Benchmark '#1 Dates]])=1,"Pass","Fail")</f>
        <v>Pass</v>
      </c>
      <c r="I346" s="6">
        <f>IF(Benchmark1[[#This Row],[Comparable '#1 Date Check]]="Pass",INDEX(Comp1[Comparable '#1 Price],MATCH(Benchmark1[[#This Row],[Benchmark '#1 Dates]],Comp1[Comparable '#1 Dates],0)),"-")</f>
        <v>16.809999999999999</v>
      </c>
      <c r="J346" s="22">
        <f>IF(Benchmark1[[#This Row],[Comparable '#1 Date Check]]="Pass",INDEX(Comp1[Comparable '#1 Return],MATCH(Benchmark1[[#This Row],[Benchmark '#1 Dates]],Comp1[Comparable '#1 Dates],0)),"-")</f>
        <v>-1.7830613936564903E-3</v>
      </c>
      <c r="K346" s="1">
        <f>IFERROR(IF(Benchmark1[[#This Row],[Comparable '#1 Date Check]]="Pass",Benchmark1[[#This Row],[Comparable '#1 Return]]-Benchmark1[[#This Row],[Benchmark '#1 Return]],"-"),"-")</f>
        <v>-2.6223203196436367E-3</v>
      </c>
      <c r="L346" s="1" t="str">
        <f>IF(COUNTIF(Comp2[Comparable '#2 Dates],Benchmark1[[#This Row],[Benchmark '#1 Dates]])=1,"Pass","Fail")</f>
        <v>Pass</v>
      </c>
      <c r="M346" s="6">
        <f>IF(Benchmark1[[#This Row],[Comparable '#2 Date Check]]="Pass",INDEX(Comp2[Comparable '#2 Price],MATCH(Benchmark1[[#This Row],[Benchmark '#1 Dates]],Comp2[Comparable '#2 Dates],0)),"-")</f>
        <v>33.119999999999997</v>
      </c>
      <c r="N346" s="22">
        <f>IF(Benchmark1[[#This Row],[Comparable '#2 Date Check]]="Pass",INDEX(Comp2[Comparable '#2 Return],MATCH(Benchmark1[[#This Row],[Benchmark '#1 Dates]],Comp2[Comparable '#2 Dates],0)),"-")</f>
        <v>2.2596381267569663E-2</v>
      </c>
      <c r="O346" s="1">
        <f>IFERROR(IF(Benchmark1[[#This Row],[Comparable '#2 Date Check]]="Pass",Benchmark1[[#This Row],[Comparable '#2 Return]]-Benchmark1[[#This Row],[Benchmark '#1 Return]],"-"),"-")</f>
        <v>2.1757122341582516E-2</v>
      </c>
      <c r="P346" s="1" t="str">
        <f>IF(COUNTIF(Comp3[Comparable '#3 Dates],Benchmark1[[#This Row],[Benchmark '#1 Dates]])=1,"Pass","Fail")</f>
        <v>Pass</v>
      </c>
      <c r="Q346" s="6">
        <f>IF(Benchmark1[[#This Row],[Comparable '#3 Date Check]]="Pass",INDEX(Comp3[Comparable '#3 Price],MATCH(Benchmark1[[#This Row],[Benchmark '#1 Dates]],Comp3[Comparable '#3 Dates],0)),"-")</f>
        <v>136.38</v>
      </c>
      <c r="R346" s="22">
        <f>IF(Benchmark1[[#This Row],[Comparable '#3 Date Check]]="Pass",INDEX(Comp3[Comparable '#3 Return],MATCH(Benchmark1[[#This Row],[Benchmark '#1 Dates]],Comp3[Comparable '#3 Dates],0)),"-")</f>
        <v>6.9902054252267073E-3</v>
      </c>
      <c r="S346" s="1">
        <f>IFERROR(IF(Benchmark1[[#This Row],[Comparable '#3 Date Check]]="Pass",Benchmark1[[#This Row],[Comparable '#3 Return]]-Benchmark1[[#This Row],[Benchmark '#1 Return]],"-"),"-")</f>
        <v>6.1509464992395612E-3</v>
      </c>
    </row>
    <row r="347" spans="1:19">
      <c r="A347" s="103">
        <v>43784</v>
      </c>
      <c r="B347" s="104">
        <v>3120.4604032335037</v>
      </c>
      <c r="C347" s="4">
        <f t="shared" si="5"/>
        <v>7.6651229028565741E-3</v>
      </c>
      <c r="D347" s="1" t="str">
        <f>IF(COUNTIF(Target1[Target Dates],Benchmark1[[#This Row],[Benchmark '#1 Dates]])=1,"Pass","Fail")</f>
        <v>Pass</v>
      </c>
      <c r="E347" s="6">
        <f>IF(Benchmark1[[#This Row],[Target Date Check]]="Pass",INDEX(Target1[Target Price],MATCH(Benchmark1[[#This Row],[Benchmark '#1 Dates]],Target1[Target Dates],0)),"-")</f>
        <v>20.170000000000002</v>
      </c>
      <c r="F347" s="22">
        <f>IF(Benchmark1[[#This Row],[Target Date Check]]="Pass",INDEX(Target1[Target Return],MATCH(Benchmark1[[#This Row],[Benchmark '#1 Dates]],Target1[Target Dates],0)),"-")</f>
        <v>5.9671982135422385E-3</v>
      </c>
      <c r="G347" s="1">
        <f>IFERROR(IF(Benchmark1[[#This Row],[Target Date Check]]="Pass",Benchmark1[[#This Row],[Target Return]]-Benchmark1[[#This Row],[Benchmark '#1 Return]],"-"),"-")</f>
        <v>-1.6979246893143356E-3</v>
      </c>
      <c r="H347" s="1" t="str">
        <f>IF(COUNTIF(Comp1[Comparable '#1 Dates],Benchmark1[[#This Row],[Benchmark '#1 Dates]])=1,"Pass","Fail")</f>
        <v>Pass</v>
      </c>
      <c r="I347" s="6">
        <f>IF(Benchmark1[[#This Row],[Comparable '#1 Date Check]]="Pass",INDEX(Comp1[Comparable '#1 Price],MATCH(Benchmark1[[#This Row],[Benchmark '#1 Dates]],Comp1[Comparable '#1 Dates],0)),"-")</f>
        <v>16.78</v>
      </c>
      <c r="J347" s="22">
        <f>IF(Benchmark1[[#This Row],[Comparable '#1 Date Check]]="Pass",INDEX(Comp1[Comparable '#1 Return],MATCH(Benchmark1[[#This Row],[Benchmark '#1 Dates]],Comp1[Comparable '#1 Dates],0)),"-")</f>
        <v>-1.7862463814639926E-3</v>
      </c>
      <c r="K347" s="1">
        <f>IFERROR(IF(Benchmark1[[#This Row],[Comparable '#1 Date Check]]="Pass",Benchmark1[[#This Row],[Comparable '#1 Return]]-Benchmark1[[#This Row],[Benchmark '#1 Return]],"-"),"-")</f>
        <v>-9.4513692843205665E-3</v>
      </c>
      <c r="L347" s="1" t="str">
        <f>IF(COUNTIF(Comp2[Comparable '#2 Dates],Benchmark1[[#This Row],[Benchmark '#1 Dates]])=1,"Pass","Fail")</f>
        <v>Pass</v>
      </c>
      <c r="M347" s="6">
        <f>IF(Benchmark1[[#This Row],[Comparable '#2 Date Check]]="Pass",INDEX(Comp2[Comparable '#2 Price],MATCH(Benchmark1[[#This Row],[Benchmark '#1 Dates]],Comp2[Comparable '#2 Dates],0)),"-")</f>
        <v>33.6</v>
      </c>
      <c r="N347" s="22">
        <f>IF(Benchmark1[[#This Row],[Comparable '#2 Date Check]]="Pass",INDEX(Comp2[Comparable '#2 Return],MATCH(Benchmark1[[#This Row],[Benchmark '#1 Dates]],Comp2[Comparable '#2 Dates],0)),"-")</f>
        <v>1.4388737452099671E-2</v>
      </c>
      <c r="O347" s="1">
        <f>IFERROR(IF(Benchmark1[[#This Row],[Comparable '#2 Date Check]]="Pass",Benchmark1[[#This Row],[Comparable '#2 Return]]-Benchmark1[[#This Row],[Benchmark '#1 Return]],"-"),"-")</f>
        <v>6.7236145492430965E-3</v>
      </c>
      <c r="P347" s="1" t="str">
        <f>IF(COUNTIF(Comp3[Comparable '#3 Dates],Benchmark1[[#This Row],[Benchmark '#1 Dates]])=1,"Pass","Fail")</f>
        <v>Pass</v>
      </c>
      <c r="Q347" s="6">
        <f>IF(Benchmark1[[#This Row],[Comparable '#3 Date Check]]="Pass",INDEX(Comp3[Comparable '#3 Price],MATCH(Benchmark1[[#This Row],[Benchmark '#1 Dates]],Comp3[Comparable '#3 Dates],0)),"-")</f>
        <v>138.54</v>
      </c>
      <c r="R347" s="22">
        <f>IF(Benchmark1[[#This Row],[Comparable '#3 Date Check]]="Pass",INDEX(Comp3[Comparable '#3 Return],MATCH(Benchmark1[[#This Row],[Benchmark '#1 Dates]],Comp3[Comparable '#3 Dates],0)),"-")</f>
        <v>1.5713985501952205E-2</v>
      </c>
      <c r="S347" s="1">
        <f>IFERROR(IF(Benchmark1[[#This Row],[Comparable '#3 Date Check]]="Pass",Benchmark1[[#This Row],[Comparable '#3 Return]]-Benchmark1[[#This Row],[Benchmark '#1 Return]],"-"),"-")</f>
        <v>8.0488625990956311E-3</v>
      </c>
    </row>
    <row r="348" spans="1:19">
      <c r="A348" s="103">
        <v>43787</v>
      </c>
      <c r="B348" s="104">
        <v>3122.028006676167</v>
      </c>
      <c r="C348" s="4">
        <f t="shared" si="5"/>
        <v>5.0223672762491559E-4</v>
      </c>
      <c r="D348" s="1" t="str">
        <f>IF(COUNTIF(Target1[Target Dates],Benchmark1[[#This Row],[Benchmark '#1 Dates]])=1,"Pass","Fail")</f>
        <v>Pass</v>
      </c>
      <c r="E348" s="6">
        <f>IF(Benchmark1[[#This Row],[Target Date Check]]="Pass",INDEX(Target1[Target Price],MATCH(Benchmark1[[#This Row],[Benchmark '#1 Dates]],Target1[Target Dates],0)),"-")</f>
        <v>20.13</v>
      </c>
      <c r="F348" s="22">
        <f>IF(Benchmark1[[#This Row],[Target Date Check]]="Pass",INDEX(Target1[Target Return],MATCH(Benchmark1[[#This Row],[Benchmark '#1 Dates]],Target1[Target Dates],0)),"-")</f>
        <v>-1.9851123144204075E-3</v>
      </c>
      <c r="G348" s="1">
        <f>IFERROR(IF(Benchmark1[[#This Row],[Target Date Check]]="Pass",Benchmark1[[#This Row],[Target Return]]-Benchmark1[[#This Row],[Benchmark '#1 Return]],"-"),"-")</f>
        <v>-2.4873490420453232E-3</v>
      </c>
      <c r="H348" s="1" t="str">
        <f>IF(COUNTIF(Comp1[Comparable '#1 Dates],Benchmark1[[#This Row],[Benchmark '#1 Dates]])=1,"Pass","Fail")</f>
        <v>Pass</v>
      </c>
      <c r="I348" s="6">
        <f>IF(Benchmark1[[#This Row],[Comparable '#1 Date Check]]="Pass",INDEX(Comp1[Comparable '#1 Price],MATCH(Benchmark1[[#This Row],[Benchmark '#1 Dates]],Comp1[Comparable '#1 Dates],0)),"-")</f>
        <v>16.809999999999999</v>
      </c>
      <c r="J348" s="22">
        <f>IF(Benchmark1[[#This Row],[Comparable '#1 Date Check]]="Pass",INDEX(Comp1[Comparable '#1 Return],MATCH(Benchmark1[[#This Row],[Benchmark '#1 Dates]],Comp1[Comparable '#1 Dates],0)),"-")</f>
        <v>1.7862463814640643E-3</v>
      </c>
      <c r="K348" s="1">
        <f>IFERROR(IF(Benchmark1[[#This Row],[Comparable '#1 Date Check]]="Pass",Benchmark1[[#This Row],[Comparable '#1 Return]]-Benchmark1[[#This Row],[Benchmark '#1 Return]],"-"),"-")</f>
        <v>1.2840096538391486E-3</v>
      </c>
      <c r="L348" s="1" t="str">
        <f>IF(COUNTIF(Comp2[Comparable '#2 Dates],Benchmark1[[#This Row],[Benchmark '#1 Dates]])=1,"Pass","Fail")</f>
        <v>Pass</v>
      </c>
      <c r="M348" s="6">
        <f>IF(Benchmark1[[#This Row],[Comparable '#2 Date Check]]="Pass",INDEX(Comp2[Comparable '#2 Price],MATCH(Benchmark1[[#This Row],[Benchmark '#1 Dates]],Comp2[Comparable '#2 Dates],0)),"-")</f>
        <v>34.04</v>
      </c>
      <c r="N348" s="22">
        <f>IF(Benchmark1[[#This Row],[Comparable '#2 Date Check]]="Pass",INDEX(Comp2[Comparable '#2 Return],MATCH(Benchmark1[[#This Row],[Benchmark '#1 Dates]],Comp2[Comparable '#2 Dates],0)),"-")</f>
        <v>1.301023673601479E-2</v>
      </c>
      <c r="O348" s="1">
        <f>IFERROR(IF(Benchmark1[[#This Row],[Comparable '#2 Date Check]]="Pass",Benchmark1[[#This Row],[Comparable '#2 Return]]-Benchmark1[[#This Row],[Benchmark '#1 Return]],"-"),"-")</f>
        <v>1.2508000008389876E-2</v>
      </c>
      <c r="P348" s="1" t="str">
        <f>IF(COUNTIF(Comp3[Comparable '#3 Dates],Benchmark1[[#This Row],[Benchmark '#1 Dates]])=1,"Pass","Fail")</f>
        <v>Pass</v>
      </c>
      <c r="Q348" s="6">
        <f>IF(Benchmark1[[#This Row],[Comparable '#3 Date Check]]="Pass",INDEX(Comp3[Comparable '#3 Price],MATCH(Benchmark1[[#This Row],[Benchmark '#1 Dates]],Comp3[Comparable '#3 Dates],0)),"-")</f>
        <v>137.81</v>
      </c>
      <c r="R348" s="22">
        <f>IF(Benchmark1[[#This Row],[Comparable '#3 Date Check]]="Pass",INDEX(Comp3[Comparable '#3 Return],MATCH(Benchmark1[[#This Row],[Benchmark '#1 Dates]],Comp3[Comparable '#3 Dates],0)),"-")</f>
        <v>-5.2831677074054381E-3</v>
      </c>
      <c r="S348" s="1">
        <f>IFERROR(IF(Benchmark1[[#This Row],[Comparable '#3 Date Check]]="Pass",Benchmark1[[#This Row],[Comparable '#3 Return]]-Benchmark1[[#This Row],[Benchmark '#1 Return]],"-"),"-")</f>
        <v>-5.7854044350303538E-3</v>
      </c>
    </row>
    <row r="349" spans="1:19">
      <c r="A349" s="103">
        <v>43788</v>
      </c>
      <c r="B349" s="104">
        <v>3120.1812842673753</v>
      </c>
      <c r="C349" s="4">
        <f t="shared" si="5"/>
        <v>-5.9168873602123521E-4</v>
      </c>
      <c r="D349" s="1" t="str">
        <f>IF(COUNTIF(Target1[Target Dates],Benchmark1[[#This Row],[Benchmark '#1 Dates]])=1,"Pass","Fail")</f>
        <v>Pass</v>
      </c>
      <c r="E349" s="6">
        <f>IF(Benchmark1[[#This Row],[Target Date Check]]="Pass",INDEX(Target1[Target Price],MATCH(Benchmark1[[#This Row],[Benchmark '#1 Dates]],Target1[Target Dates],0)),"-")</f>
        <v>19.66</v>
      </c>
      <c r="F349" s="22">
        <f>IF(Benchmark1[[#This Row],[Target Date Check]]="Pass",INDEX(Target1[Target Return],MATCH(Benchmark1[[#This Row],[Benchmark '#1 Dates]],Target1[Target Dates],0)),"-")</f>
        <v>-2.3625124932679618E-2</v>
      </c>
      <c r="G349" s="1">
        <f>IFERROR(IF(Benchmark1[[#This Row],[Target Date Check]]="Pass",Benchmark1[[#This Row],[Target Return]]-Benchmark1[[#This Row],[Benchmark '#1 Return]],"-"),"-")</f>
        <v>-2.3033436196658381E-2</v>
      </c>
      <c r="H349" s="1" t="str">
        <f>IF(COUNTIF(Comp1[Comparable '#1 Dates],Benchmark1[[#This Row],[Benchmark '#1 Dates]])=1,"Pass","Fail")</f>
        <v>Pass</v>
      </c>
      <c r="I349" s="6">
        <f>IF(Benchmark1[[#This Row],[Comparable '#1 Date Check]]="Pass",INDEX(Comp1[Comparable '#1 Price],MATCH(Benchmark1[[#This Row],[Benchmark '#1 Dates]],Comp1[Comparable '#1 Dates],0)),"-")</f>
        <v>16.62</v>
      </c>
      <c r="J349" s="22">
        <f>IF(Benchmark1[[#This Row],[Comparable '#1 Date Check]]="Pass",INDEX(Comp1[Comparable '#1 Return],MATCH(Benchmark1[[#This Row],[Benchmark '#1 Dates]],Comp1[Comparable '#1 Dates],0)),"-")</f>
        <v>-1.1367157993221959E-2</v>
      </c>
      <c r="K349" s="1">
        <f>IFERROR(IF(Benchmark1[[#This Row],[Comparable '#1 Date Check]]="Pass",Benchmark1[[#This Row],[Comparable '#1 Return]]-Benchmark1[[#This Row],[Benchmark '#1 Return]],"-"),"-")</f>
        <v>-1.0775469257200724E-2</v>
      </c>
      <c r="L349" s="1" t="str">
        <f>IF(COUNTIF(Comp2[Comparable '#2 Dates],Benchmark1[[#This Row],[Benchmark '#1 Dates]])=1,"Pass","Fail")</f>
        <v>Pass</v>
      </c>
      <c r="M349" s="6">
        <f>IF(Benchmark1[[#This Row],[Comparable '#2 Date Check]]="Pass",INDEX(Comp2[Comparable '#2 Price],MATCH(Benchmark1[[#This Row],[Benchmark '#1 Dates]],Comp2[Comparable '#2 Dates],0)),"-")</f>
        <v>34.36</v>
      </c>
      <c r="N349" s="22">
        <f>IF(Benchmark1[[#This Row],[Comparable '#2 Date Check]]="Pass",INDEX(Comp2[Comparable '#2 Return],MATCH(Benchmark1[[#This Row],[Benchmark '#1 Dates]],Comp2[Comparable '#2 Dates],0)),"-")</f>
        <v>9.3567934108813137E-3</v>
      </c>
      <c r="O349" s="1">
        <f>IFERROR(IF(Benchmark1[[#This Row],[Comparable '#2 Date Check]]="Pass",Benchmark1[[#This Row],[Comparable '#2 Return]]-Benchmark1[[#This Row],[Benchmark '#1 Return]],"-"),"-")</f>
        <v>9.948482146902549E-3</v>
      </c>
      <c r="P349" s="1" t="str">
        <f>IF(COUNTIF(Comp3[Comparable '#3 Dates],Benchmark1[[#This Row],[Benchmark '#1 Dates]])=1,"Pass","Fail")</f>
        <v>Pass</v>
      </c>
      <c r="Q349" s="6">
        <f>IF(Benchmark1[[#This Row],[Comparable '#3 Date Check]]="Pass",INDEX(Comp3[Comparable '#3 Price],MATCH(Benchmark1[[#This Row],[Benchmark '#1 Dates]],Comp3[Comparable '#3 Dates],0)),"-")</f>
        <v>138.62</v>
      </c>
      <c r="R349" s="22">
        <f>IF(Benchmark1[[#This Row],[Comparable '#3 Date Check]]="Pass",INDEX(Comp3[Comparable '#3 Return],MATCH(Benchmark1[[#This Row],[Benchmark '#1 Dates]],Comp3[Comparable '#3 Dates],0)),"-")</f>
        <v>5.8604516027851751E-3</v>
      </c>
      <c r="S349" s="1">
        <f>IFERROR(IF(Benchmark1[[#This Row],[Comparable '#3 Date Check]]="Pass",Benchmark1[[#This Row],[Comparable '#3 Return]]-Benchmark1[[#This Row],[Benchmark '#1 Return]],"-"),"-")</f>
        <v>6.4521403388064103E-3</v>
      </c>
    </row>
    <row r="350" spans="1:19">
      <c r="A350" s="103">
        <v>43789</v>
      </c>
      <c r="B350" s="104">
        <v>3108.4581501789567</v>
      </c>
      <c r="C350" s="4">
        <f t="shared" si="5"/>
        <v>-3.7642724561653108E-3</v>
      </c>
      <c r="D350" s="1" t="str">
        <f>IF(COUNTIF(Target1[Target Dates],Benchmark1[[#This Row],[Benchmark '#1 Dates]])=1,"Pass","Fail")</f>
        <v>Pass</v>
      </c>
      <c r="E350" s="6">
        <f>IF(Benchmark1[[#This Row],[Target Date Check]]="Pass",INDEX(Target1[Target Price],MATCH(Benchmark1[[#This Row],[Benchmark '#1 Dates]],Target1[Target Dates],0)),"-")</f>
        <v>19.739999999999998</v>
      </c>
      <c r="F350" s="22">
        <f>IF(Benchmark1[[#This Row],[Target Date Check]]="Pass",INDEX(Target1[Target Return],MATCH(Benchmark1[[#This Row],[Benchmark '#1 Dates]],Target1[Target Dates],0)),"-")</f>
        <v>4.0609192863150121E-3</v>
      </c>
      <c r="G350" s="1">
        <f>IFERROR(IF(Benchmark1[[#This Row],[Target Date Check]]="Pass",Benchmark1[[#This Row],[Target Return]]-Benchmark1[[#This Row],[Benchmark '#1 Return]],"-"),"-")</f>
        <v>7.8251917424803225E-3</v>
      </c>
      <c r="H350" s="1" t="str">
        <f>IF(COUNTIF(Comp1[Comparable '#1 Dates],Benchmark1[[#This Row],[Benchmark '#1 Dates]])=1,"Pass","Fail")</f>
        <v>Pass</v>
      </c>
      <c r="I350" s="6">
        <f>IF(Benchmark1[[#This Row],[Comparable '#1 Date Check]]="Pass",INDEX(Comp1[Comparable '#1 Price],MATCH(Benchmark1[[#This Row],[Benchmark '#1 Dates]],Comp1[Comparable '#1 Dates],0)),"-")</f>
        <v>16.53</v>
      </c>
      <c r="J350" s="22">
        <f>IF(Benchmark1[[#This Row],[Comparable '#1 Date Check]]="Pass",INDEX(Comp1[Comparable '#1 Return],MATCH(Benchmark1[[#This Row],[Benchmark '#1 Dates]],Comp1[Comparable '#1 Dates],0)),"-")</f>
        <v>-5.4298775943692878E-3</v>
      </c>
      <c r="K350" s="1">
        <f>IFERROR(IF(Benchmark1[[#This Row],[Comparable '#1 Date Check]]="Pass",Benchmark1[[#This Row],[Comparable '#1 Return]]-Benchmark1[[#This Row],[Benchmark '#1 Return]],"-"),"-")</f>
        <v>-1.665605138203977E-3</v>
      </c>
      <c r="L350" s="1" t="str">
        <f>IF(COUNTIF(Comp2[Comparable '#2 Dates],Benchmark1[[#This Row],[Benchmark '#1 Dates]])=1,"Pass","Fail")</f>
        <v>Pass</v>
      </c>
      <c r="M350" s="6">
        <f>IF(Benchmark1[[#This Row],[Comparable '#2 Date Check]]="Pass",INDEX(Comp2[Comparable '#2 Price],MATCH(Benchmark1[[#This Row],[Benchmark '#1 Dates]],Comp2[Comparable '#2 Dates],0)),"-")</f>
        <v>34.520000000000003</v>
      </c>
      <c r="N350" s="22">
        <f>IF(Benchmark1[[#This Row],[Comparable '#2 Date Check]]="Pass",INDEX(Comp2[Comparable '#2 Return],MATCH(Benchmark1[[#This Row],[Benchmark '#1 Dates]],Comp2[Comparable '#2 Dates],0)),"-")</f>
        <v>4.6457690991725895E-3</v>
      </c>
      <c r="O350" s="1">
        <f>IFERROR(IF(Benchmark1[[#This Row],[Comparable '#2 Date Check]]="Pass",Benchmark1[[#This Row],[Comparable '#2 Return]]-Benchmark1[[#This Row],[Benchmark '#1 Return]],"-"),"-")</f>
        <v>8.4100415553379007E-3</v>
      </c>
      <c r="P350" s="1" t="str">
        <f>IF(COUNTIF(Comp3[Comparable '#3 Dates],Benchmark1[[#This Row],[Benchmark '#1 Dates]])=1,"Pass","Fail")</f>
        <v>Pass</v>
      </c>
      <c r="Q350" s="6">
        <f>IF(Benchmark1[[#This Row],[Comparable '#3 Date Check]]="Pass",INDEX(Comp3[Comparable '#3 Price],MATCH(Benchmark1[[#This Row],[Benchmark '#1 Dates]],Comp3[Comparable '#3 Dates],0)),"-")</f>
        <v>138.44999999999999</v>
      </c>
      <c r="R350" s="22">
        <f>IF(Benchmark1[[#This Row],[Comparable '#3 Date Check]]="Pass",INDEX(Comp3[Comparable '#3 Return],MATCH(Benchmark1[[#This Row],[Benchmark '#1 Dates]],Comp3[Comparable '#3 Dates],0)),"-")</f>
        <v>-1.2271268728679167E-3</v>
      </c>
      <c r="S350" s="1">
        <f>IFERROR(IF(Benchmark1[[#This Row],[Comparable '#3 Date Check]]="Pass",Benchmark1[[#This Row],[Comparable '#3 Return]]-Benchmark1[[#This Row],[Benchmark '#1 Return]],"-"),"-")</f>
        <v>2.5371455832973941E-3</v>
      </c>
    </row>
    <row r="351" spans="1:19">
      <c r="A351" s="103">
        <v>43790</v>
      </c>
      <c r="B351" s="104">
        <v>3103.5369124181698</v>
      </c>
      <c r="C351" s="4">
        <f t="shared" si="5"/>
        <v>-1.5844310050887528E-3</v>
      </c>
      <c r="D351" s="1" t="str">
        <f>IF(COUNTIF(Target1[Target Dates],Benchmark1[[#This Row],[Benchmark '#1 Dates]])=1,"Pass","Fail")</f>
        <v>Pass</v>
      </c>
      <c r="E351" s="6">
        <f>IF(Benchmark1[[#This Row],[Target Date Check]]="Pass",INDEX(Target1[Target Price],MATCH(Benchmark1[[#This Row],[Benchmark '#1 Dates]],Target1[Target Dates],0)),"-")</f>
        <v>20.27</v>
      </c>
      <c r="F351" s="22">
        <f>IF(Benchmark1[[#This Row],[Target Date Check]]="Pass",INDEX(Target1[Target Return],MATCH(Benchmark1[[#This Row],[Benchmark '#1 Dates]],Target1[Target Dates],0)),"-")</f>
        <v>2.6494926458573143E-2</v>
      </c>
      <c r="G351" s="1">
        <f>IFERROR(IF(Benchmark1[[#This Row],[Target Date Check]]="Pass",Benchmark1[[#This Row],[Target Return]]-Benchmark1[[#This Row],[Benchmark '#1 Return]],"-"),"-")</f>
        <v>2.8079357463661896E-2</v>
      </c>
      <c r="H351" s="1" t="str">
        <f>IF(COUNTIF(Comp1[Comparable '#1 Dates],Benchmark1[[#This Row],[Benchmark '#1 Dates]])=1,"Pass","Fail")</f>
        <v>Pass</v>
      </c>
      <c r="I351" s="6">
        <f>IF(Benchmark1[[#This Row],[Comparable '#1 Date Check]]="Pass",INDEX(Comp1[Comparable '#1 Price],MATCH(Benchmark1[[#This Row],[Benchmark '#1 Dates]],Comp1[Comparable '#1 Dates],0)),"-")</f>
        <v>16.38</v>
      </c>
      <c r="J351" s="22">
        <f>IF(Benchmark1[[#This Row],[Comparable '#1 Date Check]]="Pass",INDEX(Comp1[Comparable '#1 Return],MATCH(Benchmark1[[#This Row],[Benchmark '#1 Dates]],Comp1[Comparable '#1 Dates],0)),"-")</f>
        <v>-9.1158334080096055E-3</v>
      </c>
      <c r="K351" s="1">
        <f>IFERROR(IF(Benchmark1[[#This Row],[Comparable '#1 Date Check]]="Pass",Benchmark1[[#This Row],[Comparable '#1 Return]]-Benchmark1[[#This Row],[Benchmark '#1 Return]],"-"),"-")</f>
        <v>-7.5314024029208525E-3</v>
      </c>
      <c r="L351" s="1" t="str">
        <f>IF(COUNTIF(Comp2[Comparable '#2 Dates],Benchmark1[[#This Row],[Benchmark '#1 Dates]])=1,"Pass","Fail")</f>
        <v>Pass</v>
      </c>
      <c r="M351" s="6">
        <f>IF(Benchmark1[[#This Row],[Comparable '#2 Date Check]]="Pass",INDEX(Comp2[Comparable '#2 Price],MATCH(Benchmark1[[#This Row],[Benchmark '#1 Dates]],Comp2[Comparable '#2 Dates],0)),"-")</f>
        <v>33.85</v>
      </c>
      <c r="N351" s="22">
        <f>IF(Benchmark1[[#This Row],[Comparable '#2 Date Check]]="Pass",INDEX(Comp2[Comparable '#2 Return],MATCH(Benchmark1[[#This Row],[Benchmark '#1 Dates]],Comp2[Comparable '#2 Dates],0)),"-")</f>
        <v>-1.9599866856943208E-2</v>
      </c>
      <c r="O351" s="1">
        <f>IFERROR(IF(Benchmark1[[#This Row],[Comparable '#2 Date Check]]="Pass",Benchmark1[[#This Row],[Comparable '#2 Return]]-Benchmark1[[#This Row],[Benchmark '#1 Return]],"-"),"-")</f>
        <v>-1.8015435851854455E-2</v>
      </c>
      <c r="P351" s="1" t="str">
        <f>IF(COUNTIF(Comp3[Comparable '#3 Dates],Benchmark1[[#This Row],[Benchmark '#1 Dates]])=1,"Pass","Fail")</f>
        <v>Pass</v>
      </c>
      <c r="Q351" s="6">
        <f>IF(Benchmark1[[#This Row],[Comparable '#3 Date Check]]="Pass",INDEX(Comp3[Comparable '#3 Price],MATCH(Benchmark1[[#This Row],[Benchmark '#1 Dates]],Comp3[Comparable '#3 Dates],0)),"-")</f>
        <v>137.47</v>
      </c>
      <c r="R351" s="22">
        <f>IF(Benchmark1[[#This Row],[Comparable '#3 Date Check]]="Pass",INDEX(Comp3[Comparable '#3 Return],MATCH(Benchmark1[[#This Row],[Benchmark '#1 Dates]],Comp3[Comparable '#3 Dates],0)),"-")</f>
        <v>-7.1035381336421351E-3</v>
      </c>
      <c r="S351" s="1">
        <f>IFERROR(IF(Benchmark1[[#This Row],[Comparable '#3 Date Check]]="Pass",Benchmark1[[#This Row],[Comparable '#3 Return]]-Benchmark1[[#This Row],[Benchmark '#1 Return]],"-"),"-")</f>
        <v>-5.519107128553382E-3</v>
      </c>
    </row>
    <row r="352" spans="1:19">
      <c r="A352" s="103">
        <v>43791</v>
      </c>
      <c r="B352" s="104">
        <v>3110.2883488152388</v>
      </c>
      <c r="C352" s="4">
        <f t="shared" si="5"/>
        <v>2.1730379500474722E-3</v>
      </c>
      <c r="D352" s="1" t="str">
        <f>IF(COUNTIF(Target1[Target Dates],Benchmark1[[#This Row],[Benchmark '#1 Dates]])=1,"Pass","Fail")</f>
        <v>Pass</v>
      </c>
      <c r="E352" s="6">
        <f>IF(Benchmark1[[#This Row],[Target Date Check]]="Pass",INDEX(Target1[Target Price],MATCH(Benchmark1[[#This Row],[Benchmark '#1 Dates]],Target1[Target Dates],0)),"-")</f>
        <v>19.91</v>
      </c>
      <c r="F352" s="22">
        <f>IF(Benchmark1[[#This Row],[Target Date Check]]="Pass",INDEX(Target1[Target Return],MATCH(Benchmark1[[#This Row],[Benchmark '#1 Dates]],Target1[Target Dates],0)),"-")</f>
        <v>-1.7919842387803673E-2</v>
      </c>
      <c r="G352" s="1">
        <f>IFERROR(IF(Benchmark1[[#This Row],[Target Date Check]]="Pass",Benchmark1[[#This Row],[Target Return]]-Benchmark1[[#This Row],[Benchmark '#1 Return]],"-"),"-")</f>
        <v>-2.0092880337851143E-2</v>
      </c>
      <c r="H352" s="1" t="str">
        <f>IF(COUNTIF(Comp1[Comparable '#1 Dates],Benchmark1[[#This Row],[Benchmark '#1 Dates]])=1,"Pass","Fail")</f>
        <v>Pass</v>
      </c>
      <c r="I352" s="6">
        <f>IF(Benchmark1[[#This Row],[Comparable '#1 Date Check]]="Pass",INDEX(Comp1[Comparable '#1 Price],MATCH(Benchmark1[[#This Row],[Benchmark '#1 Dates]],Comp1[Comparable '#1 Dates],0)),"-")</f>
        <v>16.5</v>
      </c>
      <c r="J352" s="22">
        <f>IF(Benchmark1[[#This Row],[Comparable '#1 Date Check]]="Pass",INDEX(Comp1[Comparable '#1 Return],MATCH(Benchmark1[[#This Row],[Benchmark '#1 Dates]],Comp1[Comparable '#1 Dates],0)),"-")</f>
        <v>7.2993024816115351E-3</v>
      </c>
      <c r="K352" s="1">
        <f>IFERROR(IF(Benchmark1[[#This Row],[Comparable '#1 Date Check]]="Pass",Benchmark1[[#This Row],[Comparable '#1 Return]]-Benchmark1[[#This Row],[Benchmark '#1 Return]],"-"),"-")</f>
        <v>5.1262645315640629E-3</v>
      </c>
      <c r="L352" s="1" t="str">
        <f>IF(COUNTIF(Comp2[Comparable '#2 Dates],Benchmark1[[#This Row],[Benchmark '#1 Dates]])=1,"Pass","Fail")</f>
        <v>Pass</v>
      </c>
      <c r="M352" s="6">
        <f>IF(Benchmark1[[#This Row],[Comparable '#2 Date Check]]="Pass",INDEX(Comp2[Comparable '#2 Price],MATCH(Benchmark1[[#This Row],[Benchmark '#1 Dates]],Comp2[Comparable '#2 Dates],0)),"-")</f>
        <v>34.03</v>
      </c>
      <c r="N352" s="22">
        <f>IF(Benchmark1[[#This Row],[Comparable '#2 Date Check]]="Pass",INDEX(Comp2[Comparable '#2 Return],MATCH(Benchmark1[[#This Row],[Benchmark '#1 Dates]],Comp2[Comparable '#2 Dates],0)),"-")</f>
        <v>5.3034891545303319E-3</v>
      </c>
      <c r="O352" s="1">
        <f>IFERROR(IF(Benchmark1[[#This Row],[Comparable '#2 Date Check]]="Pass",Benchmark1[[#This Row],[Comparable '#2 Return]]-Benchmark1[[#This Row],[Benchmark '#1 Return]],"-"),"-")</f>
        <v>3.1304512044828597E-3</v>
      </c>
      <c r="P352" s="1" t="str">
        <f>IF(COUNTIF(Comp3[Comparable '#3 Dates],Benchmark1[[#This Row],[Benchmark '#1 Dates]])=1,"Pass","Fail")</f>
        <v>Pass</v>
      </c>
      <c r="Q352" s="6">
        <f>IF(Benchmark1[[#This Row],[Comparable '#3 Date Check]]="Pass",INDEX(Comp3[Comparable '#3 Price],MATCH(Benchmark1[[#This Row],[Benchmark '#1 Dates]],Comp3[Comparable '#3 Dates],0)),"-")</f>
        <v>137.84</v>
      </c>
      <c r="R352" s="22">
        <f>IF(Benchmark1[[#This Row],[Comparable '#3 Date Check]]="Pass",INDEX(Comp3[Comparable '#3 Return],MATCH(Benchmark1[[#This Row],[Benchmark '#1 Dates]],Comp3[Comparable '#3 Dates],0)),"-")</f>
        <v>2.687880736345558E-3</v>
      </c>
      <c r="S352" s="1">
        <f>IFERROR(IF(Benchmark1[[#This Row],[Comparable '#3 Date Check]]="Pass",Benchmark1[[#This Row],[Comparable '#3 Return]]-Benchmark1[[#This Row],[Benchmark '#1 Return]],"-"),"-")</f>
        <v>5.1484278629808583E-4</v>
      </c>
    </row>
    <row r="353" spans="1:19">
      <c r="A353" s="103">
        <v>43794</v>
      </c>
      <c r="B353" s="104">
        <v>3133.6428229301277</v>
      </c>
      <c r="C353" s="4">
        <f t="shared" si="5"/>
        <v>7.4807304515951715E-3</v>
      </c>
      <c r="D353" s="1" t="str">
        <f>IF(COUNTIF(Target1[Target Dates],Benchmark1[[#This Row],[Benchmark '#1 Dates]])=1,"Pass","Fail")</f>
        <v>Pass</v>
      </c>
      <c r="E353" s="6">
        <f>IF(Benchmark1[[#This Row],[Target Date Check]]="Pass",INDEX(Target1[Target Price],MATCH(Benchmark1[[#This Row],[Benchmark '#1 Dates]],Target1[Target Dates],0)),"-")</f>
        <v>20.149999999999999</v>
      </c>
      <c r="F353" s="22">
        <f>IF(Benchmark1[[#This Row],[Target Date Check]]="Pass",INDEX(Target1[Target Return],MATCH(Benchmark1[[#This Row],[Benchmark '#1 Dates]],Target1[Target Dates],0)),"-")</f>
        <v>1.1982170316587095E-2</v>
      </c>
      <c r="G353" s="1">
        <f>IFERROR(IF(Benchmark1[[#This Row],[Target Date Check]]="Pass",Benchmark1[[#This Row],[Target Return]]-Benchmark1[[#This Row],[Benchmark '#1 Return]],"-"),"-")</f>
        <v>4.5014398649919239E-3</v>
      </c>
      <c r="H353" s="1" t="str">
        <f>IF(COUNTIF(Comp1[Comparable '#1 Dates],Benchmark1[[#This Row],[Benchmark '#1 Dates]])=1,"Pass","Fail")</f>
        <v>Pass</v>
      </c>
      <c r="I353" s="6">
        <f>IF(Benchmark1[[#This Row],[Comparable '#1 Date Check]]="Pass",INDEX(Comp1[Comparable '#1 Price],MATCH(Benchmark1[[#This Row],[Benchmark '#1 Dates]],Comp1[Comparable '#1 Dates],0)),"-")</f>
        <v>16.885000000000002</v>
      </c>
      <c r="J353" s="22">
        <f>IF(Benchmark1[[#This Row],[Comparable '#1 Date Check]]="Pass",INDEX(Comp1[Comparable '#1 Return],MATCH(Benchmark1[[#This Row],[Benchmark '#1 Dates]],Comp1[Comparable '#1 Dates],0)),"-")</f>
        <v>2.3065272930996188E-2</v>
      </c>
      <c r="K353" s="1">
        <f>IFERROR(IF(Benchmark1[[#This Row],[Comparable '#1 Date Check]]="Pass",Benchmark1[[#This Row],[Comparable '#1 Return]]-Benchmark1[[#This Row],[Benchmark '#1 Return]],"-"),"-")</f>
        <v>1.5584542479401015E-2</v>
      </c>
      <c r="L353" s="1" t="str">
        <f>IF(COUNTIF(Comp2[Comparable '#2 Dates],Benchmark1[[#This Row],[Benchmark '#1 Dates]])=1,"Pass","Fail")</f>
        <v>Pass</v>
      </c>
      <c r="M353" s="6">
        <f>IF(Benchmark1[[#This Row],[Comparable '#2 Date Check]]="Pass",INDEX(Comp2[Comparable '#2 Price],MATCH(Benchmark1[[#This Row],[Benchmark '#1 Dates]],Comp2[Comparable '#2 Dates],0)),"-")</f>
        <v>35.24</v>
      </c>
      <c r="N353" s="22">
        <f>IF(Benchmark1[[#This Row],[Comparable '#2 Date Check]]="Pass",INDEX(Comp2[Comparable '#2 Return],MATCH(Benchmark1[[#This Row],[Benchmark '#1 Dates]],Comp2[Comparable '#2 Dates],0)),"-")</f>
        <v>3.4939312555164512E-2</v>
      </c>
      <c r="O353" s="1">
        <f>IFERROR(IF(Benchmark1[[#This Row],[Comparable '#2 Date Check]]="Pass",Benchmark1[[#This Row],[Comparable '#2 Return]]-Benchmark1[[#This Row],[Benchmark '#1 Return]],"-"),"-")</f>
        <v>2.7458582103569339E-2</v>
      </c>
      <c r="P353" s="1" t="str">
        <f>IF(COUNTIF(Comp3[Comparable '#3 Dates],Benchmark1[[#This Row],[Benchmark '#1 Dates]])=1,"Pass","Fail")</f>
        <v>Pass</v>
      </c>
      <c r="Q353" s="6">
        <f>IF(Benchmark1[[#This Row],[Comparable '#3 Date Check]]="Pass",INDEX(Comp3[Comparable '#3 Price],MATCH(Benchmark1[[#This Row],[Benchmark '#1 Dates]],Comp3[Comparable '#3 Dates],0)),"-")</f>
        <v>142.35</v>
      </c>
      <c r="R353" s="22">
        <f>IF(Benchmark1[[#This Row],[Comparable '#3 Date Check]]="Pass",INDEX(Comp3[Comparable '#3 Return],MATCH(Benchmark1[[#This Row],[Benchmark '#1 Dates]],Comp3[Comparable '#3 Dates],0)),"-")</f>
        <v>3.2195221504372373E-2</v>
      </c>
      <c r="S353" s="1">
        <f>IFERROR(IF(Benchmark1[[#This Row],[Comparable '#3 Date Check]]="Pass",Benchmark1[[#This Row],[Comparable '#3 Return]]-Benchmark1[[#This Row],[Benchmark '#1 Return]],"-"),"-")</f>
        <v>2.4714491052777201E-2</v>
      </c>
    </row>
    <row r="354" spans="1:19">
      <c r="A354" s="103">
        <v>43795</v>
      </c>
      <c r="B354" s="104">
        <v>3140.5198640129411</v>
      </c>
      <c r="C354" s="4">
        <f t="shared" si="5"/>
        <v>2.1921789982201198E-3</v>
      </c>
      <c r="D354" s="1" t="str">
        <f>IF(COUNTIF(Target1[Target Dates],Benchmark1[[#This Row],[Benchmark '#1 Dates]])=1,"Pass","Fail")</f>
        <v>Pass</v>
      </c>
      <c r="E354" s="6">
        <f>IF(Benchmark1[[#This Row],[Target Date Check]]="Pass",INDEX(Target1[Target Price],MATCH(Benchmark1[[#This Row],[Benchmark '#1 Dates]],Target1[Target Dates],0)),"-")</f>
        <v>19.46</v>
      </c>
      <c r="F354" s="22">
        <f>IF(Benchmark1[[#This Row],[Target Date Check]]="Pass",INDEX(Target1[Target Return],MATCH(Benchmark1[[#This Row],[Benchmark '#1 Dates]],Target1[Target Dates],0)),"-")</f>
        <v>-3.4843211634832838E-2</v>
      </c>
      <c r="G354" s="1">
        <f>IFERROR(IF(Benchmark1[[#This Row],[Target Date Check]]="Pass",Benchmark1[[#This Row],[Target Return]]-Benchmark1[[#This Row],[Benchmark '#1 Return]],"-"),"-")</f>
        <v>-3.7035390633052959E-2</v>
      </c>
      <c r="H354" s="1" t="str">
        <f>IF(COUNTIF(Comp1[Comparable '#1 Dates],Benchmark1[[#This Row],[Benchmark '#1 Dates]])=1,"Pass","Fail")</f>
        <v>Pass</v>
      </c>
      <c r="I354" s="6">
        <f>IF(Benchmark1[[#This Row],[Comparable '#1 Date Check]]="Pass",INDEX(Comp1[Comparable '#1 Price],MATCH(Benchmark1[[#This Row],[Benchmark '#1 Dates]],Comp1[Comparable '#1 Dates],0)),"-")</f>
        <v>17.25</v>
      </c>
      <c r="J354" s="22">
        <f>IF(Benchmark1[[#This Row],[Comparable '#1 Date Check]]="Pass",INDEX(Comp1[Comparable '#1 Return],MATCH(Benchmark1[[#This Row],[Benchmark '#1 Dates]],Comp1[Comparable '#1 Dates],0)),"-")</f>
        <v>2.1386489639837712E-2</v>
      </c>
      <c r="K354" s="1">
        <f>IFERROR(IF(Benchmark1[[#This Row],[Comparable '#1 Date Check]]="Pass",Benchmark1[[#This Row],[Comparable '#1 Return]]-Benchmark1[[#This Row],[Benchmark '#1 Return]],"-"),"-")</f>
        <v>1.9194310641617592E-2</v>
      </c>
      <c r="L354" s="1" t="str">
        <f>IF(COUNTIF(Comp2[Comparable '#2 Dates],Benchmark1[[#This Row],[Benchmark '#1 Dates]])=1,"Pass","Fail")</f>
        <v>Pass</v>
      </c>
      <c r="M354" s="6">
        <f>IF(Benchmark1[[#This Row],[Comparable '#2 Date Check]]="Pass",INDEX(Comp2[Comparable '#2 Price],MATCH(Benchmark1[[#This Row],[Benchmark '#1 Dates]],Comp2[Comparable '#2 Dates],0)),"-")</f>
        <v>34.74</v>
      </c>
      <c r="N354" s="22">
        <f>IF(Benchmark1[[#This Row],[Comparable '#2 Date Check]]="Pass",INDEX(Comp2[Comparable '#2 Return],MATCH(Benchmark1[[#This Row],[Benchmark '#1 Dates]],Comp2[Comparable '#2 Dates],0)),"-")</f>
        <v>-1.4290040255019896E-2</v>
      </c>
      <c r="O354" s="1">
        <f>IFERROR(IF(Benchmark1[[#This Row],[Comparable '#2 Date Check]]="Pass",Benchmark1[[#This Row],[Comparable '#2 Return]]-Benchmark1[[#This Row],[Benchmark '#1 Return]],"-"),"-")</f>
        <v>-1.6482219253240015E-2</v>
      </c>
      <c r="P354" s="1" t="str">
        <f>IF(COUNTIF(Comp3[Comparable '#3 Dates],Benchmark1[[#This Row],[Benchmark '#1 Dates]])=1,"Pass","Fail")</f>
        <v>Pass</v>
      </c>
      <c r="Q354" s="6">
        <f>IF(Benchmark1[[#This Row],[Comparable '#3 Date Check]]="Pass",INDEX(Comp3[Comparable '#3 Price],MATCH(Benchmark1[[#This Row],[Benchmark '#1 Dates]],Comp3[Comparable '#3 Dates],0)),"-")</f>
        <v>144.19999999999999</v>
      </c>
      <c r="R354" s="22">
        <f>IF(Benchmark1[[#This Row],[Comparable '#3 Date Check]]="Pass",INDEX(Comp3[Comparable '#3 Return],MATCH(Benchmark1[[#This Row],[Benchmark '#1 Dates]],Comp3[Comparable '#3 Dates],0)),"-")</f>
        <v>1.2912411126802201E-2</v>
      </c>
      <c r="S354" s="1">
        <f>IFERROR(IF(Benchmark1[[#This Row],[Comparable '#3 Date Check]]="Pass",Benchmark1[[#This Row],[Comparable '#3 Return]]-Benchmark1[[#This Row],[Benchmark '#1 Return]],"-"),"-")</f>
        <v>1.0720232128582082E-2</v>
      </c>
    </row>
    <row r="355" spans="1:19">
      <c r="A355" s="103">
        <v>43796</v>
      </c>
      <c r="B355" s="104">
        <v>3153.6280711461113</v>
      </c>
      <c r="C355" s="4">
        <f t="shared" si="5"/>
        <v>4.1652106748589759E-3</v>
      </c>
      <c r="D355" s="1" t="str">
        <f>IF(COUNTIF(Target1[Target Dates],Benchmark1[[#This Row],[Benchmark '#1 Dates]])=1,"Pass","Fail")</f>
        <v>Pass</v>
      </c>
      <c r="E355" s="6">
        <f>IF(Benchmark1[[#This Row],[Target Date Check]]="Pass",INDEX(Target1[Target Price],MATCH(Benchmark1[[#This Row],[Benchmark '#1 Dates]],Target1[Target Dates],0)),"-")</f>
        <v>19.850000000000001</v>
      </c>
      <c r="F355" s="22">
        <f>IF(Benchmark1[[#This Row],[Target Date Check]]="Pass",INDEX(Target1[Target Return],MATCH(Benchmark1[[#This Row],[Benchmark '#1 Dates]],Target1[Target Dates],0)),"-")</f>
        <v>1.9842930375340417E-2</v>
      </c>
      <c r="G355" s="1">
        <f>IFERROR(IF(Benchmark1[[#This Row],[Target Date Check]]="Pass",Benchmark1[[#This Row],[Target Return]]-Benchmark1[[#This Row],[Benchmark '#1 Return]],"-"),"-")</f>
        <v>1.567771970048144E-2</v>
      </c>
      <c r="H355" s="1" t="str">
        <f>IF(COUNTIF(Comp1[Comparable '#1 Dates],Benchmark1[[#This Row],[Benchmark '#1 Dates]])=1,"Pass","Fail")</f>
        <v>Pass</v>
      </c>
      <c r="I355" s="6">
        <f>IF(Benchmark1[[#This Row],[Comparable '#1 Date Check]]="Pass",INDEX(Comp1[Comparable '#1 Price],MATCH(Benchmark1[[#This Row],[Benchmark '#1 Dates]],Comp1[Comparable '#1 Dates],0)),"-")</f>
        <v>17.285</v>
      </c>
      <c r="J355" s="22">
        <f>IF(Benchmark1[[#This Row],[Comparable '#1 Date Check]]="Pass",INDEX(Comp1[Comparable '#1 Return],MATCH(Benchmark1[[#This Row],[Benchmark '#1 Dates]],Comp1[Comparable '#1 Dates],0)),"-")</f>
        <v>2.0269298962191109E-3</v>
      </c>
      <c r="K355" s="1">
        <f>IFERROR(IF(Benchmark1[[#This Row],[Comparable '#1 Date Check]]="Pass",Benchmark1[[#This Row],[Comparable '#1 Return]]-Benchmark1[[#This Row],[Benchmark '#1 Return]],"-"),"-")</f>
        <v>-2.138280778639865E-3</v>
      </c>
      <c r="L355" s="1" t="str">
        <f>IF(COUNTIF(Comp2[Comparable '#2 Dates],Benchmark1[[#This Row],[Benchmark '#1 Dates]])=1,"Pass","Fail")</f>
        <v>Pass</v>
      </c>
      <c r="M355" s="6">
        <f>IF(Benchmark1[[#This Row],[Comparable '#2 Date Check]]="Pass",INDEX(Comp2[Comparable '#2 Price],MATCH(Benchmark1[[#This Row],[Benchmark '#1 Dates]],Comp2[Comparable '#2 Dates],0)),"-")</f>
        <v>33.89</v>
      </c>
      <c r="N355" s="22">
        <f>IF(Benchmark1[[#This Row],[Comparable '#2 Date Check]]="Pass",INDEX(Comp2[Comparable '#2 Return],MATCH(Benchmark1[[#This Row],[Benchmark '#1 Dates]],Comp2[Comparable '#2 Dates],0)),"-")</f>
        <v>-2.4771775193998934E-2</v>
      </c>
      <c r="O355" s="1">
        <f>IFERROR(IF(Benchmark1[[#This Row],[Comparable '#2 Date Check]]="Pass",Benchmark1[[#This Row],[Comparable '#2 Return]]-Benchmark1[[#This Row],[Benchmark '#1 Return]],"-"),"-")</f>
        <v>-2.8936985868857911E-2</v>
      </c>
      <c r="P355" s="1" t="str">
        <f>IF(COUNTIF(Comp3[Comparable '#3 Dates],Benchmark1[[#This Row],[Benchmark '#1 Dates]])=1,"Pass","Fail")</f>
        <v>Pass</v>
      </c>
      <c r="Q355" s="6">
        <f>IF(Benchmark1[[#This Row],[Comparable '#3 Date Check]]="Pass",INDEX(Comp3[Comparable '#3 Price],MATCH(Benchmark1[[#This Row],[Benchmark '#1 Dates]],Comp3[Comparable '#3 Dates],0)),"-")</f>
        <v>142.47</v>
      </c>
      <c r="R355" s="22">
        <f>IF(Benchmark1[[#This Row],[Comparable '#3 Date Check]]="Pass",INDEX(Comp3[Comparable '#3 Return],MATCH(Benchmark1[[#This Row],[Benchmark '#1 Dates]],Comp3[Comparable '#3 Dates],0)),"-")</f>
        <v>-1.206977362170851E-2</v>
      </c>
      <c r="S355" s="1">
        <f>IFERROR(IF(Benchmark1[[#This Row],[Comparable '#3 Date Check]]="Pass",Benchmark1[[#This Row],[Comparable '#3 Return]]-Benchmark1[[#This Row],[Benchmark '#1 Return]],"-"),"-")</f>
        <v>-1.6234984296567487E-2</v>
      </c>
    </row>
    <row r="356" spans="1:19">
      <c r="A356" s="103">
        <v>43798</v>
      </c>
      <c r="B356" s="104">
        <v>3140.9806277025359</v>
      </c>
      <c r="C356" s="4">
        <f t="shared" si="5"/>
        <v>-4.0185056985468795E-3</v>
      </c>
      <c r="D356" s="1" t="str">
        <f>IF(COUNTIF(Target1[Target Dates],Benchmark1[[#This Row],[Benchmark '#1 Dates]])=1,"Pass","Fail")</f>
        <v>Pass</v>
      </c>
      <c r="E356" s="6">
        <f>IF(Benchmark1[[#This Row],[Target Date Check]]="Pass",INDEX(Target1[Target Price],MATCH(Benchmark1[[#This Row],[Benchmark '#1 Dates]],Target1[Target Dates],0)),"-")</f>
        <v>19.649999999999999</v>
      </c>
      <c r="F356" s="22">
        <f>IF(Benchmark1[[#This Row],[Target Date Check]]="Pass",INDEX(Target1[Target Return],MATCH(Benchmark1[[#This Row],[Benchmark '#1 Dates]],Target1[Target Dates],0)),"-")</f>
        <v>-1.0126668817929271E-2</v>
      </c>
      <c r="G356" s="1">
        <f>IFERROR(IF(Benchmark1[[#This Row],[Target Date Check]]="Pass",Benchmark1[[#This Row],[Target Return]]-Benchmark1[[#This Row],[Benchmark '#1 Return]],"-"),"-")</f>
        <v>-6.1081631193823918E-3</v>
      </c>
      <c r="H356" s="1" t="str">
        <f>IF(COUNTIF(Comp1[Comparable '#1 Dates],Benchmark1[[#This Row],[Benchmark '#1 Dates]])=1,"Pass","Fail")</f>
        <v>Pass</v>
      </c>
      <c r="I356" s="6">
        <f>IF(Benchmark1[[#This Row],[Comparable '#1 Date Check]]="Pass",INDEX(Comp1[Comparable '#1 Price],MATCH(Benchmark1[[#This Row],[Benchmark '#1 Dates]],Comp1[Comparable '#1 Dates],0)),"-")</f>
        <v>17.350000000000001</v>
      </c>
      <c r="J356" s="22">
        <f>IF(Benchmark1[[#This Row],[Comparable '#1 Date Check]]="Pass",INDEX(Comp1[Comparable '#1 Return],MATCH(Benchmark1[[#This Row],[Benchmark '#1 Dates]],Comp1[Comparable '#1 Dates],0)),"-")</f>
        <v>3.7534330192804137E-3</v>
      </c>
      <c r="K356" s="1">
        <f>IFERROR(IF(Benchmark1[[#This Row],[Comparable '#1 Date Check]]="Pass",Benchmark1[[#This Row],[Comparable '#1 Return]]-Benchmark1[[#This Row],[Benchmark '#1 Return]],"-"),"-")</f>
        <v>7.7719387178272932E-3</v>
      </c>
      <c r="L356" s="1" t="str">
        <f>IF(COUNTIF(Comp2[Comparable '#2 Dates],Benchmark1[[#This Row],[Benchmark '#1 Dates]])=1,"Pass","Fail")</f>
        <v>Pass</v>
      </c>
      <c r="M356" s="6">
        <f>IF(Benchmark1[[#This Row],[Comparable '#2 Date Check]]="Pass",INDEX(Comp2[Comparable '#2 Price],MATCH(Benchmark1[[#This Row],[Benchmark '#1 Dates]],Comp2[Comparable '#2 Dates],0)),"-")</f>
        <v>33.729999999999997</v>
      </c>
      <c r="N356" s="22">
        <f>IF(Benchmark1[[#This Row],[Comparable '#2 Date Check]]="Pass",INDEX(Comp2[Comparable '#2 Return],MATCH(Benchmark1[[#This Row],[Benchmark '#1 Dates]],Comp2[Comparable '#2 Dates],0)),"-")</f>
        <v>-4.7323365454012356E-3</v>
      </c>
      <c r="O356" s="1">
        <f>IFERROR(IF(Benchmark1[[#This Row],[Comparable '#2 Date Check]]="Pass",Benchmark1[[#This Row],[Comparable '#2 Return]]-Benchmark1[[#This Row],[Benchmark '#1 Return]],"-"),"-")</f>
        <v>-7.138308468543561E-4</v>
      </c>
      <c r="P356" s="1" t="str">
        <f>IF(COUNTIF(Comp3[Comparable '#3 Dates],Benchmark1[[#This Row],[Benchmark '#1 Dates]])=1,"Pass","Fail")</f>
        <v>Pass</v>
      </c>
      <c r="Q356" s="6">
        <f>IF(Benchmark1[[#This Row],[Comparable '#3 Date Check]]="Pass",INDEX(Comp3[Comparable '#3 Price],MATCH(Benchmark1[[#This Row],[Benchmark '#1 Dates]],Comp3[Comparable '#3 Dates],0)),"-")</f>
        <v>141.74</v>
      </c>
      <c r="R356" s="22">
        <f>IF(Benchmark1[[#This Row],[Comparable '#3 Date Check]]="Pass",INDEX(Comp3[Comparable '#3 Return],MATCH(Benchmark1[[#This Row],[Benchmark '#1 Dates]],Comp3[Comparable '#3 Dates],0)),"-")</f>
        <v>-5.1370578470300975E-3</v>
      </c>
      <c r="S356" s="1">
        <f>IFERROR(IF(Benchmark1[[#This Row],[Comparable '#3 Date Check]]="Pass",Benchmark1[[#This Row],[Comparable '#3 Return]]-Benchmark1[[#This Row],[Benchmark '#1 Return]],"-"),"-")</f>
        <v>-1.118552148483218E-3</v>
      </c>
    </row>
    <row r="357" spans="1:19">
      <c r="A357" s="103">
        <v>43801</v>
      </c>
      <c r="B357" s="104">
        <v>3113.8736307849322</v>
      </c>
      <c r="C357" s="4">
        <f t="shared" si="5"/>
        <v>-8.66756138573937E-3</v>
      </c>
      <c r="D357" s="1" t="str">
        <f>IF(COUNTIF(Target1[Target Dates],Benchmark1[[#This Row],[Benchmark '#1 Dates]])=1,"Pass","Fail")</f>
        <v>Pass</v>
      </c>
      <c r="E357" s="6">
        <f>IF(Benchmark1[[#This Row],[Target Date Check]]="Pass",INDEX(Target1[Target Price],MATCH(Benchmark1[[#This Row],[Benchmark '#1 Dates]],Target1[Target Dates],0)),"-")</f>
        <v>19.3</v>
      </c>
      <c r="F357" s="22">
        <f>IF(Benchmark1[[#This Row],[Target Date Check]]="Pass",INDEX(Target1[Target Return],MATCH(Benchmark1[[#This Row],[Benchmark '#1 Dates]],Target1[Target Dates],0)),"-")</f>
        <v>-1.7972242404430253E-2</v>
      </c>
      <c r="G357" s="1">
        <f>IFERROR(IF(Benchmark1[[#This Row],[Target Date Check]]="Pass",Benchmark1[[#This Row],[Target Return]]-Benchmark1[[#This Row],[Benchmark '#1 Return]],"-"),"-")</f>
        <v>-9.3046810186908826E-3</v>
      </c>
      <c r="H357" s="1" t="str">
        <f>IF(COUNTIF(Comp1[Comparable '#1 Dates],Benchmark1[[#This Row],[Benchmark '#1 Dates]])=1,"Pass","Fail")</f>
        <v>Pass</v>
      </c>
      <c r="I357" s="6">
        <f>IF(Benchmark1[[#This Row],[Comparable '#1 Date Check]]="Pass",INDEX(Comp1[Comparable '#1 Price],MATCH(Benchmark1[[#This Row],[Benchmark '#1 Dates]],Comp1[Comparable '#1 Dates],0)),"-")</f>
        <v>16.91</v>
      </c>
      <c r="J357" s="22">
        <f>IF(Benchmark1[[#This Row],[Comparable '#1 Date Check]]="Pass",INDEX(Comp1[Comparable '#1 Return],MATCH(Benchmark1[[#This Row],[Benchmark '#1 Dates]],Comp1[Comparable '#1 Dates],0)),"-")</f>
        <v>-2.5687343482379384E-2</v>
      </c>
      <c r="K357" s="1">
        <f>IFERROR(IF(Benchmark1[[#This Row],[Comparable '#1 Date Check]]="Pass",Benchmark1[[#This Row],[Comparable '#1 Return]]-Benchmark1[[#This Row],[Benchmark '#1 Return]],"-"),"-")</f>
        <v>-1.7019782096640013E-2</v>
      </c>
      <c r="L357" s="1" t="str">
        <f>IF(COUNTIF(Comp2[Comparable '#2 Dates],Benchmark1[[#This Row],[Benchmark '#1 Dates]])=1,"Pass","Fail")</f>
        <v>Pass</v>
      </c>
      <c r="M357" s="6">
        <f>IF(Benchmark1[[#This Row],[Comparable '#2 Date Check]]="Pass",INDEX(Comp2[Comparable '#2 Price],MATCH(Benchmark1[[#This Row],[Benchmark '#1 Dates]],Comp2[Comparable '#2 Dates],0)),"-")</f>
        <v>33.729999999999997</v>
      </c>
      <c r="N357" s="22">
        <f>IF(Benchmark1[[#This Row],[Comparable '#2 Date Check]]="Pass",INDEX(Comp2[Comparable '#2 Return],MATCH(Benchmark1[[#This Row],[Benchmark '#1 Dates]],Comp2[Comparable '#2 Dates],0)),"-")</f>
        <v>0</v>
      </c>
      <c r="O357" s="1">
        <f>IFERROR(IF(Benchmark1[[#This Row],[Comparable '#2 Date Check]]="Pass",Benchmark1[[#This Row],[Comparable '#2 Return]]-Benchmark1[[#This Row],[Benchmark '#1 Return]],"-"),"-")</f>
        <v>8.66756138573937E-3</v>
      </c>
      <c r="P357" s="1" t="str">
        <f>IF(COUNTIF(Comp3[Comparable '#3 Dates],Benchmark1[[#This Row],[Benchmark '#1 Dates]])=1,"Pass","Fail")</f>
        <v>Pass</v>
      </c>
      <c r="Q357" s="6">
        <f>IF(Benchmark1[[#This Row],[Comparable '#3 Date Check]]="Pass",INDEX(Comp3[Comparable '#3 Price],MATCH(Benchmark1[[#This Row],[Benchmark '#1 Dates]],Comp3[Comparable '#3 Dates],0)),"-")</f>
        <v>142.51</v>
      </c>
      <c r="R357" s="22">
        <f>IF(Benchmark1[[#This Row],[Comparable '#3 Date Check]]="Pass",INDEX(Comp3[Comparable '#3 Return],MATCH(Benchmark1[[#This Row],[Benchmark '#1 Dates]],Comp3[Comparable '#3 Dates],0)),"-")</f>
        <v>5.4177793030108258E-3</v>
      </c>
      <c r="S357" s="1">
        <f>IFERROR(IF(Benchmark1[[#This Row],[Comparable '#3 Date Check]]="Pass",Benchmark1[[#This Row],[Comparable '#3 Return]]-Benchmark1[[#This Row],[Benchmark '#1 Return]],"-"),"-")</f>
        <v>1.4085340688750196E-2</v>
      </c>
    </row>
    <row r="358" spans="1:19">
      <c r="A358" s="103">
        <v>43802</v>
      </c>
      <c r="B358" s="104">
        <v>3093.2009127132724</v>
      </c>
      <c r="C358" s="4">
        <f t="shared" si="5"/>
        <v>-6.6610427708671564E-3</v>
      </c>
      <c r="D358" s="1" t="str">
        <f>IF(COUNTIF(Target1[Target Dates],Benchmark1[[#This Row],[Benchmark '#1 Dates]])=1,"Pass","Fail")</f>
        <v>Pass</v>
      </c>
      <c r="E358" s="6">
        <f>IF(Benchmark1[[#This Row],[Target Date Check]]="Pass",INDEX(Target1[Target Price],MATCH(Benchmark1[[#This Row],[Benchmark '#1 Dates]],Target1[Target Dates],0)),"-")</f>
        <v>19.420000000000002</v>
      </c>
      <c r="F358" s="22">
        <f>IF(Benchmark1[[#This Row],[Target Date Check]]="Pass",INDEX(Target1[Target Return],MATCH(Benchmark1[[#This Row],[Benchmark '#1 Dates]],Target1[Target Dates],0)),"-")</f>
        <v>6.1983669523390508E-3</v>
      </c>
      <c r="G358" s="1">
        <f>IFERROR(IF(Benchmark1[[#This Row],[Target Date Check]]="Pass",Benchmark1[[#This Row],[Target Return]]-Benchmark1[[#This Row],[Benchmark '#1 Return]],"-"),"-")</f>
        <v>1.2859409723206207E-2</v>
      </c>
      <c r="H358" s="1" t="str">
        <f>IF(COUNTIF(Comp1[Comparable '#1 Dates],Benchmark1[[#This Row],[Benchmark '#1 Dates]])=1,"Pass","Fail")</f>
        <v>Pass</v>
      </c>
      <c r="I358" s="6">
        <f>IF(Benchmark1[[#This Row],[Comparable '#1 Date Check]]="Pass",INDEX(Comp1[Comparable '#1 Price],MATCH(Benchmark1[[#This Row],[Benchmark '#1 Dates]],Comp1[Comparable '#1 Dates],0)),"-")</f>
        <v>16.53</v>
      </c>
      <c r="J358" s="22">
        <f>IF(Benchmark1[[#This Row],[Comparable '#1 Date Check]]="Pass",INDEX(Comp1[Comparable '#1 Return],MATCH(Benchmark1[[#This Row],[Benchmark '#1 Dates]],Comp1[Comparable '#1 Dates],0)),"-")</f>
        <v>-2.2728251077556064E-2</v>
      </c>
      <c r="K358" s="1">
        <f>IFERROR(IF(Benchmark1[[#This Row],[Comparable '#1 Date Check]]="Pass",Benchmark1[[#This Row],[Comparable '#1 Return]]-Benchmark1[[#This Row],[Benchmark '#1 Return]],"-"),"-")</f>
        <v>-1.6067208306688906E-2</v>
      </c>
      <c r="L358" s="1" t="str">
        <f>IF(COUNTIF(Comp2[Comparable '#2 Dates],Benchmark1[[#This Row],[Benchmark '#1 Dates]])=1,"Pass","Fail")</f>
        <v>Pass</v>
      </c>
      <c r="M358" s="6">
        <f>IF(Benchmark1[[#This Row],[Comparable '#2 Date Check]]="Pass",INDEX(Comp2[Comparable '#2 Price],MATCH(Benchmark1[[#This Row],[Benchmark '#1 Dates]],Comp2[Comparable '#2 Dates],0)),"-")</f>
        <v>33.119999999999997</v>
      </c>
      <c r="N358" s="22">
        <f>IF(Benchmark1[[#This Row],[Comparable '#2 Date Check]]="Pass",INDEX(Comp2[Comparable '#2 Return],MATCH(Benchmark1[[#This Row],[Benchmark '#1 Dates]],Comp2[Comparable '#2 Dates],0)),"-")</f>
        <v>-1.8250319556499913E-2</v>
      </c>
      <c r="O358" s="1">
        <f>IFERROR(IF(Benchmark1[[#This Row],[Comparable '#2 Date Check]]="Pass",Benchmark1[[#This Row],[Comparable '#2 Return]]-Benchmark1[[#This Row],[Benchmark '#1 Return]],"-"),"-")</f>
        <v>-1.1589276785632756E-2</v>
      </c>
      <c r="P358" s="1" t="str">
        <f>IF(COUNTIF(Comp3[Comparable '#3 Dates],Benchmark1[[#This Row],[Benchmark '#1 Dates]])=1,"Pass","Fail")</f>
        <v>Pass</v>
      </c>
      <c r="Q358" s="6">
        <f>IF(Benchmark1[[#This Row],[Comparable '#3 Date Check]]="Pass",INDEX(Comp3[Comparable '#3 Price],MATCH(Benchmark1[[#This Row],[Benchmark '#1 Dates]],Comp3[Comparable '#3 Dates],0)),"-")</f>
        <v>142.78</v>
      </c>
      <c r="R358" s="22">
        <f>IF(Benchmark1[[#This Row],[Comparable '#3 Date Check]]="Pass",INDEX(Comp3[Comparable '#3 Return],MATCH(Benchmark1[[#This Row],[Benchmark '#1 Dates]],Comp3[Comparable '#3 Dates],0)),"-")</f>
        <v>1.8928113891937346E-3</v>
      </c>
      <c r="S358" s="1">
        <f>IFERROR(IF(Benchmark1[[#This Row],[Comparable '#3 Date Check]]="Pass",Benchmark1[[#This Row],[Comparable '#3 Return]]-Benchmark1[[#This Row],[Benchmark '#1 Return]],"-"),"-")</f>
        <v>8.5538541600608912E-3</v>
      </c>
    </row>
    <row r="359" spans="1:19">
      <c r="A359" s="103">
        <v>43803</v>
      </c>
      <c r="B359" s="104">
        <v>3112.7563453632383</v>
      </c>
      <c r="C359" s="4">
        <f t="shared" si="5"/>
        <v>6.3021695319032834E-3</v>
      </c>
      <c r="D359" s="1" t="str">
        <f>IF(COUNTIF(Target1[Target Dates],Benchmark1[[#This Row],[Benchmark '#1 Dates]])=1,"Pass","Fail")</f>
        <v>Pass</v>
      </c>
      <c r="E359" s="6">
        <f>IF(Benchmark1[[#This Row],[Target Date Check]]="Pass",INDEX(Target1[Target Price],MATCH(Benchmark1[[#This Row],[Benchmark '#1 Dates]],Target1[Target Dates],0)),"-")</f>
        <v>19.36</v>
      </c>
      <c r="F359" s="22">
        <f>IF(Benchmark1[[#This Row],[Target Date Check]]="Pass",INDEX(Target1[Target Return],MATCH(Benchmark1[[#This Row],[Benchmark '#1 Dates]],Target1[Target Dates],0)),"-")</f>
        <v>-3.0943810147480229E-3</v>
      </c>
      <c r="G359" s="1">
        <f>IFERROR(IF(Benchmark1[[#This Row],[Target Date Check]]="Pass",Benchmark1[[#This Row],[Target Return]]-Benchmark1[[#This Row],[Benchmark '#1 Return]],"-"),"-")</f>
        <v>-9.3965505466513059E-3</v>
      </c>
      <c r="H359" s="1" t="str">
        <f>IF(COUNTIF(Comp1[Comparable '#1 Dates],Benchmark1[[#This Row],[Benchmark '#1 Dates]])=1,"Pass","Fail")</f>
        <v>Pass</v>
      </c>
      <c r="I359" s="6">
        <f>IF(Benchmark1[[#This Row],[Comparable '#1 Date Check]]="Pass",INDEX(Comp1[Comparable '#1 Price],MATCH(Benchmark1[[#This Row],[Benchmark '#1 Dates]],Comp1[Comparable '#1 Dates],0)),"-")</f>
        <v>16.57</v>
      </c>
      <c r="J359" s="22">
        <f>IF(Benchmark1[[#This Row],[Comparable '#1 Date Check]]="Pass",INDEX(Comp1[Comparable '#1 Return],MATCH(Benchmark1[[#This Row],[Benchmark '#1 Dates]],Comp1[Comparable '#1 Dates],0)),"-")</f>
        <v>2.4169196055386722E-3</v>
      </c>
      <c r="K359" s="1">
        <f>IFERROR(IF(Benchmark1[[#This Row],[Comparable '#1 Date Check]]="Pass",Benchmark1[[#This Row],[Comparable '#1 Return]]-Benchmark1[[#This Row],[Benchmark '#1 Return]],"-"),"-")</f>
        <v>-3.8852499263646112E-3</v>
      </c>
      <c r="L359" s="1" t="str">
        <f>IF(COUNTIF(Comp2[Comparable '#2 Dates],Benchmark1[[#This Row],[Benchmark '#1 Dates]])=1,"Pass","Fail")</f>
        <v>Pass</v>
      </c>
      <c r="M359" s="6">
        <f>IF(Benchmark1[[#This Row],[Comparable '#2 Date Check]]="Pass",INDEX(Comp2[Comparable '#2 Price],MATCH(Benchmark1[[#This Row],[Benchmark '#1 Dates]],Comp2[Comparable '#2 Dates],0)),"-")</f>
        <v>33.159999999999997</v>
      </c>
      <c r="N359" s="22">
        <f>IF(Benchmark1[[#This Row],[Comparable '#2 Date Check]]="Pass",INDEX(Comp2[Comparable '#2 Return],MATCH(Benchmark1[[#This Row],[Benchmark '#1 Dates]],Comp2[Comparable '#2 Dates],0)),"-")</f>
        <v>1.2070007500352875E-3</v>
      </c>
      <c r="O359" s="1">
        <f>IFERROR(IF(Benchmark1[[#This Row],[Comparable '#2 Date Check]]="Pass",Benchmark1[[#This Row],[Comparable '#2 Return]]-Benchmark1[[#This Row],[Benchmark '#1 Return]],"-"),"-")</f>
        <v>-5.0951687818679963E-3</v>
      </c>
      <c r="P359" s="1" t="str">
        <f>IF(COUNTIF(Comp3[Comparable '#3 Dates],Benchmark1[[#This Row],[Benchmark '#1 Dates]])=1,"Pass","Fail")</f>
        <v>Pass</v>
      </c>
      <c r="Q359" s="6">
        <f>IF(Benchmark1[[#This Row],[Comparable '#3 Date Check]]="Pass",INDEX(Comp3[Comparable '#3 Price],MATCH(Benchmark1[[#This Row],[Benchmark '#1 Dates]],Comp3[Comparable '#3 Dates],0)),"-")</f>
        <v>145.02000000000001</v>
      </c>
      <c r="R359" s="22">
        <f>IF(Benchmark1[[#This Row],[Comparable '#3 Date Check]]="Pass",INDEX(Comp3[Comparable '#3 Return],MATCH(Benchmark1[[#This Row],[Benchmark '#1 Dates]],Comp3[Comparable '#3 Dates],0)),"-")</f>
        <v>1.5566679869132309E-2</v>
      </c>
      <c r="S359" s="1">
        <f>IFERROR(IF(Benchmark1[[#This Row],[Comparable '#3 Date Check]]="Pass",Benchmark1[[#This Row],[Comparable '#3 Return]]-Benchmark1[[#This Row],[Benchmark '#1 Return]],"-"),"-")</f>
        <v>9.2645103372290261E-3</v>
      </c>
    </row>
    <row r="360" spans="1:19">
      <c r="A360" s="103">
        <v>43804</v>
      </c>
      <c r="B360" s="104">
        <v>3117.4285883067314</v>
      </c>
      <c r="C360" s="4">
        <f t="shared" si="5"/>
        <v>1.4998732362308837E-3</v>
      </c>
      <c r="D360" s="1" t="str">
        <f>IF(COUNTIF(Target1[Target Dates],Benchmark1[[#This Row],[Benchmark '#1 Dates]])=1,"Pass","Fail")</f>
        <v>Pass</v>
      </c>
      <c r="E360" s="6">
        <f>IF(Benchmark1[[#This Row],[Target Date Check]]="Pass",INDEX(Target1[Target Price],MATCH(Benchmark1[[#This Row],[Benchmark '#1 Dates]],Target1[Target Dates],0)),"-")</f>
        <v>18.96</v>
      </c>
      <c r="F360" s="22">
        <f>IF(Benchmark1[[#This Row],[Target Date Check]]="Pass",INDEX(Target1[Target Return],MATCH(Benchmark1[[#This Row],[Benchmark '#1 Dates]],Target1[Target Dates],0)),"-")</f>
        <v>-2.087758502155514E-2</v>
      </c>
      <c r="G360" s="1">
        <f>IFERROR(IF(Benchmark1[[#This Row],[Target Date Check]]="Pass",Benchmark1[[#This Row],[Target Return]]-Benchmark1[[#This Row],[Benchmark '#1 Return]],"-"),"-")</f>
        <v>-2.2377458257786025E-2</v>
      </c>
      <c r="H360" s="1" t="str">
        <f>IF(COUNTIF(Comp1[Comparable '#1 Dates],Benchmark1[[#This Row],[Benchmark '#1 Dates]])=1,"Pass","Fail")</f>
        <v>Pass</v>
      </c>
      <c r="I360" s="6">
        <f>IF(Benchmark1[[#This Row],[Comparable '#1 Date Check]]="Pass",INDEX(Comp1[Comparable '#1 Price],MATCH(Benchmark1[[#This Row],[Benchmark '#1 Dates]],Comp1[Comparable '#1 Dates],0)),"-")</f>
        <v>16.47</v>
      </c>
      <c r="J360" s="22">
        <f>IF(Benchmark1[[#This Row],[Comparable '#1 Date Check]]="Pass",INDEX(Comp1[Comparable '#1 Return],MATCH(Benchmark1[[#This Row],[Benchmark '#1 Dates]],Comp1[Comparable '#1 Dates],0)),"-")</f>
        <v>-6.0532872489226751E-3</v>
      </c>
      <c r="K360" s="1">
        <f>IFERROR(IF(Benchmark1[[#This Row],[Comparable '#1 Date Check]]="Pass",Benchmark1[[#This Row],[Comparable '#1 Return]]-Benchmark1[[#This Row],[Benchmark '#1 Return]],"-"),"-")</f>
        <v>-7.5531604851535586E-3</v>
      </c>
      <c r="L360" s="1" t="str">
        <f>IF(COUNTIF(Comp2[Comparable '#2 Dates],Benchmark1[[#This Row],[Benchmark '#1 Dates]])=1,"Pass","Fail")</f>
        <v>Pass</v>
      </c>
      <c r="M360" s="6">
        <f>IF(Benchmark1[[#This Row],[Comparable '#2 Date Check]]="Pass",INDEX(Comp2[Comparable '#2 Price],MATCH(Benchmark1[[#This Row],[Benchmark '#1 Dates]],Comp2[Comparable '#2 Dates],0)),"-")</f>
        <v>32.78</v>
      </c>
      <c r="N360" s="22">
        <f>IF(Benchmark1[[#This Row],[Comparable '#2 Date Check]]="Pass",INDEX(Comp2[Comparable '#2 Return],MATCH(Benchmark1[[#This Row],[Benchmark '#1 Dates]],Comp2[Comparable '#2 Dates],0)),"-")</f>
        <v>-1.1525756951410468E-2</v>
      </c>
      <c r="O360" s="1">
        <f>IFERROR(IF(Benchmark1[[#This Row],[Comparable '#2 Date Check]]="Pass",Benchmark1[[#This Row],[Comparable '#2 Return]]-Benchmark1[[#This Row],[Benchmark '#1 Return]],"-"),"-")</f>
        <v>-1.3025630187641352E-2</v>
      </c>
      <c r="P360" s="1" t="str">
        <f>IF(COUNTIF(Comp3[Comparable '#3 Dates],Benchmark1[[#This Row],[Benchmark '#1 Dates]])=1,"Pass","Fail")</f>
        <v>Pass</v>
      </c>
      <c r="Q360" s="6">
        <f>IF(Benchmark1[[#This Row],[Comparable '#3 Date Check]]="Pass",INDEX(Comp3[Comparable '#3 Price],MATCH(Benchmark1[[#This Row],[Benchmark '#1 Dates]],Comp3[Comparable '#3 Dates],0)),"-")</f>
        <v>143.02000000000001</v>
      </c>
      <c r="R360" s="22">
        <f>IF(Benchmark1[[#This Row],[Comparable '#3 Date Check]]="Pass",INDEX(Comp3[Comparable '#3 Return],MATCH(Benchmark1[[#This Row],[Benchmark '#1 Dates]],Comp3[Comparable '#3 Dates],0)),"-")</f>
        <v>-1.3887183323196805E-2</v>
      </c>
      <c r="S360" s="1">
        <f>IFERROR(IF(Benchmark1[[#This Row],[Comparable '#3 Date Check]]="Pass",Benchmark1[[#This Row],[Comparable '#3 Return]]-Benchmark1[[#This Row],[Benchmark '#1 Return]],"-"),"-")</f>
        <v>-1.538705655942769E-2</v>
      </c>
    </row>
    <row r="361" spans="1:19">
      <c r="A361" s="103">
        <v>43805</v>
      </c>
      <c r="B361" s="104">
        <v>3145.9110261640335</v>
      </c>
      <c r="C361" s="4">
        <f t="shared" si="5"/>
        <v>9.0950310691091663E-3</v>
      </c>
      <c r="D361" s="1" t="str">
        <f>IF(COUNTIF(Target1[Target Dates],Benchmark1[[#This Row],[Benchmark '#1 Dates]])=1,"Pass","Fail")</f>
        <v>Pass</v>
      </c>
      <c r="E361" s="6">
        <f>IF(Benchmark1[[#This Row],[Target Date Check]]="Pass",INDEX(Target1[Target Price],MATCH(Benchmark1[[#This Row],[Benchmark '#1 Dates]],Target1[Target Dates],0)),"-")</f>
        <v>19.22</v>
      </c>
      <c r="F361" s="22">
        <f>IF(Benchmark1[[#This Row],[Target Date Check]]="Pass",INDEX(Target1[Target Return],MATCH(Benchmark1[[#This Row],[Benchmark '#1 Dates]],Target1[Target Dates],0)),"-")</f>
        <v>1.3619906715270686E-2</v>
      </c>
      <c r="G361" s="1">
        <f>IFERROR(IF(Benchmark1[[#This Row],[Target Date Check]]="Pass",Benchmark1[[#This Row],[Target Return]]-Benchmark1[[#This Row],[Benchmark '#1 Return]],"-"),"-")</f>
        <v>4.5248756461615195E-3</v>
      </c>
      <c r="H361" s="1" t="str">
        <f>IF(COUNTIF(Comp1[Comparable '#1 Dates],Benchmark1[[#This Row],[Benchmark '#1 Dates]])=1,"Pass","Fail")</f>
        <v>Pass</v>
      </c>
      <c r="I361" s="6">
        <f>IF(Benchmark1[[#This Row],[Comparable '#1 Date Check]]="Pass",INDEX(Comp1[Comparable '#1 Price],MATCH(Benchmark1[[#This Row],[Benchmark '#1 Dates]],Comp1[Comparable '#1 Dates],0)),"-")</f>
        <v>16.649999999999999</v>
      </c>
      <c r="J361" s="22">
        <f>IF(Benchmark1[[#This Row],[Comparable '#1 Date Check]]="Pass",INDEX(Comp1[Comparable '#1 Return],MATCH(Benchmark1[[#This Row],[Benchmark '#1 Dates]],Comp1[Comparable '#1 Dates],0)),"-")</f>
        <v>1.0869672236903891E-2</v>
      </c>
      <c r="K361" s="1">
        <f>IFERROR(IF(Benchmark1[[#This Row],[Comparable '#1 Date Check]]="Pass",Benchmark1[[#This Row],[Comparable '#1 Return]]-Benchmark1[[#This Row],[Benchmark '#1 Return]],"-"),"-")</f>
        <v>1.7746411677947247E-3</v>
      </c>
      <c r="L361" s="1" t="str">
        <f>IF(COUNTIF(Comp2[Comparable '#2 Dates],Benchmark1[[#This Row],[Benchmark '#1 Dates]])=1,"Pass","Fail")</f>
        <v>Pass</v>
      </c>
      <c r="M361" s="6">
        <f>IF(Benchmark1[[#This Row],[Comparable '#2 Date Check]]="Pass",INDEX(Comp2[Comparable '#2 Price],MATCH(Benchmark1[[#This Row],[Benchmark '#1 Dates]],Comp2[Comparable '#2 Dates],0)),"-")</f>
        <v>33.659999999999997</v>
      </c>
      <c r="N361" s="22">
        <f>IF(Benchmark1[[#This Row],[Comparable '#2 Date Check]]="Pass",INDEX(Comp2[Comparable '#2 Return],MATCH(Benchmark1[[#This Row],[Benchmark '#1 Dates]],Comp2[Comparable '#2 Dates],0)),"-")</f>
        <v>2.6491615446976285E-2</v>
      </c>
      <c r="O361" s="1">
        <f>IFERROR(IF(Benchmark1[[#This Row],[Comparable '#2 Date Check]]="Pass",Benchmark1[[#This Row],[Comparable '#2 Return]]-Benchmark1[[#This Row],[Benchmark '#1 Return]],"-"),"-")</f>
        <v>1.7396584377867119E-2</v>
      </c>
      <c r="P361" s="1" t="str">
        <f>IF(COUNTIF(Comp3[Comparable '#3 Dates],Benchmark1[[#This Row],[Benchmark '#1 Dates]])=1,"Pass","Fail")</f>
        <v>Pass</v>
      </c>
      <c r="Q361" s="6">
        <f>IF(Benchmark1[[#This Row],[Comparable '#3 Date Check]]="Pass",INDEX(Comp3[Comparable '#3 Price],MATCH(Benchmark1[[#This Row],[Benchmark '#1 Dates]],Comp3[Comparable '#3 Dates],0)),"-")</f>
        <v>145.72999999999999</v>
      </c>
      <c r="R361" s="22">
        <f>IF(Benchmark1[[#This Row],[Comparable '#3 Date Check]]="Pass",INDEX(Comp3[Comparable '#3 Return],MATCH(Benchmark1[[#This Row],[Benchmark '#1 Dates]],Comp3[Comparable '#3 Dates],0)),"-")</f>
        <v>1.8771113925355219E-2</v>
      </c>
      <c r="S361" s="1">
        <f>IFERROR(IF(Benchmark1[[#This Row],[Comparable '#3 Date Check]]="Pass",Benchmark1[[#This Row],[Comparable '#3 Return]]-Benchmark1[[#This Row],[Benchmark '#1 Return]],"-"),"-")</f>
        <v>9.6760828562460523E-3</v>
      </c>
    </row>
    <row r="362" spans="1:19">
      <c r="A362" s="103">
        <v>43808</v>
      </c>
      <c r="B362" s="104">
        <v>3135.9613835822133</v>
      </c>
      <c r="C362" s="4">
        <f t="shared" si="5"/>
        <v>-3.1677341572200284E-3</v>
      </c>
      <c r="D362" s="1" t="str">
        <f>IF(COUNTIF(Target1[Target Dates],Benchmark1[[#This Row],[Benchmark '#1 Dates]])=1,"Pass","Fail")</f>
        <v>Pass</v>
      </c>
      <c r="E362" s="6">
        <f>IF(Benchmark1[[#This Row],[Target Date Check]]="Pass",INDEX(Target1[Target Price],MATCH(Benchmark1[[#This Row],[Benchmark '#1 Dates]],Target1[Target Dates],0)),"-")</f>
        <v>19.489999999999998</v>
      </c>
      <c r="F362" s="22">
        <f>IF(Benchmark1[[#This Row],[Target Date Check]]="Pass",INDEX(Target1[Target Return],MATCH(Benchmark1[[#This Row],[Benchmark '#1 Dates]],Target1[Target Dates],0)),"-")</f>
        <v>1.3950109977322905E-2</v>
      </c>
      <c r="G362" s="1">
        <f>IFERROR(IF(Benchmark1[[#This Row],[Target Date Check]]="Pass",Benchmark1[[#This Row],[Target Return]]-Benchmark1[[#This Row],[Benchmark '#1 Return]],"-"),"-")</f>
        <v>1.7117844134542932E-2</v>
      </c>
      <c r="H362" s="1" t="str">
        <f>IF(COUNTIF(Comp1[Comparable '#1 Dates],Benchmark1[[#This Row],[Benchmark '#1 Dates]])=1,"Pass","Fail")</f>
        <v>Pass</v>
      </c>
      <c r="I362" s="6">
        <f>IF(Benchmark1[[#This Row],[Comparable '#1 Date Check]]="Pass",INDEX(Comp1[Comparable '#1 Price],MATCH(Benchmark1[[#This Row],[Benchmark '#1 Dates]],Comp1[Comparable '#1 Dates],0)),"-")</f>
        <v>16.260000000000002</v>
      </c>
      <c r="J362" s="22">
        <f>IF(Benchmark1[[#This Row],[Comparable '#1 Date Check]]="Pass",INDEX(Comp1[Comparable '#1 Return],MATCH(Benchmark1[[#This Row],[Benchmark '#1 Dates]],Comp1[Comparable '#1 Dates],0)),"-")</f>
        <v>-2.3702112306788169E-2</v>
      </c>
      <c r="K362" s="1">
        <f>IFERROR(IF(Benchmark1[[#This Row],[Comparable '#1 Date Check]]="Pass",Benchmark1[[#This Row],[Comparable '#1 Return]]-Benchmark1[[#This Row],[Benchmark '#1 Return]],"-"),"-")</f>
        <v>-2.0534378149568142E-2</v>
      </c>
      <c r="L362" s="1" t="str">
        <f>IF(COUNTIF(Comp2[Comparable '#2 Dates],Benchmark1[[#This Row],[Benchmark '#1 Dates]])=1,"Pass","Fail")</f>
        <v>Pass</v>
      </c>
      <c r="M362" s="6">
        <f>IF(Benchmark1[[#This Row],[Comparable '#2 Date Check]]="Pass",INDEX(Comp2[Comparable '#2 Price],MATCH(Benchmark1[[#This Row],[Benchmark '#1 Dates]],Comp2[Comparable '#2 Dates],0)),"-")</f>
        <v>33.46</v>
      </c>
      <c r="N362" s="22">
        <f>IF(Benchmark1[[#This Row],[Comparable '#2 Date Check]]="Pass",INDEX(Comp2[Comparable '#2 Return],MATCH(Benchmark1[[#This Row],[Benchmark '#1 Dates]],Comp2[Comparable '#2 Dates],0)),"-")</f>
        <v>-5.9594932039819222E-3</v>
      </c>
      <c r="O362" s="1">
        <f>IFERROR(IF(Benchmark1[[#This Row],[Comparable '#2 Date Check]]="Pass",Benchmark1[[#This Row],[Comparable '#2 Return]]-Benchmark1[[#This Row],[Benchmark '#1 Return]],"-"),"-")</f>
        <v>-2.7917590467618938E-3</v>
      </c>
      <c r="P362" s="1" t="str">
        <f>IF(COUNTIF(Comp3[Comparable '#3 Dates],Benchmark1[[#This Row],[Benchmark '#1 Dates]])=1,"Pass","Fail")</f>
        <v>Pass</v>
      </c>
      <c r="Q362" s="6">
        <f>IF(Benchmark1[[#This Row],[Comparable '#3 Date Check]]="Pass",INDEX(Comp3[Comparable '#3 Price],MATCH(Benchmark1[[#This Row],[Benchmark '#1 Dates]],Comp3[Comparable '#3 Dates],0)),"-")</f>
        <v>146.43</v>
      </c>
      <c r="R362" s="22">
        <f>IF(Benchmark1[[#This Row],[Comparable '#3 Date Check]]="Pass",INDEX(Comp3[Comparable '#3 Return],MATCH(Benchmark1[[#This Row],[Benchmark '#1 Dates]],Comp3[Comparable '#3 Dates],0)),"-")</f>
        <v>4.7919040215607068E-3</v>
      </c>
      <c r="S362" s="1">
        <f>IFERROR(IF(Benchmark1[[#This Row],[Comparable '#3 Date Check]]="Pass",Benchmark1[[#This Row],[Comparable '#3 Return]]-Benchmark1[[#This Row],[Benchmark '#1 Return]],"-"),"-")</f>
        <v>7.9596381787807348E-3</v>
      </c>
    </row>
    <row r="363" spans="1:19">
      <c r="A363" s="103">
        <v>43809</v>
      </c>
      <c r="B363" s="104">
        <v>3132.5186065152216</v>
      </c>
      <c r="C363" s="4">
        <f t="shared" si="5"/>
        <v>-1.0984409038853704E-3</v>
      </c>
      <c r="D363" s="1" t="str">
        <f>IF(COUNTIF(Target1[Target Dates],Benchmark1[[#This Row],[Benchmark '#1 Dates]])=1,"Pass","Fail")</f>
        <v>Pass</v>
      </c>
      <c r="E363" s="6">
        <f>IF(Benchmark1[[#This Row],[Target Date Check]]="Pass",INDEX(Target1[Target Price],MATCH(Benchmark1[[#This Row],[Benchmark '#1 Dates]],Target1[Target Dates],0)),"-")</f>
        <v>19.55</v>
      </c>
      <c r="F363" s="22">
        <f>IF(Benchmark1[[#This Row],[Target Date Check]]="Pass",INDEX(Target1[Target Return],MATCH(Benchmark1[[#This Row],[Benchmark '#1 Dates]],Target1[Target Dates],0)),"-")</f>
        <v>3.073772911905452E-3</v>
      </c>
      <c r="G363" s="1">
        <f>IFERROR(IF(Benchmark1[[#This Row],[Target Date Check]]="Pass",Benchmark1[[#This Row],[Target Return]]-Benchmark1[[#This Row],[Benchmark '#1 Return]],"-"),"-")</f>
        <v>4.1722138157908222E-3</v>
      </c>
      <c r="H363" s="1" t="str">
        <f>IF(COUNTIF(Comp1[Comparable '#1 Dates],Benchmark1[[#This Row],[Benchmark '#1 Dates]])=1,"Pass","Fail")</f>
        <v>Pass</v>
      </c>
      <c r="I363" s="6">
        <f>IF(Benchmark1[[#This Row],[Comparable '#1 Date Check]]="Pass",INDEX(Comp1[Comparable '#1 Price],MATCH(Benchmark1[[#This Row],[Benchmark '#1 Dates]],Comp1[Comparable '#1 Dates],0)),"-")</f>
        <v>16.420000000000002</v>
      </c>
      <c r="J363" s="22">
        <f>IF(Benchmark1[[#This Row],[Comparable '#1 Date Check]]="Pass",INDEX(Comp1[Comparable '#1 Return],MATCH(Benchmark1[[#This Row],[Benchmark '#1 Dates]],Comp1[Comparable '#1 Dates],0)),"-")</f>
        <v>9.7919999046177184E-3</v>
      </c>
      <c r="K363" s="1">
        <f>IFERROR(IF(Benchmark1[[#This Row],[Comparable '#1 Date Check]]="Pass",Benchmark1[[#This Row],[Comparable '#1 Return]]-Benchmark1[[#This Row],[Benchmark '#1 Return]],"-"),"-")</f>
        <v>1.0890440808503089E-2</v>
      </c>
      <c r="L363" s="1" t="str">
        <f>IF(COUNTIF(Comp2[Comparable '#2 Dates],Benchmark1[[#This Row],[Benchmark '#1 Dates]])=1,"Pass","Fail")</f>
        <v>Pass</v>
      </c>
      <c r="M363" s="6">
        <f>IF(Benchmark1[[#This Row],[Comparable '#2 Date Check]]="Pass",INDEX(Comp2[Comparable '#2 Price],MATCH(Benchmark1[[#This Row],[Benchmark '#1 Dates]],Comp2[Comparable '#2 Dates],0)),"-")</f>
        <v>33.76</v>
      </c>
      <c r="N363" s="22">
        <f>IF(Benchmark1[[#This Row],[Comparable '#2 Date Check]]="Pass",INDEX(Comp2[Comparable '#2 Return],MATCH(Benchmark1[[#This Row],[Benchmark '#1 Dates]],Comp2[Comparable '#2 Dates],0)),"-")</f>
        <v>8.9259741690782633E-3</v>
      </c>
      <c r="O363" s="1">
        <f>IFERROR(IF(Benchmark1[[#This Row],[Comparable '#2 Date Check]]="Pass",Benchmark1[[#This Row],[Comparable '#2 Return]]-Benchmark1[[#This Row],[Benchmark '#1 Return]],"-"),"-")</f>
        <v>1.0024415072963633E-2</v>
      </c>
      <c r="P363" s="1" t="str">
        <f>IF(COUNTIF(Comp3[Comparable '#3 Dates],Benchmark1[[#This Row],[Benchmark '#1 Dates]])=1,"Pass","Fail")</f>
        <v>Pass</v>
      </c>
      <c r="Q363" s="6">
        <f>IF(Benchmark1[[#This Row],[Comparable '#3 Date Check]]="Pass",INDEX(Comp3[Comparable '#3 Price],MATCH(Benchmark1[[#This Row],[Benchmark '#1 Dates]],Comp3[Comparable '#3 Dates],0)),"-")</f>
        <v>148.04</v>
      </c>
      <c r="R363" s="22">
        <f>IF(Benchmark1[[#This Row],[Comparable '#3 Date Check]]="Pass",INDEX(Comp3[Comparable '#3 Return],MATCH(Benchmark1[[#This Row],[Benchmark '#1 Dates]],Comp3[Comparable '#3 Dates],0)),"-")</f>
        <v>1.0935008950789353E-2</v>
      </c>
      <c r="S363" s="1">
        <f>IFERROR(IF(Benchmark1[[#This Row],[Comparable '#3 Date Check]]="Pass",Benchmark1[[#This Row],[Comparable '#3 Return]]-Benchmark1[[#This Row],[Benchmark '#1 Return]],"-"),"-")</f>
        <v>1.2033449854674723E-2</v>
      </c>
    </row>
    <row r="364" spans="1:19">
      <c r="A364" s="103">
        <v>43810</v>
      </c>
      <c r="B364" s="104">
        <v>3141.6266769632507</v>
      </c>
      <c r="C364" s="4">
        <f t="shared" si="5"/>
        <v>2.9033681671630754E-3</v>
      </c>
      <c r="D364" s="1" t="str">
        <f>IF(COUNTIF(Target1[Target Dates],Benchmark1[[#This Row],[Benchmark '#1 Dates]])=1,"Pass","Fail")</f>
        <v>Pass</v>
      </c>
      <c r="E364" s="6">
        <f>IF(Benchmark1[[#This Row],[Target Date Check]]="Pass",INDEX(Target1[Target Price],MATCH(Benchmark1[[#This Row],[Benchmark '#1 Dates]],Target1[Target Dates],0)),"-")</f>
        <v>19.64</v>
      </c>
      <c r="F364" s="22">
        <f>IF(Benchmark1[[#This Row],[Target Date Check]]="Pass",INDEX(Target1[Target Return],MATCH(Benchmark1[[#This Row],[Benchmark '#1 Dates]],Target1[Target Dates],0)),"-")</f>
        <v>4.5930164949450642E-3</v>
      </c>
      <c r="G364" s="1">
        <f>IFERROR(IF(Benchmark1[[#This Row],[Target Date Check]]="Pass",Benchmark1[[#This Row],[Target Return]]-Benchmark1[[#This Row],[Benchmark '#1 Return]],"-"),"-")</f>
        <v>1.6896483277819888E-3</v>
      </c>
      <c r="H364" s="1" t="str">
        <f>IF(COUNTIF(Comp1[Comparable '#1 Dates],Benchmark1[[#This Row],[Benchmark '#1 Dates]])=1,"Pass","Fail")</f>
        <v>Pass</v>
      </c>
      <c r="I364" s="6">
        <f>IF(Benchmark1[[#This Row],[Comparable '#1 Date Check]]="Pass",INDEX(Comp1[Comparable '#1 Price],MATCH(Benchmark1[[#This Row],[Benchmark '#1 Dates]],Comp1[Comparable '#1 Dates],0)),"-")</f>
        <v>16.579999999999998</v>
      </c>
      <c r="J364" s="22">
        <f>IF(Benchmark1[[#This Row],[Comparable '#1 Date Check]]="Pass",INDEX(Comp1[Comparable '#1 Return],MATCH(Benchmark1[[#This Row],[Benchmark '#1 Dates]],Comp1[Comparable '#1 Dates],0)),"-")</f>
        <v>9.6970456828665529E-3</v>
      </c>
      <c r="K364" s="1">
        <f>IFERROR(IF(Benchmark1[[#This Row],[Comparable '#1 Date Check]]="Pass",Benchmark1[[#This Row],[Comparable '#1 Return]]-Benchmark1[[#This Row],[Benchmark '#1 Return]],"-"),"-")</f>
        <v>6.7936775157034779E-3</v>
      </c>
      <c r="L364" s="1" t="str">
        <f>IF(COUNTIF(Comp2[Comparable '#2 Dates],Benchmark1[[#This Row],[Benchmark '#1 Dates]])=1,"Pass","Fail")</f>
        <v>Pass</v>
      </c>
      <c r="M364" s="6">
        <f>IF(Benchmark1[[#This Row],[Comparable '#2 Date Check]]="Pass",INDEX(Comp2[Comparable '#2 Price],MATCH(Benchmark1[[#This Row],[Benchmark '#1 Dates]],Comp2[Comparable '#2 Dates],0)),"-")</f>
        <v>33.82</v>
      </c>
      <c r="N364" s="22">
        <f>IF(Benchmark1[[#This Row],[Comparable '#2 Date Check]]="Pass",INDEX(Comp2[Comparable '#2 Return],MATCH(Benchmark1[[#This Row],[Benchmark '#1 Dates]],Comp2[Comparable '#2 Dates],0)),"-")</f>
        <v>1.7756737426779343E-3</v>
      </c>
      <c r="O364" s="1">
        <f>IFERROR(IF(Benchmark1[[#This Row],[Comparable '#2 Date Check]]="Pass",Benchmark1[[#This Row],[Comparable '#2 Return]]-Benchmark1[[#This Row],[Benchmark '#1 Return]],"-"),"-")</f>
        <v>-1.1276944244851411E-3</v>
      </c>
      <c r="P364" s="1" t="str">
        <f>IF(COUNTIF(Comp3[Comparable '#3 Dates],Benchmark1[[#This Row],[Benchmark '#1 Dates]])=1,"Pass","Fail")</f>
        <v>Pass</v>
      </c>
      <c r="Q364" s="6">
        <f>IF(Benchmark1[[#This Row],[Comparable '#3 Date Check]]="Pass",INDEX(Comp3[Comparable '#3 Price],MATCH(Benchmark1[[#This Row],[Benchmark '#1 Dates]],Comp3[Comparable '#3 Dates],0)),"-")</f>
        <v>145.75</v>
      </c>
      <c r="R364" s="22">
        <f>IF(Benchmark1[[#This Row],[Comparable '#3 Date Check]]="Pass",INDEX(Comp3[Comparable '#3 Return],MATCH(Benchmark1[[#This Row],[Benchmark '#1 Dates]],Comp3[Comparable '#3 Dates],0)),"-")</f>
        <v>-1.5589682287353409E-2</v>
      </c>
      <c r="S364" s="1">
        <f>IFERROR(IF(Benchmark1[[#This Row],[Comparable '#3 Date Check]]="Pass",Benchmark1[[#This Row],[Comparable '#3 Return]]-Benchmark1[[#This Row],[Benchmark '#1 Return]],"-"),"-")</f>
        <v>-1.8493050454516484E-2</v>
      </c>
    </row>
    <row r="365" spans="1:19">
      <c r="A365" s="103">
        <v>43811</v>
      </c>
      <c r="B365" s="104">
        <v>3168.5691707344458</v>
      </c>
      <c r="C365" s="4">
        <f t="shared" si="5"/>
        <v>8.5394045272271374E-3</v>
      </c>
      <c r="D365" s="1" t="str">
        <f>IF(COUNTIF(Target1[Target Dates],Benchmark1[[#This Row],[Benchmark '#1 Dates]])=1,"Pass","Fail")</f>
        <v>Pass</v>
      </c>
      <c r="E365" s="6">
        <f>IF(Benchmark1[[#This Row],[Target Date Check]]="Pass",INDEX(Target1[Target Price],MATCH(Benchmark1[[#This Row],[Benchmark '#1 Dates]],Target1[Target Dates],0)),"-")</f>
        <v>19.73</v>
      </c>
      <c r="F365" s="22">
        <f>IF(Benchmark1[[#This Row],[Target Date Check]]="Pass",INDEX(Target1[Target Return],MATCH(Benchmark1[[#This Row],[Benchmark '#1 Dates]],Target1[Target Dates],0)),"-")</f>
        <v>4.5720171082040831E-3</v>
      </c>
      <c r="G365" s="1">
        <f>IFERROR(IF(Benchmark1[[#This Row],[Target Date Check]]="Pass",Benchmark1[[#This Row],[Target Return]]-Benchmark1[[#This Row],[Benchmark '#1 Return]],"-"),"-")</f>
        <v>-3.9673874190230543E-3</v>
      </c>
      <c r="H365" s="1" t="str">
        <f>IF(COUNTIF(Comp1[Comparable '#1 Dates],Benchmark1[[#This Row],[Benchmark '#1 Dates]])=1,"Pass","Fail")</f>
        <v>Pass</v>
      </c>
      <c r="I365" s="6">
        <f>IF(Benchmark1[[#This Row],[Comparable '#1 Date Check]]="Pass",INDEX(Comp1[Comparable '#1 Price],MATCH(Benchmark1[[#This Row],[Benchmark '#1 Dates]],Comp1[Comparable '#1 Dates],0)),"-")</f>
        <v>16.809999999999999</v>
      </c>
      <c r="J365" s="22">
        <f>IF(Benchmark1[[#This Row],[Comparable '#1 Date Check]]="Pass",INDEX(Comp1[Comparable '#1 Return],MATCH(Benchmark1[[#This Row],[Benchmark '#1 Dates]],Comp1[Comparable '#1 Dates],0)),"-")</f>
        <v>1.3776797713375418E-2</v>
      </c>
      <c r="K365" s="1">
        <f>IFERROR(IF(Benchmark1[[#This Row],[Comparable '#1 Date Check]]="Pass",Benchmark1[[#This Row],[Comparable '#1 Return]]-Benchmark1[[#This Row],[Benchmark '#1 Return]],"-"),"-")</f>
        <v>5.2373931861482807E-3</v>
      </c>
      <c r="L365" s="1" t="str">
        <f>IF(COUNTIF(Comp2[Comparable '#2 Dates],Benchmark1[[#This Row],[Benchmark '#1 Dates]])=1,"Pass","Fail")</f>
        <v>Pass</v>
      </c>
      <c r="M365" s="6">
        <f>IF(Benchmark1[[#This Row],[Comparable '#2 Date Check]]="Pass",INDEX(Comp2[Comparable '#2 Price],MATCH(Benchmark1[[#This Row],[Benchmark '#1 Dates]],Comp2[Comparable '#2 Dates],0)),"-")</f>
        <v>34.979999999999997</v>
      </c>
      <c r="N365" s="22">
        <f>IF(Benchmark1[[#This Row],[Comparable '#2 Date Check]]="Pass",INDEX(Comp2[Comparable '#2 Return],MATCH(Benchmark1[[#This Row],[Benchmark '#1 Dates]],Comp2[Comparable '#2 Dates],0)),"-")</f>
        <v>3.3724126120021743E-2</v>
      </c>
      <c r="O365" s="1">
        <f>IFERROR(IF(Benchmark1[[#This Row],[Comparable '#2 Date Check]]="Pass",Benchmark1[[#This Row],[Comparable '#2 Return]]-Benchmark1[[#This Row],[Benchmark '#1 Return]],"-"),"-")</f>
        <v>2.5184721592794605E-2</v>
      </c>
      <c r="P365" s="1" t="str">
        <f>IF(COUNTIF(Comp3[Comparable '#3 Dates],Benchmark1[[#This Row],[Benchmark '#1 Dates]])=1,"Pass","Fail")</f>
        <v>Pass</v>
      </c>
      <c r="Q365" s="6">
        <f>IF(Benchmark1[[#This Row],[Comparable '#3 Date Check]]="Pass",INDEX(Comp3[Comparable '#3 Price],MATCH(Benchmark1[[#This Row],[Benchmark '#1 Dates]],Comp3[Comparable '#3 Dates],0)),"-")</f>
        <v>148.46</v>
      </c>
      <c r="R365" s="22">
        <f>IF(Benchmark1[[#This Row],[Comparable '#3 Date Check]]="Pass",INDEX(Comp3[Comparable '#3 Return],MATCH(Benchmark1[[#This Row],[Benchmark '#1 Dates]],Comp3[Comparable '#3 Dates],0)),"-")</f>
        <v>1.8422736458799178E-2</v>
      </c>
      <c r="S365" s="1">
        <f>IFERROR(IF(Benchmark1[[#This Row],[Comparable '#3 Date Check]]="Pass",Benchmark1[[#This Row],[Comparable '#3 Return]]-Benchmark1[[#This Row],[Benchmark '#1 Return]],"-"),"-")</f>
        <v>9.8833319315720404E-3</v>
      </c>
    </row>
    <row r="366" spans="1:19">
      <c r="A366" s="103">
        <v>43812</v>
      </c>
      <c r="B366" s="104">
        <v>3168.7996331577629</v>
      </c>
      <c r="C366" s="4">
        <f t="shared" si="5"/>
        <v>7.2731264520032592E-5</v>
      </c>
      <c r="D366" s="1" t="str">
        <f>IF(COUNTIF(Target1[Target Dates],Benchmark1[[#This Row],[Benchmark '#1 Dates]])=1,"Pass","Fail")</f>
        <v>Pass</v>
      </c>
      <c r="E366" s="6">
        <f>IF(Benchmark1[[#This Row],[Target Date Check]]="Pass",INDEX(Target1[Target Price],MATCH(Benchmark1[[#This Row],[Benchmark '#1 Dates]],Target1[Target Dates],0)),"-")</f>
        <v>19.57</v>
      </c>
      <c r="F366" s="22">
        <f>IF(Benchmark1[[#This Row],[Target Date Check]]="Pass",INDEX(Target1[Target Return],MATCH(Benchmark1[[#This Row],[Benchmark '#1 Dates]],Target1[Target Dates],0)),"-")</f>
        <v>-8.1425386265391343E-3</v>
      </c>
      <c r="G366" s="1">
        <f>IFERROR(IF(Benchmark1[[#This Row],[Target Date Check]]="Pass",Benchmark1[[#This Row],[Target Return]]-Benchmark1[[#This Row],[Benchmark '#1 Return]],"-"),"-")</f>
        <v>-8.2152698910591664E-3</v>
      </c>
      <c r="H366" s="1" t="str">
        <f>IF(COUNTIF(Comp1[Comparable '#1 Dates],Benchmark1[[#This Row],[Benchmark '#1 Dates]])=1,"Pass","Fail")</f>
        <v>Pass</v>
      </c>
      <c r="I366" s="6">
        <f>IF(Benchmark1[[#This Row],[Comparable '#1 Date Check]]="Pass",INDEX(Comp1[Comparable '#1 Price],MATCH(Benchmark1[[#This Row],[Benchmark '#1 Dates]],Comp1[Comparable '#1 Dates],0)),"-")</f>
        <v>17.14</v>
      </c>
      <c r="J366" s="22">
        <f>IF(Benchmark1[[#This Row],[Comparable '#1 Date Check]]="Pass",INDEX(Comp1[Comparable '#1 Return],MATCH(Benchmark1[[#This Row],[Benchmark '#1 Dates]],Comp1[Comparable '#1 Dates],0)),"-")</f>
        <v>1.944096574910963E-2</v>
      </c>
      <c r="K366" s="1">
        <f>IFERROR(IF(Benchmark1[[#This Row],[Comparable '#1 Date Check]]="Pass",Benchmark1[[#This Row],[Comparable '#1 Return]]-Benchmark1[[#This Row],[Benchmark '#1 Return]],"-"),"-")</f>
        <v>1.9368234484589596E-2</v>
      </c>
      <c r="L366" s="1" t="str">
        <f>IF(COUNTIF(Comp2[Comparable '#2 Dates],Benchmark1[[#This Row],[Benchmark '#1 Dates]])=1,"Pass","Fail")</f>
        <v>Pass</v>
      </c>
      <c r="M366" s="6">
        <f>IF(Benchmark1[[#This Row],[Comparable '#2 Date Check]]="Pass",INDEX(Comp2[Comparable '#2 Price],MATCH(Benchmark1[[#This Row],[Benchmark '#1 Dates]],Comp2[Comparable '#2 Dates],0)),"-")</f>
        <v>34.74</v>
      </c>
      <c r="N366" s="22">
        <f>IF(Benchmark1[[#This Row],[Comparable '#2 Date Check]]="Pass",INDEX(Comp2[Comparable '#2 Return],MATCH(Benchmark1[[#This Row],[Benchmark '#1 Dates]],Comp2[Comparable '#2 Dates],0)),"-")</f>
        <v>-6.8847087774970318E-3</v>
      </c>
      <c r="O366" s="1">
        <f>IFERROR(IF(Benchmark1[[#This Row],[Comparable '#2 Date Check]]="Pass",Benchmark1[[#This Row],[Comparable '#2 Return]]-Benchmark1[[#This Row],[Benchmark '#1 Return]],"-"),"-")</f>
        <v>-6.9574400420170648E-3</v>
      </c>
      <c r="P366" s="1" t="str">
        <f>IF(COUNTIF(Comp3[Comparable '#3 Dates],Benchmark1[[#This Row],[Benchmark '#1 Dates]])=1,"Pass","Fail")</f>
        <v>Pass</v>
      </c>
      <c r="Q366" s="6">
        <f>IF(Benchmark1[[#This Row],[Comparable '#3 Date Check]]="Pass",INDEX(Comp3[Comparable '#3 Price],MATCH(Benchmark1[[#This Row],[Benchmark '#1 Dates]],Comp3[Comparable '#3 Dates],0)),"-")</f>
        <v>147.72999999999999</v>
      </c>
      <c r="R366" s="22">
        <f>IF(Benchmark1[[#This Row],[Comparable '#3 Date Check]]="Pass",INDEX(Comp3[Comparable '#3 Return],MATCH(Benchmark1[[#This Row],[Benchmark '#1 Dates]],Comp3[Comparable '#3 Dates],0)),"-")</f>
        <v>-4.9292783558842436E-3</v>
      </c>
      <c r="S366" s="1">
        <f>IFERROR(IF(Benchmark1[[#This Row],[Comparable '#3 Date Check]]="Pass",Benchmark1[[#This Row],[Comparable '#3 Return]]-Benchmark1[[#This Row],[Benchmark '#1 Return]],"-"),"-")</f>
        <v>-5.0020096204042765E-3</v>
      </c>
    </row>
    <row r="367" spans="1:19">
      <c r="A367" s="103">
        <v>43815</v>
      </c>
      <c r="B367" s="104">
        <v>3191.4490189645671</v>
      </c>
      <c r="C367" s="4">
        <f t="shared" si="5"/>
        <v>7.1222000232304093E-3</v>
      </c>
      <c r="D367" s="1" t="str">
        <f>IF(COUNTIF(Target1[Target Dates],Benchmark1[[#This Row],[Benchmark '#1 Dates]])=1,"Pass","Fail")</f>
        <v>Pass</v>
      </c>
      <c r="E367" s="6">
        <f>IF(Benchmark1[[#This Row],[Target Date Check]]="Pass",INDEX(Target1[Target Price],MATCH(Benchmark1[[#This Row],[Benchmark '#1 Dates]],Target1[Target Dates],0)),"-")</f>
        <v>19.79</v>
      </c>
      <c r="F367" s="22">
        <f>IF(Benchmark1[[#This Row],[Target Date Check]]="Pass",INDEX(Target1[Target Return],MATCH(Benchmark1[[#This Row],[Benchmark '#1 Dates]],Target1[Target Dates],0)),"-")</f>
        <v>1.117897820648934E-2</v>
      </c>
      <c r="G367" s="1">
        <f>IFERROR(IF(Benchmark1[[#This Row],[Target Date Check]]="Pass",Benchmark1[[#This Row],[Target Return]]-Benchmark1[[#This Row],[Benchmark '#1 Return]],"-"),"-")</f>
        <v>4.0567781832589311E-3</v>
      </c>
      <c r="H367" s="1" t="str">
        <f>IF(COUNTIF(Comp1[Comparable '#1 Dates],Benchmark1[[#This Row],[Benchmark '#1 Dates]])=1,"Pass","Fail")</f>
        <v>Pass</v>
      </c>
      <c r="I367" s="6">
        <f>IF(Benchmark1[[#This Row],[Comparable '#1 Date Check]]="Pass",INDEX(Comp1[Comparable '#1 Price],MATCH(Benchmark1[[#This Row],[Benchmark '#1 Dates]],Comp1[Comparable '#1 Dates],0)),"-")</f>
        <v>17.059999999999999</v>
      </c>
      <c r="J367" s="22">
        <f>IF(Benchmark1[[#This Row],[Comparable '#1 Date Check]]="Pass",INDEX(Comp1[Comparable '#1 Return],MATCH(Benchmark1[[#This Row],[Benchmark '#1 Dates]],Comp1[Comparable '#1 Dates],0)),"-")</f>
        <v>-4.6783711061007252E-3</v>
      </c>
      <c r="K367" s="1">
        <f>IFERROR(IF(Benchmark1[[#This Row],[Comparable '#1 Date Check]]="Pass",Benchmark1[[#This Row],[Comparable '#1 Return]]-Benchmark1[[#This Row],[Benchmark '#1 Return]],"-"),"-")</f>
        <v>-1.1800571129331135E-2</v>
      </c>
      <c r="L367" s="1" t="str">
        <f>IF(COUNTIF(Comp2[Comparable '#2 Dates],Benchmark1[[#This Row],[Benchmark '#1 Dates]])=1,"Pass","Fail")</f>
        <v>Pass</v>
      </c>
      <c r="M367" s="6">
        <f>IF(Benchmark1[[#This Row],[Comparable '#2 Date Check]]="Pass",INDEX(Comp2[Comparable '#2 Price],MATCH(Benchmark1[[#This Row],[Benchmark '#1 Dates]],Comp2[Comparable '#2 Dates],0)),"-")</f>
        <v>34.21</v>
      </c>
      <c r="N367" s="22">
        <f>IF(Benchmark1[[#This Row],[Comparable '#2 Date Check]]="Pass",INDEX(Comp2[Comparable '#2 Return],MATCH(Benchmark1[[#This Row],[Benchmark '#1 Dates]],Comp2[Comparable '#2 Dates],0)),"-")</f>
        <v>-1.5373761823445608E-2</v>
      </c>
      <c r="O367" s="1">
        <f>IFERROR(IF(Benchmark1[[#This Row],[Comparable '#2 Date Check]]="Pass",Benchmark1[[#This Row],[Comparable '#2 Return]]-Benchmark1[[#This Row],[Benchmark '#1 Return]],"-"),"-")</f>
        <v>-2.2495961846676016E-2</v>
      </c>
      <c r="P367" s="1" t="str">
        <f>IF(COUNTIF(Comp3[Comparable '#3 Dates],Benchmark1[[#This Row],[Benchmark '#1 Dates]])=1,"Pass","Fail")</f>
        <v>Pass</v>
      </c>
      <c r="Q367" s="6">
        <f>IF(Benchmark1[[#This Row],[Comparable '#3 Date Check]]="Pass",INDEX(Comp3[Comparable '#3 Price],MATCH(Benchmark1[[#This Row],[Benchmark '#1 Dates]],Comp3[Comparable '#3 Dates],0)),"-")</f>
        <v>148.44</v>
      </c>
      <c r="R367" s="22">
        <f>IF(Benchmark1[[#This Row],[Comparable '#3 Date Check]]="Pass",INDEX(Comp3[Comparable '#3 Return],MATCH(Benchmark1[[#This Row],[Benchmark '#1 Dates]],Comp3[Comparable '#3 Dates],0)),"-")</f>
        <v>4.7945528588800596E-3</v>
      </c>
      <c r="S367" s="1">
        <f>IFERROR(IF(Benchmark1[[#This Row],[Comparable '#3 Date Check]]="Pass",Benchmark1[[#This Row],[Comparable '#3 Return]]-Benchmark1[[#This Row],[Benchmark '#1 Return]],"-"),"-")</f>
        <v>-2.3276471643503497E-3</v>
      </c>
    </row>
    <row r="368" spans="1:19">
      <c r="A368" s="103">
        <v>43816</v>
      </c>
      <c r="B368" s="104">
        <v>3192.5185799434958</v>
      </c>
      <c r="C368" s="4">
        <f t="shared" si="5"/>
        <v>3.3507719842402935E-4</v>
      </c>
      <c r="D368" s="1" t="str">
        <f>IF(COUNTIF(Target1[Target Dates],Benchmark1[[#This Row],[Benchmark '#1 Dates]])=1,"Pass","Fail")</f>
        <v>Pass</v>
      </c>
      <c r="E368" s="6">
        <f>IF(Benchmark1[[#This Row],[Target Date Check]]="Pass",INDEX(Target1[Target Price],MATCH(Benchmark1[[#This Row],[Benchmark '#1 Dates]],Target1[Target Dates],0)),"-")</f>
        <v>20.39</v>
      </c>
      <c r="F368" s="22">
        <f>IF(Benchmark1[[#This Row],[Target Date Check]]="Pass",INDEX(Target1[Target Return],MATCH(Benchmark1[[#This Row],[Benchmark '#1 Dates]],Target1[Target Dates],0)),"-")</f>
        <v>2.9867824971889605E-2</v>
      </c>
      <c r="G368" s="1">
        <f>IFERROR(IF(Benchmark1[[#This Row],[Target Date Check]]="Pass",Benchmark1[[#This Row],[Target Return]]-Benchmark1[[#This Row],[Benchmark '#1 Return]],"-"),"-")</f>
        <v>2.9532747773465574E-2</v>
      </c>
      <c r="H368" s="1" t="str">
        <f>IF(COUNTIF(Comp1[Comparable '#1 Dates],Benchmark1[[#This Row],[Benchmark '#1 Dates]])=1,"Pass","Fail")</f>
        <v>Pass</v>
      </c>
      <c r="I368" s="6">
        <f>IF(Benchmark1[[#This Row],[Comparable '#1 Date Check]]="Pass",INDEX(Comp1[Comparable '#1 Price],MATCH(Benchmark1[[#This Row],[Benchmark '#1 Dates]],Comp1[Comparable '#1 Dates],0)),"-")</f>
        <v>17.350000000000001</v>
      </c>
      <c r="J368" s="22">
        <f>IF(Benchmark1[[#This Row],[Comparable '#1 Date Check]]="Pass",INDEX(Comp1[Comparable '#1 Return],MATCH(Benchmark1[[#This Row],[Benchmark '#1 Dates]],Comp1[Comparable '#1 Dates],0)),"-")</f>
        <v>1.6855964329335317E-2</v>
      </c>
      <c r="K368" s="1">
        <f>IFERROR(IF(Benchmark1[[#This Row],[Comparable '#1 Date Check]]="Pass",Benchmark1[[#This Row],[Comparable '#1 Return]]-Benchmark1[[#This Row],[Benchmark '#1 Return]],"-"),"-")</f>
        <v>1.6520887130911287E-2</v>
      </c>
      <c r="L368" s="1" t="str">
        <f>IF(COUNTIF(Comp2[Comparable '#2 Dates],Benchmark1[[#This Row],[Benchmark '#1 Dates]])=1,"Pass","Fail")</f>
        <v>Pass</v>
      </c>
      <c r="M368" s="6">
        <f>IF(Benchmark1[[#This Row],[Comparable '#2 Date Check]]="Pass",INDEX(Comp2[Comparable '#2 Price],MATCH(Benchmark1[[#This Row],[Benchmark '#1 Dates]],Comp2[Comparable '#2 Dates],0)),"-")</f>
        <v>34.25</v>
      </c>
      <c r="N368" s="22">
        <f>IF(Benchmark1[[#This Row],[Comparable '#2 Date Check]]="Pass",INDEX(Comp2[Comparable '#2 Return],MATCH(Benchmark1[[#This Row],[Benchmark '#1 Dates]],Comp2[Comparable '#2 Dates],0)),"-")</f>
        <v>1.1685657187208939E-3</v>
      </c>
      <c r="O368" s="1">
        <f>IFERROR(IF(Benchmark1[[#This Row],[Comparable '#2 Date Check]]="Pass",Benchmark1[[#This Row],[Comparable '#2 Return]]-Benchmark1[[#This Row],[Benchmark '#1 Return]],"-"),"-")</f>
        <v>8.3348852029686447E-4</v>
      </c>
      <c r="P368" s="1" t="str">
        <f>IF(COUNTIF(Comp3[Comparable '#3 Dates],Benchmark1[[#This Row],[Benchmark '#1 Dates]])=1,"Pass","Fail")</f>
        <v>Pass</v>
      </c>
      <c r="Q368" s="6">
        <f>IF(Benchmark1[[#This Row],[Comparable '#3 Date Check]]="Pass",INDEX(Comp3[Comparable '#3 Price],MATCH(Benchmark1[[#This Row],[Benchmark '#1 Dates]],Comp3[Comparable '#3 Dates],0)),"-")</f>
        <v>150.69</v>
      </c>
      <c r="R368" s="22">
        <f>IF(Benchmark1[[#This Row],[Comparable '#3 Date Check]]="Pass",INDEX(Comp3[Comparable '#3 Return],MATCH(Benchmark1[[#This Row],[Benchmark '#1 Dates]],Comp3[Comparable '#3 Dates],0)),"-")</f>
        <v>1.5043910237666285E-2</v>
      </c>
      <c r="S368" s="1">
        <f>IFERROR(IF(Benchmark1[[#This Row],[Comparable '#3 Date Check]]="Pass",Benchmark1[[#This Row],[Comparable '#3 Return]]-Benchmark1[[#This Row],[Benchmark '#1 Return]],"-"),"-")</f>
        <v>1.4708833039242256E-2</v>
      </c>
    </row>
    <row r="369" spans="1:19">
      <c r="A369" s="103">
        <v>43817</v>
      </c>
      <c r="B369" s="104">
        <v>3191.1420439248</v>
      </c>
      <c r="C369" s="4">
        <f t="shared" si="5"/>
        <v>-4.3126855299426334E-4</v>
      </c>
      <c r="D369" s="1" t="str">
        <f>IF(COUNTIF(Target1[Target Dates],Benchmark1[[#This Row],[Benchmark '#1 Dates]])=1,"Pass","Fail")</f>
        <v>Pass</v>
      </c>
      <c r="E369" s="6">
        <f>IF(Benchmark1[[#This Row],[Target Date Check]]="Pass",INDEX(Target1[Target Price],MATCH(Benchmark1[[#This Row],[Benchmark '#1 Dates]],Target1[Target Dates],0)),"-")</f>
        <v>20.059999999999999</v>
      </c>
      <c r="F369" s="22">
        <f>IF(Benchmark1[[#This Row],[Target Date Check]]="Pass",INDEX(Target1[Target Return],MATCH(Benchmark1[[#This Row],[Benchmark '#1 Dates]],Target1[Target Dates],0)),"-")</f>
        <v>-1.6316802052574429E-2</v>
      </c>
      <c r="G369" s="1">
        <f>IFERROR(IF(Benchmark1[[#This Row],[Target Date Check]]="Pass",Benchmark1[[#This Row],[Target Return]]-Benchmark1[[#This Row],[Benchmark '#1 Return]],"-"),"-")</f>
        <v>-1.5885533499580166E-2</v>
      </c>
      <c r="H369" s="1" t="str">
        <f>IF(COUNTIF(Comp1[Comparable '#1 Dates],Benchmark1[[#This Row],[Benchmark '#1 Dates]])=1,"Pass","Fail")</f>
        <v>Pass</v>
      </c>
      <c r="I369" s="6">
        <f>IF(Benchmark1[[#This Row],[Comparable '#1 Date Check]]="Pass",INDEX(Comp1[Comparable '#1 Price],MATCH(Benchmark1[[#This Row],[Benchmark '#1 Dates]],Comp1[Comparable '#1 Dates],0)),"-")</f>
        <v>17.48</v>
      </c>
      <c r="J369" s="22">
        <f>IF(Benchmark1[[#This Row],[Comparable '#1 Date Check]]="Pass",INDEX(Comp1[Comparable '#1 Return],MATCH(Benchmark1[[#This Row],[Benchmark '#1 Dates]],Comp1[Comparable '#1 Dates],0)),"-")</f>
        <v>7.4648638345211123E-3</v>
      </c>
      <c r="K369" s="1">
        <f>IFERROR(IF(Benchmark1[[#This Row],[Comparable '#1 Date Check]]="Pass",Benchmark1[[#This Row],[Comparable '#1 Return]]-Benchmark1[[#This Row],[Benchmark '#1 Return]],"-"),"-")</f>
        <v>7.8961323875153758E-3</v>
      </c>
      <c r="L369" s="1" t="str">
        <f>IF(COUNTIF(Comp2[Comparable '#2 Dates],Benchmark1[[#This Row],[Benchmark '#1 Dates]])=1,"Pass","Fail")</f>
        <v>Pass</v>
      </c>
      <c r="M369" s="6">
        <f>IF(Benchmark1[[#This Row],[Comparable '#2 Date Check]]="Pass",INDEX(Comp2[Comparable '#2 Price],MATCH(Benchmark1[[#This Row],[Benchmark '#1 Dates]],Comp2[Comparable '#2 Dates],0)),"-")</f>
        <v>34.39</v>
      </c>
      <c r="N369" s="22">
        <f>IF(Benchmark1[[#This Row],[Comparable '#2 Date Check]]="Pass",INDEX(Comp2[Comparable '#2 Return],MATCH(Benchmark1[[#This Row],[Benchmark '#1 Dates]],Comp2[Comparable '#2 Dates],0)),"-")</f>
        <v>4.0792597359406166E-3</v>
      </c>
      <c r="O369" s="1">
        <f>IFERROR(IF(Benchmark1[[#This Row],[Comparable '#2 Date Check]]="Pass",Benchmark1[[#This Row],[Comparable '#2 Return]]-Benchmark1[[#This Row],[Benchmark '#1 Return]],"-"),"-")</f>
        <v>4.5105282889348801E-3</v>
      </c>
      <c r="P369" s="1" t="str">
        <f>IF(COUNTIF(Comp3[Comparable '#3 Dates],Benchmark1[[#This Row],[Benchmark '#1 Dates]])=1,"Pass","Fail")</f>
        <v>Pass</v>
      </c>
      <c r="Q369" s="6">
        <f>IF(Benchmark1[[#This Row],[Comparable '#3 Date Check]]="Pass",INDEX(Comp3[Comparable '#3 Price],MATCH(Benchmark1[[#This Row],[Benchmark '#1 Dates]],Comp3[Comparable '#3 Dates],0)),"-")</f>
        <v>153.68</v>
      </c>
      <c r="R369" s="22">
        <f>IF(Benchmark1[[#This Row],[Comparable '#3 Date Check]]="Pass",INDEX(Comp3[Comparable '#3 Return],MATCH(Benchmark1[[#This Row],[Benchmark '#1 Dates]],Comp3[Comparable '#3 Dates],0)),"-")</f>
        <v>1.9647772030238281E-2</v>
      </c>
      <c r="S369" s="1">
        <f>IFERROR(IF(Benchmark1[[#This Row],[Comparable '#3 Date Check]]="Pass",Benchmark1[[#This Row],[Comparable '#3 Return]]-Benchmark1[[#This Row],[Benchmark '#1 Return]],"-"),"-")</f>
        <v>2.0079040583232545E-2</v>
      </c>
    </row>
    <row r="370" spans="1:19">
      <c r="A370" s="103">
        <v>43818</v>
      </c>
      <c r="B370" s="104">
        <v>3205.3683778174791</v>
      </c>
      <c r="C370" s="4">
        <f t="shared" si="5"/>
        <v>4.4481620170086509E-3</v>
      </c>
      <c r="D370" s="1" t="str">
        <f>IF(COUNTIF(Target1[Target Dates],Benchmark1[[#This Row],[Benchmark '#1 Dates]])=1,"Pass","Fail")</f>
        <v>Pass</v>
      </c>
      <c r="E370" s="6">
        <f>IF(Benchmark1[[#This Row],[Target Date Check]]="Pass",INDEX(Target1[Target Price],MATCH(Benchmark1[[#This Row],[Benchmark '#1 Dates]],Target1[Target Dates],0)),"-")</f>
        <v>19.77</v>
      </c>
      <c r="F370" s="22">
        <f>IF(Benchmark1[[#This Row],[Target Date Check]]="Pass",INDEX(Target1[Target Return],MATCH(Benchmark1[[#This Row],[Benchmark '#1 Dates]],Target1[Target Dates],0)),"-")</f>
        <v>-1.4562145351263852E-2</v>
      </c>
      <c r="G370" s="1">
        <f>IFERROR(IF(Benchmark1[[#This Row],[Target Date Check]]="Pass",Benchmark1[[#This Row],[Target Return]]-Benchmark1[[#This Row],[Benchmark '#1 Return]],"-"),"-")</f>
        <v>-1.9010307368272503E-2</v>
      </c>
      <c r="H370" s="1" t="str">
        <f>IF(COUNTIF(Comp1[Comparable '#1 Dates],Benchmark1[[#This Row],[Benchmark '#1 Dates]])=1,"Pass","Fail")</f>
        <v>Pass</v>
      </c>
      <c r="I370" s="6">
        <f>IF(Benchmark1[[#This Row],[Comparable '#1 Date Check]]="Pass",INDEX(Comp1[Comparable '#1 Price],MATCH(Benchmark1[[#This Row],[Benchmark '#1 Dates]],Comp1[Comparable '#1 Dates],0)),"-")</f>
        <v>17.399999999999999</v>
      </c>
      <c r="J370" s="22">
        <f>IF(Benchmark1[[#This Row],[Comparable '#1 Date Check]]="Pass",INDEX(Comp1[Comparable '#1 Return],MATCH(Benchmark1[[#This Row],[Benchmark '#1 Dates]],Comp1[Comparable '#1 Dates],0)),"-")</f>
        <v>-4.5871640069061539E-3</v>
      </c>
      <c r="K370" s="1">
        <f>IFERROR(IF(Benchmark1[[#This Row],[Comparable '#1 Date Check]]="Pass",Benchmark1[[#This Row],[Comparable '#1 Return]]-Benchmark1[[#This Row],[Benchmark '#1 Return]],"-"),"-")</f>
        <v>-9.0353260239148039E-3</v>
      </c>
      <c r="L370" s="1" t="str">
        <f>IF(COUNTIF(Comp2[Comparable '#2 Dates],Benchmark1[[#This Row],[Benchmark '#1 Dates]])=1,"Pass","Fail")</f>
        <v>Pass</v>
      </c>
      <c r="M370" s="6">
        <f>IF(Benchmark1[[#This Row],[Comparable '#2 Date Check]]="Pass",INDEX(Comp2[Comparable '#2 Price],MATCH(Benchmark1[[#This Row],[Benchmark '#1 Dates]],Comp2[Comparable '#2 Dates],0)),"-")</f>
        <v>34.29</v>
      </c>
      <c r="N370" s="22">
        <f>IF(Benchmark1[[#This Row],[Comparable '#2 Date Check]]="Pass",INDEX(Comp2[Comparable '#2 Return],MATCH(Benchmark1[[#This Row],[Benchmark '#1 Dates]],Comp2[Comparable '#2 Dates],0)),"-")</f>
        <v>-2.9120579693459282E-3</v>
      </c>
      <c r="O370" s="1">
        <f>IFERROR(IF(Benchmark1[[#This Row],[Comparable '#2 Date Check]]="Pass",Benchmark1[[#This Row],[Comparable '#2 Return]]-Benchmark1[[#This Row],[Benchmark '#1 Return]],"-"),"-")</f>
        <v>-7.3602199863545791E-3</v>
      </c>
      <c r="P370" s="1" t="str">
        <f>IF(COUNTIF(Comp3[Comparable '#3 Dates],Benchmark1[[#This Row],[Benchmark '#1 Dates]])=1,"Pass","Fail")</f>
        <v>Pass</v>
      </c>
      <c r="Q370" s="6">
        <f>IF(Benchmark1[[#This Row],[Comparable '#3 Date Check]]="Pass",INDEX(Comp3[Comparable '#3 Price],MATCH(Benchmark1[[#This Row],[Benchmark '#1 Dates]],Comp3[Comparable '#3 Dates],0)),"-")</f>
        <v>152.88999999999999</v>
      </c>
      <c r="R370" s="22">
        <f>IF(Benchmark1[[#This Row],[Comparable '#3 Date Check]]="Pass",INDEX(Comp3[Comparable '#3 Return],MATCH(Benchmark1[[#This Row],[Benchmark '#1 Dates]],Comp3[Comparable '#3 Dates],0)),"-")</f>
        <v>-5.1538098877790218E-3</v>
      </c>
      <c r="S370" s="1">
        <f>IFERROR(IF(Benchmark1[[#This Row],[Comparable '#3 Date Check]]="Pass",Benchmark1[[#This Row],[Comparable '#3 Return]]-Benchmark1[[#This Row],[Benchmark '#1 Return]],"-"),"-")</f>
        <v>-9.6019719047876727E-3</v>
      </c>
    </row>
    <row r="371" spans="1:19">
      <c r="A371" s="103">
        <v>43819</v>
      </c>
      <c r="B371" s="104">
        <v>3221.2245831094338</v>
      </c>
      <c r="C371" s="4">
        <f t="shared" si="5"/>
        <v>4.9345703277641163E-3</v>
      </c>
      <c r="D371" s="1" t="str">
        <f>IF(COUNTIF(Target1[Target Dates],Benchmark1[[#This Row],[Benchmark '#1 Dates]])=1,"Pass","Fail")</f>
        <v>Pass</v>
      </c>
      <c r="E371" s="6">
        <f>IF(Benchmark1[[#This Row],[Target Date Check]]="Pass",INDEX(Target1[Target Price],MATCH(Benchmark1[[#This Row],[Benchmark '#1 Dates]],Target1[Target Dates],0)),"-")</f>
        <v>20.03</v>
      </c>
      <c r="F371" s="22">
        <f>IF(Benchmark1[[#This Row],[Target Date Check]]="Pass",INDEX(Target1[Target Return],MATCH(Benchmark1[[#This Row],[Benchmark '#1 Dates]],Target1[Target Dates],0)),"-")</f>
        <v>1.3065512495201402E-2</v>
      </c>
      <c r="G371" s="1">
        <f>IFERROR(IF(Benchmark1[[#This Row],[Target Date Check]]="Pass",Benchmark1[[#This Row],[Target Return]]-Benchmark1[[#This Row],[Benchmark '#1 Return]],"-"),"-")</f>
        <v>8.1309421674372849E-3</v>
      </c>
      <c r="H371" s="1" t="str">
        <f>IF(COUNTIF(Comp1[Comparable '#1 Dates],Benchmark1[[#This Row],[Benchmark '#1 Dates]])=1,"Pass","Fail")</f>
        <v>Pass</v>
      </c>
      <c r="I371" s="6">
        <f>IF(Benchmark1[[#This Row],[Comparable '#1 Date Check]]="Pass",INDEX(Comp1[Comparable '#1 Price],MATCH(Benchmark1[[#This Row],[Benchmark '#1 Dates]],Comp1[Comparable '#1 Dates],0)),"-")</f>
        <v>17.5</v>
      </c>
      <c r="J371" s="22">
        <f>IF(Benchmark1[[#This Row],[Comparable '#1 Date Check]]="Pass",INDEX(Comp1[Comparable '#1 Return],MATCH(Benchmark1[[#This Row],[Benchmark '#1 Dates]],Comp1[Comparable '#1 Dates],0)),"-")</f>
        <v>5.7306747089850745E-3</v>
      </c>
      <c r="K371" s="1">
        <f>IFERROR(IF(Benchmark1[[#This Row],[Comparable '#1 Date Check]]="Pass",Benchmark1[[#This Row],[Comparable '#1 Return]]-Benchmark1[[#This Row],[Benchmark '#1 Return]],"-"),"-")</f>
        <v>7.9610438122095818E-4</v>
      </c>
      <c r="L371" s="1" t="str">
        <f>IF(COUNTIF(Comp2[Comparable '#2 Dates],Benchmark1[[#This Row],[Benchmark '#1 Dates]])=1,"Pass","Fail")</f>
        <v>Pass</v>
      </c>
      <c r="M371" s="6">
        <f>IF(Benchmark1[[#This Row],[Comparable '#2 Date Check]]="Pass",INDEX(Comp2[Comparable '#2 Price],MATCH(Benchmark1[[#This Row],[Benchmark '#1 Dates]],Comp2[Comparable '#2 Dates],0)),"-")</f>
        <v>35.020000000000003</v>
      </c>
      <c r="N371" s="22">
        <f>IF(Benchmark1[[#This Row],[Comparable '#2 Date Check]]="Pass",INDEX(Comp2[Comparable '#2 Return],MATCH(Benchmark1[[#This Row],[Benchmark '#1 Dates]],Comp2[Comparable '#2 Dates],0)),"-")</f>
        <v>2.1065560382877001E-2</v>
      </c>
      <c r="O371" s="1">
        <f>IFERROR(IF(Benchmark1[[#This Row],[Comparable '#2 Date Check]]="Pass",Benchmark1[[#This Row],[Comparable '#2 Return]]-Benchmark1[[#This Row],[Benchmark '#1 Return]],"-"),"-")</f>
        <v>1.6130990055112884E-2</v>
      </c>
      <c r="P371" s="1" t="str">
        <f>IF(COUNTIF(Comp3[Comparable '#3 Dates],Benchmark1[[#This Row],[Benchmark '#1 Dates]])=1,"Pass","Fail")</f>
        <v>Pass</v>
      </c>
      <c r="Q371" s="6">
        <f>IF(Benchmark1[[#This Row],[Comparable '#3 Date Check]]="Pass",INDEX(Comp3[Comparable '#3 Price],MATCH(Benchmark1[[#This Row],[Benchmark '#1 Dates]],Comp3[Comparable '#3 Dates],0)),"-")</f>
        <v>153.07</v>
      </c>
      <c r="R371" s="22">
        <f>IF(Benchmark1[[#This Row],[Comparable '#3 Date Check]]="Pass",INDEX(Comp3[Comparable '#3 Return],MATCH(Benchmark1[[#This Row],[Benchmark '#1 Dates]],Comp3[Comparable '#3 Dates],0)),"-")</f>
        <v>1.1766245310935823E-3</v>
      </c>
      <c r="S371" s="1">
        <f>IFERROR(IF(Benchmark1[[#This Row],[Comparable '#3 Date Check]]="Pass",Benchmark1[[#This Row],[Comparable '#3 Return]]-Benchmark1[[#This Row],[Benchmark '#1 Return]],"-"),"-")</f>
        <v>-3.7579457966705337E-3</v>
      </c>
    </row>
    <row r="372" spans="1:19">
      <c r="A372" s="103">
        <v>43822</v>
      </c>
      <c r="B372" s="104">
        <v>3224.0098859051418</v>
      </c>
      <c r="C372" s="4">
        <f t="shared" si="5"/>
        <v>8.6429841535992343E-4</v>
      </c>
      <c r="D372" s="1" t="str">
        <f>IF(COUNTIF(Target1[Target Dates],Benchmark1[[#This Row],[Benchmark '#1 Dates]])=1,"Pass","Fail")</f>
        <v>Pass</v>
      </c>
      <c r="E372" s="6">
        <f>IF(Benchmark1[[#This Row],[Target Date Check]]="Pass",INDEX(Target1[Target Price],MATCH(Benchmark1[[#This Row],[Benchmark '#1 Dates]],Target1[Target Dates],0)),"-")</f>
        <v>19.91</v>
      </c>
      <c r="F372" s="22">
        <f>IF(Benchmark1[[#This Row],[Target Date Check]]="Pass",INDEX(Target1[Target Return],MATCH(Benchmark1[[#This Row],[Benchmark '#1 Dates]],Target1[Target Dates],0)),"-")</f>
        <v>-6.0090316016220046E-3</v>
      </c>
      <c r="G372" s="1">
        <f>IFERROR(IF(Benchmark1[[#This Row],[Target Date Check]]="Pass",Benchmark1[[#This Row],[Target Return]]-Benchmark1[[#This Row],[Benchmark '#1 Return]],"-"),"-")</f>
        <v>-6.8733300169819284E-3</v>
      </c>
      <c r="H372" s="1" t="str">
        <f>IF(COUNTIF(Comp1[Comparable '#1 Dates],Benchmark1[[#This Row],[Benchmark '#1 Dates]])=1,"Pass","Fail")</f>
        <v>Pass</v>
      </c>
      <c r="I372" s="6">
        <f>IF(Benchmark1[[#This Row],[Comparable '#1 Date Check]]="Pass",INDEX(Comp1[Comparable '#1 Price],MATCH(Benchmark1[[#This Row],[Benchmark '#1 Dates]],Comp1[Comparable '#1 Dates],0)),"-")</f>
        <v>17.79</v>
      </c>
      <c r="J372" s="22">
        <f>IF(Benchmark1[[#This Row],[Comparable '#1 Date Check]]="Pass",INDEX(Comp1[Comparable '#1 Return],MATCH(Benchmark1[[#This Row],[Benchmark '#1 Dates]],Comp1[Comparable '#1 Dates],0)),"-")</f>
        <v>1.6435620748275294E-2</v>
      </c>
      <c r="K372" s="1">
        <f>IFERROR(IF(Benchmark1[[#This Row],[Comparable '#1 Date Check]]="Pass",Benchmark1[[#This Row],[Comparable '#1 Return]]-Benchmark1[[#This Row],[Benchmark '#1 Return]],"-"),"-")</f>
        <v>1.5571322332915371E-2</v>
      </c>
      <c r="L372" s="1" t="str">
        <f>IF(COUNTIF(Comp2[Comparable '#2 Dates],Benchmark1[[#This Row],[Benchmark '#1 Dates]])=1,"Pass","Fail")</f>
        <v>Pass</v>
      </c>
      <c r="M372" s="6">
        <f>IF(Benchmark1[[#This Row],[Comparable '#2 Date Check]]="Pass",INDEX(Comp2[Comparable '#2 Price],MATCH(Benchmark1[[#This Row],[Benchmark '#1 Dates]],Comp2[Comparable '#2 Dates],0)),"-")</f>
        <v>34.549999999999997</v>
      </c>
      <c r="N372" s="22">
        <f>IF(Benchmark1[[#This Row],[Comparable '#2 Date Check]]="Pass",INDEX(Comp2[Comparable '#2 Return],MATCH(Benchmark1[[#This Row],[Benchmark '#1 Dates]],Comp2[Comparable '#2 Dates],0)),"-")</f>
        <v>-1.3511776644027029E-2</v>
      </c>
      <c r="O372" s="1">
        <f>IFERROR(IF(Benchmark1[[#This Row],[Comparable '#2 Date Check]]="Pass",Benchmark1[[#This Row],[Comparable '#2 Return]]-Benchmark1[[#This Row],[Benchmark '#1 Return]],"-"),"-")</f>
        <v>-1.4376075059386952E-2</v>
      </c>
      <c r="P372" s="1" t="str">
        <f>IF(COUNTIF(Comp3[Comparable '#3 Dates],Benchmark1[[#This Row],[Benchmark '#1 Dates]])=1,"Pass","Fail")</f>
        <v>Pass</v>
      </c>
      <c r="Q372" s="6">
        <f>IF(Benchmark1[[#This Row],[Comparable '#3 Date Check]]="Pass",INDEX(Comp3[Comparable '#3 Price],MATCH(Benchmark1[[#This Row],[Benchmark '#1 Dates]],Comp3[Comparable '#3 Dates],0)),"-")</f>
        <v>153.91999999999999</v>
      </c>
      <c r="R372" s="22">
        <f>IF(Benchmark1[[#This Row],[Comparable '#3 Date Check]]="Pass",INDEX(Comp3[Comparable '#3 Return],MATCH(Benchmark1[[#This Row],[Benchmark '#1 Dates]],Comp3[Comparable '#3 Dates],0)),"-")</f>
        <v>5.5376538137806323E-3</v>
      </c>
      <c r="S372" s="1">
        <f>IFERROR(IF(Benchmark1[[#This Row],[Comparable '#3 Date Check]]="Pass",Benchmark1[[#This Row],[Comparable '#3 Return]]-Benchmark1[[#This Row],[Benchmark '#1 Return]],"-"),"-")</f>
        <v>4.6733553984207084E-3</v>
      </c>
    </row>
    <row r="373" spans="1:19">
      <c r="A373" s="103">
        <v>43823</v>
      </c>
      <c r="B373" s="104">
        <v>3223.3757001893691</v>
      </c>
      <c r="C373" s="4">
        <f t="shared" si="5"/>
        <v>-1.9672647442883044E-4</v>
      </c>
      <c r="D373" s="1" t="str">
        <f>IF(COUNTIF(Target1[Target Dates],Benchmark1[[#This Row],[Benchmark '#1 Dates]])=1,"Pass","Fail")</f>
        <v>Pass</v>
      </c>
      <c r="E373" s="6">
        <f>IF(Benchmark1[[#This Row],[Target Date Check]]="Pass",INDEX(Target1[Target Price],MATCH(Benchmark1[[#This Row],[Benchmark '#1 Dates]],Target1[Target Dates],0)),"-")</f>
        <v>20.05</v>
      </c>
      <c r="F373" s="22">
        <f>IF(Benchmark1[[#This Row],[Target Date Check]]="Pass",INDEX(Target1[Target Return],MATCH(Benchmark1[[#This Row],[Benchmark '#1 Dates]],Target1[Target Dates],0)),"-")</f>
        <v>7.0070356764732316E-3</v>
      </c>
      <c r="G373" s="1">
        <f>IFERROR(IF(Benchmark1[[#This Row],[Target Date Check]]="Pass",Benchmark1[[#This Row],[Target Return]]-Benchmark1[[#This Row],[Benchmark '#1 Return]],"-"),"-")</f>
        <v>7.2037621509020624E-3</v>
      </c>
      <c r="H373" s="1" t="str">
        <f>IF(COUNTIF(Comp1[Comparable '#1 Dates],Benchmark1[[#This Row],[Benchmark '#1 Dates]])=1,"Pass","Fail")</f>
        <v>Pass</v>
      </c>
      <c r="I373" s="6">
        <f>IF(Benchmark1[[#This Row],[Comparable '#1 Date Check]]="Pass",INDEX(Comp1[Comparable '#1 Price],MATCH(Benchmark1[[#This Row],[Benchmark '#1 Dates]],Comp1[Comparable '#1 Dates],0)),"-")</f>
        <v>17.760000000000002</v>
      </c>
      <c r="J373" s="22">
        <f>IF(Benchmark1[[#This Row],[Comparable '#1 Date Check]]="Pass",INDEX(Comp1[Comparable '#1 Return],MATCH(Benchmark1[[#This Row],[Benchmark '#1 Dates]],Comp1[Comparable '#1 Dates],0)),"-")</f>
        <v>-1.6877641137196297E-3</v>
      </c>
      <c r="K373" s="1">
        <f>IFERROR(IF(Benchmark1[[#This Row],[Comparable '#1 Date Check]]="Pass",Benchmark1[[#This Row],[Comparable '#1 Return]]-Benchmark1[[#This Row],[Benchmark '#1 Return]],"-"),"-")</f>
        <v>-1.4910376392907993E-3</v>
      </c>
      <c r="L373" s="1" t="str">
        <f>IF(COUNTIF(Comp2[Comparable '#2 Dates],Benchmark1[[#This Row],[Benchmark '#1 Dates]])=1,"Pass","Fail")</f>
        <v>Pass</v>
      </c>
      <c r="M373" s="6">
        <f>IF(Benchmark1[[#This Row],[Comparable '#2 Date Check]]="Pass",INDEX(Comp2[Comparable '#2 Price],MATCH(Benchmark1[[#This Row],[Benchmark '#1 Dates]],Comp2[Comparable '#2 Dates],0)),"-")</f>
        <v>34.43</v>
      </c>
      <c r="N373" s="22">
        <f>IF(Benchmark1[[#This Row],[Comparable '#2 Date Check]]="Pass",INDEX(Comp2[Comparable '#2 Return],MATCH(Benchmark1[[#This Row],[Benchmark '#1 Dates]],Comp2[Comparable '#2 Dates],0)),"-")</f>
        <v>-3.4792728632464837E-3</v>
      </c>
      <c r="O373" s="1">
        <f>IFERROR(IF(Benchmark1[[#This Row],[Comparable '#2 Date Check]]="Pass",Benchmark1[[#This Row],[Comparable '#2 Return]]-Benchmark1[[#This Row],[Benchmark '#1 Return]],"-"),"-")</f>
        <v>-3.2825463888176533E-3</v>
      </c>
      <c r="P373" s="1" t="str">
        <f>IF(COUNTIF(Comp3[Comparable '#3 Dates],Benchmark1[[#This Row],[Benchmark '#1 Dates]])=1,"Pass","Fail")</f>
        <v>Pass</v>
      </c>
      <c r="Q373" s="6">
        <f>IF(Benchmark1[[#This Row],[Comparable '#3 Date Check]]="Pass",INDEX(Comp3[Comparable '#3 Price],MATCH(Benchmark1[[#This Row],[Benchmark '#1 Dates]],Comp3[Comparable '#3 Dates],0)),"-")</f>
        <v>154.5</v>
      </c>
      <c r="R373" s="22">
        <f>IF(Benchmark1[[#This Row],[Comparable '#3 Date Check]]="Pass",INDEX(Comp3[Comparable '#3 Return],MATCH(Benchmark1[[#This Row],[Benchmark '#1 Dates]],Comp3[Comparable '#3 Dates],0)),"-")</f>
        <v>3.7611094204038037E-3</v>
      </c>
      <c r="S373" s="1">
        <f>IFERROR(IF(Benchmark1[[#This Row],[Comparable '#3 Date Check]]="Pass",Benchmark1[[#This Row],[Comparable '#3 Return]]-Benchmark1[[#This Row],[Benchmark '#1 Return]],"-"),"-")</f>
        <v>3.957835894832634E-3</v>
      </c>
    </row>
    <row r="374" spans="1:19">
      <c r="A374" s="103">
        <v>43825</v>
      </c>
      <c r="B374" s="104">
        <v>3239.9071377461237</v>
      </c>
      <c r="C374" s="4">
        <f t="shared" si="5"/>
        <v>5.1155036910298978E-3</v>
      </c>
      <c r="D374" s="1" t="str">
        <f>IF(COUNTIF(Target1[Target Dates],Benchmark1[[#This Row],[Benchmark '#1 Dates]])=1,"Pass","Fail")</f>
        <v>Pass</v>
      </c>
      <c r="E374" s="6">
        <f>IF(Benchmark1[[#This Row],[Target Date Check]]="Pass",INDEX(Target1[Target Price],MATCH(Benchmark1[[#This Row],[Benchmark '#1 Dates]],Target1[Target Dates],0)),"-")</f>
        <v>19.940000000000001</v>
      </c>
      <c r="F374" s="22">
        <f>IF(Benchmark1[[#This Row],[Target Date Check]]="Pass",INDEX(Target1[Target Return],MATCH(Benchmark1[[#This Row],[Benchmark '#1 Dates]],Target1[Target Dates],0)),"-")</f>
        <v>-5.5013892188858901E-3</v>
      </c>
      <c r="G374" s="1">
        <f>IFERROR(IF(Benchmark1[[#This Row],[Target Date Check]]="Pass",Benchmark1[[#This Row],[Target Return]]-Benchmark1[[#This Row],[Benchmark '#1 Return]],"-"),"-")</f>
        <v>-1.0616892909915788E-2</v>
      </c>
      <c r="H374" s="1" t="str">
        <f>IF(COUNTIF(Comp1[Comparable '#1 Dates],Benchmark1[[#This Row],[Benchmark '#1 Dates]])=1,"Pass","Fail")</f>
        <v>Pass</v>
      </c>
      <c r="I374" s="6">
        <f>IF(Benchmark1[[#This Row],[Comparable '#1 Date Check]]="Pass",INDEX(Comp1[Comparable '#1 Price],MATCH(Benchmark1[[#This Row],[Benchmark '#1 Dates]],Comp1[Comparable '#1 Dates],0)),"-")</f>
        <v>17.95</v>
      </c>
      <c r="J374" s="22">
        <f>IF(Benchmark1[[#This Row],[Comparable '#1 Date Check]]="Pass",INDEX(Comp1[Comparable '#1 Return],MATCH(Benchmark1[[#This Row],[Benchmark '#1 Dates]],Comp1[Comparable '#1 Dates],0)),"-")</f>
        <v>1.0641377370263848E-2</v>
      </c>
      <c r="K374" s="1">
        <f>IFERROR(IF(Benchmark1[[#This Row],[Comparable '#1 Date Check]]="Pass",Benchmark1[[#This Row],[Comparable '#1 Return]]-Benchmark1[[#This Row],[Benchmark '#1 Return]],"-"),"-")</f>
        <v>5.5258736792339501E-3</v>
      </c>
      <c r="L374" s="1" t="str">
        <f>IF(COUNTIF(Comp2[Comparable '#2 Dates],Benchmark1[[#This Row],[Benchmark '#1 Dates]])=1,"Pass","Fail")</f>
        <v>Pass</v>
      </c>
      <c r="M374" s="6">
        <f>IF(Benchmark1[[#This Row],[Comparable '#2 Date Check]]="Pass",INDEX(Comp2[Comparable '#2 Price],MATCH(Benchmark1[[#This Row],[Benchmark '#1 Dates]],Comp2[Comparable '#2 Dates],0)),"-")</f>
        <v>35.119999999999997</v>
      </c>
      <c r="N374" s="22">
        <f>IF(Benchmark1[[#This Row],[Comparable '#2 Date Check]]="Pass",INDEX(Comp2[Comparable '#2 Return],MATCH(Benchmark1[[#This Row],[Benchmark '#1 Dates]],Comp2[Comparable '#2 Dates],0)),"-")</f>
        <v>1.9842491416483466E-2</v>
      </c>
      <c r="O374" s="1">
        <f>IFERROR(IF(Benchmark1[[#This Row],[Comparable '#2 Date Check]]="Pass",Benchmark1[[#This Row],[Comparable '#2 Return]]-Benchmark1[[#This Row],[Benchmark '#1 Return]],"-"),"-")</f>
        <v>1.4726987725453569E-2</v>
      </c>
      <c r="P374" s="1" t="str">
        <f>IF(COUNTIF(Comp3[Comparable '#3 Dates],Benchmark1[[#This Row],[Benchmark '#1 Dates]])=1,"Pass","Fail")</f>
        <v>Pass</v>
      </c>
      <c r="Q374" s="6">
        <f>IF(Benchmark1[[#This Row],[Comparable '#3 Date Check]]="Pass",INDEX(Comp3[Comparable '#3 Price],MATCH(Benchmark1[[#This Row],[Benchmark '#1 Dates]],Comp3[Comparable '#3 Dates],0)),"-")</f>
        <v>156.26</v>
      </c>
      <c r="R374" s="22">
        <f>IF(Benchmark1[[#This Row],[Comparable '#3 Date Check]]="Pass",INDEX(Comp3[Comparable '#3 Return],MATCH(Benchmark1[[#This Row],[Benchmark '#1 Dates]],Comp3[Comparable '#3 Dates],0)),"-")</f>
        <v>1.1327190230798102E-2</v>
      </c>
      <c r="S374" s="1">
        <f>IFERROR(IF(Benchmark1[[#This Row],[Comparable '#3 Date Check]]="Pass",Benchmark1[[#This Row],[Comparable '#3 Return]]-Benchmark1[[#This Row],[Benchmark '#1 Return]],"-"),"-")</f>
        <v>6.2116865397682042E-3</v>
      </c>
    </row>
    <row r="375" spans="1:19">
      <c r="A375" s="103">
        <v>43826</v>
      </c>
      <c r="B375" s="104">
        <v>3240.0203584226101</v>
      </c>
      <c r="C375" s="4">
        <f t="shared" si="5"/>
        <v>3.4945044235368981E-5</v>
      </c>
      <c r="D375" s="1" t="str">
        <f>IF(COUNTIF(Target1[Target Dates],Benchmark1[[#This Row],[Benchmark '#1 Dates]])=1,"Pass","Fail")</f>
        <v>Pass</v>
      </c>
      <c r="E375" s="6">
        <f>IF(Benchmark1[[#This Row],[Target Date Check]]="Pass",INDEX(Target1[Target Price],MATCH(Benchmark1[[#This Row],[Benchmark '#1 Dates]],Target1[Target Dates],0)),"-")</f>
        <v>19.86</v>
      </c>
      <c r="F375" s="22">
        <f>IF(Benchmark1[[#This Row],[Target Date Check]]="Pass",INDEX(Target1[Target Return],MATCH(Benchmark1[[#This Row],[Benchmark '#1 Dates]],Target1[Target Dates],0)),"-")</f>
        <v>-4.0201059166657758E-3</v>
      </c>
      <c r="G375" s="1">
        <f>IFERROR(IF(Benchmark1[[#This Row],[Target Date Check]]="Pass",Benchmark1[[#This Row],[Target Return]]-Benchmark1[[#This Row],[Benchmark '#1 Return]],"-"),"-")</f>
        <v>-4.0550509609011444E-3</v>
      </c>
      <c r="H375" s="1" t="str">
        <f>IF(COUNTIF(Comp1[Comparable '#1 Dates],Benchmark1[[#This Row],[Benchmark '#1 Dates]])=1,"Pass","Fail")</f>
        <v>Pass</v>
      </c>
      <c r="I375" s="6">
        <f>IF(Benchmark1[[#This Row],[Comparable '#1 Date Check]]="Pass",INDEX(Comp1[Comparable '#1 Price],MATCH(Benchmark1[[#This Row],[Benchmark '#1 Dates]],Comp1[Comparable '#1 Dates],0)),"-")</f>
        <v>17.77</v>
      </c>
      <c r="J375" s="22">
        <f>IF(Benchmark1[[#This Row],[Comparable '#1 Date Check]]="Pass",INDEX(Comp1[Comparable '#1 Return],MATCH(Benchmark1[[#This Row],[Benchmark '#1 Dates]],Comp1[Comparable '#1 Dates],0)),"-")</f>
        <v>-1.0078472767727942E-2</v>
      </c>
      <c r="K375" s="1">
        <f>IFERROR(IF(Benchmark1[[#This Row],[Comparable '#1 Date Check]]="Pass",Benchmark1[[#This Row],[Comparable '#1 Return]]-Benchmark1[[#This Row],[Benchmark '#1 Return]],"-"),"-")</f>
        <v>-1.011341781196331E-2</v>
      </c>
      <c r="L375" s="1" t="str">
        <f>IF(COUNTIF(Comp2[Comparable '#2 Dates],Benchmark1[[#This Row],[Benchmark '#1 Dates]])=1,"Pass","Fail")</f>
        <v>Pass</v>
      </c>
      <c r="M375" s="6">
        <f>IF(Benchmark1[[#This Row],[Comparable '#2 Date Check]]="Pass",INDEX(Comp2[Comparable '#2 Price],MATCH(Benchmark1[[#This Row],[Benchmark '#1 Dates]],Comp2[Comparable '#2 Dates],0)),"-")</f>
        <v>35.04</v>
      </c>
      <c r="N375" s="22">
        <f>IF(Benchmark1[[#This Row],[Comparable '#2 Date Check]]="Pass",INDEX(Comp2[Comparable '#2 Return],MATCH(Benchmark1[[#This Row],[Benchmark '#1 Dates]],Comp2[Comparable '#2 Dates],0)),"-")</f>
        <v>-2.2805026987252177E-3</v>
      </c>
      <c r="O375" s="1">
        <f>IFERROR(IF(Benchmark1[[#This Row],[Comparable '#2 Date Check]]="Pass",Benchmark1[[#This Row],[Comparable '#2 Return]]-Benchmark1[[#This Row],[Benchmark '#1 Return]],"-"),"-")</f>
        <v>-2.3154477429605867E-3</v>
      </c>
      <c r="P375" s="1" t="str">
        <f>IF(COUNTIF(Comp3[Comparable '#3 Dates],Benchmark1[[#This Row],[Benchmark '#1 Dates]])=1,"Pass","Fail")</f>
        <v>Pass</v>
      </c>
      <c r="Q375" s="6">
        <f>IF(Benchmark1[[#This Row],[Comparable '#3 Date Check]]="Pass",INDEX(Comp3[Comparable '#3 Price],MATCH(Benchmark1[[#This Row],[Benchmark '#1 Dates]],Comp3[Comparable '#3 Dates],0)),"-")</f>
        <v>156.37</v>
      </c>
      <c r="R375" s="22">
        <f>IF(Benchmark1[[#This Row],[Comparable '#3 Date Check]]="Pass",INDEX(Comp3[Comparable '#3 Return],MATCH(Benchmark1[[#This Row],[Benchmark '#1 Dates]],Comp3[Comparable '#3 Dates],0)),"-")</f>
        <v>7.0370728682071478E-4</v>
      </c>
      <c r="S375" s="1">
        <f>IFERROR(IF(Benchmark1[[#This Row],[Comparable '#3 Date Check]]="Pass",Benchmark1[[#This Row],[Comparable '#3 Return]]-Benchmark1[[#This Row],[Benchmark '#1 Return]],"-"),"-")</f>
        <v>6.6876224258534585E-4</v>
      </c>
    </row>
    <row r="376" spans="1:19">
      <c r="A376" s="103">
        <v>43829</v>
      </c>
      <c r="B376" s="104">
        <v>3221.2918082338774</v>
      </c>
      <c r="C376" s="4">
        <f t="shared" si="5"/>
        <v>-5.7971514628756219E-3</v>
      </c>
      <c r="D376" s="1" t="str">
        <f>IF(COUNTIF(Target1[Target Dates],Benchmark1[[#This Row],[Benchmark '#1 Dates]])=1,"Pass","Fail")</f>
        <v>Pass</v>
      </c>
      <c r="E376" s="6">
        <f>IF(Benchmark1[[#This Row],[Target Date Check]]="Pass",INDEX(Target1[Target Price],MATCH(Benchmark1[[#This Row],[Benchmark '#1 Dates]],Target1[Target Dates],0)),"-")</f>
        <v>19.850000000000001</v>
      </c>
      <c r="F376" s="22">
        <f>IF(Benchmark1[[#This Row],[Target Date Check]]="Pass",INDEX(Target1[Target Return],MATCH(Benchmark1[[#This Row],[Benchmark '#1 Dates]],Target1[Target Dates],0)),"-")</f>
        <v>-5.0365148382701711E-4</v>
      </c>
      <c r="G376" s="1">
        <f>IFERROR(IF(Benchmark1[[#This Row],[Target Date Check]]="Pass",Benchmark1[[#This Row],[Target Return]]-Benchmark1[[#This Row],[Benchmark '#1 Return]],"-"),"-")</f>
        <v>5.2934999790486045E-3</v>
      </c>
      <c r="H376" s="1" t="str">
        <f>IF(COUNTIF(Comp1[Comparable '#1 Dates],Benchmark1[[#This Row],[Benchmark '#1 Dates]])=1,"Pass","Fail")</f>
        <v>Pass</v>
      </c>
      <c r="I376" s="6">
        <f>IF(Benchmark1[[#This Row],[Comparable '#1 Date Check]]="Pass",INDEX(Comp1[Comparable '#1 Price],MATCH(Benchmark1[[#This Row],[Benchmark '#1 Dates]],Comp1[Comparable '#1 Dates],0)),"-")</f>
        <v>17.265000000000001</v>
      </c>
      <c r="J376" s="22">
        <f>IF(Benchmark1[[#This Row],[Comparable '#1 Date Check]]="Pass",INDEX(Comp1[Comparable '#1 Return],MATCH(Benchmark1[[#This Row],[Benchmark '#1 Dates]],Comp1[Comparable '#1 Dates],0)),"-")</f>
        <v>-2.8830311324604244E-2</v>
      </c>
      <c r="K376" s="1">
        <f>IFERROR(IF(Benchmark1[[#This Row],[Comparable '#1 Date Check]]="Pass",Benchmark1[[#This Row],[Comparable '#1 Return]]-Benchmark1[[#This Row],[Benchmark '#1 Return]],"-"),"-")</f>
        <v>-2.3033159861728623E-2</v>
      </c>
      <c r="L376" s="1" t="str">
        <f>IF(COUNTIF(Comp2[Comparable '#2 Dates],Benchmark1[[#This Row],[Benchmark '#1 Dates]])=1,"Pass","Fail")</f>
        <v>Pass</v>
      </c>
      <c r="M376" s="6">
        <f>IF(Benchmark1[[#This Row],[Comparable '#2 Date Check]]="Pass",INDEX(Comp2[Comparable '#2 Price],MATCH(Benchmark1[[#This Row],[Benchmark '#1 Dates]],Comp2[Comparable '#2 Dates],0)),"-")</f>
        <v>34.69</v>
      </c>
      <c r="N376" s="22">
        <f>IF(Benchmark1[[#This Row],[Comparable '#2 Date Check]]="Pass",INDEX(Comp2[Comparable '#2 Return],MATCH(Benchmark1[[#This Row],[Benchmark '#1 Dates]],Comp2[Comparable '#2 Dates],0)),"-")</f>
        <v>-1.0038805086532435E-2</v>
      </c>
      <c r="O376" s="1">
        <f>IFERROR(IF(Benchmark1[[#This Row],[Comparable '#2 Date Check]]="Pass",Benchmark1[[#This Row],[Comparable '#2 Return]]-Benchmark1[[#This Row],[Benchmark '#1 Return]],"-"),"-")</f>
        <v>-4.2416536236568134E-3</v>
      </c>
      <c r="P376" s="1" t="str">
        <f>IF(COUNTIF(Comp3[Comparable '#3 Dates],Benchmark1[[#This Row],[Benchmark '#1 Dates]])=1,"Pass","Fail")</f>
        <v>Pass</v>
      </c>
      <c r="Q376" s="6">
        <f>IF(Benchmark1[[#This Row],[Comparable '#3 Date Check]]="Pass",INDEX(Comp3[Comparable '#3 Price],MATCH(Benchmark1[[#This Row],[Benchmark '#1 Dates]],Comp3[Comparable '#3 Dates],0)),"-")</f>
        <v>157.62</v>
      </c>
      <c r="R376" s="22">
        <f>IF(Benchmark1[[#This Row],[Comparable '#3 Date Check]]="Pass",INDEX(Comp3[Comparable '#3 Return],MATCH(Benchmark1[[#This Row],[Benchmark '#1 Dates]],Comp3[Comparable '#3 Dates],0)),"-")</f>
        <v>7.9620790700846815E-3</v>
      </c>
      <c r="S376" s="1">
        <f>IFERROR(IF(Benchmark1[[#This Row],[Comparable '#3 Date Check]]="Pass",Benchmark1[[#This Row],[Comparable '#3 Return]]-Benchmark1[[#This Row],[Benchmark '#1 Return]],"-"),"-")</f>
        <v>1.3759230532960303E-2</v>
      </c>
    </row>
    <row r="377" spans="1:19">
      <c r="A377" s="103">
        <v>43830</v>
      </c>
      <c r="B377" s="104">
        <v>3230.7819500904302</v>
      </c>
      <c r="C377" s="4">
        <f t="shared" si="5"/>
        <v>2.9417359614439019E-3</v>
      </c>
      <c r="D377" s="1" t="str">
        <f>IF(COUNTIF(Target1[Target Dates],Benchmark1[[#This Row],[Benchmark '#1 Dates]])=1,"Pass","Fail")</f>
        <v>Pass</v>
      </c>
      <c r="E377" s="6">
        <f>IF(Benchmark1[[#This Row],[Target Date Check]]="Pass",INDEX(Target1[Target Price],MATCH(Benchmark1[[#This Row],[Benchmark '#1 Dates]],Target1[Target Dates],0)),"-")</f>
        <v>20.350000000000001</v>
      </c>
      <c r="F377" s="22">
        <f>IF(Benchmark1[[#This Row],[Target Date Check]]="Pass",INDEX(Target1[Target Return],MATCH(Benchmark1[[#This Row],[Benchmark '#1 Dates]],Target1[Target Dates],0)),"-")</f>
        <v>2.4876904755404477E-2</v>
      </c>
      <c r="G377" s="1">
        <f>IFERROR(IF(Benchmark1[[#This Row],[Target Date Check]]="Pass",Benchmark1[[#This Row],[Target Return]]-Benchmark1[[#This Row],[Benchmark '#1 Return]],"-"),"-")</f>
        <v>2.1935168793960576E-2</v>
      </c>
      <c r="H377" s="1" t="str">
        <f>IF(COUNTIF(Comp1[Comparable '#1 Dates],Benchmark1[[#This Row],[Benchmark '#1 Dates]])=1,"Pass","Fail")</f>
        <v>Pass</v>
      </c>
      <c r="I377" s="6">
        <f>IF(Benchmark1[[#This Row],[Comparable '#1 Date Check]]="Pass",INDEX(Comp1[Comparable '#1 Price],MATCH(Benchmark1[[#This Row],[Benchmark '#1 Dates]],Comp1[Comparable '#1 Dates],0)),"-")</f>
        <v>17.61</v>
      </c>
      <c r="J377" s="22">
        <f>IF(Benchmark1[[#This Row],[Comparable '#1 Date Check]]="Pass",INDEX(Comp1[Comparable '#1 Return],MATCH(Benchmark1[[#This Row],[Benchmark '#1 Dates]],Comp1[Comparable '#1 Dates],0)),"-")</f>
        <v>1.9785591666159116E-2</v>
      </c>
      <c r="K377" s="1">
        <f>IFERROR(IF(Benchmark1[[#This Row],[Comparable '#1 Date Check]]="Pass",Benchmark1[[#This Row],[Comparable '#1 Return]]-Benchmark1[[#This Row],[Benchmark '#1 Return]],"-"),"-")</f>
        <v>1.6843855704715215E-2</v>
      </c>
      <c r="L377" s="1" t="str">
        <f>IF(COUNTIF(Comp2[Comparable '#2 Dates],Benchmark1[[#This Row],[Benchmark '#1 Dates]])=1,"Pass","Fail")</f>
        <v>Pass</v>
      </c>
      <c r="M377" s="6">
        <f>IF(Benchmark1[[#This Row],[Comparable '#2 Date Check]]="Pass",INDEX(Comp2[Comparable '#2 Price],MATCH(Benchmark1[[#This Row],[Benchmark '#1 Dates]],Comp2[Comparable '#2 Dates],0)),"-")</f>
        <v>34.97</v>
      </c>
      <c r="N377" s="22">
        <f>IF(Benchmark1[[#This Row],[Comparable '#2 Date Check]]="Pass",INDEX(Comp2[Comparable '#2 Return],MATCH(Benchmark1[[#This Row],[Benchmark '#1 Dates]],Comp2[Comparable '#2 Dates],0)),"-")</f>
        <v>8.0390900936261282E-3</v>
      </c>
      <c r="O377" s="1">
        <f>IFERROR(IF(Benchmark1[[#This Row],[Comparable '#2 Date Check]]="Pass",Benchmark1[[#This Row],[Comparable '#2 Return]]-Benchmark1[[#This Row],[Benchmark '#1 Return]],"-"),"-")</f>
        <v>5.0973541321822262E-3</v>
      </c>
      <c r="P377" s="1" t="str">
        <f>IF(COUNTIF(Comp3[Comparable '#3 Dates],Benchmark1[[#This Row],[Benchmark '#1 Dates]])=1,"Pass","Fail")</f>
        <v>Pass</v>
      </c>
      <c r="Q377" s="6">
        <f>IF(Benchmark1[[#This Row],[Comparable '#3 Date Check]]="Pass",INDEX(Comp3[Comparable '#3 Price],MATCH(Benchmark1[[#This Row],[Benchmark '#1 Dates]],Comp3[Comparable '#3 Dates],0)),"-")</f>
        <v>158.9</v>
      </c>
      <c r="R377" s="22">
        <f>IF(Benchmark1[[#This Row],[Comparable '#3 Date Check]]="Pass",INDEX(Comp3[Comparable '#3 Return],MATCH(Benchmark1[[#This Row],[Benchmark '#1 Dates]],Comp3[Comparable '#3 Dates],0)),"-")</f>
        <v>8.0880006171669145E-3</v>
      </c>
      <c r="S377" s="1">
        <f>IFERROR(IF(Benchmark1[[#This Row],[Comparable '#3 Date Check]]="Pass",Benchmark1[[#This Row],[Comparable '#3 Return]]-Benchmark1[[#This Row],[Benchmark '#1 Return]],"-"),"-")</f>
        <v>5.1462646557230126E-3</v>
      </c>
    </row>
    <row r="378" spans="1:19">
      <c r="A378" s="103">
        <v>43832</v>
      </c>
      <c r="B378" s="104">
        <v>3257.8477866115977</v>
      </c>
      <c r="C378" s="4">
        <f t="shared" si="5"/>
        <v>8.3425914556683554E-3</v>
      </c>
      <c r="D378" s="1" t="str">
        <f>IF(COUNTIF(Target1[Target Dates],Benchmark1[[#This Row],[Benchmark '#1 Dates]])=1,"Pass","Fail")</f>
        <v>Pass</v>
      </c>
      <c r="E378" s="6">
        <f>IF(Benchmark1[[#This Row],[Target Date Check]]="Pass",INDEX(Target1[Target Price],MATCH(Benchmark1[[#This Row],[Benchmark '#1 Dates]],Target1[Target Dates],0)),"-")</f>
        <v>20.13</v>
      </c>
      <c r="F378" s="22">
        <f>IF(Benchmark1[[#This Row],[Target Date Check]]="Pass",INDEX(Target1[Target Return],MATCH(Benchmark1[[#This Row],[Benchmark '#1 Dates]],Target1[Target Dates],0)),"-")</f>
        <v>-1.0869672236903992E-2</v>
      </c>
      <c r="G378" s="1">
        <f>IFERROR(IF(Benchmark1[[#This Row],[Target Date Check]]="Pass",Benchmark1[[#This Row],[Target Return]]-Benchmark1[[#This Row],[Benchmark '#1 Return]],"-"),"-")</f>
        <v>-1.9212263692572347E-2</v>
      </c>
      <c r="H378" s="1" t="str">
        <f>IF(COUNTIF(Comp1[Comparable '#1 Dates],Benchmark1[[#This Row],[Benchmark '#1 Dates]])=1,"Pass","Fail")</f>
        <v>Pass</v>
      </c>
      <c r="I378" s="6">
        <f>IF(Benchmark1[[#This Row],[Comparable '#1 Date Check]]="Pass",INDEX(Comp1[Comparable '#1 Price],MATCH(Benchmark1[[#This Row],[Benchmark '#1 Dates]],Comp1[Comparable '#1 Dates],0)),"-")</f>
        <v>17.829999999999998</v>
      </c>
      <c r="J378" s="22">
        <f>IF(Benchmark1[[#This Row],[Comparable '#1 Date Check]]="Pass",INDEX(Comp1[Comparable '#1 Return],MATCH(Benchmark1[[#This Row],[Benchmark '#1 Dates]],Comp1[Comparable '#1 Dates],0)),"-")</f>
        <v>1.2415509366934278E-2</v>
      </c>
      <c r="K378" s="1">
        <f>IFERROR(IF(Benchmark1[[#This Row],[Comparable '#1 Date Check]]="Pass",Benchmark1[[#This Row],[Comparable '#1 Return]]-Benchmark1[[#This Row],[Benchmark '#1 Return]],"-"),"-")</f>
        <v>4.0729179112659226E-3</v>
      </c>
      <c r="L378" s="1" t="str">
        <f>IF(COUNTIF(Comp2[Comparable '#2 Dates],Benchmark1[[#This Row],[Benchmark '#1 Dates]])=1,"Pass","Fail")</f>
        <v>Pass</v>
      </c>
      <c r="M378" s="6">
        <f>IF(Benchmark1[[#This Row],[Comparable '#2 Date Check]]="Pass",INDEX(Comp2[Comparable '#2 Price],MATCH(Benchmark1[[#This Row],[Benchmark '#1 Dates]],Comp2[Comparable '#2 Dates],0)),"-")</f>
        <v>34.69</v>
      </c>
      <c r="N378" s="22">
        <f>IF(Benchmark1[[#This Row],[Comparable '#2 Date Check]]="Pass",INDEX(Comp2[Comparable '#2 Return],MATCH(Benchmark1[[#This Row],[Benchmark '#1 Dates]],Comp2[Comparable '#2 Dates],0)),"-")</f>
        <v>-8.039090093626142E-3</v>
      </c>
      <c r="O378" s="1">
        <f>IFERROR(IF(Benchmark1[[#This Row],[Comparable '#2 Date Check]]="Pass",Benchmark1[[#This Row],[Comparable '#2 Return]]-Benchmark1[[#This Row],[Benchmark '#1 Return]],"-"),"-")</f>
        <v>-1.6381681549294497E-2</v>
      </c>
      <c r="P378" s="1" t="str">
        <f>IF(COUNTIF(Comp3[Comparable '#3 Dates],Benchmark1[[#This Row],[Benchmark '#1 Dates]])=1,"Pass","Fail")</f>
        <v>Pass</v>
      </c>
      <c r="Q378" s="6">
        <f>IF(Benchmark1[[#This Row],[Comparable '#3 Date Check]]="Pass",INDEX(Comp3[Comparable '#3 Price],MATCH(Benchmark1[[#This Row],[Benchmark '#1 Dates]],Comp3[Comparable '#3 Dates],0)),"-")</f>
        <v>160.04</v>
      </c>
      <c r="R378" s="22">
        <f>IF(Benchmark1[[#This Row],[Comparable '#3 Date Check]]="Pass",INDEX(Comp3[Comparable '#3 Return],MATCH(Benchmark1[[#This Row],[Benchmark '#1 Dates]],Comp3[Comparable '#3 Dates],0)),"-")</f>
        <v>7.1487104463638425E-3</v>
      </c>
      <c r="S378" s="1">
        <f>IFERROR(IF(Benchmark1[[#This Row],[Comparable '#3 Date Check]]="Pass",Benchmark1[[#This Row],[Comparable '#3 Return]]-Benchmark1[[#This Row],[Benchmark '#1 Return]],"-"),"-")</f>
        <v>-1.1938810093045128E-3</v>
      </c>
    </row>
    <row r="379" spans="1:19">
      <c r="A379" s="103">
        <v>43833</v>
      </c>
      <c r="B379" s="104">
        <v>3234.848563238078</v>
      </c>
      <c r="C379" s="4">
        <f t="shared" si="5"/>
        <v>-7.0846743274006543E-3</v>
      </c>
      <c r="D379" s="1" t="str">
        <f>IF(COUNTIF(Target1[Target Dates],Benchmark1[[#This Row],[Benchmark '#1 Dates]])=1,"Pass","Fail")</f>
        <v>Pass</v>
      </c>
      <c r="E379" s="6">
        <f>IF(Benchmark1[[#This Row],[Target Date Check]]="Pass",INDEX(Target1[Target Price],MATCH(Benchmark1[[#This Row],[Benchmark '#1 Dates]],Target1[Target Dates],0)),"-")</f>
        <v>20.34</v>
      </c>
      <c r="F379" s="22">
        <f>IF(Benchmark1[[#This Row],[Target Date Check]]="Pass",INDEX(Target1[Target Return],MATCH(Benchmark1[[#This Row],[Benchmark '#1 Dates]],Target1[Target Dates],0)),"-")</f>
        <v>1.0378150968713909E-2</v>
      </c>
      <c r="G379" s="1">
        <f>IFERROR(IF(Benchmark1[[#This Row],[Target Date Check]]="Pass",Benchmark1[[#This Row],[Target Return]]-Benchmark1[[#This Row],[Benchmark '#1 Return]],"-"),"-")</f>
        <v>1.7462825296114565E-2</v>
      </c>
      <c r="H379" s="1" t="str">
        <f>IF(COUNTIF(Comp1[Comparable '#1 Dates],Benchmark1[[#This Row],[Benchmark '#1 Dates]])=1,"Pass","Fail")</f>
        <v>Pass</v>
      </c>
      <c r="I379" s="6">
        <f>IF(Benchmark1[[#This Row],[Comparable '#1 Date Check]]="Pass",INDEX(Comp1[Comparable '#1 Price],MATCH(Benchmark1[[#This Row],[Benchmark '#1 Dates]],Comp1[Comparable '#1 Dates],0)),"-")</f>
        <v>17.914999999999999</v>
      </c>
      <c r="J379" s="22">
        <f>IF(Benchmark1[[#This Row],[Comparable '#1 Date Check]]="Pass",INDEX(Comp1[Comparable '#1 Return],MATCH(Benchmark1[[#This Row],[Benchmark '#1 Dates]],Comp1[Comparable '#1 Dates],0)),"-")</f>
        <v>4.7559188818680652E-3</v>
      </c>
      <c r="K379" s="1">
        <f>IFERROR(IF(Benchmark1[[#This Row],[Comparable '#1 Date Check]]="Pass",Benchmark1[[#This Row],[Comparable '#1 Return]]-Benchmark1[[#This Row],[Benchmark '#1 Return]],"-"),"-")</f>
        <v>1.184059320926872E-2</v>
      </c>
      <c r="L379" s="1" t="str">
        <f>IF(COUNTIF(Comp2[Comparable '#2 Dates],Benchmark1[[#This Row],[Benchmark '#1 Dates]])=1,"Pass","Fail")</f>
        <v>Pass</v>
      </c>
      <c r="M379" s="6">
        <f>IF(Benchmark1[[#This Row],[Comparable '#2 Date Check]]="Pass",INDEX(Comp2[Comparable '#2 Price],MATCH(Benchmark1[[#This Row],[Benchmark '#1 Dates]],Comp2[Comparable '#2 Dates],0)),"-")</f>
        <v>34.57</v>
      </c>
      <c r="N379" s="22">
        <f>IF(Benchmark1[[#This Row],[Comparable '#2 Date Check]]="Pass",INDEX(Comp2[Comparable '#2 Return],MATCH(Benchmark1[[#This Row],[Benchmark '#1 Dates]],Comp2[Comparable '#2 Dates],0)),"-")</f>
        <v>-3.4652070481250778E-3</v>
      </c>
      <c r="O379" s="1">
        <f>IFERROR(IF(Benchmark1[[#This Row],[Comparable '#2 Date Check]]="Pass",Benchmark1[[#This Row],[Comparable '#2 Return]]-Benchmark1[[#This Row],[Benchmark '#1 Return]],"-"),"-")</f>
        <v>3.6194672792755765E-3</v>
      </c>
      <c r="P379" s="1" t="str">
        <f>IF(COUNTIF(Comp3[Comparable '#3 Dates],Benchmark1[[#This Row],[Benchmark '#1 Dates]])=1,"Pass","Fail")</f>
        <v>Pass</v>
      </c>
      <c r="Q379" s="6">
        <f>IF(Benchmark1[[#This Row],[Comparable '#3 Date Check]]="Pass",INDEX(Comp3[Comparable '#3 Price],MATCH(Benchmark1[[#This Row],[Benchmark '#1 Dates]],Comp3[Comparable '#3 Dates],0)),"-")</f>
        <v>159.58000000000001</v>
      </c>
      <c r="R379" s="22">
        <f>IF(Benchmark1[[#This Row],[Comparable '#3 Date Check]]="Pass",INDEX(Comp3[Comparable '#3 Return],MATCH(Benchmark1[[#This Row],[Benchmark '#1 Dates]],Comp3[Comparable '#3 Dates],0)),"-")</f>
        <v>-2.8784201088992135E-3</v>
      </c>
      <c r="S379" s="1">
        <f>IFERROR(IF(Benchmark1[[#This Row],[Comparable '#3 Date Check]]="Pass",Benchmark1[[#This Row],[Comparable '#3 Return]]-Benchmark1[[#This Row],[Benchmark '#1 Return]],"-"),"-")</f>
        <v>4.2062542185014404E-3</v>
      </c>
    </row>
    <row r="380" spans="1:19">
      <c r="A380" s="103">
        <v>43836</v>
      </c>
      <c r="B380" s="104">
        <v>3246.28255667863</v>
      </c>
      <c r="C380" s="4">
        <f t="shared" si="5"/>
        <v>3.5283980809439645E-3</v>
      </c>
      <c r="D380" s="1" t="str">
        <f>IF(COUNTIF(Target1[Target Dates],Benchmark1[[#This Row],[Benchmark '#1 Dates]])=1,"Pass","Fail")</f>
        <v>Pass</v>
      </c>
      <c r="E380" s="6">
        <f>IF(Benchmark1[[#This Row],[Target Date Check]]="Pass",INDEX(Target1[Target Price],MATCH(Benchmark1[[#This Row],[Benchmark '#1 Dates]],Target1[Target Dates],0)),"-")</f>
        <v>20.5</v>
      </c>
      <c r="F380" s="22">
        <f>IF(Benchmark1[[#This Row],[Target Date Check]]="Pass",INDEX(Target1[Target Return],MATCH(Benchmark1[[#This Row],[Benchmark '#1 Dates]],Target1[Target Dates],0)),"-")</f>
        <v>7.8354955239486376E-3</v>
      </c>
      <c r="G380" s="1">
        <f>IFERROR(IF(Benchmark1[[#This Row],[Target Date Check]]="Pass",Benchmark1[[#This Row],[Target Return]]-Benchmark1[[#This Row],[Benchmark '#1 Return]],"-"),"-")</f>
        <v>4.3070974430046731E-3</v>
      </c>
      <c r="H380" s="1" t="str">
        <f>IF(COUNTIF(Comp1[Comparable '#1 Dates],Benchmark1[[#This Row],[Benchmark '#1 Dates]])=1,"Pass","Fail")</f>
        <v>Pass</v>
      </c>
      <c r="I380" s="6">
        <f>IF(Benchmark1[[#This Row],[Comparable '#1 Date Check]]="Pass",INDEX(Comp1[Comparable '#1 Price],MATCH(Benchmark1[[#This Row],[Benchmark '#1 Dates]],Comp1[Comparable '#1 Dates],0)),"-")</f>
        <v>18.07</v>
      </c>
      <c r="J380" s="22">
        <f>IF(Benchmark1[[#This Row],[Comparable '#1 Date Check]]="Pass",INDEX(Comp1[Comparable '#1 Return],MATCH(Benchmark1[[#This Row],[Benchmark '#1 Dates]],Comp1[Comparable '#1 Dates],0)),"-")</f>
        <v>8.6147538472201579E-3</v>
      </c>
      <c r="K380" s="1">
        <f>IFERROR(IF(Benchmark1[[#This Row],[Comparable '#1 Date Check]]="Pass",Benchmark1[[#This Row],[Comparable '#1 Return]]-Benchmark1[[#This Row],[Benchmark '#1 Return]],"-"),"-")</f>
        <v>5.0863557662761934E-3</v>
      </c>
      <c r="L380" s="1" t="str">
        <f>IF(COUNTIF(Comp2[Comparable '#2 Dates],Benchmark1[[#This Row],[Benchmark '#1 Dates]])=1,"Pass","Fail")</f>
        <v>Pass</v>
      </c>
      <c r="M380" s="6">
        <f>IF(Benchmark1[[#This Row],[Comparable '#2 Date Check]]="Pass",INDEX(Comp2[Comparable '#2 Price],MATCH(Benchmark1[[#This Row],[Benchmark '#1 Dates]],Comp2[Comparable '#2 Dates],0)),"-")</f>
        <v>35.130000000000003</v>
      </c>
      <c r="N380" s="22">
        <f>IF(Benchmark1[[#This Row],[Comparable '#2 Date Check]]="Pass",INDEX(Comp2[Comparable '#2 Return],MATCH(Benchmark1[[#This Row],[Benchmark '#1 Dates]],Comp2[Comparable '#2 Dates],0)),"-")</f>
        <v>1.6069212344202669E-2</v>
      </c>
      <c r="O380" s="1">
        <f>IFERROR(IF(Benchmark1[[#This Row],[Comparable '#2 Date Check]]="Pass",Benchmark1[[#This Row],[Comparable '#2 Return]]-Benchmark1[[#This Row],[Benchmark '#1 Return]],"-"),"-")</f>
        <v>1.2540814263258704E-2</v>
      </c>
      <c r="P380" s="1" t="str">
        <f>IF(COUNTIF(Comp3[Comparable '#3 Dates],Benchmark1[[#This Row],[Benchmark '#1 Dates]])=1,"Pass","Fail")</f>
        <v>Pass</v>
      </c>
      <c r="Q380" s="6">
        <f>IF(Benchmark1[[#This Row],[Comparable '#3 Date Check]]="Pass",INDEX(Comp3[Comparable '#3 Price],MATCH(Benchmark1[[#This Row],[Benchmark '#1 Dates]],Comp3[Comparable '#3 Dates],0)),"-")</f>
        <v>159.31</v>
      </c>
      <c r="R380" s="22">
        <f>IF(Benchmark1[[#This Row],[Comparable '#3 Date Check]]="Pass",INDEX(Comp3[Comparable '#3 Return],MATCH(Benchmark1[[#This Row],[Benchmark '#1 Dates]],Comp3[Comparable '#3 Dates],0)),"-")</f>
        <v>-1.6933742953315369E-3</v>
      </c>
      <c r="S380" s="1">
        <f>IFERROR(IF(Benchmark1[[#This Row],[Comparable '#3 Date Check]]="Pass",Benchmark1[[#This Row],[Comparable '#3 Return]]-Benchmark1[[#This Row],[Benchmark '#1 Return]],"-"),"-")</f>
        <v>-5.2217723762755016E-3</v>
      </c>
    </row>
    <row r="381" spans="1:19">
      <c r="A381" s="103">
        <v>43837</v>
      </c>
      <c r="B381" s="104">
        <v>3237.1824519689726</v>
      </c>
      <c r="C381" s="4">
        <f t="shared" si="5"/>
        <v>-2.8071750748805799E-3</v>
      </c>
      <c r="D381" s="1" t="str">
        <f>IF(COUNTIF(Target1[Target Dates],Benchmark1[[#This Row],[Benchmark '#1 Dates]])=1,"Pass","Fail")</f>
        <v>Pass</v>
      </c>
      <c r="E381" s="6">
        <f>IF(Benchmark1[[#This Row],[Target Date Check]]="Pass",INDEX(Target1[Target Price],MATCH(Benchmark1[[#This Row],[Benchmark '#1 Dates]],Target1[Target Dates],0)),"-")</f>
        <v>20.7</v>
      </c>
      <c r="F381" s="22">
        <f>IF(Benchmark1[[#This Row],[Target Date Check]]="Pass",INDEX(Target1[Target Return],MATCH(Benchmark1[[#This Row],[Benchmark '#1 Dates]],Target1[Target Dates],0)),"-")</f>
        <v>9.7088141269609032E-3</v>
      </c>
      <c r="G381" s="1">
        <f>IFERROR(IF(Benchmark1[[#This Row],[Target Date Check]]="Pass",Benchmark1[[#This Row],[Target Return]]-Benchmark1[[#This Row],[Benchmark '#1 Return]],"-"),"-")</f>
        <v>1.2515989201841483E-2</v>
      </c>
      <c r="H381" s="1" t="str">
        <f>IF(COUNTIF(Comp1[Comparable '#1 Dates],Benchmark1[[#This Row],[Benchmark '#1 Dates]])=1,"Pass","Fail")</f>
        <v>Pass</v>
      </c>
      <c r="I381" s="6">
        <f>IF(Benchmark1[[#This Row],[Comparable '#1 Date Check]]="Pass",INDEX(Comp1[Comparable '#1 Price],MATCH(Benchmark1[[#This Row],[Benchmark '#1 Dates]],Comp1[Comparable '#1 Dates],0)),"-")</f>
        <v>18.170000000000002</v>
      </c>
      <c r="J381" s="22">
        <f>IF(Benchmark1[[#This Row],[Comparable '#1 Date Check]]="Pass",INDEX(Comp1[Comparable '#1 Return],MATCH(Benchmark1[[#This Row],[Benchmark '#1 Dates]],Comp1[Comparable '#1 Dates],0)),"-")</f>
        <v>5.5187778039428106E-3</v>
      </c>
      <c r="K381" s="1">
        <f>IFERROR(IF(Benchmark1[[#This Row],[Comparable '#1 Date Check]]="Pass",Benchmark1[[#This Row],[Comparable '#1 Return]]-Benchmark1[[#This Row],[Benchmark '#1 Return]],"-"),"-")</f>
        <v>8.3259528788233901E-3</v>
      </c>
      <c r="L381" s="1" t="str">
        <f>IF(COUNTIF(Comp2[Comparable '#2 Dates],Benchmark1[[#This Row],[Benchmark '#1 Dates]])=1,"Pass","Fail")</f>
        <v>Pass</v>
      </c>
      <c r="M381" s="6">
        <f>IF(Benchmark1[[#This Row],[Comparable '#2 Date Check]]="Pass",INDEX(Comp2[Comparable '#2 Price],MATCH(Benchmark1[[#This Row],[Benchmark '#1 Dates]],Comp2[Comparable '#2 Dates],0)),"-")</f>
        <v>35.49</v>
      </c>
      <c r="N381" s="22">
        <f>IF(Benchmark1[[#This Row],[Comparable '#2 Date Check]]="Pass",INDEX(Comp2[Comparable '#2 Return],MATCH(Benchmark1[[#This Row],[Benchmark '#1 Dates]],Comp2[Comparable '#2 Dates],0)),"-")</f>
        <v>1.0195500380669346E-2</v>
      </c>
      <c r="O381" s="1">
        <f>IFERROR(IF(Benchmark1[[#This Row],[Comparable '#2 Date Check]]="Pass",Benchmark1[[#This Row],[Comparable '#2 Return]]-Benchmark1[[#This Row],[Benchmark '#1 Return]],"-"),"-")</f>
        <v>1.3002675455549926E-2</v>
      </c>
      <c r="P381" s="1" t="str">
        <f>IF(COUNTIF(Comp3[Comparable '#3 Dates],Benchmark1[[#This Row],[Benchmark '#1 Dates]])=1,"Pass","Fail")</f>
        <v>Pass</v>
      </c>
      <c r="Q381" s="6">
        <f>IF(Benchmark1[[#This Row],[Comparable '#3 Date Check]]="Pass",INDEX(Comp3[Comparable '#3 Price],MATCH(Benchmark1[[#This Row],[Benchmark '#1 Dates]],Comp3[Comparable '#3 Dates],0)),"-")</f>
        <v>159.69999999999999</v>
      </c>
      <c r="R381" s="22">
        <f>IF(Benchmark1[[#This Row],[Comparable '#3 Date Check]]="Pass",INDEX(Comp3[Comparable '#3 Return],MATCH(Benchmark1[[#This Row],[Benchmark '#1 Dates]],Comp3[Comparable '#3 Dates],0)),"-")</f>
        <v>2.4450656361631484E-3</v>
      </c>
      <c r="S381" s="1">
        <f>IFERROR(IF(Benchmark1[[#This Row],[Comparable '#3 Date Check]]="Pass",Benchmark1[[#This Row],[Comparable '#3 Return]]-Benchmark1[[#This Row],[Benchmark '#1 Return]],"-"),"-")</f>
        <v>5.2522407110437283E-3</v>
      </c>
    </row>
    <row r="382" spans="1:19">
      <c r="A382" s="103">
        <v>43838</v>
      </c>
      <c r="B382" s="104">
        <v>3253.0459435601724</v>
      </c>
      <c r="C382" s="4">
        <f t="shared" si="5"/>
        <v>4.8884329533430953E-3</v>
      </c>
      <c r="D382" s="1" t="str">
        <f>IF(COUNTIF(Target1[Target Dates],Benchmark1[[#This Row],[Benchmark '#1 Dates]])=1,"Pass","Fail")</f>
        <v>Pass</v>
      </c>
      <c r="E382" s="6">
        <f>IF(Benchmark1[[#This Row],[Target Date Check]]="Pass",INDEX(Target1[Target Price],MATCH(Benchmark1[[#This Row],[Benchmark '#1 Dates]],Target1[Target Dates],0)),"-")</f>
        <v>20.59</v>
      </c>
      <c r="F382" s="22">
        <f>IF(Benchmark1[[#This Row],[Target Date Check]]="Pass",INDEX(Target1[Target Return],MATCH(Benchmark1[[#This Row],[Benchmark '#1 Dates]],Target1[Target Dates],0)),"-")</f>
        <v>-5.3281792316252656E-3</v>
      </c>
      <c r="G382" s="1">
        <f>IFERROR(IF(Benchmark1[[#This Row],[Target Date Check]]="Pass",Benchmark1[[#This Row],[Target Return]]-Benchmark1[[#This Row],[Benchmark '#1 Return]],"-"),"-")</f>
        <v>-1.021661218496836E-2</v>
      </c>
      <c r="H382" s="1" t="str">
        <f>IF(COUNTIF(Comp1[Comparable '#1 Dates],Benchmark1[[#This Row],[Benchmark '#1 Dates]])=1,"Pass","Fail")</f>
        <v>Pass</v>
      </c>
      <c r="I382" s="6">
        <f>IF(Benchmark1[[#This Row],[Comparable '#1 Date Check]]="Pass",INDEX(Comp1[Comparable '#1 Price],MATCH(Benchmark1[[#This Row],[Benchmark '#1 Dates]],Comp1[Comparable '#1 Dates],0)),"-")</f>
        <v>18.3</v>
      </c>
      <c r="J382" s="22">
        <f>IF(Benchmark1[[#This Row],[Comparable '#1 Date Check]]="Pass",INDEX(Comp1[Comparable '#1 Return],MATCH(Benchmark1[[#This Row],[Benchmark '#1 Dates]],Comp1[Comparable '#1 Dates],0)),"-")</f>
        <v>7.129177439295295E-3</v>
      </c>
      <c r="K382" s="1">
        <f>IFERROR(IF(Benchmark1[[#This Row],[Comparable '#1 Date Check]]="Pass",Benchmark1[[#This Row],[Comparable '#1 Return]]-Benchmark1[[#This Row],[Benchmark '#1 Return]],"-"),"-")</f>
        <v>2.2407444859521997E-3</v>
      </c>
      <c r="L382" s="1" t="str">
        <f>IF(COUNTIF(Comp2[Comparable '#2 Dates],Benchmark1[[#This Row],[Benchmark '#1 Dates]])=1,"Pass","Fail")</f>
        <v>Pass</v>
      </c>
      <c r="M382" s="6">
        <f>IF(Benchmark1[[#This Row],[Comparable '#2 Date Check]]="Pass",INDEX(Comp2[Comparable '#2 Price],MATCH(Benchmark1[[#This Row],[Benchmark '#1 Dates]],Comp2[Comparable '#2 Dates],0)),"-")</f>
        <v>35.619999999999997</v>
      </c>
      <c r="N382" s="22">
        <f>IF(Benchmark1[[#This Row],[Comparable '#2 Date Check]]="Pass",INDEX(Comp2[Comparable '#2 Return],MATCH(Benchmark1[[#This Row],[Benchmark '#1 Dates]],Comp2[Comparable '#2 Dates],0)),"-")</f>
        <v>3.656311203110258E-3</v>
      </c>
      <c r="O382" s="1">
        <f>IFERROR(IF(Benchmark1[[#This Row],[Comparable '#2 Date Check]]="Pass",Benchmark1[[#This Row],[Comparable '#2 Return]]-Benchmark1[[#This Row],[Benchmark '#1 Return]],"-"),"-")</f>
        <v>-1.2321217502328373E-3</v>
      </c>
      <c r="P382" s="1" t="str">
        <f>IF(COUNTIF(Comp3[Comparable '#3 Dates],Benchmark1[[#This Row],[Benchmark '#1 Dates]])=1,"Pass","Fail")</f>
        <v>Pass</v>
      </c>
      <c r="Q382" s="6">
        <f>IF(Benchmark1[[#This Row],[Comparable '#3 Date Check]]="Pass",INDEX(Comp3[Comparable '#3 Price],MATCH(Benchmark1[[#This Row],[Benchmark '#1 Dates]],Comp3[Comparable '#3 Dates],0)),"-")</f>
        <v>158.31</v>
      </c>
      <c r="R382" s="22">
        <f>IF(Benchmark1[[#This Row],[Comparable '#3 Date Check]]="Pass",INDEX(Comp3[Comparable '#3 Return],MATCH(Benchmark1[[#This Row],[Benchmark '#1 Dates]],Comp3[Comparable '#3 Dates],0)),"-")</f>
        <v>-8.7419191352805185E-3</v>
      </c>
      <c r="S382" s="1">
        <f>IFERROR(IF(Benchmark1[[#This Row],[Comparable '#3 Date Check]]="Pass",Benchmark1[[#This Row],[Comparable '#3 Return]]-Benchmark1[[#This Row],[Benchmark '#1 Return]],"-"),"-")</f>
        <v>-1.3630352088623614E-2</v>
      </c>
    </row>
    <row r="383" spans="1:19">
      <c r="A383" s="103">
        <v>43839</v>
      </c>
      <c r="B383" s="104">
        <v>3274.7041934341169</v>
      </c>
      <c r="C383" s="4">
        <f t="shared" si="5"/>
        <v>6.6357715578371545E-3</v>
      </c>
      <c r="D383" s="1" t="str">
        <f>IF(COUNTIF(Target1[Target Dates],Benchmark1[[#This Row],[Benchmark '#1 Dates]])=1,"Pass","Fail")</f>
        <v>Pass</v>
      </c>
      <c r="E383" s="6">
        <f>IF(Benchmark1[[#This Row],[Target Date Check]]="Pass",INDEX(Target1[Target Price],MATCH(Benchmark1[[#This Row],[Benchmark '#1 Dates]],Target1[Target Dates],0)),"-")</f>
        <v>20.38</v>
      </c>
      <c r="F383" s="22">
        <f>IF(Benchmark1[[#This Row],[Target Date Check]]="Pass",INDEX(Target1[Target Return],MATCH(Benchmark1[[#This Row],[Benchmark '#1 Dates]],Target1[Target Dates],0)),"-")</f>
        <v>-1.025149324511937E-2</v>
      </c>
      <c r="G383" s="1">
        <f>IFERROR(IF(Benchmark1[[#This Row],[Target Date Check]]="Pass",Benchmark1[[#This Row],[Target Return]]-Benchmark1[[#This Row],[Benchmark '#1 Return]],"-"),"-")</f>
        <v>-1.6887264802956523E-2</v>
      </c>
      <c r="H383" s="1" t="str">
        <f>IF(COUNTIF(Comp1[Comparable '#1 Dates],Benchmark1[[#This Row],[Benchmark '#1 Dates]])=1,"Pass","Fail")</f>
        <v>Pass</v>
      </c>
      <c r="I383" s="6">
        <f>IF(Benchmark1[[#This Row],[Comparable '#1 Date Check]]="Pass",INDEX(Comp1[Comparable '#1 Price],MATCH(Benchmark1[[#This Row],[Benchmark '#1 Dates]],Comp1[Comparable '#1 Dates],0)),"-")</f>
        <v>18.149999999999999</v>
      </c>
      <c r="J383" s="22">
        <f>IF(Benchmark1[[#This Row],[Comparable '#1 Date Check]]="Pass",INDEX(Comp1[Comparable '#1 Return],MATCH(Benchmark1[[#This Row],[Benchmark '#1 Dates]],Comp1[Comparable '#1 Dates],0)),"-")</f>
        <v>-8.230499136515591E-3</v>
      </c>
      <c r="K383" s="1">
        <f>IFERROR(IF(Benchmark1[[#This Row],[Comparable '#1 Date Check]]="Pass",Benchmark1[[#This Row],[Comparable '#1 Return]]-Benchmark1[[#This Row],[Benchmark '#1 Return]],"-"),"-")</f>
        <v>-1.4866270694352746E-2</v>
      </c>
      <c r="L383" s="1" t="str">
        <f>IF(COUNTIF(Comp2[Comparable '#2 Dates],Benchmark1[[#This Row],[Benchmark '#1 Dates]])=1,"Pass","Fail")</f>
        <v>Pass</v>
      </c>
      <c r="M383" s="6">
        <f>IF(Benchmark1[[#This Row],[Comparable '#2 Date Check]]="Pass",INDEX(Comp2[Comparable '#2 Price],MATCH(Benchmark1[[#This Row],[Benchmark '#1 Dates]],Comp2[Comparable '#2 Dates],0)),"-")</f>
        <v>35.94</v>
      </c>
      <c r="N383" s="22">
        <f>IF(Benchmark1[[#This Row],[Comparable '#2 Date Check]]="Pass",INDEX(Comp2[Comparable '#2 Return],MATCH(Benchmark1[[#This Row],[Benchmark '#1 Dates]],Comp2[Comparable '#2 Dates],0)),"-")</f>
        <v>8.9436034938974122E-3</v>
      </c>
      <c r="O383" s="1">
        <f>IFERROR(IF(Benchmark1[[#This Row],[Comparable '#2 Date Check]]="Pass",Benchmark1[[#This Row],[Comparable '#2 Return]]-Benchmark1[[#This Row],[Benchmark '#1 Return]],"-"),"-")</f>
        <v>2.3078319360602577E-3</v>
      </c>
      <c r="P383" s="1" t="str">
        <f>IF(COUNTIF(Comp3[Comparable '#3 Dates],Benchmark1[[#This Row],[Benchmark '#1 Dates]])=1,"Pass","Fail")</f>
        <v>Pass</v>
      </c>
      <c r="Q383" s="6">
        <f>IF(Benchmark1[[#This Row],[Comparable '#3 Date Check]]="Pass",INDEX(Comp3[Comparable '#3 Price],MATCH(Benchmark1[[#This Row],[Benchmark '#1 Dates]],Comp3[Comparable '#3 Dates],0)),"-")</f>
        <v>159.52000000000001</v>
      </c>
      <c r="R383" s="22">
        <f>IF(Benchmark1[[#This Row],[Comparable '#3 Date Check]]="Pass",INDEX(Comp3[Comparable '#3 Return],MATCH(Benchmark1[[#This Row],[Benchmark '#1 Dates]],Comp3[Comparable '#3 Dates],0)),"-")</f>
        <v>7.6141701278421743E-3</v>
      </c>
      <c r="S383" s="1">
        <f>IFERROR(IF(Benchmark1[[#This Row],[Comparable '#3 Date Check]]="Pass",Benchmark1[[#This Row],[Comparable '#3 Return]]-Benchmark1[[#This Row],[Benchmark '#1 Return]],"-"),"-")</f>
        <v>9.7839857000501986E-4</v>
      </c>
    </row>
    <row r="384" spans="1:19">
      <c r="A384" s="103">
        <v>43840</v>
      </c>
      <c r="B384" s="104">
        <v>3265.3511353379699</v>
      </c>
      <c r="C384" s="4">
        <f t="shared" si="5"/>
        <v>-2.8602401669067159E-3</v>
      </c>
      <c r="D384" s="1" t="str">
        <f>IF(COUNTIF(Target1[Target Dates],Benchmark1[[#This Row],[Benchmark '#1 Dates]])=1,"Pass","Fail")</f>
        <v>Pass</v>
      </c>
      <c r="E384" s="6">
        <f>IF(Benchmark1[[#This Row],[Target Date Check]]="Pass",INDEX(Target1[Target Price],MATCH(Benchmark1[[#This Row],[Benchmark '#1 Dates]],Target1[Target Dates],0)),"-")</f>
        <v>20.170000000000002</v>
      </c>
      <c r="F384" s="22">
        <f>IF(Benchmark1[[#This Row],[Target Date Check]]="Pass",INDEX(Target1[Target Return],MATCH(Benchmark1[[#This Row],[Benchmark '#1 Dates]],Target1[Target Dates],0)),"-")</f>
        <v>-1.035767582845817E-2</v>
      </c>
      <c r="G384" s="1">
        <f>IFERROR(IF(Benchmark1[[#This Row],[Target Date Check]]="Pass",Benchmark1[[#This Row],[Target Return]]-Benchmark1[[#This Row],[Benchmark '#1 Return]],"-"),"-")</f>
        <v>-7.4974356615514545E-3</v>
      </c>
      <c r="H384" s="1" t="str">
        <f>IF(COUNTIF(Comp1[Comparable '#1 Dates],Benchmark1[[#This Row],[Benchmark '#1 Dates]])=1,"Pass","Fail")</f>
        <v>Pass</v>
      </c>
      <c r="I384" s="6">
        <f>IF(Benchmark1[[#This Row],[Comparable '#1 Date Check]]="Pass",INDEX(Comp1[Comparable '#1 Price],MATCH(Benchmark1[[#This Row],[Benchmark '#1 Dates]],Comp1[Comparable '#1 Dates],0)),"-")</f>
        <v>17.809999999999999</v>
      </c>
      <c r="J384" s="22">
        <f>IF(Benchmark1[[#This Row],[Comparable '#1 Date Check]]="Pass",INDEX(Comp1[Comparable '#1 Return],MATCH(Benchmark1[[#This Row],[Benchmark '#1 Dates]],Comp1[Comparable '#1 Dates],0)),"-")</f>
        <v>-1.8910463409289494E-2</v>
      </c>
      <c r="K384" s="1">
        <f>IFERROR(IF(Benchmark1[[#This Row],[Comparable '#1 Date Check]]="Pass",Benchmark1[[#This Row],[Comparable '#1 Return]]-Benchmark1[[#This Row],[Benchmark '#1 Return]],"-"),"-")</f>
        <v>-1.6050223242382776E-2</v>
      </c>
      <c r="L384" s="1" t="str">
        <f>IF(COUNTIF(Comp2[Comparable '#2 Dates],Benchmark1[[#This Row],[Benchmark '#1 Dates]])=1,"Pass","Fail")</f>
        <v>Pass</v>
      </c>
      <c r="M384" s="6">
        <f>IF(Benchmark1[[#This Row],[Comparable '#2 Date Check]]="Pass",INDEX(Comp2[Comparable '#2 Price],MATCH(Benchmark1[[#This Row],[Benchmark '#1 Dates]],Comp2[Comparable '#2 Dates],0)),"-")</f>
        <v>35.479999999999997</v>
      </c>
      <c r="N384" s="22">
        <f>IF(Benchmark1[[#This Row],[Comparable '#2 Date Check]]="Pass",INDEX(Comp2[Comparable '#2 Return],MATCH(Benchmark1[[#This Row],[Benchmark '#1 Dates]],Comp2[Comparable '#2 Dates],0)),"-")</f>
        <v>-1.2881723914034226E-2</v>
      </c>
      <c r="O384" s="1">
        <f>IFERROR(IF(Benchmark1[[#This Row],[Comparable '#2 Date Check]]="Pass",Benchmark1[[#This Row],[Comparable '#2 Return]]-Benchmark1[[#This Row],[Benchmark '#1 Return]],"-"),"-")</f>
        <v>-1.002148374712751E-2</v>
      </c>
      <c r="P384" s="1" t="str">
        <f>IF(COUNTIF(Comp3[Comparable '#3 Dates],Benchmark1[[#This Row],[Benchmark '#1 Dates]])=1,"Pass","Fail")</f>
        <v>Pass</v>
      </c>
      <c r="Q384" s="6">
        <f>IF(Benchmark1[[#This Row],[Comparable '#3 Date Check]]="Pass",INDEX(Comp3[Comparable '#3 Price],MATCH(Benchmark1[[#This Row],[Benchmark '#1 Dates]],Comp3[Comparable '#3 Dates],0)),"-")</f>
        <v>158.74</v>
      </c>
      <c r="R384" s="22">
        <f>IF(Benchmark1[[#This Row],[Comparable '#3 Date Check]]="Pass",INDEX(Comp3[Comparable '#3 Return],MATCH(Benchmark1[[#This Row],[Benchmark '#1 Dates]],Comp3[Comparable '#3 Dates],0)),"-")</f>
        <v>-4.9016625507986855E-3</v>
      </c>
      <c r="S384" s="1">
        <f>IFERROR(IF(Benchmark1[[#This Row],[Comparable '#3 Date Check]]="Pass",Benchmark1[[#This Row],[Comparable '#3 Return]]-Benchmark1[[#This Row],[Benchmark '#1 Return]],"-"),"-")</f>
        <v>-2.0414223838919696E-3</v>
      </c>
    </row>
    <row r="385" spans="1:19">
      <c r="A385" s="103">
        <v>43843</v>
      </c>
      <c r="B385" s="104">
        <v>3288.1335398178521</v>
      </c>
      <c r="C385" s="4">
        <f t="shared" si="5"/>
        <v>6.9527884435899318E-3</v>
      </c>
      <c r="D385" s="1" t="str">
        <f>IF(COUNTIF(Target1[Target Dates],Benchmark1[[#This Row],[Benchmark '#1 Dates]])=1,"Pass","Fail")</f>
        <v>Pass</v>
      </c>
      <c r="E385" s="6">
        <f>IF(Benchmark1[[#This Row],[Target Date Check]]="Pass",INDEX(Target1[Target Price],MATCH(Benchmark1[[#This Row],[Benchmark '#1 Dates]],Target1[Target Dates],0)),"-")</f>
        <v>20.64</v>
      </c>
      <c r="F385" s="22">
        <f>IF(Benchmark1[[#This Row],[Target Date Check]]="Pass",INDEX(Target1[Target Return],MATCH(Benchmark1[[#This Row],[Benchmark '#1 Dates]],Target1[Target Dates],0)),"-")</f>
        <v>2.3034588647241536E-2</v>
      </c>
      <c r="G385" s="1">
        <f>IFERROR(IF(Benchmark1[[#This Row],[Target Date Check]]="Pass",Benchmark1[[#This Row],[Target Return]]-Benchmark1[[#This Row],[Benchmark '#1 Return]],"-"),"-")</f>
        <v>1.6081800203651603E-2</v>
      </c>
      <c r="H385" s="1" t="str">
        <f>IF(COUNTIF(Comp1[Comparable '#1 Dates],Benchmark1[[#This Row],[Benchmark '#1 Dates]])=1,"Pass","Fail")</f>
        <v>Pass</v>
      </c>
      <c r="I385" s="6">
        <f>IF(Benchmark1[[#This Row],[Comparable '#1 Date Check]]="Pass",INDEX(Comp1[Comparable '#1 Price],MATCH(Benchmark1[[#This Row],[Benchmark '#1 Dates]],Comp1[Comparable '#1 Dates],0)),"-")</f>
        <v>17.940000000000001</v>
      </c>
      <c r="J385" s="22">
        <f>IF(Benchmark1[[#This Row],[Comparable '#1 Date Check]]="Pass",INDEX(Comp1[Comparable '#1 Return],MATCH(Benchmark1[[#This Row],[Benchmark '#1 Dates]],Comp1[Comparable '#1 Dates],0)),"-")</f>
        <v>7.2727593290798781E-3</v>
      </c>
      <c r="K385" s="1">
        <f>IFERROR(IF(Benchmark1[[#This Row],[Comparable '#1 Date Check]]="Pass",Benchmark1[[#This Row],[Comparable '#1 Return]]-Benchmark1[[#This Row],[Benchmark '#1 Return]],"-"),"-")</f>
        <v>3.1997088548994627E-4</v>
      </c>
      <c r="L385" s="1" t="str">
        <f>IF(COUNTIF(Comp2[Comparable '#2 Dates],Benchmark1[[#This Row],[Benchmark '#1 Dates]])=1,"Pass","Fail")</f>
        <v>Pass</v>
      </c>
      <c r="M385" s="6">
        <f>IF(Benchmark1[[#This Row],[Comparable '#2 Date Check]]="Pass",INDEX(Comp2[Comparable '#2 Price],MATCH(Benchmark1[[#This Row],[Benchmark '#1 Dates]],Comp2[Comparable '#2 Dates],0)),"-")</f>
        <v>35.94</v>
      </c>
      <c r="N385" s="22">
        <f>IF(Benchmark1[[#This Row],[Comparable '#2 Date Check]]="Pass",INDEX(Comp2[Comparable '#2 Return],MATCH(Benchmark1[[#This Row],[Benchmark '#1 Dates]],Comp2[Comparable '#2 Dates],0)),"-")</f>
        <v>1.2881723914034207E-2</v>
      </c>
      <c r="O385" s="1">
        <f>IFERROR(IF(Benchmark1[[#This Row],[Comparable '#2 Date Check]]="Pass",Benchmark1[[#This Row],[Comparable '#2 Return]]-Benchmark1[[#This Row],[Benchmark '#1 Return]],"-"),"-")</f>
        <v>5.9289354704442753E-3</v>
      </c>
      <c r="P385" s="1" t="str">
        <f>IF(COUNTIF(Comp3[Comparable '#3 Dates],Benchmark1[[#This Row],[Benchmark '#1 Dates]])=1,"Pass","Fail")</f>
        <v>Pass</v>
      </c>
      <c r="Q385" s="6">
        <f>IF(Benchmark1[[#This Row],[Comparable '#3 Date Check]]="Pass",INDEX(Comp3[Comparable '#3 Price],MATCH(Benchmark1[[#This Row],[Benchmark '#1 Dates]],Comp3[Comparable '#3 Dates],0)),"-")</f>
        <v>160.1</v>
      </c>
      <c r="R385" s="22">
        <f>IF(Benchmark1[[#This Row],[Comparable '#3 Date Check]]="Pass",INDEX(Comp3[Comparable '#3 Return],MATCH(Benchmark1[[#This Row],[Benchmark '#1 Dates]],Comp3[Comparable '#3 Dates],0)),"-")</f>
        <v>8.5309763399394316E-3</v>
      </c>
      <c r="S385" s="1">
        <f>IFERROR(IF(Benchmark1[[#This Row],[Comparable '#3 Date Check]]="Pass",Benchmark1[[#This Row],[Comparable '#3 Return]]-Benchmark1[[#This Row],[Benchmark '#1 Return]],"-"),"-")</f>
        <v>1.5781878963494998E-3</v>
      </c>
    </row>
    <row r="386" spans="1:19">
      <c r="A386" s="103">
        <v>43844</v>
      </c>
      <c r="B386" s="104">
        <v>3283.1524483937824</v>
      </c>
      <c r="C386" s="4">
        <f t="shared" ref="C386:C449" si="6">IFERROR(IF(B386="","-",LN(B386/B385)),"-")</f>
        <v>-1.5160175305146601E-3</v>
      </c>
      <c r="D386" s="1" t="str">
        <f>IF(COUNTIF(Target1[Target Dates],Benchmark1[[#This Row],[Benchmark '#1 Dates]])=1,"Pass","Fail")</f>
        <v>Pass</v>
      </c>
      <c r="E386" s="6">
        <f>IF(Benchmark1[[#This Row],[Target Date Check]]="Pass",INDEX(Target1[Target Price],MATCH(Benchmark1[[#This Row],[Benchmark '#1 Dates]],Target1[Target Dates],0)),"-")</f>
        <v>20.2</v>
      </c>
      <c r="F386" s="22">
        <f>IF(Benchmark1[[#This Row],[Target Date Check]]="Pass",INDEX(Target1[Target Return],MATCH(Benchmark1[[#This Row],[Benchmark '#1 Dates]],Target1[Target Dates],0)),"-")</f>
        <v>-2.1548336206202948E-2</v>
      </c>
      <c r="G386" s="1">
        <f>IFERROR(IF(Benchmark1[[#This Row],[Target Date Check]]="Pass",Benchmark1[[#This Row],[Target Return]]-Benchmark1[[#This Row],[Benchmark '#1 Return]],"-"),"-")</f>
        <v>-2.0032318675688287E-2</v>
      </c>
      <c r="H386" s="1" t="str">
        <f>IF(COUNTIF(Comp1[Comparable '#1 Dates],Benchmark1[[#This Row],[Benchmark '#1 Dates]])=1,"Pass","Fail")</f>
        <v>Pass</v>
      </c>
      <c r="I386" s="6">
        <f>IF(Benchmark1[[#This Row],[Comparable '#1 Date Check]]="Pass",INDEX(Comp1[Comparable '#1 Price],MATCH(Benchmark1[[#This Row],[Benchmark '#1 Dates]],Comp1[Comparable '#1 Dates],0)),"-")</f>
        <v>17.96</v>
      </c>
      <c r="J386" s="22">
        <f>IF(Benchmark1[[#This Row],[Comparable '#1 Date Check]]="Pass",INDEX(Comp1[Comparable '#1 Return],MATCH(Benchmark1[[#This Row],[Benchmark '#1 Dates]],Comp1[Comparable '#1 Dates],0)),"-")</f>
        <v>1.1142062434035577E-3</v>
      </c>
      <c r="K386" s="1">
        <f>IFERROR(IF(Benchmark1[[#This Row],[Comparable '#1 Date Check]]="Pass",Benchmark1[[#This Row],[Comparable '#1 Return]]-Benchmark1[[#This Row],[Benchmark '#1 Return]],"-"),"-")</f>
        <v>2.6302237739182178E-3</v>
      </c>
      <c r="L386" s="1" t="str">
        <f>IF(COUNTIF(Comp2[Comparable '#2 Dates],Benchmark1[[#This Row],[Benchmark '#1 Dates]])=1,"Pass","Fail")</f>
        <v>Pass</v>
      </c>
      <c r="M386" s="6">
        <f>IF(Benchmark1[[#This Row],[Comparable '#2 Date Check]]="Pass",INDEX(Comp2[Comparable '#2 Price],MATCH(Benchmark1[[#This Row],[Benchmark '#1 Dates]],Comp2[Comparable '#2 Dates],0)),"-")</f>
        <v>36.200000000000003</v>
      </c>
      <c r="N386" s="22">
        <f>IF(Benchmark1[[#This Row],[Comparable '#2 Date Check]]="Pass",INDEX(Comp2[Comparable '#2 Return],MATCH(Benchmark1[[#This Row],[Benchmark '#1 Dates]],Comp2[Comparable '#2 Dates],0)),"-")</f>
        <v>7.2082374763124358E-3</v>
      </c>
      <c r="O386" s="1">
        <f>IFERROR(IF(Benchmark1[[#This Row],[Comparable '#2 Date Check]]="Pass",Benchmark1[[#This Row],[Comparable '#2 Return]]-Benchmark1[[#This Row],[Benchmark '#1 Return]],"-"),"-")</f>
        <v>8.7242550068270964E-3</v>
      </c>
      <c r="P386" s="1" t="str">
        <f>IF(COUNTIF(Comp3[Comparable '#3 Dates],Benchmark1[[#This Row],[Benchmark '#1 Dates]])=1,"Pass","Fail")</f>
        <v>Pass</v>
      </c>
      <c r="Q386" s="6">
        <f>IF(Benchmark1[[#This Row],[Comparable '#3 Date Check]]="Pass",INDEX(Comp3[Comparable '#3 Price],MATCH(Benchmark1[[#This Row],[Benchmark '#1 Dates]],Comp3[Comparable '#3 Dates],0)),"-")</f>
        <v>160.87</v>
      </c>
      <c r="R386" s="22">
        <f>IF(Benchmark1[[#This Row],[Comparable '#3 Date Check]]="Pass",INDEX(Comp3[Comparable '#3 Return],MATCH(Benchmark1[[#This Row],[Benchmark '#1 Dates]],Comp3[Comparable '#3 Dates],0)),"-")</f>
        <v>4.7979653995475829E-3</v>
      </c>
      <c r="S386" s="1">
        <f>IFERROR(IF(Benchmark1[[#This Row],[Comparable '#3 Date Check]]="Pass",Benchmark1[[#This Row],[Comparable '#3 Return]]-Benchmark1[[#This Row],[Benchmark '#1 Return]],"-"),"-")</f>
        <v>6.3139829300622435E-3</v>
      </c>
    </row>
    <row r="387" spans="1:19">
      <c r="A387" s="103">
        <v>43845</v>
      </c>
      <c r="B387" s="104">
        <v>3289.2925874927155</v>
      </c>
      <c r="C387" s="4">
        <f t="shared" si="6"/>
        <v>1.8684495196928616E-3</v>
      </c>
      <c r="D387" s="1" t="str">
        <f>IF(COUNTIF(Target1[Target Dates],Benchmark1[[#This Row],[Benchmark '#1 Dates]])=1,"Pass","Fail")</f>
        <v>Pass</v>
      </c>
      <c r="E387" s="6">
        <f>IF(Benchmark1[[#This Row],[Target Date Check]]="Pass",INDEX(Target1[Target Price],MATCH(Benchmark1[[#This Row],[Benchmark '#1 Dates]],Target1[Target Dates],0)),"-")</f>
        <v>20.51</v>
      </c>
      <c r="F387" s="22">
        <f>IF(Benchmark1[[#This Row],[Target Date Check]]="Pass",INDEX(Target1[Target Return],MATCH(Benchmark1[[#This Row],[Benchmark '#1 Dates]],Target1[Target Dates],0)),"-")</f>
        <v>1.5229967677130181E-2</v>
      </c>
      <c r="G387" s="1">
        <f>IFERROR(IF(Benchmark1[[#This Row],[Target Date Check]]="Pass",Benchmark1[[#This Row],[Target Return]]-Benchmark1[[#This Row],[Benchmark '#1 Return]],"-"),"-")</f>
        <v>1.3361518157437319E-2</v>
      </c>
      <c r="H387" s="1" t="str">
        <f>IF(COUNTIF(Comp1[Comparable '#1 Dates],Benchmark1[[#This Row],[Benchmark '#1 Dates]])=1,"Pass","Fail")</f>
        <v>Pass</v>
      </c>
      <c r="I387" s="6">
        <f>IF(Benchmark1[[#This Row],[Comparable '#1 Date Check]]="Pass",INDEX(Comp1[Comparable '#1 Price],MATCH(Benchmark1[[#This Row],[Benchmark '#1 Dates]],Comp1[Comparable '#1 Dates],0)),"-")</f>
        <v>17.899999999999999</v>
      </c>
      <c r="J387" s="22">
        <f>IF(Benchmark1[[#This Row],[Comparable '#1 Date Check]]="Pass",INDEX(Comp1[Comparable '#1 Return],MATCH(Benchmark1[[#This Row],[Benchmark '#1 Dates]],Comp1[Comparable '#1 Dates],0)),"-")</f>
        <v>-3.3463500273443951E-3</v>
      </c>
      <c r="K387" s="1">
        <f>IFERROR(IF(Benchmark1[[#This Row],[Comparable '#1 Date Check]]="Pass",Benchmark1[[#This Row],[Comparable '#1 Return]]-Benchmark1[[#This Row],[Benchmark '#1 Return]],"-"),"-")</f>
        <v>-5.2147995470372566E-3</v>
      </c>
      <c r="L387" s="1" t="str">
        <f>IF(COUNTIF(Comp2[Comparable '#2 Dates],Benchmark1[[#This Row],[Benchmark '#1 Dates]])=1,"Pass","Fail")</f>
        <v>Pass</v>
      </c>
      <c r="M387" s="6">
        <f>IF(Benchmark1[[#This Row],[Comparable '#2 Date Check]]="Pass",INDEX(Comp2[Comparable '#2 Price],MATCH(Benchmark1[[#This Row],[Benchmark '#1 Dates]],Comp2[Comparable '#2 Dates],0)),"-")</f>
        <v>36.5</v>
      </c>
      <c r="N387" s="22">
        <f>IF(Benchmark1[[#This Row],[Comparable '#2 Date Check]]="Pass",INDEX(Comp2[Comparable '#2 Return],MATCH(Benchmark1[[#This Row],[Benchmark '#1 Dates]],Comp2[Comparable '#2 Dates],0)),"-")</f>
        <v>8.2531417567202614E-3</v>
      </c>
      <c r="O387" s="1">
        <f>IFERROR(IF(Benchmark1[[#This Row],[Comparable '#2 Date Check]]="Pass",Benchmark1[[#This Row],[Comparable '#2 Return]]-Benchmark1[[#This Row],[Benchmark '#1 Return]],"-"),"-")</f>
        <v>6.3846922370274003E-3</v>
      </c>
      <c r="P387" s="1" t="str">
        <f>IF(COUNTIF(Comp3[Comparable '#3 Dates],Benchmark1[[#This Row],[Benchmark '#1 Dates]])=1,"Pass","Fail")</f>
        <v>Pass</v>
      </c>
      <c r="Q387" s="6">
        <f>IF(Benchmark1[[#This Row],[Comparable '#3 Date Check]]="Pass",INDEX(Comp3[Comparable '#3 Price],MATCH(Benchmark1[[#This Row],[Benchmark '#1 Dates]],Comp3[Comparable '#3 Dates],0)),"-")</f>
        <v>160.80000000000001</v>
      </c>
      <c r="R387" s="22">
        <f>IF(Benchmark1[[#This Row],[Comparable '#3 Date Check]]="Pass",INDEX(Comp3[Comparable '#3 Return],MATCH(Benchmark1[[#This Row],[Benchmark '#1 Dates]],Comp3[Comparable '#3 Dates],0)),"-")</f>
        <v>-4.3522865735046032E-4</v>
      </c>
      <c r="S387" s="1">
        <f>IFERROR(IF(Benchmark1[[#This Row],[Comparable '#3 Date Check]]="Pass",Benchmark1[[#This Row],[Comparable '#3 Return]]-Benchmark1[[#This Row],[Benchmark '#1 Return]],"-"),"-")</f>
        <v>-2.3036781770433218E-3</v>
      </c>
    </row>
    <row r="388" spans="1:19">
      <c r="A388" s="103">
        <v>43846</v>
      </c>
      <c r="B388" s="104">
        <v>3316.8058915649876</v>
      </c>
      <c r="C388" s="4">
        <f t="shared" si="6"/>
        <v>8.3297163194380516E-3</v>
      </c>
      <c r="D388" s="1" t="str">
        <f>IF(COUNTIF(Target1[Target Dates],Benchmark1[[#This Row],[Benchmark '#1 Dates]])=1,"Pass","Fail")</f>
        <v>Pass</v>
      </c>
      <c r="E388" s="6">
        <f>IF(Benchmark1[[#This Row],[Target Date Check]]="Pass",INDEX(Target1[Target Price],MATCH(Benchmark1[[#This Row],[Benchmark '#1 Dates]],Target1[Target Dates],0)),"-")</f>
        <v>20.92</v>
      </c>
      <c r="F388" s="22">
        <f>IF(Benchmark1[[#This Row],[Target Date Check]]="Pass",INDEX(Target1[Target Return],MATCH(Benchmark1[[#This Row],[Benchmark '#1 Dates]],Target1[Target Dates],0)),"-")</f>
        <v>1.9793067112433015E-2</v>
      </c>
      <c r="G388" s="1">
        <f>IFERROR(IF(Benchmark1[[#This Row],[Target Date Check]]="Pass",Benchmark1[[#This Row],[Target Return]]-Benchmark1[[#This Row],[Benchmark '#1 Return]],"-"),"-")</f>
        <v>1.1463350792994964E-2</v>
      </c>
      <c r="H388" s="1" t="str">
        <f>IF(COUNTIF(Comp1[Comparable '#1 Dates],Benchmark1[[#This Row],[Benchmark '#1 Dates]])=1,"Pass","Fail")</f>
        <v>Pass</v>
      </c>
      <c r="I388" s="6">
        <f>IF(Benchmark1[[#This Row],[Comparable '#1 Date Check]]="Pass",INDEX(Comp1[Comparable '#1 Price],MATCH(Benchmark1[[#This Row],[Benchmark '#1 Dates]],Comp1[Comparable '#1 Dates],0)),"-")</f>
        <v>18.149999999999999</v>
      </c>
      <c r="J388" s="22">
        <f>IF(Benchmark1[[#This Row],[Comparable '#1 Date Check]]="Pass",INDEX(Comp1[Comparable '#1 Return],MATCH(Benchmark1[[#This Row],[Benchmark '#1 Dates]],Comp1[Comparable '#1 Dates],0)),"-")</f>
        <v>1.3869847864150377E-2</v>
      </c>
      <c r="K388" s="1">
        <f>IFERROR(IF(Benchmark1[[#This Row],[Comparable '#1 Date Check]]="Pass",Benchmark1[[#This Row],[Comparable '#1 Return]]-Benchmark1[[#This Row],[Benchmark '#1 Return]],"-"),"-")</f>
        <v>5.5401315447123258E-3</v>
      </c>
      <c r="L388" s="1" t="str">
        <f>IF(COUNTIF(Comp2[Comparable '#2 Dates],Benchmark1[[#This Row],[Benchmark '#1 Dates]])=1,"Pass","Fail")</f>
        <v>Pass</v>
      </c>
      <c r="M388" s="6">
        <f>IF(Benchmark1[[#This Row],[Comparable '#2 Date Check]]="Pass",INDEX(Comp2[Comparable '#2 Price],MATCH(Benchmark1[[#This Row],[Benchmark '#1 Dates]],Comp2[Comparable '#2 Dates],0)),"-")</f>
        <v>36.869999999999997</v>
      </c>
      <c r="N388" s="22">
        <f>IF(Benchmark1[[#This Row],[Comparable '#2 Date Check]]="Pass",INDEX(Comp2[Comparable '#2 Return],MATCH(Benchmark1[[#This Row],[Benchmark '#1 Dates]],Comp2[Comparable '#2 Dates],0)),"-")</f>
        <v>1.0085951657607294E-2</v>
      </c>
      <c r="O388" s="1">
        <f>IFERROR(IF(Benchmark1[[#This Row],[Comparable '#2 Date Check]]="Pass",Benchmark1[[#This Row],[Comparable '#2 Return]]-Benchmark1[[#This Row],[Benchmark '#1 Return]],"-"),"-")</f>
        <v>1.7562353381692427E-3</v>
      </c>
      <c r="P388" s="1" t="str">
        <f>IF(COUNTIF(Comp3[Comparable '#3 Dates],Benchmark1[[#This Row],[Benchmark '#1 Dates]])=1,"Pass","Fail")</f>
        <v>Pass</v>
      </c>
      <c r="Q388" s="6">
        <f>IF(Benchmark1[[#This Row],[Comparable '#3 Date Check]]="Pass",INDEX(Comp3[Comparable '#3 Price],MATCH(Benchmark1[[#This Row],[Benchmark '#1 Dates]],Comp3[Comparable '#3 Dates],0)),"-")</f>
        <v>162</v>
      </c>
      <c r="R388" s="22">
        <f>IF(Benchmark1[[#This Row],[Comparable '#3 Date Check]]="Pass",INDEX(Comp3[Comparable '#3 Return],MATCH(Benchmark1[[#This Row],[Benchmark '#1 Dates]],Comp3[Comparable '#3 Dates],0)),"-")</f>
        <v>7.4349784875179905E-3</v>
      </c>
      <c r="S388" s="1">
        <f>IFERROR(IF(Benchmark1[[#This Row],[Comparable '#3 Date Check]]="Pass",Benchmark1[[#This Row],[Comparable '#3 Return]]-Benchmark1[[#This Row],[Benchmark '#1 Return]],"-"),"-")</f>
        <v>-8.947378319200611E-4</v>
      </c>
    </row>
    <row r="389" spans="1:19">
      <c r="A389" s="103">
        <v>43847</v>
      </c>
      <c r="B389" s="104">
        <v>3329.6226582021523</v>
      </c>
      <c r="C389" s="4">
        <f t="shared" si="6"/>
        <v>3.8567427387714999E-3</v>
      </c>
      <c r="D389" s="1" t="str">
        <f>IF(COUNTIF(Target1[Target Dates],Benchmark1[[#This Row],[Benchmark '#1 Dates]])=1,"Pass","Fail")</f>
        <v>Pass</v>
      </c>
      <c r="E389" s="6">
        <f>IF(Benchmark1[[#This Row],[Target Date Check]]="Pass",INDEX(Target1[Target Price],MATCH(Benchmark1[[#This Row],[Benchmark '#1 Dates]],Target1[Target Dates],0)),"-")</f>
        <v>20.81</v>
      </c>
      <c r="F389" s="22">
        <f>IF(Benchmark1[[#This Row],[Target Date Check]]="Pass",INDEX(Target1[Target Return],MATCH(Benchmark1[[#This Row],[Benchmark '#1 Dates]],Target1[Target Dates],0)),"-")</f>
        <v>-5.2719987911792705E-3</v>
      </c>
      <c r="G389" s="1">
        <f>IFERROR(IF(Benchmark1[[#This Row],[Target Date Check]]="Pass",Benchmark1[[#This Row],[Target Return]]-Benchmark1[[#This Row],[Benchmark '#1 Return]],"-"),"-")</f>
        <v>-9.12874152995077E-3</v>
      </c>
      <c r="H389" s="1" t="str">
        <f>IF(COUNTIF(Comp1[Comparable '#1 Dates],Benchmark1[[#This Row],[Benchmark '#1 Dates]])=1,"Pass","Fail")</f>
        <v>Pass</v>
      </c>
      <c r="I389" s="6">
        <f>IF(Benchmark1[[#This Row],[Comparable '#1 Date Check]]="Pass",INDEX(Comp1[Comparable '#1 Price],MATCH(Benchmark1[[#This Row],[Benchmark '#1 Dates]],Comp1[Comparable '#1 Dates],0)),"-")</f>
        <v>18.2</v>
      </c>
      <c r="J389" s="22">
        <f>IF(Benchmark1[[#This Row],[Comparable '#1 Date Check]]="Pass",INDEX(Comp1[Comparable '#1 Return],MATCH(Benchmark1[[#This Row],[Benchmark '#1 Dates]],Comp1[Comparable '#1 Dates],0)),"-")</f>
        <v>2.7510333718900187E-3</v>
      </c>
      <c r="K389" s="1">
        <f>IFERROR(IF(Benchmark1[[#This Row],[Comparable '#1 Date Check]]="Pass",Benchmark1[[#This Row],[Comparable '#1 Return]]-Benchmark1[[#This Row],[Benchmark '#1 Return]],"-"),"-")</f>
        <v>-1.1057093668814812E-3</v>
      </c>
      <c r="L389" s="1" t="str">
        <f>IF(COUNTIF(Comp2[Comparable '#2 Dates],Benchmark1[[#This Row],[Benchmark '#1 Dates]])=1,"Pass","Fail")</f>
        <v>Pass</v>
      </c>
      <c r="M389" s="6">
        <f>IF(Benchmark1[[#This Row],[Comparable '#2 Date Check]]="Pass",INDEX(Comp2[Comparable '#2 Price],MATCH(Benchmark1[[#This Row],[Benchmark '#1 Dates]],Comp2[Comparable '#2 Dates],0)),"-")</f>
        <v>36.51</v>
      </c>
      <c r="N389" s="22">
        <f>IF(Benchmark1[[#This Row],[Comparable '#2 Date Check]]="Pass",INDEX(Comp2[Comparable '#2 Return],MATCH(Benchmark1[[#This Row],[Benchmark '#1 Dates]],Comp2[Comparable '#2 Dates],0)),"-")</f>
        <v>-9.8120165785076079E-3</v>
      </c>
      <c r="O389" s="1">
        <f>IFERROR(IF(Benchmark1[[#This Row],[Comparable '#2 Date Check]]="Pass",Benchmark1[[#This Row],[Comparable '#2 Return]]-Benchmark1[[#This Row],[Benchmark '#1 Return]],"-"),"-")</f>
        <v>-1.3668759317279108E-2</v>
      </c>
      <c r="P389" s="1" t="str">
        <f>IF(COUNTIF(Comp3[Comparable '#3 Dates],Benchmark1[[#This Row],[Benchmark '#1 Dates]])=1,"Pass","Fail")</f>
        <v>Pass</v>
      </c>
      <c r="Q389" s="6">
        <f>IF(Benchmark1[[#This Row],[Comparable '#3 Date Check]]="Pass",INDEX(Comp3[Comparable '#3 Price],MATCH(Benchmark1[[#This Row],[Benchmark '#1 Dates]],Comp3[Comparable '#3 Dates],0)),"-")</f>
        <v>162.85</v>
      </c>
      <c r="R389" s="22">
        <f>IF(Benchmark1[[#This Row],[Comparable '#3 Date Check]]="Pass",INDEX(Comp3[Comparable '#3 Return],MATCH(Benchmark1[[#This Row],[Benchmark '#1 Dates]],Comp3[Comparable '#3 Dates],0)),"-")</f>
        <v>5.2331964898583794E-3</v>
      </c>
      <c r="S389" s="1">
        <f>IFERROR(IF(Benchmark1[[#This Row],[Comparable '#3 Date Check]]="Pass",Benchmark1[[#This Row],[Comparable '#3 Return]]-Benchmark1[[#This Row],[Benchmark '#1 Return]],"-"),"-")</f>
        <v>1.3764537510868795E-3</v>
      </c>
    </row>
    <row r="390" spans="1:19">
      <c r="A390" s="103">
        <v>43851</v>
      </c>
      <c r="B390" s="104">
        <v>3320.7908480590531</v>
      </c>
      <c r="C390" s="4">
        <f t="shared" si="6"/>
        <v>-2.6560199081579567E-3</v>
      </c>
      <c r="D390" s="1" t="str">
        <f>IF(COUNTIF(Target1[Target Dates],Benchmark1[[#This Row],[Benchmark '#1 Dates]])=1,"Pass","Fail")</f>
        <v>Pass</v>
      </c>
      <c r="E390" s="6">
        <f>IF(Benchmark1[[#This Row],[Target Date Check]]="Pass",INDEX(Target1[Target Price],MATCH(Benchmark1[[#This Row],[Benchmark '#1 Dates]],Target1[Target Dates],0)),"-")</f>
        <v>20.350000000000001</v>
      </c>
      <c r="F390" s="22">
        <f>IF(Benchmark1[[#This Row],[Target Date Check]]="Pass",INDEX(Target1[Target Return],MATCH(Benchmark1[[#This Row],[Benchmark '#1 Dates]],Target1[Target Dates],0)),"-")</f>
        <v>-2.2352728516938959E-2</v>
      </c>
      <c r="G390" s="1">
        <f>IFERROR(IF(Benchmark1[[#This Row],[Target Date Check]]="Pass",Benchmark1[[#This Row],[Target Return]]-Benchmark1[[#This Row],[Benchmark '#1 Return]],"-"),"-")</f>
        <v>-1.9696708608781002E-2</v>
      </c>
      <c r="H390" s="1" t="str">
        <f>IF(COUNTIF(Comp1[Comparable '#1 Dates],Benchmark1[[#This Row],[Benchmark '#1 Dates]])=1,"Pass","Fail")</f>
        <v>Pass</v>
      </c>
      <c r="I390" s="6">
        <f>IF(Benchmark1[[#This Row],[Comparable '#1 Date Check]]="Pass",INDEX(Comp1[Comparable '#1 Price],MATCH(Benchmark1[[#This Row],[Benchmark '#1 Dates]],Comp1[Comparable '#1 Dates],0)),"-")</f>
        <v>18</v>
      </c>
      <c r="J390" s="22">
        <f>IF(Benchmark1[[#This Row],[Comparable '#1 Date Check]]="Pass",INDEX(Comp1[Comparable '#1 Return],MATCH(Benchmark1[[#This Row],[Benchmark '#1 Dates]],Comp1[Comparable '#1 Dates],0)),"-")</f>
        <v>-1.1049836186584935E-2</v>
      </c>
      <c r="K390" s="1">
        <f>IFERROR(IF(Benchmark1[[#This Row],[Comparable '#1 Date Check]]="Pass",Benchmark1[[#This Row],[Comparable '#1 Return]]-Benchmark1[[#This Row],[Benchmark '#1 Return]],"-"),"-")</f>
        <v>-8.3938162784269778E-3</v>
      </c>
      <c r="L390" s="1" t="str">
        <f>IF(COUNTIF(Comp2[Comparable '#2 Dates],Benchmark1[[#This Row],[Benchmark '#1 Dates]])=1,"Pass","Fail")</f>
        <v>Pass</v>
      </c>
      <c r="M390" s="6">
        <f>IF(Benchmark1[[#This Row],[Comparable '#2 Date Check]]="Pass",INDEX(Comp2[Comparable '#2 Price],MATCH(Benchmark1[[#This Row],[Benchmark '#1 Dates]],Comp2[Comparable '#2 Dates],0)),"-")</f>
        <v>35.97</v>
      </c>
      <c r="N390" s="22">
        <f>IF(Benchmark1[[#This Row],[Comparable '#2 Date Check]]="Pass",INDEX(Comp2[Comparable '#2 Return],MATCH(Benchmark1[[#This Row],[Benchmark '#1 Dates]],Comp2[Comparable '#2 Dates],0)),"-")</f>
        <v>-1.490093796001293E-2</v>
      </c>
      <c r="O390" s="1">
        <f>IFERROR(IF(Benchmark1[[#This Row],[Comparable '#2 Date Check]]="Pass",Benchmark1[[#This Row],[Comparable '#2 Return]]-Benchmark1[[#This Row],[Benchmark '#1 Return]],"-"),"-")</f>
        <v>-1.2244918051854972E-2</v>
      </c>
      <c r="P390" s="1" t="str">
        <f>IF(COUNTIF(Comp3[Comparable '#3 Dates],Benchmark1[[#This Row],[Benchmark '#1 Dates]])=1,"Pass","Fail")</f>
        <v>Pass</v>
      </c>
      <c r="Q390" s="6">
        <f>IF(Benchmark1[[#This Row],[Comparable '#3 Date Check]]="Pass",INDEX(Comp3[Comparable '#3 Price],MATCH(Benchmark1[[#This Row],[Benchmark '#1 Dates]],Comp3[Comparable '#3 Dates],0)),"-")</f>
        <v>163.08000000000001</v>
      </c>
      <c r="R390" s="22">
        <f>IF(Benchmark1[[#This Row],[Comparable '#3 Date Check]]="Pass",INDEX(Comp3[Comparable '#3 Return],MATCH(Benchmark1[[#This Row],[Benchmark '#1 Dates]],Comp3[Comparable '#3 Dates],0)),"-")</f>
        <v>1.4113462288103493E-3</v>
      </c>
      <c r="S390" s="1">
        <f>IFERROR(IF(Benchmark1[[#This Row],[Comparable '#3 Date Check]]="Pass",Benchmark1[[#This Row],[Comparable '#3 Return]]-Benchmark1[[#This Row],[Benchmark '#1 Return]],"-"),"-")</f>
        <v>4.0673661369683058E-3</v>
      </c>
    </row>
    <row r="391" spans="1:19">
      <c r="A391" s="103">
        <v>43852</v>
      </c>
      <c r="B391" s="104">
        <v>3321.7468532716007</v>
      </c>
      <c r="C391" s="4">
        <f t="shared" si="6"/>
        <v>2.8784337014950727E-4</v>
      </c>
      <c r="D391" s="1" t="str">
        <f>IF(COUNTIF(Target1[Target Dates],Benchmark1[[#This Row],[Benchmark '#1 Dates]])=1,"Pass","Fail")</f>
        <v>Pass</v>
      </c>
      <c r="E391" s="6">
        <f>IF(Benchmark1[[#This Row],[Target Date Check]]="Pass",INDEX(Target1[Target Price],MATCH(Benchmark1[[#This Row],[Benchmark '#1 Dates]],Target1[Target Dates],0)),"-")</f>
        <v>20.3</v>
      </c>
      <c r="F391" s="22">
        <f>IF(Benchmark1[[#This Row],[Target Date Check]]="Pass",INDEX(Target1[Target Return],MATCH(Benchmark1[[#This Row],[Benchmark '#1 Dates]],Target1[Target Dates],0)),"-")</f>
        <v>-2.4600258408624229E-3</v>
      </c>
      <c r="G391" s="1">
        <f>IFERROR(IF(Benchmark1[[#This Row],[Target Date Check]]="Pass",Benchmark1[[#This Row],[Target Return]]-Benchmark1[[#This Row],[Benchmark '#1 Return]],"-"),"-")</f>
        <v>-2.7478692110119302E-3</v>
      </c>
      <c r="H391" s="1" t="str">
        <f>IF(COUNTIF(Comp1[Comparable '#1 Dates],Benchmark1[[#This Row],[Benchmark '#1 Dates]])=1,"Pass","Fail")</f>
        <v>Pass</v>
      </c>
      <c r="I391" s="6">
        <f>IF(Benchmark1[[#This Row],[Comparable '#1 Date Check]]="Pass",INDEX(Comp1[Comparable '#1 Price],MATCH(Benchmark1[[#This Row],[Benchmark '#1 Dates]],Comp1[Comparable '#1 Dates],0)),"-")</f>
        <v>17.8</v>
      </c>
      <c r="J391" s="22">
        <f>IF(Benchmark1[[#This Row],[Comparable '#1 Date Check]]="Pass",INDEX(Comp1[Comparable '#1 Return],MATCH(Benchmark1[[#This Row],[Benchmark '#1 Dates]],Comp1[Comparable '#1 Dates],0)),"-")</f>
        <v>-1.1173300598125189E-2</v>
      </c>
      <c r="K391" s="1">
        <f>IFERROR(IF(Benchmark1[[#This Row],[Comparable '#1 Date Check]]="Pass",Benchmark1[[#This Row],[Comparable '#1 Return]]-Benchmark1[[#This Row],[Benchmark '#1 Return]],"-"),"-")</f>
        <v>-1.1461143968274697E-2</v>
      </c>
      <c r="L391" s="1" t="str">
        <f>IF(COUNTIF(Comp2[Comparable '#2 Dates],Benchmark1[[#This Row],[Benchmark '#1 Dates]])=1,"Pass","Fail")</f>
        <v>Pass</v>
      </c>
      <c r="M391" s="6">
        <f>IF(Benchmark1[[#This Row],[Comparable '#2 Date Check]]="Pass",INDEX(Comp2[Comparable '#2 Price],MATCH(Benchmark1[[#This Row],[Benchmark '#1 Dates]],Comp2[Comparable '#2 Dates],0)),"-")</f>
        <v>35.909999999999997</v>
      </c>
      <c r="N391" s="22">
        <f>IF(Benchmark1[[#This Row],[Comparable '#2 Date Check]]="Pass",INDEX(Comp2[Comparable '#2 Return],MATCH(Benchmark1[[#This Row],[Benchmark '#1 Dates]],Comp2[Comparable '#2 Dates],0)),"-")</f>
        <v>-1.6694494695411572E-3</v>
      </c>
      <c r="O391" s="1">
        <f>IFERROR(IF(Benchmark1[[#This Row],[Comparable '#2 Date Check]]="Pass",Benchmark1[[#This Row],[Comparable '#2 Return]]-Benchmark1[[#This Row],[Benchmark '#1 Return]],"-"),"-")</f>
        <v>-1.9572928396906645E-3</v>
      </c>
      <c r="P391" s="1" t="str">
        <f>IF(COUNTIF(Comp3[Comparable '#3 Dates],Benchmark1[[#This Row],[Benchmark '#1 Dates]])=1,"Pass","Fail")</f>
        <v>Pass</v>
      </c>
      <c r="Q391" s="6">
        <f>IF(Benchmark1[[#This Row],[Comparable '#3 Date Check]]="Pass",INDEX(Comp3[Comparable '#3 Price],MATCH(Benchmark1[[#This Row],[Benchmark '#1 Dates]],Comp3[Comparable '#3 Dates],0)),"-")</f>
        <v>163.9</v>
      </c>
      <c r="R391" s="22">
        <f>IF(Benchmark1[[#This Row],[Comparable '#3 Date Check]]="Pass",INDEX(Comp3[Comparable '#3 Return],MATCH(Benchmark1[[#This Row],[Benchmark '#1 Dates]],Comp3[Comparable '#3 Dates],0)),"-")</f>
        <v>5.0156077987312375E-3</v>
      </c>
      <c r="S391" s="1">
        <f>IFERROR(IF(Benchmark1[[#This Row],[Comparable '#3 Date Check]]="Pass",Benchmark1[[#This Row],[Comparable '#3 Return]]-Benchmark1[[#This Row],[Benchmark '#1 Return]],"-"),"-")</f>
        <v>4.7277644285817298E-3</v>
      </c>
    </row>
    <row r="392" spans="1:19">
      <c r="A392" s="103">
        <v>43853</v>
      </c>
      <c r="B392" s="104">
        <v>3325.5427890205528</v>
      </c>
      <c r="C392" s="4">
        <f t="shared" si="6"/>
        <v>1.1421004246354219E-3</v>
      </c>
      <c r="D392" s="1" t="str">
        <f>IF(COUNTIF(Target1[Target Dates],Benchmark1[[#This Row],[Benchmark '#1 Dates]])=1,"Pass","Fail")</f>
        <v>Pass</v>
      </c>
      <c r="E392" s="6">
        <f>IF(Benchmark1[[#This Row],[Target Date Check]]="Pass",INDEX(Target1[Target Price],MATCH(Benchmark1[[#This Row],[Benchmark '#1 Dates]],Target1[Target Dates],0)),"-")</f>
        <v>20.04</v>
      </c>
      <c r="F392" s="22">
        <f>IF(Benchmark1[[#This Row],[Target Date Check]]="Pass",INDEX(Target1[Target Return],MATCH(Benchmark1[[#This Row],[Benchmark '#1 Dates]],Target1[Target Dates],0)),"-")</f>
        <v>-1.2890609831077673E-2</v>
      </c>
      <c r="G392" s="1">
        <f>IFERROR(IF(Benchmark1[[#This Row],[Target Date Check]]="Pass",Benchmark1[[#This Row],[Target Return]]-Benchmark1[[#This Row],[Benchmark '#1 Return]],"-"),"-")</f>
        <v>-1.4032710255713095E-2</v>
      </c>
      <c r="H392" s="1" t="str">
        <f>IF(COUNTIF(Comp1[Comparable '#1 Dates],Benchmark1[[#This Row],[Benchmark '#1 Dates]])=1,"Pass","Fail")</f>
        <v>Pass</v>
      </c>
      <c r="I392" s="6">
        <f>IF(Benchmark1[[#This Row],[Comparable '#1 Date Check]]="Pass",INDEX(Comp1[Comparable '#1 Price],MATCH(Benchmark1[[#This Row],[Benchmark '#1 Dates]],Comp1[Comparable '#1 Dates],0)),"-")</f>
        <v>17.734999999999999</v>
      </c>
      <c r="J392" s="22">
        <f>IF(Benchmark1[[#This Row],[Comparable '#1 Date Check]]="Pass",INDEX(Comp1[Comparable '#1 Return],MATCH(Benchmark1[[#This Row],[Benchmark '#1 Dates]],Comp1[Comparable '#1 Dates],0)),"-")</f>
        <v>-3.6583690724544364E-3</v>
      </c>
      <c r="K392" s="1">
        <f>IFERROR(IF(Benchmark1[[#This Row],[Comparable '#1 Date Check]]="Pass",Benchmark1[[#This Row],[Comparable '#1 Return]]-Benchmark1[[#This Row],[Benchmark '#1 Return]],"-"),"-")</f>
        <v>-4.8004694970898588E-3</v>
      </c>
      <c r="L392" s="1" t="str">
        <f>IF(COUNTIF(Comp2[Comparable '#2 Dates],Benchmark1[[#This Row],[Benchmark '#1 Dates]])=1,"Pass","Fail")</f>
        <v>Pass</v>
      </c>
      <c r="M392" s="6">
        <f>IF(Benchmark1[[#This Row],[Comparable '#2 Date Check]]="Pass",INDEX(Comp2[Comparable '#2 Price],MATCH(Benchmark1[[#This Row],[Benchmark '#1 Dates]],Comp2[Comparable '#2 Dates],0)),"-")</f>
        <v>36.17</v>
      </c>
      <c r="N392" s="22">
        <f>IF(Benchmark1[[#This Row],[Comparable '#2 Date Check]]="Pass",INDEX(Comp2[Comparable '#2 Return],MATCH(Benchmark1[[#This Row],[Benchmark '#1 Dates]],Comp2[Comparable '#2 Dates],0)),"-")</f>
        <v>7.2142377260152176E-3</v>
      </c>
      <c r="O392" s="1">
        <f>IFERROR(IF(Benchmark1[[#This Row],[Comparable '#2 Date Check]]="Pass",Benchmark1[[#This Row],[Comparable '#2 Return]]-Benchmark1[[#This Row],[Benchmark '#1 Return]],"-"),"-")</f>
        <v>6.0721373013797961E-3</v>
      </c>
      <c r="P392" s="1" t="str">
        <f>IF(COUNTIF(Comp3[Comparable '#3 Dates],Benchmark1[[#This Row],[Benchmark '#1 Dates]])=1,"Pass","Fail")</f>
        <v>Pass</v>
      </c>
      <c r="Q392" s="6">
        <f>IF(Benchmark1[[#This Row],[Comparable '#3 Date Check]]="Pass",INDEX(Comp3[Comparable '#3 Price],MATCH(Benchmark1[[#This Row],[Benchmark '#1 Dates]],Comp3[Comparable '#3 Dates],0)),"-")</f>
        <v>164.97</v>
      </c>
      <c r="R392" s="22">
        <f>IF(Benchmark1[[#This Row],[Comparable '#3 Date Check]]="Pass",INDEX(Comp3[Comparable '#3 Return],MATCH(Benchmark1[[#This Row],[Benchmark '#1 Dates]],Comp3[Comparable '#3 Dates],0)),"-")</f>
        <v>6.5071534380490214E-3</v>
      </c>
      <c r="S392" s="1">
        <f>IFERROR(IF(Benchmark1[[#This Row],[Comparable '#3 Date Check]]="Pass",Benchmark1[[#This Row],[Comparable '#3 Return]]-Benchmark1[[#This Row],[Benchmark '#1 Return]],"-"),"-")</f>
        <v>5.3650530134135999E-3</v>
      </c>
    </row>
    <row r="393" spans="1:19">
      <c r="A393" s="103">
        <v>43854</v>
      </c>
      <c r="B393" s="104">
        <v>3295.4734493136125</v>
      </c>
      <c r="C393" s="4">
        <f t="shared" si="6"/>
        <v>-9.0830607737419581E-3</v>
      </c>
      <c r="D393" s="1" t="str">
        <f>IF(COUNTIF(Target1[Target Dates],Benchmark1[[#This Row],[Benchmark '#1 Dates]])=1,"Pass","Fail")</f>
        <v>Pass</v>
      </c>
      <c r="E393" s="6">
        <f>IF(Benchmark1[[#This Row],[Target Date Check]]="Pass",INDEX(Target1[Target Price],MATCH(Benchmark1[[#This Row],[Benchmark '#1 Dates]],Target1[Target Dates],0)),"-")</f>
        <v>19.7</v>
      </c>
      <c r="F393" s="22">
        <f>IF(Benchmark1[[#This Row],[Target Date Check]]="Pass",INDEX(Target1[Target Return],MATCH(Benchmark1[[#This Row],[Benchmark '#1 Dates]],Target1[Target Dates],0)),"-")</f>
        <v>-1.7111640472721231E-2</v>
      </c>
      <c r="G393" s="1">
        <f>IFERROR(IF(Benchmark1[[#This Row],[Target Date Check]]="Pass",Benchmark1[[#This Row],[Target Return]]-Benchmark1[[#This Row],[Benchmark '#1 Return]],"-"),"-")</f>
        <v>-8.028579698979273E-3</v>
      </c>
      <c r="H393" s="1" t="str">
        <f>IF(COUNTIF(Comp1[Comparable '#1 Dates],Benchmark1[[#This Row],[Benchmark '#1 Dates]])=1,"Pass","Fail")</f>
        <v>Pass</v>
      </c>
      <c r="I393" s="6">
        <f>IF(Benchmark1[[#This Row],[Comparable '#1 Date Check]]="Pass",INDEX(Comp1[Comparable '#1 Price],MATCH(Benchmark1[[#This Row],[Benchmark '#1 Dates]],Comp1[Comparable '#1 Dates],0)),"-")</f>
        <v>17.649999999999999</v>
      </c>
      <c r="J393" s="22">
        <f>IF(Benchmark1[[#This Row],[Comparable '#1 Date Check]]="Pass",INDEX(Comp1[Comparable '#1 Return],MATCH(Benchmark1[[#This Row],[Benchmark '#1 Dates]],Comp1[Comparable '#1 Dates],0)),"-")</f>
        <v>-4.8043048462794724E-3</v>
      </c>
      <c r="K393" s="1">
        <f>IFERROR(IF(Benchmark1[[#This Row],[Comparable '#1 Date Check]]="Pass",Benchmark1[[#This Row],[Comparable '#1 Return]]-Benchmark1[[#This Row],[Benchmark '#1 Return]],"-"),"-")</f>
        <v>4.2787559274624857E-3</v>
      </c>
      <c r="L393" s="1" t="str">
        <f>IF(COUNTIF(Comp2[Comparable '#2 Dates],Benchmark1[[#This Row],[Benchmark '#1 Dates]])=1,"Pass","Fail")</f>
        <v>Pass</v>
      </c>
      <c r="M393" s="6">
        <f>IF(Benchmark1[[#This Row],[Comparable '#2 Date Check]]="Pass",INDEX(Comp2[Comparable '#2 Price],MATCH(Benchmark1[[#This Row],[Benchmark '#1 Dates]],Comp2[Comparable '#2 Dates],0)),"-")</f>
        <v>35.04</v>
      </c>
      <c r="N393" s="22">
        <f>IF(Benchmark1[[#This Row],[Comparable '#2 Date Check]]="Pass",INDEX(Comp2[Comparable '#2 Return],MATCH(Benchmark1[[#This Row],[Benchmark '#1 Dates]],Comp2[Comparable '#2 Dates],0)),"-")</f>
        <v>-3.1739779895815945E-2</v>
      </c>
      <c r="O393" s="1">
        <f>IFERROR(IF(Benchmark1[[#This Row],[Comparable '#2 Date Check]]="Pass",Benchmark1[[#This Row],[Comparable '#2 Return]]-Benchmark1[[#This Row],[Benchmark '#1 Return]],"-"),"-")</f>
        <v>-2.2656719122073989E-2</v>
      </c>
      <c r="P393" s="1" t="str">
        <f>IF(COUNTIF(Comp3[Comparable '#3 Dates],Benchmark1[[#This Row],[Benchmark '#1 Dates]])=1,"Pass","Fail")</f>
        <v>Pass</v>
      </c>
      <c r="Q393" s="6">
        <f>IF(Benchmark1[[#This Row],[Comparable '#3 Date Check]]="Pass",INDEX(Comp3[Comparable '#3 Price],MATCH(Benchmark1[[#This Row],[Benchmark '#1 Dates]],Comp3[Comparable '#3 Dates],0)),"-")</f>
        <v>161.37</v>
      </c>
      <c r="R393" s="22">
        <f>IF(Benchmark1[[#This Row],[Comparable '#3 Date Check]]="Pass",INDEX(Comp3[Comparable '#3 Return],MATCH(Benchmark1[[#This Row],[Benchmark '#1 Dates]],Comp3[Comparable '#3 Dates],0)),"-")</f>
        <v>-2.2063774234572082E-2</v>
      </c>
      <c r="S393" s="1">
        <f>IFERROR(IF(Benchmark1[[#This Row],[Comparable '#3 Date Check]]="Pass",Benchmark1[[#This Row],[Comparable '#3 Return]]-Benchmark1[[#This Row],[Benchmark '#1 Return]],"-"),"-")</f>
        <v>-1.2980713460830124E-2</v>
      </c>
    </row>
    <row r="394" spans="1:19">
      <c r="A394" s="103">
        <v>43857</v>
      </c>
      <c r="B394" s="104">
        <v>3243.6282038311633</v>
      </c>
      <c r="C394" s="4">
        <f t="shared" si="6"/>
        <v>-1.5857325554038949E-2</v>
      </c>
      <c r="D394" s="1" t="str">
        <f>IF(COUNTIF(Target1[Target Dates],Benchmark1[[#This Row],[Benchmark '#1 Dates]])=1,"Pass","Fail")</f>
        <v>Pass</v>
      </c>
      <c r="E394" s="6">
        <f>IF(Benchmark1[[#This Row],[Target Date Check]]="Pass",INDEX(Target1[Target Price],MATCH(Benchmark1[[#This Row],[Benchmark '#1 Dates]],Target1[Target Dates],0)),"-")</f>
        <v>19.579999999999998</v>
      </c>
      <c r="F394" s="22">
        <f>IF(Benchmark1[[#This Row],[Target Date Check]]="Pass",INDEX(Target1[Target Return],MATCH(Benchmark1[[#This Row],[Benchmark '#1 Dates]],Target1[Target Dates],0)),"-")</f>
        <v>-6.1099986415785847E-3</v>
      </c>
      <c r="G394" s="1">
        <f>IFERROR(IF(Benchmark1[[#This Row],[Target Date Check]]="Pass",Benchmark1[[#This Row],[Target Return]]-Benchmark1[[#This Row],[Benchmark '#1 Return]],"-"),"-")</f>
        <v>9.7473269124603648E-3</v>
      </c>
      <c r="H394" s="1" t="str">
        <f>IF(COUNTIF(Comp1[Comparable '#1 Dates],Benchmark1[[#This Row],[Benchmark '#1 Dates]])=1,"Pass","Fail")</f>
        <v>Pass</v>
      </c>
      <c r="I394" s="6">
        <f>IF(Benchmark1[[#This Row],[Comparable '#1 Date Check]]="Pass",INDEX(Comp1[Comparable '#1 Price],MATCH(Benchmark1[[#This Row],[Benchmark '#1 Dates]],Comp1[Comparable '#1 Dates],0)),"-")</f>
        <v>17.7</v>
      </c>
      <c r="J394" s="22">
        <f>IF(Benchmark1[[#This Row],[Comparable '#1 Date Check]]="Pass",INDEX(Comp1[Comparable '#1 Return],MATCH(Benchmark1[[#This Row],[Benchmark '#1 Dates]],Comp1[Comparable '#1 Dates],0)),"-")</f>
        <v>2.828856200477623E-3</v>
      </c>
      <c r="K394" s="1">
        <f>IFERROR(IF(Benchmark1[[#This Row],[Comparable '#1 Date Check]]="Pass",Benchmark1[[#This Row],[Comparable '#1 Return]]-Benchmark1[[#This Row],[Benchmark '#1 Return]],"-"),"-")</f>
        <v>1.868618175451657E-2</v>
      </c>
      <c r="L394" s="1" t="str">
        <f>IF(COUNTIF(Comp2[Comparable '#2 Dates],Benchmark1[[#This Row],[Benchmark '#1 Dates]])=1,"Pass","Fail")</f>
        <v>Pass</v>
      </c>
      <c r="M394" s="6">
        <f>IF(Benchmark1[[#This Row],[Comparable '#2 Date Check]]="Pass",INDEX(Comp2[Comparable '#2 Price],MATCH(Benchmark1[[#This Row],[Benchmark '#1 Dates]],Comp2[Comparable '#2 Dates],0)),"-")</f>
        <v>35.590000000000003</v>
      </c>
      <c r="N394" s="22">
        <f>IF(Benchmark1[[#This Row],[Comparable '#2 Date Check]]="Pass",INDEX(Comp2[Comparable '#2 Return],MATCH(Benchmark1[[#This Row],[Benchmark '#1 Dates]],Comp2[Comparable '#2 Dates],0)),"-")</f>
        <v>1.5574433453910689E-2</v>
      </c>
      <c r="O394" s="1">
        <f>IFERROR(IF(Benchmark1[[#This Row],[Comparable '#2 Date Check]]="Pass",Benchmark1[[#This Row],[Comparable '#2 Return]]-Benchmark1[[#This Row],[Benchmark '#1 Return]],"-"),"-")</f>
        <v>3.1431759007949638E-2</v>
      </c>
      <c r="P394" s="1" t="str">
        <f>IF(COUNTIF(Comp3[Comparable '#3 Dates],Benchmark1[[#This Row],[Benchmark '#1 Dates]])=1,"Pass","Fail")</f>
        <v>Pass</v>
      </c>
      <c r="Q394" s="6">
        <f>IF(Benchmark1[[#This Row],[Comparable '#3 Date Check]]="Pass",INDEX(Comp3[Comparable '#3 Price],MATCH(Benchmark1[[#This Row],[Benchmark '#1 Dates]],Comp3[Comparable '#3 Dates],0)),"-")</f>
        <v>164.04</v>
      </c>
      <c r="R394" s="22">
        <f>IF(Benchmark1[[#This Row],[Comparable '#3 Date Check]]="Pass",INDEX(Comp3[Comparable '#3 Return],MATCH(Benchmark1[[#This Row],[Benchmark '#1 Dates]],Comp3[Comparable '#3 Dates],0)),"-")</f>
        <v>1.6410435570597588E-2</v>
      </c>
      <c r="S394" s="1">
        <f>IFERROR(IF(Benchmark1[[#This Row],[Comparable '#3 Date Check]]="Pass",Benchmark1[[#This Row],[Comparable '#3 Return]]-Benchmark1[[#This Row],[Benchmark '#1 Return]],"-"),"-")</f>
        <v>3.2267761124636536E-2</v>
      </c>
    </row>
    <row r="395" spans="1:19">
      <c r="A395" s="103">
        <v>43858</v>
      </c>
      <c r="B395" s="104">
        <v>3276.2434398222117</v>
      </c>
      <c r="C395" s="4">
        <f t="shared" si="6"/>
        <v>1.0004954034743494E-2</v>
      </c>
      <c r="D395" s="1" t="str">
        <f>IF(COUNTIF(Target1[Target Dates],Benchmark1[[#This Row],[Benchmark '#1 Dates]])=1,"Pass","Fail")</f>
        <v>Pass</v>
      </c>
      <c r="E395" s="6">
        <f>IF(Benchmark1[[#This Row],[Target Date Check]]="Pass",INDEX(Target1[Target Price],MATCH(Benchmark1[[#This Row],[Benchmark '#1 Dates]],Target1[Target Dates],0)),"-")</f>
        <v>16.62</v>
      </c>
      <c r="F395" s="22">
        <f>IF(Benchmark1[[#This Row],[Target Date Check]]="Pass",INDEX(Target1[Target Return],MATCH(Benchmark1[[#This Row],[Benchmark '#1 Dates]],Target1[Target Dates],0)),"-")</f>
        <v>-0.16390184767506202</v>
      </c>
      <c r="G395" s="1">
        <f>IFERROR(IF(Benchmark1[[#This Row],[Target Date Check]]="Pass",Benchmark1[[#This Row],[Target Return]]-Benchmark1[[#This Row],[Benchmark '#1 Return]],"-"),"-")</f>
        <v>-0.17390680170980552</v>
      </c>
      <c r="H395" s="1" t="str">
        <f>IF(COUNTIF(Comp1[Comparable '#1 Dates],Benchmark1[[#This Row],[Benchmark '#1 Dates]])=1,"Pass","Fail")</f>
        <v>Pass</v>
      </c>
      <c r="I395" s="6">
        <f>IF(Benchmark1[[#This Row],[Comparable '#1 Date Check]]="Pass",INDEX(Comp1[Comparable '#1 Price],MATCH(Benchmark1[[#This Row],[Benchmark '#1 Dates]],Comp1[Comparable '#1 Dates],0)),"-")</f>
        <v>20.48</v>
      </c>
      <c r="J395" s="22">
        <f>IF(Benchmark1[[#This Row],[Comparable '#1 Date Check]]="Pass",INDEX(Comp1[Comparable '#1 Return],MATCH(Benchmark1[[#This Row],[Benchmark '#1 Dates]],Comp1[Comparable '#1 Dates],0)),"-")</f>
        <v>0.14588416059152362</v>
      </c>
      <c r="K395" s="1">
        <f>IFERROR(IF(Benchmark1[[#This Row],[Comparable '#1 Date Check]]="Pass",Benchmark1[[#This Row],[Comparable '#1 Return]]-Benchmark1[[#This Row],[Benchmark '#1 Return]],"-"),"-")</f>
        <v>0.13587920655678012</v>
      </c>
      <c r="L395" s="1" t="str">
        <f>IF(COUNTIF(Comp2[Comparable '#2 Dates],Benchmark1[[#This Row],[Benchmark '#1 Dates]])=1,"Pass","Fail")</f>
        <v>Pass</v>
      </c>
      <c r="M395" s="6">
        <f>IF(Benchmark1[[#This Row],[Comparable '#2 Date Check]]="Pass",INDEX(Comp2[Comparable '#2 Price],MATCH(Benchmark1[[#This Row],[Benchmark '#1 Dates]],Comp2[Comparable '#2 Dates],0)),"-")</f>
        <v>35.700000000000003</v>
      </c>
      <c r="N395" s="22">
        <f>IF(Benchmark1[[#This Row],[Comparable '#2 Date Check]]="Pass",INDEX(Comp2[Comparable '#2 Return],MATCH(Benchmark1[[#This Row],[Benchmark '#1 Dates]],Comp2[Comparable '#2 Dates],0)),"-")</f>
        <v>3.0859892634919608E-3</v>
      </c>
      <c r="O395" s="1">
        <f>IFERROR(IF(Benchmark1[[#This Row],[Comparable '#2 Date Check]]="Pass",Benchmark1[[#This Row],[Comparable '#2 Return]]-Benchmark1[[#This Row],[Benchmark '#1 Return]],"-"),"-")</f>
        <v>-6.9189647712515337E-3</v>
      </c>
      <c r="P395" s="1" t="str">
        <f>IF(COUNTIF(Comp3[Comparable '#3 Dates],Benchmark1[[#This Row],[Benchmark '#1 Dates]])=1,"Pass","Fail")</f>
        <v>Pass</v>
      </c>
      <c r="Q395" s="6">
        <f>IF(Benchmark1[[#This Row],[Comparable '#3 Date Check]]="Pass",INDEX(Comp3[Comparable '#3 Price],MATCH(Benchmark1[[#This Row],[Benchmark '#1 Dates]],Comp3[Comparable '#3 Dates],0)),"-")</f>
        <v>165.4</v>
      </c>
      <c r="R395" s="22">
        <f>IF(Benchmark1[[#This Row],[Comparable '#3 Date Check]]="Pass",INDEX(Comp3[Comparable '#3 Return],MATCH(Benchmark1[[#This Row],[Benchmark '#1 Dates]],Comp3[Comparable '#3 Dates],0)),"-")</f>
        <v>8.2564820657324584E-3</v>
      </c>
      <c r="S395" s="1">
        <f>IFERROR(IF(Benchmark1[[#This Row],[Comparable '#3 Date Check]]="Pass",Benchmark1[[#This Row],[Comparable '#3 Return]]-Benchmark1[[#This Row],[Benchmark '#1 Return]],"-"),"-")</f>
        <v>-1.748471969011036E-3</v>
      </c>
    </row>
    <row r="396" spans="1:19">
      <c r="A396" s="103">
        <v>43859</v>
      </c>
      <c r="B396" s="104">
        <v>3273.4026027104387</v>
      </c>
      <c r="C396" s="4">
        <f t="shared" si="6"/>
        <v>-8.6747811148062831E-4</v>
      </c>
      <c r="D396" s="1" t="str">
        <f>IF(COUNTIF(Target1[Target Dates],Benchmark1[[#This Row],[Benchmark '#1 Dates]])=1,"Pass","Fail")</f>
        <v>Pass</v>
      </c>
      <c r="E396" s="6">
        <f>IF(Benchmark1[[#This Row],[Target Date Check]]="Pass",INDEX(Target1[Target Price],MATCH(Benchmark1[[#This Row],[Benchmark '#1 Dates]],Target1[Target Dates],0)),"-")</f>
        <v>16.3</v>
      </c>
      <c r="F396" s="22">
        <f>IF(Benchmark1[[#This Row],[Target Date Check]]="Pass",INDEX(Target1[Target Return],MATCH(Benchmark1[[#This Row],[Benchmark '#1 Dates]],Target1[Target Dates],0)),"-")</f>
        <v>-1.9441681614585496E-2</v>
      </c>
      <c r="G396" s="1">
        <f>IFERROR(IF(Benchmark1[[#This Row],[Target Date Check]]="Pass",Benchmark1[[#This Row],[Target Return]]-Benchmark1[[#This Row],[Benchmark '#1 Return]],"-"),"-")</f>
        <v>-1.8574203503104868E-2</v>
      </c>
      <c r="H396" s="1" t="str">
        <f>IF(COUNTIF(Comp1[Comparable '#1 Dates],Benchmark1[[#This Row],[Benchmark '#1 Dates]])=1,"Pass","Fail")</f>
        <v>Pass</v>
      </c>
      <c r="I396" s="6">
        <f>IF(Benchmark1[[#This Row],[Comparable '#1 Date Check]]="Pass",INDEX(Comp1[Comparable '#1 Price],MATCH(Benchmark1[[#This Row],[Benchmark '#1 Dates]],Comp1[Comparable '#1 Dates],0)),"-")</f>
        <v>21.14</v>
      </c>
      <c r="J396" s="22">
        <f>IF(Benchmark1[[#This Row],[Comparable '#1 Date Check]]="Pass",INDEX(Comp1[Comparable '#1 Return],MATCH(Benchmark1[[#This Row],[Benchmark '#1 Dates]],Comp1[Comparable '#1 Dates],0)),"-")</f>
        <v>3.1718180270784539E-2</v>
      </c>
      <c r="K396" s="1">
        <f>IFERROR(IF(Benchmark1[[#This Row],[Comparable '#1 Date Check]]="Pass",Benchmark1[[#This Row],[Comparable '#1 Return]]-Benchmark1[[#This Row],[Benchmark '#1 Return]],"-"),"-")</f>
        <v>3.2585658382265167E-2</v>
      </c>
      <c r="L396" s="1" t="str">
        <f>IF(COUNTIF(Comp2[Comparable '#2 Dates],Benchmark1[[#This Row],[Benchmark '#1 Dates]])=1,"Pass","Fail")</f>
        <v>Pass</v>
      </c>
      <c r="M396" s="6">
        <f>IF(Benchmark1[[#This Row],[Comparable '#2 Date Check]]="Pass",INDEX(Comp2[Comparable '#2 Price],MATCH(Benchmark1[[#This Row],[Benchmark '#1 Dates]],Comp2[Comparable '#2 Dates],0)),"-")</f>
        <v>35.35</v>
      </c>
      <c r="N396" s="22">
        <f>IF(Benchmark1[[#This Row],[Comparable '#2 Date Check]]="Pass",INDEX(Comp2[Comparable '#2 Return],MATCH(Benchmark1[[#This Row],[Benchmark '#1 Dates]],Comp2[Comparable '#2 Dates],0)),"-")</f>
        <v>-9.8522964430117071E-3</v>
      </c>
      <c r="O396" s="1">
        <f>IFERROR(IF(Benchmark1[[#This Row],[Comparable '#2 Date Check]]="Pass",Benchmark1[[#This Row],[Comparable '#2 Return]]-Benchmark1[[#This Row],[Benchmark '#1 Return]],"-"),"-")</f>
        <v>-8.9848183315310789E-3</v>
      </c>
      <c r="P396" s="1" t="str">
        <f>IF(COUNTIF(Comp3[Comparable '#3 Dates],Benchmark1[[#This Row],[Benchmark '#1 Dates]])=1,"Pass","Fail")</f>
        <v>Pass</v>
      </c>
      <c r="Q396" s="6">
        <f>IF(Benchmark1[[#This Row],[Comparable '#3 Date Check]]="Pass",INDEX(Comp3[Comparable '#3 Price],MATCH(Benchmark1[[#This Row],[Benchmark '#1 Dates]],Comp3[Comparable '#3 Dates],0)),"-")</f>
        <v>167.29</v>
      </c>
      <c r="R396" s="22">
        <f>IF(Benchmark1[[#This Row],[Comparable '#3 Date Check]]="Pass",INDEX(Comp3[Comparable '#3 Return],MATCH(Benchmark1[[#This Row],[Benchmark '#1 Dates]],Comp3[Comparable '#3 Dates],0)),"-")</f>
        <v>1.1362050753598373E-2</v>
      </c>
      <c r="S396" s="1">
        <f>IFERROR(IF(Benchmark1[[#This Row],[Comparable '#3 Date Check]]="Pass",Benchmark1[[#This Row],[Comparable '#3 Return]]-Benchmark1[[#This Row],[Benchmark '#1 Return]],"-"),"-")</f>
        <v>1.2229528865079001E-2</v>
      </c>
    </row>
    <row r="397" spans="1:19">
      <c r="A397" s="103">
        <v>43860</v>
      </c>
      <c r="B397" s="104">
        <v>3283.6590434890768</v>
      </c>
      <c r="C397" s="4">
        <f t="shared" si="6"/>
        <v>3.1283674599253612E-3</v>
      </c>
      <c r="D397" s="1" t="str">
        <f>IF(COUNTIF(Target1[Target Dates],Benchmark1[[#This Row],[Benchmark '#1 Dates]])=1,"Pass","Fail")</f>
        <v>Pass</v>
      </c>
      <c r="E397" s="6">
        <f>IF(Benchmark1[[#This Row],[Target Date Check]]="Pass",INDEX(Target1[Target Price],MATCH(Benchmark1[[#This Row],[Benchmark '#1 Dates]],Target1[Target Dates],0)),"-")</f>
        <v>16.32</v>
      </c>
      <c r="F397" s="22">
        <f>IF(Benchmark1[[#This Row],[Target Date Check]]="Pass",INDEX(Target1[Target Return],MATCH(Benchmark1[[#This Row],[Benchmark '#1 Dates]],Target1[Target Dates],0)),"-")</f>
        <v>1.2262417232442935E-3</v>
      </c>
      <c r="G397" s="1">
        <f>IFERROR(IF(Benchmark1[[#This Row],[Target Date Check]]="Pass",Benchmark1[[#This Row],[Target Return]]-Benchmark1[[#This Row],[Benchmark '#1 Return]],"-"),"-")</f>
        <v>-1.9021257366810677E-3</v>
      </c>
      <c r="H397" s="1" t="str">
        <f>IF(COUNTIF(Comp1[Comparable '#1 Dates],Benchmark1[[#This Row],[Benchmark '#1 Dates]])=1,"Pass","Fail")</f>
        <v>Pass</v>
      </c>
      <c r="I397" s="6">
        <f>IF(Benchmark1[[#This Row],[Comparable '#1 Date Check]]="Pass",INDEX(Comp1[Comparable '#1 Price],MATCH(Benchmark1[[#This Row],[Benchmark '#1 Dates]],Comp1[Comparable '#1 Dates],0)),"-")</f>
        <v>21.62</v>
      </c>
      <c r="J397" s="22">
        <f>IF(Benchmark1[[#This Row],[Comparable '#1 Date Check]]="Pass",INDEX(Comp1[Comparable '#1 Return],MATCH(Benchmark1[[#This Row],[Benchmark '#1 Dates]],Comp1[Comparable '#1 Dates],0)),"-")</f>
        <v>2.2451831768970663E-2</v>
      </c>
      <c r="K397" s="1">
        <f>IFERROR(IF(Benchmark1[[#This Row],[Comparable '#1 Date Check]]="Pass",Benchmark1[[#This Row],[Comparable '#1 Return]]-Benchmark1[[#This Row],[Benchmark '#1 Return]],"-"),"-")</f>
        <v>1.9323464309045302E-2</v>
      </c>
      <c r="L397" s="1" t="str">
        <f>IF(COUNTIF(Comp2[Comparable '#2 Dates],Benchmark1[[#This Row],[Benchmark '#1 Dates]])=1,"Pass","Fail")</f>
        <v>Pass</v>
      </c>
      <c r="M397" s="6">
        <f>IF(Benchmark1[[#This Row],[Comparable '#2 Date Check]]="Pass",INDEX(Comp2[Comparable '#2 Price],MATCH(Benchmark1[[#This Row],[Benchmark '#1 Dates]],Comp2[Comparable '#2 Dates],0)),"-")</f>
        <v>35.450000000000003</v>
      </c>
      <c r="N397" s="22">
        <f>IF(Benchmark1[[#This Row],[Comparable '#2 Date Check]]="Pass",INDEX(Comp2[Comparable '#2 Return],MATCH(Benchmark1[[#This Row],[Benchmark '#1 Dates]],Comp2[Comparable '#2 Dates],0)),"-")</f>
        <v>2.8248606355548407E-3</v>
      </c>
      <c r="O397" s="1">
        <f>IFERROR(IF(Benchmark1[[#This Row],[Comparable '#2 Date Check]]="Pass",Benchmark1[[#This Row],[Comparable '#2 Return]]-Benchmark1[[#This Row],[Benchmark '#1 Return]],"-"),"-")</f>
        <v>-3.0350682437052046E-4</v>
      </c>
      <c r="P397" s="1" t="str">
        <f>IF(COUNTIF(Comp3[Comparable '#3 Dates],Benchmark1[[#This Row],[Benchmark '#1 Dates]])=1,"Pass","Fail")</f>
        <v>Pass</v>
      </c>
      <c r="Q397" s="6">
        <f>IF(Benchmark1[[#This Row],[Comparable '#3 Date Check]]="Pass",INDEX(Comp3[Comparable '#3 Price],MATCH(Benchmark1[[#This Row],[Benchmark '#1 Dates]],Comp3[Comparable '#3 Dates],0)),"-")</f>
        <v>166.9</v>
      </c>
      <c r="R397" s="22">
        <f>IF(Benchmark1[[#This Row],[Comparable '#3 Date Check]]="Pass",INDEX(Comp3[Comparable '#3 Return],MATCH(Benchmark1[[#This Row],[Benchmark '#1 Dates]],Comp3[Comparable '#3 Dates],0)),"-")</f>
        <v>-2.3340026753998705E-3</v>
      </c>
      <c r="S397" s="1">
        <f>IFERROR(IF(Benchmark1[[#This Row],[Comparable '#3 Date Check]]="Pass",Benchmark1[[#This Row],[Comparable '#3 Return]]-Benchmark1[[#This Row],[Benchmark '#1 Return]],"-"),"-")</f>
        <v>-5.4623701353252313E-3</v>
      </c>
    </row>
    <row r="398" spans="1:19">
      <c r="A398" s="103">
        <v>43861</v>
      </c>
      <c r="B398" s="104">
        <v>3225.5163164640862</v>
      </c>
      <c r="C398" s="4">
        <f t="shared" si="6"/>
        <v>-1.7865327096653776E-2</v>
      </c>
      <c r="D398" s="1" t="str">
        <f>IF(COUNTIF(Target1[Target Dates],Benchmark1[[#This Row],[Benchmark '#1 Dates]])=1,"Pass","Fail")</f>
        <v>Pass</v>
      </c>
      <c r="E398" s="6">
        <f>IF(Benchmark1[[#This Row],[Target Date Check]]="Pass",INDEX(Target1[Target Price],MATCH(Benchmark1[[#This Row],[Benchmark '#1 Dates]],Target1[Target Dates],0)),"-")</f>
        <v>16.14</v>
      </c>
      <c r="F398" s="22">
        <f>IF(Benchmark1[[#This Row],[Target Date Check]]="Pass",INDEX(Target1[Target Return],MATCH(Benchmark1[[#This Row],[Benchmark '#1 Dates]],Target1[Target Dates],0)),"-")</f>
        <v>-1.1090686694158173E-2</v>
      </c>
      <c r="G398" s="1">
        <f>IFERROR(IF(Benchmark1[[#This Row],[Target Date Check]]="Pass",Benchmark1[[#This Row],[Target Return]]-Benchmark1[[#This Row],[Benchmark '#1 Return]],"-"),"-")</f>
        <v>6.774640402495603E-3</v>
      </c>
      <c r="H398" s="1" t="str">
        <f>IF(COUNTIF(Comp1[Comparable '#1 Dates],Benchmark1[[#This Row],[Benchmark '#1 Dates]])=1,"Pass","Fail")</f>
        <v>Pass</v>
      </c>
      <c r="I398" s="6">
        <f>IF(Benchmark1[[#This Row],[Comparable '#1 Date Check]]="Pass",INDEX(Comp1[Comparable '#1 Price],MATCH(Benchmark1[[#This Row],[Benchmark '#1 Dates]],Comp1[Comparable '#1 Dates],0)),"-")</f>
        <v>20.84</v>
      </c>
      <c r="J398" s="22">
        <f>IF(Benchmark1[[#This Row],[Comparable '#1 Date Check]]="Pass",INDEX(Comp1[Comparable '#1 Return],MATCH(Benchmark1[[#This Row],[Benchmark '#1 Dates]],Comp1[Comparable '#1 Dates],0)),"-")</f>
        <v>-3.6744595325896079E-2</v>
      </c>
      <c r="K398" s="1">
        <f>IFERROR(IF(Benchmark1[[#This Row],[Comparable '#1 Date Check]]="Pass",Benchmark1[[#This Row],[Comparable '#1 Return]]-Benchmark1[[#This Row],[Benchmark '#1 Return]],"-"),"-")</f>
        <v>-1.8879268229242303E-2</v>
      </c>
      <c r="L398" s="1" t="str">
        <f>IF(COUNTIF(Comp2[Comparable '#2 Dates],Benchmark1[[#This Row],[Benchmark '#1 Dates]])=1,"Pass","Fail")</f>
        <v>Pass</v>
      </c>
      <c r="M398" s="6">
        <f>IF(Benchmark1[[#This Row],[Comparable '#2 Date Check]]="Pass",INDEX(Comp2[Comparable '#2 Price],MATCH(Benchmark1[[#This Row],[Benchmark '#1 Dates]],Comp2[Comparable '#2 Dates],0)),"-")</f>
        <v>34.51</v>
      </c>
      <c r="N398" s="22">
        <f>IF(Benchmark1[[#This Row],[Comparable '#2 Date Check]]="Pass",INDEX(Comp2[Comparable '#2 Return],MATCH(Benchmark1[[#This Row],[Benchmark '#1 Dates]],Comp2[Comparable '#2 Dates],0)),"-")</f>
        <v>-2.687411586822458E-2</v>
      </c>
      <c r="O398" s="1">
        <f>IFERROR(IF(Benchmark1[[#This Row],[Comparable '#2 Date Check]]="Pass",Benchmark1[[#This Row],[Comparable '#2 Return]]-Benchmark1[[#This Row],[Benchmark '#1 Return]],"-"),"-")</f>
        <v>-9.008788771570804E-3</v>
      </c>
      <c r="P398" s="1" t="str">
        <f>IF(COUNTIF(Comp3[Comparable '#3 Dates],Benchmark1[[#This Row],[Benchmark '#1 Dates]])=1,"Pass","Fail")</f>
        <v>Pass</v>
      </c>
      <c r="Q398" s="6">
        <f>IF(Benchmark1[[#This Row],[Comparable '#3 Date Check]]="Pass",INDEX(Comp3[Comparable '#3 Price],MATCH(Benchmark1[[#This Row],[Benchmark '#1 Dates]],Comp3[Comparable '#3 Dates],0)),"-")</f>
        <v>162.29</v>
      </c>
      <c r="R398" s="22">
        <f>IF(Benchmark1[[#This Row],[Comparable '#3 Date Check]]="Pass",INDEX(Comp3[Comparable '#3 Return],MATCH(Benchmark1[[#This Row],[Benchmark '#1 Dates]],Comp3[Comparable '#3 Dates],0)),"-")</f>
        <v>-2.8009972339998839E-2</v>
      </c>
      <c r="S398" s="1">
        <f>IFERROR(IF(Benchmark1[[#This Row],[Comparable '#3 Date Check]]="Pass",Benchmark1[[#This Row],[Comparable '#3 Return]]-Benchmark1[[#This Row],[Benchmark '#1 Return]],"-"),"-")</f>
        <v>-1.0144645243345064E-2</v>
      </c>
    </row>
    <row r="399" spans="1:19">
      <c r="A399" s="103">
        <v>43864</v>
      </c>
      <c r="B399" s="104">
        <v>3248.924997360969</v>
      </c>
      <c r="C399" s="4">
        <f t="shared" si="6"/>
        <v>7.2311360205936249E-3</v>
      </c>
      <c r="D399" s="1" t="str">
        <f>IF(COUNTIF(Target1[Target Dates],Benchmark1[[#This Row],[Benchmark '#1 Dates]])=1,"Pass","Fail")</f>
        <v>Pass</v>
      </c>
      <c r="E399" s="6">
        <f>IF(Benchmark1[[#This Row],[Target Date Check]]="Pass",INDEX(Target1[Target Price],MATCH(Benchmark1[[#This Row],[Benchmark '#1 Dates]],Target1[Target Dates],0)),"-")</f>
        <v>15.99</v>
      </c>
      <c r="F399" s="22">
        <f>IF(Benchmark1[[#This Row],[Target Date Check]]="Pass",INDEX(Target1[Target Return],MATCH(Benchmark1[[#This Row],[Benchmark '#1 Dates]],Target1[Target Dates],0)),"-")</f>
        <v>-9.3371359959398496E-3</v>
      </c>
      <c r="G399" s="1">
        <f>IFERROR(IF(Benchmark1[[#This Row],[Target Date Check]]="Pass",Benchmark1[[#This Row],[Target Return]]-Benchmark1[[#This Row],[Benchmark '#1 Return]],"-"),"-")</f>
        <v>-1.6568272016533474E-2</v>
      </c>
      <c r="H399" s="1" t="str">
        <f>IF(COUNTIF(Comp1[Comparable '#1 Dates],Benchmark1[[#This Row],[Benchmark '#1 Dates]])=1,"Pass","Fail")</f>
        <v>Pass</v>
      </c>
      <c r="I399" s="6">
        <f>IF(Benchmark1[[#This Row],[Comparable '#1 Date Check]]="Pass",INDEX(Comp1[Comparable '#1 Price],MATCH(Benchmark1[[#This Row],[Benchmark '#1 Dates]],Comp1[Comparable '#1 Dates],0)),"-")</f>
        <v>20.385000000000002</v>
      </c>
      <c r="J399" s="22">
        <f>IF(Benchmark1[[#This Row],[Comparable '#1 Date Check]]="Pass",INDEX(Comp1[Comparable '#1 Return],MATCH(Benchmark1[[#This Row],[Benchmark '#1 Dates]],Comp1[Comparable '#1 Dates],0)),"-")</f>
        <v>-2.207488061394941E-2</v>
      </c>
      <c r="K399" s="1">
        <f>IFERROR(IF(Benchmark1[[#This Row],[Comparable '#1 Date Check]]="Pass",Benchmark1[[#This Row],[Comparable '#1 Return]]-Benchmark1[[#This Row],[Benchmark '#1 Return]],"-"),"-")</f>
        <v>-2.9306016634543033E-2</v>
      </c>
      <c r="L399" s="1" t="str">
        <f>IF(COUNTIF(Comp2[Comparable '#2 Dates],Benchmark1[[#This Row],[Benchmark '#1 Dates]])=1,"Pass","Fail")</f>
        <v>Pass</v>
      </c>
      <c r="M399" s="6">
        <f>IF(Benchmark1[[#This Row],[Comparable '#2 Date Check]]="Pass",INDEX(Comp2[Comparable '#2 Price],MATCH(Benchmark1[[#This Row],[Benchmark '#1 Dates]],Comp2[Comparable '#2 Dates],0)),"-")</f>
        <v>35.07</v>
      </c>
      <c r="N399" s="22">
        <f>IF(Benchmark1[[#This Row],[Comparable '#2 Date Check]]="Pass",INDEX(Comp2[Comparable '#2 Return],MATCH(Benchmark1[[#This Row],[Benchmark '#1 Dates]],Comp2[Comparable '#2 Dates],0)),"-")</f>
        <v>1.6096927042174799E-2</v>
      </c>
      <c r="O399" s="1">
        <f>IFERROR(IF(Benchmark1[[#This Row],[Comparable '#2 Date Check]]="Pass",Benchmark1[[#This Row],[Comparable '#2 Return]]-Benchmark1[[#This Row],[Benchmark '#1 Return]],"-"),"-")</f>
        <v>8.865791021581174E-3</v>
      </c>
      <c r="P399" s="1" t="str">
        <f>IF(COUNTIF(Comp3[Comparable '#3 Dates],Benchmark1[[#This Row],[Benchmark '#1 Dates]])=1,"Pass","Fail")</f>
        <v>Pass</v>
      </c>
      <c r="Q399" s="6">
        <f>IF(Benchmark1[[#This Row],[Comparable '#3 Date Check]]="Pass",INDEX(Comp3[Comparable '#3 Price],MATCH(Benchmark1[[#This Row],[Benchmark '#1 Dates]],Comp3[Comparable '#3 Dates],0)),"-")</f>
        <v>160.38</v>
      </c>
      <c r="R399" s="22">
        <f>IF(Benchmark1[[#This Row],[Comparable '#3 Date Check]]="Pass",INDEX(Comp3[Comparable '#3 Return],MATCH(Benchmark1[[#This Row],[Benchmark '#1 Dates]],Comp3[Comparable '#3 Dates],0)),"-")</f>
        <v>-1.1838858948907962E-2</v>
      </c>
      <c r="S399" s="1">
        <f>IFERROR(IF(Benchmark1[[#This Row],[Comparable '#3 Date Check]]="Pass",Benchmark1[[#This Row],[Comparable '#3 Return]]-Benchmark1[[#This Row],[Benchmark '#1 Return]],"-"),"-")</f>
        <v>-1.9069994969501586E-2</v>
      </c>
    </row>
    <row r="400" spans="1:19">
      <c r="A400" s="103">
        <v>43865</v>
      </c>
      <c r="B400" s="104">
        <v>3297.5882162895978</v>
      </c>
      <c r="C400" s="4">
        <f t="shared" si="6"/>
        <v>1.4867186145097199E-2</v>
      </c>
      <c r="D400" s="1" t="str">
        <f>IF(COUNTIF(Target1[Target Dates],Benchmark1[[#This Row],[Benchmark '#1 Dates]])=1,"Pass","Fail")</f>
        <v>Pass</v>
      </c>
      <c r="E400" s="6">
        <f>IF(Benchmark1[[#This Row],[Target Date Check]]="Pass",INDEX(Target1[Target Price],MATCH(Benchmark1[[#This Row],[Benchmark '#1 Dates]],Target1[Target Dates],0)),"-")</f>
        <v>16.350000000000001</v>
      </c>
      <c r="F400" s="22">
        <f>IF(Benchmark1[[#This Row],[Target Date Check]]="Pass",INDEX(Target1[Target Return],MATCH(Benchmark1[[#This Row],[Benchmark '#1 Dates]],Target1[Target Dates],0)),"-")</f>
        <v>2.2264370497399506E-2</v>
      </c>
      <c r="G400" s="1">
        <f>IFERROR(IF(Benchmark1[[#This Row],[Target Date Check]]="Pass",Benchmark1[[#This Row],[Target Return]]-Benchmark1[[#This Row],[Benchmark '#1 Return]],"-"),"-")</f>
        <v>7.3971843523023065E-3</v>
      </c>
      <c r="H400" s="1" t="str">
        <f>IF(COUNTIF(Comp1[Comparable '#1 Dates],Benchmark1[[#This Row],[Benchmark '#1 Dates]])=1,"Pass","Fail")</f>
        <v>Pass</v>
      </c>
      <c r="I400" s="6">
        <f>IF(Benchmark1[[#This Row],[Comparable '#1 Date Check]]="Pass",INDEX(Comp1[Comparable '#1 Price],MATCH(Benchmark1[[#This Row],[Benchmark '#1 Dates]],Comp1[Comparable '#1 Dates],0)),"-")</f>
        <v>20.2</v>
      </c>
      <c r="J400" s="22">
        <f>IF(Benchmark1[[#This Row],[Comparable '#1 Date Check]]="Pass",INDEX(Comp1[Comparable '#1 Return],MATCH(Benchmark1[[#This Row],[Benchmark '#1 Dates]],Comp1[Comparable '#1 Dates],0)),"-")</f>
        <v>-9.1167318640577085E-3</v>
      </c>
      <c r="K400" s="1">
        <f>IFERROR(IF(Benchmark1[[#This Row],[Comparable '#1 Date Check]]="Pass",Benchmark1[[#This Row],[Comparable '#1 Return]]-Benchmark1[[#This Row],[Benchmark '#1 Return]],"-"),"-")</f>
        <v>-2.3983918009154906E-2</v>
      </c>
      <c r="L400" s="1" t="str">
        <f>IF(COUNTIF(Comp2[Comparable '#2 Dates],Benchmark1[[#This Row],[Benchmark '#1 Dates]])=1,"Pass","Fail")</f>
        <v>Pass</v>
      </c>
      <c r="M400" s="6">
        <f>IF(Benchmark1[[#This Row],[Comparable '#2 Date Check]]="Pass",INDEX(Comp2[Comparable '#2 Price],MATCH(Benchmark1[[#This Row],[Benchmark '#1 Dates]],Comp2[Comparable '#2 Dates],0)),"-")</f>
        <v>35.049999999999997</v>
      </c>
      <c r="N400" s="22">
        <f>IF(Benchmark1[[#This Row],[Comparable '#2 Date Check]]="Pass",INDEX(Comp2[Comparable '#2 Return],MATCH(Benchmark1[[#This Row],[Benchmark '#1 Dates]],Comp2[Comparable '#2 Dates],0)),"-")</f>
        <v>-5.7045067148773305E-4</v>
      </c>
      <c r="O400" s="1">
        <f>IFERROR(IF(Benchmark1[[#This Row],[Comparable '#2 Date Check]]="Pass",Benchmark1[[#This Row],[Comparable '#2 Return]]-Benchmark1[[#This Row],[Benchmark '#1 Return]],"-"),"-")</f>
        <v>-1.5437636816584933E-2</v>
      </c>
      <c r="P400" s="1" t="str">
        <f>IF(COUNTIF(Comp3[Comparable '#3 Dates],Benchmark1[[#This Row],[Benchmark '#1 Dates]])=1,"Pass","Fail")</f>
        <v>Pass</v>
      </c>
      <c r="Q400" s="6">
        <f>IF(Benchmark1[[#This Row],[Comparable '#3 Date Check]]="Pass",INDEX(Comp3[Comparable '#3 Price],MATCH(Benchmark1[[#This Row],[Benchmark '#1 Dates]],Comp3[Comparable '#3 Dates],0)),"-")</f>
        <v>158.38</v>
      </c>
      <c r="R400" s="22">
        <f>IF(Benchmark1[[#This Row],[Comparable '#3 Date Check]]="Pass",INDEX(Comp3[Comparable '#3 Return],MATCH(Benchmark1[[#This Row],[Benchmark '#1 Dates]],Comp3[Comparable '#3 Dates],0)),"-")</f>
        <v>-1.2548790596616189E-2</v>
      </c>
      <c r="S400" s="1">
        <f>IFERROR(IF(Benchmark1[[#This Row],[Comparable '#3 Date Check]]="Pass",Benchmark1[[#This Row],[Comparable '#3 Return]]-Benchmark1[[#This Row],[Benchmark '#1 Return]],"-"),"-")</f>
        <v>-2.7415976741713387E-2</v>
      </c>
    </row>
    <row r="401" spans="1:19">
      <c r="A401" s="103">
        <v>43866</v>
      </c>
      <c r="B401" s="104">
        <v>3334.6942869918003</v>
      </c>
      <c r="C401" s="4">
        <f t="shared" si="6"/>
        <v>1.1189649369899331E-2</v>
      </c>
      <c r="D401" s="1" t="str">
        <f>IF(COUNTIF(Target1[Target Dates],Benchmark1[[#This Row],[Benchmark '#1 Dates]])=1,"Pass","Fail")</f>
        <v>Pass</v>
      </c>
      <c r="E401" s="6">
        <f>IF(Benchmark1[[#This Row],[Target Date Check]]="Pass",INDEX(Target1[Target Price],MATCH(Benchmark1[[#This Row],[Benchmark '#1 Dates]],Target1[Target Dates],0)),"-")</f>
        <v>16.989999999999998</v>
      </c>
      <c r="F401" s="22">
        <f>IF(Benchmark1[[#This Row],[Target Date Check]]="Pass",INDEX(Target1[Target Return],MATCH(Benchmark1[[#This Row],[Benchmark '#1 Dates]],Target1[Target Dates],0)),"-")</f>
        <v>3.8397038340577977E-2</v>
      </c>
      <c r="G401" s="1">
        <f>IFERROR(IF(Benchmark1[[#This Row],[Target Date Check]]="Pass",Benchmark1[[#This Row],[Target Return]]-Benchmark1[[#This Row],[Benchmark '#1 Return]],"-"),"-")</f>
        <v>2.7207388970678648E-2</v>
      </c>
      <c r="H401" s="1" t="str">
        <f>IF(COUNTIF(Comp1[Comparable '#1 Dates],Benchmark1[[#This Row],[Benchmark '#1 Dates]])=1,"Pass","Fail")</f>
        <v>Pass</v>
      </c>
      <c r="I401" s="6">
        <f>IF(Benchmark1[[#This Row],[Comparable '#1 Date Check]]="Pass",INDEX(Comp1[Comparable '#1 Price],MATCH(Benchmark1[[#This Row],[Benchmark '#1 Dates]],Comp1[Comparable '#1 Dates],0)),"-")</f>
        <v>20.07</v>
      </c>
      <c r="J401" s="22">
        <f>IF(Benchmark1[[#This Row],[Comparable '#1 Date Check]]="Pass",INDEX(Comp1[Comparable '#1 Return],MATCH(Benchmark1[[#This Row],[Benchmark '#1 Dates]],Comp1[Comparable '#1 Dates],0)),"-")</f>
        <v>-6.4564415989123089E-3</v>
      </c>
      <c r="K401" s="1">
        <f>IFERROR(IF(Benchmark1[[#This Row],[Comparable '#1 Date Check]]="Pass",Benchmark1[[#This Row],[Comparable '#1 Return]]-Benchmark1[[#This Row],[Benchmark '#1 Return]],"-"),"-")</f>
        <v>-1.7646090968811638E-2</v>
      </c>
      <c r="L401" s="1" t="str">
        <f>IF(COUNTIF(Comp2[Comparable '#2 Dates],Benchmark1[[#This Row],[Benchmark '#1 Dates]])=1,"Pass","Fail")</f>
        <v>Pass</v>
      </c>
      <c r="M401" s="6">
        <f>IF(Benchmark1[[#This Row],[Comparable '#2 Date Check]]="Pass",INDEX(Comp2[Comparable '#2 Price],MATCH(Benchmark1[[#This Row],[Benchmark '#1 Dates]],Comp2[Comparable '#2 Dates],0)),"-")</f>
        <v>36.159999999999997</v>
      </c>
      <c r="N401" s="22">
        <f>IF(Benchmark1[[#This Row],[Comparable '#2 Date Check]]="Pass",INDEX(Comp2[Comparable '#2 Return],MATCH(Benchmark1[[#This Row],[Benchmark '#1 Dates]],Comp2[Comparable '#2 Dates],0)),"-")</f>
        <v>3.1177922043376556E-2</v>
      </c>
      <c r="O401" s="1">
        <f>IFERROR(IF(Benchmark1[[#This Row],[Comparable '#2 Date Check]]="Pass",Benchmark1[[#This Row],[Comparable '#2 Return]]-Benchmark1[[#This Row],[Benchmark '#1 Return]],"-"),"-")</f>
        <v>1.9988272673477227E-2</v>
      </c>
      <c r="P401" s="1" t="str">
        <f>IF(COUNTIF(Comp3[Comparable '#3 Dates],Benchmark1[[#This Row],[Benchmark '#1 Dates]])=1,"Pass","Fail")</f>
        <v>Pass</v>
      </c>
      <c r="Q401" s="6">
        <f>IF(Benchmark1[[#This Row],[Comparable '#3 Date Check]]="Pass",INDEX(Comp3[Comparable '#3 Price],MATCH(Benchmark1[[#This Row],[Benchmark '#1 Dates]],Comp3[Comparable '#3 Dates],0)),"-")</f>
        <v>160.32</v>
      </c>
      <c r="R401" s="22">
        <f>IF(Benchmark1[[#This Row],[Comparable '#3 Date Check]]="Pass",INDEX(Comp3[Comparable '#3 Return],MATCH(Benchmark1[[#This Row],[Benchmark '#1 Dates]],Comp3[Comparable '#3 Dates],0)),"-")</f>
        <v>1.2174609114233547E-2</v>
      </c>
      <c r="S401" s="1">
        <f>IFERROR(IF(Benchmark1[[#This Row],[Comparable '#3 Date Check]]="Pass",Benchmark1[[#This Row],[Comparable '#3 Return]]-Benchmark1[[#This Row],[Benchmark '#1 Return]],"-"),"-")</f>
        <v>9.8495974433421632E-4</v>
      </c>
    </row>
    <row r="402" spans="1:19">
      <c r="A402" s="103">
        <v>43867</v>
      </c>
      <c r="B402" s="104">
        <v>3345.7808623719498</v>
      </c>
      <c r="C402" s="4">
        <f t="shared" si="6"/>
        <v>3.3191009052934875E-3</v>
      </c>
      <c r="D402" s="1" t="str">
        <f>IF(COUNTIF(Target1[Target Dates],Benchmark1[[#This Row],[Benchmark '#1 Dates]])=1,"Pass","Fail")</f>
        <v>Pass</v>
      </c>
      <c r="E402" s="6">
        <f>IF(Benchmark1[[#This Row],[Target Date Check]]="Pass",INDEX(Target1[Target Price],MATCH(Benchmark1[[#This Row],[Benchmark '#1 Dates]],Target1[Target Dates],0)),"-")</f>
        <v>16.66</v>
      </c>
      <c r="F402" s="22">
        <f>IF(Benchmark1[[#This Row],[Target Date Check]]="Pass",INDEX(Target1[Target Return],MATCH(Benchmark1[[#This Row],[Benchmark '#1 Dates]],Target1[Target Dates],0)),"-")</f>
        <v>-1.9614298945143889E-2</v>
      </c>
      <c r="G402" s="1">
        <f>IFERROR(IF(Benchmark1[[#This Row],[Target Date Check]]="Pass",Benchmark1[[#This Row],[Target Return]]-Benchmark1[[#This Row],[Benchmark '#1 Return]],"-"),"-")</f>
        <v>-2.2933399850437377E-2</v>
      </c>
      <c r="H402" s="1" t="str">
        <f>IF(COUNTIF(Comp1[Comparable '#1 Dates],Benchmark1[[#This Row],[Benchmark '#1 Dates]])=1,"Pass","Fail")</f>
        <v>Pass</v>
      </c>
      <c r="I402" s="6">
        <f>IF(Benchmark1[[#This Row],[Comparable '#1 Date Check]]="Pass",INDEX(Comp1[Comparable '#1 Price],MATCH(Benchmark1[[#This Row],[Benchmark '#1 Dates]],Comp1[Comparable '#1 Dates],0)),"-")</f>
        <v>20.12</v>
      </c>
      <c r="J402" s="22">
        <f>IF(Benchmark1[[#This Row],[Comparable '#1 Date Check]]="Pass",INDEX(Comp1[Comparable '#1 Return],MATCH(Benchmark1[[#This Row],[Benchmark '#1 Dates]],Comp1[Comparable '#1 Dates],0)),"-")</f>
        <v>2.4881824232918142E-3</v>
      </c>
      <c r="K402" s="1">
        <f>IFERROR(IF(Benchmark1[[#This Row],[Comparable '#1 Date Check]]="Pass",Benchmark1[[#This Row],[Comparable '#1 Return]]-Benchmark1[[#This Row],[Benchmark '#1 Return]],"-"),"-")</f>
        <v>-8.3091848200167332E-4</v>
      </c>
      <c r="L402" s="1" t="str">
        <f>IF(COUNTIF(Comp2[Comparable '#2 Dates],Benchmark1[[#This Row],[Benchmark '#1 Dates]])=1,"Pass","Fail")</f>
        <v>Pass</v>
      </c>
      <c r="M402" s="6">
        <f>IF(Benchmark1[[#This Row],[Comparable '#2 Date Check]]="Pass",INDEX(Comp2[Comparable '#2 Price],MATCH(Benchmark1[[#This Row],[Benchmark '#1 Dates]],Comp2[Comparable '#2 Dates],0)),"-")</f>
        <v>35.729999999999997</v>
      </c>
      <c r="N402" s="22">
        <f>IF(Benchmark1[[#This Row],[Comparable '#2 Date Check]]="Pass",INDEX(Comp2[Comparable '#2 Return],MATCH(Benchmark1[[#This Row],[Benchmark '#1 Dates]],Comp2[Comparable '#2 Dates],0)),"-")</f>
        <v>-1.196286348865736E-2</v>
      </c>
      <c r="O402" s="1">
        <f>IFERROR(IF(Benchmark1[[#This Row],[Comparable '#2 Date Check]]="Pass",Benchmark1[[#This Row],[Comparable '#2 Return]]-Benchmark1[[#This Row],[Benchmark '#1 Return]],"-"),"-")</f>
        <v>-1.5281964393950848E-2</v>
      </c>
      <c r="P402" s="1" t="str">
        <f>IF(COUNTIF(Comp3[Comparable '#3 Dates],Benchmark1[[#This Row],[Benchmark '#1 Dates]])=1,"Pass","Fail")</f>
        <v>Pass</v>
      </c>
      <c r="Q402" s="6">
        <f>IF(Benchmark1[[#This Row],[Comparable '#3 Date Check]]="Pass",INDEX(Comp3[Comparable '#3 Price],MATCH(Benchmark1[[#This Row],[Benchmark '#1 Dates]],Comp3[Comparable '#3 Dates],0)),"-")</f>
        <v>162.30000000000001</v>
      </c>
      <c r="R402" s="22">
        <f>IF(Benchmark1[[#This Row],[Comparable '#3 Date Check]]="Pass",INDEX(Comp3[Comparable '#3 Return],MATCH(Benchmark1[[#This Row],[Benchmark '#1 Dates]],Comp3[Comparable '#3 Dates],0)),"-")</f>
        <v>1.227465662404564E-2</v>
      </c>
      <c r="S402" s="1">
        <f>IFERROR(IF(Benchmark1[[#This Row],[Comparable '#3 Date Check]]="Pass",Benchmark1[[#This Row],[Comparable '#3 Return]]-Benchmark1[[#This Row],[Benchmark '#1 Return]],"-"),"-")</f>
        <v>8.955555718752152E-3</v>
      </c>
    </row>
    <row r="403" spans="1:19">
      <c r="A403" s="103">
        <v>43868</v>
      </c>
      <c r="B403" s="104">
        <v>3327.7068678737205</v>
      </c>
      <c r="C403" s="4">
        <f t="shared" si="6"/>
        <v>-5.4166694898300964E-3</v>
      </c>
      <c r="D403" s="1" t="str">
        <f>IF(COUNTIF(Target1[Target Dates],Benchmark1[[#This Row],[Benchmark '#1 Dates]])=1,"Pass","Fail")</f>
        <v>Pass</v>
      </c>
      <c r="E403" s="6">
        <f>IF(Benchmark1[[#This Row],[Target Date Check]]="Pass",INDEX(Target1[Target Price],MATCH(Benchmark1[[#This Row],[Benchmark '#1 Dates]],Target1[Target Dates],0)),"-")</f>
        <v>16.03</v>
      </c>
      <c r="F403" s="22">
        <f>IF(Benchmark1[[#This Row],[Target Date Check]]="Pass",INDEX(Target1[Target Return],MATCH(Benchmark1[[#This Row],[Benchmark '#1 Dates]],Target1[Target Dates],0)),"-")</f>
        <v>-3.854867011723502E-2</v>
      </c>
      <c r="G403" s="1">
        <f>IFERROR(IF(Benchmark1[[#This Row],[Target Date Check]]="Pass",Benchmark1[[#This Row],[Target Return]]-Benchmark1[[#This Row],[Benchmark '#1 Return]],"-"),"-")</f>
        <v>-3.3132000627404921E-2</v>
      </c>
      <c r="H403" s="1" t="str">
        <f>IF(COUNTIF(Comp1[Comparable '#1 Dates],Benchmark1[[#This Row],[Benchmark '#1 Dates]])=1,"Pass","Fail")</f>
        <v>Pass</v>
      </c>
      <c r="I403" s="6">
        <f>IF(Benchmark1[[#This Row],[Comparable '#1 Date Check]]="Pass",INDEX(Comp1[Comparable '#1 Price],MATCH(Benchmark1[[#This Row],[Benchmark '#1 Dates]],Comp1[Comparable '#1 Dates],0)),"-")</f>
        <v>19.78</v>
      </c>
      <c r="J403" s="22">
        <f>IF(Benchmark1[[#This Row],[Comparable '#1 Date Check]]="Pass",INDEX(Comp1[Comparable '#1 Return],MATCH(Benchmark1[[#This Row],[Benchmark '#1 Dates]],Comp1[Comparable '#1 Dates],0)),"-")</f>
        <v>-1.7043019036972338E-2</v>
      </c>
      <c r="K403" s="1">
        <f>IFERROR(IF(Benchmark1[[#This Row],[Comparable '#1 Date Check]]="Pass",Benchmark1[[#This Row],[Comparable '#1 Return]]-Benchmark1[[#This Row],[Benchmark '#1 Return]],"-"),"-")</f>
        <v>-1.1626349547142242E-2</v>
      </c>
      <c r="L403" s="1" t="str">
        <f>IF(COUNTIF(Comp2[Comparable '#2 Dates],Benchmark1[[#This Row],[Benchmark '#1 Dates]])=1,"Pass","Fail")</f>
        <v>Pass</v>
      </c>
      <c r="M403" s="6">
        <f>IF(Benchmark1[[#This Row],[Comparable '#2 Date Check]]="Pass",INDEX(Comp2[Comparable '#2 Price],MATCH(Benchmark1[[#This Row],[Benchmark '#1 Dates]],Comp2[Comparable '#2 Dates],0)),"-")</f>
        <v>34.020000000000003</v>
      </c>
      <c r="N403" s="22">
        <f>IF(Benchmark1[[#This Row],[Comparable '#2 Date Check]]="Pass",INDEX(Comp2[Comparable '#2 Return],MATCH(Benchmark1[[#This Row],[Benchmark '#1 Dates]],Comp2[Comparable '#2 Dates],0)),"-")</f>
        <v>-4.9042085067602548E-2</v>
      </c>
      <c r="O403" s="1">
        <f>IFERROR(IF(Benchmark1[[#This Row],[Comparable '#2 Date Check]]="Pass",Benchmark1[[#This Row],[Comparable '#2 Return]]-Benchmark1[[#This Row],[Benchmark '#1 Return]],"-"),"-")</f>
        <v>-4.3625415577772449E-2</v>
      </c>
      <c r="P403" s="1" t="str">
        <f>IF(COUNTIF(Comp3[Comparable '#3 Dates],Benchmark1[[#This Row],[Benchmark '#1 Dates]])=1,"Pass","Fail")</f>
        <v>Pass</v>
      </c>
      <c r="Q403" s="6">
        <f>IF(Benchmark1[[#This Row],[Comparable '#3 Date Check]]="Pass",INDEX(Comp3[Comparable '#3 Price],MATCH(Benchmark1[[#This Row],[Benchmark '#1 Dates]],Comp3[Comparable '#3 Dates],0)),"-")</f>
        <v>159.85</v>
      </c>
      <c r="R403" s="22">
        <f>IF(Benchmark1[[#This Row],[Comparable '#3 Date Check]]="Pass",INDEX(Comp3[Comparable '#3 Return],MATCH(Benchmark1[[#This Row],[Benchmark '#1 Dates]],Comp3[Comparable '#3 Dates],0)),"-")</f>
        <v>-1.5210599014695231E-2</v>
      </c>
      <c r="S403" s="1">
        <f>IFERROR(IF(Benchmark1[[#This Row],[Comparable '#3 Date Check]]="Pass",Benchmark1[[#This Row],[Comparable '#3 Return]]-Benchmark1[[#This Row],[Benchmark '#1 Return]],"-"),"-")</f>
        <v>-9.7939295248651338E-3</v>
      </c>
    </row>
    <row r="404" spans="1:19">
      <c r="A404" s="103">
        <v>43871</v>
      </c>
      <c r="B404" s="104">
        <v>3352.0939509405812</v>
      </c>
      <c r="C404" s="4">
        <f t="shared" si="6"/>
        <v>7.3017720377624119E-3</v>
      </c>
      <c r="D404" s="1" t="str">
        <f>IF(COUNTIF(Target1[Target Dates],Benchmark1[[#This Row],[Benchmark '#1 Dates]])=1,"Pass","Fail")</f>
        <v>Pass</v>
      </c>
      <c r="E404" s="6">
        <f>IF(Benchmark1[[#This Row],[Target Date Check]]="Pass",INDEX(Target1[Target Price],MATCH(Benchmark1[[#This Row],[Benchmark '#1 Dates]],Target1[Target Dates],0)),"-")</f>
        <v>15.86</v>
      </c>
      <c r="F404" s="22">
        <f>IF(Benchmark1[[#This Row],[Target Date Check]]="Pass",INDEX(Target1[Target Return],MATCH(Benchmark1[[#This Row],[Benchmark '#1 Dates]],Target1[Target Dates],0)),"-")</f>
        <v>-1.066175041475978E-2</v>
      </c>
      <c r="G404" s="1">
        <f>IFERROR(IF(Benchmark1[[#This Row],[Target Date Check]]="Pass",Benchmark1[[#This Row],[Target Return]]-Benchmark1[[#This Row],[Benchmark '#1 Return]],"-"),"-")</f>
        <v>-1.7963522452522192E-2</v>
      </c>
      <c r="H404" s="1" t="str">
        <f>IF(COUNTIF(Comp1[Comparable '#1 Dates],Benchmark1[[#This Row],[Benchmark '#1 Dates]])=1,"Pass","Fail")</f>
        <v>Pass</v>
      </c>
      <c r="I404" s="6">
        <f>IF(Benchmark1[[#This Row],[Comparable '#1 Date Check]]="Pass",INDEX(Comp1[Comparable '#1 Price],MATCH(Benchmark1[[#This Row],[Benchmark '#1 Dates]],Comp1[Comparable '#1 Dates],0)),"-")</f>
        <v>19.73</v>
      </c>
      <c r="J404" s="22">
        <f>IF(Benchmark1[[#This Row],[Comparable '#1 Date Check]]="Pass",INDEX(Comp1[Comparable '#1 Return],MATCH(Benchmark1[[#This Row],[Benchmark '#1 Dates]],Comp1[Comparable '#1 Dates],0)),"-")</f>
        <v>-2.5310061600420965E-3</v>
      </c>
      <c r="K404" s="1">
        <f>IFERROR(IF(Benchmark1[[#This Row],[Comparable '#1 Date Check]]="Pass",Benchmark1[[#This Row],[Comparable '#1 Return]]-Benchmark1[[#This Row],[Benchmark '#1 Return]],"-"),"-")</f>
        <v>-9.8327781978045092E-3</v>
      </c>
      <c r="L404" s="1" t="str">
        <f>IF(COUNTIF(Comp2[Comparable '#2 Dates],Benchmark1[[#This Row],[Benchmark '#1 Dates]])=1,"Pass","Fail")</f>
        <v>Pass</v>
      </c>
      <c r="M404" s="6">
        <f>IF(Benchmark1[[#This Row],[Comparable '#2 Date Check]]="Pass",INDEX(Comp2[Comparable '#2 Price],MATCH(Benchmark1[[#This Row],[Benchmark '#1 Dates]],Comp2[Comparable '#2 Dates],0)),"-")</f>
        <v>32.56</v>
      </c>
      <c r="N404" s="22">
        <f>IF(Benchmark1[[#This Row],[Comparable '#2 Date Check]]="Pass",INDEX(Comp2[Comparable '#2 Return],MATCH(Benchmark1[[#This Row],[Benchmark '#1 Dates]],Comp2[Comparable '#2 Dates],0)),"-")</f>
        <v>-4.3864045833376136E-2</v>
      </c>
      <c r="O404" s="1">
        <f>IFERROR(IF(Benchmark1[[#This Row],[Comparable '#2 Date Check]]="Pass",Benchmark1[[#This Row],[Comparable '#2 Return]]-Benchmark1[[#This Row],[Benchmark '#1 Return]],"-"),"-")</f>
        <v>-5.1165817871138546E-2</v>
      </c>
      <c r="P404" s="1" t="str">
        <f>IF(COUNTIF(Comp3[Comparable '#3 Dates],Benchmark1[[#This Row],[Benchmark '#1 Dates]])=1,"Pass","Fail")</f>
        <v>Pass</v>
      </c>
      <c r="Q404" s="6">
        <f>IF(Benchmark1[[#This Row],[Comparable '#3 Date Check]]="Pass",INDEX(Comp3[Comparable '#3 Price],MATCH(Benchmark1[[#This Row],[Benchmark '#1 Dates]],Comp3[Comparable '#3 Dates],0)),"-")</f>
        <v>163.26</v>
      </c>
      <c r="R404" s="22">
        <f>IF(Benchmark1[[#This Row],[Comparable '#3 Date Check]]="Pass",INDEX(Comp3[Comparable '#3 Return],MATCH(Benchmark1[[#This Row],[Benchmark '#1 Dates]],Comp3[Comparable '#3 Dates],0)),"-")</f>
        <v>2.1108146517359413E-2</v>
      </c>
      <c r="S404" s="1">
        <f>IFERROR(IF(Benchmark1[[#This Row],[Comparable '#3 Date Check]]="Pass",Benchmark1[[#This Row],[Comparable '#3 Return]]-Benchmark1[[#This Row],[Benchmark '#1 Return]],"-"),"-")</f>
        <v>1.3806374479597001E-2</v>
      </c>
    </row>
    <row r="405" spans="1:19">
      <c r="A405" s="103">
        <v>43872</v>
      </c>
      <c r="B405" s="104">
        <v>3357.7472605343942</v>
      </c>
      <c r="C405" s="4">
        <f t="shared" si="6"/>
        <v>1.6850803926201736E-3</v>
      </c>
      <c r="D405" s="1" t="str">
        <f>IF(COUNTIF(Target1[Target Dates],Benchmark1[[#This Row],[Benchmark '#1 Dates]])=1,"Pass","Fail")</f>
        <v>Pass</v>
      </c>
      <c r="E405" s="6">
        <f>IF(Benchmark1[[#This Row],[Target Date Check]]="Pass",INDEX(Target1[Target Price],MATCH(Benchmark1[[#This Row],[Benchmark '#1 Dates]],Target1[Target Dates],0)),"-")</f>
        <v>16.12</v>
      </c>
      <c r="F405" s="22">
        <f>IF(Benchmark1[[#This Row],[Target Date Check]]="Pass",INDEX(Target1[Target Return],MATCH(Benchmark1[[#This Row],[Benchmark '#1 Dates]],Target1[Target Dates],0)),"-")</f>
        <v>1.6260520871780326E-2</v>
      </c>
      <c r="G405" s="1">
        <f>IFERROR(IF(Benchmark1[[#This Row],[Target Date Check]]="Pass",Benchmark1[[#This Row],[Target Return]]-Benchmark1[[#This Row],[Benchmark '#1 Return]],"-"),"-")</f>
        <v>1.4575440479160151E-2</v>
      </c>
      <c r="H405" s="1" t="str">
        <f>IF(COUNTIF(Comp1[Comparable '#1 Dates],Benchmark1[[#This Row],[Benchmark '#1 Dates]])=1,"Pass","Fail")</f>
        <v>Pass</v>
      </c>
      <c r="I405" s="6">
        <f>IF(Benchmark1[[#This Row],[Comparable '#1 Date Check]]="Pass",INDEX(Comp1[Comparable '#1 Price],MATCH(Benchmark1[[#This Row],[Benchmark '#1 Dates]],Comp1[Comparable '#1 Dates],0)),"-")</f>
        <v>20.43</v>
      </c>
      <c r="J405" s="22">
        <f>IF(Benchmark1[[#This Row],[Comparable '#1 Date Check]]="Pass",INDEX(Comp1[Comparable '#1 Return],MATCH(Benchmark1[[#This Row],[Benchmark '#1 Dates]],Comp1[Comparable '#1 Dates],0)),"-")</f>
        <v>3.4864088795006729E-2</v>
      </c>
      <c r="K405" s="1">
        <f>IFERROR(IF(Benchmark1[[#This Row],[Comparable '#1 Date Check]]="Pass",Benchmark1[[#This Row],[Comparable '#1 Return]]-Benchmark1[[#This Row],[Benchmark '#1 Return]],"-"),"-")</f>
        <v>3.3179008402386558E-2</v>
      </c>
      <c r="L405" s="1" t="str">
        <f>IF(COUNTIF(Comp2[Comparable '#2 Dates],Benchmark1[[#This Row],[Benchmark '#1 Dates]])=1,"Pass","Fail")</f>
        <v>Pass</v>
      </c>
      <c r="M405" s="6">
        <f>IF(Benchmark1[[#This Row],[Comparable '#2 Date Check]]="Pass",INDEX(Comp2[Comparable '#2 Price],MATCH(Benchmark1[[#This Row],[Benchmark '#1 Dates]],Comp2[Comparable '#2 Dates],0)),"-")</f>
        <v>33.15</v>
      </c>
      <c r="N405" s="22">
        <f>IF(Benchmark1[[#This Row],[Comparable '#2 Date Check]]="Pass",INDEX(Comp2[Comparable '#2 Return],MATCH(Benchmark1[[#This Row],[Benchmark '#1 Dates]],Comp2[Comparable '#2 Dates],0)),"-")</f>
        <v>1.7958175497531887E-2</v>
      </c>
      <c r="O405" s="1">
        <f>IFERROR(IF(Benchmark1[[#This Row],[Comparable '#2 Date Check]]="Pass",Benchmark1[[#This Row],[Comparable '#2 Return]]-Benchmark1[[#This Row],[Benchmark '#1 Return]],"-"),"-")</f>
        <v>1.6273095104911713E-2</v>
      </c>
      <c r="P405" s="1" t="str">
        <f>IF(COUNTIF(Comp3[Comparable '#3 Dates],Benchmark1[[#This Row],[Benchmark '#1 Dates]])=1,"Pass","Fail")</f>
        <v>Pass</v>
      </c>
      <c r="Q405" s="6">
        <f>IF(Benchmark1[[#This Row],[Comparable '#3 Date Check]]="Pass",INDEX(Comp3[Comparable '#3 Price],MATCH(Benchmark1[[#This Row],[Benchmark '#1 Dates]],Comp3[Comparable '#3 Dates],0)),"-")</f>
        <v>164.45</v>
      </c>
      <c r="R405" s="22">
        <f>IF(Benchmark1[[#This Row],[Comparable '#3 Date Check]]="Pass",INDEX(Comp3[Comparable '#3 Return],MATCH(Benchmark1[[#This Row],[Benchmark '#1 Dates]],Comp3[Comparable '#3 Dates],0)),"-")</f>
        <v>7.262550611856081E-3</v>
      </c>
      <c r="S405" s="1">
        <f>IFERROR(IF(Benchmark1[[#This Row],[Comparable '#3 Date Check]]="Pass",Benchmark1[[#This Row],[Comparable '#3 Return]]-Benchmark1[[#This Row],[Benchmark '#1 Return]],"-"),"-")</f>
        <v>5.5774702192359074E-3</v>
      </c>
    </row>
    <row r="406" spans="1:19">
      <c r="A406" s="103">
        <v>43873</v>
      </c>
      <c r="B406" s="104">
        <v>3379.4521901708717</v>
      </c>
      <c r="C406" s="4">
        <f t="shared" si="6"/>
        <v>6.4433315023550578E-3</v>
      </c>
      <c r="D406" s="1" t="str">
        <f>IF(COUNTIF(Target1[Target Dates],Benchmark1[[#This Row],[Benchmark '#1 Dates]])=1,"Pass","Fail")</f>
        <v>Pass</v>
      </c>
      <c r="E406" s="6">
        <f>IF(Benchmark1[[#This Row],[Target Date Check]]="Pass",INDEX(Target1[Target Price],MATCH(Benchmark1[[#This Row],[Benchmark '#1 Dates]],Target1[Target Dates],0)),"-")</f>
        <v>16.75</v>
      </c>
      <c r="F406" s="22">
        <f>IF(Benchmark1[[#This Row],[Target Date Check]]="Pass",INDEX(Target1[Target Return],MATCH(Benchmark1[[#This Row],[Benchmark '#1 Dates]],Target1[Target Dates],0)),"-")</f>
        <v>3.8337521192593108E-2</v>
      </c>
      <c r="G406" s="1">
        <f>IFERROR(IF(Benchmark1[[#This Row],[Target Date Check]]="Pass",Benchmark1[[#This Row],[Target Return]]-Benchmark1[[#This Row],[Benchmark '#1 Return]],"-"),"-")</f>
        <v>3.1894189690238051E-2</v>
      </c>
      <c r="H406" s="1" t="str">
        <f>IF(COUNTIF(Comp1[Comparable '#1 Dates],Benchmark1[[#This Row],[Benchmark '#1 Dates]])=1,"Pass","Fail")</f>
        <v>Pass</v>
      </c>
      <c r="I406" s="6">
        <f>IF(Benchmark1[[#This Row],[Comparable '#1 Date Check]]="Pass",INDEX(Comp1[Comparable '#1 Price],MATCH(Benchmark1[[#This Row],[Benchmark '#1 Dates]],Comp1[Comparable '#1 Dates],0)),"-")</f>
        <v>20.82</v>
      </c>
      <c r="J406" s="22">
        <f>IF(Benchmark1[[#This Row],[Comparable '#1 Date Check]]="Pass",INDEX(Comp1[Comparable '#1 Return],MATCH(Benchmark1[[#This Row],[Benchmark '#1 Dates]],Comp1[Comparable '#1 Dates],0)),"-")</f>
        <v>1.8909654357292062E-2</v>
      </c>
      <c r="K406" s="1">
        <f>IFERROR(IF(Benchmark1[[#This Row],[Comparable '#1 Date Check]]="Pass",Benchmark1[[#This Row],[Comparable '#1 Return]]-Benchmark1[[#This Row],[Benchmark '#1 Return]],"-"),"-")</f>
        <v>1.2466322854937005E-2</v>
      </c>
      <c r="L406" s="1" t="str">
        <f>IF(COUNTIF(Comp2[Comparable '#2 Dates],Benchmark1[[#This Row],[Benchmark '#1 Dates]])=1,"Pass","Fail")</f>
        <v>Pass</v>
      </c>
      <c r="M406" s="6">
        <f>IF(Benchmark1[[#This Row],[Comparable '#2 Date Check]]="Pass",INDEX(Comp2[Comparable '#2 Price],MATCH(Benchmark1[[#This Row],[Benchmark '#1 Dates]],Comp2[Comparable '#2 Dates],0)),"-")</f>
        <v>34.22</v>
      </c>
      <c r="N406" s="22">
        <f>IF(Benchmark1[[#This Row],[Comparable '#2 Date Check]]="Pass",INDEX(Comp2[Comparable '#2 Return],MATCH(Benchmark1[[#This Row],[Benchmark '#1 Dates]],Comp2[Comparable '#2 Dates],0)),"-")</f>
        <v>3.1767551832176007E-2</v>
      </c>
      <c r="O406" s="1">
        <f>IFERROR(IF(Benchmark1[[#This Row],[Comparable '#2 Date Check]]="Pass",Benchmark1[[#This Row],[Comparable '#2 Return]]-Benchmark1[[#This Row],[Benchmark '#1 Return]],"-"),"-")</f>
        <v>2.532422032982095E-2</v>
      </c>
      <c r="P406" s="1" t="str">
        <f>IF(COUNTIF(Comp3[Comparable '#3 Dates],Benchmark1[[#This Row],[Benchmark '#1 Dates]])=1,"Pass","Fail")</f>
        <v>Pass</v>
      </c>
      <c r="Q406" s="6">
        <f>IF(Benchmark1[[#This Row],[Comparable '#3 Date Check]]="Pass",INDEX(Comp3[Comparable '#3 Price],MATCH(Benchmark1[[#This Row],[Benchmark '#1 Dates]],Comp3[Comparable '#3 Dates],0)),"-")</f>
        <v>167.13</v>
      </c>
      <c r="R406" s="22">
        <f>IF(Benchmark1[[#This Row],[Comparable '#3 Date Check]]="Pass",INDEX(Comp3[Comparable '#3 Return],MATCH(Benchmark1[[#This Row],[Benchmark '#1 Dates]],Comp3[Comparable '#3 Dates],0)),"-")</f>
        <v>1.6165380065767856E-2</v>
      </c>
      <c r="S406" s="1">
        <f>IFERROR(IF(Benchmark1[[#This Row],[Comparable '#3 Date Check]]="Pass",Benchmark1[[#This Row],[Comparable '#3 Return]]-Benchmark1[[#This Row],[Benchmark '#1 Return]],"-"),"-")</f>
        <v>9.7220485634127995E-3</v>
      </c>
    </row>
    <row r="407" spans="1:19">
      <c r="A407" s="103">
        <v>43874</v>
      </c>
      <c r="B407" s="104">
        <v>3373.9373709163533</v>
      </c>
      <c r="C407" s="4">
        <f t="shared" si="6"/>
        <v>-1.6332007595479402E-3</v>
      </c>
      <c r="D407" s="1" t="str">
        <f>IF(COUNTIF(Target1[Target Dates],Benchmark1[[#This Row],[Benchmark '#1 Dates]])=1,"Pass","Fail")</f>
        <v>Pass</v>
      </c>
      <c r="E407" s="6">
        <f>IF(Benchmark1[[#This Row],[Target Date Check]]="Pass",INDEX(Target1[Target Price],MATCH(Benchmark1[[#This Row],[Benchmark '#1 Dates]],Target1[Target Dates],0)),"-")</f>
        <v>17.12</v>
      </c>
      <c r="F407" s="22">
        <f>IF(Benchmark1[[#This Row],[Target Date Check]]="Pass",INDEX(Target1[Target Return],MATCH(Benchmark1[[#This Row],[Benchmark '#1 Dates]],Target1[Target Dates],0)),"-")</f>
        <v>2.1849112442520673E-2</v>
      </c>
      <c r="G407" s="1">
        <f>IFERROR(IF(Benchmark1[[#This Row],[Target Date Check]]="Pass",Benchmark1[[#This Row],[Target Return]]-Benchmark1[[#This Row],[Benchmark '#1 Return]],"-"),"-")</f>
        <v>2.3482313202068613E-2</v>
      </c>
      <c r="H407" s="1" t="str">
        <f>IF(COUNTIF(Comp1[Comparable '#1 Dates],Benchmark1[[#This Row],[Benchmark '#1 Dates]])=1,"Pass","Fail")</f>
        <v>Pass</v>
      </c>
      <c r="I407" s="6">
        <f>IF(Benchmark1[[#This Row],[Comparable '#1 Date Check]]="Pass",INDEX(Comp1[Comparable '#1 Price],MATCH(Benchmark1[[#This Row],[Benchmark '#1 Dates]],Comp1[Comparable '#1 Dates],0)),"-")</f>
        <v>20.88</v>
      </c>
      <c r="J407" s="22">
        <f>IF(Benchmark1[[#This Row],[Comparable '#1 Date Check]]="Pass",INDEX(Comp1[Comparable '#1 Return],MATCH(Benchmark1[[#This Row],[Benchmark '#1 Dates]],Comp1[Comparable '#1 Dates],0)),"-")</f>
        <v>2.877699827614974E-3</v>
      </c>
      <c r="K407" s="1">
        <f>IFERROR(IF(Benchmark1[[#This Row],[Comparable '#1 Date Check]]="Pass",Benchmark1[[#This Row],[Comparable '#1 Return]]-Benchmark1[[#This Row],[Benchmark '#1 Return]],"-"),"-")</f>
        <v>4.5109005871629138E-3</v>
      </c>
      <c r="L407" s="1" t="str">
        <f>IF(COUNTIF(Comp2[Comparable '#2 Dates],Benchmark1[[#This Row],[Benchmark '#1 Dates]])=1,"Pass","Fail")</f>
        <v>Pass</v>
      </c>
      <c r="M407" s="6">
        <f>IF(Benchmark1[[#This Row],[Comparable '#2 Date Check]]="Pass",INDEX(Comp2[Comparable '#2 Price],MATCH(Benchmark1[[#This Row],[Benchmark '#1 Dates]],Comp2[Comparable '#2 Dates],0)),"-")</f>
        <v>34.619999999999997</v>
      </c>
      <c r="N407" s="22">
        <f>IF(Benchmark1[[#This Row],[Comparable '#2 Date Check]]="Pass",INDEX(Comp2[Comparable '#2 Return],MATCH(Benchmark1[[#This Row],[Benchmark '#1 Dates]],Comp2[Comparable '#2 Dates],0)),"-")</f>
        <v>1.1621281284015631E-2</v>
      </c>
      <c r="O407" s="1">
        <f>IFERROR(IF(Benchmark1[[#This Row],[Comparable '#2 Date Check]]="Pass",Benchmark1[[#This Row],[Comparable '#2 Return]]-Benchmark1[[#This Row],[Benchmark '#1 Return]],"-"),"-")</f>
        <v>1.3254482043563571E-2</v>
      </c>
      <c r="P407" s="1" t="str">
        <f>IF(COUNTIF(Comp3[Comparable '#3 Dates],Benchmark1[[#This Row],[Benchmark '#1 Dates]])=1,"Pass","Fail")</f>
        <v>Pass</v>
      </c>
      <c r="Q407" s="6">
        <f>IF(Benchmark1[[#This Row],[Comparable '#3 Date Check]]="Pass",INDEX(Comp3[Comparable '#3 Price],MATCH(Benchmark1[[#This Row],[Benchmark '#1 Dates]],Comp3[Comparable '#3 Dates],0)),"-")</f>
        <v>168.57</v>
      </c>
      <c r="R407" s="22">
        <f>IF(Benchmark1[[#This Row],[Comparable '#3 Date Check]]="Pass",INDEX(Comp3[Comparable '#3 Return],MATCH(Benchmark1[[#This Row],[Benchmark '#1 Dates]],Comp3[Comparable '#3 Dates],0)),"-")</f>
        <v>8.5791410913826898E-3</v>
      </c>
      <c r="S407" s="1">
        <f>IFERROR(IF(Benchmark1[[#This Row],[Comparable '#3 Date Check]]="Pass",Benchmark1[[#This Row],[Comparable '#3 Return]]-Benchmark1[[#This Row],[Benchmark '#1 Return]],"-"),"-")</f>
        <v>1.021234185093063E-2</v>
      </c>
    </row>
    <row r="408" spans="1:19">
      <c r="A408" s="103">
        <v>43875</v>
      </c>
      <c r="B408" s="104">
        <v>3380.1573755321256</v>
      </c>
      <c r="C408" s="4">
        <f t="shared" si="6"/>
        <v>1.841847533287597E-3</v>
      </c>
      <c r="D408" s="1" t="str">
        <f>IF(COUNTIF(Target1[Target Dates],Benchmark1[[#This Row],[Benchmark '#1 Dates]])=1,"Pass","Fail")</f>
        <v>Pass</v>
      </c>
      <c r="E408" s="6">
        <f>IF(Benchmark1[[#This Row],[Target Date Check]]="Pass",INDEX(Target1[Target Price],MATCH(Benchmark1[[#This Row],[Benchmark '#1 Dates]],Target1[Target Dates],0)),"-")</f>
        <v>17.16</v>
      </c>
      <c r="F408" s="22">
        <f>IF(Benchmark1[[#This Row],[Target Date Check]]="Pass",INDEX(Target1[Target Return],MATCH(Benchmark1[[#This Row],[Benchmark '#1 Dates]],Target1[Target Dates],0)),"-")</f>
        <v>2.3337233462200966E-3</v>
      </c>
      <c r="G408" s="1">
        <f>IFERROR(IF(Benchmark1[[#This Row],[Target Date Check]]="Pass",Benchmark1[[#This Row],[Target Return]]-Benchmark1[[#This Row],[Benchmark '#1 Return]],"-"),"-")</f>
        <v>4.9187581293249965E-4</v>
      </c>
      <c r="H408" s="1" t="str">
        <f>IF(COUNTIF(Comp1[Comparable '#1 Dates],Benchmark1[[#This Row],[Benchmark '#1 Dates]])=1,"Pass","Fail")</f>
        <v>Pass</v>
      </c>
      <c r="I408" s="6">
        <f>IF(Benchmark1[[#This Row],[Comparable '#1 Date Check]]="Pass",INDEX(Comp1[Comparable '#1 Price],MATCH(Benchmark1[[#This Row],[Benchmark '#1 Dates]],Comp1[Comparable '#1 Dates],0)),"-")</f>
        <v>21.25</v>
      </c>
      <c r="J408" s="22">
        <f>IF(Benchmark1[[#This Row],[Comparable '#1 Date Check]]="Pass",INDEX(Comp1[Comparable '#1 Return],MATCH(Benchmark1[[#This Row],[Benchmark '#1 Dates]],Comp1[Comparable '#1 Dates],0)),"-")</f>
        <v>1.7565132355987848E-2</v>
      </c>
      <c r="K408" s="1">
        <f>IFERROR(IF(Benchmark1[[#This Row],[Comparable '#1 Date Check]]="Pass",Benchmark1[[#This Row],[Comparable '#1 Return]]-Benchmark1[[#This Row],[Benchmark '#1 Return]],"-"),"-")</f>
        <v>1.5723284822700252E-2</v>
      </c>
      <c r="L408" s="1" t="str">
        <f>IF(COUNTIF(Comp2[Comparable '#2 Dates],Benchmark1[[#This Row],[Benchmark '#1 Dates]])=1,"Pass","Fail")</f>
        <v>Pass</v>
      </c>
      <c r="M408" s="6">
        <f>IF(Benchmark1[[#This Row],[Comparable '#2 Date Check]]="Pass",INDEX(Comp2[Comparable '#2 Price],MATCH(Benchmark1[[#This Row],[Benchmark '#1 Dates]],Comp2[Comparable '#2 Dates],0)),"-")</f>
        <v>35.31</v>
      </c>
      <c r="N408" s="22">
        <f>IF(Benchmark1[[#This Row],[Comparable '#2 Date Check]]="Pass",INDEX(Comp2[Comparable '#2 Return],MATCH(Benchmark1[[#This Row],[Benchmark '#1 Dates]],Comp2[Comparable '#2 Dates],0)),"-")</f>
        <v>1.9734660192231898E-2</v>
      </c>
      <c r="O408" s="1">
        <f>IFERROR(IF(Benchmark1[[#This Row],[Comparable '#2 Date Check]]="Pass",Benchmark1[[#This Row],[Comparable '#2 Return]]-Benchmark1[[#This Row],[Benchmark '#1 Return]],"-"),"-")</f>
        <v>1.7892812658944303E-2</v>
      </c>
      <c r="P408" s="1" t="str">
        <f>IF(COUNTIF(Comp3[Comparable '#3 Dates],Benchmark1[[#This Row],[Benchmark '#1 Dates]])=1,"Pass","Fail")</f>
        <v>Pass</v>
      </c>
      <c r="Q408" s="6">
        <f>IF(Benchmark1[[#This Row],[Comparable '#3 Date Check]]="Pass",INDEX(Comp3[Comparable '#3 Price],MATCH(Benchmark1[[#This Row],[Benchmark '#1 Dates]],Comp3[Comparable '#3 Dates],0)),"-")</f>
        <v>167.93</v>
      </c>
      <c r="R408" s="22">
        <f>IF(Benchmark1[[#This Row],[Comparable '#3 Date Check]]="Pass",INDEX(Comp3[Comparable '#3 Return],MATCH(Benchmark1[[#This Row],[Benchmark '#1 Dates]],Comp3[Comparable '#3 Dates],0)),"-")</f>
        <v>-3.8038678852999291E-3</v>
      </c>
      <c r="S408" s="1">
        <f>IFERROR(IF(Benchmark1[[#This Row],[Comparable '#3 Date Check]]="Pass",Benchmark1[[#This Row],[Comparable '#3 Return]]-Benchmark1[[#This Row],[Benchmark '#1 Return]],"-"),"-")</f>
        <v>-5.6457154185875266E-3</v>
      </c>
    </row>
    <row r="409" spans="1:19">
      <c r="A409" s="103">
        <v>43879</v>
      </c>
      <c r="B409" s="104">
        <v>3370.2864814712466</v>
      </c>
      <c r="C409" s="4">
        <f t="shared" si="6"/>
        <v>-2.9245191294976747E-3</v>
      </c>
      <c r="D409" s="1" t="str">
        <f>IF(COUNTIF(Target1[Target Dates],Benchmark1[[#This Row],[Benchmark '#1 Dates]])=1,"Pass","Fail")</f>
        <v>Pass</v>
      </c>
      <c r="E409" s="6">
        <f>IF(Benchmark1[[#This Row],[Target Date Check]]="Pass",INDEX(Target1[Target Price],MATCH(Benchmark1[[#This Row],[Benchmark '#1 Dates]],Target1[Target Dates],0)),"-")</f>
        <v>16.87</v>
      </c>
      <c r="F409" s="22">
        <f>IF(Benchmark1[[#This Row],[Target Date Check]]="Pass",INDEX(Target1[Target Return],MATCH(Benchmark1[[#This Row],[Benchmark '#1 Dates]],Target1[Target Dates],0)),"-")</f>
        <v>-1.7044197501939189E-2</v>
      </c>
      <c r="G409" s="1">
        <f>IFERROR(IF(Benchmark1[[#This Row],[Target Date Check]]="Pass",Benchmark1[[#This Row],[Target Return]]-Benchmark1[[#This Row],[Benchmark '#1 Return]],"-"),"-")</f>
        <v>-1.4119678372441513E-2</v>
      </c>
      <c r="H409" s="1" t="str">
        <f>IF(COUNTIF(Comp1[Comparable '#1 Dates],Benchmark1[[#This Row],[Benchmark '#1 Dates]])=1,"Pass","Fail")</f>
        <v>Pass</v>
      </c>
      <c r="I409" s="6">
        <f>IF(Benchmark1[[#This Row],[Comparable '#1 Date Check]]="Pass",INDEX(Comp1[Comparable '#1 Price],MATCH(Benchmark1[[#This Row],[Benchmark '#1 Dates]],Comp1[Comparable '#1 Dates],0)),"-")</f>
        <v>21.07</v>
      </c>
      <c r="J409" s="22">
        <f>IF(Benchmark1[[#This Row],[Comparable '#1 Date Check]]="Pass",INDEX(Comp1[Comparable '#1 Return],MATCH(Benchmark1[[#This Row],[Benchmark '#1 Dates]],Comp1[Comparable '#1 Dates],0)),"-")</f>
        <v>-8.5066675543281709E-3</v>
      </c>
      <c r="K409" s="1">
        <f>IFERROR(IF(Benchmark1[[#This Row],[Comparable '#1 Date Check]]="Pass",Benchmark1[[#This Row],[Comparable '#1 Return]]-Benchmark1[[#This Row],[Benchmark '#1 Return]],"-"),"-")</f>
        <v>-5.5821484248304958E-3</v>
      </c>
      <c r="L409" s="1" t="str">
        <f>IF(COUNTIF(Comp2[Comparable '#2 Dates],Benchmark1[[#This Row],[Benchmark '#1 Dates]])=1,"Pass","Fail")</f>
        <v>Pass</v>
      </c>
      <c r="M409" s="6">
        <f>IF(Benchmark1[[#This Row],[Comparable '#2 Date Check]]="Pass",INDEX(Comp2[Comparable '#2 Price],MATCH(Benchmark1[[#This Row],[Benchmark '#1 Dates]],Comp2[Comparable '#2 Dates],0)),"-")</f>
        <v>34.35</v>
      </c>
      <c r="N409" s="22">
        <f>IF(Benchmark1[[#This Row],[Comparable '#2 Date Check]]="Pass",INDEX(Comp2[Comparable '#2 Return],MATCH(Benchmark1[[#This Row],[Benchmark '#1 Dates]],Comp2[Comparable '#2 Dates],0)),"-")</f>
        <v>-2.7564191271936666E-2</v>
      </c>
      <c r="O409" s="1">
        <f>IFERROR(IF(Benchmark1[[#This Row],[Comparable '#2 Date Check]]="Pass",Benchmark1[[#This Row],[Comparable '#2 Return]]-Benchmark1[[#This Row],[Benchmark '#1 Return]],"-"),"-")</f>
        <v>-2.4639672142438993E-2</v>
      </c>
      <c r="P409" s="1" t="str">
        <f>IF(COUNTIF(Comp3[Comparable '#3 Dates],Benchmark1[[#This Row],[Benchmark '#1 Dates]])=1,"Pass","Fail")</f>
        <v>Pass</v>
      </c>
      <c r="Q409" s="6">
        <f>IF(Benchmark1[[#This Row],[Comparable '#3 Date Check]]="Pass",INDEX(Comp3[Comparable '#3 Price],MATCH(Benchmark1[[#This Row],[Benchmark '#1 Dates]],Comp3[Comparable '#3 Dates],0)),"-")</f>
        <v>168.33</v>
      </c>
      <c r="R409" s="22">
        <f>IF(Benchmark1[[#This Row],[Comparable '#3 Date Check]]="Pass",INDEX(Comp3[Comparable '#3 Return],MATCH(Benchmark1[[#This Row],[Benchmark '#1 Dates]],Comp3[Comparable '#3 Dates],0)),"-")</f>
        <v>2.3791125240737602E-3</v>
      </c>
      <c r="S409" s="1">
        <f>IFERROR(IF(Benchmark1[[#This Row],[Comparable '#3 Date Check]]="Pass",Benchmark1[[#This Row],[Comparable '#3 Return]]-Benchmark1[[#This Row],[Benchmark '#1 Return]],"-"),"-")</f>
        <v>5.3036316535714344E-3</v>
      </c>
    </row>
    <row r="410" spans="1:19">
      <c r="A410" s="103">
        <v>43880</v>
      </c>
      <c r="B410" s="104">
        <v>3386.1527183522226</v>
      </c>
      <c r="C410" s="4">
        <f t="shared" si="6"/>
        <v>4.6966354841693845E-3</v>
      </c>
      <c r="D410" s="1" t="str">
        <f>IF(COUNTIF(Target1[Target Dates],Benchmark1[[#This Row],[Benchmark '#1 Dates]])=1,"Pass","Fail")</f>
        <v>Pass</v>
      </c>
      <c r="E410" s="6">
        <f>IF(Benchmark1[[#This Row],[Target Date Check]]="Pass",INDEX(Target1[Target Price],MATCH(Benchmark1[[#This Row],[Benchmark '#1 Dates]],Target1[Target Dates],0)),"-")</f>
        <v>17.21</v>
      </c>
      <c r="F410" s="22">
        <f>IF(Benchmark1[[#This Row],[Target Date Check]]="Pass",INDEX(Target1[Target Return],MATCH(Benchmark1[[#This Row],[Benchmark '#1 Dates]],Target1[Target Dates],0)),"-")</f>
        <v>1.9953713665571048E-2</v>
      </c>
      <c r="G410" s="1">
        <f>IFERROR(IF(Benchmark1[[#This Row],[Target Date Check]]="Pass",Benchmark1[[#This Row],[Target Return]]-Benchmark1[[#This Row],[Benchmark '#1 Return]],"-"),"-")</f>
        <v>1.5257078181401663E-2</v>
      </c>
      <c r="H410" s="1" t="str">
        <f>IF(COUNTIF(Comp1[Comparable '#1 Dates],Benchmark1[[#This Row],[Benchmark '#1 Dates]])=1,"Pass","Fail")</f>
        <v>Pass</v>
      </c>
      <c r="I410" s="6">
        <f>IF(Benchmark1[[#This Row],[Comparable '#1 Date Check]]="Pass",INDEX(Comp1[Comparable '#1 Price],MATCH(Benchmark1[[#This Row],[Benchmark '#1 Dates]],Comp1[Comparable '#1 Dates],0)),"-")</f>
        <v>21.32</v>
      </c>
      <c r="J410" s="22">
        <f>IF(Benchmark1[[#This Row],[Comparable '#1 Date Check]]="Pass",INDEX(Comp1[Comparable '#1 Return],MATCH(Benchmark1[[#This Row],[Benchmark '#1 Dates]],Comp1[Comparable '#1 Dates],0)),"-")</f>
        <v>1.1795371481546092E-2</v>
      </c>
      <c r="K410" s="1">
        <f>IFERROR(IF(Benchmark1[[#This Row],[Comparable '#1 Date Check]]="Pass",Benchmark1[[#This Row],[Comparable '#1 Return]]-Benchmark1[[#This Row],[Benchmark '#1 Return]],"-"),"-")</f>
        <v>7.0987359973767074E-3</v>
      </c>
      <c r="L410" s="1" t="str">
        <f>IF(COUNTIF(Comp2[Comparable '#2 Dates],Benchmark1[[#This Row],[Benchmark '#1 Dates]])=1,"Pass","Fail")</f>
        <v>Pass</v>
      </c>
      <c r="M410" s="6">
        <f>IF(Benchmark1[[#This Row],[Comparable '#2 Date Check]]="Pass",INDEX(Comp2[Comparable '#2 Price],MATCH(Benchmark1[[#This Row],[Benchmark '#1 Dates]],Comp2[Comparable '#2 Dates],0)),"-")</f>
        <v>34.35</v>
      </c>
      <c r="N410" s="22">
        <f>IF(Benchmark1[[#This Row],[Comparable '#2 Date Check]]="Pass",INDEX(Comp2[Comparable '#2 Return],MATCH(Benchmark1[[#This Row],[Benchmark '#1 Dates]],Comp2[Comparable '#2 Dates],0)),"-")</f>
        <v>0</v>
      </c>
      <c r="O410" s="1">
        <f>IFERROR(IF(Benchmark1[[#This Row],[Comparable '#2 Date Check]]="Pass",Benchmark1[[#This Row],[Comparable '#2 Return]]-Benchmark1[[#This Row],[Benchmark '#1 Return]],"-"),"-")</f>
        <v>-4.6966354841693845E-3</v>
      </c>
      <c r="P410" s="1" t="str">
        <f>IF(COUNTIF(Comp3[Comparable '#3 Dates],Benchmark1[[#This Row],[Benchmark '#1 Dates]])=1,"Pass","Fail")</f>
        <v>Pass</v>
      </c>
      <c r="Q410" s="6">
        <f>IF(Benchmark1[[#This Row],[Comparable '#3 Date Check]]="Pass",INDEX(Comp3[Comparable '#3 Price],MATCH(Benchmark1[[#This Row],[Benchmark '#1 Dates]],Comp3[Comparable '#3 Dates],0)),"-")</f>
        <v>174.25</v>
      </c>
      <c r="R410" s="22">
        <f>IF(Benchmark1[[#This Row],[Comparable '#3 Date Check]]="Pass",INDEX(Comp3[Comparable '#3 Return],MATCH(Benchmark1[[#This Row],[Benchmark '#1 Dates]],Comp3[Comparable '#3 Dates],0)),"-")</f>
        <v>3.4564711209642961E-2</v>
      </c>
      <c r="S410" s="1">
        <f>IFERROR(IF(Benchmark1[[#This Row],[Comparable '#3 Date Check]]="Pass",Benchmark1[[#This Row],[Comparable '#3 Return]]-Benchmark1[[#This Row],[Benchmark '#1 Return]],"-"),"-")</f>
        <v>2.9868075725473578E-2</v>
      </c>
    </row>
    <row r="411" spans="1:19">
      <c r="A411" s="103">
        <v>43881</v>
      </c>
      <c r="B411" s="104">
        <v>3373.2315060711771</v>
      </c>
      <c r="C411" s="4">
        <f t="shared" si="6"/>
        <v>-3.8231967856740892E-3</v>
      </c>
      <c r="D411" s="1" t="str">
        <f>IF(COUNTIF(Target1[Target Dates],Benchmark1[[#This Row],[Benchmark '#1 Dates]])=1,"Pass","Fail")</f>
        <v>Pass</v>
      </c>
      <c r="E411" s="6">
        <f>IF(Benchmark1[[#This Row],[Target Date Check]]="Pass",INDEX(Target1[Target Price],MATCH(Benchmark1[[#This Row],[Benchmark '#1 Dates]],Target1[Target Dates],0)),"-")</f>
        <v>16.88</v>
      </c>
      <c r="F411" s="22">
        <f>IF(Benchmark1[[#This Row],[Target Date Check]]="Pass",INDEX(Target1[Target Return],MATCH(Benchmark1[[#This Row],[Benchmark '#1 Dates]],Target1[Target Dates],0)),"-")</f>
        <v>-1.9361121055637059E-2</v>
      </c>
      <c r="G411" s="1">
        <f>IFERROR(IF(Benchmark1[[#This Row],[Target Date Check]]="Pass",Benchmark1[[#This Row],[Target Return]]-Benchmark1[[#This Row],[Benchmark '#1 Return]],"-"),"-")</f>
        <v>-1.553792426996297E-2</v>
      </c>
      <c r="H411" s="1" t="str">
        <f>IF(COUNTIF(Comp1[Comparable '#1 Dates],Benchmark1[[#This Row],[Benchmark '#1 Dates]])=1,"Pass","Fail")</f>
        <v>Pass</v>
      </c>
      <c r="I411" s="6">
        <f>IF(Benchmark1[[#This Row],[Comparable '#1 Date Check]]="Pass",INDEX(Comp1[Comparable '#1 Price],MATCH(Benchmark1[[#This Row],[Benchmark '#1 Dates]],Comp1[Comparable '#1 Dates],0)),"-")</f>
        <v>21.33</v>
      </c>
      <c r="J411" s="22">
        <f>IF(Benchmark1[[#This Row],[Comparable '#1 Date Check]]="Pass",INDEX(Comp1[Comparable '#1 Return],MATCH(Benchmark1[[#This Row],[Benchmark '#1 Dates]],Comp1[Comparable '#1 Dates],0)),"-")</f>
        <v>4.6893318561525639E-4</v>
      </c>
      <c r="K411" s="1">
        <f>IFERROR(IF(Benchmark1[[#This Row],[Comparable '#1 Date Check]]="Pass",Benchmark1[[#This Row],[Comparable '#1 Return]]-Benchmark1[[#This Row],[Benchmark '#1 Return]],"-"),"-")</f>
        <v>4.2921299712893454E-3</v>
      </c>
      <c r="L411" s="1" t="str">
        <f>IF(COUNTIF(Comp2[Comparable '#2 Dates],Benchmark1[[#This Row],[Benchmark '#1 Dates]])=1,"Pass","Fail")</f>
        <v>Pass</v>
      </c>
      <c r="M411" s="6">
        <f>IF(Benchmark1[[#This Row],[Comparable '#2 Date Check]]="Pass",INDEX(Comp2[Comparable '#2 Price],MATCH(Benchmark1[[#This Row],[Benchmark '#1 Dates]],Comp2[Comparable '#2 Dates],0)),"-")</f>
        <v>34.65</v>
      </c>
      <c r="N411" s="22">
        <f>IF(Benchmark1[[#This Row],[Comparable '#2 Date Check]]="Pass",INDEX(Comp2[Comparable '#2 Return],MATCH(Benchmark1[[#This Row],[Benchmark '#1 Dates]],Comp2[Comparable '#2 Dates],0)),"-")</f>
        <v>8.695706967553913E-3</v>
      </c>
      <c r="O411" s="1">
        <f>IFERROR(IF(Benchmark1[[#This Row],[Comparable '#2 Date Check]]="Pass",Benchmark1[[#This Row],[Comparable '#2 Return]]-Benchmark1[[#This Row],[Benchmark '#1 Return]],"-"),"-")</f>
        <v>1.2518903753228002E-2</v>
      </c>
      <c r="P411" s="1" t="str">
        <f>IF(COUNTIF(Comp3[Comparable '#3 Dates],Benchmark1[[#This Row],[Benchmark '#1 Dates]])=1,"Pass","Fail")</f>
        <v>Pass</v>
      </c>
      <c r="Q411" s="6">
        <f>IF(Benchmark1[[#This Row],[Comparable '#3 Date Check]]="Pass",INDEX(Comp3[Comparable '#3 Price],MATCH(Benchmark1[[#This Row],[Benchmark '#1 Dates]],Comp3[Comparable '#3 Dates],0)),"-")</f>
        <v>167.92</v>
      </c>
      <c r="R411" s="22">
        <f>IF(Benchmark1[[#This Row],[Comparable '#3 Date Check]]="Pass",INDEX(Comp3[Comparable '#3 Return],MATCH(Benchmark1[[#This Row],[Benchmark '#1 Dates]],Comp3[Comparable '#3 Dates],0)),"-")</f>
        <v>-3.7003374128255766E-2</v>
      </c>
      <c r="S411" s="1">
        <f>IFERROR(IF(Benchmark1[[#This Row],[Comparable '#3 Date Check]]="Pass",Benchmark1[[#This Row],[Comparable '#3 Return]]-Benchmark1[[#This Row],[Benchmark '#1 Return]],"-"),"-")</f>
        <v>-3.3180177342581677E-2</v>
      </c>
    </row>
    <row r="412" spans="1:19">
      <c r="A412" s="103">
        <v>43882</v>
      </c>
      <c r="B412" s="104">
        <v>3337.7470178774652</v>
      </c>
      <c r="C412" s="4">
        <f t="shared" si="6"/>
        <v>-1.0575154953592597E-2</v>
      </c>
      <c r="D412" s="1" t="str">
        <f>IF(COUNTIF(Target1[Target Dates],Benchmark1[[#This Row],[Benchmark '#1 Dates]])=1,"Pass","Fail")</f>
        <v>Pass</v>
      </c>
      <c r="E412" s="6">
        <f>IF(Benchmark1[[#This Row],[Target Date Check]]="Pass",INDEX(Target1[Target Price],MATCH(Benchmark1[[#This Row],[Benchmark '#1 Dates]],Target1[Target Dates],0)),"-")</f>
        <v>16.760000000000002</v>
      </c>
      <c r="F412" s="22">
        <f>IF(Benchmark1[[#This Row],[Target Date Check]]="Pass",INDEX(Target1[Target Return],MATCH(Benchmark1[[#This Row],[Benchmark '#1 Dates]],Target1[Target Dates],0)),"-")</f>
        <v>-7.1343941138738683E-3</v>
      </c>
      <c r="G412" s="1">
        <f>IFERROR(IF(Benchmark1[[#This Row],[Target Date Check]]="Pass",Benchmark1[[#This Row],[Target Return]]-Benchmark1[[#This Row],[Benchmark '#1 Return]],"-"),"-")</f>
        <v>3.4407608397187288E-3</v>
      </c>
      <c r="H412" s="1" t="str">
        <f>IF(COUNTIF(Comp1[Comparable '#1 Dates],Benchmark1[[#This Row],[Benchmark '#1 Dates]])=1,"Pass","Fail")</f>
        <v>Pass</v>
      </c>
      <c r="I412" s="6">
        <f>IF(Benchmark1[[#This Row],[Comparable '#1 Date Check]]="Pass",INDEX(Comp1[Comparable '#1 Price],MATCH(Benchmark1[[#This Row],[Benchmark '#1 Dates]],Comp1[Comparable '#1 Dates],0)),"-")</f>
        <v>21.09</v>
      </c>
      <c r="J412" s="22">
        <f>IF(Benchmark1[[#This Row],[Comparable '#1 Date Check]]="Pass",INDEX(Comp1[Comparable '#1 Return],MATCH(Benchmark1[[#This Row],[Benchmark '#1 Dates]],Comp1[Comparable '#1 Dates],0)),"-")</f>
        <v>-1.1315537992575871E-2</v>
      </c>
      <c r="K412" s="1">
        <f>IFERROR(IF(Benchmark1[[#This Row],[Comparable '#1 Date Check]]="Pass",Benchmark1[[#This Row],[Comparable '#1 Return]]-Benchmark1[[#This Row],[Benchmark '#1 Return]],"-"),"-")</f>
        <v>-7.4038303898327391E-4</v>
      </c>
      <c r="L412" s="1" t="str">
        <f>IF(COUNTIF(Comp2[Comparable '#2 Dates],Benchmark1[[#This Row],[Benchmark '#1 Dates]])=1,"Pass","Fail")</f>
        <v>Pass</v>
      </c>
      <c r="M412" s="6">
        <f>IF(Benchmark1[[#This Row],[Comparable '#2 Date Check]]="Pass",INDEX(Comp2[Comparable '#2 Price],MATCH(Benchmark1[[#This Row],[Benchmark '#1 Dates]],Comp2[Comparable '#2 Dates],0)),"-")</f>
        <v>34.5</v>
      </c>
      <c r="N412" s="22">
        <f>IF(Benchmark1[[#This Row],[Comparable '#2 Date Check]]="Pass",INDEX(Comp2[Comparable '#2 Return],MATCH(Benchmark1[[#This Row],[Benchmark '#1 Dates]],Comp2[Comparable '#2 Dates],0)),"-")</f>
        <v>-4.3384015985981298E-3</v>
      </c>
      <c r="O412" s="1">
        <f>IFERROR(IF(Benchmark1[[#This Row],[Comparable '#2 Date Check]]="Pass",Benchmark1[[#This Row],[Comparable '#2 Return]]-Benchmark1[[#This Row],[Benchmark '#1 Return]],"-"),"-")</f>
        <v>6.2367533549944672E-3</v>
      </c>
      <c r="P412" s="1" t="str">
        <f>IF(COUNTIF(Comp3[Comparable '#3 Dates],Benchmark1[[#This Row],[Benchmark '#1 Dates]])=1,"Pass","Fail")</f>
        <v>Pass</v>
      </c>
      <c r="Q412" s="6">
        <f>IF(Benchmark1[[#This Row],[Comparable '#3 Date Check]]="Pass",INDEX(Comp3[Comparable '#3 Price],MATCH(Benchmark1[[#This Row],[Benchmark '#1 Dates]],Comp3[Comparable '#3 Dates],0)),"-")</f>
        <v>165.72</v>
      </c>
      <c r="R412" s="22">
        <f>IF(Benchmark1[[#This Row],[Comparable '#3 Date Check]]="Pass",INDEX(Comp3[Comparable '#3 Return],MATCH(Benchmark1[[#This Row],[Benchmark '#1 Dates]],Comp3[Comparable '#3 Dates],0)),"-")</f>
        <v>-1.31880583031764E-2</v>
      </c>
      <c r="S412" s="1">
        <f>IFERROR(IF(Benchmark1[[#This Row],[Comparable '#3 Date Check]]="Pass",Benchmark1[[#This Row],[Comparable '#3 Return]]-Benchmark1[[#This Row],[Benchmark '#1 Return]],"-"),"-")</f>
        <v>-2.6129033495838026E-3</v>
      </c>
    </row>
    <row r="413" spans="1:19">
      <c r="A413" s="103">
        <v>43885</v>
      </c>
      <c r="B413" s="104">
        <v>3225.8864022371604</v>
      </c>
      <c r="C413" s="4">
        <f t="shared" si="6"/>
        <v>-3.4088267945403455E-2</v>
      </c>
      <c r="D413" s="1" t="str">
        <f>IF(COUNTIF(Target1[Target Dates],Benchmark1[[#This Row],[Benchmark '#1 Dates]])=1,"Pass","Fail")</f>
        <v>Pass</v>
      </c>
      <c r="E413" s="6">
        <f>IF(Benchmark1[[#This Row],[Target Date Check]]="Pass",INDEX(Target1[Target Price],MATCH(Benchmark1[[#This Row],[Benchmark '#1 Dates]],Target1[Target Dates],0)),"-")</f>
        <v>16.14</v>
      </c>
      <c r="F413" s="22">
        <f>IF(Benchmark1[[#This Row],[Target Date Check]]="Pass",INDEX(Target1[Target Return],MATCH(Benchmark1[[#This Row],[Benchmark '#1 Dates]],Target1[Target Dates],0)),"-")</f>
        <v>-3.7694432212134289E-2</v>
      </c>
      <c r="G413" s="1">
        <f>IFERROR(IF(Benchmark1[[#This Row],[Target Date Check]]="Pass",Benchmark1[[#This Row],[Target Return]]-Benchmark1[[#This Row],[Benchmark '#1 Return]],"-"),"-")</f>
        <v>-3.6061642667308338E-3</v>
      </c>
      <c r="H413" s="1" t="str">
        <f>IF(COUNTIF(Comp1[Comparable '#1 Dates],Benchmark1[[#This Row],[Benchmark '#1 Dates]])=1,"Pass","Fail")</f>
        <v>Pass</v>
      </c>
      <c r="I413" s="6">
        <f>IF(Benchmark1[[#This Row],[Comparable '#1 Date Check]]="Pass",INDEX(Comp1[Comparable '#1 Price],MATCH(Benchmark1[[#This Row],[Benchmark '#1 Dates]],Comp1[Comparable '#1 Dates],0)),"-")</f>
        <v>20.79</v>
      </c>
      <c r="J413" s="22">
        <f>IF(Benchmark1[[#This Row],[Comparable '#1 Date Check]]="Pass",INDEX(Comp1[Comparable '#1 Return],MATCH(Benchmark1[[#This Row],[Benchmark '#1 Dates]],Comp1[Comparable '#1 Dates],0)),"-")</f>
        <v>-1.4326892620761733E-2</v>
      </c>
      <c r="K413" s="1">
        <f>IFERROR(IF(Benchmark1[[#This Row],[Comparable '#1 Date Check]]="Pass",Benchmark1[[#This Row],[Comparable '#1 Return]]-Benchmark1[[#This Row],[Benchmark '#1 Return]],"-"),"-")</f>
        <v>1.9761375324641721E-2</v>
      </c>
      <c r="L413" s="1" t="str">
        <f>IF(COUNTIF(Comp2[Comparable '#2 Dates],Benchmark1[[#This Row],[Benchmark '#1 Dates]])=1,"Pass","Fail")</f>
        <v>Pass</v>
      </c>
      <c r="M413" s="6">
        <f>IF(Benchmark1[[#This Row],[Comparable '#2 Date Check]]="Pass",INDEX(Comp2[Comparable '#2 Price],MATCH(Benchmark1[[#This Row],[Benchmark '#1 Dates]],Comp2[Comparable '#2 Dates],0)),"-")</f>
        <v>33.43</v>
      </c>
      <c r="N413" s="22">
        <f>IF(Benchmark1[[#This Row],[Comparable '#2 Date Check]]="Pass",INDEX(Comp2[Comparable '#2 Return],MATCH(Benchmark1[[#This Row],[Benchmark '#1 Dates]],Comp2[Comparable '#2 Dates],0)),"-")</f>
        <v>-3.1505623605306871E-2</v>
      </c>
      <c r="O413" s="1">
        <f>IFERROR(IF(Benchmark1[[#This Row],[Comparable '#2 Date Check]]="Pass",Benchmark1[[#This Row],[Comparable '#2 Return]]-Benchmark1[[#This Row],[Benchmark '#1 Return]],"-"),"-")</f>
        <v>2.5826443400965848E-3</v>
      </c>
      <c r="P413" s="1" t="str">
        <f>IF(COUNTIF(Comp3[Comparable '#3 Dates],Benchmark1[[#This Row],[Benchmark '#1 Dates]])=1,"Pass","Fail")</f>
        <v>Pass</v>
      </c>
      <c r="Q413" s="6">
        <f>IF(Benchmark1[[#This Row],[Comparable '#3 Date Check]]="Pass",INDEX(Comp3[Comparable '#3 Price],MATCH(Benchmark1[[#This Row],[Benchmark '#1 Dates]],Comp3[Comparable '#3 Dates],0)),"-")</f>
        <v>158.31</v>
      </c>
      <c r="R413" s="22">
        <f>IF(Benchmark1[[#This Row],[Comparable '#3 Date Check]]="Pass",INDEX(Comp3[Comparable '#3 Return],MATCH(Benchmark1[[#This Row],[Benchmark '#1 Dates]],Comp3[Comparable '#3 Dates],0)),"-")</f>
        <v>-4.5744481123514882E-2</v>
      </c>
      <c r="S413" s="1">
        <f>IFERROR(IF(Benchmark1[[#This Row],[Comparable '#3 Date Check]]="Pass",Benchmark1[[#This Row],[Comparable '#3 Return]]-Benchmark1[[#This Row],[Benchmark '#1 Return]],"-"),"-")</f>
        <v>-1.1656213178111427E-2</v>
      </c>
    </row>
    <row r="414" spans="1:19">
      <c r="A414" s="103">
        <v>43886</v>
      </c>
      <c r="B414" s="104">
        <v>3128.2065811070738</v>
      </c>
      <c r="C414" s="4">
        <f t="shared" si="6"/>
        <v>-3.0747902833565866E-2</v>
      </c>
      <c r="D414" s="1" t="str">
        <f>IF(COUNTIF(Target1[Target Dates],Benchmark1[[#This Row],[Benchmark '#1 Dates]])=1,"Pass","Fail")</f>
        <v>Pass</v>
      </c>
      <c r="E414" s="6">
        <f>IF(Benchmark1[[#This Row],[Target Date Check]]="Pass",INDEX(Target1[Target Price],MATCH(Benchmark1[[#This Row],[Benchmark '#1 Dates]],Target1[Target Dates],0)),"-")</f>
        <v>16.07</v>
      </c>
      <c r="F414" s="22">
        <f>IF(Benchmark1[[#This Row],[Target Date Check]]="Pass",INDEX(Target1[Target Return],MATCH(Benchmark1[[#This Row],[Benchmark '#1 Dates]],Target1[Target Dates],0)),"-")</f>
        <v>-4.3464830923815529E-3</v>
      </c>
      <c r="G414" s="1">
        <f>IFERROR(IF(Benchmark1[[#This Row],[Target Date Check]]="Pass",Benchmark1[[#This Row],[Target Return]]-Benchmark1[[#This Row],[Benchmark '#1 Return]],"-"),"-")</f>
        <v>2.6401419741184314E-2</v>
      </c>
      <c r="H414" s="1" t="str">
        <f>IF(COUNTIF(Comp1[Comparable '#1 Dates],Benchmark1[[#This Row],[Benchmark '#1 Dates]])=1,"Pass","Fail")</f>
        <v>Pass</v>
      </c>
      <c r="I414" s="6">
        <f>IF(Benchmark1[[#This Row],[Comparable '#1 Date Check]]="Pass",INDEX(Comp1[Comparable '#1 Price],MATCH(Benchmark1[[#This Row],[Benchmark '#1 Dates]],Comp1[Comparable '#1 Dates],0)),"-")</f>
        <v>20.86</v>
      </c>
      <c r="J414" s="22">
        <f>IF(Benchmark1[[#This Row],[Comparable '#1 Date Check]]="Pass",INDEX(Comp1[Comparable '#1 Return],MATCH(Benchmark1[[#This Row],[Benchmark '#1 Dates]],Comp1[Comparable '#1 Dates],0)),"-")</f>
        <v>3.3613477027049274E-3</v>
      </c>
      <c r="K414" s="1">
        <f>IFERROR(IF(Benchmark1[[#This Row],[Comparable '#1 Date Check]]="Pass",Benchmark1[[#This Row],[Comparable '#1 Return]]-Benchmark1[[#This Row],[Benchmark '#1 Return]],"-"),"-")</f>
        <v>3.4109250536270792E-2</v>
      </c>
      <c r="L414" s="1" t="str">
        <f>IF(COUNTIF(Comp2[Comparable '#2 Dates],Benchmark1[[#This Row],[Benchmark '#1 Dates]])=1,"Pass","Fail")</f>
        <v>Pass</v>
      </c>
      <c r="M414" s="6">
        <f>IF(Benchmark1[[#This Row],[Comparable '#2 Date Check]]="Pass",INDEX(Comp2[Comparable '#2 Price],MATCH(Benchmark1[[#This Row],[Benchmark '#1 Dates]],Comp2[Comparable '#2 Dates],0)),"-")</f>
        <v>33.32</v>
      </c>
      <c r="N414" s="22">
        <f>IF(Benchmark1[[#This Row],[Comparable '#2 Date Check]]="Pass",INDEX(Comp2[Comparable '#2 Return],MATCH(Benchmark1[[#This Row],[Benchmark '#1 Dates]],Comp2[Comparable '#2 Dates],0)),"-")</f>
        <v>-3.2958831333653204E-3</v>
      </c>
      <c r="O414" s="1">
        <f>IFERROR(IF(Benchmark1[[#This Row],[Comparable '#2 Date Check]]="Pass",Benchmark1[[#This Row],[Comparable '#2 Return]]-Benchmark1[[#This Row],[Benchmark '#1 Return]],"-"),"-")</f>
        <v>2.7452019700200544E-2</v>
      </c>
      <c r="P414" s="1" t="str">
        <f>IF(COUNTIF(Comp3[Comparable '#3 Dates],Benchmark1[[#This Row],[Benchmark '#1 Dates]])=1,"Pass","Fail")</f>
        <v>Pass</v>
      </c>
      <c r="Q414" s="6">
        <f>IF(Benchmark1[[#This Row],[Comparable '#3 Date Check]]="Pass",INDEX(Comp3[Comparable '#3 Price],MATCH(Benchmark1[[#This Row],[Benchmark '#1 Dates]],Comp3[Comparable '#3 Dates],0)),"-")</f>
        <v>154.24</v>
      </c>
      <c r="R414" s="22">
        <f>IF(Benchmark1[[#This Row],[Comparable '#3 Date Check]]="Pass",INDEX(Comp3[Comparable '#3 Return],MATCH(Benchmark1[[#This Row],[Benchmark '#1 Dates]],Comp3[Comparable '#3 Dates],0)),"-")</f>
        <v>-2.604530522345061E-2</v>
      </c>
      <c r="S414" s="1">
        <f>IFERROR(IF(Benchmark1[[#This Row],[Comparable '#3 Date Check]]="Pass",Benchmark1[[#This Row],[Comparable '#3 Return]]-Benchmark1[[#This Row],[Benchmark '#1 Return]],"-"),"-")</f>
        <v>4.7025976101152563E-3</v>
      </c>
    </row>
    <row r="415" spans="1:19">
      <c r="A415" s="103">
        <v>43887</v>
      </c>
      <c r="B415" s="104">
        <v>3116.3898493057295</v>
      </c>
      <c r="C415" s="4">
        <f t="shared" si="6"/>
        <v>-3.7846307724445061E-3</v>
      </c>
      <c r="D415" s="1" t="str">
        <f>IF(COUNTIF(Target1[Target Dates],Benchmark1[[#This Row],[Benchmark '#1 Dates]])=1,"Pass","Fail")</f>
        <v>Pass</v>
      </c>
      <c r="E415" s="6">
        <f>IF(Benchmark1[[#This Row],[Target Date Check]]="Pass",INDEX(Target1[Target Price],MATCH(Benchmark1[[#This Row],[Benchmark '#1 Dates]],Target1[Target Dates],0)),"-")</f>
        <v>16.350000000000001</v>
      </c>
      <c r="F415" s="22">
        <f>IF(Benchmark1[[#This Row],[Target Date Check]]="Pass",INDEX(Target1[Target Return],MATCH(Benchmark1[[#This Row],[Benchmark '#1 Dates]],Target1[Target Dates],0)),"-")</f>
        <v>1.7273717593841328E-2</v>
      </c>
      <c r="G415" s="1">
        <f>IFERROR(IF(Benchmark1[[#This Row],[Target Date Check]]="Pass",Benchmark1[[#This Row],[Target Return]]-Benchmark1[[#This Row],[Benchmark '#1 Return]],"-"),"-")</f>
        <v>2.1058348366285833E-2</v>
      </c>
      <c r="H415" s="1" t="str">
        <f>IF(COUNTIF(Comp1[Comparable '#1 Dates],Benchmark1[[#This Row],[Benchmark '#1 Dates]])=1,"Pass","Fail")</f>
        <v>Pass</v>
      </c>
      <c r="I415" s="6">
        <f>IF(Benchmark1[[#This Row],[Comparable '#1 Date Check]]="Pass",INDEX(Comp1[Comparable '#1 Price],MATCH(Benchmark1[[#This Row],[Benchmark '#1 Dates]],Comp1[Comparable '#1 Dates],0)),"-")</f>
        <v>19.97</v>
      </c>
      <c r="J415" s="22">
        <f>IF(Benchmark1[[#This Row],[Comparable '#1 Date Check]]="Pass",INDEX(Comp1[Comparable '#1 Return],MATCH(Benchmark1[[#This Row],[Benchmark '#1 Dates]],Comp1[Comparable '#1 Dates],0)),"-")</f>
        <v>-4.3602302144902516E-2</v>
      </c>
      <c r="K415" s="1">
        <f>IFERROR(IF(Benchmark1[[#This Row],[Comparable '#1 Date Check]]="Pass",Benchmark1[[#This Row],[Comparable '#1 Return]]-Benchmark1[[#This Row],[Benchmark '#1 Return]],"-"),"-")</f>
        <v>-3.9817671372458008E-2</v>
      </c>
      <c r="L415" s="1" t="str">
        <f>IF(COUNTIF(Comp2[Comparable '#2 Dates],Benchmark1[[#This Row],[Benchmark '#1 Dates]])=1,"Pass","Fail")</f>
        <v>Pass</v>
      </c>
      <c r="M415" s="6">
        <f>IF(Benchmark1[[#This Row],[Comparable '#2 Date Check]]="Pass",INDEX(Comp2[Comparable '#2 Price],MATCH(Benchmark1[[#This Row],[Benchmark '#1 Dates]],Comp2[Comparable '#2 Dates],0)),"-")</f>
        <v>31.96</v>
      </c>
      <c r="N415" s="22">
        <f>IF(Benchmark1[[#This Row],[Comparable '#2 Date Check]]="Pass",INDEX(Comp2[Comparable '#2 Return],MATCH(Benchmark1[[#This Row],[Benchmark '#1 Dates]],Comp2[Comparable '#2 Dates],0)),"-")</f>
        <v>-4.1672696400567956E-2</v>
      </c>
      <c r="O415" s="1">
        <f>IFERROR(IF(Benchmark1[[#This Row],[Comparable '#2 Date Check]]="Pass",Benchmark1[[#This Row],[Comparable '#2 Return]]-Benchmark1[[#This Row],[Benchmark '#1 Return]],"-"),"-")</f>
        <v>-3.7888065628123448E-2</v>
      </c>
      <c r="P415" s="1" t="str">
        <f>IF(COUNTIF(Comp3[Comparable '#3 Dates],Benchmark1[[#This Row],[Benchmark '#1 Dates]])=1,"Pass","Fail")</f>
        <v>Pass</v>
      </c>
      <c r="Q415" s="6">
        <f>IF(Benchmark1[[#This Row],[Comparable '#3 Date Check]]="Pass",INDEX(Comp3[Comparable '#3 Price],MATCH(Benchmark1[[#This Row],[Benchmark '#1 Dates]],Comp3[Comparable '#3 Dates],0)),"-")</f>
        <v>150.46</v>
      </c>
      <c r="R415" s="22">
        <f>IF(Benchmark1[[#This Row],[Comparable '#3 Date Check]]="Pass",INDEX(Comp3[Comparable '#3 Return],MATCH(Benchmark1[[#This Row],[Benchmark '#1 Dates]],Comp3[Comparable '#3 Dates],0)),"-")</f>
        <v>-2.4812562730160002E-2</v>
      </c>
      <c r="S415" s="1">
        <f>IFERROR(IF(Benchmark1[[#This Row],[Comparable '#3 Date Check]]="Pass",Benchmark1[[#This Row],[Comparable '#3 Return]]-Benchmark1[[#This Row],[Benchmark '#1 Return]],"-"),"-")</f>
        <v>-2.1027931957715497E-2</v>
      </c>
    </row>
    <row r="416" spans="1:19">
      <c r="A416" s="103">
        <v>43888</v>
      </c>
      <c r="B416" s="104">
        <v>2978.7578316585978</v>
      </c>
      <c r="C416" s="4">
        <f t="shared" si="6"/>
        <v>-4.5168853679763248E-2</v>
      </c>
      <c r="D416" s="1" t="str">
        <f>IF(COUNTIF(Target1[Target Dates],Benchmark1[[#This Row],[Benchmark '#1 Dates]])=1,"Pass","Fail")</f>
        <v>Pass</v>
      </c>
      <c r="E416" s="6">
        <f>IF(Benchmark1[[#This Row],[Target Date Check]]="Pass",INDEX(Target1[Target Price],MATCH(Benchmark1[[#This Row],[Benchmark '#1 Dates]],Target1[Target Dates],0)),"-")</f>
        <v>18.5</v>
      </c>
      <c r="F416" s="22">
        <f>IF(Benchmark1[[#This Row],[Target Date Check]]="Pass",INDEX(Target1[Target Return],MATCH(Benchmark1[[#This Row],[Benchmark '#1 Dates]],Target1[Target Dates],0)),"-")</f>
        <v>0.12354283474101656</v>
      </c>
      <c r="G416" s="1">
        <f>IFERROR(IF(Benchmark1[[#This Row],[Target Date Check]]="Pass",Benchmark1[[#This Row],[Target Return]]-Benchmark1[[#This Row],[Benchmark '#1 Return]],"-"),"-")</f>
        <v>0.1687116884207798</v>
      </c>
      <c r="H416" s="1" t="str">
        <f>IF(COUNTIF(Comp1[Comparable '#1 Dates],Benchmark1[[#This Row],[Benchmark '#1 Dates]])=1,"Pass","Fail")</f>
        <v>Pass</v>
      </c>
      <c r="I416" s="6">
        <f>IF(Benchmark1[[#This Row],[Comparable '#1 Date Check]]="Pass",INDEX(Comp1[Comparable '#1 Price],MATCH(Benchmark1[[#This Row],[Benchmark '#1 Dates]],Comp1[Comparable '#1 Dates],0)),"-")</f>
        <v>18.87</v>
      </c>
      <c r="J416" s="22">
        <f>IF(Benchmark1[[#This Row],[Comparable '#1 Date Check]]="Pass",INDEX(Comp1[Comparable '#1 Return],MATCH(Benchmark1[[#This Row],[Benchmark '#1 Dates]],Comp1[Comparable '#1 Dates],0)),"-")</f>
        <v>-5.6657788047264936E-2</v>
      </c>
      <c r="K416" s="1">
        <f>IFERROR(IF(Benchmark1[[#This Row],[Comparable '#1 Date Check]]="Pass",Benchmark1[[#This Row],[Comparable '#1 Return]]-Benchmark1[[#This Row],[Benchmark '#1 Return]],"-"),"-")</f>
        <v>-1.1488934367501688E-2</v>
      </c>
      <c r="L416" s="1" t="str">
        <f>IF(COUNTIF(Comp2[Comparable '#2 Dates],Benchmark1[[#This Row],[Benchmark '#1 Dates]])=1,"Pass","Fail")</f>
        <v>Pass</v>
      </c>
      <c r="M416" s="6">
        <f>IF(Benchmark1[[#This Row],[Comparable '#2 Date Check]]="Pass",INDEX(Comp2[Comparable '#2 Price],MATCH(Benchmark1[[#This Row],[Benchmark '#1 Dates]],Comp2[Comparable '#2 Dates],0)),"-")</f>
        <v>30.43</v>
      </c>
      <c r="N416" s="22">
        <f>IF(Benchmark1[[#This Row],[Comparable '#2 Date Check]]="Pass",INDEX(Comp2[Comparable '#2 Return],MATCH(Benchmark1[[#This Row],[Benchmark '#1 Dates]],Comp2[Comparable '#2 Dates],0)),"-")</f>
        <v>-4.9056156989194195E-2</v>
      </c>
      <c r="O416" s="1">
        <f>IFERROR(IF(Benchmark1[[#This Row],[Comparable '#2 Date Check]]="Pass",Benchmark1[[#This Row],[Comparable '#2 Return]]-Benchmark1[[#This Row],[Benchmark '#1 Return]],"-"),"-")</f>
        <v>-3.8873033094309478E-3</v>
      </c>
      <c r="P416" s="1" t="str">
        <f>IF(COUNTIF(Comp3[Comparable '#3 Dates],Benchmark1[[#This Row],[Benchmark '#1 Dates]])=1,"Pass","Fail")</f>
        <v>Pass</v>
      </c>
      <c r="Q416" s="6">
        <f>IF(Benchmark1[[#This Row],[Comparable '#3 Date Check]]="Pass",INDEX(Comp3[Comparable '#3 Price],MATCH(Benchmark1[[#This Row],[Benchmark '#1 Dates]],Comp3[Comparable '#3 Dates],0)),"-")</f>
        <v>146.22</v>
      </c>
      <c r="R416" s="22">
        <f>IF(Benchmark1[[#This Row],[Comparable '#3 Date Check]]="Pass",INDEX(Comp3[Comparable '#3 Return],MATCH(Benchmark1[[#This Row],[Benchmark '#1 Dates]],Comp3[Comparable '#3 Dates],0)),"-")</f>
        <v>-2.8584931266905724E-2</v>
      </c>
      <c r="S416" s="1">
        <f>IFERROR(IF(Benchmark1[[#This Row],[Comparable '#3 Date Check]]="Pass",Benchmark1[[#This Row],[Comparable '#3 Return]]-Benchmark1[[#This Row],[Benchmark '#1 Return]],"-"),"-")</f>
        <v>1.6583922412857523E-2</v>
      </c>
    </row>
    <row r="417" spans="1:19">
      <c r="A417" s="103">
        <v>43889</v>
      </c>
      <c r="B417" s="104">
        <v>2954.223684368626</v>
      </c>
      <c r="C417" s="4">
        <f t="shared" si="6"/>
        <v>-8.2704748260943543E-3</v>
      </c>
      <c r="D417" s="1" t="str">
        <f>IF(COUNTIF(Target1[Target Dates],Benchmark1[[#This Row],[Benchmark '#1 Dates]])=1,"Pass","Fail")</f>
        <v>Pass</v>
      </c>
      <c r="E417" s="6">
        <f>IF(Benchmark1[[#This Row],[Target Date Check]]="Pass",INDEX(Target1[Target Price],MATCH(Benchmark1[[#This Row],[Benchmark '#1 Dates]],Target1[Target Dates],0)),"-")</f>
        <v>19.88</v>
      </c>
      <c r="F417" s="22">
        <f>IF(Benchmark1[[#This Row],[Target Date Check]]="Pass",INDEX(Target1[Target Return],MATCH(Benchmark1[[#This Row],[Benchmark '#1 Dates]],Target1[Target Dates],0)),"-")</f>
        <v>7.1943469144148758E-2</v>
      </c>
      <c r="G417" s="1">
        <f>IFERROR(IF(Benchmark1[[#This Row],[Target Date Check]]="Pass",Benchmark1[[#This Row],[Target Return]]-Benchmark1[[#This Row],[Benchmark '#1 Return]],"-"),"-")</f>
        <v>8.0213943970243118E-2</v>
      </c>
      <c r="H417" s="1" t="str">
        <f>IF(COUNTIF(Comp1[Comparable '#1 Dates],Benchmark1[[#This Row],[Benchmark '#1 Dates]])=1,"Pass","Fail")</f>
        <v>Pass</v>
      </c>
      <c r="I417" s="6">
        <f>IF(Benchmark1[[#This Row],[Comparable '#1 Date Check]]="Pass",INDEX(Comp1[Comparable '#1 Price],MATCH(Benchmark1[[#This Row],[Benchmark '#1 Dates]],Comp1[Comparable '#1 Dates],0)),"-")</f>
        <v>18.7</v>
      </c>
      <c r="J417" s="22">
        <f>IF(Benchmark1[[#This Row],[Comparable '#1 Date Check]]="Pass",INDEX(Comp1[Comparable '#1 Return],MATCH(Benchmark1[[#This Row],[Benchmark '#1 Dates]],Comp1[Comparable '#1 Dates],0)),"-")</f>
        <v>-9.0498355199180383E-3</v>
      </c>
      <c r="K417" s="1">
        <f>IFERROR(IF(Benchmark1[[#This Row],[Comparable '#1 Date Check]]="Pass",Benchmark1[[#This Row],[Comparable '#1 Return]]-Benchmark1[[#This Row],[Benchmark '#1 Return]],"-"),"-")</f>
        <v>-7.7936069382368404E-4</v>
      </c>
      <c r="L417" s="1" t="str">
        <f>IF(COUNTIF(Comp2[Comparable '#2 Dates],Benchmark1[[#This Row],[Benchmark '#1 Dates]])=1,"Pass","Fail")</f>
        <v>Pass</v>
      </c>
      <c r="M417" s="6">
        <f>IF(Benchmark1[[#This Row],[Comparable '#2 Date Check]]="Pass",INDEX(Comp2[Comparable '#2 Price],MATCH(Benchmark1[[#This Row],[Benchmark '#1 Dates]],Comp2[Comparable '#2 Dates],0)),"-")</f>
        <v>30.87</v>
      </c>
      <c r="N417" s="22">
        <f>IF(Benchmark1[[#This Row],[Comparable '#2 Date Check]]="Pass",INDEX(Comp2[Comparable '#2 Return],MATCH(Benchmark1[[#This Row],[Benchmark '#1 Dates]],Comp2[Comparable '#2 Dates],0)),"-")</f>
        <v>1.4355874605188156E-2</v>
      </c>
      <c r="O417" s="1">
        <f>IFERROR(IF(Benchmark1[[#This Row],[Comparable '#2 Date Check]]="Pass",Benchmark1[[#This Row],[Comparable '#2 Return]]-Benchmark1[[#This Row],[Benchmark '#1 Return]],"-"),"-")</f>
        <v>2.262634943128251E-2</v>
      </c>
      <c r="P417" s="1" t="str">
        <f>IF(COUNTIF(Comp3[Comparable '#3 Dates],Benchmark1[[#This Row],[Benchmark '#1 Dates]])=1,"Pass","Fail")</f>
        <v>Pass</v>
      </c>
      <c r="Q417" s="6">
        <f>IF(Benchmark1[[#This Row],[Comparable '#3 Date Check]]="Pass",INDEX(Comp3[Comparable '#3 Price],MATCH(Benchmark1[[#This Row],[Benchmark '#1 Dates]],Comp3[Comparable '#3 Dates],0)),"-")</f>
        <v>147.38</v>
      </c>
      <c r="R417" s="22">
        <f>IF(Benchmark1[[#This Row],[Comparable '#3 Date Check]]="Pass",INDEX(Comp3[Comparable '#3 Return],MATCH(Benchmark1[[#This Row],[Benchmark '#1 Dates]],Comp3[Comparable '#3 Dates],0)),"-")</f>
        <v>7.9019484736834126E-3</v>
      </c>
      <c r="S417" s="1">
        <f>IFERROR(IF(Benchmark1[[#This Row],[Comparable '#3 Date Check]]="Pass",Benchmark1[[#This Row],[Comparable '#3 Return]]-Benchmark1[[#This Row],[Benchmark '#1 Return]],"-"),"-")</f>
        <v>1.6172423299777767E-2</v>
      </c>
    </row>
    <row r="418" spans="1:19">
      <c r="A418" s="103">
        <v>43892</v>
      </c>
      <c r="B418" s="104">
        <v>3090.232840454777</v>
      </c>
      <c r="C418" s="4">
        <f t="shared" si="6"/>
        <v>4.5010537191291652E-2</v>
      </c>
      <c r="D418" s="1" t="str">
        <f>IF(COUNTIF(Target1[Target Dates],Benchmark1[[#This Row],[Benchmark '#1 Dates]])=1,"Pass","Fail")</f>
        <v>Pass</v>
      </c>
      <c r="E418" s="6">
        <f>IF(Benchmark1[[#This Row],[Target Date Check]]="Pass",INDEX(Target1[Target Price],MATCH(Benchmark1[[#This Row],[Benchmark '#1 Dates]],Target1[Target Dates],0)),"-")</f>
        <v>19.309999999999999</v>
      </c>
      <c r="F418" s="22">
        <f>IF(Benchmark1[[#This Row],[Target Date Check]]="Pass",INDEX(Target1[Target Return],MATCH(Benchmark1[[#This Row],[Benchmark '#1 Dates]],Target1[Target Dates],0)),"-")</f>
        <v>-2.9091104788004897E-2</v>
      </c>
      <c r="G418" s="1">
        <f>IFERROR(IF(Benchmark1[[#This Row],[Target Date Check]]="Pass",Benchmark1[[#This Row],[Target Return]]-Benchmark1[[#This Row],[Benchmark '#1 Return]],"-"),"-")</f>
        <v>-7.4101641979296556E-2</v>
      </c>
      <c r="H418" s="1" t="str">
        <f>IF(COUNTIF(Comp1[Comparable '#1 Dates],Benchmark1[[#This Row],[Benchmark '#1 Dates]])=1,"Pass","Fail")</f>
        <v>Pass</v>
      </c>
      <c r="I418" s="6">
        <f>IF(Benchmark1[[#This Row],[Comparable '#1 Date Check]]="Pass",INDEX(Comp1[Comparable '#1 Price],MATCH(Benchmark1[[#This Row],[Benchmark '#1 Dates]],Comp1[Comparable '#1 Dates],0)),"-")</f>
        <v>19.46</v>
      </c>
      <c r="J418" s="22">
        <f>IF(Benchmark1[[#This Row],[Comparable '#1 Date Check]]="Pass",INDEX(Comp1[Comparable '#1 Return],MATCH(Benchmark1[[#This Row],[Benchmark '#1 Dates]],Comp1[Comparable '#1 Dates],0)),"-")</f>
        <v>3.9837552897318176E-2</v>
      </c>
      <c r="K418" s="1">
        <f>IFERROR(IF(Benchmark1[[#This Row],[Comparable '#1 Date Check]]="Pass",Benchmark1[[#This Row],[Comparable '#1 Return]]-Benchmark1[[#This Row],[Benchmark '#1 Return]],"-"),"-")</f>
        <v>-5.172984293973476E-3</v>
      </c>
      <c r="L418" s="1" t="str">
        <f>IF(COUNTIF(Comp2[Comparable '#2 Dates],Benchmark1[[#This Row],[Benchmark '#1 Dates]])=1,"Pass","Fail")</f>
        <v>Pass</v>
      </c>
      <c r="M418" s="6">
        <f>IF(Benchmark1[[#This Row],[Comparable '#2 Date Check]]="Pass",INDEX(Comp2[Comparable '#2 Price],MATCH(Benchmark1[[#This Row],[Benchmark '#1 Dates]],Comp2[Comparable '#2 Dates],0)),"-")</f>
        <v>30.91</v>
      </c>
      <c r="N418" s="22">
        <f>IF(Benchmark1[[#This Row],[Comparable '#2 Date Check]]="Pass",INDEX(Comp2[Comparable '#2 Return],MATCH(Benchmark1[[#This Row],[Benchmark '#1 Dates]],Comp2[Comparable '#2 Dates],0)),"-")</f>
        <v>1.294917629956907E-3</v>
      </c>
      <c r="O418" s="1">
        <f>IFERROR(IF(Benchmark1[[#This Row],[Comparable '#2 Date Check]]="Pass",Benchmark1[[#This Row],[Comparable '#2 Return]]-Benchmark1[[#This Row],[Benchmark '#1 Return]],"-"),"-")</f>
        <v>-4.3715619561334747E-2</v>
      </c>
      <c r="P418" s="1" t="str">
        <f>IF(COUNTIF(Comp3[Comparable '#3 Dates],Benchmark1[[#This Row],[Benchmark '#1 Dates]])=1,"Pass","Fail")</f>
        <v>Pass</v>
      </c>
      <c r="Q418" s="6">
        <f>IF(Benchmark1[[#This Row],[Comparable '#3 Date Check]]="Pass",INDEX(Comp3[Comparable '#3 Price],MATCH(Benchmark1[[#This Row],[Benchmark '#1 Dates]],Comp3[Comparable '#3 Dates],0)),"-")</f>
        <v>149.18</v>
      </c>
      <c r="R418" s="22">
        <f>IF(Benchmark1[[#This Row],[Comparable '#3 Date Check]]="Pass",INDEX(Comp3[Comparable '#3 Return],MATCH(Benchmark1[[#This Row],[Benchmark '#1 Dates]],Comp3[Comparable '#3 Dates],0)),"-")</f>
        <v>1.2139345188164017E-2</v>
      </c>
      <c r="S418" s="1">
        <f>IFERROR(IF(Benchmark1[[#This Row],[Comparable '#3 Date Check]]="Pass",Benchmark1[[#This Row],[Comparable '#3 Return]]-Benchmark1[[#This Row],[Benchmark '#1 Return]],"-"),"-")</f>
        <v>-3.2871192003127638E-2</v>
      </c>
    </row>
    <row r="419" spans="1:19">
      <c r="A419" s="103">
        <v>43893</v>
      </c>
      <c r="B419" s="104">
        <v>3003.3651720328107</v>
      </c>
      <c r="C419" s="4">
        <f t="shared" si="6"/>
        <v>-2.8513056952005081E-2</v>
      </c>
      <c r="D419" s="1" t="str">
        <f>IF(COUNTIF(Target1[Target Dates],Benchmark1[[#This Row],[Benchmark '#1 Dates]])=1,"Pass","Fail")</f>
        <v>Pass</v>
      </c>
      <c r="E419" s="6">
        <f>IF(Benchmark1[[#This Row],[Target Date Check]]="Pass",INDEX(Target1[Target Price],MATCH(Benchmark1[[#This Row],[Benchmark '#1 Dates]],Target1[Target Dates],0)),"-")</f>
        <v>20.329999999999998</v>
      </c>
      <c r="F419" s="22">
        <f>IF(Benchmark1[[#This Row],[Target Date Check]]="Pass",INDEX(Target1[Target Return],MATCH(Benchmark1[[#This Row],[Benchmark '#1 Dates]],Target1[Target Dates],0)),"-")</f>
        <v>5.1474531199832099E-2</v>
      </c>
      <c r="G419" s="1">
        <f>IFERROR(IF(Benchmark1[[#This Row],[Target Date Check]]="Pass",Benchmark1[[#This Row],[Target Return]]-Benchmark1[[#This Row],[Benchmark '#1 Return]],"-"),"-")</f>
        <v>7.998758815183718E-2</v>
      </c>
      <c r="H419" s="1" t="str">
        <f>IF(COUNTIF(Comp1[Comparable '#1 Dates],Benchmark1[[#This Row],[Benchmark '#1 Dates]])=1,"Pass","Fail")</f>
        <v>Pass</v>
      </c>
      <c r="I419" s="6">
        <f>IF(Benchmark1[[#This Row],[Comparable '#1 Date Check]]="Pass",INDEX(Comp1[Comparable '#1 Price],MATCH(Benchmark1[[#This Row],[Benchmark '#1 Dates]],Comp1[Comparable '#1 Dates],0)),"-")</f>
        <v>19.13</v>
      </c>
      <c r="J419" s="22">
        <f>IF(Benchmark1[[#This Row],[Comparable '#1 Date Check]]="Pass",INDEX(Comp1[Comparable '#1 Return],MATCH(Benchmark1[[#This Row],[Benchmark '#1 Dates]],Comp1[Comparable '#1 Dates],0)),"-")</f>
        <v>-1.7103293305697549E-2</v>
      </c>
      <c r="K419" s="1">
        <f>IFERROR(IF(Benchmark1[[#This Row],[Comparable '#1 Date Check]]="Pass",Benchmark1[[#This Row],[Comparable '#1 Return]]-Benchmark1[[#This Row],[Benchmark '#1 Return]],"-"),"-")</f>
        <v>1.1409763646307532E-2</v>
      </c>
      <c r="L419" s="1" t="str">
        <f>IF(COUNTIF(Comp2[Comparable '#2 Dates],Benchmark1[[#This Row],[Benchmark '#1 Dates]])=1,"Pass","Fail")</f>
        <v>Pass</v>
      </c>
      <c r="M419" s="6">
        <f>IF(Benchmark1[[#This Row],[Comparable '#2 Date Check]]="Pass",INDEX(Comp2[Comparable '#2 Price],MATCH(Benchmark1[[#This Row],[Benchmark '#1 Dates]],Comp2[Comparable '#2 Dates],0)),"-")</f>
        <v>29.87</v>
      </c>
      <c r="N419" s="22">
        <f>IF(Benchmark1[[#This Row],[Comparable '#2 Date Check]]="Pass",INDEX(Comp2[Comparable '#2 Return],MATCH(Benchmark1[[#This Row],[Benchmark '#1 Dates]],Comp2[Comparable '#2 Dates],0)),"-")</f>
        <v>-3.4225123916006524E-2</v>
      </c>
      <c r="O419" s="1">
        <f>IFERROR(IF(Benchmark1[[#This Row],[Comparable '#2 Date Check]]="Pass",Benchmark1[[#This Row],[Comparable '#2 Return]]-Benchmark1[[#This Row],[Benchmark '#1 Return]],"-"),"-")</f>
        <v>-5.7120669640014429E-3</v>
      </c>
      <c r="P419" s="1" t="str">
        <f>IF(COUNTIF(Comp3[Comparable '#3 Dates],Benchmark1[[#This Row],[Benchmark '#1 Dates]])=1,"Pass","Fail")</f>
        <v>Pass</v>
      </c>
      <c r="Q419" s="6">
        <f>IF(Benchmark1[[#This Row],[Comparable '#3 Date Check]]="Pass",INDEX(Comp3[Comparable '#3 Price],MATCH(Benchmark1[[#This Row],[Benchmark '#1 Dates]],Comp3[Comparable '#3 Dates],0)),"-")</f>
        <v>144.05000000000001</v>
      </c>
      <c r="R419" s="22">
        <f>IF(Benchmark1[[#This Row],[Comparable '#3 Date Check]]="Pass",INDEX(Comp3[Comparable '#3 Return],MATCH(Benchmark1[[#This Row],[Benchmark '#1 Dates]],Comp3[Comparable '#3 Dates],0)),"-")</f>
        <v>-3.4993168996479633E-2</v>
      </c>
      <c r="S419" s="1">
        <f>IFERROR(IF(Benchmark1[[#This Row],[Comparable '#3 Date Check]]="Pass",Benchmark1[[#This Row],[Comparable '#3 Return]]-Benchmark1[[#This Row],[Benchmark '#1 Return]],"-"),"-")</f>
        <v>-6.4801120444745522E-3</v>
      </c>
    </row>
    <row r="420" spans="1:19">
      <c r="A420" s="103">
        <v>43894</v>
      </c>
      <c r="B420" s="104">
        <v>3130.1168787338538</v>
      </c>
      <c r="C420" s="4">
        <f t="shared" si="6"/>
        <v>4.133696128665492E-2</v>
      </c>
      <c r="D420" s="1" t="str">
        <f>IF(COUNTIF(Target1[Target Dates],Benchmark1[[#This Row],[Benchmark '#1 Dates]])=1,"Pass","Fail")</f>
        <v>Pass</v>
      </c>
      <c r="E420" s="6">
        <f>IF(Benchmark1[[#This Row],[Target Date Check]]="Pass",INDEX(Target1[Target Price],MATCH(Benchmark1[[#This Row],[Benchmark '#1 Dates]],Target1[Target Dates],0)),"-")</f>
        <v>20.34</v>
      </c>
      <c r="F420" s="22">
        <f>IF(Benchmark1[[#This Row],[Target Date Check]]="Pass",INDEX(Target1[Target Return],MATCH(Benchmark1[[#This Row],[Benchmark '#1 Dates]],Target1[Target Dates],0)),"-")</f>
        <v>4.9176298015866839E-4</v>
      </c>
      <c r="G420" s="1">
        <f>IFERROR(IF(Benchmark1[[#This Row],[Target Date Check]]="Pass",Benchmark1[[#This Row],[Target Return]]-Benchmark1[[#This Row],[Benchmark '#1 Return]],"-"),"-")</f>
        <v>-4.0845198306496251E-2</v>
      </c>
      <c r="H420" s="1" t="str">
        <f>IF(COUNTIF(Comp1[Comparable '#1 Dates],Benchmark1[[#This Row],[Benchmark '#1 Dates]])=1,"Pass","Fail")</f>
        <v>Pass</v>
      </c>
      <c r="I420" s="6">
        <f>IF(Benchmark1[[#This Row],[Comparable '#1 Date Check]]="Pass",INDEX(Comp1[Comparable '#1 Price],MATCH(Benchmark1[[#This Row],[Benchmark '#1 Dates]],Comp1[Comparable '#1 Dates],0)),"-")</f>
        <v>19.835000000000001</v>
      </c>
      <c r="J420" s="22">
        <f>IF(Benchmark1[[#This Row],[Comparable '#1 Date Check]]="Pass",INDEX(Comp1[Comparable '#1 Return],MATCH(Benchmark1[[#This Row],[Benchmark '#1 Dates]],Comp1[Comparable '#1 Dates],0)),"-")</f>
        <v>3.6190270514132088E-2</v>
      </c>
      <c r="K420" s="1">
        <f>IFERROR(IF(Benchmark1[[#This Row],[Comparable '#1 Date Check]]="Pass",Benchmark1[[#This Row],[Comparable '#1 Return]]-Benchmark1[[#This Row],[Benchmark '#1 Return]],"-"),"-")</f>
        <v>-5.1466907725228328E-3</v>
      </c>
      <c r="L420" s="1" t="str">
        <f>IF(COUNTIF(Comp2[Comparable '#2 Dates],Benchmark1[[#This Row],[Benchmark '#1 Dates]])=1,"Pass","Fail")</f>
        <v>Pass</v>
      </c>
      <c r="M420" s="6">
        <f>IF(Benchmark1[[#This Row],[Comparable '#2 Date Check]]="Pass",INDEX(Comp2[Comparable '#2 Price],MATCH(Benchmark1[[#This Row],[Benchmark '#1 Dates]],Comp2[Comparable '#2 Dates],0)),"-")</f>
        <v>31.32</v>
      </c>
      <c r="N420" s="22">
        <f>IF(Benchmark1[[#This Row],[Comparable '#2 Date Check]]="Pass",INDEX(Comp2[Comparable '#2 Return],MATCH(Benchmark1[[#This Row],[Benchmark '#1 Dates]],Comp2[Comparable '#2 Dates],0)),"-")</f>
        <v>4.7402238894583899E-2</v>
      </c>
      <c r="O420" s="1">
        <f>IFERROR(IF(Benchmark1[[#This Row],[Comparable '#2 Date Check]]="Pass",Benchmark1[[#This Row],[Comparable '#2 Return]]-Benchmark1[[#This Row],[Benchmark '#1 Return]],"-"),"-")</f>
        <v>6.0652776079289789E-3</v>
      </c>
      <c r="P420" s="1" t="str">
        <f>IF(COUNTIF(Comp3[Comparable '#3 Dates],Benchmark1[[#This Row],[Benchmark '#1 Dates]])=1,"Pass","Fail")</f>
        <v>Pass</v>
      </c>
      <c r="Q420" s="6">
        <f>IF(Benchmark1[[#This Row],[Comparable '#3 Date Check]]="Pass",INDEX(Comp3[Comparable '#3 Price],MATCH(Benchmark1[[#This Row],[Benchmark '#1 Dates]],Comp3[Comparable '#3 Dates],0)),"-")</f>
        <v>155.26</v>
      </c>
      <c r="R420" s="22">
        <f>IF(Benchmark1[[#This Row],[Comparable '#3 Date Check]]="Pass",INDEX(Comp3[Comparable '#3 Return],MATCH(Benchmark1[[#This Row],[Benchmark '#1 Dates]],Comp3[Comparable '#3 Dates],0)),"-")</f>
        <v>7.4940669446996705E-2</v>
      </c>
      <c r="S420" s="1">
        <f>IFERROR(IF(Benchmark1[[#This Row],[Comparable '#3 Date Check]]="Pass",Benchmark1[[#This Row],[Comparable '#3 Return]]-Benchmark1[[#This Row],[Benchmark '#1 Return]],"-"),"-")</f>
        <v>3.3603708160341784E-2</v>
      </c>
    </row>
    <row r="421" spans="1:19">
      <c r="A421" s="103">
        <v>43895</v>
      </c>
      <c r="B421" s="104">
        <v>3023.9403107854264</v>
      </c>
      <c r="C421" s="4">
        <f t="shared" si="6"/>
        <v>-3.4509625677805855E-2</v>
      </c>
      <c r="D421" s="1" t="str">
        <f>IF(COUNTIF(Target1[Target Dates],Benchmark1[[#This Row],[Benchmark '#1 Dates]])=1,"Pass","Fail")</f>
        <v>Pass</v>
      </c>
      <c r="E421" s="6">
        <f>IF(Benchmark1[[#This Row],[Target Date Check]]="Pass",INDEX(Target1[Target Price],MATCH(Benchmark1[[#This Row],[Benchmark '#1 Dates]],Target1[Target Dates],0)),"-")</f>
        <v>20.75</v>
      </c>
      <c r="F421" s="22">
        <f>IF(Benchmark1[[#This Row],[Target Date Check]]="Pass",INDEX(Target1[Target Return],MATCH(Benchmark1[[#This Row],[Benchmark '#1 Dates]],Target1[Target Dates],0)),"-")</f>
        <v>1.9956856056293382E-2</v>
      </c>
      <c r="G421" s="1">
        <f>IFERROR(IF(Benchmark1[[#This Row],[Target Date Check]]="Pass",Benchmark1[[#This Row],[Target Return]]-Benchmark1[[#This Row],[Benchmark '#1 Return]],"-"),"-")</f>
        <v>5.4466481734099237E-2</v>
      </c>
      <c r="H421" s="1" t="str">
        <f>IF(COUNTIF(Comp1[Comparable '#1 Dates],Benchmark1[[#This Row],[Benchmark '#1 Dates]])=1,"Pass","Fail")</f>
        <v>Pass</v>
      </c>
      <c r="I421" s="6">
        <f>IF(Benchmark1[[#This Row],[Comparable '#1 Date Check]]="Pass",INDEX(Comp1[Comparable '#1 Price],MATCH(Benchmark1[[#This Row],[Benchmark '#1 Dates]],Comp1[Comparable '#1 Dates],0)),"-")</f>
        <v>18.48</v>
      </c>
      <c r="J421" s="22">
        <f>IF(Benchmark1[[#This Row],[Comparable '#1 Date Check]]="Pass",INDEX(Comp1[Comparable '#1 Return],MATCH(Benchmark1[[#This Row],[Benchmark '#1 Dates]],Comp1[Comparable '#1 Dates],0)),"-")</f>
        <v>-7.075898775275534E-2</v>
      </c>
      <c r="K421" s="1">
        <f>IFERROR(IF(Benchmark1[[#This Row],[Comparable '#1 Date Check]]="Pass",Benchmark1[[#This Row],[Comparable '#1 Return]]-Benchmark1[[#This Row],[Benchmark '#1 Return]],"-"),"-")</f>
        <v>-3.6249362074949484E-2</v>
      </c>
      <c r="L421" s="1" t="str">
        <f>IF(COUNTIF(Comp2[Comparable '#2 Dates],Benchmark1[[#This Row],[Benchmark '#1 Dates]])=1,"Pass","Fail")</f>
        <v>Pass</v>
      </c>
      <c r="M421" s="6">
        <f>IF(Benchmark1[[#This Row],[Comparable '#2 Date Check]]="Pass",INDEX(Comp2[Comparable '#2 Price],MATCH(Benchmark1[[#This Row],[Benchmark '#1 Dates]],Comp2[Comparable '#2 Dates],0)),"-")</f>
        <v>29.86</v>
      </c>
      <c r="N421" s="22">
        <f>IF(Benchmark1[[#This Row],[Comparable '#2 Date Check]]="Pass",INDEX(Comp2[Comparable '#2 Return],MATCH(Benchmark1[[#This Row],[Benchmark '#1 Dates]],Comp2[Comparable '#2 Dates],0)),"-")</f>
        <v>-4.7737079011558048E-2</v>
      </c>
      <c r="O421" s="1">
        <f>IFERROR(IF(Benchmark1[[#This Row],[Comparable '#2 Date Check]]="Pass",Benchmark1[[#This Row],[Comparable '#2 Return]]-Benchmark1[[#This Row],[Benchmark '#1 Return]],"-"),"-")</f>
        <v>-1.3227453333752193E-2</v>
      </c>
      <c r="P421" s="1" t="str">
        <f>IF(COUNTIF(Comp3[Comparable '#3 Dates],Benchmark1[[#This Row],[Benchmark '#1 Dates]])=1,"Pass","Fail")</f>
        <v>Pass</v>
      </c>
      <c r="Q421" s="6">
        <f>IF(Benchmark1[[#This Row],[Comparable '#3 Date Check]]="Pass",INDEX(Comp3[Comparable '#3 Price],MATCH(Benchmark1[[#This Row],[Benchmark '#1 Dates]],Comp3[Comparable '#3 Dates],0)),"-")</f>
        <v>151.41</v>
      </c>
      <c r="R421" s="22">
        <f>IF(Benchmark1[[#This Row],[Comparable '#3 Date Check]]="Pass",INDEX(Comp3[Comparable '#3 Return],MATCH(Benchmark1[[#This Row],[Benchmark '#1 Dates]],Comp3[Comparable '#3 Dates],0)),"-")</f>
        <v>-2.5109741957253542E-2</v>
      </c>
      <c r="S421" s="1">
        <f>IFERROR(IF(Benchmark1[[#This Row],[Comparable '#3 Date Check]]="Pass",Benchmark1[[#This Row],[Comparable '#3 Return]]-Benchmark1[[#This Row],[Benchmark '#1 Return]],"-"),"-")</f>
        <v>9.3998837205523135E-3</v>
      </c>
    </row>
    <row r="422" spans="1:19">
      <c r="A422" s="103">
        <v>43896</v>
      </c>
      <c r="B422" s="104">
        <v>2972.371907121661</v>
      </c>
      <c r="C422" s="4">
        <f t="shared" si="6"/>
        <v>-1.7200463613309794E-2</v>
      </c>
      <c r="D422" s="1" t="str">
        <f>IF(COUNTIF(Target1[Target Dates],Benchmark1[[#This Row],[Benchmark '#1 Dates]])=1,"Pass","Fail")</f>
        <v>Pass</v>
      </c>
      <c r="E422" s="6">
        <f>IF(Benchmark1[[#This Row],[Target Date Check]]="Pass",INDEX(Target1[Target Price],MATCH(Benchmark1[[#This Row],[Benchmark '#1 Dates]],Target1[Target Dates],0)),"-")</f>
        <v>20.5</v>
      </c>
      <c r="F422" s="22">
        <f>IF(Benchmark1[[#This Row],[Target Date Check]]="Pass",INDEX(Target1[Target Return],MATCH(Benchmark1[[#This Row],[Benchmark '#1 Dates]],Target1[Target Dates],0)),"-")</f>
        <v>-1.212136053234485E-2</v>
      </c>
      <c r="G422" s="1">
        <f>IFERROR(IF(Benchmark1[[#This Row],[Target Date Check]]="Pass",Benchmark1[[#This Row],[Target Return]]-Benchmark1[[#This Row],[Benchmark '#1 Return]],"-"),"-")</f>
        <v>5.0791030809649446E-3</v>
      </c>
      <c r="H422" s="1" t="str">
        <f>IF(COUNTIF(Comp1[Comparable '#1 Dates],Benchmark1[[#This Row],[Benchmark '#1 Dates]])=1,"Pass","Fail")</f>
        <v>Pass</v>
      </c>
      <c r="I422" s="6">
        <f>IF(Benchmark1[[#This Row],[Comparable '#1 Date Check]]="Pass",INDEX(Comp1[Comparable '#1 Price],MATCH(Benchmark1[[#This Row],[Benchmark '#1 Dates]],Comp1[Comparable '#1 Dates],0)),"-")</f>
        <v>18.29</v>
      </c>
      <c r="J422" s="22">
        <f>IF(Benchmark1[[#This Row],[Comparable '#1 Date Check]]="Pass",INDEX(Comp1[Comparable '#1 Return],MATCH(Benchmark1[[#This Row],[Benchmark '#1 Dates]],Comp1[Comparable '#1 Dates],0)),"-")</f>
        <v>-1.0334603810763827E-2</v>
      </c>
      <c r="K422" s="1">
        <f>IFERROR(IF(Benchmark1[[#This Row],[Comparable '#1 Date Check]]="Pass",Benchmark1[[#This Row],[Comparable '#1 Return]]-Benchmark1[[#This Row],[Benchmark '#1 Return]],"-"),"-")</f>
        <v>6.8658598025459674E-3</v>
      </c>
      <c r="L422" s="1" t="str">
        <f>IF(COUNTIF(Comp2[Comparable '#2 Dates],Benchmark1[[#This Row],[Benchmark '#1 Dates]])=1,"Pass","Fail")</f>
        <v>Pass</v>
      </c>
      <c r="M422" s="6">
        <f>IF(Benchmark1[[#This Row],[Comparable '#2 Date Check]]="Pass",INDEX(Comp2[Comparable '#2 Price],MATCH(Benchmark1[[#This Row],[Benchmark '#1 Dates]],Comp2[Comparable '#2 Dates],0)),"-")</f>
        <v>30.87</v>
      </c>
      <c r="N422" s="22">
        <f>IF(Benchmark1[[#This Row],[Comparable '#2 Date Check]]="Pass",INDEX(Comp2[Comparable '#2 Return],MATCH(Benchmark1[[#This Row],[Benchmark '#1 Dates]],Comp2[Comparable '#2 Dates],0)),"-")</f>
        <v>3.3265046403023572E-2</v>
      </c>
      <c r="O422" s="1">
        <f>IFERROR(IF(Benchmark1[[#This Row],[Comparable '#2 Date Check]]="Pass",Benchmark1[[#This Row],[Comparable '#2 Return]]-Benchmark1[[#This Row],[Benchmark '#1 Return]],"-"),"-")</f>
        <v>5.046551001633337E-2</v>
      </c>
      <c r="P422" s="1" t="str">
        <f>IF(COUNTIF(Comp3[Comparable '#3 Dates],Benchmark1[[#This Row],[Benchmark '#1 Dates]])=1,"Pass","Fail")</f>
        <v>Pass</v>
      </c>
      <c r="Q422" s="6">
        <f>IF(Benchmark1[[#This Row],[Comparable '#3 Date Check]]="Pass",INDEX(Comp3[Comparable '#3 Price],MATCH(Benchmark1[[#This Row],[Benchmark '#1 Dates]],Comp3[Comparable '#3 Dates],0)),"-")</f>
        <v>150.37</v>
      </c>
      <c r="R422" s="22">
        <f>IF(Benchmark1[[#This Row],[Comparable '#3 Date Check]]="Pass",INDEX(Comp3[Comparable '#3 Return],MATCH(Benchmark1[[#This Row],[Benchmark '#1 Dates]],Comp3[Comparable '#3 Dates],0)),"-")</f>
        <v>-6.8924654860519699E-3</v>
      </c>
      <c r="S422" s="1">
        <f>IFERROR(IF(Benchmark1[[#This Row],[Comparable '#3 Date Check]]="Pass",Benchmark1[[#This Row],[Comparable '#3 Return]]-Benchmark1[[#This Row],[Benchmark '#1 Return]],"-"),"-")</f>
        <v>1.0307998127257825E-2</v>
      </c>
    </row>
    <row r="423" spans="1:19">
      <c r="A423" s="103">
        <v>43899</v>
      </c>
      <c r="B423" s="104">
        <v>2746.5595752904615</v>
      </c>
      <c r="C423" s="4">
        <f t="shared" si="6"/>
        <v>-7.9011191097845476E-2</v>
      </c>
      <c r="D423" s="1" t="str">
        <f>IF(COUNTIF(Target1[Target Dates],Benchmark1[[#This Row],[Benchmark '#1 Dates]])=1,"Pass","Fail")</f>
        <v>Pass</v>
      </c>
      <c r="E423" s="6">
        <f>IF(Benchmark1[[#This Row],[Target Date Check]]="Pass",INDEX(Target1[Target Price],MATCH(Benchmark1[[#This Row],[Benchmark '#1 Dates]],Target1[Target Dates],0)),"-")</f>
        <v>19.440000000000001</v>
      </c>
      <c r="F423" s="22">
        <f>IF(Benchmark1[[#This Row],[Target Date Check]]="Pass",INDEX(Target1[Target Return],MATCH(Benchmark1[[#This Row],[Benchmark '#1 Dates]],Target1[Target Dates],0)),"-")</f>
        <v>-5.3092087112069405E-2</v>
      </c>
      <c r="G423" s="1">
        <f>IFERROR(IF(Benchmark1[[#This Row],[Target Date Check]]="Pass",Benchmark1[[#This Row],[Target Return]]-Benchmark1[[#This Row],[Benchmark '#1 Return]],"-"),"-")</f>
        <v>2.5919103985776071E-2</v>
      </c>
      <c r="H423" s="1" t="str">
        <f>IF(COUNTIF(Comp1[Comparable '#1 Dates],Benchmark1[[#This Row],[Benchmark '#1 Dates]])=1,"Pass","Fail")</f>
        <v>Pass</v>
      </c>
      <c r="I423" s="6">
        <f>IF(Benchmark1[[#This Row],[Comparable '#1 Date Check]]="Pass",INDEX(Comp1[Comparable '#1 Price],MATCH(Benchmark1[[#This Row],[Benchmark '#1 Dates]],Comp1[Comparable '#1 Dates],0)),"-")</f>
        <v>16.78</v>
      </c>
      <c r="J423" s="22">
        <f>IF(Benchmark1[[#This Row],[Comparable '#1 Date Check]]="Pass",INDEX(Comp1[Comparable '#1 Return],MATCH(Benchmark1[[#This Row],[Benchmark '#1 Dates]],Comp1[Comparable '#1 Dates],0)),"-")</f>
        <v>-8.6166761363714137E-2</v>
      </c>
      <c r="K423" s="1">
        <f>IFERROR(IF(Benchmark1[[#This Row],[Comparable '#1 Date Check]]="Pass",Benchmark1[[#This Row],[Comparable '#1 Return]]-Benchmark1[[#This Row],[Benchmark '#1 Return]],"-"),"-")</f>
        <v>-7.1555702658686604E-3</v>
      </c>
      <c r="L423" s="1" t="str">
        <f>IF(COUNTIF(Comp2[Comparable '#2 Dates],Benchmark1[[#This Row],[Benchmark '#1 Dates]])=1,"Pass","Fail")</f>
        <v>Pass</v>
      </c>
      <c r="M423" s="6">
        <f>IF(Benchmark1[[#This Row],[Comparable '#2 Date Check]]="Pass",INDEX(Comp2[Comparable '#2 Price],MATCH(Benchmark1[[#This Row],[Benchmark '#1 Dates]],Comp2[Comparable '#2 Dates],0)),"-")</f>
        <v>29.13</v>
      </c>
      <c r="N423" s="22">
        <f>IF(Benchmark1[[#This Row],[Comparable '#2 Date Check]]="Pass",INDEX(Comp2[Comparable '#2 Return],MATCH(Benchmark1[[#This Row],[Benchmark '#1 Dates]],Comp2[Comparable '#2 Dates],0)),"-")</f>
        <v>-5.8016267542724709E-2</v>
      </c>
      <c r="O423" s="1">
        <f>IFERROR(IF(Benchmark1[[#This Row],[Comparable '#2 Date Check]]="Pass",Benchmark1[[#This Row],[Comparable '#2 Return]]-Benchmark1[[#This Row],[Benchmark '#1 Return]],"-"),"-")</f>
        <v>2.0994923555120767E-2</v>
      </c>
      <c r="P423" s="1" t="str">
        <f>IF(COUNTIF(Comp3[Comparable '#3 Dates],Benchmark1[[#This Row],[Benchmark '#1 Dates]])=1,"Pass","Fail")</f>
        <v>Pass</v>
      </c>
      <c r="Q423" s="6">
        <f>IF(Benchmark1[[#This Row],[Comparable '#3 Date Check]]="Pass",INDEX(Comp3[Comparable '#3 Price],MATCH(Benchmark1[[#This Row],[Benchmark '#1 Dates]],Comp3[Comparable '#3 Dates],0)),"-")</f>
        <v>142.47999999999999</v>
      </c>
      <c r="R423" s="22">
        <f>IF(Benchmark1[[#This Row],[Comparable '#3 Date Check]]="Pass",INDEX(Comp3[Comparable '#3 Return],MATCH(Benchmark1[[#This Row],[Benchmark '#1 Dates]],Comp3[Comparable '#3 Dates],0)),"-")</f>
        <v>-5.3897284552822659E-2</v>
      </c>
      <c r="S423" s="1">
        <f>IFERROR(IF(Benchmark1[[#This Row],[Comparable '#3 Date Check]]="Pass",Benchmark1[[#This Row],[Comparable '#3 Return]]-Benchmark1[[#This Row],[Benchmark '#1 Return]],"-"),"-")</f>
        <v>2.5113906545022817E-2</v>
      </c>
    </row>
    <row r="424" spans="1:19">
      <c r="A424" s="103">
        <v>43900</v>
      </c>
      <c r="B424" s="104">
        <v>2882.2254994584414</v>
      </c>
      <c r="C424" s="4">
        <f t="shared" si="6"/>
        <v>4.8213673688878043E-2</v>
      </c>
      <c r="D424" s="1" t="str">
        <f>IF(COUNTIF(Target1[Target Dates],Benchmark1[[#This Row],[Benchmark '#1 Dates]])=1,"Pass","Fail")</f>
        <v>Pass</v>
      </c>
      <c r="E424" s="6">
        <f>IF(Benchmark1[[#This Row],[Target Date Check]]="Pass",INDEX(Target1[Target Price],MATCH(Benchmark1[[#This Row],[Benchmark '#1 Dates]],Target1[Target Dates],0)),"-")</f>
        <v>18.309999999999999</v>
      </c>
      <c r="F424" s="22">
        <f>IF(Benchmark1[[#This Row],[Target Date Check]]="Pass",INDEX(Target1[Target Return],MATCH(Benchmark1[[#This Row],[Benchmark '#1 Dates]],Target1[Target Dates],0)),"-")</f>
        <v>-5.9885440345873793E-2</v>
      </c>
      <c r="G424" s="1">
        <f>IFERROR(IF(Benchmark1[[#This Row],[Target Date Check]]="Pass",Benchmark1[[#This Row],[Target Return]]-Benchmark1[[#This Row],[Benchmark '#1 Return]],"-"),"-")</f>
        <v>-0.10809911403475184</v>
      </c>
      <c r="H424" s="1" t="str">
        <f>IF(COUNTIF(Comp1[Comparable '#1 Dates],Benchmark1[[#This Row],[Benchmark '#1 Dates]])=1,"Pass","Fail")</f>
        <v>Pass</v>
      </c>
      <c r="I424" s="6">
        <f>IF(Benchmark1[[#This Row],[Comparable '#1 Date Check]]="Pass",INDEX(Comp1[Comparable '#1 Price],MATCH(Benchmark1[[#This Row],[Benchmark '#1 Dates]],Comp1[Comparable '#1 Dates],0)),"-")</f>
        <v>17.3</v>
      </c>
      <c r="J424" s="22">
        <f>IF(Benchmark1[[#This Row],[Comparable '#1 Date Check]]="Pass",INDEX(Comp1[Comparable '#1 Return],MATCH(Benchmark1[[#This Row],[Benchmark '#1 Dates]],Comp1[Comparable '#1 Dates],0)),"-")</f>
        <v>3.0518800464673122E-2</v>
      </c>
      <c r="K424" s="1">
        <f>IFERROR(IF(Benchmark1[[#This Row],[Comparable '#1 Date Check]]="Pass",Benchmark1[[#This Row],[Comparable '#1 Return]]-Benchmark1[[#This Row],[Benchmark '#1 Return]],"-"),"-")</f>
        <v>-1.7694873224204922E-2</v>
      </c>
      <c r="L424" s="1" t="str">
        <f>IF(COUNTIF(Comp2[Comparable '#2 Dates],Benchmark1[[#This Row],[Benchmark '#1 Dates]])=1,"Pass","Fail")</f>
        <v>Pass</v>
      </c>
      <c r="M424" s="6">
        <f>IF(Benchmark1[[#This Row],[Comparable '#2 Date Check]]="Pass",INDEX(Comp2[Comparable '#2 Price],MATCH(Benchmark1[[#This Row],[Benchmark '#1 Dates]],Comp2[Comparable '#2 Dates],0)),"-")</f>
        <v>28.39</v>
      </c>
      <c r="N424" s="22">
        <f>IF(Benchmark1[[#This Row],[Comparable '#2 Date Check]]="Pass",INDEX(Comp2[Comparable '#2 Return],MATCH(Benchmark1[[#This Row],[Benchmark '#1 Dates]],Comp2[Comparable '#2 Dates],0)),"-")</f>
        <v>-2.5731600486463328E-2</v>
      </c>
      <c r="O424" s="1">
        <f>IFERROR(IF(Benchmark1[[#This Row],[Comparable '#2 Date Check]]="Pass",Benchmark1[[#This Row],[Comparable '#2 Return]]-Benchmark1[[#This Row],[Benchmark '#1 Return]],"-"),"-")</f>
        <v>-7.3945274175341372E-2</v>
      </c>
      <c r="P424" s="1" t="str">
        <f>IF(COUNTIF(Comp3[Comparable '#3 Dates],Benchmark1[[#This Row],[Benchmark '#1 Dates]])=1,"Pass","Fail")</f>
        <v>Pass</v>
      </c>
      <c r="Q424" s="6">
        <f>IF(Benchmark1[[#This Row],[Comparable '#3 Date Check]]="Pass",INDEX(Comp3[Comparable '#3 Price],MATCH(Benchmark1[[#This Row],[Benchmark '#1 Dates]],Comp3[Comparable '#3 Dates],0)),"-")</f>
        <v>143.5</v>
      </c>
      <c r="R424" s="22">
        <f>IF(Benchmark1[[#This Row],[Comparable '#3 Date Check]]="Pass",INDEX(Comp3[Comparable '#3 Return],MATCH(Benchmark1[[#This Row],[Benchmark '#1 Dates]],Comp3[Comparable '#3 Dates],0)),"-")</f>
        <v>7.1333962182697514E-3</v>
      </c>
      <c r="S424" s="1">
        <f>IFERROR(IF(Benchmark1[[#This Row],[Comparable '#3 Date Check]]="Pass",Benchmark1[[#This Row],[Comparable '#3 Return]]-Benchmark1[[#This Row],[Benchmark '#1 Return]],"-"),"-")</f>
        <v>-4.1080277470608294E-2</v>
      </c>
    </row>
    <row r="425" spans="1:19">
      <c r="A425" s="103">
        <v>43901</v>
      </c>
      <c r="B425" s="104">
        <v>2741.3835884969585</v>
      </c>
      <c r="C425" s="4">
        <f t="shared" si="6"/>
        <v>-5.0099986346929269E-2</v>
      </c>
      <c r="D425" s="1" t="str">
        <f>IF(COUNTIF(Target1[Target Dates],Benchmark1[[#This Row],[Benchmark '#1 Dates]])=1,"Pass","Fail")</f>
        <v>Pass</v>
      </c>
      <c r="E425" s="6">
        <f>IF(Benchmark1[[#This Row],[Target Date Check]]="Pass",INDEX(Target1[Target Price],MATCH(Benchmark1[[#This Row],[Benchmark '#1 Dates]],Target1[Target Dates],0)),"-")</f>
        <v>17.16</v>
      </c>
      <c r="F425" s="22">
        <f>IF(Benchmark1[[#This Row],[Target Date Check]]="Pass",INDEX(Target1[Target Return],MATCH(Benchmark1[[#This Row],[Benchmark '#1 Dates]],Target1[Target Dates],0)),"-")</f>
        <v>-6.4866264626603096E-2</v>
      </c>
      <c r="G425" s="1">
        <f>IFERROR(IF(Benchmark1[[#This Row],[Target Date Check]]="Pass",Benchmark1[[#This Row],[Target Return]]-Benchmark1[[#This Row],[Benchmark '#1 Return]],"-"),"-")</f>
        <v>-1.4766278279673827E-2</v>
      </c>
      <c r="H425" s="1" t="str">
        <f>IF(COUNTIF(Comp1[Comparable '#1 Dates],Benchmark1[[#This Row],[Benchmark '#1 Dates]])=1,"Pass","Fail")</f>
        <v>Pass</v>
      </c>
      <c r="I425" s="6">
        <f>IF(Benchmark1[[#This Row],[Comparable '#1 Date Check]]="Pass",INDEX(Comp1[Comparable '#1 Price],MATCH(Benchmark1[[#This Row],[Benchmark '#1 Dates]],Comp1[Comparable '#1 Dates],0)),"-")</f>
        <v>16.559999999999999</v>
      </c>
      <c r="J425" s="22">
        <f>IF(Benchmark1[[#This Row],[Comparable '#1 Date Check]]="Pass",INDEX(Comp1[Comparable '#1 Return],MATCH(Benchmark1[[#This Row],[Benchmark '#1 Dates]],Comp1[Comparable '#1 Dates],0)),"-")</f>
        <v>-4.3716352546619784E-2</v>
      </c>
      <c r="K425" s="1">
        <f>IFERROR(IF(Benchmark1[[#This Row],[Comparable '#1 Date Check]]="Pass",Benchmark1[[#This Row],[Comparable '#1 Return]]-Benchmark1[[#This Row],[Benchmark '#1 Return]],"-"),"-")</f>
        <v>6.383633800309485E-3</v>
      </c>
      <c r="L425" s="1" t="str">
        <f>IF(COUNTIF(Comp2[Comparable '#2 Dates],Benchmark1[[#This Row],[Benchmark '#1 Dates]])=1,"Pass","Fail")</f>
        <v>Pass</v>
      </c>
      <c r="M425" s="6">
        <f>IF(Benchmark1[[#This Row],[Comparable '#2 Date Check]]="Pass",INDEX(Comp2[Comparable '#2 Price],MATCH(Benchmark1[[#This Row],[Benchmark '#1 Dates]],Comp2[Comparable '#2 Dates],0)),"-")</f>
        <v>27.06</v>
      </c>
      <c r="N425" s="22">
        <f>IF(Benchmark1[[#This Row],[Comparable '#2 Date Check]]="Pass",INDEX(Comp2[Comparable '#2 Return],MATCH(Benchmark1[[#This Row],[Benchmark '#1 Dates]],Comp2[Comparable '#2 Dates],0)),"-")</f>
        <v>-4.7980347742237868E-2</v>
      </c>
      <c r="O425" s="1">
        <f>IFERROR(IF(Benchmark1[[#This Row],[Comparable '#2 Date Check]]="Pass",Benchmark1[[#This Row],[Comparable '#2 Return]]-Benchmark1[[#This Row],[Benchmark '#1 Return]],"-"),"-")</f>
        <v>2.1196386046914012E-3</v>
      </c>
      <c r="P425" s="1" t="str">
        <f>IF(COUNTIF(Comp3[Comparable '#3 Dates],Benchmark1[[#This Row],[Benchmark '#1 Dates]])=1,"Pass","Fail")</f>
        <v>Pass</v>
      </c>
      <c r="Q425" s="6">
        <f>IF(Benchmark1[[#This Row],[Comparable '#3 Date Check]]="Pass",INDEX(Comp3[Comparable '#3 Price],MATCH(Benchmark1[[#This Row],[Benchmark '#1 Dates]],Comp3[Comparable '#3 Dates],0)),"-")</f>
        <v>146.96</v>
      </c>
      <c r="R425" s="22">
        <f>IF(Benchmark1[[#This Row],[Comparable '#3 Date Check]]="Pass",INDEX(Comp3[Comparable '#3 Return],MATCH(Benchmark1[[#This Row],[Benchmark '#1 Dates]],Comp3[Comparable '#3 Dates],0)),"-")</f>
        <v>2.3825405707194557E-2</v>
      </c>
      <c r="S425" s="1">
        <f>IFERROR(IF(Benchmark1[[#This Row],[Comparable '#3 Date Check]]="Pass",Benchmark1[[#This Row],[Comparable '#3 Return]]-Benchmark1[[#This Row],[Benchmark '#1 Return]],"-"),"-")</f>
        <v>7.3925392054123823E-2</v>
      </c>
    </row>
    <row r="426" spans="1:19">
      <c r="A426" s="103">
        <v>43902</v>
      </c>
      <c r="B426" s="104">
        <v>2480.6410621926866</v>
      </c>
      <c r="C426" s="4">
        <f t="shared" si="6"/>
        <v>-9.9945732663380873E-2</v>
      </c>
      <c r="D426" s="1" t="str">
        <f>IF(COUNTIF(Target1[Target Dates],Benchmark1[[#This Row],[Benchmark '#1 Dates]])=1,"Pass","Fail")</f>
        <v>Pass</v>
      </c>
      <c r="E426" s="6">
        <f>IF(Benchmark1[[#This Row],[Target Date Check]]="Pass",INDEX(Target1[Target Price],MATCH(Benchmark1[[#This Row],[Benchmark '#1 Dates]],Target1[Target Dates],0)),"-")</f>
        <v>20.73</v>
      </c>
      <c r="F426" s="22">
        <f>IF(Benchmark1[[#This Row],[Target Date Check]]="Pass",INDEX(Target1[Target Return],MATCH(Benchmark1[[#This Row],[Benchmark '#1 Dates]],Target1[Target Dates],0)),"-")</f>
        <v>0.18900083238787208</v>
      </c>
      <c r="G426" s="1">
        <f>IFERROR(IF(Benchmark1[[#This Row],[Target Date Check]]="Pass",Benchmark1[[#This Row],[Target Return]]-Benchmark1[[#This Row],[Benchmark '#1 Return]],"-"),"-")</f>
        <v>0.28894656505125293</v>
      </c>
      <c r="H426" s="1" t="str">
        <f>IF(COUNTIF(Comp1[Comparable '#1 Dates],Benchmark1[[#This Row],[Benchmark '#1 Dates]])=1,"Pass","Fail")</f>
        <v>Pass</v>
      </c>
      <c r="I426" s="6">
        <f>IF(Benchmark1[[#This Row],[Comparable '#1 Date Check]]="Pass",INDEX(Comp1[Comparable '#1 Price],MATCH(Benchmark1[[#This Row],[Benchmark '#1 Dates]],Comp1[Comparable '#1 Dates],0)),"-")</f>
        <v>13.82</v>
      </c>
      <c r="J426" s="22">
        <f>IF(Benchmark1[[#This Row],[Comparable '#1 Date Check]]="Pass",INDEX(Comp1[Comparable '#1 Return],MATCH(Benchmark1[[#This Row],[Benchmark '#1 Dates]],Comp1[Comparable '#1 Dates],0)),"-")</f>
        <v>-0.18087333061758976</v>
      </c>
      <c r="K426" s="1">
        <f>IFERROR(IF(Benchmark1[[#This Row],[Comparable '#1 Date Check]]="Pass",Benchmark1[[#This Row],[Comparable '#1 Return]]-Benchmark1[[#This Row],[Benchmark '#1 Return]],"-"),"-")</f>
        <v>-8.0927597954208882E-2</v>
      </c>
      <c r="L426" s="1" t="str">
        <f>IF(COUNTIF(Comp2[Comparable '#2 Dates],Benchmark1[[#This Row],[Benchmark '#1 Dates]])=1,"Pass","Fail")</f>
        <v>Pass</v>
      </c>
      <c r="M426" s="6">
        <f>IF(Benchmark1[[#This Row],[Comparable '#2 Date Check]]="Pass",INDEX(Comp2[Comparable '#2 Price],MATCH(Benchmark1[[#This Row],[Benchmark '#1 Dates]],Comp2[Comparable '#2 Dates],0)),"-")</f>
        <v>25.35</v>
      </c>
      <c r="N426" s="22">
        <f>IF(Benchmark1[[#This Row],[Comparable '#2 Date Check]]="Pass",INDEX(Comp2[Comparable '#2 Return],MATCH(Benchmark1[[#This Row],[Benchmark '#1 Dates]],Comp2[Comparable '#2 Dates],0)),"-")</f>
        <v>-6.527789270544973E-2</v>
      </c>
      <c r="O426" s="1">
        <f>IFERROR(IF(Benchmark1[[#This Row],[Comparable '#2 Date Check]]="Pass",Benchmark1[[#This Row],[Comparable '#2 Return]]-Benchmark1[[#This Row],[Benchmark '#1 Return]],"-"),"-")</f>
        <v>3.4667839957931143E-2</v>
      </c>
      <c r="P426" s="1" t="str">
        <f>IF(COUNTIF(Comp3[Comparable '#3 Dates],Benchmark1[[#This Row],[Benchmark '#1 Dates]])=1,"Pass","Fail")</f>
        <v>Pass</v>
      </c>
      <c r="Q426" s="6">
        <f>IF(Benchmark1[[#This Row],[Comparable '#3 Date Check]]="Pass",INDEX(Comp3[Comparable '#3 Price],MATCH(Benchmark1[[#This Row],[Benchmark '#1 Dates]],Comp3[Comparable '#3 Dates],0)),"-")</f>
        <v>141.80000000000001</v>
      </c>
      <c r="R426" s="22">
        <f>IF(Benchmark1[[#This Row],[Comparable '#3 Date Check]]="Pass",INDEX(Comp3[Comparable '#3 Return],MATCH(Benchmark1[[#This Row],[Benchmark '#1 Dates]],Comp3[Comparable '#3 Dates],0)),"-")</f>
        <v>-3.5742826808843046E-2</v>
      </c>
      <c r="S426" s="1">
        <f>IFERROR(IF(Benchmark1[[#This Row],[Comparable '#3 Date Check]]="Pass",Benchmark1[[#This Row],[Comparable '#3 Return]]-Benchmark1[[#This Row],[Benchmark '#1 Return]],"-"),"-")</f>
        <v>6.4202905854537834E-2</v>
      </c>
    </row>
    <row r="427" spans="1:19">
      <c r="A427" s="103">
        <v>43903</v>
      </c>
      <c r="B427" s="104">
        <v>2711.0216933696265</v>
      </c>
      <c r="C427" s="4">
        <f t="shared" si="6"/>
        <v>8.880855287218406E-2</v>
      </c>
      <c r="D427" s="1" t="str">
        <f>IF(COUNTIF(Target1[Target Dates],Benchmark1[[#This Row],[Benchmark '#1 Dates]])=1,"Pass","Fail")</f>
        <v>Pass</v>
      </c>
      <c r="E427" s="6">
        <f>IF(Benchmark1[[#This Row],[Target Date Check]]="Pass",INDEX(Target1[Target Price],MATCH(Benchmark1[[#This Row],[Benchmark '#1 Dates]],Target1[Target Dates],0)),"-")</f>
        <v>23.94</v>
      </c>
      <c r="F427" s="22">
        <f>IF(Benchmark1[[#This Row],[Target Date Check]]="Pass",INDEX(Target1[Target Return],MATCH(Benchmark1[[#This Row],[Benchmark '#1 Dates]],Target1[Target Dates],0)),"-")</f>
        <v>0.14396877368213895</v>
      </c>
      <c r="G427" s="1">
        <f>IFERROR(IF(Benchmark1[[#This Row],[Target Date Check]]="Pass",Benchmark1[[#This Row],[Target Return]]-Benchmark1[[#This Row],[Benchmark '#1 Return]],"-"),"-")</f>
        <v>5.5160220809954891E-2</v>
      </c>
      <c r="H427" s="1" t="str">
        <f>IF(COUNTIF(Comp1[Comparable '#1 Dates],Benchmark1[[#This Row],[Benchmark '#1 Dates]])=1,"Pass","Fail")</f>
        <v>Pass</v>
      </c>
      <c r="I427" s="6">
        <f>IF(Benchmark1[[#This Row],[Comparable '#1 Date Check]]="Pass",INDEX(Comp1[Comparable '#1 Price],MATCH(Benchmark1[[#This Row],[Benchmark '#1 Dates]],Comp1[Comparable '#1 Dates],0)),"-")</f>
        <v>14.85</v>
      </c>
      <c r="J427" s="22">
        <f>IF(Benchmark1[[#This Row],[Comparable '#1 Date Check]]="Pass",INDEX(Comp1[Comparable '#1 Return],MATCH(Benchmark1[[#This Row],[Benchmark '#1 Dates]],Comp1[Comparable '#1 Dates],0)),"-")</f>
        <v>7.1883046909184636E-2</v>
      </c>
      <c r="K427" s="1">
        <f>IFERROR(IF(Benchmark1[[#This Row],[Comparable '#1 Date Check]]="Pass",Benchmark1[[#This Row],[Comparable '#1 Return]]-Benchmark1[[#This Row],[Benchmark '#1 Return]],"-"),"-")</f>
        <v>-1.6925505962999424E-2</v>
      </c>
      <c r="L427" s="1" t="str">
        <f>IF(COUNTIF(Comp2[Comparable '#2 Dates],Benchmark1[[#This Row],[Benchmark '#1 Dates]])=1,"Pass","Fail")</f>
        <v>Pass</v>
      </c>
      <c r="M427" s="6">
        <f>IF(Benchmark1[[#This Row],[Comparable '#2 Date Check]]="Pass",INDEX(Comp2[Comparable '#2 Price],MATCH(Benchmark1[[#This Row],[Benchmark '#1 Dates]],Comp2[Comparable '#2 Dates],0)),"-")</f>
        <v>26.86</v>
      </c>
      <c r="N427" s="22">
        <f>IF(Benchmark1[[#This Row],[Comparable '#2 Date Check]]="Pass",INDEX(Comp2[Comparable '#2 Return],MATCH(Benchmark1[[#This Row],[Benchmark '#1 Dates]],Comp2[Comparable '#2 Dates],0)),"-")</f>
        <v>5.7859461057899339E-2</v>
      </c>
      <c r="O427" s="1">
        <f>IFERROR(IF(Benchmark1[[#This Row],[Comparable '#2 Date Check]]="Pass",Benchmark1[[#This Row],[Comparable '#2 Return]]-Benchmark1[[#This Row],[Benchmark '#1 Return]],"-"),"-")</f>
        <v>-3.0949091814284721E-2</v>
      </c>
      <c r="P427" s="1" t="str">
        <f>IF(COUNTIF(Comp3[Comparable '#3 Dates],Benchmark1[[#This Row],[Benchmark '#1 Dates]])=1,"Pass","Fail")</f>
        <v>Pass</v>
      </c>
      <c r="Q427" s="6">
        <f>IF(Benchmark1[[#This Row],[Comparable '#3 Date Check]]="Pass",INDEX(Comp3[Comparable '#3 Price],MATCH(Benchmark1[[#This Row],[Benchmark '#1 Dates]],Comp3[Comparable '#3 Dates],0)),"-")</f>
        <v>158.09</v>
      </c>
      <c r="R427" s="22">
        <f>IF(Benchmark1[[#This Row],[Comparable '#3 Date Check]]="Pass",INDEX(Comp3[Comparable '#3 Return],MATCH(Benchmark1[[#This Row],[Benchmark '#1 Dates]],Comp3[Comparable '#3 Dates],0)),"-")</f>
        <v>0.10874687701006917</v>
      </c>
      <c r="S427" s="1">
        <f>IFERROR(IF(Benchmark1[[#This Row],[Comparable '#3 Date Check]]="Pass",Benchmark1[[#This Row],[Comparable '#3 Return]]-Benchmark1[[#This Row],[Benchmark '#1 Return]],"-"),"-")</f>
        <v>1.9938324137885113E-2</v>
      </c>
    </row>
    <row r="428" spans="1:19">
      <c r="A428" s="103">
        <v>43906</v>
      </c>
      <c r="B428" s="104">
        <v>2386.1339329628086</v>
      </c>
      <c r="C428" s="4">
        <f t="shared" si="6"/>
        <v>-0.1276511175221057</v>
      </c>
      <c r="D428" s="1" t="str">
        <f>IF(COUNTIF(Target1[Target Dates],Benchmark1[[#This Row],[Benchmark '#1 Dates]])=1,"Pass","Fail")</f>
        <v>Pass</v>
      </c>
      <c r="E428" s="6">
        <f>IF(Benchmark1[[#This Row],[Target Date Check]]="Pass",INDEX(Target1[Target Price],MATCH(Benchmark1[[#This Row],[Benchmark '#1 Dates]],Target1[Target Dates],0)),"-")</f>
        <v>21.4</v>
      </c>
      <c r="F428" s="22">
        <f>IF(Benchmark1[[#This Row],[Target Date Check]]="Pass",INDEX(Target1[Target Return],MATCH(Benchmark1[[#This Row],[Benchmark '#1 Dates]],Target1[Target Dates],0)),"-")</f>
        <v>-0.11215977810202148</v>
      </c>
      <c r="G428" s="1">
        <f>IFERROR(IF(Benchmark1[[#This Row],[Target Date Check]]="Pass",Benchmark1[[#This Row],[Target Return]]-Benchmark1[[#This Row],[Benchmark '#1 Return]],"-"),"-")</f>
        <v>1.5491339420084224E-2</v>
      </c>
      <c r="H428" s="1" t="str">
        <f>IF(COUNTIF(Comp1[Comparable '#1 Dates],Benchmark1[[#This Row],[Benchmark '#1 Dates]])=1,"Pass","Fail")</f>
        <v>Pass</v>
      </c>
      <c r="I428" s="6">
        <f>IF(Benchmark1[[#This Row],[Comparable '#1 Date Check]]="Pass",INDEX(Comp1[Comparable '#1 Price],MATCH(Benchmark1[[#This Row],[Benchmark '#1 Dates]],Comp1[Comparable '#1 Dates],0)),"-")</f>
        <v>11.85</v>
      </c>
      <c r="J428" s="22">
        <f>IF(Benchmark1[[#This Row],[Comparable '#1 Date Check]]="Pass",INDEX(Comp1[Comparable '#1 Return],MATCH(Benchmark1[[#This Row],[Benchmark '#1 Dates]],Comp1[Comparable '#1 Dates],0)),"-")</f>
        <v>-0.2256719976675684</v>
      </c>
      <c r="K428" s="1">
        <f>IFERROR(IF(Benchmark1[[#This Row],[Comparable '#1 Date Check]]="Pass",Benchmark1[[#This Row],[Comparable '#1 Return]]-Benchmark1[[#This Row],[Benchmark '#1 Return]],"-"),"-")</f>
        <v>-9.8020880145462702E-2</v>
      </c>
      <c r="L428" s="1" t="str">
        <f>IF(COUNTIF(Comp2[Comparable '#2 Dates],Benchmark1[[#This Row],[Benchmark '#1 Dates]])=1,"Pass","Fail")</f>
        <v>Pass</v>
      </c>
      <c r="M428" s="6">
        <f>IF(Benchmark1[[#This Row],[Comparable '#2 Date Check]]="Pass",INDEX(Comp2[Comparable '#2 Price],MATCH(Benchmark1[[#This Row],[Benchmark '#1 Dates]],Comp2[Comparable '#2 Dates],0)),"-")</f>
        <v>23.99</v>
      </c>
      <c r="N428" s="22">
        <f>IF(Benchmark1[[#This Row],[Comparable '#2 Date Check]]="Pass",INDEX(Comp2[Comparable '#2 Return],MATCH(Benchmark1[[#This Row],[Benchmark '#1 Dates]],Comp2[Comparable '#2 Dates],0)),"-")</f>
        <v>-0.11300111424348831</v>
      </c>
      <c r="O428" s="1">
        <f>IFERROR(IF(Benchmark1[[#This Row],[Comparable '#2 Date Check]]="Pass",Benchmark1[[#This Row],[Comparable '#2 Return]]-Benchmark1[[#This Row],[Benchmark '#1 Return]],"-"),"-")</f>
        <v>1.4650003278617388E-2</v>
      </c>
      <c r="P428" s="1" t="str">
        <f>IF(COUNTIF(Comp3[Comparable '#3 Dates],Benchmark1[[#This Row],[Benchmark '#1 Dates]])=1,"Pass","Fail")</f>
        <v>Pass</v>
      </c>
      <c r="Q428" s="6">
        <f>IF(Benchmark1[[#This Row],[Comparable '#3 Date Check]]="Pass",INDEX(Comp3[Comparable '#3 Price],MATCH(Benchmark1[[#This Row],[Benchmark '#1 Dates]],Comp3[Comparable '#3 Dates],0)),"-")</f>
        <v>129</v>
      </c>
      <c r="R428" s="22">
        <f>IF(Benchmark1[[#This Row],[Comparable '#3 Date Check]]="Pass",INDEX(Comp3[Comparable '#3 Return],MATCH(Benchmark1[[#This Row],[Benchmark '#1 Dates]],Comp3[Comparable '#3 Dates],0)),"-")</f>
        <v>-0.2033520867464243</v>
      </c>
      <c r="S428" s="1">
        <f>IFERROR(IF(Benchmark1[[#This Row],[Comparable '#3 Date Check]]="Pass",Benchmark1[[#This Row],[Comparable '#3 Return]]-Benchmark1[[#This Row],[Benchmark '#1 Return]],"-"),"-")</f>
        <v>-7.5700969224318598E-2</v>
      </c>
    </row>
    <row r="429" spans="1:19">
      <c r="A429" s="103">
        <v>43907</v>
      </c>
      <c r="B429" s="104">
        <v>2529.194198768505</v>
      </c>
      <c r="C429" s="4">
        <f t="shared" si="6"/>
        <v>5.8226298554445534E-2</v>
      </c>
      <c r="D429" s="1" t="str">
        <f>IF(COUNTIF(Target1[Target Dates],Benchmark1[[#This Row],[Benchmark '#1 Dates]])=1,"Pass","Fail")</f>
        <v>Pass</v>
      </c>
      <c r="E429" s="6">
        <f>IF(Benchmark1[[#This Row],[Target Date Check]]="Pass",INDEX(Target1[Target Price],MATCH(Benchmark1[[#This Row],[Benchmark '#1 Dates]],Target1[Target Dates],0)),"-")</f>
        <v>18.61</v>
      </c>
      <c r="F429" s="22">
        <f>IF(Benchmark1[[#This Row],[Target Date Check]]="Pass",INDEX(Target1[Target Return],MATCH(Benchmark1[[#This Row],[Benchmark '#1 Dates]],Target1[Target Dates],0)),"-")</f>
        <v>-0.13969185137364643</v>
      </c>
      <c r="G429" s="1">
        <f>IFERROR(IF(Benchmark1[[#This Row],[Target Date Check]]="Pass",Benchmark1[[#This Row],[Target Return]]-Benchmark1[[#This Row],[Benchmark '#1 Return]],"-"),"-")</f>
        <v>-0.19791814992809195</v>
      </c>
      <c r="H429" s="1" t="str">
        <f>IF(COUNTIF(Comp1[Comparable '#1 Dates],Benchmark1[[#This Row],[Benchmark '#1 Dates]])=1,"Pass","Fail")</f>
        <v>Pass</v>
      </c>
      <c r="I429" s="6">
        <f>IF(Benchmark1[[#This Row],[Comparable '#1 Date Check]]="Pass",INDEX(Comp1[Comparable '#1 Price],MATCH(Benchmark1[[#This Row],[Benchmark '#1 Dates]],Comp1[Comparable '#1 Dates],0)),"-")</f>
        <v>10.68</v>
      </c>
      <c r="J429" s="22">
        <f>IF(Benchmark1[[#This Row],[Comparable '#1 Date Check]]="Pass",INDEX(Comp1[Comparable '#1 Return],MATCH(Benchmark1[[#This Row],[Benchmark '#1 Dates]],Comp1[Comparable '#1 Dates],0)),"-")</f>
        <v>-0.10395503404909139</v>
      </c>
      <c r="K429" s="1">
        <f>IFERROR(IF(Benchmark1[[#This Row],[Comparable '#1 Date Check]]="Pass",Benchmark1[[#This Row],[Comparable '#1 Return]]-Benchmark1[[#This Row],[Benchmark '#1 Return]],"-"),"-")</f>
        <v>-0.16218133260353693</v>
      </c>
      <c r="L429" s="1" t="str">
        <f>IF(COUNTIF(Comp2[Comparable '#2 Dates],Benchmark1[[#This Row],[Benchmark '#1 Dates]])=1,"Pass","Fail")</f>
        <v>Pass</v>
      </c>
      <c r="M429" s="6">
        <f>IF(Benchmark1[[#This Row],[Comparable '#2 Date Check]]="Pass",INDEX(Comp2[Comparable '#2 Price],MATCH(Benchmark1[[#This Row],[Benchmark '#1 Dates]],Comp2[Comparable '#2 Dates],0)),"-")</f>
        <v>25.98</v>
      </c>
      <c r="N429" s="22">
        <f>IF(Benchmark1[[#This Row],[Comparable '#2 Date Check]]="Pass",INDEX(Comp2[Comparable '#2 Return],MATCH(Benchmark1[[#This Row],[Benchmark '#1 Dates]],Comp2[Comparable '#2 Dates],0)),"-")</f>
        <v>7.9689934390850453E-2</v>
      </c>
      <c r="O429" s="1">
        <f>IFERROR(IF(Benchmark1[[#This Row],[Comparable '#2 Date Check]]="Pass",Benchmark1[[#This Row],[Comparable '#2 Return]]-Benchmark1[[#This Row],[Benchmark '#1 Return]],"-"),"-")</f>
        <v>2.1463635836404919E-2</v>
      </c>
      <c r="P429" s="1" t="str">
        <f>IF(COUNTIF(Comp3[Comparable '#3 Dates],Benchmark1[[#This Row],[Benchmark '#1 Dates]])=1,"Pass","Fail")</f>
        <v>Pass</v>
      </c>
      <c r="Q429" s="6">
        <f>IF(Benchmark1[[#This Row],[Comparable '#3 Date Check]]="Pass",INDEX(Comp3[Comparable '#3 Price],MATCH(Benchmark1[[#This Row],[Benchmark '#1 Dates]],Comp3[Comparable '#3 Dates],0)),"-")</f>
        <v>124.36</v>
      </c>
      <c r="R429" s="22">
        <f>IF(Benchmark1[[#This Row],[Comparable '#3 Date Check]]="Pass",INDEX(Comp3[Comparable '#3 Return],MATCH(Benchmark1[[#This Row],[Benchmark '#1 Dates]],Comp3[Comparable '#3 Dates],0)),"-")</f>
        <v>-3.6631819171119087E-2</v>
      </c>
      <c r="S429" s="1">
        <f>IFERROR(IF(Benchmark1[[#This Row],[Comparable '#3 Date Check]]="Pass",Benchmark1[[#This Row],[Comparable '#3 Return]]-Benchmark1[[#This Row],[Benchmark '#1 Return]],"-"),"-")</f>
        <v>-9.4858117725564628E-2</v>
      </c>
    </row>
    <row r="430" spans="1:19">
      <c r="A430" s="103">
        <v>43908</v>
      </c>
      <c r="B430" s="104">
        <v>2398.0952205749618</v>
      </c>
      <c r="C430" s="4">
        <f t="shared" si="6"/>
        <v>-5.3225989350723792E-2</v>
      </c>
      <c r="D430" s="1" t="str">
        <f>IF(COUNTIF(Target1[Target Dates],Benchmark1[[#This Row],[Benchmark '#1 Dates]])=1,"Pass","Fail")</f>
        <v>Pass</v>
      </c>
      <c r="E430" s="6">
        <f>IF(Benchmark1[[#This Row],[Target Date Check]]="Pass",INDEX(Target1[Target Price],MATCH(Benchmark1[[#This Row],[Benchmark '#1 Dates]],Target1[Target Dates],0)),"-")</f>
        <v>16.55</v>
      </c>
      <c r="F430" s="22">
        <f>IF(Benchmark1[[#This Row],[Target Date Check]]="Pass",INDEX(Target1[Target Return],MATCH(Benchmark1[[#This Row],[Benchmark '#1 Dates]],Target1[Target Dates],0)),"-")</f>
        <v>-0.11731296883108745</v>
      </c>
      <c r="G430" s="1">
        <f>IFERROR(IF(Benchmark1[[#This Row],[Target Date Check]]="Pass",Benchmark1[[#This Row],[Target Return]]-Benchmark1[[#This Row],[Benchmark '#1 Return]],"-"),"-")</f>
        <v>-6.4086979480363654E-2</v>
      </c>
      <c r="H430" s="1" t="str">
        <f>IF(COUNTIF(Comp1[Comparable '#1 Dates],Benchmark1[[#This Row],[Benchmark '#1 Dates]])=1,"Pass","Fail")</f>
        <v>Pass</v>
      </c>
      <c r="I430" s="6">
        <f>IF(Benchmark1[[#This Row],[Comparable '#1 Date Check]]="Pass",INDEX(Comp1[Comparable '#1 Price],MATCH(Benchmark1[[#This Row],[Benchmark '#1 Dates]],Comp1[Comparable '#1 Dates],0)),"-")</f>
        <v>7.98</v>
      </c>
      <c r="J430" s="22">
        <f>IF(Benchmark1[[#This Row],[Comparable '#1 Date Check]]="Pass",INDEX(Comp1[Comparable '#1 Return],MATCH(Benchmark1[[#This Row],[Benchmark '#1 Dates]],Comp1[Comparable '#1 Dates],0)),"-")</f>
        <v>-0.29143442207033132</v>
      </c>
      <c r="K430" s="1">
        <f>IFERROR(IF(Benchmark1[[#This Row],[Comparable '#1 Date Check]]="Pass",Benchmark1[[#This Row],[Comparable '#1 Return]]-Benchmark1[[#This Row],[Benchmark '#1 Return]],"-"),"-")</f>
        <v>-0.23820843271960754</v>
      </c>
      <c r="L430" s="1" t="str">
        <f>IF(COUNTIF(Comp2[Comparable '#2 Dates],Benchmark1[[#This Row],[Benchmark '#1 Dates]])=1,"Pass","Fail")</f>
        <v>Pass</v>
      </c>
      <c r="M430" s="6">
        <f>IF(Benchmark1[[#This Row],[Comparable '#2 Date Check]]="Pass",INDEX(Comp2[Comparable '#2 Price],MATCH(Benchmark1[[#This Row],[Benchmark '#1 Dates]],Comp2[Comparable '#2 Dates],0)),"-")</f>
        <v>21.46</v>
      </c>
      <c r="N430" s="22">
        <f>IF(Benchmark1[[#This Row],[Comparable '#2 Date Check]]="Pass",INDEX(Comp2[Comparable '#2 Return],MATCH(Benchmark1[[#This Row],[Benchmark '#1 Dates]],Comp2[Comparable '#2 Dates],0)),"-")</f>
        <v>-0.19113627403990102</v>
      </c>
      <c r="O430" s="1">
        <f>IFERROR(IF(Benchmark1[[#This Row],[Comparable '#2 Date Check]]="Pass",Benchmark1[[#This Row],[Comparable '#2 Return]]-Benchmark1[[#This Row],[Benchmark '#1 Return]],"-"),"-")</f>
        <v>-0.13791028468917724</v>
      </c>
      <c r="P430" s="1" t="str">
        <f>IF(COUNTIF(Comp3[Comparable '#3 Dates],Benchmark1[[#This Row],[Benchmark '#1 Dates]])=1,"Pass","Fail")</f>
        <v>Pass</v>
      </c>
      <c r="Q430" s="6">
        <f>IF(Benchmark1[[#This Row],[Comparable '#3 Date Check]]="Pass",INDEX(Comp3[Comparable '#3 Price],MATCH(Benchmark1[[#This Row],[Benchmark '#1 Dates]],Comp3[Comparable '#3 Dates],0)),"-")</f>
        <v>117.28</v>
      </c>
      <c r="R430" s="22">
        <f>IF(Benchmark1[[#This Row],[Comparable '#3 Date Check]]="Pass",INDEX(Comp3[Comparable '#3 Return],MATCH(Benchmark1[[#This Row],[Benchmark '#1 Dates]],Comp3[Comparable '#3 Dates],0)),"-")</f>
        <v>-5.861634705221172E-2</v>
      </c>
      <c r="S430" s="1">
        <f>IFERROR(IF(Benchmark1[[#This Row],[Comparable '#3 Date Check]]="Pass",Benchmark1[[#This Row],[Comparable '#3 Return]]-Benchmark1[[#This Row],[Benchmark '#1 Return]],"-"),"-")</f>
        <v>-5.3903577014879286E-3</v>
      </c>
    </row>
    <row r="431" spans="1:19">
      <c r="A431" s="103">
        <v>43909</v>
      </c>
      <c r="B431" s="104">
        <v>2409.3865927922111</v>
      </c>
      <c r="C431" s="4">
        <f t="shared" si="6"/>
        <v>4.6974251462011569E-3</v>
      </c>
      <c r="D431" s="1" t="str">
        <f>IF(COUNTIF(Target1[Target Dates],Benchmark1[[#This Row],[Benchmark '#1 Dates]])=1,"Pass","Fail")</f>
        <v>Pass</v>
      </c>
      <c r="E431" s="6">
        <f>IF(Benchmark1[[#This Row],[Target Date Check]]="Pass",INDEX(Target1[Target Price],MATCH(Benchmark1[[#This Row],[Benchmark '#1 Dates]],Target1[Target Dates],0)),"-")</f>
        <v>17.41</v>
      </c>
      <c r="F431" s="22">
        <f>IF(Benchmark1[[#This Row],[Target Date Check]]="Pass",INDEX(Target1[Target Return],MATCH(Benchmark1[[#This Row],[Benchmark '#1 Dates]],Target1[Target Dates],0)),"-")</f>
        <v>5.0658651957025735E-2</v>
      </c>
      <c r="G431" s="1">
        <f>IFERROR(IF(Benchmark1[[#This Row],[Target Date Check]]="Pass",Benchmark1[[#This Row],[Target Return]]-Benchmark1[[#This Row],[Benchmark '#1 Return]],"-"),"-")</f>
        <v>4.5961226810824582E-2</v>
      </c>
      <c r="H431" s="1" t="str">
        <f>IF(COUNTIF(Comp1[Comparable '#1 Dates],Benchmark1[[#This Row],[Benchmark '#1 Dates]])=1,"Pass","Fail")</f>
        <v>Pass</v>
      </c>
      <c r="I431" s="6">
        <f>IF(Benchmark1[[#This Row],[Comparable '#1 Date Check]]="Pass",INDEX(Comp1[Comparable '#1 Price],MATCH(Benchmark1[[#This Row],[Benchmark '#1 Dates]],Comp1[Comparable '#1 Dates],0)),"-")</f>
        <v>10.69</v>
      </c>
      <c r="J431" s="22">
        <f>IF(Benchmark1[[#This Row],[Comparable '#1 Date Check]]="Pass",INDEX(Comp1[Comparable '#1 Return],MATCH(Benchmark1[[#This Row],[Benchmark '#1 Dates]],Comp1[Comparable '#1 Dates],0)),"-")</f>
        <v>0.2923703135752363</v>
      </c>
      <c r="K431" s="1">
        <f>IFERROR(IF(Benchmark1[[#This Row],[Comparable '#1 Date Check]]="Pass",Benchmark1[[#This Row],[Comparable '#1 Return]]-Benchmark1[[#This Row],[Benchmark '#1 Return]],"-"),"-")</f>
        <v>0.28767288842903516</v>
      </c>
      <c r="L431" s="1" t="str">
        <f>IF(COUNTIF(Comp2[Comparable '#2 Dates],Benchmark1[[#This Row],[Benchmark '#1 Dates]])=1,"Pass","Fail")</f>
        <v>Pass</v>
      </c>
      <c r="M431" s="6">
        <f>IF(Benchmark1[[#This Row],[Comparable '#2 Date Check]]="Pass",INDEX(Comp2[Comparable '#2 Price],MATCH(Benchmark1[[#This Row],[Benchmark '#1 Dates]],Comp2[Comparable '#2 Dates],0)),"-")</f>
        <v>22.25</v>
      </c>
      <c r="N431" s="22">
        <f>IF(Benchmark1[[#This Row],[Comparable '#2 Date Check]]="Pass",INDEX(Comp2[Comparable '#2 Return],MATCH(Benchmark1[[#This Row],[Benchmark '#1 Dates]],Comp2[Comparable '#2 Dates],0)),"-")</f>
        <v>3.6151271409696775E-2</v>
      </c>
      <c r="O431" s="1">
        <f>IFERROR(IF(Benchmark1[[#This Row],[Comparable '#2 Date Check]]="Pass",Benchmark1[[#This Row],[Comparable '#2 Return]]-Benchmark1[[#This Row],[Benchmark '#1 Return]],"-"),"-")</f>
        <v>3.1453846263495622E-2</v>
      </c>
      <c r="P431" s="1" t="str">
        <f>IF(COUNTIF(Comp3[Comparable '#3 Dates],Benchmark1[[#This Row],[Benchmark '#1 Dates]])=1,"Pass","Fail")</f>
        <v>Pass</v>
      </c>
      <c r="Q431" s="6">
        <f>IF(Benchmark1[[#This Row],[Comparable '#3 Date Check]]="Pass",INDEX(Comp3[Comparable '#3 Price],MATCH(Benchmark1[[#This Row],[Benchmark '#1 Dates]],Comp3[Comparable '#3 Dates],0)),"-")</f>
        <v>132.80000000000001</v>
      </c>
      <c r="R431" s="22">
        <f>IF(Benchmark1[[#This Row],[Comparable '#3 Date Check]]="Pass",INDEX(Comp3[Comparable '#3 Return],MATCH(Benchmark1[[#This Row],[Benchmark '#1 Dates]],Comp3[Comparable '#3 Dates],0)),"-")</f>
        <v>0.12427999890399212</v>
      </c>
      <c r="S431" s="1">
        <f>IFERROR(IF(Benchmark1[[#This Row],[Comparable '#3 Date Check]]="Pass",Benchmark1[[#This Row],[Comparable '#3 Return]]-Benchmark1[[#This Row],[Benchmark '#1 Return]],"-"),"-")</f>
        <v>0.11958257375779097</v>
      </c>
    </row>
    <row r="432" spans="1:19">
      <c r="A432" s="103">
        <v>43910</v>
      </c>
      <c r="B432" s="104">
        <v>2304.9163004028178</v>
      </c>
      <c r="C432" s="4">
        <f t="shared" si="6"/>
        <v>-4.4327825693369724E-2</v>
      </c>
      <c r="D432" s="1" t="str">
        <f>IF(COUNTIF(Target1[Target Dates],Benchmark1[[#This Row],[Benchmark '#1 Dates]])=1,"Pass","Fail")</f>
        <v>Pass</v>
      </c>
      <c r="E432" s="6">
        <f>IF(Benchmark1[[#This Row],[Target Date Check]]="Pass",INDEX(Target1[Target Price],MATCH(Benchmark1[[#This Row],[Benchmark '#1 Dates]],Target1[Target Dates],0)),"-")</f>
        <v>16.21</v>
      </c>
      <c r="F432" s="22">
        <f>IF(Benchmark1[[#This Row],[Target Date Check]]="Pass",INDEX(Target1[Target Return],MATCH(Benchmark1[[#This Row],[Benchmark '#1 Dates]],Target1[Target Dates],0)),"-")</f>
        <v>-7.1416418032512849E-2</v>
      </c>
      <c r="G432" s="1">
        <f>IFERROR(IF(Benchmark1[[#This Row],[Target Date Check]]="Pass",Benchmark1[[#This Row],[Target Return]]-Benchmark1[[#This Row],[Benchmark '#1 Return]],"-"),"-")</f>
        <v>-2.7088592339143125E-2</v>
      </c>
      <c r="H432" s="1" t="str">
        <f>IF(COUNTIF(Comp1[Comparable '#1 Dates],Benchmark1[[#This Row],[Benchmark '#1 Dates]])=1,"Pass","Fail")</f>
        <v>Pass</v>
      </c>
      <c r="I432" s="6">
        <f>IF(Benchmark1[[#This Row],[Comparable '#1 Date Check]]="Pass",INDEX(Comp1[Comparable '#1 Price],MATCH(Benchmark1[[#This Row],[Benchmark '#1 Dates]],Comp1[Comparable '#1 Dates],0)),"-")</f>
        <v>9</v>
      </c>
      <c r="J432" s="22">
        <f>IF(Benchmark1[[#This Row],[Comparable '#1 Date Check]]="Pass",INDEX(Comp1[Comparable '#1 Return],MATCH(Benchmark1[[#This Row],[Benchmark '#1 Dates]],Comp1[Comparable '#1 Dates],0)),"-")</f>
        <v>-0.17208414770073449</v>
      </c>
      <c r="K432" s="1">
        <f>IFERROR(IF(Benchmark1[[#This Row],[Comparable '#1 Date Check]]="Pass",Benchmark1[[#This Row],[Comparable '#1 Return]]-Benchmark1[[#This Row],[Benchmark '#1 Return]],"-"),"-")</f>
        <v>-0.12775632200736475</v>
      </c>
      <c r="L432" s="1" t="str">
        <f>IF(COUNTIF(Comp2[Comparable '#2 Dates],Benchmark1[[#This Row],[Benchmark '#1 Dates]])=1,"Pass","Fail")</f>
        <v>Pass</v>
      </c>
      <c r="M432" s="6">
        <f>IF(Benchmark1[[#This Row],[Comparable '#2 Date Check]]="Pass",INDEX(Comp2[Comparable '#2 Price],MATCH(Benchmark1[[#This Row],[Benchmark '#1 Dates]],Comp2[Comparable '#2 Dates],0)),"-")</f>
        <v>22.55</v>
      </c>
      <c r="N432" s="22">
        <f>IF(Benchmark1[[#This Row],[Comparable '#2 Date Check]]="Pass",INDEX(Comp2[Comparable '#2 Return],MATCH(Benchmark1[[#This Row],[Benchmark '#1 Dates]],Comp2[Comparable '#2 Dates],0)),"-")</f>
        <v>1.3393057336438256E-2</v>
      </c>
      <c r="O432" s="1">
        <f>IFERROR(IF(Benchmark1[[#This Row],[Comparable '#2 Date Check]]="Pass",Benchmark1[[#This Row],[Comparable '#2 Return]]-Benchmark1[[#This Row],[Benchmark '#1 Return]],"-"),"-")</f>
        <v>5.7720883029807976E-2</v>
      </c>
      <c r="P432" s="1" t="str">
        <f>IF(COUNTIF(Comp3[Comparable '#3 Dates],Benchmark1[[#This Row],[Benchmark '#1 Dates]])=1,"Pass","Fail")</f>
        <v>Pass</v>
      </c>
      <c r="Q432" s="6">
        <f>IF(Benchmark1[[#This Row],[Comparable '#3 Date Check]]="Pass",INDEX(Comp3[Comparable '#3 Price],MATCH(Benchmark1[[#This Row],[Benchmark '#1 Dates]],Comp3[Comparable '#3 Dates],0)),"-")</f>
        <v>115.13</v>
      </c>
      <c r="R432" s="22">
        <f>IF(Benchmark1[[#This Row],[Comparable '#3 Date Check]]="Pass",INDEX(Comp3[Comparable '#3 Return],MATCH(Benchmark1[[#This Row],[Benchmark '#1 Dates]],Comp3[Comparable '#3 Dates],0)),"-")</f>
        <v>-0.1427823123567605</v>
      </c>
      <c r="S432" s="1">
        <f>IFERROR(IF(Benchmark1[[#This Row],[Comparable '#3 Date Check]]="Pass",Benchmark1[[#This Row],[Comparable '#3 Return]]-Benchmark1[[#This Row],[Benchmark '#1 Return]],"-"),"-")</f>
        <v>-9.8454486663390781E-2</v>
      </c>
    </row>
    <row r="433" spans="1:19">
      <c r="A433" s="103">
        <v>43913</v>
      </c>
      <c r="B433" s="104">
        <v>2237.3953981131535</v>
      </c>
      <c r="C433" s="4">
        <f t="shared" si="6"/>
        <v>-2.9731942972192772E-2</v>
      </c>
      <c r="D433" s="1" t="str">
        <f>IF(COUNTIF(Target1[Target Dates],Benchmark1[[#This Row],[Benchmark '#1 Dates]])=1,"Pass","Fail")</f>
        <v>Pass</v>
      </c>
      <c r="E433" s="6">
        <f>IF(Benchmark1[[#This Row],[Target Date Check]]="Pass",INDEX(Target1[Target Price],MATCH(Benchmark1[[#This Row],[Benchmark '#1 Dates]],Target1[Target Dates],0)),"-")</f>
        <v>16.8</v>
      </c>
      <c r="F433" s="22">
        <f>IF(Benchmark1[[#This Row],[Target Date Check]]="Pass",INDEX(Target1[Target Return],MATCH(Benchmark1[[#This Row],[Benchmark '#1 Dates]],Target1[Target Dates],0)),"-")</f>
        <v>3.575055066162855E-2</v>
      </c>
      <c r="G433" s="1">
        <f>IFERROR(IF(Benchmark1[[#This Row],[Target Date Check]]="Pass",Benchmark1[[#This Row],[Target Return]]-Benchmark1[[#This Row],[Benchmark '#1 Return]],"-"),"-")</f>
        <v>6.5482493633821318E-2</v>
      </c>
      <c r="H433" s="1" t="str">
        <f>IF(COUNTIF(Comp1[Comparable '#1 Dates],Benchmark1[[#This Row],[Benchmark '#1 Dates]])=1,"Pass","Fail")</f>
        <v>Pass</v>
      </c>
      <c r="I433" s="6">
        <f>IF(Benchmark1[[#This Row],[Comparable '#1 Date Check]]="Pass",INDEX(Comp1[Comparable '#1 Price],MATCH(Benchmark1[[#This Row],[Benchmark '#1 Dates]],Comp1[Comparable '#1 Dates],0)),"-")</f>
        <v>8.8800000000000008</v>
      </c>
      <c r="J433" s="22">
        <f>IF(Benchmark1[[#This Row],[Comparable '#1 Date Check]]="Pass",INDEX(Comp1[Comparable '#1 Return],MATCH(Benchmark1[[#This Row],[Benchmark '#1 Dates]],Comp1[Comparable '#1 Dates],0)),"-")</f>
        <v>-1.3423020332140548E-2</v>
      </c>
      <c r="K433" s="1">
        <f>IFERROR(IF(Benchmark1[[#This Row],[Comparable '#1 Date Check]]="Pass",Benchmark1[[#This Row],[Comparable '#1 Return]]-Benchmark1[[#This Row],[Benchmark '#1 Return]],"-"),"-")</f>
        <v>1.6308922640052223E-2</v>
      </c>
      <c r="L433" s="1" t="str">
        <f>IF(COUNTIF(Comp2[Comparable '#2 Dates],Benchmark1[[#This Row],[Benchmark '#1 Dates]])=1,"Pass","Fail")</f>
        <v>Pass</v>
      </c>
      <c r="M433" s="6">
        <f>IF(Benchmark1[[#This Row],[Comparable '#2 Date Check]]="Pass",INDEX(Comp2[Comparable '#2 Price],MATCH(Benchmark1[[#This Row],[Benchmark '#1 Dates]],Comp2[Comparable '#2 Dates],0)),"-")</f>
        <v>23.48</v>
      </c>
      <c r="N433" s="22">
        <f>IF(Benchmark1[[#This Row],[Comparable '#2 Date Check]]="Pass",INDEX(Comp2[Comparable '#2 Return],MATCH(Benchmark1[[#This Row],[Benchmark '#1 Dates]],Comp2[Comparable '#2 Dates],0)),"-")</f>
        <v>4.0413929011208362E-2</v>
      </c>
      <c r="O433" s="1">
        <f>IFERROR(IF(Benchmark1[[#This Row],[Comparable '#2 Date Check]]="Pass",Benchmark1[[#This Row],[Comparable '#2 Return]]-Benchmark1[[#This Row],[Benchmark '#1 Return]],"-"),"-")</f>
        <v>7.0145871983401137E-2</v>
      </c>
      <c r="P433" s="1" t="str">
        <f>IF(COUNTIF(Comp3[Comparable '#3 Dates],Benchmark1[[#This Row],[Benchmark '#1 Dates]])=1,"Pass","Fail")</f>
        <v>Pass</v>
      </c>
      <c r="Q433" s="6">
        <f>IF(Benchmark1[[#This Row],[Comparable '#3 Date Check]]="Pass",INDEX(Comp3[Comparable '#3 Price],MATCH(Benchmark1[[#This Row],[Benchmark '#1 Dates]],Comp3[Comparable '#3 Dates],0)),"-")</f>
        <v>120.02</v>
      </c>
      <c r="R433" s="22">
        <f>IF(Benchmark1[[#This Row],[Comparable '#3 Date Check]]="Pass",INDEX(Comp3[Comparable '#3 Return],MATCH(Benchmark1[[#This Row],[Benchmark '#1 Dates]],Comp3[Comparable '#3 Dates],0)),"-")</f>
        <v>4.1596470875793781E-2</v>
      </c>
      <c r="S433" s="1">
        <f>IFERROR(IF(Benchmark1[[#This Row],[Comparable '#3 Date Check]]="Pass",Benchmark1[[#This Row],[Comparable '#3 Return]]-Benchmark1[[#This Row],[Benchmark '#1 Return]],"-"),"-")</f>
        <v>7.1328413847986549E-2</v>
      </c>
    </row>
    <row r="434" spans="1:19">
      <c r="A434" s="103">
        <v>43914</v>
      </c>
      <c r="B434" s="104">
        <v>2447.330367564161</v>
      </c>
      <c r="C434" s="4">
        <f t="shared" si="6"/>
        <v>8.9685363941314017E-2</v>
      </c>
      <c r="D434" s="1" t="str">
        <f>IF(COUNTIF(Target1[Target Dates],Benchmark1[[#This Row],[Benchmark '#1 Dates]])=1,"Pass","Fail")</f>
        <v>Pass</v>
      </c>
      <c r="E434" s="6">
        <f>IF(Benchmark1[[#This Row],[Target Date Check]]="Pass",INDEX(Target1[Target Price],MATCH(Benchmark1[[#This Row],[Benchmark '#1 Dates]],Target1[Target Dates],0)),"-")</f>
        <v>16.34</v>
      </c>
      <c r="F434" s="22">
        <f>IF(Benchmark1[[#This Row],[Target Date Check]]="Pass",INDEX(Target1[Target Return],MATCH(Benchmark1[[#This Row],[Benchmark '#1 Dates]],Target1[Target Dates],0)),"-")</f>
        <v>-2.7762796977356431E-2</v>
      </c>
      <c r="G434" s="1">
        <f>IFERROR(IF(Benchmark1[[#This Row],[Target Date Check]]="Pass",Benchmark1[[#This Row],[Target Return]]-Benchmark1[[#This Row],[Benchmark '#1 Return]],"-"),"-")</f>
        <v>-0.11744816091867044</v>
      </c>
      <c r="H434" s="1" t="str">
        <f>IF(COUNTIF(Comp1[Comparable '#1 Dates],Benchmark1[[#This Row],[Benchmark '#1 Dates]])=1,"Pass","Fail")</f>
        <v>Pass</v>
      </c>
      <c r="I434" s="6">
        <f>IF(Benchmark1[[#This Row],[Comparable '#1 Date Check]]="Pass",INDEX(Comp1[Comparable '#1 Price],MATCH(Benchmark1[[#This Row],[Benchmark '#1 Dates]],Comp1[Comparable '#1 Dates],0)),"-")</f>
        <v>9.9700000000000006</v>
      </c>
      <c r="J434" s="22">
        <f>IF(Benchmark1[[#This Row],[Comparable '#1 Date Check]]="Pass",INDEX(Comp1[Comparable '#1 Return],MATCH(Benchmark1[[#This Row],[Benchmark '#1 Dates]],Comp1[Comparable '#1 Dates],0)),"-")</f>
        <v>0.11577902696966819</v>
      </c>
      <c r="K434" s="1">
        <f>IFERROR(IF(Benchmark1[[#This Row],[Comparable '#1 Date Check]]="Pass",Benchmark1[[#This Row],[Comparable '#1 Return]]-Benchmark1[[#This Row],[Benchmark '#1 Return]],"-"),"-")</f>
        <v>2.6093663028354169E-2</v>
      </c>
      <c r="L434" s="1" t="str">
        <f>IF(COUNTIF(Comp2[Comparable '#2 Dates],Benchmark1[[#This Row],[Benchmark '#1 Dates]])=1,"Pass","Fail")</f>
        <v>Pass</v>
      </c>
      <c r="M434" s="6">
        <f>IF(Benchmark1[[#This Row],[Comparable '#2 Date Check]]="Pass",INDEX(Comp2[Comparable '#2 Price],MATCH(Benchmark1[[#This Row],[Benchmark '#1 Dates]],Comp2[Comparable '#2 Dates],0)),"-")</f>
        <v>24.33</v>
      </c>
      <c r="N434" s="22">
        <f>IF(Benchmark1[[#This Row],[Comparable '#2 Date Check]]="Pass",INDEX(Comp2[Comparable '#2 Return],MATCH(Benchmark1[[#This Row],[Benchmark '#1 Dates]],Comp2[Comparable '#2 Dates],0)),"-")</f>
        <v>3.5561161835535544E-2</v>
      </c>
      <c r="O434" s="1">
        <f>IFERROR(IF(Benchmark1[[#This Row],[Comparable '#2 Date Check]]="Pass",Benchmark1[[#This Row],[Comparable '#2 Return]]-Benchmark1[[#This Row],[Benchmark '#1 Return]],"-"),"-")</f>
        <v>-5.4124202105778473E-2</v>
      </c>
      <c r="P434" s="1" t="str">
        <f>IF(COUNTIF(Comp3[Comparable '#3 Dates],Benchmark1[[#This Row],[Benchmark '#1 Dates]])=1,"Pass","Fail")</f>
        <v>Pass</v>
      </c>
      <c r="Q434" s="6">
        <f>IF(Benchmark1[[#This Row],[Comparable '#3 Date Check]]="Pass",INDEX(Comp3[Comparable '#3 Price],MATCH(Benchmark1[[#This Row],[Benchmark '#1 Dates]],Comp3[Comparable '#3 Dates],0)),"-")</f>
        <v>128.22999999999999</v>
      </c>
      <c r="R434" s="22">
        <f>IF(Benchmark1[[#This Row],[Comparable '#3 Date Check]]="Pass",INDEX(Comp3[Comparable '#3 Return],MATCH(Benchmark1[[#This Row],[Benchmark '#1 Dates]],Comp3[Comparable '#3 Dates],0)),"-")</f>
        <v>6.6167130909657548E-2</v>
      </c>
      <c r="S434" s="1">
        <f>IFERROR(IF(Benchmark1[[#This Row],[Comparable '#3 Date Check]]="Pass",Benchmark1[[#This Row],[Comparable '#3 Return]]-Benchmark1[[#This Row],[Benchmark '#1 Return]],"-"),"-")</f>
        <v>-2.3518233031656469E-2</v>
      </c>
    </row>
    <row r="435" spans="1:19">
      <c r="A435" s="103">
        <v>43915</v>
      </c>
      <c r="B435" s="104">
        <v>2475.5583346509384</v>
      </c>
      <c r="C435" s="4">
        <f t="shared" si="6"/>
        <v>1.1468175768302509E-2</v>
      </c>
      <c r="D435" s="1" t="str">
        <f>IF(COUNTIF(Target1[Target Dates],Benchmark1[[#This Row],[Benchmark '#1 Dates]])=1,"Pass","Fail")</f>
        <v>Pass</v>
      </c>
      <c r="E435" s="6">
        <f>IF(Benchmark1[[#This Row],[Target Date Check]]="Pass",INDEX(Target1[Target Price],MATCH(Benchmark1[[#This Row],[Benchmark '#1 Dates]],Target1[Target Dates],0)),"-")</f>
        <v>16.98</v>
      </c>
      <c r="F435" s="22">
        <f>IF(Benchmark1[[#This Row],[Target Date Check]]="Pass",INDEX(Target1[Target Return],MATCH(Benchmark1[[#This Row],[Benchmark '#1 Dates]],Target1[Target Dates],0)),"-")</f>
        <v>3.8420091451344375E-2</v>
      </c>
      <c r="G435" s="1">
        <f>IFERROR(IF(Benchmark1[[#This Row],[Target Date Check]]="Pass",Benchmark1[[#This Row],[Target Return]]-Benchmark1[[#This Row],[Benchmark '#1 Return]],"-"),"-")</f>
        <v>2.6951915683041866E-2</v>
      </c>
      <c r="H435" s="1" t="str">
        <f>IF(COUNTIF(Comp1[Comparable '#1 Dates],Benchmark1[[#This Row],[Benchmark '#1 Dates]])=1,"Pass","Fail")</f>
        <v>Pass</v>
      </c>
      <c r="I435" s="6">
        <f>IF(Benchmark1[[#This Row],[Comparable '#1 Date Check]]="Pass",INDEX(Comp1[Comparable '#1 Price],MATCH(Benchmark1[[#This Row],[Benchmark '#1 Dates]],Comp1[Comparable '#1 Dates],0)),"-")</f>
        <v>10.28</v>
      </c>
      <c r="J435" s="22">
        <f>IF(Benchmark1[[#This Row],[Comparable '#1 Date Check]]="Pass",INDEX(Comp1[Comparable '#1 Return],MATCH(Benchmark1[[#This Row],[Benchmark '#1 Dates]],Comp1[Comparable '#1 Dates],0)),"-")</f>
        <v>3.0619676053272017E-2</v>
      </c>
      <c r="K435" s="1">
        <f>IFERROR(IF(Benchmark1[[#This Row],[Comparable '#1 Date Check]]="Pass",Benchmark1[[#This Row],[Comparable '#1 Return]]-Benchmark1[[#This Row],[Benchmark '#1 Return]],"-"),"-")</f>
        <v>1.9151500284969508E-2</v>
      </c>
      <c r="L435" s="1" t="str">
        <f>IF(COUNTIF(Comp2[Comparable '#2 Dates],Benchmark1[[#This Row],[Benchmark '#1 Dates]])=1,"Pass","Fail")</f>
        <v>Pass</v>
      </c>
      <c r="M435" s="6">
        <f>IF(Benchmark1[[#This Row],[Comparable '#2 Date Check]]="Pass",INDEX(Comp2[Comparable '#2 Price],MATCH(Benchmark1[[#This Row],[Benchmark '#1 Dates]],Comp2[Comparable '#2 Dates],0)),"-")</f>
        <v>25.14</v>
      </c>
      <c r="N435" s="22">
        <f>IF(Benchmark1[[#This Row],[Comparable '#2 Date Check]]="Pass",INDEX(Comp2[Comparable '#2 Return],MATCH(Benchmark1[[#This Row],[Benchmark '#1 Dates]],Comp2[Comparable '#2 Dates],0)),"-")</f>
        <v>3.2750046366670282E-2</v>
      </c>
      <c r="O435" s="1">
        <f>IFERROR(IF(Benchmark1[[#This Row],[Comparable '#2 Date Check]]="Pass",Benchmark1[[#This Row],[Comparable '#2 Return]]-Benchmark1[[#This Row],[Benchmark '#1 Return]],"-"),"-")</f>
        <v>2.1281870598367773E-2</v>
      </c>
      <c r="P435" s="1" t="str">
        <f>IF(COUNTIF(Comp3[Comparable '#3 Dates],Benchmark1[[#This Row],[Benchmark '#1 Dates]])=1,"Pass","Fail")</f>
        <v>Pass</v>
      </c>
      <c r="Q435" s="6">
        <f>IF(Benchmark1[[#This Row],[Comparable '#3 Date Check]]="Pass",INDEX(Comp3[Comparable '#3 Price],MATCH(Benchmark1[[#This Row],[Benchmark '#1 Dates]],Comp3[Comparable '#3 Dates],0)),"-")</f>
        <v>117.12</v>
      </c>
      <c r="R435" s="22">
        <f>IF(Benchmark1[[#This Row],[Comparable '#3 Date Check]]="Pass",INDEX(Comp3[Comparable '#3 Return],MATCH(Benchmark1[[#This Row],[Benchmark '#1 Dates]],Comp3[Comparable '#3 Dates],0)),"-")</f>
        <v>-9.0626476258022878E-2</v>
      </c>
      <c r="S435" s="1">
        <f>IFERROR(IF(Benchmark1[[#This Row],[Comparable '#3 Date Check]]="Pass",Benchmark1[[#This Row],[Comparable '#3 Return]]-Benchmark1[[#This Row],[Benchmark '#1 Return]],"-"),"-")</f>
        <v>-0.10209465202632539</v>
      </c>
    </row>
    <row r="436" spans="1:19">
      <c r="A436" s="103">
        <v>43916</v>
      </c>
      <c r="B436" s="104">
        <v>2630.067156173207</v>
      </c>
      <c r="C436" s="4">
        <f t="shared" si="6"/>
        <v>6.0543420193222439E-2</v>
      </c>
      <c r="D436" s="1" t="str">
        <f>IF(COUNTIF(Target1[Target Dates],Benchmark1[[#This Row],[Benchmark '#1 Dates]])=1,"Pass","Fail")</f>
        <v>Pass</v>
      </c>
      <c r="E436" s="6">
        <f>IF(Benchmark1[[#This Row],[Target Date Check]]="Pass",INDEX(Target1[Target Price],MATCH(Benchmark1[[#This Row],[Benchmark '#1 Dates]],Target1[Target Dates],0)),"-")</f>
        <v>16.739999999999998</v>
      </c>
      <c r="F436" s="22">
        <f>IF(Benchmark1[[#This Row],[Target Date Check]]="Pass",INDEX(Target1[Target Return],MATCH(Benchmark1[[#This Row],[Benchmark '#1 Dates]],Target1[Target Dates],0)),"-")</f>
        <v>-1.4235115821872098E-2</v>
      </c>
      <c r="G436" s="1">
        <f>IFERROR(IF(Benchmark1[[#This Row],[Target Date Check]]="Pass",Benchmark1[[#This Row],[Target Return]]-Benchmark1[[#This Row],[Benchmark '#1 Return]],"-"),"-")</f>
        <v>-7.4778536015094543E-2</v>
      </c>
      <c r="H436" s="1" t="str">
        <f>IF(COUNTIF(Comp1[Comparable '#1 Dates],Benchmark1[[#This Row],[Benchmark '#1 Dates]])=1,"Pass","Fail")</f>
        <v>Pass</v>
      </c>
      <c r="I436" s="6">
        <f>IF(Benchmark1[[#This Row],[Comparable '#1 Date Check]]="Pass",INDEX(Comp1[Comparable '#1 Price],MATCH(Benchmark1[[#This Row],[Benchmark '#1 Dates]],Comp1[Comparable '#1 Dates],0)),"-")</f>
        <v>10.76</v>
      </c>
      <c r="J436" s="22">
        <f>IF(Benchmark1[[#This Row],[Comparable '#1 Date Check]]="Pass",INDEX(Comp1[Comparable '#1 Return],MATCH(Benchmark1[[#This Row],[Benchmark '#1 Dates]],Comp1[Comparable '#1 Dates],0)),"-")</f>
        <v>4.563529470661936E-2</v>
      </c>
      <c r="K436" s="1">
        <f>IFERROR(IF(Benchmark1[[#This Row],[Comparable '#1 Date Check]]="Pass",Benchmark1[[#This Row],[Comparable '#1 Return]]-Benchmark1[[#This Row],[Benchmark '#1 Return]],"-"),"-")</f>
        <v>-1.4908125486603079E-2</v>
      </c>
      <c r="L436" s="1" t="str">
        <f>IF(COUNTIF(Comp2[Comparable '#2 Dates],Benchmark1[[#This Row],[Benchmark '#1 Dates]])=1,"Pass","Fail")</f>
        <v>Pass</v>
      </c>
      <c r="M436" s="6">
        <f>IF(Benchmark1[[#This Row],[Comparable '#2 Date Check]]="Pass",INDEX(Comp2[Comparable '#2 Price],MATCH(Benchmark1[[#This Row],[Benchmark '#1 Dates]],Comp2[Comparable '#2 Dates],0)),"-")</f>
        <v>25.78</v>
      </c>
      <c r="N436" s="22">
        <f>IF(Benchmark1[[#This Row],[Comparable '#2 Date Check]]="Pass",INDEX(Comp2[Comparable '#2 Return],MATCH(Benchmark1[[#This Row],[Benchmark '#1 Dates]],Comp2[Comparable '#2 Dates],0)),"-")</f>
        <v>2.5138794348940046E-2</v>
      </c>
      <c r="O436" s="1">
        <f>IFERROR(IF(Benchmark1[[#This Row],[Comparable '#2 Date Check]]="Pass",Benchmark1[[#This Row],[Comparable '#2 Return]]-Benchmark1[[#This Row],[Benchmark '#1 Return]],"-"),"-")</f>
        <v>-3.5404625844282389E-2</v>
      </c>
      <c r="P436" s="1" t="str">
        <f>IF(COUNTIF(Comp3[Comparable '#3 Dates],Benchmark1[[#This Row],[Benchmark '#1 Dates]])=1,"Pass","Fail")</f>
        <v>Pass</v>
      </c>
      <c r="Q436" s="6">
        <f>IF(Benchmark1[[#This Row],[Comparable '#3 Date Check]]="Pass",INDEX(Comp3[Comparable '#3 Price],MATCH(Benchmark1[[#This Row],[Benchmark '#1 Dates]],Comp3[Comparable '#3 Dates],0)),"-")</f>
        <v>130.35</v>
      </c>
      <c r="R436" s="22">
        <f>IF(Benchmark1[[#This Row],[Comparable '#3 Date Check]]="Pass",INDEX(Comp3[Comparable '#3 Return],MATCH(Benchmark1[[#This Row],[Benchmark '#1 Dates]],Comp3[Comparable '#3 Dates],0)),"-")</f>
        <v>0.10702409016650932</v>
      </c>
      <c r="S436" s="1">
        <f>IFERROR(IF(Benchmark1[[#This Row],[Comparable '#3 Date Check]]="Pass",Benchmark1[[#This Row],[Comparable '#3 Return]]-Benchmark1[[#This Row],[Benchmark '#1 Return]],"-"),"-")</f>
        <v>4.6480669973286884E-2</v>
      </c>
    </row>
    <row r="437" spans="1:19">
      <c r="A437" s="103">
        <v>43917</v>
      </c>
      <c r="B437" s="104">
        <v>2541.4696507809654</v>
      </c>
      <c r="C437" s="4">
        <f t="shared" si="6"/>
        <v>-3.4266864156155381E-2</v>
      </c>
      <c r="D437" s="1" t="str">
        <f>IF(COUNTIF(Target1[Target Dates],Benchmark1[[#This Row],[Benchmark '#1 Dates]])=1,"Pass","Fail")</f>
        <v>Pass</v>
      </c>
      <c r="E437" s="6">
        <f>IF(Benchmark1[[#This Row],[Target Date Check]]="Pass",INDEX(Target1[Target Price],MATCH(Benchmark1[[#This Row],[Benchmark '#1 Dates]],Target1[Target Dates],0)),"-")</f>
        <v>17.5</v>
      </c>
      <c r="F437" s="22">
        <f>IF(Benchmark1[[#This Row],[Target Date Check]]="Pass",INDEX(Target1[Target Return],MATCH(Benchmark1[[#This Row],[Benchmark '#1 Dates]],Target1[Target Dates],0)),"-")</f>
        <v>4.4399815868139167E-2</v>
      </c>
      <c r="G437" s="1">
        <f>IFERROR(IF(Benchmark1[[#This Row],[Target Date Check]]="Pass",Benchmark1[[#This Row],[Target Return]]-Benchmark1[[#This Row],[Benchmark '#1 Return]],"-"),"-")</f>
        <v>7.8666680024294555E-2</v>
      </c>
      <c r="H437" s="1" t="str">
        <f>IF(COUNTIF(Comp1[Comparable '#1 Dates],Benchmark1[[#This Row],[Benchmark '#1 Dates]])=1,"Pass","Fail")</f>
        <v>Pass</v>
      </c>
      <c r="I437" s="6">
        <f>IF(Benchmark1[[#This Row],[Comparable '#1 Date Check]]="Pass",INDEX(Comp1[Comparable '#1 Price],MATCH(Benchmark1[[#This Row],[Benchmark '#1 Dates]],Comp1[Comparable '#1 Dates],0)),"-")</f>
        <v>10.38</v>
      </c>
      <c r="J437" s="22">
        <f>IF(Benchmark1[[#This Row],[Comparable '#1 Date Check]]="Pass",INDEX(Comp1[Comparable '#1 Return],MATCH(Benchmark1[[#This Row],[Benchmark '#1 Dates]],Comp1[Comparable '#1 Dates],0)),"-")</f>
        <v>-3.5954676995895725E-2</v>
      </c>
      <c r="K437" s="1">
        <f>IFERROR(IF(Benchmark1[[#This Row],[Comparable '#1 Date Check]]="Pass",Benchmark1[[#This Row],[Comparable '#1 Return]]-Benchmark1[[#This Row],[Benchmark '#1 Return]],"-"),"-")</f>
        <v>-1.6878128397403436E-3</v>
      </c>
      <c r="L437" s="1" t="str">
        <f>IF(COUNTIF(Comp2[Comparable '#2 Dates],Benchmark1[[#This Row],[Benchmark '#1 Dates]])=1,"Pass","Fail")</f>
        <v>Pass</v>
      </c>
      <c r="M437" s="6">
        <f>IF(Benchmark1[[#This Row],[Comparable '#2 Date Check]]="Pass",INDEX(Comp2[Comparable '#2 Price],MATCH(Benchmark1[[#This Row],[Benchmark '#1 Dates]],Comp2[Comparable '#2 Dates],0)),"-")</f>
        <v>24.8</v>
      </c>
      <c r="N437" s="22">
        <f>IF(Benchmark1[[#This Row],[Comparable '#2 Date Check]]="Pass",INDEX(Comp2[Comparable '#2 Return],MATCH(Benchmark1[[#This Row],[Benchmark '#1 Dates]],Comp2[Comparable '#2 Dates],0)),"-")</f>
        <v>-3.8755344340104886E-2</v>
      </c>
      <c r="O437" s="1">
        <f>IFERROR(IF(Benchmark1[[#This Row],[Comparable '#2 Date Check]]="Pass",Benchmark1[[#This Row],[Comparable '#2 Return]]-Benchmark1[[#This Row],[Benchmark '#1 Return]],"-"),"-")</f>
        <v>-4.4884801839495045E-3</v>
      </c>
      <c r="P437" s="1" t="str">
        <f>IF(COUNTIF(Comp3[Comparable '#3 Dates],Benchmark1[[#This Row],[Benchmark '#1 Dates]])=1,"Pass","Fail")</f>
        <v>Pass</v>
      </c>
      <c r="Q437" s="6">
        <f>IF(Benchmark1[[#This Row],[Comparable '#3 Date Check]]="Pass",INDEX(Comp3[Comparable '#3 Price],MATCH(Benchmark1[[#This Row],[Benchmark '#1 Dates]],Comp3[Comparable '#3 Dates],0)),"-")</f>
        <v>126.36</v>
      </c>
      <c r="R437" s="22">
        <f>IF(Benchmark1[[#This Row],[Comparable '#3 Date Check]]="Pass",INDEX(Comp3[Comparable '#3 Return],MATCH(Benchmark1[[#This Row],[Benchmark '#1 Dates]],Comp3[Comparable '#3 Dates],0)),"-")</f>
        <v>-3.1088164445626242E-2</v>
      </c>
      <c r="S437" s="1">
        <f>IFERROR(IF(Benchmark1[[#This Row],[Comparable '#3 Date Check]]="Pass",Benchmark1[[#This Row],[Comparable '#3 Return]]-Benchmark1[[#This Row],[Benchmark '#1 Return]],"-"),"-")</f>
        <v>3.1786997105291391E-3</v>
      </c>
    </row>
    <row r="438" spans="1:19">
      <c r="A438" s="103">
        <v>43920</v>
      </c>
      <c r="B438" s="104">
        <v>2626.6457614821329</v>
      </c>
      <c r="C438" s="4">
        <f t="shared" si="6"/>
        <v>3.2965139969274894E-2</v>
      </c>
      <c r="D438" s="1" t="str">
        <f>IF(COUNTIF(Target1[Target Dates],Benchmark1[[#This Row],[Benchmark '#1 Dates]])=1,"Pass","Fail")</f>
        <v>Pass</v>
      </c>
      <c r="E438" s="6">
        <f>IF(Benchmark1[[#This Row],[Target Date Check]]="Pass",INDEX(Target1[Target Price],MATCH(Benchmark1[[#This Row],[Benchmark '#1 Dates]],Target1[Target Dates],0)),"-")</f>
        <v>18.57</v>
      </c>
      <c r="F438" s="22">
        <f>IF(Benchmark1[[#This Row],[Target Date Check]]="Pass",INDEX(Target1[Target Return],MATCH(Benchmark1[[#This Row],[Benchmark '#1 Dates]],Target1[Target Dates],0)),"-")</f>
        <v>5.9346494435146079E-2</v>
      </c>
      <c r="G438" s="1">
        <f>IFERROR(IF(Benchmark1[[#This Row],[Target Date Check]]="Pass",Benchmark1[[#This Row],[Target Return]]-Benchmark1[[#This Row],[Benchmark '#1 Return]],"-"),"-")</f>
        <v>2.6381354465871185E-2</v>
      </c>
      <c r="H438" s="1" t="str">
        <f>IF(COUNTIF(Comp1[Comparable '#1 Dates],Benchmark1[[#This Row],[Benchmark '#1 Dates]])=1,"Pass","Fail")</f>
        <v>Pass</v>
      </c>
      <c r="I438" s="6">
        <f>IF(Benchmark1[[#This Row],[Comparable '#1 Date Check]]="Pass",INDEX(Comp1[Comparable '#1 Price],MATCH(Benchmark1[[#This Row],[Benchmark '#1 Dates]],Comp1[Comparable '#1 Dates],0)),"-")</f>
        <v>10.63</v>
      </c>
      <c r="J438" s="22">
        <f>IF(Benchmark1[[#This Row],[Comparable '#1 Date Check]]="Pass",INDEX(Comp1[Comparable '#1 Return],MATCH(Benchmark1[[#This Row],[Benchmark '#1 Dates]],Comp1[Comparable '#1 Dates],0)),"-")</f>
        <v>2.3799314616114085E-2</v>
      </c>
      <c r="K438" s="1">
        <f>IFERROR(IF(Benchmark1[[#This Row],[Comparable '#1 Date Check]]="Pass",Benchmark1[[#This Row],[Comparable '#1 Return]]-Benchmark1[[#This Row],[Benchmark '#1 Return]],"-"),"-")</f>
        <v>-9.1658253531608086E-3</v>
      </c>
      <c r="L438" s="1" t="str">
        <f>IF(COUNTIF(Comp2[Comparable '#2 Dates],Benchmark1[[#This Row],[Benchmark '#1 Dates]])=1,"Pass","Fail")</f>
        <v>Pass</v>
      </c>
      <c r="M438" s="6">
        <f>IF(Benchmark1[[#This Row],[Comparable '#2 Date Check]]="Pass",INDEX(Comp2[Comparable '#2 Price],MATCH(Benchmark1[[#This Row],[Benchmark '#1 Dates]],Comp2[Comparable '#2 Dates],0)),"-")</f>
        <v>26.07</v>
      </c>
      <c r="N438" s="22">
        <f>IF(Benchmark1[[#This Row],[Comparable '#2 Date Check]]="Pass",INDEX(Comp2[Comparable '#2 Return],MATCH(Benchmark1[[#This Row],[Benchmark '#1 Dates]],Comp2[Comparable '#2 Dates],0)),"-")</f>
        <v>4.9941574774473925E-2</v>
      </c>
      <c r="O438" s="1">
        <f>IFERROR(IF(Benchmark1[[#This Row],[Comparable '#2 Date Check]]="Pass",Benchmark1[[#This Row],[Comparable '#2 Return]]-Benchmark1[[#This Row],[Benchmark '#1 Return]],"-"),"-")</f>
        <v>1.6976434805199031E-2</v>
      </c>
      <c r="P438" s="1" t="str">
        <f>IF(COUNTIF(Comp3[Comparable '#3 Dates],Benchmark1[[#This Row],[Benchmark '#1 Dates]])=1,"Pass","Fail")</f>
        <v>Pass</v>
      </c>
      <c r="Q438" s="6">
        <f>IF(Benchmark1[[#This Row],[Comparable '#3 Date Check]]="Pass",INDEX(Comp3[Comparable '#3 Price],MATCH(Benchmark1[[#This Row],[Benchmark '#1 Dates]],Comp3[Comparable '#3 Dates],0)),"-")</f>
        <v>140.11000000000001</v>
      </c>
      <c r="R438" s="22">
        <f>IF(Benchmark1[[#This Row],[Comparable '#3 Date Check]]="Pass",INDEX(Comp3[Comparable '#3 Return],MATCH(Benchmark1[[#This Row],[Benchmark '#1 Dates]],Comp3[Comparable '#3 Dates],0)),"-")</f>
        <v>0.10329285244925579</v>
      </c>
      <c r="S438" s="1">
        <f>IFERROR(IF(Benchmark1[[#This Row],[Comparable '#3 Date Check]]="Pass",Benchmark1[[#This Row],[Comparable '#3 Return]]-Benchmark1[[#This Row],[Benchmark '#1 Return]],"-"),"-")</f>
        <v>7.0327712479980903E-2</v>
      </c>
    </row>
    <row r="439" spans="1:19">
      <c r="A439" s="103">
        <v>43921</v>
      </c>
      <c r="B439" s="104">
        <v>2584.5907599343082</v>
      </c>
      <c r="C439" s="4">
        <f t="shared" si="6"/>
        <v>-1.6140474287540323E-2</v>
      </c>
      <c r="D439" s="1" t="str">
        <f>IF(COUNTIF(Target1[Target Dates],Benchmark1[[#This Row],[Benchmark '#1 Dates]])=1,"Pass","Fail")</f>
        <v>Pass</v>
      </c>
      <c r="E439" s="6">
        <f>IF(Benchmark1[[#This Row],[Target Date Check]]="Pass",INDEX(Target1[Target Price],MATCH(Benchmark1[[#This Row],[Benchmark '#1 Dates]],Target1[Target Dates],0)),"-")</f>
        <v>18.86</v>
      </c>
      <c r="F439" s="22">
        <f>IF(Benchmark1[[#This Row],[Target Date Check]]="Pass",INDEX(Target1[Target Return],MATCH(Benchmark1[[#This Row],[Benchmark '#1 Dates]],Target1[Target Dates],0)),"-")</f>
        <v>1.549590184069689E-2</v>
      </c>
      <c r="G439" s="1">
        <f>IFERROR(IF(Benchmark1[[#This Row],[Target Date Check]]="Pass",Benchmark1[[#This Row],[Target Return]]-Benchmark1[[#This Row],[Benchmark '#1 Return]],"-"),"-")</f>
        <v>3.1636376128237213E-2</v>
      </c>
      <c r="H439" s="1" t="str">
        <f>IF(COUNTIF(Comp1[Comparable '#1 Dates],Benchmark1[[#This Row],[Benchmark '#1 Dates]])=1,"Pass","Fail")</f>
        <v>Pass</v>
      </c>
      <c r="I439" s="6">
        <f>IF(Benchmark1[[#This Row],[Comparable '#1 Date Check]]="Pass",INDEX(Comp1[Comparable '#1 Price],MATCH(Benchmark1[[#This Row],[Benchmark '#1 Dates]],Comp1[Comparable '#1 Dates],0)),"-")</f>
        <v>10.51</v>
      </c>
      <c r="J439" s="22">
        <f>IF(Benchmark1[[#This Row],[Comparable '#1 Date Check]]="Pass",INDEX(Comp1[Comparable '#1 Return],MATCH(Benchmark1[[#This Row],[Benchmark '#1 Dates]],Comp1[Comparable '#1 Dates],0)),"-")</f>
        <v>-1.1353007464996949E-2</v>
      </c>
      <c r="K439" s="1">
        <f>IFERROR(IF(Benchmark1[[#This Row],[Comparable '#1 Date Check]]="Pass",Benchmark1[[#This Row],[Comparable '#1 Return]]-Benchmark1[[#This Row],[Benchmark '#1 Return]],"-"),"-")</f>
        <v>4.7874668225433743E-3</v>
      </c>
      <c r="L439" s="1" t="str">
        <f>IF(COUNTIF(Comp2[Comparable '#2 Dates],Benchmark1[[#This Row],[Benchmark '#1 Dates]])=1,"Pass","Fail")</f>
        <v>Pass</v>
      </c>
      <c r="M439" s="6">
        <f>IF(Benchmark1[[#This Row],[Comparable '#2 Date Check]]="Pass",INDEX(Comp2[Comparable '#2 Price],MATCH(Benchmark1[[#This Row],[Benchmark '#1 Dates]],Comp2[Comparable '#2 Dates],0)),"-")</f>
        <v>26.79</v>
      </c>
      <c r="N439" s="22">
        <f>IF(Benchmark1[[#This Row],[Comparable '#2 Date Check]]="Pass",INDEX(Comp2[Comparable '#2 Return],MATCH(Benchmark1[[#This Row],[Benchmark '#1 Dates]],Comp2[Comparable '#2 Dates],0)),"-")</f>
        <v>2.7243455611107033E-2</v>
      </c>
      <c r="O439" s="1">
        <f>IFERROR(IF(Benchmark1[[#This Row],[Comparable '#2 Date Check]]="Pass",Benchmark1[[#This Row],[Comparable '#2 Return]]-Benchmark1[[#This Row],[Benchmark '#1 Return]],"-"),"-")</f>
        <v>4.3383929898647353E-2</v>
      </c>
      <c r="P439" s="1" t="str">
        <f>IF(COUNTIF(Comp3[Comparable '#3 Dates],Benchmark1[[#This Row],[Benchmark '#1 Dates]])=1,"Pass","Fail")</f>
        <v>Pass</v>
      </c>
      <c r="Q439" s="6">
        <f>IF(Benchmark1[[#This Row],[Comparable '#3 Date Check]]="Pass",INDEX(Comp3[Comparable '#3 Price],MATCH(Benchmark1[[#This Row],[Benchmark '#1 Dates]],Comp3[Comparable '#3 Dates],0)),"-")</f>
        <v>139.76</v>
      </c>
      <c r="R439" s="22">
        <f>IF(Benchmark1[[#This Row],[Comparable '#3 Date Check]]="Pass",INDEX(Comp3[Comparable '#3 Return],MATCH(Benchmark1[[#This Row],[Benchmark '#1 Dates]],Comp3[Comparable '#3 Dates],0)),"-")</f>
        <v>-2.5011625573390754E-3</v>
      </c>
      <c r="S439" s="1">
        <f>IFERROR(IF(Benchmark1[[#This Row],[Comparable '#3 Date Check]]="Pass",Benchmark1[[#This Row],[Comparable '#3 Return]]-Benchmark1[[#This Row],[Benchmark '#1 Return]],"-"),"-")</f>
        <v>1.3639311730201248E-2</v>
      </c>
    </row>
    <row r="440" spans="1:19">
      <c r="A440" s="103">
        <v>43922</v>
      </c>
      <c r="B440" s="104">
        <v>2470.5044097902091</v>
      </c>
      <c r="C440" s="4">
        <f t="shared" si="6"/>
        <v>-4.5144837774958473E-2</v>
      </c>
      <c r="D440" s="1" t="str">
        <f>IF(COUNTIF(Target1[Target Dates],Benchmark1[[#This Row],[Benchmark '#1 Dates]])=1,"Pass","Fail")</f>
        <v>Pass</v>
      </c>
      <c r="E440" s="6">
        <f>IF(Benchmark1[[#This Row],[Target Date Check]]="Pass",INDEX(Target1[Target Price],MATCH(Benchmark1[[#This Row],[Benchmark '#1 Dates]],Target1[Target Dates],0)),"-")</f>
        <v>17.850000000000001</v>
      </c>
      <c r="F440" s="22">
        <f>IF(Benchmark1[[#This Row],[Target Date Check]]="Pass",INDEX(Target1[Target Return],MATCH(Benchmark1[[#This Row],[Benchmark '#1 Dates]],Target1[Target Dates],0)),"-")</f>
        <v>-5.5039768979663208E-2</v>
      </c>
      <c r="G440" s="1">
        <f>IFERROR(IF(Benchmark1[[#This Row],[Target Date Check]]="Pass",Benchmark1[[#This Row],[Target Return]]-Benchmark1[[#This Row],[Benchmark '#1 Return]],"-"),"-")</f>
        <v>-9.894931204704735E-3</v>
      </c>
      <c r="H440" s="1" t="str">
        <f>IF(COUNTIF(Comp1[Comparable '#1 Dates],Benchmark1[[#This Row],[Benchmark '#1 Dates]])=1,"Pass","Fail")</f>
        <v>Pass</v>
      </c>
      <c r="I440" s="6">
        <f>IF(Benchmark1[[#This Row],[Comparable '#1 Date Check]]="Pass",INDEX(Comp1[Comparable '#1 Price],MATCH(Benchmark1[[#This Row],[Benchmark '#1 Dates]],Comp1[Comparable '#1 Dates],0)),"-")</f>
        <v>10.199999999999999</v>
      </c>
      <c r="J440" s="22">
        <f>IF(Benchmark1[[#This Row],[Comparable '#1 Date Check]]="Pass",INDEX(Comp1[Comparable '#1 Return],MATCH(Benchmark1[[#This Row],[Benchmark '#1 Dates]],Comp1[Comparable '#1 Dates],0)),"-")</f>
        <v>-2.9939464598634426E-2</v>
      </c>
      <c r="K440" s="1">
        <f>IFERROR(IF(Benchmark1[[#This Row],[Comparable '#1 Date Check]]="Pass",Benchmark1[[#This Row],[Comparable '#1 Return]]-Benchmark1[[#This Row],[Benchmark '#1 Return]],"-"),"-")</f>
        <v>1.5205373176324047E-2</v>
      </c>
      <c r="L440" s="1" t="str">
        <f>IF(COUNTIF(Comp2[Comparable '#2 Dates],Benchmark1[[#This Row],[Benchmark '#1 Dates]])=1,"Pass","Fail")</f>
        <v>Pass</v>
      </c>
      <c r="M440" s="6">
        <f>IF(Benchmark1[[#This Row],[Comparable '#2 Date Check]]="Pass",INDEX(Comp2[Comparable '#2 Price],MATCH(Benchmark1[[#This Row],[Benchmark '#1 Dates]],Comp2[Comparable '#2 Dates],0)),"-")</f>
        <v>26.2</v>
      </c>
      <c r="N440" s="22">
        <f>IF(Benchmark1[[#This Row],[Comparable '#2 Date Check]]="Pass",INDEX(Comp2[Comparable '#2 Return],MATCH(Benchmark1[[#This Row],[Benchmark '#1 Dates]],Comp2[Comparable '#2 Dates],0)),"-")</f>
        <v>-2.2269272789466228E-2</v>
      </c>
      <c r="O440" s="1">
        <f>IFERROR(IF(Benchmark1[[#This Row],[Comparable '#2 Date Check]]="Pass",Benchmark1[[#This Row],[Comparable '#2 Return]]-Benchmark1[[#This Row],[Benchmark '#1 Return]],"-"),"-")</f>
        <v>2.2875564985492244E-2</v>
      </c>
      <c r="P440" s="1" t="str">
        <f>IF(COUNTIF(Comp3[Comparable '#3 Dates],Benchmark1[[#This Row],[Benchmark '#1 Dates]])=1,"Pass","Fail")</f>
        <v>Pass</v>
      </c>
      <c r="Q440" s="6">
        <f>IF(Benchmark1[[#This Row],[Comparable '#3 Date Check]]="Pass",INDEX(Comp3[Comparable '#3 Price],MATCH(Benchmark1[[#This Row],[Benchmark '#1 Dates]],Comp3[Comparable '#3 Dates],0)),"-")</f>
        <v>123.28</v>
      </c>
      <c r="R440" s="22">
        <f>IF(Benchmark1[[#This Row],[Comparable '#3 Date Check]]="Pass",INDEX(Comp3[Comparable '#3 Return],MATCH(Benchmark1[[#This Row],[Benchmark '#1 Dates]],Comp3[Comparable '#3 Dates],0)),"-")</f>
        <v>-0.12546847481394072</v>
      </c>
      <c r="S440" s="1">
        <f>IFERROR(IF(Benchmark1[[#This Row],[Comparable '#3 Date Check]]="Pass",Benchmark1[[#This Row],[Comparable '#3 Return]]-Benchmark1[[#This Row],[Benchmark '#1 Return]],"-"),"-")</f>
        <v>-8.0323637038982237E-2</v>
      </c>
    </row>
    <row r="441" spans="1:19">
      <c r="A441" s="103">
        <v>43923</v>
      </c>
      <c r="B441" s="104">
        <v>2526.9027701058326</v>
      </c>
      <c r="C441" s="4">
        <f t="shared" si="6"/>
        <v>2.2572006972499704E-2</v>
      </c>
      <c r="D441" s="1" t="str">
        <f>IF(COUNTIF(Target1[Target Dates],Benchmark1[[#This Row],[Benchmark '#1 Dates]])=1,"Pass","Fail")</f>
        <v>Pass</v>
      </c>
      <c r="E441" s="6">
        <f>IF(Benchmark1[[#This Row],[Target Date Check]]="Pass",INDEX(Target1[Target Price],MATCH(Benchmark1[[#This Row],[Benchmark '#1 Dates]],Target1[Target Dates],0)),"-")</f>
        <v>20.47</v>
      </c>
      <c r="F441" s="22">
        <f>IF(Benchmark1[[#This Row],[Target Date Check]]="Pass",INDEX(Target1[Target Return],MATCH(Benchmark1[[#This Row],[Benchmark '#1 Dates]],Target1[Target Dates],0)),"-")</f>
        <v>0.13695689144755002</v>
      </c>
      <c r="G441" s="1">
        <f>IFERROR(IF(Benchmark1[[#This Row],[Target Date Check]]="Pass",Benchmark1[[#This Row],[Target Return]]-Benchmark1[[#This Row],[Benchmark '#1 Return]],"-"),"-")</f>
        <v>0.11438488447505032</v>
      </c>
      <c r="H441" s="1" t="str">
        <f>IF(COUNTIF(Comp1[Comparable '#1 Dates],Benchmark1[[#This Row],[Benchmark '#1 Dates]])=1,"Pass","Fail")</f>
        <v>Pass</v>
      </c>
      <c r="I441" s="6">
        <f>IF(Benchmark1[[#This Row],[Comparable '#1 Date Check]]="Pass",INDEX(Comp1[Comparable '#1 Price],MATCH(Benchmark1[[#This Row],[Benchmark '#1 Dates]],Comp1[Comparable '#1 Dates],0)),"-")</f>
        <v>9.81</v>
      </c>
      <c r="J441" s="22">
        <f>IF(Benchmark1[[#This Row],[Comparable '#1 Date Check]]="Pass",INDEX(Comp1[Comparable '#1 Return],MATCH(Benchmark1[[#This Row],[Benchmark '#1 Dates]],Comp1[Comparable '#1 Dates],0)),"-")</f>
        <v>-3.8985446712953543E-2</v>
      </c>
      <c r="K441" s="1">
        <f>IFERROR(IF(Benchmark1[[#This Row],[Comparable '#1 Date Check]]="Pass",Benchmark1[[#This Row],[Comparable '#1 Return]]-Benchmark1[[#This Row],[Benchmark '#1 Return]],"-"),"-")</f>
        <v>-6.1557453685453248E-2</v>
      </c>
      <c r="L441" s="1" t="str">
        <f>IF(COUNTIF(Comp2[Comparable '#2 Dates],Benchmark1[[#This Row],[Benchmark '#1 Dates]])=1,"Pass","Fail")</f>
        <v>Pass</v>
      </c>
      <c r="M441" s="6">
        <f>IF(Benchmark1[[#This Row],[Comparable '#2 Date Check]]="Pass",INDEX(Comp2[Comparable '#2 Price],MATCH(Benchmark1[[#This Row],[Benchmark '#1 Dates]],Comp2[Comparable '#2 Dates],0)),"-")</f>
        <v>24.97</v>
      </c>
      <c r="N441" s="22">
        <f>IF(Benchmark1[[#This Row],[Comparable '#2 Date Check]]="Pass",INDEX(Comp2[Comparable '#2 Return],MATCH(Benchmark1[[#This Row],[Benchmark '#1 Dates]],Comp2[Comparable '#2 Dates],0)),"-")</f>
        <v>-4.8084306475369334E-2</v>
      </c>
      <c r="O441" s="1">
        <f>IFERROR(IF(Benchmark1[[#This Row],[Comparable '#2 Date Check]]="Pass",Benchmark1[[#This Row],[Comparable '#2 Return]]-Benchmark1[[#This Row],[Benchmark '#1 Return]],"-"),"-")</f>
        <v>-7.0656313447869046E-2</v>
      </c>
      <c r="P441" s="1" t="str">
        <f>IF(COUNTIF(Comp3[Comparable '#3 Dates],Benchmark1[[#This Row],[Benchmark '#1 Dates]])=1,"Pass","Fail")</f>
        <v>Pass</v>
      </c>
      <c r="Q441" s="6">
        <f>IF(Benchmark1[[#This Row],[Comparable '#3 Date Check]]="Pass",INDEX(Comp3[Comparable '#3 Price],MATCH(Benchmark1[[#This Row],[Benchmark '#1 Dates]],Comp3[Comparable '#3 Dates],0)),"-")</f>
        <v>119.42</v>
      </c>
      <c r="R441" s="22">
        <f>IF(Benchmark1[[#This Row],[Comparable '#3 Date Check]]="Pass",INDEX(Comp3[Comparable '#3 Return],MATCH(Benchmark1[[#This Row],[Benchmark '#1 Dates]],Comp3[Comparable '#3 Dates],0)),"-")</f>
        <v>-3.1811499893013934E-2</v>
      </c>
      <c r="S441" s="1">
        <f>IFERROR(IF(Benchmark1[[#This Row],[Comparable '#3 Date Check]]="Pass",Benchmark1[[#This Row],[Comparable '#3 Return]]-Benchmark1[[#This Row],[Benchmark '#1 Return]],"-"),"-")</f>
        <v>-5.4383506865513638E-2</v>
      </c>
    </row>
    <row r="442" spans="1:19">
      <c r="A442" s="103">
        <v>43924</v>
      </c>
      <c r="B442" s="104">
        <v>2488.6484484638995</v>
      </c>
      <c r="C442" s="4">
        <f t="shared" si="6"/>
        <v>-1.5254579923145365E-2</v>
      </c>
      <c r="D442" s="1" t="str">
        <f>IF(COUNTIF(Target1[Target Dates],Benchmark1[[#This Row],[Benchmark '#1 Dates]])=1,"Pass","Fail")</f>
        <v>Pass</v>
      </c>
      <c r="E442" s="6">
        <f>IF(Benchmark1[[#This Row],[Target Date Check]]="Pass",INDEX(Target1[Target Price],MATCH(Benchmark1[[#This Row],[Benchmark '#1 Dates]],Target1[Target Dates],0)),"-")</f>
        <v>20.74</v>
      </c>
      <c r="F442" s="22">
        <f>IF(Benchmark1[[#This Row],[Target Date Check]]="Pass",INDEX(Target1[Target Return],MATCH(Benchmark1[[#This Row],[Benchmark '#1 Dates]],Target1[Target Dates],0)),"-")</f>
        <v>1.3103803128183027E-2</v>
      </c>
      <c r="G442" s="1">
        <f>IFERROR(IF(Benchmark1[[#This Row],[Target Date Check]]="Pass",Benchmark1[[#This Row],[Target Return]]-Benchmark1[[#This Row],[Benchmark '#1 Return]],"-"),"-")</f>
        <v>2.8358383051328394E-2</v>
      </c>
      <c r="H442" s="1" t="str">
        <f>IF(COUNTIF(Comp1[Comparable '#1 Dates],Benchmark1[[#This Row],[Benchmark '#1 Dates]])=1,"Pass","Fail")</f>
        <v>Pass</v>
      </c>
      <c r="I442" s="6">
        <f>IF(Benchmark1[[#This Row],[Comparable '#1 Date Check]]="Pass",INDEX(Comp1[Comparable '#1 Price],MATCH(Benchmark1[[#This Row],[Benchmark '#1 Dates]],Comp1[Comparable '#1 Dates],0)),"-")</f>
        <v>9.24</v>
      </c>
      <c r="J442" s="22">
        <f>IF(Benchmark1[[#This Row],[Comparable '#1 Date Check]]="Pass",INDEX(Comp1[Comparable '#1 Return],MATCH(Benchmark1[[#This Row],[Benchmark '#1 Dates]],Comp1[Comparable '#1 Dates],0)),"-")</f>
        <v>-5.9860387923678947E-2</v>
      </c>
      <c r="K442" s="1">
        <f>IFERROR(IF(Benchmark1[[#This Row],[Comparable '#1 Date Check]]="Pass",Benchmark1[[#This Row],[Comparable '#1 Return]]-Benchmark1[[#This Row],[Benchmark '#1 Return]],"-"),"-")</f>
        <v>-4.4605808000533584E-2</v>
      </c>
      <c r="L442" s="1" t="str">
        <f>IF(COUNTIF(Comp2[Comparable '#2 Dates],Benchmark1[[#This Row],[Benchmark '#1 Dates]])=1,"Pass","Fail")</f>
        <v>Pass</v>
      </c>
      <c r="M442" s="6">
        <f>IF(Benchmark1[[#This Row],[Comparable '#2 Date Check]]="Pass",INDEX(Comp2[Comparable '#2 Price],MATCH(Benchmark1[[#This Row],[Benchmark '#1 Dates]],Comp2[Comparable '#2 Dates],0)),"-")</f>
        <v>23.57</v>
      </c>
      <c r="N442" s="22">
        <f>IF(Benchmark1[[#This Row],[Comparable '#2 Date Check]]="Pass",INDEX(Comp2[Comparable '#2 Return],MATCH(Benchmark1[[#This Row],[Benchmark '#1 Dates]],Comp2[Comparable '#2 Dates],0)),"-")</f>
        <v>-5.7700387343642003E-2</v>
      </c>
      <c r="O442" s="1">
        <f>IFERROR(IF(Benchmark1[[#This Row],[Comparable '#2 Date Check]]="Pass",Benchmark1[[#This Row],[Comparable '#2 Return]]-Benchmark1[[#This Row],[Benchmark '#1 Return]],"-"),"-")</f>
        <v>-4.244580742049664E-2</v>
      </c>
      <c r="P442" s="1" t="str">
        <f>IF(COUNTIF(Comp3[Comparable '#3 Dates],Benchmark1[[#This Row],[Benchmark '#1 Dates]])=1,"Pass","Fail")</f>
        <v>Pass</v>
      </c>
      <c r="Q442" s="6">
        <f>IF(Benchmark1[[#This Row],[Comparable '#3 Date Check]]="Pass",INDEX(Comp3[Comparable '#3 Price],MATCH(Benchmark1[[#This Row],[Benchmark '#1 Dates]],Comp3[Comparable '#3 Dates],0)),"-")</f>
        <v>116.66</v>
      </c>
      <c r="R442" s="22">
        <f>IF(Benchmark1[[#This Row],[Comparable '#3 Date Check]]="Pass",INDEX(Comp3[Comparable '#3 Return],MATCH(Benchmark1[[#This Row],[Benchmark '#1 Dates]],Comp3[Comparable '#3 Dates],0)),"-")</f>
        <v>-2.3382969793354882E-2</v>
      </c>
      <c r="S442" s="1">
        <f>IFERROR(IF(Benchmark1[[#This Row],[Comparable '#3 Date Check]]="Pass",Benchmark1[[#This Row],[Comparable '#3 Return]]-Benchmark1[[#This Row],[Benchmark '#1 Return]],"-"),"-")</f>
        <v>-8.128389870209517E-3</v>
      </c>
    </row>
    <row r="443" spans="1:19">
      <c r="A443" s="103">
        <v>43927</v>
      </c>
      <c r="B443" s="104">
        <v>2663.6837641436505</v>
      </c>
      <c r="C443" s="4">
        <f t="shared" si="6"/>
        <v>6.7970267148343963E-2</v>
      </c>
      <c r="D443" s="1" t="str">
        <f>IF(COUNTIF(Target1[Target Dates],Benchmark1[[#This Row],[Benchmark '#1 Dates]])=1,"Pass","Fail")</f>
        <v>Pass</v>
      </c>
      <c r="E443" s="6">
        <f>IF(Benchmark1[[#This Row],[Target Date Check]]="Pass",INDEX(Target1[Target Price],MATCH(Benchmark1[[#This Row],[Benchmark '#1 Dates]],Target1[Target Dates],0)),"-")</f>
        <v>21.75</v>
      </c>
      <c r="F443" s="22">
        <f>IF(Benchmark1[[#This Row],[Target Date Check]]="Pass",INDEX(Target1[Target Return],MATCH(Benchmark1[[#This Row],[Benchmark '#1 Dates]],Target1[Target Dates],0)),"-")</f>
        <v>4.7549554733311863E-2</v>
      </c>
      <c r="G443" s="1">
        <f>IFERROR(IF(Benchmark1[[#This Row],[Target Date Check]]="Pass",Benchmark1[[#This Row],[Target Return]]-Benchmark1[[#This Row],[Benchmark '#1 Return]],"-"),"-")</f>
        <v>-2.04207124150321E-2</v>
      </c>
      <c r="H443" s="1" t="str">
        <f>IF(COUNTIF(Comp1[Comparable '#1 Dates],Benchmark1[[#This Row],[Benchmark '#1 Dates]])=1,"Pass","Fail")</f>
        <v>Pass</v>
      </c>
      <c r="I443" s="6">
        <f>IF(Benchmark1[[#This Row],[Comparable '#1 Date Check]]="Pass",INDEX(Comp1[Comparable '#1 Price],MATCH(Benchmark1[[#This Row],[Benchmark '#1 Dates]],Comp1[Comparable '#1 Dates],0)),"-")</f>
        <v>9.92</v>
      </c>
      <c r="J443" s="22">
        <f>IF(Benchmark1[[#This Row],[Comparable '#1 Date Check]]="Pass",INDEX(Comp1[Comparable '#1 Return],MATCH(Benchmark1[[#This Row],[Benchmark '#1 Dates]],Comp1[Comparable '#1 Dates],0)),"-")</f>
        <v>7.1011035643188697E-2</v>
      </c>
      <c r="K443" s="1">
        <f>IFERROR(IF(Benchmark1[[#This Row],[Comparable '#1 Date Check]]="Pass",Benchmark1[[#This Row],[Comparable '#1 Return]]-Benchmark1[[#This Row],[Benchmark '#1 Return]],"-"),"-")</f>
        <v>3.0407684948447339E-3</v>
      </c>
      <c r="L443" s="1" t="str">
        <f>IF(COUNTIF(Comp2[Comparable '#2 Dates],Benchmark1[[#This Row],[Benchmark '#1 Dates]])=1,"Pass","Fail")</f>
        <v>Pass</v>
      </c>
      <c r="M443" s="6">
        <f>IF(Benchmark1[[#This Row],[Comparable '#2 Date Check]]="Pass",INDEX(Comp2[Comparable '#2 Price],MATCH(Benchmark1[[#This Row],[Benchmark '#1 Dates]],Comp2[Comparable '#2 Dates],0)),"-")</f>
        <v>25.23</v>
      </c>
      <c r="N443" s="22">
        <f>IF(Benchmark1[[#This Row],[Comparable '#2 Date Check]]="Pass",INDEX(Comp2[Comparable '#2 Return],MATCH(Benchmark1[[#This Row],[Benchmark '#1 Dates]],Comp2[Comparable '#2 Dates],0)),"-")</f>
        <v>6.8059045704926727E-2</v>
      </c>
      <c r="O443" s="1">
        <f>IFERROR(IF(Benchmark1[[#This Row],[Comparable '#2 Date Check]]="Pass",Benchmark1[[#This Row],[Comparable '#2 Return]]-Benchmark1[[#This Row],[Benchmark '#1 Return]],"-"),"-")</f>
        <v>8.8778556582763679E-5</v>
      </c>
      <c r="P443" s="1" t="str">
        <f>IF(COUNTIF(Comp3[Comparable '#3 Dates],Benchmark1[[#This Row],[Benchmark '#1 Dates]])=1,"Pass","Fail")</f>
        <v>Pass</v>
      </c>
      <c r="Q443" s="6">
        <f>IF(Benchmark1[[#This Row],[Comparable '#3 Date Check]]="Pass",INDEX(Comp3[Comparable '#3 Price],MATCH(Benchmark1[[#This Row],[Benchmark '#1 Dates]],Comp3[Comparable '#3 Dates],0)),"-")</f>
        <v>126.93</v>
      </c>
      <c r="R443" s="22">
        <f>IF(Benchmark1[[#This Row],[Comparable '#3 Date Check]]="Pass",INDEX(Comp3[Comparable '#3 Return],MATCH(Benchmark1[[#This Row],[Benchmark '#1 Dates]],Comp3[Comparable '#3 Dates],0)),"-")</f>
        <v>8.4372032074594303E-2</v>
      </c>
      <c r="S443" s="1">
        <f>IFERROR(IF(Benchmark1[[#This Row],[Comparable '#3 Date Check]]="Pass",Benchmark1[[#This Row],[Comparable '#3 Return]]-Benchmark1[[#This Row],[Benchmark '#1 Return]],"-"),"-")</f>
        <v>1.640176492625034E-2</v>
      </c>
    </row>
    <row r="444" spans="1:19">
      <c r="A444" s="103">
        <v>43928</v>
      </c>
      <c r="B444" s="104">
        <v>2659.4106320693204</v>
      </c>
      <c r="C444" s="4">
        <f t="shared" si="6"/>
        <v>-1.6055071258017359E-3</v>
      </c>
      <c r="D444" s="1" t="str">
        <f>IF(COUNTIF(Target1[Target Dates],Benchmark1[[#This Row],[Benchmark '#1 Dates]])=1,"Pass","Fail")</f>
        <v>Pass</v>
      </c>
      <c r="E444" s="6">
        <f>IF(Benchmark1[[#This Row],[Target Date Check]]="Pass",INDEX(Target1[Target Price],MATCH(Benchmark1[[#This Row],[Benchmark '#1 Dates]],Target1[Target Dates],0)),"-")</f>
        <v>21.79</v>
      </c>
      <c r="F444" s="22">
        <f>IF(Benchmark1[[#This Row],[Target Date Check]]="Pass",INDEX(Target1[Target Return],MATCH(Benchmark1[[#This Row],[Benchmark '#1 Dates]],Target1[Target Dates],0)),"-")</f>
        <v>1.8373914218353965E-3</v>
      </c>
      <c r="G444" s="1">
        <f>IFERROR(IF(Benchmark1[[#This Row],[Target Date Check]]="Pass",Benchmark1[[#This Row],[Target Return]]-Benchmark1[[#This Row],[Benchmark '#1 Return]],"-"),"-")</f>
        <v>3.4428985476371325E-3</v>
      </c>
      <c r="H444" s="1" t="str">
        <f>IF(COUNTIF(Comp1[Comparable '#1 Dates],Benchmark1[[#This Row],[Benchmark '#1 Dates]])=1,"Pass","Fail")</f>
        <v>Pass</v>
      </c>
      <c r="I444" s="6">
        <f>IF(Benchmark1[[#This Row],[Comparable '#1 Date Check]]="Pass",INDEX(Comp1[Comparable '#1 Price],MATCH(Benchmark1[[#This Row],[Benchmark '#1 Dates]],Comp1[Comparable '#1 Dates],0)),"-")</f>
        <v>10.66</v>
      </c>
      <c r="J444" s="22">
        <f>IF(Benchmark1[[#This Row],[Comparable '#1 Date Check]]="Pass",INDEX(Comp1[Comparable '#1 Return],MATCH(Benchmark1[[#This Row],[Benchmark '#1 Dates]],Comp1[Comparable '#1 Dates],0)),"-")</f>
        <v>7.1945497440917147E-2</v>
      </c>
      <c r="K444" s="1">
        <f>IFERROR(IF(Benchmark1[[#This Row],[Comparable '#1 Date Check]]="Pass",Benchmark1[[#This Row],[Comparable '#1 Return]]-Benchmark1[[#This Row],[Benchmark '#1 Return]],"-"),"-")</f>
        <v>7.3551004566718883E-2</v>
      </c>
      <c r="L444" s="1" t="str">
        <f>IF(COUNTIF(Comp2[Comparable '#2 Dates],Benchmark1[[#This Row],[Benchmark '#1 Dates]])=1,"Pass","Fail")</f>
        <v>Pass</v>
      </c>
      <c r="M444" s="6">
        <f>IF(Benchmark1[[#This Row],[Comparable '#2 Date Check]]="Pass",INDEX(Comp2[Comparable '#2 Price],MATCH(Benchmark1[[#This Row],[Benchmark '#1 Dates]],Comp2[Comparable '#2 Dates],0)),"-")</f>
        <v>25.06</v>
      </c>
      <c r="N444" s="22">
        <f>IF(Benchmark1[[#This Row],[Comparable '#2 Date Check]]="Pass",INDEX(Comp2[Comparable '#2 Return],MATCH(Benchmark1[[#This Row],[Benchmark '#1 Dates]],Comp2[Comparable '#2 Dates],0)),"-")</f>
        <v>-6.7608131850441806E-3</v>
      </c>
      <c r="O444" s="1">
        <f>IFERROR(IF(Benchmark1[[#This Row],[Comparable '#2 Date Check]]="Pass",Benchmark1[[#This Row],[Comparable '#2 Return]]-Benchmark1[[#This Row],[Benchmark '#1 Return]],"-"),"-")</f>
        <v>-5.1553060592424444E-3</v>
      </c>
      <c r="P444" s="1" t="str">
        <f>IF(COUNTIF(Comp3[Comparable '#3 Dates],Benchmark1[[#This Row],[Benchmark '#1 Dates]])=1,"Pass","Fail")</f>
        <v>Pass</v>
      </c>
      <c r="Q444" s="6">
        <f>IF(Benchmark1[[#This Row],[Comparable '#3 Date Check]]="Pass",INDEX(Comp3[Comparable '#3 Price],MATCH(Benchmark1[[#This Row],[Benchmark '#1 Dates]],Comp3[Comparable '#3 Dates],0)),"-")</f>
        <v>127.24</v>
      </c>
      <c r="R444" s="22">
        <f>IF(Benchmark1[[#This Row],[Comparable '#3 Date Check]]="Pass",INDEX(Comp3[Comparable '#3 Return],MATCH(Benchmark1[[#This Row],[Benchmark '#1 Dates]],Comp3[Comparable '#3 Dates],0)),"-")</f>
        <v>2.439313480857519E-3</v>
      </c>
      <c r="S444" s="1">
        <f>IFERROR(IF(Benchmark1[[#This Row],[Comparable '#3 Date Check]]="Pass",Benchmark1[[#This Row],[Comparable '#3 Return]]-Benchmark1[[#This Row],[Benchmark '#1 Return]],"-"),"-")</f>
        <v>4.0448206066592551E-3</v>
      </c>
    </row>
    <row r="445" spans="1:19">
      <c r="A445" s="103">
        <v>43929</v>
      </c>
      <c r="B445" s="104">
        <v>2749.977695772855</v>
      </c>
      <c r="C445" s="4">
        <f t="shared" si="6"/>
        <v>3.3488269664731091E-2</v>
      </c>
      <c r="D445" s="1" t="str">
        <f>IF(COUNTIF(Target1[Target Dates],Benchmark1[[#This Row],[Benchmark '#1 Dates]])=1,"Pass","Fail")</f>
        <v>Pass</v>
      </c>
      <c r="E445" s="6">
        <f>IF(Benchmark1[[#This Row],[Target Date Check]]="Pass",INDEX(Target1[Target Price],MATCH(Benchmark1[[#This Row],[Benchmark '#1 Dates]],Target1[Target Dates],0)),"-")</f>
        <v>23.24</v>
      </c>
      <c r="F445" s="22">
        <f>IF(Benchmark1[[#This Row],[Target Date Check]]="Pass",INDEX(Target1[Target Return],MATCH(Benchmark1[[#This Row],[Benchmark '#1 Dates]],Target1[Target Dates],0)),"-")</f>
        <v>6.4423783027181936E-2</v>
      </c>
      <c r="G445" s="1">
        <f>IFERROR(IF(Benchmark1[[#This Row],[Target Date Check]]="Pass",Benchmark1[[#This Row],[Target Return]]-Benchmark1[[#This Row],[Benchmark '#1 Return]],"-"),"-")</f>
        <v>3.0935513362450845E-2</v>
      </c>
      <c r="H445" s="1" t="str">
        <f>IF(COUNTIF(Comp1[Comparable '#1 Dates],Benchmark1[[#This Row],[Benchmark '#1 Dates]])=1,"Pass","Fail")</f>
        <v>Pass</v>
      </c>
      <c r="I445" s="6">
        <f>IF(Benchmark1[[#This Row],[Comparable '#1 Date Check]]="Pass",INDEX(Comp1[Comparable '#1 Price],MATCH(Benchmark1[[#This Row],[Benchmark '#1 Dates]],Comp1[Comparable '#1 Dates],0)),"-")</f>
        <v>9.91</v>
      </c>
      <c r="J445" s="22">
        <f>IF(Benchmark1[[#This Row],[Comparable '#1 Date Check]]="Pass",INDEX(Comp1[Comparable '#1 Return],MATCH(Benchmark1[[#This Row],[Benchmark '#1 Dates]],Comp1[Comparable '#1 Dates],0)),"-")</f>
        <v>-7.2954070395801845E-2</v>
      </c>
      <c r="K445" s="1">
        <f>IFERROR(IF(Benchmark1[[#This Row],[Comparable '#1 Date Check]]="Pass",Benchmark1[[#This Row],[Comparable '#1 Return]]-Benchmark1[[#This Row],[Benchmark '#1 Return]],"-"),"-")</f>
        <v>-0.10644234006053294</v>
      </c>
      <c r="L445" s="1" t="str">
        <f>IF(COUNTIF(Comp2[Comparable '#2 Dates],Benchmark1[[#This Row],[Benchmark '#1 Dates]])=1,"Pass","Fail")</f>
        <v>Pass</v>
      </c>
      <c r="M445" s="6">
        <f>IF(Benchmark1[[#This Row],[Comparable '#2 Date Check]]="Pass",INDEX(Comp2[Comparable '#2 Price],MATCH(Benchmark1[[#This Row],[Benchmark '#1 Dates]],Comp2[Comparable '#2 Dates],0)),"-")</f>
        <v>26.22</v>
      </c>
      <c r="N445" s="22">
        <f>IF(Benchmark1[[#This Row],[Comparable '#2 Date Check]]="Pass",INDEX(Comp2[Comparable '#2 Return],MATCH(Benchmark1[[#This Row],[Benchmark '#1 Dates]],Comp2[Comparable '#2 Dates],0)),"-")</f>
        <v>4.5249528867631512E-2</v>
      </c>
      <c r="O445" s="1">
        <f>IFERROR(IF(Benchmark1[[#This Row],[Comparable '#2 Date Check]]="Pass",Benchmark1[[#This Row],[Comparable '#2 Return]]-Benchmark1[[#This Row],[Benchmark '#1 Return]],"-"),"-")</f>
        <v>1.1761259202900422E-2</v>
      </c>
      <c r="P445" s="1" t="str">
        <f>IF(COUNTIF(Comp3[Comparable '#3 Dates],Benchmark1[[#This Row],[Benchmark '#1 Dates]])=1,"Pass","Fail")</f>
        <v>Pass</v>
      </c>
      <c r="Q445" s="6">
        <f>IF(Benchmark1[[#This Row],[Comparable '#3 Date Check]]="Pass",INDEX(Comp3[Comparable '#3 Price],MATCH(Benchmark1[[#This Row],[Benchmark '#1 Dates]],Comp3[Comparable '#3 Dates],0)),"-")</f>
        <v>131.11000000000001</v>
      </c>
      <c r="R445" s="22">
        <f>IF(Benchmark1[[#This Row],[Comparable '#3 Date Check]]="Pass",INDEX(Comp3[Comparable '#3 Return],MATCH(Benchmark1[[#This Row],[Benchmark '#1 Dates]],Comp3[Comparable '#3 Dates],0)),"-")</f>
        <v>2.9961598630367306E-2</v>
      </c>
      <c r="S445" s="1">
        <f>IFERROR(IF(Benchmark1[[#This Row],[Comparable '#3 Date Check]]="Pass",Benchmark1[[#This Row],[Comparable '#3 Return]]-Benchmark1[[#This Row],[Benchmark '#1 Return]],"-"),"-")</f>
        <v>-3.5266710343637847E-3</v>
      </c>
    </row>
    <row r="446" spans="1:19">
      <c r="A446" s="103">
        <v>43930</v>
      </c>
      <c r="B446" s="104">
        <v>2789.8173331815833</v>
      </c>
      <c r="C446" s="4">
        <f t="shared" si="6"/>
        <v>1.4383320694427668E-2</v>
      </c>
      <c r="D446" s="1" t="str">
        <f>IF(COUNTIF(Target1[Target Dates],Benchmark1[[#This Row],[Benchmark '#1 Dates]])=1,"Pass","Fail")</f>
        <v>Pass</v>
      </c>
      <c r="E446" s="6">
        <f>IF(Benchmark1[[#This Row],[Target Date Check]]="Pass",INDEX(Target1[Target Price],MATCH(Benchmark1[[#This Row],[Benchmark '#1 Dates]],Target1[Target Dates],0)),"-")</f>
        <v>22.3</v>
      </c>
      <c r="F446" s="22">
        <f>IF(Benchmark1[[#This Row],[Target Date Check]]="Pass",INDEX(Target1[Target Return],MATCH(Benchmark1[[#This Row],[Benchmark '#1 Dates]],Target1[Target Dates],0)),"-")</f>
        <v>-4.1288253517637284E-2</v>
      </c>
      <c r="G446" s="1">
        <f>IFERROR(IF(Benchmark1[[#This Row],[Target Date Check]]="Pass",Benchmark1[[#This Row],[Target Return]]-Benchmark1[[#This Row],[Benchmark '#1 Return]],"-"),"-")</f>
        <v>-5.567157421206495E-2</v>
      </c>
      <c r="H446" s="1" t="str">
        <f>IF(COUNTIF(Comp1[Comparable '#1 Dates],Benchmark1[[#This Row],[Benchmark '#1 Dates]])=1,"Pass","Fail")</f>
        <v>Pass</v>
      </c>
      <c r="I446" s="6">
        <f>IF(Benchmark1[[#This Row],[Comparable '#1 Date Check]]="Pass",INDEX(Comp1[Comparable '#1 Price],MATCH(Benchmark1[[#This Row],[Benchmark '#1 Dates]],Comp1[Comparable '#1 Dates],0)),"-")</f>
        <v>10.39</v>
      </c>
      <c r="J446" s="22">
        <f>IF(Benchmark1[[#This Row],[Comparable '#1 Date Check]]="Pass",INDEX(Comp1[Comparable '#1 Return],MATCH(Benchmark1[[#This Row],[Benchmark '#1 Dates]],Comp1[Comparable '#1 Dates],0)),"-")</f>
        <v>4.7299456769239495E-2</v>
      </c>
      <c r="K446" s="1">
        <f>IFERROR(IF(Benchmark1[[#This Row],[Comparable '#1 Date Check]]="Pass",Benchmark1[[#This Row],[Comparable '#1 Return]]-Benchmark1[[#This Row],[Benchmark '#1 Return]],"-"),"-")</f>
        <v>3.2916136074811829E-2</v>
      </c>
      <c r="L446" s="1" t="str">
        <f>IF(COUNTIF(Comp2[Comparable '#2 Dates],Benchmark1[[#This Row],[Benchmark '#1 Dates]])=1,"Pass","Fail")</f>
        <v>Pass</v>
      </c>
      <c r="M446" s="6">
        <f>IF(Benchmark1[[#This Row],[Comparable '#2 Date Check]]="Pass",INDEX(Comp2[Comparable '#2 Price],MATCH(Benchmark1[[#This Row],[Benchmark '#1 Dates]],Comp2[Comparable '#2 Dates],0)),"-")</f>
        <v>26.54</v>
      </c>
      <c r="N446" s="22">
        <f>IF(Benchmark1[[#This Row],[Comparable '#2 Date Check]]="Pass",INDEX(Comp2[Comparable '#2 Return],MATCH(Benchmark1[[#This Row],[Benchmark '#1 Dates]],Comp2[Comparable '#2 Dates],0)),"-")</f>
        <v>1.2130550568507628E-2</v>
      </c>
      <c r="O446" s="1">
        <f>IFERROR(IF(Benchmark1[[#This Row],[Comparable '#2 Date Check]]="Pass",Benchmark1[[#This Row],[Comparable '#2 Return]]-Benchmark1[[#This Row],[Benchmark '#1 Return]],"-"),"-")</f>
        <v>-2.2527701259200394E-3</v>
      </c>
      <c r="P446" s="1" t="str">
        <f>IF(COUNTIF(Comp3[Comparable '#3 Dates],Benchmark1[[#This Row],[Benchmark '#1 Dates]])=1,"Pass","Fail")</f>
        <v>Pass</v>
      </c>
      <c r="Q446" s="6">
        <f>IF(Benchmark1[[#This Row],[Comparable '#3 Date Check]]="Pass",INDEX(Comp3[Comparable '#3 Price],MATCH(Benchmark1[[#This Row],[Benchmark '#1 Dates]],Comp3[Comparable '#3 Dates],0)),"-")</f>
        <v>134.86000000000001</v>
      </c>
      <c r="R446" s="22">
        <f>IF(Benchmark1[[#This Row],[Comparable '#3 Date Check]]="Pass",INDEX(Comp3[Comparable '#3 Return],MATCH(Benchmark1[[#This Row],[Benchmark '#1 Dates]],Comp3[Comparable '#3 Dates],0)),"-")</f>
        <v>2.8200537795125411E-2</v>
      </c>
      <c r="S446" s="1">
        <f>IFERROR(IF(Benchmark1[[#This Row],[Comparable '#3 Date Check]]="Pass",Benchmark1[[#This Row],[Comparable '#3 Return]]-Benchmark1[[#This Row],[Benchmark '#1 Return]],"-"),"-")</f>
        <v>1.3817217100697743E-2</v>
      </c>
    </row>
    <row r="447" spans="1:19">
      <c r="A447" s="103">
        <v>43934</v>
      </c>
      <c r="B447" s="104">
        <v>2761.6272098714689</v>
      </c>
      <c r="C447" s="4">
        <f t="shared" si="6"/>
        <v>-1.015604691629644E-2</v>
      </c>
      <c r="D447" s="1" t="str">
        <f>IF(COUNTIF(Target1[Target Dates],Benchmark1[[#This Row],[Benchmark '#1 Dates]])=1,"Pass","Fail")</f>
        <v>Pass</v>
      </c>
      <c r="E447" s="6">
        <f>IF(Benchmark1[[#This Row],[Target Date Check]]="Pass",INDEX(Target1[Target Price],MATCH(Benchmark1[[#This Row],[Benchmark '#1 Dates]],Target1[Target Dates],0)),"-")</f>
        <v>23</v>
      </c>
      <c r="F447" s="22">
        <f>IF(Benchmark1[[#This Row],[Target Date Check]]="Pass",INDEX(Target1[Target Return],MATCH(Benchmark1[[#This Row],[Benchmark '#1 Dates]],Target1[Target Dates],0)),"-")</f>
        <v>3.0907537463076489E-2</v>
      </c>
      <c r="G447" s="1">
        <f>IFERROR(IF(Benchmark1[[#This Row],[Target Date Check]]="Pass",Benchmark1[[#This Row],[Target Return]]-Benchmark1[[#This Row],[Benchmark '#1 Return]],"-"),"-")</f>
        <v>4.1063584379372929E-2</v>
      </c>
      <c r="H447" s="1" t="str">
        <f>IF(COUNTIF(Comp1[Comparable '#1 Dates],Benchmark1[[#This Row],[Benchmark '#1 Dates]])=1,"Pass","Fail")</f>
        <v>Pass</v>
      </c>
      <c r="I447" s="6">
        <f>IF(Benchmark1[[#This Row],[Comparable '#1 Date Check]]="Pass",INDEX(Comp1[Comparable '#1 Price],MATCH(Benchmark1[[#This Row],[Benchmark '#1 Dates]],Comp1[Comparable '#1 Dates],0)),"-")</f>
        <v>10.119999999999999</v>
      </c>
      <c r="J447" s="22">
        <f>IF(Benchmark1[[#This Row],[Comparable '#1 Date Check]]="Pass",INDEX(Comp1[Comparable '#1 Return],MATCH(Benchmark1[[#This Row],[Benchmark '#1 Dates]],Comp1[Comparable '#1 Dates],0)),"-")</f>
        <v>-2.633014125181667E-2</v>
      </c>
      <c r="K447" s="1">
        <f>IFERROR(IF(Benchmark1[[#This Row],[Comparable '#1 Date Check]]="Pass",Benchmark1[[#This Row],[Comparable '#1 Return]]-Benchmark1[[#This Row],[Benchmark '#1 Return]],"-"),"-")</f>
        <v>-1.617409433552023E-2</v>
      </c>
      <c r="L447" s="1" t="str">
        <f>IF(COUNTIF(Comp2[Comparable '#2 Dates],Benchmark1[[#This Row],[Benchmark '#1 Dates]])=1,"Pass","Fail")</f>
        <v>Pass</v>
      </c>
      <c r="M447" s="6">
        <f>IF(Benchmark1[[#This Row],[Comparable '#2 Date Check]]="Pass",INDEX(Comp2[Comparable '#2 Price],MATCH(Benchmark1[[#This Row],[Benchmark '#1 Dates]],Comp2[Comparable '#2 Dates],0)),"-")</f>
        <v>26.23</v>
      </c>
      <c r="N447" s="22">
        <f>IF(Benchmark1[[#This Row],[Comparable '#2 Date Check]]="Pass",INDEX(Comp2[Comparable '#2 Return],MATCH(Benchmark1[[#This Row],[Benchmark '#1 Dates]],Comp2[Comparable '#2 Dates],0)),"-")</f>
        <v>-1.1749235025279046E-2</v>
      </c>
      <c r="O447" s="1">
        <f>IFERROR(IF(Benchmark1[[#This Row],[Comparable '#2 Date Check]]="Pass",Benchmark1[[#This Row],[Comparable '#2 Return]]-Benchmark1[[#This Row],[Benchmark '#1 Return]],"-"),"-")</f>
        <v>-1.5931881089826065E-3</v>
      </c>
      <c r="P447" s="1" t="str">
        <f>IF(COUNTIF(Comp3[Comparable '#3 Dates],Benchmark1[[#This Row],[Benchmark '#1 Dates]])=1,"Pass","Fail")</f>
        <v>Pass</v>
      </c>
      <c r="Q447" s="6">
        <f>IF(Benchmark1[[#This Row],[Comparable '#3 Date Check]]="Pass",INDEX(Comp3[Comparable '#3 Price],MATCH(Benchmark1[[#This Row],[Benchmark '#1 Dates]],Comp3[Comparable '#3 Dates],0)),"-")</f>
        <v>138.9</v>
      </c>
      <c r="R447" s="22">
        <f>IF(Benchmark1[[#This Row],[Comparable '#3 Date Check]]="Pass",INDEX(Comp3[Comparable '#3 Return],MATCH(Benchmark1[[#This Row],[Benchmark '#1 Dates]],Comp3[Comparable '#3 Dates],0)),"-")</f>
        <v>2.9517046453862054E-2</v>
      </c>
      <c r="S447" s="1">
        <f>IFERROR(IF(Benchmark1[[#This Row],[Comparable '#3 Date Check]]="Pass",Benchmark1[[#This Row],[Comparable '#3 Return]]-Benchmark1[[#This Row],[Benchmark '#1 Return]],"-"),"-")</f>
        <v>3.9673093370158494E-2</v>
      </c>
    </row>
    <row r="448" spans="1:19">
      <c r="A448" s="103">
        <v>43935</v>
      </c>
      <c r="B448" s="104">
        <v>2846.061093343907</v>
      </c>
      <c r="C448" s="4">
        <f t="shared" si="6"/>
        <v>3.0115891030879541E-2</v>
      </c>
      <c r="D448" s="1" t="str">
        <f>IF(COUNTIF(Target1[Target Dates],Benchmark1[[#This Row],[Benchmark '#1 Dates]])=1,"Pass","Fail")</f>
        <v>Pass</v>
      </c>
      <c r="E448" s="6">
        <f>IF(Benchmark1[[#This Row],[Target Date Check]]="Pass",INDEX(Target1[Target Price],MATCH(Benchmark1[[#This Row],[Benchmark '#1 Dates]],Target1[Target Dates],0)),"-")</f>
        <v>21.72</v>
      </c>
      <c r="F448" s="22">
        <f>IF(Benchmark1[[#This Row],[Target Date Check]]="Pass",INDEX(Target1[Target Return],MATCH(Benchmark1[[#This Row],[Benchmark '#1 Dates]],Target1[Target Dates],0)),"-")</f>
        <v>-5.7260720863415084E-2</v>
      </c>
      <c r="G448" s="1">
        <f>IFERROR(IF(Benchmark1[[#This Row],[Target Date Check]]="Pass",Benchmark1[[#This Row],[Target Return]]-Benchmark1[[#This Row],[Benchmark '#1 Return]],"-"),"-")</f>
        <v>-8.7376611894294631E-2</v>
      </c>
      <c r="H448" s="1" t="str">
        <f>IF(COUNTIF(Comp1[Comparable '#1 Dates],Benchmark1[[#This Row],[Benchmark '#1 Dates]])=1,"Pass","Fail")</f>
        <v>Pass</v>
      </c>
      <c r="I448" s="6">
        <f>IF(Benchmark1[[#This Row],[Comparable '#1 Date Check]]="Pass",INDEX(Comp1[Comparable '#1 Price],MATCH(Benchmark1[[#This Row],[Benchmark '#1 Dates]],Comp1[Comparable '#1 Dates],0)),"-")</f>
        <v>10.45</v>
      </c>
      <c r="J448" s="22">
        <f>IF(Benchmark1[[#This Row],[Comparable '#1 Date Check]]="Pass",INDEX(Comp1[Comparable '#1 Return],MATCH(Benchmark1[[#This Row],[Benchmark '#1 Dates]],Comp1[Comparable '#1 Dates],0)),"-")</f>
        <v>3.2088314551500449E-2</v>
      </c>
      <c r="K448" s="1">
        <f>IFERROR(IF(Benchmark1[[#This Row],[Comparable '#1 Date Check]]="Pass",Benchmark1[[#This Row],[Comparable '#1 Return]]-Benchmark1[[#This Row],[Benchmark '#1 Return]],"-"),"-")</f>
        <v>1.9724235206209084E-3</v>
      </c>
      <c r="L448" s="1" t="str">
        <f>IF(COUNTIF(Comp2[Comparable '#2 Dates],Benchmark1[[#This Row],[Benchmark '#1 Dates]])=1,"Pass","Fail")</f>
        <v>Pass</v>
      </c>
      <c r="M448" s="6">
        <f>IF(Benchmark1[[#This Row],[Comparable '#2 Date Check]]="Pass",INDEX(Comp2[Comparable '#2 Price],MATCH(Benchmark1[[#This Row],[Benchmark '#1 Dates]],Comp2[Comparable '#2 Dates],0)),"-")</f>
        <v>26.88</v>
      </c>
      <c r="N448" s="22">
        <f>IF(Benchmark1[[#This Row],[Comparable '#2 Date Check]]="Pass",INDEX(Comp2[Comparable '#2 Return],MATCH(Benchmark1[[#This Row],[Benchmark '#1 Dates]],Comp2[Comparable '#2 Dates],0)),"-")</f>
        <v>2.447872177616639E-2</v>
      </c>
      <c r="O448" s="1">
        <f>IFERROR(IF(Benchmark1[[#This Row],[Comparable '#2 Date Check]]="Pass",Benchmark1[[#This Row],[Comparable '#2 Return]]-Benchmark1[[#This Row],[Benchmark '#1 Return]],"-"),"-")</f>
        <v>-5.6371692547131508E-3</v>
      </c>
      <c r="P448" s="1" t="str">
        <f>IF(COUNTIF(Comp3[Comparable '#3 Dates],Benchmark1[[#This Row],[Benchmark '#1 Dates]])=1,"Pass","Fail")</f>
        <v>Pass</v>
      </c>
      <c r="Q448" s="6">
        <f>IF(Benchmark1[[#This Row],[Comparable '#3 Date Check]]="Pass",INDEX(Comp3[Comparable '#3 Price],MATCH(Benchmark1[[#This Row],[Benchmark '#1 Dates]],Comp3[Comparable '#3 Dates],0)),"-")</f>
        <v>150.55000000000001</v>
      </c>
      <c r="R448" s="22">
        <f>IF(Benchmark1[[#This Row],[Comparable '#3 Date Check]]="Pass",INDEX(Comp3[Comparable '#3 Return],MATCH(Benchmark1[[#This Row],[Benchmark '#1 Dates]],Comp3[Comparable '#3 Dates],0)),"-")</f>
        <v>8.0541005167444821E-2</v>
      </c>
      <c r="S448" s="1">
        <f>IFERROR(IF(Benchmark1[[#This Row],[Comparable '#3 Date Check]]="Pass",Benchmark1[[#This Row],[Comparable '#3 Return]]-Benchmark1[[#This Row],[Benchmark '#1 Return]],"-"),"-")</f>
        <v>5.042511413656528E-2</v>
      </c>
    </row>
    <row r="449" spans="1:19">
      <c r="A449" s="103">
        <v>43936</v>
      </c>
      <c r="B449" s="104">
        <v>2783.3620970636225</v>
      </c>
      <c r="C449" s="4">
        <f t="shared" si="6"/>
        <v>-2.2276381410935145E-2</v>
      </c>
      <c r="D449" s="1" t="str">
        <f>IF(COUNTIF(Target1[Target Dates],Benchmark1[[#This Row],[Benchmark '#1 Dates]])=1,"Pass","Fail")</f>
        <v>Pass</v>
      </c>
      <c r="E449" s="6">
        <f>IF(Benchmark1[[#This Row],[Target Date Check]]="Pass",INDEX(Target1[Target Price],MATCH(Benchmark1[[#This Row],[Benchmark '#1 Dates]],Target1[Target Dates],0)),"-")</f>
        <v>22.92</v>
      </c>
      <c r="F449" s="22">
        <f>IF(Benchmark1[[#This Row],[Target Date Check]]="Pass",INDEX(Target1[Target Return],MATCH(Benchmark1[[#This Row],[Benchmark '#1 Dates]],Target1[Target Dates],0)),"-")</f>
        <v>5.3776396780804203E-2</v>
      </c>
      <c r="G449" s="1">
        <f>IFERROR(IF(Benchmark1[[#This Row],[Target Date Check]]="Pass",Benchmark1[[#This Row],[Target Return]]-Benchmark1[[#This Row],[Benchmark '#1 Return]],"-"),"-")</f>
        <v>7.6052778191739348E-2</v>
      </c>
      <c r="H449" s="1" t="str">
        <f>IF(COUNTIF(Comp1[Comparable '#1 Dates],Benchmark1[[#This Row],[Benchmark '#1 Dates]])=1,"Pass","Fail")</f>
        <v>Pass</v>
      </c>
      <c r="I449" s="6">
        <f>IF(Benchmark1[[#This Row],[Comparable '#1 Date Check]]="Pass",INDEX(Comp1[Comparable '#1 Price],MATCH(Benchmark1[[#This Row],[Benchmark '#1 Dates]],Comp1[Comparable '#1 Dates],0)),"-")</f>
        <v>9.6300000000000008</v>
      </c>
      <c r="J449" s="22">
        <f>IF(Benchmark1[[#This Row],[Comparable '#1 Date Check]]="Pass",INDEX(Comp1[Comparable '#1 Return],MATCH(Benchmark1[[#This Row],[Benchmark '#1 Dates]],Comp1[Comparable '#1 Dates],0)),"-")</f>
        <v>-8.1718752600785621E-2</v>
      </c>
      <c r="K449" s="1">
        <f>IFERROR(IF(Benchmark1[[#This Row],[Comparable '#1 Date Check]]="Pass",Benchmark1[[#This Row],[Comparable '#1 Return]]-Benchmark1[[#This Row],[Benchmark '#1 Return]],"-"),"-")</f>
        <v>-5.9442371189850476E-2</v>
      </c>
      <c r="L449" s="1" t="str">
        <f>IF(COUNTIF(Comp2[Comparable '#2 Dates],Benchmark1[[#This Row],[Benchmark '#1 Dates]])=1,"Pass","Fail")</f>
        <v>Pass</v>
      </c>
      <c r="M449" s="6">
        <f>IF(Benchmark1[[#This Row],[Comparable '#2 Date Check]]="Pass",INDEX(Comp2[Comparable '#2 Price],MATCH(Benchmark1[[#This Row],[Benchmark '#1 Dates]],Comp2[Comparable '#2 Dates],0)),"-")</f>
        <v>26.11</v>
      </c>
      <c r="N449" s="22">
        <f>IF(Benchmark1[[#This Row],[Comparable '#2 Date Check]]="Pass",INDEX(Comp2[Comparable '#2 Return],MATCH(Benchmark1[[#This Row],[Benchmark '#1 Dates]],Comp2[Comparable '#2 Dates],0)),"-")</f>
        <v>-2.9064132943911355E-2</v>
      </c>
      <c r="O449" s="1">
        <f>IFERROR(IF(Benchmark1[[#This Row],[Comparable '#2 Date Check]]="Pass",Benchmark1[[#This Row],[Comparable '#2 Return]]-Benchmark1[[#This Row],[Benchmark '#1 Return]],"-"),"-")</f>
        <v>-6.7877515329762099E-3</v>
      </c>
      <c r="P449" s="1" t="str">
        <f>IF(COUNTIF(Comp3[Comparable '#3 Dates],Benchmark1[[#This Row],[Benchmark '#1 Dates]])=1,"Pass","Fail")</f>
        <v>Pass</v>
      </c>
      <c r="Q449" s="6">
        <f>IF(Benchmark1[[#This Row],[Comparable '#3 Date Check]]="Pass",INDEX(Comp3[Comparable '#3 Price],MATCH(Benchmark1[[#This Row],[Benchmark '#1 Dates]],Comp3[Comparable '#3 Dates],0)),"-")</f>
        <v>144.72</v>
      </c>
      <c r="R449" s="22">
        <f>IF(Benchmark1[[#This Row],[Comparable '#3 Date Check]]="Pass",INDEX(Comp3[Comparable '#3 Return],MATCH(Benchmark1[[#This Row],[Benchmark '#1 Dates]],Comp3[Comparable '#3 Dates],0)),"-")</f>
        <v>-3.9494413840703194E-2</v>
      </c>
      <c r="S449" s="1">
        <f>IFERROR(IF(Benchmark1[[#This Row],[Comparable '#3 Date Check]]="Pass",Benchmark1[[#This Row],[Comparable '#3 Return]]-Benchmark1[[#This Row],[Benchmark '#1 Return]],"-"),"-")</f>
        <v>-1.7218032429768049E-2</v>
      </c>
    </row>
    <row r="450" spans="1:19">
      <c r="A450" s="103">
        <v>43937</v>
      </c>
      <c r="B450" s="104">
        <v>2799.5523194297352</v>
      </c>
      <c r="C450" s="4">
        <f t="shared" ref="C450:C513" si="7">IFERROR(IF(B450="","-",LN(B450/B449)),"-")</f>
        <v>5.7999340644790086E-3</v>
      </c>
      <c r="D450" s="1" t="str">
        <f>IF(COUNTIF(Target1[Target Dates],Benchmark1[[#This Row],[Benchmark '#1 Dates]])=1,"Pass","Fail")</f>
        <v>Pass</v>
      </c>
      <c r="E450" s="6">
        <f>IF(Benchmark1[[#This Row],[Target Date Check]]="Pass",INDEX(Target1[Target Price],MATCH(Benchmark1[[#This Row],[Benchmark '#1 Dates]],Target1[Target Dates],0)),"-")</f>
        <v>23.59</v>
      </c>
      <c r="F450" s="22">
        <f>IF(Benchmark1[[#This Row],[Target Date Check]]="Pass",INDEX(Target1[Target Return],MATCH(Benchmark1[[#This Row],[Benchmark '#1 Dates]],Target1[Target Dates],0)),"-")</f>
        <v>2.8813001573044845E-2</v>
      </c>
      <c r="G450" s="1">
        <f>IFERROR(IF(Benchmark1[[#This Row],[Target Date Check]]="Pass",Benchmark1[[#This Row],[Target Return]]-Benchmark1[[#This Row],[Benchmark '#1 Return]],"-"),"-")</f>
        <v>2.3013067508565837E-2</v>
      </c>
      <c r="H450" s="1" t="str">
        <f>IF(COUNTIF(Comp1[Comparable '#1 Dates],Benchmark1[[#This Row],[Benchmark '#1 Dates]])=1,"Pass","Fail")</f>
        <v>Pass</v>
      </c>
      <c r="I450" s="6">
        <f>IF(Benchmark1[[#This Row],[Comparable '#1 Date Check]]="Pass",INDEX(Comp1[Comparable '#1 Price],MATCH(Benchmark1[[#This Row],[Benchmark '#1 Dates]],Comp1[Comparable '#1 Dates],0)),"-")</f>
        <v>9.24</v>
      </c>
      <c r="J450" s="22">
        <f>IF(Benchmark1[[#This Row],[Comparable '#1 Date Check]]="Pass",INDEX(Comp1[Comparable '#1 Return],MATCH(Benchmark1[[#This Row],[Benchmark '#1 Dates]],Comp1[Comparable '#1 Dates],0)),"-")</f>
        <v>-4.1341340156441399E-2</v>
      </c>
      <c r="K450" s="1">
        <f>IFERROR(IF(Benchmark1[[#This Row],[Comparable '#1 Date Check]]="Pass",Benchmark1[[#This Row],[Comparable '#1 Return]]-Benchmark1[[#This Row],[Benchmark '#1 Return]],"-"),"-")</f>
        <v>-4.7141274220920404E-2</v>
      </c>
      <c r="L450" s="1" t="str">
        <f>IF(COUNTIF(Comp2[Comparable '#2 Dates],Benchmark1[[#This Row],[Benchmark '#1 Dates]])=1,"Pass","Fail")</f>
        <v>Pass</v>
      </c>
      <c r="M450" s="6">
        <f>IF(Benchmark1[[#This Row],[Comparable '#2 Date Check]]="Pass",INDEX(Comp2[Comparable '#2 Price],MATCH(Benchmark1[[#This Row],[Benchmark '#1 Dates]],Comp2[Comparable '#2 Dates],0)),"-")</f>
        <v>25.71</v>
      </c>
      <c r="N450" s="22">
        <f>IF(Benchmark1[[#This Row],[Comparable '#2 Date Check]]="Pass",INDEX(Comp2[Comparable '#2 Return],MATCH(Benchmark1[[#This Row],[Benchmark '#1 Dates]],Comp2[Comparable '#2 Dates],0)),"-")</f>
        <v>-1.5438361433239312E-2</v>
      </c>
      <c r="O450" s="1">
        <f>IFERROR(IF(Benchmark1[[#This Row],[Comparable '#2 Date Check]]="Pass",Benchmark1[[#This Row],[Comparable '#2 Return]]-Benchmark1[[#This Row],[Benchmark '#1 Return]],"-"),"-")</f>
        <v>-2.1238295497718322E-2</v>
      </c>
      <c r="P450" s="1" t="str">
        <f>IF(COUNTIF(Comp3[Comparable '#3 Dates],Benchmark1[[#This Row],[Benchmark '#1 Dates]])=1,"Pass","Fail")</f>
        <v>Pass</v>
      </c>
      <c r="Q450" s="6">
        <f>IF(Benchmark1[[#This Row],[Comparable '#3 Date Check]]="Pass",INDEX(Comp3[Comparable '#3 Price],MATCH(Benchmark1[[#This Row],[Benchmark '#1 Dates]],Comp3[Comparable '#3 Dates],0)),"-")</f>
        <v>146.75</v>
      </c>
      <c r="R450" s="22">
        <f>IF(Benchmark1[[#This Row],[Comparable '#3 Date Check]]="Pass",INDEX(Comp3[Comparable '#3 Return],MATCH(Benchmark1[[#This Row],[Benchmark '#1 Dates]],Comp3[Comparable '#3 Dates],0)),"-")</f>
        <v>1.3929617621166113E-2</v>
      </c>
      <c r="S450" s="1">
        <f>IFERROR(IF(Benchmark1[[#This Row],[Comparable '#3 Date Check]]="Pass",Benchmark1[[#This Row],[Comparable '#3 Return]]-Benchmark1[[#This Row],[Benchmark '#1 Return]],"-"),"-")</f>
        <v>8.1296835566871048E-3</v>
      </c>
    </row>
    <row r="451" spans="1:19">
      <c r="A451" s="103">
        <v>43938</v>
      </c>
      <c r="B451" s="104">
        <v>2874.5645524451902</v>
      </c>
      <c r="C451" s="4">
        <f t="shared" si="7"/>
        <v>2.6441684278931926E-2</v>
      </c>
      <c r="D451" s="1" t="str">
        <f>IF(COUNTIF(Target1[Target Dates],Benchmark1[[#This Row],[Benchmark '#1 Dates]])=1,"Pass","Fail")</f>
        <v>Pass</v>
      </c>
      <c r="E451" s="6">
        <f>IF(Benchmark1[[#This Row],[Target Date Check]]="Pass",INDEX(Target1[Target Price],MATCH(Benchmark1[[#This Row],[Benchmark '#1 Dates]],Target1[Target Dates],0)),"-")</f>
        <v>24.23</v>
      </c>
      <c r="F451" s="22">
        <f>IF(Benchmark1[[#This Row],[Target Date Check]]="Pass",INDEX(Target1[Target Return],MATCH(Benchmark1[[#This Row],[Benchmark '#1 Dates]],Target1[Target Dates],0)),"-")</f>
        <v>2.6768641408850751E-2</v>
      </c>
      <c r="G451" s="1">
        <f>IFERROR(IF(Benchmark1[[#This Row],[Target Date Check]]="Pass",Benchmark1[[#This Row],[Target Return]]-Benchmark1[[#This Row],[Benchmark '#1 Return]],"-"),"-")</f>
        <v>3.2695712991882495E-4</v>
      </c>
      <c r="H451" s="1" t="str">
        <f>IF(COUNTIF(Comp1[Comparable '#1 Dates],Benchmark1[[#This Row],[Benchmark '#1 Dates]])=1,"Pass","Fail")</f>
        <v>Pass</v>
      </c>
      <c r="I451" s="6">
        <f>IF(Benchmark1[[#This Row],[Comparable '#1 Date Check]]="Pass",INDEX(Comp1[Comparable '#1 Price],MATCH(Benchmark1[[#This Row],[Benchmark '#1 Dates]],Comp1[Comparable '#1 Dates],0)),"-")</f>
        <v>9.2899999999999991</v>
      </c>
      <c r="J451" s="22">
        <f>IF(Benchmark1[[#This Row],[Comparable '#1 Date Check]]="Pass",INDEX(Comp1[Comparable '#1 Return],MATCH(Benchmark1[[#This Row],[Benchmark '#1 Dates]],Comp1[Comparable '#1 Dates],0)),"-")</f>
        <v>5.3966671721542587E-3</v>
      </c>
      <c r="K451" s="1">
        <f>IFERROR(IF(Benchmark1[[#This Row],[Comparable '#1 Date Check]]="Pass",Benchmark1[[#This Row],[Comparable '#1 Return]]-Benchmark1[[#This Row],[Benchmark '#1 Return]],"-"),"-")</f>
        <v>-2.1045017106777669E-2</v>
      </c>
      <c r="L451" s="1" t="str">
        <f>IF(COUNTIF(Comp2[Comparable '#2 Dates],Benchmark1[[#This Row],[Benchmark '#1 Dates]])=1,"Pass","Fail")</f>
        <v>Pass</v>
      </c>
      <c r="M451" s="6">
        <f>IF(Benchmark1[[#This Row],[Comparable '#2 Date Check]]="Pass",INDEX(Comp2[Comparable '#2 Price],MATCH(Benchmark1[[#This Row],[Benchmark '#1 Dates]],Comp2[Comparable '#2 Dates],0)),"-")</f>
        <v>27.82</v>
      </c>
      <c r="N451" s="22">
        <f>IF(Benchmark1[[#This Row],[Comparable '#2 Date Check]]="Pass",INDEX(Comp2[Comparable '#2 Return],MATCH(Benchmark1[[#This Row],[Benchmark '#1 Dates]],Comp2[Comparable '#2 Dates],0)),"-")</f>
        <v>7.8875165217498683E-2</v>
      </c>
      <c r="O451" s="1">
        <f>IFERROR(IF(Benchmark1[[#This Row],[Comparable '#2 Date Check]]="Pass",Benchmark1[[#This Row],[Comparable '#2 Return]]-Benchmark1[[#This Row],[Benchmark '#1 Return]],"-"),"-")</f>
        <v>5.2433480938566757E-2</v>
      </c>
      <c r="P451" s="1" t="str">
        <f>IF(COUNTIF(Comp3[Comparable '#3 Dates],Benchmark1[[#This Row],[Benchmark '#1 Dates]])=1,"Pass","Fail")</f>
        <v>Pass</v>
      </c>
      <c r="Q451" s="6">
        <f>IF(Benchmark1[[#This Row],[Comparable '#3 Date Check]]="Pass",INDEX(Comp3[Comparable '#3 Price],MATCH(Benchmark1[[#This Row],[Benchmark '#1 Dates]],Comp3[Comparable '#3 Dates],0)),"-")</f>
        <v>148.86000000000001</v>
      </c>
      <c r="R451" s="22">
        <f>IF(Benchmark1[[#This Row],[Comparable '#3 Date Check]]="Pass",INDEX(Comp3[Comparable '#3 Return],MATCH(Benchmark1[[#This Row],[Benchmark '#1 Dates]],Comp3[Comparable '#3 Dates],0)),"-")</f>
        <v>1.4275808223558834E-2</v>
      </c>
      <c r="S451" s="1">
        <f>IFERROR(IF(Benchmark1[[#This Row],[Comparable '#3 Date Check]]="Pass",Benchmark1[[#This Row],[Comparable '#3 Return]]-Benchmark1[[#This Row],[Benchmark '#1 Return]],"-"),"-")</f>
        <v>-1.2165876055373092E-2</v>
      </c>
    </row>
    <row r="452" spans="1:19">
      <c r="A452" s="103">
        <v>43941</v>
      </c>
      <c r="B452" s="104">
        <v>2823.1563723537547</v>
      </c>
      <c r="C452" s="4">
        <f t="shared" si="7"/>
        <v>-1.8045662760427763E-2</v>
      </c>
      <c r="D452" s="1" t="str">
        <f>IF(COUNTIF(Target1[Target Dates],Benchmark1[[#This Row],[Benchmark '#1 Dates]])=1,"Pass","Fail")</f>
        <v>Pass</v>
      </c>
      <c r="E452" s="6">
        <f>IF(Benchmark1[[#This Row],[Target Date Check]]="Pass",INDEX(Target1[Target Price],MATCH(Benchmark1[[#This Row],[Benchmark '#1 Dates]],Target1[Target Dates],0)),"-")</f>
        <v>23.72</v>
      </c>
      <c r="F452" s="22">
        <f>IF(Benchmark1[[#This Row],[Target Date Check]]="Pass",INDEX(Target1[Target Return],MATCH(Benchmark1[[#This Row],[Benchmark '#1 Dates]],Target1[Target Dates],0)),"-")</f>
        <v>-2.1272960698909767E-2</v>
      </c>
      <c r="G452" s="1">
        <f>IFERROR(IF(Benchmark1[[#This Row],[Target Date Check]]="Pass",Benchmark1[[#This Row],[Target Return]]-Benchmark1[[#This Row],[Benchmark '#1 Return]],"-"),"-")</f>
        <v>-3.2272979384820044E-3</v>
      </c>
      <c r="H452" s="1" t="str">
        <f>IF(COUNTIF(Comp1[Comparable '#1 Dates],Benchmark1[[#This Row],[Benchmark '#1 Dates]])=1,"Pass","Fail")</f>
        <v>Pass</v>
      </c>
      <c r="I452" s="6">
        <f>IF(Benchmark1[[#This Row],[Comparable '#1 Date Check]]="Pass",INDEX(Comp1[Comparable '#1 Price],MATCH(Benchmark1[[#This Row],[Benchmark '#1 Dates]],Comp1[Comparable '#1 Dates],0)),"-")</f>
        <v>8.7200000000000006</v>
      </c>
      <c r="J452" s="22">
        <f>IF(Benchmark1[[#This Row],[Comparable '#1 Date Check]]="Pass",INDEX(Comp1[Comparable '#1 Return],MATCH(Benchmark1[[#This Row],[Benchmark '#1 Dates]],Comp1[Comparable '#1 Dates],0)),"-")</f>
        <v>-6.3319314904858773E-2</v>
      </c>
      <c r="K452" s="1">
        <f>IFERROR(IF(Benchmark1[[#This Row],[Comparable '#1 Date Check]]="Pass",Benchmark1[[#This Row],[Comparable '#1 Return]]-Benchmark1[[#This Row],[Benchmark '#1 Return]],"-"),"-")</f>
        <v>-4.5273652144431006E-2</v>
      </c>
      <c r="L452" s="1" t="str">
        <f>IF(COUNTIF(Comp2[Comparable '#2 Dates],Benchmark1[[#This Row],[Benchmark '#1 Dates]])=1,"Pass","Fail")</f>
        <v>Pass</v>
      </c>
      <c r="M452" s="6">
        <f>IF(Benchmark1[[#This Row],[Comparable '#2 Date Check]]="Pass",INDEX(Comp2[Comparable '#2 Price],MATCH(Benchmark1[[#This Row],[Benchmark '#1 Dates]],Comp2[Comparable '#2 Dates],0)),"-")</f>
        <v>26.88</v>
      </c>
      <c r="N452" s="22">
        <f>IF(Benchmark1[[#This Row],[Comparable '#2 Date Check]]="Pass",INDEX(Comp2[Comparable '#2 Return],MATCH(Benchmark1[[#This Row],[Benchmark '#1 Dates]],Comp2[Comparable '#2 Dates],0)),"-")</f>
        <v>-3.4372670840348084E-2</v>
      </c>
      <c r="O452" s="1">
        <f>IFERROR(IF(Benchmark1[[#This Row],[Comparable '#2 Date Check]]="Pass",Benchmark1[[#This Row],[Comparable '#2 Return]]-Benchmark1[[#This Row],[Benchmark '#1 Return]],"-"),"-")</f>
        <v>-1.6327008079920321E-2</v>
      </c>
      <c r="P452" s="1" t="str">
        <f>IF(COUNTIF(Comp3[Comparable '#3 Dates],Benchmark1[[#This Row],[Benchmark '#1 Dates]])=1,"Pass","Fail")</f>
        <v>Pass</v>
      </c>
      <c r="Q452" s="6">
        <f>IF(Benchmark1[[#This Row],[Comparable '#3 Date Check]]="Pass",INDEX(Comp3[Comparable '#3 Price],MATCH(Benchmark1[[#This Row],[Benchmark '#1 Dates]],Comp3[Comparable '#3 Dates],0)),"-")</f>
        <v>146.58000000000001</v>
      </c>
      <c r="R452" s="22">
        <f>IF(Benchmark1[[#This Row],[Comparable '#3 Date Check]]="Pass",INDEX(Comp3[Comparable '#3 Return],MATCH(Benchmark1[[#This Row],[Benchmark '#1 Dates]],Comp3[Comparable '#3 Dates],0)),"-")</f>
        <v>-1.5434912434060559E-2</v>
      </c>
      <c r="S452" s="1">
        <f>IFERROR(IF(Benchmark1[[#This Row],[Comparable '#3 Date Check]]="Pass",Benchmark1[[#This Row],[Comparable '#3 Return]]-Benchmark1[[#This Row],[Benchmark '#1 Return]],"-"),"-")</f>
        <v>2.6107503263672043E-3</v>
      </c>
    </row>
    <row r="453" spans="1:19">
      <c r="A453" s="103">
        <v>43942</v>
      </c>
      <c r="B453" s="104">
        <v>2736.5632469037955</v>
      </c>
      <c r="C453" s="4">
        <f t="shared" si="7"/>
        <v>-3.1152696329185464E-2</v>
      </c>
      <c r="D453" s="1" t="str">
        <f>IF(COUNTIF(Target1[Target Dates],Benchmark1[[#This Row],[Benchmark '#1 Dates]])=1,"Pass","Fail")</f>
        <v>Pass</v>
      </c>
      <c r="E453" s="6">
        <f>IF(Benchmark1[[#This Row],[Target Date Check]]="Pass",INDEX(Target1[Target Price],MATCH(Benchmark1[[#This Row],[Benchmark '#1 Dates]],Target1[Target Dates],0)),"-")</f>
        <v>24.16</v>
      </c>
      <c r="F453" s="22">
        <f>IF(Benchmark1[[#This Row],[Target Date Check]]="Pass",INDEX(Target1[Target Return],MATCH(Benchmark1[[#This Row],[Benchmark '#1 Dates]],Target1[Target Dates],0)),"-")</f>
        <v>1.837979893708961E-2</v>
      </c>
      <c r="G453" s="1">
        <f>IFERROR(IF(Benchmark1[[#This Row],[Target Date Check]]="Pass",Benchmark1[[#This Row],[Target Return]]-Benchmark1[[#This Row],[Benchmark '#1 Return]],"-"),"-")</f>
        <v>4.9532495266275074E-2</v>
      </c>
      <c r="H453" s="1" t="str">
        <f>IF(COUNTIF(Comp1[Comparable '#1 Dates],Benchmark1[[#This Row],[Benchmark '#1 Dates]])=1,"Pass","Fail")</f>
        <v>Pass</v>
      </c>
      <c r="I453" s="6">
        <f>IF(Benchmark1[[#This Row],[Comparable '#1 Date Check]]="Pass",INDEX(Comp1[Comparable '#1 Price],MATCH(Benchmark1[[#This Row],[Benchmark '#1 Dates]],Comp1[Comparable '#1 Dates],0)),"-")</f>
        <v>8.4450000000000003</v>
      </c>
      <c r="J453" s="22">
        <f>IF(Benchmark1[[#This Row],[Comparable '#1 Date Check]]="Pass",INDEX(Comp1[Comparable '#1 Return],MATCH(Benchmark1[[#This Row],[Benchmark '#1 Dates]],Comp1[Comparable '#1 Dates],0)),"-")</f>
        <v>-3.2044687661124914E-2</v>
      </c>
      <c r="K453" s="1">
        <f>IFERROR(IF(Benchmark1[[#This Row],[Comparable '#1 Date Check]]="Pass",Benchmark1[[#This Row],[Comparable '#1 Return]]-Benchmark1[[#This Row],[Benchmark '#1 Return]],"-"),"-")</f>
        <v>-8.9199133193944985E-4</v>
      </c>
      <c r="L453" s="1" t="str">
        <f>IF(COUNTIF(Comp2[Comparable '#2 Dates],Benchmark1[[#This Row],[Benchmark '#1 Dates]])=1,"Pass","Fail")</f>
        <v>Pass</v>
      </c>
      <c r="M453" s="6">
        <f>IF(Benchmark1[[#This Row],[Comparable '#2 Date Check]]="Pass",INDEX(Comp2[Comparable '#2 Price],MATCH(Benchmark1[[#This Row],[Benchmark '#1 Dates]],Comp2[Comparable '#2 Dates],0)),"-")</f>
        <v>26.57</v>
      </c>
      <c r="N453" s="22">
        <f>IF(Benchmark1[[#This Row],[Comparable '#2 Date Check]]="Pass",INDEX(Comp2[Comparable '#2 Return],MATCH(Benchmark1[[#This Row],[Benchmark '#1 Dates]],Comp2[Comparable '#2 Dates],0)),"-")</f>
        <v>-1.1599755883226589E-2</v>
      </c>
      <c r="O453" s="1">
        <f>IFERROR(IF(Benchmark1[[#This Row],[Comparable '#2 Date Check]]="Pass",Benchmark1[[#This Row],[Comparable '#2 Return]]-Benchmark1[[#This Row],[Benchmark '#1 Return]],"-"),"-")</f>
        <v>1.9552940445958875E-2</v>
      </c>
      <c r="P453" s="1" t="str">
        <f>IF(COUNTIF(Comp3[Comparable '#3 Dates],Benchmark1[[#This Row],[Benchmark '#1 Dates]])=1,"Pass","Fail")</f>
        <v>Pass</v>
      </c>
      <c r="Q453" s="6">
        <f>IF(Benchmark1[[#This Row],[Comparable '#3 Date Check]]="Pass",INDEX(Comp3[Comparable '#3 Price],MATCH(Benchmark1[[#This Row],[Benchmark '#1 Dates]],Comp3[Comparable '#3 Dates],0)),"-")</f>
        <v>146.37</v>
      </c>
      <c r="R453" s="22">
        <f>IF(Benchmark1[[#This Row],[Comparable '#3 Date Check]]="Pass",INDEX(Comp3[Comparable '#3 Return],MATCH(Benchmark1[[#This Row],[Benchmark '#1 Dates]],Comp3[Comparable '#3 Dates],0)),"-")</f>
        <v>-1.4336920018486968E-3</v>
      </c>
      <c r="S453" s="1">
        <f>IFERROR(IF(Benchmark1[[#This Row],[Comparable '#3 Date Check]]="Pass",Benchmark1[[#This Row],[Comparable '#3 Return]]-Benchmark1[[#This Row],[Benchmark '#1 Return]],"-"),"-")</f>
        <v>2.9719004327336769E-2</v>
      </c>
    </row>
    <row r="454" spans="1:19">
      <c r="A454" s="103">
        <v>43943</v>
      </c>
      <c r="B454" s="104">
        <v>2799.3147507367826</v>
      </c>
      <c r="C454" s="4">
        <f t="shared" si="7"/>
        <v>2.267181168029497E-2</v>
      </c>
      <c r="D454" s="1" t="str">
        <f>IF(COUNTIF(Target1[Target Dates],Benchmark1[[#This Row],[Benchmark '#1 Dates]])=1,"Pass","Fail")</f>
        <v>Pass</v>
      </c>
      <c r="E454" s="6">
        <f>IF(Benchmark1[[#This Row],[Target Date Check]]="Pass",INDEX(Target1[Target Price],MATCH(Benchmark1[[#This Row],[Benchmark '#1 Dates]],Target1[Target Dates],0)),"-")</f>
        <v>24.29</v>
      </c>
      <c r="F454" s="22">
        <f>IF(Benchmark1[[#This Row],[Target Date Check]]="Pass",INDEX(Target1[Target Return],MATCH(Benchmark1[[#This Row],[Benchmark '#1 Dates]],Target1[Target Dates],0)),"-")</f>
        <v>5.366369947467E-3</v>
      </c>
      <c r="G454" s="1">
        <f>IFERROR(IF(Benchmark1[[#This Row],[Target Date Check]]="Pass",Benchmark1[[#This Row],[Target Return]]-Benchmark1[[#This Row],[Benchmark '#1 Return]],"-"),"-")</f>
        <v>-1.730544173282797E-2</v>
      </c>
      <c r="H454" s="1" t="str">
        <f>IF(COUNTIF(Comp1[Comparable '#1 Dates],Benchmark1[[#This Row],[Benchmark '#1 Dates]])=1,"Pass","Fail")</f>
        <v>Pass</v>
      </c>
      <c r="I454" s="6">
        <f>IF(Benchmark1[[#This Row],[Comparable '#1 Date Check]]="Pass",INDEX(Comp1[Comparable '#1 Price],MATCH(Benchmark1[[#This Row],[Benchmark '#1 Dates]],Comp1[Comparable '#1 Dates],0)),"-")</f>
        <v>8.41</v>
      </c>
      <c r="J454" s="22">
        <f>IF(Benchmark1[[#This Row],[Comparable '#1 Date Check]]="Pass",INDEX(Comp1[Comparable '#1 Return],MATCH(Benchmark1[[#This Row],[Benchmark '#1 Dates]],Comp1[Comparable '#1 Dates],0)),"-")</f>
        <v>-4.153076274906701E-3</v>
      </c>
      <c r="K454" s="1">
        <f>IFERROR(IF(Benchmark1[[#This Row],[Comparable '#1 Date Check]]="Pass",Benchmark1[[#This Row],[Comparable '#1 Return]]-Benchmark1[[#This Row],[Benchmark '#1 Return]],"-"),"-")</f>
        <v>-2.682488795520167E-2</v>
      </c>
      <c r="L454" s="1" t="str">
        <f>IF(COUNTIF(Comp2[Comparable '#2 Dates],Benchmark1[[#This Row],[Benchmark '#1 Dates]])=1,"Pass","Fail")</f>
        <v>Pass</v>
      </c>
      <c r="M454" s="6">
        <f>IF(Benchmark1[[#This Row],[Comparable '#2 Date Check]]="Pass",INDEX(Comp2[Comparable '#2 Price],MATCH(Benchmark1[[#This Row],[Benchmark '#1 Dates]],Comp2[Comparable '#2 Dates],0)),"-")</f>
        <v>27.54</v>
      </c>
      <c r="N454" s="22">
        <f>IF(Benchmark1[[#This Row],[Comparable '#2 Date Check]]="Pass",INDEX(Comp2[Comparable '#2 Return],MATCH(Benchmark1[[#This Row],[Benchmark '#1 Dates]],Comp2[Comparable '#2 Dates],0)),"-")</f>
        <v>3.5856733528786697E-2</v>
      </c>
      <c r="O454" s="1">
        <f>IFERROR(IF(Benchmark1[[#This Row],[Comparable '#2 Date Check]]="Pass",Benchmark1[[#This Row],[Comparable '#2 Return]]-Benchmark1[[#This Row],[Benchmark '#1 Return]],"-"),"-")</f>
        <v>1.3184921848491727E-2</v>
      </c>
      <c r="P454" s="1" t="str">
        <f>IF(COUNTIF(Comp3[Comparable '#3 Dates],Benchmark1[[#This Row],[Benchmark '#1 Dates]])=1,"Pass","Fail")</f>
        <v>Pass</v>
      </c>
      <c r="Q454" s="6">
        <f>IF(Benchmark1[[#This Row],[Comparable '#3 Date Check]]="Pass",INDEX(Comp3[Comparable '#3 Price],MATCH(Benchmark1[[#This Row],[Benchmark '#1 Dates]],Comp3[Comparable '#3 Dates],0)),"-")</f>
        <v>146.06</v>
      </c>
      <c r="R454" s="22">
        <f>IF(Benchmark1[[#This Row],[Comparable '#3 Date Check]]="Pass",INDEX(Comp3[Comparable '#3 Return],MATCH(Benchmark1[[#This Row],[Benchmark '#1 Dates]],Comp3[Comparable '#3 Dates],0)),"-")</f>
        <v>-2.1201663038918198E-3</v>
      </c>
      <c r="S454" s="1">
        <f>IFERROR(IF(Benchmark1[[#This Row],[Comparable '#3 Date Check]]="Pass",Benchmark1[[#This Row],[Comparable '#3 Return]]-Benchmark1[[#This Row],[Benchmark '#1 Return]],"-"),"-")</f>
        <v>-2.4791977984186791E-2</v>
      </c>
    </row>
    <row r="455" spans="1:19">
      <c r="A455" s="103">
        <v>43944</v>
      </c>
      <c r="B455" s="104">
        <v>2797.7966068201677</v>
      </c>
      <c r="C455" s="4">
        <f t="shared" si="7"/>
        <v>-5.4247409310335113E-4</v>
      </c>
      <c r="D455" s="1" t="str">
        <f>IF(COUNTIF(Target1[Target Dates],Benchmark1[[#This Row],[Benchmark '#1 Dates]])=1,"Pass","Fail")</f>
        <v>Pass</v>
      </c>
      <c r="E455" s="6">
        <f>IF(Benchmark1[[#This Row],[Target Date Check]]="Pass",INDEX(Target1[Target Price],MATCH(Benchmark1[[#This Row],[Benchmark '#1 Dates]],Target1[Target Dates],0)),"-")</f>
        <v>23.5</v>
      </c>
      <c r="F455" s="22">
        <f>IF(Benchmark1[[#This Row],[Target Date Check]]="Pass",INDEX(Target1[Target Return],MATCH(Benchmark1[[#This Row],[Benchmark '#1 Dates]],Target1[Target Dates],0)),"-")</f>
        <v>-3.3064321863967801E-2</v>
      </c>
      <c r="G455" s="1">
        <f>IFERROR(IF(Benchmark1[[#This Row],[Target Date Check]]="Pass",Benchmark1[[#This Row],[Target Return]]-Benchmark1[[#This Row],[Benchmark '#1 Return]],"-"),"-")</f>
        <v>-3.2521847770864448E-2</v>
      </c>
      <c r="H455" s="1" t="str">
        <f>IF(COUNTIF(Comp1[Comparable '#1 Dates],Benchmark1[[#This Row],[Benchmark '#1 Dates]])=1,"Pass","Fail")</f>
        <v>Pass</v>
      </c>
      <c r="I455" s="6">
        <f>IF(Benchmark1[[#This Row],[Comparable '#1 Date Check]]="Pass",INDEX(Comp1[Comparable '#1 Price],MATCH(Benchmark1[[#This Row],[Benchmark '#1 Dates]],Comp1[Comparable '#1 Dates],0)),"-")</f>
        <v>8.33</v>
      </c>
      <c r="J455" s="22">
        <f>IF(Benchmark1[[#This Row],[Comparable '#1 Date Check]]="Pass",INDEX(Comp1[Comparable '#1 Return],MATCH(Benchmark1[[#This Row],[Benchmark '#1 Dates]],Comp1[Comparable '#1 Dates],0)),"-")</f>
        <v>-9.5580178061053563E-3</v>
      </c>
      <c r="K455" s="1">
        <f>IFERROR(IF(Benchmark1[[#This Row],[Comparable '#1 Date Check]]="Pass",Benchmark1[[#This Row],[Comparable '#1 Return]]-Benchmark1[[#This Row],[Benchmark '#1 Return]],"-"),"-")</f>
        <v>-9.0155437130020055E-3</v>
      </c>
      <c r="L455" s="1" t="str">
        <f>IF(COUNTIF(Comp2[Comparable '#2 Dates],Benchmark1[[#This Row],[Benchmark '#1 Dates]])=1,"Pass","Fail")</f>
        <v>Pass</v>
      </c>
      <c r="M455" s="6">
        <f>IF(Benchmark1[[#This Row],[Comparable '#2 Date Check]]="Pass",INDEX(Comp2[Comparable '#2 Price],MATCH(Benchmark1[[#This Row],[Benchmark '#1 Dates]],Comp2[Comparable '#2 Dates],0)),"-")</f>
        <v>27.82</v>
      </c>
      <c r="N455" s="22">
        <f>IF(Benchmark1[[#This Row],[Comparable '#2 Date Check]]="Pass",INDEX(Comp2[Comparable '#2 Return],MATCH(Benchmark1[[#This Row],[Benchmark '#1 Dates]],Comp2[Comparable '#2 Dates],0)),"-")</f>
        <v>1.0115693194788198E-2</v>
      </c>
      <c r="O455" s="1">
        <f>IFERROR(IF(Benchmark1[[#This Row],[Comparable '#2 Date Check]]="Pass",Benchmark1[[#This Row],[Comparable '#2 Return]]-Benchmark1[[#This Row],[Benchmark '#1 Return]],"-"),"-")</f>
        <v>1.0658167287891549E-2</v>
      </c>
      <c r="P455" s="1" t="str">
        <f>IF(COUNTIF(Comp3[Comparable '#3 Dates],Benchmark1[[#This Row],[Benchmark '#1 Dates]])=1,"Pass","Fail")</f>
        <v>Pass</v>
      </c>
      <c r="Q455" s="6">
        <f>IF(Benchmark1[[#This Row],[Comparable '#3 Date Check]]="Pass",INDEX(Comp3[Comparable '#3 Price],MATCH(Benchmark1[[#This Row],[Benchmark '#1 Dates]],Comp3[Comparable '#3 Dates],0)),"-")</f>
        <v>143.41999999999999</v>
      </c>
      <c r="R455" s="22">
        <f>IF(Benchmark1[[#This Row],[Comparable '#3 Date Check]]="Pass",INDEX(Comp3[Comparable '#3 Return],MATCH(Benchmark1[[#This Row],[Benchmark '#1 Dates]],Comp3[Comparable '#3 Dates],0)),"-")</f>
        <v>-1.8240107737534993E-2</v>
      </c>
      <c r="S455" s="1">
        <f>IFERROR(IF(Benchmark1[[#This Row],[Comparable '#3 Date Check]]="Pass",Benchmark1[[#This Row],[Comparable '#3 Return]]-Benchmark1[[#This Row],[Benchmark '#1 Return]],"-"),"-")</f>
        <v>-1.7697633644431641E-2</v>
      </c>
    </row>
    <row r="456" spans="1:19">
      <c r="A456" s="103">
        <v>43945</v>
      </c>
      <c r="B456" s="104">
        <v>2836.7397108475921</v>
      </c>
      <c r="C456" s="4">
        <f t="shared" si="7"/>
        <v>1.3823222334072866E-2</v>
      </c>
      <c r="D456" s="1" t="str">
        <f>IF(COUNTIF(Target1[Target Dates],Benchmark1[[#This Row],[Benchmark '#1 Dates]])=1,"Pass","Fail")</f>
        <v>Pass</v>
      </c>
      <c r="E456" s="6">
        <f>IF(Benchmark1[[#This Row],[Target Date Check]]="Pass",INDEX(Target1[Target Price],MATCH(Benchmark1[[#This Row],[Benchmark '#1 Dates]],Target1[Target Dates],0)),"-")</f>
        <v>24.6</v>
      </c>
      <c r="F456" s="22">
        <f>IF(Benchmark1[[#This Row],[Target Date Check]]="Pass",INDEX(Target1[Target Return],MATCH(Benchmark1[[#This Row],[Benchmark '#1 Dates]],Target1[Target Dates],0)),"-")</f>
        <v>4.5746021788203799E-2</v>
      </c>
      <c r="G456" s="1">
        <f>IFERROR(IF(Benchmark1[[#This Row],[Target Date Check]]="Pass",Benchmark1[[#This Row],[Target Return]]-Benchmark1[[#This Row],[Benchmark '#1 Return]],"-"),"-")</f>
        <v>3.1922799454130929E-2</v>
      </c>
      <c r="H456" s="1" t="str">
        <f>IF(COUNTIF(Comp1[Comparable '#1 Dates],Benchmark1[[#This Row],[Benchmark '#1 Dates]])=1,"Pass","Fail")</f>
        <v>Pass</v>
      </c>
      <c r="I456" s="6">
        <f>IF(Benchmark1[[#This Row],[Comparable '#1 Date Check]]="Pass",INDEX(Comp1[Comparable '#1 Price],MATCH(Benchmark1[[#This Row],[Benchmark '#1 Dates]],Comp1[Comparable '#1 Dates],0)),"-")</f>
        <v>8.42</v>
      </c>
      <c r="J456" s="22">
        <f>IF(Benchmark1[[#This Row],[Comparable '#1 Date Check]]="Pass",INDEX(Comp1[Comparable '#1 Return],MATCH(Benchmark1[[#This Row],[Benchmark '#1 Dates]],Comp1[Comparable '#1 Dates],0)),"-")</f>
        <v>1.0746372075484061E-2</v>
      </c>
      <c r="K456" s="1">
        <f>IFERROR(IF(Benchmark1[[#This Row],[Comparable '#1 Date Check]]="Pass",Benchmark1[[#This Row],[Comparable '#1 Return]]-Benchmark1[[#This Row],[Benchmark '#1 Return]],"-"),"-")</f>
        <v>-3.0768502585888056E-3</v>
      </c>
      <c r="L456" s="1" t="str">
        <f>IF(COUNTIF(Comp2[Comparable '#2 Dates],Benchmark1[[#This Row],[Benchmark '#1 Dates]])=1,"Pass","Fail")</f>
        <v>Pass</v>
      </c>
      <c r="M456" s="6">
        <f>IF(Benchmark1[[#This Row],[Comparable '#2 Date Check]]="Pass",INDEX(Comp2[Comparable '#2 Price],MATCH(Benchmark1[[#This Row],[Benchmark '#1 Dates]],Comp2[Comparable '#2 Dates],0)),"-")</f>
        <v>28.09</v>
      </c>
      <c r="N456" s="22">
        <f>IF(Benchmark1[[#This Row],[Comparable '#2 Date Check]]="Pass",INDEX(Comp2[Comparable '#2 Return],MATCH(Benchmark1[[#This Row],[Benchmark '#1 Dates]],Comp2[Comparable '#2 Dates],0)),"-")</f>
        <v>9.6584546208555132E-3</v>
      </c>
      <c r="O456" s="1">
        <f>IFERROR(IF(Benchmark1[[#This Row],[Comparable '#2 Date Check]]="Pass",Benchmark1[[#This Row],[Comparable '#2 Return]]-Benchmark1[[#This Row],[Benchmark '#1 Return]],"-"),"-")</f>
        <v>-4.164767713217353E-3</v>
      </c>
      <c r="P456" s="1" t="str">
        <f>IF(COUNTIF(Comp3[Comparable '#3 Dates],Benchmark1[[#This Row],[Benchmark '#1 Dates]])=1,"Pass","Fail")</f>
        <v>Pass</v>
      </c>
      <c r="Q456" s="6">
        <f>IF(Benchmark1[[#This Row],[Comparable '#3 Date Check]]="Pass",INDEX(Comp3[Comparable '#3 Price],MATCH(Benchmark1[[#This Row],[Benchmark '#1 Dates]],Comp3[Comparable '#3 Dates],0)),"-")</f>
        <v>143.05000000000001</v>
      </c>
      <c r="R456" s="22">
        <f>IF(Benchmark1[[#This Row],[Comparable '#3 Date Check]]="Pass",INDEX(Comp3[Comparable '#3 Return],MATCH(Benchmark1[[#This Row],[Benchmark '#1 Dates]],Comp3[Comparable '#3 Dates],0)),"-")</f>
        <v>-2.5831689583093818E-3</v>
      </c>
      <c r="S456" s="1">
        <f>IFERROR(IF(Benchmark1[[#This Row],[Comparable '#3 Date Check]]="Pass",Benchmark1[[#This Row],[Comparable '#3 Return]]-Benchmark1[[#This Row],[Benchmark '#1 Return]],"-"),"-")</f>
        <v>-1.640639129238225E-2</v>
      </c>
    </row>
    <row r="457" spans="1:19">
      <c r="A457" s="103">
        <v>43948</v>
      </c>
      <c r="B457" s="104">
        <v>2878.4799155479104</v>
      </c>
      <c r="C457" s="4">
        <f t="shared" si="7"/>
        <v>1.4606944116560763E-2</v>
      </c>
      <c r="D457" s="1" t="str">
        <f>IF(COUNTIF(Target1[Target Dates],Benchmark1[[#This Row],[Benchmark '#1 Dates]])=1,"Pass","Fail")</f>
        <v>Pass</v>
      </c>
      <c r="E457" s="6">
        <f>IF(Benchmark1[[#This Row],[Target Date Check]]="Pass",INDEX(Target1[Target Price],MATCH(Benchmark1[[#This Row],[Benchmark '#1 Dates]],Target1[Target Dates],0)),"-")</f>
        <v>25.04</v>
      </c>
      <c r="F457" s="22">
        <f>IF(Benchmark1[[#This Row],[Target Date Check]]="Pass",INDEX(Target1[Target Return],MATCH(Benchmark1[[#This Row],[Benchmark '#1 Dates]],Target1[Target Dates],0)),"-")</f>
        <v>1.7728103293580599E-2</v>
      </c>
      <c r="G457" s="1">
        <f>IFERROR(IF(Benchmark1[[#This Row],[Target Date Check]]="Pass",Benchmark1[[#This Row],[Target Return]]-Benchmark1[[#This Row],[Benchmark '#1 Return]],"-"),"-")</f>
        <v>3.1211591770198364E-3</v>
      </c>
      <c r="H457" s="1" t="str">
        <f>IF(COUNTIF(Comp1[Comparable '#1 Dates],Benchmark1[[#This Row],[Benchmark '#1 Dates]])=1,"Pass","Fail")</f>
        <v>Pass</v>
      </c>
      <c r="I457" s="6">
        <f>IF(Benchmark1[[#This Row],[Comparable '#1 Date Check]]="Pass",INDEX(Comp1[Comparable '#1 Price],MATCH(Benchmark1[[#This Row],[Benchmark '#1 Dates]],Comp1[Comparable '#1 Dates],0)),"-")</f>
        <v>8.99</v>
      </c>
      <c r="J457" s="22">
        <f>IF(Benchmark1[[#This Row],[Comparable '#1 Date Check]]="Pass",INDEX(Comp1[Comparable '#1 Return],MATCH(Benchmark1[[#This Row],[Benchmark '#1 Dates]],Comp1[Comparable '#1 Dates],0)),"-")</f>
        <v>6.5503020229293649E-2</v>
      </c>
      <c r="K457" s="1">
        <f>IFERROR(IF(Benchmark1[[#This Row],[Comparable '#1 Date Check]]="Pass",Benchmark1[[#This Row],[Comparable '#1 Return]]-Benchmark1[[#This Row],[Benchmark '#1 Return]],"-"),"-")</f>
        <v>5.0896076112732884E-2</v>
      </c>
      <c r="L457" s="1" t="str">
        <f>IF(COUNTIF(Comp2[Comparable '#2 Dates],Benchmark1[[#This Row],[Benchmark '#1 Dates]])=1,"Pass","Fail")</f>
        <v>Pass</v>
      </c>
      <c r="M457" s="6">
        <f>IF(Benchmark1[[#This Row],[Comparable '#2 Date Check]]="Pass",INDEX(Comp2[Comparable '#2 Price],MATCH(Benchmark1[[#This Row],[Benchmark '#1 Dates]],Comp2[Comparable '#2 Dates],0)),"-")</f>
        <v>30.19</v>
      </c>
      <c r="N457" s="22">
        <f>IF(Benchmark1[[#This Row],[Comparable '#2 Date Check]]="Pass",INDEX(Comp2[Comparable '#2 Return],MATCH(Benchmark1[[#This Row],[Benchmark '#1 Dates]],Comp2[Comparable '#2 Dates],0)),"-")</f>
        <v>7.2097102602595192E-2</v>
      </c>
      <c r="O457" s="1">
        <f>IFERROR(IF(Benchmark1[[#This Row],[Comparable '#2 Date Check]]="Pass",Benchmark1[[#This Row],[Comparable '#2 Return]]-Benchmark1[[#This Row],[Benchmark '#1 Return]],"-"),"-")</f>
        <v>5.7490158486034428E-2</v>
      </c>
      <c r="P457" s="1" t="str">
        <f>IF(COUNTIF(Comp3[Comparable '#3 Dates],Benchmark1[[#This Row],[Benchmark '#1 Dates]])=1,"Pass","Fail")</f>
        <v>Pass</v>
      </c>
      <c r="Q457" s="6">
        <f>IF(Benchmark1[[#This Row],[Comparable '#3 Date Check]]="Pass",INDEX(Comp3[Comparable '#3 Price],MATCH(Benchmark1[[#This Row],[Benchmark '#1 Dates]],Comp3[Comparable '#3 Dates],0)),"-")</f>
        <v>147</v>
      </c>
      <c r="R457" s="22">
        <f>IF(Benchmark1[[#This Row],[Comparable '#3 Date Check]]="Pass",INDEX(Comp3[Comparable '#3 Return],MATCH(Benchmark1[[#This Row],[Benchmark '#1 Dates]],Comp3[Comparable '#3 Dates],0)),"-")</f>
        <v>2.7238367282617051E-2</v>
      </c>
      <c r="S457" s="1">
        <f>IFERROR(IF(Benchmark1[[#This Row],[Comparable '#3 Date Check]]="Pass",Benchmark1[[#This Row],[Comparable '#3 Return]]-Benchmark1[[#This Row],[Benchmark '#1 Return]],"-"),"-")</f>
        <v>1.2631423166056288E-2</v>
      </c>
    </row>
    <row r="458" spans="1:19">
      <c r="A458" s="103">
        <v>43949</v>
      </c>
      <c r="B458" s="104">
        <v>2863.3917804114999</v>
      </c>
      <c r="C458" s="4">
        <f t="shared" si="7"/>
        <v>-5.255488336692711E-3</v>
      </c>
      <c r="D458" s="1" t="str">
        <f>IF(COUNTIF(Target1[Target Dates],Benchmark1[[#This Row],[Benchmark '#1 Dates]])=1,"Pass","Fail")</f>
        <v>Pass</v>
      </c>
      <c r="E458" s="6">
        <f>IF(Benchmark1[[#This Row],[Target Date Check]]="Pass",INDEX(Target1[Target Price],MATCH(Benchmark1[[#This Row],[Benchmark '#1 Dates]],Target1[Target Dates],0)),"-")</f>
        <v>22.01</v>
      </c>
      <c r="F458" s="22">
        <f>IF(Benchmark1[[#This Row],[Target Date Check]]="Pass",INDEX(Target1[Target Return],MATCH(Benchmark1[[#This Row],[Benchmark '#1 Dates]],Target1[Target Dates],0)),"-")</f>
        <v>-0.12897765069352732</v>
      </c>
      <c r="G458" s="1">
        <f>IFERROR(IF(Benchmark1[[#This Row],[Target Date Check]]="Pass",Benchmark1[[#This Row],[Target Return]]-Benchmark1[[#This Row],[Benchmark '#1 Return]],"-"),"-")</f>
        <v>-0.12372216235683461</v>
      </c>
      <c r="H458" s="1" t="str">
        <f>IF(COUNTIF(Comp1[Comparable '#1 Dates],Benchmark1[[#This Row],[Benchmark '#1 Dates]])=1,"Pass","Fail")</f>
        <v>Pass</v>
      </c>
      <c r="I458" s="6">
        <f>IF(Benchmark1[[#This Row],[Comparable '#1 Date Check]]="Pass",INDEX(Comp1[Comparable '#1 Price],MATCH(Benchmark1[[#This Row],[Benchmark '#1 Dates]],Comp1[Comparable '#1 Dates],0)),"-")</f>
        <v>9.6199999999999992</v>
      </c>
      <c r="J458" s="22">
        <f>IF(Benchmark1[[#This Row],[Comparable '#1 Date Check]]="Pass",INDEX(Comp1[Comparable '#1 Return],MATCH(Benchmark1[[#This Row],[Benchmark '#1 Dates]],Comp1[Comparable '#1 Dates],0)),"-")</f>
        <v>6.7731416194086083E-2</v>
      </c>
      <c r="K458" s="1">
        <f>IFERROR(IF(Benchmark1[[#This Row],[Comparable '#1 Date Check]]="Pass",Benchmark1[[#This Row],[Comparable '#1 Return]]-Benchmark1[[#This Row],[Benchmark '#1 Return]],"-"),"-")</f>
        <v>7.2986904530778801E-2</v>
      </c>
      <c r="L458" s="1" t="str">
        <f>IF(COUNTIF(Comp2[Comparable '#2 Dates],Benchmark1[[#This Row],[Benchmark '#1 Dates]])=1,"Pass","Fail")</f>
        <v>Pass</v>
      </c>
      <c r="M458" s="6">
        <f>IF(Benchmark1[[#This Row],[Comparable '#2 Date Check]]="Pass",INDEX(Comp2[Comparable '#2 Price],MATCH(Benchmark1[[#This Row],[Benchmark '#1 Dates]],Comp2[Comparable '#2 Dates],0)),"-")</f>
        <v>31.36</v>
      </c>
      <c r="N458" s="22">
        <f>IF(Benchmark1[[#This Row],[Comparable '#2 Date Check]]="Pass",INDEX(Comp2[Comparable '#2 Return],MATCH(Benchmark1[[#This Row],[Benchmark '#1 Dates]],Comp2[Comparable '#2 Dates],0)),"-")</f>
        <v>3.8022451763459586E-2</v>
      </c>
      <c r="O458" s="1">
        <f>IFERROR(IF(Benchmark1[[#This Row],[Comparable '#2 Date Check]]="Pass",Benchmark1[[#This Row],[Comparable '#2 Return]]-Benchmark1[[#This Row],[Benchmark '#1 Return]],"-"),"-")</f>
        <v>4.3277940100152297E-2</v>
      </c>
      <c r="P458" s="1" t="str">
        <f>IF(COUNTIF(Comp3[Comparable '#3 Dates],Benchmark1[[#This Row],[Benchmark '#1 Dates]])=1,"Pass","Fail")</f>
        <v>Pass</v>
      </c>
      <c r="Q458" s="6">
        <f>IF(Benchmark1[[#This Row],[Comparable '#3 Date Check]]="Pass",INDEX(Comp3[Comparable '#3 Price],MATCH(Benchmark1[[#This Row],[Benchmark '#1 Dates]],Comp3[Comparable '#3 Dates],0)),"-")</f>
        <v>150.15</v>
      </c>
      <c r="R458" s="22">
        <f>IF(Benchmark1[[#This Row],[Comparable '#3 Date Check]]="Pass",INDEX(Comp3[Comparable '#3 Return],MATCH(Benchmark1[[#This Row],[Benchmark '#1 Dates]],Comp3[Comparable '#3 Dates],0)),"-")</f>
        <v>2.1202207650603124E-2</v>
      </c>
      <c r="S458" s="1">
        <f>IFERROR(IF(Benchmark1[[#This Row],[Comparable '#3 Date Check]]="Pass",Benchmark1[[#This Row],[Comparable '#3 Return]]-Benchmark1[[#This Row],[Benchmark '#1 Return]],"-"),"-")</f>
        <v>2.6457695987295835E-2</v>
      </c>
    </row>
    <row r="459" spans="1:19">
      <c r="A459" s="103">
        <v>43950</v>
      </c>
      <c r="B459" s="104">
        <v>2939.5053884275153</v>
      </c>
      <c r="C459" s="4">
        <f t="shared" si="7"/>
        <v>2.623447259817846E-2</v>
      </c>
      <c r="D459" s="1" t="str">
        <f>IF(COUNTIF(Target1[Target Dates],Benchmark1[[#This Row],[Benchmark '#1 Dates]])=1,"Pass","Fail")</f>
        <v>Pass</v>
      </c>
      <c r="E459" s="6">
        <f>IF(Benchmark1[[#This Row],[Target Date Check]]="Pass",INDEX(Target1[Target Price],MATCH(Benchmark1[[#This Row],[Benchmark '#1 Dates]],Target1[Target Dates],0)),"-")</f>
        <v>21.43</v>
      </c>
      <c r="F459" s="22">
        <f>IF(Benchmark1[[#This Row],[Target Date Check]]="Pass",INDEX(Target1[Target Return],MATCH(Benchmark1[[#This Row],[Benchmark '#1 Dates]],Target1[Target Dates],0)),"-")</f>
        <v>-2.6705086052884772E-2</v>
      </c>
      <c r="G459" s="1">
        <f>IFERROR(IF(Benchmark1[[#This Row],[Target Date Check]]="Pass",Benchmark1[[#This Row],[Target Return]]-Benchmark1[[#This Row],[Benchmark '#1 Return]],"-"),"-")</f>
        <v>-5.2939558651063229E-2</v>
      </c>
      <c r="H459" s="1" t="str">
        <f>IF(COUNTIF(Comp1[Comparable '#1 Dates],Benchmark1[[#This Row],[Benchmark '#1 Dates]])=1,"Pass","Fail")</f>
        <v>Pass</v>
      </c>
      <c r="I459" s="6">
        <f>IF(Benchmark1[[#This Row],[Comparable '#1 Date Check]]="Pass",INDEX(Comp1[Comparable '#1 Price],MATCH(Benchmark1[[#This Row],[Benchmark '#1 Dates]],Comp1[Comparable '#1 Dates],0)),"-")</f>
        <v>9.7100000000000009</v>
      </c>
      <c r="J459" s="22">
        <f>IF(Benchmark1[[#This Row],[Comparable '#1 Date Check]]="Pass",INDEX(Comp1[Comparable '#1 Return],MATCH(Benchmark1[[#This Row],[Benchmark '#1 Dates]],Comp1[Comparable '#1 Dates],0)),"-")</f>
        <v>9.3120176256186148E-3</v>
      </c>
      <c r="K459" s="1">
        <f>IFERROR(IF(Benchmark1[[#This Row],[Comparable '#1 Date Check]]="Pass",Benchmark1[[#This Row],[Comparable '#1 Return]]-Benchmark1[[#This Row],[Benchmark '#1 Return]],"-"),"-")</f>
        <v>-1.6922454972559845E-2</v>
      </c>
      <c r="L459" s="1" t="str">
        <f>IF(COUNTIF(Comp2[Comparable '#2 Dates],Benchmark1[[#This Row],[Benchmark '#1 Dates]])=1,"Pass","Fail")</f>
        <v>Pass</v>
      </c>
      <c r="M459" s="6">
        <f>IF(Benchmark1[[#This Row],[Comparable '#2 Date Check]]="Pass",INDEX(Comp2[Comparable '#2 Price],MATCH(Benchmark1[[#This Row],[Benchmark '#1 Dates]],Comp2[Comparable '#2 Dates],0)),"-")</f>
        <v>33.19</v>
      </c>
      <c r="N459" s="22">
        <f>IF(Benchmark1[[#This Row],[Comparable '#2 Date Check]]="Pass",INDEX(Comp2[Comparable '#2 Return],MATCH(Benchmark1[[#This Row],[Benchmark '#1 Dates]],Comp2[Comparable '#2 Dates],0)),"-")</f>
        <v>5.6715430249676194E-2</v>
      </c>
      <c r="O459" s="1">
        <f>IFERROR(IF(Benchmark1[[#This Row],[Comparable '#2 Date Check]]="Pass",Benchmark1[[#This Row],[Comparable '#2 Return]]-Benchmark1[[#This Row],[Benchmark '#1 Return]],"-"),"-")</f>
        <v>3.0480957651497734E-2</v>
      </c>
      <c r="P459" s="1" t="str">
        <f>IF(COUNTIF(Comp3[Comparable '#3 Dates],Benchmark1[[#This Row],[Benchmark '#1 Dates]])=1,"Pass","Fail")</f>
        <v>Pass</v>
      </c>
      <c r="Q459" s="6">
        <f>IF(Benchmark1[[#This Row],[Comparable '#3 Date Check]]="Pass",INDEX(Comp3[Comparable '#3 Price],MATCH(Benchmark1[[#This Row],[Benchmark '#1 Dates]],Comp3[Comparable '#3 Dates],0)),"-")</f>
        <v>168.18</v>
      </c>
      <c r="R459" s="22">
        <f>IF(Benchmark1[[#This Row],[Comparable '#3 Date Check]]="Pass",INDEX(Comp3[Comparable '#3 Return],MATCH(Benchmark1[[#This Row],[Benchmark '#1 Dates]],Comp3[Comparable '#3 Dates],0)),"-")</f>
        <v>0.11340003997541262</v>
      </c>
      <c r="S459" s="1">
        <f>IFERROR(IF(Benchmark1[[#This Row],[Comparable '#3 Date Check]]="Pass",Benchmark1[[#This Row],[Comparable '#3 Return]]-Benchmark1[[#This Row],[Benchmark '#1 Return]],"-"),"-")</f>
        <v>8.716556737723416E-2</v>
      </c>
    </row>
    <row r="460" spans="1:19">
      <c r="A460" s="103">
        <v>43951</v>
      </c>
      <c r="B460" s="104">
        <v>2912.4305246606959</v>
      </c>
      <c r="C460" s="4">
        <f t="shared" si="7"/>
        <v>-9.2533675551697975E-3</v>
      </c>
      <c r="D460" s="1" t="str">
        <f>IF(COUNTIF(Target1[Target Dates],Benchmark1[[#This Row],[Benchmark '#1 Dates]])=1,"Pass","Fail")</f>
        <v>Pass</v>
      </c>
      <c r="E460" s="6">
        <f>IF(Benchmark1[[#This Row],[Target Date Check]]="Pass",INDEX(Target1[Target Price],MATCH(Benchmark1[[#This Row],[Benchmark '#1 Dates]],Target1[Target Dates],0)),"-")</f>
        <v>22.71</v>
      </c>
      <c r="F460" s="22">
        <f>IF(Benchmark1[[#This Row],[Target Date Check]]="Pass",INDEX(Target1[Target Return],MATCH(Benchmark1[[#This Row],[Benchmark '#1 Dates]],Target1[Target Dates],0)),"-")</f>
        <v>5.8013546631981425E-2</v>
      </c>
      <c r="G460" s="1">
        <f>IFERROR(IF(Benchmark1[[#This Row],[Target Date Check]]="Pass",Benchmark1[[#This Row],[Target Return]]-Benchmark1[[#This Row],[Benchmark '#1 Return]],"-"),"-")</f>
        <v>6.7266914187151222E-2</v>
      </c>
      <c r="H460" s="1" t="str">
        <f>IF(COUNTIF(Comp1[Comparable '#1 Dates],Benchmark1[[#This Row],[Benchmark '#1 Dates]])=1,"Pass","Fail")</f>
        <v>Pass</v>
      </c>
      <c r="I460" s="6">
        <f>IF(Benchmark1[[#This Row],[Comparable '#1 Date Check]]="Pass",INDEX(Comp1[Comparable '#1 Price],MATCH(Benchmark1[[#This Row],[Benchmark '#1 Dates]],Comp1[Comparable '#1 Dates],0)),"-")</f>
        <v>9.4700000000000006</v>
      </c>
      <c r="J460" s="22">
        <f>IF(Benchmark1[[#This Row],[Comparable '#1 Date Check]]="Pass",INDEX(Comp1[Comparable '#1 Return],MATCH(Benchmark1[[#This Row],[Benchmark '#1 Dates]],Comp1[Comparable '#1 Dates],0)),"-")</f>
        <v>-2.5027375105246691E-2</v>
      </c>
      <c r="K460" s="1">
        <f>IFERROR(IF(Benchmark1[[#This Row],[Comparable '#1 Date Check]]="Pass",Benchmark1[[#This Row],[Comparable '#1 Return]]-Benchmark1[[#This Row],[Benchmark '#1 Return]],"-"),"-")</f>
        <v>-1.5774007550076893E-2</v>
      </c>
      <c r="L460" s="1" t="str">
        <f>IF(COUNTIF(Comp2[Comparable '#2 Dates],Benchmark1[[#This Row],[Benchmark '#1 Dates]])=1,"Pass","Fail")</f>
        <v>Pass</v>
      </c>
      <c r="M460" s="6">
        <f>IF(Benchmark1[[#This Row],[Comparable '#2 Date Check]]="Pass",INDEX(Comp2[Comparable '#2 Price],MATCH(Benchmark1[[#This Row],[Benchmark '#1 Dates]],Comp2[Comparable '#2 Dates],0)),"-")</f>
        <v>31.77</v>
      </c>
      <c r="N460" s="22">
        <f>IF(Benchmark1[[#This Row],[Comparable '#2 Date Check]]="Pass",INDEX(Comp2[Comparable '#2 Return],MATCH(Benchmark1[[#This Row],[Benchmark '#1 Dates]],Comp2[Comparable '#2 Dates],0)),"-")</f>
        <v>-4.3726177450458419E-2</v>
      </c>
      <c r="O460" s="1">
        <f>IFERROR(IF(Benchmark1[[#This Row],[Comparable '#2 Date Check]]="Pass",Benchmark1[[#This Row],[Comparable '#2 Return]]-Benchmark1[[#This Row],[Benchmark '#1 Return]],"-"),"-")</f>
        <v>-3.4472809895288621E-2</v>
      </c>
      <c r="P460" s="1" t="str">
        <f>IF(COUNTIF(Comp3[Comparable '#3 Dates],Benchmark1[[#This Row],[Benchmark '#1 Dates]])=1,"Pass","Fail")</f>
        <v>Pass</v>
      </c>
      <c r="Q460" s="6">
        <f>IF(Benchmark1[[#This Row],[Comparable '#3 Date Check]]="Pass",INDEX(Comp3[Comparable '#3 Price],MATCH(Benchmark1[[#This Row],[Benchmark '#1 Dates]],Comp3[Comparable '#3 Dates],0)),"-")</f>
        <v>159.30000000000001</v>
      </c>
      <c r="R460" s="22">
        <f>IF(Benchmark1[[#This Row],[Comparable '#3 Date Check]]="Pass",INDEX(Comp3[Comparable '#3 Return],MATCH(Benchmark1[[#This Row],[Benchmark '#1 Dates]],Comp3[Comparable '#3 Dates],0)),"-")</f>
        <v>-5.4245617488749016E-2</v>
      </c>
      <c r="S460" s="1">
        <f>IFERROR(IF(Benchmark1[[#This Row],[Comparable '#3 Date Check]]="Pass",Benchmark1[[#This Row],[Comparable '#3 Return]]-Benchmark1[[#This Row],[Benchmark '#1 Return]],"-"),"-")</f>
        <v>-4.4992249933579219E-2</v>
      </c>
    </row>
    <row r="461" spans="1:19">
      <c r="A461" s="103">
        <v>43952</v>
      </c>
      <c r="B461" s="104">
        <v>2830.7050494293317</v>
      </c>
      <c r="C461" s="4">
        <f t="shared" si="7"/>
        <v>-2.846214971317558E-2</v>
      </c>
      <c r="D461" s="1" t="str">
        <f>IF(COUNTIF(Target1[Target Dates],Benchmark1[[#This Row],[Benchmark '#1 Dates]])=1,"Pass","Fail")</f>
        <v>Pass</v>
      </c>
      <c r="E461" s="6">
        <f>IF(Benchmark1[[#This Row],[Target Date Check]]="Pass",INDEX(Target1[Target Price],MATCH(Benchmark1[[#This Row],[Benchmark '#1 Dates]],Target1[Target Dates],0)),"-")</f>
        <v>22.97</v>
      </c>
      <c r="F461" s="22">
        <f>IF(Benchmark1[[#This Row],[Target Date Check]]="Pass",INDEX(Target1[Target Return],MATCH(Benchmark1[[#This Row],[Benchmark '#1 Dates]],Target1[Target Dates],0)),"-")</f>
        <v>1.1383660583539594E-2</v>
      </c>
      <c r="G461" s="1">
        <f>IFERROR(IF(Benchmark1[[#This Row],[Target Date Check]]="Pass",Benchmark1[[#This Row],[Target Return]]-Benchmark1[[#This Row],[Benchmark '#1 Return]],"-"),"-")</f>
        <v>3.9845810296715176E-2</v>
      </c>
      <c r="H461" s="1" t="str">
        <f>IF(COUNTIF(Comp1[Comparable '#1 Dates],Benchmark1[[#This Row],[Benchmark '#1 Dates]])=1,"Pass","Fail")</f>
        <v>Pass</v>
      </c>
      <c r="I461" s="6">
        <f>IF(Benchmark1[[#This Row],[Comparable '#1 Date Check]]="Pass",INDEX(Comp1[Comparable '#1 Price],MATCH(Benchmark1[[#This Row],[Benchmark '#1 Dates]],Comp1[Comparable '#1 Dates],0)),"-")</f>
        <v>9.2100000000000009</v>
      </c>
      <c r="J461" s="22">
        <f>IF(Benchmark1[[#This Row],[Comparable '#1 Date Check]]="Pass",INDEX(Comp1[Comparable '#1 Return],MATCH(Benchmark1[[#This Row],[Benchmark '#1 Dates]],Comp1[Comparable '#1 Dates],0)),"-")</f>
        <v>-2.7839056930771416E-2</v>
      </c>
      <c r="K461" s="1">
        <f>IFERROR(IF(Benchmark1[[#This Row],[Comparable '#1 Date Check]]="Pass",Benchmark1[[#This Row],[Comparable '#1 Return]]-Benchmark1[[#This Row],[Benchmark '#1 Return]],"-"),"-")</f>
        <v>6.2309278240416446E-4</v>
      </c>
      <c r="L461" s="1" t="str">
        <f>IF(COUNTIF(Comp2[Comparable '#2 Dates],Benchmark1[[#This Row],[Benchmark '#1 Dates]])=1,"Pass","Fail")</f>
        <v>Pass</v>
      </c>
      <c r="M461" s="6">
        <f>IF(Benchmark1[[#This Row],[Comparable '#2 Date Check]]="Pass",INDEX(Comp2[Comparable '#2 Price],MATCH(Benchmark1[[#This Row],[Benchmark '#1 Dates]],Comp2[Comparable '#2 Dates],0)),"-")</f>
        <v>31.63</v>
      </c>
      <c r="N461" s="22">
        <f>IF(Benchmark1[[#This Row],[Comparable '#2 Date Check]]="Pass",INDEX(Comp2[Comparable '#2 Return],MATCH(Benchmark1[[#This Row],[Benchmark '#1 Dates]],Comp2[Comparable '#2 Dates],0)),"-")</f>
        <v>-4.4164109638673262E-3</v>
      </c>
      <c r="O461" s="1">
        <f>IFERROR(IF(Benchmark1[[#This Row],[Comparable '#2 Date Check]]="Pass",Benchmark1[[#This Row],[Comparable '#2 Return]]-Benchmark1[[#This Row],[Benchmark '#1 Return]],"-"),"-")</f>
        <v>2.4045738749308255E-2</v>
      </c>
      <c r="P461" s="1" t="str">
        <f>IF(COUNTIF(Comp3[Comparable '#3 Dates],Benchmark1[[#This Row],[Benchmark '#1 Dates]])=1,"Pass","Fail")</f>
        <v>Pass</v>
      </c>
      <c r="Q461" s="6">
        <f>IF(Benchmark1[[#This Row],[Comparable '#3 Date Check]]="Pass",INDEX(Comp3[Comparable '#3 Price],MATCH(Benchmark1[[#This Row],[Benchmark '#1 Dates]],Comp3[Comparable '#3 Dates],0)),"-")</f>
        <v>150.22</v>
      </c>
      <c r="R461" s="22">
        <f>IF(Benchmark1[[#This Row],[Comparable '#3 Date Check]]="Pass",INDEX(Comp3[Comparable '#3 Return],MATCH(Benchmark1[[#This Row],[Benchmark '#1 Dates]],Comp3[Comparable '#3 Dates],0)),"-")</f>
        <v>-5.8688330658137215E-2</v>
      </c>
      <c r="S461" s="1">
        <f>IFERROR(IF(Benchmark1[[#This Row],[Comparable '#3 Date Check]]="Pass",Benchmark1[[#This Row],[Comparable '#3 Return]]-Benchmark1[[#This Row],[Benchmark '#1 Return]],"-"),"-")</f>
        <v>-3.0226180944961635E-2</v>
      </c>
    </row>
    <row r="462" spans="1:19">
      <c r="A462" s="103">
        <v>43955</v>
      </c>
      <c r="B462" s="104">
        <v>2842.7390645017426</v>
      </c>
      <c r="C462" s="4">
        <f t="shared" si="7"/>
        <v>4.242232012262718E-3</v>
      </c>
      <c r="D462" s="1" t="str">
        <f>IF(COUNTIF(Target1[Target Dates],Benchmark1[[#This Row],[Benchmark '#1 Dates]])=1,"Pass","Fail")</f>
        <v>Pass</v>
      </c>
      <c r="E462" s="6">
        <f>IF(Benchmark1[[#This Row],[Target Date Check]]="Pass",INDEX(Target1[Target Price],MATCH(Benchmark1[[#This Row],[Benchmark '#1 Dates]],Target1[Target Dates],0)),"-")</f>
        <v>22.68</v>
      </c>
      <c r="F462" s="22">
        <f>IF(Benchmark1[[#This Row],[Target Date Check]]="Pass",INDEX(Target1[Target Return],MATCH(Benchmark1[[#This Row],[Benchmark '#1 Dates]],Target1[Target Dates],0)),"-")</f>
        <v>-1.2705537841455521E-2</v>
      </c>
      <c r="G462" s="1">
        <f>IFERROR(IF(Benchmark1[[#This Row],[Target Date Check]]="Pass",Benchmark1[[#This Row],[Target Return]]-Benchmark1[[#This Row],[Benchmark '#1 Return]],"-"),"-")</f>
        <v>-1.694776985371824E-2</v>
      </c>
      <c r="H462" s="1" t="str">
        <f>IF(COUNTIF(Comp1[Comparable '#1 Dates],Benchmark1[[#This Row],[Benchmark '#1 Dates]])=1,"Pass","Fail")</f>
        <v>Pass</v>
      </c>
      <c r="I462" s="6">
        <f>IF(Benchmark1[[#This Row],[Comparable '#1 Date Check]]="Pass",INDEX(Comp1[Comparable '#1 Price],MATCH(Benchmark1[[#This Row],[Benchmark '#1 Dates]],Comp1[Comparable '#1 Dates],0)),"-")</f>
        <v>9.3650000000000002</v>
      </c>
      <c r="J462" s="22">
        <f>IF(Benchmark1[[#This Row],[Comparable '#1 Date Check]]="Pass",INDEX(Comp1[Comparable '#1 Return],MATCH(Benchmark1[[#This Row],[Benchmark '#1 Dates]],Comp1[Comparable '#1 Dates],0)),"-")</f>
        <v>1.6689485628836365E-2</v>
      </c>
      <c r="K462" s="1">
        <f>IFERROR(IF(Benchmark1[[#This Row],[Comparable '#1 Date Check]]="Pass",Benchmark1[[#This Row],[Comparable '#1 Return]]-Benchmark1[[#This Row],[Benchmark '#1 Return]],"-"),"-")</f>
        <v>1.2447253616573648E-2</v>
      </c>
      <c r="L462" s="1" t="str">
        <f>IF(COUNTIF(Comp2[Comparable '#2 Dates],Benchmark1[[#This Row],[Benchmark '#1 Dates]])=1,"Pass","Fail")</f>
        <v>Pass</v>
      </c>
      <c r="M462" s="6">
        <f>IF(Benchmark1[[#This Row],[Comparable '#2 Date Check]]="Pass",INDEX(Comp2[Comparable '#2 Price],MATCH(Benchmark1[[#This Row],[Benchmark '#1 Dates]],Comp2[Comparable '#2 Dates],0)),"-")</f>
        <v>31.57</v>
      </c>
      <c r="N462" s="22">
        <f>IF(Benchmark1[[#This Row],[Comparable '#2 Date Check]]="Pass",INDEX(Comp2[Comparable '#2 Return],MATCH(Benchmark1[[#This Row],[Benchmark '#1 Dates]],Comp2[Comparable '#2 Dates],0)),"-")</f>
        <v>-1.8987347476571643E-3</v>
      </c>
      <c r="O462" s="1">
        <f>IFERROR(IF(Benchmark1[[#This Row],[Comparable '#2 Date Check]]="Pass",Benchmark1[[#This Row],[Comparable '#2 Return]]-Benchmark1[[#This Row],[Benchmark '#1 Return]],"-"),"-")</f>
        <v>-6.1409667599198825E-3</v>
      </c>
      <c r="P462" s="1" t="str">
        <f>IF(COUNTIF(Comp3[Comparable '#3 Dates],Benchmark1[[#This Row],[Benchmark '#1 Dates]])=1,"Pass","Fail")</f>
        <v>Pass</v>
      </c>
      <c r="Q462" s="6">
        <f>IF(Benchmark1[[#This Row],[Comparable '#3 Date Check]]="Pass",INDEX(Comp3[Comparable '#3 Price],MATCH(Benchmark1[[#This Row],[Benchmark '#1 Dates]],Comp3[Comparable '#3 Dates],0)),"-")</f>
        <v>149.4</v>
      </c>
      <c r="R462" s="22">
        <f>IF(Benchmark1[[#This Row],[Comparable '#3 Date Check]]="Pass",INDEX(Comp3[Comparable '#3 Return],MATCH(Benchmark1[[#This Row],[Benchmark '#1 Dates]],Comp3[Comparable '#3 Dates],0)),"-")</f>
        <v>-5.4736135591487252E-3</v>
      </c>
      <c r="S462" s="1">
        <f>IFERROR(IF(Benchmark1[[#This Row],[Comparable '#3 Date Check]]="Pass",Benchmark1[[#This Row],[Comparable '#3 Return]]-Benchmark1[[#This Row],[Benchmark '#1 Return]],"-"),"-")</f>
        <v>-9.7158455714114432E-3</v>
      </c>
    </row>
    <row r="463" spans="1:19">
      <c r="A463" s="103">
        <v>43956</v>
      </c>
      <c r="B463" s="104">
        <v>2868.4353901181557</v>
      </c>
      <c r="C463" s="4">
        <f t="shared" si="7"/>
        <v>8.9986741674439649E-3</v>
      </c>
      <c r="D463" s="1" t="str">
        <f>IF(COUNTIF(Target1[Target Dates],Benchmark1[[#This Row],[Benchmark '#1 Dates]])=1,"Pass","Fail")</f>
        <v>Pass</v>
      </c>
      <c r="E463" s="6">
        <f>IF(Benchmark1[[#This Row],[Target Date Check]]="Pass",INDEX(Target1[Target Price],MATCH(Benchmark1[[#This Row],[Benchmark '#1 Dates]],Target1[Target Dates],0)),"-")</f>
        <v>23.05</v>
      </c>
      <c r="F463" s="22">
        <f>IF(Benchmark1[[#This Row],[Target Date Check]]="Pass",INDEX(Target1[Target Return],MATCH(Benchmark1[[#This Row],[Benchmark '#1 Dates]],Target1[Target Dates],0)),"-")</f>
        <v>1.6182290583106242E-2</v>
      </c>
      <c r="G463" s="1">
        <f>IFERROR(IF(Benchmark1[[#This Row],[Target Date Check]]="Pass",Benchmark1[[#This Row],[Target Return]]-Benchmark1[[#This Row],[Benchmark '#1 Return]],"-"),"-")</f>
        <v>7.1836164156622775E-3</v>
      </c>
      <c r="H463" s="1" t="str">
        <f>IF(COUNTIF(Comp1[Comparable '#1 Dates],Benchmark1[[#This Row],[Benchmark '#1 Dates]])=1,"Pass","Fail")</f>
        <v>Pass</v>
      </c>
      <c r="I463" s="6">
        <f>IF(Benchmark1[[#This Row],[Comparable '#1 Date Check]]="Pass",INDEX(Comp1[Comparable '#1 Price],MATCH(Benchmark1[[#This Row],[Benchmark '#1 Dates]],Comp1[Comparable '#1 Dates],0)),"-")</f>
        <v>9.6</v>
      </c>
      <c r="J463" s="22">
        <f>IF(Benchmark1[[#This Row],[Comparable '#1 Date Check]]="Pass",INDEX(Comp1[Comparable '#1 Return],MATCH(Benchmark1[[#This Row],[Benchmark '#1 Dates]],Comp1[Comparable '#1 Dates],0)),"-")</f>
        <v>2.4783762577738688E-2</v>
      </c>
      <c r="K463" s="1">
        <f>IFERROR(IF(Benchmark1[[#This Row],[Comparable '#1 Date Check]]="Pass",Benchmark1[[#This Row],[Comparable '#1 Return]]-Benchmark1[[#This Row],[Benchmark '#1 Return]],"-"),"-")</f>
        <v>1.5785088410294724E-2</v>
      </c>
      <c r="L463" s="1" t="str">
        <f>IF(COUNTIF(Comp2[Comparable '#2 Dates],Benchmark1[[#This Row],[Benchmark '#1 Dates]])=1,"Pass","Fail")</f>
        <v>Pass</v>
      </c>
      <c r="M463" s="6">
        <f>IF(Benchmark1[[#This Row],[Comparable '#2 Date Check]]="Pass",INDEX(Comp2[Comparable '#2 Price],MATCH(Benchmark1[[#This Row],[Benchmark '#1 Dates]],Comp2[Comparable '#2 Dates],0)),"-")</f>
        <v>31.55</v>
      </c>
      <c r="N463" s="22">
        <f>IF(Benchmark1[[#This Row],[Comparable '#2 Date Check]]="Pass",INDEX(Comp2[Comparable '#2 Return],MATCH(Benchmark1[[#This Row],[Benchmark '#1 Dates]],Comp2[Comparable '#2 Dates],0)),"-")</f>
        <v>-6.3371358267811598E-4</v>
      </c>
      <c r="O463" s="1">
        <f>IFERROR(IF(Benchmark1[[#This Row],[Comparable '#2 Date Check]]="Pass",Benchmark1[[#This Row],[Comparable '#2 Return]]-Benchmark1[[#This Row],[Benchmark '#1 Return]],"-"),"-")</f>
        <v>-9.6323877501220817E-3</v>
      </c>
      <c r="P463" s="1" t="str">
        <f>IF(COUNTIF(Comp3[Comparable '#3 Dates],Benchmark1[[#This Row],[Benchmark '#1 Dates]])=1,"Pass","Fail")</f>
        <v>Pass</v>
      </c>
      <c r="Q463" s="6">
        <f>IF(Benchmark1[[#This Row],[Comparable '#3 Date Check]]="Pass",INDEX(Comp3[Comparable '#3 Price],MATCH(Benchmark1[[#This Row],[Benchmark '#1 Dates]],Comp3[Comparable '#3 Dates],0)),"-")</f>
        <v>157.30000000000001</v>
      </c>
      <c r="R463" s="22">
        <f>IF(Benchmark1[[#This Row],[Comparable '#3 Date Check]]="Pass",INDEX(Comp3[Comparable '#3 Return],MATCH(Benchmark1[[#This Row],[Benchmark '#1 Dates]],Comp3[Comparable '#3 Dates],0)),"-")</f>
        <v>5.15275373655152E-2</v>
      </c>
      <c r="S463" s="1">
        <f>IFERROR(IF(Benchmark1[[#This Row],[Comparable '#3 Date Check]]="Pass",Benchmark1[[#This Row],[Comparable '#3 Return]]-Benchmark1[[#This Row],[Benchmark '#1 Return]],"-"),"-")</f>
        <v>4.2528863198071233E-2</v>
      </c>
    </row>
    <row r="464" spans="1:19">
      <c r="A464" s="103">
        <v>43957</v>
      </c>
      <c r="B464" s="104">
        <v>2848.4206645452928</v>
      </c>
      <c r="C464" s="4">
        <f t="shared" si="7"/>
        <v>-7.0020329900535548E-3</v>
      </c>
      <c r="D464" s="1" t="str">
        <f>IF(COUNTIF(Target1[Target Dates],Benchmark1[[#This Row],[Benchmark '#1 Dates]])=1,"Pass","Fail")</f>
        <v>Pass</v>
      </c>
      <c r="E464" s="6">
        <f>IF(Benchmark1[[#This Row],[Target Date Check]]="Pass",INDEX(Target1[Target Price],MATCH(Benchmark1[[#This Row],[Benchmark '#1 Dates]],Target1[Target Dates],0)),"-")</f>
        <v>22.58</v>
      </c>
      <c r="F464" s="22">
        <f>IF(Benchmark1[[#This Row],[Target Date Check]]="Pass",INDEX(Target1[Target Return],MATCH(Benchmark1[[#This Row],[Benchmark '#1 Dates]],Target1[Target Dates],0)),"-")</f>
        <v>-2.0601210721141672E-2</v>
      </c>
      <c r="G464" s="1">
        <f>IFERROR(IF(Benchmark1[[#This Row],[Target Date Check]]="Pass",Benchmark1[[#This Row],[Target Return]]-Benchmark1[[#This Row],[Benchmark '#1 Return]],"-"),"-")</f>
        <v>-1.3599177731088118E-2</v>
      </c>
      <c r="H464" s="1" t="str">
        <f>IF(COUNTIF(Comp1[Comparable '#1 Dates],Benchmark1[[#This Row],[Benchmark '#1 Dates]])=1,"Pass","Fail")</f>
        <v>Pass</v>
      </c>
      <c r="I464" s="6">
        <f>IF(Benchmark1[[#This Row],[Comparable '#1 Date Check]]="Pass",INDEX(Comp1[Comparable '#1 Price],MATCH(Benchmark1[[#This Row],[Benchmark '#1 Dates]],Comp1[Comparable '#1 Dates],0)),"-")</f>
        <v>9.35</v>
      </c>
      <c r="J464" s="22">
        <f>IF(Benchmark1[[#This Row],[Comparable '#1 Date Check]]="Pass",INDEX(Comp1[Comparable '#1 Return],MATCH(Benchmark1[[#This Row],[Benchmark '#1 Dates]],Comp1[Comparable '#1 Dates],0)),"-")</f>
        <v>-2.6386755173194887E-2</v>
      </c>
      <c r="K464" s="1">
        <f>IFERROR(IF(Benchmark1[[#This Row],[Comparable '#1 Date Check]]="Pass",Benchmark1[[#This Row],[Comparable '#1 Return]]-Benchmark1[[#This Row],[Benchmark '#1 Return]],"-"),"-")</f>
        <v>-1.9384722183141332E-2</v>
      </c>
      <c r="L464" s="1" t="str">
        <f>IF(COUNTIF(Comp2[Comparable '#2 Dates],Benchmark1[[#This Row],[Benchmark '#1 Dates]])=1,"Pass","Fail")</f>
        <v>Pass</v>
      </c>
      <c r="M464" s="6">
        <f>IF(Benchmark1[[#This Row],[Comparable '#2 Date Check]]="Pass",INDEX(Comp2[Comparable '#2 Price],MATCH(Benchmark1[[#This Row],[Benchmark '#1 Dates]],Comp2[Comparable '#2 Dates],0)),"-")</f>
        <v>32.75</v>
      </c>
      <c r="N464" s="22">
        <f>IF(Benchmark1[[#This Row],[Comparable '#2 Date Check]]="Pass",INDEX(Comp2[Comparable '#2 Return],MATCH(Benchmark1[[#This Row],[Benchmark '#1 Dates]],Comp2[Comparable '#2 Dates],0)),"-")</f>
        <v>3.732937309403879E-2</v>
      </c>
      <c r="O464" s="1">
        <f>IFERROR(IF(Benchmark1[[#This Row],[Comparable '#2 Date Check]]="Pass",Benchmark1[[#This Row],[Comparable '#2 Return]]-Benchmark1[[#This Row],[Benchmark '#1 Return]],"-"),"-")</f>
        <v>4.4331406084092348E-2</v>
      </c>
      <c r="P464" s="1" t="str">
        <f>IF(COUNTIF(Comp3[Comparable '#3 Dates],Benchmark1[[#This Row],[Benchmark '#1 Dates]])=1,"Pass","Fail")</f>
        <v>Pass</v>
      </c>
      <c r="Q464" s="6">
        <f>IF(Benchmark1[[#This Row],[Comparable '#3 Date Check]]="Pass",INDEX(Comp3[Comparable '#3 Price],MATCH(Benchmark1[[#This Row],[Benchmark '#1 Dates]],Comp3[Comparable '#3 Dates],0)),"-")</f>
        <v>161.86000000000001</v>
      </c>
      <c r="R464" s="22">
        <f>IF(Benchmark1[[#This Row],[Comparable '#3 Date Check]]="Pass",INDEX(Comp3[Comparable '#3 Return],MATCH(Benchmark1[[#This Row],[Benchmark '#1 Dates]],Comp3[Comparable '#3 Dates],0)),"-")</f>
        <v>2.8576954003323749E-2</v>
      </c>
      <c r="S464" s="1">
        <f>IFERROR(IF(Benchmark1[[#This Row],[Comparable '#3 Date Check]]="Pass",Benchmark1[[#This Row],[Comparable '#3 Return]]-Benchmark1[[#This Row],[Benchmark '#1 Return]],"-"),"-")</f>
        <v>3.5578986993377304E-2</v>
      </c>
    </row>
    <row r="465" spans="1:19">
      <c r="A465" s="103">
        <v>43958</v>
      </c>
      <c r="B465" s="104">
        <v>2881.1914485583957</v>
      </c>
      <c r="C465" s="4">
        <f t="shared" si="7"/>
        <v>1.143921812475332E-2</v>
      </c>
      <c r="D465" s="1" t="str">
        <f>IF(COUNTIF(Target1[Target Dates],Benchmark1[[#This Row],[Benchmark '#1 Dates]])=1,"Pass","Fail")</f>
        <v>Pass</v>
      </c>
      <c r="E465" s="6">
        <f>IF(Benchmark1[[#This Row],[Target Date Check]]="Pass",INDEX(Target1[Target Price],MATCH(Benchmark1[[#This Row],[Benchmark '#1 Dates]],Target1[Target Dates],0)),"-")</f>
        <v>22.1</v>
      </c>
      <c r="F465" s="22">
        <f>IF(Benchmark1[[#This Row],[Target Date Check]]="Pass",INDEX(Target1[Target Return],MATCH(Benchmark1[[#This Row],[Benchmark '#1 Dates]],Target1[Target Dates],0)),"-")</f>
        <v>-2.1486950197808649E-2</v>
      </c>
      <c r="G465" s="1">
        <f>IFERROR(IF(Benchmark1[[#This Row],[Target Date Check]]="Pass",Benchmark1[[#This Row],[Target Return]]-Benchmark1[[#This Row],[Benchmark '#1 Return]],"-"),"-")</f>
        <v>-3.2926168322561969E-2</v>
      </c>
      <c r="H465" s="1" t="str">
        <f>IF(COUNTIF(Comp1[Comparable '#1 Dates],Benchmark1[[#This Row],[Benchmark '#1 Dates]])=1,"Pass","Fail")</f>
        <v>Pass</v>
      </c>
      <c r="I465" s="6">
        <f>IF(Benchmark1[[#This Row],[Comparable '#1 Date Check]]="Pass",INDEX(Comp1[Comparable '#1 Price],MATCH(Benchmark1[[#This Row],[Benchmark '#1 Dates]],Comp1[Comparable '#1 Dates],0)),"-")</f>
        <v>8.8000000000000007</v>
      </c>
      <c r="J465" s="22">
        <f>IF(Benchmark1[[#This Row],[Comparable '#1 Date Check]]="Pass",INDEX(Comp1[Comparable '#1 Return],MATCH(Benchmark1[[#This Row],[Benchmark '#1 Dates]],Comp1[Comparable '#1 Dates],0)),"-")</f>
        <v>-6.0624621816434736E-2</v>
      </c>
      <c r="K465" s="1">
        <f>IFERROR(IF(Benchmark1[[#This Row],[Comparable '#1 Date Check]]="Pass",Benchmark1[[#This Row],[Comparable '#1 Return]]-Benchmark1[[#This Row],[Benchmark '#1 Return]],"-"),"-")</f>
        <v>-7.2063839941188063E-2</v>
      </c>
      <c r="L465" s="1" t="str">
        <f>IF(COUNTIF(Comp2[Comparable '#2 Dates],Benchmark1[[#This Row],[Benchmark '#1 Dates]])=1,"Pass","Fail")</f>
        <v>Pass</v>
      </c>
      <c r="M465" s="6">
        <f>IF(Benchmark1[[#This Row],[Comparable '#2 Date Check]]="Pass",INDEX(Comp2[Comparable '#2 Price],MATCH(Benchmark1[[#This Row],[Benchmark '#1 Dates]],Comp2[Comparable '#2 Dates],0)),"-")</f>
        <v>34.24</v>
      </c>
      <c r="N465" s="22">
        <f>IF(Benchmark1[[#This Row],[Comparable '#2 Date Check]]="Pass",INDEX(Comp2[Comparable '#2 Return],MATCH(Benchmark1[[#This Row],[Benchmark '#1 Dates]],Comp2[Comparable '#2 Dates],0)),"-")</f>
        <v>4.4491589192280488E-2</v>
      </c>
      <c r="O465" s="1">
        <f>IFERROR(IF(Benchmark1[[#This Row],[Comparable '#2 Date Check]]="Pass",Benchmark1[[#This Row],[Comparable '#2 Return]]-Benchmark1[[#This Row],[Benchmark '#1 Return]],"-"),"-")</f>
        <v>3.3052371067527168E-2</v>
      </c>
      <c r="P465" s="1" t="str">
        <f>IF(COUNTIF(Comp3[Comparable '#3 Dates],Benchmark1[[#This Row],[Benchmark '#1 Dates]])=1,"Pass","Fail")</f>
        <v>Pass</v>
      </c>
      <c r="Q465" s="6">
        <f>IF(Benchmark1[[#This Row],[Comparable '#3 Date Check]]="Pass",INDEX(Comp3[Comparable '#3 Price],MATCH(Benchmark1[[#This Row],[Benchmark '#1 Dates]],Comp3[Comparable '#3 Dates],0)),"-")</f>
        <v>166.5</v>
      </c>
      <c r="R465" s="22">
        <f>IF(Benchmark1[[#This Row],[Comparable '#3 Date Check]]="Pass",INDEX(Comp3[Comparable '#3 Return],MATCH(Benchmark1[[#This Row],[Benchmark '#1 Dates]],Comp3[Comparable '#3 Dates],0)),"-")</f>
        <v>2.8263545352942589E-2</v>
      </c>
      <c r="S465" s="1">
        <f>IFERROR(IF(Benchmark1[[#This Row],[Comparable '#3 Date Check]]="Pass",Benchmark1[[#This Row],[Comparable '#3 Return]]-Benchmark1[[#This Row],[Benchmark '#1 Return]],"-"),"-")</f>
        <v>1.682432722818927E-2</v>
      </c>
    </row>
    <row r="466" spans="1:19">
      <c r="A466" s="103">
        <v>43959</v>
      </c>
      <c r="B466" s="104">
        <v>2929.8046632366782</v>
      </c>
      <c r="C466" s="4">
        <f t="shared" si="7"/>
        <v>1.6731846954484098E-2</v>
      </c>
      <c r="D466" s="1" t="str">
        <f>IF(COUNTIF(Target1[Target Dates],Benchmark1[[#This Row],[Benchmark '#1 Dates]])=1,"Pass","Fail")</f>
        <v>Pass</v>
      </c>
      <c r="E466" s="6">
        <f>IF(Benchmark1[[#This Row],[Target Date Check]]="Pass",INDEX(Target1[Target Price],MATCH(Benchmark1[[#This Row],[Benchmark '#1 Dates]],Target1[Target Dates],0)),"-")</f>
        <v>22.97</v>
      </c>
      <c r="F466" s="22">
        <f>IF(Benchmark1[[#This Row],[Target Date Check]]="Pass",INDEX(Target1[Target Return],MATCH(Benchmark1[[#This Row],[Benchmark '#1 Dates]],Target1[Target Dates],0)),"-")</f>
        <v>3.8611408177299619E-2</v>
      </c>
      <c r="G466" s="1">
        <f>IFERROR(IF(Benchmark1[[#This Row],[Target Date Check]]="Pass",Benchmark1[[#This Row],[Target Return]]-Benchmark1[[#This Row],[Benchmark '#1 Return]],"-"),"-")</f>
        <v>2.1879561222815522E-2</v>
      </c>
      <c r="H466" s="1" t="str">
        <f>IF(COUNTIF(Comp1[Comparable '#1 Dates],Benchmark1[[#This Row],[Benchmark '#1 Dates]])=1,"Pass","Fail")</f>
        <v>Pass</v>
      </c>
      <c r="I466" s="6">
        <f>IF(Benchmark1[[#This Row],[Comparable '#1 Date Check]]="Pass",INDEX(Comp1[Comparable '#1 Price],MATCH(Benchmark1[[#This Row],[Benchmark '#1 Dates]],Comp1[Comparable '#1 Dates],0)),"-")</f>
        <v>9.11</v>
      </c>
      <c r="J466" s="22">
        <f>IF(Benchmark1[[#This Row],[Comparable '#1 Date Check]]="Pass",INDEX(Comp1[Comparable '#1 Return],MATCH(Benchmark1[[#This Row],[Benchmark '#1 Dates]],Comp1[Comparable '#1 Dates],0)),"-")</f>
        <v>3.46209897877061E-2</v>
      </c>
      <c r="K466" s="1">
        <f>IFERROR(IF(Benchmark1[[#This Row],[Comparable '#1 Date Check]]="Pass",Benchmark1[[#This Row],[Comparable '#1 Return]]-Benchmark1[[#This Row],[Benchmark '#1 Return]],"-"),"-")</f>
        <v>1.7889142833222002E-2</v>
      </c>
      <c r="L466" s="1" t="str">
        <f>IF(COUNTIF(Comp2[Comparable '#2 Dates],Benchmark1[[#This Row],[Benchmark '#1 Dates]])=1,"Pass","Fail")</f>
        <v>Pass</v>
      </c>
      <c r="M466" s="6">
        <f>IF(Benchmark1[[#This Row],[Comparable '#2 Date Check]]="Pass",INDEX(Comp2[Comparable '#2 Price],MATCH(Benchmark1[[#This Row],[Benchmark '#1 Dates]],Comp2[Comparable '#2 Dates],0)),"-")</f>
        <v>34.65</v>
      </c>
      <c r="N466" s="22">
        <f>IF(Benchmark1[[#This Row],[Comparable '#2 Date Check]]="Pass",INDEX(Comp2[Comparable '#2 Return],MATCH(Benchmark1[[#This Row],[Benchmark '#1 Dates]],Comp2[Comparable '#2 Dates],0)),"-")</f>
        <v>1.1903174362370685E-2</v>
      </c>
      <c r="O466" s="1">
        <f>IFERROR(IF(Benchmark1[[#This Row],[Comparable '#2 Date Check]]="Pass",Benchmark1[[#This Row],[Comparable '#2 Return]]-Benchmark1[[#This Row],[Benchmark '#1 Return]],"-"),"-")</f>
        <v>-4.828672592113413E-3</v>
      </c>
      <c r="P466" s="1" t="str">
        <f>IF(COUNTIF(Comp3[Comparable '#3 Dates],Benchmark1[[#This Row],[Benchmark '#1 Dates]])=1,"Pass","Fail")</f>
        <v>Pass</v>
      </c>
      <c r="Q466" s="6">
        <f>IF(Benchmark1[[#This Row],[Comparable '#3 Date Check]]="Pass",INDEX(Comp3[Comparable '#3 Price],MATCH(Benchmark1[[#This Row],[Benchmark '#1 Dates]],Comp3[Comparable '#3 Dates],0)),"-")</f>
        <v>170.57</v>
      </c>
      <c r="R466" s="22">
        <f>IF(Benchmark1[[#This Row],[Comparable '#3 Date Check]]="Pass",INDEX(Comp3[Comparable '#3 Return],MATCH(Benchmark1[[#This Row],[Benchmark '#1 Dates]],Comp3[Comparable '#3 Dates],0)),"-")</f>
        <v>2.4150460232283122E-2</v>
      </c>
      <c r="S466" s="1">
        <f>IFERROR(IF(Benchmark1[[#This Row],[Comparable '#3 Date Check]]="Pass",Benchmark1[[#This Row],[Comparable '#3 Return]]-Benchmark1[[#This Row],[Benchmark '#1 Return]],"-"),"-")</f>
        <v>7.4186132777990244E-3</v>
      </c>
    </row>
    <row r="467" spans="1:19">
      <c r="A467" s="103">
        <v>43962</v>
      </c>
      <c r="B467" s="104">
        <v>2930.3228334762525</v>
      </c>
      <c r="C467" s="4">
        <f t="shared" si="7"/>
        <v>1.7684606391773721E-4</v>
      </c>
      <c r="D467" s="1" t="str">
        <f>IF(COUNTIF(Target1[Target Dates],Benchmark1[[#This Row],[Benchmark '#1 Dates]])=1,"Pass","Fail")</f>
        <v>Pass</v>
      </c>
      <c r="E467" s="6">
        <f>IF(Benchmark1[[#This Row],[Target Date Check]]="Pass",INDEX(Target1[Target Price],MATCH(Benchmark1[[#This Row],[Benchmark '#1 Dates]],Target1[Target Dates],0)),"-")</f>
        <v>23.55</v>
      </c>
      <c r="F467" s="22">
        <f>IF(Benchmark1[[#This Row],[Target Date Check]]="Pass",INDEX(Target1[Target Return],MATCH(Benchmark1[[#This Row],[Benchmark '#1 Dates]],Target1[Target Dates],0)),"-")</f>
        <v>2.4936803761420011E-2</v>
      </c>
      <c r="G467" s="1">
        <f>IFERROR(IF(Benchmark1[[#This Row],[Target Date Check]]="Pass",Benchmark1[[#This Row],[Target Return]]-Benchmark1[[#This Row],[Benchmark '#1 Return]],"-"),"-")</f>
        <v>2.4759957697502274E-2</v>
      </c>
      <c r="H467" s="1" t="str">
        <f>IF(COUNTIF(Comp1[Comparable '#1 Dates],Benchmark1[[#This Row],[Benchmark '#1 Dates]])=1,"Pass","Fail")</f>
        <v>Pass</v>
      </c>
      <c r="I467" s="6">
        <f>IF(Benchmark1[[#This Row],[Comparable '#1 Date Check]]="Pass",INDEX(Comp1[Comparable '#1 Price],MATCH(Benchmark1[[#This Row],[Benchmark '#1 Dates]],Comp1[Comparable '#1 Dates],0)),"-")</f>
        <v>8.5500000000000007</v>
      </c>
      <c r="J467" s="22">
        <f>IF(Benchmark1[[#This Row],[Comparable '#1 Date Check]]="Pass",INDEX(Comp1[Comparable '#1 Return],MATCH(Benchmark1[[#This Row],[Benchmark '#1 Dates]],Comp1[Comparable '#1 Dates],0)),"-")</f>
        <v>-6.3441428323197963E-2</v>
      </c>
      <c r="K467" s="1">
        <f>IFERROR(IF(Benchmark1[[#This Row],[Comparable '#1 Date Check]]="Pass",Benchmark1[[#This Row],[Comparable '#1 Return]]-Benchmark1[[#This Row],[Benchmark '#1 Return]],"-"),"-")</f>
        <v>-6.3618274387115703E-2</v>
      </c>
      <c r="L467" s="1" t="str">
        <f>IF(COUNTIF(Comp2[Comparable '#2 Dates],Benchmark1[[#This Row],[Benchmark '#1 Dates]])=1,"Pass","Fail")</f>
        <v>Pass</v>
      </c>
      <c r="M467" s="6">
        <f>IF(Benchmark1[[#This Row],[Comparable '#2 Date Check]]="Pass",INDEX(Comp2[Comparable '#2 Price],MATCH(Benchmark1[[#This Row],[Benchmark '#1 Dates]],Comp2[Comparable '#2 Dates],0)),"-")</f>
        <v>33.67</v>
      </c>
      <c r="N467" s="22">
        <f>IF(Benchmark1[[#This Row],[Comparable '#2 Date Check]]="Pass",INDEX(Comp2[Comparable '#2 Return],MATCH(Benchmark1[[#This Row],[Benchmark '#1 Dates]],Comp2[Comparable '#2 Dates],0)),"-")</f>
        <v>-2.8690492462929078E-2</v>
      </c>
      <c r="O467" s="1">
        <f>IFERROR(IF(Benchmark1[[#This Row],[Comparable '#2 Date Check]]="Pass",Benchmark1[[#This Row],[Comparable '#2 Return]]-Benchmark1[[#This Row],[Benchmark '#1 Return]],"-"),"-")</f>
        <v>-2.8867338526846816E-2</v>
      </c>
      <c r="P467" s="1" t="str">
        <f>IF(COUNTIF(Comp3[Comparable '#3 Dates],Benchmark1[[#This Row],[Benchmark '#1 Dates]])=1,"Pass","Fail")</f>
        <v>Pass</v>
      </c>
      <c r="Q467" s="6">
        <f>IF(Benchmark1[[#This Row],[Comparable '#3 Date Check]]="Pass",INDEX(Comp3[Comparable '#3 Price],MATCH(Benchmark1[[#This Row],[Benchmark '#1 Dates]],Comp3[Comparable '#3 Dates],0)),"-")</f>
        <v>168.18</v>
      </c>
      <c r="R467" s="22">
        <f>IF(Benchmark1[[#This Row],[Comparable '#3 Date Check]]="Pass",INDEX(Comp3[Comparable '#3 Return],MATCH(Benchmark1[[#This Row],[Benchmark '#1 Dates]],Comp3[Comparable '#3 Dates],0)),"-")</f>
        <v>-1.4110935248029638E-2</v>
      </c>
      <c r="S467" s="1">
        <f>IFERROR(IF(Benchmark1[[#This Row],[Comparable '#3 Date Check]]="Pass",Benchmark1[[#This Row],[Comparable '#3 Return]]-Benchmark1[[#This Row],[Benchmark '#1 Return]],"-"),"-")</f>
        <v>-1.4287781311947375E-2</v>
      </c>
    </row>
    <row r="468" spans="1:19">
      <c r="A468" s="103">
        <v>43963</v>
      </c>
      <c r="B468" s="104">
        <v>2870.1174187835372</v>
      </c>
      <c r="C468" s="4">
        <f t="shared" si="7"/>
        <v>-2.0759657630414412E-2</v>
      </c>
      <c r="D468" s="1" t="str">
        <f>IF(COUNTIF(Target1[Target Dates],Benchmark1[[#This Row],[Benchmark '#1 Dates]])=1,"Pass","Fail")</f>
        <v>Pass</v>
      </c>
      <c r="E468" s="6">
        <f>IF(Benchmark1[[#This Row],[Target Date Check]]="Pass",INDEX(Target1[Target Price],MATCH(Benchmark1[[#This Row],[Benchmark '#1 Dates]],Target1[Target Dates],0)),"-")</f>
        <v>23.41</v>
      </c>
      <c r="F468" s="22">
        <f>IF(Benchmark1[[#This Row],[Target Date Check]]="Pass",INDEX(Target1[Target Return],MATCH(Benchmark1[[#This Row],[Benchmark '#1 Dates]],Target1[Target Dates],0)),"-")</f>
        <v>-5.9625389596073561E-3</v>
      </c>
      <c r="G468" s="1">
        <f>IFERROR(IF(Benchmark1[[#This Row],[Target Date Check]]="Pass",Benchmark1[[#This Row],[Target Return]]-Benchmark1[[#This Row],[Benchmark '#1 Return]],"-"),"-")</f>
        <v>1.4797118670807057E-2</v>
      </c>
      <c r="H468" s="1" t="str">
        <f>IF(COUNTIF(Comp1[Comparable '#1 Dates],Benchmark1[[#This Row],[Benchmark '#1 Dates]])=1,"Pass","Fail")</f>
        <v>Pass</v>
      </c>
      <c r="I468" s="6">
        <f>IF(Benchmark1[[#This Row],[Comparable '#1 Date Check]]="Pass",INDEX(Comp1[Comparable '#1 Price],MATCH(Benchmark1[[#This Row],[Benchmark '#1 Dates]],Comp1[Comparable '#1 Dates],0)),"-")</f>
        <v>8.26</v>
      </c>
      <c r="J468" s="22">
        <f>IF(Benchmark1[[#This Row],[Comparable '#1 Date Check]]="Pass",INDEX(Comp1[Comparable '#1 Return],MATCH(Benchmark1[[#This Row],[Benchmark '#1 Dates]],Comp1[Comparable '#1 Dates],0)),"-")</f>
        <v>-3.4506695415782301E-2</v>
      </c>
      <c r="K468" s="1">
        <f>IFERROR(IF(Benchmark1[[#This Row],[Comparable '#1 Date Check]]="Pass",Benchmark1[[#This Row],[Comparable '#1 Return]]-Benchmark1[[#This Row],[Benchmark '#1 Return]],"-"),"-")</f>
        <v>-1.3747037785367889E-2</v>
      </c>
      <c r="L468" s="1" t="str">
        <f>IF(COUNTIF(Comp2[Comparable '#2 Dates],Benchmark1[[#This Row],[Benchmark '#1 Dates]])=1,"Pass","Fail")</f>
        <v>Pass</v>
      </c>
      <c r="M468" s="6">
        <f>IF(Benchmark1[[#This Row],[Comparable '#2 Date Check]]="Pass",INDEX(Comp2[Comparable '#2 Price],MATCH(Benchmark1[[#This Row],[Benchmark '#1 Dates]],Comp2[Comparable '#2 Dates],0)),"-")</f>
        <v>31.77</v>
      </c>
      <c r="N468" s="22">
        <f>IF(Benchmark1[[#This Row],[Comparable '#2 Date Check]]="Pass",INDEX(Comp2[Comparable '#2 Return],MATCH(Benchmark1[[#This Row],[Benchmark '#1 Dates]],Comp2[Comparable '#2 Dates],0)),"-")</f>
        <v>-5.8084784891558404E-2</v>
      </c>
      <c r="O468" s="1">
        <f>IFERROR(IF(Benchmark1[[#This Row],[Comparable '#2 Date Check]]="Pass",Benchmark1[[#This Row],[Comparable '#2 Return]]-Benchmark1[[#This Row],[Benchmark '#1 Return]],"-"),"-")</f>
        <v>-3.7325127261143995E-2</v>
      </c>
      <c r="P468" s="1" t="str">
        <f>IF(COUNTIF(Comp3[Comparable '#3 Dates],Benchmark1[[#This Row],[Benchmark '#1 Dates]])=1,"Pass","Fail")</f>
        <v>Pass</v>
      </c>
      <c r="Q468" s="6">
        <f>IF(Benchmark1[[#This Row],[Comparable '#3 Date Check]]="Pass",INDEX(Comp3[Comparable '#3 Price],MATCH(Benchmark1[[#This Row],[Benchmark '#1 Dates]],Comp3[Comparable '#3 Dates],0)),"-")</f>
        <v>164.19</v>
      </c>
      <c r="R468" s="22">
        <f>IF(Benchmark1[[#This Row],[Comparable '#3 Date Check]]="Pass",INDEX(Comp3[Comparable '#3 Return],MATCH(Benchmark1[[#This Row],[Benchmark '#1 Dates]],Comp3[Comparable '#3 Dates],0)),"-")</f>
        <v>-2.4010540580815486E-2</v>
      </c>
      <c r="S468" s="1">
        <f>IFERROR(IF(Benchmark1[[#This Row],[Comparable '#3 Date Check]]="Pass",Benchmark1[[#This Row],[Comparable '#3 Return]]-Benchmark1[[#This Row],[Benchmark '#1 Return]],"-"),"-")</f>
        <v>-3.2508829504010739E-3</v>
      </c>
    </row>
    <row r="469" spans="1:19">
      <c r="A469" s="103">
        <v>43964</v>
      </c>
      <c r="B469" s="104">
        <v>2819.9958467765455</v>
      </c>
      <c r="C469" s="4">
        <f t="shared" si="7"/>
        <v>-1.7617529228105958E-2</v>
      </c>
      <c r="D469" s="1" t="str">
        <f>IF(COUNTIF(Target1[Target Dates],Benchmark1[[#This Row],[Benchmark '#1 Dates]])=1,"Pass","Fail")</f>
        <v>Pass</v>
      </c>
      <c r="E469" s="6">
        <f>IF(Benchmark1[[#This Row],[Target Date Check]]="Pass",INDEX(Target1[Target Price],MATCH(Benchmark1[[#This Row],[Benchmark '#1 Dates]],Target1[Target Dates],0)),"-")</f>
        <v>23.41</v>
      </c>
      <c r="F469" s="22">
        <f>IF(Benchmark1[[#This Row],[Target Date Check]]="Pass",INDEX(Target1[Target Return],MATCH(Benchmark1[[#This Row],[Benchmark '#1 Dates]],Target1[Target Dates],0)),"-")</f>
        <v>0</v>
      </c>
      <c r="G469" s="1">
        <f>IFERROR(IF(Benchmark1[[#This Row],[Target Date Check]]="Pass",Benchmark1[[#This Row],[Target Return]]-Benchmark1[[#This Row],[Benchmark '#1 Return]],"-"),"-")</f>
        <v>1.7617529228105958E-2</v>
      </c>
      <c r="H469" s="1" t="str">
        <f>IF(COUNTIF(Comp1[Comparable '#1 Dates],Benchmark1[[#This Row],[Benchmark '#1 Dates]])=1,"Pass","Fail")</f>
        <v>Pass</v>
      </c>
      <c r="I469" s="6">
        <f>IF(Benchmark1[[#This Row],[Comparable '#1 Date Check]]="Pass",INDEX(Comp1[Comparable '#1 Price],MATCH(Benchmark1[[#This Row],[Benchmark '#1 Dates]],Comp1[Comparable '#1 Dates],0)),"-")</f>
        <v>7.67</v>
      </c>
      <c r="J469" s="22">
        <f>IF(Benchmark1[[#This Row],[Comparable '#1 Date Check]]="Pass",INDEX(Comp1[Comparable '#1 Return],MATCH(Benchmark1[[#This Row],[Benchmark '#1 Dates]],Comp1[Comparable '#1 Dates],0)),"-")</f>
        <v>-7.4107972153721849E-2</v>
      </c>
      <c r="K469" s="1">
        <f>IFERROR(IF(Benchmark1[[#This Row],[Comparable '#1 Date Check]]="Pass",Benchmark1[[#This Row],[Comparable '#1 Return]]-Benchmark1[[#This Row],[Benchmark '#1 Return]],"-"),"-")</f>
        <v>-5.6490442925615891E-2</v>
      </c>
      <c r="L469" s="1" t="str">
        <f>IF(COUNTIF(Comp2[Comparable '#2 Dates],Benchmark1[[#This Row],[Benchmark '#1 Dates]])=1,"Pass","Fail")</f>
        <v>Pass</v>
      </c>
      <c r="M469" s="6">
        <f>IF(Benchmark1[[#This Row],[Comparable '#2 Date Check]]="Pass",INDEX(Comp2[Comparable '#2 Price],MATCH(Benchmark1[[#This Row],[Benchmark '#1 Dates]],Comp2[Comparable '#2 Dates],0)),"-")</f>
        <v>31.73</v>
      </c>
      <c r="N469" s="22">
        <f>IF(Benchmark1[[#This Row],[Comparable '#2 Date Check]]="Pass",INDEX(Comp2[Comparable '#2 Return],MATCH(Benchmark1[[#This Row],[Benchmark '#1 Dates]],Comp2[Comparable '#2 Dates],0)),"-")</f>
        <v>-1.2598426863205557E-3</v>
      </c>
      <c r="O469" s="1">
        <f>IFERROR(IF(Benchmark1[[#This Row],[Comparable '#2 Date Check]]="Pass",Benchmark1[[#This Row],[Comparable '#2 Return]]-Benchmark1[[#This Row],[Benchmark '#1 Return]],"-"),"-")</f>
        <v>1.6357686541785401E-2</v>
      </c>
      <c r="P469" s="1" t="str">
        <f>IF(COUNTIF(Comp3[Comparable '#3 Dates],Benchmark1[[#This Row],[Benchmark '#1 Dates]])=1,"Pass","Fail")</f>
        <v>Pass</v>
      </c>
      <c r="Q469" s="6">
        <f>IF(Benchmark1[[#This Row],[Comparable '#3 Date Check]]="Pass",INDEX(Comp3[Comparable '#3 Price],MATCH(Benchmark1[[#This Row],[Benchmark '#1 Dates]],Comp3[Comparable '#3 Dates],0)),"-")</f>
        <v>163.88</v>
      </c>
      <c r="R469" s="22">
        <f>IF(Benchmark1[[#This Row],[Comparable '#3 Date Check]]="Pass",INDEX(Comp3[Comparable '#3 Return],MATCH(Benchmark1[[#This Row],[Benchmark '#1 Dates]],Comp3[Comparable '#3 Dates],0)),"-")</f>
        <v>-1.8898411452662025E-3</v>
      </c>
      <c r="S469" s="1">
        <f>IFERROR(IF(Benchmark1[[#This Row],[Comparable '#3 Date Check]]="Pass",Benchmark1[[#This Row],[Comparable '#3 Return]]-Benchmark1[[#This Row],[Benchmark '#1 Return]],"-"),"-")</f>
        <v>1.5727688082839756E-2</v>
      </c>
    </row>
    <row r="470" spans="1:19">
      <c r="A470" s="103">
        <v>43965</v>
      </c>
      <c r="B470" s="104">
        <v>2852.5041855890427</v>
      </c>
      <c r="C470" s="4">
        <f t="shared" si="7"/>
        <v>1.1461857918947426E-2</v>
      </c>
      <c r="D470" s="1" t="str">
        <f>IF(COUNTIF(Target1[Target Dates],Benchmark1[[#This Row],[Benchmark '#1 Dates]])=1,"Pass","Fail")</f>
        <v>Pass</v>
      </c>
      <c r="E470" s="6">
        <f>IF(Benchmark1[[#This Row],[Target Date Check]]="Pass",INDEX(Target1[Target Price],MATCH(Benchmark1[[#This Row],[Benchmark '#1 Dates]],Target1[Target Dates],0)),"-")</f>
        <v>22.71</v>
      </c>
      <c r="F470" s="22">
        <f>IF(Benchmark1[[#This Row],[Target Date Check]]="Pass",INDEX(Target1[Target Return],MATCH(Benchmark1[[#This Row],[Benchmark '#1 Dates]],Target1[Target Dates],0)),"-")</f>
        <v>-3.0357925385352234E-2</v>
      </c>
      <c r="G470" s="1">
        <f>IFERROR(IF(Benchmark1[[#This Row],[Target Date Check]]="Pass",Benchmark1[[#This Row],[Target Return]]-Benchmark1[[#This Row],[Benchmark '#1 Return]],"-"),"-")</f>
        <v>-4.1819783304299661E-2</v>
      </c>
      <c r="H470" s="1" t="str">
        <f>IF(COUNTIF(Comp1[Comparable '#1 Dates],Benchmark1[[#This Row],[Benchmark '#1 Dates]])=1,"Pass","Fail")</f>
        <v>Pass</v>
      </c>
      <c r="I470" s="6">
        <f>IF(Benchmark1[[#This Row],[Comparable '#1 Date Check]]="Pass",INDEX(Comp1[Comparable '#1 Price],MATCH(Benchmark1[[#This Row],[Benchmark '#1 Dates]],Comp1[Comparable '#1 Dates],0)),"-")</f>
        <v>8.33</v>
      </c>
      <c r="J470" s="22">
        <f>IF(Benchmark1[[#This Row],[Comparable '#1 Date Check]]="Pass",INDEX(Comp1[Comparable '#1 Return],MATCH(Benchmark1[[#This Row],[Benchmark '#1 Dates]],Comp1[Comparable '#1 Dates],0)),"-")</f>
        <v>8.2546840799586574E-2</v>
      </c>
      <c r="K470" s="1">
        <f>IFERROR(IF(Benchmark1[[#This Row],[Comparable '#1 Date Check]]="Pass",Benchmark1[[#This Row],[Comparable '#1 Return]]-Benchmark1[[#This Row],[Benchmark '#1 Return]],"-"),"-")</f>
        <v>7.108498288063915E-2</v>
      </c>
      <c r="L470" s="1" t="str">
        <f>IF(COUNTIF(Comp2[Comparable '#2 Dates],Benchmark1[[#This Row],[Benchmark '#1 Dates]])=1,"Pass","Fail")</f>
        <v>Pass</v>
      </c>
      <c r="M470" s="6">
        <f>IF(Benchmark1[[#This Row],[Comparable '#2 Date Check]]="Pass",INDEX(Comp2[Comparable '#2 Price],MATCH(Benchmark1[[#This Row],[Benchmark '#1 Dates]],Comp2[Comparable '#2 Dates],0)),"-")</f>
        <v>31.88</v>
      </c>
      <c r="N470" s="22">
        <f>IF(Benchmark1[[#This Row],[Comparable '#2 Date Check]]="Pass",INDEX(Comp2[Comparable '#2 Return],MATCH(Benchmark1[[#This Row],[Benchmark '#1 Dates]],Comp2[Comparable '#2 Dates],0)),"-")</f>
        <v>4.716248326910099E-3</v>
      </c>
      <c r="O470" s="1">
        <f>IFERROR(IF(Benchmark1[[#This Row],[Comparable '#2 Date Check]]="Pass",Benchmark1[[#This Row],[Comparable '#2 Return]]-Benchmark1[[#This Row],[Benchmark '#1 Return]],"-"),"-")</f>
        <v>-6.7456095920373268E-3</v>
      </c>
      <c r="P470" s="1" t="str">
        <f>IF(COUNTIF(Comp3[Comparable '#3 Dates],Benchmark1[[#This Row],[Benchmark '#1 Dates]])=1,"Pass","Fail")</f>
        <v>Pass</v>
      </c>
      <c r="Q470" s="6">
        <f>IF(Benchmark1[[#This Row],[Comparable '#3 Date Check]]="Pass",INDEX(Comp3[Comparable '#3 Price],MATCH(Benchmark1[[#This Row],[Benchmark '#1 Dates]],Comp3[Comparable '#3 Dates],0)),"-")</f>
        <v>162.91999999999999</v>
      </c>
      <c r="R470" s="22">
        <f>IF(Benchmark1[[#This Row],[Comparable '#3 Date Check]]="Pass",INDEX(Comp3[Comparable '#3 Return],MATCH(Benchmark1[[#This Row],[Benchmark '#1 Dates]],Comp3[Comparable '#3 Dates],0)),"-")</f>
        <v>-5.8751698984585866E-3</v>
      </c>
      <c r="S470" s="1">
        <f>IFERROR(IF(Benchmark1[[#This Row],[Comparable '#3 Date Check]]="Pass",Benchmark1[[#This Row],[Comparable '#3 Return]]-Benchmark1[[#This Row],[Benchmark '#1 Return]],"-"),"-")</f>
        <v>-1.7337027817406012E-2</v>
      </c>
    </row>
    <row r="471" spans="1:19">
      <c r="A471" s="103">
        <v>43966</v>
      </c>
      <c r="B471" s="104">
        <v>2863.6974992882238</v>
      </c>
      <c r="C471" s="4">
        <f t="shared" si="7"/>
        <v>3.9163516695130537E-3</v>
      </c>
      <c r="D471" s="1" t="str">
        <f>IF(COUNTIF(Target1[Target Dates],Benchmark1[[#This Row],[Benchmark '#1 Dates]])=1,"Pass","Fail")</f>
        <v>Pass</v>
      </c>
      <c r="E471" s="6">
        <f>IF(Benchmark1[[#This Row],[Target Date Check]]="Pass",INDEX(Target1[Target Price],MATCH(Benchmark1[[#This Row],[Benchmark '#1 Dates]],Target1[Target Dates],0)),"-")</f>
        <v>23.73</v>
      </c>
      <c r="F471" s="22">
        <f>IF(Benchmark1[[#This Row],[Target Date Check]]="Pass",INDEX(Target1[Target Return],MATCH(Benchmark1[[#This Row],[Benchmark '#1 Dates]],Target1[Target Dates],0)),"-")</f>
        <v>4.3934714330205113E-2</v>
      </c>
      <c r="G471" s="1">
        <f>IFERROR(IF(Benchmark1[[#This Row],[Target Date Check]]="Pass",Benchmark1[[#This Row],[Target Return]]-Benchmark1[[#This Row],[Benchmark '#1 Return]],"-"),"-")</f>
        <v>4.0018362660692058E-2</v>
      </c>
      <c r="H471" s="1" t="str">
        <f>IF(COUNTIF(Comp1[Comparable '#1 Dates],Benchmark1[[#This Row],[Benchmark '#1 Dates]])=1,"Pass","Fail")</f>
        <v>Pass</v>
      </c>
      <c r="I471" s="6">
        <f>IF(Benchmark1[[#This Row],[Comparable '#1 Date Check]]="Pass",INDEX(Comp1[Comparable '#1 Price],MATCH(Benchmark1[[#This Row],[Benchmark '#1 Dates]],Comp1[Comparable '#1 Dates],0)),"-")</f>
        <v>8.51</v>
      </c>
      <c r="J471" s="22">
        <f>IF(Benchmark1[[#This Row],[Comparable '#1 Date Check]]="Pass",INDEX(Comp1[Comparable '#1 Return],MATCH(Benchmark1[[#This Row],[Benchmark '#1 Dates]],Comp1[Comparable '#1 Dates],0)),"-")</f>
        <v>2.1378486406531495E-2</v>
      </c>
      <c r="K471" s="1">
        <f>IFERROR(IF(Benchmark1[[#This Row],[Comparable '#1 Date Check]]="Pass",Benchmark1[[#This Row],[Comparable '#1 Return]]-Benchmark1[[#This Row],[Benchmark '#1 Return]],"-"),"-")</f>
        <v>1.746213473701844E-2</v>
      </c>
      <c r="L471" s="1" t="str">
        <f>IF(COUNTIF(Comp2[Comparable '#2 Dates],Benchmark1[[#This Row],[Benchmark '#1 Dates]])=1,"Pass","Fail")</f>
        <v>Pass</v>
      </c>
      <c r="M471" s="6">
        <f>IF(Benchmark1[[#This Row],[Comparable '#2 Date Check]]="Pass",INDEX(Comp2[Comparable '#2 Price],MATCH(Benchmark1[[#This Row],[Benchmark '#1 Dates]],Comp2[Comparable '#2 Dates],0)),"-")</f>
        <v>31.91</v>
      </c>
      <c r="N471" s="22">
        <f>IF(Benchmark1[[#This Row],[Comparable '#2 Date Check]]="Pass",INDEX(Comp2[Comparable '#2 Return],MATCH(Benchmark1[[#This Row],[Benchmark '#1 Dates]],Comp2[Comparable '#2 Dates],0)),"-")</f>
        <v>9.4058636813787238E-4</v>
      </c>
      <c r="O471" s="1">
        <f>IFERROR(IF(Benchmark1[[#This Row],[Comparable '#2 Date Check]]="Pass",Benchmark1[[#This Row],[Comparable '#2 Return]]-Benchmark1[[#This Row],[Benchmark '#1 Return]],"-"),"-")</f>
        <v>-2.9757653013751813E-3</v>
      </c>
      <c r="P471" s="1" t="str">
        <f>IF(COUNTIF(Comp3[Comparable '#3 Dates],Benchmark1[[#This Row],[Benchmark '#1 Dates]])=1,"Pass","Fail")</f>
        <v>Pass</v>
      </c>
      <c r="Q471" s="6">
        <f>IF(Benchmark1[[#This Row],[Comparable '#3 Date Check]]="Pass",INDEX(Comp3[Comparable '#3 Price],MATCH(Benchmark1[[#This Row],[Benchmark '#1 Dates]],Comp3[Comparable '#3 Dates],0)),"-")</f>
        <v>164.64</v>
      </c>
      <c r="R471" s="22">
        <f>IF(Benchmark1[[#This Row],[Comparable '#3 Date Check]]="Pass",INDEX(Comp3[Comparable '#3 Return],MATCH(Benchmark1[[#This Row],[Benchmark '#1 Dates]],Comp3[Comparable '#3 Dates],0)),"-")</f>
        <v>1.0501989305527652E-2</v>
      </c>
      <c r="S471" s="1">
        <f>IFERROR(IF(Benchmark1[[#This Row],[Comparable '#3 Date Check]]="Pass",Benchmark1[[#This Row],[Comparable '#3 Return]]-Benchmark1[[#This Row],[Benchmark '#1 Return]],"-"),"-")</f>
        <v>6.5856376360145978E-3</v>
      </c>
    </row>
    <row r="472" spans="1:19">
      <c r="A472" s="103">
        <v>43969</v>
      </c>
      <c r="B472" s="104">
        <v>2953.90834588503</v>
      </c>
      <c r="C472" s="4">
        <f t="shared" si="7"/>
        <v>3.1015534743870591E-2</v>
      </c>
      <c r="D472" s="1" t="str">
        <f>IF(COUNTIF(Target1[Target Dates],Benchmark1[[#This Row],[Benchmark '#1 Dates]])=1,"Pass","Fail")</f>
        <v>Pass</v>
      </c>
      <c r="E472" s="6">
        <f>IF(Benchmark1[[#This Row],[Target Date Check]]="Pass",INDEX(Target1[Target Price],MATCH(Benchmark1[[#This Row],[Benchmark '#1 Dates]],Target1[Target Dates],0)),"-")</f>
        <v>23.38</v>
      </c>
      <c r="F472" s="22">
        <f>IF(Benchmark1[[#This Row],[Target Date Check]]="Pass",INDEX(Target1[Target Return],MATCH(Benchmark1[[#This Row],[Benchmark '#1 Dates]],Target1[Target Dates],0)),"-")</f>
        <v>-1.4859114403749941E-2</v>
      </c>
      <c r="G472" s="1">
        <f>IFERROR(IF(Benchmark1[[#This Row],[Target Date Check]]="Pass",Benchmark1[[#This Row],[Target Return]]-Benchmark1[[#This Row],[Benchmark '#1 Return]],"-"),"-")</f>
        <v>-4.587464914762053E-2</v>
      </c>
      <c r="H472" s="1" t="str">
        <f>IF(COUNTIF(Comp1[Comparable '#1 Dates],Benchmark1[[#This Row],[Benchmark '#1 Dates]])=1,"Pass","Fail")</f>
        <v>Pass</v>
      </c>
      <c r="I472" s="6">
        <f>IF(Benchmark1[[#This Row],[Comparable '#1 Date Check]]="Pass",INDEX(Comp1[Comparable '#1 Price],MATCH(Benchmark1[[#This Row],[Benchmark '#1 Dates]],Comp1[Comparable '#1 Dates],0)),"-")</f>
        <v>8.9700000000000006</v>
      </c>
      <c r="J472" s="22">
        <f>IF(Benchmark1[[#This Row],[Comparable '#1 Date Check]]="Pass",INDEX(Comp1[Comparable '#1 Return],MATCH(Benchmark1[[#This Row],[Benchmark '#1 Dates]],Comp1[Comparable '#1 Dates],0)),"-")</f>
        <v>5.264373348542209E-2</v>
      </c>
      <c r="K472" s="1">
        <f>IFERROR(IF(Benchmark1[[#This Row],[Comparable '#1 Date Check]]="Pass",Benchmark1[[#This Row],[Comparable '#1 Return]]-Benchmark1[[#This Row],[Benchmark '#1 Return]],"-"),"-")</f>
        <v>2.1628198741551499E-2</v>
      </c>
      <c r="L472" s="1" t="str">
        <f>IF(COUNTIF(Comp2[Comparable '#2 Dates],Benchmark1[[#This Row],[Benchmark '#1 Dates]])=1,"Pass","Fail")</f>
        <v>Pass</v>
      </c>
      <c r="M472" s="6">
        <f>IF(Benchmark1[[#This Row],[Comparable '#2 Date Check]]="Pass",INDEX(Comp2[Comparable '#2 Price],MATCH(Benchmark1[[#This Row],[Benchmark '#1 Dates]],Comp2[Comparable '#2 Dates],0)),"-")</f>
        <v>32.93</v>
      </c>
      <c r="N472" s="22">
        <f>IF(Benchmark1[[#This Row],[Comparable '#2 Date Check]]="Pass",INDEX(Comp2[Comparable '#2 Return],MATCH(Benchmark1[[#This Row],[Benchmark '#1 Dates]],Comp2[Comparable '#2 Dates],0)),"-")</f>
        <v>3.1464656098120825E-2</v>
      </c>
      <c r="O472" s="1">
        <f>IFERROR(IF(Benchmark1[[#This Row],[Comparable '#2 Date Check]]="Pass",Benchmark1[[#This Row],[Comparable '#2 Return]]-Benchmark1[[#This Row],[Benchmark '#1 Return]],"-"),"-")</f>
        <v>4.4912135425023356E-4</v>
      </c>
      <c r="P472" s="1" t="str">
        <f>IF(COUNTIF(Comp3[Comparable '#3 Dates],Benchmark1[[#This Row],[Benchmark '#1 Dates]])=1,"Pass","Fail")</f>
        <v>Pass</v>
      </c>
      <c r="Q472" s="6">
        <f>IF(Benchmark1[[#This Row],[Comparable '#3 Date Check]]="Pass",INDEX(Comp3[Comparable '#3 Price],MATCH(Benchmark1[[#This Row],[Benchmark '#1 Dates]],Comp3[Comparable '#3 Dates],0)),"-")</f>
        <v>169.46</v>
      </c>
      <c r="R472" s="22">
        <f>IF(Benchmark1[[#This Row],[Comparable '#3 Date Check]]="Pass",INDEX(Comp3[Comparable '#3 Return],MATCH(Benchmark1[[#This Row],[Benchmark '#1 Dates]],Comp3[Comparable '#3 Dates],0)),"-")</f>
        <v>2.8855638684578654E-2</v>
      </c>
      <c r="S472" s="1">
        <f>IFERROR(IF(Benchmark1[[#This Row],[Comparable '#3 Date Check]]="Pass",Benchmark1[[#This Row],[Comparable '#3 Return]]-Benchmark1[[#This Row],[Benchmark '#1 Return]],"-"),"-")</f>
        <v>-2.1598960592919374E-3</v>
      </c>
    </row>
    <row r="473" spans="1:19">
      <c r="A473" s="103">
        <v>43970</v>
      </c>
      <c r="B473" s="104">
        <v>2922.9396852349068</v>
      </c>
      <c r="C473" s="4">
        <f t="shared" si="7"/>
        <v>-1.0539305132379021E-2</v>
      </c>
      <c r="D473" s="1" t="str">
        <f>IF(COUNTIF(Target1[Target Dates],Benchmark1[[#This Row],[Benchmark '#1 Dates]])=1,"Pass","Fail")</f>
        <v>Pass</v>
      </c>
      <c r="E473" s="6">
        <f>IF(Benchmark1[[#This Row],[Target Date Check]]="Pass",INDEX(Target1[Target Price],MATCH(Benchmark1[[#This Row],[Benchmark '#1 Dates]],Target1[Target Dates],0)),"-")</f>
        <v>23</v>
      </c>
      <c r="F473" s="22">
        <f>IF(Benchmark1[[#This Row],[Target Date Check]]="Pass",INDEX(Target1[Target Return],MATCH(Benchmark1[[#This Row],[Benchmark '#1 Dates]],Target1[Target Dates],0)),"-")</f>
        <v>-1.6386740114772633E-2</v>
      </c>
      <c r="G473" s="1">
        <f>IFERROR(IF(Benchmark1[[#This Row],[Target Date Check]]="Pass",Benchmark1[[#This Row],[Target Return]]-Benchmark1[[#This Row],[Benchmark '#1 Return]],"-"),"-")</f>
        <v>-5.8474349823936112E-3</v>
      </c>
      <c r="H473" s="1" t="str">
        <f>IF(COUNTIF(Comp1[Comparable '#1 Dates],Benchmark1[[#This Row],[Benchmark '#1 Dates]])=1,"Pass","Fail")</f>
        <v>Pass</v>
      </c>
      <c r="I473" s="6">
        <f>IF(Benchmark1[[#This Row],[Comparable '#1 Date Check]]="Pass",INDEX(Comp1[Comparable '#1 Price],MATCH(Benchmark1[[#This Row],[Benchmark '#1 Dates]],Comp1[Comparable '#1 Dates],0)),"-")</f>
        <v>8.7200000000000006</v>
      </c>
      <c r="J473" s="22">
        <f>IF(Benchmark1[[#This Row],[Comparable '#1 Date Check]]="Pass",INDEX(Comp1[Comparable '#1 Return],MATCH(Benchmark1[[#This Row],[Benchmark '#1 Dates]],Comp1[Comparable '#1 Dates],0)),"-")</f>
        <v>-2.8266438149816431E-2</v>
      </c>
      <c r="K473" s="1">
        <f>IFERROR(IF(Benchmark1[[#This Row],[Comparable '#1 Date Check]]="Pass",Benchmark1[[#This Row],[Comparable '#1 Return]]-Benchmark1[[#This Row],[Benchmark '#1 Return]],"-"),"-")</f>
        <v>-1.7727133017437412E-2</v>
      </c>
      <c r="L473" s="1" t="str">
        <f>IF(COUNTIF(Comp2[Comparable '#2 Dates],Benchmark1[[#This Row],[Benchmark '#1 Dates]])=1,"Pass","Fail")</f>
        <v>Pass</v>
      </c>
      <c r="M473" s="6">
        <f>IF(Benchmark1[[#This Row],[Comparable '#2 Date Check]]="Pass",INDEX(Comp2[Comparable '#2 Price],MATCH(Benchmark1[[#This Row],[Benchmark '#1 Dates]],Comp2[Comparable '#2 Dates],0)),"-")</f>
        <v>31.92</v>
      </c>
      <c r="N473" s="22">
        <f>IF(Benchmark1[[#This Row],[Comparable '#2 Date Check]]="Pass",INDEX(Comp2[Comparable '#2 Return],MATCH(Benchmark1[[#This Row],[Benchmark '#1 Dates]],Comp2[Comparable '#2 Dates],0)),"-")</f>
        <v>-3.1151323806664868E-2</v>
      </c>
      <c r="O473" s="1">
        <f>IFERROR(IF(Benchmark1[[#This Row],[Comparable '#2 Date Check]]="Pass",Benchmark1[[#This Row],[Comparable '#2 Return]]-Benchmark1[[#This Row],[Benchmark '#1 Return]],"-"),"-")</f>
        <v>-2.0612018674285845E-2</v>
      </c>
      <c r="P473" s="1" t="str">
        <f>IF(COUNTIF(Comp3[Comparable '#3 Dates],Benchmark1[[#This Row],[Benchmark '#1 Dates]])=1,"Pass","Fail")</f>
        <v>Pass</v>
      </c>
      <c r="Q473" s="6">
        <f>IF(Benchmark1[[#This Row],[Comparable '#3 Date Check]]="Pass",INDEX(Comp3[Comparable '#3 Price],MATCH(Benchmark1[[#This Row],[Benchmark '#1 Dates]],Comp3[Comparable '#3 Dates],0)),"-")</f>
        <v>166.77</v>
      </c>
      <c r="R473" s="22">
        <f>IF(Benchmark1[[#This Row],[Comparable '#3 Date Check]]="Pass",INDEX(Comp3[Comparable '#3 Return],MATCH(Benchmark1[[#This Row],[Benchmark '#1 Dates]],Comp3[Comparable '#3 Dates],0)),"-")</f>
        <v>-1.6001293136830182E-2</v>
      </c>
      <c r="S473" s="1">
        <f>IFERROR(IF(Benchmark1[[#This Row],[Comparable '#3 Date Check]]="Pass",Benchmark1[[#This Row],[Comparable '#3 Return]]-Benchmark1[[#This Row],[Benchmark '#1 Return]],"-"),"-")</f>
        <v>-5.4619880044511609E-3</v>
      </c>
    </row>
    <row r="474" spans="1:19">
      <c r="A474" s="103">
        <v>43971</v>
      </c>
      <c r="B474" s="104">
        <v>2971.6121778342845</v>
      </c>
      <c r="C474" s="4">
        <f t="shared" si="7"/>
        <v>1.6514774985689682E-2</v>
      </c>
      <c r="D474" s="1" t="str">
        <f>IF(COUNTIF(Target1[Target Dates],Benchmark1[[#This Row],[Benchmark '#1 Dates]])=1,"Pass","Fail")</f>
        <v>Pass</v>
      </c>
      <c r="E474" s="6">
        <f>IF(Benchmark1[[#This Row],[Target Date Check]]="Pass",INDEX(Target1[Target Price],MATCH(Benchmark1[[#This Row],[Benchmark '#1 Dates]],Target1[Target Dates],0)),"-")</f>
        <v>23.59</v>
      </c>
      <c r="F474" s="22">
        <f>IF(Benchmark1[[#This Row],[Target Date Check]]="Pass",INDEX(Target1[Target Return],MATCH(Benchmark1[[#This Row],[Benchmark '#1 Dates]],Target1[Target Dates],0)),"-")</f>
        <v>2.5328677490434021E-2</v>
      </c>
      <c r="G474" s="1">
        <f>IFERROR(IF(Benchmark1[[#This Row],[Target Date Check]]="Pass",Benchmark1[[#This Row],[Target Return]]-Benchmark1[[#This Row],[Benchmark '#1 Return]],"-"),"-")</f>
        <v>8.8139025047443385E-3</v>
      </c>
      <c r="H474" s="1" t="str">
        <f>IF(COUNTIF(Comp1[Comparable '#1 Dates],Benchmark1[[#This Row],[Benchmark '#1 Dates]])=1,"Pass","Fail")</f>
        <v>Pass</v>
      </c>
      <c r="I474" s="6">
        <f>IF(Benchmark1[[#This Row],[Comparable '#1 Date Check]]="Pass",INDEX(Comp1[Comparable '#1 Price],MATCH(Benchmark1[[#This Row],[Benchmark '#1 Dates]],Comp1[Comparable '#1 Dates],0)),"-")</f>
        <v>8.93</v>
      </c>
      <c r="J474" s="22">
        <f>IF(Benchmark1[[#This Row],[Comparable '#1 Date Check]]="Pass",INDEX(Comp1[Comparable '#1 Return],MATCH(Benchmark1[[#This Row],[Benchmark '#1 Dates]],Comp1[Comparable '#1 Dates],0)),"-")</f>
        <v>2.379715696751936E-2</v>
      </c>
      <c r="K474" s="1">
        <f>IFERROR(IF(Benchmark1[[#This Row],[Comparable '#1 Date Check]]="Pass",Benchmark1[[#This Row],[Comparable '#1 Return]]-Benchmark1[[#This Row],[Benchmark '#1 Return]],"-"),"-")</f>
        <v>7.2823819818296776E-3</v>
      </c>
      <c r="L474" s="1" t="str">
        <f>IF(COUNTIF(Comp2[Comparable '#2 Dates],Benchmark1[[#This Row],[Benchmark '#1 Dates]])=1,"Pass","Fail")</f>
        <v>Pass</v>
      </c>
      <c r="M474" s="6">
        <f>IF(Benchmark1[[#This Row],[Comparable '#2 Date Check]]="Pass",INDEX(Comp2[Comparable '#2 Price],MATCH(Benchmark1[[#This Row],[Benchmark '#1 Dates]],Comp2[Comparable '#2 Dates],0)),"-")</f>
        <v>32.659999999999997</v>
      </c>
      <c r="N474" s="22">
        <f>IF(Benchmark1[[#This Row],[Comparable '#2 Date Check]]="Pass",INDEX(Comp2[Comparable '#2 Return],MATCH(Benchmark1[[#This Row],[Benchmark '#1 Dates]],Comp2[Comparable '#2 Dates],0)),"-")</f>
        <v>2.2918314960710968E-2</v>
      </c>
      <c r="O474" s="1">
        <f>IFERROR(IF(Benchmark1[[#This Row],[Comparable '#2 Date Check]]="Pass",Benchmark1[[#This Row],[Comparable '#2 Return]]-Benchmark1[[#This Row],[Benchmark '#1 Return]],"-"),"-")</f>
        <v>6.4035399750212857E-3</v>
      </c>
      <c r="P474" s="1" t="str">
        <f>IF(COUNTIF(Comp3[Comparable '#3 Dates],Benchmark1[[#This Row],[Benchmark '#1 Dates]])=1,"Pass","Fail")</f>
        <v>Pass</v>
      </c>
      <c r="Q474" s="6">
        <f>IF(Benchmark1[[#This Row],[Comparable '#3 Date Check]]="Pass",INDEX(Comp3[Comparable '#3 Price],MATCH(Benchmark1[[#This Row],[Benchmark '#1 Dates]],Comp3[Comparable '#3 Dates],0)),"-")</f>
        <v>168.14</v>
      </c>
      <c r="R474" s="22">
        <f>IF(Benchmark1[[#This Row],[Comparable '#3 Date Check]]="Pass",INDEX(Comp3[Comparable '#3 Return],MATCH(Benchmark1[[#This Row],[Benchmark '#1 Dates]],Comp3[Comparable '#3 Dates],0)),"-")</f>
        <v>8.1813480736629487E-3</v>
      </c>
      <c r="S474" s="1">
        <f>IFERROR(IF(Benchmark1[[#This Row],[Comparable '#3 Date Check]]="Pass",Benchmark1[[#This Row],[Comparable '#3 Return]]-Benchmark1[[#This Row],[Benchmark '#1 Return]],"-"),"-")</f>
        <v>-8.3334269120267333E-3</v>
      </c>
    </row>
    <row r="475" spans="1:19">
      <c r="A475" s="103">
        <v>43972</v>
      </c>
      <c r="B475" s="104">
        <v>2948.5055676211173</v>
      </c>
      <c r="C475" s="4">
        <f t="shared" si="7"/>
        <v>-7.8061716143263621E-3</v>
      </c>
      <c r="D475" s="1" t="str">
        <f>IF(COUNTIF(Target1[Target Dates],Benchmark1[[#This Row],[Benchmark '#1 Dates]])=1,"Pass","Fail")</f>
        <v>Pass</v>
      </c>
      <c r="E475" s="6">
        <f>IF(Benchmark1[[#This Row],[Target Date Check]]="Pass",INDEX(Target1[Target Price],MATCH(Benchmark1[[#This Row],[Benchmark '#1 Dates]],Target1[Target Dates],0)),"-")</f>
        <v>24.05</v>
      </c>
      <c r="F475" s="22">
        <f>IF(Benchmark1[[#This Row],[Target Date Check]]="Pass",INDEX(Target1[Target Return],MATCH(Benchmark1[[#This Row],[Benchmark '#1 Dates]],Target1[Target Dates],0)),"-")</f>
        <v>1.9312103132186533E-2</v>
      </c>
      <c r="G475" s="1">
        <f>IFERROR(IF(Benchmark1[[#This Row],[Target Date Check]]="Pass",Benchmark1[[#This Row],[Target Return]]-Benchmark1[[#This Row],[Benchmark '#1 Return]],"-"),"-")</f>
        <v>2.7118274746512894E-2</v>
      </c>
      <c r="H475" s="1" t="str">
        <f>IF(COUNTIF(Comp1[Comparable '#1 Dates],Benchmark1[[#This Row],[Benchmark '#1 Dates]])=1,"Pass","Fail")</f>
        <v>Pass</v>
      </c>
      <c r="I475" s="6">
        <f>IF(Benchmark1[[#This Row],[Comparable '#1 Date Check]]="Pass",INDEX(Comp1[Comparable '#1 Price],MATCH(Benchmark1[[#This Row],[Benchmark '#1 Dates]],Comp1[Comparable '#1 Dates],0)),"-")</f>
        <v>9.1300000000000008</v>
      </c>
      <c r="J475" s="22">
        <f>IF(Benchmark1[[#This Row],[Comparable '#1 Date Check]]="Pass",INDEX(Comp1[Comparable '#1 Return],MATCH(Benchmark1[[#This Row],[Benchmark '#1 Dates]],Comp1[Comparable '#1 Dates],0)),"-")</f>
        <v>2.2149299718469496E-2</v>
      </c>
      <c r="K475" s="1">
        <f>IFERROR(IF(Benchmark1[[#This Row],[Comparable '#1 Date Check]]="Pass",Benchmark1[[#This Row],[Comparable '#1 Return]]-Benchmark1[[#This Row],[Benchmark '#1 Return]],"-"),"-")</f>
        <v>2.9955471332795858E-2</v>
      </c>
      <c r="L475" s="1" t="str">
        <f>IF(COUNTIF(Comp2[Comparable '#2 Dates],Benchmark1[[#This Row],[Benchmark '#1 Dates]])=1,"Pass","Fail")</f>
        <v>Pass</v>
      </c>
      <c r="M475" s="6">
        <f>IF(Benchmark1[[#This Row],[Comparable '#2 Date Check]]="Pass",INDEX(Comp2[Comparable '#2 Price],MATCH(Benchmark1[[#This Row],[Benchmark '#1 Dates]],Comp2[Comparable '#2 Dates],0)),"-")</f>
        <v>32.72</v>
      </c>
      <c r="N475" s="22">
        <f>IF(Benchmark1[[#This Row],[Comparable '#2 Date Check]]="Pass",INDEX(Comp2[Comparable '#2 Return],MATCH(Benchmark1[[#This Row],[Benchmark '#1 Dates]],Comp2[Comparable '#2 Dates],0)),"-")</f>
        <v>1.8354241922274041E-3</v>
      </c>
      <c r="O475" s="1">
        <f>IFERROR(IF(Benchmark1[[#This Row],[Comparable '#2 Date Check]]="Pass",Benchmark1[[#This Row],[Comparable '#2 Return]]-Benchmark1[[#This Row],[Benchmark '#1 Return]],"-"),"-")</f>
        <v>9.6415958065537658E-3</v>
      </c>
      <c r="P475" s="1" t="str">
        <f>IF(COUNTIF(Comp3[Comparable '#3 Dates],Benchmark1[[#This Row],[Benchmark '#1 Dates]])=1,"Pass","Fail")</f>
        <v>Pass</v>
      </c>
      <c r="Q475" s="6">
        <f>IF(Benchmark1[[#This Row],[Comparable '#3 Date Check]]="Pass",INDEX(Comp3[Comparable '#3 Price],MATCH(Benchmark1[[#This Row],[Benchmark '#1 Dates]],Comp3[Comparable '#3 Dates],0)),"-")</f>
        <v>169.2</v>
      </c>
      <c r="R475" s="22">
        <f>IF(Benchmark1[[#This Row],[Comparable '#3 Date Check]]="Pass",INDEX(Comp3[Comparable '#3 Return],MATCH(Benchmark1[[#This Row],[Benchmark '#1 Dates]],Comp3[Comparable '#3 Dates],0)),"-")</f>
        <v>6.2844814649720285E-3</v>
      </c>
      <c r="S475" s="1">
        <f>IFERROR(IF(Benchmark1[[#This Row],[Comparable '#3 Date Check]]="Pass",Benchmark1[[#This Row],[Comparable '#3 Return]]-Benchmark1[[#This Row],[Benchmark '#1 Return]],"-"),"-")</f>
        <v>1.4090653079298391E-2</v>
      </c>
    </row>
    <row r="476" spans="1:19">
      <c r="A476" s="103">
        <v>43973</v>
      </c>
      <c r="B476" s="104">
        <v>2955.4526885181754</v>
      </c>
      <c r="C476" s="4">
        <f t="shared" si="7"/>
        <v>2.3533784630527014E-3</v>
      </c>
      <c r="D476" s="1" t="str">
        <f>IF(COUNTIF(Target1[Target Dates],Benchmark1[[#This Row],[Benchmark '#1 Dates]])=1,"Pass","Fail")</f>
        <v>Pass</v>
      </c>
      <c r="E476" s="6">
        <f>IF(Benchmark1[[#This Row],[Target Date Check]]="Pass",INDEX(Target1[Target Price],MATCH(Benchmark1[[#This Row],[Benchmark '#1 Dates]],Target1[Target Dates],0)),"-")</f>
        <v>24.41</v>
      </c>
      <c r="F476" s="22">
        <f>IF(Benchmark1[[#This Row],[Target Date Check]]="Pass",INDEX(Target1[Target Return],MATCH(Benchmark1[[#This Row],[Benchmark '#1 Dates]],Target1[Target Dates],0)),"-")</f>
        <v>1.4857887853098516E-2</v>
      </c>
      <c r="G476" s="1">
        <f>IFERROR(IF(Benchmark1[[#This Row],[Target Date Check]]="Pass",Benchmark1[[#This Row],[Target Return]]-Benchmark1[[#This Row],[Benchmark '#1 Return]],"-"),"-")</f>
        <v>1.2504509390045814E-2</v>
      </c>
      <c r="H476" s="1" t="str">
        <f>IF(COUNTIF(Comp1[Comparable '#1 Dates],Benchmark1[[#This Row],[Benchmark '#1 Dates]])=1,"Pass","Fail")</f>
        <v>Pass</v>
      </c>
      <c r="I476" s="6">
        <f>IF(Benchmark1[[#This Row],[Comparable '#1 Date Check]]="Pass",INDEX(Comp1[Comparable '#1 Price],MATCH(Benchmark1[[#This Row],[Benchmark '#1 Dates]],Comp1[Comparable '#1 Dates],0)),"-")</f>
        <v>9.06</v>
      </c>
      <c r="J476" s="22">
        <f>IF(Benchmark1[[#This Row],[Comparable '#1 Date Check]]="Pass",INDEX(Comp1[Comparable '#1 Return],MATCH(Benchmark1[[#This Row],[Benchmark '#1 Dates]],Comp1[Comparable '#1 Dates],0)),"-")</f>
        <v>-7.6965745519891526E-3</v>
      </c>
      <c r="K476" s="1">
        <f>IFERROR(IF(Benchmark1[[#This Row],[Comparable '#1 Date Check]]="Pass",Benchmark1[[#This Row],[Comparable '#1 Return]]-Benchmark1[[#This Row],[Benchmark '#1 Return]],"-"),"-")</f>
        <v>-1.0049953015041854E-2</v>
      </c>
      <c r="L476" s="1" t="str">
        <f>IF(COUNTIF(Comp2[Comparable '#2 Dates],Benchmark1[[#This Row],[Benchmark '#1 Dates]])=1,"Pass","Fail")</f>
        <v>Pass</v>
      </c>
      <c r="M476" s="6">
        <f>IF(Benchmark1[[#This Row],[Comparable '#2 Date Check]]="Pass",INDEX(Comp2[Comparable '#2 Price],MATCH(Benchmark1[[#This Row],[Benchmark '#1 Dates]],Comp2[Comparable '#2 Dates],0)),"-")</f>
        <v>32.96</v>
      </c>
      <c r="N476" s="22">
        <f>IF(Benchmark1[[#This Row],[Comparable '#2 Date Check]]="Pass",INDEX(Comp2[Comparable '#2 Return],MATCH(Benchmark1[[#This Row],[Benchmark '#1 Dates]],Comp2[Comparable '#2 Dates],0)),"-")</f>
        <v>7.3081933067246224E-3</v>
      </c>
      <c r="O476" s="1">
        <f>IFERROR(IF(Benchmark1[[#This Row],[Comparable '#2 Date Check]]="Pass",Benchmark1[[#This Row],[Comparable '#2 Return]]-Benchmark1[[#This Row],[Benchmark '#1 Return]],"-"),"-")</f>
        <v>4.9548148436719206E-3</v>
      </c>
      <c r="P476" s="1" t="str">
        <f>IF(COUNTIF(Comp3[Comparable '#3 Dates],Benchmark1[[#This Row],[Benchmark '#1 Dates]])=1,"Pass","Fail")</f>
        <v>Pass</v>
      </c>
      <c r="Q476" s="6">
        <f>IF(Benchmark1[[#This Row],[Comparable '#3 Date Check]]="Pass",INDEX(Comp3[Comparable '#3 Price],MATCH(Benchmark1[[#This Row],[Benchmark '#1 Dates]],Comp3[Comparable '#3 Dates],0)),"-")</f>
        <v>169.61</v>
      </c>
      <c r="R476" s="22">
        <f>IF(Benchmark1[[#This Row],[Comparable '#3 Date Check]]="Pass",INDEX(Comp3[Comparable '#3 Return],MATCH(Benchmark1[[#This Row],[Benchmark '#1 Dates]],Comp3[Comparable '#3 Dates],0)),"-")</f>
        <v>2.4202367116248928E-3</v>
      </c>
      <c r="S476" s="1">
        <f>IFERROR(IF(Benchmark1[[#This Row],[Comparable '#3 Date Check]]="Pass",Benchmark1[[#This Row],[Comparable '#3 Return]]-Benchmark1[[#This Row],[Benchmark '#1 Return]],"-"),"-")</f>
        <v>6.6858248572191411E-5</v>
      </c>
    </row>
    <row r="477" spans="1:19">
      <c r="A477" s="103">
        <v>43977</v>
      </c>
      <c r="B477" s="104">
        <v>2991.7650544467583</v>
      </c>
      <c r="C477" s="4">
        <f t="shared" si="7"/>
        <v>1.221169923668056E-2</v>
      </c>
      <c r="D477" s="1" t="str">
        <f>IF(COUNTIF(Target1[Target Dates],Benchmark1[[#This Row],[Benchmark '#1 Dates]])=1,"Pass","Fail")</f>
        <v>Pass</v>
      </c>
      <c r="E477" s="6">
        <f>IF(Benchmark1[[#This Row],[Target Date Check]]="Pass",INDEX(Target1[Target Price],MATCH(Benchmark1[[#This Row],[Benchmark '#1 Dates]],Target1[Target Dates],0)),"-")</f>
        <v>24.33</v>
      </c>
      <c r="F477" s="22">
        <f>IF(Benchmark1[[#This Row],[Target Date Check]]="Pass",INDEX(Target1[Target Return],MATCH(Benchmark1[[#This Row],[Benchmark '#1 Dates]],Target1[Target Dates],0)),"-")</f>
        <v>-3.2827276094375309E-3</v>
      </c>
      <c r="G477" s="1">
        <f>IFERROR(IF(Benchmark1[[#This Row],[Target Date Check]]="Pass",Benchmark1[[#This Row],[Target Return]]-Benchmark1[[#This Row],[Benchmark '#1 Return]],"-"),"-")</f>
        <v>-1.5494426846118091E-2</v>
      </c>
      <c r="H477" s="1" t="str">
        <f>IF(COUNTIF(Comp1[Comparable '#1 Dates],Benchmark1[[#This Row],[Benchmark '#1 Dates]])=1,"Pass","Fail")</f>
        <v>Pass</v>
      </c>
      <c r="I477" s="6">
        <f>IF(Benchmark1[[#This Row],[Comparable '#1 Date Check]]="Pass",INDEX(Comp1[Comparable '#1 Price],MATCH(Benchmark1[[#This Row],[Benchmark '#1 Dates]],Comp1[Comparable '#1 Dates],0)),"-")</f>
        <v>9.7050000000000001</v>
      </c>
      <c r="J477" s="22">
        <f>IF(Benchmark1[[#This Row],[Comparable '#1 Date Check]]="Pass",INDEX(Comp1[Comparable '#1 Return],MATCH(Benchmark1[[#This Row],[Benchmark '#1 Dates]],Comp1[Comparable '#1 Dates],0)),"-")</f>
        <v>6.87720965660856E-2</v>
      </c>
      <c r="K477" s="1">
        <f>IFERROR(IF(Benchmark1[[#This Row],[Comparable '#1 Date Check]]="Pass",Benchmark1[[#This Row],[Comparable '#1 Return]]-Benchmark1[[#This Row],[Benchmark '#1 Return]],"-"),"-")</f>
        <v>5.6560397329405043E-2</v>
      </c>
      <c r="L477" s="1" t="str">
        <f>IF(COUNTIF(Comp2[Comparable '#2 Dates],Benchmark1[[#This Row],[Benchmark '#1 Dates]])=1,"Pass","Fail")</f>
        <v>Pass</v>
      </c>
      <c r="M477" s="6">
        <f>IF(Benchmark1[[#This Row],[Comparable '#2 Date Check]]="Pass",INDEX(Comp2[Comparable '#2 Price],MATCH(Benchmark1[[#This Row],[Benchmark '#1 Dates]],Comp2[Comparable '#2 Dates],0)),"-")</f>
        <v>33.15</v>
      </c>
      <c r="N477" s="22">
        <f>IF(Benchmark1[[#This Row],[Comparable '#2 Date Check]]="Pass",INDEX(Comp2[Comparable '#2 Return],MATCH(Benchmark1[[#This Row],[Benchmark '#1 Dates]],Comp2[Comparable '#2 Dates],0)),"-")</f>
        <v>5.7480115906004105E-3</v>
      </c>
      <c r="O477" s="1">
        <f>IFERROR(IF(Benchmark1[[#This Row],[Comparable '#2 Date Check]]="Pass",Benchmark1[[#This Row],[Comparable '#2 Return]]-Benchmark1[[#This Row],[Benchmark '#1 Return]],"-"),"-")</f>
        <v>-6.4636876460801495E-3</v>
      </c>
      <c r="P477" s="1" t="str">
        <f>IF(COUNTIF(Comp3[Comparable '#3 Dates],Benchmark1[[#This Row],[Benchmark '#1 Dates]])=1,"Pass","Fail")</f>
        <v>Pass</v>
      </c>
      <c r="Q477" s="6">
        <f>IF(Benchmark1[[#This Row],[Comparable '#3 Date Check]]="Pass",INDEX(Comp3[Comparable '#3 Price],MATCH(Benchmark1[[#This Row],[Benchmark '#1 Dates]],Comp3[Comparable '#3 Dates],0)),"-")</f>
        <v>170.98</v>
      </c>
      <c r="R477" s="22">
        <f>IF(Benchmark1[[#This Row],[Comparable '#3 Date Check]]="Pass",INDEX(Comp3[Comparable '#3 Return],MATCH(Benchmark1[[#This Row],[Benchmark '#1 Dates]],Comp3[Comparable '#3 Dates],0)),"-")</f>
        <v>8.0449067143398313E-3</v>
      </c>
      <c r="S477" s="1">
        <f>IFERROR(IF(Benchmark1[[#This Row],[Comparable '#3 Date Check]]="Pass",Benchmark1[[#This Row],[Comparable '#3 Return]]-Benchmark1[[#This Row],[Benchmark '#1 Return]],"-"),"-")</f>
        <v>-4.1667925223407287E-3</v>
      </c>
    </row>
    <row r="478" spans="1:19">
      <c r="A478" s="103">
        <v>43978</v>
      </c>
      <c r="B478" s="104">
        <v>3036.1331760839339</v>
      </c>
      <c r="C478" s="4">
        <f t="shared" si="7"/>
        <v>1.4721191765897325E-2</v>
      </c>
      <c r="D478" s="1" t="str">
        <f>IF(COUNTIF(Target1[Target Dates],Benchmark1[[#This Row],[Benchmark '#1 Dates]])=1,"Pass","Fail")</f>
        <v>Pass</v>
      </c>
      <c r="E478" s="6">
        <f>IF(Benchmark1[[#This Row],[Target Date Check]]="Pass",INDEX(Target1[Target Price],MATCH(Benchmark1[[#This Row],[Benchmark '#1 Dates]],Target1[Target Dates],0)),"-")</f>
        <v>24.22</v>
      </c>
      <c r="F478" s="22">
        <f>IF(Benchmark1[[#This Row],[Target Date Check]]="Pass",INDEX(Target1[Target Return],MATCH(Benchmark1[[#This Row],[Benchmark '#1 Dates]],Target1[Target Dates],0)),"-")</f>
        <v>-4.5314186704849815E-3</v>
      </c>
      <c r="G478" s="1">
        <f>IFERROR(IF(Benchmark1[[#This Row],[Target Date Check]]="Pass",Benchmark1[[#This Row],[Target Return]]-Benchmark1[[#This Row],[Benchmark '#1 Return]],"-"),"-")</f>
        <v>-1.9252610436382305E-2</v>
      </c>
      <c r="H478" s="1" t="str">
        <f>IF(COUNTIF(Comp1[Comparable '#1 Dates],Benchmark1[[#This Row],[Benchmark '#1 Dates]])=1,"Pass","Fail")</f>
        <v>Pass</v>
      </c>
      <c r="I478" s="6">
        <f>IF(Benchmark1[[#This Row],[Comparable '#1 Date Check]]="Pass",INDEX(Comp1[Comparable '#1 Price],MATCH(Benchmark1[[#This Row],[Benchmark '#1 Dates]],Comp1[Comparable '#1 Dates],0)),"-")</f>
        <v>10.19</v>
      </c>
      <c r="J478" s="22">
        <f>IF(Benchmark1[[#This Row],[Comparable '#1 Date Check]]="Pass",INDEX(Comp1[Comparable '#1 Return],MATCH(Benchmark1[[#This Row],[Benchmark '#1 Dates]],Comp1[Comparable '#1 Dates],0)),"-")</f>
        <v>4.8765630613659808E-2</v>
      </c>
      <c r="K478" s="1">
        <f>IFERROR(IF(Benchmark1[[#This Row],[Comparable '#1 Date Check]]="Pass",Benchmark1[[#This Row],[Comparable '#1 Return]]-Benchmark1[[#This Row],[Benchmark '#1 Return]],"-"),"-")</f>
        <v>3.4044438847762482E-2</v>
      </c>
      <c r="L478" s="1" t="str">
        <f>IF(COUNTIF(Comp2[Comparable '#2 Dates],Benchmark1[[#This Row],[Benchmark '#1 Dates]])=1,"Pass","Fail")</f>
        <v>Pass</v>
      </c>
      <c r="M478" s="6">
        <f>IF(Benchmark1[[#This Row],[Comparable '#2 Date Check]]="Pass",INDEX(Comp2[Comparable '#2 Price],MATCH(Benchmark1[[#This Row],[Benchmark '#1 Dates]],Comp2[Comparable '#2 Dates],0)),"-")</f>
        <v>33.700000000000003</v>
      </c>
      <c r="N478" s="22">
        <f>IF(Benchmark1[[#This Row],[Comparable '#2 Date Check]]="Pass",INDEX(Comp2[Comparable '#2 Return],MATCH(Benchmark1[[#This Row],[Benchmark '#1 Dates]],Comp2[Comparable '#2 Dates],0)),"-")</f>
        <v>1.6455120726444686E-2</v>
      </c>
      <c r="O478" s="1">
        <f>IFERROR(IF(Benchmark1[[#This Row],[Comparable '#2 Date Check]]="Pass",Benchmark1[[#This Row],[Comparable '#2 Return]]-Benchmark1[[#This Row],[Benchmark '#1 Return]],"-"),"-")</f>
        <v>1.7339289605473613E-3</v>
      </c>
      <c r="P478" s="1" t="str">
        <f>IF(COUNTIF(Comp3[Comparable '#3 Dates],Benchmark1[[#This Row],[Benchmark '#1 Dates]])=1,"Pass","Fail")</f>
        <v>Pass</v>
      </c>
      <c r="Q478" s="6">
        <f>IF(Benchmark1[[#This Row],[Comparable '#3 Date Check]]="Pass",INDEX(Comp3[Comparable '#3 Price],MATCH(Benchmark1[[#This Row],[Benchmark '#1 Dates]],Comp3[Comparable '#3 Dates],0)),"-")</f>
        <v>176.22</v>
      </c>
      <c r="R478" s="22">
        <f>IF(Benchmark1[[#This Row],[Comparable '#3 Date Check]]="Pass",INDEX(Comp3[Comparable '#3 Return],MATCH(Benchmark1[[#This Row],[Benchmark '#1 Dates]],Comp3[Comparable '#3 Dates],0)),"-")</f>
        <v>3.0186623840496179E-2</v>
      </c>
      <c r="S478" s="1">
        <f>IFERROR(IF(Benchmark1[[#This Row],[Comparable '#3 Date Check]]="Pass",Benchmark1[[#This Row],[Comparable '#3 Return]]-Benchmark1[[#This Row],[Benchmark '#1 Return]],"-"),"-")</f>
        <v>1.5465432074598854E-2</v>
      </c>
    </row>
    <row r="479" spans="1:19">
      <c r="A479" s="103">
        <v>43979</v>
      </c>
      <c r="B479" s="104">
        <v>3029.733092218994</v>
      </c>
      <c r="C479" s="4">
        <f t="shared" si="7"/>
        <v>-2.1101969469096656E-3</v>
      </c>
      <c r="D479" s="1" t="str">
        <f>IF(COUNTIF(Target1[Target Dates],Benchmark1[[#This Row],[Benchmark '#1 Dates]])=1,"Pass","Fail")</f>
        <v>Pass</v>
      </c>
      <c r="E479" s="6">
        <f>IF(Benchmark1[[#This Row],[Target Date Check]]="Pass",INDEX(Target1[Target Price],MATCH(Benchmark1[[#This Row],[Benchmark '#1 Dates]],Target1[Target Dates],0)),"-")</f>
        <v>24.19</v>
      </c>
      <c r="F479" s="22">
        <f>IF(Benchmark1[[#This Row],[Target Date Check]]="Pass",INDEX(Target1[Target Return],MATCH(Benchmark1[[#This Row],[Benchmark '#1 Dates]],Target1[Target Dates],0)),"-")</f>
        <v>-1.2394135030101754E-3</v>
      </c>
      <c r="G479" s="1">
        <f>IFERROR(IF(Benchmark1[[#This Row],[Target Date Check]]="Pass",Benchmark1[[#This Row],[Target Return]]-Benchmark1[[#This Row],[Benchmark '#1 Return]],"-"),"-")</f>
        <v>8.7078344389949027E-4</v>
      </c>
      <c r="H479" s="1" t="str">
        <f>IF(COUNTIF(Comp1[Comparable '#1 Dates],Benchmark1[[#This Row],[Benchmark '#1 Dates]])=1,"Pass","Fail")</f>
        <v>Pass</v>
      </c>
      <c r="I479" s="6">
        <f>IF(Benchmark1[[#This Row],[Comparable '#1 Date Check]]="Pass",INDEX(Comp1[Comparable '#1 Price],MATCH(Benchmark1[[#This Row],[Benchmark '#1 Dates]],Comp1[Comparable '#1 Dates],0)),"-")</f>
        <v>9.94</v>
      </c>
      <c r="J479" s="22">
        <f>IF(Benchmark1[[#This Row],[Comparable '#1 Date Check]]="Pass",INDEX(Comp1[Comparable '#1 Return],MATCH(Benchmark1[[#This Row],[Benchmark '#1 Dates]],Comp1[Comparable '#1 Dates],0)),"-")</f>
        <v>-2.483982656615074E-2</v>
      </c>
      <c r="K479" s="1">
        <f>IFERROR(IF(Benchmark1[[#This Row],[Comparable '#1 Date Check]]="Pass",Benchmark1[[#This Row],[Comparable '#1 Return]]-Benchmark1[[#This Row],[Benchmark '#1 Return]],"-"),"-")</f>
        <v>-2.2729629619241073E-2</v>
      </c>
      <c r="L479" s="1" t="str">
        <f>IF(COUNTIF(Comp2[Comparable '#2 Dates],Benchmark1[[#This Row],[Benchmark '#1 Dates]])=1,"Pass","Fail")</f>
        <v>Pass</v>
      </c>
      <c r="M479" s="6">
        <f>IF(Benchmark1[[#This Row],[Comparable '#2 Date Check]]="Pass",INDEX(Comp2[Comparable '#2 Price],MATCH(Benchmark1[[#This Row],[Benchmark '#1 Dates]],Comp2[Comparable '#2 Dates],0)),"-")</f>
        <v>33.54</v>
      </c>
      <c r="N479" s="22">
        <f>IF(Benchmark1[[#This Row],[Comparable '#2 Date Check]]="Pass",INDEX(Comp2[Comparable '#2 Return],MATCH(Benchmark1[[#This Row],[Benchmark '#1 Dates]],Comp2[Comparable '#2 Dates],0)),"-")</f>
        <v>-4.7590809632533683E-3</v>
      </c>
      <c r="O479" s="1">
        <f>IFERROR(IF(Benchmark1[[#This Row],[Comparable '#2 Date Check]]="Pass",Benchmark1[[#This Row],[Comparable '#2 Return]]-Benchmark1[[#This Row],[Benchmark '#1 Return]],"-"),"-")</f>
        <v>-2.6488840163437027E-3</v>
      </c>
      <c r="P479" s="1" t="str">
        <f>IF(COUNTIF(Comp3[Comparable '#3 Dates],Benchmark1[[#This Row],[Benchmark '#1 Dates]])=1,"Pass","Fail")</f>
        <v>Pass</v>
      </c>
      <c r="Q479" s="6">
        <f>IF(Benchmark1[[#This Row],[Comparable '#3 Date Check]]="Pass",INDEX(Comp3[Comparable '#3 Price],MATCH(Benchmark1[[#This Row],[Benchmark '#1 Dates]],Comp3[Comparable '#3 Dates],0)),"-")</f>
        <v>170.48</v>
      </c>
      <c r="R479" s="22">
        <f>IF(Benchmark1[[#This Row],[Comparable '#3 Date Check]]="Pass",INDEX(Comp3[Comparable '#3 Return],MATCH(Benchmark1[[#This Row],[Benchmark '#1 Dates]],Comp3[Comparable '#3 Dates],0)),"-")</f>
        <v>-3.3115226648222015E-2</v>
      </c>
      <c r="S479" s="1">
        <f>IFERROR(IF(Benchmark1[[#This Row],[Comparable '#3 Date Check]]="Pass",Benchmark1[[#This Row],[Comparable '#3 Return]]-Benchmark1[[#This Row],[Benchmark '#1 Return]],"-"),"-")</f>
        <v>-3.1005029701312348E-2</v>
      </c>
    </row>
    <row r="480" spans="1:19">
      <c r="A480" s="103">
        <v>43980</v>
      </c>
      <c r="B480" s="104">
        <v>3044.3051548697567</v>
      </c>
      <c r="C480" s="4">
        <f t="shared" si="7"/>
        <v>4.7981556963690216E-3</v>
      </c>
      <c r="D480" s="1" t="str">
        <f>IF(COUNTIF(Target1[Target Dates],Benchmark1[[#This Row],[Benchmark '#1 Dates]])=1,"Pass","Fail")</f>
        <v>Pass</v>
      </c>
      <c r="E480" s="6">
        <f>IF(Benchmark1[[#This Row],[Target Date Check]]="Pass",INDEX(Target1[Target Price],MATCH(Benchmark1[[#This Row],[Benchmark '#1 Dates]],Target1[Target Dates],0)),"-")</f>
        <v>24.62</v>
      </c>
      <c r="F480" s="22">
        <f>IF(Benchmark1[[#This Row],[Target Date Check]]="Pass",INDEX(Target1[Target Return],MATCH(Benchmark1[[#This Row],[Benchmark '#1 Dates]],Target1[Target Dates],0)),"-")</f>
        <v>1.7619796134371625E-2</v>
      </c>
      <c r="G480" s="1">
        <f>IFERROR(IF(Benchmark1[[#This Row],[Target Date Check]]="Pass",Benchmark1[[#This Row],[Target Return]]-Benchmark1[[#This Row],[Benchmark '#1 Return]],"-"),"-")</f>
        <v>1.2821640438002603E-2</v>
      </c>
      <c r="H480" s="1" t="str">
        <f>IF(COUNTIF(Comp1[Comparable '#1 Dates],Benchmark1[[#This Row],[Benchmark '#1 Dates]])=1,"Pass","Fail")</f>
        <v>Pass</v>
      </c>
      <c r="I480" s="6">
        <f>IF(Benchmark1[[#This Row],[Comparable '#1 Date Check]]="Pass",INDEX(Comp1[Comparable '#1 Price],MATCH(Benchmark1[[#This Row],[Benchmark '#1 Dates]],Comp1[Comparable '#1 Dates],0)),"-")</f>
        <v>9.73</v>
      </c>
      <c r="J480" s="22">
        <f>IF(Benchmark1[[#This Row],[Comparable '#1 Date Check]]="Pass",INDEX(Comp1[Comparable '#1 Return],MATCH(Benchmark1[[#This Row],[Benchmark '#1 Dates]],Comp1[Comparable '#1 Dates],0)),"-")</f>
        <v>-2.1353124470568832E-2</v>
      </c>
      <c r="K480" s="1">
        <f>IFERROR(IF(Benchmark1[[#This Row],[Comparable '#1 Date Check]]="Pass",Benchmark1[[#This Row],[Comparable '#1 Return]]-Benchmark1[[#This Row],[Benchmark '#1 Return]],"-"),"-")</f>
        <v>-2.6151280166937851E-2</v>
      </c>
      <c r="L480" s="1" t="str">
        <f>IF(COUNTIF(Comp2[Comparable '#2 Dates],Benchmark1[[#This Row],[Benchmark '#1 Dates]])=1,"Pass","Fail")</f>
        <v>Pass</v>
      </c>
      <c r="M480" s="6">
        <f>IF(Benchmark1[[#This Row],[Comparable '#2 Date Check]]="Pass",INDEX(Comp2[Comparable '#2 Price],MATCH(Benchmark1[[#This Row],[Benchmark '#1 Dates]],Comp2[Comparable '#2 Dates],0)),"-")</f>
        <v>33.46</v>
      </c>
      <c r="N480" s="22">
        <f>IF(Benchmark1[[#This Row],[Comparable '#2 Date Check]]="Pass",INDEX(Comp2[Comparable '#2 Return],MATCH(Benchmark1[[#This Row],[Benchmark '#1 Dates]],Comp2[Comparable '#2 Dates],0)),"-")</f>
        <v>-2.3880608363848572E-3</v>
      </c>
      <c r="O480" s="1">
        <f>IFERROR(IF(Benchmark1[[#This Row],[Comparable '#2 Date Check]]="Pass",Benchmark1[[#This Row],[Comparable '#2 Return]]-Benchmark1[[#This Row],[Benchmark '#1 Return]],"-"),"-")</f>
        <v>-7.1862165327538788E-3</v>
      </c>
      <c r="P480" s="1" t="str">
        <f>IF(COUNTIF(Comp3[Comparable '#3 Dates],Benchmark1[[#This Row],[Benchmark '#1 Dates]])=1,"Pass","Fail")</f>
        <v>Pass</v>
      </c>
      <c r="Q480" s="6">
        <f>IF(Benchmark1[[#This Row],[Comparable '#3 Date Check]]="Pass",INDEX(Comp3[Comparable '#3 Price],MATCH(Benchmark1[[#This Row],[Benchmark '#1 Dates]],Comp3[Comparable '#3 Dates],0)),"-")</f>
        <v>169.63</v>
      </c>
      <c r="R480" s="22">
        <f>IF(Benchmark1[[#This Row],[Comparable '#3 Date Check]]="Pass",INDEX(Comp3[Comparable '#3 Return],MATCH(Benchmark1[[#This Row],[Benchmark '#1 Dates]],Comp3[Comparable '#3 Dates],0)),"-")</f>
        <v>-4.9983932827301434E-3</v>
      </c>
      <c r="S480" s="1">
        <f>IFERROR(IF(Benchmark1[[#This Row],[Comparable '#3 Date Check]]="Pass",Benchmark1[[#This Row],[Comparable '#3 Return]]-Benchmark1[[#This Row],[Benchmark '#1 Return]],"-"),"-")</f>
        <v>-9.796548979099165E-3</v>
      </c>
    </row>
    <row r="481" spans="1:19">
      <c r="A481" s="103">
        <v>43983</v>
      </c>
      <c r="B481" s="104">
        <v>3055.7328709519734</v>
      </c>
      <c r="C481" s="4">
        <f t="shared" si="7"/>
        <v>3.7467731849071648E-3</v>
      </c>
      <c r="D481" s="1" t="str">
        <f>IF(COUNTIF(Target1[Target Dates],Benchmark1[[#This Row],[Benchmark '#1 Dates]])=1,"Pass","Fail")</f>
        <v>Pass</v>
      </c>
      <c r="E481" s="6">
        <f>IF(Benchmark1[[#This Row],[Target Date Check]]="Pass",INDEX(Target1[Target Price],MATCH(Benchmark1[[#This Row],[Benchmark '#1 Dates]],Target1[Target Dates],0)),"-")</f>
        <v>25.26</v>
      </c>
      <c r="F481" s="22">
        <f>IF(Benchmark1[[#This Row],[Target Date Check]]="Pass",INDEX(Target1[Target Return],MATCH(Benchmark1[[#This Row],[Benchmark '#1 Dates]],Target1[Target Dates],0)),"-")</f>
        <v>2.5662996166037538E-2</v>
      </c>
      <c r="G481" s="1">
        <f>IFERROR(IF(Benchmark1[[#This Row],[Target Date Check]]="Pass",Benchmark1[[#This Row],[Target Return]]-Benchmark1[[#This Row],[Benchmark '#1 Return]],"-"),"-")</f>
        <v>2.1916222981130374E-2</v>
      </c>
      <c r="H481" s="1" t="str">
        <f>IF(COUNTIF(Comp1[Comparable '#1 Dates],Benchmark1[[#This Row],[Benchmark '#1 Dates]])=1,"Pass","Fail")</f>
        <v>Pass</v>
      </c>
      <c r="I481" s="6">
        <f>IF(Benchmark1[[#This Row],[Comparable '#1 Date Check]]="Pass",INDEX(Comp1[Comparable '#1 Price],MATCH(Benchmark1[[#This Row],[Benchmark '#1 Dates]],Comp1[Comparable '#1 Dates],0)),"-")</f>
        <v>10.01</v>
      </c>
      <c r="J481" s="22">
        <f>IF(Benchmark1[[#This Row],[Comparable '#1 Date Check]]="Pass",INDEX(Comp1[Comparable '#1 Return],MATCH(Benchmark1[[#This Row],[Benchmark '#1 Dates]],Comp1[Comparable '#1 Dates],0)),"-")</f>
        <v>2.8370697129215566E-2</v>
      </c>
      <c r="K481" s="1">
        <f>IFERROR(IF(Benchmark1[[#This Row],[Comparable '#1 Date Check]]="Pass",Benchmark1[[#This Row],[Comparable '#1 Return]]-Benchmark1[[#This Row],[Benchmark '#1 Return]],"-"),"-")</f>
        <v>2.4623923944308401E-2</v>
      </c>
      <c r="L481" s="1" t="str">
        <f>IF(COUNTIF(Comp2[Comparable '#2 Dates],Benchmark1[[#This Row],[Benchmark '#1 Dates]])=1,"Pass","Fail")</f>
        <v>Pass</v>
      </c>
      <c r="M481" s="6">
        <f>IF(Benchmark1[[#This Row],[Comparable '#2 Date Check]]="Pass",INDEX(Comp2[Comparable '#2 Price],MATCH(Benchmark1[[#This Row],[Benchmark '#1 Dates]],Comp2[Comparable '#2 Dates],0)),"-")</f>
        <v>34.03</v>
      </c>
      <c r="N481" s="22">
        <f>IF(Benchmark1[[#This Row],[Comparable '#2 Date Check]]="Pass",INDEX(Comp2[Comparable '#2 Return],MATCH(Benchmark1[[#This Row],[Benchmark '#1 Dates]],Comp2[Comparable '#2 Dates],0)),"-")</f>
        <v>1.6891792954136547E-2</v>
      </c>
      <c r="O481" s="1">
        <f>IFERROR(IF(Benchmark1[[#This Row],[Comparable '#2 Date Check]]="Pass",Benchmark1[[#This Row],[Comparable '#2 Return]]-Benchmark1[[#This Row],[Benchmark '#1 Return]],"-"),"-")</f>
        <v>1.3145019769229382E-2</v>
      </c>
      <c r="P481" s="1" t="str">
        <f>IF(COUNTIF(Comp3[Comparable '#3 Dates],Benchmark1[[#This Row],[Benchmark '#1 Dates]])=1,"Pass","Fail")</f>
        <v>Pass</v>
      </c>
      <c r="Q481" s="6">
        <f>IF(Benchmark1[[#This Row],[Comparable '#3 Date Check]]="Pass",INDEX(Comp3[Comparable '#3 Price],MATCH(Benchmark1[[#This Row],[Benchmark '#1 Dates]],Comp3[Comparable '#3 Dates],0)),"-")</f>
        <v>172.54</v>
      </c>
      <c r="R481" s="22">
        <f>IF(Benchmark1[[#This Row],[Comparable '#3 Date Check]]="Pass",INDEX(Comp3[Comparable '#3 Return],MATCH(Benchmark1[[#This Row],[Benchmark '#1 Dates]],Comp3[Comparable '#3 Dates],0)),"-")</f>
        <v>1.7009499140801292E-2</v>
      </c>
      <c r="S481" s="1">
        <f>IFERROR(IF(Benchmark1[[#This Row],[Comparable '#3 Date Check]]="Pass",Benchmark1[[#This Row],[Comparable '#3 Return]]-Benchmark1[[#This Row],[Benchmark '#1 Return]],"-"),"-")</f>
        <v>1.3262725955894127E-2</v>
      </c>
    </row>
    <row r="482" spans="1:19">
      <c r="A482" s="103">
        <v>43984</v>
      </c>
      <c r="B482" s="104">
        <v>3080.8221677421025</v>
      </c>
      <c r="C482" s="4">
        <f t="shared" si="7"/>
        <v>8.1770427966159874E-3</v>
      </c>
      <c r="D482" s="1" t="str">
        <f>IF(COUNTIF(Target1[Target Dates],Benchmark1[[#This Row],[Benchmark '#1 Dates]])=1,"Pass","Fail")</f>
        <v>Pass</v>
      </c>
      <c r="E482" s="6">
        <f>IF(Benchmark1[[#This Row],[Target Date Check]]="Pass",INDEX(Target1[Target Price],MATCH(Benchmark1[[#This Row],[Benchmark '#1 Dates]],Target1[Target Dates],0)),"-")</f>
        <v>25.94</v>
      </c>
      <c r="F482" s="22">
        <f>IF(Benchmark1[[#This Row],[Target Date Check]]="Pass",INDEX(Target1[Target Return],MATCH(Benchmark1[[#This Row],[Benchmark '#1 Dates]],Target1[Target Dates],0)),"-")</f>
        <v>2.656406196595279E-2</v>
      </c>
      <c r="G482" s="1">
        <f>IFERROR(IF(Benchmark1[[#This Row],[Target Date Check]]="Pass",Benchmark1[[#This Row],[Target Return]]-Benchmark1[[#This Row],[Benchmark '#1 Return]],"-"),"-")</f>
        <v>1.8387019169336802E-2</v>
      </c>
      <c r="H482" s="1" t="str">
        <f>IF(COUNTIF(Comp1[Comparable '#1 Dates],Benchmark1[[#This Row],[Benchmark '#1 Dates]])=1,"Pass","Fail")</f>
        <v>Pass</v>
      </c>
      <c r="I482" s="6">
        <f>IF(Benchmark1[[#This Row],[Comparable '#1 Date Check]]="Pass",INDEX(Comp1[Comparable '#1 Price],MATCH(Benchmark1[[#This Row],[Benchmark '#1 Dates]],Comp1[Comparable '#1 Dates],0)),"-")</f>
        <v>10.130000000000001</v>
      </c>
      <c r="J482" s="22">
        <f>IF(Benchmark1[[#This Row],[Comparable '#1 Date Check]]="Pass",INDEX(Comp1[Comparable '#1 Return],MATCH(Benchmark1[[#This Row],[Benchmark '#1 Dates]],Comp1[Comparable '#1 Dates],0)),"-")</f>
        <v>1.1916724933462833E-2</v>
      </c>
      <c r="K482" s="1">
        <f>IFERROR(IF(Benchmark1[[#This Row],[Comparable '#1 Date Check]]="Pass",Benchmark1[[#This Row],[Comparable '#1 Return]]-Benchmark1[[#This Row],[Benchmark '#1 Return]],"-"),"-")</f>
        <v>3.7396821368468457E-3</v>
      </c>
      <c r="L482" s="1" t="str">
        <f>IF(COUNTIF(Comp2[Comparable '#2 Dates],Benchmark1[[#This Row],[Benchmark '#1 Dates]])=1,"Pass","Fail")</f>
        <v>Pass</v>
      </c>
      <c r="M482" s="6">
        <f>IF(Benchmark1[[#This Row],[Comparable '#2 Date Check]]="Pass",INDEX(Comp2[Comparable '#2 Price],MATCH(Benchmark1[[#This Row],[Benchmark '#1 Dates]],Comp2[Comparable '#2 Dates],0)),"-")</f>
        <v>34.29</v>
      </c>
      <c r="N482" s="22">
        <f>IF(Benchmark1[[#This Row],[Comparable '#2 Date Check]]="Pass",INDEX(Comp2[Comparable '#2 Return],MATCH(Benchmark1[[#This Row],[Benchmark '#1 Dates]],Comp2[Comparable '#2 Dates],0)),"-")</f>
        <v>7.6112779620144989E-3</v>
      </c>
      <c r="O482" s="1">
        <f>IFERROR(IF(Benchmark1[[#This Row],[Comparable '#2 Date Check]]="Pass",Benchmark1[[#This Row],[Comparable '#2 Return]]-Benchmark1[[#This Row],[Benchmark '#1 Return]],"-"),"-")</f>
        <v>-5.6576483460148846E-4</v>
      </c>
      <c r="P482" s="1" t="str">
        <f>IF(COUNTIF(Comp3[Comparable '#3 Dates],Benchmark1[[#This Row],[Benchmark '#1 Dates]])=1,"Pass","Fail")</f>
        <v>Pass</v>
      </c>
      <c r="Q482" s="6">
        <f>IF(Benchmark1[[#This Row],[Comparable '#3 Date Check]]="Pass",INDEX(Comp3[Comparable '#3 Price],MATCH(Benchmark1[[#This Row],[Benchmark '#1 Dates]],Comp3[Comparable '#3 Dates],0)),"-")</f>
        <v>171.84</v>
      </c>
      <c r="R482" s="22">
        <f>IF(Benchmark1[[#This Row],[Comparable '#3 Date Check]]="Pass",INDEX(Comp3[Comparable '#3 Return],MATCH(Benchmark1[[#This Row],[Benchmark '#1 Dates]],Comp3[Comparable '#3 Dates],0)),"-")</f>
        <v>-4.0652823279327408E-3</v>
      </c>
      <c r="S482" s="1">
        <f>IFERROR(IF(Benchmark1[[#This Row],[Comparable '#3 Date Check]]="Pass",Benchmark1[[#This Row],[Comparable '#3 Return]]-Benchmark1[[#This Row],[Benchmark '#1 Return]],"-"),"-")</f>
        <v>-1.2242325124548727E-2</v>
      </c>
    </row>
    <row r="483" spans="1:19">
      <c r="A483" s="103">
        <v>43985</v>
      </c>
      <c r="B483" s="104">
        <v>3122.8701990899717</v>
      </c>
      <c r="C483" s="4">
        <f t="shared" si="7"/>
        <v>1.3556015603129634E-2</v>
      </c>
      <c r="D483" s="1" t="str">
        <f>IF(COUNTIF(Target1[Target Dates],Benchmark1[[#This Row],[Benchmark '#1 Dates]])=1,"Pass","Fail")</f>
        <v>Pass</v>
      </c>
      <c r="E483" s="6">
        <f>IF(Benchmark1[[#This Row],[Target Date Check]]="Pass",INDEX(Target1[Target Price],MATCH(Benchmark1[[#This Row],[Benchmark '#1 Dates]],Target1[Target Dates],0)),"-")</f>
        <v>26.03</v>
      </c>
      <c r="F483" s="22">
        <f>IF(Benchmark1[[#This Row],[Target Date Check]]="Pass",INDEX(Target1[Target Return],MATCH(Benchmark1[[#This Row],[Benchmark '#1 Dates]],Target1[Target Dates],0)),"-")</f>
        <v>3.4635401181760889E-3</v>
      </c>
      <c r="G483" s="1">
        <f>IFERROR(IF(Benchmark1[[#This Row],[Target Date Check]]="Pass",Benchmark1[[#This Row],[Target Return]]-Benchmark1[[#This Row],[Benchmark '#1 Return]],"-"),"-")</f>
        <v>-1.0092475484953546E-2</v>
      </c>
      <c r="H483" s="1" t="str">
        <f>IF(COUNTIF(Comp1[Comparable '#1 Dates],Benchmark1[[#This Row],[Benchmark '#1 Dates]])=1,"Pass","Fail")</f>
        <v>Pass</v>
      </c>
      <c r="I483" s="6">
        <f>IF(Benchmark1[[#This Row],[Comparable '#1 Date Check]]="Pass",INDEX(Comp1[Comparable '#1 Price],MATCH(Benchmark1[[#This Row],[Benchmark '#1 Dates]],Comp1[Comparable '#1 Dates],0)),"-")</f>
        <v>10.85</v>
      </c>
      <c r="J483" s="22">
        <f>IF(Benchmark1[[#This Row],[Comparable '#1 Date Check]]="Pass",INDEX(Comp1[Comparable '#1 Return],MATCH(Benchmark1[[#This Row],[Benchmark '#1 Dates]],Comp1[Comparable '#1 Dates],0)),"-")</f>
        <v>6.8663761725876446E-2</v>
      </c>
      <c r="K483" s="1">
        <f>IFERROR(IF(Benchmark1[[#This Row],[Comparable '#1 Date Check]]="Pass",Benchmark1[[#This Row],[Comparable '#1 Return]]-Benchmark1[[#This Row],[Benchmark '#1 Return]],"-"),"-")</f>
        <v>5.5107746122746812E-2</v>
      </c>
      <c r="L483" s="1" t="str">
        <f>IF(COUNTIF(Comp2[Comparable '#2 Dates],Benchmark1[[#This Row],[Benchmark '#1 Dates]])=1,"Pass","Fail")</f>
        <v>Pass</v>
      </c>
      <c r="M483" s="6">
        <f>IF(Benchmark1[[#This Row],[Comparable '#2 Date Check]]="Pass",INDEX(Comp2[Comparable '#2 Price],MATCH(Benchmark1[[#This Row],[Benchmark '#1 Dates]],Comp2[Comparable '#2 Dates],0)),"-")</f>
        <v>35.21</v>
      </c>
      <c r="N483" s="22">
        <f>IF(Benchmark1[[#This Row],[Comparable '#2 Date Check]]="Pass",INDEX(Comp2[Comparable '#2 Return],MATCH(Benchmark1[[#This Row],[Benchmark '#1 Dates]],Comp2[Comparable '#2 Dates],0)),"-")</f>
        <v>2.6476366692132134E-2</v>
      </c>
      <c r="O483" s="1">
        <f>IFERROR(IF(Benchmark1[[#This Row],[Comparable '#2 Date Check]]="Pass",Benchmark1[[#This Row],[Comparable '#2 Return]]-Benchmark1[[#This Row],[Benchmark '#1 Return]],"-"),"-")</f>
        <v>1.29203510890025E-2</v>
      </c>
      <c r="P483" s="1" t="str">
        <f>IF(COUNTIF(Comp3[Comparable '#3 Dates],Benchmark1[[#This Row],[Benchmark '#1 Dates]])=1,"Pass","Fail")</f>
        <v>Pass</v>
      </c>
      <c r="Q483" s="6">
        <f>IF(Benchmark1[[#This Row],[Comparable '#3 Date Check]]="Pass",INDEX(Comp3[Comparable '#3 Price],MATCH(Benchmark1[[#This Row],[Benchmark '#1 Dates]],Comp3[Comparable '#3 Dates],0)),"-")</f>
        <v>175.28</v>
      </c>
      <c r="R483" s="22">
        <f>IF(Benchmark1[[#This Row],[Comparable '#3 Date Check]]="Pass",INDEX(Comp3[Comparable '#3 Return],MATCH(Benchmark1[[#This Row],[Benchmark '#1 Dates]],Comp3[Comparable '#3 Dates],0)),"-")</f>
        <v>1.9820883966711101E-2</v>
      </c>
      <c r="S483" s="1">
        <f>IFERROR(IF(Benchmark1[[#This Row],[Comparable '#3 Date Check]]="Pass",Benchmark1[[#This Row],[Comparable '#3 Return]]-Benchmark1[[#This Row],[Benchmark '#1 Return]],"-"),"-")</f>
        <v>6.2648683635814668E-3</v>
      </c>
    </row>
    <row r="484" spans="1:19">
      <c r="A484" s="103">
        <v>43986</v>
      </c>
      <c r="B484" s="104">
        <v>3112.346435665248</v>
      </c>
      <c r="C484" s="4">
        <f t="shared" si="7"/>
        <v>-3.3755919109272744E-3</v>
      </c>
      <c r="D484" s="1" t="str">
        <f>IF(COUNTIF(Target1[Target Dates],Benchmark1[[#This Row],[Benchmark '#1 Dates]])=1,"Pass","Fail")</f>
        <v>Pass</v>
      </c>
      <c r="E484" s="6">
        <f>IF(Benchmark1[[#This Row],[Target Date Check]]="Pass",INDEX(Target1[Target Price],MATCH(Benchmark1[[#This Row],[Benchmark '#1 Dates]],Target1[Target Dates],0)),"-")</f>
        <v>26.65</v>
      </c>
      <c r="F484" s="22">
        <f>IF(Benchmark1[[#This Row],[Target Date Check]]="Pass",INDEX(Target1[Target Return],MATCH(Benchmark1[[#This Row],[Benchmark '#1 Dates]],Target1[Target Dates],0)),"-")</f>
        <v>2.3539431605379545E-2</v>
      </c>
      <c r="G484" s="1">
        <f>IFERROR(IF(Benchmark1[[#This Row],[Target Date Check]]="Pass",Benchmark1[[#This Row],[Target Return]]-Benchmark1[[#This Row],[Benchmark '#1 Return]],"-"),"-")</f>
        <v>2.691502351630682E-2</v>
      </c>
      <c r="H484" s="1" t="str">
        <f>IF(COUNTIF(Comp1[Comparable '#1 Dates],Benchmark1[[#This Row],[Benchmark '#1 Dates]])=1,"Pass","Fail")</f>
        <v>Pass</v>
      </c>
      <c r="I484" s="6">
        <f>IF(Benchmark1[[#This Row],[Comparable '#1 Date Check]]="Pass",INDEX(Comp1[Comparable '#1 Price],MATCH(Benchmark1[[#This Row],[Benchmark '#1 Dates]],Comp1[Comparable '#1 Dates],0)),"-")</f>
        <v>11.055</v>
      </c>
      <c r="J484" s="22">
        <f>IF(Benchmark1[[#This Row],[Comparable '#1 Date Check]]="Pass",INDEX(Comp1[Comparable '#1 Return],MATCH(Benchmark1[[#This Row],[Benchmark '#1 Dates]],Comp1[Comparable '#1 Dates],0)),"-")</f>
        <v>1.8717734322941101E-2</v>
      </c>
      <c r="K484" s="1">
        <f>IFERROR(IF(Benchmark1[[#This Row],[Comparable '#1 Date Check]]="Pass",Benchmark1[[#This Row],[Comparable '#1 Return]]-Benchmark1[[#This Row],[Benchmark '#1 Return]],"-"),"-")</f>
        <v>2.2093326233868376E-2</v>
      </c>
      <c r="L484" s="1" t="str">
        <f>IF(COUNTIF(Comp2[Comparable '#2 Dates],Benchmark1[[#This Row],[Benchmark '#1 Dates]])=1,"Pass","Fail")</f>
        <v>Pass</v>
      </c>
      <c r="M484" s="6">
        <f>IF(Benchmark1[[#This Row],[Comparable '#2 Date Check]]="Pass",INDEX(Comp2[Comparable '#2 Price],MATCH(Benchmark1[[#This Row],[Benchmark '#1 Dates]],Comp2[Comparable '#2 Dates],0)),"-")</f>
        <v>35.19</v>
      </c>
      <c r="N484" s="22">
        <f>IF(Benchmark1[[#This Row],[Comparable '#2 Date Check]]="Pass",INDEX(Comp2[Comparable '#2 Return],MATCH(Benchmark1[[#This Row],[Benchmark '#1 Dates]],Comp2[Comparable '#2 Dates],0)),"-")</f>
        <v>-5.6818183346747598E-4</v>
      </c>
      <c r="O484" s="1">
        <f>IFERROR(IF(Benchmark1[[#This Row],[Comparable '#2 Date Check]]="Pass",Benchmark1[[#This Row],[Comparable '#2 Return]]-Benchmark1[[#This Row],[Benchmark '#1 Return]],"-"),"-")</f>
        <v>2.8074100774597983E-3</v>
      </c>
      <c r="P484" s="1" t="str">
        <f>IF(COUNTIF(Comp3[Comparable '#3 Dates],Benchmark1[[#This Row],[Benchmark '#1 Dates]])=1,"Pass","Fail")</f>
        <v>Pass</v>
      </c>
      <c r="Q484" s="6">
        <f>IF(Benchmark1[[#This Row],[Comparable '#3 Date Check]]="Pass",INDEX(Comp3[Comparable '#3 Price],MATCH(Benchmark1[[#This Row],[Benchmark '#1 Dates]],Comp3[Comparable '#3 Dates],0)),"-")</f>
        <v>179.07</v>
      </c>
      <c r="R484" s="22">
        <f>IF(Benchmark1[[#This Row],[Comparable '#3 Date Check]]="Pass",INDEX(Comp3[Comparable '#3 Return],MATCH(Benchmark1[[#This Row],[Benchmark '#1 Dates]],Comp3[Comparable '#3 Dates],0)),"-")</f>
        <v>2.1392095561457162E-2</v>
      </c>
      <c r="S484" s="1">
        <f>IFERROR(IF(Benchmark1[[#This Row],[Comparable '#3 Date Check]]="Pass",Benchmark1[[#This Row],[Comparable '#3 Return]]-Benchmark1[[#This Row],[Benchmark '#1 Return]],"-"),"-")</f>
        <v>2.4767687472384437E-2</v>
      </c>
    </row>
    <row r="485" spans="1:19">
      <c r="A485" s="103">
        <v>43987</v>
      </c>
      <c r="B485" s="104">
        <v>3193.9277619325017</v>
      </c>
      <c r="C485" s="4">
        <f t="shared" si="7"/>
        <v>2.5874510099665234E-2</v>
      </c>
      <c r="D485" s="1" t="str">
        <f>IF(COUNTIF(Target1[Target Dates],Benchmark1[[#This Row],[Benchmark '#1 Dates]])=1,"Pass","Fail")</f>
        <v>Pass</v>
      </c>
      <c r="E485" s="6">
        <f>IF(Benchmark1[[#This Row],[Target Date Check]]="Pass",INDEX(Target1[Target Price],MATCH(Benchmark1[[#This Row],[Benchmark '#1 Dates]],Target1[Target Dates],0)),"-")</f>
        <v>27.05</v>
      </c>
      <c r="F485" s="22">
        <f>IF(Benchmark1[[#This Row],[Target Date Check]]="Pass",INDEX(Target1[Target Return],MATCH(Benchmark1[[#This Row],[Benchmark '#1 Dates]],Target1[Target Dates],0)),"-")</f>
        <v>1.489785468063696E-2</v>
      </c>
      <c r="G485" s="1">
        <f>IFERROR(IF(Benchmark1[[#This Row],[Target Date Check]]="Pass",Benchmark1[[#This Row],[Target Return]]-Benchmark1[[#This Row],[Benchmark '#1 Return]],"-"),"-")</f>
        <v>-1.0976655419028274E-2</v>
      </c>
      <c r="H485" s="1" t="str">
        <f>IF(COUNTIF(Comp1[Comparable '#1 Dates],Benchmark1[[#This Row],[Benchmark '#1 Dates]])=1,"Pass","Fail")</f>
        <v>Pass</v>
      </c>
      <c r="I485" s="6">
        <f>IF(Benchmark1[[#This Row],[Comparable '#1 Date Check]]="Pass",INDEX(Comp1[Comparable '#1 Price],MATCH(Benchmark1[[#This Row],[Benchmark '#1 Dates]],Comp1[Comparable '#1 Dates],0)),"-")</f>
        <v>11.45</v>
      </c>
      <c r="J485" s="22">
        <f>IF(Benchmark1[[#This Row],[Comparable '#1 Date Check]]="Pass",INDEX(Comp1[Comparable '#1 Return],MATCH(Benchmark1[[#This Row],[Benchmark '#1 Dates]],Comp1[Comparable '#1 Dates],0)),"-")</f>
        <v>3.5106915690838986E-2</v>
      </c>
      <c r="K485" s="1">
        <f>IFERROR(IF(Benchmark1[[#This Row],[Comparable '#1 Date Check]]="Pass",Benchmark1[[#This Row],[Comparable '#1 Return]]-Benchmark1[[#This Row],[Benchmark '#1 Return]],"-"),"-")</f>
        <v>9.2324055911737514E-3</v>
      </c>
      <c r="L485" s="1" t="str">
        <f>IF(COUNTIF(Comp2[Comparable '#2 Dates],Benchmark1[[#This Row],[Benchmark '#1 Dates]])=1,"Pass","Fail")</f>
        <v>Pass</v>
      </c>
      <c r="M485" s="6">
        <f>IF(Benchmark1[[#This Row],[Comparable '#2 Date Check]]="Pass",INDEX(Comp2[Comparable '#2 Price],MATCH(Benchmark1[[#This Row],[Benchmark '#1 Dates]],Comp2[Comparable '#2 Dates],0)),"-")</f>
        <v>35.89</v>
      </c>
      <c r="N485" s="22">
        <f>IF(Benchmark1[[#This Row],[Comparable '#2 Date Check]]="Pass",INDEX(Comp2[Comparable '#2 Return],MATCH(Benchmark1[[#This Row],[Benchmark '#1 Dates]],Comp2[Comparable '#2 Dates],0)),"-")</f>
        <v>1.9696753826022109E-2</v>
      </c>
      <c r="O485" s="1">
        <f>IFERROR(IF(Benchmark1[[#This Row],[Comparable '#2 Date Check]]="Pass",Benchmark1[[#This Row],[Comparable '#2 Return]]-Benchmark1[[#This Row],[Benchmark '#1 Return]],"-"),"-")</f>
        <v>-6.177756273643125E-3</v>
      </c>
      <c r="P485" s="1" t="str">
        <f>IF(COUNTIF(Comp3[Comparable '#3 Dates],Benchmark1[[#This Row],[Benchmark '#1 Dates]])=1,"Pass","Fail")</f>
        <v>Pass</v>
      </c>
      <c r="Q485" s="6">
        <f>IF(Benchmark1[[#This Row],[Comparable '#3 Date Check]]="Pass",INDEX(Comp3[Comparable '#3 Price],MATCH(Benchmark1[[#This Row],[Benchmark '#1 Dates]],Comp3[Comparable '#3 Dates],0)),"-")</f>
        <v>183.6</v>
      </c>
      <c r="R485" s="22">
        <f>IF(Benchmark1[[#This Row],[Comparable '#3 Date Check]]="Pass",INDEX(Comp3[Comparable '#3 Return],MATCH(Benchmark1[[#This Row],[Benchmark '#1 Dates]],Comp3[Comparable '#3 Dates],0)),"-")</f>
        <v>2.498268733772183E-2</v>
      </c>
      <c r="S485" s="1">
        <f>IFERROR(IF(Benchmark1[[#This Row],[Comparable '#3 Date Check]]="Pass",Benchmark1[[#This Row],[Comparable '#3 Return]]-Benchmark1[[#This Row],[Benchmark '#1 Return]],"-"),"-")</f>
        <v>-8.9182276194340465E-4</v>
      </c>
    </row>
    <row r="486" spans="1:19">
      <c r="A486" s="103">
        <v>43990</v>
      </c>
      <c r="B486" s="104">
        <v>3232.3857462910942</v>
      </c>
      <c r="C486" s="4">
        <f t="shared" si="7"/>
        <v>1.196905299651024E-2</v>
      </c>
      <c r="D486" s="1" t="str">
        <f>IF(COUNTIF(Target1[Target Dates],Benchmark1[[#This Row],[Benchmark '#1 Dates]])=1,"Pass","Fail")</f>
        <v>Pass</v>
      </c>
      <c r="E486" s="6">
        <f>IF(Benchmark1[[#This Row],[Target Date Check]]="Pass",INDEX(Target1[Target Price],MATCH(Benchmark1[[#This Row],[Benchmark '#1 Dates]],Target1[Target Dates],0)),"-")</f>
        <v>27.98</v>
      </c>
      <c r="F486" s="22">
        <f>IF(Benchmark1[[#This Row],[Target Date Check]]="Pass",INDEX(Target1[Target Return],MATCH(Benchmark1[[#This Row],[Benchmark '#1 Dates]],Target1[Target Dates],0)),"-")</f>
        <v>3.3802963944844625E-2</v>
      </c>
      <c r="G486" s="1">
        <f>IFERROR(IF(Benchmark1[[#This Row],[Target Date Check]]="Pass",Benchmark1[[#This Row],[Target Return]]-Benchmark1[[#This Row],[Benchmark '#1 Return]],"-"),"-")</f>
        <v>2.1833910948334385E-2</v>
      </c>
      <c r="H486" s="1" t="str">
        <f>IF(COUNTIF(Comp1[Comparable '#1 Dates],Benchmark1[[#This Row],[Benchmark '#1 Dates]])=1,"Pass","Fail")</f>
        <v>Pass</v>
      </c>
      <c r="I486" s="6">
        <f>IF(Benchmark1[[#This Row],[Comparable '#1 Date Check]]="Pass",INDEX(Comp1[Comparable '#1 Price],MATCH(Benchmark1[[#This Row],[Benchmark '#1 Dates]],Comp1[Comparable '#1 Dates],0)),"-")</f>
        <v>11.98</v>
      </c>
      <c r="J486" s="22">
        <f>IF(Benchmark1[[#This Row],[Comparable '#1 Date Check]]="Pass",INDEX(Comp1[Comparable '#1 Return],MATCH(Benchmark1[[#This Row],[Benchmark '#1 Dates]],Comp1[Comparable '#1 Dates],0)),"-")</f>
        <v>4.5248862687054719E-2</v>
      </c>
      <c r="K486" s="1">
        <f>IFERROR(IF(Benchmark1[[#This Row],[Comparable '#1 Date Check]]="Pass",Benchmark1[[#This Row],[Comparable '#1 Return]]-Benchmark1[[#This Row],[Benchmark '#1 Return]],"-"),"-")</f>
        <v>3.3279809690544476E-2</v>
      </c>
      <c r="L486" s="1" t="str">
        <f>IF(COUNTIF(Comp2[Comparable '#2 Dates],Benchmark1[[#This Row],[Benchmark '#1 Dates]])=1,"Pass","Fail")</f>
        <v>Pass</v>
      </c>
      <c r="M486" s="6">
        <f>IF(Benchmark1[[#This Row],[Comparable '#2 Date Check]]="Pass",INDEX(Comp2[Comparable '#2 Price],MATCH(Benchmark1[[#This Row],[Benchmark '#1 Dates]],Comp2[Comparable '#2 Dates],0)),"-")</f>
        <v>35.840000000000003</v>
      </c>
      <c r="N486" s="22">
        <f>IF(Benchmark1[[#This Row],[Comparable '#2 Date Check]]="Pass",INDEX(Comp2[Comparable '#2 Return],MATCH(Benchmark1[[#This Row],[Benchmark '#1 Dates]],Comp2[Comparable '#2 Dates],0)),"-")</f>
        <v>-1.3941170527860456E-3</v>
      </c>
      <c r="O486" s="1">
        <f>IFERROR(IF(Benchmark1[[#This Row],[Comparable '#2 Date Check]]="Pass",Benchmark1[[#This Row],[Comparable '#2 Return]]-Benchmark1[[#This Row],[Benchmark '#1 Return]],"-"),"-")</f>
        <v>-1.3363170049296285E-2</v>
      </c>
      <c r="P486" s="1" t="str">
        <f>IF(COUNTIF(Comp3[Comparable '#3 Dates],Benchmark1[[#This Row],[Benchmark '#1 Dates]])=1,"Pass","Fail")</f>
        <v>Pass</v>
      </c>
      <c r="Q486" s="6">
        <f>IF(Benchmark1[[#This Row],[Comparable '#3 Date Check]]="Pass",INDEX(Comp3[Comparable '#3 Price],MATCH(Benchmark1[[#This Row],[Benchmark '#1 Dates]],Comp3[Comparable '#3 Dates],0)),"-")</f>
        <v>184.48</v>
      </c>
      <c r="R486" s="22">
        <f>IF(Benchmark1[[#This Row],[Comparable '#3 Date Check]]="Pass",INDEX(Comp3[Comparable '#3 Return],MATCH(Benchmark1[[#This Row],[Benchmark '#1 Dates]],Comp3[Comparable '#3 Dates],0)),"-")</f>
        <v>4.7815783343587159E-3</v>
      </c>
      <c r="S486" s="1">
        <f>IFERROR(IF(Benchmark1[[#This Row],[Comparable '#3 Date Check]]="Pass",Benchmark1[[#This Row],[Comparable '#3 Return]]-Benchmark1[[#This Row],[Benchmark '#1 Return]],"-"),"-")</f>
        <v>-7.1874746621515238E-3</v>
      </c>
    </row>
    <row r="487" spans="1:19">
      <c r="A487" s="103">
        <v>43991</v>
      </c>
      <c r="B487" s="104">
        <v>3207.1780564260666</v>
      </c>
      <c r="C487" s="4">
        <f t="shared" si="7"/>
        <v>-7.8290453806316353E-3</v>
      </c>
      <c r="D487" s="1" t="str">
        <f>IF(COUNTIF(Target1[Target Dates],Benchmark1[[#This Row],[Benchmark '#1 Dates]])=1,"Pass","Fail")</f>
        <v>Pass</v>
      </c>
      <c r="E487" s="6">
        <f>IF(Benchmark1[[#This Row],[Target Date Check]]="Pass",INDEX(Target1[Target Price],MATCH(Benchmark1[[#This Row],[Benchmark '#1 Dates]],Target1[Target Dates],0)),"-")</f>
        <v>26.84</v>
      </c>
      <c r="F487" s="22">
        <f>IF(Benchmark1[[#This Row],[Target Date Check]]="Pass",INDEX(Target1[Target Return],MATCH(Benchmark1[[#This Row],[Benchmark '#1 Dates]],Target1[Target Dates],0)),"-")</f>
        <v>-4.159665713385409E-2</v>
      </c>
      <c r="G487" s="1">
        <f>IFERROR(IF(Benchmark1[[#This Row],[Target Date Check]]="Pass",Benchmark1[[#This Row],[Target Return]]-Benchmark1[[#This Row],[Benchmark '#1 Return]],"-"),"-")</f>
        <v>-3.3767611753222453E-2</v>
      </c>
      <c r="H487" s="1" t="str">
        <f>IF(COUNTIF(Comp1[Comparable '#1 Dates],Benchmark1[[#This Row],[Benchmark '#1 Dates]])=1,"Pass","Fail")</f>
        <v>Pass</v>
      </c>
      <c r="I487" s="6">
        <f>IF(Benchmark1[[#This Row],[Comparable '#1 Date Check]]="Pass",INDEX(Comp1[Comparable '#1 Price],MATCH(Benchmark1[[#This Row],[Benchmark '#1 Dates]],Comp1[Comparable '#1 Dates],0)),"-")</f>
        <v>11.664999999999999</v>
      </c>
      <c r="J487" s="22">
        <f>IF(Benchmark1[[#This Row],[Comparable '#1 Date Check]]="Pass",INDEX(Comp1[Comparable '#1 Return],MATCH(Benchmark1[[#This Row],[Benchmark '#1 Dates]],Comp1[Comparable '#1 Dates],0)),"-")</f>
        <v>-2.664568721391012E-2</v>
      </c>
      <c r="K487" s="1">
        <f>IFERROR(IF(Benchmark1[[#This Row],[Comparable '#1 Date Check]]="Pass",Benchmark1[[#This Row],[Comparable '#1 Return]]-Benchmark1[[#This Row],[Benchmark '#1 Return]],"-"),"-")</f>
        <v>-1.8816641833278483E-2</v>
      </c>
      <c r="L487" s="1" t="str">
        <f>IF(COUNTIF(Comp2[Comparable '#2 Dates],Benchmark1[[#This Row],[Benchmark '#1 Dates]])=1,"Pass","Fail")</f>
        <v>Pass</v>
      </c>
      <c r="M487" s="6">
        <f>IF(Benchmark1[[#This Row],[Comparable '#2 Date Check]]="Pass",INDEX(Comp2[Comparable '#2 Price],MATCH(Benchmark1[[#This Row],[Benchmark '#1 Dates]],Comp2[Comparable '#2 Dates],0)),"-")</f>
        <v>36.4</v>
      </c>
      <c r="N487" s="22">
        <f>IF(Benchmark1[[#This Row],[Comparable '#2 Date Check]]="Pass",INDEX(Comp2[Comparable '#2 Return],MATCH(Benchmark1[[#This Row],[Benchmark '#1 Dates]],Comp2[Comparable '#2 Dates],0)),"-")</f>
        <v>1.5504186535965036E-2</v>
      </c>
      <c r="O487" s="1">
        <f>IFERROR(IF(Benchmark1[[#This Row],[Comparable '#2 Date Check]]="Pass",Benchmark1[[#This Row],[Comparable '#2 Return]]-Benchmark1[[#This Row],[Benchmark '#1 Return]],"-"),"-")</f>
        <v>2.333323191659667E-2</v>
      </c>
      <c r="P487" s="1" t="str">
        <f>IF(COUNTIF(Comp3[Comparable '#3 Dates],Benchmark1[[#This Row],[Benchmark '#1 Dates]])=1,"Pass","Fail")</f>
        <v>Pass</v>
      </c>
      <c r="Q487" s="6">
        <f>IF(Benchmark1[[#This Row],[Comparable '#3 Date Check]]="Pass",INDEX(Comp3[Comparable '#3 Price],MATCH(Benchmark1[[#This Row],[Benchmark '#1 Dates]],Comp3[Comparable '#3 Dates],0)),"-")</f>
        <v>179.93</v>
      </c>
      <c r="R487" s="22">
        <f>IF(Benchmark1[[#This Row],[Comparable '#3 Date Check]]="Pass",INDEX(Comp3[Comparable '#3 Return],MATCH(Benchmark1[[#This Row],[Benchmark '#1 Dates]],Comp3[Comparable '#3 Dates],0)),"-")</f>
        <v>-2.4973170156321469E-2</v>
      </c>
      <c r="S487" s="1">
        <f>IFERROR(IF(Benchmark1[[#This Row],[Comparable '#3 Date Check]]="Pass",Benchmark1[[#This Row],[Comparable '#3 Return]]-Benchmark1[[#This Row],[Benchmark '#1 Return]],"-"),"-")</f>
        <v>-1.7144124775689835E-2</v>
      </c>
    </row>
    <row r="488" spans="1:19">
      <c r="A488" s="103">
        <v>43992</v>
      </c>
      <c r="B488" s="104">
        <v>3190.136033690962</v>
      </c>
      <c r="C488" s="4">
        <f t="shared" si="7"/>
        <v>-5.3278806725346297E-3</v>
      </c>
      <c r="D488" s="1" t="str">
        <f>IF(COUNTIF(Target1[Target Dates],Benchmark1[[#This Row],[Benchmark '#1 Dates]])=1,"Pass","Fail")</f>
        <v>Pass</v>
      </c>
      <c r="E488" s="6">
        <f>IF(Benchmark1[[#This Row],[Target Date Check]]="Pass",INDEX(Target1[Target Price],MATCH(Benchmark1[[#This Row],[Benchmark '#1 Dates]],Target1[Target Dates],0)),"-")</f>
        <v>26.72</v>
      </c>
      <c r="F488" s="22">
        <f>IF(Benchmark1[[#This Row],[Target Date Check]]="Pass",INDEX(Target1[Target Return],MATCH(Benchmark1[[#This Row],[Benchmark '#1 Dates]],Target1[Target Dates],0)),"-")</f>
        <v>-4.4809634350360924E-3</v>
      </c>
      <c r="G488" s="1">
        <f>IFERROR(IF(Benchmark1[[#This Row],[Target Date Check]]="Pass",Benchmark1[[#This Row],[Target Return]]-Benchmark1[[#This Row],[Benchmark '#1 Return]],"-"),"-")</f>
        <v>8.4691723749853731E-4</v>
      </c>
      <c r="H488" s="1" t="str">
        <f>IF(COUNTIF(Comp1[Comparable '#1 Dates],Benchmark1[[#This Row],[Benchmark '#1 Dates]])=1,"Pass","Fail")</f>
        <v>Pass</v>
      </c>
      <c r="I488" s="6">
        <f>IF(Benchmark1[[#This Row],[Comparable '#1 Date Check]]="Pass",INDEX(Comp1[Comparable '#1 Price],MATCH(Benchmark1[[#This Row],[Benchmark '#1 Dates]],Comp1[Comparable '#1 Dates],0)),"-")</f>
        <v>11.22</v>
      </c>
      <c r="J488" s="22">
        <f>IF(Benchmark1[[#This Row],[Comparable '#1 Date Check]]="Pass",INDEX(Comp1[Comparable '#1 Return],MATCH(Benchmark1[[#This Row],[Benchmark '#1 Dates]],Comp1[Comparable '#1 Dates],0)),"-")</f>
        <v>-3.889500537884287E-2</v>
      </c>
      <c r="K488" s="1">
        <f>IFERROR(IF(Benchmark1[[#This Row],[Comparable '#1 Date Check]]="Pass",Benchmark1[[#This Row],[Comparable '#1 Return]]-Benchmark1[[#This Row],[Benchmark '#1 Return]],"-"),"-")</f>
        <v>-3.3567124706308238E-2</v>
      </c>
      <c r="L488" s="1" t="str">
        <f>IF(COUNTIF(Comp2[Comparable '#2 Dates],Benchmark1[[#This Row],[Benchmark '#1 Dates]])=1,"Pass","Fail")</f>
        <v>Pass</v>
      </c>
      <c r="M488" s="6">
        <f>IF(Benchmark1[[#This Row],[Comparable '#2 Date Check]]="Pass",INDEX(Comp2[Comparable '#2 Price],MATCH(Benchmark1[[#This Row],[Benchmark '#1 Dates]],Comp2[Comparable '#2 Dates],0)),"-")</f>
        <v>35.19</v>
      </c>
      <c r="N488" s="22">
        <f>IF(Benchmark1[[#This Row],[Comparable '#2 Date Check]]="Pass",INDEX(Comp2[Comparable '#2 Return],MATCH(Benchmark1[[#This Row],[Benchmark '#1 Dates]],Comp2[Comparable '#2 Dates],0)),"-")</f>
        <v>-3.3806823309201185E-2</v>
      </c>
      <c r="O488" s="1">
        <f>IFERROR(IF(Benchmark1[[#This Row],[Comparable '#2 Date Check]]="Pass",Benchmark1[[#This Row],[Comparable '#2 Return]]-Benchmark1[[#This Row],[Benchmark '#1 Return]],"-"),"-")</f>
        <v>-2.8478942636666556E-2</v>
      </c>
      <c r="P488" s="1" t="str">
        <f>IF(COUNTIF(Comp3[Comparable '#3 Dates],Benchmark1[[#This Row],[Benchmark '#1 Dates]])=1,"Pass","Fail")</f>
        <v>Pass</v>
      </c>
      <c r="Q488" s="6">
        <f>IF(Benchmark1[[#This Row],[Comparable '#3 Date Check]]="Pass",INDEX(Comp3[Comparable '#3 Price],MATCH(Benchmark1[[#This Row],[Benchmark '#1 Dates]],Comp3[Comparable '#3 Dates],0)),"-")</f>
        <v>175.88</v>
      </c>
      <c r="R488" s="22">
        <f>IF(Benchmark1[[#This Row],[Comparable '#3 Date Check]]="Pass",INDEX(Comp3[Comparable '#3 Return],MATCH(Benchmark1[[#This Row],[Benchmark '#1 Dates]],Comp3[Comparable '#3 Dates],0)),"-")</f>
        <v>-2.2765942051818006E-2</v>
      </c>
      <c r="S488" s="1">
        <f>IFERROR(IF(Benchmark1[[#This Row],[Comparable '#3 Date Check]]="Pass",Benchmark1[[#This Row],[Comparable '#3 Return]]-Benchmark1[[#This Row],[Benchmark '#1 Return]],"-"),"-")</f>
        <v>-1.7438061379283377E-2</v>
      </c>
    </row>
    <row r="489" spans="1:19">
      <c r="A489" s="103">
        <v>43993</v>
      </c>
      <c r="B489" s="104">
        <v>3002.0953521832844</v>
      </c>
      <c r="C489" s="4">
        <f t="shared" si="7"/>
        <v>-6.0753064085124868E-2</v>
      </c>
      <c r="D489" s="1" t="str">
        <f>IF(COUNTIF(Target1[Target Dates],Benchmark1[[#This Row],[Benchmark '#1 Dates]])=1,"Pass","Fail")</f>
        <v>Pass</v>
      </c>
      <c r="E489" s="6">
        <f>IF(Benchmark1[[#This Row],[Target Date Check]]="Pass",INDEX(Target1[Target Price],MATCH(Benchmark1[[#This Row],[Benchmark '#1 Dates]],Target1[Target Dates],0)),"-")</f>
        <v>24.53</v>
      </c>
      <c r="F489" s="22">
        <f>IF(Benchmark1[[#This Row],[Target Date Check]]="Pass",INDEX(Target1[Target Return],MATCH(Benchmark1[[#This Row],[Benchmark '#1 Dates]],Target1[Target Dates],0)),"-")</f>
        <v>-8.5515490398046942E-2</v>
      </c>
      <c r="G489" s="1">
        <f>IFERROR(IF(Benchmark1[[#This Row],[Target Date Check]]="Pass",Benchmark1[[#This Row],[Target Return]]-Benchmark1[[#This Row],[Benchmark '#1 Return]],"-"),"-")</f>
        <v>-2.4762426312922074E-2</v>
      </c>
      <c r="H489" s="1" t="str">
        <f>IF(COUNTIF(Comp1[Comparable '#1 Dates],Benchmark1[[#This Row],[Benchmark '#1 Dates]])=1,"Pass","Fail")</f>
        <v>Pass</v>
      </c>
      <c r="I489" s="6">
        <f>IF(Benchmark1[[#This Row],[Comparable '#1 Date Check]]="Pass",INDEX(Comp1[Comparable '#1 Price],MATCH(Benchmark1[[#This Row],[Benchmark '#1 Dates]],Comp1[Comparable '#1 Dates],0)),"-")</f>
        <v>10.24</v>
      </c>
      <c r="J489" s="22">
        <f>IF(Benchmark1[[#This Row],[Comparable '#1 Date Check]]="Pass",INDEX(Comp1[Comparable '#1 Return],MATCH(Benchmark1[[#This Row],[Benchmark '#1 Dates]],Comp1[Comparable '#1 Dates],0)),"-")</f>
        <v>-9.1396280483188583E-2</v>
      </c>
      <c r="K489" s="1">
        <f>IFERROR(IF(Benchmark1[[#This Row],[Comparable '#1 Date Check]]="Pass",Benchmark1[[#This Row],[Comparable '#1 Return]]-Benchmark1[[#This Row],[Benchmark '#1 Return]],"-"),"-")</f>
        <v>-3.0643216398063715E-2</v>
      </c>
      <c r="L489" s="1" t="str">
        <f>IF(COUNTIF(Comp2[Comparable '#2 Dates],Benchmark1[[#This Row],[Benchmark '#1 Dates]])=1,"Pass","Fail")</f>
        <v>Pass</v>
      </c>
      <c r="M489" s="6">
        <f>IF(Benchmark1[[#This Row],[Comparable '#2 Date Check]]="Pass",INDEX(Comp2[Comparable '#2 Price],MATCH(Benchmark1[[#This Row],[Benchmark '#1 Dates]],Comp2[Comparable '#2 Dates],0)),"-")</f>
        <v>33.880000000000003</v>
      </c>
      <c r="N489" s="22">
        <f>IF(Benchmark1[[#This Row],[Comparable '#2 Date Check]]="Pass",INDEX(Comp2[Comparable '#2 Return],MATCH(Benchmark1[[#This Row],[Benchmark '#1 Dates]],Comp2[Comparable '#2 Dates],0)),"-")</f>
        <v>-3.7937081549639977E-2</v>
      </c>
      <c r="O489" s="1">
        <f>IFERROR(IF(Benchmark1[[#This Row],[Comparable '#2 Date Check]]="Pass",Benchmark1[[#This Row],[Comparable '#2 Return]]-Benchmark1[[#This Row],[Benchmark '#1 Return]],"-"),"-")</f>
        <v>2.2815982535484891E-2</v>
      </c>
      <c r="P489" s="1" t="str">
        <f>IF(COUNTIF(Comp3[Comparable '#3 Dates],Benchmark1[[#This Row],[Benchmark '#1 Dates]])=1,"Pass","Fail")</f>
        <v>Pass</v>
      </c>
      <c r="Q489" s="6">
        <f>IF(Benchmark1[[#This Row],[Comparable '#3 Date Check]]="Pass",INDEX(Comp3[Comparable '#3 Price],MATCH(Benchmark1[[#This Row],[Benchmark '#1 Dates]],Comp3[Comparable '#3 Dates],0)),"-")</f>
        <v>164.61</v>
      </c>
      <c r="R489" s="22">
        <f>IF(Benchmark1[[#This Row],[Comparable '#3 Date Check]]="Pass",INDEX(Comp3[Comparable '#3 Return],MATCH(Benchmark1[[#This Row],[Benchmark '#1 Dates]],Comp3[Comparable '#3 Dates],0)),"-")</f>
        <v>-6.6222904573615488E-2</v>
      </c>
      <c r="S489" s="1">
        <f>IFERROR(IF(Benchmark1[[#This Row],[Comparable '#3 Date Check]]="Pass",Benchmark1[[#This Row],[Comparable '#3 Return]]-Benchmark1[[#This Row],[Benchmark '#1 Return]],"-"),"-")</f>
        <v>-5.4698404884906196E-3</v>
      </c>
    </row>
    <row r="490" spans="1:19">
      <c r="A490" s="103">
        <v>43994</v>
      </c>
      <c r="B490" s="104">
        <v>3041.3123238336857</v>
      </c>
      <c r="C490" s="4">
        <f t="shared" si="7"/>
        <v>1.2978612147692713E-2</v>
      </c>
      <c r="D490" s="1" t="str">
        <f>IF(COUNTIF(Target1[Target Dates],Benchmark1[[#This Row],[Benchmark '#1 Dates]])=1,"Pass","Fail")</f>
        <v>Pass</v>
      </c>
      <c r="E490" s="6">
        <f>IF(Benchmark1[[#This Row],[Target Date Check]]="Pass",INDEX(Target1[Target Price],MATCH(Benchmark1[[#This Row],[Benchmark '#1 Dates]],Target1[Target Dates],0)),"-")</f>
        <v>24.22</v>
      </c>
      <c r="F490" s="22">
        <f>IF(Benchmark1[[#This Row],[Target Date Check]]="Pass",INDEX(Target1[Target Return],MATCH(Benchmark1[[#This Row],[Benchmark '#1 Dates]],Target1[Target Dates],0)),"-")</f>
        <v>-1.271812014545186E-2</v>
      </c>
      <c r="G490" s="1">
        <f>IFERROR(IF(Benchmark1[[#This Row],[Target Date Check]]="Pass",Benchmark1[[#This Row],[Target Return]]-Benchmark1[[#This Row],[Benchmark '#1 Return]],"-"),"-")</f>
        <v>-2.5696732293144571E-2</v>
      </c>
      <c r="H490" s="1" t="str">
        <f>IF(COUNTIF(Comp1[Comparable '#1 Dates],Benchmark1[[#This Row],[Benchmark '#1 Dates]])=1,"Pass","Fail")</f>
        <v>Pass</v>
      </c>
      <c r="I490" s="6">
        <f>IF(Benchmark1[[#This Row],[Comparable '#1 Date Check]]="Pass",INDEX(Comp1[Comparable '#1 Price],MATCH(Benchmark1[[#This Row],[Benchmark '#1 Dates]],Comp1[Comparable '#1 Dates],0)),"-")</f>
        <v>10.38</v>
      </c>
      <c r="J490" s="22">
        <f>IF(Benchmark1[[#This Row],[Comparable '#1 Date Check]]="Pass",INDEX(Comp1[Comparable '#1 Return],MATCH(Benchmark1[[#This Row],[Benchmark '#1 Dates]],Comp1[Comparable '#1 Dates],0)),"-")</f>
        <v>1.3579258126380854E-2</v>
      </c>
      <c r="K490" s="1">
        <f>IFERROR(IF(Benchmark1[[#This Row],[Comparable '#1 Date Check]]="Pass",Benchmark1[[#This Row],[Comparable '#1 Return]]-Benchmark1[[#This Row],[Benchmark '#1 Return]],"-"),"-")</f>
        <v>6.0064597868814129E-4</v>
      </c>
      <c r="L490" s="1" t="str">
        <f>IF(COUNTIF(Comp2[Comparable '#2 Dates],Benchmark1[[#This Row],[Benchmark '#1 Dates]])=1,"Pass","Fail")</f>
        <v>Pass</v>
      </c>
      <c r="M490" s="6">
        <f>IF(Benchmark1[[#This Row],[Comparable '#2 Date Check]]="Pass",INDEX(Comp2[Comparable '#2 Price],MATCH(Benchmark1[[#This Row],[Benchmark '#1 Dates]],Comp2[Comparable '#2 Dates],0)),"-")</f>
        <v>33.72</v>
      </c>
      <c r="N490" s="22">
        <f>IF(Benchmark1[[#This Row],[Comparable '#2 Date Check]]="Pass",INDEX(Comp2[Comparable '#2 Return],MATCH(Benchmark1[[#This Row],[Benchmark '#1 Dates]],Comp2[Comparable '#2 Dates],0)),"-")</f>
        <v>-4.73373665019908E-3</v>
      </c>
      <c r="O490" s="1">
        <f>IFERROR(IF(Benchmark1[[#This Row],[Comparable '#2 Date Check]]="Pass",Benchmark1[[#This Row],[Comparable '#2 Return]]-Benchmark1[[#This Row],[Benchmark '#1 Return]],"-"),"-")</f>
        <v>-1.7712348797891794E-2</v>
      </c>
      <c r="P490" s="1" t="str">
        <f>IF(COUNTIF(Comp3[Comparable '#3 Dates],Benchmark1[[#This Row],[Benchmark '#1 Dates]])=1,"Pass","Fail")</f>
        <v>Pass</v>
      </c>
      <c r="Q490" s="6">
        <f>IF(Benchmark1[[#This Row],[Comparable '#3 Date Check]]="Pass",INDEX(Comp3[Comparable '#3 Price],MATCH(Benchmark1[[#This Row],[Benchmark '#1 Dates]],Comp3[Comparable '#3 Dates],0)),"-")</f>
        <v>161.61000000000001</v>
      </c>
      <c r="R490" s="22">
        <f>IF(Benchmark1[[#This Row],[Comparable '#3 Date Check]]="Pass",INDEX(Comp3[Comparable '#3 Return],MATCH(Benchmark1[[#This Row],[Benchmark '#1 Dates]],Comp3[Comparable '#3 Dates],0)),"-")</f>
        <v>-1.8393014378441628E-2</v>
      </c>
      <c r="S490" s="1">
        <f>IFERROR(IF(Benchmark1[[#This Row],[Comparable '#3 Date Check]]="Pass",Benchmark1[[#This Row],[Comparable '#3 Return]]-Benchmark1[[#This Row],[Benchmark '#1 Return]],"-"),"-")</f>
        <v>-3.1371626526134344E-2</v>
      </c>
    </row>
    <row r="491" spans="1:19">
      <c r="A491" s="103">
        <v>43997</v>
      </c>
      <c r="B491" s="104">
        <v>3066.588842221965</v>
      </c>
      <c r="C491" s="4">
        <f t="shared" si="7"/>
        <v>8.2767097881832116E-3</v>
      </c>
      <c r="D491" s="1" t="str">
        <f>IF(COUNTIF(Target1[Target Dates],Benchmark1[[#This Row],[Benchmark '#1 Dates]])=1,"Pass","Fail")</f>
        <v>Pass</v>
      </c>
      <c r="E491" s="6">
        <f>IF(Benchmark1[[#This Row],[Target Date Check]]="Pass",INDEX(Target1[Target Price],MATCH(Benchmark1[[#This Row],[Benchmark '#1 Dates]],Target1[Target Dates],0)),"-")</f>
        <v>24.52</v>
      </c>
      <c r="F491" s="22">
        <f>IF(Benchmark1[[#This Row],[Target Date Check]]="Pass",INDEX(Target1[Target Return],MATCH(Benchmark1[[#This Row],[Benchmark '#1 Dates]],Target1[Target Dates],0)),"-")</f>
        <v>1.2310372943064474E-2</v>
      </c>
      <c r="G491" s="1">
        <f>IFERROR(IF(Benchmark1[[#This Row],[Target Date Check]]="Pass",Benchmark1[[#This Row],[Target Return]]-Benchmark1[[#This Row],[Benchmark '#1 Return]],"-"),"-")</f>
        <v>4.0336631548812622E-3</v>
      </c>
      <c r="H491" s="1" t="str">
        <f>IF(COUNTIF(Comp1[Comparable '#1 Dates],Benchmark1[[#This Row],[Benchmark '#1 Dates]])=1,"Pass","Fail")</f>
        <v>Pass</v>
      </c>
      <c r="I491" s="6">
        <f>IF(Benchmark1[[#This Row],[Comparable '#1 Date Check]]="Pass",INDEX(Comp1[Comparable '#1 Price],MATCH(Benchmark1[[#This Row],[Benchmark '#1 Dates]],Comp1[Comparable '#1 Dates],0)),"-")</f>
        <v>10.15</v>
      </c>
      <c r="J491" s="22">
        <f>IF(Benchmark1[[#This Row],[Comparable '#1 Date Check]]="Pass",INDEX(Comp1[Comparable '#1 Return],MATCH(Benchmark1[[#This Row],[Benchmark '#1 Dates]],Comp1[Comparable '#1 Dates],0)),"-")</f>
        <v>-2.2407172249946334E-2</v>
      </c>
      <c r="K491" s="1">
        <f>IFERROR(IF(Benchmark1[[#This Row],[Comparable '#1 Date Check]]="Pass",Benchmark1[[#This Row],[Comparable '#1 Return]]-Benchmark1[[#This Row],[Benchmark '#1 Return]],"-"),"-")</f>
        <v>-3.0683882038129544E-2</v>
      </c>
      <c r="L491" s="1" t="str">
        <f>IF(COUNTIF(Comp2[Comparable '#2 Dates],Benchmark1[[#This Row],[Benchmark '#1 Dates]])=1,"Pass","Fail")</f>
        <v>Pass</v>
      </c>
      <c r="M491" s="6">
        <f>IF(Benchmark1[[#This Row],[Comparable '#2 Date Check]]="Pass",INDEX(Comp2[Comparable '#2 Price],MATCH(Benchmark1[[#This Row],[Benchmark '#1 Dates]],Comp2[Comparable '#2 Dates],0)),"-")</f>
        <v>33.78</v>
      </c>
      <c r="N491" s="22">
        <f>IF(Benchmark1[[#This Row],[Comparable '#2 Date Check]]="Pass",INDEX(Comp2[Comparable '#2 Return],MATCH(Benchmark1[[#This Row],[Benchmark '#1 Dates]],Comp2[Comparable '#2 Dates],0)),"-")</f>
        <v>1.7777782459993572E-3</v>
      </c>
      <c r="O491" s="1">
        <f>IFERROR(IF(Benchmark1[[#This Row],[Comparable '#2 Date Check]]="Pass",Benchmark1[[#This Row],[Comparable '#2 Return]]-Benchmark1[[#This Row],[Benchmark '#1 Return]],"-"),"-")</f>
        <v>-6.4989315421838546E-3</v>
      </c>
      <c r="P491" s="1" t="str">
        <f>IF(COUNTIF(Comp3[Comparable '#3 Dates],Benchmark1[[#This Row],[Benchmark '#1 Dates]])=1,"Pass","Fail")</f>
        <v>Pass</v>
      </c>
      <c r="Q491" s="6">
        <f>IF(Benchmark1[[#This Row],[Comparable '#3 Date Check]]="Pass",INDEX(Comp3[Comparable '#3 Price],MATCH(Benchmark1[[#This Row],[Benchmark '#1 Dates]],Comp3[Comparable '#3 Dates],0)),"-")</f>
        <v>148.13</v>
      </c>
      <c r="R491" s="22">
        <f>IF(Benchmark1[[#This Row],[Comparable '#3 Date Check]]="Pass",INDEX(Comp3[Comparable '#3 Return],MATCH(Benchmark1[[#This Row],[Benchmark '#1 Dates]],Comp3[Comparable '#3 Dates],0)),"-")</f>
        <v>-8.7095758766591411E-2</v>
      </c>
      <c r="S491" s="1">
        <f>IFERROR(IF(Benchmark1[[#This Row],[Comparable '#3 Date Check]]="Pass",Benchmark1[[#This Row],[Comparable '#3 Return]]-Benchmark1[[#This Row],[Benchmark '#1 Return]],"-"),"-")</f>
        <v>-9.5372468554774617E-2</v>
      </c>
    </row>
    <row r="492" spans="1:19">
      <c r="A492" s="103">
        <v>43998</v>
      </c>
      <c r="B492" s="104">
        <v>3124.7399265026702</v>
      </c>
      <c r="C492" s="4">
        <f t="shared" si="7"/>
        <v>1.8785238677396073E-2</v>
      </c>
      <c r="D492" s="1" t="str">
        <f>IF(COUNTIF(Target1[Target Dates],Benchmark1[[#This Row],[Benchmark '#1 Dates]])=1,"Pass","Fail")</f>
        <v>Pass</v>
      </c>
      <c r="E492" s="6">
        <f>IF(Benchmark1[[#This Row],[Target Date Check]]="Pass",INDEX(Target1[Target Price],MATCH(Benchmark1[[#This Row],[Benchmark '#1 Dates]],Target1[Target Dates],0)),"-")</f>
        <v>24.97</v>
      </c>
      <c r="F492" s="22">
        <f>IF(Benchmark1[[#This Row],[Target Date Check]]="Pass",INDEX(Target1[Target Return],MATCH(Benchmark1[[#This Row],[Benchmark '#1 Dates]],Target1[Target Dates],0)),"-")</f>
        <v>1.8185993223671201E-2</v>
      </c>
      <c r="G492" s="1">
        <f>IFERROR(IF(Benchmark1[[#This Row],[Target Date Check]]="Pass",Benchmark1[[#This Row],[Target Return]]-Benchmark1[[#This Row],[Benchmark '#1 Return]],"-"),"-")</f>
        <v>-5.992454537248719E-4</v>
      </c>
      <c r="H492" s="1" t="str">
        <f>IF(COUNTIF(Comp1[Comparable '#1 Dates],Benchmark1[[#This Row],[Benchmark '#1 Dates]])=1,"Pass","Fail")</f>
        <v>Pass</v>
      </c>
      <c r="I492" s="6">
        <f>IF(Benchmark1[[#This Row],[Comparable '#1 Date Check]]="Pass",INDEX(Comp1[Comparable '#1 Price],MATCH(Benchmark1[[#This Row],[Benchmark '#1 Dates]],Comp1[Comparable '#1 Dates],0)),"-")</f>
        <v>10.3</v>
      </c>
      <c r="J492" s="22">
        <f>IF(Benchmark1[[#This Row],[Comparable '#1 Date Check]]="Pass",INDEX(Comp1[Comparable '#1 Return],MATCH(Benchmark1[[#This Row],[Benchmark '#1 Dates]],Comp1[Comparable '#1 Dates],0)),"-")</f>
        <v>1.4670189747793839E-2</v>
      </c>
      <c r="K492" s="1">
        <f>IFERROR(IF(Benchmark1[[#This Row],[Comparable '#1 Date Check]]="Pass",Benchmark1[[#This Row],[Comparable '#1 Return]]-Benchmark1[[#This Row],[Benchmark '#1 Return]],"-"),"-")</f>
        <v>-4.1150489296022334E-3</v>
      </c>
      <c r="L492" s="1" t="str">
        <f>IF(COUNTIF(Comp2[Comparable '#2 Dates],Benchmark1[[#This Row],[Benchmark '#1 Dates]])=1,"Pass","Fail")</f>
        <v>Pass</v>
      </c>
      <c r="M492" s="6">
        <f>IF(Benchmark1[[#This Row],[Comparable '#2 Date Check]]="Pass",INDEX(Comp2[Comparable '#2 Price],MATCH(Benchmark1[[#This Row],[Benchmark '#1 Dates]],Comp2[Comparable '#2 Dates],0)),"-")</f>
        <v>33.1</v>
      </c>
      <c r="N492" s="22">
        <f>IF(Benchmark1[[#This Row],[Comparable '#2 Date Check]]="Pass",INDEX(Comp2[Comparable '#2 Return],MATCH(Benchmark1[[#This Row],[Benchmark '#1 Dates]],Comp2[Comparable '#2 Dates],0)),"-")</f>
        <v>-2.0335628996636802E-2</v>
      </c>
      <c r="O492" s="1">
        <f>IFERROR(IF(Benchmark1[[#This Row],[Comparable '#2 Date Check]]="Pass",Benchmark1[[#This Row],[Comparable '#2 Return]]-Benchmark1[[#This Row],[Benchmark '#1 Return]],"-"),"-")</f>
        <v>-3.9120867674032875E-2</v>
      </c>
      <c r="P492" s="1" t="str">
        <f>IF(COUNTIF(Comp3[Comparable '#3 Dates],Benchmark1[[#This Row],[Benchmark '#1 Dates]])=1,"Pass","Fail")</f>
        <v>Pass</v>
      </c>
      <c r="Q492" s="6">
        <f>IF(Benchmark1[[#This Row],[Comparable '#3 Date Check]]="Pass",INDEX(Comp3[Comparable '#3 Price],MATCH(Benchmark1[[#This Row],[Benchmark '#1 Dates]],Comp3[Comparable '#3 Dates],0)),"-")</f>
        <v>155.37</v>
      </c>
      <c r="R492" s="22">
        <f>IF(Benchmark1[[#This Row],[Comparable '#3 Date Check]]="Pass",INDEX(Comp3[Comparable '#3 Return],MATCH(Benchmark1[[#This Row],[Benchmark '#1 Dates]],Comp3[Comparable '#3 Dates],0)),"-")</f>
        <v>4.7719102509949152E-2</v>
      </c>
      <c r="S492" s="1">
        <f>IFERROR(IF(Benchmark1[[#This Row],[Comparable '#3 Date Check]]="Pass",Benchmark1[[#This Row],[Comparable '#3 Return]]-Benchmark1[[#This Row],[Benchmark '#1 Return]],"-"),"-")</f>
        <v>2.8933863832553079E-2</v>
      </c>
    </row>
    <row r="493" spans="1:19">
      <c r="A493" s="103">
        <v>43999</v>
      </c>
      <c r="B493" s="104">
        <v>3113.4890616141715</v>
      </c>
      <c r="C493" s="4">
        <f t="shared" si="7"/>
        <v>-3.6070740938374262E-3</v>
      </c>
      <c r="D493" s="1" t="str">
        <f>IF(COUNTIF(Target1[Target Dates],Benchmark1[[#This Row],[Benchmark '#1 Dates]])=1,"Pass","Fail")</f>
        <v>Pass</v>
      </c>
      <c r="E493" s="6">
        <f>IF(Benchmark1[[#This Row],[Target Date Check]]="Pass",INDEX(Target1[Target Price],MATCH(Benchmark1[[#This Row],[Benchmark '#1 Dates]],Target1[Target Dates],0)),"-")</f>
        <v>24.57</v>
      </c>
      <c r="F493" s="22">
        <f>IF(Benchmark1[[#This Row],[Target Date Check]]="Pass",INDEX(Target1[Target Return],MATCH(Benchmark1[[#This Row],[Benchmark '#1 Dates]],Target1[Target Dates],0)),"-")</f>
        <v>-1.6148917758593995E-2</v>
      </c>
      <c r="G493" s="1">
        <f>IFERROR(IF(Benchmark1[[#This Row],[Target Date Check]]="Pass",Benchmark1[[#This Row],[Target Return]]-Benchmark1[[#This Row],[Benchmark '#1 Return]],"-"),"-")</f>
        <v>-1.254184366475657E-2</v>
      </c>
      <c r="H493" s="1" t="str">
        <f>IF(COUNTIF(Comp1[Comparable '#1 Dates],Benchmark1[[#This Row],[Benchmark '#1 Dates]])=1,"Pass","Fail")</f>
        <v>Pass</v>
      </c>
      <c r="I493" s="6">
        <f>IF(Benchmark1[[#This Row],[Comparable '#1 Date Check]]="Pass",INDEX(Comp1[Comparable '#1 Price],MATCH(Benchmark1[[#This Row],[Benchmark '#1 Dates]],Comp1[Comparable '#1 Dates],0)),"-")</f>
        <v>10.25</v>
      </c>
      <c r="J493" s="22">
        <f>IF(Benchmark1[[#This Row],[Comparable '#1 Date Check]]="Pass",INDEX(Comp1[Comparable '#1 Return],MATCH(Benchmark1[[#This Row],[Benchmark '#1 Dates]],Comp1[Comparable '#1 Dates],0)),"-")</f>
        <v>-4.8661896511730113E-3</v>
      </c>
      <c r="K493" s="1">
        <f>IFERROR(IF(Benchmark1[[#This Row],[Comparable '#1 Date Check]]="Pass",Benchmark1[[#This Row],[Comparable '#1 Return]]-Benchmark1[[#This Row],[Benchmark '#1 Return]],"-"),"-")</f>
        <v>-1.2591155573355851E-3</v>
      </c>
      <c r="L493" s="1" t="str">
        <f>IF(COUNTIF(Comp2[Comparable '#2 Dates],Benchmark1[[#This Row],[Benchmark '#1 Dates]])=1,"Pass","Fail")</f>
        <v>Pass</v>
      </c>
      <c r="M493" s="6">
        <f>IF(Benchmark1[[#This Row],[Comparable '#2 Date Check]]="Pass",INDEX(Comp2[Comparable '#2 Price],MATCH(Benchmark1[[#This Row],[Benchmark '#1 Dates]],Comp2[Comparable '#2 Dates],0)),"-")</f>
        <v>32.75</v>
      </c>
      <c r="N493" s="22">
        <f>IF(Benchmark1[[#This Row],[Comparable '#2 Date Check]]="Pass",INDEX(Comp2[Comparable '#2 Return],MATCH(Benchmark1[[#This Row],[Benchmark '#1 Dates]],Comp2[Comparable '#2 Dates],0)),"-")</f>
        <v>-1.063032030175637E-2</v>
      </c>
      <c r="O493" s="1">
        <f>IFERROR(IF(Benchmark1[[#This Row],[Comparable '#2 Date Check]]="Pass",Benchmark1[[#This Row],[Comparable '#2 Return]]-Benchmark1[[#This Row],[Benchmark '#1 Return]],"-"),"-")</f>
        <v>-7.0232462079189446E-3</v>
      </c>
      <c r="P493" s="1" t="str">
        <f>IF(COUNTIF(Comp3[Comparable '#3 Dates],Benchmark1[[#This Row],[Benchmark '#1 Dates]])=1,"Pass","Fail")</f>
        <v>Pass</v>
      </c>
      <c r="Q493" s="6">
        <f>IF(Benchmark1[[#This Row],[Comparable '#3 Date Check]]="Pass",INDEX(Comp3[Comparable '#3 Price],MATCH(Benchmark1[[#This Row],[Benchmark '#1 Dates]],Comp3[Comparable '#3 Dates],0)),"-")</f>
        <v>150.24</v>
      </c>
      <c r="R493" s="22">
        <f>IF(Benchmark1[[#This Row],[Comparable '#3 Date Check]]="Pass",INDEX(Comp3[Comparable '#3 Return],MATCH(Benchmark1[[#This Row],[Benchmark '#1 Dates]],Comp3[Comparable '#3 Dates],0)),"-")</f>
        <v>-3.3575353643956925E-2</v>
      </c>
      <c r="S493" s="1">
        <f>IFERROR(IF(Benchmark1[[#This Row],[Comparable '#3 Date Check]]="Pass",Benchmark1[[#This Row],[Comparable '#3 Return]]-Benchmark1[[#This Row],[Benchmark '#1 Return]],"-"),"-")</f>
        <v>-2.9968279550119499E-2</v>
      </c>
    </row>
    <row r="494" spans="1:19">
      <c r="A494" s="103">
        <v>44000</v>
      </c>
      <c r="B494" s="104">
        <v>3115.3447681661924</v>
      </c>
      <c r="C494" s="4">
        <f t="shared" si="7"/>
        <v>5.9584399187242586E-4</v>
      </c>
      <c r="D494" s="1" t="str">
        <f>IF(COUNTIF(Target1[Target Dates],Benchmark1[[#This Row],[Benchmark '#1 Dates]])=1,"Pass","Fail")</f>
        <v>Pass</v>
      </c>
      <c r="E494" s="6">
        <f>IF(Benchmark1[[#This Row],[Target Date Check]]="Pass",INDEX(Target1[Target Price],MATCH(Benchmark1[[#This Row],[Benchmark '#1 Dates]],Target1[Target Dates],0)),"-")</f>
        <v>25.07</v>
      </c>
      <c r="F494" s="22">
        <f>IF(Benchmark1[[#This Row],[Target Date Check]]="Pass",INDEX(Target1[Target Return],MATCH(Benchmark1[[#This Row],[Benchmark '#1 Dates]],Target1[Target Dates],0)),"-")</f>
        <v>2.0145725637114351E-2</v>
      </c>
      <c r="G494" s="1">
        <f>IFERROR(IF(Benchmark1[[#This Row],[Target Date Check]]="Pass",Benchmark1[[#This Row],[Target Return]]-Benchmark1[[#This Row],[Benchmark '#1 Return]],"-"),"-")</f>
        <v>1.9549881645241924E-2</v>
      </c>
      <c r="H494" s="1" t="str">
        <f>IF(COUNTIF(Comp1[Comparable '#1 Dates],Benchmark1[[#This Row],[Benchmark '#1 Dates]])=1,"Pass","Fail")</f>
        <v>Pass</v>
      </c>
      <c r="I494" s="6">
        <f>IF(Benchmark1[[#This Row],[Comparable '#1 Date Check]]="Pass",INDEX(Comp1[Comparable '#1 Price],MATCH(Benchmark1[[#This Row],[Benchmark '#1 Dates]],Comp1[Comparable '#1 Dates],0)),"-")</f>
        <v>10.08</v>
      </c>
      <c r="J494" s="22">
        <f>IF(Benchmark1[[#This Row],[Comparable '#1 Date Check]]="Pass",INDEX(Comp1[Comparable '#1 Return],MATCH(Benchmark1[[#This Row],[Benchmark '#1 Dates]],Comp1[Comparable '#1 Dates],0)),"-")</f>
        <v>-1.6724442941194642E-2</v>
      </c>
      <c r="K494" s="1">
        <f>IFERROR(IF(Benchmark1[[#This Row],[Comparable '#1 Date Check]]="Pass",Benchmark1[[#This Row],[Comparable '#1 Return]]-Benchmark1[[#This Row],[Benchmark '#1 Return]],"-"),"-")</f>
        <v>-1.7320286933067069E-2</v>
      </c>
      <c r="L494" s="1" t="str">
        <f>IF(COUNTIF(Comp2[Comparable '#2 Dates],Benchmark1[[#This Row],[Benchmark '#1 Dates]])=1,"Pass","Fail")</f>
        <v>Pass</v>
      </c>
      <c r="M494" s="6">
        <f>IF(Benchmark1[[#This Row],[Comparable '#2 Date Check]]="Pass",INDEX(Comp2[Comparable '#2 Price],MATCH(Benchmark1[[#This Row],[Benchmark '#1 Dates]],Comp2[Comparable '#2 Dates],0)),"-")</f>
        <v>32.65</v>
      </c>
      <c r="N494" s="22">
        <f>IF(Benchmark1[[#This Row],[Comparable '#2 Date Check]]="Pass",INDEX(Comp2[Comparable '#2 Return],MATCH(Benchmark1[[#This Row],[Benchmark '#1 Dates]],Comp2[Comparable '#2 Dates],0)),"-")</f>
        <v>-3.0581063588208846E-3</v>
      </c>
      <c r="O494" s="1">
        <f>IFERROR(IF(Benchmark1[[#This Row],[Comparable '#2 Date Check]]="Pass",Benchmark1[[#This Row],[Comparable '#2 Return]]-Benchmark1[[#This Row],[Benchmark '#1 Return]],"-"),"-")</f>
        <v>-3.6539503506933103E-3</v>
      </c>
      <c r="P494" s="1" t="str">
        <f>IF(COUNTIF(Comp3[Comparable '#3 Dates],Benchmark1[[#This Row],[Benchmark '#1 Dates]])=1,"Pass","Fail")</f>
        <v>Pass</v>
      </c>
      <c r="Q494" s="6">
        <f>IF(Benchmark1[[#This Row],[Comparable '#3 Date Check]]="Pass",INDEX(Comp3[Comparable '#3 Price],MATCH(Benchmark1[[#This Row],[Benchmark '#1 Dates]],Comp3[Comparable '#3 Dates],0)),"-")</f>
        <v>148.51499999999999</v>
      </c>
      <c r="R494" s="22">
        <f>IF(Benchmark1[[#This Row],[Comparable '#3 Date Check]]="Pass",INDEX(Comp3[Comparable '#3 Return],MATCH(Benchmark1[[#This Row],[Benchmark '#1 Dates]],Comp3[Comparable '#3 Dates],0)),"-")</f>
        <v>-1.1548052217365237E-2</v>
      </c>
      <c r="S494" s="1">
        <f>IFERROR(IF(Benchmark1[[#This Row],[Comparable '#3 Date Check]]="Pass",Benchmark1[[#This Row],[Comparable '#3 Return]]-Benchmark1[[#This Row],[Benchmark '#1 Return]],"-"),"-")</f>
        <v>-1.2143896209237663E-2</v>
      </c>
    </row>
    <row r="495" spans="1:19">
      <c r="A495" s="103">
        <v>44001</v>
      </c>
      <c r="B495" s="104">
        <v>3097.7424904429799</v>
      </c>
      <c r="C495" s="4">
        <f t="shared" si="7"/>
        <v>-5.666208789704706E-3</v>
      </c>
      <c r="D495" s="1" t="str">
        <f>IF(COUNTIF(Target1[Target Dates],Benchmark1[[#This Row],[Benchmark '#1 Dates]])=1,"Pass","Fail")</f>
        <v>Pass</v>
      </c>
      <c r="E495" s="6">
        <f>IF(Benchmark1[[#This Row],[Target Date Check]]="Pass",INDEX(Target1[Target Price],MATCH(Benchmark1[[#This Row],[Benchmark '#1 Dates]],Target1[Target Dates],0)),"-")</f>
        <v>26.23</v>
      </c>
      <c r="F495" s="22">
        <f>IF(Benchmark1[[#This Row],[Target Date Check]]="Pass",INDEX(Target1[Target Return],MATCH(Benchmark1[[#This Row],[Benchmark '#1 Dates]],Target1[Target Dates],0)),"-")</f>
        <v>4.5231881708580189E-2</v>
      </c>
      <c r="G495" s="1">
        <f>IFERROR(IF(Benchmark1[[#This Row],[Target Date Check]]="Pass",Benchmark1[[#This Row],[Target Return]]-Benchmark1[[#This Row],[Benchmark '#1 Return]],"-"),"-")</f>
        <v>5.0898090498284893E-2</v>
      </c>
      <c r="H495" s="1" t="str">
        <f>IF(COUNTIF(Comp1[Comparable '#1 Dates],Benchmark1[[#This Row],[Benchmark '#1 Dates]])=1,"Pass","Fail")</f>
        <v>Pass</v>
      </c>
      <c r="I495" s="6">
        <f>IF(Benchmark1[[#This Row],[Comparable '#1 Date Check]]="Pass",INDEX(Comp1[Comparable '#1 Price],MATCH(Benchmark1[[#This Row],[Benchmark '#1 Dates]],Comp1[Comparable '#1 Dates],0)),"-")</f>
        <v>10.16</v>
      </c>
      <c r="J495" s="22">
        <f>IF(Benchmark1[[#This Row],[Comparable '#1 Date Check]]="Pass",INDEX(Comp1[Comparable '#1 Return],MATCH(Benchmark1[[#This Row],[Benchmark '#1 Dates]],Comp1[Comparable '#1 Dates],0)),"-")</f>
        <v>7.9051795071132473E-3</v>
      </c>
      <c r="K495" s="1">
        <f>IFERROR(IF(Benchmark1[[#This Row],[Comparable '#1 Date Check]]="Pass",Benchmark1[[#This Row],[Comparable '#1 Return]]-Benchmark1[[#This Row],[Benchmark '#1 Return]],"-"),"-")</f>
        <v>1.3571388296817952E-2</v>
      </c>
      <c r="L495" s="1" t="str">
        <f>IF(COUNTIF(Comp2[Comparable '#2 Dates],Benchmark1[[#This Row],[Benchmark '#1 Dates]])=1,"Pass","Fail")</f>
        <v>Pass</v>
      </c>
      <c r="M495" s="6">
        <f>IF(Benchmark1[[#This Row],[Comparable '#2 Date Check]]="Pass",INDEX(Comp2[Comparable '#2 Price],MATCH(Benchmark1[[#This Row],[Benchmark '#1 Dates]],Comp2[Comparable '#2 Dates],0)),"-")</f>
        <v>32.65</v>
      </c>
      <c r="N495" s="22">
        <f>IF(Benchmark1[[#This Row],[Comparable '#2 Date Check]]="Pass",INDEX(Comp2[Comparable '#2 Return],MATCH(Benchmark1[[#This Row],[Benchmark '#1 Dates]],Comp2[Comparable '#2 Dates],0)),"-")</f>
        <v>0</v>
      </c>
      <c r="O495" s="1">
        <f>IFERROR(IF(Benchmark1[[#This Row],[Comparable '#2 Date Check]]="Pass",Benchmark1[[#This Row],[Comparable '#2 Return]]-Benchmark1[[#This Row],[Benchmark '#1 Return]],"-"),"-")</f>
        <v>5.666208789704706E-3</v>
      </c>
      <c r="P495" s="1" t="str">
        <f>IF(COUNTIF(Comp3[Comparable '#3 Dates],Benchmark1[[#This Row],[Benchmark '#1 Dates]])=1,"Pass","Fail")</f>
        <v>Pass</v>
      </c>
      <c r="Q495" s="6">
        <f>IF(Benchmark1[[#This Row],[Comparable '#3 Date Check]]="Pass",INDEX(Comp3[Comparable '#3 Price],MATCH(Benchmark1[[#This Row],[Benchmark '#1 Dates]],Comp3[Comparable '#3 Dates],0)),"-")</f>
        <v>145.93</v>
      </c>
      <c r="R495" s="22">
        <f>IF(Benchmark1[[#This Row],[Comparable '#3 Date Check]]="Pass",INDEX(Comp3[Comparable '#3 Return],MATCH(Benchmark1[[#This Row],[Benchmark '#1 Dates]],Comp3[Comparable '#3 Dates],0)),"-")</f>
        <v>-1.7558908562933163E-2</v>
      </c>
      <c r="S495" s="1">
        <f>IFERROR(IF(Benchmark1[[#This Row],[Comparable '#3 Date Check]]="Pass",Benchmark1[[#This Row],[Comparable '#3 Return]]-Benchmark1[[#This Row],[Benchmark '#1 Return]],"-"),"-")</f>
        <v>-1.1892699773228457E-2</v>
      </c>
    </row>
    <row r="496" spans="1:19">
      <c r="A496" s="103">
        <v>44004</v>
      </c>
      <c r="B496" s="104">
        <v>3117.8608325122314</v>
      </c>
      <c r="C496" s="4">
        <f t="shared" si="7"/>
        <v>6.4735187499019983E-3</v>
      </c>
      <c r="D496" s="1" t="str">
        <f>IF(COUNTIF(Target1[Target Dates],Benchmark1[[#This Row],[Benchmark '#1 Dates]])=1,"Pass","Fail")</f>
        <v>Pass</v>
      </c>
      <c r="E496" s="6">
        <f>IF(Benchmark1[[#This Row],[Target Date Check]]="Pass",INDEX(Target1[Target Price],MATCH(Benchmark1[[#This Row],[Benchmark '#1 Dates]],Target1[Target Dates],0)),"-")</f>
        <v>26.51</v>
      </c>
      <c r="F496" s="22">
        <f>IF(Benchmark1[[#This Row],[Target Date Check]]="Pass",INDEX(Target1[Target Return],MATCH(Benchmark1[[#This Row],[Benchmark '#1 Dates]],Target1[Target Dates],0)),"-")</f>
        <v>1.0618226422151976E-2</v>
      </c>
      <c r="G496" s="1">
        <f>IFERROR(IF(Benchmark1[[#This Row],[Target Date Check]]="Pass",Benchmark1[[#This Row],[Target Return]]-Benchmark1[[#This Row],[Benchmark '#1 Return]],"-"),"-")</f>
        <v>4.144707672249978E-3</v>
      </c>
      <c r="H496" s="1" t="str">
        <f>IF(COUNTIF(Comp1[Comparable '#1 Dates],Benchmark1[[#This Row],[Benchmark '#1 Dates]])=1,"Pass","Fail")</f>
        <v>Pass</v>
      </c>
      <c r="I496" s="6">
        <f>IF(Benchmark1[[#This Row],[Comparable '#1 Date Check]]="Pass",INDEX(Comp1[Comparable '#1 Price],MATCH(Benchmark1[[#This Row],[Benchmark '#1 Dates]],Comp1[Comparable '#1 Dates],0)),"-")</f>
        <v>10.19</v>
      </c>
      <c r="J496" s="22">
        <f>IF(Benchmark1[[#This Row],[Comparable '#1 Date Check]]="Pass",INDEX(Comp1[Comparable '#1 Return],MATCH(Benchmark1[[#This Row],[Benchmark '#1 Dates]],Comp1[Comparable '#1 Dates],0)),"-")</f>
        <v>2.948405084297607E-3</v>
      </c>
      <c r="K496" s="1">
        <f>IFERROR(IF(Benchmark1[[#This Row],[Comparable '#1 Date Check]]="Pass",Benchmark1[[#This Row],[Comparable '#1 Return]]-Benchmark1[[#This Row],[Benchmark '#1 Return]],"-"),"-")</f>
        <v>-3.5251136656043913E-3</v>
      </c>
      <c r="L496" s="1" t="str">
        <f>IF(COUNTIF(Comp2[Comparable '#2 Dates],Benchmark1[[#This Row],[Benchmark '#1 Dates]])=1,"Pass","Fail")</f>
        <v>Pass</v>
      </c>
      <c r="M496" s="6">
        <f>IF(Benchmark1[[#This Row],[Comparable '#2 Date Check]]="Pass",INDEX(Comp2[Comparable '#2 Price],MATCH(Benchmark1[[#This Row],[Benchmark '#1 Dates]],Comp2[Comparable '#2 Dates],0)),"-")</f>
        <v>33.26</v>
      </c>
      <c r="N496" s="22">
        <f>IF(Benchmark1[[#This Row],[Comparable '#2 Date Check]]="Pass",INDEX(Comp2[Comparable '#2 Return],MATCH(Benchmark1[[#This Row],[Benchmark '#1 Dates]],Comp2[Comparable '#2 Dates],0)),"-")</f>
        <v>1.8510618042341446E-2</v>
      </c>
      <c r="O496" s="1">
        <f>IFERROR(IF(Benchmark1[[#This Row],[Comparable '#2 Date Check]]="Pass",Benchmark1[[#This Row],[Comparable '#2 Return]]-Benchmark1[[#This Row],[Benchmark '#1 Return]],"-"),"-")</f>
        <v>1.2037099292439447E-2</v>
      </c>
      <c r="P496" s="1" t="str">
        <f>IF(COUNTIF(Comp3[Comparable '#3 Dates],Benchmark1[[#This Row],[Benchmark '#1 Dates]])=1,"Pass","Fail")</f>
        <v>Pass</v>
      </c>
      <c r="Q496" s="6">
        <f>IF(Benchmark1[[#This Row],[Comparable '#3 Date Check]]="Pass",INDEX(Comp3[Comparable '#3 Price],MATCH(Benchmark1[[#This Row],[Benchmark '#1 Dates]],Comp3[Comparable '#3 Dates],0)),"-")</f>
        <v>153.29</v>
      </c>
      <c r="R496" s="22">
        <f>IF(Benchmark1[[#This Row],[Comparable '#3 Date Check]]="Pass",INDEX(Comp3[Comparable '#3 Return],MATCH(Benchmark1[[#This Row],[Benchmark '#1 Dates]],Comp3[Comparable '#3 Dates],0)),"-")</f>
        <v>4.9204497498361456E-2</v>
      </c>
      <c r="S496" s="1">
        <f>IFERROR(IF(Benchmark1[[#This Row],[Comparable '#3 Date Check]]="Pass",Benchmark1[[#This Row],[Comparable '#3 Return]]-Benchmark1[[#This Row],[Benchmark '#1 Return]],"-"),"-")</f>
        <v>4.2730978748459457E-2</v>
      </c>
    </row>
    <row r="497" spans="1:19">
      <c r="A497" s="103">
        <v>44005</v>
      </c>
      <c r="B497" s="104">
        <v>3131.2856285247594</v>
      </c>
      <c r="C497" s="4">
        <f t="shared" si="7"/>
        <v>4.2965280933027986E-3</v>
      </c>
      <c r="D497" s="1" t="str">
        <f>IF(COUNTIF(Target1[Target Dates],Benchmark1[[#This Row],[Benchmark '#1 Dates]])=1,"Pass","Fail")</f>
        <v>Pass</v>
      </c>
      <c r="E497" s="6">
        <f>IF(Benchmark1[[#This Row],[Target Date Check]]="Pass",INDEX(Target1[Target Price],MATCH(Benchmark1[[#This Row],[Benchmark '#1 Dates]],Target1[Target Dates],0)),"-")</f>
        <v>25.93</v>
      </c>
      <c r="F497" s="22">
        <f>IF(Benchmark1[[#This Row],[Target Date Check]]="Pass",INDEX(Target1[Target Return],MATCH(Benchmark1[[#This Row],[Benchmark '#1 Dates]],Target1[Target Dates],0)),"-")</f>
        <v>-2.2121420750361241E-2</v>
      </c>
      <c r="G497" s="1">
        <f>IFERROR(IF(Benchmark1[[#This Row],[Target Date Check]]="Pass",Benchmark1[[#This Row],[Target Return]]-Benchmark1[[#This Row],[Benchmark '#1 Return]],"-"),"-")</f>
        <v>-2.6417948843664038E-2</v>
      </c>
      <c r="H497" s="1" t="str">
        <f>IF(COUNTIF(Comp1[Comparable '#1 Dates],Benchmark1[[#This Row],[Benchmark '#1 Dates]])=1,"Pass","Fail")</f>
        <v>Pass</v>
      </c>
      <c r="I497" s="6">
        <f>IF(Benchmark1[[#This Row],[Comparable '#1 Date Check]]="Pass",INDEX(Comp1[Comparable '#1 Price],MATCH(Benchmark1[[#This Row],[Benchmark '#1 Dates]],Comp1[Comparable '#1 Dates],0)),"-")</f>
        <v>10.29</v>
      </c>
      <c r="J497" s="22">
        <f>IF(Benchmark1[[#This Row],[Comparable '#1 Date Check]]="Pass",INDEX(Comp1[Comparable '#1 Return],MATCH(Benchmark1[[#This Row],[Benchmark '#1 Dates]],Comp1[Comparable '#1 Dates],0)),"-")</f>
        <v>9.7657026113248651E-3</v>
      </c>
      <c r="K497" s="1">
        <f>IFERROR(IF(Benchmark1[[#This Row],[Comparable '#1 Date Check]]="Pass",Benchmark1[[#This Row],[Comparable '#1 Return]]-Benchmark1[[#This Row],[Benchmark '#1 Return]],"-"),"-")</f>
        <v>5.4691745180220665E-3</v>
      </c>
      <c r="L497" s="1" t="str">
        <f>IF(COUNTIF(Comp2[Comparable '#2 Dates],Benchmark1[[#This Row],[Benchmark '#1 Dates]])=1,"Pass","Fail")</f>
        <v>Pass</v>
      </c>
      <c r="M497" s="6">
        <f>IF(Benchmark1[[#This Row],[Comparable '#2 Date Check]]="Pass",INDEX(Comp2[Comparable '#2 Price],MATCH(Benchmark1[[#This Row],[Benchmark '#1 Dates]],Comp2[Comparable '#2 Dates],0)),"-")</f>
        <v>33.03</v>
      </c>
      <c r="N497" s="22">
        <f>IF(Benchmark1[[#This Row],[Comparable '#2 Date Check]]="Pass",INDEX(Comp2[Comparable '#2 Return],MATCH(Benchmark1[[#This Row],[Benchmark '#1 Dates]],Comp2[Comparable '#2 Dates],0)),"-")</f>
        <v>-6.9392343620832226E-3</v>
      </c>
      <c r="O497" s="1">
        <f>IFERROR(IF(Benchmark1[[#This Row],[Comparable '#2 Date Check]]="Pass",Benchmark1[[#This Row],[Comparable '#2 Return]]-Benchmark1[[#This Row],[Benchmark '#1 Return]],"-"),"-")</f>
        <v>-1.123576245538602E-2</v>
      </c>
      <c r="P497" s="1" t="str">
        <f>IF(COUNTIF(Comp3[Comparable '#3 Dates],Benchmark1[[#This Row],[Benchmark '#1 Dates]])=1,"Pass","Fail")</f>
        <v>Pass</v>
      </c>
      <c r="Q497" s="6">
        <f>IF(Benchmark1[[#This Row],[Comparable '#3 Date Check]]="Pass",INDEX(Comp3[Comparable '#3 Price],MATCH(Benchmark1[[#This Row],[Benchmark '#1 Dates]],Comp3[Comparable '#3 Dates],0)),"-")</f>
        <v>151.94999999999999</v>
      </c>
      <c r="R497" s="22">
        <f>IF(Benchmark1[[#This Row],[Comparable '#3 Date Check]]="Pass",INDEX(Comp3[Comparable '#3 Return],MATCH(Benchmark1[[#This Row],[Benchmark '#1 Dates]],Comp3[Comparable '#3 Dates],0)),"-")</f>
        <v>-8.7800328152140197E-3</v>
      </c>
      <c r="S497" s="1">
        <f>IFERROR(IF(Benchmark1[[#This Row],[Comparable '#3 Date Check]]="Pass",Benchmark1[[#This Row],[Comparable '#3 Return]]-Benchmark1[[#This Row],[Benchmark '#1 Return]],"-"),"-")</f>
        <v>-1.3076560908516818E-2</v>
      </c>
    </row>
    <row r="498" spans="1:19">
      <c r="A498" s="103">
        <v>44006</v>
      </c>
      <c r="B498" s="104">
        <v>3050.3347473552444</v>
      </c>
      <c r="C498" s="4">
        <f t="shared" si="7"/>
        <v>-2.6192326329382704E-2</v>
      </c>
      <c r="D498" s="1" t="str">
        <f>IF(COUNTIF(Target1[Target Dates],Benchmark1[[#This Row],[Benchmark '#1 Dates]])=1,"Pass","Fail")</f>
        <v>Pass</v>
      </c>
      <c r="E498" s="6">
        <f>IF(Benchmark1[[#This Row],[Target Date Check]]="Pass",INDEX(Target1[Target Price],MATCH(Benchmark1[[#This Row],[Benchmark '#1 Dates]],Target1[Target Dates],0)),"-")</f>
        <v>25.69</v>
      </c>
      <c r="F498" s="22">
        <f>IF(Benchmark1[[#This Row],[Target Date Check]]="Pass",INDEX(Target1[Target Return],MATCH(Benchmark1[[#This Row],[Benchmark '#1 Dates]],Target1[Target Dates],0)),"-")</f>
        <v>-9.2987884287807788E-3</v>
      </c>
      <c r="G498" s="1">
        <f>IFERROR(IF(Benchmark1[[#This Row],[Target Date Check]]="Pass",Benchmark1[[#This Row],[Target Return]]-Benchmark1[[#This Row],[Benchmark '#1 Return]],"-"),"-")</f>
        <v>1.6893537900601927E-2</v>
      </c>
      <c r="H498" s="1" t="str">
        <f>IF(COUNTIF(Comp1[Comparable '#1 Dates],Benchmark1[[#This Row],[Benchmark '#1 Dates]])=1,"Pass","Fail")</f>
        <v>Pass</v>
      </c>
      <c r="I498" s="6">
        <f>IF(Benchmark1[[#This Row],[Comparable '#1 Date Check]]="Pass",INDEX(Comp1[Comparable '#1 Price],MATCH(Benchmark1[[#This Row],[Benchmark '#1 Dates]],Comp1[Comparable '#1 Dates],0)),"-")</f>
        <v>9.75</v>
      </c>
      <c r="J498" s="22">
        <f>IF(Benchmark1[[#This Row],[Comparable '#1 Date Check]]="Pass",INDEX(Comp1[Comparable '#1 Return],MATCH(Benchmark1[[#This Row],[Benchmark '#1 Dates]],Comp1[Comparable '#1 Dates],0)),"-")</f>
        <v>-5.390526483620231E-2</v>
      </c>
      <c r="K498" s="1">
        <f>IFERROR(IF(Benchmark1[[#This Row],[Comparable '#1 Date Check]]="Pass",Benchmark1[[#This Row],[Comparable '#1 Return]]-Benchmark1[[#This Row],[Benchmark '#1 Return]],"-"),"-")</f>
        <v>-2.7712938506819607E-2</v>
      </c>
      <c r="L498" s="1" t="str">
        <f>IF(COUNTIF(Comp2[Comparable '#2 Dates],Benchmark1[[#This Row],[Benchmark '#1 Dates]])=1,"Pass","Fail")</f>
        <v>Pass</v>
      </c>
      <c r="M498" s="6">
        <f>IF(Benchmark1[[#This Row],[Comparable '#2 Date Check]]="Pass",INDEX(Comp2[Comparable '#2 Price],MATCH(Benchmark1[[#This Row],[Benchmark '#1 Dates]],Comp2[Comparable '#2 Dates],0)),"-")</f>
        <v>32.31</v>
      </c>
      <c r="N498" s="22">
        <f>IF(Benchmark1[[#This Row],[Comparable '#2 Date Check]]="Pass",INDEX(Comp2[Comparable '#2 Return],MATCH(Benchmark1[[#This Row],[Benchmark '#1 Dates]],Comp2[Comparable '#2 Dates],0)),"-")</f>
        <v>-2.2039459566291386E-2</v>
      </c>
      <c r="O498" s="1">
        <f>IFERROR(IF(Benchmark1[[#This Row],[Comparable '#2 Date Check]]="Pass",Benchmark1[[#This Row],[Comparable '#2 Return]]-Benchmark1[[#This Row],[Benchmark '#1 Return]],"-"),"-")</f>
        <v>4.1528667630913174E-3</v>
      </c>
      <c r="P498" s="1" t="str">
        <f>IF(COUNTIF(Comp3[Comparable '#3 Dates],Benchmark1[[#This Row],[Benchmark '#1 Dates]])=1,"Pass","Fail")</f>
        <v>Pass</v>
      </c>
      <c r="Q498" s="6">
        <f>IF(Benchmark1[[#This Row],[Comparable '#3 Date Check]]="Pass",INDEX(Comp3[Comparable '#3 Price],MATCH(Benchmark1[[#This Row],[Benchmark '#1 Dates]],Comp3[Comparable '#3 Dates],0)),"-")</f>
        <v>148.28</v>
      </c>
      <c r="R498" s="22">
        <f>IF(Benchmark1[[#This Row],[Comparable '#3 Date Check]]="Pass",INDEX(Comp3[Comparable '#3 Return],MATCH(Benchmark1[[#This Row],[Benchmark '#1 Dates]],Comp3[Comparable '#3 Dates],0)),"-")</f>
        <v>-2.444914108027053E-2</v>
      </c>
      <c r="S498" s="1">
        <f>IFERROR(IF(Benchmark1[[#This Row],[Comparable '#3 Date Check]]="Pass",Benchmark1[[#This Row],[Comparable '#3 Return]]-Benchmark1[[#This Row],[Benchmark '#1 Return]],"-"),"-")</f>
        <v>1.7431852491121731E-3</v>
      </c>
    </row>
    <row r="499" spans="1:19">
      <c r="A499" s="103">
        <v>44007</v>
      </c>
      <c r="B499" s="104">
        <v>3083.7576840971969</v>
      </c>
      <c r="C499" s="4">
        <f t="shared" si="7"/>
        <v>1.0897542833123455E-2</v>
      </c>
      <c r="D499" s="1" t="str">
        <f>IF(COUNTIF(Target1[Target Dates],Benchmark1[[#This Row],[Benchmark '#1 Dates]])=1,"Pass","Fail")</f>
        <v>Pass</v>
      </c>
      <c r="E499" s="6">
        <f>IF(Benchmark1[[#This Row],[Target Date Check]]="Pass",INDEX(Target1[Target Price],MATCH(Benchmark1[[#This Row],[Benchmark '#1 Dates]],Target1[Target Dates],0)),"-")</f>
        <v>26.28</v>
      </c>
      <c r="F499" s="22">
        <f>IF(Benchmark1[[#This Row],[Target Date Check]]="Pass",INDEX(Target1[Target Return],MATCH(Benchmark1[[#This Row],[Benchmark '#1 Dates]],Target1[Target Dates],0)),"-")</f>
        <v>2.2706382494617497E-2</v>
      </c>
      <c r="G499" s="1">
        <f>IFERROR(IF(Benchmark1[[#This Row],[Target Date Check]]="Pass",Benchmark1[[#This Row],[Target Return]]-Benchmark1[[#This Row],[Benchmark '#1 Return]],"-"),"-")</f>
        <v>1.1808839661494042E-2</v>
      </c>
      <c r="H499" s="1" t="str">
        <f>IF(COUNTIF(Comp1[Comparable '#1 Dates],Benchmark1[[#This Row],[Benchmark '#1 Dates]])=1,"Pass","Fail")</f>
        <v>Pass</v>
      </c>
      <c r="I499" s="6">
        <f>IF(Benchmark1[[#This Row],[Comparable '#1 Date Check]]="Pass",INDEX(Comp1[Comparable '#1 Price],MATCH(Benchmark1[[#This Row],[Benchmark '#1 Dates]],Comp1[Comparable '#1 Dates],0)),"-")</f>
        <v>9.8000000000000007</v>
      </c>
      <c r="J499" s="22">
        <f>IF(Benchmark1[[#This Row],[Comparable '#1 Date Check]]="Pass",INDEX(Comp1[Comparable '#1 Return],MATCH(Benchmark1[[#This Row],[Benchmark '#1 Dates]],Comp1[Comparable '#1 Dates],0)),"-")</f>
        <v>5.1151006667704089E-3</v>
      </c>
      <c r="K499" s="1">
        <f>IFERROR(IF(Benchmark1[[#This Row],[Comparable '#1 Date Check]]="Pass",Benchmark1[[#This Row],[Comparable '#1 Return]]-Benchmark1[[#This Row],[Benchmark '#1 Return]],"-"),"-")</f>
        <v>-5.7824421663530464E-3</v>
      </c>
      <c r="L499" s="1" t="str">
        <f>IF(COUNTIF(Comp2[Comparable '#2 Dates],Benchmark1[[#This Row],[Benchmark '#1 Dates]])=1,"Pass","Fail")</f>
        <v>Pass</v>
      </c>
      <c r="M499" s="6">
        <f>IF(Benchmark1[[#This Row],[Comparable '#2 Date Check]]="Pass",INDEX(Comp2[Comparable '#2 Price],MATCH(Benchmark1[[#This Row],[Benchmark '#1 Dates]],Comp2[Comparable '#2 Dates],0)),"-")</f>
        <v>31.1</v>
      </c>
      <c r="N499" s="22">
        <f>IF(Benchmark1[[#This Row],[Comparable '#2 Date Check]]="Pass",INDEX(Comp2[Comparable '#2 Return],MATCH(Benchmark1[[#This Row],[Benchmark '#1 Dates]],Comp2[Comparable '#2 Dates],0)),"-")</f>
        <v>-3.8168960651218518E-2</v>
      </c>
      <c r="O499" s="1">
        <f>IFERROR(IF(Benchmark1[[#This Row],[Comparable '#2 Date Check]]="Pass",Benchmark1[[#This Row],[Comparable '#2 Return]]-Benchmark1[[#This Row],[Benchmark '#1 Return]],"-"),"-")</f>
        <v>-4.9066503484341974E-2</v>
      </c>
      <c r="P499" s="1" t="str">
        <f>IF(COUNTIF(Comp3[Comparable '#3 Dates],Benchmark1[[#This Row],[Benchmark '#1 Dates]])=1,"Pass","Fail")</f>
        <v>Pass</v>
      </c>
      <c r="Q499" s="6">
        <f>IF(Benchmark1[[#This Row],[Comparable '#3 Date Check]]="Pass",INDEX(Comp3[Comparable '#3 Price],MATCH(Benchmark1[[#This Row],[Benchmark '#1 Dates]],Comp3[Comparable '#3 Dates],0)),"-")</f>
        <v>148.04</v>
      </c>
      <c r="R499" s="22">
        <f>IF(Benchmark1[[#This Row],[Comparable '#3 Date Check]]="Pass",INDEX(Comp3[Comparable '#3 Return],MATCH(Benchmark1[[#This Row],[Benchmark '#1 Dates]],Comp3[Comparable '#3 Dates],0)),"-")</f>
        <v>-1.6198707645763491E-3</v>
      </c>
      <c r="S499" s="1">
        <f>IFERROR(IF(Benchmark1[[#This Row],[Comparable '#3 Date Check]]="Pass",Benchmark1[[#This Row],[Comparable '#3 Return]]-Benchmark1[[#This Row],[Benchmark '#1 Return]],"-"),"-")</f>
        <v>-1.2517413597699804E-2</v>
      </c>
    </row>
    <row r="500" spans="1:19">
      <c r="A500" s="103">
        <v>44008</v>
      </c>
      <c r="B500" s="104">
        <v>3009.0523981588631</v>
      </c>
      <c r="C500" s="4">
        <f t="shared" si="7"/>
        <v>-2.4523669353416839E-2</v>
      </c>
      <c r="D500" s="1" t="str">
        <f>IF(COUNTIF(Target1[Target Dates],Benchmark1[[#This Row],[Benchmark '#1 Dates]])=1,"Pass","Fail")</f>
        <v>Pass</v>
      </c>
      <c r="E500" s="6">
        <f>IF(Benchmark1[[#This Row],[Target Date Check]]="Pass",INDEX(Target1[Target Price],MATCH(Benchmark1[[#This Row],[Benchmark '#1 Dates]],Target1[Target Dates],0)),"-")</f>
        <v>26.41</v>
      </c>
      <c r="F500" s="22">
        <f>IF(Benchmark1[[#This Row],[Target Date Check]]="Pass",INDEX(Target1[Target Return],MATCH(Benchmark1[[#This Row],[Benchmark '#1 Dates]],Target1[Target Dates],0)),"-")</f>
        <v>4.9345326926310447E-3</v>
      </c>
      <c r="G500" s="1">
        <f>IFERROR(IF(Benchmark1[[#This Row],[Target Date Check]]="Pass",Benchmark1[[#This Row],[Target Return]]-Benchmark1[[#This Row],[Benchmark '#1 Return]],"-"),"-")</f>
        <v>2.9458202046047884E-2</v>
      </c>
      <c r="H500" s="1" t="str">
        <f>IF(COUNTIF(Comp1[Comparable '#1 Dates],Benchmark1[[#This Row],[Benchmark '#1 Dates]])=1,"Pass","Fail")</f>
        <v>Pass</v>
      </c>
      <c r="I500" s="6">
        <f>IF(Benchmark1[[#This Row],[Comparable '#1 Date Check]]="Pass",INDEX(Comp1[Comparable '#1 Price],MATCH(Benchmark1[[#This Row],[Benchmark '#1 Dates]],Comp1[Comparable '#1 Dates],0)),"-")</f>
        <v>9.6999999999999993</v>
      </c>
      <c r="J500" s="22">
        <f>IF(Benchmark1[[#This Row],[Comparable '#1 Date Check]]="Pass",INDEX(Comp1[Comparable '#1 Return],MATCH(Benchmark1[[#This Row],[Benchmark '#1 Dates]],Comp1[Comparable '#1 Dates],0)),"-")</f>
        <v>-1.0256500167189221E-2</v>
      </c>
      <c r="K500" s="1">
        <f>IFERROR(IF(Benchmark1[[#This Row],[Comparable '#1 Date Check]]="Pass",Benchmark1[[#This Row],[Comparable '#1 Return]]-Benchmark1[[#This Row],[Benchmark '#1 Return]],"-"),"-")</f>
        <v>1.4267169186227618E-2</v>
      </c>
      <c r="L500" s="1" t="str">
        <f>IF(COUNTIF(Comp2[Comparable '#2 Dates],Benchmark1[[#This Row],[Benchmark '#1 Dates]])=1,"Pass","Fail")</f>
        <v>Pass</v>
      </c>
      <c r="M500" s="6">
        <f>IF(Benchmark1[[#This Row],[Comparable '#2 Date Check]]="Pass",INDEX(Comp2[Comparable '#2 Price],MATCH(Benchmark1[[#This Row],[Benchmark '#1 Dates]],Comp2[Comparable '#2 Dates],0)),"-")</f>
        <v>30.63</v>
      </c>
      <c r="N500" s="22">
        <f>IF(Benchmark1[[#This Row],[Comparable '#2 Date Check]]="Pass",INDEX(Comp2[Comparable '#2 Return],MATCH(Benchmark1[[#This Row],[Benchmark '#1 Dates]],Comp2[Comparable '#2 Dates],0)),"-")</f>
        <v>-1.5227898340504599E-2</v>
      </c>
      <c r="O500" s="1">
        <f>IFERROR(IF(Benchmark1[[#This Row],[Comparable '#2 Date Check]]="Pass",Benchmark1[[#This Row],[Comparable '#2 Return]]-Benchmark1[[#This Row],[Benchmark '#1 Return]],"-"),"-")</f>
        <v>9.2957710129122403E-3</v>
      </c>
      <c r="P500" s="1" t="str">
        <f>IF(COUNTIF(Comp3[Comparable '#3 Dates],Benchmark1[[#This Row],[Benchmark '#1 Dates]])=1,"Pass","Fail")</f>
        <v>Pass</v>
      </c>
      <c r="Q500" s="6">
        <f>IF(Benchmark1[[#This Row],[Comparable '#3 Date Check]]="Pass",INDEX(Comp3[Comparable '#3 Price],MATCH(Benchmark1[[#This Row],[Benchmark '#1 Dates]],Comp3[Comparable '#3 Dates],0)),"-")</f>
        <v>147.78</v>
      </c>
      <c r="R500" s="22">
        <f>IF(Benchmark1[[#This Row],[Comparable '#3 Date Check]]="Pass",INDEX(Comp3[Comparable '#3 Return],MATCH(Benchmark1[[#This Row],[Benchmark '#1 Dates]],Comp3[Comparable '#3 Dates],0)),"-")</f>
        <v>-1.7578261574536683E-3</v>
      </c>
      <c r="S500" s="1">
        <f>IFERROR(IF(Benchmark1[[#This Row],[Comparable '#3 Date Check]]="Pass",Benchmark1[[#This Row],[Comparable '#3 Return]]-Benchmark1[[#This Row],[Benchmark '#1 Return]],"-"),"-")</f>
        <v>2.276584319596317E-2</v>
      </c>
    </row>
    <row r="501" spans="1:19">
      <c r="A501" s="103">
        <v>44011</v>
      </c>
      <c r="B501" s="104">
        <v>3053.2388924637858</v>
      </c>
      <c r="C501" s="4">
        <f t="shared" si="7"/>
        <v>1.4577747815973938E-2</v>
      </c>
      <c r="D501" s="1" t="str">
        <f>IF(COUNTIF(Target1[Target Dates],Benchmark1[[#This Row],[Benchmark '#1 Dates]])=1,"Pass","Fail")</f>
        <v>Pass</v>
      </c>
      <c r="E501" s="6">
        <f>IF(Benchmark1[[#This Row],[Target Date Check]]="Pass",INDEX(Target1[Target Price],MATCH(Benchmark1[[#This Row],[Benchmark '#1 Dates]],Target1[Target Dates],0)),"-")</f>
        <v>26.72</v>
      </c>
      <c r="F501" s="22">
        <f>IF(Benchmark1[[#This Row],[Target Date Check]]="Pass",INDEX(Target1[Target Return],MATCH(Benchmark1[[#This Row],[Benchmark '#1 Dates]],Target1[Target Dates],0)),"-")</f>
        <v>1.1669622359404148E-2</v>
      </c>
      <c r="G501" s="1">
        <f>IFERROR(IF(Benchmark1[[#This Row],[Target Date Check]]="Pass",Benchmark1[[#This Row],[Target Return]]-Benchmark1[[#This Row],[Benchmark '#1 Return]],"-"),"-")</f>
        <v>-2.9081254565697899E-3</v>
      </c>
      <c r="H501" s="1" t="str">
        <f>IF(COUNTIF(Comp1[Comparable '#1 Dates],Benchmark1[[#This Row],[Benchmark '#1 Dates]])=1,"Pass","Fail")</f>
        <v>Pass</v>
      </c>
      <c r="I501" s="6">
        <f>IF(Benchmark1[[#This Row],[Comparable '#1 Date Check]]="Pass",INDEX(Comp1[Comparable '#1 Price],MATCH(Benchmark1[[#This Row],[Benchmark '#1 Dates]],Comp1[Comparable '#1 Dates],0)),"-")</f>
        <v>9.9149999999999991</v>
      </c>
      <c r="J501" s="22">
        <f>IF(Benchmark1[[#This Row],[Comparable '#1 Date Check]]="Pass",INDEX(Comp1[Comparable '#1 Return],MATCH(Benchmark1[[#This Row],[Benchmark '#1 Dates]],Comp1[Comparable '#1 Dates],0)),"-")</f>
        <v>2.1922876462422084E-2</v>
      </c>
      <c r="K501" s="1">
        <f>IFERROR(IF(Benchmark1[[#This Row],[Comparable '#1 Date Check]]="Pass",Benchmark1[[#This Row],[Comparable '#1 Return]]-Benchmark1[[#This Row],[Benchmark '#1 Return]],"-"),"-")</f>
        <v>7.3451286464481461E-3</v>
      </c>
      <c r="L501" s="1" t="str">
        <f>IF(COUNTIF(Comp2[Comparable '#2 Dates],Benchmark1[[#This Row],[Benchmark '#1 Dates]])=1,"Pass","Fail")</f>
        <v>Pass</v>
      </c>
      <c r="M501" s="6">
        <f>IF(Benchmark1[[#This Row],[Comparable '#2 Date Check]]="Pass",INDEX(Comp2[Comparable '#2 Price],MATCH(Benchmark1[[#This Row],[Benchmark '#1 Dates]],Comp2[Comparable '#2 Dates],0)),"-")</f>
        <v>31.42</v>
      </c>
      <c r="N501" s="22">
        <f>IF(Benchmark1[[#This Row],[Comparable '#2 Date Check]]="Pass",INDEX(Comp2[Comparable '#2 Return],MATCH(Benchmark1[[#This Row],[Benchmark '#1 Dates]],Comp2[Comparable '#2 Dates],0)),"-")</f>
        <v>2.5464711982791349E-2</v>
      </c>
      <c r="O501" s="1">
        <f>IFERROR(IF(Benchmark1[[#This Row],[Comparable '#2 Date Check]]="Pass",Benchmark1[[#This Row],[Comparable '#2 Return]]-Benchmark1[[#This Row],[Benchmark '#1 Return]],"-"),"-")</f>
        <v>1.0886964166817411E-2</v>
      </c>
      <c r="P501" s="1" t="str">
        <f>IF(COUNTIF(Comp3[Comparable '#3 Dates],Benchmark1[[#This Row],[Benchmark '#1 Dates]])=1,"Pass","Fail")</f>
        <v>Pass</v>
      </c>
      <c r="Q501" s="6">
        <f>IF(Benchmark1[[#This Row],[Comparable '#3 Date Check]]="Pass",INDEX(Comp3[Comparable '#3 Price],MATCH(Benchmark1[[#This Row],[Benchmark '#1 Dates]],Comp3[Comparable '#3 Dates],0)),"-")</f>
        <v>153.66999999999999</v>
      </c>
      <c r="R501" s="22">
        <f>IF(Benchmark1[[#This Row],[Comparable '#3 Date Check]]="Pass",INDEX(Comp3[Comparable '#3 Return],MATCH(Benchmark1[[#This Row],[Benchmark '#1 Dates]],Comp3[Comparable '#3 Dates],0)),"-")</f>
        <v>3.9082764706739284E-2</v>
      </c>
      <c r="S501" s="1">
        <f>IFERROR(IF(Benchmark1[[#This Row],[Comparable '#3 Date Check]]="Pass",Benchmark1[[#This Row],[Comparable '#3 Return]]-Benchmark1[[#This Row],[Benchmark '#1 Return]],"-"),"-")</f>
        <v>2.4505016890765348E-2</v>
      </c>
    </row>
    <row r="502" spans="1:19">
      <c r="A502" s="103">
        <v>44012</v>
      </c>
      <c r="B502" s="104">
        <v>3100.2851286595396</v>
      </c>
      <c r="C502" s="4">
        <f t="shared" si="7"/>
        <v>1.5291125124641855E-2</v>
      </c>
      <c r="D502" s="1" t="str">
        <f>IF(COUNTIF(Target1[Target Dates],Benchmark1[[#This Row],[Benchmark '#1 Dates]])=1,"Pass","Fail")</f>
        <v>Pass</v>
      </c>
      <c r="E502" s="6">
        <f>IF(Benchmark1[[#This Row],[Target Date Check]]="Pass",INDEX(Target1[Target Price],MATCH(Benchmark1[[#This Row],[Benchmark '#1 Dates]],Target1[Target Dates],0)),"-")</f>
        <v>27.24</v>
      </c>
      <c r="F502" s="22">
        <f>IF(Benchmark1[[#This Row],[Target Date Check]]="Pass",INDEX(Target1[Target Return],MATCH(Benchmark1[[#This Row],[Benchmark '#1 Dates]],Target1[Target Dates],0)),"-")</f>
        <v>1.9274132612866656E-2</v>
      </c>
      <c r="G502" s="1">
        <f>IFERROR(IF(Benchmark1[[#This Row],[Target Date Check]]="Pass",Benchmark1[[#This Row],[Target Return]]-Benchmark1[[#This Row],[Benchmark '#1 Return]],"-"),"-")</f>
        <v>3.9830074882248011E-3</v>
      </c>
      <c r="H502" s="1" t="str">
        <f>IF(COUNTIF(Comp1[Comparable '#1 Dates],Benchmark1[[#This Row],[Benchmark '#1 Dates]])=1,"Pass","Fail")</f>
        <v>Pass</v>
      </c>
      <c r="I502" s="6">
        <f>IF(Benchmark1[[#This Row],[Comparable '#1 Date Check]]="Pass",INDEX(Comp1[Comparable '#1 Price],MATCH(Benchmark1[[#This Row],[Benchmark '#1 Dates]],Comp1[Comparable '#1 Dates],0)),"-")</f>
        <v>9.9649999999999999</v>
      </c>
      <c r="J502" s="22">
        <f>IF(Benchmark1[[#This Row],[Comparable '#1 Date Check]]="Pass",INDEX(Comp1[Comparable '#1 Return],MATCH(Benchmark1[[#This Row],[Benchmark '#1 Dates]],Comp1[Comparable '#1 Dates],0)),"-")</f>
        <v>5.0301916929987901E-3</v>
      </c>
      <c r="K502" s="1">
        <f>IFERROR(IF(Benchmark1[[#This Row],[Comparable '#1 Date Check]]="Pass",Benchmark1[[#This Row],[Comparable '#1 Return]]-Benchmark1[[#This Row],[Benchmark '#1 Return]],"-"),"-")</f>
        <v>-1.0260933431643065E-2</v>
      </c>
      <c r="L502" s="1" t="str">
        <f>IF(COUNTIF(Comp2[Comparable '#2 Dates],Benchmark1[[#This Row],[Benchmark '#1 Dates]])=1,"Pass","Fail")</f>
        <v>Pass</v>
      </c>
      <c r="M502" s="6">
        <f>IF(Benchmark1[[#This Row],[Comparable '#2 Date Check]]="Pass",INDEX(Comp2[Comparable '#2 Price],MATCH(Benchmark1[[#This Row],[Benchmark '#1 Dates]],Comp2[Comparable '#2 Dates],0)),"-")</f>
        <v>31.15</v>
      </c>
      <c r="N502" s="22">
        <f>IF(Benchmark1[[#This Row],[Comparable '#2 Date Check]]="Pass",INDEX(Comp2[Comparable '#2 Return],MATCH(Benchmark1[[#This Row],[Benchmark '#1 Dates]],Comp2[Comparable '#2 Dates],0)),"-")</f>
        <v>-8.6303875940130174E-3</v>
      </c>
      <c r="O502" s="1">
        <f>IFERROR(IF(Benchmark1[[#This Row],[Comparable '#2 Date Check]]="Pass",Benchmark1[[#This Row],[Comparable '#2 Return]]-Benchmark1[[#This Row],[Benchmark '#1 Return]],"-"),"-")</f>
        <v>-2.3921512718654871E-2</v>
      </c>
      <c r="P502" s="1" t="str">
        <f>IF(COUNTIF(Comp3[Comparable '#3 Dates],Benchmark1[[#This Row],[Benchmark '#1 Dates]])=1,"Pass","Fail")</f>
        <v>Pass</v>
      </c>
      <c r="Q502" s="6">
        <f>IF(Benchmark1[[#This Row],[Comparable '#3 Date Check]]="Pass",INDEX(Comp3[Comparable '#3 Price],MATCH(Benchmark1[[#This Row],[Benchmark '#1 Dates]],Comp3[Comparable '#3 Dates],0)),"-")</f>
        <v>153.65</v>
      </c>
      <c r="R502" s="22">
        <f>IF(Benchmark1[[#This Row],[Comparable '#3 Date Check]]="Pass",INDEX(Comp3[Comparable '#3 Return],MATCH(Benchmark1[[#This Row],[Benchmark '#1 Dates]],Comp3[Comparable '#3 Dates],0)),"-")</f>
        <v>-1.3015749074717892E-4</v>
      </c>
      <c r="S502" s="1">
        <f>IFERROR(IF(Benchmark1[[#This Row],[Comparable '#3 Date Check]]="Pass",Benchmark1[[#This Row],[Comparable '#3 Return]]-Benchmark1[[#This Row],[Benchmark '#1 Return]],"-"),"-")</f>
        <v>-1.5421282615389035E-2</v>
      </c>
    </row>
    <row r="503" spans="1:19">
      <c r="A503" s="103">
        <v>44013</v>
      </c>
      <c r="B503" s="104">
        <v>3115.8584209720839</v>
      </c>
      <c r="C503" s="4">
        <f t="shared" si="7"/>
        <v>5.0106065827928929E-3</v>
      </c>
      <c r="D503" s="1" t="str">
        <f>IF(COUNTIF(Target1[Target Dates],Benchmark1[[#This Row],[Benchmark '#1 Dates]])=1,"Pass","Fail")</f>
        <v>Pass</v>
      </c>
      <c r="E503" s="6">
        <f>IF(Benchmark1[[#This Row],[Target Date Check]]="Pass",INDEX(Target1[Target Price],MATCH(Benchmark1[[#This Row],[Benchmark '#1 Dates]],Target1[Target Dates],0)),"-")</f>
        <v>28.91</v>
      </c>
      <c r="F503" s="22">
        <f>IF(Benchmark1[[#This Row],[Target Date Check]]="Pass",INDEX(Target1[Target Return],MATCH(Benchmark1[[#This Row],[Benchmark '#1 Dates]],Target1[Target Dates],0)),"-")</f>
        <v>5.9501074746943057E-2</v>
      </c>
      <c r="G503" s="1">
        <f>IFERROR(IF(Benchmark1[[#This Row],[Target Date Check]]="Pass",Benchmark1[[#This Row],[Target Return]]-Benchmark1[[#This Row],[Benchmark '#1 Return]],"-"),"-")</f>
        <v>5.4490468164150166E-2</v>
      </c>
      <c r="H503" s="1" t="str">
        <f>IF(COUNTIF(Comp1[Comparable '#1 Dates],Benchmark1[[#This Row],[Benchmark '#1 Dates]])=1,"Pass","Fail")</f>
        <v>Pass</v>
      </c>
      <c r="I503" s="6">
        <f>IF(Benchmark1[[#This Row],[Comparable '#1 Date Check]]="Pass",INDEX(Comp1[Comparable '#1 Price],MATCH(Benchmark1[[#This Row],[Benchmark '#1 Dates]],Comp1[Comparable '#1 Dates],0)),"-")</f>
        <v>9.92</v>
      </c>
      <c r="J503" s="22">
        <f>IF(Benchmark1[[#This Row],[Comparable '#1 Date Check]]="Pass",INDEX(Comp1[Comparable '#1 Return],MATCH(Benchmark1[[#This Row],[Benchmark '#1 Dates]],Comp1[Comparable '#1 Dates],0)),"-")</f>
        <v>-4.5260323679766372E-3</v>
      </c>
      <c r="K503" s="1">
        <f>IFERROR(IF(Benchmark1[[#This Row],[Comparable '#1 Date Check]]="Pass",Benchmark1[[#This Row],[Comparable '#1 Return]]-Benchmark1[[#This Row],[Benchmark '#1 Return]],"-"),"-")</f>
        <v>-9.5366389507695291E-3</v>
      </c>
      <c r="L503" s="1" t="str">
        <f>IF(COUNTIF(Comp2[Comparable '#2 Dates],Benchmark1[[#This Row],[Benchmark '#1 Dates]])=1,"Pass","Fail")</f>
        <v>Pass</v>
      </c>
      <c r="M503" s="6">
        <f>IF(Benchmark1[[#This Row],[Comparable '#2 Date Check]]="Pass",INDEX(Comp2[Comparable '#2 Price],MATCH(Benchmark1[[#This Row],[Benchmark '#1 Dates]],Comp2[Comparable '#2 Dates],0)),"-")</f>
        <v>31.13</v>
      </c>
      <c r="N503" s="22">
        <f>IF(Benchmark1[[#This Row],[Comparable '#2 Date Check]]="Pass",INDEX(Comp2[Comparable '#2 Return],MATCH(Benchmark1[[#This Row],[Benchmark '#1 Dates]],Comp2[Comparable '#2 Dates],0)),"-")</f>
        <v>-6.4226077994534449E-4</v>
      </c>
      <c r="O503" s="1">
        <f>IFERROR(IF(Benchmark1[[#This Row],[Comparable '#2 Date Check]]="Pass",Benchmark1[[#This Row],[Comparable '#2 Return]]-Benchmark1[[#This Row],[Benchmark '#1 Return]],"-"),"-")</f>
        <v>-5.6528673627382377E-3</v>
      </c>
      <c r="P503" s="1" t="str">
        <f>IF(COUNTIF(Comp3[Comparable '#3 Dates],Benchmark1[[#This Row],[Benchmark '#1 Dates]])=1,"Pass","Fail")</f>
        <v>Pass</v>
      </c>
      <c r="Q503" s="6">
        <f>IF(Benchmark1[[#This Row],[Comparable '#3 Date Check]]="Pass",INDEX(Comp3[Comparable '#3 Price],MATCH(Benchmark1[[#This Row],[Benchmark '#1 Dates]],Comp3[Comparable '#3 Dates],0)),"-")</f>
        <v>158.59</v>
      </c>
      <c r="R503" s="22">
        <f>IF(Benchmark1[[#This Row],[Comparable '#3 Date Check]]="Pass",INDEX(Comp3[Comparable '#3 Return],MATCH(Benchmark1[[#This Row],[Benchmark '#1 Dates]],Comp3[Comparable '#3 Dates],0)),"-")</f>
        <v>3.1644966934015903E-2</v>
      </c>
      <c r="S503" s="1">
        <f>IFERROR(IF(Benchmark1[[#This Row],[Comparable '#3 Date Check]]="Pass",Benchmark1[[#This Row],[Comparable '#3 Return]]-Benchmark1[[#This Row],[Benchmark '#1 Return]],"-"),"-")</f>
        <v>2.6634360351223012E-2</v>
      </c>
    </row>
    <row r="504" spans="1:19">
      <c r="A504" s="103">
        <v>44014</v>
      </c>
      <c r="B504" s="104">
        <v>3130.0126855893513</v>
      </c>
      <c r="C504" s="4">
        <f t="shared" si="7"/>
        <v>4.5323666165768325E-3</v>
      </c>
      <c r="D504" s="1" t="str">
        <f>IF(COUNTIF(Target1[Target Dates],Benchmark1[[#This Row],[Benchmark '#1 Dates]])=1,"Pass","Fail")</f>
        <v>Pass</v>
      </c>
      <c r="E504" s="6">
        <f>IF(Benchmark1[[#This Row],[Target Date Check]]="Pass",INDEX(Target1[Target Price],MATCH(Benchmark1[[#This Row],[Benchmark '#1 Dates]],Target1[Target Dates],0)),"-")</f>
        <v>31.33</v>
      </c>
      <c r="F504" s="22">
        <f>IF(Benchmark1[[#This Row],[Target Date Check]]="Pass",INDEX(Target1[Target Return],MATCH(Benchmark1[[#This Row],[Benchmark '#1 Dates]],Target1[Target Dates],0)),"-")</f>
        <v>8.0388548935845627E-2</v>
      </c>
      <c r="G504" s="1">
        <f>IFERROR(IF(Benchmark1[[#This Row],[Target Date Check]]="Pass",Benchmark1[[#This Row],[Target Return]]-Benchmark1[[#This Row],[Benchmark '#1 Return]],"-"),"-")</f>
        <v>7.58561823192688E-2</v>
      </c>
      <c r="H504" s="1" t="str">
        <f>IF(COUNTIF(Comp1[Comparable '#1 Dates],Benchmark1[[#This Row],[Benchmark '#1 Dates]])=1,"Pass","Fail")</f>
        <v>Pass</v>
      </c>
      <c r="I504" s="6">
        <f>IF(Benchmark1[[#This Row],[Comparable '#1 Date Check]]="Pass",INDEX(Comp1[Comparable '#1 Price],MATCH(Benchmark1[[#This Row],[Benchmark '#1 Dates]],Comp1[Comparable '#1 Dates],0)),"-")</f>
        <v>10.15</v>
      </c>
      <c r="J504" s="22">
        <f>IF(Benchmark1[[#This Row],[Comparable '#1 Date Check]]="Pass",INDEX(Comp1[Comparable '#1 Return],MATCH(Benchmark1[[#This Row],[Benchmark '#1 Dates]],Comp1[Comparable '#1 Dates],0)),"-")</f>
        <v>2.2920784191014922E-2</v>
      </c>
      <c r="K504" s="1">
        <f>IFERROR(IF(Benchmark1[[#This Row],[Comparable '#1 Date Check]]="Pass",Benchmark1[[#This Row],[Comparable '#1 Return]]-Benchmark1[[#This Row],[Benchmark '#1 Return]],"-"),"-")</f>
        <v>1.8388417574438091E-2</v>
      </c>
      <c r="L504" s="1" t="str">
        <f>IF(COUNTIF(Comp2[Comparable '#2 Dates],Benchmark1[[#This Row],[Benchmark '#1 Dates]])=1,"Pass","Fail")</f>
        <v>Pass</v>
      </c>
      <c r="M504" s="6">
        <f>IF(Benchmark1[[#This Row],[Comparable '#2 Date Check]]="Pass",INDEX(Comp2[Comparable '#2 Price],MATCH(Benchmark1[[#This Row],[Benchmark '#1 Dates]],Comp2[Comparable '#2 Dates],0)),"-")</f>
        <v>31.5</v>
      </c>
      <c r="N504" s="22">
        <f>IF(Benchmark1[[#This Row],[Comparable '#2 Date Check]]="Pass",INDEX(Comp2[Comparable '#2 Return],MATCH(Benchmark1[[#This Row],[Benchmark '#1 Dates]],Comp2[Comparable '#2 Dates],0)),"-")</f>
        <v>1.1815561378070522E-2</v>
      </c>
      <c r="O504" s="1">
        <f>IFERROR(IF(Benchmark1[[#This Row],[Comparable '#2 Date Check]]="Pass",Benchmark1[[#This Row],[Comparable '#2 Return]]-Benchmark1[[#This Row],[Benchmark '#1 Return]],"-"),"-")</f>
        <v>7.2831947614936891E-3</v>
      </c>
      <c r="P504" s="1" t="str">
        <f>IF(COUNTIF(Comp3[Comparable '#3 Dates],Benchmark1[[#This Row],[Benchmark '#1 Dates]])=1,"Pass","Fail")</f>
        <v>Pass</v>
      </c>
      <c r="Q504" s="6">
        <f>IF(Benchmark1[[#This Row],[Comparable '#3 Date Check]]="Pass",INDEX(Comp3[Comparable '#3 Price],MATCH(Benchmark1[[#This Row],[Benchmark '#1 Dates]],Comp3[Comparable '#3 Dates],0)),"-")</f>
        <v>158.52000000000001</v>
      </c>
      <c r="R504" s="22">
        <f>IF(Benchmark1[[#This Row],[Comparable '#3 Date Check]]="Pass",INDEX(Comp3[Comparable '#3 Return],MATCH(Benchmark1[[#This Row],[Benchmark '#1 Dates]],Comp3[Comparable '#3 Dates],0)),"-")</f>
        <v>-4.4148718827520018E-4</v>
      </c>
      <c r="S504" s="1">
        <f>IFERROR(IF(Benchmark1[[#This Row],[Comparable '#3 Date Check]]="Pass",Benchmark1[[#This Row],[Comparable '#3 Return]]-Benchmark1[[#This Row],[Benchmark '#1 Return]],"-"),"-")</f>
        <v>-4.9738538048520325E-3</v>
      </c>
    </row>
    <row r="505" spans="1:19">
      <c r="A505" s="103">
        <v>44018</v>
      </c>
      <c r="B505" s="104">
        <v>3179.7187535402463</v>
      </c>
      <c r="C505" s="4">
        <f t="shared" si="7"/>
        <v>1.5755693150099684E-2</v>
      </c>
      <c r="D505" s="1" t="str">
        <f>IF(COUNTIF(Target1[Target Dates],Benchmark1[[#This Row],[Benchmark '#1 Dates]])=1,"Pass","Fail")</f>
        <v>Pass</v>
      </c>
      <c r="E505" s="6">
        <f>IF(Benchmark1[[#This Row],[Target Date Check]]="Pass",INDEX(Target1[Target Price],MATCH(Benchmark1[[#This Row],[Benchmark '#1 Dates]],Target1[Target Dates],0)),"-")</f>
        <v>32.479999999999997</v>
      </c>
      <c r="F505" s="22">
        <f>IF(Benchmark1[[#This Row],[Target Date Check]]="Pass",INDEX(Target1[Target Return],MATCH(Benchmark1[[#This Row],[Benchmark '#1 Dates]],Target1[Target Dates],0)),"-")</f>
        <v>3.6048410329376709E-2</v>
      </c>
      <c r="G505" s="1">
        <f>IFERROR(IF(Benchmark1[[#This Row],[Target Date Check]]="Pass",Benchmark1[[#This Row],[Target Return]]-Benchmark1[[#This Row],[Benchmark '#1 Return]],"-"),"-")</f>
        <v>2.0292717179277026E-2</v>
      </c>
      <c r="H505" s="1" t="str">
        <f>IF(COUNTIF(Comp1[Comparable '#1 Dates],Benchmark1[[#This Row],[Benchmark '#1 Dates]])=1,"Pass","Fail")</f>
        <v>Pass</v>
      </c>
      <c r="I505" s="6">
        <f>IF(Benchmark1[[#This Row],[Comparable '#1 Date Check]]="Pass",INDEX(Comp1[Comparable '#1 Price],MATCH(Benchmark1[[#This Row],[Benchmark '#1 Dates]],Comp1[Comparable '#1 Dates],0)),"-")</f>
        <v>10.32</v>
      </c>
      <c r="J505" s="22">
        <f>IF(Benchmark1[[#This Row],[Comparable '#1 Date Check]]="Pass",INDEX(Comp1[Comparable '#1 Return],MATCH(Benchmark1[[#This Row],[Benchmark '#1 Dates]],Comp1[Comparable '#1 Dates],0)),"-")</f>
        <v>1.6610054565620338E-2</v>
      </c>
      <c r="K505" s="1">
        <f>IFERROR(IF(Benchmark1[[#This Row],[Comparable '#1 Date Check]]="Pass",Benchmark1[[#This Row],[Comparable '#1 Return]]-Benchmark1[[#This Row],[Benchmark '#1 Return]],"-"),"-")</f>
        <v>8.5436141552065401E-4</v>
      </c>
      <c r="L505" s="1" t="str">
        <f>IF(COUNTIF(Comp2[Comparable '#2 Dates],Benchmark1[[#This Row],[Benchmark '#1 Dates]])=1,"Pass","Fail")</f>
        <v>Pass</v>
      </c>
      <c r="M505" s="6">
        <f>IF(Benchmark1[[#This Row],[Comparable '#2 Date Check]]="Pass",INDEX(Comp2[Comparable '#2 Price],MATCH(Benchmark1[[#This Row],[Benchmark '#1 Dates]],Comp2[Comparable '#2 Dates],0)),"-")</f>
        <v>31.96</v>
      </c>
      <c r="N505" s="22">
        <f>IF(Benchmark1[[#This Row],[Comparable '#2 Date Check]]="Pass",INDEX(Comp2[Comparable '#2 Return],MATCH(Benchmark1[[#This Row],[Benchmark '#1 Dates]],Comp2[Comparable '#2 Dates],0)),"-")</f>
        <v>1.4497575066486664E-2</v>
      </c>
      <c r="O505" s="1">
        <f>IFERROR(IF(Benchmark1[[#This Row],[Comparable '#2 Date Check]]="Pass",Benchmark1[[#This Row],[Comparable '#2 Return]]-Benchmark1[[#This Row],[Benchmark '#1 Return]],"-"),"-")</f>
        <v>-1.2581180836130201E-3</v>
      </c>
      <c r="P505" s="1" t="str">
        <f>IF(COUNTIF(Comp3[Comparable '#3 Dates],Benchmark1[[#This Row],[Benchmark '#1 Dates]])=1,"Pass","Fail")</f>
        <v>Pass</v>
      </c>
      <c r="Q505" s="6">
        <f>IF(Benchmark1[[#This Row],[Comparable '#3 Date Check]]="Pass",INDEX(Comp3[Comparable '#3 Price],MATCH(Benchmark1[[#This Row],[Benchmark '#1 Dates]],Comp3[Comparable '#3 Dates],0)),"-")</f>
        <v>161.07</v>
      </c>
      <c r="R505" s="22">
        <f>IF(Benchmark1[[#This Row],[Comparable '#3 Date Check]]="Pass",INDEX(Comp3[Comparable '#3 Return],MATCH(Benchmark1[[#This Row],[Benchmark '#1 Dates]],Comp3[Comparable '#3 Dates],0)),"-")</f>
        <v>1.5958284780353518E-2</v>
      </c>
      <c r="S505" s="1">
        <f>IFERROR(IF(Benchmark1[[#This Row],[Comparable '#3 Date Check]]="Pass",Benchmark1[[#This Row],[Comparable '#3 Return]]-Benchmark1[[#This Row],[Benchmark '#1 Return]],"-"),"-")</f>
        <v>2.0259163025383373E-4</v>
      </c>
    </row>
    <row r="506" spans="1:19">
      <c r="A506" s="103">
        <v>44019</v>
      </c>
      <c r="B506" s="104">
        <v>3145.3180001336132</v>
      </c>
      <c r="C506" s="4">
        <f t="shared" si="7"/>
        <v>-1.0877752636989854E-2</v>
      </c>
      <c r="D506" s="1" t="str">
        <f>IF(COUNTIF(Target1[Target Dates],Benchmark1[[#This Row],[Benchmark '#1 Dates]])=1,"Pass","Fail")</f>
        <v>Pass</v>
      </c>
      <c r="E506" s="6">
        <f>IF(Benchmark1[[#This Row],[Target Date Check]]="Pass",INDEX(Target1[Target Price],MATCH(Benchmark1[[#This Row],[Benchmark '#1 Dates]],Target1[Target Dates],0)),"-")</f>
        <v>32.76</v>
      </c>
      <c r="F506" s="22">
        <f>IF(Benchmark1[[#This Row],[Target Date Check]]="Pass",INDEX(Target1[Target Return],MATCH(Benchmark1[[#This Row],[Benchmark '#1 Dates]],Target1[Target Dates],0)),"-")</f>
        <v>8.583743691391435E-3</v>
      </c>
      <c r="G506" s="1">
        <f>IFERROR(IF(Benchmark1[[#This Row],[Target Date Check]]="Pass",Benchmark1[[#This Row],[Target Return]]-Benchmark1[[#This Row],[Benchmark '#1 Return]],"-"),"-")</f>
        <v>1.9461496328381289E-2</v>
      </c>
      <c r="H506" s="1" t="str">
        <f>IF(COUNTIF(Comp1[Comparable '#1 Dates],Benchmark1[[#This Row],[Benchmark '#1 Dates]])=1,"Pass","Fail")</f>
        <v>Pass</v>
      </c>
      <c r="I506" s="6">
        <f>IF(Benchmark1[[#This Row],[Comparable '#1 Date Check]]="Pass",INDEX(Comp1[Comparable '#1 Price],MATCH(Benchmark1[[#This Row],[Benchmark '#1 Dates]],Comp1[Comparable '#1 Dates],0)),"-")</f>
        <v>9.7799999999999994</v>
      </c>
      <c r="J506" s="22">
        <f>IF(Benchmark1[[#This Row],[Comparable '#1 Date Check]]="Pass",INDEX(Comp1[Comparable '#1 Return],MATCH(Benchmark1[[#This Row],[Benchmark '#1 Dates]],Comp1[Comparable '#1 Dates],0)),"-")</f>
        <v>-5.3744276006690808E-2</v>
      </c>
      <c r="K506" s="1">
        <f>IFERROR(IF(Benchmark1[[#This Row],[Comparable '#1 Date Check]]="Pass",Benchmark1[[#This Row],[Comparable '#1 Return]]-Benchmark1[[#This Row],[Benchmark '#1 Return]],"-"),"-")</f>
        <v>-4.2866523369700954E-2</v>
      </c>
      <c r="L506" s="1" t="str">
        <f>IF(COUNTIF(Comp2[Comparable '#2 Dates],Benchmark1[[#This Row],[Benchmark '#1 Dates]])=1,"Pass","Fail")</f>
        <v>Pass</v>
      </c>
      <c r="M506" s="6">
        <f>IF(Benchmark1[[#This Row],[Comparable '#2 Date Check]]="Pass",INDEX(Comp2[Comparable '#2 Price],MATCH(Benchmark1[[#This Row],[Benchmark '#1 Dates]],Comp2[Comparable '#2 Dates],0)),"-")</f>
        <v>31.5</v>
      </c>
      <c r="N506" s="22">
        <f>IF(Benchmark1[[#This Row],[Comparable '#2 Date Check]]="Pass",INDEX(Comp2[Comparable '#2 Return],MATCH(Benchmark1[[#This Row],[Benchmark '#1 Dates]],Comp2[Comparable '#2 Dates],0)),"-")</f>
        <v>-1.449757506648653E-2</v>
      </c>
      <c r="O506" s="1">
        <f>IFERROR(IF(Benchmark1[[#This Row],[Comparable '#2 Date Check]]="Pass",Benchmark1[[#This Row],[Comparable '#2 Return]]-Benchmark1[[#This Row],[Benchmark '#1 Return]],"-"),"-")</f>
        <v>-3.619822429496676E-3</v>
      </c>
      <c r="P506" s="1" t="str">
        <f>IF(COUNTIF(Comp3[Comparable '#3 Dates],Benchmark1[[#This Row],[Benchmark '#1 Dates]])=1,"Pass","Fail")</f>
        <v>Pass</v>
      </c>
      <c r="Q506" s="6">
        <f>IF(Benchmark1[[#This Row],[Comparable '#3 Date Check]]="Pass",INDEX(Comp3[Comparable '#3 Price],MATCH(Benchmark1[[#This Row],[Benchmark '#1 Dates]],Comp3[Comparable '#3 Dates],0)),"-")</f>
        <v>157.93</v>
      </c>
      <c r="R506" s="22">
        <f>IF(Benchmark1[[#This Row],[Comparable '#3 Date Check]]="Pass",INDEX(Comp3[Comparable '#3 Return],MATCH(Benchmark1[[#This Row],[Benchmark '#1 Dates]],Comp3[Comparable '#3 Dates],0)),"-")</f>
        <v>-1.9687156220624471E-2</v>
      </c>
      <c r="S506" s="1">
        <f>IFERROR(IF(Benchmark1[[#This Row],[Comparable '#3 Date Check]]="Pass",Benchmark1[[#This Row],[Comparable '#3 Return]]-Benchmark1[[#This Row],[Benchmark '#1 Return]],"-"),"-")</f>
        <v>-8.8094035836346167E-3</v>
      </c>
    </row>
    <row r="507" spans="1:19">
      <c r="A507" s="103">
        <v>44020</v>
      </c>
      <c r="B507" s="104">
        <v>3169.9431560945768</v>
      </c>
      <c r="C507" s="4">
        <f t="shared" si="7"/>
        <v>7.7986579361433925E-3</v>
      </c>
      <c r="D507" s="1" t="str">
        <f>IF(COUNTIF(Target1[Target Dates],Benchmark1[[#This Row],[Benchmark '#1 Dates]])=1,"Pass","Fail")</f>
        <v>Pass</v>
      </c>
      <c r="E507" s="6">
        <f>IF(Benchmark1[[#This Row],[Target Date Check]]="Pass",INDEX(Target1[Target Price],MATCH(Benchmark1[[#This Row],[Benchmark '#1 Dates]],Target1[Target Dates],0)),"-")</f>
        <v>34.380000000000003</v>
      </c>
      <c r="F507" s="22">
        <f>IF(Benchmark1[[#This Row],[Target Date Check]]="Pass",INDEX(Target1[Target Return],MATCH(Benchmark1[[#This Row],[Benchmark '#1 Dates]],Target1[Target Dates],0)),"-")</f>
        <v>4.8266740969834569E-2</v>
      </c>
      <c r="G507" s="1">
        <f>IFERROR(IF(Benchmark1[[#This Row],[Target Date Check]]="Pass",Benchmark1[[#This Row],[Target Return]]-Benchmark1[[#This Row],[Benchmark '#1 Return]],"-"),"-")</f>
        <v>4.0468083033691177E-2</v>
      </c>
      <c r="H507" s="1" t="str">
        <f>IF(COUNTIF(Comp1[Comparable '#1 Dates],Benchmark1[[#This Row],[Benchmark '#1 Dates]])=1,"Pass","Fail")</f>
        <v>Pass</v>
      </c>
      <c r="I507" s="6">
        <f>IF(Benchmark1[[#This Row],[Comparable '#1 Date Check]]="Pass",INDEX(Comp1[Comparable '#1 Price],MATCH(Benchmark1[[#This Row],[Benchmark '#1 Dates]],Comp1[Comparable '#1 Dates],0)),"-")</f>
        <v>9.57</v>
      </c>
      <c r="J507" s="22">
        <f>IF(Benchmark1[[#This Row],[Comparable '#1 Date Check]]="Pass",INDEX(Comp1[Comparable '#1 Return],MATCH(Benchmark1[[#This Row],[Benchmark '#1 Dates]],Comp1[Comparable '#1 Dates],0)),"-")</f>
        <v>-2.1706278581862946E-2</v>
      </c>
      <c r="K507" s="1">
        <f>IFERROR(IF(Benchmark1[[#This Row],[Comparable '#1 Date Check]]="Pass",Benchmark1[[#This Row],[Comparable '#1 Return]]-Benchmark1[[#This Row],[Benchmark '#1 Return]],"-"),"-")</f>
        <v>-2.9504936518006338E-2</v>
      </c>
      <c r="L507" s="1" t="str">
        <f>IF(COUNTIF(Comp2[Comparable '#2 Dates],Benchmark1[[#This Row],[Benchmark '#1 Dates]])=1,"Pass","Fail")</f>
        <v>Pass</v>
      </c>
      <c r="M507" s="6">
        <f>IF(Benchmark1[[#This Row],[Comparable '#2 Date Check]]="Pass",INDEX(Comp2[Comparable '#2 Price],MATCH(Benchmark1[[#This Row],[Benchmark '#1 Dates]],Comp2[Comparable '#2 Dates],0)),"-")</f>
        <v>31.72</v>
      </c>
      <c r="N507" s="22">
        <f>IF(Benchmark1[[#This Row],[Comparable '#2 Date Check]]="Pass",INDEX(Comp2[Comparable '#2 Return],MATCH(Benchmark1[[#This Row],[Benchmark '#1 Dates]],Comp2[Comparable '#2 Dates],0)),"-")</f>
        <v>6.9598509350597441E-3</v>
      </c>
      <c r="O507" s="1">
        <f>IFERROR(IF(Benchmark1[[#This Row],[Comparable '#2 Date Check]]="Pass",Benchmark1[[#This Row],[Comparable '#2 Return]]-Benchmark1[[#This Row],[Benchmark '#1 Return]],"-"),"-")</f>
        <v>-8.3880700108364837E-4</v>
      </c>
      <c r="P507" s="1" t="str">
        <f>IF(COUNTIF(Comp3[Comparable '#3 Dates],Benchmark1[[#This Row],[Benchmark '#1 Dates]])=1,"Pass","Fail")</f>
        <v>Pass</v>
      </c>
      <c r="Q507" s="6">
        <f>IF(Benchmark1[[#This Row],[Comparable '#3 Date Check]]="Pass",INDEX(Comp3[Comparable '#3 Price],MATCH(Benchmark1[[#This Row],[Benchmark '#1 Dates]],Comp3[Comparable '#3 Dates],0)),"-")</f>
        <v>156.85</v>
      </c>
      <c r="R507" s="22">
        <f>IF(Benchmark1[[#This Row],[Comparable '#3 Date Check]]="Pass",INDEX(Comp3[Comparable '#3 Return],MATCH(Benchmark1[[#This Row],[Benchmark '#1 Dates]],Comp3[Comparable '#3 Dates],0)),"-")</f>
        <v>-6.861962245276204E-3</v>
      </c>
      <c r="S507" s="1">
        <f>IFERROR(IF(Benchmark1[[#This Row],[Comparable '#3 Date Check]]="Pass",Benchmark1[[#This Row],[Comparable '#3 Return]]-Benchmark1[[#This Row],[Benchmark '#1 Return]],"-"),"-")</f>
        <v>-1.4660620181419597E-2</v>
      </c>
    </row>
    <row r="508" spans="1:19">
      <c r="A508" s="103">
        <v>44021</v>
      </c>
      <c r="B508" s="104">
        <v>3152.0486327591962</v>
      </c>
      <c r="C508" s="4">
        <f t="shared" si="7"/>
        <v>-5.6610548455721908E-3</v>
      </c>
      <c r="D508" s="1" t="str">
        <f>IF(COUNTIF(Target1[Target Dates],Benchmark1[[#This Row],[Benchmark '#1 Dates]])=1,"Pass","Fail")</f>
        <v>Pass</v>
      </c>
      <c r="E508" s="6">
        <f>IF(Benchmark1[[#This Row],[Target Date Check]]="Pass",INDEX(Target1[Target Price],MATCH(Benchmark1[[#This Row],[Benchmark '#1 Dates]],Target1[Target Dates],0)),"-")</f>
        <v>32.44</v>
      </c>
      <c r="F508" s="22">
        <f>IF(Benchmark1[[#This Row],[Target Date Check]]="Pass",INDEX(Target1[Target Return],MATCH(Benchmark1[[#This Row],[Benchmark '#1 Dates]],Target1[Target Dates],0)),"-")</f>
        <v>-5.8082770707491162E-2</v>
      </c>
      <c r="G508" s="1">
        <f>IFERROR(IF(Benchmark1[[#This Row],[Target Date Check]]="Pass",Benchmark1[[#This Row],[Target Return]]-Benchmark1[[#This Row],[Benchmark '#1 Return]],"-"),"-")</f>
        <v>-5.2421715861918974E-2</v>
      </c>
      <c r="H508" s="1" t="str">
        <f>IF(COUNTIF(Comp1[Comparable '#1 Dates],Benchmark1[[#This Row],[Benchmark '#1 Dates]])=1,"Pass","Fail")</f>
        <v>Pass</v>
      </c>
      <c r="I508" s="6">
        <f>IF(Benchmark1[[#This Row],[Comparable '#1 Date Check]]="Pass",INDEX(Comp1[Comparable '#1 Price],MATCH(Benchmark1[[#This Row],[Benchmark '#1 Dates]],Comp1[Comparable '#1 Dates],0)),"-")</f>
        <v>9.23</v>
      </c>
      <c r="J508" s="22">
        <f>IF(Benchmark1[[#This Row],[Comparable '#1 Date Check]]="Pass",INDEX(Comp1[Comparable '#1 Return],MATCH(Benchmark1[[#This Row],[Benchmark '#1 Dates]],Comp1[Comparable '#1 Dates],0)),"-")</f>
        <v>-3.6174156950102142E-2</v>
      </c>
      <c r="K508" s="1">
        <f>IFERROR(IF(Benchmark1[[#This Row],[Comparable '#1 Date Check]]="Pass",Benchmark1[[#This Row],[Comparable '#1 Return]]-Benchmark1[[#This Row],[Benchmark '#1 Return]],"-"),"-")</f>
        <v>-3.0513102104529951E-2</v>
      </c>
      <c r="L508" s="1" t="str">
        <f>IF(COUNTIF(Comp2[Comparable '#2 Dates],Benchmark1[[#This Row],[Benchmark '#1 Dates]])=1,"Pass","Fail")</f>
        <v>Pass</v>
      </c>
      <c r="M508" s="6">
        <f>IF(Benchmark1[[#This Row],[Comparable '#2 Date Check]]="Pass",INDEX(Comp2[Comparable '#2 Price],MATCH(Benchmark1[[#This Row],[Benchmark '#1 Dates]],Comp2[Comparable '#2 Dates],0)),"-")</f>
        <v>30.99</v>
      </c>
      <c r="N508" s="22">
        <f>IF(Benchmark1[[#This Row],[Comparable '#2 Date Check]]="Pass",INDEX(Comp2[Comparable '#2 Return],MATCH(Benchmark1[[#This Row],[Benchmark '#1 Dates]],Comp2[Comparable '#2 Dates],0)),"-")</f>
        <v>-2.3282824966990405E-2</v>
      </c>
      <c r="O508" s="1">
        <f>IFERROR(IF(Benchmark1[[#This Row],[Comparable '#2 Date Check]]="Pass",Benchmark1[[#This Row],[Comparable '#2 Return]]-Benchmark1[[#This Row],[Benchmark '#1 Return]],"-"),"-")</f>
        <v>-1.7621770121418214E-2</v>
      </c>
      <c r="P508" s="1" t="str">
        <f>IF(COUNTIF(Comp3[Comparable '#3 Dates],Benchmark1[[#This Row],[Benchmark '#1 Dates]])=1,"Pass","Fail")</f>
        <v>Pass</v>
      </c>
      <c r="Q508" s="6">
        <f>IF(Benchmark1[[#This Row],[Comparable '#3 Date Check]]="Pass",INDEX(Comp3[Comparable '#3 Price],MATCH(Benchmark1[[#This Row],[Benchmark '#1 Dates]],Comp3[Comparable '#3 Dates],0)),"-")</f>
        <v>151.13</v>
      </c>
      <c r="R508" s="22">
        <f>IF(Benchmark1[[#This Row],[Comparable '#3 Date Check]]="Pass",INDEX(Comp3[Comparable '#3 Return],MATCH(Benchmark1[[#This Row],[Benchmark '#1 Dates]],Comp3[Comparable '#3 Dates],0)),"-")</f>
        <v>-3.7149541054657835E-2</v>
      </c>
      <c r="S508" s="1">
        <f>IFERROR(IF(Benchmark1[[#This Row],[Comparable '#3 Date Check]]="Pass",Benchmark1[[#This Row],[Comparable '#3 Return]]-Benchmark1[[#This Row],[Benchmark '#1 Return]],"-"),"-")</f>
        <v>-3.1488486209085648E-2</v>
      </c>
    </row>
    <row r="509" spans="1:19">
      <c r="A509" s="103">
        <v>44022</v>
      </c>
      <c r="B509" s="104">
        <v>3185.0423149527678</v>
      </c>
      <c r="C509" s="4">
        <f t="shared" si="7"/>
        <v>1.0412973583852606E-2</v>
      </c>
      <c r="D509" s="1" t="str">
        <f>IF(COUNTIF(Target1[Target Dates],Benchmark1[[#This Row],[Benchmark '#1 Dates]])=1,"Pass","Fail")</f>
        <v>Pass</v>
      </c>
      <c r="E509" s="6">
        <f>IF(Benchmark1[[#This Row],[Target Date Check]]="Pass",INDEX(Target1[Target Price],MATCH(Benchmark1[[#This Row],[Benchmark '#1 Dates]],Target1[Target Dates],0)),"-")</f>
        <v>33.93</v>
      </c>
      <c r="F509" s="22">
        <f>IF(Benchmark1[[#This Row],[Target Date Check]]="Pass",INDEX(Target1[Target Return],MATCH(Benchmark1[[#This Row],[Benchmark '#1 Dates]],Target1[Target Dates],0)),"-")</f>
        <v>4.490734954892657E-2</v>
      </c>
      <c r="G509" s="1">
        <f>IFERROR(IF(Benchmark1[[#This Row],[Target Date Check]]="Pass",Benchmark1[[#This Row],[Target Return]]-Benchmark1[[#This Row],[Benchmark '#1 Return]],"-"),"-")</f>
        <v>3.4494375965073966E-2</v>
      </c>
      <c r="H509" s="1" t="str">
        <f>IF(COUNTIF(Comp1[Comparable '#1 Dates],Benchmark1[[#This Row],[Benchmark '#1 Dates]])=1,"Pass","Fail")</f>
        <v>Pass</v>
      </c>
      <c r="I509" s="6">
        <f>IF(Benchmark1[[#This Row],[Comparable '#1 Date Check]]="Pass",INDEX(Comp1[Comparable '#1 Price],MATCH(Benchmark1[[#This Row],[Benchmark '#1 Dates]],Comp1[Comparable '#1 Dates],0)),"-")</f>
        <v>9.52</v>
      </c>
      <c r="J509" s="22">
        <f>IF(Benchmark1[[#This Row],[Comparable '#1 Date Check]]="Pass",INDEX(Comp1[Comparable '#1 Return],MATCH(Benchmark1[[#This Row],[Benchmark '#1 Dates]],Comp1[Comparable '#1 Dates],0)),"-")</f>
        <v>3.0935800288513032E-2</v>
      </c>
      <c r="K509" s="1">
        <f>IFERROR(IF(Benchmark1[[#This Row],[Comparable '#1 Date Check]]="Pass",Benchmark1[[#This Row],[Comparable '#1 Return]]-Benchmark1[[#This Row],[Benchmark '#1 Return]],"-"),"-")</f>
        <v>2.0522826704660428E-2</v>
      </c>
      <c r="L509" s="1" t="str">
        <f>IF(COUNTIF(Comp2[Comparable '#2 Dates],Benchmark1[[#This Row],[Benchmark '#1 Dates]])=1,"Pass","Fail")</f>
        <v>Pass</v>
      </c>
      <c r="M509" s="6">
        <f>IF(Benchmark1[[#This Row],[Comparable '#2 Date Check]]="Pass",INDEX(Comp2[Comparable '#2 Price],MATCH(Benchmark1[[#This Row],[Benchmark '#1 Dates]],Comp2[Comparable '#2 Dates],0)),"-")</f>
        <v>31.68</v>
      </c>
      <c r="N509" s="22">
        <f>IF(Benchmark1[[#This Row],[Comparable '#2 Date Check]]="Pass",INDEX(Comp2[Comparable '#2 Return],MATCH(Benchmark1[[#This Row],[Benchmark '#1 Dates]],Comp2[Comparable '#2 Dates],0)),"-")</f>
        <v>2.2020995146568228E-2</v>
      </c>
      <c r="O509" s="1">
        <f>IFERROR(IF(Benchmark1[[#This Row],[Comparable '#2 Date Check]]="Pass",Benchmark1[[#This Row],[Comparable '#2 Return]]-Benchmark1[[#This Row],[Benchmark '#1 Return]],"-"),"-")</f>
        <v>1.1608021562715622E-2</v>
      </c>
      <c r="P509" s="1" t="str">
        <f>IF(COUNTIF(Comp3[Comparable '#3 Dates],Benchmark1[[#This Row],[Benchmark '#1 Dates]])=1,"Pass","Fail")</f>
        <v>Pass</v>
      </c>
      <c r="Q509" s="6">
        <f>IF(Benchmark1[[#This Row],[Comparable '#3 Date Check]]="Pass",INDEX(Comp3[Comparable '#3 Price],MATCH(Benchmark1[[#This Row],[Benchmark '#1 Dates]],Comp3[Comparable '#3 Dates],0)),"-")</f>
        <v>152.94999999999999</v>
      </c>
      <c r="R509" s="22">
        <f>IF(Benchmark1[[#This Row],[Comparable '#3 Date Check]]="Pass",INDEX(Comp3[Comparable '#3 Return],MATCH(Benchmark1[[#This Row],[Benchmark '#1 Dates]],Comp3[Comparable '#3 Dates],0)),"-")</f>
        <v>1.1970677014883035E-2</v>
      </c>
      <c r="S509" s="1">
        <f>IFERROR(IF(Benchmark1[[#This Row],[Comparable '#3 Date Check]]="Pass",Benchmark1[[#This Row],[Comparable '#3 Return]]-Benchmark1[[#This Row],[Benchmark '#1 Return]],"-"),"-")</f>
        <v>1.5577034310304289E-3</v>
      </c>
    </row>
    <row r="510" spans="1:19">
      <c r="A510" s="103">
        <v>44025</v>
      </c>
      <c r="B510" s="104">
        <v>3155.2236072156888</v>
      </c>
      <c r="C510" s="4">
        <f t="shared" si="7"/>
        <v>-9.4062072341954874E-3</v>
      </c>
      <c r="D510" s="1" t="str">
        <f>IF(COUNTIF(Target1[Target Dates],Benchmark1[[#This Row],[Benchmark '#1 Dates]])=1,"Pass","Fail")</f>
        <v>Pass</v>
      </c>
      <c r="E510" s="6">
        <f>IF(Benchmark1[[#This Row],[Target Date Check]]="Pass",INDEX(Target1[Target Price],MATCH(Benchmark1[[#This Row],[Benchmark '#1 Dates]],Target1[Target Dates],0)),"-")</f>
        <v>35.08</v>
      </c>
      <c r="F510" s="22">
        <f>IF(Benchmark1[[#This Row],[Target Date Check]]="Pass",INDEX(Target1[Target Return],MATCH(Benchmark1[[#This Row],[Benchmark '#1 Dates]],Target1[Target Dates],0)),"-")</f>
        <v>3.3331588707843425E-2</v>
      </c>
      <c r="G510" s="1">
        <f>IFERROR(IF(Benchmark1[[#This Row],[Target Date Check]]="Pass",Benchmark1[[#This Row],[Target Return]]-Benchmark1[[#This Row],[Benchmark '#1 Return]],"-"),"-")</f>
        <v>4.2737795942038914E-2</v>
      </c>
      <c r="H510" s="1" t="str">
        <f>IF(COUNTIF(Comp1[Comparable '#1 Dates],Benchmark1[[#This Row],[Benchmark '#1 Dates]])=1,"Pass","Fail")</f>
        <v>Pass</v>
      </c>
      <c r="I510" s="6">
        <f>IF(Benchmark1[[#This Row],[Comparable '#1 Date Check]]="Pass",INDEX(Comp1[Comparable '#1 Price],MATCH(Benchmark1[[#This Row],[Benchmark '#1 Dates]],Comp1[Comparable '#1 Dates],0)),"-")</f>
        <v>9.39</v>
      </c>
      <c r="J510" s="22">
        <f>IF(Benchmark1[[#This Row],[Comparable '#1 Date Check]]="Pass",INDEX(Comp1[Comparable '#1 Return],MATCH(Benchmark1[[#This Row],[Benchmark '#1 Dates]],Comp1[Comparable '#1 Dates],0)),"-")</f>
        <v>-1.3749555583102356E-2</v>
      </c>
      <c r="K510" s="1">
        <f>IFERROR(IF(Benchmark1[[#This Row],[Comparable '#1 Date Check]]="Pass",Benchmark1[[#This Row],[Comparable '#1 Return]]-Benchmark1[[#This Row],[Benchmark '#1 Return]],"-"),"-")</f>
        <v>-4.343348348906869E-3</v>
      </c>
      <c r="L510" s="1" t="str">
        <f>IF(COUNTIF(Comp2[Comparable '#2 Dates],Benchmark1[[#This Row],[Benchmark '#1 Dates]])=1,"Pass","Fail")</f>
        <v>Pass</v>
      </c>
      <c r="M510" s="6">
        <f>IF(Benchmark1[[#This Row],[Comparable '#2 Date Check]]="Pass",INDEX(Comp2[Comparable '#2 Price],MATCH(Benchmark1[[#This Row],[Benchmark '#1 Dates]],Comp2[Comparable '#2 Dates],0)),"-")</f>
        <v>31.81</v>
      </c>
      <c r="N510" s="22">
        <f>IF(Benchmark1[[#This Row],[Comparable '#2 Date Check]]="Pass",INDEX(Comp2[Comparable '#2 Return],MATCH(Benchmark1[[#This Row],[Benchmark '#1 Dates]],Comp2[Comparable '#2 Dates],0)),"-")</f>
        <v>4.09513881482753E-3</v>
      </c>
      <c r="O510" s="1">
        <f>IFERROR(IF(Benchmark1[[#This Row],[Comparable '#2 Date Check]]="Pass",Benchmark1[[#This Row],[Comparable '#2 Return]]-Benchmark1[[#This Row],[Benchmark '#1 Return]],"-"),"-")</f>
        <v>1.3501346049023017E-2</v>
      </c>
      <c r="P510" s="1" t="str">
        <f>IF(COUNTIF(Comp3[Comparable '#3 Dates],Benchmark1[[#This Row],[Benchmark '#1 Dates]])=1,"Pass","Fail")</f>
        <v>Pass</v>
      </c>
      <c r="Q510" s="6">
        <f>IF(Benchmark1[[#This Row],[Comparable '#3 Date Check]]="Pass",INDEX(Comp3[Comparable '#3 Price],MATCH(Benchmark1[[#This Row],[Benchmark '#1 Dates]],Comp3[Comparable '#3 Dates],0)),"-")</f>
        <v>152.4</v>
      </c>
      <c r="R510" s="22">
        <f>IF(Benchmark1[[#This Row],[Comparable '#3 Date Check]]="Pass",INDEX(Comp3[Comparable '#3 Return],MATCH(Benchmark1[[#This Row],[Benchmark '#1 Dates]],Comp3[Comparable '#3 Dates],0)),"-")</f>
        <v>-3.6024273443664881E-3</v>
      </c>
      <c r="S510" s="1">
        <f>IFERROR(IF(Benchmark1[[#This Row],[Comparable '#3 Date Check]]="Pass",Benchmark1[[#This Row],[Comparable '#3 Return]]-Benchmark1[[#This Row],[Benchmark '#1 Return]],"-"),"-")</f>
        <v>5.8037798898289989E-3</v>
      </c>
    </row>
    <row r="511" spans="1:19">
      <c r="A511" s="103">
        <v>44026</v>
      </c>
      <c r="B511" s="104">
        <v>3197.5223670590181</v>
      </c>
      <c r="C511" s="4">
        <f t="shared" si="7"/>
        <v>1.3316882216181884E-2</v>
      </c>
      <c r="D511" s="1" t="str">
        <f>IF(COUNTIF(Target1[Target Dates],Benchmark1[[#This Row],[Benchmark '#1 Dates]])=1,"Pass","Fail")</f>
        <v>Pass</v>
      </c>
      <c r="E511" s="6">
        <f>IF(Benchmark1[[#This Row],[Target Date Check]]="Pass",INDEX(Target1[Target Price],MATCH(Benchmark1[[#This Row],[Benchmark '#1 Dates]],Target1[Target Dates],0)),"-")</f>
        <v>39.29</v>
      </c>
      <c r="F511" s="22">
        <f>IF(Benchmark1[[#This Row],[Target Date Check]]="Pass",INDEX(Target1[Target Return],MATCH(Benchmark1[[#This Row],[Benchmark '#1 Dates]],Target1[Target Dates],0)),"-")</f>
        <v>0.11333886606638613</v>
      </c>
      <c r="G511" s="1">
        <f>IFERROR(IF(Benchmark1[[#This Row],[Target Date Check]]="Pass",Benchmark1[[#This Row],[Target Return]]-Benchmark1[[#This Row],[Benchmark '#1 Return]],"-"),"-")</f>
        <v>0.10002198385020425</v>
      </c>
      <c r="H511" s="1" t="str">
        <f>IF(COUNTIF(Comp1[Comparable '#1 Dates],Benchmark1[[#This Row],[Benchmark '#1 Dates]])=1,"Pass","Fail")</f>
        <v>Pass</v>
      </c>
      <c r="I511" s="6">
        <f>IF(Benchmark1[[#This Row],[Comparable '#1 Date Check]]="Pass",INDEX(Comp1[Comparable '#1 Price],MATCH(Benchmark1[[#This Row],[Benchmark '#1 Dates]],Comp1[Comparable '#1 Dates],0)),"-")</f>
        <v>9.3000000000000007</v>
      </c>
      <c r="J511" s="22">
        <f>IF(Benchmark1[[#This Row],[Comparable '#1 Date Check]]="Pass",INDEX(Comp1[Comparable '#1 Return],MATCH(Benchmark1[[#This Row],[Benchmark '#1 Dates]],Comp1[Comparable '#1 Dates],0)),"-")</f>
        <v>-9.6308930609613E-3</v>
      </c>
      <c r="K511" s="1">
        <f>IFERROR(IF(Benchmark1[[#This Row],[Comparable '#1 Date Check]]="Pass",Benchmark1[[#This Row],[Comparable '#1 Return]]-Benchmark1[[#This Row],[Benchmark '#1 Return]],"-"),"-")</f>
        <v>-2.2947775277143184E-2</v>
      </c>
      <c r="L511" s="1" t="str">
        <f>IF(COUNTIF(Comp2[Comparable '#2 Dates],Benchmark1[[#This Row],[Benchmark '#1 Dates]])=1,"Pass","Fail")</f>
        <v>Pass</v>
      </c>
      <c r="M511" s="6">
        <f>IF(Benchmark1[[#This Row],[Comparable '#2 Date Check]]="Pass",INDEX(Comp2[Comparable '#2 Price],MATCH(Benchmark1[[#This Row],[Benchmark '#1 Dates]],Comp2[Comparable '#2 Dates],0)),"-")</f>
        <v>32.270000000000003</v>
      </c>
      <c r="N511" s="22">
        <f>IF(Benchmark1[[#This Row],[Comparable '#2 Date Check]]="Pass",INDEX(Comp2[Comparable '#2 Return],MATCH(Benchmark1[[#This Row],[Benchmark '#1 Dates]],Comp2[Comparable '#2 Dates],0)),"-")</f>
        <v>1.4357300302817755E-2</v>
      </c>
      <c r="O511" s="1">
        <f>IFERROR(IF(Benchmark1[[#This Row],[Comparable '#2 Date Check]]="Pass",Benchmark1[[#This Row],[Comparable '#2 Return]]-Benchmark1[[#This Row],[Benchmark '#1 Return]],"-"),"-")</f>
        <v>1.0404180866358716E-3</v>
      </c>
      <c r="P511" s="1" t="str">
        <f>IF(COUNTIF(Comp3[Comparable '#3 Dates],Benchmark1[[#This Row],[Benchmark '#1 Dates]])=1,"Pass","Fail")</f>
        <v>Pass</v>
      </c>
      <c r="Q511" s="6">
        <f>IF(Benchmark1[[#This Row],[Comparable '#3 Date Check]]="Pass",INDEX(Comp3[Comparable '#3 Price],MATCH(Benchmark1[[#This Row],[Benchmark '#1 Dates]],Comp3[Comparable '#3 Dates],0)),"-")</f>
        <v>153.31</v>
      </c>
      <c r="R511" s="22">
        <f>IF(Benchmark1[[#This Row],[Comparable '#3 Date Check]]="Pass",INDEX(Comp3[Comparable '#3 Return],MATCH(Benchmark1[[#This Row],[Benchmark '#1 Dates]],Comp3[Comparable '#3 Dates],0)),"-")</f>
        <v>5.9533720698169692E-3</v>
      </c>
      <c r="S511" s="1">
        <f>IFERROR(IF(Benchmark1[[#This Row],[Comparable '#3 Date Check]]="Pass",Benchmark1[[#This Row],[Comparable '#3 Return]]-Benchmark1[[#This Row],[Benchmark '#1 Return]],"-"),"-")</f>
        <v>-7.3635101463649143E-3</v>
      </c>
    </row>
    <row r="512" spans="1:19">
      <c r="A512" s="103">
        <v>44027</v>
      </c>
      <c r="B512" s="104">
        <v>3226.5593226913315</v>
      </c>
      <c r="C512" s="4">
        <f t="shared" si="7"/>
        <v>9.0400946887256826E-3</v>
      </c>
      <c r="D512" s="1" t="str">
        <f>IF(COUNTIF(Target1[Target Dates],Benchmark1[[#This Row],[Benchmark '#1 Dates]])=1,"Pass","Fail")</f>
        <v>Pass</v>
      </c>
      <c r="E512" s="6">
        <f>IF(Benchmark1[[#This Row],[Target Date Check]]="Pass",INDEX(Target1[Target Price],MATCH(Benchmark1[[#This Row],[Benchmark '#1 Dates]],Target1[Target Dates],0)),"-")</f>
        <v>43.1</v>
      </c>
      <c r="F512" s="22">
        <f>IF(Benchmark1[[#This Row],[Target Date Check]]="Pass",INDEX(Target1[Target Return],MATCH(Benchmark1[[#This Row],[Benchmark '#1 Dates]],Target1[Target Dates],0)),"-")</f>
        <v>9.2552963539333663E-2</v>
      </c>
      <c r="G512" s="1">
        <f>IFERROR(IF(Benchmark1[[#This Row],[Target Date Check]]="Pass",Benchmark1[[#This Row],[Target Return]]-Benchmark1[[#This Row],[Benchmark '#1 Return]],"-"),"-")</f>
        <v>8.3512868850607977E-2</v>
      </c>
      <c r="H512" s="1" t="str">
        <f>IF(COUNTIF(Comp1[Comparable '#1 Dates],Benchmark1[[#This Row],[Benchmark '#1 Dates]])=1,"Pass","Fail")</f>
        <v>Pass</v>
      </c>
      <c r="I512" s="6">
        <f>IF(Benchmark1[[#This Row],[Comparable '#1 Date Check]]="Pass",INDEX(Comp1[Comparable '#1 Price],MATCH(Benchmark1[[#This Row],[Benchmark '#1 Dates]],Comp1[Comparable '#1 Dates],0)),"-")</f>
        <v>10.095000000000001</v>
      </c>
      <c r="J512" s="22">
        <f>IF(Benchmark1[[#This Row],[Comparable '#1 Date Check]]="Pass",INDEX(Comp1[Comparable '#1 Return],MATCH(Benchmark1[[#This Row],[Benchmark '#1 Dates]],Comp1[Comparable '#1 Dates],0)),"-")</f>
        <v>8.2025851605590533E-2</v>
      </c>
      <c r="K512" s="1">
        <f>IFERROR(IF(Benchmark1[[#This Row],[Comparable '#1 Date Check]]="Pass",Benchmark1[[#This Row],[Comparable '#1 Return]]-Benchmark1[[#This Row],[Benchmark '#1 Return]],"-"),"-")</f>
        <v>7.2985756916864847E-2</v>
      </c>
      <c r="L512" s="1" t="str">
        <f>IF(COUNTIF(Comp2[Comparable '#2 Dates],Benchmark1[[#This Row],[Benchmark '#1 Dates]])=1,"Pass","Fail")</f>
        <v>Pass</v>
      </c>
      <c r="M512" s="6">
        <f>IF(Benchmark1[[#This Row],[Comparable '#2 Date Check]]="Pass",INDEX(Comp2[Comparable '#2 Price],MATCH(Benchmark1[[#This Row],[Benchmark '#1 Dates]],Comp2[Comparable '#2 Dates],0)),"-")</f>
        <v>34.96</v>
      </c>
      <c r="N512" s="22">
        <f>IF(Benchmark1[[#This Row],[Comparable '#2 Date Check]]="Pass",INDEX(Comp2[Comparable '#2 Return],MATCH(Benchmark1[[#This Row],[Benchmark '#1 Dates]],Comp2[Comparable '#2 Dates],0)),"-")</f>
        <v>8.0066544723464236E-2</v>
      </c>
      <c r="O512" s="1">
        <f>IFERROR(IF(Benchmark1[[#This Row],[Comparable '#2 Date Check]]="Pass",Benchmark1[[#This Row],[Comparable '#2 Return]]-Benchmark1[[#This Row],[Benchmark '#1 Return]],"-"),"-")</f>
        <v>7.102645003473855E-2</v>
      </c>
      <c r="P512" s="1" t="str">
        <f>IF(COUNTIF(Comp3[Comparable '#3 Dates],Benchmark1[[#This Row],[Benchmark '#1 Dates]])=1,"Pass","Fail")</f>
        <v>Pass</v>
      </c>
      <c r="Q512" s="6">
        <f>IF(Benchmark1[[#This Row],[Comparable '#3 Date Check]]="Pass",INDEX(Comp3[Comparable '#3 Price],MATCH(Benchmark1[[#This Row],[Benchmark '#1 Dates]],Comp3[Comparable '#3 Dates],0)),"-")</f>
        <v>163.16</v>
      </c>
      <c r="R512" s="22">
        <f>IF(Benchmark1[[#This Row],[Comparable '#3 Date Check]]="Pass",INDEX(Comp3[Comparable '#3 Return],MATCH(Benchmark1[[#This Row],[Benchmark '#1 Dates]],Comp3[Comparable '#3 Dates],0)),"-")</f>
        <v>6.2269299126994797E-2</v>
      </c>
      <c r="S512" s="1">
        <f>IFERROR(IF(Benchmark1[[#This Row],[Comparable '#3 Date Check]]="Pass",Benchmark1[[#This Row],[Comparable '#3 Return]]-Benchmark1[[#This Row],[Benchmark '#1 Return]],"-"),"-")</f>
        <v>5.3229204438269118E-2</v>
      </c>
    </row>
    <row r="513" spans="1:19">
      <c r="A513" s="103">
        <v>44028</v>
      </c>
      <c r="B513" s="104">
        <v>3215.5740278970179</v>
      </c>
      <c r="C513" s="4">
        <f t="shared" si="7"/>
        <v>-3.4104557742494837E-3</v>
      </c>
      <c r="D513" s="1" t="str">
        <f>IF(COUNTIF(Target1[Target Dates],Benchmark1[[#This Row],[Benchmark '#1 Dates]])=1,"Pass","Fail")</f>
        <v>Pass</v>
      </c>
      <c r="E513" s="6">
        <f>IF(Benchmark1[[#This Row],[Target Date Check]]="Pass",INDEX(Target1[Target Price],MATCH(Benchmark1[[#This Row],[Benchmark '#1 Dates]],Target1[Target Dates],0)),"-")</f>
        <v>47.94</v>
      </c>
      <c r="F513" s="22">
        <f>IF(Benchmark1[[#This Row],[Target Date Check]]="Pass",INDEX(Target1[Target Return],MATCH(Benchmark1[[#This Row],[Benchmark '#1 Dates]],Target1[Target Dates],0)),"-")</f>
        <v>0.10642723189653618</v>
      </c>
      <c r="G513" s="1">
        <f>IFERROR(IF(Benchmark1[[#This Row],[Target Date Check]]="Pass",Benchmark1[[#This Row],[Target Return]]-Benchmark1[[#This Row],[Benchmark '#1 Return]],"-"),"-")</f>
        <v>0.10983768767078567</v>
      </c>
      <c r="H513" s="1" t="str">
        <f>IF(COUNTIF(Comp1[Comparable '#1 Dates],Benchmark1[[#This Row],[Benchmark '#1 Dates]])=1,"Pass","Fail")</f>
        <v>Pass</v>
      </c>
      <c r="I513" s="6">
        <f>IF(Benchmark1[[#This Row],[Comparable '#1 Date Check]]="Pass",INDEX(Comp1[Comparable '#1 Price],MATCH(Benchmark1[[#This Row],[Benchmark '#1 Dates]],Comp1[Comparable '#1 Dates],0)),"-")</f>
        <v>10</v>
      </c>
      <c r="J513" s="22">
        <f>IF(Benchmark1[[#This Row],[Comparable '#1 Date Check]]="Pass",INDEX(Comp1[Comparable '#1 Return],MATCH(Benchmark1[[#This Row],[Benchmark '#1 Dates]],Comp1[Comparable '#1 Dates],0)),"-")</f>
        <v>-9.4551587707552131E-3</v>
      </c>
      <c r="K513" s="1">
        <f>IFERROR(IF(Benchmark1[[#This Row],[Comparable '#1 Date Check]]="Pass",Benchmark1[[#This Row],[Comparable '#1 Return]]-Benchmark1[[#This Row],[Benchmark '#1 Return]],"-"),"-")</f>
        <v>-6.0447029965057294E-3</v>
      </c>
      <c r="L513" s="1" t="str">
        <f>IF(COUNTIF(Comp2[Comparable '#2 Dates],Benchmark1[[#This Row],[Benchmark '#1 Dates]])=1,"Pass","Fail")</f>
        <v>Pass</v>
      </c>
      <c r="M513" s="6">
        <f>IF(Benchmark1[[#This Row],[Comparable '#2 Date Check]]="Pass",INDEX(Comp2[Comparable '#2 Price],MATCH(Benchmark1[[#This Row],[Benchmark '#1 Dates]],Comp2[Comparable '#2 Dates],0)),"-")</f>
        <v>34.770000000000003</v>
      </c>
      <c r="N513" s="22">
        <f>IF(Benchmark1[[#This Row],[Comparable '#2 Date Check]]="Pass",INDEX(Comp2[Comparable '#2 Return],MATCH(Benchmark1[[#This Row],[Benchmark '#1 Dates]],Comp2[Comparable '#2 Dates],0)),"-")</f>
        <v>-5.4496047675645911E-3</v>
      </c>
      <c r="O513" s="1">
        <f>IFERROR(IF(Benchmark1[[#This Row],[Comparable '#2 Date Check]]="Pass",Benchmark1[[#This Row],[Comparable '#2 Return]]-Benchmark1[[#This Row],[Benchmark '#1 Return]],"-"),"-")</f>
        <v>-2.0391489933151074E-3</v>
      </c>
      <c r="P513" s="1" t="str">
        <f>IF(COUNTIF(Comp3[Comparable '#3 Dates],Benchmark1[[#This Row],[Benchmark '#1 Dates]])=1,"Pass","Fail")</f>
        <v>Pass</v>
      </c>
      <c r="Q513" s="6">
        <f>IF(Benchmark1[[#This Row],[Comparable '#3 Date Check]]="Pass",INDEX(Comp3[Comparable '#3 Price],MATCH(Benchmark1[[#This Row],[Benchmark '#1 Dates]],Comp3[Comparable '#3 Dates],0)),"-")</f>
        <v>163.27000000000001</v>
      </c>
      <c r="R513" s="22">
        <f>IF(Benchmark1[[#This Row],[Comparable '#3 Date Check]]="Pass",INDEX(Comp3[Comparable '#3 Return],MATCH(Benchmark1[[#This Row],[Benchmark '#1 Dates]],Comp3[Comparable '#3 Dates],0)),"-")</f>
        <v>6.7395768871535144E-4</v>
      </c>
      <c r="S513" s="1">
        <f>IFERROR(IF(Benchmark1[[#This Row],[Comparable '#3 Date Check]]="Pass",Benchmark1[[#This Row],[Comparable '#3 Return]]-Benchmark1[[#This Row],[Benchmark '#1 Return]],"-"),"-")</f>
        <v>4.0844134629648352E-3</v>
      </c>
    </row>
    <row r="514" spans="1:19">
      <c r="A514" s="103">
        <v>44029</v>
      </c>
      <c r="B514" s="104">
        <v>3224.7307021244023</v>
      </c>
      <c r="C514" s="4">
        <f t="shared" ref="C514:C577" si="8">IFERROR(IF(B514="","-",LN(B514/B513)),"-")</f>
        <v>2.843555012117163E-3</v>
      </c>
      <c r="D514" s="1" t="str">
        <f>IF(COUNTIF(Target1[Target Dates],Benchmark1[[#This Row],[Benchmark '#1 Dates]])=1,"Pass","Fail")</f>
        <v>Pass</v>
      </c>
      <c r="E514" s="6">
        <f>IF(Benchmark1[[#This Row],[Target Date Check]]="Pass",INDEX(Target1[Target Price],MATCH(Benchmark1[[#This Row],[Benchmark '#1 Dates]],Target1[Target Dates],0)),"-")</f>
        <v>46.6</v>
      </c>
      <c r="F514" s="22">
        <f>IF(Benchmark1[[#This Row],[Target Date Check]]="Pass",INDEX(Target1[Target Return],MATCH(Benchmark1[[#This Row],[Benchmark '#1 Dates]],Target1[Target Dates],0)),"-")</f>
        <v>-2.8349687874637982E-2</v>
      </c>
      <c r="G514" s="1">
        <f>IFERROR(IF(Benchmark1[[#This Row],[Target Date Check]]="Pass",Benchmark1[[#This Row],[Target Return]]-Benchmark1[[#This Row],[Benchmark '#1 Return]],"-"),"-")</f>
        <v>-3.1193242886755145E-2</v>
      </c>
      <c r="H514" s="1" t="str">
        <f>IF(COUNTIF(Comp1[Comparable '#1 Dates],Benchmark1[[#This Row],[Benchmark '#1 Dates]])=1,"Pass","Fail")</f>
        <v>Pass</v>
      </c>
      <c r="I514" s="6">
        <f>IF(Benchmark1[[#This Row],[Comparable '#1 Date Check]]="Pass",INDEX(Comp1[Comparable '#1 Price],MATCH(Benchmark1[[#This Row],[Benchmark '#1 Dates]],Comp1[Comparable '#1 Dates],0)),"-")</f>
        <v>10.130000000000001</v>
      </c>
      <c r="J514" s="22">
        <f>IF(Benchmark1[[#This Row],[Comparable '#1 Date Check]]="Pass",INDEX(Comp1[Comparable '#1 Return],MATCH(Benchmark1[[#This Row],[Benchmark '#1 Dates]],Comp1[Comparable '#1 Dates],0)),"-")</f>
        <v>1.291622526654645E-2</v>
      </c>
      <c r="K514" s="1">
        <f>IFERROR(IF(Benchmark1[[#This Row],[Comparable '#1 Date Check]]="Pass",Benchmark1[[#This Row],[Comparable '#1 Return]]-Benchmark1[[#This Row],[Benchmark '#1 Return]],"-"),"-")</f>
        <v>1.0072670254429287E-2</v>
      </c>
      <c r="L514" s="1" t="str">
        <f>IF(COUNTIF(Comp2[Comparable '#2 Dates],Benchmark1[[#This Row],[Benchmark '#1 Dates]])=1,"Pass","Fail")</f>
        <v>Pass</v>
      </c>
      <c r="M514" s="6">
        <f>IF(Benchmark1[[#This Row],[Comparable '#2 Date Check]]="Pass",INDEX(Comp2[Comparable '#2 Price],MATCH(Benchmark1[[#This Row],[Benchmark '#1 Dates]],Comp2[Comparable '#2 Dates],0)),"-")</f>
        <v>35.21</v>
      </c>
      <c r="N514" s="22">
        <f>IF(Benchmark1[[#This Row],[Comparable '#2 Date Check]]="Pass",INDEX(Comp2[Comparable '#2 Return],MATCH(Benchmark1[[#This Row],[Benchmark '#1 Dates]],Comp2[Comparable '#2 Dates],0)),"-")</f>
        <v>1.2575187147191068E-2</v>
      </c>
      <c r="O514" s="1">
        <f>IFERROR(IF(Benchmark1[[#This Row],[Comparable '#2 Date Check]]="Pass",Benchmark1[[#This Row],[Comparable '#2 Return]]-Benchmark1[[#This Row],[Benchmark '#1 Return]],"-"),"-")</f>
        <v>9.7316321350739057E-3</v>
      </c>
      <c r="P514" s="1" t="str">
        <f>IF(COUNTIF(Comp3[Comparable '#3 Dates],Benchmark1[[#This Row],[Benchmark '#1 Dates]])=1,"Pass","Fail")</f>
        <v>Pass</v>
      </c>
      <c r="Q514" s="6">
        <f>IF(Benchmark1[[#This Row],[Comparable '#3 Date Check]]="Pass",INDEX(Comp3[Comparable '#3 Price],MATCH(Benchmark1[[#This Row],[Benchmark '#1 Dates]],Comp3[Comparable '#3 Dates],0)),"-")</f>
        <v>164.46</v>
      </c>
      <c r="R514" s="22">
        <f>IF(Benchmark1[[#This Row],[Comparable '#3 Date Check]]="Pass",INDEX(Comp3[Comparable '#3 Return],MATCH(Benchmark1[[#This Row],[Benchmark '#1 Dates]],Comp3[Comparable '#3 Dates],0)),"-")</f>
        <v>7.2621074046762615E-3</v>
      </c>
      <c r="S514" s="1">
        <f>IFERROR(IF(Benchmark1[[#This Row],[Comparable '#3 Date Check]]="Pass",Benchmark1[[#This Row],[Comparable '#3 Return]]-Benchmark1[[#This Row],[Benchmark '#1 Return]],"-"),"-")</f>
        <v>4.418552392559099E-3</v>
      </c>
    </row>
    <row r="515" spans="1:19">
      <c r="A515" s="103">
        <v>44032</v>
      </c>
      <c r="B515" s="104">
        <v>3251.8421199504519</v>
      </c>
      <c r="C515" s="4">
        <f t="shared" si="8"/>
        <v>8.3721983624122261E-3</v>
      </c>
      <c r="D515" s="1" t="str">
        <f>IF(COUNTIF(Target1[Target Dates],Benchmark1[[#This Row],[Benchmark '#1 Dates]])=1,"Pass","Fail")</f>
        <v>Pass</v>
      </c>
      <c r="E515" s="6">
        <f>IF(Benchmark1[[#This Row],[Target Date Check]]="Pass",INDEX(Target1[Target Price],MATCH(Benchmark1[[#This Row],[Benchmark '#1 Dates]],Target1[Target Dates],0)),"-")</f>
        <v>45.44</v>
      </c>
      <c r="F515" s="22">
        <f>IF(Benchmark1[[#This Row],[Target Date Check]]="Pass",INDEX(Target1[Target Return],MATCH(Benchmark1[[#This Row],[Benchmark '#1 Dates]],Target1[Target Dates],0)),"-")</f>
        <v>-2.5207766718704408E-2</v>
      </c>
      <c r="G515" s="1">
        <f>IFERROR(IF(Benchmark1[[#This Row],[Target Date Check]]="Pass",Benchmark1[[#This Row],[Target Return]]-Benchmark1[[#This Row],[Benchmark '#1 Return]],"-"),"-")</f>
        <v>-3.3579965081116631E-2</v>
      </c>
      <c r="H515" s="1" t="str">
        <f>IF(COUNTIF(Comp1[Comparable '#1 Dates],Benchmark1[[#This Row],[Benchmark '#1 Dates]])=1,"Pass","Fail")</f>
        <v>Pass</v>
      </c>
      <c r="I515" s="6">
        <f>IF(Benchmark1[[#This Row],[Comparable '#1 Date Check]]="Pass",INDEX(Comp1[Comparable '#1 Price],MATCH(Benchmark1[[#This Row],[Benchmark '#1 Dates]],Comp1[Comparable '#1 Dates],0)),"-")</f>
        <v>10.685</v>
      </c>
      <c r="J515" s="22">
        <f>IF(Benchmark1[[#This Row],[Comparable '#1 Date Check]]="Pass",INDEX(Comp1[Comparable '#1 Return],MATCH(Benchmark1[[#This Row],[Benchmark '#1 Dates]],Comp1[Comparable '#1 Dates],0)),"-")</f>
        <v>5.3339570510518824E-2</v>
      </c>
      <c r="K515" s="1">
        <f>IFERROR(IF(Benchmark1[[#This Row],[Comparable '#1 Date Check]]="Pass",Benchmark1[[#This Row],[Comparable '#1 Return]]-Benchmark1[[#This Row],[Benchmark '#1 Return]],"-"),"-")</f>
        <v>4.4967372148106602E-2</v>
      </c>
      <c r="L515" s="1" t="str">
        <f>IF(COUNTIF(Comp2[Comparable '#2 Dates],Benchmark1[[#This Row],[Benchmark '#1 Dates]])=1,"Pass","Fail")</f>
        <v>Pass</v>
      </c>
      <c r="M515" s="6">
        <f>IF(Benchmark1[[#This Row],[Comparable '#2 Date Check]]="Pass",INDEX(Comp2[Comparable '#2 Price],MATCH(Benchmark1[[#This Row],[Benchmark '#1 Dates]],Comp2[Comparable '#2 Dates],0)),"-")</f>
        <v>35.479999999999997</v>
      </c>
      <c r="N515" s="22">
        <f>IF(Benchmark1[[#This Row],[Comparable '#2 Date Check]]="Pass",INDEX(Comp2[Comparable '#2 Return],MATCH(Benchmark1[[#This Row],[Benchmark '#1 Dates]],Comp2[Comparable '#2 Dates],0)),"-")</f>
        <v>7.6390242744175845E-3</v>
      </c>
      <c r="O515" s="1">
        <f>IFERROR(IF(Benchmark1[[#This Row],[Comparable '#2 Date Check]]="Pass",Benchmark1[[#This Row],[Comparable '#2 Return]]-Benchmark1[[#This Row],[Benchmark '#1 Return]],"-"),"-")</f>
        <v>-7.3317408799464159E-4</v>
      </c>
      <c r="P515" s="1" t="str">
        <f>IF(COUNTIF(Comp3[Comparable '#3 Dates],Benchmark1[[#This Row],[Benchmark '#1 Dates]])=1,"Pass","Fail")</f>
        <v>Pass</v>
      </c>
      <c r="Q515" s="6">
        <f>IF(Benchmark1[[#This Row],[Comparable '#3 Date Check]]="Pass",INDEX(Comp3[Comparable '#3 Price],MATCH(Benchmark1[[#This Row],[Benchmark '#1 Dates]],Comp3[Comparable '#3 Dates],0)),"-")</f>
        <v>165.58</v>
      </c>
      <c r="R515" s="22">
        <f>IF(Benchmark1[[#This Row],[Comparable '#3 Date Check]]="Pass",INDEX(Comp3[Comparable '#3 Return],MATCH(Benchmark1[[#This Row],[Benchmark '#1 Dates]],Comp3[Comparable '#3 Dates],0)),"-")</f>
        <v>6.7870821679103148E-3</v>
      </c>
      <c r="S515" s="1">
        <f>IFERROR(IF(Benchmark1[[#This Row],[Comparable '#3 Date Check]]="Pass",Benchmark1[[#This Row],[Comparable '#3 Return]]-Benchmark1[[#This Row],[Benchmark '#1 Return]],"-"),"-")</f>
        <v>-1.5851161945019112E-3</v>
      </c>
    </row>
    <row r="516" spans="1:19">
      <c r="A516" s="103">
        <v>44033</v>
      </c>
      <c r="B516" s="104">
        <v>3257.2980106956179</v>
      </c>
      <c r="C516" s="4">
        <f t="shared" si="8"/>
        <v>1.6763787269467691E-3</v>
      </c>
      <c r="D516" s="1" t="str">
        <f>IF(COUNTIF(Target1[Target Dates],Benchmark1[[#This Row],[Benchmark '#1 Dates]])=1,"Pass","Fail")</f>
        <v>Pass</v>
      </c>
      <c r="E516" s="6">
        <f>IF(Benchmark1[[#This Row],[Target Date Check]]="Pass",INDEX(Target1[Target Price],MATCH(Benchmark1[[#This Row],[Benchmark '#1 Dates]],Target1[Target Dates],0)),"-")</f>
        <v>46.84</v>
      </c>
      <c r="F516" s="22">
        <f>IF(Benchmark1[[#This Row],[Target Date Check]]="Pass",INDEX(Target1[Target Return],MATCH(Benchmark1[[#This Row],[Benchmark '#1 Dates]],Target1[Target Dates],0)),"-")</f>
        <v>3.034476431662083E-2</v>
      </c>
      <c r="G516" s="1">
        <f>IFERROR(IF(Benchmark1[[#This Row],[Target Date Check]]="Pass",Benchmark1[[#This Row],[Target Return]]-Benchmark1[[#This Row],[Benchmark '#1 Return]],"-"),"-")</f>
        <v>2.8668385589674061E-2</v>
      </c>
      <c r="H516" s="1" t="str">
        <f>IF(COUNTIF(Comp1[Comparable '#1 Dates],Benchmark1[[#This Row],[Benchmark '#1 Dates]])=1,"Pass","Fail")</f>
        <v>Pass</v>
      </c>
      <c r="I516" s="6">
        <f>IF(Benchmark1[[#This Row],[Comparable '#1 Date Check]]="Pass",INDEX(Comp1[Comparable '#1 Price],MATCH(Benchmark1[[#This Row],[Benchmark '#1 Dates]],Comp1[Comparable '#1 Dates],0)),"-")</f>
        <v>11.025</v>
      </c>
      <c r="J516" s="22">
        <f>IF(Benchmark1[[#This Row],[Comparable '#1 Date Check]]="Pass",INDEX(Comp1[Comparable '#1 Return],MATCH(Benchmark1[[#This Row],[Benchmark '#1 Dates]],Comp1[Comparable '#1 Dates],0)),"-")</f>
        <v>3.1324532561798644E-2</v>
      </c>
      <c r="K516" s="1">
        <f>IFERROR(IF(Benchmark1[[#This Row],[Comparable '#1 Date Check]]="Pass",Benchmark1[[#This Row],[Comparable '#1 Return]]-Benchmark1[[#This Row],[Benchmark '#1 Return]],"-"),"-")</f>
        <v>2.9648153834851875E-2</v>
      </c>
      <c r="L516" s="1" t="str">
        <f>IF(COUNTIF(Comp2[Comparable '#2 Dates],Benchmark1[[#This Row],[Benchmark '#1 Dates]])=1,"Pass","Fail")</f>
        <v>Pass</v>
      </c>
      <c r="M516" s="6">
        <f>IF(Benchmark1[[#This Row],[Comparable '#2 Date Check]]="Pass",INDEX(Comp2[Comparable '#2 Price],MATCH(Benchmark1[[#This Row],[Benchmark '#1 Dates]],Comp2[Comparable '#2 Dates],0)),"-")</f>
        <v>36.32</v>
      </c>
      <c r="N516" s="22">
        <f>IF(Benchmark1[[#This Row],[Comparable '#2 Date Check]]="Pass",INDEX(Comp2[Comparable '#2 Return],MATCH(Benchmark1[[#This Row],[Benchmark '#1 Dates]],Comp2[Comparable '#2 Dates],0)),"-")</f>
        <v>2.3399396291713989E-2</v>
      </c>
      <c r="O516" s="1">
        <f>IFERROR(IF(Benchmark1[[#This Row],[Comparable '#2 Date Check]]="Pass",Benchmark1[[#This Row],[Comparable '#2 Return]]-Benchmark1[[#This Row],[Benchmark '#1 Return]],"-"),"-")</f>
        <v>2.172301756476722E-2</v>
      </c>
      <c r="P516" s="1" t="str">
        <f>IF(COUNTIF(Comp3[Comparable '#3 Dates],Benchmark1[[#This Row],[Benchmark '#1 Dates]])=1,"Pass","Fail")</f>
        <v>Pass</v>
      </c>
      <c r="Q516" s="6">
        <f>IF(Benchmark1[[#This Row],[Comparable '#3 Date Check]]="Pass",INDEX(Comp3[Comparable '#3 Price],MATCH(Benchmark1[[#This Row],[Benchmark '#1 Dates]],Comp3[Comparable '#3 Dates],0)),"-")</f>
        <v>168.63</v>
      </c>
      <c r="R516" s="22">
        <f>IF(Benchmark1[[#This Row],[Comparable '#3 Date Check]]="Pass",INDEX(Comp3[Comparable '#3 Return],MATCH(Benchmark1[[#This Row],[Benchmark '#1 Dates]],Comp3[Comparable '#3 Dates],0)),"-")</f>
        <v>1.8252503971433364E-2</v>
      </c>
      <c r="S516" s="1">
        <f>IFERROR(IF(Benchmark1[[#This Row],[Comparable '#3 Date Check]]="Pass",Benchmark1[[#This Row],[Comparable '#3 Return]]-Benchmark1[[#This Row],[Benchmark '#1 Return]],"-"),"-")</f>
        <v>1.6576125244486595E-2</v>
      </c>
    </row>
    <row r="517" spans="1:19">
      <c r="A517" s="103">
        <v>44034</v>
      </c>
      <c r="B517" s="104">
        <v>3276.0160237091241</v>
      </c>
      <c r="C517" s="4">
        <f t="shared" si="8"/>
        <v>5.7300365876947687E-3</v>
      </c>
      <c r="D517" s="1" t="str">
        <f>IF(COUNTIF(Target1[Target Dates],Benchmark1[[#This Row],[Benchmark '#1 Dates]])=1,"Pass","Fail")</f>
        <v>Pass</v>
      </c>
      <c r="E517" s="6">
        <f>IF(Benchmark1[[#This Row],[Target Date Check]]="Pass",INDEX(Target1[Target Price],MATCH(Benchmark1[[#This Row],[Benchmark '#1 Dates]],Target1[Target Dates],0)),"-")</f>
        <v>49.39</v>
      </c>
      <c r="F517" s="22">
        <f>IF(Benchmark1[[#This Row],[Target Date Check]]="Pass",INDEX(Target1[Target Return],MATCH(Benchmark1[[#This Row],[Benchmark '#1 Dates]],Target1[Target Dates],0)),"-")</f>
        <v>5.3010435823016712E-2</v>
      </c>
      <c r="G517" s="1">
        <f>IFERROR(IF(Benchmark1[[#This Row],[Target Date Check]]="Pass",Benchmark1[[#This Row],[Target Return]]-Benchmark1[[#This Row],[Benchmark '#1 Return]],"-"),"-")</f>
        <v>4.7280399235321943E-2</v>
      </c>
      <c r="H517" s="1" t="str">
        <f>IF(COUNTIF(Comp1[Comparable '#1 Dates],Benchmark1[[#This Row],[Benchmark '#1 Dates]])=1,"Pass","Fail")</f>
        <v>Pass</v>
      </c>
      <c r="I517" s="6">
        <f>IF(Benchmark1[[#This Row],[Comparable '#1 Date Check]]="Pass",INDEX(Comp1[Comparable '#1 Price],MATCH(Benchmark1[[#This Row],[Benchmark '#1 Dates]],Comp1[Comparable '#1 Dates],0)),"-")</f>
        <v>11.385</v>
      </c>
      <c r="J517" s="22">
        <f>IF(Benchmark1[[#This Row],[Comparable '#1 Date Check]]="Pass",INDEX(Comp1[Comparable '#1 Return],MATCH(Benchmark1[[#This Row],[Benchmark '#1 Dates]],Comp1[Comparable '#1 Dates],0)),"-")</f>
        <v>3.2131278182793196E-2</v>
      </c>
      <c r="K517" s="1">
        <f>IFERROR(IF(Benchmark1[[#This Row],[Comparable '#1 Date Check]]="Pass",Benchmark1[[#This Row],[Comparable '#1 Return]]-Benchmark1[[#This Row],[Benchmark '#1 Return]],"-"),"-")</f>
        <v>2.6401241595098428E-2</v>
      </c>
      <c r="L517" s="1" t="str">
        <f>IF(COUNTIF(Comp2[Comparable '#2 Dates],Benchmark1[[#This Row],[Benchmark '#1 Dates]])=1,"Pass","Fail")</f>
        <v>Pass</v>
      </c>
      <c r="M517" s="6">
        <f>IF(Benchmark1[[#This Row],[Comparable '#2 Date Check]]="Pass",INDEX(Comp2[Comparable '#2 Price],MATCH(Benchmark1[[#This Row],[Benchmark '#1 Dates]],Comp2[Comparable '#2 Dates],0)),"-")</f>
        <v>36.35</v>
      </c>
      <c r="N517" s="22">
        <f>IF(Benchmark1[[#This Row],[Comparable '#2 Date Check]]="Pass",INDEX(Comp2[Comparable '#2 Return],MATCH(Benchmark1[[#This Row],[Benchmark '#1 Dates]],Comp2[Comparable '#2 Dates],0)),"-")</f>
        <v>8.256502464357926E-4</v>
      </c>
      <c r="O517" s="1">
        <f>IFERROR(IF(Benchmark1[[#This Row],[Comparable '#2 Date Check]]="Pass",Benchmark1[[#This Row],[Comparable '#2 Return]]-Benchmark1[[#This Row],[Benchmark '#1 Return]],"-"),"-")</f>
        <v>-4.9043863412589761E-3</v>
      </c>
      <c r="P517" s="1" t="str">
        <f>IF(COUNTIF(Comp3[Comparable '#3 Dates],Benchmark1[[#This Row],[Benchmark '#1 Dates]])=1,"Pass","Fail")</f>
        <v>Pass</v>
      </c>
      <c r="Q517" s="6">
        <f>IF(Benchmark1[[#This Row],[Comparable '#3 Date Check]]="Pass",INDEX(Comp3[Comparable '#3 Price],MATCH(Benchmark1[[#This Row],[Benchmark '#1 Dates]],Comp3[Comparable '#3 Dates],0)),"-")</f>
        <v>167.7</v>
      </c>
      <c r="R517" s="22">
        <f>IF(Benchmark1[[#This Row],[Comparable '#3 Date Check]]="Pass",INDEX(Comp3[Comparable '#3 Return],MATCH(Benchmark1[[#This Row],[Benchmark '#1 Dates]],Comp3[Comparable '#3 Dates],0)),"-")</f>
        <v>-5.5302968529302209E-3</v>
      </c>
      <c r="S517" s="1">
        <f>IFERROR(IF(Benchmark1[[#This Row],[Comparable '#3 Date Check]]="Pass",Benchmark1[[#This Row],[Comparable '#3 Return]]-Benchmark1[[#This Row],[Benchmark '#1 Return]],"-"),"-")</f>
        <v>-1.1260333440624989E-2</v>
      </c>
    </row>
    <row r="518" spans="1:19">
      <c r="A518" s="103">
        <v>44035</v>
      </c>
      <c r="B518" s="104">
        <v>3235.6632482618038</v>
      </c>
      <c r="C518" s="4">
        <f t="shared" si="8"/>
        <v>-1.2394127635752671E-2</v>
      </c>
      <c r="D518" s="1" t="str">
        <f>IF(COUNTIF(Target1[Target Dates],Benchmark1[[#This Row],[Benchmark '#1 Dates]])=1,"Pass","Fail")</f>
        <v>Pass</v>
      </c>
      <c r="E518" s="6">
        <f>IF(Benchmark1[[#This Row],[Target Date Check]]="Pass",INDEX(Target1[Target Price],MATCH(Benchmark1[[#This Row],[Benchmark '#1 Dates]],Target1[Target Dates],0)),"-")</f>
        <v>46.33</v>
      </c>
      <c r="F518" s="22">
        <f>IF(Benchmark1[[#This Row],[Target Date Check]]="Pass",INDEX(Target1[Target Return],MATCH(Benchmark1[[#This Row],[Benchmark '#1 Dates]],Target1[Target Dates],0)),"-")</f>
        <v>-6.3958275123976574E-2</v>
      </c>
      <c r="G518" s="1">
        <f>IFERROR(IF(Benchmark1[[#This Row],[Target Date Check]]="Pass",Benchmark1[[#This Row],[Target Return]]-Benchmark1[[#This Row],[Benchmark '#1 Return]],"-"),"-")</f>
        <v>-5.1564147488223903E-2</v>
      </c>
      <c r="H518" s="1" t="str">
        <f>IF(COUNTIF(Comp1[Comparable '#1 Dates],Benchmark1[[#This Row],[Benchmark '#1 Dates]])=1,"Pass","Fail")</f>
        <v>Pass</v>
      </c>
      <c r="I518" s="6">
        <f>IF(Benchmark1[[#This Row],[Comparable '#1 Date Check]]="Pass",INDEX(Comp1[Comparable '#1 Price],MATCH(Benchmark1[[#This Row],[Benchmark '#1 Dates]],Comp1[Comparable '#1 Dates],0)),"-")</f>
        <v>11.275</v>
      </c>
      <c r="J518" s="22">
        <f>IF(Benchmark1[[#This Row],[Comparable '#1 Date Check]]="Pass",INDEX(Comp1[Comparable '#1 Return],MATCH(Benchmark1[[#This Row],[Benchmark '#1 Dates]],Comp1[Comparable '#1 Dates],0)),"-")</f>
        <v>-9.7088141269608269E-3</v>
      </c>
      <c r="K518" s="1">
        <f>IFERROR(IF(Benchmark1[[#This Row],[Comparable '#1 Date Check]]="Pass",Benchmark1[[#This Row],[Comparable '#1 Return]]-Benchmark1[[#This Row],[Benchmark '#1 Return]],"-"),"-")</f>
        <v>2.6853135087918437E-3</v>
      </c>
      <c r="L518" s="1" t="str">
        <f>IF(COUNTIF(Comp2[Comparable '#2 Dates],Benchmark1[[#This Row],[Benchmark '#1 Dates]])=1,"Pass","Fail")</f>
        <v>Pass</v>
      </c>
      <c r="M518" s="6">
        <f>IF(Benchmark1[[#This Row],[Comparable '#2 Date Check]]="Pass",INDEX(Comp2[Comparable '#2 Price],MATCH(Benchmark1[[#This Row],[Benchmark '#1 Dates]],Comp2[Comparable '#2 Dates],0)),"-")</f>
        <v>36.47</v>
      </c>
      <c r="N518" s="22">
        <f>IF(Benchmark1[[#This Row],[Comparable '#2 Date Check]]="Pass",INDEX(Comp2[Comparable '#2 Return],MATCH(Benchmark1[[#This Row],[Benchmark '#1 Dates]],Comp2[Comparable '#2 Dates],0)),"-")</f>
        <v>3.2958008410604307E-3</v>
      </c>
      <c r="O518" s="1">
        <f>IFERROR(IF(Benchmark1[[#This Row],[Comparable '#2 Date Check]]="Pass",Benchmark1[[#This Row],[Comparable '#2 Return]]-Benchmark1[[#This Row],[Benchmark '#1 Return]],"-"),"-")</f>
        <v>1.5689928476813102E-2</v>
      </c>
      <c r="P518" s="1" t="str">
        <f>IF(COUNTIF(Comp3[Comparable '#3 Dates],Benchmark1[[#This Row],[Benchmark '#1 Dates]])=1,"Pass","Fail")</f>
        <v>Pass</v>
      </c>
      <c r="Q518" s="6">
        <f>IF(Benchmark1[[#This Row],[Comparable '#3 Date Check]]="Pass",INDEX(Comp3[Comparable '#3 Price],MATCH(Benchmark1[[#This Row],[Benchmark '#1 Dates]],Comp3[Comparable '#3 Dates],0)),"-")</f>
        <v>166.92</v>
      </c>
      <c r="R518" s="22">
        <f>IF(Benchmark1[[#This Row],[Comparable '#3 Date Check]]="Pass",INDEX(Comp3[Comparable '#3 Return],MATCH(Benchmark1[[#This Row],[Benchmark '#1 Dates]],Comp3[Comparable '#3 Dates],0)),"-")</f>
        <v>-4.6620131058113011E-3</v>
      </c>
      <c r="S518" s="1">
        <f>IFERROR(IF(Benchmark1[[#This Row],[Comparable '#3 Date Check]]="Pass",Benchmark1[[#This Row],[Comparable '#3 Return]]-Benchmark1[[#This Row],[Benchmark '#1 Return]],"-"),"-")</f>
        <v>7.7321145299413694E-3</v>
      </c>
    </row>
    <row r="519" spans="1:19">
      <c r="A519" s="103">
        <v>44036</v>
      </c>
      <c r="B519" s="104">
        <v>3215.629800703407</v>
      </c>
      <c r="C519" s="4">
        <f t="shared" si="8"/>
        <v>-6.2106966159297759E-3</v>
      </c>
      <c r="D519" s="1" t="str">
        <f>IF(COUNTIF(Target1[Target Dates],Benchmark1[[#This Row],[Benchmark '#1 Dates]])=1,"Pass","Fail")</f>
        <v>Pass</v>
      </c>
      <c r="E519" s="6">
        <f>IF(Benchmark1[[#This Row],[Target Date Check]]="Pass",INDEX(Target1[Target Price],MATCH(Benchmark1[[#This Row],[Benchmark '#1 Dates]],Target1[Target Dates],0)),"-")</f>
        <v>47.57</v>
      </c>
      <c r="F519" s="22">
        <f>IF(Benchmark1[[#This Row],[Target Date Check]]="Pass",INDEX(Target1[Target Return],MATCH(Benchmark1[[#This Row],[Benchmark '#1 Dates]],Target1[Target Dates],0)),"-")</f>
        <v>2.6412611015633084E-2</v>
      </c>
      <c r="G519" s="1">
        <f>IFERROR(IF(Benchmark1[[#This Row],[Target Date Check]]="Pass",Benchmark1[[#This Row],[Target Return]]-Benchmark1[[#This Row],[Benchmark '#1 Return]],"-"),"-")</f>
        <v>3.2623307631562862E-2</v>
      </c>
      <c r="H519" s="1" t="str">
        <f>IF(COUNTIF(Comp1[Comparable '#1 Dates],Benchmark1[[#This Row],[Benchmark '#1 Dates]])=1,"Pass","Fail")</f>
        <v>Pass</v>
      </c>
      <c r="I519" s="6">
        <f>IF(Benchmark1[[#This Row],[Comparable '#1 Date Check]]="Pass",INDEX(Comp1[Comparable '#1 Price],MATCH(Benchmark1[[#This Row],[Benchmark '#1 Dates]],Comp1[Comparable '#1 Dates],0)),"-")</f>
        <v>11.04</v>
      </c>
      <c r="J519" s="22">
        <f>IF(Benchmark1[[#This Row],[Comparable '#1 Date Check]]="Pass",INDEX(Comp1[Comparable '#1 Return],MATCH(Benchmark1[[#This Row],[Benchmark '#1 Dates]],Comp1[Comparable '#1 Dates],0)),"-")</f>
        <v>-2.1062844539792937E-2</v>
      </c>
      <c r="K519" s="1">
        <f>IFERROR(IF(Benchmark1[[#This Row],[Comparable '#1 Date Check]]="Pass",Benchmark1[[#This Row],[Comparable '#1 Return]]-Benchmark1[[#This Row],[Benchmark '#1 Return]],"-"),"-")</f>
        <v>-1.4852147923863161E-2</v>
      </c>
      <c r="L519" s="1" t="str">
        <f>IF(COUNTIF(Comp2[Comparable '#2 Dates],Benchmark1[[#This Row],[Benchmark '#1 Dates]])=1,"Pass","Fail")</f>
        <v>Pass</v>
      </c>
      <c r="M519" s="6">
        <f>IF(Benchmark1[[#This Row],[Comparable '#2 Date Check]]="Pass",INDEX(Comp2[Comparable '#2 Price],MATCH(Benchmark1[[#This Row],[Benchmark '#1 Dates]],Comp2[Comparable '#2 Dates],0)),"-")</f>
        <v>36.47</v>
      </c>
      <c r="N519" s="22">
        <f>IF(Benchmark1[[#This Row],[Comparable '#2 Date Check]]="Pass",INDEX(Comp2[Comparable '#2 Return],MATCH(Benchmark1[[#This Row],[Benchmark '#1 Dates]],Comp2[Comparable '#2 Dates],0)),"-")</f>
        <v>0</v>
      </c>
      <c r="O519" s="1">
        <f>IFERROR(IF(Benchmark1[[#This Row],[Comparable '#2 Date Check]]="Pass",Benchmark1[[#This Row],[Comparable '#2 Return]]-Benchmark1[[#This Row],[Benchmark '#1 Return]],"-"),"-")</f>
        <v>6.2106966159297759E-3</v>
      </c>
      <c r="P519" s="1" t="str">
        <f>IF(COUNTIF(Comp3[Comparable '#3 Dates],Benchmark1[[#This Row],[Benchmark '#1 Dates]])=1,"Pass","Fail")</f>
        <v>Pass</v>
      </c>
      <c r="Q519" s="6">
        <f>IF(Benchmark1[[#This Row],[Comparable '#3 Date Check]]="Pass",INDEX(Comp3[Comparable '#3 Price],MATCH(Benchmark1[[#This Row],[Benchmark '#1 Dates]],Comp3[Comparable '#3 Dates],0)),"-")</f>
        <v>163.83000000000001</v>
      </c>
      <c r="R519" s="22">
        <f>IF(Benchmark1[[#This Row],[Comparable '#3 Date Check]]="Pass",INDEX(Comp3[Comparable '#3 Return],MATCH(Benchmark1[[#This Row],[Benchmark '#1 Dates]],Comp3[Comparable '#3 Dates],0)),"-")</f>
        <v>-1.868535089117963E-2</v>
      </c>
      <c r="S519" s="1">
        <f>IFERROR(IF(Benchmark1[[#This Row],[Comparable '#3 Date Check]]="Pass",Benchmark1[[#This Row],[Comparable '#3 Return]]-Benchmark1[[#This Row],[Benchmark '#1 Return]],"-"),"-")</f>
        <v>-1.2474654275249854E-2</v>
      </c>
    </row>
    <row r="520" spans="1:19">
      <c r="A520" s="103">
        <v>44039</v>
      </c>
      <c r="B520" s="104">
        <v>3239.4063024561747</v>
      </c>
      <c r="C520" s="4">
        <f t="shared" si="8"/>
        <v>7.3668400617992649E-3</v>
      </c>
      <c r="D520" s="1" t="str">
        <f>IF(COUNTIF(Target1[Target Dates],Benchmark1[[#This Row],[Benchmark '#1 Dates]])=1,"Pass","Fail")</f>
        <v>Pass</v>
      </c>
      <c r="E520" s="6">
        <f>IF(Benchmark1[[#This Row],[Target Date Check]]="Pass",INDEX(Target1[Target Price],MATCH(Benchmark1[[#This Row],[Benchmark '#1 Dates]],Target1[Target Dates],0)),"-")</f>
        <v>46.8</v>
      </c>
      <c r="F520" s="22">
        <f>IF(Benchmark1[[#This Row],[Target Date Check]]="Pass",INDEX(Target1[Target Return],MATCH(Benchmark1[[#This Row],[Benchmark '#1 Dates]],Target1[Target Dates],0)),"-")</f>
        <v>-1.6319107520589085E-2</v>
      </c>
      <c r="G520" s="1">
        <f>IFERROR(IF(Benchmark1[[#This Row],[Target Date Check]]="Pass",Benchmark1[[#This Row],[Target Return]]-Benchmark1[[#This Row],[Benchmark '#1 Return]],"-"),"-")</f>
        <v>-2.3685947582388352E-2</v>
      </c>
      <c r="H520" s="1" t="str">
        <f>IF(COUNTIF(Comp1[Comparable '#1 Dates],Benchmark1[[#This Row],[Benchmark '#1 Dates]])=1,"Pass","Fail")</f>
        <v>Pass</v>
      </c>
      <c r="I520" s="6">
        <f>IF(Benchmark1[[#This Row],[Comparable '#1 Date Check]]="Pass",INDEX(Comp1[Comparable '#1 Price],MATCH(Benchmark1[[#This Row],[Benchmark '#1 Dates]],Comp1[Comparable '#1 Dates],0)),"-")</f>
        <v>11.02</v>
      </c>
      <c r="J520" s="22">
        <f>IF(Benchmark1[[#This Row],[Comparable '#1 Date Check]]="Pass",INDEX(Comp1[Comparable '#1 Return],MATCH(Benchmark1[[#This Row],[Benchmark '#1 Dates]],Comp1[Comparable '#1 Dates],0)),"-")</f>
        <v>-1.8132371241808313E-3</v>
      </c>
      <c r="K520" s="1">
        <f>IFERROR(IF(Benchmark1[[#This Row],[Comparable '#1 Date Check]]="Pass",Benchmark1[[#This Row],[Comparable '#1 Return]]-Benchmark1[[#This Row],[Benchmark '#1 Return]],"-"),"-")</f>
        <v>-9.1800771859800959E-3</v>
      </c>
      <c r="L520" s="1" t="str">
        <f>IF(COUNTIF(Comp2[Comparable '#2 Dates],Benchmark1[[#This Row],[Benchmark '#1 Dates]])=1,"Pass","Fail")</f>
        <v>Pass</v>
      </c>
      <c r="M520" s="6">
        <f>IF(Benchmark1[[#This Row],[Comparable '#2 Date Check]]="Pass",INDEX(Comp2[Comparable '#2 Price],MATCH(Benchmark1[[#This Row],[Benchmark '#1 Dates]],Comp2[Comparable '#2 Dates],0)),"-")</f>
        <v>36.99</v>
      </c>
      <c r="N520" s="22">
        <f>IF(Benchmark1[[#This Row],[Comparable '#2 Date Check]]="Pass",INDEX(Comp2[Comparable '#2 Return],MATCH(Benchmark1[[#This Row],[Benchmark '#1 Dates]],Comp2[Comparable '#2 Dates],0)),"-")</f>
        <v>1.4157601023773907E-2</v>
      </c>
      <c r="O520" s="1">
        <f>IFERROR(IF(Benchmark1[[#This Row],[Comparable '#2 Date Check]]="Pass",Benchmark1[[#This Row],[Comparable '#2 Return]]-Benchmark1[[#This Row],[Benchmark '#1 Return]],"-"),"-")</f>
        <v>6.7907609619746422E-3</v>
      </c>
      <c r="P520" s="1" t="str">
        <f>IF(COUNTIF(Comp3[Comparable '#3 Dates],Benchmark1[[#This Row],[Benchmark '#1 Dates]])=1,"Pass","Fail")</f>
        <v>Pass</v>
      </c>
      <c r="Q520" s="6">
        <f>IF(Benchmark1[[#This Row],[Comparable '#3 Date Check]]="Pass",INDEX(Comp3[Comparable '#3 Price],MATCH(Benchmark1[[#This Row],[Benchmark '#1 Dates]],Comp3[Comparable '#3 Dates],0)),"-")</f>
        <v>165.34</v>
      </c>
      <c r="R520" s="22">
        <f>IF(Benchmark1[[#This Row],[Comparable '#3 Date Check]]="Pass",INDEX(Comp3[Comparable '#3 Return],MATCH(Benchmark1[[#This Row],[Benchmark '#1 Dates]],Comp3[Comparable '#3 Dates],0)),"-")</f>
        <v>9.1746549923574349E-3</v>
      </c>
      <c r="S520" s="1">
        <f>IFERROR(IF(Benchmark1[[#This Row],[Comparable '#3 Date Check]]="Pass",Benchmark1[[#This Row],[Comparable '#3 Return]]-Benchmark1[[#This Row],[Benchmark '#1 Return]],"-"),"-")</f>
        <v>1.8078149305581701E-3</v>
      </c>
    </row>
    <row r="521" spans="1:19">
      <c r="A521" s="103">
        <v>44040</v>
      </c>
      <c r="B521" s="104">
        <v>3218.4352345706261</v>
      </c>
      <c r="C521" s="4">
        <f t="shared" si="8"/>
        <v>-6.4947835844000098E-3</v>
      </c>
      <c r="D521" s="1" t="str">
        <f>IF(COUNTIF(Target1[Target Dates],Benchmark1[[#This Row],[Benchmark '#1 Dates]])=1,"Pass","Fail")</f>
        <v>Pass</v>
      </c>
      <c r="E521" s="6">
        <f>IF(Benchmark1[[#This Row],[Target Date Check]]="Pass",INDEX(Target1[Target Price],MATCH(Benchmark1[[#This Row],[Benchmark '#1 Dates]],Target1[Target Dates],0)),"-")</f>
        <v>46.98</v>
      </c>
      <c r="F521" s="22">
        <f>IF(Benchmark1[[#This Row],[Target Date Check]]="Pass",INDEX(Target1[Target Return],MATCH(Benchmark1[[#This Row],[Benchmark '#1 Dates]],Target1[Target Dates],0)),"-")</f>
        <v>3.8387763071656669E-3</v>
      </c>
      <c r="G521" s="1">
        <f>IFERROR(IF(Benchmark1[[#This Row],[Target Date Check]]="Pass",Benchmark1[[#This Row],[Target Return]]-Benchmark1[[#This Row],[Benchmark '#1 Return]],"-"),"-")</f>
        <v>1.0333559891565676E-2</v>
      </c>
      <c r="H521" s="1" t="str">
        <f>IF(COUNTIF(Comp1[Comparable '#1 Dates],Benchmark1[[#This Row],[Benchmark '#1 Dates]])=1,"Pass","Fail")</f>
        <v>Pass</v>
      </c>
      <c r="I521" s="6">
        <f>IF(Benchmark1[[#This Row],[Comparable '#1 Date Check]]="Pass",INDEX(Comp1[Comparable '#1 Price],MATCH(Benchmark1[[#This Row],[Benchmark '#1 Dates]],Comp1[Comparable '#1 Dates],0)),"-")</f>
        <v>10.86</v>
      </c>
      <c r="J521" s="22">
        <f>IF(Benchmark1[[#This Row],[Comparable '#1 Date Check]]="Pass",INDEX(Comp1[Comparable '#1 Return],MATCH(Benchmark1[[#This Row],[Benchmark '#1 Dates]],Comp1[Comparable '#1 Dates],0)),"-")</f>
        <v>-1.4625489218979014E-2</v>
      </c>
      <c r="K521" s="1">
        <f>IFERROR(IF(Benchmark1[[#This Row],[Comparable '#1 Date Check]]="Pass",Benchmark1[[#This Row],[Comparable '#1 Return]]-Benchmark1[[#This Row],[Benchmark '#1 Return]],"-"),"-")</f>
        <v>-8.1307056345790042E-3</v>
      </c>
      <c r="L521" s="1" t="str">
        <f>IF(COUNTIF(Comp2[Comparable '#2 Dates],Benchmark1[[#This Row],[Benchmark '#1 Dates]])=1,"Pass","Fail")</f>
        <v>Pass</v>
      </c>
      <c r="M521" s="6">
        <f>IF(Benchmark1[[#This Row],[Comparable '#2 Date Check]]="Pass",INDEX(Comp2[Comparable '#2 Price],MATCH(Benchmark1[[#This Row],[Benchmark '#1 Dates]],Comp2[Comparable '#2 Dates],0)),"-")</f>
        <v>36.700000000000003</v>
      </c>
      <c r="N521" s="22">
        <f>IF(Benchmark1[[#This Row],[Comparable '#2 Date Check]]="Pass",INDEX(Comp2[Comparable '#2 Return],MATCH(Benchmark1[[#This Row],[Benchmark '#1 Dates]],Comp2[Comparable '#2 Dates],0)),"-")</f>
        <v>-7.8708507838380123E-3</v>
      </c>
      <c r="O521" s="1">
        <f>IFERROR(IF(Benchmark1[[#This Row],[Comparable '#2 Date Check]]="Pass",Benchmark1[[#This Row],[Comparable '#2 Return]]-Benchmark1[[#This Row],[Benchmark '#1 Return]],"-"),"-")</f>
        <v>-1.3760671994380025E-3</v>
      </c>
      <c r="P521" s="1" t="str">
        <f>IF(COUNTIF(Comp3[Comparable '#3 Dates],Benchmark1[[#This Row],[Benchmark '#1 Dates]])=1,"Pass","Fail")</f>
        <v>Pass</v>
      </c>
      <c r="Q521" s="6">
        <f>IF(Benchmark1[[#This Row],[Comparable '#3 Date Check]]="Pass",INDEX(Comp3[Comparable '#3 Price],MATCH(Benchmark1[[#This Row],[Benchmark '#1 Dates]],Comp3[Comparable '#3 Dates],0)),"-")</f>
        <v>163.66</v>
      </c>
      <c r="R521" s="22">
        <f>IF(Benchmark1[[#This Row],[Comparable '#3 Date Check]]="Pass",INDEX(Comp3[Comparable '#3 Return],MATCH(Benchmark1[[#This Row],[Benchmark '#1 Dates]],Comp3[Comparable '#3 Dates],0)),"-")</f>
        <v>-1.021285472529398E-2</v>
      </c>
      <c r="S521" s="1">
        <f>IFERROR(IF(Benchmark1[[#This Row],[Comparable '#3 Date Check]]="Pass",Benchmark1[[#This Row],[Comparable '#3 Return]]-Benchmark1[[#This Row],[Benchmark '#1 Return]],"-"),"-")</f>
        <v>-3.71807114089397E-3</v>
      </c>
    </row>
    <row r="522" spans="1:19">
      <c r="A522" s="103">
        <v>44041</v>
      </c>
      <c r="B522" s="104">
        <v>3258.438985050283</v>
      </c>
      <c r="C522" s="4">
        <f t="shared" si="8"/>
        <v>1.2352952310330002E-2</v>
      </c>
      <c r="D522" s="1" t="str">
        <f>IF(COUNTIF(Target1[Target Dates],Benchmark1[[#This Row],[Benchmark '#1 Dates]])=1,"Pass","Fail")</f>
        <v>Pass</v>
      </c>
      <c r="E522" s="6">
        <f>IF(Benchmark1[[#This Row],[Target Date Check]]="Pass",INDEX(Target1[Target Price],MATCH(Benchmark1[[#This Row],[Benchmark '#1 Dates]],Target1[Target Dates],0)),"-")</f>
        <v>48.6</v>
      </c>
      <c r="F522" s="22">
        <f>IF(Benchmark1[[#This Row],[Target Date Check]]="Pass",INDEX(Target1[Target Return],MATCH(Benchmark1[[#This Row],[Benchmark '#1 Dates]],Target1[Target Dates],0)),"-")</f>
        <v>3.3901551675681416E-2</v>
      </c>
      <c r="G522" s="1">
        <f>IFERROR(IF(Benchmark1[[#This Row],[Target Date Check]]="Pass",Benchmark1[[#This Row],[Target Return]]-Benchmark1[[#This Row],[Benchmark '#1 Return]],"-"),"-")</f>
        <v>2.1548599365351414E-2</v>
      </c>
      <c r="H522" s="1" t="str">
        <f>IF(COUNTIF(Comp1[Comparable '#1 Dates],Benchmark1[[#This Row],[Benchmark '#1 Dates]])=1,"Pass","Fail")</f>
        <v>Pass</v>
      </c>
      <c r="I522" s="6">
        <f>IF(Benchmark1[[#This Row],[Comparable '#1 Date Check]]="Pass",INDEX(Comp1[Comparable '#1 Price],MATCH(Benchmark1[[#This Row],[Benchmark '#1 Dates]],Comp1[Comparable '#1 Dates],0)),"-")</f>
        <v>12.824999999999999</v>
      </c>
      <c r="J522" s="22">
        <f>IF(Benchmark1[[#This Row],[Comparable '#1 Date Check]]="Pass",INDEX(Comp1[Comparable '#1 Return],MATCH(Benchmark1[[#This Row],[Benchmark '#1 Dates]],Comp1[Comparable '#1 Dates],0)),"-")</f>
        <v>0.16631007655104385</v>
      </c>
      <c r="K522" s="1">
        <f>IFERROR(IF(Benchmark1[[#This Row],[Comparable '#1 Date Check]]="Pass",Benchmark1[[#This Row],[Comparable '#1 Return]]-Benchmark1[[#This Row],[Benchmark '#1 Return]],"-"),"-")</f>
        <v>0.15395712424071384</v>
      </c>
      <c r="L522" s="1" t="str">
        <f>IF(COUNTIF(Comp2[Comparable '#2 Dates],Benchmark1[[#This Row],[Benchmark '#1 Dates]])=1,"Pass","Fail")</f>
        <v>Pass</v>
      </c>
      <c r="M522" s="6">
        <f>IF(Benchmark1[[#This Row],[Comparable '#2 Date Check]]="Pass",INDEX(Comp2[Comparable '#2 Price],MATCH(Benchmark1[[#This Row],[Benchmark '#1 Dates]],Comp2[Comparable '#2 Dates],0)),"-")</f>
        <v>35.6</v>
      </c>
      <c r="N522" s="22">
        <f>IF(Benchmark1[[#This Row],[Comparable '#2 Date Check]]="Pass",INDEX(Comp2[Comparable '#2 Return],MATCH(Benchmark1[[#This Row],[Benchmark '#1 Dates]],Comp2[Comparable '#2 Dates],0)),"-")</f>
        <v>-3.0431117202539812E-2</v>
      </c>
      <c r="O522" s="1">
        <f>IFERROR(IF(Benchmark1[[#This Row],[Comparable '#2 Date Check]]="Pass",Benchmark1[[#This Row],[Comparable '#2 Return]]-Benchmark1[[#This Row],[Benchmark '#1 Return]],"-"),"-")</f>
        <v>-4.278406951286981E-2</v>
      </c>
      <c r="P522" s="1" t="str">
        <f>IF(COUNTIF(Comp3[Comparable '#3 Dates],Benchmark1[[#This Row],[Benchmark '#1 Dates]])=1,"Pass","Fail")</f>
        <v>Pass</v>
      </c>
      <c r="Q522" s="6">
        <f>IF(Benchmark1[[#This Row],[Comparable '#3 Date Check]]="Pass",INDEX(Comp3[Comparable '#3 Price],MATCH(Benchmark1[[#This Row],[Benchmark '#1 Dates]],Comp3[Comparable '#3 Dates],0)),"-")</f>
        <v>139.51</v>
      </c>
      <c r="R522" s="22">
        <f>IF(Benchmark1[[#This Row],[Comparable '#3 Date Check]]="Pass",INDEX(Comp3[Comparable '#3 Return],MATCH(Benchmark1[[#This Row],[Benchmark '#1 Dates]],Comp3[Comparable '#3 Dates],0)),"-")</f>
        <v>-0.15965482181921908</v>
      </c>
      <c r="S522" s="1">
        <f>IFERROR(IF(Benchmark1[[#This Row],[Comparable '#3 Date Check]]="Pass",Benchmark1[[#This Row],[Comparable '#3 Return]]-Benchmark1[[#This Row],[Benchmark '#1 Return]],"-"),"-")</f>
        <v>-0.1720077741295491</v>
      </c>
    </row>
    <row r="523" spans="1:19">
      <c r="A523" s="103">
        <v>44042</v>
      </c>
      <c r="B523" s="104">
        <v>3246.2245695014808</v>
      </c>
      <c r="C523" s="4">
        <f t="shared" si="8"/>
        <v>-3.7555916006563935E-3</v>
      </c>
      <c r="D523" s="1" t="str">
        <f>IF(COUNTIF(Target1[Target Dates],Benchmark1[[#This Row],[Benchmark '#1 Dates]])=1,"Pass","Fail")</f>
        <v>Pass</v>
      </c>
      <c r="E523" s="6">
        <f>IF(Benchmark1[[#This Row],[Target Date Check]]="Pass",INDEX(Target1[Target Price],MATCH(Benchmark1[[#This Row],[Benchmark '#1 Dates]],Target1[Target Dates],0)),"-")</f>
        <v>47.75</v>
      </c>
      <c r="F523" s="22">
        <f>IF(Benchmark1[[#This Row],[Target Date Check]]="Pass",INDEX(Target1[Target Return],MATCH(Benchmark1[[#This Row],[Benchmark '#1 Dates]],Target1[Target Dates],0)),"-")</f>
        <v>-1.7644463979708831E-2</v>
      </c>
      <c r="G523" s="1">
        <f>IFERROR(IF(Benchmark1[[#This Row],[Target Date Check]]="Pass",Benchmark1[[#This Row],[Target Return]]-Benchmark1[[#This Row],[Benchmark '#1 Return]],"-"),"-")</f>
        <v>-1.3888872379052437E-2</v>
      </c>
      <c r="H523" s="1" t="str">
        <f>IF(COUNTIF(Comp1[Comparable '#1 Dates],Benchmark1[[#This Row],[Benchmark '#1 Dates]])=1,"Pass","Fail")</f>
        <v>Pass</v>
      </c>
      <c r="I523" s="6">
        <f>IF(Benchmark1[[#This Row],[Comparable '#1 Date Check]]="Pass",INDEX(Comp1[Comparable '#1 Price],MATCH(Benchmark1[[#This Row],[Benchmark '#1 Dates]],Comp1[Comparable '#1 Dates],0)),"-")</f>
        <v>12.55</v>
      </c>
      <c r="J523" s="22">
        <f>IF(Benchmark1[[#This Row],[Comparable '#1 Date Check]]="Pass",INDEX(Comp1[Comparable '#1 Return],MATCH(Benchmark1[[#This Row],[Benchmark '#1 Dates]],Comp1[Comparable '#1 Dates],0)),"-")</f>
        <v>-2.167572547904028E-2</v>
      </c>
      <c r="K523" s="1">
        <f>IFERROR(IF(Benchmark1[[#This Row],[Comparable '#1 Date Check]]="Pass",Benchmark1[[#This Row],[Comparable '#1 Return]]-Benchmark1[[#This Row],[Benchmark '#1 Return]],"-"),"-")</f>
        <v>-1.7920133878383884E-2</v>
      </c>
      <c r="L523" s="1" t="str">
        <f>IF(COUNTIF(Comp2[Comparable '#2 Dates],Benchmark1[[#This Row],[Benchmark '#1 Dates]])=1,"Pass","Fail")</f>
        <v>Pass</v>
      </c>
      <c r="M523" s="6">
        <f>IF(Benchmark1[[#This Row],[Comparable '#2 Date Check]]="Pass",INDEX(Comp2[Comparable '#2 Price],MATCH(Benchmark1[[#This Row],[Benchmark '#1 Dates]],Comp2[Comparable '#2 Dates],0)),"-")</f>
        <v>34.770000000000003</v>
      </c>
      <c r="N523" s="22">
        <f>IF(Benchmark1[[#This Row],[Comparable '#2 Date Check]]="Pass",INDEX(Comp2[Comparable '#2 Return],MATCH(Benchmark1[[#This Row],[Benchmark '#1 Dates]],Comp2[Comparable '#2 Dates],0)),"-")</f>
        <v>-2.3590691838214634E-2</v>
      </c>
      <c r="O523" s="1">
        <f>IFERROR(IF(Benchmark1[[#This Row],[Comparable '#2 Date Check]]="Pass",Benchmark1[[#This Row],[Comparable '#2 Return]]-Benchmark1[[#This Row],[Benchmark '#1 Return]],"-"),"-")</f>
        <v>-1.9835100237558238E-2</v>
      </c>
      <c r="P523" s="1" t="str">
        <f>IF(COUNTIF(Comp3[Comparable '#3 Dates],Benchmark1[[#This Row],[Benchmark '#1 Dates]])=1,"Pass","Fail")</f>
        <v>Pass</v>
      </c>
      <c r="Q523" s="6">
        <f>IF(Benchmark1[[#This Row],[Comparable '#3 Date Check]]="Pass",INDEX(Comp3[Comparable '#3 Price],MATCH(Benchmark1[[#This Row],[Benchmark '#1 Dates]],Comp3[Comparable '#3 Dates],0)),"-")</f>
        <v>134.4</v>
      </c>
      <c r="R523" s="22">
        <f>IF(Benchmark1[[#This Row],[Comparable '#3 Date Check]]="Pass",INDEX(Comp3[Comparable '#3 Return],MATCH(Benchmark1[[#This Row],[Benchmark '#1 Dates]],Comp3[Comparable '#3 Dates],0)),"-")</f>
        <v>-3.7315855190967341E-2</v>
      </c>
      <c r="S523" s="1">
        <f>IFERROR(IF(Benchmark1[[#This Row],[Comparable '#3 Date Check]]="Pass",Benchmark1[[#This Row],[Comparable '#3 Return]]-Benchmark1[[#This Row],[Benchmark '#1 Return]],"-"),"-")</f>
        <v>-3.3560263590310946E-2</v>
      </c>
    </row>
    <row r="524" spans="1:19">
      <c r="A524" s="103">
        <v>44043</v>
      </c>
      <c r="B524" s="104">
        <v>3271.1248802632554</v>
      </c>
      <c r="C524" s="4">
        <f t="shared" si="8"/>
        <v>7.6412756788537591E-3</v>
      </c>
      <c r="D524" s="1" t="str">
        <f>IF(COUNTIF(Target1[Target Dates],Benchmark1[[#This Row],[Benchmark '#1 Dates]])=1,"Pass","Fail")</f>
        <v>Pass</v>
      </c>
      <c r="E524" s="6">
        <f>IF(Benchmark1[[#This Row],[Target Date Check]]="Pass",INDEX(Target1[Target Price],MATCH(Benchmark1[[#This Row],[Benchmark '#1 Dates]],Target1[Target Dates],0)),"-")</f>
        <v>45.79</v>
      </c>
      <c r="F524" s="22">
        <f>IF(Benchmark1[[#This Row],[Target Date Check]]="Pass",INDEX(Target1[Target Return],MATCH(Benchmark1[[#This Row],[Benchmark '#1 Dates]],Target1[Target Dates],0)),"-")</f>
        <v>-4.1913340257735167E-2</v>
      </c>
      <c r="G524" s="1">
        <f>IFERROR(IF(Benchmark1[[#This Row],[Target Date Check]]="Pass",Benchmark1[[#This Row],[Target Return]]-Benchmark1[[#This Row],[Benchmark '#1 Return]],"-"),"-")</f>
        <v>-4.9554615936588928E-2</v>
      </c>
      <c r="H524" s="1" t="str">
        <f>IF(COUNTIF(Comp1[Comparable '#1 Dates],Benchmark1[[#This Row],[Benchmark '#1 Dates]])=1,"Pass","Fail")</f>
        <v>Pass</v>
      </c>
      <c r="I524" s="6">
        <f>IF(Benchmark1[[#This Row],[Comparable '#1 Date Check]]="Pass",INDEX(Comp1[Comparable '#1 Price],MATCH(Benchmark1[[#This Row],[Benchmark '#1 Dates]],Comp1[Comparable '#1 Dates],0)),"-")</f>
        <v>12.68</v>
      </c>
      <c r="J524" s="22">
        <f>IF(Benchmark1[[#This Row],[Comparable '#1 Date Check]]="Pass",INDEX(Comp1[Comparable '#1 Return],MATCH(Benchmark1[[#This Row],[Benchmark '#1 Dates]],Comp1[Comparable '#1 Dates],0)),"-")</f>
        <v>1.030528343128692E-2</v>
      </c>
      <c r="K524" s="1">
        <f>IFERROR(IF(Benchmark1[[#This Row],[Comparable '#1 Date Check]]="Pass",Benchmark1[[#This Row],[Comparable '#1 Return]]-Benchmark1[[#This Row],[Benchmark '#1 Return]],"-"),"-")</f>
        <v>2.6640077524331604E-3</v>
      </c>
      <c r="L524" s="1" t="str">
        <f>IF(COUNTIF(Comp2[Comparable '#2 Dates],Benchmark1[[#This Row],[Benchmark '#1 Dates]])=1,"Pass","Fail")</f>
        <v>Pass</v>
      </c>
      <c r="M524" s="6">
        <f>IF(Benchmark1[[#This Row],[Comparable '#2 Date Check]]="Pass",INDEX(Comp2[Comparable '#2 Price],MATCH(Benchmark1[[#This Row],[Benchmark '#1 Dates]],Comp2[Comparable '#2 Dates],0)),"-")</f>
        <v>34.340000000000003</v>
      </c>
      <c r="N524" s="22">
        <f>IF(Benchmark1[[#This Row],[Comparable '#2 Date Check]]="Pass",INDEX(Comp2[Comparable '#2 Return],MATCH(Benchmark1[[#This Row],[Benchmark '#1 Dates]],Comp2[Comparable '#2 Dates],0)),"-")</f>
        <v>-1.2444090550440561E-2</v>
      </c>
      <c r="O524" s="1">
        <f>IFERROR(IF(Benchmark1[[#This Row],[Comparable '#2 Date Check]]="Pass",Benchmark1[[#This Row],[Comparable '#2 Return]]-Benchmark1[[#This Row],[Benchmark '#1 Return]],"-"),"-")</f>
        <v>-2.008536622929432E-2</v>
      </c>
      <c r="P524" s="1" t="str">
        <f>IF(COUNTIF(Comp3[Comparable '#3 Dates],Benchmark1[[#This Row],[Benchmark '#1 Dates]])=1,"Pass","Fail")</f>
        <v>Pass</v>
      </c>
      <c r="Q524" s="6">
        <f>IF(Benchmark1[[#This Row],[Comparable '#3 Date Check]]="Pass",INDEX(Comp3[Comparable '#3 Price],MATCH(Benchmark1[[#This Row],[Benchmark '#1 Dates]],Comp3[Comparable '#3 Dates],0)),"-")</f>
        <v>126.21</v>
      </c>
      <c r="R524" s="22">
        <f>IF(Benchmark1[[#This Row],[Comparable '#3 Date Check]]="Pass",INDEX(Comp3[Comparable '#3 Return],MATCH(Benchmark1[[#This Row],[Benchmark '#1 Dates]],Comp3[Comparable '#3 Dates],0)),"-")</f>
        <v>-6.2873241818510062E-2</v>
      </c>
      <c r="S524" s="1">
        <f>IFERROR(IF(Benchmark1[[#This Row],[Comparable '#3 Date Check]]="Pass",Benchmark1[[#This Row],[Comparable '#3 Return]]-Benchmark1[[#This Row],[Benchmark '#1 Return]],"-"),"-")</f>
        <v>-7.0514517497363816E-2</v>
      </c>
    </row>
    <row r="525" spans="1:19">
      <c r="A525" s="103">
        <v>44046</v>
      </c>
      <c r="B525" s="104">
        <v>3294.6133661531021</v>
      </c>
      <c r="C525" s="4">
        <f t="shared" si="8"/>
        <v>7.1548956754418514E-3</v>
      </c>
      <c r="D525" s="1" t="str">
        <f>IF(COUNTIF(Target1[Target Dates],Benchmark1[[#This Row],[Benchmark '#1 Dates]])=1,"Pass","Fail")</f>
        <v>Pass</v>
      </c>
      <c r="E525" s="6">
        <f>IF(Benchmark1[[#This Row],[Target Date Check]]="Pass",INDEX(Target1[Target Price],MATCH(Benchmark1[[#This Row],[Benchmark '#1 Dates]],Target1[Target Dates],0)),"-")</f>
        <v>46.54</v>
      </c>
      <c r="F525" s="22">
        <f>IF(Benchmark1[[#This Row],[Target Date Check]]="Pass",INDEX(Target1[Target Return],MATCH(Benchmark1[[#This Row],[Benchmark '#1 Dates]],Target1[Target Dates],0)),"-")</f>
        <v>1.6246431205141586E-2</v>
      </c>
      <c r="G525" s="1">
        <f>IFERROR(IF(Benchmark1[[#This Row],[Target Date Check]]="Pass",Benchmark1[[#This Row],[Target Return]]-Benchmark1[[#This Row],[Benchmark '#1 Return]],"-"),"-")</f>
        <v>9.091535529699735E-3</v>
      </c>
      <c r="H525" s="1" t="str">
        <f>IF(COUNTIF(Comp1[Comparable '#1 Dates],Benchmark1[[#This Row],[Benchmark '#1 Dates]])=1,"Pass","Fail")</f>
        <v>Pass</v>
      </c>
      <c r="I525" s="6">
        <f>IF(Benchmark1[[#This Row],[Comparable '#1 Date Check]]="Pass",INDEX(Comp1[Comparable '#1 Price],MATCH(Benchmark1[[#This Row],[Benchmark '#1 Dates]],Comp1[Comparable '#1 Dates],0)),"-")</f>
        <v>12.18</v>
      </c>
      <c r="J525" s="22">
        <f>IF(Benchmark1[[#This Row],[Comparable '#1 Date Check]]="Pass",INDEX(Comp1[Comparable '#1 Return],MATCH(Benchmark1[[#This Row],[Benchmark '#1 Dates]],Comp1[Comparable '#1 Dates],0)),"-")</f>
        <v>-4.0230686727328879E-2</v>
      </c>
      <c r="K525" s="1">
        <f>IFERROR(IF(Benchmark1[[#This Row],[Comparable '#1 Date Check]]="Pass",Benchmark1[[#This Row],[Comparable '#1 Return]]-Benchmark1[[#This Row],[Benchmark '#1 Return]],"-"),"-")</f>
        <v>-4.7385582402770729E-2</v>
      </c>
      <c r="L525" s="1" t="str">
        <f>IF(COUNTIF(Comp2[Comparable '#2 Dates],Benchmark1[[#This Row],[Benchmark '#1 Dates]])=1,"Pass","Fail")</f>
        <v>Pass</v>
      </c>
      <c r="M525" s="6">
        <f>IF(Benchmark1[[#This Row],[Comparable '#2 Date Check]]="Pass",INDEX(Comp2[Comparable '#2 Price],MATCH(Benchmark1[[#This Row],[Benchmark '#1 Dates]],Comp2[Comparable '#2 Dates],0)),"-")</f>
        <v>33.94</v>
      </c>
      <c r="N525" s="22">
        <f>IF(Benchmark1[[#This Row],[Comparable '#2 Date Check]]="Pass",INDEX(Comp2[Comparable '#2 Return],MATCH(Benchmark1[[#This Row],[Benchmark '#1 Dates]],Comp2[Comparable '#2 Dates],0)),"-")</f>
        <v>-1.1716595663249346E-2</v>
      </c>
      <c r="O525" s="1">
        <f>IFERROR(IF(Benchmark1[[#This Row],[Comparable '#2 Date Check]]="Pass",Benchmark1[[#This Row],[Comparable '#2 Return]]-Benchmark1[[#This Row],[Benchmark '#1 Return]],"-"),"-")</f>
        <v>-1.8871491338691197E-2</v>
      </c>
      <c r="P525" s="1" t="str">
        <f>IF(COUNTIF(Comp3[Comparable '#3 Dates],Benchmark1[[#This Row],[Benchmark '#1 Dates]])=1,"Pass","Fail")</f>
        <v>Pass</v>
      </c>
      <c r="Q525" s="6">
        <f>IF(Benchmark1[[#This Row],[Comparable '#3 Date Check]]="Pass",INDEX(Comp3[Comparable '#3 Price],MATCH(Benchmark1[[#This Row],[Benchmark '#1 Dates]],Comp3[Comparable '#3 Dates],0)),"-")</f>
        <v>120.49</v>
      </c>
      <c r="R525" s="22">
        <f>IF(Benchmark1[[#This Row],[Comparable '#3 Date Check]]="Pass",INDEX(Comp3[Comparable '#3 Return],MATCH(Benchmark1[[#This Row],[Benchmark '#1 Dates]],Comp3[Comparable '#3 Dates],0)),"-")</f>
        <v>-4.6380424335354185E-2</v>
      </c>
      <c r="S525" s="1">
        <f>IFERROR(IF(Benchmark1[[#This Row],[Comparable '#3 Date Check]]="Pass",Benchmark1[[#This Row],[Comparable '#3 Return]]-Benchmark1[[#This Row],[Benchmark '#1 Return]],"-"),"-")</f>
        <v>-5.3535320010796035E-2</v>
      </c>
    </row>
    <row r="526" spans="1:19">
      <c r="A526" s="103">
        <v>44047</v>
      </c>
      <c r="B526" s="104">
        <v>3306.5075521158683</v>
      </c>
      <c r="C526" s="4">
        <f t="shared" si="8"/>
        <v>3.6036906404540887E-3</v>
      </c>
      <c r="D526" s="1" t="str">
        <f>IF(COUNTIF(Target1[Target Dates],Benchmark1[[#This Row],[Benchmark '#1 Dates]])=1,"Pass","Fail")</f>
        <v>Pass</v>
      </c>
      <c r="E526" s="6">
        <f>IF(Benchmark1[[#This Row],[Target Date Check]]="Pass",INDEX(Target1[Target Price],MATCH(Benchmark1[[#This Row],[Benchmark '#1 Dates]],Target1[Target Dates],0)),"-")</f>
        <v>47.08</v>
      </c>
      <c r="F526" s="22">
        <f>IF(Benchmark1[[#This Row],[Target Date Check]]="Pass",INDEX(Target1[Target Return],MATCH(Benchmark1[[#This Row],[Benchmark '#1 Dates]],Target1[Target Dates],0)),"-")</f>
        <v>1.1536124517930346E-2</v>
      </c>
      <c r="G526" s="1">
        <f>IFERROR(IF(Benchmark1[[#This Row],[Target Date Check]]="Pass",Benchmark1[[#This Row],[Target Return]]-Benchmark1[[#This Row],[Benchmark '#1 Return]],"-"),"-")</f>
        <v>7.9324338774762575E-3</v>
      </c>
      <c r="H526" s="1" t="str">
        <f>IF(COUNTIF(Comp1[Comparable '#1 Dates],Benchmark1[[#This Row],[Benchmark '#1 Dates]])=1,"Pass","Fail")</f>
        <v>Pass</v>
      </c>
      <c r="I526" s="6">
        <f>IF(Benchmark1[[#This Row],[Comparable '#1 Date Check]]="Pass",INDEX(Comp1[Comparable '#1 Price],MATCH(Benchmark1[[#This Row],[Benchmark '#1 Dates]],Comp1[Comparable '#1 Dates],0)),"-")</f>
        <v>12.03</v>
      </c>
      <c r="J526" s="22">
        <f>IF(Benchmark1[[#This Row],[Comparable '#1 Date Check]]="Pass",INDEX(Comp1[Comparable '#1 Return],MATCH(Benchmark1[[#This Row],[Benchmark '#1 Dates]],Comp1[Comparable '#1 Dates],0)),"-")</f>
        <v>-1.2391732295163497E-2</v>
      </c>
      <c r="K526" s="1">
        <f>IFERROR(IF(Benchmark1[[#This Row],[Comparable '#1 Date Check]]="Pass",Benchmark1[[#This Row],[Comparable '#1 Return]]-Benchmark1[[#This Row],[Benchmark '#1 Return]],"-"),"-")</f>
        <v>-1.5995422935617586E-2</v>
      </c>
      <c r="L526" s="1" t="str">
        <f>IF(COUNTIF(Comp2[Comparable '#2 Dates],Benchmark1[[#This Row],[Benchmark '#1 Dates]])=1,"Pass","Fail")</f>
        <v>Pass</v>
      </c>
      <c r="M526" s="6">
        <f>IF(Benchmark1[[#This Row],[Comparable '#2 Date Check]]="Pass",INDEX(Comp2[Comparable '#2 Price],MATCH(Benchmark1[[#This Row],[Benchmark '#1 Dates]],Comp2[Comparable '#2 Dates],0)),"-")</f>
        <v>34.659999999999997</v>
      </c>
      <c r="N526" s="22">
        <f>IF(Benchmark1[[#This Row],[Comparable '#2 Date Check]]="Pass",INDEX(Comp2[Comparable '#2 Return],MATCH(Benchmark1[[#This Row],[Benchmark '#1 Dates]],Comp2[Comparable '#2 Dates],0)),"-")</f>
        <v>2.0992024481379656E-2</v>
      </c>
      <c r="O526" s="1">
        <f>IFERROR(IF(Benchmark1[[#This Row],[Comparable '#2 Date Check]]="Pass",Benchmark1[[#This Row],[Comparable '#2 Return]]-Benchmark1[[#This Row],[Benchmark '#1 Return]],"-"),"-")</f>
        <v>1.7388333840925568E-2</v>
      </c>
      <c r="P526" s="1" t="str">
        <f>IF(COUNTIF(Comp3[Comparable '#3 Dates],Benchmark1[[#This Row],[Benchmark '#1 Dates]])=1,"Pass","Fail")</f>
        <v>Pass</v>
      </c>
      <c r="Q526" s="6">
        <f>IF(Benchmark1[[#This Row],[Comparable '#3 Date Check]]="Pass",INDEX(Comp3[Comparable '#3 Price],MATCH(Benchmark1[[#This Row],[Benchmark '#1 Dates]],Comp3[Comparable '#3 Dates],0)),"-")</f>
        <v>117.84</v>
      </c>
      <c r="R526" s="22">
        <f>IF(Benchmark1[[#This Row],[Comparable '#3 Date Check]]="Pass",INDEX(Comp3[Comparable '#3 Return],MATCH(Benchmark1[[#This Row],[Benchmark '#1 Dates]],Comp3[Comparable '#3 Dates],0)),"-")</f>
        <v>-2.223898978081016E-2</v>
      </c>
      <c r="S526" s="1">
        <f>IFERROR(IF(Benchmark1[[#This Row],[Comparable '#3 Date Check]]="Pass",Benchmark1[[#This Row],[Comparable '#3 Return]]-Benchmark1[[#This Row],[Benchmark '#1 Return]],"-"),"-")</f>
        <v>-2.5842680421264249E-2</v>
      </c>
    </row>
    <row r="527" spans="1:19">
      <c r="A527" s="103">
        <v>44048</v>
      </c>
      <c r="B527" s="104">
        <v>3327.7710716033384</v>
      </c>
      <c r="C527" s="4">
        <f t="shared" si="8"/>
        <v>6.4102198610892737E-3</v>
      </c>
      <c r="D527" s="1" t="str">
        <f>IF(COUNTIF(Target1[Target Dates],Benchmark1[[#This Row],[Benchmark '#1 Dates]])=1,"Pass","Fail")</f>
        <v>Pass</v>
      </c>
      <c r="E527" s="6">
        <f>IF(Benchmark1[[#This Row],[Target Date Check]]="Pass",INDEX(Target1[Target Price],MATCH(Benchmark1[[#This Row],[Benchmark '#1 Dates]],Target1[Target Dates],0)),"-")</f>
        <v>51.6</v>
      </c>
      <c r="F527" s="22">
        <f>IF(Benchmark1[[#This Row],[Target Date Check]]="Pass",INDEX(Target1[Target Return],MATCH(Benchmark1[[#This Row],[Benchmark '#1 Dates]],Target1[Target Dates],0)),"-")</f>
        <v>9.1673390095441176E-2</v>
      </c>
      <c r="G527" s="1">
        <f>IFERROR(IF(Benchmark1[[#This Row],[Target Date Check]]="Pass",Benchmark1[[#This Row],[Target Return]]-Benchmark1[[#This Row],[Benchmark '#1 Return]],"-"),"-")</f>
        <v>8.5263170234351898E-2</v>
      </c>
      <c r="H527" s="1" t="str">
        <f>IF(COUNTIF(Comp1[Comparable '#1 Dates],Benchmark1[[#This Row],[Benchmark '#1 Dates]])=1,"Pass","Fail")</f>
        <v>Pass</v>
      </c>
      <c r="I527" s="6">
        <f>IF(Benchmark1[[#This Row],[Comparable '#1 Date Check]]="Pass",INDEX(Comp1[Comparable '#1 Price],MATCH(Benchmark1[[#This Row],[Benchmark '#1 Dates]],Comp1[Comparable '#1 Dates],0)),"-")</f>
        <v>12.08</v>
      </c>
      <c r="J527" s="22">
        <f>IF(Benchmark1[[#This Row],[Comparable '#1 Date Check]]="Pass",INDEX(Comp1[Comparable '#1 Return],MATCH(Benchmark1[[#This Row],[Benchmark '#1 Dates]],Comp1[Comparable '#1 Dates],0)),"-")</f>
        <v>4.1476625200813797E-3</v>
      </c>
      <c r="K527" s="1">
        <f>IFERROR(IF(Benchmark1[[#This Row],[Comparable '#1 Date Check]]="Pass",Benchmark1[[#This Row],[Comparable '#1 Return]]-Benchmark1[[#This Row],[Benchmark '#1 Return]],"-"),"-")</f>
        <v>-2.2625573410078939E-3</v>
      </c>
      <c r="L527" s="1" t="str">
        <f>IF(COUNTIF(Comp2[Comparable '#2 Dates],Benchmark1[[#This Row],[Benchmark '#1 Dates]])=1,"Pass","Fail")</f>
        <v>Pass</v>
      </c>
      <c r="M527" s="6">
        <f>IF(Benchmark1[[#This Row],[Comparable '#2 Date Check]]="Pass",INDEX(Comp2[Comparable '#2 Price],MATCH(Benchmark1[[#This Row],[Benchmark '#1 Dates]],Comp2[Comparable '#2 Dates],0)),"-")</f>
        <v>35.619999999999997</v>
      </c>
      <c r="N527" s="22">
        <f>IF(Benchmark1[[#This Row],[Comparable '#2 Date Check]]="Pass",INDEX(Comp2[Comparable '#2 Return],MATCH(Benchmark1[[#This Row],[Benchmark '#1 Dates]],Comp2[Comparable '#2 Dates],0)),"-")</f>
        <v>2.7320993574055701E-2</v>
      </c>
      <c r="O527" s="1">
        <f>IFERROR(IF(Benchmark1[[#This Row],[Comparable '#2 Date Check]]="Pass",Benchmark1[[#This Row],[Comparable '#2 Return]]-Benchmark1[[#This Row],[Benchmark '#1 Return]],"-"),"-")</f>
        <v>2.0910773712966426E-2</v>
      </c>
      <c r="P527" s="1" t="str">
        <f>IF(COUNTIF(Comp3[Comparable '#3 Dates],Benchmark1[[#This Row],[Benchmark '#1 Dates]])=1,"Pass","Fail")</f>
        <v>Pass</v>
      </c>
      <c r="Q527" s="6">
        <f>IF(Benchmark1[[#This Row],[Comparable '#3 Date Check]]="Pass",INDEX(Comp3[Comparable '#3 Price],MATCH(Benchmark1[[#This Row],[Benchmark '#1 Dates]],Comp3[Comparable '#3 Dates],0)),"-")</f>
        <v>114.35</v>
      </c>
      <c r="R527" s="22">
        <f>IF(Benchmark1[[#This Row],[Comparable '#3 Date Check]]="Pass",INDEX(Comp3[Comparable '#3 Return],MATCH(Benchmark1[[#This Row],[Benchmark '#1 Dates]],Comp3[Comparable '#3 Dates],0)),"-")</f>
        <v>-3.0063851685584744E-2</v>
      </c>
      <c r="S527" s="1">
        <f>IFERROR(IF(Benchmark1[[#This Row],[Comparable '#3 Date Check]]="Pass",Benchmark1[[#This Row],[Comparable '#3 Return]]-Benchmark1[[#This Row],[Benchmark '#1 Return]],"-"),"-")</f>
        <v>-3.6474071546674015E-2</v>
      </c>
    </row>
    <row r="528" spans="1:19">
      <c r="A528" s="103">
        <v>44049</v>
      </c>
      <c r="B528" s="104">
        <v>3349.1560069020543</v>
      </c>
      <c r="C528" s="4">
        <f t="shared" si="8"/>
        <v>6.4056438448213664E-3</v>
      </c>
      <c r="D528" s="1" t="str">
        <f>IF(COUNTIF(Target1[Target Dates],Benchmark1[[#This Row],[Benchmark '#1 Dates]])=1,"Pass","Fail")</f>
        <v>Pass</v>
      </c>
      <c r="E528" s="6">
        <f>IF(Benchmark1[[#This Row],[Target Date Check]]="Pass",INDEX(Target1[Target Price],MATCH(Benchmark1[[#This Row],[Benchmark '#1 Dates]],Target1[Target Dates],0)),"-")</f>
        <v>49.36</v>
      </c>
      <c r="F528" s="22">
        <f>IF(Benchmark1[[#This Row],[Target Date Check]]="Pass",INDEX(Target1[Target Return],MATCH(Benchmark1[[#This Row],[Benchmark '#1 Dates]],Target1[Target Dates],0)),"-")</f>
        <v>-4.4381292890384734E-2</v>
      </c>
      <c r="G528" s="1">
        <f>IFERROR(IF(Benchmark1[[#This Row],[Target Date Check]]="Pass",Benchmark1[[#This Row],[Target Return]]-Benchmark1[[#This Row],[Benchmark '#1 Return]],"-"),"-")</f>
        <v>-5.0786936735206102E-2</v>
      </c>
      <c r="H528" s="1" t="str">
        <f>IF(COUNTIF(Comp1[Comparable '#1 Dates],Benchmark1[[#This Row],[Benchmark '#1 Dates]])=1,"Pass","Fail")</f>
        <v>Pass</v>
      </c>
      <c r="I528" s="6">
        <f>IF(Benchmark1[[#This Row],[Comparable '#1 Date Check]]="Pass",INDEX(Comp1[Comparable '#1 Price],MATCH(Benchmark1[[#This Row],[Benchmark '#1 Dates]],Comp1[Comparable '#1 Dates],0)),"-")</f>
        <v>12.72</v>
      </c>
      <c r="J528" s="22">
        <f>IF(Benchmark1[[#This Row],[Comparable '#1 Date Check]]="Pass",INDEX(Comp1[Comparable '#1 Return],MATCH(Benchmark1[[#This Row],[Benchmark '#1 Dates]],Comp1[Comparable '#1 Dates],0)),"-")</f>
        <v>5.1624365405307245E-2</v>
      </c>
      <c r="K528" s="1">
        <f>IFERROR(IF(Benchmark1[[#This Row],[Comparable '#1 Date Check]]="Pass",Benchmark1[[#This Row],[Comparable '#1 Return]]-Benchmark1[[#This Row],[Benchmark '#1 Return]],"-"),"-")</f>
        <v>4.5218721560485876E-2</v>
      </c>
      <c r="L528" s="1" t="str">
        <f>IF(COUNTIF(Comp2[Comparable '#2 Dates],Benchmark1[[#This Row],[Benchmark '#1 Dates]])=1,"Pass","Fail")</f>
        <v>Pass</v>
      </c>
      <c r="M528" s="6">
        <f>IF(Benchmark1[[#This Row],[Comparable '#2 Date Check]]="Pass",INDEX(Comp2[Comparable '#2 Price],MATCH(Benchmark1[[#This Row],[Benchmark '#1 Dates]],Comp2[Comparable '#2 Dates],0)),"-")</f>
        <v>35.78</v>
      </c>
      <c r="N528" s="22">
        <f>IF(Benchmark1[[#This Row],[Comparable '#2 Date Check]]="Pass",INDEX(Comp2[Comparable '#2 Return],MATCH(Benchmark1[[#This Row],[Benchmark '#1 Dates]],Comp2[Comparable '#2 Dates],0)),"-")</f>
        <v>4.4818002190575197E-3</v>
      </c>
      <c r="O528" s="1">
        <f>IFERROR(IF(Benchmark1[[#This Row],[Comparable '#2 Date Check]]="Pass",Benchmark1[[#This Row],[Comparable '#2 Return]]-Benchmark1[[#This Row],[Benchmark '#1 Return]],"-"),"-")</f>
        <v>-1.9238436257638467E-3</v>
      </c>
      <c r="P528" s="1" t="str">
        <f>IF(COUNTIF(Comp3[Comparable '#3 Dates],Benchmark1[[#This Row],[Benchmark '#1 Dates]])=1,"Pass","Fail")</f>
        <v>Pass</v>
      </c>
      <c r="Q528" s="6">
        <f>IF(Benchmark1[[#This Row],[Comparable '#3 Date Check]]="Pass",INDEX(Comp3[Comparable '#3 Price],MATCH(Benchmark1[[#This Row],[Benchmark '#1 Dates]],Comp3[Comparable '#3 Dates],0)),"-")</f>
        <v>120.37</v>
      </c>
      <c r="R528" s="22">
        <f>IF(Benchmark1[[#This Row],[Comparable '#3 Date Check]]="Pass",INDEX(Comp3[Comparable '#3 Return],MATCH(Benchmark1[[#This Row],[Benchmark '#1 Dates]],Comp3[Comparable '#3 Dates],0)),"-")</f>
        <v>5.130641192285338E-2</v>
      </c>
      <c r="S528" s="1">
        <f>IFERROR(IF(Benchmark1[[#This Row],[Comparable '#3 Date Check]]="Pass",Benchmark1[[#This Row],[Comparable '#3 Return]]-Benchmark1[[#This Row],[Benchmark '#1 Return]],"-"),"-")</f>
        <v>4.4900768078032012E-2</v>
      </c>
    </row>
    <row r="529" spans="1:19">
      <c r="A529" s="103">
        <v>44050</v>
      </c>
      <c r="B529" s="104">
        <v>3351.2832334948389</v>
      </c>
      <c r="C529" s="4">
        <f t="shared" si="8"/>
        <v>6.3495140779062096E-4</v>
      </c>
      <c r="D529" s="1" t="str">
        <f>IF(COUNTIF(Target1[Target Dates],Benchmark1[[#This Row],[Benchmark '#1 Dates]])=1,"Pass","Fail")</f>
        <v>Pass</v>
      </c>
      <c r="E529" s="6">
        <f>IF(Benchmark1[[#This Row],[Target Date Check]]="Pass",INDEX(Target1[Target Price],MATCH(Benchmark1[[#This Row],[Benchmark '#1 Dates]],Target1[Target Dates],0)),"-")</f>
        <v>49.57</v>
      </c>
      <c r="F529" s="22">
        <f>IF(Benchmark1[[#This Row],[Target Date Check]]="Pass",INDEX(Target1[Target Return],MATCH(Benchmark1[[#This Row],[Benchmark '#1 Dates]],Target1[Target Dates],0)),"-")</f>
        <v>4.2454324353502241E-3</v>
      </c>
      <c r="G529" s="1">
        <f>IFERROR(IF(Benchmark1[[#This Row],[Target Date Check]]="Pass",Benchmark1[[#This Row],[Target Return]]-Benchmark1[[#This Row],[Benchmark '#1 Return]],"-"),"-")</f>
        <v>3.6104810275596031E-3</v>
      </c>
      <c r="H529" s="1" t="str">
        <f>IF(COUNTIF(Comp1[Comparable '#1 Dates],Benchmark1[[#This Row],[Benchmark '#1 Dates]])=1,"Pass","Fail")</f>
        <v>Pass</v>
      </c>
      <c r="I529" s="6">
        <f>IF(Benchmark1[[#This Row],[Comparable '#1 Date Check]]="Pass",INDEX(Comp1[Comparable '#1 Price],MATCH(Benchmark1[[#This Row],[Benchmark '#1 Dates]],Comp1[Comparable '#1 Dates],0)),"-")</f>
        <v>12.9</v>
      </c>
      <c r="J529" s="22">
        <f>IF(Benchmark1[[#This Row],[Comparable '#1 Date Check]]="Pass",INDEX(Comp1[Comparable '#1 Return],MATCH(Benchmark1[[#This Row],[Benchmark '#1 Dates]],Comp1[Comparable '#1 Dates],0)),"-")</f>
        <v>1.4051753455650287E-2</v>
      </c>
      <c r="K529" s="1">
        <f>IFERROR(IF(Benchmark1[[#This Row],[Comparable '#1 Date Check]]="Pass",Benchmark1[[#This Row],[Comparable '#1 Return]]-Benchmark1[[#This Row],[Benchmark '#1 Return]],"-"),"-")</f>
        <v>1.3416802047859666E-2</v>
      </c>
      <c r="L529" s="1" t="str">
        <f>IF(COUNTIF(Comp2[Comparable '#2 Dates],Benchmark1[[#This Row],[Benchmark '#1 Dates]])=1,"Pass","Fail")</f>
        <v>Pass</v>
      </c>
      <c r="M529" s="6">
        <f>IF(Benchmark1[[#This Row],[Comparable '#2 Date Check]]="Pass",INDEX(Comp2[Comparable '#2 Price],MATCH(Benchmark1[[#This Row],[Benchmark '#1 Dates]],Comp2[Comparable '#2 Dates],0)),"-")</f>
        <v>36.01</v>
      </c>
      <c r="N529" s="22">
        <f>IF(Benchmark1[[#This Row],[Comparable '#2 Date Check]]="Pass",INDEX(Comp2[Comparable '#2 Return],MATCH(Benchmark1[[#This Row],[Benchmark '#1 Dates]],Comp2[Comparable '#2 Dates],0)),"-")</f>
        <v>6.4075995802106503E-3</v>
      </c>
      <c r="O529" s="1">
        <f>IFERROR(IF(Benchmark1[[#This Row],[Comparable '#2 Date Check]]="Pass",Benchmark1[[#This Row],[Comparable '#2 Return]]-Benchmark1[[#This Row],[Benchmark '#1 Return]],"-"),"-")</f>
        <v>5.7726481724200297E-3</v>
      </c>
      <c r="P529" s="1" t="str">
        <f>IF(COUNTIF(Comp3[Comparable '#3 Dates],Benchmark1[[#This Row],[Benchmark '#1 Dates]])=1,"Pass","Fail")</f>
        <v>Pass</v>
      </c>
      <c r="Q529" s="6">
        <f>IF(Benchmark1[[#This Row],[Comparable '#3 Date Check]]="Pass",INDEX(Comp3[Comparable '#3 Price],MATCH(Benchmark1[[#This Row],[Benchmark '#1 Dates]],Comp3[Comparable '#3 Dates],0)),"-")</f>
        <v>116.36</v>
      </c>
      <c r="R529" s="22">
        <f>IF(Benchmark1[[#This Row],[Comparable '#3 Date Check]]="Pass",INDEX(Comp3[Comparable '#3 Return],MATCH(Benchmark1[[#This Row],[Benchmark '#1 Dates]],Comp3[Comparable '#3 Dates],0)),"-")</f>
        <v>-3.3881498764642602E-2</v>
      </c>
      <c r="S529" s="1">
        <f>IFERROR(IF(Benchmark1[[#This Row],[Comparable '#3 Date Check]]="Pass",Benchmark1[[#This Row],[Comparable '#3 Return]]-Benchmark1[[#This Row],[Benchmark '#1 Return]],"-"),"-")</f>
        <v>-3.4516450172433225E-2</v>
      </c>
    </row>
    <row r="530" spans="1:19">
      <c r="A530" s="103">
        <v>44053</v>
      </c>
      <c r="B530" s="104">
        <v>3360.4727435295235</v>
      </c>
      <c r="C530" s="4">
        <f t="shared" si="8"/>
        <v>2.7383342923720335E-3</v>
      </c>
      <c r="D530" s="1" t="str">
        <f>IF(COUNTIF(Target1[Target Dates],Benchmark1[[#This Row],[Benchmark '#1 Dates]])=1,"Pass","Fail")</f>
        <v>Pass</v>
      </c>
      <c r="E530" s="6">
        <f>IF(Benchmark1[[#This Row],[Target Date Check]]="Pass",INDEX(Target1[Target Price],MATCH(Benchmark1[[#This Row],[Benchmark '#1 Dates]],Target1[Target Dates],0)),"-")</f>
        <v>48</v>
      </c>
      <c r="F530" s="22">
        <f>IF(Benchmark1[[#This Row],[Target Date Check]]="Pass",INDEX(Target1[Target Return],MATCH(Benchmark1[[#This Row],[Benchmark '#1 Dates]],Target1[Target Dates],0)),"-")</f>
        <v>-3.2184801124591635E-2</v>
      </c>
      <c r="G530" s="1">
        <f>IFERROR(IF(Benchmark1[[#This Row],[Target Date Check]]="Pass",Benchmark1[[#This Row],[Target Return]]-Benchmark1[[#This Row],[Benchmark '#1 Return]],"-"),"-")</f>
        <v>-3.4923135416963666E-2</v>
      </c>
      <c r="H530" s="1" t="str">
        <f>IF(COUNTIF(Comp1[Comparable '#1 Dates],Benchmark1[[#This Row],[Benchmark '#1 Dates]])=1,"Pass","Fail")</f>
        <v>Pass</v>
      </c>
      <c r="I530" s="6">
        <f>IF(Benchmark1[[#This Row],[Comparable '#1 Date Check]]="Pass",INDEX(Comp1[Comparable '#1 Price],MATCH(Benchmark1[[#This Row],[Benchmark '#1 Dates]],Comp1[Comparable '#1 Dates],0)),"-")</f>
        <v>13.33</v>
      </c>
      <c r="J530" s="22">
        <f>IF(Benchmark1[[#This Row],[Comparable '#1 Date Check]]="Pass",INDEX(Comp1[Comparable '#1 Return],MATCH(Benchmark1[[#This Row],[Benchmark '#1 Dates]],Comp1[Comparable '#1 Dates],0)),"-")</f>
        <v>3.2789822822990755E-2</v>
      </c>
      <c r="K530" s="1">
        <f>IFERROR(IF(Benchmark1[[#This Row],[Comparable '#1 Date Check]]="Pass",Benchmark1[[#This Row],[Comparable '#1 Return]]-Benchmark1[[#This Row],[Benchmark '#1 Return]],"-"),"-")</f>
        <v>3.005148853061872E-2</v>
      </c>
      <c r="L530" s="1" t="str">
        <f>IF(COUNTIF(Comp2[Comparable '#2 Dates],Benchmark1[[#This Row],[Benchmark '#1 Dates]])=1,"Pass","Fail")</f>
        <v>Pass</v>
      </c>
      <c r="M530" s="6">
        <f>IF(Benchmark1[[#This Row],[Comparable '#2 Date Check]]="Pass",INDEX(Comp2[Comparable '#2 Price],MATCH(Benchmark1[[#This Row],[Benchmark '#1 Dates]],Comp2[Comparable '#2 Dates],0)),"-")</f>
        <v>37.04</v>
      </c>
      <c r="N530" s="22">
        <f>IF(Benchmark1[[#This Row],[Comparable '#2 Date Check]]="Pass",INDEX(Comp2[Comparable '#2 Return],MATCH(Benchmark1[[#This Row],[Benchmark '#1 Dates]],Comp2[Comparable '#2 Dates],0)),"-")</f>
        <v>2.8201732117194848E-2</v>
      </c>
      <c r="O530" s="1">
        <f>IFERROR(IF(Benchmark1[[#This Row],[Comparable '#2 Date Check]]="Pass",Benchmark1[[#This Row],[Comparable '#2 Return]]-Benchmark1[[#This Row],[Benchmark '#1 Return]],"-"),"-")</f>
        <v>2.5463397824822813E-2</v>
      </c>
      <c r="P530" s="1" t="str">
        <f>IF(COUNTIF(Comp3[Comparable '#3 Dates],Benchmark1[[#This Row],[Benchmark '#1 Dates]])=1,"Pass","Fail")</f>
        <v>Pass</v>
      </c>
      <c r="Q530" s="6">
        <f>IF(Benchmark1[[#This Row],[Comparable '#3 Date Check]]="Pass",INDEX(Comp3[Comparable '#3 Price],MATCH(Benchmark1[[#This Row],[Benchmark '#1 Dates]],Comp3[Comparable '#3 Dates],0)),"-")</f>
        <v>121.19</v>
      </c>
      <c r="R530" s="22">
        <f>IF(Benchmark1[[#This Row],[Comparable '#3 Date Check]]="Pass",INDEX(Comp3[Comparable '#3 Return],MATCH(Benchmark1[[#This Row],[Benchmark '#1 Dates]],Comp3[Comparable '#3 Dates],0)),"-")</f>
        <v>4.0670728353395191E-2</v>
      </c>
      <c r="S530" s="1">
        <f>IFERROR(IF(Benchmark1[[#This Row],[Comparable '#3 Date Check]]="Pass",Benchmark1[[#This Row],[Comparable '#3 Return]]-Benchmark1[[#This Row],[Benchmark '#1 Return]],"-"),"-")</f>
        <v>3.793239406102316E-2</v>
      </c>
    </row>
    <row r="531" spans="1:19">
      <c r="A531" s="103">
        <v>44054</v>
      </c>
      <c r="B531" s="104">
        <v>3333.6891416450867</v>
      </c>
      <c r="C531" s="4">
        <f t="shared" si="8"/>
        <v>-8.0021204342883515E-3</v>
      </c>
      <c r="D531" s="1" t="str">
        <f>IF(COUNTIF(Target1[Target Dates],Benchmark1[[#This Row],[Benchmark '#1 Dates]])=1,"Pass","Fail")</f>
        <v>Pass</v>
      </c>
      <c r="E531" s="6">
        <f>IF(Benchmark1[[#This Row],[Target Date Check]]="Pass",INDEX(Target1[Target Price],MATCH(Benchmark1[[#This Row],[Benchmark '#1 Dates]],Target1[Target Dates],0)),"-")</f>
        <v>47.07</v>
      </c>
      <c r="F531" s="22">
        <f>IF(Benchmark1[[#This Row],[Target Date Check]]="Pass",INDEX(Target1[Target Return],MATCH(Benchmark1[[#This Row],[Benchmark '#1 Dates]],Target1[Target Dates],0)),"-")</f>
        <v>-1.9565155494840045E-2</v>
      </c>
      <c r="G531" s="1">
        <f>IFERROR(IF(Benchmark1[[#This Row],[Target Date Check]]="Pass",Benchmark1[[#This Row],[Target Return]]-Benchmark1[[#This Row],[Benchmark '#1 Return]],"-"),"-")</f>
        <v>-1.1563035060551693E-2</v>
      </c>
      <c r="H531" s="1" t="str">
        <f>IF(COUNTIF(Comp1[Comparable '#1 Dates],Benchmark1[[#This Row],[Benchmark '#1 Dates]])=1,"Pass","Fail")</f>
        <v>Pass</v>
      </c>
      <c r="I531" s="6">
        <f>IF(Benchmark1[[#This Row],[Comparable '#1 Date Check]]="Pass",INDEX(Comp1[Comparable '#1 Price],MATCH(Benchmark1[[#This Row],[Benchmark '#1 Dates]],Comp1[Comparable '#1 Dates],0)),"-")</f>
        <v>13.31</v>
      </c>
      <c r="J531" s="22">
        <f>IF(Benchmark1[[#This Row],[Comparable '#1 Date Check]]="Pass",INDEX(Comp1[Comparable '#1 Return],MATCH(Benchmark1[[#This Row],[Benchmark '#1 Dates]],Comp1[Comparable '#1 Dates],0)),"-")</f>
        <v>-1.5015017835970255E-3</v>
      </c>
      <c r="K531" s="1">
        <f>IFERROR(IF(Benchmark1[[#This Row],[Comparable '#1 Date Check]]="Pass",Benchmark1[[#This Row],[Comparable '#1 Return]]-Benchmark1[[#This Row],[Benchmark '#1 Return]],"-"),"-")</f>
        <v>6.500618650691326E-3</v>
      </c>
      <c r="L531" s="1" t="str">
        <f>IF(COUNTIF(Comp2[Comparable '#2 Dates],Benchmark1[[#This Row],[Benchmark '#1 Dates]])=1,"Pass","Fail")</f>
        <v>Pass</v>
      </c>
      <c r="M531" s="6">
        <f>IF(Benchmark1[[#This Row],[Comparable '#2 Date Check]]="Pass",INDEX(Comp2[Comparable '#2 Price],MATCH(Benchmark1[[#This Row],[Benchmark '#1 Dates]],Comp2[Comparable '#2 Dates],0)),"-")</f>
        <v>37.520000000000003</v>
      </c>
      <c r="N531" s="22">
        <f>IF(Benchmark1[[#This Row],[Comparable '#2 Date Check]]="Pass",INDEX(Comp2[Comparable '#2 Return],MATCH(Benchmark1[[#This Row],[Benchmark '#1 Dates]],Comp2[Comparable '#2 Dates],0)),"-")</f>
        <v>1.2875714360045367E-2</v>
      </c>
      <c r="O531" s="1">
        <f>IFERROR(IF(Benchmark1[[#This Row],[Comparable '#2 Date Check]]="Pass",Benchmark1[[#This Row],[Comparable '#2 Return]]-Benchmark1[[#This Row],[Benchmark '#1 Return]],"-"),"-")</f>
        <v>2.0877834794333718E-2</v>
      </c>
      <c r="P531" s="1" t="str">
        <f>IF(COUNTIF(Comp3[Comparable '#3 Dates],Benchmark1[[#This Row],[Benchmark '#1 Dates]])=1,"Pass","Fail")</f>
        <v>Pass</v>
      </c>
      <c r="Q531" s="6">
        <f>IF(Benchmark1[[#This Row],[Comparable '#3 Date Check]]="Pass",INDEX(Comp3[Comparable '#3 Price],MATCH(Benchmark1[[#This Row],[Benchmark '#1 Dates]],Comp3[Comparable '#3 Dates],0)),"-")</f>
        <v>121.52</v>
      </c>
      <c r="R531" s="22">
        <f>IF(Benchmark1[[#This Row],[Comparable '#3 Date Check]]="Pass",INDEX(Comp3[Comparable '#3 Return],MATCH(Benchmark1[[#This Row],[Benchmark '#1 Dates]],Comp3[Comparable '#3 Dates],0)),"-")</f>
        <v>2.7192963071214619E-3</v>
      </c>
      <c r="S531" s="1">
        <f>IFERROR(IF(Benchmark1[[#This Row],[Comparable '#3 Date Check]]="Pass",Benchmark1[[#This Row],[Comparable '#3 Return]]-Benchmark1[[#This Row],[Benchmark '#1 Return]],"-"),"-")</f>
        <v>1.0721416741409813E-2</v>
      </c>
    </row>
    <row r="532" spans="1:19">
      <c r="A532" s="103">
        <v>44055</v>
      </c>
      <c r="B532" s="104">
        <v>3380.3497646461078</v>
      </c>
      <c r="C532" s="4">
        <f t="shared" si="8"/>
        <v>1.3899643682814232E-2</v>
      </c>
      <c r="D532" s="1" t="str">
        <f>IF(COUNTIF(Target1[Target Dates],Benchmark1[[#This Row],[Benchmark '#1 Dates]])=1,"Pass","Fail")</f>
        <v>Pass</v>
      </c>
      <c r="E532" s="6">
        <f>IF(Benchmark1[[#This Row],[Target Date Check]]="Pass",INDEX(Target1[Target Price],MATCH(Benchmark1[[#This Row],[Benchmark '#1 Dates]],Target1[Target Dates],0)),"-")</f>
        <v>45.05</v>
      </c>
      <c r="F532" s="22">
        <f>IF(Benchmark1[[#This Row],[Target Date Check]]="Pass",INDEX(Target1[Target Return],MATCH(Benchmark1[[#This Row],[Benchmark '#1 Dates]],Target1[Target Dates],0)),"-")</f>
        <v>-4.3862871358704099E-2</v>
      </c>
      <c r="G532" s="1">
        <f>IFERROR(IF(Benchmark1[[#This Row],[Target Date Check]]="Pass",Benchmark1[[#This Row],[Target Return]]-Benchmark1[[#This Row],[Benchmark '#1 Return]],"-"),"-")</f>
        <v>-5.7762515041518331E-2</v>
      </c>
      <c r="H532" s="1" t="str">
        <f>IF(COUNTIF(Comp1[Comparable '#1 Dates],Benchmark1[[#This Row],[Benchmark '#1 Dates]])=1,"Pass","Fail")</f>
        <v>Pass</v>
      </c>
      <c r="I532" s="6">
        <f>IF(Benchmark1[[#This Row],[Comparable '#1 Date Check]]="Pass",INDEX(Comp1[Comparable '#1 Price],MATCH(Benchmark1[[#This Row],[Benchmark '#1 Dates]],Comp1[Comparable '#1 Dates],0)),"-")</f>
        <v>13.08</v>
      </c>
      <c r="J532" s="22">
        <f>IF(Benchmark1[[#This Row],[Comparable '#1 Date Check]]="Pass",INDEX(Comp1[Comparable '#1 Return],MATCH(Benchmark1[[#This Row],[Benchmark '#1 Dates]],Comp1[Comparable '#1 Dates],0)),"-")</f>
        <v>-1.7431286377967613E-2</v>
      </c>
      <c r="K532" s="1">
        <f>IFERROR(IF(Benchmark1[[#This Row],[Comparable '#1 Date Check]]="Pass",Benchmark1[[#This Row],[Comparable '#1 Return]]-Benchmark1[[#This Row],[Benchmark '#1 Return]],"-"),"-")</f>
        <v>-3.1330930060781845E-2</v>
      </c>
      <c r="L532" s="1" t="str">
        <f>IF(COUNTIF(Comp2[Comparable '#2 Dates],Benchmark1[[#This Row],[Benchmark '#1 Dates]])=1,"Pass","Fail")</f>
        <v>Pass</v>
      </c>
      <c r="M532" s="6">
        <f>IF(Benchmark1[[#This Row],[Comparable '#2 Date Check]]="Pass",INDEX(Comp2[Comparable '#2 Price],MATCH(Benchmark1[[#This Row],[Benchmark '#1 Dates]],Comp2[Comparable '#2 Dates],0)),"-")</f>
        <v>36.04</v>
      </c>
      <c r="N532" s="22">
        <f>IF(Benchmark1[[#This Row],[Comparable '#2 Date Check]]="Pass",INDEX(Comp2[Comparable '#2 Return],MATCH(Benchmark1[[#This Row],[Benchmark '#1 Dates]],Comp2[Comparable '#2 Dates],0)),"-")</f>
        <v>-4.0244691397886813E-2</v>
      </c>
      <c r="O532" s="1">
        <f>IFERROR(IF(Benchmark1[[#This Row],[Comparable '#2 Date Check]]="Pass",Benchmark1[[#This Row],[Comparable '#2 Return]]-Benchmark1[[#This Row],[Benchmark '#1 Return]],"-"),"-")</f>
        <v>-5.4144335080701045E-2</v>
      </c>
      <c r="P532" s="1" t="str">
        <f>IF(COUNTIF(Comp3[Comparable '#3 Dates],Benchmark1[[#This Row],[Benchmark '#1 Dates]])=1,"Pass","Fail")</f>
        <v>Pass</v>
      </c>
      <c r="Q532" s="6">
        <f>IF(Benchmark1[[#This Row],[Comparable '#3 Date Check]]="Pass",INDEX(Comp3[Comparable '#3 Price],MATCH(Benchmark1[[#This Row],[Benchmark '#1 Dates]],Comp3[Comparable '#3 Dates],0)),"-")</f>
        <v>117.14</v>
      </c>
      <c r="R532" s="22">
        <f>IF(Benchmark1[[#This Row],[Comparable '#3 Date Check]]="Pass",INDEX(Comp3[Comparable '#3 Return],MATCH(Benchmark1[[#This Row],[Benchmark '#1 Dates]],Comp3[Comparable '#3 Dates],0)),"-")</f>
        <v>-3.6709057625881121E-2</v>
      </c>
      <c r="S532" s="1">
        <f>IFERROR(IF(Benchmark1[[#This Row],[Comparable '#3 Date Check]]="Pass",Benchmark1[[#This Row],[Comparable '#3 Return]]-Benchmark1[[#This Row],[Benchmark '#1 Return]],"-"),"-")</f>
        <v>-5.0608701308695353E-2</v>
      </c>
    </row>
    <row r="533" spans="1:19">
      <c r="A533" s="103">
        <v>44056</v>
      </c>
      <c r="B533" s="104">
        <v>3373.4257270291614</v>
      </c>
      <c r="C533" s="4">
        <f t="shared" si="8"/>
        <v>-2.0504205540535446E-3</v>
      </c>
      <c r="D533" s="1" t="str">
        <f>IF(COUNTIF(Target1[Target Dates],Benchmark1[[#This Row],[Benchmark '#1 Dates]])=1,"Pass","Fail")</f>
        <v>Pass</v>
      </c>
      <c r="E533" s="6">
        <f>IF(Benchmark1[[#This Row],[Target Date Check]]="Pass",INDEX(Target1[Target Price],MATCH(Benchmark1[[#This Row],[Benchmark '#1 Dates]],Target1[Target Dates],0)),"-")</f>
        <v>45.49</v>
      </c>
      <c r="F533" s="22">
        <f>IF(Benchmark1[[#This Row],[Target Date Check]]="Pass",INDEX(Target1[Target Return],MATCH(Benchmark1[[#This Row],[Benchmark '#1 Dates]],Target1[Target Dates],0)),"-")</f>
        <v>9.7195375275658212E-3</v>
      </c>
      <c r="G533" s="1">
        <f>IFERROR(IF(Benchmark1[[#This Row],[Target Date Check]]="Pass",Benchmark1[[#This Row],[Target Return]]-Benchmark1[[#This Row],[Benchmark '#1 Return]],"-"),"-")</f>
        <v>1.1769958081619366E-2</v>
      </c>
      <c r="H533" s="1" t="str">
        <f>IF(COUNTIF(Comp1[Comparable '#1 Dates],Benchmark1[[#This Row],[Benchmark '#1 Dates]])=1,"Pass","Fail")</f>
        <v>Pass</v>
      </c>
      <c r="I533" s="6">
        <f>IF(Benchmark1[[#This Row],[Comparable '#1 Date Check]]="Pass",INDEX(Comp1[Comparable '#1 Price],MATCH(Benchmark1[[#This Row],[Benchmark '#1 Dates]],Comp1[Comparable '#1 Dates],0)),"-")</f>
        <v>13.06</v>
      </c>
      <c r="J533" s="22">
        <f>IF(Benchmark1[[#This Row],[Comparable '#1 Date Check]]="Pass",INDEX(Comp1[Comparable '#1 Return],MATCH(Benchmark1[[#This Row],[Benchmark '#1 Dates]],Comp1[Comparable '#1 Dates],0)),"-")</f>
        <v>-1.5302221807675935E-3</v>
      </c>
      <c r="K533" s="1">
        <f>IFERROR(IF(Benchmark1[[#This Row],[Comparable '#1 Date Check]]="Pass",Benchmark1[[#This Row],[Comparable '#1 Return]]-Benchmark1[[#This Row],[Benchmark '#1 Return]],"-"),"-")</f>
        <v>5.2019837328595112E-4</v>
      </c>
      <c r="L533" s="1" t="str">
        <f>IF(COUNTIF(Comp2[Comparable '#2 Dates],Benchmark1[[#This Row],[Benchmark '#1 Dates]])=1,"Pass","Fail")</f>
        <v>Pass</v>
      </c>
      <c r="M533" s="6">
        <f>IF(Benchmark1[[#This Row],[Comparable '#2 Date Check]]="Pass",INDEX(Comp2[Comparable '#2 Price],MATCH(Benchmark1[[#This Row],[Benchmark '#1 Dates]],Comp2[Comparable '#2 Dates],0)),"-")</f>
        <v>35.659999999999997</v>
      </c>
      <c r="N533" s="22">
        <f>IF(Benchmark1[[#This Row],[Comparable '#2 Date Check]]="Pass",INDEX(Comp2[Comparable '#2 Return],MATCH(Benchmark1[[#This Row],[Benchmark '#1 Dates]],Comp2[Comparable '#2 Dates],0)),"-")</f>
        <v>-1.0599820305142938E-2</v>
      </c>
      <c r="O533" s="1">
        <f>IFERROR(IF(Benchmark1[[#This Row],[Comparable '#2 Date Check]]="Pass",Benchmark1[[#This Row],[Comparable '#2 Return]]-Benchmark1[[#This Row],[Benchmark '#1 Return]],"-"),"-")</f>
        <v>-8.549399751089393E-3</v>
      </c>
      <c r="P533" s="1" t="str">
        <f>IF(COUNTIF(Comp3[Comparable '#3 Dates],Benchmark1[[#This Row],[Benchmark '#1 Dates]])=1,"Pass","Fail")</f>
        <v>Pass</v>
      </c>
      <c r="Q533" s="6">
        <f>IF(Benchmark1[[#This Row],[Comparable '#3 Date Check]]="Pass",INDEX(Comp3[Comparable '#3 Price],MATCH(Benchmark1[[#This Row],[Benchmark '#1 Dates]],Comp3[Comparable '#3 Dates],0)),"-")</f>
        <v>117.07</v>
      </c>
      <c r="R533" s="22">
        <f>IF(Benchmark1[[#This Row],[Comparable '#3 Date Check]]="Pass",INDEX(Comp3[Comparable '#3 Return],MATCH(Benchmark1[[#This Row],[Benchmark '#1 Dates]],Comp3[Comparable '#3 Dates],0)),"-")</f>
        <v>-5.9775417005519685E-4</v>
      </c>
      <c r="S533" s="1">
        <f>IFERROR(IF(Benchmark1[[#This Row],[Comparable '#3 Date Check]]="Pass",Benchmark1[[#This Row],[Comparable '#3 Return]]-Benchmark1[[#This Row],[Benchmark '#1 Return]],"-"),"-")</f>
        <v>1.4526663839983479E-3</v>
      </c>
    </row>
    <row r="534" spans="1:19">
      <c r="A534" s="103">
        <v>44057</v>
      </c>
      <c r="B534" s="104">
        <v>3372.8468278745536</v>
      </c>
      <c r="C534" s="4">
        <f t="shared" si="8"/>
        <v>-1.7162044708910216E-4</v>
      </c>
      <c r="D534" s="1" t="str">
        <f>IF(COUNTIF(Target1[Target Dates],Benchmark1[[#This Row],[Benchmark '#1 Dates]])=1,"Pass","Fail")</f>
        <v>Pass</v>
      </c>
      <c r="E534" s="6">
        <f>IF(Benchmark1[[#This Row],[Target Date Check]]="Pass",INDEX(Target1[Target Price],MATCH(Benchmark1[[#This Row],[Benchmark '#1 Dates]],Target1[Target Dates],0)),"-")</f>
        <v>45.75</v>
      </c>
      <c r="F534" s="22">
        <f>IF(Benchmark1[[#This Row],[Target Date Check]]="Pass",INDEX(Target1[Target Return],MATCH(Benchmark1[[#This Row],[Benchmark '#1 Dates]],Target1[Target Dates],0)),"-")</f>
        <v>5.6992701396175087E-3</v>
      </c>
      <c r="G534" s="1">
        <f>IFERROR(IF(Benchmark1[[#This Row],[Target Date Check]]="Pass",Benchmark1[[#This Row],[Target Return]]-Benchmark1[[#This Row],[Benchmark '#1 Return]],"-"),"-")</f>
        <v>5.8708905867066105E-3</v>
      </c>
      <c r="H534" s="1" t="str">
        <f>IF(COUNTIF(Comp1[Comparable '#1 Dates],Benchmark1[[#This Row],[Benchmark '#1 Dates]])=1,"Pass","Fail")</f>
        <v>Pass</v>
      </c>
      <c r="I534" s="6">
        <f>IF(Benchmark1[[#This Row],[Comparable '#1 Date Check]]="Pass",INDEX(Comp1[Comparable '#1 Price],MATCH(Benchmark1[[#This Row],[Benchmark '#1 Dates]],Comp1[Comparable '#1 Dates],0)),"-")</f>
        <v>13.1</v>
      </c>
      <c r="J534" s="22">
        <f>IF(Benchmark1[[#This Row],[Comparable '#1 Date Check]]="Pass",INDEX(Comp1[Comparable '#1 Return],MATCH(Benchmark1[[#This Row],[Benchmark '#1 Dates]],Comp1[Comparable '#1 Dates],0)),"-")</f>
        <v>3.0581063588208724E-3</v>
      </c>
      <c r="K534" s="1">
        <f>IFERROR(IF(Benchmark1[[#This Row],[Comparable '#1 Date Check]]="Pass",Benchmark1[[#This Row],[Comparable '#1 Return]]-Benchmark1[[#This Row],[Benchmark '#1 Return]],"-"),"-")</f>
        <v>3.2297268059099746E-3</v>
      </c>
      <c r="L534" s="1" t="str">
        <f>IF(COUNTIF(Comp2[Comparable '#2 Dates],Benchmark1[[#This Row],[Benchmark '#1 Dates]])=1,"Pass","Fail")</f>
        <v>Pass</v>
      </c>
      <c r="M534" s="6">
        <f>IF(Benchmark1[[#This Row],[Comparable '#2 Date Check]]="Pass",INDEX(Comp2[Comparable '#2 Price],MATCH(Benchmark1[[#This Row],[Benchmark '#1 Dates]],Comp2[Comparable '#2 Dates],0)),"-")</f>
        <v>35.75</v>
      </c>
      <c r="N534" s="22">
        <f>IF(Benchmark1[[#This Row],[Comparable '#2 Date Check]]="Pass",INDEX(Comp2[Comparable '#2 Return],MATCH(Benchmark1[[#This Row],[Benchmark '#1 Dates]],Comp2[Comparable '#2 Dates],0)),"-")</f>
        <v>2.5206567050224133E-3</v>
      </c>
      <c r="O534" s="1">
        <f>IFERROR(IF(Benchmark1[[#This Row],[Comparable '#2 Date Check]]="Pass",Benchmark1[[#This Row],[Comparable '#2 Return]]-Benchmark1[[#This Row],[Benchmark '#1 Return]],"-"),"-")</f>
        <v>2.6922771521115155E-3</v>
      </c>
      <c r="P534" s="1" t="str">
        <f>IF(COUNTIF(Comp3[Comparable '#3 Dates],Benchmark1[[#This Row],[Benchmark '#1 Dates]])=1,"Pass","Fail")</f>
        <v>Pass</v>
      </c>
      <c r="Q534" s="6">
        <f>IF(Benchmark1[[#This Row],[Comparable '#3 Date Check]]="Pass",INDEX(Comp3[Comparable '#3 Price],MATCH(Benchmark1[[#This Row],[Benchmark '#1 Dates]],Comp3[Comparable '#3 Dates],0)),"-")</f>
        <v>117.66</v>
      </c>
      <c r="R534" s="22">
        <f>IF(Benchmark1[[#This Row],[Comparable '#3 Date Check]]="Pass",INDEX(Comp3[Comparable '#3 Return],MATCH(Benchmark1[[#This Row],[Benchmark '#1 Dates]],Comp3[Comparable '#3 Dates],0)),"-")</f>
        <v>5.0270629447288131E-3</v>
      </c>
      <c r="S534" s="1">
        <f>IFERROR(IF(Benchmark1[[#This Row],[Comparable '#3 Date Check]]="Pass",Benchmark1[[#This Row],[Comparable '#3 Return]]-Benchmark1[[#This Row],[Benchmark '#1 Return]],"-"),"-")</f>
        <v>5.1986833918179149E-3</v>
      </c>
    </row>
    <row r="535" spans="1:19">
      <c r="A535" s="103">
        <v>44060</v>
      </c>
      <c r="B535" s="104">
        <v>3381.994973206095</v>
      </c>
      <c r="C535" s="4">
        <f t="shared" si="8"/>
        <v>2.7086203330827997E-3</v>
      </c>
      <c r="D535" s="1" t="str">
        <f>IF(COUNTIF(Target1[Target Dates],Benchmark1[[#This Row],[Benchmark '#1 Dates]])=1,"Pass","Fail")</f>
        <v>Pass</v>
      </c>
      <c r="E535" s="6">
        <f>IF(Benchmark1[[#This Row],[Target Date Check]]="Pass",INDEX(Target1[Target Price],MATCH(Benchmark1[[#This Row],[Benchmark '#1 Dates]],Target1[Target Dates],0)),"-")</f>
        <v>45.22</v>
      </c>
      <c r="F535" s="22">
        <f>IF(Benchmark1[[#This Row],[Target Date Check]]="Pass",INDEX(Target1[Target Return],MATCH(Benchmark1[[#This Row],[Benchmark '#1 Dates]],Target1[Target Dates],0)),"-")</f>
        <v>-1.1652324871706516E-2</v>
      </c>
      <c r="G535" s="1">
        <f>IFERROR(IF(Benchmark1[[#This Row],[Target Date Check]]="Pass",Benchmark1[[#This Row],[Target Return]]-Benchmark1[[#This Row],[Benchmark '#1 Return]],"-"),"-")</f>
        <v>-1.4360945204789316E-2</v>
      </c>
      <c r="H535" s="1" t="str">
        <f>IF(COUNTIF(Comp1[Comparable '#1 Dates],Benchmark1[[#This Row],[Benchmark '#1 Dates]])=1,"Pass","Fail")</f>
        <v>Pass</v>
      </c>
      <c r="I535" s="6">
        <f>IF(Benchmark1[[#This Row],[Comparable '#1 Date Check]]="Pass",INDEX(Comp1[Comparable '#1 Price],MATCH(Benchmark1[[#This Row],[Benchmark '#1 Dates]],Comp1[Comparable '#1 Dates],0)),"-")</f>
        <v>12.86</v>
      </c>
      <c r="J535" s="22">
        <f>IF(Benchmark1[[#This Row],[Comparable '#1 Date Check]]="Pass",INDEX(Comp1[Comparable '#1 Return],MATCH(Benchmark1[[#This Row],[Benchmark '#1 Dates]],Comp1[Comparable '#1 Dates],0)),"-")</f>
        <v>-1.8490511397632584E-2</v>
      </c>
      <c r="K535" s="1">
        <f>IFERROR(IF(Benchmark1[[#This Row],[Comparable '#1 Date Check]]="Pass",Benchmark1[[#This Row],[Comparable '#1 Return]]-Benchmark1[[#This Row],[Benchmark '#1 Return]],"-"),"-")</f>
        <v>-2.1199131730715384E-2</v>
      </c>
      <c r="L535" s="1" t="str">
        <f>IF(COUNTIF(Comp2[Comparable '#2 Dates],Benchmark1[[#This Row],[Benchmark '#1 Dates]])=1,"Pass","Fail")</f>
        <v>Pass</v>
      </c>
      <c r="M535" s="6">
        <f>IF(Benchmark1[[#This Row],[Comparable '#2 Date Check]]="Pass",INDEX(Comp2[Comparable '#2 Price],MATCH(Benchmark1[[#This Row],[Benchmark '#1 Dates]],Comp2[Comparable '#2 Dates],0)),"-")</f>
        <v>35.47</v>
      </c>
      <c r="N535" s="22">
        <f>IF(Benchmark1[[#This Row],[Comparable '#2 Date Check]]="Pass",INDEX(Comp2[Comparable '#2 Return],MATCH(Benchmark1[[#This Row],[Benchmark '#1 Dates]],Comp2[Comparable '#2 Dates],0)),"-")</f>
        <v>-7.8630003544862583E-3</v>
      </c>
      <c r="O535" s="1">
        <f>IFERROR(IF(Benchmark1[[#This Row],[Comparable '#2 Date Check]]="Pass",Benchmark1[[#This Row],[Comparable '#2 Return]]-Benchmark1[[#This Row],[Benchmark '#1 Return]],"-"),"-")</f>
        <v>-1.0571620687569058E-2</v>
      </c>
      <c r="P535" s="1" t="str">
        <f>IF(COUNTIF(Comp3[Comparable '#3 Dates],Benchmark1[[#This Row],[Benchmark '#1 Dates]])=1,"Pass","Fail")</f>
        <v>Pass</v>
      </c>
      <c r="Q535" s="6">
        <f>IF(Benchmark1[[#This Row],[Comparable '#3 Date Check]]="Pass",INDEX(Comp3[Comparable '#3 Price],MATCH(Benchmark1[[#This Row],[Benchmark '#1 Dates]],Comp3[Comparable '#3 Dates],0)),"-")</f>
        <v>116.07</v>
      </c>
      <c r="R535" s="22">
        <f>IF(Benchmark1[[#This Row],[Comparable '#3 Date Check]]="Pass",INDEX(Comp3[Comparable '#3 Return],MATCH(Benchmark1[[#This Row],[Benchmark '#1 Dates]],Comp3[Comparable '#3 Dates],0)),"-")</f>
        <v>-1.3605652055778709E-2</v>
      </c>
      <c r="S535" s="1">
        <f>IFERROR(IF(Benchmark1[[#This Row],[Comparable '#3 Date Check]]="Pass",Benchmark1[[#This Row],[Comparable '#3 Return]]-Benchmark1[[#This Row],[Benchmark '#1 Return]],"-"),"-")</f>
        <v>-1.631427238886151E-2</v>
      </c>
    </row>
    <row r="536" spans="1:19">
      <c r="A536" s="103">
        <v>44061</v>
      </c>
      <c r="B536" s="104">
        <v>3389.775018640084</v>
      </c>
      <c r="C536" s="4">
        <f t="shared" si="8"/>
        <v>2.2977888695183478E-3</v>
      </c>
      <c r="D536" s="1" t="str">
        <f>IF(COUNTIF(Target1[Target Dates],Benchmark1[[#This Row],[Benchmark '#1 Dates]])=1,"Pass","Fail")</f>
        <v>Pass</v>
      </c>
      <c r="E536" s="6">
        <f>IF(Benchmark1[[#This Row],[Target Date Check]]="Pass",INDEX(Target1[Target Price],MATCH(Benchmark1[[#This Row],[Benchmark '#1 Dates]],Target1[Target Dates],0)),"-")</f>
        <v>44.29</v>
      </c>
      <c r="F536" s="22">
        <f>IF(Benchmark1[[#This Row],[Target Date Check]]="Pass",INDEX(Target1[Target Return],MATCH(Benchmark1[[#This Row],[Benchmark '#1 Dates]],Target1[Target Dates],0)),"-")</f>
        <v>-2.0780548914716927E-2</v>
      </c>
      <c r="G536" s="1">
        <f>IFERROR(IF(Benchmark1[[#This Row],[Target Date Check]]="Pass",Benchmark1[[#This Row],[Target Return]]-Benchmark1[[#This Row],[Benchmark '#1 Return]],"-"),"-")</f>
        <v>-2.3078337784235275E-2</v>
      </c>
      <c r="H536" s="1" t="str">
        <f>IF(COUNTIF(Comp1[Comparable '#1 Dates],Benchmark1[[#This Row],[Benchmark '#1 Dates]])=1,"Pass","Fail")</f>
        <v>Pass</v>
      </c>
      <c r="I536" s="6">
        <f>IF(Benchmark1[[#This Row],[Comparable '#1 Date Check]]="Pass",INDEX(Comp1[Comparable '#1 Price],MATCH(Benchmark1[[#This Row],[Benchmark '#1 Dates]],Comp1[Comparable '#1 Dates],0)),"-")</f>
        <v>12.79</v>
      </c>
      <c r="J536" s="22">
        <f>IF(Benchmark1[[#This Row],[Comparable '#1 Date Check]]="Pass",INDEX(Comp1[Comparable '#1 Return],MATCH(Benchmark1[[#This Row],[Benchmark '#1 Dates]],Comp1[Comparable '#1 Dates],0)),"-")</f>
        <v>-5.4581032187219995E-3</v>
      </c>
      <c r="K536" s="1">
        <f>IFERROR(IF(Benchmark1[[#This Row],[Comparable '#1 Date Check]]="Pass",Benchmark1[[#This Row],[Comparable '#1 Return]]-Benchmark1[[#This Row],[Benchmark '#1 Return]],"-"),"-")</f>
        <v>-7.7558920882403477E-3</v>
      </c>
      <c r="L536" s="1" t="str">
        <f>IF(COUNTIF(Comp2[Comparable '#2 Dates],Benchmark1[[#This Row],[Benchmark '#1 Dates]])=1,"Pass","Fail")</f>
        <v>Pass</v>
      </c>
      <c r="M536" s="6">
        <f>IF(Benchmark1[[#This Row],[Comparable '#2 Date Check]]="Pass",INDEX(Comp2[Comparable '#2 Price],MATCH(Benchmark1[[#This Row],[Benchmark '#1 Dates]],Comp2[Comparable '#2 Dates],0)),"-")</f>
        <v>35.97</v>
      </c>
      <c r="N536" s="22">
        <f>IF(Benchmark1[[#This Row],[Comparable '#2 Date Check]]="Pass",INDEX(Comp2[Comparable '#2 Return],MATCH(Benchmark1[[#This Row],[Benchmark '#1 Dates]],Comp2[Comparable '#2 Dates],0)),"-")</f>
        <v>1.3997988922002129E-2</v>
      </c>
      <c r="O536" s="1">
        <f>IFERROR(IF(Benchmark1[[#This Row],[Comparable '#2 Date Check]]="Pass",Benchmark1[[#This Row],[Comparable '#2 Return]]-Benchmark1[[#This Row],[Benchmark '#1 Return]],"-"),"-")</f>
        <v>1.170020005248378E-2</v>
      </c>
      <c r="P536" s="1" t="str">
        <f>IF(COUNTIF(Comp3[Comparable '#3 Dates],Benchmark1[[#This Row],[Benchmark '#1 Dates]])=1,"Pass","Fail")</f>
        <v>Pass</v>
      </c>
      <c r="Q536" s="6">
        <f>IF(Benchmark1[[#This Row],[Comparable '#3 Date Check]]="Pass",INDEX(Comp3[Comparable '#3 Price],MATCH(Benchmark1[[#This Row],[Benchmark '#1 Dates]],Comp3[Comparable '#3 Dates],0)),"-")</f>
        <v>113.56</v>
      </c>
      <c r="R536" s="22">
        <f>IF(Benchmark1[[#This Row],[Comparable '#3 Date Check]]="Pass",INDEX(Comp3[Comparable '#3 Return],MATCH(Benchmark1[[#This Row],[Benchmark '#1 Dates]],Comp3[Comparable '#3 Dates],0)),"-")</f>
        <v>-2.1862125775760795E-2</v>
      </c>
      <c r="S536" s="1">
        <f>IFERROR(IF(Benchmark1[[#This Row],[Comparable '#3 Date Check]]="Pass",Benchmark1[[#This Row],[Comparable '#3 Return]]-Benchmark1[[#This Row],[Benchmark '#1 Return]],"-"),"-")</f>
        <v>-2.4159914645279144E-2</v>
      </c>
    </row>
    <row r="537" spans="1:19">
      <c r="A537" s="103">
        <v>44062</v>
      </c>
      <c r="B537" s="104">
        <v>3374.8502661715347</v>
      </c>
      <c r="C537" s="4">
        <f t="shared" si="8"/>
        <v>-4.412595245653031E-3</v>
      </c>
      <c r="D537" s="1" t="str">
        <f>IF(COUNTIF(Target1[Target Dates],Benchmark1[[#This Row],[Benchmark '#1 Dates]])=1,"Pass","Fail")</f>
        <v>Pass</v>
      </c>
      <c r="E537" s="6">
        <f>IF(Benchmark1[[#This Row],[Target Date Check]]="Pass",INDEX(Target1[Target Price],MATCH(Benchmark1[[#This Row],[Benchmark '#1 Dates]],Target1[Target Dates],0)),"-")</f>
        <v>42.9</v>
      </c>
      <c r="F537" s="22">
        <f>IF(Benchmark1[[#This Row],[Target Date Check]]="Pass",INDEX(Target1[Target Return],MATCH(Benchmark1[[#This Row],[Benchmark '#1 Dates]],Target1[Target Dates],0)),"-")</f>
        <v>-3.1887092001135611E-2</v>
      </c>
      <c r="G537" s="1">
        <f>IFERROR(IF(Benchmark1[[#This Row],[Target Date Check]]="Pass",Benchmark1[[#This Row],[Target Return]]-Benchmark1[[#This Row],[Benchmark '#1 Return]],"-"),"-")</f>
        <v>-2.747449675548258E-2</v>
      </c>
      <c r="H537" s="1" t="str">
        <f>IF(COUNTIF(Comp1[Comparable '#1 Dates],Benchmark1[[#This Row],[Benchmark '#1 Dates]])=1,"Pass","Fail")</f>
        <v>Pass</v>
      </c>
      <c r="I537" s="6">
        <f>IF(Benchmark1[[#This Row],[Comparable '#1 Date Check]]="Pass",INDEX(Comp1[Comparable '#1 Price],MATCH(Benchmark1[[#This Row],[Benchmark '#1 Dates]],Comp1[Comparable '#1 Dates],0)),"-")</f>
        <v>12.89</v>
      </c>
      <c r="J537" s="22">
        <f>IF(Benchmark1[[#This Row],[Comparable '#1 Date Check]]="Pass",INDEX(Comp1[Comparable '#1 Return],MATCH(Benchmark1[[#This Row],[Benchmark '#1 Dates]],Comp1[Comparable '#1 Dates],0)),"-")</f>
        <v>7.7882013603448709E-3</v>
      </c>
      <c r="K537" s="1">
        <f>IFERROR(IF(Benchmark1[[#This Row],[Comparable '#1 Date Check]]="Pass",Benchmark1[[#This Row],[Comparable '#1 Return]]-Benchmark1[[#This Row],[Benchmark '#1 Return]],"-"),"-")</f>
        <v>1.2200796605997901E-2</v>
      </c>
      <c r="L537" s="1" t="str">
        <f>IF(COUNTIF(Comp2[Comparable '#2 Dates],Benchmark1[[#This Row],[Benchmark '#1 Dates]])=1,"Pass","Fail")</f>
        <v>Pass</v>
      </c>
      <c r="M537" s="6">
        <f>IF(Benchmark1[[#This Row],[Comparable '#2 Date Check]]="Pass",INDEX(Comp2[Comparable '#2 Price],MATCH(Benchmark1[[#This Row],[Benchmark '#1 Dates]],Comp2[Comparable '#2 Dates],0)),"-")</f>
        <v>33.9</v>
      </c>
      <c r="N537" s="22">
        <f>IF(Benchmark1[[#This Row],[Comparable '#2 Date Check]]="Pass",INDEX(Comp2[Comparable '#2 Return],MATCH(Benchmark1[[#This Row],[Benchmark '#1 Dates]],Comp2[Comparable '#2 Dates],0)),"-")</f>
        <v>-5.9270243321128034E-2</v>
      </c>
      <c r="O537" s="1">
        <f>IFERROR(IF(Benchmark1[[#This Row],[Comparable '#2 Date Check]]="Pass",Benchmark1[[#This Row],[Comparable '#2 Return]]-Benchmark1[[#This Row],[Benchmark '#1 Return]],"-"),"-")</f>
        <v>-5.4857648075475003E-2</v>
      </c>
      <c r="P537" s="1" t="str">
        <f>IF(COUNTIF(Comp3[Comparable '#3 Dates],Benchmark1[[#This Row],[Benchmark '#1 Dates]])=1,"Pass","Fail")</f>
        <v>Pass</v>
      </c>
      <c r="Q537" s="6">
        <f>IF(Benchmark1[[#This Row],[Comparable '#3 Date Check]]="Pass",INDEX(Comp3[Comparable '#3 Price],MATCH(Benchmark1[[#This Row],[Benchmark '#1 Dates]],Comp3[Comparable '#3 Dates],0)),"-")</f>
        <v>108.34</v>
      </c>
      <c r="R537" s="22">
        <f>IF(Benchmark1[[#This Row],[Comparable '#3 Date Check]]="Pass",INDEX(Comp3[Comparable '#3 Return],MATCH(Benchmark1[[#This Row],[Benchmark '#1 Dates]],Comp3[Comparable '#3 Dates],0)),"-")</f>
        <v>-4.7056901375017605E-2</v>
      </c>
      <c r="S537" s="1">
        <f>IFERROR(IF(Benchmark1[[#This Row],[Comparable '#3 Date Check]]="Pass",Benchmark1[[#This Row],[Comparable '#3 Return]]-Benchmark1[[#This Row],[Benchmark '#1 Return]],"-"),"-")</f>
        <v>-4.2644306129364574E-2</v>
      </c>
    </row>
    <row r="538" spans="1:19">
      <c r="A538" s="103">
        <v>44063</v>
      </c>
      <c r="B538" s="104">
        <v>3385.5135203502878</v>
      </c>
      <c r="C538" s="4">
        <f t="shared" si="8"/>
        <v>3.1546417792468742E-3</v>
      </c>
      <c r="D538" s="1" t="str">
        <f>IF(COUNTIF(Target1[Target Dates],Benchmark1[[#This Row],[Benchmark '#1 Dates]])=1,"Pass","Fail")</f>
        <v>Pass</v>
      </c>
      <c r="E538" s="6">
        <f>IF(Benchmark1[[#This Row],[Target Date Check]]="Pass",INDEX(Target1[Target Price],MATCH(Benchmark1[[#This Row],[Benchmark '#1 Dates]],Target1[Target Dates],0)),"-")</f>
        <v>42.93</v>
      </c>
      <c r="F538" s="22">
        <f>IF(Benchmark1[[#This Row],[Target Date Check]]="Pass",INDEX(Target1[Target Return],MATCH(Benchmark1[[#This Row],[Benchmark '#1 Dates]],Target1[Target Dates],0)),"-")</f>
        <v>6.9905630249804255E-4</v>
      </c>
      <c r="G538" s="1">
        <f>IFERROR(IF(Benchmark1[[#This Row],[Target Date Check]]="Pass",Benchmark1[[#This Row],[Target Return]]-Benchmark1[[#This Row],[Benchmark '#1 Return]],"-"),"-")</f>
        <v>-2.4555854767488315E-3</v>
      </c>
      <c r="H538" s="1" t="str">
        <f>IF(COUNTIF(Comp1[Comparable '#1 Dates],Benchmark1[[#This Row],[Benchmark '#1 Dates]])=1,"Pass","Fail")</f>
        <v>Pass</v>
      </c>
      <c r="I538" s="6">
        <f>IF(Benchmark1[[#This Row],[Comparable '#1 Date Check]]="Pass",INDEX(Comp1[Comparable '#1 Price],MATCH(Benchmark1[[#This Row],[Benchmark '#1 Dates]],Comp1[Comparable '#1 Dates],0)),"-")</f>
        <v>12.71</v>
      </c>
      <c r="J538" s="22">
        <f>IF(Benchmark1[[#This Row],[Comparable '#1 Date Check]]="Pass",INDEX(Comp1[Comparable '#1 Return],MATCH(Benchmark1[[#This Row],[Benchmark '#1 Dates]],Comp1[Comparable '#1 Dates],0)),"-")</f>
        <v>-1.4062731749733362E-2</v>
      </c>
      <c r="K538" s="1">
        <f>IFERROR(IF(Benchmark1[[#This Row],[Comparable '#1 Date Check]]="Pass",Benchmark1[[#This Row],[Comparable '#1 Return]]-Benchmark1[[#This Row],[Benchmark '#1 Return]],"-"),"-")</f>
        <v>-1.7217373528980236E-2</v>
      </c>
      <c r="L538" s="1" t="str">
        <f>IF(COUNTIF(Comp2[Comparable '#2 Dates],Benchmark1[[#This Row],[Benchmark '#1 Dates]])=1,"Pass","Fail")</f>
        <v>Pass</v>
      </c>
      <c r="M538" s="6">
        <f>IF(Benchmark1[[#This Row],[Comparable '#2 Date Check]]="Pass",INDEX(Comp2[Comparable '#2 Price],MATCH(Benchmark1[[#This Row],[Benchmark '#1 Dates]],Comp2[Comparable '#2 Dates],0)),"-")</f>
        <v>33.15</v>
      </c>
      <c r="N538" s="22">
        <f>IF(Benchmark1[[#This Row],[Comparable '#2 Date Check]]="Pass",INDEX(Comp2[Comparable '#2 Return],MATCH(Benchmark1[[#This Row],[Benchmark '#1 Dates]],Comp2[Comparable '#2 Dates],0)),"-")</f>
        <v>-2.2372297754533099E-2</v>
      </c>
      <c r="O538" s="1">
        <f>IFERROR(IF(Benchmark1[[#This Row],[Comparable '#2 Date Check]]="Pass",Benchmark1[[#This Row],[Comparable '#2 Return]]-Benchmark1[[#This Row],[Benchmark '#1 Return]],"-"),"-")</f>
        <v>-2.5526939533779974E-2</v>
      </c>
      <c r="P538" s="1" t="str">
        <f>IF(COUNTIF(Comp3[Comparable '#3 Dates],Benchmark1[[#This Row],[Benchmark '#1 Dates]])=1,"Pass","Fail")</f>
        <v>Pass</v>
      </c>
      <c r="Q538" s="6">
        <f>IF(Benchmark1[[#This Row],[Comparable '#3 Date Check]]="Pass",INDEX(Comp3[Comparable '#3 Price],MATCH(Benchmark1[[#This Row],[Benchmark '#1 Dates]],Comp3[Comparable '#3 Dates],0)),"-")</f>
        <v>105.35</v>
      </c>
      <c r="R538" s="22">
        <f>IF(Benchmark1[[#This Row],[Comparable '#3 Date Check]]="Pass",INDEX(Comp3[Comparable '#3 Return],MATCH(Benchmark1[[#This Row],[Benchmark '#1 Dates]],Comp3[Comparable '#3 Dates],0)),"-")</f>
        <v>-2.7986289979554897E-2</v>
      </c>
      <c r="S538" s="1">
        <f>IFERROR(IF(Benchmark1[[#This Row],[Comparable '#3 Date Check]]="Pass",Benchmark1[[#This Row],[Comparable '#3 Return]]-Benchmark1[[#This Row],[Benchmark '#1 Return]],"-"),"-")</f>
        <v>-3.1140931758801772E-2</v>
      </c>
    </row>
    <row r="539" spans="1:19">
      <c r="A539" s="103">
        <v>44064</v>
      </c>
      <c r="B539" s="104">
        <v>3397.1577305051192</v>
      </c>
      <c r="C539" s="4">
        <f t="shared" si="8"/>
        <v>3.4335208544539093E-3</v>
      </c>
      <c r="D539" s="1" t="str">
        <f>IF(COUNTIF(Target1[Target Dates],Benchmark1[[#This Row],[Benchmark '#1 Dates]])=1,"Pass","Fail")</f>
        <v>Pass</v>
      </c>
      <c r="E539" s="6">
        <f>IF(Benchmark1[[#This Row],[Target Date Check]]="Pass",INDEX(Target1[Target Price],MATCH(Benchmark1[[#This Row],[Benchmark '#1 Dates]],Target1[Target Dates],0)),"-")</f>
        <v>41.75</v>
      </c>
      <c r="F539" s="22">
        <f>IF(Benchmark1[[#This Row],[Target Date Check]]="Pass",INDEX(Target1[Target Return],MATCH(Benchmark1[[#This Row],[Benchmark '#1 Dates]],Target1[Target Dates],0)),"-")</f>
        <v>-2.7871430939604716E-2</v>
      </c>
      <c r="G539" s="1">
        <f>IFERROR(IF(Benchmark1[[#This Row],[Target Date Check]]="Pass",Benchmark1[[#This Row],[Target Return]]-Benchmark1[[#This Row],[Benchmark '#1 Return]],"-"),"-")</f>
        <v>-3.1304951794058622E-2</v>
      </c>
      <c r="H539" s="1" t="str">
        <f>IF(COUNTIF(Comp1[Comparable '#1 Dates],Benchmark1[[#This Row],[Benchmark '#1 Dates]])=1,"Pass","Fail")</f>
        <v>Pass</v>
      </c>
      <c r="I539" s="6">
        <f>IF(Benchmark1[[#This Row],[Comparable '#1 Date Check]]="Pass",INDEX(Comp1[Comparable '#1 Price],MATCH(Benchmark1[[#This Row],[Benchmark '#1 Dates]],Comp1[Comparable '#1 Dates],0)),"-")</f>
        <v>12.635</v>
      </c>
      <c r="J539" s="22">
        <f>IF(Benchmark1[[#This Row],[Comparable '#1 Date Check]]="Pass",INDEX(Comp1[Comparable '#1 Return],MATCH(Benchmark1[[#This Row],[Benchmark '#1 Dates]],Comp1[Comparable '#1 Dates],0)),"-")</f>
        <v>-5.918344361205208E-3</v>
      </c>
      <c r="K539" s="1">
        <f>IFERROR(IF(Benchmark1[[#This Row],[Comparable '#1 Date Check]]="Pass",Benchmark1[[#This Row],[Comparable '#1 Return]]-Benchmark1[[#This Row],[Benchmark '#1 Return]],"-"),"-")</f>
        <v>-9.3518652156591164E-3</v>
      </c>
      <c r="L539" s="1" t="str">
        <f>IF(COUNTIF(Comp2[Comparable '#2 Dates],Benchmark1[[#This Row],[Benchmark '#1 Dates]])=1,"Pass","Fail")</f>
        <v>Pass</v>
      </c>
      <c r="M539" s="6">
        <f>IF(Benchmark1[[#This Row],[Comparable '#2 Date Check]]="Pass",INDEX(Comp2[Comparable '#2 Price],MATCH(Benchmark1[[#This Row],[Benchmark '#1 Dates]],Comp2[Comparable '#2 Dates],0)),"-")</f>
        <v>33.159999999999997</v>
      </c>
      <c r="N539" s="22">
        <f>IF(Benchmark1[[#This Row],[Comparable '#2 Date Check]]="Pass",INDEX(Comp2[Comparable '#2 Return],MATCH(Benchmark1[[#This Row],[Benchmark '#1 Dates]],Comp2[Comparable '#2 Dates],0)),"-")</f>
        <v>3.0161363522271005E-4</v>
      </c>
      <c r="O539" s="1">
        <f>IFERROR(IF(Benchmark1[[#This Row],[Comparable '#2 Date Check]]="Pass",Benchmark1[[#This Row],[Comparable '#2 Return]]-Benchmark1[[#This Row],[Benchmark '#1 Return]],"-"),"-")</f>
        <v>-3.1319072192311993E-3</v>
      </c>
      <c r="P539" s="1" t="str">
        <f>IF(COUNTIF(Comp3[Comparable '#3 Dates],Benchmark1[[#This Row],[Benchmark '#1 Dates]])=1,"Pass","Fail")</f>
        <v>Pass</v>
      </c>
      <c r="Q539" s="6">
        <f>IF(Benchmark1[[#This Row],[Comparable '#3 Date Check]]="Pass",INDEX(Comp3[Comparable '#3 Price],MATCH(Benchmark1[[#This Row],[Benchmark '#1 Dates]],Comp3[Comparable '#3 Dates],0)),"-")</f>
        <v>105.27</v>
      </c>
      <c r="R539" s="22">
        <f>IF(Benchmark1[[#This Row],[Comparable '#3 Date Check]]="Pass",INDEX(Comp3[Comparable '#3 Return],MATCH(Benchmark1[[#This Row],[Benchmark '#1 Dates]],Comp3[Comparable '#3 Dates],0)),"-")</f>
        <v>-7.5966198696462875E-4</v>
      </c>
      <c r="S539" s="1">
        <f>IFERROR(IF(Benchmark1[[#This Row],[Comparable '#3 Date Check]]="Pass",Benchmark1[[#This Row],[Comparable '#3 Return]]-Benchmark1[[#This Row],[Benchmark '#1 Return]],"-"),"-")</f>
        <v>-4.1931828414185383E-3</v>
      </c>
    </row>
    <row r="540" spans="1:19">
      <c r="A540" s="103">
        <v>44067</v>
      </c>
      <c r="B540" s="104">
        <v>3431.2820912661427</v>
      </c>
      <c r="C540" s="4">
        <f t="shared" si="8"/>
        <v>9.9948584826302245E-3</v>
      </c>
      <c r="D540" s="1" t="str">
        <f>IF(COUNTIF(Target1[Target Dates],Benchmark1[[#This Row],[Benchmark '#1 Dates]])=1,"Pass","Fail")</f>
        <v>Pass</v>
      </c>
      <c r="E540" s="6">
        <f>IF(Benchmark1[[#This Row],[Target Date Check]]="Pass",INDEX(Target1[Target Price],MATCH(Benchmark1[[#This Row],[Benchmark '#1 Dates]],Target1[Target Dates],0)),"-")</f>
        <v>40.619999999999997</v>
      </c>
      <c r="F540" s="22">
        <f>IF(Benchmark1[[#This Row],[Target Date Check]]="Pass",INDEX(Target1[Target Return],MATCH(Benchmark1[[#This Row],[Benchmark '#1 Dates]],Target1[Target Dates],0)),"-")</f>
        <v>-2.7438895144625934E-2</v>
      </c>
      <c r="G540" s="1">
        <f>IFERROR(IF(Benchmark1[[#This Row],[Target Date Check]]="Pass",Benchmark1[[#This Row],[Target Return]]-Benchmark1[[#This Row],[Benchmark '#1 Return]],"-"),"-")</f>
        <v>-3.7433753627256157E-2</v>
      </c>
      <c r="H540" s="1" t="str">
        <f>IF(COUNTIF(Comp1[Comparable '#1 Dates],Benchmark1[[#This Row],[Benchmark '#1 Dates]])=1,"Pass","Fail")</f>
        <v>Pass</v>
      </c>
      <c r="I540" s="6">
        <f>IF(Benchmark1[[#This Row],[Comparable '#1 Date Check]]="Pass",INDEX(Comp1[Comparable '#1 Price],MATCH(Benchmark1[[#This Row],[Benchmark '#1 Dates]],Comp1[Comparable '#1 Dates],0)),"-")</f>
        <v>12.87</v>
      </c>
      <c r="J540" s="22">
        <f>IF(Benchmark1[[#This Row],[Comparable '#1 Date Check]]="Pass",INDEX(Comp1[Comparable '#1 Return],MATCH(Benchmark1[[#This Row],[Benchmark '#1 Dates]],Comp1[Comparable '#1 Dates],0)),"-")</f>
        <v>1.8428280767877697E-2</v>
      </c>
      <c r="K540" s="1">
        <f>IFERROR(IF(Benchmark1[[#This Row],[Comparable '#1 Date Check]]="Pass",Benchmark1[[#This Row],[Comparable '#1 Return]]-Benchmark1[[#This Row],[Benchmark '#1 Return]],"-"),"-")</f>
        <v>8.4334222852474727E-3</v>
      </c>
      <c r="L540" s="1" t="str">
        <f>IF(COUNTIF(Comp2[Comparable '#2 Dates],Benchmark1[[#This Row],[Benchmark '#1 Dates]])=1,"Pass","Fail")</f>
        <v>Pass</v>
      </c>
      <c r="M540" s="6">
        <f>IF(Benchmark1[[#This Row],[Comparable '#2 Date Check]]="Pass",INDEX(Comp2[Comparable '#2 Price],MATCH(Benchmark1[[#This Row],[Benchmark '#1 Dates]],Comp2[Comparable '#2 Dates],0)),"-")</f>
        <v>33.19</v>
      </c>
      <c r="N540" s="22">
        <f>IF(Benchmark1[[#This Row],[Comparable '#2 Date Check]]="Pass",INDEX(Comp2[Comparable '#2 Return],MATCH(Benchmark1[[#This Row],[Benchmark '#1 Dates]],Comp2[Comparable '#2 Dates],0)),"-")</f>
        <v>9.0429546478900552E-4</v>
      </c>
      <c r="O540" s="1">
        <f>IFERROR(IF(Benchmark1[[#This Row],[Comparable '#2 Date Check]]="Pass",Benchmark1[[#This Row],[Comparable '#2 Return]]-Benchmark1[[#This Row],[Benchmark '#1 Return]],"-"),"-")</f>
        <v>-9.0905630178412192E-3</v>
      </c>
      <c r="P540" s="1" t="str">
        <f>IF(COUNTIF(Comp3[Comparable '#3 Dates],Benchmark1[[#This Row],[Benchmark '#1 Dates]])=1,"Pass","Fail")</f>
        <v>Pass</v>
      </c>
      <c r="Q540" s="6">
        <f>IF(Benchmark1[[#This Row],[Comparable '#3 Date Check]]="Pass",INDEX(Comp3[Comparable '#3 Price],MATCH(Benchmark1[[#This Row],[Benchmark '#1 Dates]],Comp3[Comparable '#3 Dates],0)),"-")</f>
        <v>102.1</v>
      </c>
      <c r="R540" s="22">
        <f>IF(Benchmark1[[#This Row],[Comparable '#3 Date Check]]="Pass",INDEX(Comp3[Comparable '#3 Return],MATCH(Benchmark1[[#This Row],[Benchmark '#1 Dates]],Comp3[Comparable '#3 Dates],0)),"-")</f>
        <v>-3.0575753092613546E-2</v>
      </c>
      <c r="S540" s="1">
        <f>IFERROR(IF(Benchmark1[[#This Row],[Comparable '#3 Date Check]]="Pass",Benchmark1[[#This Row],[Comparable '#3 Return]]-Benchmark1[[#This Row],[Benchmark '#1 Return]],"-"),"-")</f>
        <v>-4.0570611575243769E-2</v>
      </c>
    </row>
    <row r="541" spans="1:19">
      <c r="A541" s="103">
        <v>44068</v>
      </c>
      <c r="B541" s="104">
        <v>3443.6221122478405</v>
      </c>
      <c r="C541" s="4">
        <f t="shared" si="8"/>
        <v>3.5898781623089826E-3</v>
      </c>
      <c r="D541" s="1" t="str">
        <f>IF(COUNTIF(Target1[Target Dates],Benchmark1[[#This Row],[Benchmark '#1 Dates]])=1,"Pass","Fail")</f>
        <v>Pass</v>
      </c>
      <c r="E541" s="6">
        <f>IF(Benchmark1[[#This Row],[Target Date Check]]="Pass",INDEX(Target1[Target Price],MATCH(Benchmark1[[#This Row],[Benchmark '#1 Dates]],Target1[Target Dates],0)),"-")</f>
        <v>43.57</v>
      </c>
      <c r="F541" s="22">
        <f>IF(Benchmark1[[#This Row],[Target Date Check]]="Pass",INDEX(Target1[Target Return],MATCH(Benchmark1[[#This Row],[Benchmark '#1 Dates]],Target1[Target Dates],0)),"-")</f>
        <v>7.0108283977112135E-2</v>
      </c>
      <c r="G541" s="1">
        <f>IFERROR(IF(Benchmark1[[#This Row],[Target Date Check]]="Pass",Benchmark1[[#This Row],[Target Return]]-Benchmark1[[#This Row],[Benchmark '#1 Return]],"-"),"-")</f>
        <v>6.6518405814803158E-2</v>
      </c>
      <c r="H541" s="1" t="str">
        <f>IF(COUNTIF(Comp1[Comparable '#1 Dates],Benchmark1[[#This Row],[Benchmark '#1 Dates]])=1,"Pass","Fail")</f>
        <v>Pass</v>
      </c>
      <c r="I541" s="6">
        <f>IF(Benchmark1[[#This Row],[Comparable '#1 Date Check]]="Pass",INDEX(Comp1[Comparable '#1 Price],MATCH(Benchmark1[[#This Row],[Benchmark '#1 Dates]],Comp1[Comparable '#1 Dates],0)),"-")</f>
        <v>12.61</v>
      </c>
      <c r="J541" s="22">
        <f>IF(Benchmark1[[#This Row],[Comparable '#1 Date Check]]="Pass",INDEX(Comp1[Comparable '#1 Return],MATCH(Benchmark1[[#This Row],[Benchmark '#1 Dates]],Comp1[Comparable '#1 Dates],0)),"-")</f>
        <v>-2.0408871631207123E-2</v>
      </c>
      <c r="K541" s="1">
        <f>IFERROR(IF(Benchmark1[[#This Row],[Comparable '#1 Date Check]]="Pass",Benchmark1[[#This Row],[Comparable '#1 Return]]-Benchmark1[[#This Row],[Benchmark '#1 Return]],"-"),"-")</f>
        <v>-2.3998749793516107E-2</v>
      </c>
      <c r="L541" s="1" t="str">
        <f>IF(COUNTIF(Comp2[Comparable '#2 Dates],Benchmark1[[#This Row],[Benchmark '#1 Dates]])=1,"Pass","Fail")</f>
        <v>Pass</v>
      </c>
      <c r="M541" s="6">
        <f>IF(Benchmark1[[#This Row],[Comparable '#2 Date Check]]="Pass",INDEX(Comp2[Comparable '#2 Price],MATCH(Benchmark1[[#This Row],[Benchmark '#1 Dates]],Comp2[Comparable '#2 Dates],0)),"-")</f>
        <v>32.74</v>
      </c>
      <c r="N541" s="22">
        <f>IF(Benchmark1[[#This Row],[Comparable '#2 Date Check]]="Pass",INDEX(Comp2[Comparable '#2 Return],MATCH(Benchmark1[[#This Row],[Benchmark '#1 Dates]],Comp2[Comparable '#2 Dates],0)),"-")</f>
        <v>-1.3651053788894281E-2</v>
      </c>
      <c r="O541" s="1">
        <f>IFERROR(IF(Benchmark1[[#This Row],[Comparable '#2 Date Check]]="Pass",Benchmark1[[#This Row],[Comparable '#2 Return]]-Benchmark1[[#This Row],[Benchmark '#1 Return]],"-"),"-")</f>
        <v>-1.7240931951203263E-2</v>
      </c>
      <c r="P541" s="1" t="str">
        <f>IF(COUNTIF(Comp3[Comparable '#3 Dates],Benchmark1[[#This Row],[Benchmark '#1 Dates]])=1,"Pass","Fail")</f>
        <v>Pass</v>
      </c>
      <c r="Q541" s="6">
        <f>IF(Benchmark1[[#This Row],[Comparable '#3 Date Check]]="Pass",INDEX(Comp3[Comparable '#3 Price],MATCH(Benchmark1[[#This Row],[Benchmark '#1 Dates]],Comp3[Comparable '#3 Dates],0)),"-")</f>
        <v>102.75</v>
      </c>
      <c r="R541" s="22">
        <f>IF(Benchmark1[[#This Row],[Comparable '#3 Date Check]]="Pass",INDEX(Comp3[Comparable '#3 Return],MATCH(Benchmark1[[#This Row],[Benchmark '#1 Dates]],Comp3[Comparable '#3 Dates],0)),"-")</f>
        <v>6.3461282057240744E-3</v>
      </c>
      <c r="S541" s="1">
        <f>IFERROR(IF(Benchmark1[[#This Row],[Comparable '#3 Date Check]]="Pass",Benchmark1[[#This Row],[Comparable '#3 Return]]-Benchmark1[[#This Row],[Benchmark '#1 Return]],"-"),"-")</f>
        <v>2.7562500434150919E-3</v>
      </c>
    </row>
    <row r="542" spans="1:19">
      <c r="A542" s="103">
        <v>44069</v>
      </c>
      <c r="B542" s="104">
        <v>3478.7323439907709</v>
      </c>
      <c r="C542" s="4">
        <f t="shared" si="8"/>
        <v>1.0144101416009427E-2</v>
      </c>
      <c r="D542" s="1" t="str">
        <f>IF(COUNTIF(Target1[Target Dates],Benchmark1[[#This Row],[Benchmark '#1 Dates]])=1,"Pass","Fail")</f>
        <v>Pass</v>
      </c>
      <c r="E542" s="6">
        <f>IF(Benchmark1[[#This Row],[Target Date Check]]="Pass",INDEX(Target1[Target Price],MATCH(Benchmark1[[#This Row],[Benchmark '#1 Dates]],Target1[Target Dates],0)),"-")</f>
        <v>39.17</v>
      </c>
      <c r="F542" s="22">
        <f>IF(Benchmark1[[#This Row],[Target Date Check]]="Pass",INDEX(Target1[Target Return],MATCH(Benchmark1[[#This Row],[Benchmark '#1 Dates]],Target1[Target Dates],0)),"-")</f>
        <v>-0.10645769245161074</v>
      </c>
      <c r="G542" s="1">
        <f>IFERROR(IF(Benchmark1[[#This Row],[Target Date Check]]="Pass",Benchmark1[[#This Row],[Target Return]]-Benchmark1[[#This Row],[Benchmark '#1 Return]],"-"),"-")</f>
        <v>-0.11660179386762017</v>
      </c>
      <c r="H542" s="1" t="str">
        <f>IF(COUNTIF(Comp1[Comparable '#1 Dates],Benchmark1[[#This Row],[Benchmark '#1 Dates]])=1,"Pass","Fail")</f>
        <v>Pass</v>
      </c>
      <c r="I542" s="6">
        <f>IF(Benchmark1[[#This Row],[Comparable '#1 Date Check]]="Pass",INDEX(Comp1[Comparable '#1 Price],MATCH(Benchmark1[[#This Row],[Benchmark '#1 Dates]],Comp1[Comparable '#1 Dates],0)),"-")</f>
        <v>12.48</v>
      </c>
      <c r="J542" s="22">
        <f>IF(Benchmark1[[#This Row],[Comparable '#1 Date Check]]="Pass",INDEX(Comp1[Comparable '#1 Return],MATCH(Benchmark1[[#This Row],[Benchmark '#1 Dates]],Comp1[Comparable '#1 Dates],0)),"-")</f>
        <v>-1.0362787035546547E-2</v>
      </c>
      <c r="K542" s="1">
        <f>IFERROR(IF(Benchmark1[[#This Row],[Comparable '#1 Date Check]]="Pass",Benchmark1[[#This Row],[Comparable '#1 Return]]-Benchmark1[[#This Row],[Benchmark '#1 Return]],"-"),"-")</f>
        <v>-2.0506888451555974E-2</v>
      </c>
      <c r="L542" s="1" t="str">
        <f>IF(COUNTIF(Comp2[Comparable '#2 Dates],Benchmark1[[#This Row],[Benchmark '#1 Dates]])=1,"Pass","Fail")</f>
        <v>Pass</v>
      </c>
      <c r="M542" s="6">
        <f>IF(Benchmark1[[#This Row],[Comparable '#2 Date Check]]="Pass",INDEX(Comp2[Comparable '#2 Price],MATCH(Benchmark1[[#This Row],[Benchmark '#1 Dates]],Comp2[Comparable '#2 Dates],0)),"-")</f>
        <v>32.03</v>
      </c>
      <c r="N542" s="22">
        <f>IF(Benchmark1[[#This Row],[Comparable '#2 Date Check]]="Pass",INDEX(Comp2[Comparable '#2 Return],MATCH(Benchmark1[[#This Row],[Benchmark '#1 Dates]],Comp2[Comparable '#2 Dates],0)),"-")</f>
        <v>-2.1924608321922053E-2</v>
      </c>
      <c r="O542" s="1">
        <f>IFERROR(IF(Benchmark1[[#This Row],[Comparable '#2 Date Check]]="Pass",Benchmark1[[#This Row],[Comparable '#2 Return]]-Benchmark1[[#This Row],[Benchmark '#1 Return]],"-"),"-")</f>
        <v>-3.2068709737931481E-2</v>
      </c>
      <c r="P542" s="1" t="str">
        <f>IF(COUNTIF(Comp3[Comparable '#3 Dates],Benchmark1[[#This Row],[Benchmark '#1 Dates]])=1,"Pass","Fail")</f>
        <v>Pass</v>
      </c>
      <c r="Q542" s="6">
        <f>IF(Benchmark1[[#This Row],[Comparable '#3 Date Check]]="Pass",INDEX(Comp3[Comparable '#3 Price],MATCH(Benchmark1[[#This Row],[Benchmark '#1 Dates]],Comp3[Comparable '#3 Dates],0)),"-")</f>
        <v>102.47</v>
      </c>
      <c r="R542" s="22">
        <f>IF(Benchmark1[[#This Row],[Comparable '#3 Date Check]]="Pass",INDEX(Comp3[Comparable '#3 Return],MATCH(Benchmark1[[#This Row],[Benchmark '#1 Dates]],Comp3[Comparable '#3 Dates],0)),"-")</f>
        <v>-2.7287805647174955E-3</v>
      </c>
      <c r="S542" s="1">
        <f>IFERROR(IF(Benchmark1[[#This Row],[Comparable '#3 Date Check]]="Pass",Benchmark1[[#This Row],[Comparable '#3 Return]]-Benchmark1[[#This Row],[Benchmark '#1 Return]],"-"),"-")</f>
        <v>-1.2872881980726922E-2</v>
      </c>
    </row>
    <row r="543" spans="1:19">
      <c r="A543" s="103">
        <v>44070</v>
      </c>
      <c r="B543" s="104">
        <v>3484.5502906601505</v>
      </c>
      <c r="C543" s="4">
        <f t="shared" si="8"/>
        <v>1.6710360123100029E-3</v>
      </c>
      <c r="D543" s="1" t="str">
        <f>IF(COUNTIF(Target1[Target Dates],Benchmark1[[#This Row],[Benchmark '#1 Dates]])=1,"Pass","Fail")</f>
        <v>Pass</v>
      </c>
      <c r="E543" s="6">
        <f>IF(Benchmark1[[#This Row],[Target Date Check]]="Pass",INDEX(Target1[Target Price],MATCH(Benchmark1[[#This Row],[Benchmark '#1 Dates]],Target1[Target Dates],0)),"-")</f>
        <v>37.700000000000003</v>
      </c>
      <c r="F543" s="22">
        <f>IF(Benchmark1[[#This Row],[Target Date Check]]="Pass",INDEX(Target1[Target Return],MATCH(Benchmark1[[#This Row],[Benchmark '#1 Dates]],Target1[Target Dates],0)),"-")</f>
        <v>-3.8251053223774881E-2</v>
      </c>
      <c r="G543" s="1">
        <f>IFERROR(IF(Benchmark1[[#This Row],[Target Date Check]]="Pass",Benchmark1[[#This Row],[Target Return]]-Benchmark1[[#This Row],[Benchmark '#1 Return]],"-"),"-")</f>
        <v>-3.9922089236084882E-2</v>
      </c>
      <c r="H543" s="1" t="str">
        <f>IF(COUNTIF(Comp1[Comparable '#1 Dates],Benchmark1[[#This Row],[Benchmark '#1 Dates]])=1,"Pass","Fail")</f>
        <v>Pass</v>
      </c>
      <c r="I543" s="6">
        <f>IF(Benchmark1[[#This Row],[Comparable '#1 Date Check]]="Pass",INDEX(Comp1[Comparable '#1 Price],MATCH(Benchmark1[[#This Row],[Benchmark '#1 Dates]],Comp1[Comparable '#1 Dates],0)),"-")</f>
        <v>12.5</v>
      </c>
      <c r="J543" s="22">
        <f>IF(Benchmark1[[#This Row],[Comparable '#1 Date Check]]="Pass",INDEX(Comp1[Comparable '#1 Return],MATCH(Benchmark1[[#This Row],[Benchmark '#1 Dates]],Comp1[Comparable '#1 Dates],0)),"-")</f>
        <v>1.6012813669738276E-3</v>
      </c>
      <c r="K543" s="1">
        <f>IFERROR(IF(Benchmark1[[#This Row],[Comparable '#1 Date Check]]="Pass",Benchmark1[[#This Row],[Comparable '#1 Return]]-Benchmark1[[#This Row],[Benchmark '#1 Return]],"-"),"-")</f>
        <v>-6.9754645336175336E-5</v>
      </c>
      <c r="L543" s="1" t="str">
        <f>IF(COUNTIF(Comp2[Comparable '#2 Dates],Benchmark1[[#This Row],[Benchmark '#1 Dates]])=1,"Pass","Fail")</f>
        <v>Pass</v>
      </c>
      <c r="M543" s="6">
        <f>IF(Benchmark1[[#This Row],[Comparable '#2 Date Check]]="Pass",INDEX(Comp2[Comparable '#2 Price],MATCH(Benchmark1[[#This Row],[Benchmark '#1 Dates]],Comp2[Comparable '#2 Dates],0)),"-")</f>
        <v>32.68</v>
      </c>
      <c r="N543" s="22">
        <f>IF(Benchmark1[[#This Row],[Comparable '#2 Date Check]]="Pass",INDEX(Comp2[Comparable '#2 Return],MATCH(Benchmark1[[#This Row],[Benchmark '#1 Dates]],Comp2[Comparable '#2 Dates],0)),"-")</f>
        <v>2.0090306370735278E-2</v>
      </c>
      <c r="O543" s="1">
        <f>IFERROR(IF(Benchmark1[[#This Row],[Comparable '#2 Date Check]]="Pass",Benchmark1[[#This Row],[Comparable '#2 Return]]-Benchmark1[[#This Row],[Benchmark '#1 Return]],"-"),"-")</f>
        <v>1.8419270358425274E-2</v>
      </c>
      <c r="P543" s="1" t="str">
        <f>IF(COUNTIF(Comp3[Comparable '#3 Dates],Benchmark1[[#This Row],[Benchmark '#1 Dates]])=1,"Pass","Fail")</f>
        <v>Pass</v>
      </c>
      <c r="Q543" s="6">
        <f>IF(Benchmark1[[#This Row],[Comparable '#3 Date Check]]="Pass",INDEX(Comp3[Comparable '#3 Price],MATCH(Benchmark1[[#This Row],[Benchmark '#1 Dates]],Comp3[Comparable '#3 Dates],0)),"-")</f>
        <v>103.47</v>
      </c>
      <c r="R543" s="22">
        <f>IF(Benchmark1[[#This Row],[Comparable '#3 Date Check]]="Pass",INDEX(Comp3[Comparable '#3 Return],MATCH(Benchmark1[[#This Row],[Benchmark '#1 Dates]],Comp3[Comparable '#3 Dates],0)),"-")</f>
        <v>9.7116428052327064E-3</v>
      </c>
      <c r="S543" s="1">
        <f>IFERROR(IF(Benchmark1[[#This Row],[Comparable '#3 Date Check]]="Pass",Benchmark1[[#This Row],[Comparable '#3 Return]]-Benchmark1[[#This Row],[Benchmark '#1 Return]],"-"),"-")</f>
        <v>8.0406067929227037E-3</v>
      </c>
    </row>
    <row r="544" spans="1:19">
      <c r="A544" s="103">
        <v>44071</v>
      </c>
      <c r="B544" s="104">
        <v>3508.0147491561029</v>
      </c>
      <c r="C544" s="4">
        <f t="shared" si="8"/>
        <v>6.7112844670961106E-3</v>
      </c>
      <c r="D544" s="1" t="str">
        <f>IF(COUNTIF(Target1[Target Dates],Benchmark1[[#This Row],[Benchmark '#1 Dates]])=1,"Pass","Fail")</f>
        <v>Pass</v>
      </c>
      <c r="E544" s="6">
        <f>IF(Benchmark1[[#This Row],[Target Date Check]]="Pass",INDEX(Target1[Target Price],MATCH(Benchmark1[[#This Row],[Benchmark '#1 Dates]],Target1[Target Dates],0)),"-")</f>
        <v>36.549999999999997</v>
      </c>
      <c r="F544" s="22">
        <f>IF(Benchmark1[[#This Row],[Target Date Check]]="Pass",INDEX(Target1[Target Return],MATCH(Benchmark1[[#This Row],[Benchmark '#1 Dates]],Target1[Target Dates],0)),"-")</f>
        <v>-3.0978908258177739E-2</v>
      </c>
      <c r="G544" s="1">
        <f>IFERROR(IF(Benchmark1[[#This Row],[Target Date Check]]="Pass",Benchmark1[[#This Row],[Target Return]]-Benchmark1[[#This Row],[Benchmark '#1 Return]],"-"),"-")</f>
        <v>-3.7690192725273852E-2</v>
      </c>
      <c r="H544" s="1" t="str">
        <f>IF(COUNTIF(Comp1[Comparable '#1 Dates],Benchmark1[[#This Row],[Benchmark '#1 Dates]])=1,"Pass","Fail")</f>
        <v>Pass</v>
      </c>
      <c r="I544" s="6">
        <f>IF(Benchmark1[[#This Row],[Comparable '#1 Date Check]]="Pass",INDEX(Comp1[Comparable '#1 Price],MATCH(Benchmark1[[#This Row],[Benchmark '#1 Dates]],Comp1[Comparable '#1 Dates],0)),"-")</f>
        <v>12.81</v>
      </c>
      <c r="J544" s="22">
        <f>IF(Benchmark1[[#This Row],[Comparable '#1 Date Check]]="Pass",INDEX(Comp1[Comparable '#1 Return],MATCH(Benchmark1[[#This Row],[Benchmark '#1 Dates]],Comp1[Comparable '#1 Dates],0)),"-")</f>
        <v>2.4497471600387372E-2</v>
      </c>
      <c r="K544" s="1">
        <f>IFERROR(IF(Benchmark1[[#This Row],[Comparable '#1 Date Check]]="Pass",Benchmark1[[#This Row],[Comparable '#1 Return]]-Benchmark1[[#This Row],[Benchmark '#1 Return]],"-"),"-")</f>
        <v>1.7786187133291262E-2</v>
      </c>
      <c r="L544" s="1" t="str">
        <f>IF(COUNTIF(Comp2[Comparable '#2 Dates],Benchmark1[[#This Row],[Benchmark '#1 Dates]])=1,"Pass","Fail")</f>
        <v>Pass</v>
      </c>
      <c r="M544" s="6">
        <f>IF(Benchmark1[[#This Row],[Comparable '#2 Date Check]]="Pass",INDEX(Comp2[Comparable '#2 Price],MATCH(Benchmark1[[#This Row],[Benchmark '#1 Dates]],Comp2[Comparable '#2 Dates],0)),"-")</f>
        <v>33.409999999999997</v>
      </c>
      <c r="N544" s="22">
        <f>IF(Benchmark1[[#This Row],[Comparable '#2 Date Check]]="Pass",INDEX(Comp2[Comparable '#2 Return],MATCH(Benchmark1[[#This Row],[Benchmark '#1 Dates]],Comp2[Comparable '#2 Dates],0)),"-")</f>
        <v>2.2091986376862865E-2</v>
      </c>
      <c r="O544" s="1">
        <f>IFERROR(IF(Benchmark1[[#This Row],[Comparable '#2 Date Check]]="Pass",Benchmark1[[#This Row],[Comparable '#2 Return]]-Benchmark1[[#This Row],[Benchmark '#1 Return]],"-"),"-")</f>
        <v>1.5380701909766755E-2</v>
      </c>
      <c r="P544" s="1" t="str">
        <f>IF(COUNTIF(Comp3[Comparable '#3 Dates],Benchmark1[[#This Row],[Benchmark '#1 Dates]])=1,"Pass","Fail")</f>
        <v>Pass</v>
      </c>
      <c r="Q544" s="6">
        <f>IF(Benchmark1[[#This Row],[Comparable '#3 Date Check]]="Pass",INDEX(Comp3[Comparable '#3 Price],MATCH(Benchmark1[[#This Row],[Benchmark '#1 Dates]],Comp3[Comparable '#3 Dates],0)),"-")</f>
        <v>103.69</v>
      </c>
      <c r="R544" s="22">
        <f>IF(Benchmark1[[#This Row],[Comparable '#3 Date Check]]="Pass",INDEX(Comp3[Comparable '#3 Return],MATCH(Benchmark1[[#This Row],[Benchmark '#1 Dates]],Comp3[Comparable '#3 Dates],0)),"-")</f>
        <v>2.1239629533276513E-3</v>
      </c>
      <c r="S544" s="1">
        <f>IFERROR(IF(Benchmark1[[#This Row],[Comparable '#3 Date Check]]="Pass",Benchmark1[[#This Row],[Comparable '#3 Return]]-Benchmark1[[#This Row],[Benchmark '#1 Return]],"-"),"-")</f>
        <v>-4.5873215137684593E-3</v>
      </c>
    </row>
    <row r="545" spans="1:19">
      <c r="A545" s="103">
        <v>44074</v>
      </c>
      <c r="B545" s="104">
        <v>3500.3085202872967</v>
      </c>
      <c r="C545" s="4">
        <f t="shared" si="8"/>
        <v>-2.1991656715457811E-3</v>
      </c>
      <c r="D545" s="1" t="str">
        <f>IF(COUNTIF(Target1[Target Dates],Benchmark1[[#This Row],[Benchmark '#1 Dates]])=1,"Pass","Fail")</f>
        <v>Pass</v>
      </c>
      <c r="E545" s="6">
        <f>IF(Benchmark1[[#This Row],[Target Date Check]]="Pass",INDEX(Target1[Target Price],MATCH(Benchmark1[[#This Row],[Benchmark '#1 Dates]],Target1[Target Dates],0)),"-")</f>
        <v>37.21</v>
      </c>
      <c r="F545" s="22">
        <f>IF(Benchmark1[[#This Row],[Target Date Check]]="Pass",INDEX(Target1[Target Return],MATCH(Benchmark1[[#This Row],[Benchmark '#1 Dates]],Target1[Target Dates],0)),"-")</f>
        <v>1.789635616274381E-2</v>
      </c>
      <c r="G545" s="1">
        <f>IFERROR(IF(Benchmark1[[#This Row],[Target Date Check]]="Pass",Benchmark1[[#This Row],[Target Return]]-Benchmark1[[#This Row],[Benchmark '#1 Return]],"-"),"-")</f>
        <v>2.009552183428959E-2</v>
      </c>
      <c r="H545" s="1" t="str">
        <f>IF(COUNTIF(Comp1[Comparable '#1 Dates],Benchmark1[[#This Row],[Benchmark '#1 Dates]])=1,"Pass","Fail")</f>
        <v>Pass</v>
      </c>
      <c r="I545" s="6">
        <f>IF(Benchmark1[[#This Row],[Comparable '#1 Date Check]]="Pass",INDEX(Comp1[Comparable '#1 Price],MATCH(Benchmark1[[#This Row],[Benchmark '#1 Dates]],Comp1[Comparable '#1 Dates],0)),"-")</f>
        <v>12.52</v>
      </c>
      <c r="J545" s="22">
        <f>IF(Benchmark1[[#This Row],[Comparable '#1 Date Check]]="Pass",INDEX(Comp1[Comparable '#1 Return],MATCH(Benchmark1[[#This Row],[Benchmark '#1 Dates]],Comp1[Comparable '#1 Dates],0)),"-")</f>
        <v>-2.2898750236690437E-2</v>
      </c>
      <c r="K545" s="1">
        <f>IFERROR(IF(Benchmark1[[#This Row],[Comparable '#1 Date Check]]="Pass",Benchmark1[[#This Row],[Comparable '#1 Return]]-Benchmark1[[#This Row],[Benchmark '#1 Return]],"-"),"-")</f>
        <v>-2.0699584565144657E-2</v>
      </c>
      <c r="L545" s="1" t="str">
        <f>IF(COUNTIF(Comp2[Comparable '#2 Dates],Benchmark1[[#This Row],[Benchmark '#1 Dates]])=1,"Pass","Fail")</f>
        <v>Pass</v>
      </c>
      <c r="M545" s="6">
        <f>IF(Benchmark1[[#This Row],[Comparable '#2 Date Check]]="Pass",INDEX(Comp2[Comparable '#2 Price],MATCH(Benchmark1[[#This Row],[Benchmark '#1 Dates]],Comp2[Comparable '#2 Dates],0)),"-")</f>
        <v>33.200000000000003</v>
      </c>
      <c r="N545" s="22">
        <f>IF(Benchmark1[[#This Row],[Comparable '#2 Date Check]]="Pass",INDEX(Comp2[Comparable '#2 Return],MATCH(Benchmark1[[#This Row],[Benchmark '#1 Dates]],Comp2[Comparable '#2 Dates],0)),"-")</f>
        <v>-6.305380446222174E-3</v>
      </c>
      <c r="O545" s="1">
        <f>IFERROR(IF(Benchmark1[[#This Row],[Comparable '#2 Date Check]]="Pass",Benchmark1[[#This Row],[Comparable '#2 Return]]-Benchmark1[[#This Row],[Benchmark '#1 Return]],"-"),"-")</f>
        <v>-4.1062147746763929E-3</v>
      </c>
      <c r="P545" s="1" t="str">
        <f>IF(COUNTIF(Comp3[Comparable '#3 Dates],Benchmark1[[#This Row],[Benchmark '#1 Dates]])=1,"Pass","Fail")</f>
        <v>Pass</v>
      </c>
      <c r="Q545" s="6">
        <f>IF(Benchmark1[[#This Row],[Comparable '#3 Date Check]]="Pass",INDEX(Comp3[Comparable '#3 Price],MATCH(Benchmark1[[#This Row],[Benchmark '#1 Dates]],Comp3[Comparable '#3 Dates],0)),"-")</f>
        <v>102.57</v>
      </c>
      <c r="R545" s="22">
        <f>IF(Benchmark1[[#This Row],[Comparable '#3 Date Check]]="Pass",INDEX(Comp3[Comparable '#3 Return],MATCH(Benchmark1[[#This Row],[Benchmark '#1 Dates]],Comp3[Comparable '#3 Dates],0)),"-")</f>
        <v>-1.0860186250867205E-2</v>
      </c>
      <c r="S545" s="1">
        <f>IFERROR(IF(Benchmark1[[#This Row],[Comparable '#3 Date Check]]="Pass",Benchmark1[[#This Row],[Comparable '#3 Return]]-Benchmark1[[#This Row],[Benchmark '#1 Return]],"-"),"-")</f>
        <v>-8.6610205793214226E-3</v>
      </c>
    </row>
    <row r="546" spans="1:19">
      <c r="A546" s="103">
        <v>44075</v>
      </c>
      <c r="B546" s="104">
        <v>3526.6513028639602</v>
      </c>
      <c r="C546" s="4">
        <f t="shared" si="8"/>
        <v>7.4976680227413911E-3</v>
      </c>
      <c r="D546" s="1" t="str">
        <f>IF(COUNTIF(Target1[Target Dates],Benchmark1[[#This Row],[Benchmark '#1 Dates]])=1,"Pass","Fail")</f>
        <v>Pass</v>
      </c>
      <c r="E546" s="6">
        <f>IF(Benchmark1[[#This Row],[Target Date Check]]="Pass",INDEX(Target1[Target Price],MATCH(Benchmark1[[#This Row],[Benchmark '#1 Dates]],Target1[Target Dates],0)),"-")</f>
        <v>38.85</v>
      </c>
      <c r="F546" s="22">
        <f>IF(Benchmark1[[#This Row],[Target Date Check]]="Pass",INDEX(Target1[Target Return],MATCH(Benchmark1[[#This Row],[Benchmark '#1 Dates]],Target1[Target Dates],0)),"-")</f>
        <v>4.3130534455125415E-2</v>
      </c>
      <c r="G546" s="1">
        <f>IFERROR(IF(Benchmark1[[#This Row],[Target Date Check]]="Pass",Benchmark1[[#This Row],[Target Return]]-Benchmark1[[#This Row],[Benchmark '#1 Return]],"-"),"-")</f>
        <v>3.5632866432384024E-2</v>
      </c>
      <c r="H546" s="1" t="str">
        <f>IF(COUNTIF(Comp1[Comparable '#1 Dates],Benchmark1[[#This Row],[Benchmark '#1 Dates]])=1,"Pass","Fail")</f>
        <v>Pass</v>
      </c>
      <c r="I546" s="6">
        <f>IF(Benchmark1[[#This Row],[Comparable '#1 Date Check]]="Pass",INDEX(Comp1[Comparable '#1 Price],MATCH(Benchmark1[[#This Row],[Benchmark '#1 Dates]],Comp1[Comparable '#1 Dates],0)),"-")</f>
        <v>13.04</v>
      </c>
      <c r="J546" s="22">
        <f>IF(Benchmark1[[#This Row],[Comparable '#1 Date Check]]="Pass",INDEX(Comp1[Comparable '#1 Return],MATCH(Benchmark1[[#This Row],[Benchmark '#1 Dates]],Comp1[Comparable '#1 Dates],0)),"-")</f>
        <v>4.0694190826554413E-2</v>
      </c>
      <c r="K546" s="1">
        <f>IFERROR(IF(Benchmark1[[#This Row],[Comparable '#1 Date Check]]="Pass",Benchmark1[[#This Row],[Comparable '#1 Return]]-Benchmark1[[#This Row],[Benchmark '#1 Return]],"-"),"-")</f>
        <v>3.3196522803813022E-2</v>
      </c>
      <c r="L546" s="1" t="str">
        <f>IF(COUNTIF(Comp2[Comparable '#2 Dates],Benchmark1[[#This Row],[Benchmark '#1 Dates]])=1,"Pass","Fail")</f>
        <v>Pass</v>
      </c>
      <c r="M546" s="6">
        <f>IF(Benchmark1[[#This Row],[Comparable '#2 Date Check]]="Pass",INDEX(Comp2[Comparable '#2 Price],MATCH(Benchmark1[[#This Row],[Benchmark '#1 Dates]],Comp2[Comparable '#2 Dates],0)),"-")</f>
        <v>34.54</v>
      </c>
      <c r="N546" s="22">
        <f>IF(Benchmark1[[#This Row],[Comparable '#2 Date Check]]="Pass",INDEX(Comp2[Comparable '#2 Return],MATCH(Benchmark1[[#This Row],[Benchmark '#1 Dates]],Comp2[Comparable '#2 Dates],0)),"-")</f>
        <v>3.9568196796089652E-2</v>
      </c>
      <c r="O546" s="1">
        <f>IFERROR(IF(Benchmark1[[#This Row],[Comparable '#2 Date Check]]="Pass",Benchmark1[[#This Row],[Comparable '#2 Return]]-Benchmark1[[#This Row],[Benchmark '#1 Return]],"-"),"-")</f>
        <v>3.2070528773348261E-2</v>
      </c>
      <c r="P546" s="1" t="str">
        <f>IF(COUNTIF(Comp3[Comparable '#3 Dates],Benchmark1[[#This Row],[Benchmark '#1 Dates]])=1,"Pass","Fail")</f>
        <v>Pass</v>
      </c>
      <c r="Q546" s="6">
        <f>IF(Benchmark1[[#This Row],[Comparable '#3 Date Check]]="Pass",INDEX(Comp3[Comparable '#3 Price],MATCH(Benchmark1[[#This Row],[Benchmark '#1 Dates]],Comp3[Comparable '#3 Dates],0)),"-")</f>
        <v>102.6</v>
      </c>
      <c r="R546" s="22">
        <f>IF(Benchmark1[[#This Row],[Comparable '#3 Date Check]]="Pass",INDEX(Comp3[Comparable '#3 Return],MATCH(Benchmark1[[#This Row],[Benchmark '#1 Dates]],Comp3[Comparable '#3 Dates],0)),"-")</f>
        <v>2.9244041734961134E-4</v>
      </c>
      <c r="S546" s="1">
        <f>IFERROR(IF(Benchmark1[[#This Row],[Comparable '#3 Date Check]]="Pass",Benchmark1[[#This Row],[Comparable '#3 Return]]-Benchmark1[[#This Row],[Benchmark '#1 Return]],"-"),"-")</f>
        <v>-7.2052276053917799E-3</v>
      </c>
    </row>
    <row r="547" spans="1:19">
      <c r="A547" s="103">
        <v>44076</v>
      </c>
      <c r="B547" s="104">
        <v>3580.8443336192231</v>
      </c>
      <c r="C547" s="4">
        <f t="shared" si="8"/>
        <v>1.5249838697900772E-2</v>
      </c>
      <c r="D547" s="1" t="str">
        <f>IF(COUNTIF(Target1[Target Dates],Benchmark1[[#This Row],[Benchmark '#1 Dates]])=1,"Pass","Fail")</f>
        <v>Pass</v>
      </c>
      <c r="E547" s="6">
        <f>IF(Benchmark1[[#This Row],[Target Date Check]]="Pass",INDEX(Target1[Target Price],MATCH(Benchmark1[[#This Row],[Benchmark '#1 Dates]],Target1[Target Dates],0)),"-")</f>
        <v>37.549999999999997</v>
      </c>
      <c r="F547" s="22">
        <f>IF(Benchmark1[[#This Row],[Target Date Check]]="Pass",INDEX(Target1[Target Return],MATCH(Benchmark1[[#This Row],[Benchmark '#1 Dates]],Target1[Target Dates],0)),"-")</f>
        <v>-3.4034698603512818E-2</v>
      </c>
      <c r="G547" s="1">
        <f>IFERROR(IF(Benchmark1[[#This Row],[Target Date Check]]="Pass",Benchmark1[[#This Row],[Target Return]]-Benchmark1[[#This Row],[Benchmark '#1 Return]],"-"),"-")</f>
        <v>-4.9284537301413592E-2</v>
      </c>
      <c r="H547" s="1" t="str">
        <f>IF(COUNTIF(Comp1[Comparable '#1 Dates],Benchmark1[[#This Row],[Benchmark '#1 Dates]])=1,"Pass","Fail")</f>
        <v>Pass</v>
      </c>
      <c r="I547" s="6">
        <f>IF(Benchmark1[[#This Row],[Comparable '#1 Date Check]]="Pass",INDEX(Comp1[Comparable '#1 Price],MATCH(Benchmark1[[#This Row],[Benchmark '#1 Dates]],Comp1[Comparable '#1 Dates],0)),"-")</f>
        <v>12.9</v>
      </c>
      <c r="J547" s="22">
        <f>IF(Benchmark1[[#This Row],[Comparable '#1 Date Check]]="Pass",INDEX(Comp1[Comparable '#1 Return],MATCH(Benchmark1[[#This Row],[Benchmark '#1 Dates]],Comp1[Comparable '#1 Dates],0)),"-")</f>
        <v>-1.0794245130880401E-2</v>
      </c>
      <c r="K547" s="1">
        <f>IFERROR(IF(Benchmark1[[#This Row],[Comparable '#1 Date Check]]="Pass",Benchmark1[[#This Row],[Comparable '#1 Return]]-Benchmark1[[#This Row],[Benchmark '#1 Return]],"-"),"-")</f>
        <v>-2.6044083828781171E-2</v>
      </c>
      <c r="L547" s="1" t="str">
        <f>IF(COUNTIF(Comp2[Comparable '#2 Dates],Benchmark1[[#This Row],[Benchmark '#1 Dates]])=1,"Pass","Fail")</f>
        <v>Pass</v>
      </c>
      <c r="M547" s="6">
        <f>IF(Benchmark1[[#This Row],[Comparable '#2 Date Check]]="Pass",INDEX(Comp2[Comparable '#2 Price],MATCH(Benchmark1[[#This Row],[Benchmark '#1 Dates]],Comp2[Comparable '#2 Dates],0)),"-")</f>
        <v>34.619999999999997</v>
      </c>
      <c r="N547" s="22">
        <f>IF(Benchmark1[[#This Row],[Comparable '#2 Date Check]]="Pass",INDEX(Comp2[Comparable '#2 Return],MATCH(Benchmark1[[#This Row],[Benchmark '#1 Dates]],Comp2[Comparable '#2 Dates],0)),"-")</f>
        <v>2.3134770295305702E-3</v>
      </c>
      <c r="O547" s="1">
        <f>IFERROR(IF(Benchmark1[[#This Row],[Comparable '#2 Date Check]]="Pass",Benchmark1[[#This Row],[Comparable '#2 Return]]-Benchmark1[[#This Row],[Benchmark '#1 Return]],"-"),"-")</f>
        <v>-1.2936361668370202E-2</v>
      </c>
      <c r="P547" s="1" t="str">
        <f>IF(COUNTIF(Comp3[Comparable '#3 Dates],Benchmark1[[#This Row],[Benchmark '#1 Dates]])=1,"Pass","Fail")</f>
        <v>Pass</v>
      </c>
      <c r="Q547" s="6">
        <f>IF(Benchmark1[[#This Row],[Comparable '#3 Date Check]]="Pass",INDEX(Comp3[Comparable '#3 Price],MATCH(Benchmark1[[#This Row],[Benchmark '#1 Dates]],Comp3[Comparable '#3 Dates],0)),"-")</f>
        <v>102.01</v>
      </c>
      <c r="R547" s="22">
        <f>IF(Benchmark1[[#This Row],[Comparable '#3 Date Check]]="Pass",INDEX(Comp3[Comparable '#3 Return],MATCH(Benchmark1[[#This Row],[Benchmark '#1 Dates]],Comp3[Comparable '#3 Dates],0)),"-")</f>
        <v>-5.7670850422415444E-3</v>
      </c>
      <c r="S547" s="1">
        <f>IFERROR(IF(Benchmark1[[#This Row],[Comparable '#3 Date Check]]="Pass",Benchmark1[[#This Row],[Comparable '#3 Return]]-Benchmark1[[#This Row],[Benchmark '#1 Return]],"-"),"-")</f>
        <v>-2.1016923740142315E-2</v>
      </c>
    </row>
    <row r="548" spans="1:19">
      <c r="A548" s="103">
        <v>44077</v>
      </c>
      <c r="B548" s="104">
        <v>3455.0649070676582</v>
      </c>
      <c r="C548" s="4">
        <f t="shared" si="8"/>
        <v>-3.5757376525378887E-2</v>
      </c>
      <c r="D548" s="1" t="str">
        <f>IF(COUNTIF(Target1[Target Dates],Benchmark1[[#This Row],[Benchmark '#1 Dates]])=1,"Pass","Fail")</f>
        <v>Pass</v>
      </c>
      <c r="E548" s="6">
        <f>IF(Benchmark1[[#This Row],[Target Date Check]]="Pass",INDEX(Target1[Target Price],MATCH(Benchmark1[[#This Row],[Benchmark '#1 Dates]],Target1[Target Dates],0)),"-")</f>
        <v>34.89</v>
      </c>
      <c r="F548" s="22">
        <f>IF(Benchmark1[[#This Row],[Target Date Check]]="Pass",INDEX(Target1[Target Return],MATCH(Benchmark1[[#This Row],[Benchmark '#1 Dates]],Target1[Target Dates],0)),"-")</f>
        <v>-7.3473123011460889E-2</v>
      </c>
      <c r="G548" s="1">
        <f>IFERROR(IF(Benchmark1[[#This Row],[Target Date Check]]="Pass",Benchmark1[[#This Row],[Target Return]]-Benchmark1[[#This Row],[Benchmark '#1 Return]],"-"),"-")</f>
        <v>-3.7715746486082002E-2</v>
      </c>
      <c r="H548" s="1" t="str">
        <f>IF(COUNTIF(Comp1[Comparable '#1 Dates],Benchmark1[[#This Row],[Benchmark '#1 Dates]])=1,"Pass","Fail")</f>
        <v>Pass</v>
      </c>
      <c r="I548" s="6">
        <f>IF(Benchmark1[[#This Row],[Comparable '#1 Date Check]]="Pass",INDEX(Comp1[Comparable '#1 Price],MATCH(Benchmark1[[#This Row],[Benchmark '#1 Dates]],Comp1[Comparable '#1 Dates],0)),"-")</f>
        <v>12.54</v>
      </c>
      <c r="J548" s="22">
        <f>IF(Benchmark1[[#This Row],[Comparable '#1 Date Check]]="Pass",INDEX(Comp1[Comparable '#1 Return],MATCH(Benchmark1[[#This Row],[Benchmark '#1 Dates]],Comp1[Comparable '#1 Dates],0)),"-")</f>
        <v>-2.8303776162851936E-2</v>
      </c>
      <c r="K548" s="1">
        <f>IFERROR(IF(Benchmark1[[#This Row],[Comparable '#1 Date Check]]="Pass",Benchmark1[[#This Row],[Comparable '#1 Return]]-Benchmark1[[#This Row],[Benchmark '#1 Return]],"-"),"-")</f>
        <v>7.4536003625269506E-3</v>
      </c>
      <c r="L548" s="1" t="str">
        <f>IF(COUNTIF(Comp2[Comparable '#2 Dates],Benchmark1[[#This Row],[Benchmark '#1 Dates]])=1,"Pass","Fail")</f>
        <v>Pass</v>
      </c>
      <c r="M548" s="6">
        <f>IF(Benchmark1[[#This Row],[Comparable '#2 Date Check]]="Pass",INDEX(Comp2[Comparable '#2 Price],MATCH(Benchmark1[[#This Row],[Benchmark '#1 Dates]],Comp2[Comparable '#2 Dates],0)),"-")</f>
        <v>34.01</v>
      </c>
      <c r="N548" s="22">
        <f>IF(Benchmark1[[#This Row],[Comparable '#2 Date Check]]="Pass",INDEX(Comp2[Comparable '#2 Return],MATCH(Benchmark1[[#This Row],[Benchmark '#1 Dates]],Comp2[Comparable '#2 Dates],0)),"-")</f>
        <v>-1.7776950728959105E-2</v>
      </c>
      <c r="O548" s="1">
        <f>IFERROR(IF(Benchmark1[[#This Row],[Comparable '#2 Date Check]]="Pass",Benchmark1[[#This Row],[Comparable '#2 Return]]-Benchmark1[[#This Row],[Benchmark '#1 Return]],"-"),"-")</f>
        <v>1.7980425796419782E-2</v>
      </c>
      <c r="P548" s="1" t="str">
        <f>IF(COUNTIF(Comp3[Comparable '#3 Dates],Benchmark1[[#This Row],[Benchmark '#1 Dates]])=1,"Pass","Fail")</f>
        <v>Pass</v>
      </c>
      <c r="Q548" s="6">
        <f>IF(Benchmark1[[#This Row],[Comparable '#3 Date Check]]="Pass",INDEX(Comp3[Comparable '#3 Price],MATCH(Benchmark1[[#This Row],[Benchmark '#1 Dates]],Comp3[Comparable '#3 Dates],0)),"-")</f>
        <v>96.13</v>
      </c>
      <c r="R548" s="22">
        <f>IF(Benchmark1[[#This Row],[Comparable '#3 Date Check]]="Pass",INDEX(Comp3[Comparable '#3 Return],MATCH(Benchmark1[[#This Row],[Benchmark '#1 Dates]],Comp3[Comparable '#3 Dates],0)),"-")</f>
        <v>-5.9369405616702842E-2</v>
      </c>
      <c r="S548" s="1">
        <f>IFERROR(IF(Benchmark1[[#This Row],[Comparable '#3 Date Check]]="Pass",Benchmark1[[#This Row],[Comparable '#3 Return]]-Benchmark1[[#This Row],[Benchmark '#1 Return]],"-"),"-")</f>
        <v>-2.3612029091323955E-2</v>
      </c>
    </row>
    <row r="549" spans="1:19">
      <c r="A549" s="103">
        <v>44078</v>
      </c>
      <c r="B549" s="104">
        <v>3426.9639077910697</v>
      </c>
      <c r="C549" s="4">
        <f t="shared" si="8"/>
        <v>-8.1665323435776774E-3</v>
      </c>
      <c r="D549" s="1" t="str">
        <f>IF(COUNTIF(Target1[Target Dates],Benchmark1[[#This Row],[Benchmark '#1 Dates]])=1,"Pass","Fail")</f>
        <v>Pass</v>
      </c>
      <c r="E549" s="6">
        <f>IF(Benchmark1[[#This Row],[Target Date Check]]="Pass",INDEX(Target1[Target Price],MATCH(Benchmark1[[#This Row],[Benchmark '#1 Dates]],Target1[Target Dates],0)),"-")</f>
        <v>34.28</v>
      </c>
      <c r="F549" s="22">
        <f>IF(Benchmark1[[#This Row],[Target Date Check]]="Pass",INDEX(Target1[Target Return],MATCH(Benchmark1[[#This Row],[Benchmark '#1 Dates]],Target1[Target Dates],0)),"-")</f>
        <v>-1.7638161469103665E-2</v>
      </c>
      <c r="G549" s="1">
        <f>IFERROR(IF(Benchmark1[[#This Row],[Target Date Check]]="Pass",Benchmark1[[#This Row],[Target Return]]-Benchmark1[[#This Row],[Benchmark '#1 Return]],"-"),"-")</f>
        <v>-9.4716291255259877E-3</v>
      </c>
      <c r="H549" s="1" t="str">
        <f>IF(COUNTIF(Comp1[Comparable '#1 Dates],Benchmark1[[#This Row],[Benchmark '#1 Dates]])=1,"Pass","Fail")</f>
        <v>Pass</v>
      </c>
      <c r="I549" s="6">
        <f>IF(Benchmark1[[#This Row],[Comparable '#1 Date Check]]="Pass",INDEX(Comp1[Comparable '#1 Price],MATCH(Benchmark1[[#This Row],[Benchmark '#1 Dates]],Comp1[Comparable '#1 Dates],0)),"-")</f>
        <v>12.31</v>
      </c>
      <c r="J549" s="22">
        <f>IF(Benchmark1[[#This Row],[Comparable '#1 Date Check]]="Pass",INDEX(Comp1[Comparable '#1 Return],MATCH(Benchmark1[[#This Row],[Benchmark '#1 Dates]],Comp1[Comparable '#1 Dates],0)),"-")</f>
        <v>-1.8511595008412346E-2</v>
      </c>
      <c r="K549" s="1">
        <f>IFERROR(IF(Benchmark1[[#This Row],[Comparable '#1 Date Check]]="Pass",Benchmark1[[#This Row],[Comparable '#1 Return]]-Benchmark1[[#This Row],[Benchmark '#1 Return]],"-"),"-")</f>
        <v>-1.0345062664834669E-2</v>
      </c>
      <c r="L549" s="1" t="str">
        <f>IF(COUNTIF(Comp2[Comparable '#2 Dates],Benchmark1[[#This Row],[Benchmark '#1 Dates]])=1,"Pass","Fail")</f>
        <v>Pass</v>
      </c>
      <c r="M549" s="6">
        <f>IF(Benchmark1[[#This Row],[Comparable '#2 Date Check]]="Pass",INDEX(Comp2[Comparable '#2 Price],MATCH(Benchmark1[[#This Row],[Benchmark '#1 Dates]],Comp2[Comparable '#2 Dates],0)),"-")</f>
        <v>33.08</v>
      </c>
      <c r="N549" s="22">
        <f>IF(Benchmark1[[#This Row],[Comparable '#2 Date Check]]="Pass",INDEX(Comp2[Comparable '#2 Return],MATCH(Benchmark1[[#This Row],[Benchmark '#1 Dates]],Comp2[Comparable '#2 Dates],0)),"-")</f>
        <v>-2.7725728863613509E-2</v>
      </c>
      <c r="O549" s="1">
        <f>IFERROR(IF(Benchmark1[[#This Row],[Comparable '#2 Date Check]]="Pass",Benchmark1[[#This Row],[Comparable '#2 Return]]-Benchmark1[[#This Row],[Benchmark '#1 Return]],"-"),"-")</f>
        <v>-1.9559196520035831E-2</v>
      </c>
      <c r="P549" s="1" t="str">
        <f>IF(COUNTIF(Comp3[Comparable '#3 Dates],Benchmark1[[#This Row],[Benchmark '#1 Dates]])=1,"Pass","Fail")</f>
        <v>Pass</v>
      </c>
      <c r="Q549" s="6">
        <f>IF(Benchmark1[[#This Row],[Comparable '#3 Date Check]]="Pass",INDEX(Comp3[Comparable '#3 Price],MATCH(Benchmark1[[#This Row],[Benchmark '#1 Dates]],Comp3[Comparable '#3 Dates],0)),"-")</f>
        <v>94.89</v>
      </c>
      <c r="R549" s="22">
        <f>IF(Benchmark1[[#This Row],[Comparable '#3 Date Check]]="Pass",INDEX(Comp3[Comparable '#3 Return],MATCH(Benchmark1[[#This Row],[Benchmark '#1 Dates]],Comp3[Comparable '#3 Dates],0)),"-")</f>
        <v>-1.2983116092057575E-2</v>
      </c>
      <c r="S549" s="1">
        <f>IFERROR(IF(Benchmark1[[#This Row],[Comparable '#3 Date Check]]="Pass",Benchmark1[[#This Row],[Comparable '#3 Return]]-Benchmark1[[#This Row],[Benchmark '#1 Return]],"-"),"-")</f>
        <v>-4.8165837484798971E-3</v>
      </c>
    </row>
    <row r="550" spans="1:19">
      <c r="A550" s="103">
        <v>44082</v>
      </c>
      <c r="B550" s="104">
        <v>3331.8428335382728</v>
      </c>
      <c r="C550" s="4">
        <f t="shared" si="8"/>
        <v>-2.8149156729629927E-2</v>
      </c>
      <c r="D550" s="1" t="str">
        <f>IF(COUNTIF(Target1[Target Dates],Benchmark1[[#This Row],[Benchmark '#1 Dates]])=1,"Pass","Fail")</f>
        <v>Pass</v>
      </c>
      <c r="E550" s="6">
        <f>IF(Benchmark1[[#This Row],[Target Date Check]]="Pass",INDEX(Target1[Target Price],MATCH(Benchmark1[[#This Row],[Benchmark '#1 Dates]],Target1[Target Dates],0)),"-")</f>
        <v>33.880000000000003</v>
      </c>
      <c r="F550" s="22">
        <f>IF(Benchmark1[[#This Row],[Target Date Check]]="Pass",INDEX(Target1[Target Return],MATCH(Benchmark1[[#This Row],[Benchmark '#1 Dates]],Target1[Target Dates],0)),"-")</f>
        <v>-1.1737223945725307E-2</v>
      </c>
      <c r="G550" s="1">
        <f>IFERROR(IF(Benchmark1[[#This Row],[Target Date Check]]="Pass",Benchmark1[[#This Row],[Target Return]]-Benchmark1[[#This Row],[Benchmark '#1 Return]],"-"),"-")</f>
        <v>1.6411932783904619E-2</v>
      </c>
      <c r="H550" s="1" t="str">
        <f>IF(COUNTIF(Comp1[Comparable '#1 Dates],Benchmark1[[#This Row],[Benchmark '#1 Dates]])=1,"Pass","Fail")</f>
        <v>Pass</v>
      </c>
      <c r="I550" s="6">
        <f>IF(Benchmark1[[#This Row],[Comparable '#1 Date Check]]="Pass",INDEX(Comp1[Comparable '#1 Price],MATCH(Benchmark1[[#This Row],[Benchmark '#1 Dates]],Comp1[Comparable '#1 Dates],0)),"-")</f>
        <v>12.3</v>
      </c>
      <c r="J550" s="22">
        <f>IF(Benchmark1[[#This Row],[Comparable '#1 Date Check]]="Pass",INDEX(Comp1[Comparable '#1 Return],MATCH(Benchmark1[[#This Row],[Benchmark '#1 Dates]],Comp1[Comparable '#1 Dates],0)),"-")</f>
        <v>-8.1267781799032211E-4</v>
      </c>
      <c r="K550" s="1">
        <f>IFERROR(IF(Benchmark1[[#This Row],[Comparable '#1 Date Check]]="Pass",Benchmark1[[#This Row],[Comparable '#1 Return]]-Benchmark1[[#This Row],[Benchmark '#1 Return]],"-"),"-")</f>
        <v>2.7336478911639605E-2</v>
      </c>
      <c r="L550" s="1" t="str">
        <f>IF(COUNTIF(Comp2[Comparable '#2 Dates],Benchmark1[[#This Row],[Benchmark '#1 Dates]])=1,"Pass","Fail")</f>
        <v>Pass</v>
      </c>
      <c r="M550" s="6">
        <f>IF(Benchmark1[[#This Row],[Comparable '#2 Date Check]]="Pass",INDEX(Comp2[Comparable '#2 Price],MATCH(Benchmark1[[#This Row],[Benchmark '#1 Dates]],Comp2[Comparable '#2 Dates],0)),"-")</f>
        <v>32.03</v>
      </c>
      <c r="N550" s="22">
        <f>IF(Benchmark1[[#This Row],[Comparable '#2 Date Check]]="Pass",INDEX(Comp2[Comparable '#2 Return],MATCH(Benchmark1[[#This Row],[Benchmark '#1 Dates]],Comp2[Comparable '#2 Dates],0)),"-")</f>
        <v>-3.2255906534423666E-2</v>
      </c>
      <c r="O550" s="1">
        <f>IFERROR(IF(Benchmark1[[#This Row],[Comparable '#2 Date Check]]="Pass",Benchmark1[[#This Row],[Comparable '#2 Return]]-Benchmark1[[#This Row],[Benchmark '#1 Return]],"-"),"-")</f>
        <v>-4.1067498047937384E-3</v>
      </c>
      <c r="P550" s="1" t="str">
        <f>IF(COUNTIF(Comp3[Comparable '#3 Dates],Benchmark1[[#This Row],[Benchmark '#1 Dates]])=1,"Pass","Fail")</f>
        <v>Pass</v>
      </c>
      <c r="Q550" s="6">
        <f>IF(Benchmark1[[#This Row],[Comparable '#3 Date Check]]="Pass",INDEX(Comp3[Comparable '#3 Price],MATCH(Benchmark1[[#This Row],[Benchmark '#1 Dates]],Comp3[Comparable '#3 Dates],0)),"-")</f>
        <v>94.63</v>
      </c>
      <c r="R550" s="22">
        <f>IF(Benchmark1[[#This Row],[Comparable '#3 Date Check]]="Pass",INDEX(Comp3[Comparable '#3 Return],MATCH(Benchmark1[[#This Row],[Benchmark '#1 Dates]],Comp3[Comparable '#3 Dates],0)),"-")</f>
        <v>-2.7437754655258439E-3</v>
      </c>
      <c r="S550" s="1">
        <f>IFERROR(IF(Benchmark1[[#This Row],[Comparable '#3 Date Check]]="Pass",Benchmark1[[#This Row],[Comparable '#3 Return]]-Benchmark1[[#This Row],[Benchmark '#1 Return]],"-"),"-")</f>
        <v>2.5405381264104084E-2</v>
      </c>
    </row>
    <row r="551" spans="1:19">
      <c r="A551" s="103">
        <v>44083</v>
      </c>
      <c r="B551" s="104">
        <v>3398.9593394112831</v>
      </c>
      <c r="C551" s="4">
        <f t="shared" si="8"/>
        <v>1.9943753741286752E-2</v>
      </c>
      <c r="D551" s="1" t="str">
        <f>IF(COUNTIF(Target1[Target Dates],Benchmark1[[#This Row],[Benchmark '#1 Dates]])=1,"Pass","Fail")</f>
        <v>Pass</v>
      </c>
      <c r="E551" s="6">
        <f>IF(Benchmark1[[#This Row],[Target Date Check]]="Pass",INDEX(Target1[Target Price],MATCH(Benchmark1[[#This Row],[Benchmark '#1 Dates]],Target1[Target Dates],0)),"-")</f>
        <v>33.76</v>
      </c>
      <c r="F551" s="22">
        <f>IF(Benchmark1[[#This Row],[Target Date Check]]="Pass",INDEX(Target1[Target Return],MATCH(Benchmark1[[#This Row],[Benchmark '#1 Dates]],Target1[Target Dates],0)),"-")</f>
        <v>-3.5482000560974418E-3</v>
      </c>
      <c r="G551" s="1">
        <f>IFERROR(IF(Benchmark1[[#This Row],[Target Date Check]]="Pass",Benchmark1[[#This Row],[Target Return]]-Benchmark1[[#This Row],[Benchmark '#1 Return]],"-"),"-")</f>
        <v>-2.3491953797384193E-2</v>
      </c>
      <c r="H551" s="1" t="str">
        <f>IF(COUNTIF(Comp1[Comparable '#1 Dates],Benchmark1[[#This Row],[Benchmark '#1 Dates]])=1,"Pass","Fail")</f>
        <v>Pass</v>
      </c>
      <c r="I551" s="6">
        <f>IF(Benchmark1[[#This Row],[Comparable '#1 Date Check]]="Pass",INDEX(Comp1[Comparable '#1 Price],MATCH(Benchmark1[[#This Row],[Benchmark '#1 Dates]],Comp1[Comparable '#1 Dates],0)),"-")</f>
        <v>12.47</v>
      </c>
      <c r="J551" s="22">
        <f>IF(Benchmark1[[#This Row],[Comparable '#1 Date Check]]="Pass",INDEX(Comp1[Comparable '#1 Return],MATCH(Benchmark1[[#This Row],[Benchmark '#1 Dates]],Comp1[Comparable '#1 Dates],0)),"-")</f>
        <v>1.3726497313573357E-2</v>
      </c>
      <c r="K551" s="1">
        <f>IFERROR(IF(Benchmark1[[#This Row],[Comparable '#1 Date Check]]="Pass",Benchmark1[[#This Row],[Comparable '#1 Return]]-Benchmark1[[#This Row],[Benchmark '#1 Return]],"-"),"-")</f>
        <v>-6.2172564277133951E-3</v>
      </c>
      <c r="L551" s="1" t="str">
        <f>IF(COUNTIF(Comp2[Comparable '#2 Dates],Benchmark1[[#This Row],[Benchmark '#1 Dates]])=1,"Pass","Fail")</f>
        <v>Pass</v>
      </c>
      <c r="M551" s="6">
        <f>IF(Benchmark1[[#This Row],[Comparable '#2 Date Check]]="Pass",INDEX(Comp2[Comparable '#2 Price],MATCH(Benchmark1[[#This Row],[Benchmark '#1 Dates]],Comp2[Comparable '#2 Dates],0)),"-")</f>
        <v>31.27</v>
      </c>
      <c r="N551" s="22">
        <f>IF(Benchmark1[[#This Row],[Comparable '#2 Date Check]]="Pass",INDEX(Comp2[Comparable '#2 Return],MATCH(Benchmark1[[#This Row],[Benchmark '#1 Dates]],Comp2[Comparable '#2 Dates],0)),"-")</f>
        <v>-2.4013792151316951E-2</v>
      </c>
      <c r="O551" s="1">
        <f>IFERROR(IF(Benchmark1[[#This Row],[Comparable '#2 Date Check]]="Pass",Benchmark1[[#This Row],[Comparable '#2 Return]]-Benchmark1[[#This Row],[Benchmark '#1 Return]],"-"),"-")</f>
        <v>-4.39575458926037E-2</v>
      </c>
      <c r="P551" s="1" t="str">
        <f>IF(COUNTIF(Comp3[Comparable '#3 Dates],Benchmark1[[#This Row],[Benchmark '#1 Dates]])=1,"Pass","Fail")</f>
        <v>Pass</v>
      </c>
      <c r="Q551" s="6">
        <f>IF(Benchmark1[[#This Row],[Comparable '#3 Date Check]]="Pass",INDEX(Comp3[Comparable '#3 Price],MATCH(Benchmark1[[#This Row],[Benchmark '#1 Dates]],Comp3[Comparable '#3 Dates],0)),"-")</f>
        <v>92.69</v>
      </c>
      <c r="R551" s="22">
        <f>IF(Benchmark1[[#This Row],[Comparable '#3 Date Check]]="Pass",INDEX(Comp3[Comparable '#3 Return],MATCH(Benchmark1[[#This Row],[Benchmark '#1 Dates]],Comp3[Comparable '#3 Dates],0)),"-")</f>
        <v>-2.0713958632399998E-2</v>
      </c>
      <c r="S551" s="1">
        <f>IFERROR(IF(Benchmark1[[#This Row],[Comparable '#3 Date Check]]="Pass",Benchmark1[[#This Row],[Comparable '#3 Return]]-Benchmark1[[#This Row],[Benchmark '#1 Return]],"-"),"-")</f>
        <v>-4.0657712373686747E-2</v>
      </c>
    </row>
    <row r="552" spans="1:19">
      <c r="A552" s="103">
        <v>44084</v>
      </c>
      <c r="B552" s="104">
        <v>3339.185065847621</v>
      </c>
      <c r="C552" s="4">
        <f t="shared" si="8"/>
        <v>-1.7742523170896023E-2</v>
      </c>
      <c r="D552" s="1" t="str">
        <f>IF(COUNTIF(Target1[Target Dates],Benchmark1[[#This Row],[Benchmark '#1 Dates]])=1,"Pass","Fail")</f>
        <v>Pass</v>
      </c>
      <c r="E552" s="6">
        <f>IF(Benchmark1[[#This Row],[Target Date Check]]="Pass",INDEX(Target1[Target Price],MATCH(Benchmark1[[#This Row],[Benchmark '#1 Dates]],Target1[Target Dates],0)),"-")</f>
        <v>30.55</v>
      </c>
      <c r="F552" s="22">
        <f>IF(Benchmark1[[#This Row],[Target Date Check]]="Pass",INDEX(Target1[Target Return],MATCH(Benchmark1[[#This Row],[Benchmark '#1 Dates]],Target1[Target Dates],0)),"-")</f>
        <v>-9.9911984110151897E-2</v>
      </c>
      <c r="G552" s="1">
        <f>IFERROR(IF(Benchmark1[[#This Row],[Target Date Check]]="Pass",Benchmark1[[#This Row],[Target Return]]-Benchmark1[[#This Row],[Benchmark '#1 Return]],"-"),"-")</f>
        <v>-8.2169460939255867E-2</v>
      </c>
      <c r="H552" s="1" t="str">
        <f>IF(COUNTIF(Comp1[Comparable '#1 Dates],Benchmark1[[#This Row],[Benchmark '#1 Dates]])=1,"Pass","Fail")</f>
        <v>Pass</v>
      </c>
      <c r="I552" s="6">
        <f>IF(Benchmark1[[#This Row],[Comparable '#1 Date Check]]="Pass",INDEX(Comp1[Comparable '#1 Price],MATCH(Benchmark1[[#This Row],[Benchmark '#1 Dates]],Comp1[Comparable '#1 Dates],0)),"-")</f>
        <v>12.17</v>
      </c>
      <c r="J552" s="22">
        <f>IF(Benchmark1[[#This Row],[Comparable '#1 Date Check]]="Pass",INDEX(Comp1[Comparable '#1 Return],MATCH(Benchmark1[[#This Row],[Benchmark '#1 Dates]],Comp1[Comparable '#1 Dates],0)),"-")</f>
        <v>-2.4351852692509307E-2</v>
      </c>
      <c r="K552" s="1">
        <f>IFERROR(IF(Benchmark1[[#This Row],[Comparable '#1 Date Check]]="Pass",Benchmark1[[#This Row],[Comparable '#1 Return]]-Benchmark1[[#This Row],[Benchmark '#1 Return]],"-"),"-")</f>
        <v>-6.6093295216132844E-3</v>
      </c>
      <c r="L552" s="1" t="str">
        <f>IF(COUNTIF(Comp2[Comparable '#2 Dates],Benchmark1[[#This Row],[Benchmark '#1 Dates]])=1,"Pass","Fail")</f>
        <v>Pass</v>
      </c>
      <c r="M552" s="6">
        <f>IF(Benchmark1[[#This Row],[Comparable '#2 Date Check]]="Pass",INDEX(Comp2[Comparable '#2 Price],MATCH(Benchmark1[[#This Row],[Benchmark '#1 Dates]],Comp2[Comparable '#2 Dates],0)),"-")</f>
        <v>31.3</v>
      </c>
      <c r="N552" s="22">
        <f>IF(Benchmark1[[#This Row],[Comparable '#2 Date Check]]="Pass",INDEX(Comp2[Comparable '#2 Return],MATCH(Benchmark1[[#This Row],[Benchmark '#1 Dates]],Comp2[Comparable '#2 Dates],0)),"-")</f>
        <v>9.589260763577473E-4</v>
      </c>
      <c r="O552" s="1">
        <f>IFERROR(IF(Benchmark1[[#This Row],[Comparable '#2 Date Check]]="Pass",Benchmark1[[#This Row],[Comparable '#2 Return]]-Benchmark1[[#This Row],[Benchmark '#1 Return]],"-"),"-")</f>
        <v>1.8701449247253771E-2</v>
      </c>
      <c r="P552" s="1" t="str">
        <f>IF(COUNTIF(Comp3[Comparable '#3 Dates],Benchmark1[[#This Row],[Benchmark '#1 Dates]])=1,"Pass","Fail")</f>
        <v>Pass</v>
      </c>
      <c r="Q552" s="6">
        <f>IF(Benchmark1[[#This Row],[Comparable '#3 Date Check]]="Pass",INDEX(Comp3[Comparable '#3 Price],MATCH(Benchmark1[[#This Row],[Benchmark '#1 Dates]],Comp3[Comparable '#3 Dates],0)),"-")</f>
        <v>90.24</v>
      </c>
      <c r="R552" s="22">
        <f>IF(Benchmark1[[#This Row],[Comparable '#3 Date Check]]="Pass",INDEX(Comp3[Comparable '#3 Return],MATCH(Benchmark1[[#This Row],[Benchmark '#1 Dates]],Comp3[Comparable '#3 Dates],0)),"-")</f>
        <v>-2.6787804137992602E-2</v>
      </c>
      <c r="S552" s="1">
        <f>IFERROR(IF(Benchmark1[[#This Row],[Comparable '#3 Date Check]]="Pass",Benchmark1[[#This Row],[Comparable '#3 Return]]-Benchmark1[[#This Row],[Benchmark '#1 Return]],"-"),"-")</f>
        <v>-9.0452809670965792E-3</v>
      </c>
    </row>
    <row r="553" spans="1:19">
      <c r="A553" s="103">
        <v>44085</v>
      </c>
      <c r="B553" s="104">
        <v>3340.96617473478</v>
      </c>
      <c r="C553" s="4">
        <f t="shared" si="8"/>
        <v>5.3325407321460456E-4</v>
      </c>
      <c r="D553" s="1" t="str">
        <f>IF(COUNTIF(Target1[Target Dates],Benchmark1[[#This Row],[Benchmark '#1 Dates]])=1,"Pass","Fail")</f>
        <v>Pass</v>
      </c>
      <c r="E553" s="6">
        <f>IF(Benchmark1[[#This Row],[Target Date Check]]="Pass",INDEX(Target1[Target Price],MATCH(Benchmark1[[#This Row],[Benchmark '#1 Dates]],Target1[Target Dates],0)),"-")</f>
        <v>30.86</v>
      </c>
      <c r="F553" s="22">
        <f>IF(Benchmark1[[#This Row],[Target Date Check]]="Pass",INDEX(Target1[Target Return],MATCH(Benchmark1[[#This Row],[Benchmark '#1 Dates]],Target1[Target Dates],0)),"-")</f>
        <v>1.0096161317410321E-2</v>
      </c>
      <c r="G553" s="1">
        <f>IFERROR(IF(Benchmark1[[#This Row],[Target Date Check]]="Pass",Benchmark1[[#This Row],[Target Return]]-Benchmark1[[#This Row],[Benchmark '#1 Return]],"-"),"-")</f>
        <v>9.5629072441957164E-3</v>
      </c>
      <c r="H553" s="1" t="str">
        <f>IF(COUNTIF(Comp1[Comparable '#1 Dates],Benchmark1[[#This Row],[Benchmark '#1 Dates]])=1,"Pass","Fail")</f>
        <v>Pass</v>
      </c>
      <c r="I553" s="6">
        <f>IF(Benchmark1[[#This Row],[Comparable '#1 Date Check]]="Pass",INDEX(Comp1[Comparable '#1 Price],MATCH(Benchmark1[[#This Row],[Benchmark '#1 Dates]],Comp1[Comparable '#1 Dates],0)),"-")</f>
        <v>13.29</v>
      </c>
      <c r="J553" s="22">
        <f>IF(Benchmark1[[#This Row],[Comparable '#1 Date Check]]="Pass",INDEX(Comp1[Comparable '#1 Return],MATCH(Benchmark1[[#This Row],[Benchmark '#1 Dates]],Comp1[Comparable '#1 Dates],0)),"-")</f>
        <v>8.8037965725718037E-2</v>
      </c>
      <c r="K553" s="1">
        <f>IFERROR(IF(Benchmark1[[#This Row],[Comparable '#1 Date Check]]="Pass",Benchmark1[[#This Row],[Comparable '#1 Return]]-Benchmark1[[#This Row],[Benchmark '#1 Return]],"-"),"-")</f>
        <v>8.7504711652503439E-2</v>
      </c>
      <c r="L553" s="1" t="str">
        <f>IF(COUNTIF(Comp2[Comparable '#2 Dates],Benchmark1[[#This Row],[Benchmark '#1 Dates]])=1,"Pass","Fail")</f>
        <v>Pass</v>
      </c>
      <c r="M553" s="6">
        <f>IF(Benchmark1[[#This Row],[Comparable '#2 Date Check]]="Pass",INDEX(Comp2[Comparable '#2 Price],MATCH(Benchmark1[[#This Row],[Benchmark '#1 Dates]],Comp2[Comparable '#2 Dates],0)),"-")</f>
        <v>29.04</v>
      </c>
      <c r="N553" s="22">
        <f>IF(Benchmark1[[#This Row],[Comparable '#2 Date Check]]="Pass",INDEX(Comp2[Comparable '#2 Return],MATCH(Benchmark1[[#This Row],[Benchmark '#1 Dates]],Comp2[Comparable '#2 Dates],0)),"-")</f>
        <v>-7.4943907589512276E-2</v>
      </c>
      <c r="O553" s="1">
        <f>IFERROR(IF(Benchmark1[[#This Row],[Comparable '#2 Date Check]]="Pass",Benchmark1[[#This Row],[Comparable '#2 Return]]-Benchmark1[[#This Row],[Benchmark '#1 Return]],"-"),"-")</f>
        <v>-7.5477161662726874E-2</v>
      </c>
      <c r="P553" s="1" t="str">
        <f>IF(COUNTIF(Comp3[Comparable '#3 Dates],Benchmark1[[#This Row],[Benchmark '#1 Dates]])=1,"Pass","Fail")</f>
        <v>Pass</v>
      </c>
      <c r="Q553" s="6">
        <f>IF(Benchmark1[[#This Row],[Comparable '#3 Date Check]]="Pass",INDEX(Comp3[Comparable '#3 Price],MATCH(Benchmark1[[#This Row],[Benchmark '#1 Dates]],Comp3[Comparable '#3 Dates],0)),"-")</f>
        <v>88.53</v>
      </c>
      <c r="R553" s="22">
        <f>IF(Benchmark1[[#This Row],[Comparable '#3 Date Check]]="Pass",INDEX(Comp3[Comparable '#3 Return],MATCH(Benchmark1[[#This Row],[Benchmark '#1 Dates]],Comp3[Comparable '#3 Dates],0)),"-")</f>
        <v>-1.9131310126790983E-2</v>
      </c>
      <c r="S553" s="1">
        <f>IFERROR(IF(Benchmark1[[#This Row],[Comparable '#3 Date Check]]="Pass",Benchmark1[[#This Row],[Comparable '#3 Return]]-Benchmark1[[#This Row],[Benchmark '#1 Return]],"-"),"-")</f>
        <v>-1.9664564200005587E-2</v>
      </c>
    </row>
    <row r="554" spans="1:19">
      <c r="A554" s="103">
        <v>44088</v>
      </c>
      <c r="B554" s="104">
        <v>3383.5416419748422</v>
      </c>
      <c r="C554" s="4">
        <f t="shared" si="8"/>
        <v>1.2662944951315747E-2</v>
      </c>
      <c r="D554" s="1" t="str">
        <f>IF(COUNTIF(Target1[Target Dates],Benchmark1[[#This Row],[Benchmark '#1 Dates]])=1,"Pass","Fail")</f>
        <v>Pass</v>
      </c>
      <c r="E554" s="6">
        <f>IF(Benchmark1[[#This Row],[Target Date Check]]="Pass",INDEX(Target1[Target Price],MATCH(Benchmark1[[#This Row],[Benchmark '#1 Dates]],Target1[Target Dates],0)),"-")</f>
        <v>31.12</v>
      </c>
      <c r="F554" s="22">
        <f>IF(Benchmark1[[#This Row],[Target Date Check]]="Pass",INDEX(Target1[Target Return],MATCH(Benchmark1[[#This Row],[Benchmark '#1 Dates]],Target1[Target Dates],0)),"-")</f>
        <v>8.3898523751760237E-3</v>
      </c>
      <c r="G554" s="1">
        <f>IFERROR(IF(Benchmark1[[#This Row],[Target Date Check]]="Pass",Benchmark1[[#This Row],[Target Return]]-Benchmark1[[#This Row],[Benchmark '#1 Return]],"-"),"-")</f>
        <v>-4.2730925761397236E-3</v>
      </c>
      <c r="H554" s="1" t="str">
        <f>IF(COUNTIF(Comp1[Comparable '#1 Dates],Benchmark1[[#This Row],[Benchmark '#1 Dates]])=1,"Pass","Fail")</f>
        <v>Pass</v>
      </c>
      <c r="I554" s="6">
        <f>IF(Benchmark1[[#This Row],[Comparable '#1 Date Check]]="Pass",INDEX(Comp1[Comparable '#1 Price],MATCH(Benchmark1[[#This Row],[Benchmark '#1 Dates]],Comp1[Comparable '#1 Dates],0)),"-")</f>
        <v>13.13</v>
      </c>
      <c r="J554" s="22">
        <f>IF(Benchmark1[[#This Row],[Comparable '#1 Date Check]]="Pass",INDEX(Comp1[Comparable '#1 Return],MATCH(Benchmark1[[#This Row],[Benchmark '#1 Dates]],Comp1[Comparable '#1 Dates],0)),"-")</f>
        <v>-1.2112184410449074E-2</v>
      </c>
      <c r="K554" s="1">
        <f>IFERROR(IF(Benchmark1[[#This Row],[Comparable '#1 Date Check]]="Pass",Benchmark1[[#This Row],[Comparable '#1 Return]]-Benchmark1[[#This Row],[Benchmark '#1 Return]],"-"),"-")</f>
        <v>-2.4775129361764819E-2</v>
      </c>
      <c r="L554" s="1" t="str">
        <f>IF(COUNTIF(Comp2[Comparable '#2 Dates],Benchmark1[[#This Row],[Benchmark '#1 Dates]])=1,"Pass","Fail")</f>
        <v>Pass</v>
      </c>
      <c r="M554" s="6">
        <f>IF(Benchmark1[[#This Row],[Comparable '#2 Date Check]]="Pass",INDEX(Comp2[Comparable '#2 Price],MATCH(Benchmark1[[#This Row],[Benchmark '#1 Dates]],Comp2[Comparable '#2 Dates],0)),"-")</f>
        <v>27.46</v>
      </c>
      <c r="N554" s="22">
        <f>IF(Benchmark1[[#This Row],[Comparable '#2 Date Check]]="Pass",INDEX(Comp2[Comparable '#2 Return],MATCH(Benchmark1[[#This Row],[Benchmark '#1 Dates]],Comp2[Comparable '#2 Dates],0)),"-")</f>
        <v>-5.5943789616770254E-2</v>
      </c>
      <c r="O554" s="1">
        <f>IFERROR(IF(Benchmark1[[#This Row],[Comparable '#2 Date Check]]="Pass",Benchmark1[[#This Row],[Comparable '#2 Return]]-Benchmark1[[#This Row],[Benchmark '#1 Return]],"-"),"-")</f>
        <v>-6.8606734568085997E-2</v>
      </c>
      <c r="P554" s="1" t="str">
        <f>IF(COUNTIF(Comp3[Comparable '#3 Dates],Benchmark1[[#This Row],[Benchmark '#1 Dates]])=1,"Pass","Fail")</f>
        <v>Pass</v>
      </c>
      <c r="Q554" s="6">
        <f>IF(Benchmark1[[#This Row],[Comparable '#3 Date Check]]="Pass",INDEX(Comp3[Comparable '#3 Price],MATCH(Benchmark1[[#This Row],[Benchmark '#1 Dates]],Comp3[Comparable '#3 Dates],0)),"-")</f>
        <v>89.7</v>
      </c>
      <c r="R554" s="22">
        <f>IF(Benchmark1[[#This Row],[Comparable '#3 Date Check]]="Pass",INDEX(Comp3[Comparable '#3 Return],MATCH(Benchmark1[[#This Row],[Benchmark '#1 Dates]],Comp3[Comparable '#3 Dates],0)),"-")</f>
        <v>1.3129291441792802E-2</v>
      </c>
      <c r="S554" s="1">
        <f>IFERROR(IF(Benchmark1[[#This Row],[Comparable '#3 Date Check]]="Pass",Benchmark1[[#This Row],[Comparable '#3 Return]]-Benchmark1[[#This Row],[Benchmark '#1 Return]],"-"),"-")</f>
        <v>4.6634649047705423E-4</v>
      </c>
    </row>
    <row r="555" spans="1:19">
      <c r="A555" s="103">
        <v>44089</v>
      </c>
      <c r="B555" s="104">
        <v>3401.2009666666004</v>
      </c>
      <c r="C555" s="4">
        <f t="shared" si="8"/>
        <v>5.2056107618616296E-3</v>
      </c>
      <c r="D555" s="1" t="str">
        <f>IF(COUNTIF(Target1[Target Dates],Benchmark1[[#This Row],[Benchmark '#1 Dates]])=1,"Pass","Fail")</f>
        <v>Pass</v>
      </c>
      <c r="E555" s="6">
        <f>IF(Benchmark1[[#This Row],[Target Date Check]]="Pass",INDEX(Target1[Target Price],MATCH(Benchmark1[[#This Row],[Benchmark '#1 Dates]],Target1[Target Dates],0)),"-")</f>
        <v>30.92</v>
      </c>
      <c r="F555" s="22">
        <f>IF(Benchmark1[[#This Row],[Target Date Check]]="Pass",INDEX(Target1[Target Return],MATCH(Benchmark1[[#This Row],[Benchmark '#1 Dates]],Target1[Target Dates],0)),"-")</f>
        <v>-6.4474755909696485E-3</v>
      </c>
      <c r="G555" s="1">
        <f>IFERROR(IF(Benchmark1[[#This Row],[Target Date Check]]="Pass",Benchmark1[[#This Row],[Target Return]]-Benchmark1[[#This Row],[Benchmark '#1 Return]],"-"),"-")</f>
        <v>-1.1653086352831278E-2</v>
      </c>
      <c r="H555" s="1" t="str">
        <f>IF(COUNTIF(Comp1[Comparable '#1 Dates],Benchmark1[[#This Row],[Benchmark '#1 Dates]])=1,"Pass","Fail")</f>
        <v>Pass</v>
      </c>
      <c r="I555" s="6">
        <f>IF(Benchmark1[[#This Row],[Comparable '#1 Date Check]]="Pass",INDEX(Comp1[Comparable '#1 Price],MATCH(Benchmark1[[#This Row],[Benchmark '#1 Dates]],Comp1[Comparable '#1 Dates],0)),"-")</f>
        <v>12.62</v>
      </c>
      <c r="J555" s="22">
        <f>IF(Benchmark1[[#This Row],[Comparable '#1 Date Check]]="Pass",INDEX(Comp1[Comparable '#1 Return],MATCH(Benchmark1[[#This Row],[Benchmark '#1 Dates]],Comp1[Comparable '#1 Dates],0)),"-")</f>
        <v>-3.9616831201637795E-2</v>
      </c>
      <c r="K555" s="1">
        <f>IFERROR(IF(Benchmark1[[#This Row],[Comparable '#1 Date Check]]="Pass",Benchmark1[[#This Row],[Comparable '#1 Return]]-Benchmark1[[#This Row],[Benchmark '#1 Return]],"-"),"-")</f>
        <v>-4.4822441963499424E-2</v>
      </c>
      <c r="L555" s="1" t="str">
        <f>IF(COUNTIF(Comp2[Comparable '#2 Dates],Benchmark1[[#This Row],[Benchmark '#1 Dates]])=1,"Pass","Fail")</f>
        <v>Pass</v>
      </c>
      <c r="M555" s="6">
        <f>IF(Benchmark1[[#This Row],[Comparable '#2 Date Check]]="Pass",INDEX(Comp2[Comparable '#2 Price],MATCH(Benchmark1[[#This Row],[Benchmark '#1 Dates]],Comp2[Comparable '#2 Dates],0)),"-")</f>
        <v>26.15</v>
      </c>
      <c r="N555" s="22">
        <f>IF(Benchmark1[[#This Row],[Comparable '#2 Date Check]]="Pass",INDEX(Comp2[Comparable '#2 Return],MATCH(Benchmark1[[#This Row],[Benchmark '#1 Dates]],Comp2[Comparable '#2 Dates],0)),"-")</f>
        <v>-4.888120982889322E-2</v>
      </c>
      <c r="O555" s="1">
        <f>IFERROR(IF(Benchmark1[[#This Row],[Comparable '#2 Date Check]]="Pass",Benchmark1[[#This Row],[Comparable '#2 Return]]-Benchmark1[[#This Row],[Benchmark '#1 Return]],"-"),"-")</f>
        <v>-5.4086820590754849E-2</v>
      </c>
      <c r="P555" s="1" t="str">
        <f>IF(COUNTIF(Comp3[Comparable '#3 Dates],Benchmark1[[#This Row],[Benchmark '#1 Dates]])=1,"Pass","Fail")</f>
        <v>Pass</v>
      </c>
      <c r="Q555" s="6">
        <f>IF(Benchmark1[[#This Row],[Comparable '#3 Date Check]]="Pass",INDEX(Comp3[Comparable '#3 Price],MATCH(Benchmark1[[#This Row],[Benchmark '#1 Dates]],Comp3[Comparable '#3 Dates],0)),"-")</f>
        <v>90.01</v>
      </c>
      <c r="R555" s="22">
        <f>IF(Benchmark1[[#This Row],[Comparable '#3 Date Check]]="Pass",INDEX(Comp3[Comparable '#3 Return],MATCH(Benchmark1[[#This Row],[Benchmark '#1 Dates]],Comp3[Comparable '#3 Dates],0)),"-")</f>
        <v>3.4500062042435403E-3</v>
      </c>
      <c r="S555" s="1">
        <f>IFERROR(IF(Benchmark1[[#This Row],[Comparable '#3 Date Check]]="Pass",Benchmark1[[#This Row],[Comparable '#3 Return]]-Benchmark1[[#This Row],[Benchmark '#1 Return]],"-"),"-")</f>
        <v>-1.7556045576180893E-3</v>
      </c>
    </row>
    <row r="556" spans="1:19">
      <c r="A556" s="103">
        <v>44090</v>
      </c>
      <c r="B556" s="104">
        <v>3385.4909960365785</v>
      </c>
      <c r="C556" s="4">
        <f t="shared" si="8"/>
        <v>-4.6296483696349564E-3</v>
      </c>
      <c r="D556" s="1" t="str">
        <f>IF(COUNTIF(Target1[Target Dates],Benchmark1[[#This Row],[Benchmark '#1 Dates]])=1,"Pass","Fail")</f>
        <v>Pass</v>
      </c>
      <c r="E556" s="6">
        <f>IF(Benchmark1[[#This Row],[Target Date Check]]="Pass",INDEX(Target1[Target Price],MATCH(Benchmark1[[#This Row],[Benchmark '#1 Dates]],Target1[Target Dates],0)),"-")</f>
        <v>29.62</v>
      </c>
      <c r="F556" s="22">
        <f>IF(Benchmark1[[#This Row],[Target Date Check]]="Pass",INDEX(Target1[Target Return],MATCH(Benchmark1[[#This Row],[Benchmark '#1 Dates]],Target1[Target Dates],0)),"-")</f>
        <v>-4.2953414879568497E-2</v>
      </c>
      <c r="G556" s="1">
        <f>IFERROR(IF(Benchmark1[[#This Row],[Target Date Check]]="Pass",Benchmark1[[#This Row],[Target Return]]-Benchmark1[[#This Row],[Benchmark '#1 Return]],"-"),"-")</f>
        <v>-3.8323766509933542E-2</v>
      </c>
      <c r="H556" s="1" t="str">
        <f>IF(COUNTIF(Comp1[Comparable '#1 Dates],Benchmark1[[#This Row],[Benchmark '#1 Dates]])=1,"Pass","Fail")</f>
        <v>Pass</v>
      </c>
      <c r="I556" s="6">
        <f>IF(Benchmark1[[#This Row],[Comparable '#1 Date Check]]="Pass",INDEX(Comp1[Comparable '#1 Price],MATCH(Benchmark1[[#This Row],[Benchmark '#1 Dates]],Comp1[Comparable '#1 Dates],0)),"-")</f>
        <v>13</v>
      </c>
      <c r="J556" s="22">
        <f>IF(Benchmark1[[#This Row],[Comparable '#1 Date Check]]="Pass",INDEX(Comp1[Comparable '#1 Return],MATCH(Benchmark1[[#This Row],[Benchmark '#1 Dates]],Comp1[Comparable '#1 Dates],0)),"-")</f>
        <v>2.9666500348469668E-2</v>
      </c>
      <c r="K556" s="1">
        <f>IFERROR(IF(Benchmark1[[#This Row],[Comparable '#1 Date Check]]="Pass",Benchmark1[[#This Row],[Comparable '#1 Return]]-Benchmark1[[#This Row],[Benchmark '#1 Return]],"-"),"-")</f>
        <v>3.4296148718104623E-2</v>
      </c>
      <c r="L556" s="1" t="str">
        <f>IF(COUNTIF(Comp2[Comparable '#2 Dates],Benchmark1[[#This Row],[Benchmark '#1 Dates]])=1,"Pass","Fail")</f>
        <v>Pass</v>
      </c>
      <c r="M556" s="6">
        <f>IF(Benchmark1[[#This Row],[Comparable '#2 Date Check]]="Pass",INDEX(Comp2[Comparable '#2 Price],MATCH(Benchmark1[[#This Row],[Benchmark '#1 Dates]],Comp2[Comparable '#2 Dates],0)),"-")</f>
        <v>26.54</v>
      </c>
      <c r="N556" s="22">
        <f>IF(Benchmark1[[#This Row],[Comparable '#2 Date Check]]="Pass",INDEX(Comp2[Comparable '#2 Return],MATCH(Benchmark1[[#This Row],[Benchmark '#1 Dates]],Comp2[Comparable '#2 Dates],0)),"-")</f>
        <v>1.4803838393129501E-2</v>
      </c>
      <c r="O556" s="1">
        <f>IFERROR(IF(Benchmark1[[#This Row],[Comparable '#2 Date Check]]="Pass",Benchmark1[[#This Row],[Comparable '#2 Return]]-Benchmark1[[#This Row],[Benchmark '#1 Return]],"-"),"-")</f>
        <v>1.9433486762764456E-2</v>
      </c>
      <c r="P556" s="1" t="str">
        <f>IF(COUNTIF(Comp3[Comparable '#3 Dates],Benchmark1[[#This Row],[Benchmark '#1 Dates]])=1,"Pass","Fail")</f>
        <v>Pass</v>
      </c>
      <c r="Q556" s="6">
        <f>IF(Benchmark1[[#This Row],[Comparable '#3 Date Check]]="Pass",INDEX(Comp3[Comparable '#3 Price],MATCH(Benchmark1[[#This Row],[Benchmark '#1 Dates]],Comp3[Comparable '#3 Dates],0)),"-")</f>
        <v>93</v>
      </c>
      <c r="R556" s="22">
        <f>IF(Benchmark1[[#This Row],[Comparable '#3 Date Check]]="Pass",INDEX(Comp3[Comparable '#3 Return],MATCH(Benchmark1[[#This Row],[Benchmark '#1 Dates]],Comp3[Comparable '#3 Dates],0)),"-")</f>
        <v>3.2678717884261944E-2</v>
      </c>
      <c r="S556" s="1">
        <f>IFERROR(IF(Benchmark1[[#This Row],[Comparable '#3 Date Check]]="Pass",Benchmark1[[#This Row],[Comparable '#3 Return]]-Benchmark1[[#This Row],[Benchmark '#1 Return]],"-"),"-")</f>
        <v>3.7308366253896899E-2</v>
      </c>
    </row>
    <row r="557" spans="1:19">
      <c r="A557" s="103">
        <v>44091</v>
      </c>
      <c r="B557" s="104">
        <v>3357.0099696300363</v>
      </c>
      <c r="C557" s="4">
        <f t="shared" si="8"/>
        <v>-8.4482585763256957E-3</v>
      </c>
      <c r="D557" s="1" t="str">
        <f>IF(COUNTIF(Target1[Target Dates],Benchmark1[[#This Row],[Benchmark '#1 Dates]])=1,"Pass","Fail")</f>
        <v>Pass</v>
      </c>
      <c r="E557" s="6">
        <f>IF(Benchmark1[[#This Row],[Target Date Check]]="Pass",INDEX(Target1[Target Price],MATCH(Benchmark1[[#This Row],[Benchmark '#1 Dates]],Target1[Target Dates],0)),"-")</f>
        <v>28.3</v>
      </c>
      <c r="F557" s="22">
        <f>IF(Benchmark1[[#This Row],[Target Date Check]]="Pass",INDEX(Target1[Target Return],MATCH(Benchmark1[[#This Row],[Benchmark '#1 Dates]],Target1[Target Dates],0)),"-")</f>
        <v>-4.5588004190460822E-2</v>
      </c>
      <c r="G557" s="1">
        <f>IFERROR(IF(Benchmark1[[#This Row],[Target Date Check]]="Pass",Benchmark1[[#This Row],[Target Return]]-Benchmark1[[#This Row],[Benchmark '#1 Return]],"-"),"-")</f>
        <v>-3.7139745614135126E-2</v>
      </c>
      <c r="H557" s="1" t="str">
        <f>IF(COUNTIF(Comp1[Comparable '#1 Dates],Benchmark1[[#This Row],[Benchmark '#1 Dates]])=1,"Pass","Fail")</f>
        <v>Pass</v>
      </c>
      <c r="I557" s="6">
        <f>IF(Benchmark1[[#This Row],[Comparable '#1 Date Check]]="Pass",INDEX(Comp1[Comparable '#1 Price],MATCH(Benchmark1[[#This Row],[Benchmark '#1 Dates]],Comp1[Comparable '#1 Dates],0)),"-")</f>
        <v>13.16</v>
      </c>
      <c r="J557" s="22">
        <f>IF(Benchmark1[[#This Row],[Comparable '#1 Date Check]]="Pass",INDEX(Comp1[Comparable '#1 Return],MATCH(Benchmark1[[#This Row],[Benchmark '#1 Dates]],Comp1[Comparable '#1 Dates],0)),"-")</f>
        <v>1.2232568435634451E-2</v>
      </c>
      <c r="K557" s="1">
        <f>IFERROR(IF(Benchmark1[[#This Row],[Comparable '#1 Date Check]]="Pass",Benchmark1[[#This Row],[Comparable '#1 Return]]-Benchmark1[[#This Row],[Benchmark '#1 Return]],"-"),"-")</f>
        <v>2.0680827011960147E-2</v>
      </c>
      <c r="L557" s="1" t="str">
        <f>IF(COUNTIF(Comp2[Comparable '#2 Dates],Benchmark1[[#This Row],[Benchmark '#1 Dates]])=1,"Pass","Fail")</f>
        <v>Pass</v>
      </c>
      <c r="M557" s="6">
        <f>IF(Benchmark1[[#This Row],[Comparable '#2 Date Check]]="Pass",INDEX(Comp2[Comparable '#2 Price],MATCH(Benchmark1[[#This Row],[Benchmark '#1 Dates]],Comp2[Comparable '#2 Dates],0)),"-")</f>
        <v>26.29</v>
      </c>
      <c r="N557" s="22">
        <f>IF(Benchmark1[[#This Row],[Comparable '#2 Date Check]]="Pass",INDEX(Comp2[Comparable '#2 Return],MATCH(Benchmark1[[#This Row],[Benchmark '#1 Dates]],Comp2[Comparable '#2 Dates],0)),"-")</f>
        <v>-9.4643901622715638E-3</v>
      </c>
      <c r="O557" s="1">
        <f>IFERROR(IF(Benchmark1[[#This Row],[Comparable '#2 Date Check]]="Pass",Benchmark1[[#This Row],[Comparable '#2 Return]]-Benchmark1[[#This Row],[Benchmark '#1 Return]],"-"),"-")</f>
        <v>-1.0161315859458682E-3</v>
      </c>
      <c r="P557" s="1" t="str">
        <f>IF(COUNTIF(Comp3[Comparable '#3 Dates],Benchmark1[[#This Row],[Benchmark '#1 Dates]])=1,"Pass","Fail")</f>
        <v>Pass</v>
      </c>
      <c r="Q557" s="6">
        <f>IF(Benchmark1[[#This Row],[Comparable '#3 Date Check]]="Pass",INDEX(Comp3[Comparable '#3 Price],MATCH(Benchmark1[[#This Row],[Benchmark '#1 Dates]],Comp3[Comparable '#3 Dates],0)),"-")</f>
        <v>93.8</v>
      </c>
      <c r="R557" s="22">
        <f>IF(Benchmark1[[#This Row],[Comparable '#3 Date Check]]="Pass",INDEX(Comp3[Comparable '#3 Return],MATCH(Benchmark1[[#This Row],[Benchmark '#1 Dates]],Comp3[Comparable '#3 Dates],0)),"-")</f>
        <v>8.5653628589230004E-3</v>
      </c>
      <c r="S557" s="1">
        <f>IFERROR(IF(Benchmark1[[#This Row],[Comparable '#3 Date Check]]="Pass",Benchmark1[[#This Row],[Comparable '#3 Return]]-Benchmark1[[#This Row],[Benchmark '#1 Return]],"-"),"-")</f>
        <v>1.7013621435248698E-2</v>
      </c>
    </row>
    <row r="558" spans="1:19">
      <c r="A558" s="103">
        <v>44092</v>
      </c>
      <c r="B558" s="104">
        <v>3319.4658348440125</v>
      </c>
      <c r="C558" s="4">
        <f t="shared" si="8"/>
        <v>-1.1246810932457323E-2</v>
      </c>
      <c r="D558" s="1" t="str">
        <f>IF(COUNTIF(Target1[Target Dates],Benchmark1[[#This Row],[Benchmark '#1 Dates]])=1,"Pass","Fail")</f>
        <v>Pass</v>
      </c>
      <c r="E558" s="6">
        <f>IF(Benchmark1[[#This Row],[Target Date Check]]="Pass",INDEX(Target1[Target Price],MATCH(Benchmark1[[#This Row],[Benchmark '#1 Dates]],Target1[Target Dates],0)),"-")</f>
        <v>27.21</v>
      </c>
      <c r="F558" s="22">
        <f>IF(Benchmark1[[#This Row],[Target Date Check]]="Pass",INDEX(Target1[Target Return],MATCH(Benchmark1[[#This Row],[Benchmark '#1 Dates]],Target1[Target Dates],0)),"-")</f>
        <v>-3.9277251854036972E-2</v>
      </c>
      <c r="G558" s="1">
        <f>IFERROR(IF(Benchmark1[[#This Row],[Target Date Check]]="Pass",Benchmark1[[#This Row],[Target Return]]-Benchmark1[[#This Row],[Benchmark '#1 Return]],"-"),"-")</f>
        <v>-2.803044092157965E-2</v>
      </c>
      <c r="H558" s="1" t="str">
        <f>IF(COUNTIF(Comp1[Comparable '#1 Dates],Benchmark1[[#This Row],[Benchmark '#1 Dates]])=1,"Pass","Fail")</f>
        <v>Pass</v>
      </c>
      <c r="I558" s="6">
        <f>IF(Benchmark1[[#This Row],[Comparable '#1 Date Check]]="Pass",INDEX(Comp1[Comparable '#1 Price],MATCH(Benchmark1[[#This Row],[Benchmark '#1 Dates]],Comp1[Comparable '#1 Dates],0)),"-")</f>
        <v>12.99</v>
      </c>
      <c r="J558" s="22">
        <f>IF(Benchmark1[[#This Row],[Comparable '#1 Date Check]]="Pass",INDEX(Comp1[Comparable '#1 Return],MATCH(Benchmark1[[#This Row],[Benchmark '#1 Dates]],Comp1[Comparable '#1 Dates],0)),"-")</f>
        <v>-1.3002095214662996E-2</v>
      </c>
      <c r="K558" s="1">
        <f>IFERROR(IF(Benchmark1[[#This Row],[Comparable '#1 Date Check]]="Pass",Benchmark1[[#This Row],[Comparable '#1 Return]]-Benchmark1[[#This Row],[Benchmark '#1 Return]],"-"),"-")</f>
        <v>-1.7552842822056731E-3</v>
      </c>
      <c r="L558" s="1" t="str">
        <f>IF(COUNTIF(Comp2[Comparable '#2 Dates],Benchmark1[[#This Row],[Benchmark '#1 Dates]])=1,"Pass","Fail")</f>
        <v>Pass</v>
      </c>
      <c r="M558" s="6">
        <f>IF(Benchmark1[[#This Row],[Comparable '#2 Date Check]]="Pass",INDEX(Comp2[Comparable '#2 Price],MATCH(Benchmark1[[#This Row],[Benchmark '#1 Dates]],Comp2[Comparable '#2 Dates],0)),"-")</f>
        <v>25.81</v>
      </c>
      <c r="N558" s="22">
        <f>IF(Benchmark1[[#This Row],[Comparable '#2 Date Check]]="Pass",INDEX(Comp2[Comparable '#2 Return],MATCH(Benchmark1[[#This Row],[Benchmark '#1 Dates]],Comp2[Comparable '#2 Dates],0)),"-")</f>
        <v>-1.8426625011267374E-2</v>
      </c>
      <c r="O558" s="1">
        <f>IFERROR(IF(Benchmark1[[#This Row],[Comparable '#2 Date Check]]="Pass",Benchmark1[[#This Row],[Comparable '#2 Return]]-Benchmark1[[#This Row],[Benchmark '#1 Return]],"-"),"-")</f>
        <v>-7.1798140788100519E-3</v>
      </c>
      <c r="P558" s="1" t="str">
        <f>IF(COUNTIF(Comp3[Comparable '#3 Dates],Benchmark1[[#This Row],[Benchmark '#1 Dates]])=1,"Pass","Fail")</f>
        <v>Pass</v>
      </c>
      <c r="Q558" s="6">
        <f>IF(Benchmark1[[#This Row],[Comparable '#3 Date Check]]="Pass",INDEX(Comp3[Comparable '#3 Price],MATCH(Benchmark1[[#This Row],[Benchmark '#1 Dates]],Comp3[Comparable '#3 Dates],0)),"-")</f>
        <v>91.31</v>
      </c>
      <c r="R558" s="22">
        <f>IF(Benchmark1[[#This Row],[Comparable '#3 Date Check]]="Pass",INDEX(Comp3[Comparable '#3 Return],MATCH(Benchmark1[[#This Row],[Benchmark '#1 Dates]],Comp3[Comparable '#3 Dates],0)),"-")</f>
        <v>-2.690454538393015E-2</v>
      </c>
      <c r="S558" s="1">
        <f>IFERROR(IF(Benchmark1[[#This Row],[Comparable '#3 Date Check]]="Pass",Benchmark1[[#This Row],[Comparable '#3 Return]]-Benchmark1[[#This Row],[Benchmark '#1 Return]],"-"),"-")</f>
        <v>-1.5657734451472827E-2</v>
      </c>
    </row>
    <row r="559" spans="1:19">
      <c r="A559" s="103">
        <v>44095</v>
      </c>
      <c r="B559" s="104">
        <v>3281.0590213992555</v>
      </c>
      <c r="C559" s="4">
        <f t="shared" si="8"/>
        <v>-1.1637634202632776E-2</v>
      </c>
      <c r="D559" s="1" t="str">
        <f>IF(COUNTIF(Target1[Target Dates],Benchmark1[[#This Row],[Benchmark '#1 Dates]])=1,"Pass","Fail")</f>
        <v>Pass</v>
      </c>
      <c r="E559" s="6">
        <f>IF(Benchmark1[[#This Row],[Target Date Check]]="Pass",INDEX(Target1[Target Price],MATCH(Benchmark1[[#This Row],[Benchmark '#1 Dates]],Target1[Target Dates],0)),"-")</f>
        <v>27.95</v>
      </c>
      <c r="F559" s="22">
        <f>IF(Benchmark1[[#This Row],[Target Date Check]]="Pass",INDEX(Target1[Target Return],MATCH(Benchmark1[[#This Row],[Benchmark '#1 Dates]],Target1[Target Dates],0)),"-")</f>
        <v>2.6832646805953212E-2</v>
      </c>
      <c r="G559" s="1">
        <f>IFERROR(IF(Benchmark1[[#This Row],[Target Date Check]]="Pass",Benchmark1[[#This Row],[Target Return]]-Benchmark1[[#This Row],[Benchmark '#1 Return]],"-"),"-")</f>
        <v>3.8470281008585988E-2</v>
      </c>
      <c r="H559" s="1" t="str">
        <f>IF(COUNTIF(Comp1[Comparable '#1 Dates],Benchmark1[[#This Row],[Benchmark '#1 Dates]])=1,"Pass","Fail")</f>
        <v>Pass</v>
      </c>
      <c r="I559" s="6">
        <f>IF(Benchmark1[[#This Row],[Comparable '#1 Date Check]]="Pass",INDEX(Comp1[Comparable '#1 Price],MATCH(Benchmark1[[#This Row],[Benchmark '#1 Dates]],Comp1[Comparable '#1 Dates],0)),"-")</f>
        <v>12.625</v>
      </c>
      <c r="J559" s="22">
        <f>IF(Benchmark1[[#This Row],[Comparable '#1 Date Check]]="Pass",INDEX(Comp1[Comparable '#1 Return],MATCH(Benchmark1[[#This Row],[Benchmark '#1 Dates]],Comp1[Comparable '#1 Dates],0)),"-")</f>
        <v>-2.8500855521084677E-2</v>
      </c>
      <c r="K559" s="1">
        <f>IFERROR(IF(Benchmark1[[#This Row],[Comparable '#1 Date Check]]="Pass",Benchmark1[[#This Row],[Comparable '#1 Return]]-Benchmark1[[#This Row],[Benchmark '#1 Return]],"-"),"-")</f>
        <v>-1.6863221318451901E-2</v>
      </c>
      <c r="L559" s="1" t="str">
        <f>IF(COUNTIF(Comp2[Comparable '#2 Dates],Benchmark1[[#This Row],[Benchmark '#1 Dates]])=1,"Pass","Fail")</f>
        <v>Pass</v>
      </c>
      <c r="M559" s="6">
        <f>IF(Benchmark1[[#This Row],[Comparable '#2 Date Check]]="Pass",INDEX(Comp2[Comparable '#2 Price],MATCH(Benchmark1[[#This Row],[Benchmark '#1 Dates]],Comp2[Comparable '#2 Dates],0)),"-")</f>
        <v>25</v>
      </c>
      <c r="N559" s="22">
        <f>IF(Benchmark1[[#This Row],[Comparable '#2 Date Check]]="Pass",INDEX(Comp2[Comparable '#2 Return],MATCH(Benchmark1[[#This Row],[Benchmark '#1 Dates]],Comp2[Comparable '#2 Dates],0)),"-")</f>
        <v>-3.1886188862321647E-2</v>
      </c>
      <c r="O559" s="1">
        <f>IFERROR(IF(Benchmark1[[#This Row],[Comparable '#2 Date Check]]="Pass",Benchmark1[[#This Row],[Comparable '#2 Return]]-Benchmark1[[#This Row],[Benchmark '#1 Return]],"-"),"-")</f>
        <v>-2.0248554659688871E-2</v>
      </c>
      <c r="P559" s="1" t="str">
        <f>IF(COUNTIF(Comp3[Comparable '#3 Dates],Benchmark1[[#This Row],[Benchmark '#1 Dates]])=1,"Pass","Fail")</f>
        <v>Pass</v>
      </c>
      <c r="Q559" s="6">
        <f>IF(Benchmark1[[#This Row],[Comparable '#3 Date Check]]="Pass",INDEX(Comp3[Comparable '#3 Price],MATCH(Benchmark1[[#This Row],[Benchmark '#1 Dates]],Comp3[Comparable '#3 Dates],0)),"-")</f>
        <v>90.43</v>
      </c>
      <c r="R559" s="22">
        <f>IF(Benchmark1[[#This Row],[Comparable '#3 Date Check]]="Pass",INDEX(Comp3[Comparable '#3 Return],MATCH(Benchmark1[[#This Row],[Benchmark '#1 Dates]],Comp3[Comparable '#3 Dates],0)),"-")</f>
        <v>-9.6842398758598559E-3</v>
      </c>
      <c r="S559" s="1">
        <f>IFERROR(IF(Benchmark1[[#This Row],[Comparable '#3 Date Check]]="Pass",Benchmark1[[#This Row],[Comparable '#3 Return]]-Benchmark1[[#This Row],[Benchmark '#1 Return]],"-"),"-")</f>
        <v>1.9533943267729201E-3</v>
      </c>
    </row>
    <row r="560" spans="1:19">
      <c r="A560" s="103">
        <v>44096</v>
      </c>
      <c r="B560" s="104">
        <v>3315.5663431267476</v>
      </c>
      <c r="C560" s="4">
        <f t="shared" si="8"/>
        <v>1.0462208956262141E-2</v>
      </c>
      <c r="D560" s="1" t="str">
        <f>IF(COUNTIF(Target1[Target Dates],Benchmark1[[#This Row],[Benchmark '#1 Dates]])=1,"Pass","Fail")</f>
        <v>Pass</v>
      </c>
      <c r="E560" s="6">
        <f>IF(Benchmark1[[#This Row],[Target Date Check]]="Pass",INDEX(Target1[Target Price],MATCH(Benchmark1[[#This Row],[Benchmark '#1 Dates]],Target1[Target Dates],0)),"-")</f>
        <v>27.26</v>
      </c>
      <c r="F560" s="22">
        <f>IF(Benchmark1[[#This Row],[Target Date Check]]="Pass",INDEX(Target1[Target Return],MATCH(Benchmark1[[#This Row],[Benchmark '#1 Dates]],Target1[Target Dates],0)),"-")</f>
        <v>-2.4996773332721527E-2</v>
      </c>
      <c r="G560" s="1">
        <f>IFERROR(IF(Benchmark1[[#This Row],[Target Date Check]]="Pass",Benchmark1[[#This Row],[Target Return]]-Benchmark1[[#This Row],[Benchmark '#1 Return]],"-"),"-")</f>
        <v>-3.545898228898367E-2</v>
      </c>
      <c r="H560" s="1" t="str">
        <f>IF(COUNTIF(Comp1[Comparable '#1 Dates],Benchmark1[[#This Row],[Benchmark '#1 Dates]])=1,"Pass","Fail")</f>
        <v>Pass</v>
      </c>
      <c r="I560" s="6">
        <f>IF(Benchmark1[[#This Row],[Comparable '#1 Date Check]]="Pass",INDEX(Comp1[Comparable '#1 Price],MATCH(Benchmark1[[#This Row],[Benchmark '#1 Dates]],Comp1[Comparable '#1 Dates],0)),"-")</f>
        <v>12.67</v>
      </c>
      <c r="J560" s="22">
        <f>IF(Benchmark1[[#This Row],[Comparable '#1 Date Check]]="Pass",INDEX(Comp1[Comparable '#1 Return],MATCH(Benchmark1[[#This Row],[Benchmark '#1 Dates]],Comp1[Comparable '#1 Dates],0)),"-")</f>
        <v>3.5580191716241645E-3</v>
      </c>
      <c r="K560" s="1">
        <f>IFERROR(IF(Benchmark1[[#This Row],[Comparable '#1 Date Check]]="Pass",Benchmark1[[#This Row],[Comparable '#1 Return]]-Benchmark1[[#This Row],[Benchmark '#1 Return]],"-"),"-")</f>
        <v>-6.9041897846379768E-3</v>
      </c>
      <c r="L560" s="1" t="str">
        <f>IF(COUNTIF(Comp2[Comparable '#2 Dates],Benchmark1[[#This Row],[Benchmark '#1 Dates]])=1,"Pass","Fail")</f>
        <v>Pass</v>
      </c>
      <c r="M560" s="6">
        <f>IF(Benchmark1[[#This Row],[Comparable '#2 Date Check]]="Pass",INDEX(Comp2[Comparable '#2 Price],MATCH(Benchmark1[[#This Row],[Benchmark '#1 Dates]],Comp2[Comparable '#2 Dates],0)),"-")</f>
        <v>25.04</v>
      </c>
      <c r="N560" s="22">
        <f>IF(Benchmark1[[#This Row],[Comparable '#2 Date Check]]="Pass",INDEX(Comp2[Comparable '#2 Return],MATCH(Benchmark1[[#This Row],[Benchmark '#1 Dates]],Comp2[Comparable '#2 Dates],0)),"-")</f>
        <v>1.5987213636970735E-3</v>
      </c>
      <c r="O560" s="1">
        <f>IFERROR(IF(Benchmark1[[#This Row],[Comparable '#2 Date Check]]="Pass",Benchmark1[[#This Row],[Comparable '#2 Return]]-Benchmark1[[#This Row],[Benchmark '#1 Return]],"-"),"-")</f>
        <v>-8.8634875925650679E-3</v>
      </c>
      <c r="P560" s="1" t="str">
        <f>IF(COUNTIF(Comp3[Comparable '#3 Dates],Benchmark1[[#This Row],[Benchmark '#1 Dates]])=1,"Pass","Fail")</f>
        <v>Pass</v>
      </c>
      <c r="Q560" s="6">
        <f>IF(Benchmark1[[#This Row],[Comparable '#3 Date Check]]="Pass",INDEX(Comp3[Comparable '#3 Price],MATCH(Benchmark1[[#This Row],[Benchmark '#1 Dates]],Comp3[Comparable '#3 Dates],0)),"-")</f>
        <v>94.18</v>
      </c>
      <c r="R560" s="22">
        <f>IF(Benchmark1[[#This Row],[Comparable '#3 Date Check]]="Pass",INDEX(Comp3[Comparable '#3 Return],MATCH(Benchmark1[[#This Row],[Benchmark '#1 Dates]],Comp3[Comparable '#3 Dates],0)),"-")</f>
        <v>4.0631774063019682E-2</v>
      </c>
      <c r="S560" s="1">
        <f>IFERROR(IF(Benchmark1[[#This Row],[Comparable '#3 Date Check]]="Pass",Benchmark1[[#This Row],[Comparable '#3 Return]]-Benchmark1[[#This Row],[Benchmark '#1 Return]],"-"),"-")</f>
        <v>3.0169565106757543E-2</v>
      </c>
    </row>
    <row r="561" spans="1:19">
      <c r="A561" s="103">
        <v>44097</v>
      </c>
      <c r="B561" s="104">
        <v>3236.9204379407856</v>
      </c>
      <c r="C561" s="4">
        <f t="shared" si="8"/>
        <v>-2.4006055925428798E-2</v>
      </c>
      <c r="D561" s="1" t="str">
        <f>IF(COUNTIF(Target1[Target Dates],Benchmark1[[#This Row],[Benchmark '#1 Dates]])=1,"Pass","Fail")</f>
        <v>Pass</v>
      </c>
      <c r="E561" s="6">
        <f>IF(Benchmark1[[#This Row],[Target Date Check]]="Pass",INDEX(Target1[Target Price],MATCH(Benchmark1[[#This Row],[Benchmark '#1 Dates]],Target1[Target Dates],0)),"-")</f>
        <v>27.09</v>
      </c>
      <c r="F561" s="22">
        <f>IF(Benchmark1[[#This Row],[Target Date Check]]="Pass",INDEX(Target1[Target Return],MATCH(Benchmark1[[#This Row],[Benchmark '#1 Dates]],Target1[Target Dates],0)),"-")</f>
        <v>-6.2557701713829078E-3</v>
      </c>
      <c r="G561" s="1">
        <f>IFERROR(IF(Benchmark1[[#This Row],[Target Date Check]]="Pass",Benchmark1[[#This Row],[Target Return]]-Benchmark1[[#This Row],[Benchmark '#1 Return]],"-"),"-")</f>
        <v>1.7750285754045889E-2</v>
      </c>
      <c r="H561" s="1" t="str">
        <f>IF(COUNTIF(Comp1[Comparable '#1 Dates],Benchmark1[[#This Row],[Benchmark '#1 Dates]])=1,"Pass","Fail")</f>
        <v>Pass</v>
      </c>
      <c r="I561" s="6">
        <f>IF(Benchmark1[[#This Row],[Comparable '#1 Date Check]]="Pass",INDEX(Comp1[Comparable '#1 Price],MATCH(Benchmark1[[#This Row],[Benchmark '#1 Dates]],Comp1[Comparable '#1 Dates],0)),"-")</f>
        <v>12.33</v>
      </c>
      <c r="J561" s="22">
        <f>IF(Benchmark1[[#This Row],[Comparable '#1 Date Check]]="Pass",INDEX(Comp1[Comparable '#1 Return],MATCH(Benchmark1[[#This Row],[Benchmark '#1 Dates]],Comp1[Comparable '#1 Dates],0)),"-")</f>
        <v>-2.7201677156794765E-2</v>
      </c>
      <c r="K561" s="1">
        <f>IFERROR(IF(Benchmark1[[#This Row],[Comparable '#1 Date Check]]="Pass",Benchmark1[[#This Row],[Comparable '#1 Return]]-Benchmark1[[#This Row],[Benchmark '#1 Return]],"-"),"-")</f>
        <v>-3.1956212313659672E-3</v>
      </c>
      <c r="L561" s="1" t="str">
        <f>IF(COUNTIF(Comp2[Comparable '#2 Dates],Benchmark1[[#This Row],[Benchmark '#1 Dates]])=1,"Pass","Fail")</f>
        <v>Pass</v>
      </c>
      <c r="M561" s="6">
        <f>IF(Benchmark1[[#This Row],[Comparable '#2 Date Check]]="Pass",INDEX(Comp2[Comparable '#2 Price],MATCH(Benchmark1[[#This Row],[Benchmark '#1 Dates]],Comp2[Comparable '#2 Dates],0)),"-")</f>
        <v>24.15</v>
      </c>
      <c r="N561" s="22">
        <f>IF(Benchmark1[[#This Row],[Comparable '#2 Date Check]]="Pass",INDEX(Comp2[Comparable '#2 Return],MATCH(Benchmark1[[#This Row],[Benchmark '#1 Dates]],Comp2[Comparable '#2 Dates],0)),"-")</f>
        <v>-3.6190166133316146E-2</v>
      </c>
      <c r="O561" s="1">
        <f>IFERROR(IF(Benchmark1[[#This Row],[Comparable '#2 Date Check]]="Pass",Benchmark1[[#This Row],[Comparable '#2 Return]]-Benchmark1[[#This Row],[Benchmark '#1 Return]],"-"),"-")</f>
        <v>-1.2184110207887348E-2</v>
      </c>
      <c r="P561" s="1" t="str">
        <f>IF(COUNTIF(Comp3[Comparable '#3 Dates],Benchmark1[[#This Row],[Benchmark '#1 Dates]])=1,"Pass","Fail")</f>
        <v>Pass</v>
      </c>
      <c r="Q561" s="6">
        <f>IF(Benchmark1[[#This Row],[Comparable '#3 Date Check]]="Pass",INDEX(Comp3[Comparable '#3 Price],MATCH(Benchmark1[[#This Row],[Benchmark '#1 Dates]],Comp3[Comparable '#3 Dates],0)),"-")</f>
        <v>94.41</v>
      </c>
      <c r="R561" s="22">
        <f>IF(Benchmark1[[#This Row],[Comparable '#3 Date Check]]="Pass",INDEX(Comp3[Comparable '#3 Return],MATCH(Benchmark1[[#This Row],[Benchmark '#1 Dates]],Comp3[Comparable '#3 Dates],0)),"-")</f>
        <v>2.4391549290165206E-3</v>
      </c>
      <c r="S561" s="1">
        <f>IFERROR(IF(Benchmark1[[#This Row],[Comparable '#3 Date Check]]="Pass",Benchmark1[[#This Row],[Comparable '#3 Return]]-Benchmark1[[#This Row],[Benchmark '#1 Return]],"-"),"-")</f>
        <v>2.6445210854445317E-2</v>
      </c>
    </row>
    <row r="562" spans="1:19">
      <c r="A562" s="103">
        <v>44098</v>
      </c>
      <c r="B562" s="104">
        <v>3246.5876191012912</v>
      </c>
      <c r="C562" s="4">
        <f t="shared" si="8"/>
        <v>2.9820856978988587E-3</v>
      </c>
      <c r="D562" s="1" t="str">
        <f>IF(COUNTIF(Target1[Target Dates],Benchmark1[[#This Row],[Benchmark '#1 Dates]])=1,"Pass","Fail")</f>
        <v>Pass</v>
      </c>
      <c r="E562" s="6">
        <f>IF(Benchmark1[[#This Row],[Target Date Check]]="Pass",INDEX(Target1[Target Price],MATCH(Benchmark1[[#This Row],[Benchmark '#1 Dates]],Target1[Target Dates],0)),"-")</f>
        <v>26.35</v>
      </c>
      <c r="F562" s="22">
        <f>IF(Benchmark1[[#This Row],[Target Date Check]]="Pass",INDEX(Target1[Target Return],MATCH(Benchmark1[[#This Row],[Benchmark '#1 Dates]],Target1[Target Dates],0)),"-")</f>
        <v>-2.7696381109632302E-2</v>
      </c>
      <c r="G562" s="1">
        <f>IFERROR(IF(Benchmark1[[#This Row],[Target Date Check]]="Pass",Benchmark1[[#This Row],[Target Return]]-Benchmark1[[#This Row],[Benchmark '#1 Return]],"-"),"-")</f>
        <v>-3.0678466807531161E-2</v>
      </c>
      <c r="H562" s="1" t="str">
        <f>IF(COUNTIF(Comp1[Comparable '#1 Dates],Benchmark1[[#This Row],[Benchmark '#1 Dates]])=1,"Pass","Fail")</f>
        <v>Pass</v>
      </c>
      <c r="I562" s="6">
        <f>IF(Benchmark1[[#This Row],[Comparable '#1 Date Check]]="Pass",INDEX(Comp1[Comparable '#1 Price],MATCH(Benchmark1[[#This Row],[Benchmark '#1 Dates]],Comp1[Comparable '#1 Dates],0)),"-")</f>
        <v>12.7</v>
      </c>
      <c r="J562" s="22">
        <f>IF(Benchmark1[[#This Row],[Comparable '#1 Date Check]]="Pass",INDEX(Comp1[Comparable '#1 Return],MATCH(Benchmark1[[#This Row],[Benchmark '#1 Dates]],Comp1[Comparable '#1 Dates],0)),"-")</f>
        <v>2.9566676288292661E-2</v>
      </c>
      <c r="K562" s="1">
        <f>IFERROR(IF(Benchmark1[[#This Row],[Comparable '#1 Date Check]]="Pass",Benchmark1[[#This Row],[Comparable '#1 Return]]-Benchmark1[[#This Row],[Benchmark '#1 Return]],"-"),"-")</f>
        <v>2.6584590590393802E-2</v>
      </c>
      <c r="L562" s="1" t="str">
        <f>IF(COUNTIF(Comp2[Comparable '#2 Dates],Benchmark1[[#This Row],[Benchmark '#1 Dates]])=1,"Pass","Fail")</f>
        <v>Pass</v>
      </c>
      <c r="M562" s="6">
        <f>IF(Benchmark1[[#This Row],[Comparable '#2 Date Check]]="Pass",INDEX(Comp2[Comparable '#2 Price],MATCH(Benchmark1[[#This Row],[Benchmark '#1 Dates]],Comp2[Comparable '#2 Dates],0)),"-")</f>
        <v>24.23</v>
      </c>
      <c r="N562" s="22">
        <f>IF(Benchmark1[[#This Row],[Comparable '#2 Date Check]]="Pass",INDEX(Comp2[Comparable '#2 Return],MATCH(Benchmark1[[#This Row],[Benchmark '#1 Dates]],Comp2[Comparable '#2 Dates],0)),"-")</f>
        <v>3.3071547298527352E-3</v>
      </c>
      <c r="O562" s="1">
        <f>IFERROR(IF(Benchmark1[[#This Row],[Comparable '#2 Date Check]]="Pass",Benchmark1[[#This Row],[Comparable '#2 Return]]-Benchmark1[[#This Row],[Benchmark '#1 Return]],"-"),"-")</f>
        <v>3.2506903195387649E-4</v>
      </c>
      <c r="P562" s="1" t="str">
        <f>IF(COUNTIF(Comp3[Comparable '#3 Dates],Benchmark1[[#This Row],[Benchmark '#1 Dates]])=1,"Pass","Fail")</f>
        <v>Pass</v>
      </c>
      <c r="Q562" s="6">
        <f>IF(Benchmark1[[#This Row],[Comparable '#3 Date Check]]="Pass",INDEX(Comp3[Comparable '#3 Price],MATCH(Benchmark1[[#This Row],[Benchmark '#1 Dates]],Comp3[Comparable '#3 Dates],0)),"-")</f>
        <v>93.79</v>
      </c>
      <c r="R562" s="22">
        <f>IF(Benchmark1[[#This Row],[Comparable '#3 Date Check]]="Pass",INDEX(Comp3[Comparable '#3 Return],MATCH(Benchmark1[[#This Row],[Benchmark '#1 Dates]],Comp3[Comparable '#3 Dates],0)),"-")</f>
        <v>-6.5887592235779526E-3</v>
      </c>
      <c r="S562" s="1">
        <f>IFERROR(IF(Benchmark1[[#This Row],[Comparable '#3 Date Check]]="Pass",Benchmark1[[#This Row],[Comparable '#3 Return]]-Benchmark1[[#This Row],[Benchmark '#1 Return]],"-"),"-")</f>
        <v>-9.5708449214768117E-3</v>
      </c>
    </row>
    <row r="563" spans="1:19">
      <c r="A563" s="103">
        <v>44099</v>
      </c>
      <c r="B563" s="104">
        <v>3298.4568597519287</v>
      </c>
      <c r="C563" s="4">
        <f t="shared" si="8"/>
        <v>1.5850259457393146E-2</v>
      </c>
      <c r="D563" s="1" t="str">
        <f>IF(COUNTIF(Target1[Target Dates],Benchmark1[[#This Row],[Benchmark '#1 Dates]])=1,"Pass","Fail")</f>
        <v>Pass</v>
      </c>
      <c r="E563" s="6">
        <f>IF(Benchmark1[[#This Row],[Target Date Check]]="Pass",INDEX(Target1[Target Price],MATCH(Benchmark1[[#This Row],[Benchmark '#1 Dates]],Target1[Target Dates],0)),"-")</f>
        <v>26.51</v>
      </c>
      <c r="F563" s="22">
        <f>IF(Benchmark1[[#This Row],[Target Date Check]]="Pass",INDEX(Target1[Target Return],MATCH(Benchmark1[[#This Row],[Benchmark '#1 Dates]],Target1[Target Dates],0)),"-")</f>
        <v>6.0537453135628668E-3</v>
      </c>
      <c r="G563" s="1">
        <f>IFERROR(IF(Benchmark1[[#This Row],[Target Date Check]]="Pass",Benchmark1[[#This Row],[Target Return]]-Benchmark1[[#This Row],[Benchmark '#1 Return]],"-"),"-")</f>
        <v>-9.7965141438302802E-3</v>
      </c>
      <c r="H563" s="1" t="str">
        <f>IF(COUNTIF(Comp1[Comparable '#1 Dates],Benchmark1[[#This Row],[Benchmark '#1 Dates]])=1,"Pass","Fail")</f>
        <v>Pass</v>
      </c>
      <c r="I563" s="6">
        <f>IF(Benchmark1[[#This Row],[Comparable '#1 Date Check]]="Pass",INDEX(Comp1[Comparable '#1 Price],MATCH(Benchmark1[[#This Row],[Benchmark '#1 Dates]],Comp1[Comparable '#1 Dates],0)),"-")</f>
        <v>12.93</v>
      </c>
      <c r="J563" s="22">
        <f>IF(Benchmark1[[#This Row],[Comparable '#1 Date Check]]="Pass",INDEX(Comp1[Comparable '#1 Return],MATCH(Benchmark1[[#This Row],[Benchmark '#1 Dates]],Comp1[Comparable '#1 Dates],0)),"-")</f>
        <v>1.7948199319220665E-2</v>
      </c>
      <c r="K563" s="1">
        <f>IFERROR(IF(Benchmark1[[#This Row],[Comparable '#1 Date Check]]="Pass",Benchmark1[[#This Row],[Comparable '#1 Return]]-Benchmark1[[#This Row],[Benchmark '#1 Return]],"-"),"-")</f>
        <v>2.0979398618275191E-3</v>
      </c>
      <c r="L563" s="1" t="str">
        <f>IF(COUNTIF(Comp2[Comparable '#2 Dates],Benchmark1[[#This Row],[Benchmark '#1 Dates]])=1,"Pass","Fail")</f>
        <v>Pass</v>
      </c>
      <c r="M563" s="6">
        <f>IF(Benchmark1[[#This Row],[Comparable '#2 Date Check]]="Pass",INDEX(Comp2[Comparable '#2 Price],MATCH(Benchmark1[[#This Row],[Benchmark '#1 Dates]],Comp2[Comparable '#2 Dates],0)),"-")</f>
        <v>24.62</v>
      </c>
      <c r="N563" s="22">
        <f>IF(Benchmark1[[#This Row],[Comparable '#2 Date Check]]="Pass",INDEX(Comp2[Comparable '#2 Return],MATCH(Benchmark1[[#This Row],[Benchmark '#1 Dates]],Comp2[Comparable '#2 Dates],0)),"-")</f>
        <v>1.5967585927873097E-2</v>
      </c>
      <c r="O563" s="1">
        <f>IFERROR(IF(Benchmark1[[#This Row],[Comparable '#2 Date Check]]="Pass",Benchmark1[[#This Row],[Comparable '#2 Return]]-Benchmark1[[#This Row],[Benchmark '#1 Return]],"-"),"-")</f>
        <v>1.1732647047995107E-4</v>
      </c>
      <c r="P563" s="1" t="str">
        <f>IF(COUNTIF(Comp3[Comparable '#3 Dates],Benchmark1[[#This Row],[Benchmark '#1 Dates]])=1,"Pass","Fail")</f>
        <v>Pass</v>
      </c>
      <c r="Q563" s="6">
        <f>IF(Benchmark1[[#This Row],[Comparable '#3 Date Check]]="Pass",INDEX(Comp3[Comparable '#3 Price],MATCH(Benchmark1[[#This Row],[Benchmark '#1 Dates]],Comp3[Comparable '#3 Dates],0)),"-")</f>
        <v>94.97</v>
      </c>
      <c r="R563" s="22">
        <f>IF(Benchmark1[[#This Row],[Comparable '#3 Date Check]]="Pass",INDEX(Comp3[Comparable '#3 Return],MATCH(Benchmark1[[#This Row],[Benchmark '#1 Dates]],Comp3[Comparable '#3 Dates],0)),"-")</f>
        <v>1.2502811734014E-2</v>
      </c>
      <c r="S563" s="1">
        <f>IFERROR(IF(Benchmark1[[#This Row],[Comparable '#3 Date Check]]="Pass",Benchmark1[[#This Row],[Comparable '#3 Return]]-Benchmark1[[#This Row],[Benchmark '#1 Return]],"-"),"-")</f>
        <v>-3.3474477233791464E-3</v>
      </c>
    </row>
    <row r="564" spans="1:19">
      <c r="A564" s="103">
        <v>44102</v>
      </c>
      <c r="B564" s="104">
        <v>3351.5995628473102</v>
      </c>
      <c r="C564" s="4">
        <f t="shared" si="8"/>
        <v>1.5982972478011084E-2</v>
      </c>
      <c r="D564" s="1" t="str">
        <f>IF(COUNTIF(Target1[Target Dates],Benchmark1[[#This Row],[Benchmark '#1 Dates]])=1,"Pass","Fail")</f>
        <v>Pass</v>
      </c>
      <c r="E564" s="6">
        <f>IF(Benchmark1[[#This Row],[Target Date Check]]="Pass",INDEX(Target1[Target Price],MATCH(Benchmark1[[#This Row],[Benchmark '#1 Dates]],Target1[Target Dates],0)),"-")</f>
        <v>27.48</v>
      </c>
      <c r="F564" s="22">
        <f>IF(Benchmark1[[#This Row],[Target Date Check]]="Pass",INDEX(Target1[Target Return],MATCH(Benchmark1[[#This Row],[Benchmark '#1 Dates]],Target1[Target Dates],0)),"-")</f>
        <v>3.5936447053214332E-2</v>
      </c>
      <c r="G564" s="1">
        <f>IFERROR(IF(Benchmark1[[#This Row],[Target Date Check]]="Pass",Benchmark1[[#This Row],[Target Return]]-Benchmark1[[#This Row],[Benchmark '#1 Return]],"-"),"-")</f>
        <v>1.9953474575203248E-2</v>
      </c>
      <c r="H564" s="1" t="str">
        <f>IF(COUNTIF(Comp1[Comparable '#1 Dates],Benchmark1[[#This Row],[Benchmark '#1 Dates]])=1,"Pass","Fail")</f>
        <v>Pass</v>
      </c>
      <c r="I564" s="6">
        <f>IF(Benchmark1[[#This Row],[Comparable '#1 Date Check]]="Pass",INDEX(Comp1[Comparable '#1 Price],MATCH(Benchmark1[[#This Row],[Benchmark '#1 Dates]],Comp1[Comparable '#1 Dates],0)),"-")</f>
        <v>12.99</v>
      </c>
      <c r="J564" s="22">
        <f>IF(Benchmark1[[#This Row],[Comparable '#1 Date Check]]="Pass",INDEX(Comp1[Comparable '#1 Return],MATCH(Benchmark1[[#This Row],[Benchmark '#1 Dates]],Comp1[Comparable '#1 Dates],0)),"-")</f>
        <v>4.6296378987421968E-3</v>
      </c>
      <c r="K564" s="1">
        <f>IFERROR(IF(Benchmark1[[#This Row],[Comparable '#1 Date Check]]="Pass",Benchmark1[[#This Row],[Comparable '#1 Return]]-Benchmark1[[#This Row],[Benchmark '#1 Return]],"-"),"-")</f>
        <v>-1.1353334579268886E-2</v>
      </c>
      <c r="L564" s="1" t="str">
        <f>IF(COUNTIF(Comp2[Comparable '#2 Dates],Benchmark1[[#This Row],[Benchmark '#1 Dates]])=1,"Pass","Fail")</f>
        <v>Pass</v>
      </c>
      <c r="M564" s="6">
        <f>IF(Benchmark1[[#This Row],[Comparable '#2 Date Check]]="Pass",INDEX(Comp2[Comparable '#2 Price],MATCH(Benchmark1[[#This Row],[Benchmark '#1 Dates]],Comp2[Comparable '#2 Dates],0)),"-")</f>
        <v>25.23</v>
      </c>
      <c r="N564" s="22">
        <f>IF(Benchmark1[[#This Row],[Comparable '#2 Date Check]]="Pass",INDEX(Comp2[Comparable '#2 Return],MATCH(Benchmark1[[#This Row],[Benchmark '#1 Dates]],Comp2[Comparable '#2 Dates],0)),"-")</f>
        <v>2.447464189665893E-2</v>
      </c>
      <c r="O564" s="1">
        <f>IFERROR(IF(Benchmark1[[#This Row],[Comparable '#2 Date Check]]="Pass",Benchmark1[[#This Row],[Comparable '#2 Return]]-Benchmark1[[#This Row],[Benchmark '#1 Return]],"-"),"-")</f>
        <v>8.4916694186478459E-3</v>
      </c>
      <c r="P564" s="1" t="str">
        <f>IF(COUNTIF(Comp3[Comparable '#3 Dates],Benchmark1[[#This Row],[Benchmark '#1 Dates]])=1,"Pass","Fail")</f>
        <v>Pass</v>
      </c>
      <c r="Q564" s="6">
        <f>IF(Benchmark1[[#This Row],[Comparable '#3 Date Check]]="Pass",INDEX(Comp3[Comparable '#3 Price],MATCH(Benchmark1[[#This Row],[Benchmark '#1 Dates]],Comp3[Comparable '#3 Dates],0)),"-")</f>
        <v>94.88</v>
      </c>
      <c r="R564" s="22">
        <f>IF(Benchmark1[[#This Row],[Comparable '#3 Date Check]]="Pass",INDEX(Comp3[Comparable '#3 Return],MATCH(Benchmark1[[#This Row],[Benchmark '#1 Dates]],Comp3[Comparable '#3 Dates],0)),"-")</f>
        <v>-9.4811700544588338E-4</v>
      </c>
      <c r="S564" s="1">
        <f>IFERROR(IF(Benchmark1[[#This Row],[Comparable '#3 Date Check]]="Pass",Benchmark1[[#This Row],[Comparable '#3 Return]]-Benchmark1[[#This Row],[Benchmark '#1 Return]],"-"),"-")</f>
        <v>-1.6931089483456965E-2</v>
      </c>
    </row>
    <row r="565" spans="1:19">
      <c r="A565" s="103">
        <v>44103</v>
      </c>
      <c r="B565" s="104">
        <v>3335.4749378700099</v>
      </c>
      <c r="C565" s="4">
        <f t="shared" si="8"/>
        <v>-4.8226339417926029E-3</v>
      </c>
      <c r="D565" s="1" t="str">
        <f>IF(COUNTIF(Target1[Target Dates],Benchmark1[[#This Row],[Benchmark '#1 Dates]])=1,"Pass","Fail")</f>
        <v>Pass</v>
      </c>
      <c r="E565" s="6">
        <f>IF(Benchmark1[[#This Row],[Target Date Check]]="Pass",INDEX(Target1[Target Price],MATCH(Benchmark1[[#This Row],[Benchmark '#1 Dates]],Target1[Target Dates],0)),"-")</f>
        <v>27.08</v>
      </c>
      <c r="F565" s="22">
        <f>IF(Benchmark1[[#This Row],[Target Date Check]]="Pass",INDEX(Target1[Target Return],MATCH(Benchmark1[[#This Row],[Benchmark '#1 Dates]],Target1[Target Dates],0)),"-")</f>
        <v>-1.4663019310074419E-2</v>
      </c>
      <c r="G565" s="1">
        <f>IFERROR(IF(Benchmark1[[#This Row],[Target Date Check]]="Pass",Benchmark1[[#This Row],[Target Return]]-Benchmark1[[#This Row],[Benchmark '#1 Return]],"-"),"-")</f>
        <v>-9.8403853682818149E-3</v>
      </c>
      <c r="H565" s="1" t="str">
        <f>IF(COUNTIF(Comp1[Comparable '#1 Dates],Benchmark1[[#This Row],[Benchmark '#1 Dates]])=1,"Pass","Fail")</f>
        <v>Pass</v>
      </c>
      <c r="I565" s="6">
        <f>IF(Benchmark1[[#This Row],[Comparable '#1 Date Check]]="Pass",INDEX(Comp1[Comparable '#1 Price],MATCH(Benchmark1[[#This Row],[Benchmark '#1 Dates]],Comp1[Comparable '#1 Dates],0)),"-")</f>
        <v>13.03</v>
      </c>
      <c r="J565" s="22">
        <f>IF(Benchmark1[[#This Row],[Comparable '#1 Date Check]]="Pass",INDEX(Comp1[Comparable '#1 Return],MATCH(Benchmark1[[#This Row],[Benchmark '#1 Dates]],Comp1[Comparable '#1 Dates],0)),"-")</f>
        <v>3.0745604542456104E-3</v>
      </c>
      <c r="K565" s="1">
        <f>IFERROR(IF(Benchmark1[[#This Row],[Comparable '#1 Date Check]]="Pass",Benchmark1[[#This Row],[Comparable '#1 Return]]-Benchmark1[[#This Row],[Benchmark '#1 Return]],"-"),"-")</f>
        <v>7.8971943960382124E-3</v>
      </c>
      <c r="L565" s="1" t="str">
        <f>IF(COUNTIF(Comp2[Comparable '#2 Dates],Benchmark1[[#This Row],[Benchmark '#1 Dates]])=1,"Pass","Fail")</f>
        <v>Pass</v>
      </c>
      <c r="M565" s="6">
        <f>IF(Benchmark1[[#This Row],[Comparable '#2 Date Check]]="Pass",INDEX(Comp2[Comparable '#2 Price],MATCH(Benchmark1[[#This Row],[Benchmark '#1 Dates]],Comp2[Comparable '#2 Dates],0)),"-")</f>
        <v>24.81</v>
      </c>
      <c r="N565" s="22">
        <f>IF(Benchmark1[[#This Row],[Comparable '#2 Date Check]]="Pass",INDEX(Comp2[Comparable '#2 Return],MATCH(Benchmark1[[#This Row],[Benchmark '#1 Dates]],Comp2[Comparable '#2 Dates],0)),"-")</f>
        <v>-1.6786964949256755E-2</v>
      </c>
      <c r="O565" s="1">
        <f>IFERROR(IF(Benchmark1[[#This Row],[Comparable '#2 Date Check]]="Pass",Benchmark1[[#This Row],[Comparable '#2 Return]]-Benchmark1[[#This Row],[Benchmark '#1 Return]],"-"),"-")</f>
        <v>-1.1964331007464152E-2</v>
      </c>
      <c r="P565" s="1" t="str">
        <f>IF(COUNTIF(Comp3[Comparable '#3 Dates],Benchmark1[[#This Row],[Benchmark '#1 Dates]])=1,"Pass","Fail")</f>
        <v>Pass</v>
      </c>
      <c r="Q565" s="6">
        <f>IF(Benchmark1[[#This Row],[Comparable '#3 Date Check]]="Pass",INDEX(Comp3[Comparable '#3 Price],MATCH(Benchmark1[[#This Row],[Benchmark '#1 Dates]],Comp3[Comparable '#3 Dates],0)),"-")</f>
        <v>94.14</v>
      </c>
      <c r="R565" s="22">
        <f>IF(Benchmark1[[#This Row],[Comparable '#3 Date Check]]="Pass",INDEX(Comp3[Comparable '#3 Return],MATCH(Benchmark1[[#This Row],[Benchmark '#1 Dates]],Comp3[Comparable '#3 Dates],0)),"-")</f>
        <v>-7.8298992764190434E-3</v>
      </c>
      <c r="S565" s="1">
        <f>IFERROR(IF(Benchmark1[[#This Row],[Comparable '#3 Date Check]]="Pass",Benchmark1[[#This Row],[Comparable '#3 Return]]-Benchmark1[[#This Row],[Benchmark '#1 Return]],"-"),"-")</f>
        <v>-3.0072653346264406E-3</v>
      </c>
    </row>
    <row r="566" spans="1:19">
      <c r="A566" s="103">
        <v>44104</v>
      </c>
      <c r="B566" s="104">
        <v>3362.9989876496566</v>
      </c>
      <c r="C566" s="4">
        <f t="shared" si="8"/>
        <v>8.2180523479669244E-3</v>
      </c>
      <c r="D566" s="1" t="str">
        <f>IF(COUNTIF(Target1[Target Dates],Benchmark1[[#This Row],[Benchmark '#1 Dates]])=1,"Pass","Fail")</f>
        <v>Pass</v>
      </c>
      <c r="E566" s="6">
        <f>IF(Benchmark1[[#This Row],[Target Date Check]]="Pass",INDEX(Target1[Target Price],MATCH(Benchmark1[[#This Row],[Benchmark '#1 Dates]],Target1[Target Dates],0)),"-")</f>
        <v>26.34</v>
      </c>
      <c r="F566" s="22">
        <f>IF(Benchmark1[[#This Row],[Target Date Check]]="Pass",INDEX(Target1[Target Return],MATCH(Benchmark1[[#This Row],[Benchmark '#1 Dates]],Target1[Target Dates],0)),"-")</f>
        <v>-2.7706751728939171E-2</v>
      </c>
      <c r="G566" s="1">
        <f>IFERROR(IF(Benchmark1[[#This Row],[Target Date Check]]="Pass",Benchmark1[[#This Row],[Target Return]]-Benchmark1[[#This Row],[Benchmark '#1 Return]],"-"),"-")</f>
        <v>-3.5924804076906097E-2</v>
      </c>
      <c r="H566" s="1" t="str">
        <f>IF(COUNTIF(Comp1[Comparable '#1 Dates],Benchmark1[[#This Row],[Benchmark '#1 Dates]])=1,"Pass","Fail")</f>
        <v>Pass</v>
      </c>
      <c r="I566" s="6">
        <f>IF(Benchmark1[[#This Row],[Comparable '#1 Date Check]]="Pass",INDEX(Comp1[Comparable '#1 Price],MATCH(Benchmark1[[#This Row],[Benchmark '#1 Dates]],Comp1[Comparable '#1 Dates],0)),"-")</f>
        <v>13.28</v>
      </c>
      <c r="J566" s="22">
        <f>IF(Benchmark1[[#This Row],[Comparable '#1 Date Check]]="Pass",INDEX(Comp1[Comparable '#1 Return],MATCH(Benchmark1[[#This Row],[Benchmark '#1 Dates]],Comp1[Comparable '#1 Dates],0)),"-")</f>
        <v>1.9004752911534025E-2</v>
      </c>
      <c r="K566" s="1">
        <f>IFERROR(IF(Benchmark1[[#This Row],[Comparable '#1 Date Check]]="Pass",Benchmark1[[#This Row],[Comparable '#1 Return]]-Benchmark1[[#This Row],[Benchmark '#1 Return]],"-"),"-")</f>
        <v>1.0786700563567101E-2</v>
      </c>
      <c r="L566" s="1" t="str">
        <f>IF(COUNTIF(Comp2[Comparable '#2 Dates],Benchmark1[[#This Row],[Benchmark '#1 Dates]])=1,"Pass","Fail")</f>
        <v>Pass</v>
      </c>
      <c r="M566" s="6">
        <f>IF(Benchmark1[[#This Row],[Comparable '#2 Date Check]]="Pass",INDEX(Comp2[Comparable '#2 Price],MATCH(Benchmark1[[#This Row],[Benchmark '#1 Dates]],Comp2[Comparable '#2 Dates],0)),"-")</f>
        <v>24.54</v>
      </c>
      <c r="N566" s="22">
        <f>IF(Benchmark1[[#This Row],[Comparable '#2 Date Check]]="Pass",INDEX(Comp2[Comparable '#2 Return],MATCH(Benchmark1[[#This Row],[Benchmark '#1 Dates]],Comp2[Comparable '#2 Dates],0)),"-")</f>
        <v>-1.0942358420944244E-2</v>
      </c>
      <c r="O566" s="1">
        <f>IFERROR(IF(Benchmark1[[#This Row],[Comparable '#2 Date Check]]="Pass",Benchmark1[[#This Row],[Comparable '#2 Return]]-Benchmark1[[#This Row],[Benchmark '#1 Return]],"-"),"-")</f>
        <v>-1.9160410768911167E-2</v>
      </c>
      <c r="P566" s="1" t="str">
        <f>IF(COUNTIF(Comp3[Comparable '#3 Dates],Benchmark1[[#This Row],[Benchmark '#1 Dates]])=1,"Pass","Fail")</f>
        <v>Pass</v>
      </c>
      <c r="Q566" s="6">
        <f>IF(Benchmark1[[#This Row],[Comparable '#3 Date Check]]="Pass",INDEX(Comp3[Comparable '#3 Price],MATCH(Benchmark1[[#This Row],[Benchmark '#1 Dates]],Comp3[Comparable '#3 Dates],0)),"-")</f>
        <v>91.47</v>
      </c>
      <c r="R566" s="22">
        <f>IF(Benchmark1[[#This Row],[Comparable '#3 Date Check]]="Pass",INDEX(Comp3[Comparable '#3 Return],MATCH(Benchmark1[[#This Row],[Benchmark '#1 Dates]],Comp3[Comparable '#3 Dates],0)),"-")</f>
        <v>-2.877198630472309E-2</v>
      </c>
      <c r="S566" s="1">
        <f>IFERROR(IF(Benchmark1[[#This Row],[Comparable '#3 Date Check]]="Pass",Benchmark1[[#This Row],[Comparable '#3 Return]]-Benchmark1[[#This Row],[Benchmark '#1 Return]],"-"),"-")</f>
        <v>-3.6990038652690016E-2</v>
      </c>
    </row>
    <row r="567" spans="1:19">
      <c r="A567" s="103">
        <v>44105</v>
      </c>
      <c r="B567" s="104">
        <v>3380.7985629041495</v>
      </c>
      <c r="C567" s="4">
        <f t="shared" si="8"/>
        <v>5.2788110717720471E-3</v>
      </c>
      <c r="D567" s="1" t="str">
        <f>IF(COUNTIF(Target1[Target Dates],Benchmark1[[#This Row],[Benchmark '#1 Dates]])=1,"Pass","Fail")</f>
        <v>Pass</v>
      </c>
      <c r="E567" s="6">
        <f>IF(Benchmark1[[#This Row],[Target Date Check]]="Pass",INDEX(Target1[Target Price],MATCH(Benchmark1[[#This Row],[Benchmark '#1 Dates]],Target1[Target Dates],0)),"-")</f>
        <v>27.05</v>
      </c>
      <c r="F567" s="22">
        <f>IF(Benchmark1[[#This Row],[Target Date Check]]="Pass",INDEX(Target1[Target Return],MATCH(Benchmark1[[#This Row],[Benchmark '#1 Dates]],Target1[Target Dates],0)),"-")</f>
        <v>2.6598308977355611E-2</v>
      </c>
      <c r="G567" s="1">
        <f>IFERROR(IF(Benchmark1[[#This Row],[Target Date Check]]="Pass",Benchmark1[[#This Row],[Target Return]]-Benchmark1[[#This Row],[Benchmark '#1 Return]],"-"),"-")</f>
        <v>2.1319497905583563E-2</v>
      </c>
      <c r="H567" s="1" t="str">
        <f>IF(COUNTIF(Comp1[Comparable '#1 Dates],Benchmark1[[#This Row],[Benchmark '#1 Dates]])=1,"Pass","Fail")</f>
        <v>Pass</v>
      </c>
      <c r="I567" s="6">
        <f>IF(Benchmark1[[#This Row],[Comparable '#1 Date Check]]="Pass",INDEX(Comp1[Comparable '#1 Price],MATCH(Benchmark1[[#This Row],[Benchmark '#1 Dates]],Comp1[Comparable '#1 Dates],0)),"-")</f>
        <v>13.57</v>
      </c>
      <c r="J567" s="22">
        <f>IF(Benchmark1[[#This Row],[Comparable '#1 Date Check]]="Pass",INDEX(Comp1[Comparable '#1 Return],MATCH(Benchmark1[[#This Row],[Benchmark '#1 Dates]],Comp1[Comparable '#1 Dates],0)),"-")</f>
        <v>2.1602329798490139E-2</v>
      </c>
      <c r="K567" s="1">
        <f>IFERROR(IF(Benchmark1[[#This Row],[Comparable '#1 Date Check]]="Pass",Benchmark1[[#This Row],[Comparable '#1 Return]]-Benchmark1[[#This Row],[Benchmark '#1 Return]],"-"),"-")</f>
        <v>1.6323518726718091E-2</v>
      </c>
      <c r="L567" s="1" t="str">
        <f>IF(COUNTIF(Comp2[Comparable '#2 Dates],Benchmark1[[#This Row],[Benchmark '#1 Dates]])=1,"Pass","Fail")</f>
        <v>Pass</v>
      </c>
      <c r="M567" s="6">
        <f>IF(Benchmark1[[#This Row],[Comparable '#2 Date Check]]="Pass",INDEX(Comp2[Comparable '#2 Price],MATCH(Benchmark1[[#This Row],[Benchmark '#1 Dates]],Comp2[Comparable '#2 Dates],0)),"-")</f>
        <v>24.57</v>
      </c>
      <c r="N567" s="22">
        <f>IF(Benchmark1[[#This Row],[Comparable '#2 Date Check]]="Pass",INDEX(Comp2[Comparable '#2 Return],MATCH(Benchmark1[[#This Row],[Benchmark '#1 Dates]],Comp2[Comparable '#2 Dates],0)),"-")</f>
        <v>1.221747250322513E-3</v>
      </c>
      <c r="O567" s="1">
        <f>IFERROR(IF(Benchmark1[[#This Row],[Comparable '#2 Date Check]]="Pass",Benchmark1[[#This Row],[Comparable '#2 Return]]-Benchmark1[[#This Row],[Benchmark '#1 Return]],"-"),"-")</f>
        <v>-4.0570638214495339E-3</v>
      </c>
      <c r="P567" s="1" t="str">
        <f>IF(COUNTIF(Comp3[Comparable '#3 Dates],Benchmark1[[#This Row],[Benchmark '#1 Dates]])=1,"Pass","Fail")</f>
        <v>Pass</v>
      </c>
      <c r="Q567" s="6">
        <f>IF(Benchmark1[[#This Row],[Comparable '#3 Date Check]]="Pass",INDEX(Comp3[Comparable '#3 Price],MATCH(Benchmark1[[#This Row],[Benchmark '#1 Dates]],Comp3[Comparable '#3 Dates],0)),"-")</f>
        <v>91.49</v>
      </c>
      <c r="R567" s="22">
        <f>IF(Benchmark1[[#This Row],[Comparable '#3 Date Check]]="Pass",INDEX(Comp3[Comparable '#3 Return],MATCH(Benchmark1[[#This Row],[Benchmark '#1 Dates]],Comp3[Comparable '#3 Dates],0)),"-")</f>
        <v>2.186270231706504E-4</v>
      </c>
      <c r="S567" s="1">
        <f>IFERROR(IF(Benchmark1[[#This Row],[Comparable '#3 Date Check]]="Pass",Benchmark1[[#This Row],[Comparable '#3 Return]]-Benchmark1[[#This Row],[Benchmark '#1 Return]],"-"),"-")</f>
        <v>-5.0601840486013969E-3</v>
      </c>
    </row>
    <row r="568" spans="1:19">
      <c r="A568" s="103">
        <v>44106</v>
      </c>
      <c r="B568" s="104">
        <v>3348.443748876346</v>
      </c>
      <c r="C568" s="4">
        <f t="shared" si="8"/>
        <v>-9.6162574791143207E-3</v>
      </c>
      <c r="D568" s="1" t="str">
        <f>IF(COUNTIF(Target1[Target Dates],Benchmark1[[#This Row],[Benchmark '#1 Dates]])=1,"Pass","Fail")</f>
        <v>Pass</v>
      </c>
      <c r="E568" s="6">
        <f>IF(Benchmark1[[#This Row],[Target Date Check]]="Pass",INDEX(Target1[Target Price],MATCH(Benchmark1[[#This Row],[Benchmark '#1 Dates]],Target1[Target Dates],0)),"-")</f>
        <v>26.74</v>
      </c>
      <c r="F568" s="22">
        <f>IF(Benchmark1[[#This Row],[Target Date Check]]="Pass",INDEX(Target1[Target Return],MATCH(Benchmark1[[#This Row],[Benchmark '#1 Dates]],Target1[Target Dates],0)),"-")</f>
        <v>-1.1526433618693533E-2</v>
      </c>
      <c r="G568" s="1">
        <f>IFERROR(IF(Benchmark1[[#This Row],[Target Date Check]]="Pass",Benchmark1[[#This Row],[Target Return]]-Benchmark1[[#This Row],[Benchmark '#1 Return]],"-"),"-")</f>
        <v>-1.9101761395792123E-3</v>
      </c>
      <c r="H568" s="1" t="str">
        <f>IF(COUNTIF(Comp1[Comparable '#1 Dates],Benchmark1[[#This Row],[Benchmark '#1 Dates]])=1,"Pass","Fail")</f>
        <v>Pass</v>
      </c>
      <c r="I568" s="6">
        <f>IF(Benchmark1[[#This Row],[Comparable '#1 Date Check]]="Pass",INDEX(Comp1[Comparable '#1 Price],MATCH(Benchmark1[[#This Row],[Benchmark '#1 Dates]],Comp1[Comparable '#1 Dates],0)),"-")</f>
        <v>13.47</v>
      </c>
      <c r="J568" s="22">
        <f>IF(Benchmark1[[#This Row],[Comparable '#1 Date Check]]="Pass",INDEX(Comp1[Comparable '#1 Return],MATCH(Benchmark1[[#This Row],[Benchmark '#1 Dates]],Comp1[Comparable '#1 Dates],0)),"-")</f>
        <v>-7.3964834245051616E-3</v>
      </c>
      <c r="K568" s="1">
        <f>IFERROR(IF(Benchmark1[[#This Row],[Comparable '#1 Date Check]]="Pass",Benchmark1[[#This Row],[Comparable '#1 Return]]-Benchmark1[[#This Row],[Benchmark '#1 Return]],"-"),"-")</f>
        <v>2.2197740546091591E-3</v>
      </c>
      <c r="L568" s="1" t="str">
        <f>IF(COUNTIF(Comp2[Comparable '#2 Dates],Benchmark1[[#This Row],[Benchmark '#1 Dates]])=1,"Pass","Fail")</f>
        <v>Pass</v>
      </c>
      <c r="M568" s="6">
        <f>IF(Benchmark1[[#This Row],[Comparable '#2 Date Check]]="Pass",INDEX(Comp2[Comparable '#2 Price],MATCH(Benchmark1[[#This Row],[Benchmark '#1 Dates]],Comp2[Comparable '#2 Dates],0)),"-")</f>
        <v>24.58</v>
      </c>
      <c r="N568" s="22">
        <f>IF(Benchmark1[[#This Row],[Comparable '#2 Date Check]]="Pass",INDEX(Comp2[Comparable '#2 Return],MATCH(Benchmark1[[#This Row],[Benchmark '#1 Dates]],Comp2[Comparable '#2 Dates],0)),"-")</f>
        <v>4.0691760480086571E-4</v>
      </c>
      <c r="O568" s="1">
        <f>IFERROR(IF(Benchmark1[[#This Row],[Comparable '#2 Date Check]]="Pass",Benchmark1[[#This Row],[Comparable '#2 Return]]-Benchmark1[[#This Row],[Benchmark '#1 Return]],"-"),"-")</f>
        <v>1.0023175083915186E-2</v>
      </c>
      <c r="P568" s="1" t="str">
        <f>IF(COUNTIF(Comp3[Comparable '#3 Dates],Benchmark1[[#This Row],[Benchmark '#1 Dates]])=1,"Pass","Fail")</f>
        <v>Pass</v>
      </c>
      <c r="Q568" s="6">
        <f>IF(Benchmark1[[#This Row],[Comparable '#3 Date Check]]="Pass",INDEX(Comp3[Comparable '#3 Price],MATCH(Benchmark1[[#This Row],[Benchmark '#1 Dates]],Comp3[Comparable '#3 Dates],0)),"-")</f>
        <v>91.11</v>
      </c>
      <c r="R568" s="22">
        <f>IF(Benchmark1[[#This Row],[Comparable '#3 Date Check]]="Pass",INDEX(Comp3[Comparable '#3 Return],MATCH(Benchmark1[[#This Row],[Benchmark '#1 Dates]],Comp3[Comparable '#3 Dates],0)),"-")</f>
        <v>-4.1621089656767698E-3</v>
      </c>
      <c r="S568" s="1">
        <f>IFERROR(IF(Benchmark1[[#This Row],[Comparable '#3 Date Check]]="Pass",Benchmark1[[#This Row],[Comparable '#3 Return]]-Benchmark1[[#This Row],[Benchmark '#1 Return]],"-"),"-")</f>
        <v>5.454148513437551E-3</v>
      </c>
    </row>
    <row r="569" spans="1:19">
      <c r="A569" s="103">
        <v>44109</v>
      </c>
      <c r="B569" s="104">
        <v>3408.626823898433</v>
      </c>
      <c r="C569" s="4">
        <f t="shared" si="8"/>
        <v>1.7813833930006961E-2</v>
      </c>
      <c r="D569" s="1" t="str">
        <f>IF(COUNTIF(Target1[Target Dates],Benchmark1[[#This Row],[Benchmark '#1 Dates]])=1,"Pass","Fail")</f>
        <v>Pass</v>
      </c>
      <c r="E569" s="6">
        <f>IF(Benchmark1[[#This Row],[Target Date Check]]="Pass",INDEX(Target1[Target Price],MATCH(Benchmark1[[#This Row],[Benchmark '#1 Dates]],Target1[Target Dates],0)),"-")</f>
        <v>28.94</v>
      </c>
      <c r="F569" s="22">
        <f>IF(Benchmark1[[#This Row],[Target Date Check]]="Pass",INDEX(Target1[Target Return],MATCH(Benchmark1[[#This Row],[Benchmark '#1 Dates]],Target1[Target Dates],0)),"-")</f>
        <v>7.9064149529540814E-2</v>
      </c>
      <c r="G569" s="1">
        <f>IFERROR(IF(Benchmark1[[#This Row],[Target Date Check]]="Pass",Benchmark1[[#This Row],[Target Return]]-Benchmark1[[#This Row],[Benchmark '#1 Return]],"-"),"-")</f>
        <v>6.1250315599533853E-2</v>
      </c>
      <c r="H569" s="1" t="str">
        <f>IF(COUNTIF(Comp1[Comparable '#1 Dates],Benchmark1[[#This Row],[Benchmark '#1 Dates]])=1,"Pass","Fail")</f>
        <v>Pass</v>
      </c>
      <c r="I569" s="6">
        <f>IF(Benchmark1[[#This Row],[Comparable '#1 Date Check]]="Pass",INDEX(Comp1[Comparable '#1 Price],MATCH(Benchmark1[[#This Row],[Benchmark '#1 Dates]],Comp1[Comparable '#1 Dates],0)),"-")</f>
        <v>13.24</v>
      </c>
      <c r="J569" s="22">
        <f>IF(Benchmark1[[#This Row],[Comparable '#1 Date Check]]="Pass",INDEX(Comp1[Comparable '#1 Return],MATCH(Benchmark1[[#This Row],[Benchmark '#1 Dates]],Comp1[Comparable '#1 Dates],0)),"-")</f>
        <v>-1.7222439913410457E-2</v>
      </c>
      <c r="K569" s="1">
        <f>IFERROR(IF(Benchmark1[[#This Row],[Comparable '#1 Date Check]]="Pass",Benchmark1[[#This Row],[Comparable '#1 Return]]-Benchmark1[[#This Row],[Benchmark '#1 Return]],"-"),"-")</f>
        <v>-3.5036273843417419E-2</v>
      </c>
      <c r="L569" s="1" t="str">
        <f>IF(COUNTIF(Comp2[Comparable '#2 Dates],Benchmark1[[#This Row],[Benchmark '#1 Dates]])=1,"Pass","Fail")</f>
        <v>Pass</v>
      </c>
      <c r="M569" s="6">
        <f>IF(Benchmark1[[#This Row],[Comparable '#2 Date Check]]="Pass",INDEX(Comp2[Comparable '#2 Price],MATCH(Benchmark1[[#This Row],[Benchmark '#1 Dates]],Comp2[Comparable '#2 Dates],0)),"-")</f>
        <v>25.29</v>
      </c>
      <c r="N569" s="22">
        <f>IF(Benchmark1[[#This Row],[Comparable '#2 Date Check]]="Pass",INDEX(Comp2[Comparable '#2 Return],MATCH(Benchmark1[[#This Row],[Benchmark '#1 Dates]],Comp2[Comparable '#2 Dates],0)),"-")</f>
        <v>2.8475956543985156E-2</v>
      </c>
      <c r="O569" s="1">
        <f>IFERROR(IF(Benchmark1[[#This Row],[Comparable '#2 Date Check]]="Pass",Benchmark1[[#This Row],[Comparable '#2 Return]]-Benchmark1[[#This Row],[Benchmark '#1 Return]],"-"),"-")</f>
        <v>1.0662122613978194E-2</v>
      </c>
      <c r="P569" s="1" t="str">
        <f>IF(COUNTIF(Comp3[Comparable '#3 Dates],Benchmark1[[#This Row],[Benchmark '#1 Dates]])=1,"Pass","Fail")</f>
        <v>Pass</v>
      </c>
      <c r="Q569" s="6">
        <f>IF(Benchmark1[[#This Row],[Comparable '#3 Date Check]]="Pass",INDEX(Comp3[Comparable '#3 Price],MATCH(Benchmark1[[#This Row],[Benchmark '#1 Dates]],Comp3[Comparable '#3 Dates],0)),"-")</f>
        <v>91.96</v>
      </c>
      <c r="R569" s="22">
        <f>IF(Benchmark1[[#This Row],[Comparable '#3 Date Check]]="Pass",INDEX(Comp3[Comparable '#3 Return],MATCH(Benchmark1[[#This Row],[Benchmark '#1 Dates]],Comp3[Comparable '#3 Dates],0)),"-")</f>
        <v>9.2861321692135901E-3</v>
      </c>
      <c r="S569" s="1">
        <f>IFERROR(IF(Benchmark1[[#This Row],[Comparable '#3 Date Check]]="Pass",Benchmark1[[#This Row],[Comparable '#3 Return]]-Benchmark1[[#This Row],[Benchmark '#1 Return]],"-"),"-")</f>
        <v>-8.5277017607933714E-3</v>
      </c>
    </row>
    <row r="570" spans="1:19">
      <c r="A570" s="103">
        <v>44110</v>
      </c>
      <c r="B570" s="104">
        <v>3360.9520593026837</v>
      </c>
      <c r="C570" s="4">
        <f t="shared" si="8"/>
        <v>-1.4085234433033758E-2</v>
      </c>
      <c r="D570" s="1" t="str">
        <f>IF(COUNTIF(Target1[Target Dates],Benchmark1[[#This Row],[Benchmark '#1 Dates]])=1,"Pass","Fail")</f>
        <v>Pass</v>
      </c>
      <c r="E570" s="6">
        <f>IF(Benchmark1[[#This Row],[Target Date Check]]="Pass",INDEX(Target1[Target Price],MATCH(Benchmark1[[#This Row],[Benchmark '#1 Dates]],Target1[Target Dates],0)),"-")</f>
        <v>29.04</v>
      </c>
      <c r="F570" s="22">
        <f>IF(Benchmark1[[#This Row],[Target Date Check]]="Pass",INDEX(Target1[Target Return],MATCH(Benchmark1[[#This Row],[Benchmark '#1 Dates]],Target1[Target Dates],0)),"-")</f>
        <v>3.4494687532575482E-3</v>
      </c>
      <c r="G570" s="1">
        <f>IFERROR(IF(Benchmark1[[#This Row],[Target Date Check]]="Pass",Benchmark1[[#This Row],[Target Return]]-Benchmark1[[#This Row],[Benchmark '#1 Return]],"-"),"-")</f>
        <v>1.7534703186291307E-2</v>
      </c>
      <c r="H570" s="1" t="str">
        <f>IF(COUNTIF(Comp1[Comparable '#1 Dates],Benchmark1[[#This Row],[Benchmark '#1 Dates]])=1,"Pass","Fail")</f>
        <v>Pass</v>
      </c>
      <c r="I570" s="6">
        <f>IF(Benchmark1[[#This Row],[Comparable '#1 Date Check]]="Pass",INDEX(Comp1[Comparable '#1 Price],MATCH(Benchmark1[[#This Row],[Benchmark '#1 Dates]],Comp1[Comparable '#1 Dates],0)),"-")</f>
        <v>13.14</v>
      </c>
      <c r="J570" s="22">
        <f>IF(Benchmark1[[#This Row],[Comparable '#1 Date Check]]="Pass",INDEX(Comp1[Comparable '#1 Return],MATCH(Benchmark1[[#This Row],[Benchmark '#1 Dates]],Comp1[Comparable '#1 Dates],0)),"-")</f>
        <v>-7.5815374523976907E-3</v>
      </c>
      <c r="K570" s="1">
        <f>IFERROR(IF(Benchmark1[[#This Row],[Comparable '#1 Date Check]]="Pass",Benchmark1[[#This Row],[Comparable '#1 Return]]-Benchmark1[[#This Row],[Benchmark '#1 Return]],"-"),"-")</f>
        <v>6.5036969806360678E-3</v>
      </c>
      <c r="L570" s="1" t="str">
        <f>IF(COUNTIF(Comp2[Comparable '#2 Dates],Benchmark1[[#This Row],[Benchmark '#1 Dates]])=1,"Pass","Fail")</f>
        <v>Pass</v>
      </c>
      <c r="M570" s="6">
        <f>IF(Benchmark1[[#This Row],[Comparable '#2 Date Check]]="Pass",INDEX(Comp2[Comparable '#2 Price],MATCH(Benchmark1[[#This Row],[Benchmark '#1 Dates]],Comp2[Comparable '#2 Dates],0)),"-")</f>
        <v>26.09</v>
      </c>
      <c r="N570" s="22">
        <f>IF(Benchmark1[[#This Row],[Comparable '#2 Date Check]]="Pass",INDEX(Comp2[Comparable '#2 Return],MATCH(Benchmark1[[#This Row],[Benchmark '#1 Dates]],Comp2[Comparable '#2 Dates],0)),"-")</f>
        <v>3.1143038466763258E-2</v>
      </c>
      <c r="O570" s="1">
        <f>IFERROR(IF(Benchmark1[[#This Row],[Comparable '#2 Date Check]]="Pass",Benchmark1[[#This Row],[Comparable '#2 Return]]-Benchmark1[[#This Row],[Benchmark '#1 Return]],"-"),"-")</f>
        <v>4.5228272899797015E-2</v>
      </c>
      <c r="P570" s="1" t="str">
        <f>IF(COUNTIF(Comp3[Comparable '#3 Dates],Benchmark1[[#This Row],[Benchmark '#1 Dates]])=1,"Pass","Fail")</f>
        <v>Pass</v>
      </c>
      <c r="Q570" s="6">
        <f>IF(Benchmark1[[#This Row],[Comparable '#3 Date Check]]="Pass",INDEX(Comp3[Comparable '#3 Price],MATCH(Benchmark1[[#This Row],[Benchmark '#1 Dates]],Comp3[Comparable '#3 Dates],0)),"-")</f>
        <v>93.65</v>
      </c>
      <c r="R570" s="22">
        <f>IF(Benchmark1[[#This Row],[Comparable '#3 Date Check]]="Pass",INDEX(Comp3[Comparable '#3 Return],MATCH(Benchmark1[[#This Row],[Benchmark '#1 Dates]],Comp3[Comparable '#3 Dates],0)),"-")</f>
        <v>1.8210728995116957E-2</v>
      </c>
      <c r="S570" s="1">
        <f>IFERROR(IF(Benchmark1[[#This Row],[Comparable '#3 Date Check]]="Pass",Benchmark1[[#This Row],[Comparable '#3 Return]]-Benchmark1[[#This Row],[Benchmark '#1 Return]],"-"),"-")</f>
        <v>3.2295963428150713E-2</v>
      </c>
    </row>
    <row r="571" spans="1:19">
      <c r="A571" s="103">
        <v>44111</v>
      </c>
      <c r="B571" s="104">
        <v>3419.4493037564707</v>
      </c>
      <c r="C571" s="4">
        <f t="shared" si="8"/>
        <v>1.7255230993856639E-2</v>
      </c>
      <c r="D571" s="1" t="str">
        <f>IF(COUNTIF(Target1[Target Dates],Benchmark1[[#This Row],[Benchmark '#1 Dates]])=1,"Pass","Fail")</f>
        <v>Pass</v>
      </c>
      <c r="E571" s="6">
        <f>IF(Benchmark1[[#This Row],[Target Date Check]]="Pass",INDEX(Target1[Target Price],MATCH(Benchmark1[[#This Row],[Benchmark '#1 Dates]],Target1[Target Dates],0)),"-")</f>
        <v>29.83</v>
      </c>
      <c r="F571" s="22">
        <f>IF(Benchmark1[[#This Row],[Target Date Check]]="Pass",INDEX(Target1[Target Return],MATCH(Benchmark1[[#This Row],[Benchmark '#1 Dates]],Target1[Target Dates],0)),"-")</f>
        <v>2.6840408570061876E-2</v>
      </c>
      <c r="G571" s="1">
        <f>IFERROR(IF(Benchmark1[[#This Row],[Target Date Check]]="Pass",Benchmark1[[#This Row],[Target Return]]-Benchmark1[[#This Row],[Benchmark '#1 Return]],"-"),"-")</f>
        <v>9.5851775762052366E-3</v>
      </c>
      <c r="H571" s="1" t="str">
        <f>IF(COUNTIF(Comp1[Comparable '#1 Dates],Benchmark1[[#This Row],[Benchmark '#1 Dates]])=1,"Pass","Fail")</f>
        <v>Pass</v>
      </c>
      <c r="I571" s="6">
        <f>IF(Benchmark1[[#This Row],[Comparable '#1 Date Check]]="Pass",INDEX(Comp1[Comparable '#1 Price],MATCH(Benchmark1[[#This Row],[Benchmark '#1 Dates]],Comp1[Comparable '#1 Dates],0)),"-")</f>
        <v>12.99</v>
      </c>
      <c r="J571" s="22">
        <f>IF(Benchmark1[[#This Row],[Comparable '#1 Date Check]]="Pass",INDEX(Comp1[Comparable '#1 Return],MATCH(Benchmark1[[#This Row],[Benchmark '#1 Dates]],Comp1[Comparable '#1 Dates],0)),"-")</f>
        <v>-1.1481182373956254E-2</v>
      </c>
      <c r="K571" s="1">
        <f>IFERROR(IF(Benchmark1[[#This Row],[Comparable '#1 Date Check]]="Pass",Benchmark1[[#This Row],[Comparable '#1 Return]]-Benchmark1[[#This Row],[Benchmark '#1 Return]],"-"),"-")</f>
        <v>-2.8736413367812894E-2</v>
      </c>
      <c r="L571" s="1" t="str">
        <f>IF(COUNTIF(Comp2[Comparable '#2 Dates],Benchmark1[[#This Row],[Benchmark '#1 Dates]])=1,"Pass","Fail")</f>
        <v>Pass</v>
      </c>
      <c r="M571" s="6">
        <f>IF(Benchmark1[[#This Row],[Comparable '#2 Date Check]]="Pass",INDEX(Comp2[Comparable '#2 Price],MATCH(Benchmark1[[#This Row],[Benchmark '#1 Dates]],Comp2[Comparable '#2 Dates],0)),"-")</f>
        <v>26.19</v>
      </c>
      <c r="N571" s="22">
        <f>IF(Benchmark1[[#This Row],[Comparable '#2 Date Check]]="Pass",INDEX(Comp2[Comparable '#2 Return],MATCH(Benchmark1[[#This Row],[Benchmark '#1 Dates]],Comp2[Comparable '#2 Dates],0)),"-")</f>
        <v>3.8255593709835486E-3</v>
      </c>
      <c r="O571" s="1">
        <f>IFERROR(IF(Benchmark1[[#This Row],[Comparable '#2 Date Check]]="Pass",Benchmark1[[#This Row],[Comparable '#2 Return]]-Benchmark1[[#This Row],[Benchmark '#1 Return]],"-"),"-")</f>
        <v>-1.3429671622873091E-2</v>
      </c>
      <c r="P571" s="1" t="str">
        <f>IF(COUNTIF(Comp3[Comparable '#3 Dates],Benchmark1[[#This Row],[Benchmark '#1 Dates]])=1,"Pass","Fail")</f>
        <v>Pass</v>
      </c>
      <c r="Q571" s="6">
        <f>IF(Benchmark1[[#This Row],[Comparable '#3 Date Check]]="Pass",INDEX(Comp3[Comparable '#3 Price],MATCH(Benchmark1[[#This Row],[Benchmark '#1 Dates]],Comp3[Comparable '#3 Dates],0)),"-")</f>
        <v>93.99</v>
      </c>
      <c r="R571" s="22">
        <f>IF(Benchmark1[[#This Row],[Comparable '#3 Date Check]]="Pass",INDEX(Comp3[Comparable '#3 Return],MATCH(Benchmark1[[#This Row],[Benchmark '#1 Dates]],Comp3[Comparable '#3 Dates],0)),"-")</f>
        <v>3.6239647421124088E-3</v>
      </c>
      <c r="S571" s="1">
        <f>IFERROR(IF(Benchmark1[[#This Row],[Comparable '#3 Date Check]]="Pass",Benchmark1[[#This Row],[Comparable '#3 Return]]-Benchmark1[[#This Row],[Benchmark '#1 Return]],"-"),"-")</f>
        <v>-1.3631266251744231E-2</v>
      </c>
    </row>
    <row r="572" spans="1:19">
      <c r="A572" s="103">
        <v>44112</v>
      </c>
      <c r="B572" s="104">
        <v>3446.8283683598938</v>
      </c>
      <c r="C572" s="4">
        <f t="shared" si="8"/>
        <v>7.9749788809605447E-3</v>
      </c>
      <c r="D572" s="1" t="str">
        <f>IF(COUNTIF(Target1[Target Dates],Benchmark1[[#This Row],[Benchmark '#1 Dates]])=1,"Pass","Fail")</f>
        <v>Pass</v>
      </c>
      <c r="E572" s="6">
        <f>IF(Benchmark1[[#This Row],[Target Date Check]]="Pass",INDEX(Target1[Target Price],MATCH(Benchmark1[[#This Row],[Benchmark '#1 Dates]],Target1[Target Dates],0)),"-")</f>
        <v>29.57</v>
      </c>
      <c r="F572" s="22">
        <f>IF(Benchmark1[[#This Row],[Target Date Check]]="Pass",INDEX(Target1[Target Return],MATCH(Benchmark1[[#This Row],[Benchmark '#1 Dates]],Target1[Target Dates],0)),"-")</f>
        <v>-8.7542646622712095E-3</v>
      </c>
      <c r="G572" s="1">
        <f>IFERROR(IF(Benchmark1[[#This Row],[Target Date Check]]="Pass",Benchmark1[[#This Row],[Target Return]]-Benchmark1[[#This Row],[Benchmark '#1 Return]],"-"),"-")</f>
        <v>-1.6729243543231756E-2</v>
      </c>
      <c r="H572" s="1" t="str">
        <f>IF(COUNTIF(Comp1[Comparable '#1 Dates],Benchmark1[[#This Row],[Benchmark '#1 Dates]])=1,"Pass","Fail")</f>
        <v>Pass</v>
      </c>
      <c r="I572" s="6">
        <f>IF(Benchmark1[[#This Row],[Comparable '#1 Date Check]]="Pass",INDEX(Comp1[Comparable '#1 Price],MATCH(Benchmark1[[#This Row],[Benchmark '#1 Dates]],Comp1[Comparable '#1 Dates],0)),"-")</f>
        <v>13.34</v>
      </c>
      <c r="J572" s="22">
        <f>IF(Benchmark1[[#This Row],[Comparable '#1 Date Check]]="Pass",INDEX(Comp1[Comparable '#1 Return],MATCH(Benchmark1[[#This Row],[Benchmark '#1 Dates]],Comp1[Comparable '#1 Dates],0)),"-")</f>
        <v>2.6587209804969373E-2</v>
      </c>
      <c r="K572" s="1">
        <f>IFERROR(IF(Benchmark1[[#This Row],[Comparable '#1 Date Check]]="Pass",Benchmark1[[#This Row],[Comparable '#1 Return]]-Benchmark1[[#This Row],[Benchmark '#1 Return]],"-"),"-")</f>
        <v>1.8612230924008828E-2</v>
      </c>
      <c r="L572" s="1" t="str">
        <f>IF(COUNTIF(Comp2[Comparable '#2 Dates],Benchmark1[[#This Row],[Benchmark '#1 Dates]])=1,"Pass","Fail")</f>
        <v>Pass</v>
      </c>
      <c r="M572" s="6">
        <f>IF(Benchmark1[[#This Row],[Comparable '#2 Date Check]]="Pass",INDEX(Comp2[Comparable '#2 Price],MATCH(Benchmark1[[#This Row],[Benchmark '#1 Dates]],Comp2[Comparable '#2 Dates],0)),"-")</f>
        <v>26.92</v>
      </c>
      <c r="N572" s="22">
        <f>IF(Benchmark1[[#This Row],[Comparable '#2 Date Check]]="Pass",INDEX(Comp2[Comparable '#2 Return],MATCH(Benchmark1[[#This Row],[Benchmark '#1 Dates]],Comp2[Comparable '#2 Dates],0)),"-")</f>
        <v>2.7491846256906503E-2</v>
      </c>
      <c r="O572" s="1">
        <f>IFERROR(IF(Benchmark1[[#This Row],[Comparable '#2 Date Check]]="Pass",Benchmark1[[#This Row],[Comparable '#2 Return]]-Benchmark1[[#This Row],[Benchmark '#1 Return]],"-"),"-")</f>
        <v>1.9516867375945959E-2</v>
      </c>
      <c r="P572" s="1" t="str">
        <f>IF(COUNTIF(Comp3[Comparable '#3 Dates],Benchmark1[[#This Row],[Benchmark '#1 Dates]])=1,"Pass","Fail")</f>
        <v>Pass</v>
      </c>
      <c r="Q572" s="6">
        <f>IF(Benchmark1[[#This Row],[Comparable '#3 Date Check]]="Pass",INDEX(Comp3[Comparable '#3 Price],MATCH(Benchmark1[[#This Row],[Benchmark '#1 Dates]],Comp3[Comparable '#3 Dates],0)),"-")</f>
        <v>95.51</v>
      </c>
      <c r="R572" s="22">
        <f>IF(Benchmark1[[#This Row],[Comparable '#3 Date Check]]="Pass",INDEX(Comp3[Comparable '#3 Return],MATCH(Benchmark1[[#This Row],[Benchmark '#1 Dates]],Comp3[Comparable '#3 Dates],0)),"-")</f>
        <v>1.6042560414436309E-2</v>
      </c>
      <c r="S572" s="1">
        <f>IFERROR(IF(Benchmark1[[#This Row],[Comparable '#3 Date Check]]="Pass",Benchmark1[[#This Row],[Comparable '#3 Return]]-Benchmark1[[#This Row],[Benchmark '#1 Return]],"-"),"-")</f>
        <v>8.0675815334757643E-3</v>
      </c>
    </row>
    <row r="573" spans="1:19">
      <c r="A573" s="103">
        <v>44113</v>
      </c>
      <c r="B573" s="104">
        <v>3477.1342640636876</v>
      </c>
      <c r="C573" s="4">
        <f t="shared" si="8"/>
        <v>8.7539724998416547E-3</v>
      </c>
      <c r="D573" s="1" t="str">
        <f>IF(COUNTIF(Target1[Target Dates],Benchmark1[[#This Row],[Benchmark '#1 Dates]])=1,"Pass","Fail")</f>
        <v>Pass</v>
      </c>
      <c r="E573" s="6">
        <f>IF(Benchmark1[[#This Row],[Target Date Check]]="Pass",INDEX(Target1[Target Price],MATCH(Benchmark1[[#This Row],[Benchmark '#1 Dates]],Target1[Target Dates],0)),"-")</f>
        <v>30.44</v>
      </c>
      <c r="F573" s="22">
        <f>IF(Benchmark1[[#This Row],[Target Date Check]]="Pass",INDEX(Target1[Target Return],MATCH(Benchmark1[[#This Row],[Benchmark '#1 Dates]],Target1[Target Dates],0)),"-")</f>
        <v>2.8997199129099326E-2</v>
      </c>
      <c r="G573" s="1">
        <f>IFERROR(IF(Benchmark1[[#This Row],[Target Date Check]]="Pass",Benchmark1[[#This Row],[Target Return]]-Benchmark1[[#This Row],[Benchmark '#1 Return]],"-"),"-")</f>
        <v>2.024322662925767E-2</v>
      </c>
      <c r="H573" s="1" t="str">
        <f>IF(COUNTIF(Comp1[Comparable '#1 Dates],Benchmark1[[#This Row],[Benchmark '#1 Dates]])=1,"Pass","Fail")</f>
        <v>Pass</v>
      </c>
      <c r="I573" s="6">
        <f>IF(Benchmark1[[#This Row],[Comparable '#1 Date Check]]="Pass",INDEX(Comp1[Comparable '#1 Price],MATCH(Benchmark1[[#This Row],[Benchmark '#1 Dates]],Comp1[Comparable '#1 Dates],0)),"-")</f>
        <v>13.62</v>
      </c>
      <c r="J573" s="22">
        <f>IF(Benchmark1[[#This Row],[Comparable '#1 Date Check]]="Pass",INDEX(Comp1[Comparable '#1 Return],MATCH(Benchmark1[[#This Row],[Benchmark '#1 Dates]],Comp1[Comparable '#1 Dates],0)),"-")</f>
        <v>2.0772260233888642E-2</v>
      </c>
      <c r="K573" s="1">
        <f>IFERROR(IF(Benchmark1[[#This Row],[Comparable '#1 Date Check]]="Pass",Benchmark1[[#This Row],[Comparable '#1 Return]]-Benchmark1[[#This Row],[Benchmark '#1 Return]],"-"),"-")</f>
        <v>1.2018287734046987E-2</v>
      </c>
      <c r="L573" s="1" t="str">
        <f>IF(COUNTIF(Comp2[Comparable '#2 Dates],Benchmark1[[#This Row],[Benchmark '#1 Dates]])=1,"Pass","Fail")</f>
        <v>Pass</v>
      </c>
      <c r="M573" s="6">
        <f>IF(Benchmark1[[#This Row],[Comparable '#2 Date Check]]="Pass",INDEX(Comp2[Comparable '#2 Price],MATCH(Benchmark1[[#This Row],[Benchmark '#1 Dates]],Comp2[Comparable '#2 Dates],0)),"-")</f>
        <v>26.63</v>
      </c>
      <c r="N573" s="22">
        <f>IF(Benchmark1[[#This Row],[Comparable '#2 Date Check]]="Pass",INDEX(Comp2[Comparable '#2 Return],MATCH(Benchmark1[[#This Row],[Benchmark '#1 Dates]],Comp2[Comparable '#2 Dates],0)),"-")</f>
        <v>-1.0831104950686267E-2</v>
      </c>
      <c r="O573" s="1">
        <f>IFERROR(IF(Benchmark1[[#This Row],[Comparable '#2 Date Check]]="Pass",Benchmark1[[#This Row],[Comparable '#2 Return]]-Benchmark1[[#This Row],[Benchmark '#1 Return]],"-"),"-")</f>
        <v>-1.958507745052792E-2</v>
      </c>
      <c r="P573" s="1" t="str">
        <f>IF(COUNTIF(Comp3[Comparable '#3 Dates],Benchmark1[[#This Row],[Benchmark '#1 Dates]])=1,"Pass","Fail")</f>
        <v>Pass</v>
      </c>
      <c r="Q573" s="6">
        <f>IF(Benchmark1[[#This Row],[Comparable '#3 Date Check]]="Pass",INDEX(Comp3[Comparable '#3 Price],MATCH(Benchmark1[[#This Row],[Benchmark '#1 Dates]],Comp3[Comparable '#3 Dates],0)),"-")</f>
        <v>96.43</v>
      </c>
      <c r="R573" s="22">
        <f>IF(Benchmark1[[#This Row],[Comparable '#3 Date Check]]="Pass",INDEX(Comp3[Comparable '#3 Return],MATCH(Benchmark1[[#This Row],[Benchmark '#1 Dates]],Comp3[Comparable '#3 Dates],0)),"-")</f>
        <v>9.5864024756467867E-3</v>
      </c>
      <c r="S573" s="1">
        <f>IFERROR(IF(Benchmark1[[#This Row],[Comparable '#3 Date Check]]="Pass",Benchmark1[[#This Row],[Comparable '#3 Return]]-Benchmark1[[#This Row],[Benchmark '#1 Return]],"-"),"-")</f>
        <v>8.3242997580513199E-4</v>
      </c>
    </row>
    <row r="574" spans="1:19">
      <c r="A574" s="103">
        <v>44116</v>
      </c>
      <c r="B574" s="104">
        <v>3534.2159622530203</v>
      </c>
      <c r="C574" s="4">
        <f t="shared" si="8"/>
        <v>1.6283014696169627E-2</v>
      </c>
      <c r="D574" s="1" t="str">
        <f>IF(COUNTIF(Target1[Target Dates],Benchmark1[[#This Row],[Benchmark '#1 Dates]])=1,"Pass","Fail")</f>
        <v>Pass</v>
      </c>
      <c r="E574" s="6">
        <f>IF(Benchmark1[[#This Row],[Target Date Check]]="Pass",INDEX(Target1[Target Price],MATCH(Benchmark1[[#This Row],[Benchmark '#1 Dates]],Target1[Target Dates],0)),"-")</f>
        <v>30.46</v>
      </c>
      <c r="F574" s="22">
        <f>IF(Benchmark1[[#This Row],[Target Date Check]]="Pass",INDEX(Target1[Target Return],MATCH(Benchmark1[[#This Row],[Benchmark '#1 Dates]],Target1[Target Dates],0)),"-")</f>
        <v>6.5681447353075359E-4</v>
      </c>
      <c r="G574" s="1">
        <f>IFERROR(IF(Benchmark1[[#This Row],[Target Date Check]]="Pass",Benchmark1[[#This Row],[Target Return]]-Benchmark1[[#This Row],[Benchmark '#1 Return]],"-"),"-")</f>
        <v>-1.5626200222638872E-2</v>
      </c>
      <c r="H574" s="1" t="str">
        <f>IF(COUNTIF(Comp1[Comparable '#1 Dates],Benchmark1[[#This Row],[Benchmark '#1 Dates]])=1,"Pass","Fail")</f>
        <v>Pass</v>
      </c>
      <c r="I574" s="6">
        <f>IF(Benchmark1[[#This Row],[Comparable '#1 Date Check]]="Pass",INDEX(Comp1[Comparable '#1 Price],MATCH(Benchmark1[[#This Row],[Benchmark '#1 Dates]],Comp1[Comparable '#1 Dates],0)),"-")</f>
        <v>13.71</v>
      </c>
      <c r="J574" s="22">
        <f>IF(Benchmark1[[#This Row],[Comparable '#1 Date Check]]="Pass",INDEX(Comp1[Comparable '#1 Return],MATCH(Benchmark1[[#This Row],[Benchmark '#1 Dates]],Comp1[Comparable '#1 Dates],0)),"-")</f>
        <v>6.5861928528568757E-3</v>
      </c>
      <c r="K574" s="1">
        <f>IFERROR(IF(Benchmark1[[#This Row],[Comparable '#1 Date Check]]="Pass",Benchmark1[[#This Row],[Comparable '#1 Return]]-Benchmark1[[#This Row],[Benchmark '#1 Return]],"-"),"-")</f>
        <v>-9.6968218433127508E-3</v>
      </c>
      <c r="L574" s="1" t="str">
        <f>IF(COUNTIF(Comp2[Comparable '#2 Dates],Benchmark1[[#This Row],[Benchmark '#1 Dates]])=1,"Pass","Fail")</f>
        <v>Pass</v>
      </c>
      <c r="M574" s="6">
        <f>IF(Benchmark1[[#This Row],[Comparable '#2 Date Check]]="Pass",INDEX(Comp2[Comparable '#2 Price],MATCH(Benchmark1[[#This Row],[Benchmark '#1 Dates]],Comp2[Comparable '#2 Dates],0)),"-")</f>
        <v>26.39</v>
      </c>
      <c r="N574" s="22">
        <f>IF(Benchmark1[[#This Row],[Comparable '#2 Date Check]]="Pass",INDEX(Comp2[Comparable '#2 Return],MATCH(Benchmark1[[#This Row],[Benchmark '#1 Dates]],Comp2[Comparable '#2 Dates],0)),"-")</f>
        <v>-9.0532493106081479E-3</v>
      </c>
      <c r="O574" s="1">
        <f>IFERROR(IF(Benchmark1[[#This Row],[Comparable '#2 Date Check]]="Pass",Benchmark1[[#This Row],[Comparable '#2 Return]]-Benchmark1[[#This Row],[Benchmark '#1 Return]],"-"),"-")</f>
        <v>-2.5336264006777777E-2</v>
      </c>
      <c r="P574" s="1" t="str">
        <f>IF(COUNTIF(Comp3[Comparable '#3 Dates],Benchmark1[[#This Row],[Benchmark '#1 Dates]])=1,"Pass","Fail")</f>
        <v>Pass</v>
      </c>
      <c r="Q574" s="6">
        <f>IF(Benchmark1[[#This Row],[Comparable '#3 Date Check]]="Pass",INDEX(Comp3[Comparable '#3 Price],MATCH(Benchmark1[[#This Row],[Benchmark '#1 Dates]],Comp3[Comparable '#3 Dates],0)),"-")</f>
        <v>97.53</v>
      </c>
      <c r="R574" s="22">
        <f>IF(Benchmark1[[#This Row],[Comparable '#3 Date Check]]="Pass",INDEX(Comp3[Comparable '#3 Return],MATCH(Benchmark1[[#This Row],[Benchmark '#1 Dates]],Comp3[Comparable '#3 Dates],0)),"-")</f>
        <v>1.1342666461630483E-2</v>
      </c>
      <c r="S574" s="1">
        <f>IFERROR(IF(Benchmark1[[#This Row],[Comparable '#3 Date Check]]="Pass",Benchmark1[[#This Row],[Comparable '#3 Return]]-Benchmark1[[#This Row],[Benchmark '#1 Return]],"-"),"-")</f>
        <v>-4.940348234539144E-3</v>
      </c>
    </row>
    <row r="575" spans="1:19">
      <c r="A575" s="103">
        <v>44117</v>
      </c>
      <c r="B575" s="104">
        <v>3511.9299203007208</v>
      </c>
      <c r="C575" s="4">
        <f t="shared" si="8"/>
        <v>-6.3257606750819874E-3</v>
      </c>
      <c r="D575" s="1" t="str">
        <f>IF(COUNTIF(Target1[Target Dates],Benchmark1[[#This Row],[Benchmark '#1 Dates]])=1,"Pass","Fail")</f>
        <v>Pass</v>
      </c>
      <c r="E575" s="6">
        <f>IF(Benchmark1[[#This Row],[Target Date Check]]="Pass",INDEX(Target1[Target Price],MATCH(Benchmark1[[#This Row],[Benchmark '#1 Dates]],Target1[Target Dates],0)),"-")</f>
        <v>30.99</v>
      </c>
      <c r="F575" s="22">
        <f>IF(Benchmark1[[#This Row],[Target Date Check]]="Pass",INDEX(Target1[Target Return],MATCH(Benchmark1[[#This Row],[Benchmark '#1 Dates]],Target1[Target Dates],0)),"-")</f>
        <v>1.7250224332641093E-2</v>
      </c>
      <c r="G575" s="1">
        <f>IFERROR(IF(Benchmark1[[#This Row],[Target Date Check]]="Pass",Benchmark1[[#This Row],[Target Return]]-Benchmark1[[#This Row],[Benchmark '#1 Return]],"-"),"-")</f>
        <v>2.357598500772308E-2</v>
      </c>
      <c r="H575" s="1" t="str">
        <f>IF(COUNTIF(Comp1[Comparable '#1 Dates],Benchmark1[[#This Row],[Benchmark '#1 Dates]])=1,"Pass","Fail")</f>
        <v>Pass</v>
      </c>
      <c r="I575" s="6">
        <f>IF(Benchmark1[[#This Row],[Comparable '#1 Date Check]]="Pass",INDEX(Comp1[Comparable '#1 Price],MATCH(Benchmark1[[#This Row],[Benchmark '#1 Dates]],Comp1[Comparable '#1 Dates],0)),"-")</f>
        <v>13.46</v>
      </c>
      <c r="J575" s="22">
        <f>IF(Benchmark1[[#This Row],[Comparable '#1 Date Check]]="Pass",INDEX(Comp1[Comparable '#1 Return],MATCH(Benchmark1[[#This Row],[Benchmark '#1 Dates]],Comp1[Comparable '#1 Dates],0)),"-")</f>
        <v>-1.8403169357641299E-2</v>
      </c>
      <c r="K575" s="1">
        <f>IFERROR(IF(Benchmark1[[#This Row],[Comparable '#1 Date Check]]="Pass",Benchmark1[[#This Row],[Comparable '#1 Return]]-Benchmark1[[#This Row],[Benchmark '#1 Return]],"-"),"-")</f>
        <v>-1.2077408682559312E-2</v>
      </c>
      <c r="L575" s="1" t="str">
        <f>IF(COUNTIF(Comp2[Comparable '#2 Dates],Benchmark1[[#This Row],[Benchmark '#1 Dates]])=1,"Pass","Fail")</f>
        <v>Pass</v>
      </c>
      <c r="M575" s="6">
        <f>IF(Benchmark1[[#This Row],[Comparable '#2 Date Check]]="Pass",INDEX(Comp2[Comparable '#2 Price],MATCH(Benchmark1[[#This Row],[Benchmark '#1 Dates]],Comp2[Comparable '#2 Dates],0)),"-")</f>
        <v>26.45</v>
      </c>
      <c r="N575" s="22">
        <f>IF(Benchmark1[[#This Row],[Comparable '#2 Date Check]]="Pass",INDEX(Comp2[Comparable '#2 Return],MATCH(Benchmark1[[#This Row],[Benchmark '#1 Dates]],Comp2[Comparable '#2 Dates],0)),"-")</f>
        <v>2.2710077890756341E-3</v>
      </c>
      <c r="O575" s="1">
        <f>IFERROR(IF(Benchmark1[[#This Row],[Comparable '#2 Date Check]]="Pass",Benchmark1[[#This Row],[Comparable '#2 Return]]-Benchmark1[[#This Row],[Benchmark '#1 Return]],"-"),"-")</f>
        <v>8.5967684641576215E-3</v>
      </c>
      <c r="P575" s="1" t="str">
        <f>IF(COUNTIF(Comp3[Comparable '#3 Dates],Benchmark1[[#This Row],[Benchmark '#1 Dates]])=1,"Pass","Fail")</f>
        <v>Pass</v>
      </c>
      <c r="Q575" s="6">
        <f>IF(Benchmark1[[#This Row],[Comparable '#3 Date Check]]="Pass",INDEX(Comp3[Comparable '#3 Price],MATCH(Benchmark1[[#This Row],[Benchmark '#1 Dates]],Comp3[Comparable '#3 Dates],0)),"-")</f>
        <v>95.9</v>
      </c>
      <c r="R575" s="22">
        <f>IF(Benchmark1[[#This Row],[Comparable '#3 Date Check]]="Pass",INDEX(Comp3[Comparable '#3 Return],MATCH(Benchmark1[[#This Row],[Benchmark '#1 Dates]],Comp3[Comparable '#3 Dates],0)),"-")</f>
        <v>-1.6854041094531043E-2</v>
      </c>
      <c r="S575" s="1">
        <f>IFERROR(IF(Benchmark1[[#This Row],[Comparable '#3 Date Check]]="Pass",Benchmark1[[#This Row],[Comparable '#3 Return]]-Benchmark1[[#This Row],[Benchmark '#1 Return]],"-"),"-")</f>
        <v>-1.0528280419449056E-2</v>
      </c>
    </row>
    <row r="576" spans="1:19">
      <c r="A576" s="103">
        <v>44118</v>
      </c>
      <c r="B576" s="104">
        <v>3488.6660453124337</v>
      </c>
      <c r="C576" s="4">
        <f t="shared" si="8"/>
        <v>-6.6462800421088399E-3</v>
      </c>
      <c r="D576" s="1" t="str">
        <f>IF(COUNTIF(Target1[Target Dates],Benchmark1[[#This Row],[Benchmark '#1 Dates]])=1,"Pass","Fail")</f>
        <v>Pass</v>
      </c>
      <c r="E576" s="6">
        <f>IF(Benchmark1[[#This Row],[Target Date Check]]="Pass",INDEX(Target1[Target Price],MATCH(Benchmark1[[#This Row],[Benchmark '#1 Dates]],Target1[Target Dates],0)),"-")</f>
        <v>30.2</v>
      </c>
      <c r="F576" s="22">
        <f>IF(Benchmark1[[#This Row],[Target Date Check]]="Pass",INDEX(Target1[Target Return],MATCH(Benchmark1[[#This Row],[Benchmark '#1 Dates]],Target1[Target Dates],0)),"-")</f>
        <v>-2.5822647418832868E-2</v>
      </c>
      <c r="G576" s="1">
        <f>IFERROR(IF(Benchmark1[[#This Row],[Target Date Check]]="Pass",Benchmark1[[#This Row],[Target Return]]-Benchmark1[[#This Row],[Benchmark '#1 Return]],"-"),"-")</f>
        <v>-1.9176367376724027E-2</v>
      </c>
      <c r="H576" s="1" t="str">
        <f>IF(COUNTIF(Comp1[Comparable '#1 Dates],Benchmark1[[#This Row],[Benchmark '#1 Dates]])=1,"Pass","Fail")</f>
        <v>Pass</v>
      </c>
      <c r="I576" s="6">
        <f>IF(Benchmark1[[#This Row],[Comparable '#1 Date Check]]="Pass",INDEX(Comp1[Comparable '#1 Price],MATCH(Benchmark1[[#This Row],[Benchmark '#1 Dates]],Comp1[Comparable '#1 Dates],0)),"-")</f>
        <v>13.67</v>
      </c>
      <c r="J576" s="22">
        <f>IF(Benchmark1[[#This Row],[Comparable '#1 Date Check]]="Pass",INDEX(Comp1[Comparable '#1 Return],MATCH(Benchmark1[[#This Row],[Benchmark '#1 Dates]],Comp1[Comparable '#1 Dates],0)),"-")</f>
        <v>1.5481326519276391E-2</v>
      </c>
      <c r="K576" s="1">
        <f>IFERROR(IF(Benchmark1[[#This Row],[Comparable '#1 Date Check]]="Pass",Benchmark1[[#This Row],[Comparable '#1 Return]]-Benchmark1[[#This Row],[Benchmark '#1 Return]],"-"),"-")</f>
        <v>2.2127606561385231E-2</v>
      </c>
      <c r="L576" s="1" t="str">
        <f>IF(COUNTIF(Comp2[Comparable '#2 Dates],Benchmark1[[#This Row],[Benchmark '#1 Dates]])=1,"Pass","Fail")</f>
        <v>Pass</v>
      </c>
      <c r="M576" s="6">
        <f>IF(Benchmark1[[#This Row],[Comparable '#2 Date Check]]="Pass",INDEX(Comp2[Comparable '#2 Price],MATCH(Benchmark1[[#This Row],[Benchmark '#1 Dates]],Comp2[Comparable '#2 Dates],0)),"-")</f>
        <v>26.93</v>
      </c>
      <c r="N576" s="22">
        <f>IF(Benchmark1[[#This Row],[Comparable '#2 Date Check]]="Pass",INDEX(Comp2[Comparable '#2 Return],MATCH(Benchmark1[[#This Row],[Benchmark '#1 Dates]],Comp2[Comparable '#2 Dates],0)),"-")</f>
        <v>1.7984748519199192E-2</v>
      </c>
      <c r="O576" s="1">
        <f>IFERROR(IF(Benchmark1[[#This Row],[Comparable '#2 Date Check]]="Pass",Benchmark1[[#This Row],[Comparable '#2 Return]]-Benchmark1[[#This Row],[Benchmark '#1 Return]],"-"),"-")</f>
        <v>2.4631028561308034E-2</v>
      </c>
      <c r="P576" s="1" t="str">
        <f>IF(COUNTIF(Comp3[Comparable '#3 Dates],Benchmark1[[#This Row],[Benchmark '#1 Dates]])=1,"Pass","Fail")</f>
        <v>Pass</v>
      </c>
      <c r="Q576" s="6">
        <f>IF(Benchmark1[[#This Row],[Comparable '#3 Date Check]]="Pass",INDEX(Comp3[Comparable '#3 Price],MATCH(Benchmark1[[#This Row],[Benchmark '#1 Dates]],Comp3[Comparable '#3 Dates],0)),"-")</f>
        <v>96.15</v>
      </c>
      <c r="R576" s="22">
        <f>IF(Benchmark1[[#This Row],[Comparable '#3 Date Check]]="Pass",INDEX(Comp3[Comparable '#3 Return],MATCH(Benchmark1[[#This Row],[Benchmark '#1 Dates]],Comp3[Comparable '#3 Dates],0)),"-")</f>
        <v>2.6034901453962536E-3</v>
      </c>
      <c r="S576" s="1">
        <f>IFERROR(IF(Benchmark1[[#This Row],[Comparable '#3 Date Check]]="Pass",Benchmark1[[#This Row],[Comparable '#3 Return]]-Benchmark1[[#This Row],[Benchmark '#1 Return]],"-"),"-")</f>
        <v>9.249770187505094E-3</v>
      </c>
    </row>
    <row r="577" spans="1:19">
      <c r="A577" s="103">
        <v>44119</v>
      </c>
      <c r="B577" s="104">
        <v>3483.3413783453439</v>
      </c>
      <c r="C577" s="4">
        <f t="shared" si="8"/>
        <v>-1.5274418625145436E-3</v>
      </c>
      <c r="D577" s="1" t="str">
        <f>IF(COUNTIF(Target1[Target Dates],Benchmark1[[#This Row],[Benchmark '#1 Dates]])=1,"Pass","Fail")</f>
        <v>Pass</v>
      </c>
      <c r="E577" s="6">
        <f>IF(Benchmark1[[#This Row],[Target Date Check]]="Pass",INDEX(Target1[Target Price],MATCH(Benchmark1[[#This Row],[Benchmark '#1 Dates]],Target1[Target Dates],0)),"-")</f>
        <v>30.09</v>
      </c>
      <c r="F577" s="22">
        <f>IF(Benchmark1[[#This Row],[Target Date Check]]="Pass",INDEX(Target1[Target Return],MATCH(Benchmark1[[#This Row],[Benchmark '#1 Dates]],Target1[Target Dates],0)),"-")</f>
        <v>-3.6490337388701299E-3</v>
      </c>
      <c r="G577" s="1">
        <f>IFERROR(IF(Benchmark1[[#This Row],[Target Date Check]]="Pass",Benchmark1[[#This Row],[Target Return]]-Benchmark1[[#This Row],[Benchmark '#1 Return]],"-"),"-")</f>
        <v>-2.1215918763555861E-3</v>
      </c>
      <c r="H577" s="1" t="str">
        <f>IF(COUNTIF(Comp1[Comparable '#1 Dates],Benchmark1[[#This Row],[Benchmark '#1 Dates]])=1,"Pass","Fail")</f>
        <v>Pass</v>
      </c>
      <c r="I577" s="6">
        <f>IF(Benchmark1[[#This Row],[Comparable '#1 Date Check]]="Pass",INDEX(Comp1[Comparable '#1 Price],MATCH(Benchmark1[[#This Row],[Benchmark '#1 Dates]],Comp1[Comparable '#1 Dates],0)),"-")</f>
        <v>13.62</v>
      </c>
      <c r="J577" s="22">
        <f>IF(Benchmark1[[#This Row],[Comparable '#1 Date Check]]="Pass",INDEX(Comp1[Comparable '#1 Return],MATCH(Benchmark1[[#This Row],[Benchmark '#1 Dates]],Comp1[Comparable '#1 Dates],0)),"-")</f>
        <v>-3.664350014491979E-3</v>
      </c>
      <c r="K577" s="1">
        <f>IFERROR(IF(Benchmark1[[#This Row],[Comparable '#1 Date Check]]="Pass",Benchmark1[[#This Row],[Comparable '#1 Return]]-Benchmark1[[#This Row],[Benchmark '#1 Return]],"-"),"-")</f>
        <v>-2.1369081519774357E-3</v>
      </c>
      <c r="L577" s="1" t="str">
        <f>IF(COUNTIF(Comp2[Comparable '#2 Dates],Benchmark1[[#This Row],[Benchmark '#1 Dates]])=1,"Pass","Fail")</f>
        <v>Pass</v>
      </c>
      <c r="M577" s="6">
        <f>IF(Benchmark1[[#This Row],[Comparable '#2 Date Check]]="Pass",INDEX(Comp2[Comparable '#2 Price],MATCH(Benchmark1[[#This Row],[Benchmark '#1 Dates]],Comp2[Comparable '#2 Dates],0)),"-")</f>
        <v>27.4</v>
      </c>
      <c r="N577" s="22">
        <f>IF(Benchmark1[[#This Row],[Comparable '#2 Date Check]]="Pass",INDEX(Comp2[Comparable '#2 Return],MATCH(Benchmark1[[#This Row],[Benchmark '#1 Dates]],Comp2[Comparable '#2 Dates],0)),"-")</f>
        <v>1.7302106570516923E-2</v>
      </c>
      <c r="O577" s="1">
        <f>IFERROR(IF(Benchmark1[[#This Row],[Comparable '#2 Date Check]]="Pass",Benchmark1[[#This Row],[Comparable '#2 Return]]-Benchmark1[[#This Row],[Benchmark '#1 Return]],"-"),"-")</f>
        <v>1.8829548433031466E-2</v>
      </c>
      <c r="P577" s="1" t="str">
        <f>IF(COUNTIF(Comp3[Comparable '#3 Dates],Benchmark1[[#This Row],[Benchmark '#1 Dates]])=1,"Pass","Fail")</f>
        <v>Pass</v>
      </c>
      <c r="Q577" s="6">
        <f>IF(Benchmark1[[#This Row],[Comparable '#3 Date Check]]="Pass",INDEX(Comp3[Comparable '#3 Price],MATCH(Benchmark1[[#This Row],[Benchmark '#1 Dates]],Comp3[Comparable '#3 Dates],0)),"-")</f>
        <v>96.64</v>
      </c>
      <c r="R577" s="22">
        <f>IF(Benchmark1[[#This Row],[Comparable '#3 Date Check]]="Pass",INDEX(Comp3[Comparable '#3 Return],MATCH(Benchmark1[[#This Row],[Benchmark '#1 Dates]],Comp3[Comparable '#3 Dates],0)),"-")</f>
        <v>5.0832621517160554E-3</v>
      </c>
      <c r="S577" s="1">
        <f>IFERROR(IF(Benchmark1[[#This Row],[Comparable '#3 Date Check]]="Pass",Benchmark1[[#This Row],[Comparable '#3 Return]]-Benchmark1[[#This Row],[Benchmark '#1 Return]],"-"),"-")</f>
        <v>6.6107040142305987E-3</v>
      </c>
    </row>
    <row r="578" spans="1:19">
      <c r="A578" s="103">
        <v>44120</v>
      </c>
      <c r="B578" s="104">
        <v>3483.8078426763486</v>
      </c>
      <c r="C578" s="4">
        <f t="shared" ref="C578:C641" si="9">IFERROR(IF(B578="","-",LN(B578/B577)),"-")</f>
        <v>1.3390393026012747E-4</v>
      </c>
      <c r="D578" s="1" t="str">
        <f>IF(COUNTIF(Target1[Target Dates],Benchmark1[[#This Row],[Benchmark '#1 Dates]])=1,"Pass","Fail")</f>
        <v>Pass</v>
      </c>
      <c r="E578" s="6">
        <f>IF(Benchmark1[[#This Row],[Target Date Check]]="Pass",INDEX(Target1[Target Price],MATCH(Benchmark1[[#This Row],[Benchmark '#1 Dates]],Target1[Target Dates],0)),"-")</f>
        <v>29.36</v>
      </c>
      <c r="F578" s="22">
        <f>IF(Benchmark1[[#This Row],[Target Date Check]]="Pass",INDEX(Target1[Target Return],MATCH(Benchmark1[[#This Row],[Benchmark '#1 Dates]],Target1[Target Dates],0)),"-")</f>
        <v>-2.4559686895639022E-2</v>
      </c>
      <c r="G578" s="1">
        <f>IFERROR(IF(Benchmark1[[#This Row],[Target Date Check]]="Pass",Benchmark1[[#This Row],[Target Return]]-Benchmark1[[#This Row],[Benchmark '#1 Return]],"-"),"-")</f>
        <v>-2.4693590825899149E-2</v>
      </c>
      <c r="H578" s="1" t="str">
        <f>IF(COUNTIF(Comp1[Comparable '#1 Dates],Benchmark1[[#This Row],[Benchmark '#1 Dates]])=1,"Pass","Fail")</f>
        <v>Pass</v>
      </c>
      <c r="I578" s="6">
        <f>IF(Benchmark1[[#This Row],[Comparable '#1 Date Check]]="Pass",INDEX(Comp1[Comparable '#1 Price],MATCH(Benchmark1[[#This Row],[Benchmark '#1 Dates]],Comp1[Comparable '#1 Dates],0)),"-")</f>
        <v>13.59</v>
      </c>
      <c r="J578" s="22">
        <f>IF(Benchmark1[[#This Row],[Comparable '#1 Date Check]]="Pass",INDEX(Comp1[Comparable '#1 Return],MATCH(Benchmark1[[#This Row],[Benchmark '#1 Dates]],Comp1[Comparable '#1 Dates],0)),"-")</f>
        <v>-2.2050725583138702E-3</v>
      </c>
      <c r="K578" s="1">
        <f>IFERROR(IF(Benchmark1[[#This Row],[Comparable '#1 Date Check]]="Pass",Benchmark1[[#This Row],[Comparable '#1 Return]]-Benchmark1[[#This Row],[Benchmark '#1 Return]],"-"),"-")</f>
        <v>-2.3389764885739977E-3</v>
      </c>
      <c r="L578" s="1" t="str">
        <f>IF(COUNTIF(Comp2[Comparable '#2 Dates],Benchmark1[[#This Row],[Benchmark '#1 Dates]])=1,"Pass","Fail")</f>
        <v>Pass</v>
      </c>
      <c r="M578" s="6">
        <f>IF(Benchmark1[[#This Row],[Comparable '#2 Date Check]]="Pass",INDEX(Comp2[Comparable '#2 Price],MATCH(Benchmark1[[#This Row],[Benchmark '#1 Dates]],Comp2[Comparable '#2 Dates],0)),"-")</f>
        <v>26.6</v>
      </c>
      <c r="N578" s="22">
        <f>IF(Benchmark1[[#This Row],[Comparable '#2 Date Check]]="Pass",INDEX(Comp2[Comparable '#2 Return],MATCH(Benchmark1[[#This Row],[Benchmark '#1 Dates]],Comp2[Comparable '#2 Dates],0)),"-")</f>
        <v>-2.9631797606371E-2</v>
      </c>
      <c r="O578" s="1">
        <f>IFERROR(IF(Benchmark1[[#This Row],[Comparable '#2 Date Check]]="Pass",Benchmark1[[#This Row],[Comparable '#2 Return]]-Benchmark1[[#This Row],[Benchmark '#1 Return]],"-"),"-")</f>
        <v>-2.9765701536631127E-2</v>
      </c>
      <c r="P578" s="1" t="str">
        <f>IF(COUNTIF(Comp3[Comparable '#3 Dates],Benchmark1[[#This Row],[Benchmark '#1 Dates]])=1,"Pass","Fail")</f>
        <v>Pass</v>
      </c>
      <c r="Q578" s="6">
        <f>IF(Benchmark1[[#This Row],[Comparable '#3 Date Check]]="Pass",INDEX(Comp3[Comparable '#3 Price],MATCH(Benchmark1[[#This Row],[Benchmark '#1 Dates]],Comp3[Comparable '#3 Dates],0)),"-")</f>
        <v>96.73</v>
      </c>
      <c r="R578" s="22">
        <f>IF(Benchmark1[[#This Row],[Comparable '#3 Date Check]]="Pass",INDEX(Comp3[Comparable '#3 Return],MATCH(Benchmark1[[#This Row],[Benchmark '#1 Dates]],Comp3[Comparable '#3 Dates],0)),"-")</f>
        <v>9.3085800795078945E-4</v>
      </c>
      <c r="S578" s="1">
        <f>IFERROR(IF(Benchmark1[[#This Row],[Comparable '#3 Date Check]]="Pass",Benchmark1[[#This Row],[Comparable '#3 Return]]-Benchmark1[[#This Row],[Benchmark '#1 Return]],"-"),"-")</f>
        <v>7.9695407769066196E-4</v>
      </c>
    </row>
    <row r="579" spans="1:19">
      <c r="A579" s="103">
        <v>44123</v>
      </c>
      <c r="B579" s="104">
        <v>3426.9240844032934</v>
      </c>
      <c r="C579" s="4">
        <f t="shared" si="9"/>
        <v>-1.6462812798153287E-2</v>
      </c>
      <c r="D579" s="1" t="str">
        <f>IF(COUNTIF(Target1[Target Dates],Benchmark1[[#This Row],[Benchmark '#1 Dates]])=1,"Pass","Fail")</f>
        <v>Pass</v>
      </c>
      <c r="E579" s="6">
        <f>IF(Benchmark1[[#This Row],[Target Date Check]]="Pass",INDEX(Target1[Target Price],MATCH(Benchmark1[[#This Row],[Benchmark '#1 Dates]],Target1[Target Dates],0)),"-")</f>
        <v>29.01</v>
      </c>
      <c r="F579" s="22">
        <f>IF(Benchmark1[[#This Row],[Target Date Check]]="Pass",INDEX(Target1[Target Return],MATCH(Benchmark1[[#This Row],[Benchmark '#1 Dates]],Target1[Target Dates],0)),"-")</f>
        <v>-1.1992605613002123E-2</v>
      </c>
      <c r="G579" s="1">
        <f>IFERROR(IF(Benchmark1[[#This Row],[Target Date Check]]="Pass",Benchmark1[[#This Row],[Target Return]]-Benchmark1[[#This Row],[Benchmark '#1 Return]],"-"),"-")</f>
        <v>4.4702071851511638E-3</v>
      </c>
      <c r="H579" s="1" t="str">
        <f>IF(COUNTIF(Comp1[Comparable '#1 Dates],Benchmark1[[#This Row],[Benchmark '#1 Dates]])=1,"Pass","Fail")</f>
        <v>Pass</v>
      </c>
      <c r="I579" s="6">
        <f>IF(Benchmark1[[#This Row],[Comparable '#1 Date Check]]="Pass",INDEX(Comp1[Comparable '#1 Price],MATCH(Benchmark1[[#This Row],[Benchmark '#1 Dates]],Comp1[Comparable '#1 Dates],0)),"-")</f>
        <v>13.61</v>
      </c>
      <c r="J579" s="22">
        <f>IF(Benchmark1[[#This Row],[Comparable '#1 Date Check]]="Pass",INDEX(Comp1[Comparable '#1 Return],MATCH(Benchmark1[[#This Row],[Benchmark '#1 Dates]],Comp1[Comparable '#1 Dates],0)),"-")</f>
        <v>1.47058850032222E-3</v>
      </c>
      <c r="K579" s="1">
        <f>IFERROR(IF(Benchmark1[[#This Row],[Comparable '#1 Date Check]]="Pass",Benchmark1[[#This Row],[Comparable '#1 Return]]-Benchmark1[[#This Row],[Benchmark '#1 Return]],"-"),"-")</f>
        <v>1.7933401298475506E-2</v>
      </c>
      <c r="L579" s="1" t="str">
        <f>IF(COUNTIF(Comp2[Comparable '#2 Dates],Benchmark1[[#This Row],[Benchmark '#1 Dates]])=1,"Pass","Fail")</f>
        <v>Pass</v>
      </c>
      <c r="M579" s="6">
        <f>IF(Benchmark1[[#This Row],[Comparable '#2 Date Check]]="Pass",INDEX(Comp2[Comparable '#2 Price],MATCH(Benchmark1[[#This Row],[Benchmark '#1 Dates]],Comp2[Comparable '#2 Dates],0)),"-")</f>
        <v>26.32</v>
      </c>
      <c r="N579" s="22">
        <f>IF(Benchmark1[[#This Row],[Comparable '#2 Date Check]]="Pass",INDEX(Comp2[Comparable '#2 Return],MATCH(Benchmark1[[#This Row],[Benchmark '#1 Dates]],Comp2[Comparable '#2 Dates],0)),"-")</f>
        <v>-1.0582109330536972E-2</v>
      </c>
      <c r="O579" s="1">
        <f>IFERROR(IF(Benchmark1[[#This Row],[Comparable '#2 Date Check]]="Pass",Benchmark1[[#This Row],[Comparable '#2 Return]]-Benchmark1[[#This Row],[Benchmark '#1 Return]],"-"),"-")</f>
        <v>5.8807034676163147E-3</v>
      </c>
      <c r="P579" s="1" t="str">
        <f>IF(COUNTIF(Comp3[Comparable '#3 Dates],Benchmark1[[#This Row],[Benchmark '#1 Dates]])=1,"Pass","Fail")</f>
        <v>Pass</v>
      </c>
      <c r="Q579" s="6">
        <f>IF(Benchmark1[[#This Row],[Comparable '#3 Date Check]]="Pass",INDEX(Comp3[Comparable '#3 Price],MATCH(Benchmark1[[#This Row],[Benchmark '#1 Dates]],Comp3[Comparable '#3 Dates],0)),"-")</f>
        <v>97.89</v>
      </c>
      <c r="R579" s="22">
        <f>IF(Benchmark1[[#This Row],[Comparable '#3 Date Check]]="Pass",INDEX(Comp3[Comparable '#3 Return],MATCH(Benchmark1[[#This Row],[Benchmark '#1 Dates]],Comp3[Comparable '#3 Dates],0)),"-")</f>
        <v>1.1920807078883188E-2</v>
      </c>
      <c r="S579" s="1">
        <f>IFERROR(IF(Benchmark1[[#This Row],[Comparable '#3 Date Check]]="Pass",Benchmark1[[#This Row],[Comparable '#3 Return]]-Benchmark1[[#This Row],[Benchmark '#1 Return]],"-"),"-")</f>
        <v>2.8383619877036477E-2</v>
      </c>
    </row>
    <row r="580" spans="1:19">
      <c r="A580" s="103">
        <v>44124</v>
      </c>
      <c r="B580" s="104">
        <v>3443.1167602297869</v>
      </c>
      <c r="C580" s="4">
        <f t="shared" si="9"/>
        <v>4.7140056889375124E-3</v>
      </c>
      <c r="D580" s="1" t="str">
        <f>IF(COUNTIF(Target1[Target Dates],Benchmark1[[#This Row],[Benchmark '#1 Dates]])=1,"Pass","Fail")</f>
        <v>Pass</v>
      </c>
      <c r="E580" s="6">
        <f>IF(Benchmark1[[#This Row],[Target Date Check]]="Pass",INDEX(Target1[Target Price],MATCH(Benchmark1[[#This Row],[Benchmark '#1 Dates]],Target1[Target Dates],0)),"-")</f>
        <v>29.15</v>
      </c>
      <c r="F580" s="22">
        <f>IF(Benchmark1[[#This Row],[Target Date Check]]="Pass",INDEX(Target1[Target Return],MATCH(Benchmark1[[#This Row],[Benchmark '#1 Dates]],Target1[Target Dates],0)),"-")</f>
        <v>4.8143146631885944E-3</v>
      </c>
      <c r="G580" s="1">
        <f>IFERROR(IF(Benchmark1[[#This Row],[Target Date Check]]="Pass",Benchmark1[[#This Row],[Target Return]]-Benchmark1[[#This Row],[Benchmark '#1 Return]],"-"),"-")</f>
        <v>1.0030897425108206E-4</v>
      </c>
      <c r="H580" s="1" t="str">
        <f>IF(COUNTIF(Comp1[Comparable '#1 Dates],Benchmark1[[#This Row],[Benchmark '#1 Dates]])=1,"Pass","Fail")</f>
        <v>Pass</v>
      </c>
      <c r="I580" s="6">
        <f>IF(Benchmark1[[#This Row],[Comparable '#1 Date Check]]="Pass",INDEX(Comp1[Comparable '#1 Price],MATCH(Benchmark1[[#This Row],[Benchmark '#1 Dates]],Comp1[Comparable '#1 Dates],0)),"-")</f>
        <v>13.74</v>
      </c>
      <c r="J580" s="22">
        <f>IF(Benchmark1[[#This Row],[Comparable '#1 Date Check]]="Pass",INDEX(Comp1[Comparable '#1 Return],MATCH(Benchmark1[[#This Row],[Benchmark '#1 Dates]],Comp1[Comparable '#1 Dates],0)),"-")</f>
        <v>9.5064701308285905E-3</v>
      </c>
      <c r="K580" s="1">
        <f>IFERROR(IF(Benchmark1[[#This Row],[Comparable '#1 Date Check]]="Pass",Benchmark1[[#This Row],[Comparable '#1 Return]]-Benchmark1[[#This Row],[Benchmark '#1 Return]],"-"),"-")</f>
        <v>4.7924644418910782E-3</v>
      </c>
      <c r="L580" s="1" t="str">
        <f>IF(COUNTIF(Comp2[Comparable '#2 Dates],Benchmark1[[#This Row],[Benchmark '#1 Dates]])=1,"Pass","Fail")</f>
        <v>Pass</v>
      </c>
      <c r="M580" s="6">
        <f>IF(Benchmark1[[#This Row],[Comparable '#2 Date Check]]="Pass",INDEX(Comp2[Comparable '#2 Price],MATCH(Benchmark1[[#This Row],[Benchmark '#1 Dates]],Comp2[Comparable '#2 Dates],0)),"-")</f>
        <v>26.83</v>
      </c>
      <c r="N580" s="22">
        <f>IF(Benchmark1[[#This Row],[Comparable '#2 Date Check]]="Pass",INDEX(Comp2[Comparable '#2 Return],MATCH(Benchmark1[[#This Row],[Benchmark '#1 Dates]],Comp2[Comparable '#2 Dates],0)),"-")</f>
        <v>1.9191557980416298E-2</v>
      </c>
      <c r="O580" s="1">
        <f>IFERROR(IF(Benchmark1[[#This Row],[Comparable '#2 Date Check]]="Pass",Benchmark1[[#This Row],[Comparable '#2 Return]]-Benchmark1[[#This Row],[Benchmark '#1 Return]],"-"),"-")</f>
        <v>1.4477552291478787E-2</v>
      </c>
      <c r="P580" s="1" t="str">
        <f>IF(COUNTIF(Comp3[Comparable '#3 Dates],Benchmark1[[#This Row],[Benchmark '#1 Dates]])=1,"Pass","Fail")</f>
        <v>Pass</v>
      </c>
      <c r="Q580" s="6">
        <f>IF(Benchmark1[[#This Row],[Comparable '#3 Date Check]]="Pass",INDEX(Comp3[Comparable '#3 Price],MATCH(Benchmark1[[#This Row],[Benchmark '#1 Dates]],Comp3[Comparable '#3 Dates],0)),"-")</f>
        <v>97.15</v>
      </c>
      <c r="R580" s="22">
        <f>IF(Benchmark1[[#This Row],[Comparable '#3 Date Check]]="Pass",INDEX(Comp3[Comparable '#3 Return],MATCH(Benchmark1[[#This Row],[Benchmark '#1 Dates]],Comp3[Comparable '#3 Dates],0)),"-")</f>
        <v>-7.5882234498898023E-3</v>
      </c>
      <c r="S580" s="1">
        <f>IFERROR(IF(Benchmark1[[#This Row],[Comparable '#3 Date Check]]="Pass",Benchmark1[[#This Row],[Comparable '#3 Return]]-Benchmark1[[#This Row],[Benchmark '#1 Return]],"-"),"-")</f>
        <v>-1.2302229138827316E-2</v>
      </c>
    </row>
    <row r="581" spans="1:19">
      <c r="A581" s="103">
        <v>44125</v>
      </c>
      <c r="B581" s="104">
        <v>3435.5554615715005</v>
      </c>
      <c r="C581" s="4">
        <f t="shared" si="9"/>
        <v>-2.1984771072023407E-3</v>
      </c>
      <c r="D581" s="1" t="str">
        <f>IF(COUNTIF(Target1[Target Dates],Benchmark1[[#This Row],[Benchmark '#1 Dates]])=1,"Pass","Fail")</f>
        <v>Pass</v>
      </c>
      <c r="E581" s="6">
        <f>IF(Benchmark1[[#This Row],[Target Date Check]]="Pass",INDEX(Target1[Target Price],MATCH(Benchmark1[[#This Row],[Benchmark '#1 Dates]],Target1[Target Dates],0)),"-")</f>
        <v>28.47</v>
      </c>
      <c r="F581" s="22">
        <f>IF(Benchmark1[[#This Row],[Target Date Check]]="Pass",INDEX(Target1[Target Return],MATCH(Benchmark1[[#This Row],[Benchmark '#1 Dates]],Target1[Target Dates],0)),"-")</f>
        <v>-2.3604011506555181E-2</v>
      </c>
      <c r="G581" s="1">
        <f>IFERROR(IF(Benchmark1[[#This Row],[Target Date Check]]="Pass",Benchmark1[[#This Row],[Target Return]]-Benchmark1[[#This Row],[Benchmark '#1 Return]],"-"),"-")</f>
        <v>-2.1405534399352839E-2</v>
      </c>
      <c r="H581" s="1" t="str">
        <f>IF(COUNTIF(Comp1[Comparable '#1 Dates],Benchmark1[[#This Row],[Benchmark '#1 Dates]])=1,"Pass","Fail")</f>
        <v>Pass</v>
      </c>
      <c r="I581" s="6">
        <f>IF(Benchmark1[[#This Row],[Comparable '#1 Date Check]]="Pass",INDEX(Comp1[Comparable '#1 Price],MATCH(Benchmark1[[#This Row],[Benchmark '#1 Dates]],Comp1[Comparable '#1 Dates],0)),"-")</f>
        <v>13.83</v>
      </c>
      <c r="J581" s="22">
        <f>IF(Benchmark1[[#This Row],[Comparable '#1 Date Check]]="Pass",INDEX(Comp1[Comparable '#1 Return],MATCH(Benchmark1[[#This Row],[Benchmark '#1 Dates]],Comp1[Comparable '#1 Dates],0)),"-")</f>
        <v>6.528858882463631E-3</v>
      </c>
      <c r="K581" s="1">
        <f>IFERROR(IF(Benchmark1[[#This Row],[Comparable '#1 Date Check]]="Pass",Benchmark1[[#This Row],[Comparable '#1 Return]]-Benchmark1[[#This Row],[Benchmark '#1 Return]],"-"),"-")</f>
        <v>8.7273359896659717E-3</v>
      </c>
      <c r="L581" s="1" t="str">
        <f>IF(COUNTIF(Comp2[Comparable '#2 Dates],Benchmark1[[#This Row],[Benchmark '#1 Dates]])=1,"Pass","Fail")</f>
        <v>Pass</v>
      </c>
      <c r="M581" s="6">
        <f>IF(Benchmark1[[#This Row],[Comparable '#2 Date Check]]="Pass",INDEX(Comp2[Comparable '#2 Price],MATCH(Benchmark1[[#This Row],[Benchmark '#1 Dates]],Comp2[Comparable '#2 Dates],0)),"-")</f>
        <v>26.87</v>
      </c>
      <c r="N581" s="22">
        <f>IF(Benchmark1[[#This Row],[Comparable '#2 Date Check]]="Pass",INDEX(Comp2[Comparable '#2 Return],MATCH(Benchmark1[[#This Row],[Benchmark '#1 Dates]],Comp2[Comparable '#2 Dates],0)),"-")</f>
        <v>1.4897581898671022E-3</v>
      </c>
      <c r="O581" s="1">
        <f>IFERROR(IF(Benchmark1[[#This Row],[Comparable '#2 Date Check]]="Pass",Benchmark1[[#This Row],[Comparable '#2 Return]]-Benchmark1[[#This Row],[Benchmark '#1 Return]],"-"),"-")</f>
        <v>3.6882352970694426E-3</v>
      </c>
      <c r="P581" s="1" t="str">
        <f>IF(COUNTIF(Comp3[Comparable '#3 Dates],Benchmark1[[#This Row],[Benchmark '#1 Dates]])=1,"Pass","Fail")</f>
        <v>Pass</v>
      </c>
      <c r="Q581" s="6">
        <f>IF(Benchmark1[[#This Row],[Comparable '#3 Date Check]]="Pass",INDEX(Comp3[Comparable '#3 Price],MATCH(Benchmark1[[#This Row],[Benchmark '#1 Dates]],Comp3[Comparable '#3 Dates],0)),"-")</f>
        <v>96.05</v>
      </c>
      <c r="R581" s="22">
        <f>IF(Benchmark1[[#This Row],[Comparable '#3 Date Check]]="Pass",INDEX(Comp3[Comparable '#3 Return],MATCH(Benchmark1[[#This Row],[Benchmark '#1 Dates]],Comp3[Comparable '#3 Dates],0)),"-")</f>
        <v>-1.1387286608883483E-2</v>
      </c>
      <c r="S581" s="1">
        <f>IFERROR(IF(Benchmark1[[#This Row],[Comparable '#3 Date Check]]="Pass",Benchmark1[[#This Row],[Comparable '#3 Return]]-Benchmark1[[#This Row],[Benchmark '#1 Return]],"-"),"-")</f>
        <v>-9.1888095016811437E-3</v>
      </c>
    </row>
    <row r="582" spans="1:19">
      <c r="A582" s="103">
        <v>44126</v>
      </c>
      <c r="B582" s="104">
        <v>3453.4901807197821</v>
      </c>
      <c r="C582" s="4">
        <f t="shared" si="9"/>
        <v>5.2067472324488408E-3</v>
      </c>
      <c r="D582" s="1" t="str">
        <f>IF(COUNTIF(Target1[Target Dates],Benchmark1[[#This Row],[Benchmark '#1 Dates]])=1,"Pass","Fail")</f>
        <v>Pass</v>
      </c>
      <c r="E582" s="6">
        <f>IF(Benchmark1[[#This Row],[Target Date Check]]="Pass",INDEX(Target1[Target Price],MATCH(Benchmark1[[#This Row],[Benchmark '#1 Dates]],Target1[Target Dates],0)),"-")</f>
        <v>28.93</v>
      </c>
      <c r="F582" s="22">
        <f>IF(Benchmark1[[#This Row],[Target Date Check]]="Pass",INDEX(Target1[Target Return],MATCH(Benchmark1[[#This Row],[Benchmark '#1 Dates]],Target1[Target Dates],0)),"-")</f>
        <v>1.6028217698097563E-2</v>
      </c>
      <c r="G582" s="1">
        <f>IFERROR(IF(Benchmark1[[#This Row],[Target Date Check]]="Pass",Benchmark1[[#This Row],[Target Return]]-Benchmark1[[#This Row],[Benchmark '#1 Return]],"-"),"-")</f>
        <v>1.0821470465648722E-2</v>
      </c>
      <c r="H582" s="1" t="str">
        <f>IF(COUNTIF(Comp1[Comparable '#1 Dates],Benchmark1[[#This Row],[Benchmark '#1 Dates]])=1,"Pass","Fail")</f>
        <v>Pass</v>
      </c>
      <c r="I582" s="6">
        <f>IF(Benchmark1[[#This Row],[Comparable '#1 Date Check]]="Pass",INDEX(Comp1[Comparable '#1 Price],MATCH(Benchmark1[[#This Row],[Benchmark '#1 Dates]],Comp1[Comparable '#1 Dates],0)),"-")</f>
        <v>13.77</v>
      </c>
      <c r="J582" s="22">
        <f>IF(Benchmark1[[#This Row],[Comparable '#1 Date Check]]="Pass",INDEX(Comp1[Comparable '#1 Return],MATCH(Benchmark1[[#This Row],[Benchmark '#1 Dates]],Comp1[Comparable '#1 Dates],0)),"-")</f>
        <v>-4.3478329361033982E-3</v>
      </c>
      <c r="K582" s="1">
        <f>IFERROR(IF(Benchmark1[[#This Row],[Comparable '#1 Date Check]]="Pass",Benchmark1[[#This Row],[Comparable '#1 Return]]-Benchmark1[[#This Row],[Benchmark '#1 Return]],"-"),"-")</f>
        <v>-9.5545801685522382E-3</v>
      </c>
      <c r="L582" s="1" t="str">
        <f>IF(COUNTIF(Comp2[Comparable '#2 Dates],Benchmark1[[#This Row],[Benchmark '#1 Dates]])=1,"Pass","Fail")</f>
        <v>Pass</v>
      </c>
      <c r="M582" s="6">
        <f>IF(Benchmark1[[#This Row],[Comparable '#2 Date Check]]="Pass",INDEX(Comp2[Comparable '#2 Price],MATCH(Benchmark1[[#This Row],[Benchmark '#1 Dates]],Comp2[Comparable '#2 Dates],0)),"-")</f>
        <v>27.24</v>
      </c>
      <c r="N582" s="22">
        <f>IF(Benchmark1[[#This Row],[Comparable '#2 Date Check]]="Pass",INDEX(Comp2[Comparable '#2 Return],MATCH(Benchmark1[[#This Row],[Benchmark '#1 Dates]],Comp2[Comparable '#2 Dates],0)),"-")</f>
        <v>1.3676058653911758E-2</v>
      </c>
      <c r="O582" s="1">
        <f>IFERROR(IF(Benchmark1[[#This Row],[Comparable '#2 Date Check]]="Pass",Benchmark1[[#This Row],[Comparable '#2 Return]]-Benchmark1[[#This Row],[Benchmark '#1 Return]],"-"),"-")</f>
        <v>8.4693114214629169E-3</v>
      </c>
      <c r="P582" s="1" t="str">
        <f>IF(COUNTIF(Comp3[Comparable '#3 Dates],Benchmark1[[#This Row],[Benchmark '#1 Dates]])=1,"Pass","Fail")</f>
        <v>Pass</v>
      </c>
      <c r="Q582" s="6">
        <f>IF(Benchmark1[[#This Row],[Comparable '#3 Date Check]]="Pass",INDEX(Comp3[Comparable '#3 Price],MATCH(Benchmark1[[#This Row],[Benchmark '#1 Dates]],Comp3[Comparable '#3 Dates],0)),"-")</f>
        <v>95.79</v>
      </c>
      <c r="R582" s="22">
        <f>IF(Benchmark1[[#This Row],[Comparable '#3 Date Check]]="Pass",INDEX(Comp3[Comparable '#3 Return],MATCH(Benchmark1[[#This Row],[Benchmark '#1 Dates]],Comp3[Comparable '#3 Dates],0)),"-")</f>
        <v>-2.7105938197652317E-3</v>
      </c>
      <c r="S582" s="1">
        <f>IFERROR(IF(Benchmark1[[#This Row],[Comparable '#3 Date Check]]="Pass",Benchmark1[[#This Row],[Comparable '#3 Return]]-Benchmark1[[#This Row],[Benchmark '#1 Return]],"-"),"-")</f>
        <v>-7.917341052214073E-3</v>
      </c>
    </row>
    <row r="583" spans="1:19">
      <c r="A583" s="103">
        <v>44127</v>
      </c>
      <c r="B583" s="104">
        <v>3465.3872157932287</v>
      </c>
      <c r="C583" s="4">
        <f t="shared" si="9"/>
        <v>3.4390107287509686E-3</v>
      </c>
      <c r="D583" s="1" t="str">
        <f>IF(COUNTIF(Target1[Target Dates],Benchmark1[[#This Row],[Benchmark '#1 Dates]])=1,"Pass","Fail")</f>
        <v>Pass</v>
      </c>
      <c r="E583" s="6">
        <f>IF(Benchmark1[[#This Row],[Target Date Check]]="Pass",INDEX(Target1[Target Price],MATCH(Benchmark1[[#This Row],[Benchmark '#1 Dates]],Target1[Target Dates],0)),"-")</f>
        <v>28.7</v>
      </c>
      <c r="F583" s="22">
        <f>IF(Benchmark1[[#This Row],[Target Date Check]]="Pass",INDEX(Target1[Target Return],MATCH(Benchmark1[[#This Row],[Benchmark '#1 Dates]],Target1[Target Dates],0)),"-")</f>
        <v>-7.9819962224683405E-3</v>
      </c>
      <c r="G583" s="1">
        <f>IFERROR(IF(Benchmark1[[#This Row],[Target Date Check]]="Pass",Benchmark1[[#This Row],[Target Return]]-Benchmark1[[#This Row],[Benchmark '#1 Return]],"-"),"-")</f>
        <v>-1.1421006951219309E-2</v>
      </c>
      <c r="H583" s="1" t="str">
        <f>IF(COUNTIF(Comp1[Comparable '#1 Dates],Benchmark1[[#This Row],[Benchmark '#1 Dates]])=1,"Pass","Fail")</f>
        <v>Pass</v>
      </c>
      <c r="I583" s="6">
        <f>IF(Benchmark1[[#This Row],[Comparable '#1 Date Check]]="Pass",INDEX(Comp1[Comparable '#1 Price],MATCH(Benchmark1[[#This Row],[Benchmark '#1 Dates]],Comp1[Comparable '#1 Dates],0)),"-")</f>
        <v>13.81</v>
      </c>
      <c r="J583" s="22">
        <f>IF(Benchmark1[[#This Row],[Comparable '#1 Date Check]]="Pass",INDEX(Comp1[Comparable '#1 Return],MATCH(Benchmark1[[#This Row],[Benchmark '#1 Dates]],Comp1[Comparable '#1 Dates],0)),"-")</f>
        <v>2.9006546806373116E-3</v>
      </c>
      <c r="K583" s="1">
        <f>IFERROR(IF(Benchmark1[[#This Row],[Comparable '#1 Date Check]]="Pass",Benchmark1[[#This Row],[Comparable '#1 Return]]-Benchmark1[[#This Row],[Benchmark '#1 Return]],"-"),"-")</f>
        <v>-5.3835604811365697E-4</v>
      </c>
      <c r="L583" s="1" t="str">
        <f>IF(COUNTIF(Comp2[Comparable '#2 Dates],Benchmark1[[#This Row],[Benchmark '#1 Dates]])=1,"Pass","Fail")</f>
        <v>Pass</v>
      </c>
      <c r="M583" s="6">
        <f>IF(Benchmark1[[#This Row],[Comparable '#2 Date Check]]="Pass",INDEX(Comp2[Comparable '#2 Price],MATCH(Benchmark1[[#This Row],[Benchmark '#1 Dates]],Comp2[Comparable '#2 Dates],0)),"-")</f>
        <v>26.93</v>
      </c>
      <c r="N583" s="22">
        <f>IF(Benchmark1[[#This Row],[Comparable '#2 Date Check]]="Pass",INDEX(Comp2[Comparable '#2 Return],MATCH(Benchmark1[[#This Row],[Benchmark '#1 Dates]],Comp2[Comparable '#2 Dates],0)),"-")</f>
        <v>-1.1445574457803998E-2</v>
      </c>
      <c r="O583" s="1">
        <f>IFERROR(IF(Benchmark1[[#This Row],[Comparable '#2 Date Check]]="Pass",Benchmark1[[#This Row],[Comparable '#2 Return]]-Benchmark1[[#This Row],[Benchmark '#1 Return]],"-"),"-")</f>
        <v>-1.4884585186554966E-2</v>
      </c>
      <c r="P583" s="1" t="str">
        <f>IF(COUNTIF(Comp3[Comparable '#3 Dates],Benchmark1[[#This Row],[Benchmark '#1 Dates]])=1,"Pass","Fail")</f>
        <v>Pass</v>
      </c>
      <c r="Q583" s="6">
        <f>IF(Benchmark1[[#This Row],[Comparable '#3 Date Check]]="Pass",INDEX(Comp3[Comparable '#3 Price],MATCH(Benchmark1[[#This Row],[Benchmark '#1 Dates]],Comp3[Comparable '#3 Dates],0)),"-")</f>
        <v>96.16</v>
      </c>
      <c r="R583" s="22">
        <f>IF(Benchmark1[[#This Row],[Comparable '#3 Date Check]]="Pass",INDEX(Comp3[Comparable '#3 Return],MATCH(Benchmark1[[#This Row],[Benchmark '#1 Dates]],Comp3[Comparable '#3 Dates],0)),"-")</f>
        <v>3.8551753920970451E-3</v>
      </c>
      <c r="S583" s="1">
        <f>IFERROR(IF(Benchmark1[[#This Row],[Comparable '#3 Date Check]]="Pass",Benchmark1[[#This Row],[Comparable '#3 Return]]-Benchmark1[[#This Row],[Benchmark '#1 Return]],"-"),"-")</f>
        <v>4.1616466334607654E-4</v>
      </c>
    </row>
    <row r="584" spans="1:19">
      <c r="A584" s="103">
        <v>44130</v>
      </c>
      <c r="B584" s="104">
        <v>3400.9681978050608</v>
      </c>
      <c r="C584" s="4">
        <f t="shared" si="9"/>
        <v>-1.8764221843072661E-2</v>
      </c>
      <c r="D584" s="1" t="str">
        <f>IF(COUNTIF(Target1[Target Dates],Benchmark1[[#This Row],[Benchmark '#1 Dates]])=1,"Pass","Fail")</f>
        <v>Pass</v>
      </c>
      <c r="E584" s="6">
        <f>IF(Benchmark1[[#This Row],[Target Date Check]]="Pass",INDEX(Target1[Target Price],MATCH(Benchmark1[[#This Row],[Benchmark '#1 Dates]],Target1[Target Dates],0)),"-")</f>
        <v>28.23</v>
      </c>
      <c r="F584" s="22">
        <f>IF(Benchmark1[[#This Row],[Target Date Check]]="Pass",INDEX(Target1[Target Return],MATCH(Benchmark1[[#This Row],[Benchmark '#1 Dates]],Target1[Target Dates],0)),"-")</f>
        <v>-1.6511880500177465E-2</v>
      </c>
      <c r="G584" s="1">
        <f>IFERROR(IF(Benchmark1[[#This Row],[Target Date Check]]="Pass",Benchmark1[[#This Row],[Target Return]]-Benchmark1[[#This Row],[Benchmark '#1 Return]],"-"),"-")</f>
        <v>2.2523413428951963E-3</v>
      </c>
      <c r="H584" s="1" t="str">
        <f>IF(COUNTIF(Comp1[Comparable '#1 Dates],Benchmark1[[#This Row],[Benchmark '#1 Dates]])=1,"Pass","Fail")</f>
        <v>Pass</v>
      </c>
      <c r="I584" s="6">
        <f>IF(Benchmark1[[#This Row],[Comparable '#1 Date Check]]="Pass",INDEX(Comp1[Comparable '#1 Price],MATCH(Benchmark1[[#This Row],[Benchmark '#1 Dates]],Comp1[Comparable '#1 Dates],0)),"-")</f>
        <v>13.46</v>
      </c>
      <c r="J584" s="22">
        <f>IF(Benchmark1[[#This Row],[Comparable '#1 Date Check]]="Pass",INDEX(Comp1[Comparable '#1 Return],MATCH(Benchmark1[[#This Row],[Benchmark '#1 Dates]],Comp1[Comparable '#1 Dates],0)),"-")</f>
        <v>-2.5670643204618995E-2</v>
      </c>
      <c r="K584" s="1">
        <f>IFERROR(IF(Benchmark1[[#This Row],[Comparable '#1 Date Check]]="Pass",Benchmark1[[#This Row],[Comparable '#1 Return]]-Benchmark1[[#This Row],[Benchmark '#1 Return]],"-"),"-")</f>
        <v>-6.9064213615463339E-3</v>
      </c>
      <c r="L584" s="1" t="str">
        <f>IF(COUNTIF(Comp2[Comparable '#2 Dates],Benchmark1[[#This Row],[Benchmark '#1 Dates]])=1,"Pass","Fail")</f>
        <v>Pass</v>
      </c>
      <c r="M584" s="6">
        <f>IF(Benchmark1[[#This Row],[Comparable '#2 Date Check]]="Pass",INDEX(Comp2[Comparable '#2 Price],MATCH(Benchmark1[[#This Row],[Benchmark '#1 Dates]],Comp2[Comparable '#2 Dates],0)),"-")</f>
        <v>26.6</v>
      </c>
      <c r="N584" s="22">
        <f>IF(Benchmark1[[#This Row],[Comparable '#2 Date Check]]="Pass",INDEX(Comp2[Comparable '#2 Return],MATCH(Benchmark1[[#This Row],[Benchmark '#1 Dates]],Comp2[Comparable '#2 Dates],0)),"-")</f>
        <v>-1.2329691035854032E-2</v>
      </c>
      <c r="O584" s="1">
        <f>IFERROR(IF(Benchmark1[[#This Row],[Comparable '#2 Date Check]]="Pass",Benchmark1[[#This Row],[Comparable '#2 Return]]-Benchmark1[[#This Row],[Benchmark '#1 Return]],"-"),"-")</f>
        <v>6.4345308072186296E-3</v>
      </c>
      <c r="P584" s="1" t="str">
        <f>IF(COUNTIF(Comp3[Comparable '#3 Dates],Benchmark1[[#This Row],[Benchmark '#1 Dates]])=1,"Pass","Fail")</f>
        <v>Pass</v>
      </c>
      <c r="Q584" s="6">
        <f>IF(Benchmark1[[#This Row],[Comparable '#3 Date Check]]="Pass",INDEX(Comp3[Comparable '#3 Price],MATCH(Benchmark1[[#This Row],[Benchmark '#1 Dates]],Comp3[Comparable '#3 Dates],0)),"-")</f>
        <v>93.86</v>
      </c>
      <c r="R584" s="22">
        <f>IF(Benchmark1[[#This Row],[Comparable '#3 Date Check]]="Pass",INDEX(Comp3[Comparable '#3 Return],MATCH(Benchmark1[[#This Row],[Benchmark '#1 Dates]],Comp3[Comparable '#3 Dates],0)),"-")</f>
        <v>-2.420916042062583E-2</v>
      </c>
      <c r="S584" s="1">
        <f>IFERROR(IF(Benchmark1[[#This Row],[Comparable '#3 Date Check]]="Pass",Benchmark1[[#This Row],[Comparable '#3 Return]]-Benchmark1[[#This Row],[Benchmark '#1 Return]],"-"),"-")</f>
        <v>-5.4449385775531683E-3</v>
      </c>
    </row>
    <row r="585" spans="1:19">
      <c r="A585" s="103">
        <v>44131</v>
      </c>
      <c r="B585" s="104">
        <v>3390.6844279283828</v>
      </c>
      <c r="C585" s="4">
        <f t="shared" si="9"/>
        <v>-3.0283579866973451E-3</v>
      </c>
      <c r="D585" s="1" t="str">
        <f>IF(COUNTIF(Target1[Target Dates],Benchmark1[[#This Row],[Benchmark '#1 Dates]])=1,"Pass","Fail")</f>
        <v>Pass</v>
      </c>
      <c r="E585" s="6">
        <f>IF(Benchmark1[[#This Row],[Target Date Check]]="Pass",INDEX(Target1[Target Price],MATCH(Benchmark1[[#This Row],[Benchmark '#1 Dates]],Target1[Target Dates],0)),"-")</f>
        <v>28.93</v>
      </c>
      <c r="F585" s="22">
        <f>IF(Benchmark1[[#This Row],[Target Date Check]]="Pass",INDEX(Target1[Target Return],MATCH(Benchmark1[[#This Row],[Benchmark '#1 Dates]],Target1[Target Dates],0)),"-")</f>
        <v>2.449387672264576E-2</v>
      </c>
      <c r="G585" s="1">
        <f>IFERROR(IF(Benchmark1[[#This Row],[Target Date Check]]="Pass",Benchmark1[[#This Row],[Target Return]]-Benchmark1[[#This Row],[Benchmark '#1 Return]],"-"),"-")</f>
        <v>2.7522234709343105E-2</v>
      </c>
      <c r="H585" s="1" t="str">
        <f>IF(COUNTIF(Comp1[Comparable '#1 Dates],Benchmark1[[#This Row],[Benchmark '#1 Dates]])=1,"Pass","Fail")</f>
        <v>Pass</v>
      </c>
      <c r="I585" s="6">
        <f>IF(Benchmark1[[#This Row],[Comparable '#1 Date Check]]="Pass",INDEX(Comp1[Comparable '#1 Price],MATCH(Benchmark1[[#This Row],[Benchmark '#1 Dates]],Comp1[Comparable '#1 Dates],0)),"-")</f>
        <v>13.21</v>
      </c>
      <c r="J585" s="22">
        <f>IF(Benchmark1[[#This Row],[Comparable '#1 Date Check]]="Pass",INDEX(Comp1[Comparable '#1 Return],MATCH(Benchmark1[[#This Row],[Benchmark '#1 Dates]],Comp1[Comparable '#1 Dates],0)),"-")</f>
        <v>-1.8748205682347842E-2</v>
      </c>
      <c r="K585" s="1">
        <f>IFERROR(IF(Benchmark1[[#This Row],[Comparable '#1 Date Check]]="Pass",Benchmark1[[#This Row],[Comparable '#1 Return]]-Benchmark1[[#This Row],[Benchmark '#1 Return]],"-"),"-")</f>
        <v>-1.5719847695650498E-2</v>
      </c>
      <c r="L585" s="1" t="str">
        <f>IF(COUNTIF(Comp2[Comparable '#2 Dates],Benchmark1[[#This Row],[Benchmark '#1 Dates]])=1,"Pass","Fail")</f>
        <v>Pass</v>
      </c>
      <c r="M585" s="6">
        <f>IF(Benchmark1[[#This Row],[Comparable '#2 Date Check]]="Pass",INDEX(Comp2[Comparable '#2 Price],MATCH(Benchmark1[[#This Row],[Benchmark '#1 Dates]],Comp2[Comparable '#2 Dates],0)),"-")</f>
        <v>25.25</v>
      </c>
      <c r="N585" s="22">
        <f>IF(Benchmark1[[#This Row],[Comparable '#2 Date Check]]="Pass",INDEX(Comp2[Comparable '#2 Return],MATCH(Benchmark1[[#This Row],[Benchmark '#1 Dates]],Comp2[Comparable '#2 Dates],0)),"-")</f>
        <v>-5.2085060066284661E-2</v>
      </c>
      <c r="O585" s="1">
        <f>IFERROR(IF(Benchmark1[[#This Row],[Comparable '#2 Date Check]]="Pass",Benchmark1[[#This Row],[Comparable '#2 Return]]-Benchmark1[[#This Row],[Benchmark '#1 Return]],"-"),"-")</f>
        <v>-4.9056702079587317E-2</v>
      </c>
      <c r="P585" s="1" t="str">
        <f>IF(COUNTIF(Comp3[Comparable '#3 Dates],Benchmark1[[#This Row],[Benchmark '#1 Dates]])=1,"Pass","Fail")</f>
        <v>Pass</v>
      </c>
      <c r="Q585" s="6">
        <f>IF(Benchmark1[[#This Row],[Comparable '#3 Date Check]]="Pass",INDEX(Comp3[Comparable '#3 Price],MATCH(Benchmark1[[#This Row],[Benchmark '#1 Dates]],Comp3[Comparable '#3 Dates],0)),"-")</f>
        <v>89.99</v>
      </c>
      <c r="R585" s="22">
        <f>IF(Benchmark1[[#This Row],[Comparable '#3 Date Check]]="Pass",INDEX(Comp3[Comparable '#3 Return],MATCH(Benchmark1[[#This Row],[Benchmark '#1 Dates]],Comp3[Comparable '#3 Dates],0)),"-")</f>
        <v>-4.2105757320414494E-2</v>
      </c>
      <c r="S585" s="1">
        <f>IFERROR(IF(Benchmark1[[#This Row],[Comparable '#3 Date Check]]="Pass",Benchmark1[[#This Row],[Comparable '#3 Return]]-Benchmark1[[#This Row],[Benchmark '#1 Return]],"-"),"-")</f>
        <v>-3.907739933371715E-2</v>
      </c>
    </row>
    <row r="586" spans="1:19">
      <c r="A586" s="103">
        <v>44132</v>
      </c>
      <c r="B586" s="104">
        <v>3271.0273852326345</v>
      </c>
      <c r="C586" s="4">
        <f t="shared" si="9"/>
        <v>-3.5927676508345031E-2</v>
      </c>
      <c r="D586" s="1" t="str">
        <f>IF(COUNTIF(Target1[Target Dates],Benchmark1[[#This Row],[Benchmark '#1 Dates]])=1,"Pass","Fail")</f>
        <v>Pass</v>
      </c>
      <c r="E586" s="6">
        <f>IF(Benchmark1[[#This Row],[Target Date Check]]="Pass",INDEX(Target1[Target Price],MATCH(Benchmark1[[#This Row],[Benchmark '#1 Dates]],Target1[Target Dates],0)),"-")</f>
        <v>27.08</v>
      </c>
      <c r="F586" s="22">
        <f>IF(Benchmark1[[#This Row],[Target Date Check]]="Pass",INDEX(Target1[Target Return],MATCH(Benchmark1[[#This Row],[Benchmark '#1 Dates]],Target1[Target Dates],0)),"-")</f>
        <v>-6.6083670943969539E-2</v>
      </c>
      <c r="G586" s="1">
        <f>IFERROR(IF(Benchmark1[[#This Row],[Target Date Check]]="Pass",Benchmark1[[#This Row],[Target Return]]-Benchmark1[[#This Row],[Benchmark '#1 Return]],"-"),"-")</f>
        <v>-3.0155994435624507E-2</v>
      </c>
      <c r="H586" s="1" t="str">
        <f>IF(COUNTIF(Comp1[Comparable '#1 Dates],Benchmark1[[#This Row],[Benchmark '#1 Dates]])=1,"Pass","Fail")</f>
        <v>Pass</v>
      </c>
      <c r="I586" s="6">
        <f>IF(Benchmark1[[#This Row],[Comparable '#1 Date Check]]="Pass",INDEX(Comp1[Comparable '#1 Price],MATCH(Benchmark1[[#This Row],[Benchmark '#1 Dates]],Comp1[Comparable '#1 Dates],0)),"-")</f>
        <v>12.7</v>
      </c>
      <c r="J586" s="22">
        <f>IF(Benchmark1[[#This Row],[Comparable '#1 Date Check]]="Pass",INDEX(Comp1[Comparable '#1 Return],MATCH(Benchmark1[[#This Row],[Benchmark '#1 Dates]],Comp1[Comparable '#1 Dates],0)),"-")</f>
        <v>-3.9372125069688471E-2</v>
      </c>
      <c r="K586" s="1">
        <f>IFERROR(IF(Benchmark1[[#This Row],[Comparable '#1 Date Check]]="Pass",Benchmark1[[#This Row],[Comparable '#1 Return]]-Benchmark1[[#This Row],[Benchmark '#1 Return]],"-"),"-")</f>
        <v>-3.4444485613434397E-3</v>
      </c>
      <c r="L586" s="1" t="str">
        <f>IF(COUNTIF(Comp2[Comparable '#2 Dates],Benchmark1[[#This Row],[Benchmark '#1 Dates]])=1,"Pass","Fail")</f>
        <v>Pass</v>
      </c>
      <c r="M586" s="6">
        <f>IF(Benchmark1[[#This Row],[Comparable '#2 Date Check]]="Pass",INDEX(Comp2[Comparable '#2 Price],MATCH(Benchmark1[[#This Row],[Benchmark '#1 Dates]],Comp2[Comparable '#2 Dates],0)),"-")</f>
        <v>23.61</v>
      </c>
      <c r="N586" s="22">
        <f>IF(Benchmark1[[#This Row],[Comparable '#2 Date Check]]="Pass",INDEX(Comp2[Comparable '#2 Return],MATCH(Benchmark1[[#This Row],[Benchmark '#1 Dates]],Comp2[Comparable '#2 Dates],0)),"-")</f>
        <v>-6.7155804623947338E-2</v>
      </c>
      <c r="O586" s="1">
        <f>IFERROR(IF(Benchmark1[[#This Row],[Comparable '#2 Date Check]]="Pass",Benchmark1[[#This Row],[Comparable '#2 Return]]-Benchmark1[[#This Row],[Benchmark '#1 Return]],"-"),"-")</f>
        <v>-3.1228128115602306E-2</v>
      </c>
      <c r="P586" s="1" t="str">
        <f>IF(COUNTIF(Comp3[Comparable '#3 Dates],Benchmark1[[#This Row],[Benchmark '#1 Dates]])=1,"Pass","Fail")</f>
        <v>Pass</v>
      </c>
      <c r="Q586" s="6">
        <f>IF(Benchmark1[[#This Row],[Comparable '#3 Date Check]]="Pass",INDEX(Comp3[Comparable '#3 Price],MATCH(Benchmark1[[#This Row],[Benchmark '#1 Dates]],Comp3[Comparable '#3 Dates],0)),"-")</f>
        <v>83.37</v>
      </c>
      <c r="R586" s="22">
        <f>IF(Benchmark1[[#This Row],[Comparable '#3 Date Check]]="Pass",INDEX(Comp3[Comparable '#3 Return],MATCH(Benchmark1[[#This Row],[Benchmark '#1 Dates]],Comp3[Comparable '#3 Dates],0)),"-")</f>
        <v>-7.6410020623335032E-2</v>
      </c>
      <c r="S586" s="1">
        <f>IFERROR(IF(Benchmark1[[#This Row],[Comparable '#3 Date Check]]="Pass",Benchmark1[[#This Row],[Comparable '#3 Return]]-Benchmark1[[#This Row],[Benchmark '#1 Return]],"-"),"-")</f>
        <v>-4.048234411499E-2</v>
      </c>
    </row>
    <row r="587" spans="1:19">
      <c r="A587" s="103">
        <v>44133</v>
      </c>
      <c r="B587" s="104">
        <v>3310.1128015524882</v>
      </c>
      <c r="C587" s="4">
        <f t="shared" si="9"/>
        <v>1.1878147177377632E-2</v>
      </c>
      <c r="D587" s="1" t="str">
        <f>IF(COUNTIF(Target1[Target Dates],Benchmark1[[#This Row],[Benchmark '#1 Dates]])=1,"Pass","Fail")</f>
        <v>Pass</v>
      </c>
      <c r="E587" s="6">
        <f>IF(Benchmark1[[#This Row],[Target Date Check]]="Pass",INDEX(Target1[Target Price],MATCH(Benchmark1[[#This Row],[Benchmark '#1 Dates]],Target1[Target Dates],0)),"-")</f>
        <v>25.18</v>
      </c>
      <c r="F587" s="22">
        <f>IF(Benchmark1[[#This Row],[Target Date Check]]="Pass",INDEX(Target1[Target Return],MATCH(Benchmark1[[#This Row],[Benchmark '#1 Dates]],Target1[Target Dates],0)),"-")</f>
        <v>-7.2745419427873034E-2</v>
      </c>
      <c r="G587" s="1">
        <f>IFERROR(IF(Benchmark1[[#This Row],[Target Date Check]]="Pass",Benchmark1[[#This Row],[Target Return]]-Benchmark1[[#This Row],[Benchmark '#1 Return]],"-"),"-")</f>
        <v>-8.4623566605250666E-2</v>
      </c>
      <c r="H587" s="1" t="str">
        <f>IF(COUNTIF(Comp1[Comparable '#1 Dates],Benchmark1[[#This Row],[Benchmark '#1 Dates]])=1,"Pass","Fail")</f>
        <v>Pass</v>
      </c>
      <c r="I587" s="6">
        <f>IF(Benchmark1[[#This Row],[Comparable '#1 Date Check]]="Pass",INDEX(Comp1[Comparable '#1 Price],MATCH(Benchmark1[[#This Row],[Benchmark '#1 Dates]],Comp1[Comparable '#1 Dates],0)),"-")</f>
        <v>12.76</v>
      </c>
      <c r="J587" s="22">
        <f>IF(Benchmark1[[#This Row],[Comparable '#1 Date Check]]="Pass",INDEX(Comp1[Comparable '#1 Return],MATCH(Benchmark1[[#This Row],[Benchmark '#1 Dates]],Comp1[Comparable '#1 Dates],0)),"-")</f>
        <v>4.7132844520983569E-3</v>
      </c>
      <c r="K587" s="1">
        <f>IFERROR(IF(Benchmark1[[#This Row],[Comparable '#1 Date Check]]="Pass",Benchmark1[[#This Row],[Comparable '#1 Return]]-Benchmark1[[#This Row],[Benchmark '#1 Return]],"-"),"-")</f>
        <v>-7.1648627252792751E-3</v>
      </c>
      <c r="L587" s="1" t="str">
        <f>IF(COUNTIF(Comp2[Comparable '#2 Dates],Benchmark1[[#This Row],[Benchmark '#1 Dates]])=1,"Pass","Fail")</f>
        <v>Pass</v>
      </c>
      <c r="M587" s="6">
        <f>IF(Benchmark1[[#This Row],[Comparable '#2 Date Check]]="Pass",INDEX(Comp2[Comparable '#2 Price],MATCH(Benchmark1[[#This Row],[Benchmark '#1 Dates]],Comp2[Comparable '#2 Dates],0)),"-")</f>
        <v>23.9</v>
      </c>
      <c r="N587" s="22">
        <f>IF(Benchmark1[[#This Row],[Comparable '#2 Date Check]]="Pass",INDEX(Comp2[Comparable '#2 Return],MATCH(Benchmark1[[#This Row],[Benchmark '#1 Dates]],Comp2[Comparable '#2 Dates],0)),"-")</f>
        <v>1.2208107840043362E-2</v>
      </c>
      <c r="O587" s="1">
        <f>IFERROR(IF(Benchmark1[[#This Row],[Comparable '#2 Date Check]]="Pass",Benchmark1[[#This Row],[Comparable '#2 Return]]-Benchmark1[[#This Row],[Benchmark '#1 Return]],"-"),"-")</f>
        <v>3.2996066266573025E-4</v>
      </c>
      <c r="P587" s="1" t="str">
        <f>IF(COUNTIF(Comp3[Comparable '#3 Dates],Benchmark1[[#This Row],[Benchmark '#1 Dates]])=1,"Pass","Fail")</f>
        <v>Pass</v>
      </c>
      <c r="Q587" s="6">
        <f>IF(Benchmark1[[#This Row],[Comparable '#3 Date Check]]="Pass",INDEX(Comp3[Comparable '#3 Price],MATCH(Benchmark1[[#This Row],[Benchmark '#1 Dates]],Comp3[Comparable '#3 Dates],0)),"-")</f>
        <v>84.31</v>
      </c>
      <c r="R587" s="22">
        <f>IF(Benchmark1[[#This Row],[Comparable '#3 Date Check]]="Pass",INDEX(Comp3[Comparable '#3 Return],MATCH(Benchmark1[[#This Row],[Benchmark '#1 Dates]],Comp3[Comparable '#3 Dates],0)),"-")</f>
        <v>1.1211949512062233E-2</v>
      </c>
      <c r="S587" s="1">
        <f>IFERROR(IF(Benchmark1[[#This Row],[Comparable '#3 Date Check]]="Pass",Benchmark1[[#This Row],[Comparable '#3 Return]]-Benchmark1[[#This Row],[Benchmark '#1 Return]],"-"),"-")</f>
        <v>-6.6619766531539858E-4</v>
      </c>
    </row>
    <row r="588" spans="1:19">
      <c r="A588" s="103">
        <v>44134</v>
      </c>
      <c r="B588" s="104">
        <v>3269.9590859407476</v>
      </c>
      <c r="C588" s="4">
        <f t="shared" si="9"/>
        <v>-1.2204794941012067E-2</v>
      </c>
      <c r="D588" s="1" t="str">
        <f>IF(COUNTIF(Target1[Target Dates],Benchmark1[[#This Row],[Benchmark '#1 Dates]])=1,"Pass","Fail")</f>
        <v>Pass</v>
      </c>
      <c r="E588" s="6">
        <f>IF(Benchmark1[[#This Row],[Target Date Check]]="Pass",INDEX(Target1[Target Price],MATCH(Benchmark1[[#This Row],[Benchmark '#1 Dates]],Target1[Target Dates],0)),"-")</f>
        <v>23.87</v>
      </c>
      <c r="F588" s="22">
        <f>IF(Benchmark1[[#This Row],[Target Date Check]]="Pass",INDEX(Target1[Target Return],MATCH(Benchmark1[[#This Row],[Benchmark '#1 Dates]],Target1[Target Dates],0)),"-")</f>
        <v>-5.342758826546231E-2</v>
      </c>
      <c r="G588" s="1">
        <f>IFERROR(IF(Benchmark1[[#This Row],[Target Date Check]]="Pass",Benchmark1[[#This Row],[Target Return]]-Benchmark1[[#This Row],[Benchmark '#1 Return]],"-"),"-")</f>
        <v>-4.1222793324450245E-2</v>
      </c>
      <c r="H588" s="1" t="str">
        <f>IF(COUNTIF(Comp1[Comparable '#1 Dates],Benchmark1[[#This Row],[Benchmark '#1 Dates]])=1,"Pass","Fail")</f>
        <v>Pass</v>
      </c>
      <c r="I588" s="6">
        <f>IF(Benchmark1[[#This Row],[Comparable '#1 Date Check]]="Pass",INDEX(Comp1[Comparable '#1 Price],MATCH(Benchmark1[[#This Row],[Benchmark '#1 Dates]],Comp1[Comparable '#1 Dates],0)),"-")</f>
        <v>13</v>
      </c>
      <c r="J588" s="22">
        <f>IF(Benchmark1[[#This Row],[Comparable '#1 Date Check]]="Pass",INDEX(Comp1[Comparable '#1 Return],MATCH(Benchmark1[[#This Row],[Benchmark '#1 Dates]],Comp1[Comparable '#1 Dates],0)),"-")</f>
        <v>1.863407954489301E-2</v>
      </c>
      <c r="K588" s="1">
        <f>IFERROR(IF(Benchmark1[[#This Row],[Comparable '#1 Date Check]]="Pass",Benchmark1[[#This Row],[Comparable '#1 Return]]-Benchmark1[[#This Row],[Benchmark '#1 Return]],"-"),"-")</f>
        <v>3.0838874485905075E-2</v>
      </c>
      <c r="L588" s="1" t="str">
        <f>IF(COUNTIF(Comp2[Comparable '#2 Dates],Benchmark1[[#This Row],[Benchmark '#1 Dates]])=1,"Pass","Fail")</f>
        <v>Pass</v>
      </c>
      <c r="M588" s="6">
        <f>IF(Benchmark1[[#This Row],[Comparable '#2 Date Check]]="Pass",INDEX(Comp2[Comparable '#2 Price],MATCH(Benchmark1[[#This Row],[Benchmark '#1 Dates]],Comp2[Comparable '#2 Dates],0)),"-")</f>
        <v>23.44</v>
      </c>
      <c r="N588" s="22">
        <f>IF(Benchmark1[[#This Row],[Comparable '#2 Date Check]]="Pass",INDEX(Comp2[Comparable '#2 Return],MATCH(Benchmark1[[#This Row],[Benchmark '#1 Dates]],Comp2[Comparable '#2 Dates],0)),"-")</f>
        <v>-1.9434494228652975E-2</v>
      </c>
      <c r="O588" s="1">
        <f>IFERROR(IF(Benchmark1[[#This Row],[Comparable '#2 Date Check]]="Pass",Benchmark1[[#This Row],[Comparable '#2 Return]]-Benchmark1[[#This Row],[Benchmark '#1 Return]],"-"),"-")</f>
        <v>-7.2296992876409085E-3</v>
      </c>
      <c r="P588" s="1" t="str">
        <f>IF(COUNTIF(Comp3[Comparable '#3 Dates],Benchmark1[[#This Row],[Benchmark '#1 Dates]])=1,"Pass","Fail")</f>
        <v>Pass</v>
      </c>
      <c r="Q588" s="6">
        <f>IF(Benchmark1[[#This Row],[Comparable '#3 Date Check]]="Pass",INDEX(Comp3[Comparable '#3 Price],MATCH(Benchmark1[[#This Row],[Benchmark '#1 Dates]],Comp3[Comparable '#3 Dates],0)),"-")</f>
        <v>83.06</v>
      </c>
      <c r="R588" s="22">
        <f>IF(Benchmark1[[#This Row],[Comparable '#3 Date Check]]="Pass",INDEX(Comp3[Comparable '#3 Return],MATCH(Benchmark1[[#This Row],[Benchmark '#1 Dates]],Comp3[Comparable '#3 Dates],0)),"-")</f>
        <v>-1.4937243731976781E-2</v>
      </c>
      <c r="S588" s="1">
        <f>IFERROR(IF(Benchmark1[[#This Row],[Comparable '#3 Date Check]]="Pass",Benchmark1[[#This Row],[Comparable '#3 Return]]-Benchmark1[[#This Row],[Benchmark '#1 Return]],"-"),"-")</f>
        <v>-2.732448790964714E-3</v>
      </c>
    </row>
    <row r="589" spans="1:19">
      <c r="A589" s="103">
        <v>44137</v>
      </c>
      <c r="B589" s="104">
        <v>3310.2414346421883</v>
      </c>
      <c r="C589" s="4">
        <f t="shared" si="9"/>
        <v>1.224365482225916E-2</v>
      </c>
      <c r="D589" s="1" t="str">
        <f>IF(COUNTIF(Target1[Target Dates],Benchmark1[[#This Row],[Benchmark '#1 Dates]])=1,"Pass","Fail")</f>
        <v>Pass</v>
      </c>
      <c r="E589" s="6">
        <f>IF(Benchmark1[[#This Row],[Target Date Check]]="Pass",INDEX(Target1[Target Price],MATCH(Benchmark1[[#This Row],[Benchmark '#1 Dates]],Target1[Target Dates],0)),"-")</f>
        <v>23.6</v>
      </c>
      <c r="F589" s="22">
        <f>IF(Benchmark1[[#This Row],[Target Date Check]]="Pass",INDEX(Target1[Target Return],MATCH(Benchmark1[[#This Row],[Benchmark '#1 Dates]],Target1[Target Dates],0)),"-")</f>
        <v>-1.1375728319174364E-2</v>
      </c>
      <c r="G589" s="1">
        <f>IFERROR(IF(Benchmark1[[#This Row],[Target Date Check]]="Pass",Benchmark1[[#This Row],[Target Return]]-Benchmark1[[#This Row],[Benchmark '#1 Return]],"-"),"-")</f>
        <v>-2.3619383141433525E-2</v>
      </c>
      <c r="H589" s="1" t="str">
        <f>IF(COUNTIF(Comp1[Comparable '#1 Dates],Benchmark1[[#This Row],[Benchmark '#1 Dates]])=1,"Pass","Fail")</f>
        <v>Pass</v>
      </c>
      <c r="I589" s="6">
        <f>IF(Benchmark1[[#This Row],[Comparable '#1 Date Check]]="Pass",INDEX(Comp1[Comparable '#1 Price],MATCH(Benchmark1[[#This Row],[Benchmark '#1 Dates]],Comp1[Comparable '#1 Dates],0)),"-")</f>
        <v>13.07</v>
      </c>
      <c r="J589" s="22">
        <f>IF(Benchmark1[[#This Row],[Comparable '#1 Date Check]]="Pass",INDEX(Comp1[Comparable '#1 Return],MATCH(Benchmark1[[#This Row],[Benchmark '#1 Dates]],Comp1[Comparable '#1 Dates],0)),"-")</f>
        <v>5.37017017459378E-3</v>
      </c>
      <c r="K589" s="1">
        <f>IFERROR(IF(Benchmark1[[#This Row],[Comparable '#1 Date Check]]="Pass",Benchmark1[[#This Row],[Comparable '#1 Return]]-Benchmark1[[#This Row],[Benchmark '#1 Return]],"-"),"-")</f>
        <v>-6.8734846476653797E-3</v>
      </c>
      <c r="L589" s="1" t="str">
        <f>IF(COUNTIF(Comp2[Comparable '#2 Dates],Benchmark1[[#This Row],[Benchmark '#1 Dates]])=1,"Pass","Fail")</f>
        <v>Pass</v>
      </c>
      <c r="M589" s="6">
        <f>IF(Benchmark1[[#This Row],[Comparable '#2 Date Check]]="Pass",INDEX(Comp2[Comparable '#2 Price],MATCH(Benchmark1[[#This Row],[Benchmark '#1 Dates]],Comp2[Comparable '#2 Dates],0)),"-")</f>
        <v>23.49</v>
      </c>
      <c r="N589" s="22">
        <f>IF(Benchmark1[[#This Row],[Comparable '#2 Date Check]]="Pass",INDEX(Comp2[Comparable '#2 Return],MATCH(Benchmark1[[#This Row],[Benchmark '#1 Dates]],Comp2[Comparable '#2 Dates],0)),"-")</f>
        <v>2.1308339620095072E-3</v>
      </c>
      <c r="O589" s="1">
        <f>IFERROR(IF(Benchmark1[[#This Row],[Comparable '#2 Date Check]]="Pass",Benchmark1[[#This Row],[Comparable '#2 Return]]-Benchmark1[[#This Row],[Benchmark '#1 Return]],"-"),"-")</f>
        <v>-1.0112820860249653E-2</v>
      </c>
      <c r="P589" s="1" t="str">
        <f>IF(COUNTIF(Comp3[Comparable '#3 Dates],Benchmark1[[#This Row],[Benchmark '#1 Dates]])=1,"Pass","Fail")</f>
        <v>Pass</v>
      </c>
      <c r="Q589" s="6">
        <f>IF(Benchmark1[[#This Row],[Comparable '#3 Date Check]]="Pass",INDEX(Comp3[Comparable '#3 Price],MATCH(Benchmark1[[#This Row],[Benchmark '#1 Dates]],Comp3[Comparable '#3 Dates],0)),"-")</f>
        <v>84.24</v>
      </c>
      <c r="R589" s="22">
        <f>IF(Benchmark1[[#This Row],[Comparable '#3 Date Check]]="Pass",INDEX(Comp3[Comparable '#3 Return],MATCH(Benchmark1[[#This Row],[Benchmark '#1 Dates]],Comp3[Comparable '#3 Dates],0)),"-")</f>
        <v>1.4106629623112418E-2</v>
      </c>
      <c r="S589" s="1">
        <f>IFERROR(IF(Benchmark1[[#This Row],[Comparable '#3 Date Check]]="Pass",Benchmark1[[#This Row],[Comparable '#3 Return]]-Benchmark1[[#This Row],[Benchmark '#1 Return]],"-"),"-")</f>
        <v>1.8629748008532586E-3</v>
      </c>
    </row>
    <row r="590" spans="1:19">
      <c r="A590" s="103">
        <v>44138</v>
      </c>
      <c r="B590" s="104">
        <v>3369.1566200000002</v>
      </c>
      <c r="C590" s="4">
        <f t="shared" si="9"/>
        <v>1.7641324207711674E-2</v>
      </c>
      <c r="D590" s="1" t="str">
        <f>IF(COUNTIF(Target1[Target Dates],Benchmark1[[#This Row],[Benchmark '#1 Dates]])=1,"Pass","Fail")</f>
        <v>Pass</v>
      </c>
      <c r="E590" s="6">
        <f>IF(Benchmark1[[#This Row],[Target Date Check]]="Pass",INDEX(Target1[Target Price],MATCH(Benchmark1[[#This Row],[Benchmark '#1 Dates]],Target1[Target Dates],0)),"-")</f>
        <v>24.31</v>
      </c>
      <c r="F590" s="22">
        <f>IF(Benchmark1[[#This Row],[Target Date Check]]="Pass",INDEX(Target1[Target Return],MATCH(Benchmark1[[#This Row],[Benchmark '#1 Dates]],Target1[Target Dates],0)),"-")</f>
        <v>2.9641076296467551E-2</v>
      </c>
      <c r="G590" s="1">
        <f>IFERROR(IF(Benchmark1[[#This Row],[Target Date Check]]="Pass",Benchmark1[[#This Row],[Target Return]]-Benchmark1[[#This Row],[Benchmark '#1 Return]],"-"),"-")</f>
        <v>1.1999752088755877E-2</v>
      </c>
      <c r="H590" s="1" t="str">
        <f>IF(COUNTIF(Comp1[Comparable '#1 Dates],Benchmark1[[#This Row],[Benchmark '#1 Dates]])=1,"Pass","Fail")</f>
        <v>Pass</v>
      </c>
      <c r="I590" s="6">
        <f>IF(Benchmark1[[#This Row],[Comparable '#1 Date Check]]="Pass",INDEX(Comp1[Comparable '#1 Price],MATCH(Benchmark1[[#This Row],[Benchmark '#1 Dates]],Comp1[Comparable '#1 Dates],0)),"-")</f>
        <v>13.15</v>
      </c>
      <c r="J590" s="22">
        <f>IF(Benchmark1[[#This Row],[Comparable '#1 Date Check]]="Pass",INDEX(Comp1[Comparable '#1 Return],MATCH(Benchmark1[[#This Row],[Benchmark '#1 Dates]],Comp1[Comparable '#1 Dates],0)),"-")</f>
        <v>6.1022309876430933E-3</v>
      </c>
      <c r="K590" s="1">
        <f>IFERROR(IF(Benchmark1[[#This Row],[Comparable '#1 Date Check]]="Pass",Benchmark1[[#This Row],[Comparable '#1 Return]]-Benchmark1[[#This Row],[Benchmark '#1 Return]],"-"),"-")</f>
        <v>-1.1539093220068582E-2</v>
      </c>
      <c r="L590" s="1" t="str">
        <f>IF(COUNTIF(Comp2[Comparable '#2 Dates],Benchmark1[[#This Row],[Benchmark '#1 Dates]])=1,"Pass","Fail")</f>
        <v>Pass</v>
      </c>
      <c r="M590" s="6">
        <f>IF(Benchmark1[[#This Row],[Comparable '#2 Date Check]]="Pass",INDEX(Comp2[Comparable '#2 Price],MATCH(Benchmark1[[#This Row],[Benchmark '#1 Dates]],Comp2[Comparable '#2 Dates],0)),"-")</f>
        <v>24.23</v>
      </c>
      <c r="N590" s="22">
        <f>IF(Benchmark1[[#This Row],[Comparable '#2 Date Check]]="Pass",INDEX(Comp2[Comparable '#2 Return],MATCH(Benchmark1[[#This Row],[Benchmark '#1 Dates]],Comp2[Comparable '#2 Dates],0)),"-")</f>
        <v>3.1016736157612933E-2</v>
      </c>
      <c r="O590" s="1">
        <f>IFERROR(IF(Benchmark1[[#This Row],[Comparable '#2 Date Check]]="Pass",Benchmark1[[#This Row],[Comparable '#2 Return]]-Benchmark1[[#This Row],[Benchmark '#1 Return]],"-"),"-")</f>
        <v>1.3375411949901259E-2</v>
      </c>
      <c r="P590" s="1" t="str">
        <f>IF(COUNTIF(Comp3[Comparable '#3 Dates],Benchmark1[[#This Row],[Benchmark '#1 Dates]])=1,"Pass","Fail")</f>
        <v>Pass</v>
      </c>
      <c r="Q590" s="6">
        <f>IF(Benchmark1[[#This Row],[Comparable '#3 Date Check]]="Pass",INDEX(Comp3[Comparable '#3 Price],MATCH(Benchmark1[[#This Row],[Benchmark '#1 Dates]],Comp3[Comparable '#3 Dates],0)),"-")</f>
        <v>86.8</v>
      </c>
      <c r="R590" s="22">
        <f>IF(Benchmark1[[#This Row],[Comparable '#3 Date Check]]="Pass",INDEX(Comp3[Comparable '#3 Return],MATCH(Benchmark1[[#This Row],[Benchmark '#1 Dates]],Comp3[Comparable '#3 Dates],0)),"-")</f>
        <v>2.9936753840584439E-2</v>
      </c>
      <c r="S590" s="1">
        <f>IFERROR(IF(Benchmark1[[#This Row],[Comparable '#3 Date Check]]="Pass",Benchmark1[[#This Row],[Comparable '#3 Return]]-Benchmark1[[#This Row],[Benchmark '#1 Return]],"-"),"-")</f>
        <v>1.2295429632872765E-2</v>
      </c>
    </row>
    <row r="591" spans="1:19">
      <c r="A591" s="103">
        <v>44139</v>
      </c>
      <c r="B591" s="104">
        <v>3443.4370727455403</v>
      </c>
      <c r="C591" s="4">
        <f t="shared" si="9"/>
        <v>2.1807669705928887E-2</v>
      </c>
      <c r="D591" s="1" t="str">
        <f>IF(COUNTIF(Target1[Target Dates],Benchmark1[[#This Row],[Benchmark '#1 Dates]])=1,"Pass","Fail")</f>
        <v>Pass</v>
      </c>
      <c r="E591" s="6">
        <f>IF(Benchmark1[[#This Row],[Target Date Check]]="Pass",INDEX(Target1[Target Price],MATCH(Benchmark1[[#This Row],[Benchmark '#1 Dates]],Target1[Target Dates],0)),"-")</f>
        <v>25.62</v>
      </c>
      <c r="F591" s="22">
        <f>IF(Benchmark1[[#This Row],[Target Date Check]]="Pass",INDEX(Target1[Target Return],MATCH(Benchmark1[[#This Row],[Benchmark '#1 Dates]],Target1[Target Dates],0)),"-")</f>
        <v>5.2485508140556206E-2</v>
      </c>
      <c r="G591" s="1">
        <f>IFERROR(IF(Benchmark1[[#This Row],[Target Date Check]]="Pass",Benchmark1[[#This Row],[Target Return]]-Benchmark1[[#This Row],[Benchmark '#1 Return]],"-"),"-")</f>
        <v>3.0677838434627319E-2</v>
      </c>
      <c r="H591" s="1" t="str">
        <f>IF(COUNTIF(Comp1[Comparable '#1 Dates],Benchmark1[[#This Row],[Benchmark '#1 Dates]])=1,"Pass","Fail")</f>
        <v>Pass</v>
      </c>
      <c r="I591" s="6">
        <f>IF(Benchmark1[[#This Row],[Comparable '#1 Date Check]]="Pass",INDEX(Comp1[Comparable '#1 Price],MATCH(Benchmark1[[#This Row],[Benchmark '#1 Dates]],Comp1[Comparable '#1 Dates],0)),"-")</f>
        <v>13</v>
      </c>
      <c r="J591" s="22">
        <f>IF(Benchmark1[[#This Row],[Comparable '#1 Date Check]]="Pass",INDEX(Comp1[Comparable '#1 Return],MATCH(Benchmark1[[#This Row],[Benchmark '#1 Dates]],Comp1[Comparable '#1 Dates],0)),"-")</f>
        <v>-1.1472401162236807E-2</v>
      </c>
      <c r="K591" s="1">
        <f>IFERROR(IF(Benchmark1[[#This Row],[Comparable '#1 Date Check]]="Pass",Benchmark1[[#This Row],[Comparable '#1 Return]]-Benchmark1[[#This Row],[Benchmark '#1 Return]],"-"),"-")</f>
        <v>-3.3280070868165694E-2</v>
      </c>
      <c r="L591" s="1" t="str">
        <f>IF(COUNTIF(Comp2[Comparable '#2 Dates],Benchmark1[[#This Row],[Benchmark '#1 Dates]])=1,"Pass","Fail")</f>
        <v>Pass</v>
      </c>
      <c r="M591" s="6">
        <f>IF(Benchmark1[[#This Row],[Comparable '#2 Date Check]]="Pass",INDEX(Comp2[Comparable '#2 Price],MATCH(Benchmark1[[#This Row],[Benchmark '#1 Dates]],Comp2[Comparable '#2 Dates],0)),"-")</f>
        <v>25.1</v>
      </c>
      <c r="N591" s="22">
        <f>IF(Benchmark1[[#This Row],[Comparable '#2 Date Check]]="Pass",INDEX(Comp2[Comparable '#2 Return],MATCH(Benchmark1[[#This Row],[Benchmark '#1 Dates]],Comp2[Comparable '#2 Dates],0)),"-")</f>
        <v>3.5276311309303796E-2</v>
      </c>
      <c r="O591" s="1">
        <f>IFERROR(IF(Benchmark1[[#This Row],[Comparable '#2 Date Check]]="Pass",Benchmark1[[#This Row],[Comparable '#2 Return]]-Benchmark1[[#This Row],[Benchmark '#1 Return]],"-"),"-")</f>
        <v>1.3468641603374909E-2</v>
      </c>
      <c r="P591" s="1" t="str">
        <f>IF(COUNTIF(Comp3[Comparable '#3 Dates],Benchmark1[[#This Row],[Benchmark '#1 Dates]])=1,"Pass","Fail")</f>
        <v>Pass</v>
      </c>
      <c r="Q591" s="6">
        <f>IF(Benchmark1[[#This Row],[Comparable '#3 Date Check]]="Pass",INDEX(Comp3[Comparable '#3 Price],MATCH(Benchmark1[[#This Row],[Benchmark '#1 Dates]],Comp3[Comparable '#3 Dates],0)),"-")</f>
        <v>100</v>
      </c>
      <c r="R591" s="22">
        <f>IF(Benchmark1[[#This Row],[Comparable '#3 Date Check]]="Pass",INDEX(Comp3[Comparable '#3 Return],MATCH(Benchmark1[[#This Row],[Benchmark '#1 Dates]],Comp3[Comparable '#3 Dates],0)),"-")</f>
        <v>0.14156356432178699</v>
      </c>
      <c r="S591" s="1">
        <f>IFERROR(IF(Benchmark1[[#This Row],[Comparable '#3 Date Check]]="Pass",Benchmark1[[#This Row],[Comparable '#3 Return]]-Benchmark1[[#This Row],[Benchmark '#1 Return]],"-"),"-")</f>
        <v>0.1197558946158581</v>
      </c>
    </row>
    <row r="592" spans="1:19">
      <c r="A592" s="103">
        <v>44140</v>
      </c>
      <c r="B592" s="104">
        <v>3510.4475533917066</v>
      </c>
      <c r="C592" s="4">
        <f t="shared" si="9"/>
        <v>1.927341581605312E-2</v>
      </c>
      <c r="D592" s="1" t="str">
        <f>IF(COUNTIF(Target1[Target Dates],Benchmark1[[#This Row],[Benchmark '#1 Dates]])=1,"Pass","Fail")</f>
        <v>Pass</v>
      </c>
      <c r="E592" s="6">
        <f>IF(Benchmark1[[#This Row],[Target Date Check]]="Pass",INDEX(Target1[Target Price],MATCH(Benchmark1[[#This Row],[Benchmark '#1 Dates]],Target1[Target Dates],0)),"-")</f>
        <v>25.14</v>
      </c>
      <c r="F592" s="22">
        <f>IF(Benchmark1[[#This Row],[Target Date Check]]="Pass",INDEX(Target1[Target Return],MATCH(Benchmark1[[#This Row],[Benchmark '#1 Dates]],Target1[Target Dates],0)),"-")</f>
        <v>-1.8913093306486845E-2</v>
      </c>
      <c r="G592" s="1">
        <f>IFERROR(IF(Benchmark1[[#This Row],[Target Date Check]]="Pass",Benchmark1[[#This Row],[Target Return]]-Benchmark1[[#This Row],[Benchmark '#1 Return]],"-"),"-")</f>
        <v>-3.8186509122539965E-2</v>
      </c>
      <c r="H592" s="1" t="str">
        <f>IF(COUNTIF(Comp1[Comparable '#1 Dates],Benchmark1[[#This Row],[Benchmark '#1 Dates]])=1,"Pass","Fail")</f>
        <v>Pass</v>
      </c>
      <c r="I592" s="6">
        <f>IF(Benchmark1[[#This Row],[Comparable '#1 Date Check]]="Pass",INDEX(Comp1[Comparable '#1 Price],MATCH(Benchmark1[[#This Row],[Benchmark '#1 Dates]],Comp1[Comparable '#1 Dates],0)),"-")</f>
        <v>14.23</v>
      </c>
      <c r="J592" s="22">
        <f>IF(Benchmark1[[#This Row],[Comparable '#1 Date Check]]="Pass",INDEX(Comp1[Comparable '#1 Return],MATCH(Benchmark1[[#This Row],[Benchmark '#1 Dates]],Comp1[Comparable '#1 Dates],0)),"-")</f>
        <v>9.0403054640224204E-2</v>
      </c>
      <c r="K592" s="1">
        <f>IFERROR(IF(Benchmark1[[#This Row],[Comparable '#1 Date Check]]="Pass",Benchmark1[[#This Row],[Comparable '#1 Return]]-Benchmark1[[#This Row],[Benchmark '#1 Return]],"-"),"-")</f>
        <v>7.1129638824171088E-2</v>
      </c>
      <c r="L592" s="1" t="str">
        <f>IF(COUNTIF(Comp2[Comparable '#2 Dates],Benchmark1[[#This Row],[Benchmark '#1 Dates]])=1,"Pass","Fail")</f>
        <v>Pass</v>
      </c>
      <c r="M592" s="6">
        <f>IF(Benchmark1[[#This Row],[Comparable '#2 Date Check]]="Pass",INDEX(Comp2[Comparable '#2 Price],MATCH(Benchmark1[[#This Row],[Benchmark '#1 Dates]],Comp2[Comparable '#2 Dates],0)),"-")</f>
        <v>24.18</v>
      </c>
      <c r="N592" s="22">
        <f>IF(Benchmark1[[#This Row],[Comparable '#2 Date Check]]="Pass",INDEX(Comp2[Comparable '#2 Return],MATCH(Benchmark1[[#This Row],[Benchmark '#1 Dates]],Comp2[Comparable '#2 Dates],0)),"-")</f>
        <v>-3.7342000951091692E-2</v>
      </c>
      <c r="O592" s="1">
        <f>IFERROR(IF(Benchmark1[[#This Row],[Comparable '#2 Date Check]]="Pass",Benchmark1[[#This Row],[Comparable '#2 Return]]-Benchmark1[[#This Row],[Benchmark '#1 Return]],"-"),"-")</f>
        <v>-5.6615416767144808E-2</v>
      </c>
      <c r="P592" s="1" t="str">
        <f>IF(COUNTIF(Comp3[Comparable '#3 Dates],Benchmark1[[#This Row],[Benchmark '#1 Dates]])=1,"Pass","Fail")</f>
        <v>Pass</v>
      </c>
      <c r="Q592" s="6">
        <f>IF(Benchmark1[[#This Row],[Comparable '#3 Date Check]]="Pass",INDEX(Comp3[Comparable '#3 Price],MATCH(Benchmark1[[#This Row],[Benchmark '#1 Dates]],Comp3[Comparable '#3 Dates],0)),"-")</f>
        <v>89.96</v>
      </c>
      <c r="R592" s="22">
        <f>IF(Benchmark1[[#This Row],[Comparable '#3 Date Check]]="Pass",INDEX(Comp3[Comparable '#3 Return],MATCH(Benchmark1[[#This Row],[Benchmark '#1 Dates]],Comp3[Comparable '#3 Dates],0)),"-")</f>
        <v>-0.10580505889697649</v>
      </c>
      <c r="S592" s="1">
        <f>IFERROR(IF(Benchmark1[[#This Row],[Comparable '#3 Date Check]]="Pass",Benchmark1[[#This Row],[Comparable '#3 Return]]-Benchmark1[[#This Row],[Benchmark '#1 Return]],"-"),"-")</f>
        <v>-0.1250784747130296</v>
      </c>
    </row>
    <row r="593" spans="1:19">
      <c r="A593" s="103">
        <v>44141</v>
      </c>
      <c r="B593" s="104">
        <v>3509.4364832394958</v>
      </c>
      <c r="C593" s="4">
        <f t="shared" si="9"/>
        <v>-2.8805893485590265E-4</v>
      </c>
      <c r="D593" s="1" t="str">
        <f>IF(COUNTIF(Target1[Target Dates],Benchmark1[[#This Row],[Benchmark '#1 Dates]])=1,"Pass","Fail")</f>
        <v>Pass</v>
      </c>
      <c r="E593" s="6">
        <f>IF(Benchmark1[[#This Row],[Target Date Check]]="Pass",INDEX(Target1[Target Price],MATCH(Benchmark1[[#This Row],[Benchmark '#1 Dates]],Target1[Target Dates],0)),"-")</f>
        <v>25.03</v>
      </c>
      <c r="F593" s="22">
        <f>IF(Benchmark1[[#This Row],[Target Date Check]]="Pass",INDEX(Target1[Target Return],MATCH(Benchmark1[[#This Row],[Benchmark '#1 Dates]],Target1[Target Dates],0)),"-")</f>
        <v>-4.3850977184184412E-3</v>
      </c>
      <c r="G593" s="1">
        <f>IFERROR(IF(Benchmark1[[#This Row],[Target Date Check]]="Pass",Benchmark1[[#This Row],[Target Return]]-Benchmark1[[#This Row],[Benchmark '#1 Return]],"-"),"-")</f>
        <v>-4.0970387835625385E-3</v>
      </c>
      <c r="H593" s="1" t="str">
        <f>IF(COUNTIF(Comp1[Comparable '#1 Dates],Benchmark1[[#This Row],[Benchmark '#1 Dates]])=1,"Pass","Fail")</f>
        <v>Pass</v>
      </c>
      <c r="I593" s="6">
        <f>IF(Benchmark1[[#This Row],[Comparable '#1 Date Check]]="Pass",INDEX(Comp1[Comparable '#1 Price],MATCH(Benchmark1[[#This Row],[Benchmark '#1 Dates]],Comp1[Comparable '#1 Dates],0)),"-")</f>
        <v>14.03</v>
      </c>
      <c r="J593" s="22">
        <f>IF(Benchmark1[[#This Row],[Comparable '#1 Date Check]]="Pass",INDEX(Comp1[Comparable '#1 Return],MATCH(Benchmark1[[#This Row],[Benchmark '#1 Dates]],Comp1[Comparable '#1 Dates],0)),"-")</f>
        <v>-1.4154517987391466E-2</v>
      </c>
      <c r="K593" s="1">
        <f>IFERROR(IF(Benchmark1[[#This Row],[Comparable '#1 Date Check]]="Pass",Benchmark1[[#This Row],[Comparable '#1 Return]]-Benchmark1[[#This Row],[Benchmark '#1 Return]],"-"),"-")</f>
        <v>-1.3866459052535564E-2</v>
      </c>
      <c r="L593" s="1" t="str">
        <f>IF(COUNTIF(Comp2[Comparable '#2 Dates],Benchmark1[[#This Row],[Benchmark '#1 Dates]])=1,"Pass","Fail")</f>
        <v>Pass</v>
      </c>
      <c r="M593" s="6">
        <f>IF(Benchmark1[[#This Row],[Comparable '#2 Date Check]]="Pass",INDEX(Comp2[Comparable '#2 Price],MATCH(Benchmark1[[#This Row],[Benchmark '#1 Dates]],Comp2[Comparable '#2 Dates],0)),"-")</f>
        <v>26.03</v>
      </c>
      <c r="N593" s="22">
        <f>IF(Benchmark1[[#This Row],[Comparable '#2 Date Check]]="Pass",INDEX(Comp2[Comparable '#2 Return],MATCH(Benchmark1[[#This Row],[Benchmark '#1 Dates]],Comp2[Comparable '#2 Dates],0)),"-")</f>
        <v>7.3723873819827396E-2</v>
      </c>
      <c r="O593" s="1">
        <f>IFERROR(IF(Benchmark1[[#This Row],[Comparable '#2 Date Check]]="Pass",Benchmark1[[#This Row],[Comparable '#2 Return]]-Benchmark1[[#This Row],[Benchmark '#1 Return]],"-"),"-")</f>
        <v>7.4011932754683304E-2</v>
      </c>
      <c r="P593" s="1" t="str">
        <f>IF(COUNTIF(Comp3[Comparable '#3 Dates],Benchmark1[[#This Row],[Benchmark '#1 Dates]])=1,"Pass","Fail")</f>
        <v>Pass</v>
      </c>
      <c r="Q593" s="6">
        <f>IF(Benchmark1[[#This Row],[Comparable '#3 Date Check]]="Pass",INDEX(Comp3[Comparable '#3 Price],MATCH(Benchmark1[[#This Row],[Benchmark '#1 Dates]],Comp3[Comparable '#3 Dates],0)),"-")</f>
        <v>87.55</v>
      </c>
      <c r="R593" s="22">
        <f>IF(Benchmark1[[#This Row],[Comparable '#3 Date Check]]="Pass",INDEX(Comp3[Comparable '#3 Return],MATCH(Benchmark1[[#This Row],[Benchmark '#1 Dates]],Comp3[Comparable '#3 Dates],0)),"-")</f>
        <v>-2.7155068359253989E-2</v>
      </c>
      <c r="S593" s="1">
        <f>IFERROR(IF(Benchmark1[[#This Row],[Comparable '#3 Date Check]]="Pass",Benchmark1[[#This Row],[Comparable '#3 Return]]-Benchmark1[[#This Row],[Benchmark '#1 Return]],"-"),"-")</f>
        <v>-2.6867009424398087E-2</v>
      </c>
    </row>
    <row r="594" spans="1:19">
      <c r="A594" s="103">
        <v>44144</v>
      </c>
      <c r="B594" s="104">
        <v>3550.4994187864149</v>
      </c>
      <c r="C594" s="4">
        <f t="shared" si="9"/>
        <v>1.1632796437659132E-2</v>
      </c>
      <c r="D594" s="1" t="str">
        <f>IF(COUNTIF(Target1[Target Dates],Benchmark1[[#This Row],[Benchmark '#1 Dates]])=1,"Pass","Fail")</f>
        <v>Pass</v>
      </c>
      <c r="E594" s="6">
        <f>IF(Benchmark1[[#This Row],[Target Date Check]]="Pass",INDEX(Target1[Target Price],MATCH(Benchmark1[[#This Row],[Benchmark '#1 Dates]],Target1[Target Dates],0)),"-")</f>
        <v>21.6</v>
      </c>
      <c r="F594" s="22">
        <f>IF(Benchmark1[[#This Row],[Target Date Check]]="Pass",INDEX(Target1[Target Return],MATCH(Benchmark1[[#This Row],[Benchmark '#1 Dates]],Target1[Target Dates],0)),"-")</f>
        <v>-0.1473817907535635</v>
      </c>
      <c r="G594" s="1">
        <f>IFERROR(IF(Benchmark1[[#This Row],[Target Date Check]]="Pass",Benchmark1[[#This Row],[Target Return]]-Benchmark1[[#This Row],[Benchmark '#1 Return]],"-"),"-")</f>
        <v>-0.15901458719122263</v>
      </c>
      <c r="H594" s="1" t="str">
        <f>IF(COUNTIF(Comp1[Comparable '#1 Dates],Benchmark1[[#This Row],[Benchmark '#1 Dates]])=1,"Pass","Fail")</f>
        <v>Pass</v>
      </c>
      <c r="I594" s="6">
        <f>IF(Benchmark1[[#This Row],[Comparable '#1 Date Check]]="Pass",INDEX(Comp1[Comparable '#1 Price],MATCH(Benchmark1[[#This Row],[Benchmark '#1 Dates]],Comp1[Comparable '#1 Dates],0)),"-")</f>
        <v>14.17</v>
      </c>
      <c r="J594" s="22">
        <f>IF(Benchmark1[[#This Row],[Comparable '#1 Date Check]]="Pass",INDEX(Comp1[Comparable '#1 Return],MATCH(Benchmark1[[#This Row],[Benchmark '#1 Dates]],Comp1[Comparable '#1 Dates],0)),"-")</f>
        <v>9.9291595882196413E-3</v>
      </c>
      <c r="K594" s="1">
        <f>IFERROR(IF(Benchmark1[[#This Row],[Comparable '#1 Date Check]]="Pass",Benchmark1[[#This Row],[Comparable '#1 Return]]-Benchmark1[[#This Row],[Benchmark '#1 Return]],"-"),"-")</f>
        <v>-1.7036368494394907E-3</v>
      </c>
      <c r="L594" s="1" t="str">
        <f>IF(COUNTIF(Comp2[Comparable '#2 Dates],Benchmark1[[#This Row],[Benchmark '#1 Dates]])=1,"Pass","Fail")</f>
        <v>Pass</v>
      </c>
      <c r="M594" s="6">
        <f>IF(Benchmark1[[#This Row],[Comparable '#2 Date Check]]="Pass",INDEX(Comp2[Comparable '#2 Price],MATCH(Benchmark1[[#This Row],[Benchmark '#1 Dates]],Comp2[Comparable '#2 Dates],0)),"-")</f>
        <v>26.77</v>
      </c>
      <c r="N594" s="22">
        <f>IF(Benchmark1[[#This Row],[Comparable '#2 Date Check]]="Pass",INDEX(Comp2[Comparable '#2 Return],MATCH(Benchmark1[[#This Row],[Benchmark '#1 Dates]],Comp2[Comparable '#2 Dates],0)),"-")</f>
        <v>2.803213852578704E-2</v>
      </c>
      <c r="O594" s="1">
        <f>IFERROR(IF(Benchmark1[[#This Row],[Comparable '#2 Date Check]]="Pass",Benchmark1[[#This Row],[Comparable '#2 Return]]-Benchmark1[[#This Row],[Benchmark '#1 Return]],"-"),"-")</f>
        <v>1.6399342088127909E-2</v>
      </c>
      <c r="P594" s="1" t="str">
        <f>IF(COUNTIF(Comp3[Comparable '#3 Dates],Benchmark1[[#This Row],[Benchmark '#1 Dates]])=1,"Pass","Fail")</f>
        <v>Pass</v>
      </c>
      <c r="Q594" s="6">
        <f>IF(Benchmark1[[#This Row],[Comparable '#3 Date Check]]="Pass",INDEX(Comp3[Comparable '#3 Price],MATCH(Benchmark1[[#This Row],[Benchmark '#1 Dates]],Comp3[Comparable '#3 Dates],0)),"-")</f>
        <v>90</v>
      </c>
      <c r="R594" s="22">
        <f>IF(Benchmark1[[#This Row],[Comparable '#3 Date Check]]="Pass",INDEX(Comp3[Comparable '#3 Return],MATCH(Benchmark1[[#This Row],[Benchmark '#1 Dates]],Comp3[Comparable '#3 Dates],0)),"-")</f>
        <v>2.7599611598404336E-2</v>
      </c>
      <c r="S594" s="1">
        <f>IFERROR(IF(Benchmark1[[#This Row],[Comparable '#3 Date Check]]="Pass",Benchmark1[[#This Row],[Comparable '#3 Return]]-Benchmark1[[#This Row],[Benchmark '#1 Return]],"-"),"-")</f>
        <v>1.5966815160745204E-2</v>
      </c>
    </row>
    <row r="595" spans="1:19">
      <c r="A595" s="103">
        <v>44145</v>
      </c>
      <c r="B595" s="104">
        <v>3545.5331248043281</v>
      </c>
      <c r="C595" s="4">
        <f t="shared" si="9"/>
        <v>-1.3997384488972679E-3</v>
      </c>
      <c r="D595" s="1" t="str">
        <f>IF(COUNTIF(Target1[Target Dates],Benchmark1[[#This Row],[Benchmark '#1 Dates]])=1,"Pass","Fail")</f>
        <v>Pass</v>
      </c>
      <c r="E595" s="6">
        <f>IF(Benchmark1[[#This Row],[Target Date Check]]="Pass",INDEX(Target1[Target Price],MATCH(Benchmark1[[#This Row],[Benchmark '#1 Dates]],Target1[Target Dates],0)),"-")</f>
        <v>21.05</v>
      </c>
      <c r="F595" s="22">
        <f>IF(Benchmark1[[#This Row],[Target Date Check]]="Pass",INDEX(Target1[Target Return],MATCH(Benchmark1[[#This Row],[Benchmark '#1 Dates]],Target1[Target Dates],0)),"-")</f>
        <v>-2.5792754561728953E-2</v>
      </c>
      <c r="G595" s="1">
        <f>IFERROR(IF(Benchmark1[[#This Row],[Target Date Check]]="Pass",Benchmark1[[#This Row],[Target Return]]-Benchmark1[[#This Row],[Benchmark '#1 Return]],"-"),"-")</f>
        <v>-2.4393016112831685E-2</v>
      </c>
      <c r="H595" s="1" t="str">
        <f>IF(COUNTIF(Comp1[Comparable '#1 Dates],Benchmark1[[#This Row],[Benchmark '#1 Dates]])=1,"Pass","Fail")</f>
        <v>Pass</v>
      </c>
      <c r="I595" s="6">
        <f>IF(Benchmark1[[#This Row],[Comparable '#1 Date Check]]="Pass",INDEX(Comp1[Comparable '#1 Price],MATCH(Benchmark1[[#This Row],[Benchmark '#1 Dates]],Comp1[Comparable '#1 Dates],0)),"-")</f>
        <v>13.98</v>
      </c>
      <c r="J595" s="22">
        <f>IF(Benchmark1[[#This Row],[Comparable '#1 Date Check]]="Pass",INDEX(Comp1[Comparable '#1 Return],MATCH(Benchmark1[[#This Row],[Benchmark '#1 Dates]],Comp1[Comparable '#1 Dates],0)),"-")</f>
        <v>-1.3499316896924815E-2</v>
      </c>
      <c r="K595" s="1">
        <f>IFERROR(IF(Benchmark1[[#This Row],[Comparable '#1 Date Check]]="Pass",Benchmark1[[#This Row],[Comparable '#1 Return]]-Benchmark1[[#This Row],[Benchmark '#1 Return]],"-"),"-")</f>
        <v>-1.2099578448027547E-2</v>
      </c>
      <c r="L595" s="1" t="str">
        <f>IF(COUNTIF(Comp2[Comparable '#2 Dates],Benchmark1[[#This Row],[Benchmark '#1 Dates]])=1,"Pass","Fail")</f>
        <v>Pass</v>
      </c>
      <c r="M595" s="6">
        <f>IF(Benchmark1[[#This Row],[Comparable '#2 Date Check]]="Pass",INDEX(Comp2[Comparable '#2 Price],MATCH(Benchmark1[[#This Row],[Benchmark '#1 Dates]],Comp2[Comparable '#2 Dates],0)),"-")</f>
        <v>27.85</v>
      </c>
      <c r="N595" s="22">
        <f>IF(Benchmark1[[#This Row],[Comparable '#2 Date Check]]="Pass",INDEX(Comp2[Comparable '#2 Return],MATCH(Benchmark1[[#This Row],[Benchmark '#1 Dates]],Comp2[Comparable '#2 Dates],0)),"-")</f>
        <v>3.955110884103194E-2</v>
      </c>
      <c r="O595" s="1">
        <f>IFERROR(IF(Benchmark1[[#This Row],[Comparable '#2 Date Check]]="Pass",Benchmark1[[#This Row],[Comparable '#2 Return]]-Benchmark1[[#This Row],[Benchmark '#1 Return]],"-"),"-")</f>
        <v>4.0950847289929211E-2</v>
      </c>
      <c r="P595" s="1" t="str">
        <f>IF(COUNTIF(Comp3[Comparable '#3 Dates],Benchmark1[[#This Row],[Benchmark '#1 Dates]])=1,"Pass","Fail")</f>
        <v>Pass</v>
      </c>
      <c r="Q595" s="6">
        <f>IF(Benchmark1[[#This Row],[Comparable '#3 Date Check]]="Pass",INDEX(Comp3[Comparable '#3 Price],MATCH(Benchmark1[[#This Row],[Benchmark '#1 Dates]],Comp3[Comparable '#3 Dates],0)),"-")</f>
        <v>90</v>
      </c>
      <c r="R595" s="22">
        <f>IF(Benchmark1[[#This Row],[Comparable '#3 Date Check]]="Pass",INDEX(Comp3[Comparable '#3 Return],MATCH(Benchmark1[[#This Row],[Benchmark '#1 Dates]],Comp3[Comparable '#3 Dates],0)),"-")</f>
        <v>0</v>
      </c>
      <c r="S595" s="1">
        <f>IFERROR(IF(Benchmark1[[#This Row],[Comparable '#3 Date Check]]="Pass",Benchmark1[[#This Row],[Comparable '#3 Return]]-Benchmark1[[#This Row],[Benchmark '#1 Return]],"-"),"-")</f>
        <v>1.3997384488972679E-3</v>
      </c>
    </row>
    <row r="596" spans="1:19">
      <c r="A596" s="103">
        <v>44146</v>
      </c>
      <c r="B596" s="104">
        <v>3572.6603819783891</v>
      </c>
      <c r="C596" s="4">
        <f t="shared" si="9"/>
        <v>7.6219868080860519E-3</v>
      </c>
      <c r="D596" s="1" t="str">
        <f>IF(COUNTIF(Target1[Target Dates],Benchmark1[[#This Row],[Benchmark '#1 Dates]])=1,"Pass","Fail")</f>
        <v>Pass</v>
      </c>
      <c r="E596" s="6">
        <f>IF(Benchmark1[[#This Row],[Target Date Check]]="Pass",INDEX(Target1[Target Price],MATCH(Benchmark1[[#This Row],[Benchmark '#1 Dates]],Target1[Target Dates],0)),"-")</f>
        <v>21.57</v>
      </c>
      <c r="F596" s="22">
        <f>IF(Benchmark1[[#This Row],[Target Date Check]]="Pass",INDEX(Target1[Target Return],MATCH(Benchmark1[[#This Row],[Benchmark '#1 Dates]],Target1[Target Dates],0)),"-")</f>
        <v>2.4402900272674583E-2</v>
      </c>
      <c r="G596" s="1">
        <f>IFERROR(IF(Benchmark1[[#This Row],[Target Date Check]]="Pass",Benchmark1[[#This Row],[Target Return]]-Benchmark1[[#This Row],[Benchmark '#1 Return]],"-"),"-")</f>
        <v>1.6780913464588529E-2</v>
      </c>
      <c r="H596" s="1" t="str">
        <f>IF(COUNTIF(Comp1[Comparable '#1 Dates],Benchmark1[[#This Row],[Benchmark '#1 Dates]])=1,"Pass","Fail")</f>
        <v>Pass</v>
      </c>
      <c r="I596" s="6">
        <f>IF(Benchmark1[[#This Row],[Comparable '#1 Date Check]]="Pass",INDEX(Comp1[Comparable '#1 Price],MATCH(Benchmark1[[#This Row],[Benchmark '#1 Dates]],Comp1[Comparable '#1 Dates],0)),"-")</f>
        <v>13.98</v>
      </c>
      <c r="J596" s="22">
        <f>IF(Benchmark1[[#This Row],[Comparable '#1 Date Check]]="Pass",INDEX(Comp1[Comparable '#1 Return],MATCH(Benchmark1[[#This Row],[Benchmark '#1 Dates]],Comp1[Comparable '#1 Dates],0)),"-")</f>
        <v>0</v>
      </c>
      <c r="K596" s="1">
        <f>IFERROR(IF(Benchmark1[[#This Row],[Comparable '#1 Date Check]]="Pass",Benchmark1[[#This Row],[Comparable '#1 Return]]-Benchmark1[[#This Row],[Benchmark '#1 Return]],"-"),"-")</f>
        <v>-7.6219868080860519E-3</v>
      </c>
      <c r="L596" s="1" t="str">
        <f>IF(COUNTIF(Comp2[Comparable '#2 Dates],Benchmark1[[#This Row],[Benchmark '#1 Dates]])=1,"Pass","Fail")</f>
        <v>Pass</v>
      </c>
      <c r="M596" s="6">
        <f>IF(Benchmark1[[#This Row],[Comparable '#2 Date Check]]="Pass",INDEX(Comp2[Comparable '#2 Price],MATCH(Benchmark1[[#This Row],[Benchmark '#1 Dates]],Comp2[Comparable '#2 Dates],0)),"-")</f>
        <v>27.94</v>
      </c>
      <c r="N596" s="22">
        <f>IF(Benchmark1[[#This Row],[Comparable '#2 Date Check]]="Pass",INDEX(Comp2[Comparable '#2 Return],MATCH(Benchmark1[[#This Row],[Benchmark '#1 Dates]],Comp2[Comparable '#2 Dates],0)),"-")</f>
        <v>3.2263874555227465E-3</v>
      </c>
      <c r="O596" s="1">
        <f>IFERROR(IF(Benchmark1[[#This Row],[Comparable '#2 Date Check]]="Pass",Benchmark1[[#This Row],[Comparable '#2 Return]]-Benchmark1[[#This Row],[Benchmark '#1 Return]],"-"),"-")</f>
        <v>-4.395599352563305E-3</v>
      </c>
      <c r="P596" s="1" t="str">
        <f>IF(COUNTIF(Comp3[Comparable '#3 Dates],Benchmark1[[#This Row],[Benchmark '#1 Dates]])=1,"Pass","Fail")</f>
        <v>Pass</v>
      </c>
      <c r="Q596" s="6">
        <f>IF(Benchmark1[[#This Row],[Comparable '#3 Date Check]]="Pass",INDEX(Comp3[Comparable '#3 Price],MATCH(Benchmark1[[#This Row],[Benchmark '#1 Dates]],Comp3[Comparable '#3 Dates],0)),"-")</f>
        <v>86.95</v>
      </c>
      <c r="R596" s="22">
        <f>IF(Benchmark1[[#This Row],[Comparable '#3 Date Check]]="Pass",INDEX(Comp3[Comparable '#3 Return],MATCH(Benchmark1[[#This Row],[Benchmark '#1 Dates]],Comp3[Comparable '#3 Dates],0)),"-")</f>
        <v>-3.4476429529972999E-2</v>
      </c>
      <c r="S596" s="1">
        <f>IFERROR(IF(Benchmark1[[#This Row],[Comparable '#3 Date Check]]="Pass",Benchmark1[[#This Row],[Comparable '#3 Return]]-Benchmark1[[#This Row],[Benchmark '#1 Return]],"-"),"-")</f>
        <v>-4.2098416338059053E-2</v>
      </c>
    </row>
    <row r="597" spans="1:19">
      <c r="A597" s="103">
        <v>44147</v>
      </c>
      <c r="B597" s="104">
        <v>3537.0094795281921</v>
      </c>
      <c r="C597" s="4">
        <f t="shared" si="9"/>
        <v>-1.0028932976256812E-2</v>
      </c>
      <c r="D597" s="1" t="str">
        <f>IF(COUNTIF(Target1[Target Dates],Benchmark1[[#This Row],[Benchmark '#1 Dates]])=1,"Pass","Fail")</f>
        <v>Pass</v>
      </c>
      <c r="E597" s="6">
        <f>IF(Benchmark1[[#This Row],[Target Date Check]]="Pass",INDEX(Target1[Target Price],MATCH(Benchmark1[[#This Row],[Benchmark '#1 Dates]],Target1[Target Dates],0)),"-")</f>
        <v>21.76</v>
      </c>
      <c r="F597" s="22">
        <f>IF(Benchmark1[[#This Row],[Target Date Check]]="Pass",INDEX(Target1[Target Return],MATCH(Benchmark1[[#This Row],[Benchmark '#1 Dates]],Target1[Target Dates],0)),"-")</f>
        <v>8.7699615866769567E-3</v>
      </c>
      <c r="G597" s="1">
        <f>IFERROR(IF(Benchmark1[[#This Row],[Target Date Check]]="Pass",Benchmark1[[#This Row],[Target Return]]-Benchmark1[[#This Row],[Benchmark '#1 Return]],"-"),"-")</f>
        <v>1.8798894562933769E-2</v>
      </c>
      <c r="H597" s="1" t="str">
        <f>IF(COUNTIF(Comp1[Comparable '#1 Dates],Benchmark1[[#This Row],[Benchmark '#1 Dates]])=1,"Pass","Fail")</f>
        <v>Pass</v>
      </c>
      <c r="I597" s="6">
        <f>IF(Benchmark1[[#This Row],[Comparable '#1 Date Check]]="Pass",INDEX(Comp1[Comparable '#1 Price],MATCH(Benchmark1[[#This Row],[Benchmark '#1 Dates]],Comp1[Comparable '#1 Dates],0)),"-")</f>
        <v>14.01</v>
      </c>
      <c r="J597" s="22">
        <f>IF(Benchmark1[[#This Row],[Comparable '#1 Date Check]]="Pass",INDEX(Comp1[Comparable '#1 Return],MATCH(Benchmark1[[#This Row],[Benchmark '#1 Dates]],Comp1[Comparable '#1 Dates],0)),"-")</f>
        <v>2.1436235432513691E-3</v>
      </c>
      <c r="K597" s="1">
        <f>IFERROR(IF(Benchmark1[[#This Row],[Comparable '#1 Date Check]]="Pass",Benchmark1[[#This Row],[Comparable '#1 Return]]-Benchmark1[[#This Row],[Benchmark '#1 Return]],"-"),"-")</f>
        <v>1.2172556519508181E-2</v>
      </c>
      <c r="L597" s="1" t="str">
        <f>IF(COUNTIF(Comp2[Comparable '#2 Dates],Benchmark1[[#This Row],[Benchmark '#1 Dates]])=1,"Pass","Fail")</f>
        <v>Pass</v>
      </c>
      <c r="M597" s="6">
        <f>IF(Benchmark1[[#This Row],[Comparable '#2 Date Check]]="Pass",INDEX(Comp2[Comparable '#2 Price],MATCH(Benchmark1[[#This Row],[Benchmark '#1 Dates]],Comp2[Comparable '#2 Dates],0)),"-")</f>
        <v>27.81</v>
      </c>
      <c r="N597" s="22">
        <f>IF(Benchmark1[[#This Row],[Comparable '#2 Date Check]]="Pass",INDEX(Comp2[Comparable '#2 Return],MATCH(Benchmark1[[#This Row],[Benchmark '#1 Dates]],Comp2[Comparable '#2 Dates],0)),"-")</f>
        <v>-4.6636855829423236E-3</v>
      </c>
      <c r="O597" s="1">
        <f>IFERROR(IF(Benchmark1[[#This Row],[Comparable '#2 Date Check]]="Pass",Benchmark1[[#This Row],[Comparable '#2 Return]]-Benchmark1[[#This Row],[Benchmark '#1 Return]],"-"),"-")</f>
        <v>5.3652473933144887E-3</v>
      </c>
      <c r="P597" s="1" t="str">
        <f>IF(COUNTIF(Comp3[Comparable '#3 Dates],Benchmark1[[#This Row],[Benchmark '#1 Dates]])=1,"Pass","Fail")</f>
        <v>Pass</v>
      </c>
      <c r="Q597" s="6">
        <f>IF(Benchmark1[[#This Row],[Comparable '#3 Date Check]]="Pass",INDEX(Comp3[Comparable '#3 Price],MATCH(Benchmark1[[#This Row],[Benchmark '#1 Dates]],Comp3[Comparable '#3 Dates],0)),"-")</f>
        <v>86.16</v>
      </c>
      <c r="R597" s="22">
        <f>IF(Benchmark1[[#This Row],[Comparable '#3 Date Check]]="Pass",INDEX(Comp3[Comparable '#3 Return],MATCH(Benchmark1[[#This Row],[Benchmark '#1 Dates]],Comp3[Comparable '#3 Dates],0)),"-")</f>
        <v>-9.1272079521589507E-3</v>
      </c>
      <c r="S597" s="1">
        <f>IFERROR(IF(Benchmark1[[#This Row],[Comparable '#3 Date Check]]="Pass",Benchmark1[[#This Row],[Comparable '#3 Return]]-Benchmark1[[#This Row],[Benchmark '#1 Return]],"-"),"-")</f>
        <v>9.0172502409786165E-4</v>
      </c>
    </row>
    <row r="598" spans="1:19">
      <c r="A598" s="103">
        <v>44148</v>
      </c>
      <c r="B598" s="104">
        <v>3585.1535348635002</v>
      </c>
      <c r="C598" s="4">
        <f t="shared" si="9"/>
        <v>1.351970982979111E-2</v>
      </c>
      <c r="D598" s="1" t="str">
        <f>IF(COUNTIF(Target1[Target Dates],Benchmark1[[#This Row],[Benchmark '#1 Dates]])=1,"Pass","Fail")</f>
        <v>Pass</v>
      </c>
      <c r="E598" s="6">
        <f>IF(Benchmark1[[#This Row],[Target Date Check]]="Pass",INDEX(Target1[Target Price],MATCH(Benchmark1[[#This Row],[Benchmark '#1 Dates]],Target1[Target Dates],0)),"-")</f>
        <v>23.09</v>
      </c>
      <c r="F598" s="22">
        <f>IF(Benchmark1[[#This Row],[Target Date Check]]="Pass",INDEX(Target1[Target Return],MATCH(Benchmark1[[#This Row],[Benchmark '#1 Dates]],Target1[Target Dates],0)),"-")</f>
        <v>5.9326201378662034E-2</v>
      </c>
      <c r="G598" s="1">
        <f>IFERROR(IF(Benchmark1[[#This Row],[Target Date Check]]="Pass",Benchmark1[[#This Row],[Target Return]]-Benchmark1[[#This Row],[Benchmark '#1 Return]],"-"),"-")</f>
        <v>4.5806491548870926E-2</v>
      </c>
      <c r="H598" s="1" t="str">
        <f>IF(COUNTIF(Comp1[Comparable '#1 Dates],Benchmark1[[#This Row],[Benchmark '#1 Dates]])=1,"Pass","Fail")</f>
        <v>Pass</v>
      </c>
      <c r="I598" s="6">
        <f>IF(Benchmark1[[#This Row],[Comparable '#1 Date Check]]="Pass",INDEX(Comp1[Comparable '#1 Price],MATCH(Benchmark1[[#This Row],[Benchmark '#1 Dates]],Comp1[Comparable '#1 Dates],0)),"-")</f>
        <v>14.22</v>
      </c>
      <c r="J598" s="22">
        <f>IF(Benchmark1[[#This Row],[Comparable '#1 Date Check]]="Pass",INDEX(Comp1[Comparable '#1 Return],MATCH(Benchmark1[[#This Row],[Benchmark '#1 Dates]],Comp1[Comparable '#1 Dates],0)),"-")</f>
        <v>1.4878064026179295E-2</v>
      </c>
      <c r="K598" s="1">
        <f>IFERROR(IF(Benchmark1[[#This Row],[Comparable '#1 Date Check]]="Pass",Benchmark1[[#This Row],[Comparable '#1 Return]]-Benchmark1[[#This Row],[Benchmark '#1 Return]],"-"),"-")</f>
        <v>1.3583541963881843E-3</v>
      </c>
      <c r="L598" s="1" t="str">
        <f>IF(COUNTIF(Comp2[Comparable '#2 Dates],Benchmark1[[#This Row],[Benchmark '#1 Dates]])=1,"Pass","Fail")</f>
        <v>Pass</v>
      </c>
      <c r="M598" s="6">
        <f>IF(Benchmark1[[#This Row],[Comparable '#2 Date Check]]="Pass",INDEX(Comp2[Comparable '#2 Price],MATCH(Benchmark1[[#This Row],[Benchmark '#1 Dates]],Comp2[Comparable '#2 Dates],0)),"-")</f>
        <v>28.57</v>
      </c>
      <c r="N598" s="22">
        <f>IF(Benchmark1[[#This Row],[Comparable '#2 Date Check]]="Pass",INDEX(Comp2[Comparable '#2 Return],MATCH(Benchmark1[[#This Row],[Benchmark '#1 Dates]],Comp2[Comparable '#2 Dates],0)),"-")</f>
        <v>2.6961547996808177E-2</v>
      </c>
      <c r="O598" s="1">
        <f>IFERROR(IF(Benchmark1[[#This Row],[Comparable '#2 Date Check]]="Pass",Benchmark1[[#This Row],[Comparable '#2 Return]]-Benchmark1[[#This Row],[Benchmark '#1 Return]],"-"),"-")</f>
        <v>1.3441838167017066E-2</v>
      </c>
      <c r="P598" s="1" t="str">
        <f>IF(COUNTIF(Comp3[Comparable '#3 Dates],Benchmark1[[#This Row],[Benchmark '#1 Dates]])=1,"Pass","Fail")</f>
        <v>Pass</v>
      </c>
      <c r="Q598" s="6">
        <f>IF(Benchmark1[[#This Row],[Comparable '#3 Date Check]]="Pass",INDEX(Comp3[Comparable '#3 Price],MATCH(Benchmark1[[#This Row],[Benchmark '#1 Dates]],Comp3[Comparable '#3 Dates],0)),"-")</f>
        <v>87.92</v>
      </c>
      <c r="R598" s="22">
        <f>IF(Benchmark1[[#This Row],[Comparable '#3 Date Check]]="Pass",INDEX(Comp3[Comparable '#3 Return],MATCH(Benchmark1[[#This Row],[Benchmark '#1 Dates]],Comp3[Comparable '#3 Dates],0)),"-")</f>
        <v>2.0221277247232858E-2</v>
      </c>
      <c r="S598" s="1">
        <f>IFERROR(IF(Benchmark1[[#This Row],[Comparable '#3 Date Check]]="Pass",Benchmark1[[#This Row],[Comparable '#3 Return]]-Benchmark1[[#This Row],[Benchmark '#1 Return]],"-"),"-")</f>
        <v>6.7015674174417481E-3</v>
      </c>
    </row>
    <row r="599" spans="1:19">
      <c r="A599" s="103">
        <v>44151</v>
      </c>
      <c r="B599" s="104">
        <v>3626.9075851440261</v>
      </c>
      <c r="C599" s="4">
        <f t="shared" si="9"/>
        <v>1.1579080126902836E-2</v>
      </c>
      <c r="D599" s="1" t="str">
        <f>IF(COUNTIF(Target1[Target Dates],Benchmark1[[#This Row],[Benchmark '#1 Dates]])=1,"Pass","Fail")</f>
        <v>Pass</v>
      </c>
      <c r="E599" s="6">
        <f>IF(Benchmark1[[#This Row],[Target Date Check]]="Pass",INDEX(Target1[Target Price],MATCH(Benchmark1[[#This Row],[Benchmark '#1 Dates]],Target1[Target Dates],0)),"-")</f>
        <v>22.64</v>
      </c>
      <c r="F599" s="22">
        <f>IF(Benchmark1[[#This Row],[Target Date Check]]="Pass",INDEX(Target1[Target Return],MATCH(Benchmark1[[#This Row],[Benchmark '#1 Dates]],Target1[Target Dates],0)),"-")</f>
        <v>-1.968137003142182E-2</v>
      </c>
      <c r="G599" s="1">
        <f>IFERROR(IF(Benchmark1[[#This Row],[Target Date Check]]="Pass",Benchmark1[[#This Row],[Target Return]]-Benchmark1[[#This Row],[Benchmark '#1 Return]],"-"),"-")</f>
        <v>-3.1260450158324654E-2</v>
      </c>
      <c r="H599" s="1" t="str">
        <f>IF(COUNTIF(Comp1[Comparable '#1 Dates],Benchmark1[[#This Row],[Benchmark '#1 Dates]])=1,"Pass","Fail")</f>
        <v>Pass</v>
      </c>
      <c r="I599" s="6">
        <f>IF(Benchmark1[[#This Row],[Comparable '#1 Date Check]]="Pass",INDEX(Comp1[Comparable '#1 Price],MATCH(Benchmark1[[#This Row],[Benchmark '#1 Dates]],Comp1[Comparable '#1 Dates],0)),"-")</f>
        <v>14.3</v>
      </c>
      <c r="J599" s="22">
        <f>IF(Benchmark1[[#This Row],[Comparable '#1 Date Check]]="Pass",INDEX(Comp1[Comparable '#1 Return],MATCH(Benchmark1[[#This Row],[Benchmark '#1 Dates]],Comp1[Comparable '#1 Dates],0)),"-")</f>
        <v>5.6101128907667828E-3</v>
      </c>
      <c r="K599" s="1">
        <f>IFERROR(IF(Benchmark1[[#This Row],[Comparable '#1 Date Check]]="Pass",Benchmark1[[#This Row],[Comparable '#1 Return]]-Benchmark1[[#This Row],[Benchmark '#1 Return]],"-"),"-")</f>
        <v>-5.9689672361360529E-3</v>
      </c>
      <c r="L599" s="1" t="str">
        <f>IF(COUNTIF(Comp2[Comparable '#2 Dates],Benchmark1[[#This Row],[Benchmark '#1 Dates]])=1,"Pass","Fail")</f>
        <v>Pass</v>
      </c>
      <c r="M599" s="6">
        <f>IF(Benchmark1[[#This Row],[Comparable '#2 Date Check]]="Pass",INDEX(Comp2[Comparable '#2 Price],MATCH(Benchmark1[[#This Row],[Benchmark '#1 Dates]],Comp2[Comparable '#2 Dates],0)),"-")</f>
        <v>28.8</v>
      </c>
      <c r="N599" s="22">
        <f>IF(Benchmark1[[#This Row],[Comparable '#2 Date Check]]="Pass",INDEX(Comp2[Comparable '#2 Return],MATCH(Benchmark1[[#This Row],[Benchmark '#1 Dates]],Comp2[Comparable '#2 Dates],0)),"-")</f>
        <v>8.0181708992185449E-3</v>
      </c>
      <c r="O599" s="1">
        <f>IFERROR(IF(Benchmark1[[#This Row],[Comparable '#2 Date Check]]="Pass",Benchmark1[[#This Row],[Comparable '#2 Return]]-Benchmark1[[#This Row],[Benchmark '#1 Return]],"-"),"-")</f>
        <v>-3.5609092276842908E-3</v>
      </c>
      <c r="P599" s="1" t="str">
        <f>IF(COUNTIF(Comp3[Comparable '#3 Dates],Benchmark1[[#This Row],[Benchmark '#1 Dates]])=1,"Pass","Fail")</f>
        <v>Pass</v>
      </c>
      <c r="Q599" s="6">
        <f>IF(Benchmark1[[#This Row],[Comparable '#3 Date Check]]="Pass",INDEX(Comp3[Comparable '#3 Price],MATCH(Benchmark1[[#This Row],[Benchmark '#1 Dates]],Comp3[Comparable '#3 Dates],0)),"-")</f>
        <v>89.99</v>
      </c>
      <c r="R599" s="22">
        <f>IF(Benchmark1[[#This Row],[Comparable '#3 Date Check]]="Pass",INDEX(Comp3[Comparable '#3 Return],MATCH(Benchmark1[[#This Row],[Benchmark '#1 Dates]],Comp3[Comparable '#3 Dates],0)),"-")</f>
        <v>2.3271242950491187E-2</v>
      </c>
      <c r="S599" s="1">
        <f>IFERROR(IF(Benchmark1[[#This Row],[Comparable '#3 Date Check]]="Pass",Benchmark1[[#This Row],[Comparable '#3 Return]]-Benchmark1[[#This Row],[Benchmark '#1 Return]],"-"),"-")</f>
        <v>1.1692162823588351E-2</v>
      </c>
    </row>
    <row r="600" spans="1:19">
      <c r="A600" s="103">
        <v>44152</v>
      </c>
      <c r="B600" s="104">
        <v>3609.531705295024</v>
      </c>
      <c r="C600" s="4">
        <f t="shared" si="9"/>
        <v>-4.8023378752426356E-3</v>
      </c>
      <c r="D600" s="1" t="str">
        <f>IF(COUNTIF(Target1[Target Dates],Benchmark1[[#This Row],[Benchmark '#1 Dates]])=1,"Pass","Fail")</f>
        <v>Pass</v>
      </c>
      <c r="E600" s="6">
        <f>IF(Benchmark1[[#This Row],[Target Date Check]]="Pass",INDEX(Target1[Target Price],MATCH(Benchmark1[[#This Row],[Benchmark '#1 Dates]],Target1[Target Dates],0)),"-")</f>
        <v>22.19</v>
      </c>
      <c r="F600" s="22">
        <f>IF(Benchmark1[[#This Row],[Target Date Check]]="Pass",INDEX(Target1[Target Return],MATCH(Benchmark1[[#This Row],[Benchmark '#1 Dates]],Target1[Target Dates],0)),"-")</f>
        <v>-2.0076516390479551E-2</v>
      </c>
      <c r="G600" s="1">
        <f>IFERROR(IF(Benchmark1[[#This Row],[Target Date Check]]="Pass",Benchmark1[[#This Row],[Target Return]]-Benchmark1[[#This Row],[Benchmark '#1 Return]],"-"),"-")</f>
        <v>-1.5274178515236915E-2</v>
      </c>
      <c r="H600" s="1" t="str">
        <f>IF(COUNTIF(Comp1[Comparable '#1 Dates],Benchmark1[[#This Row],[Benchmark '#1 Dates]])=1,"Pass","Fail")</f>
        <v>Pass</v>
      </c>
      <c r="I600" s="6">
        <f>IF(Benchmark1[[#This Row],[Comparable '#1 Date Check]]="Pass",INDEX(Comp1[Comparable '#1 Price],MATCH(Benchmark1[[#This Row],[Benchmark '#1 Dates]],Comp1[Comparable '#1 Dates],0)),"-")</f>
        <v>14.12</v>
      </c>
      <c r="J600" s="22">
        <f>IF(Benchmark1[[#This Row],[Comparable '#1 Date Check]]="Pass",INDEX(Comp1[Comparable '#1 Return],MATCH(Benchmark1[[#This Row],[Benchmark '#1 Dates]],Comp1[Comparable '#1 Dates],0)),"-")</f>
        <v>-1.2667305200765686E-2</v>
      </c>
      <c r="K600" s="1">
        <f>IFERROR(IF(Benchmark1[[#This Row],[Comparable '#1 Date Check]]="Pass",Benchmark1[[#This Row],[Comparable '#1 Return]]-Benchmark1[[#This Row],[Benchmark '#1 Return]],"-"),"-")</f>
        <v>-7.86496732552305E-3</v>
      </c>
      <c r="L600" s="1" t="str">
        <f>IF(COUNTIF(Comp2[Comparable '#2 Dates],Benchmark1[[#This Row],[Benchmark '#1 Dates]])=1,"Pass","Fail")</f>
        <v>Pass</v>
      </c>
      <c r="M600" s="6">
        <f>IF(Benchmark1[[#This Row],[Comparable '#2 Date Check]]="Pass",INDEX(Comp2[Comparable '#2 Price],MATCH(Benchmark1[[#This Row],[Benchmark '#1 Dates]],Comp2[Comparable '#2 Dates],0)),"-")</f>
        <v>28.61</v>
      </c>
      <c r="N600" s="22">
        <f>IF(Benchmark1[[#This Row],[Comparable '#2 Date Check]]="Pass",INDEX(Comp2[Comparable '#2 Return],MATCH(Benchmark1[[#This Row],[Benchmark '#1 Dates]],Comp2[Comparable '#2 Dates],0)),"-")</f>
        <v>-6.6190800798813865E-3</v>
      </c>
      <c r="O600" s="1">
        <f>IFERROR(IF(Benchmark1[[#This Row],[Comparable '#2 Date Check]]="Pass",Benchmark1[[#This Row],[Comparable '#2 Return]]-Benchmark1[[#This Row],[Benchmark '#1 Return]],"-"),"-")</f>
        <v>-1.8167422046387509E-3</v>
      </c>
      <c r="P600" s="1" t="str">
        <f>IF(COUNTIF(Comp3[Comparable '#3 Dates],Benchmark1[[#This Row],[Benchmark '#1 Dates]])=1,"Pass","Fail")</f>
        <v>Pass</v>
      </c>
      <c r="Q600" s="6">
        <f>IF(Benchmark1[[#This Row],[Comparable '#3 Date Check]]="Pass",INDEX(Comp3[Comparable '#3 Price],MATCH(Benchmark1[[#This Row],[Benchmark '#1 Dates]],Comp3[Comparable '#3 Dates],0)),"-")</f>
        <v>90.5</v>
      </c>
      <c r="R600" s="22">
        <f>IF(Benchmark1[[#This Row],[Comparable '#3 Date Check]]="Pass",INDEX(Comp3[Comparable '#3 Return],MATCH(Benchmark1[[#This Row],[Benchmark '#1 Dates]],Comp3[Comparable '#3 Dates],0)),"-")</f>
        <v>5.6512976600233081E-3</v>
      </c>
      <c r="S600" s="1">
        <f>IFERROR(IF(Benchmark1[[#This Row],[Comparable '#3 Date Check]]="Pass",Benchmark1[[#This Row],[Comparable '#3 Return]]-Benchmark1[[#This Row],[Benchmark '#1 Return]],"-"),"-")</f>
        <v>1.0453635535265944E-2</v>
      </c>
    </row>
    <row r="601" spans="1:19">
      <c r="A601" s="103">
        <v>44153</v>
      </c>
      <c r="B601" s="104">
        <v>3567.7890638557042</v>
      </c>
      <c r="C601" s="4">
        <f t="shared" si="9"/>
        <v>-1.163194830964966E-2</v>
      </c>
      <c r="D601" s="1" t="str">
        <f>IF(COUNTIF(Target1[Target Dates],Benchmark1[[#This Row],[Benchmark '#1 Dates]])=1,"Pass","Fail")</f>
        <v>Pass</v>
      </c>
      <c r="E601" s="6">
        <f>IF(Benchmark1[[#This Row],[Target Date Check]]="Pass",INDEX(Target1[Target Price],MATCH(Benchmark1[[#This Row],[Benchmark '#1 Dates]],Target1[Target Dates],0)),"-")</f>
        <v>23.92</v>
      </c>
      <c r="F601" s="22">
        <f>IF(Benchmark1[[#This Row],[Target Date Check]]="Pass",INDEX(Target1[Target Return],MATCH(Benchmark1[[#This Row],[Benchmark '#1 Dates]],Target1[Target Dates],0)),"-")</f>
        <v>7.5073192137928457E-2</v>
      </c>
      <c r="G601" s="1">
        <f>IFERROR(IF(Benchmark1[[#This Row],[Target Date Check]]="Pass",Benchmark1[[#This Row],[Target Return]]-Benchmark1[[#This Row],[Benchmark '#1 Return]],"-"),"-")</f>
        <v>8.6705140447578113E-2</v>
      </c>
      <c r="H601" s="1" t="str">
        <f>IF(COUNTIF(Comp1[Comparable '#1 Dates],Benchmark1[[#This Row],[Benchmark '#1 Dates]])=1,"Pass","Fail")</f>
        <v>Pass</v>
      </c>
      <c r="I601" s="6">
        <f>IF(Benchmark1[[#This Row],[Comparable '#1 Date Check]]="Pass",INDEX(Comp1[Comparable '#1 Price],MATCH(Benchmark1[[#This Row],[Benchmark '#1 Dates]],Comp1[Comparable '#1 Dates],0)),"-")</f>
        <v>14.18</v>
      </c>
      <c r="J601" s="22">
        <f>IF(Benchmark1[[#This Row],[Comparable '#1 Date Check]]="Pass",INDEX(Comp1[Comparable '#1 Return],MATCH(Benchmark1[[#This Row],[Benchmark '#1 Dates]],Comp1[Comparable '#1 Dates],0)),"-")</f>
        <v>4.2402890388854421E-3</v>
      </c>
      <c r="K601" s="1">
        <f>IFERROR(IF(Benchmark1[[#This Row],[Comparable '#1 Date Check]]="Pass",Benchmark1[[#This Row],[Comparable '#1 Return]]-Benchmark1[[#This Row],[Benchmark '#1 Return]],"-"),"-")</f>
        <v>1.5872237348535101E-2</v>
      </c>
      <c r="L601" s="1" t="str">
        <f>IF(COUNTIF(Comp2[Comparable '#2 Dates],Benchmark1[[#This Row],[Benchmark '#1 Dates]])=1,"Pass","Fail")</f>
        <v>Pass</v>
      </c>
      <c r="M601" s="6">
        <f>IF(Benchmark1[[#This Row],[Comparable '#2 Date Check]]="Pass",INDEX(Comp2[Comparable '#2 Price],MATCH(Benchmark1[[#This Row],[Benchmark '#1 Dates]],Comp2[Comparable '#2 Dates],0)),"-")</f>
        <v>28.29</v>
      </c>
      <c r="N601" s="22">
        <f>IF(Benchmark1[[#This Row],[Comparable '#2 Date Check]]="Pass",INDEX(Comp2[Comparable '#2 Return],MATCH(Benchmark1[[#This Row],[Benchmark '#1 Dates]],Comp2[Comparable '#2 Dates],0)),"-")</f>
        <v>-1.1247921748543067E-2</v>
      </c>
      <c r="O601" s="1">
        <f>IFERROR(IF(Benchmark1[[#This Row],[Comparable '#2 Date Check]]="Pass",Benchmark1[[#This Row],[Comparable '#2 Return]]-Benchmark1[[#This Row],[Benchmark '#1 Return]],"-"),"-")</f>
        <v>3.840265611065926E-4</v>
      </c>
      <c r="P601" s="1" t="str">
        <f>IF(COUNTIF(Comp3[Comparable '#3 Dates],Benchmark1[[#This Row],[Benchmark '#1 Dates]])=1,"Pass","Fail")</f>
        <v>Pass</v>
      </c>
      <c r="Q601" s="6">
        <f>IF(Benchmark1[[#This Row],[Comparable '#3 Date Check]]="Pass",INDEX(Comp3[Comparable '#3 Price],MATCH(Benchmark1[[#This Row],[Benchmark '#1 Dates]],Comp3[Comparable '#3 Dates],0)),"-")</f>
        <v>88.58</v>
      </c>
      <c r="R601" s="22">
        <f>IF(Benchmark1[[#This Row],[Comparable '#3 Date Check]]="Pass",INDEX(Comp3[Comparable '#3 Return],MATCH(Benchmark1[[#This Row],[Benchmark '#1 Dates]],Comp3[Comparable '#3 Dates],0)),"-")</f>
        <v>-2.1443752210828341E-2</v>
      </c>
      <c r="S601" s="1">
        <f>IFERROR(IF(Benchmark1[[#This Row],[Comparable '#3 Date Check]]="Pass",Benchmark1[[#This Row],[Comparable '#3 Return]]-Benchmark1[[#This Row],[Benchmark '#1 Return]],"-"),"-")</f>
        <v>-9.8118039011786812E-3</v>
      </c>
    </row>
    <row r="602" spans="1:19">
      <c r="A602" s="103">
        <v>44154</v>
      </c>
      <c r="B602" s="104">
        <v>3581.8668521455352</v>
      </c>
      <c r="C602" s="4">
        <f t="shared" si="9"/>
        <v>3.9380374800074072E-3</v>
      </c>
      <c r="D602" s="1" t="str">
        <f>IF(COUNTIF(Target1[Target Dates],Benchmark1[[#This Row],[Benchmark '#1 Dates]])=1,"Pass","Fail")</f>
        <v>Pass</v>
      </c>
      <c r="E602" s="6">
        <f>IF(Benchmark1[[#This Row],[Target Date Check]]="Pass",INDEX(Target1[Target Price],MATCH(Benchmark1[[#This Row],[Benchmark '#1 Dates]],Target1[Target Dates],0)),"-")</f>
        <v>24.15</v>
      </c>
      <c r="F602" s="22">
        <f>IF(Benchmark1[[#This Row],[Target Date Check]]="Pass",INDEX(Target1[Target Return],MATCH(Benchmark1[[#This Row],[Benchmark '#1 Dates]],Target1[Target Dates],0)),"-")</f>
        <v>9.5694510161506725E-3</v>
      </c>
      <c r="G602" s="1">
        <f>IFERROR(IF(Benchmark1[[#This Row],[Target Date Check]]="Pass",Benchmark1[[#This Row],[Target Return]]-Benchmark1[[#This Row],[Benchmark '#1 Return]],"-"),"-")</f>
        <v>5.6314135361432652E-3</v>
      </c>
      <c r="H602" s="1" t="str">
        <f>IF(COUNTIF(Comp1[Comparable '#1 Dates],Benchmark1[[#This Row],[Benchmark '#1 Dates]])=1,"Pass","Fail")</f>
        <v>Pass</v>
      </c>
      <c r="I602" s="6">
        <f>IF(Benchmark1[[#This Row],[Comparable '#1 Date Check]]="Pass",INDEX(Comp1[Comparable '#1 Price],MATCH(Benchmark1[[#This Row],[Benchmark '#1 Dates]],Comp1[Comparable '#1 Dates],0)),"-")</f>
        <v>14.17</v>
      </c>
      <c r="J602" s="22">
        <f>IF(Benchmark1[[#This Row],[Comparable '#1 Date Check]]="Pass",INDEX(Comp1[Comparable '#1 Return],MATCH(Benchmark1[[#This Row],[Benchmark '#1 Dates]],Comp1[Comparable '#1 Dates],0)),"-")</f>
        <v>-7.0546740139237104E-4</v>
      </c>
      <c r="K602" s="1">
        <f>IFERROR(IF(Benchmark1[[#This Row],[Comparable '#1 Date Check]]="Pass",Benchmark1[[#This Row],[Comparable '#1 Return]]-Benchmark1[[#This Row],[Benchmark '#1 Return]],"-"),"-")</f>
        <v>-4.6435048813997784E-3</v>
      </c>
      <c r="L602" s="1" t="str">
        <f>IF(COUNTIF(Comp2[Comparable '#2 Dates],Benchmark1[[#This Row],[Benchmark '#1 Dates]])=1,"Pass","Fail")</f>
        <v>Pass</v>
      </c>
      <c r="M602" s="6">
        <f>IF(Benchmark1[[#This Row],[Comparable '#2 Date Check]]="Pass",INDEX(Comp2[Comparable '#2 Price],MATCH(Benchmark1[[#This Row],[Benchmark '#1 Dates]],Comp2[Comparable '#2 Dates],0)),"-")</f>
        <v>28.07</v>
      </c>
      <c r="N602" s="22">
        <f>IF(Benchmark1[[#This Row],[Comparable '#2 Date Check]]="Pass",INDEX(Comp2[Comparable '#2 Return],MATCH(Benchmark1[[#This Row],[Benchmark '#1 Dates]],Comp2[Comparable '#2 Dates],0)),"-")</f>
        <v>-7.8069949396846455E-3</v>
      </c>
      <c r="O602" s="1">
        <f>IFERROR(IF(Benchmark1[[#This Row],[Comparable '#2 Date Check]]="Pass",Benchmark1[[#This Row],[Comparable '#2 Return]]-Benchmark1[[#This Row],[Benchmark '#1 Return]],"-"),"-")</f>
        <v>-1.1745032419692053E-2</v>
      </c>
      <c r="P602" s="1" t="str">
        <f>IF(COUNTIF(Comp3[Comparable '#3 Dates],Benchmark1[[#This Row],[Benchmark '#1 Dates]])=1,"Pass","Fail")</f>
        <v>Pass</v>
      </c>
      <c r="Q602" s="6">
        <f>IF(Benchmark1[[#This Row],[Comparable '#3 Date Check]]="Pass",INDEX(Comp3[Comparable '#3 Price],MATCH(Benchmark1[[#This Row],[Benchmark '#1 Dates]],Comp3[Comparable '#3 Dates],0)),"-")</f>
        <v>88.42</v>
      </c>
      <c r="R602" s="22">
        <f>IF(Benchmark1[[#This Row],[Comparable '#3 Date Check]]="Pass",INDEX(Comp3[Comparable '#3 Return],MATCH(Benchmark1[[#This Row],[Benchmark '#1 Dates]],Comp3[Comparable '#3 Dates],0)),"-")</f>
        <v>-1.8079100969549211E-3</v>
      </c>
      <c r="S602" s="1">
        <f>IFERROR(IF(Benchmark1[[#This Row],[Comparable '#3 Date Check]]="Pass",Benchmark1[[#This Row],[Comparable '#3 Return]]-Benchmark1[[#This Row],[Benchmark '#1 Return]],"-"),"-")</f>
        <v>-5.7459475769623281E-3</v>
      </c>
    </row>
    <row r="603" spans="1:19">
      <c r="A603" s="103">
        <v>44155</v>
      </c>
      <c r="B603" s="104">
        <v>3557.5438414496757</v>
      </c>
      <c r="C603" s="4">
        <f t="shared" si="9"/>
        <v>-6.8137570015086137E-3</v>
      </c>
      <c r="D603" s="1" t="str">
        <f>IF(COUNTIF(Target1[Target Dates],Benchmark1[[#This Row],[Benchmark '#1 Dates]])=1,"Pass","Fail")</f>
        <v>Pass</v>
      </c>
      <c r="E603" s="6">
        <f>IF(Benchmark1[[#This Row],[Target Date Check]]="Pass",INDEX(Target1[Target Price],MATCH(Benchmark1[[#This Row],[Benchmark '#1 Dates]],Target1[Target Dates],0)),"-")</f>
        <v>23.81</v>
      </c>
      <c r="F603" s="22">
        <f>IF(Benchmark1[[#This Row],[Target Date Check]]="Pass",INDEX(Target1[Target Return],MATCH(Benchmark1[[#This Row],[Benchmark '#1 Dates]],Target1[Target Dates],0)),"-")</f>
        <v>-1.4178719599810225E-2</v>
      </c>
      <c r="G603" s="1">
        <f>IFERROR(IF(Benchmark1[[#This Row],[Target Date Check]]="Pass",Benchmark1[[#This Row],[Target Return]]-Benchmark1[[#This Row],[Benchmark '#1 Return]],"-"),"-")</f>
        <v>-7.3649625983016115E-3</v>
      </c>
      <c r="H603" s="1" t="str">
        <f>IF(COUNTIF(Comp1[Comparable '#1 Dates],Benchmark1[[#This Row],[Benchmark '#1 Dates]])=1,"Pass","Fail")</f>
        <v>Pass</v>
      </c>
      <c r="I603" s="6">
        <f>IF(Benchmark1[[#This Row],[Comparable '#1 Date Check]]="Pass",INDEX(Comp1[Comparable '#1 Price],MATCH(Benchmark1[[#This Row],[Benchmark '#1 Dates]],Comp1[Comparable '#1 Dates],0)),"-")</f>
        <v>14.13</v>
      </c>
      <c r="J603" s="22">
        <f>IF(Benchmark1[[#This Row],[Comparable '#1 Date Check]]="Pass",INDEX(Comp1[Comparable '#1 Return],MATCH(Benchmark1[[#This Row],[Benchmark '#1 Dates]],Comp1[Comparable '#1 Dates],0)),"-")</f>
        <v>-2.826857006152885E-3</v>
      </c>
      <c r="K603" s="1">
        <f>IFERROR(IF(Benchmark1[[#This Row],[Comparable '#1 Date Check]]="Pass",Benchmark1[[#This Row],[Comparable '#1 Return]]-Benchmark1[[#This Row],[Benchmark '#1 Return]],"-"),"-")</f>
        <v>3.9868999953557287E-3</v>
      </c>
      <c r="L603" s="1" t="str">
        <f>IF(COUNTIF(Comp2[Comparable '#2 Dates],Benchmark1[[#This Row],[Benchmark '#1 Dates]])=1,"Pass","Fail")</f>
        <v>Pass</v>
      </c>
      <c r="M603" s="6">
        <f>IF(Benchmark1[[#This Row],[Comparable '#2 Date Check]]="Pass",INDEX(Comp2[Comparable '#2 Price],MATCH(Benchmark1[[#This Row],[Benchmark '#1 Dates]],Comp2[Comparable '#2 Dates],0)),"-")</f>
        <v>27.93</v>
      </c>
      <c r="N603" s="22">
        <f>IF(Benchmark1[[#This Row],[Comparable '#2 Date Check]]="Pass",INDEX(Comp2[Comparable '#2 Return],MATCH(Benchmark1[[#This Row],[Benchmark '#1 Dates]],Comp2[Comparable '#2 Dates],0)),"-")</f>
        <v>-5.0000104167057515E-3</v>
      </c>
      <c r="O603" s="1">
        <f>IFERROR(IF(Benchmark1[[#This Row],[Comparable '#2 Date Check]]="Pass",Benchmark1[[#This Row],[Comparable '#2 Return]]-Benchmark1[[#This Row],[Benchmark '#1 Return]],"-"),"-")</f>
        <v>1.8137465848028621E-3</v>
      </c>
      <c r="P603" s="1" t="str">
        <f>IF(COUNTIF(Comp3[Comparable '#3 Dates],Benchmark1[[#This Row],[Benchmark '#1 Dates]])=1,"Pass","Fail")</f>
        <v>Pass</v>
      </c>
      <c r="Q603" s="6">
        <f>IF(Benchmark1[[#This Row],[Comparable '#3 Date Check]]="Pass",INDEX(Comp3[Comparable '#3 Price],MATCH(Benchmark1[[#This Row],[Benchmark '#1 Dates]],Comp3[Comparable '#3 Dates],0)),"-")</f>
        <v>89.12</v>
      </c>
      <c r="R603" s="22">
        <f>IF(Benchmark1[[#This Row],[Comparable '#3 Date Check]]="Pass",INDEX(Comp3[Comparable '#3 Return],MATCH(Benchmark1[[#This Row],[Benchmark '#1 Dates]],Comp3[Comparable '#3 Dates],0)),"-")</f>
        <v>7.8855877808767724E-3</v>
      </c>
      <c r="S603" s="1">
        <f>IFERROR(IF(Benchmark1[[#This Row],[Comparable '#3 Date Check]]="Pass",Benchmark1[[#This Row],[Comparable '#3 Return]]-Benchmark1[[#This Row],[Benchmark '#1 Return]],"-"),"-")</f>
        <v>1.4699344782385385E-2</v>
      </c>
    </row>
    <row r="604" spans="1:19">
      <c r="A604" s="103">
        <v>44158</v>
      </c>
      <c r="B604" s="104">
        <v>3577.5904406046689</v>
      </c>
      <c r="C604" s="4">
        <f t="shared" si="9"/>
        <v>5.6191379474152311E-3</v>
      </c>
      <c r="D604" s="1" t="str">
        <f>IF(COUNTIF(Target1[Target Dates],Benchmark1[[#This Row],[Benchmark '#1 Dates]])=1,"Pass","Fail")</f>
        <v>Pass</v>
      </c>
      <c r="E604" s="6">
        <f>IF(Benchmark1[[#This Row],[Target Date Check]]="Pass",INDEX(Target1[Target Price],MATCH(Benchmark1[[#This Row],[Benchmark '#1 Dates]],Target1[Target Dates],0)),"-")</f>
        <v>23.56</v>
      </c>
      <c r="F604" s="22">
        <f>IF(Benchmark1[[#This Row],[Target Date Check]]="Pass",INDEX(Target1[Target Return],MATCH(Benchmark1[[#This Row],[Benchmark '#1 Dates]],Target1[Target Dates],0)),"-")</f>
        <v>-1.055530171538541E-2</v>
      </c>
      <c r="G604" s="1">
        <f>IFERROR(IF(Benchmark1[[#This Row],[Target Date Check]]="Pass",Benchmark1[[#This Row],[Target Return]]-Benchmark1[[#This Row],[Benchmark '#1 Return]],"-"),"-")</f>
        <v>-1.617443966280064E-2</v>
      </c>
      <c r="H604" s="1" t="str">
        <f>IF(COUNTIF(Comp1[Comparable '#1 Dates],Benchmark1[[#This Row],[Benchmark '#1 Dates]])=1,"Pass","Fail")</f>
        <v>Pass</v>
      </c>
      <c r="I604" s="6">
        <f>IF(Benchmark1[[#This Row],[Comparable '#1 Date Check]]="Pass",INDEX(Comp1[Comparable '#1 Price],MATCH(Benchmark1[[#This Row],[Benchmark '#1 Dates]],Comp1[Comparable '#1 Dates],0)),"-")</f>
        <v>14.21</v>
      </c>
      <c r="J604" s="22">
        <f>IF(Benchmark1[[#This Row],[Comparable '#1 Date Check]]="Pass",INDEX(Comp1[Comparable '#1 Return],MATCH(Benchmark1[[#This Row],[Benchmark '#1 Dates]],Comp1[Comparable '#1 Dates],0)),"-")</f>
        <v>5.6457454125731221E-3</v>
      </c>
      <c r="K604" s="1">
        <f>IFERROR(IF(Benchmark1[[#This Row],[Comparable '#1 Date Check]]="Pass",Benchmark1[[#This Row],[Comparable '#1 Return]]-Benchmark1[[#This Row],[Benchmark '#1 Return]],"-"),"-")</f>
        <v>2.6607465157891044E-5</v>
      </c>
      <c r="L604" s="1" t="str">
        <f>IF(COUNTIF(Comp2[Comparable '#2 Dates],Benchmark1[[#This Row],[Benchmark '#1 Dates]])=1,"Pass","Fail")</f>
        <v>Pass</v>
      </c>
      <c r="M604" s="6">
        <f>IF(Benchmark1[[#This Row],[Comparable '#2 Date Check]]="Pass",INDEX(Comp2[Comparable '#2 Price],MATCH(Benchmark1[[#This Row],[Benchmark '#1 Dates]],Comp2[Comparable '#2 Dates],0)),"-")</f>
        <v>28.37</v>
      </c>
      <c r="N604" s="22">
        <f>IF(Benchmark1[[#This Row],[Comparable '#2 Date Check]]="Pass",INDEX(Comp2[Comparable '#2 Return],MATCH(Benchmark1[[#This Row],[Benchmark '#1 Dates]],Comp2[Comparable '#2 Dates],0)),"-")</f>
        <v>1.5630868863674523E-2</v>
      </c>
      <c r="O604" s="1">
        <f>IFERROR(IF(Benchmark1[[#This Row],[Comparable '#2 Date Check]]="Pass",Benchmark1[[#This Row],[Comparable '#2 Return]]-Benchmark1[[#This Row],[Benchmark '#1 Return]],"-"),"-")</f>
        <v>1.0011730916259292E-2</v>
      </c>
      <c r="P604" s="1" t="str">
        <f>IF(COUNTIF(Comp3[Comparable '#3 Dates],Benchmark1[[#This Row],[Benchmark '#1 Dates]])=1,"Pass","Fail")</f>
        <v>Pass</v>
      </c>
      <c r="Q604" s="6">
        <f>IF(Benchmark1[[#This Row],[Comparable '#3 Date Check]]="Pass",INDEX(Comp3[Comparable '#3 Price],MATCH(Benchmark1[[#This Row],[Benchmark '#1 Dates]],Comp3[Comparable '#3 Dates],0)),"-")</f>
        <v>90.15</v>
      </c>
      <c r="R604" s="22">
        <f>IF(Benchmark1[[#This Row],[Comparable '#3 Date Check]]="Pass",INDEX(Comp3[Comparable '#3 Return],MATCH(Benchmark1[[#This Row],[Benchmark '#1 Dates]],Comp3[Comparable '#3 Dates],0)),"-")</f>
        <v>1.1491173470352355E-2</v>
      </c>
      <c r="S604" s="1">
        <f>IFERROR(IF(Benchmark1[[#This Row],[Comparable '#3 Date Check]]="Pass",Benchmark1[[#This Row],[Comparable '#3 Return]]-Benchmark1[[#This Row],[Benchmark '#1 Return]],"-"),"-")</f>
        <v>5.8720355229371236E-3</v>
      </c>
    </row>
    <row r="605" spans="1:19">
      <c r="A605" s="103">
        <v>44159</v>
      </c>
      <c r="B605" s="104">
        <v>3635.4062521562923</v>
      </c>
      <c r="C605" s="4">
        <f t="shared" si="9"/>
        <v>1.6031353472544474E-2</v>
      </c>
      <c r="D605" s="1" t="str">
        <f>IF(COUNTIF(Target1[Target Dates],Benchmark1[[#This Row],[Benchmark '#1 Dates]])=1,"Pass","Fail")</f>
        <v>Pass</v>
      </c>
      <c r="E605" s="6">
        <f>IF(Benchmark1[[#This Row],[Target Date Check]]="Pass",INDEX(Target1[Target Price],MATCH(Benchmark1[[#This Row],[Benchmark '#1 Dates]],Target1[Target Dates],0)),"-")</f>
        <v>22.83</v>
      </c>
      <c r="F605" s="22">
        <f>IF(Benchmark1[[#This Row],[Target Date Check]]="Pass",INDEX(Target1[Target Return],MATCH(Benchmark1[[#This Row],[Benchmark '#1 Dates]],Target1[Target Dates],0)),"-")</f>
        <v>-3.1474898241681842E-2</v>
      </c>
      <c r="G605" s="1">
        <f>IFERROR(IF(Benchmark1[[#This Row],[Target Date Check]]="Pass",Benchmark1[[#This Row],[Target Return]]-Benchmark1[[#This Row],[Benchmark '#1 Return]],"-"),"-")</f>
        <v>-4.7506251714226316E-2</v>
      </c>
      <c r="H605" s="1" t="str">
        <f>IF(COUNTIF(Comp1[Comparable '#1 Dates],Benchmark1[[#This Row],[Benchmark '#1 Dates]])=1,"Pass","Fail")</f>
        <v>Pass</v>
      </c>
      <c r="I605" s="6">
        <f>IF(Benchmark1[[#This Row],[Comparable '#1 Date Check]]="Pass",INDEX(Comp1[Comparable '#1 Price],MATCH(Benchmark1[[#This Row],[Benchmark '#1 Dates]],Comp1[Comparable '#1 Dates],0)),"-")</f>
        <v>14.79</v>
      </c>
      <c r="J605" s="22">
        <f>IF(Benchmark1[[#This Row],[Comparable '#1 Date Check]]="Pass",INDEX(Comp1[Comparable '#1 Return],MATCH(Benchmark1[[#This Row],[Benchmark '#1 Dates]],Comp1[Comparable '#1 Dates],0)),"-")</f>
        <v>4.0005334613698991E-2</v>
      </c>
      <c r="K605" s="1">
        <f>IFERROR(IF(Benchmark1[[#This Row],[Comparable '#1 Date Check]]="Pass",Benchmark1[[#This Row],[Comparable '#1 Return]]-Benchmark1[[#This Row],[Benchmark '#1 Return]],"-"),"-")</f>
        <v>2.3973981141154517E-2</v>
      </c>
      <c r="L605" s="1" t="str">
        <f>IF(COUNTIF(Comp2[Comparable '#2 Dates],Benchmark1[[#This Row],[Benchmark '#1 Dates]])=1,"Pass","Fail")</f>
        <v>Pass</v>
      </c>
      <c r="M605" s="6">
        <f>IF(Benchmark1[[#This Row],[Comparable '#2 Date Check]]="Pass",INDEX(Comp2[Comparable '#2 Price],MATCH(Benchmark1[[#This Row],[Benchmark '#1 Dates]],Comp2[Comparable '#2 Dates],0)),"-")</f>
        <v>29.07</v>
      </c>
      <c r="N605" s="22">
        <f>IF(Benchmark1[[#This Row],[Comparable '#2 Date Check]]="Pass",INDEX(Comp2[Comparable '#2 Return],MATCH(Benchmark1[[#This Row],[Benchmark '#1 Dates]],Comp2[Comparable '#2 Dates],0)),"-")</f>
        <v>2.4374465750024544E-2</v>
      </c>
      <c r="O605" s="1">
        <f>IFERROR(IF(Benchmark1[[#This Row],[Comparable '#2 Date Check]]="Pass",Benchmark1[[#This Row],[Comparable '#2 Return]]-Benchmark1[[#This Row],[Benchmark '#1 Return]],"-"),"-")</f>
        <v>8.3431122774800699E-3</v>
      </c>
      <c r="P605" s="1" t="str">
        <f>IF(COUNTIF(Comp3[Comparable '#3 Dates],Benchmark1[[#This Row],[Benchmark '#1 Dates]])=1,"Pass","Fail")</f>
        <v>Pass</v>
      </c>
      <c r="Q605" s="6">
        <f>IF(Benchmark1[[#This Row],[Comparable '#3 Date Check]]="Pass",INDEX(Comp3[Comparable '#3 Price],MATCH(Benchmark1[[#This Row],[Benchmark '#1 Dates]],Comp3[Comparable '#3 Dates],0)),"-")</f>
        <v>92.66</v>
      </c>
      <c r="R605" s="22">
        <f>IF(Benchmark1[[#This Row],[Comparable '#3 Date Check]]="Pass",INDEX(Comp3[Comparable '#3 Return],MATCH(Benchmark1[[#This Row],[Benchmark '#1 Dates]],Comp3[Comparable '#3 Dates],0)),"-")</f>
        <v>2.7461930339175839E-2</v>
      </c>
      <c r="S605" s="1">
        <f>IFERROR(IF(Benchmark1[[#This Row],[Comparable '#3 Date Check]]="Pass",Benchmark1[[#This Row],[Comparable '#3 Return]]-Benchmark1[[#This Row],[Benchmark '#1 Return]],"-"),"-")</f>
        <v>1.1430576866631365E-2</v>
      </c>
    </row>
    <row r="606" spans="1:19">
      <c r="A606" s="103">
        <v>44160</v>
      </c>
      <c r="B606" s="104">
        <v>3629.6459733612232</v>
      </c>
      <c r="C606" s="4">
        <f t="shared" si="9"/>
        <v>-1.5857504731777144E-3</v>
      </c>
      <c r="D606" s="1" t="str">
        <f>IF(COUNTIF(Target1[Target Dates],Benchmark1[[#This Row],[Benchmark '#1 Dates]])=1,"Pass","Fail")</f>
        <v>Pass</v>
      </c>
      <c r="E606" s="6">
        <f>IF(Benchmark1[[#This Row],[Target Date Check]]="Pass",INDEX(Target1[Target Price],MATCH(Benchmark1[[#This Row],[Benchmark '#1 Dates]],Target1[Target Dates],0)),"-")</f>
        <v>23.03</v>
      </c>
      <c r="F606" s="22">
        <f>IF(Benchmark1[[#This Row],[Target Date Check]]="Pass",INDEX(Target1[Target Return],MATCH(Benchmark1[[#This Row],[Benchmark '#1 Dates]],Target1[Target Dates],0)),"-")</f>
        <v>8.7222532908897404E-3</v>
      </c>
      <c r="G606" s="1">
        <f>IFERROR(IF(Benchmark1[[#This Row],[Target Date Check]]="Pass",Benchmark1[[#This Row],[Target Return]]-Benchmark1[[#This Row],[Benchmark '#1 Return]],"-"),"-")</f>
        <v>1.0308003764067455E-2</v>
      </c>
      <c r="H606" s="1" t="str">
        <f>IF(COUNTIF(Comp1[Comparable '#1 Dates],Benchmark1[[#This Row],[Benchmark '#1 Dates]])=1,"Pass","Fail")</f>
        <v>Pass</v>
      </c>
      <c r="I606" s="6">
        <f>IF(Benchmark1[[#This Row],[Comparable '#1 Date Check]]="Pass",INDEX(Comp1[Comparable '#1 Price],MATCH(Benchmark1[[#This Row],[Benchmark '#1 Dates]],Comp1[Comparable '#1 Dates],0)),"-")</f>
        <v>14.79</v>
      </c>
      <c r="J606" s="22">
        <f>IF(Benchmark1[[#This Row],[Comparable '#1 Date Check]]="Pass",INDEX(Comp1[Comparable '#1 Return],MATCH(Benchmark1[[#This Row],[Benchmark '#1 Dates]],Comp1[Comparable '#1 Dates],0)),"-")</f>
        <v>0</v>
      </c>
      <c r="K606" s="1">
        <f>IFERROR(IF(Benchmark1[[#This Row],[Comparable '#1 Date Check]]="Pass",Benchmark1[[#This Row],[Comparable '#1 Return]]-Benchmark1[[#This Row],[Benchmark '#1 Return]],"-"),"-")</f>
        <v>1.5857504731777144E-3</v>
      </c>
      <c r="L606" s="1" t="str">
        <f>IF(COUNTIF(Comp2[Comparable '#2 Dates],Benchmark1[[#This Row],[Benchmark '#1 Dates]])=1,"Pass","Fail")</f>
        <v>Pass</v>
      </c>
      <c r="M606" s="6">
        <f>IF(Benchmark1[[#This Row],[Comparable '#2 Date Check]]="Pass",INDEX(Comp2[Comparable '#2 Price],MATCH(Benchmark1[[#This Row],[Benchmark '#1 Dates]],Comp2[Comparable '#2 Dates],0)),"-")</f>
        <v>29.26</v>
      </c>
      <c r="N606" s="22">
        <f>IF(Benchmark1[[#This Row],[Comparable '#2 Date Check]]="Pass",INDEX(Comp2[Comparable '#2 Return],MATCH(Benchmark1[[#This Row],[Benchmark '#1 Dates]],Comp2[Comparable '#2 Dates],0)),"-")</f>
        <v>6.5146810211936723E-3</v>
      </c>
      <c r="O606" s="1">
        <f>IFERROR(IF(Benchmark1[[#This Row],[Comparable '#2 Date Check]]="Pass",Benchmark1[[#This Row],[Comparable '#2 Return]]-Benchmark1[[#This Row],[Benchmark '#1 Return]],"-"),"-")</f>
        <v>8.1004314943713858E-3</v>
      </c>
      <c r="P606" s="1" t="str">
        <f>IF(COUNTIF(Comp3[Comparable '#3 Dates],Benchmark1[[#This Row],[Benchmark '#1 Dates]])=1,"Pass","Fail")</f>
        <v>Pass</v>
      </c>
      <c r="Q606" s="6">
        <f>IF(Benchmark1[[#This Row],[Comparable '#3 Date Check]]="Pass",INDEX(Comp3[Comparable '#3 Price],MATCH(Benchmark1[[#This Row],[Benchmark '#1 Dates]],Comp3[Comparable '#3 Dates],0)),"-")</f>
        <v>91.39</v>
      </c>
      <c r="R606" s="22">
        <f>IF(Benchmark1[[#This Row],[Comparable '#3 Date Check]]="Pass",INDEX(Comp3[Comparable '#3 Return],MATCH(Benchmark1[[#This Row],[Benchmark '#1 Dates]],Comp3[Comparable '#3 Dates],0)),"-")</f>
        <v>-1.3800816704392043E-2</v>
      </c>
      <c r="S606" s="1">
        <f>IFERROR(IF(Benchmark1[[#This Row],[Comparable '#3 Date Check]]="Pass",Benchmark1[[#This Row],[Comparable '#3 Return]]-Benchmark1[[#This Row],[Benchmark '#1 Return]],"-"),"-")</f>
        <v>-1.2215066231214329E-2</v>
      </c>
    </row>
    <row r="607" spans="1:19">
      <c r="A607" s="103">
        <v>44162</v>
      </c>
      <c r="B607" s="104">
        <v>3638.3535862507356</v>
      </c>
      <c r="C607" s="4">
        <f t="shared" si="9"/>
        <v>2.3961523344506455E-3</v>
      </c>
      <c r="D607" s="1" t="str">
        <f>IF(COUNTIF(Target1[Target Dates],Benchmark1[[#This Row],[Benchmark '#1 Dates]])=1,"Pass","Fail")</f>
        <v>Pass</v>
      </c>
      <c r="E607" s="6">
        <f>IF(Benchmark1[[#This Row],[Target Date Check]]="Pass",INDEX(Target1[Target Price],MATCH(Benchmark1[[#This Row],[Benchmark '#1 Dates]],Target1[Target Dates],0)),"-")</f>
        <v>23.75</v>
      </c>
      <c r="F607" s="22">
        <f>IF(Benchmark1[[#This Row],[Target Date Check]]="Pass",INDEX(Target1[Target Return],MATCH(Benchmark1[[#This Row],[Benchmark '#1 Dates]],Target1[Target Dates],0)),"-")</f>
        <v>3.0784816648056237E-2</v>
      </c>
      <c r="G607" s="1">
        <f>IFERROR(IF(Benchmark1[[#This Row],[Target Date Check]]="Pass",Benchmark1[[#This Row],[Target Return]]-Benchmark1[[#This Row],[Benchmark '#1 Return]],"-"),"-")</f>
        <v>2.838866431360559E-2</v>
      </c>
      <c r="H607" s="1" t="str">
        <f>IF(COUNTIF(Comp1[Comparable '#1 Dates],Benchmark1[[#This Row],[Benchmark '#1 Dates]])=1,"Pass","Fail")</f>
        <v>Pass</v>
      </c>
      <c r="I607" s="6">
        <f>IF(Benchmark1[[#This Row],[Comparable '#1 Date Check]]="Pass",INDEX(Comp1[Comparable '#1 Price],MATCH(Benchmark1[[#This Row],[Benchmark '#1 Dates]],Comp1[Comparable '#1 Dates],0)),"-")</f>
        <v>14.57</v>
      </c>
      <c r="J607" s="22">
        <f>IF(Benchmark1[[#This Row],[Comparable '#1 Date Check]]="Pass",INDEX(Comp1[Comparable '#1 Return],MATCH(Benchmark1[[#This Row],[Benchmark '#1 Dates]],Comp1[Comparable '#1 Dates],0)),"-")</f>
        <v>-1.4986656515594882E-2</v>
      </c>
      <c r="K607" s="1">
        <f>IFERROR(IF(Benchmark1[[#This Row],[Comparable '#1 Date Check]]="Pass",Benchmark1[[#This Row],[Comparable '#1 Return]]-Benchmark1[[#This Row],[Benchmark '#1 Return]],"-"),"-")</f>
        <v>-1.7382808850045527E-2</v>
      </c>
      <c r="L607" s="1" t="str">
        <f>IF(COUNTIF(Comp2[Comparable '#2 Dates],Benchmark1[[#This Row],[Benchmark '#1 Dates]])=1,"Pass","Fail")</f>
        <v>Pass</v>
      </c>
      <c r="M607" s="6">
        <f>IF(Benchmark1[[#This Row],[Comparable '#2 Date Check]]="Pass",INDEX(Comp2[Comparable '#2 Price],MATCH(Benchmark1[[#This Row],[Benchmark '#1 Dates]],Comp2[Comparable '#2 Dates],0)),"-")</f>
        <v>29.91</v>
      </c>
      <c r="N607" s="22">
        <f>IF(Benchmark1[[#This Row],[Comparable '#2 Date Check]]="Pass",INDEX(Comp2[Comparable '#2 Return],MATCH(Benchmark1[[#This Row],[Benchmark '#1 Dates]],Comp2[Comparable '#2 Dates],0)),"-")</f>
        <v>2.1971477049878275E-2</v>
      </c>
      <c r="O607" s="1">
        <f>IFERROR(IF(Benchmark1[[#This Row],[Comparable '#2 Date Check]]="Pass",Benchmark1[[#This Row],[Comparable '#2 Return]]-Benchmark1[[#This Row],[Benchmark '#1 Return]],"-"),"-")</f>
        <v>1.9575324715427628E-2</v>
      </c>
      <c r="P607" s="1" t="str">
        <f>IF(COUNTIF(Comp3[Comparable '#3 Dates],Benchmark1[[#This Row],[Benchmark '#1 Dates]])=1,"Pass","Fail")</f>
        <v>Pass</v>
      </c>
      <c r="Q607" s="6">
        <f>IF(Benchmark1[[#This Row],[Comparable '#3 Date Check]]="Pass",INDEX(Comp3[Comparable '#3 Price],MATCH(Benchmark1[[#This Row],[Benchmark '#1 Dates]],Comp3[Comparable '#3 Dates],0)),"-")</f>
        <v>93.18</v>
      </c>
      <c r="R607" s="22">
        <f>IF(Benchmark1[[#This Row],[Comparable '#3 Date Check]]="Pass",INDEX(Comp3[Comparable '#3 Return],MATCH(Benchmark1[[#This Row],[Benchmark '#1 Dates]],Comp3[Comparable '#3 Dates],0)),"-")</f>
        <v>1.9397043104540514E-2</v>
      </c>
      <c r="S607" s="1">
        <f>IFERROR(IF(Benchmark1[[#This Row],[Comparable '#3 Date Check]]="Pass",Benchmark1[[#This Row],[Comparable '#3 Return]]-Benchmark1[[#This Row],[Benchmark '#1 Return]],"-"),"-")</f>
        <v>1.7000890770089868E-2</v>
      </c>
    </row>
    <row r="608" spans="1:19">
      <c r="A608" s="103">
        <v>44165</v>
      </c>
      <c r="B608" s="104">
        <v>3621.6334306946542</v>
      </c>
      <c r="C608" s="4">
        <f t="shared" si="9"/>
        <v>-4.6061198398160974E-3</v>
      </c>
      <c r="D608" s="1" t="str">
        <f>IF(COUNTIF(Target1[Target Dates],Benchmark1[[#This Row],[Benchmark '#1 Dates]])=1,"Pass","Fail")</f>
        <v>Pass</v>
      </c>
      <c r="E608" s="6">
        <f>IF(Benchmark1[[#This Row],[Target Date Check]]="Pass",INDEX(Target1[Target Price],MATCH(Benchmark1[[#This Row],[Benchmark '#1 Dates]],Target1[Target Dates],0)),"-")</f>
        <v>23.33</v>
      </c>
      <c r="F608" s="22">
        <f>IF(Benchmark1[[#This Row],[Target Date Check]]="Pass",INDEX(Target1[Target Return],MATCH(Benchmark1[[#This Row],[Benchmark '#1 Dates]],Target1[Target Dates],0)),"-")</f>
        <v>-1.7842444447311683E-2</v>
      </c>
      <c r="G608" s="1">
        <f>IFERROR(IF(Benchmark1[[#This Row],[Target Date Check]]="Pass",Benchmark1[[#This Row],[Target Return]]-Benchmark1[[#This Row],[Benchmark '#1 Return]],"-"),"-")</f>
        <v>-1.3236324607495586E-2</v>
      </c>
      <c r="H608" s="1" t="str">
        <f>IF(COUNTIF(Comp1[Comparable '#1 Dates],Benchmark1[[#This Row],[Benchmark '#1 Dates]])=1,"Pass","Fail")</f>
        <v>Pass</v>
      </c>
      <c r="I608" s="6">
        <f>IF(Benchmark1[[#This Row],[Comparable '#1 Date Check]]="Pass",INDEX(Comp1[Comparable '#1 Price],MATCH(Benchmark1[[#This Row],[Benchmark '#1 Dates]],Comp1[Comparable '#1 Dates],0)),"-")</f>
        <v>14.2</v>
      </c>
      <c r="J608" s="22">
        <f>IF(Benchmark1[[#This Row],[Comparable '#1 Date Check]]="Pass",INDEX(Comp1[Comparable '#1 Return],MATCH(Benchmark1[[#This Row],[Benchmark '#1 Dates]],Comp1[Comparable '#1 Dates],0)),"-")</f>
        <v>-2.572265559989844E-2</v>
      </c>
      <c r="K608" s="1">
        <f>IFERROR(IF(Benchmark1[[#This Row],[Comparable '#1 Date Check]]="Pass",Benchmark1[[#This Row],[Comparable '#1 Return]]-Benchmark1[[#This Row],[Benchmark '#1 Return]],"-"),"-")</f>
        <v>-2.1116535760082343E-2</v>
      </c>
      <c r="L608" s="1" t="str">
        <f>IF(COUNTIF(Comp2[Comparable '#2 Dates],Benchmark1[[#This Row],[Benchmark '#1 Dates]])=1,"Pass","Fail")</f>
        <v>Pass</v>
      </c>
      <c r="M608" s="6">
        <f>IF(Benchmark1[[#This Row],[Comparable '#2 Date Check]]="Pass",INDEX(Comp2[Comparable '#2 Price],MATCH(Benchmark1[[#This Row],[Benchmark '#1 Dates]],Comp2[Comparable '#2 Dates],0)),"-")</f>
        <v>28.63</v>
      </c>
      <c r="N608" s="22">
        <f>IF(Benchmark1[[#This Row],[Comparable '#2 Date Check]]="Pass",INDEX(Comp2[Comparable '#2 Return],MATCH(Benchmark1[[#This Row],[Benchmark '#1 Dates]],Comp2[Comparable '#2 Dates],0)),"-")</f>
        <v>-4.3737753531832964E-2</v>
      </c>
      <c r="O608" s="1">
        <f>IFERROR(IF(Benchmark1[[#This Row],[Comparable '#2 Date Check]]="Pass",Benchmark1[[#This Row],[Comparable '#2 Return]]-Benchmark1[[#This Row],[Benchmark '#1 Return]],"-"),"-")</f>
        <v>-3.9131633692016866E-2</v>
      </c>
      <c r="P608" s="1" t="str">
        <f>IF(COUNTIF(Comp3[Comparable '#3 Dates],Benchmark1[[#This Row],[Benchmark '#1 Dates]])=1,"Pass","Fail")</f>
        <v>Pass</v>
      </c>
      <c r="Q608" s="6">
        <f>IF(Benchmark1[[#This Row],[Comparable '#3 Date Check]]="Pass",INDEX(Comp3[Comparable '#3 Price],MATCH(Benchmark1[[#This Row],[Benchmark '#1 Dates]],Comp3[Comparable '#3 Dates],0)),"-")</f>
        <v>93.89</v>
      </c>
      <c r="R608" s="22">
        <f>IF(Benchmark1[[#This Row],[Comparable '#3 Date Check]]="Pass",INDEX(Comp3[Comparable '#3 Return],MATCH(Benchmark1[[#This Row],[Benchmark '#1 Dates]],Comp3[Comparable '#3 Dates],0)),"-")</f>
        <v>7.5907778818053665E-3</v>
      </c>
      <c r="S608" s="1">
        <f>IFERROR(IF(Benchmark1[[#This Row],[Comparable '#3 Date Check]]="Pass",Benchmark1[[#This Row],[Comparable '#3 Return]]-Benchmark1[[#This Row],[Benchmark '#1 Return]],"-"),"-")</f>
        <v>1.2196897721621464E-2</v>
      </c>
    </row>
    <row r="609" spans="1:19">
      <c r="A609" s="103">
        <v>44166</v>
      </c>
      <c r="B609" s="104">
        <v>3662.4532886343832</v>
      </c>
      <c r="C609" s="4">
        <f t="shared" si="9"/>
        <v>1.1208072289804439E-2</v>
      </c>
      <c r="D609" s="1" t="str">
        <f>IF(COUNTIF(Target1[Target Dates],Benchmark1[[#This Row],[Benchmark '#1 Dates]])=1,"Pass","Fail")</f>
        <v>Pass</v>
      </c>
      <c r="E609" s="6">
        <f>IF(Benchmark1[[#This Row],[Target Date Check]]="Pass",INDEX(Target1[Target Price],MATCH(Benchmark1[[#This Row],[Benchmark '#1 Dates]],Target1[Target Dates],0)),"-")</f>
        <v>23.29</v>
      </c>
      <c r="F609" s="22">
        <f>IF(Benchmark1[[#This Row],[Target Date Check]]="Pass",INDEX(Target1[Target Return],MATCH(Benchmark1[[#This Row],[Benchmark '#1 Dates]],Target1[Target Dates],0)),"-")</f>
        <v>-1.7160021370889111E-3</v>
      </c>
      <c r="G609" s="1">
        <f>IFERROR(IF(Benchmark1[[#This Row],[Target Date Check]]="Pass",Benchmark1[[#This Row],[Target Return]]-Benchmark1[[#This Row],[Benchmark '#1 Return]],"-"),"-")</f>
        <v>-1.2924074426893349E-2</v>
      </c>
      <c r="H609" s="1" t="str">
        <f>IF(COUNTIF(Comp1[Comparable '#1 Dates],Benchmark1[[#This Row],[Benchmark '#1 Dates]])=1,"Pass","Fail")</f>
        <v>Pass</v>
      </c>
      <c r="I609" s="6">
        <f>IF(Benchmark1[[#This Row],[Comparable '#1 Date Check]]="Pass",INDEX(Comp1[Comparable '#1 Price],MATCH(Benchmark1[[#This Row],[Benchmark '#1 Dates]],Comp1[Comparable '#1 Dates],0)),"-")</f>
        <v>14.45</v>
      </c>
      <c r="J609" s="22">
        <f>IF(Benchmark1[[#This Row],[Comparable '#1 Date Check]]="Pass",INDEX(Comp1[Comparable '#1 Return],MATCH(Benchmark1[[#This Row],[Benchmark '#1 Dates]],Comp1[Comparable '#1 Dates],0)),"-")</f>
        <v>1.7452449951226207E-2</v>
      </c>
      <c r="K609" s="1">
        <f>IFERROR(IF(Benchmark1[[#This Row],[Comparable '#1 Date Check]]="Pass",Benchmark1[[#This Row],[Comparable '#1 Return]]-Benchmark1[[#This Row],[Benchmark '#1 Return]],"-"),"-")</f>
        <v>6.2443776614217687E-3</v>
      </c>
      <c r="L609" s="1" t="str">
        <f>IF(COUNTIF(Comp2[Comparable '#2 Dates],Benchmark1[[#This Row],[Benchmark '#1 Dates]])=1,"Pass","Fail")</f>
        <v>Pass</v>
      </c>
      <c r="M609" s="6">
        <f>IF(Benchmark1[[#This Row],[Comparable '#2 Date Check]]="Pass",INDEX(Comp2[Comparable '#2 Price],MATCH(Benchmark1[[#This Row],[Benchmark '#1 Dates]],Comp2[Comparable '#2 Dates],0)),"-")</f>
        <v>28.64</v>
      </c>
      <c r="N609" s="22">
        <f>IF(Benchmark1[[#This Row],[Comparable '#2 Date Check]]="Pass",INDEX(Comp2[Comparable '#2 Return],MATCH(Benchmark1[[#This Row],[Benchmark '#1 Dates]],Comp2[Comparable '#2 Dates],0)),"-")</f>
        <v>3.4922298242112915E-4</v>
      </c>
      <c r="O609" s="1">
        <f>IFERROR(IF(Benchmark1[[#This Row],[Comparable '#2 Date Check]]="Pass",Benchmark1[[#This Row],[Comparable '#2 Return]]-Benchmark1[[#This Row],[Benchmark '#1 Return]],"-"),"-")</f>
        <v>-1.085884930738331E-2</v>
      </c>
      <c r="P609" s="1" t="str">
        <f>IF(COUNTIF(Comp3[Comparable '#3 Dates],Benchmark1[[#This Row],[Benchmark '#1 Dates]])=1,"Pass","Fail")</f>
        <v>Pass</v>
      </c>
      <c r="Q609" s="6">
        <f>IF(Benchmark1[[#This Row],[Comparable '#3 Date Check]]="Pass",INDEX(Comp3[Comparable '#3 Price],MATCH(Benchmark1[[#This Row],[Benchmark '#1 Dates]],Comp3[Comparable '#3 Dates],0)),"-")</f>
        <v>94.25</v>
      </c>
      <c r="R609" s="22">
        <f>IF(Benchmark1[[#This Row],[Comparable '#3 Date Check]]="Pass",INDEX(Comp3[Comparable '#3 Return],MATCH(Benchmark1[[#This Row],[Benchmark '#1 Dates]],Comp3[Comparable '#3 Dates],0)),"-")</f>
        <v>3.8269420576639611E-3</v>
      </c>
      <c r="S609" s="1">
        <f>IFERROR(IF(Benchmark1[[#This Row],[Comparable '#3 Date Check]]="Pass",Benchmark1[[#This Row],[Comparable '#3 Return]]-Benchmark1[[#This Row],[Benchmark '#1 Return]],"-"),"-")</f>
        <v>-7.3811302321404775E-3</v>
      </c>
    </row>
    <row r="610" spans="1:19">
      <c r="A610" s="103">
        <v>44167</v>
      </c>
      <c r="B610" s="104">
        <v>3669.0056261361001</v>
      </c>
      <c r="C610" s="4">
        <f t="shared" si="9"/>
        <v>1.7874584915371782E-3</v>
      </c>
      <c r="D610" s="1" t="str">
        <f>IF(COUNTIF(Target1[Target Dates],Benchmark1[[#This Row],[Benchmark '#1 Dates]])=1,"Pass","Fail")</f>
        <v>Pass</v>
      </c>
      <c r="E610" s="6">
        <f>IF(Benchmark1[[#This Row],[Target Date Check]]="Pass",INDEX(Target1[Target Price],MATCH(Benchmark1[[#This Row],[Benchmark '#1 Dates]],Target1[Target Dates],0)),"-")</f>
        <v>22.23</v>
      </c>
      <c r="F610" s="22">
        <f>IF(Benchmark1[[#This Row],[Target Date Check]]="Pass",INDEX(Target1[Target Return],MATCH(Benchmark1[[#This Row],[Benchmark '#1 Dates]],Target1[Target Dates],0)),"-")</f>
        <v>-4.6581355920144368E-2</v>
      </c>
      <c r="G610" s="1">
        <f>IFERROR(IF(Benchmark1[[#This Row],[Target Date Check]]="Pass",Benchmark1[[#This Row],[Target Return]]-Benchmark1[[#This Row],[Benchmark '#1 Return]],"-"),"-")</f>
        <v>-4.8368814411681546E-2</v>
      </c>
      <c r="H610" s="1" t="str">
        <f>IF(COUNTIF(Comp1[Comparable '#1 Dates],Benchmark1[[#This Row],[Benchmark '#1 Dates]])=1,"Pass","Fail")</f>
        <v>Pass</v>
      </c>
      <c r="I610" s="6">
        <f>IF(Benchmark1[[#This Row],[Comparable '#1 Date Check]]="Pass",INDEX(Comp1[Comparable '#1 Price],MATCH(Benchmark1[[#This Row],[Benchmark '#1 Dates]],Comp1[Comparable '#1 Dates],0)),"-")</f>
        <v>14.43</v>
      </c>
      <c r="J610" s="22">
        <f>IF(Benchmark1[[#This Row],[Comparable '#1 Date Check]]="Pass",INDEX(Comp1[Comparable '#1 Return],MATCH(Benchmark1[[#This Row],[Benchmark '#1 Dates]],Comp1[Comparable '#1 Dates],0)),"-")</f>
        <v>-1.3850417726616845E-3</v>
      </c>
      <c r="K610" s="1">
        <f>IFERROR(IF(Benchmark1[[#This Row],[Comparable '#1 Date Check]]="Pass",Benchmark1[[#This Row],[Comparable '#1 Return]]-Benchmark1[[#This Row],[Benchmark '#1 Return]],"-"),"-")</f>
        <v>-3.1725002641988624E-3</v>
      </c>
      <c r="L610" s="1" t="str">
        <f>IF(COUNTIF(Comp2[Comparable '#2 Dates],Benchmark1[[#This Row],[Benchmark '#1 Dates]])=1,"Pass","Fail")</f>
        <v>Pass</v>
      </c>
      <c r="M610" s="6">
        <f>IF(Benchmark1[[#This Row],[Comparable '#2 Date Check]]="Pass",INDEX(Comp2[Comparable '#2 Price],MATCH(Benchmark1[[#This Row],[Benchmark '#1 Dates]],Comp2[Comparable '#2 Dates],0)),"-")</f>
        <v>28.61</v>
      </c>
      <c r="N610" s="22">
        <f>IF(Benchmark1[[#This Row],[Comparable '#2 Date Check]]="Pass",INDEX(Comp2[Comparable '#2 Return],MATCH(Benchmark1[[#This Row],[Benchmark '#1 Dates]],Comp2[Comparable '#2 Dates],0)),"-")</f>
        <v>-1.0480350304259835E-3</v>
      </c>
      <c r="O610" s="1">
        <f>IFERROR(IF(Benchmark1[[#This Row],[Comparable '#2 Date Check]]="Pass",Benchmark1[[#This Row],[Comparable '#2 Return]]-Benchmark1[[#This Row],[Benchmark '#1 Return]],"-"),"-")</f>
        <v>-2.8354935219631616E-3</v>
      </c>
      <c r="P610" s="1" t="str">
        <f>IF(COUNTIF(Comp3[Comparable '#3 Dates],Benchmark1[[#This Row],[Benchmark '#1 Dates]])=1,"Pass","Fail")</f>
        <v>Pass</v>
      </c>
      <c r="Q610" s="6">
        <f>IF(Benchmark1[[#This Row],[Comparable '#3 Date Check]]="Pass",INDEX(Comp3[Comparable '#3 Price],MATCH(Benchmark1[[#This Row],[Benchmark '#1 Dates]],Comp3[Comparable '#3 Dates],0)),"-")</f>
        <v>90.665000000000006</v>
      </c>
      <c r="R610" s="22">
        <f>IF(Benchmark1[[#This Row],[Comparable '#3 Date Check]]="Pass",INDEX(Comp3[Comparable '#3 Return],MATCH(Benchmark1[[#This Row],[Benchmark '#1 Dates]],Comp3[Comparable '#3 Dates],0)),"-")</f>
        <v>-3.8779431222131108E-2</v>
      </c>
      <c r="S610" s="1">
        <f>IFERROR(IF(Benchmark1[[#This Row],[Comparable '#3 Date Check]]="Pass",Benchmark1[[#This Row],[Comparable '#3 Return]]-Benchmark1[[#This Row],[Benchmark '#1 Return]],"-"),"-")</f>
        <v>-4.0566889713668286E-2</v>
      </c>
    </row>
    <row r="611" spans="1:19">
      <c r="A611" s="103">
        <v>44168</v>
      </c>
      <c r="B611" s="104">
        <v>3666.7160712127429</v>
      </c>
      <c r="C611" s="4">
        <f t="shared" si="9"/>
        <v>-6.2422079030849138E-4</v>
      </c>
      <c r="D611" s="1" t="str">
        <f>IF(COUNTIF(Target1[Target Dates],Benchmark1[[#This Row],[Benchmark '#1 Dates]])=1,"Pass","Fail")</f>
        <v>Pass</v>
      </c>
      <c r="E611" s="6">
        <f>IF(Benchmark1[[#This Row],[Target Date Check]]="Pass",INDEX(Target1[Target Price],MATCH(Benchmark1[[#This Row],[Benchmark '#1 Dates]],Target1[Target Dates],0)),"-")</f>
        <v>21.98</v>
      </c>
      <c r="F611" s="22">
        <f>IF(Benchmark1[[#This Row],[Target Date Check]]="Pass",INDEX(Target1[Target Return],MATCH(Benchmark1[[#This Row],[Benchmark '#1 Dates]],Target1[Target Dates],0)),"-")</f>
        <v>-1.1309779000629901E-2</v>
      </c>
      <c r="G611" s="1">
        <f>IFERROR(IF(Benchmark1[[#This Row],[Target Date Check]]="Pass",Benchmark1[[#This Row],[Target Return]]-Benchmark1[[#This Row],[Benchmark '#1 Return]],"-"),"-")</f>
        <v>-1.0685558210321411E-2</v>
      </c>
      <c r="H611" s="1" t="str">
        <f>IF(COUNTIF(Comp1[Comparable '#1 Dates],Benchmark1[[#This Row],[Benchmark '#1 Dates]])=1,"Pass","Fail")</f>
        <v>Pass</v>
      </c>
      <c r="I611" s="6">
        <f>IF(Benchmark1[[#This Row],[Comparable '#1 Date Check]]="Pass",INDEX(Comp1[Comparable '#1 Price],MATCH(Benchmark1[[#This Row],[Benchmark '#1 Dates]],Comp1[Comparable '#1 Dates],0)),"-")</f>
        <v>14.525</v>
      </c>
      <c r="J611" s="22">
        <f>IF(Benchmark1[[#This Row],[Comparable '#1 Date Check]]="Pass",INDEX(Comp1[Comparable '#1 Return],MATCH(Benchmark1[[#This Row],[Benchmark '#1 Dates]],Comp1[Comparable '#1 Dates],0)),"-")</f>
        <v>6.5619299521955422E-3</v>
      </c>
      <c r="K611" s="1">
        <f>IFERROR(IF(Benchmark1[[#This Row],[Comparable '#1 Date Check]]="Pass",Benchmark1[[#This Row],[Comparable '#1 Return]]-Benchmark1[[#This Row],[Benchmark '#1 Return]],"-"),"-")</f>
        <v>7.1861507425040336E-3</v>
      </c>
      <c r="L611" s="1" t="str">
        <f>IF(COUNTIF(Comp2[Comparable '#2 Dates],Benchmark1[[#This Row],[Benchmark '#1 Dates]])=1,"Pass","Fail")</f>
        <v>Pass</v>
      </c>
      <c r="M611" s="6">
        <f>IF(Benchmark1[[#This Row],[Comparable '#2 Date Check]]="Pass",INDEX(Comp2[Comparable '#2 Price],MATCH(Benchmark1[[#This Row],[Benchmark '#1 Dates]],Comp2[Comparable '#2 Dates],0)),"-")</f>
        <v>28.93</v>
      </c>
      <c r="N611" s="22">
        <f>IF(Benchmark1[[#This Row],[Comparable '#2 Date Check]]="Pass",INDEX(Comp2[Comparable '#2 Return],MATCH(Benchmark1[[#This Row],[Benchmark '#1 Dates]],Comp2[Comparable '#2 Dates],0)),"-")</f>
        <v>1.1122811926024939E-2</v>
      </c>
      <c r="O611" s="1">
        <f>IFERROR(IF(Benchmark1[[#This Row],[Comparable '#2 Date Check]]="Pass",Benchmark1[[#This Row],[Comparable '#2 Return]]-Benchmark1[[#This Row],[Benchmark '#1 Return]],"-"),"-")</f>
        <v>1.1747032716333431E-2</v>
      </c>
      <c r="P611" s="1" t="str">
        <f>IF(COUNTIF(Comp3[Comparable '#3 Dates],Benchmark1[[#This Row],[Benchmark '#1 Dates]])=1,"Pass","Fail")</f>
        <v>Pass</v>
      </c>
      <c r="Q611" s="6">
        <f>IF(Benchmark1[[#This Row],[Comparable '#3 Date Check]]="Pass",INDEX(Comp3[Comparable '#3 Price],MATCH(Benchmark1[[#This Row],[Benchmark '#1 Dates]],Comp3[Comparable '#3 Dates],0)),"-")</f>
        <v>93.17</v>
      </c>
      <c r="R611" s="22">
        <f>IF(Benchmark1[[#This Row],[Comparable '#3 Date Check]]="Pass",INDEX(Comp3[Comparable '#3 Return],MATCH(Benchmark1[[#This Row],[Benchmark '#1 Dates]],Comp3[Comparable '#3 Dates],0)),"-")</f>
        <v>2.7254386356344522E-2</v>
      </c>
      <c r="S611" s="1">
        <f>IFERROR(IF(Benchmark1[[#This Row],[Comparable '#3 Date Check]]="Pass",Benchmark1[[#This Row],[Comparable '#3 Return]]-Benchmark1[[#This Row],[Benchmark '#1 Return]],"-"),"-")</f>
        <v>2.7878607146653012E-2</v>
      </c>
    </row>
    <row r="612" spans="1:19">
      <c r="A612" s="103">
        <v>44169</v>
      </c>
      <c r="B612" s="104">
        <v>3699.1213823136445</v>
      </c>
      <c r="C612" s="4">
        <f t="shared" si="9"/>
        <v>8.7988692049269148E-3</v>
      </c>
      <c r="D612" s="1" t="str">
        <f>IF(COUNTIF(Target1[Target Dates],Benchmark1[[#This Row],[Benchmark '#1 Dates]])=1,"Pass","Fail")</f>
        <v>Pass</v>
      </c>
      <c r="E612" s="6">
        <f>IF(Benchmark1[[#This Row],[Target Date Check]]="Pass",INDEX(Target1[Target Price],MATCH(Benchmark1[[#This Row],[Benchmark '#1 Dates]],Target1[Target Dates],0)),"-")</f>
        <v>22.33</v>
      </c>
      <c r="F612" s="22">
        <f>IF(Benchmark1[[#This Row],[Target Date Check]]="Pass",INDEX(Target1[Target Return],MATCH(Benchmark1[[#This Row],[Benchmark '#1 Dates]],Target1[Target Dates],0)),"-")</f>
        <v>1.5798116876591092E-2</v>
      </c>
      <c r="G612" s="1">
        <f>IFERROR(IF(Benchmark1[[#This Row],[Target Date Check]]="Pass",Benchmark1[[#This Row],[Target Return]]-Benchmark1[[#This Row],[Benchmark '#1 Return]],"-"),"-")</f>
        <v>6.9992476716641775E-3</v>
      </c>
      <c r="H612" s="1" t="str">
        <f>IF(COUNTIF(Comp1[Comparable '#1 Dates],Benchmark1[[#This Row],[Benchmark '#1 Dates]])=1,"Pass","Fail")</f>
        <v>Pass</v>
      </c>
      <c r="I612" s="6">
        <f>IF(Benchmark1[[#This Row],[Comparable '#1 Date Check]]="Pass",INDEX(Comp1[Comparable '#1 Price],MATCH(Benchmark1[[#This Row],[Benchmark '#1 Dates]],Comp1[Comparable '#1 Dates],0)),"-")</f>
        <v>14.64</v>
      </c>
      <c r="J612" s="22">
        <f>IF(Benchmark1[[#This Row],[Comparable '#1 Date Check]]="Pass",INDEX(Comp1[Comparable '#1 Return],MATCH(Benchmark1[[#This Row],[Benchmark '#1 Dates]],Comp1[Comparable '#1 Dates],0)),"-")</f>
        <v>7.8862057951905647E-3</v>
      </c>
      <c r="K612" s="1">
        <f>IFERROR(IF(Benchmark1[[#This Row],[Comparable '#1 Date Check]]="Pass",Benchmark1[[#This Row],[Comparable '#1 Return]]-Benchmark1[[#This Row],[Benchmark '#1 Return]],"-"),"-")</f>
        <v>-9.1266340973635007E-4</v>
      </c>
      <c r="L612" s="1" t="str">
        <f>IF(COUNTIF(Comp2[Comparable '#2 Dates],Benchmark1[[#This Row],[Benchmark '#1 Dates]])=1,"Pass","Fail")</f>
        <v>Pass</v>
      </c>
      <c r="M612" s="6">
        <f>IF(Benchmark1[[#This Row],[Comparable '#2 Date Check]]="Pass",INDEX(Comp2[Comparable '#2 Price],MATCH(Benchmark1[[#This Row],[Benchmark '#1 Dates]],Comp2[Comparable '#2 Dates],0)),"-")</f>
        <v>29.26</v>
      </c>
      <c r="N612" s="22">
        <f>IF(Benchmark1[[#This Row],[Comparable '#2 Date Check]]="Pass",INDEX(Comp2[Comparable '#2 Return],MATCH(Benchmark1[[#This Row],[Benchmark '#1 Dates]],Comp2[Comparable '#2 Dates],0)),"-")</f>
        <v>1.134227660393451E-2</v>
      </c>
      <c r="O612" s="1">
        <f>IFERROR(IF(Benchmark1[[#This Row],[Comparable '#2 Date Check]]="Pass",Benchmark1[[#This Row],[Comparable '#2 Return]]-Benchmark1[[#This Row],[Benchmark '#1 Return]],"-"),"-")</f>
        <v>2.5434073990075953E-3</v>
      </c>
      <c r="P612" s="1" t="str">
        <f>IF(COUNTIF(Comp3[Comparable '#3 Dates],Benchmark1[[#This Row],[Benchmark '#1 Dates]])=1,"Pass","Fail")</f>
        <v>Pass</v>
      </c>
      <c r="Q612" s="6">
        <f>IF(Benchmark1[[#This Row],[Comparable '#3 Date Check]]="Pass",INDEX(Comp3[Comparable '#3 Price],MATCH(Benchmark1[[#This Row],[Benchmark '#1 Dates]],Comp3[Comparable '#3 Dates],0)),"-")</f>
        <v>93.2</v>
      </c>
      <c r="R612" s="22">
        <f>IF(Benchmark1[[#This Row],[Comparable '#3 Date Check]]="Pass",INDEX(Comp3[Comparable '#3 Return],MATCH(Benchmark1[[#This Row],[Benchmark '#1 Dates]],Comp3[Comparable '#3 Dates],0)),"-")</f>
        <v>3.2194022921193556E-4</v>
      </c>
      <c r="S612" s="1">
        <f>IFERROR(IF(Benchmark1[[#This Row],[Comparable '#3 Date Check]]="Pass",Benchmark1[[#This Row],[Comparable '#3 Return]]-Benchmark1[[#This Row],[Benchmark '#1 Return]],"-"),"-")</f>
        <v>-8.4769289757149792E-3</v>
      </c>
    </row>
    <row r="613" spans="1:19">
      <c r="A613" s="103">
        <v>44172</v>
      </c>
      <c r="B613" s="104">
        <v>3691.9634980540286</v>
      </c>
      <c r="C613" s="4">
        <f t="shared" si="9"/>
        <v>-1.936897387392993E-3</v>
      </c>
      <c r="D613" s="1" t="str">
        <f>IF(COUNTIF(Target1[Target Dates],Benchmark1[[#This Row],[Benchmark '#1 Dates]])=1,"Pass","Fail")</f>
        <v>Pass</v>
      </c>
      <c r="E613" s="6">
        <f>IF(Benchmark1[[#This Row],[Target Date Check]]="Pass",INDEX(Target1[Target Price],MATCH(Benchmark1[[#This Row],[Benchmark '#1 Dates]],Target1[Target Dates],0)),"-")</f>
        <v>22.14</v>
      </c>
      <c r="F613" s="22">
        <f>IF(Benchmark1[[#This Row],[Target Date Check]]="Pass",INDEX(Target1[Target Return],MATCH(Benchmark1[[#This Row],[Benchmark '#1 Dates]],Target1[Target Dates],0)),"-")</f>
        <v>-8.5451385715756382E-3</v>
      </c>
      <c r="G613" s="1">
        <f>IFERROR(IF(Benchmark1[[#This Row],[Target Date Check]]="Pass",Benchmark1[[#This Row],[Target Return]]-Benchmark1[[#This Row],[Benchmark '#1 Return]],"-"),"-")</f>
        <v>-6.6082411841826456E-3</v>
      </c>
      <c r="H613" s="1" t="str">
        <f>IF(COUNTIF(Comp1[Comparable '#1 Dates],Benchmark1[[#This Row],[Benchmark '#1 Dates]])=1,"Pass","Fail")</f>
        <v>Pass</v>
      </c>
      <c r="I613" s="6">
        <f>IF(Benchmark1[[#This Row],[Comparable '#1 Date Check]]="Pass",INDEX(Comp1[Comparable '#1 Price],MATCH(Benchmark1[[#This Row],[Benchmark '#1 Dates]],Comp1[Comparable '#1 Dates],0)),"-")</f>
        <v>14.56</v>
      </c>
      <c r="J613" s="22">
        <f>IF(Benchmark1[[#This Row],[Comparable '#1 Date Check]]="Pass",INDEX(Comp1[Comparable '#1 Return],MATCH(Benchmark1[[#This Row],[Benchmark '#1 Dates]],Comp1[Comparable '#1 Dates],0)),"-")</f>
        <v>-5.4794657646255957E-3</v>
      </c>
      <c r="K613" s="1">
        <f>IFERROR(IF(Benchmark1[[#This Row],[Comparable '#1 Date Check]]="Pass",Benchmark1[[#This Row],[Comparable '#1 Return]]-Benchmark1[[#This Row],[Benchmark '#1 Return]],"-"),"-")</f>
        <v>-3.5425683772326026E-3</v>
      </c>
      <c r="L613" s="1" t="str">
        <f>IF(COUNTIF(Comp2[Comparable '#2 Dates],Benchmark1[[#This Row],[Benchmark '#1 Dates]])=1,"Pass","Fail")</f>
        <v>Pass</v>
      </c>
      <c r="M613" s="6">
        <f>IF(Benchmark1[[#This Row],[Comparable '#2 Date Check]]="Pass",INDEX(Comp2[Comparable '#2 Price],MATCH(Benchmark1[[#This Row],[Benchmark '#1 Dates]],Comp2[Comparable '#2 Dates],0)),"-")</f>
        <v>29.22</v>
      </c>
      <c r="N613" s="22">
        <f>IF(Benchmark1[[#This Row],[Comparable '#2 Date Check]]="Pass",INDEX(Comp2[Comparable '#2 Return],MATCH(Benchmark1[[#This Row],[Benchmark '#1 Dates]],Comp2[Comparable '#2 Dates],0)),"-")</f>
        <v>-1.3679892694248978E-3</v>
      </c>
      <c r="O613" s="1">
        <f>IFERROR(IF(Benchmark1[[#This Row],[Comparable '#2 Date Check]]="Pass",Benchmark1[[#This Row],[Comparable '#2 Return]]-Benchmark1[[#This Row],[Benchmark '#1 Return]],"-"),"-")</f>
        <v>5.6890811796809528E-4</v>
      </c>
      <c r="P613" s="1" t="str">
        <f>IF(COUNTIF(Comp3[Comparable '#3 Dates],Benchmark1[[#This Row],[Benchmark '#1 Dates]])=1,"Pass","Fail")</f>
        <v>Pass</v>
      </c>
      <c r="Q613" s="6">
        <f>IF(Benchmark1[[#This Row],[Comparable '#3 Date Check]]="Pass",INDEX(Comp3[Comparable '#3 Price],MATCH(Benchmark1[[#This Row],[Benchmark '#1 Dates]],Comp3[Comparable '#3 Dates],0)),"-")</f>
        <v>93.18</v>
      </c>
      <c r="R613" s="22">
        <f>IF(Benchmark1[[#This Row],[Comparable '#3 Date Check]]="Pass",INDEX(Comp3[Comparable '#3 Return],MATCH(Benchmark1[[#This Row],[Benchmark '#1 Dates]],Comp3[Comparable '#3 Dates],0)),"-")</f>
        <v>-2.1461530289470227E-4</v>
      </c>
      <c r="S613" s="1">
        <f>IFERROR(IF(Benchmark1[[#This Row],[Comparable '#3 Date Check]]="Pass",Benchmark1[[#This Row],[Comparable '#3 Return]]-Benchmark1[[#This Row],[Benchmark '#1 Return]],"-"),"-")</f>
        <v>1.7222820844982909E-3</v>
      </c>
    </row>
    <row r="614" spans="1:19">
      <c r="A614" s="103">
        <v>44173</v>
      </c>
      <c r="B614" s="104">
        <v>3702.2479874820415</v>
      </c>
      <c r="C614" s="4">
        <f t="shared" si="9"/>
        <v>2.7817695179852466E-3</v>
      </c>
      <c r="D614" s="1" t="str">
        <f>IF(COUNTIF(Target1[Target Dates],Benchmark1[[#This Row],[Benchmark '#1 Dates]])=1,"Pass","Fail")</f>
        <v>Pass</v>
      </c>
      <c r="E614" s="6">
        <f>IF(Benchmark1[[#This Row],[Target Date Check]]="Pass",INDEX(Target1[Target Price],MATCH(Benchmark1[[#This Row],[Benchmark '#1 Dates]],Target1[Target Dates],0)),"-")</f>
        <v>22.12</v>
      </c>
      <c r="F614" s="22">
        <f>IF(Benchmark1[[#This Row],[Target Date Check]]="Pass",INDEX(Target1[Target Return],MATCH(Benchmark1[[#This Row],[Benchmark '#1 Dates]],Target1[Target Dates],0)),"-")</f>
        <v>-9.0375062635670016E-4</v>
      </c>
      <c r="G614" s="1">
        <f>IFERROR(IF(Benchmark1[[#This Row],[Target Date Check]]="Pass",Benchmark1[[#This Row],[Target Return]]-Benchmark1[[#This Row],[Benchmark '#1 Return]],"-"),"-")</f>
        <v>-3.6855201443419467E-3</v>
      </c>
      <c r="H614" s="1" t="str">
        <f>IF(COUNTIF(Comp1[Comparable '#1 Dates],Benchmark1[[#This Row],[Benchmark '#1 Dates]])=1,"Pass","Fail")</f>
        <v>Pass</v>
      </c>
      <c r="I614" s="6">
        <f>IF(Benchmark1[[#This Row],[Comparable '#1 Date Check]]="Pass",INDEX(Comp1[Comparable '#1 Price],MATCH(Benchmark1[[#This Row],[Benchmark '#1 Dates]],Comp1[Comparable '#1 Dates],0)),"-")</f>
        <v>14.66</v>
      </c>
      <c r="J614" s="22">
        <f>IF(Benchmark1[[#This Row],[Comparable '#1 Date Check]]="Pass",INDEX(Comp1[Comparable '#1 Return],MATCH(Benchmark1[[#This Row],[Benchmark '#1 Dates]],Comp1[Comparable '#1 Dates],0)),"-")</f>
        <v>6.8446536899654988E-3</v>
      </c>
      <c r="K614" s="1">
        <f>IFERROR(IF(Benchmark1[[#This Row],[Comparable '#1 Date Check]]="Pass",Benchmark1[[#This Row],[Comparable '#1 Return]]-Benchmark1[[#This Row],[Benchmark '#1 Return]],"-"),"-")</f>
        <v>4.0628841719802522E-3</v>
      </c>
      <c r="L614" s="1" t="str">
        <f>IF(COUNTIF(Comp2[Comparable '#2 Dates],Benchmark1[[#This Row],[Benchmark '#1 Dates]])=1,"Pass","Fail")</f>
        <v>Pass</v>
      </c>
      <c r="M614" s="6">
        <f>IF(Benchmark1[[#This Row],[Comparable '#2 Date Check]]="Pass",INDEX(Comp2[Comparable '#2 Price],MATCH(Benchmark1[[#This Row],[Benchmark '#1 Dates]],Comp2[Comparable '#2 Dates],0)),"-")</f>
        <v>30.3</v>
      </c>
      <c r="N614" s="22">
        <f>IF(Benchmark1[[#This Row],[Comparable '#2 Date Check]]="Pass",INDEX(Comp2[Comparable '#2 Return],MATCH(Benchmark1[[#This Row],[Benchmark '#1 Dates]],Comp2[Comparable '#2 Dates],0)),"-")</f>
        <v>3.6294306192770028E-2</v>
      </c>
      <c r="O614" s="1">
        <f>IFERROR(IF(Benchmark1[[#This Row],[Comparable '#2 Date Check]]="Pass",Benchmark1[[#This Row],[Comparable '#2 Return]]-Benchmark1[[#This Row],[Benchmark '#1 Return]],"-"),"-")</f>
        <v>3.3512536674784779E-2</v>
      </c>
      <c r="P614" s="1" t="str">
        <f>IF(COUNTIF(Comp3[Comparable '#3 Dates],Benchmark1[[#This Row],[Benchmark '#1 Dates]])=1,"Pass","Fail")</f>
        <v>Pass</v>
      </c>
      <c r="Q614" s="6">
        <f>IF(Benchmark1[[#This Row],[Comparable '#3 Date Check]]="Pass",INDEX(Comp3[Comparable '#3 Price],MATCH(Benchmark1[[#This Row],[Benchmark '#1 Dates]],Comp3[Comparable '#3 Dates],0)),"-")</f>
        <v>93.3</v>
      </c>
      <c r="R614" s="22">
        <f>IF(Benchmark1[[#This Row],[Comparable '#3 Date Check]]="Pass",INDEX(Comp3[Comparable '#3 Return],MATCH(Benchmark1[[#This Row],[Benchmark '#1 Dates]],Comp3[Comparable '#3 Dates],0)),"-")</f>
        <v>1.2870014646472398E-3</v>
      </c>
      <c r="S614" s="1">
        <f>IFERROR(IF(Benchmark1[[#This Row],[Comparable '#3 Date Check]]="Pass",Benchmark1[[#This Row],[Comparable '#3 Return]]-Benchmark1[[#This Row],[Benchmark '#1 Return]],"-"),"-")</f>
        <v>-1.4947680533380068E-3</v>
      </c>
    </row>
    <row r="615" spans="1:19">
      <c r="A615" s="103">
        <v>44174</v>
      </c>
      <c r="B615" s="104">
        <v>3672.8197075902704</v>
      </c>
      <c r="C615" s="4">
        <f t="shared" si="9"/>
        <v>-7.9805195818494611E-3</v>
      </c>
      <c r="D615" s="1" t="str">
        <f>IF(COUNTIF(Target1[Target Dates],Benchmark1[[#This Row],[Benchmark '#1 Dates]])=1,"Pass","Fail")</f>
        <v>Pass</v>
      </c>
      <c r="E615" s="6">
        <f>IF(Benchmark1[[#This Row],[Target Date Check]]="Pass",INDEX(Target1[Target Price],MATCH(Benchmark1[[#This Row],[Benchmark '#1 Dates]],Target1[Target Dates],0)),"-")</f>
        <v>21.99</v>
      </c>
      <c r="F615" s="22">
        <f>IF(Benchmark1[[#This Row],[Target Date Check]]="Pass",INDEX(Target1[Target Return],MATCH(Benchmark1[[#This Row],[Benchmark '#1 Dates]],Target1[Target Dates],0)),"-")</f>
        <v>-5.8943720874643137E-3</v>
      </c>
      <c r="G615" s="1">
        <f>IFERROR(IF(Benchmark1[[#This Row],[Target Date Check]]="Pass",Benchmark1[[#This Row],[Target Return]]-Benchmark1[[#This Row],[Benchmark '#1 Return]],"-"),"-")</f>
        <v>2.0861474943851474E-3</v>
      </c>
      <c r="H615" s="1" t="str">
        <f>IF(COUNTIF(Comp1[Comparable '#1 Dates],Benchmark1[[#This Row],[Benchmark '#1 Dates]])=1,"Pass","Fail")</f>
        <v>Pass</v>
      </c>
      <c r="I615" s="6">
        <f>IF(Benchmark1[[#This Row],[Comparable '#1 Date Check]]="Pass",INDEX(Comp1[Comparable '#1 Price],MATCH(Benchmark1[[#This Row],[Benchmark '#1 Dates]],Comp1[Comparable '#1 Dates],0)),"-")</f>
        <v>14.74</v>
      </c>
      <c r="J615" s="22">
        <f>IF(Benchmark1[[#This Row],[Comparable '#1 Date Check]]="Pass",INDEX(Comp1[Comparable '#1 Return],MATCH(Benchmark1[[#This Row],[Benchmark '#1 Dates]],Comp1[Comparable '#1 Dates],0)),"-")</f>
        <v>5.4421903026850363E-3</v>
      </c>
      <c r="K615" s="1">
        <f>IFERROR(IF(Benchmark1[[#This Row],[Comparable '#1 Date Check]]="Pass",Benchmark1[[#This Row],[Comparable '#1 Return]]-Benchmark1[[#This Row],[Benchmark '#1 Return]],"-"),"-")</f>
        <v>1.3422709884534497E-2</v>
      </c>
      <c r="L615" s="1" t="str">
        <f>IF(COUNTIF(Comp2[Comparable '#2 Dates],Benchmark1[[#This Row],[Benchmark '#1 Dates]])=1,"Pass","Fail")</f>
        <v>Pass</v>
      </c>
      <c r="M615" s="6">
        <f>IF(Benchmark1[[#This Row],[Comparable '#2 Date Check]]="Pass",INDEX(Comp2[Comparable '#2 Price],MATCH(Benchmark1[[#This Row],[Benchmark '#1 Dates]],Comp2[Comparable '#2 Dates],0)),"-")</f>
        <v>31.5</v>
      </c>
      <c r="N615" s="22">
        <f>IF(Benchmark1[[#This Row],[Comparable '#2 Date Check]]="Pass",INDEX(Comp2[Comparable '#2 Return],MATCH(Benchmark1[[#This Row],[Benchmark '#1 Dates]],Comp2[Comparable '#2 Dates],0)),"-")</f>
        <v>3.8839833316263957E-2</v>
      </c>
      <c r="O615" s="1">
        <f>IFERROR(IF(Benchmark1[[#This Row],[Comparable '#2 Date Check]]="Pass",Benchmark1[[#This Row],[Comparable '#2 Return]]-Benchmark1[[#This Row],[Benchmark '#1 Return]],"-"),"-")</f>
        <v>4.682035289811342E-2</v>
      </c>
      <c r="P615" s="1" t="str">
        <f>IF(COUNTIF(Comp3[Comparable '#3 Dates],Benchmark1[[#This Row],[Benchmark '#1 Dates]])=1,"Pass","Fail")</f>
        <v>Pass</v>
      </c>
      <c r="Q615" s="6">
        <f>IF(Benchmark1[[#This Row],[Comparable '#3 Date Check]]="Pass",INDEX(Comp3[Comparable '#3 Price],MATCH(Benchmark1[[#This Row],[Benchmark '#1 Dates]],Comp3[Comparable '#3 Dates],0)),"-")</f>
        <v>92.36</v>
      </c>
      <c r="R615" s="22">
        <f>IF(Benchmark1[[#This Row],[Comparable '#3 Date Check]]="Pass",INDEX(Comp3[Comparable '#3 Return],MATCH(Benchmark1[[#This Row],[Benchmark '#1 Dates]],Comp3[Comparable '#3 Dates],0)),"-")</f>
        <v>-1.0126123367003552E-2</v>
      </c>
      <c r="S615" s="1">
        <f>IFERROR(IF(Benchmark1[[#This Row],[Comparable '#3 Date Check]]="Pass",Benchmark1[[#This Row],[Comparable '#3 Return]]-Benchmark1[[#This Row],[Benchmark '#1 Return]],"-"),"-")</f>
        <v>-2.1456037851540904E-3</v>
      </c>
    </row>
    <row r="616" spans="1:19">
      <c r="A616" s="103">
        <v>44175</v>
      </c>
      <c r="B616" s="104">
        <v>3668.1037125477665</v>
      </c>
      <c r="C616" s="4">
        <f t="shared" si="9"/>
        <v>-1.2848508072831051E-3</v>
      </c>
      <c r="D616" s="1" t="str">
        <f>IF(COUNTIF(Target1[Target Dates],Benchmark1[[#This Row],[Benchmark '#1 Dates]])=1,"Pass","Fail")</f>
        <v>Pass</v>
      </c>
      <c r="E616" s="6">
        <f>IF(Benchmark1[[#This Row],[Target Date Check]]="Pass",INDEX(Target1[Target Price],MATCH(Benchmark1[[#This Row],[Benchmark '#1 Dates]],Target1[Target Dates],0)),"-")</f>
        <v>22.65</v>
      </c>
      <c r="F616" s="22">
        <f>IF(Benchmark1[[#This Row],[Target Date Check]]="Pass",INDEX(Target1[Target Return],MATCH(Benchmark1[[#This Row],[Benchmark '#1 Dates]],Target1[Target Dates],0)),"-")</f>
        <v>2.9572047362373132E-2</v>
      </c>
      <c r="G616" s="1">
        <f>IFERROR(IF(Benchmark1[[#This Row],[Target Date Check]]="Pass",Benchmark1[[#This Row],[Target Return]]-Benchmark1[[#This Row],[Benchmark '#1 Return]],"-"),"-")</f>
        <v>3.0856898169656238E-2</v>
      </c>
      <c r="H616" s="1" t="str">
        <f>IF(COUNTIF(Comp1[Comparable '#1 Dates],Benchmark1[[#This Row],[Benchmark '#1 Dates]])=1,"Pass","Fail")</f>
        <v>Pass</v>
      </c>
      <c r="I616" s="6">
        <f>IF(Benchmark1[[#This Row],[Comparable '#1 Date Check]]="Pass",INDEX(Comp1[Comparable '#1 Price],MATCH(Benchmark1[[#This Row],[Benchmark '#1 Dates]],Comp1[Comparable '#1 Dates],0)),"-")</f>
        <v>14.97</v>
      </c>
      <c r="J616" s="22">
        <f>IF(Benchmark1[[#This Row],[Comparable '#1 Date Check]]="Pass",INDEX(Comp1[Comparable '#1 Return],MATCH(Benchmark1[[#This Row],[Benchmark '#1 Dates]],Comp1[Comparable '#1 Dates],0)),"-")</f>
        <v>1.5483311670346538E-2</v>
      </c>
      <c r="K616" s="1">
        <f>IFERROR(IF(Benchmark1[[#This Row],[Comparable '#1 Date Check]]="Pass",Benchmark1[[#This Row],[Comparable '#1 Return]]-Benchmark1[[#This Row],[Benchmark '#1 Return]],"-"),"-")</f>
        <v>1.6768162477629644E-2</v>
      </c>
      <c r="L616" s="1" t="str">
        <f>IF(COUNTIF(Comp2[Comparable '#2 Dates],Benchmark1[[#This Row],[Benchmark '#1 Dates]])=1,"Pass","Fail")</f>
        <v>Pass</v>
      </c>
      <c r="M616" s="6">
        <f>IF(Benchmark1[[#This Row],[Comparable '#2 Date Check]]="Pass",INDEX(Comp2[Comparable '#2 Price],MATCH(Benchmark1[[#This Row],[Benchmark '#1 Dates]],Comp2[Comparable '#2 Dates],0)),"-")</f>
        <v>31.66</v>
      </c>
      <c r="N616" s="22">
        <f>IF(Benchmark1[[#This Row],[Comparable '#2 Date Check]]="Pass",INDEX(Comp2[Comparable '#2 Return],MATCH(Benchmark1[[#This Row],[Benchmark '#1 Dates]],Comp2[Comparable '#2 Dates],0)),"-")</f>
        <v>5.0665086212786491E-3</v>
      </c>
      <c r="O616" s="1">
        <f>IFERROR(IF(Benchmark1[[#This Row],[Comparable '#2 Date Check]]="Pass",Benchmark1[[#This Row],[Comparable '#2 Return]]-Benchmark1[[#This Row],[Benchmark '#1 Return]],"-"),"-")</f>
        <v>6.3513594285617547E-3</v>
      </c>
      <c r="P616" s="1" t="str">
        <f>IF(COUNTIF(Comp3[Comparable '#3 Dates],Benchmark1[[#This Row],[Benchmark '#1 Dates]])=1,"Pass","Fail")</f>
        <v>Pass</v>
      </c>
      <c r="Q616" s="6">
        <f>IF(Benchmark1[[#This Row],[Comparable '#3 Date Check]]="Pass",INDEX(Comp3[Comparable '#3 Price],MATCH(Benchmark1[[#This Row],[Benchmark '#1 Dates]],Comp3[Comparable '#3 Dates],0)),"-")</f>
        <v>96.25</v>
      </c>
      <c r="R616" s="22">
        <f>IF(Benchmark1[[#This Row],[Comparable '#3 Date Check]]="Pass",INDEX(Comp3[Comparable '#3 Return],MATCH(Benchmark1[[#This Row],[Benchmark '#1 Dates]],Comp3[Comparable '#3 Dates],0)),"-")</f>
        <v>4.1254988681598964E-2</v>
      </c>
      <c r="S616" s="1">
        <f>IFERROR(IF(Benchmark1[[#This Row],[Comparable '#3 Date Check]]="Pass",Benchmark1[[#This Row],[Comparable '#3 Return]]-Benchmark1[[#This Row],[Benchmark '#1 Return]],"-"),"-")</f>
        <v>4.253983948888207E-2</v>
      </c>
    </row>
    <row r="617" spans="1:19">
      <c r="A617" s="103">
        <v>44176</v>
      </c>
      <c r="B617" s="104">
        <v>3663.45794310767</v>
      </c>
      <c r="C617" s="4">
        <f t="shared" si="9"/>
        <v>-1.2673343770694043E-3</v>
      </c>
      <c r="D617" s="1" t="str">
        <f>IF(COUNTIF(Target1[Target Dates],Benchmark1[[#This Row],[Benchmark '#1 Dates]])=1,"Pass","Fail")</f>
        <v>Pass</v>
      </c>
      <c r="E617" s="6">
        <f>IF(Benchmark1[[#This Row],[Target Date Check]]="Pass",INDEX(Target1[Target Price],MATCH(Benchmark1[[#This Row],[Benchmark '#1 Dates]],Target1[Target Dates],0)),"-")</f>
        <v>22.72</v>
      </c>
      <c r="F617" s="22">
        <f>IF(Benchmark1[[#This Row],[Target Date Check]]="Pass",INDEX(Target1[Target Return],MATCH(Benchmark1[[#This Row],[Benchmark '#1 Dates]],Target1[Target Dates],0)),"-")</f>
        <v>3.085741923907545E-3</v>
      </c>
      <c r="G617" s="1">
        <f>IFERROR(IF(Benchmark1[[#This Row],[Target Date Check]]="Pass",Benchmark1[[#This Row],[Target Return]]-Benchmark1[[#This Row],[Benchmark '#1 Return]],"-"),"-")</f>
        <v>4.3530763009769491E-3</v>
      </c>
      <c r="H617" s="1" t="str">
        <f>IF(COUNTIF(Comp1[Comparable '#1 Dates],Benchmark1[[#This Row],[Benchmark '#1 Dates]])=1,"Pass","Fail")</f>
        <v>Pass</v>
      </c>
      <c r="I617" s="6">
        <f>IF(Benchmark1[[#This Row],[Comparable '#1 Date Check]]="Pass",INDEX(Comp1[Comparable '#1 Price],MATCH(Benchmark1[[#This Row],[Benchmark '#1 Dates]],Comp1[Comparable '#1 Dates],0)),"-")</f>
        <v>15.2</v>
      </c>
      <c r="J617" s="22">
        <f>IF(Benchmark1[[#This Row],[Comparable '#1 Date Check]]="Pass",INDEX(Comp1[Comparable '#1 Return],MATCH(Benchmark1[[#This Row],[Benchmark '#1 Dates]],Comp1[Comparable '#1 Dates],0)),"-")</f>
        <v>1.5247229420693694E-2</v>
      </c>
      <c r="K617" s="1">
        <f>IFERROR(IF(Benchmark1[[#This Row],[Comparable '#1 Date Check]]="Pass",Benchmark1[[#This Row],[Comparable '#1 Return]]-Benchmark1[[#This Row],[Benchmark '#1 Return]],"-"),"-")</f>
        <v>1.6514563797763098E-2</v>
      </c>
      <c r="L617" s="1" t="str">
        <f>IF(COUNTIF(Comp2[Comparable '#2 Dates],Benchmark1[[#This Row],[Benchmark '#1 Dates]])=1,"Pass","Fail")</f>
        <v>Pass</v>
      </c>
      <c r="M617" s="6">
        <f>IF(Benchmark1[[#This Row],[Comparable '#2 Date Check]]="Pass",INDEX(Comp2[Comparable '#2 Price],MATCH(Benchmark1[[#This Row],[Benchmark '#1 Dates]],Comp2[Comparable '#2 Dates],0)),"-")</f>
        <v>31.46</v>
      </c>
      <c r="N617" s="22">
        <f>IF(Benchmark1[[#This Row],[Comparable '#2 Date Check]]="Pass",INDEX(Comp2[Comparable '#2 Return],MATCH(Benchmark1[[#This Row],[Benchmark '#1 Dates]],Comp2[Comparable '#2 Dates],0)),"-")</f>
        <v>-6.3371568227342887E-3</v>
      </c>
      <c r="O617" s="1">
        <f>IFERROR(IF(Benchmark1[[#This Row],[Comparable '#2 Date Check]]="Pass",Benchmark1[[#This Row],[Comparable '#2 Return]]-Benchmark1[[#This Row],[Benchmark '#1 Return]],"-"),"-")</f>
        <v>-5.0698224456648842E-3</v>
      </c>
      <c r="P617" s="1" t="str">
        <f>IF(COUNTIF(Comp3[Comparable '#3 Dates],Benchmark1[[#This Row],[Benchmark '#1 Dates]])=1,"Pass","Fail")</f>
        <v>Pass</v>
      </c>
      <c r="Q617" s="6">
        <f>IF(Benchmark1[[#This Row],[Comparable '#3 Date Check]]="Pass",INDEX(Comp3[Comparable '#3 Price],MATCH(Benchmark1[[#This Row],[Benchmark '#1 Dates]],Comp3[Comparable '#3 Dates],0)),"-")</f>
        <v>94.78</v>
      </c>
      <c r="R617" s="22">
        <f>IF(Benchmark1[[#This Row],[Comparable '#3 Date Check]]="Pass",INDEX(Comp3[Comparable '#3 Return],MATCH(Benchmark1[[#This Row],[Benchmark '#1 Dates]],Comp3[Comparable '#3 Dates],0)),"-")</f>
        <v>-1.5390556628451308E-2</v>
      </c>
      <c r="S617" s="1">
        <f>IFERROR(IF(Benchmark1[[#This Row],[Comparable '#3 Date Check]]="Pass",Benchmark1[[#This Row],[Comparable '#3 Return]]-Benchmark1[[#This Row],[Benchmark '#1 Return]],"-"),"-")</f>
        <v>-1.4123222251381904E-2</v>
      </c>
    </row>
    <row r="618" spans="1:19">
      <c r="A618" s="103">
        <v>44179</v>
      </c>
      <c r="B618" s="104">
        <v>3647.493209057734</v>
      </c>
      <c r="C618" s="4">
        <f t="shared" si="9"/>
        <v>-4.367354970184421E-3</v>
      </c>
      <c r="D618" s="1" t="str">
        <f>IF(COUNTIF(Target1[Target Dates],Benchmark1[[#This Row],[Benchmark '#1 Dates]])=1,"Pass","Fail")</f>
        <v>Pass</v>
      </c>
      <c r="E618" s="6">
        <f>IF(Benchmark1[[#This Row],[Target Date Check]]="Pass",INDEX(Target1[Target Price],MATCH(Benchmark1[[#This Row],[Benchmark '#1 Dates]],Target1[Target Dates],0)),"-")</f>
        <v>23.46</v>
      </c>
      <c r="F618" s="22">
        <f>IF(Benchmark1[[#This Row],[Target Date Check]]="Pass",INDEX(Target1[Target Return],MATCH(Benchmark1[[#This Row],[Benchmark '#1 Dates]],Target1[Target Dates],0)),"-")</f>
        <v>3.2051249372378791E-2</v>
      </c>
      <c r="G618" s="1">
        <f>IFERROR(IF(Benchmark1[[#This Row],[Target Date Check]]="Pass",Benchmark1[[#This Row],[Target Return]]-Benchmark1[[#This Row],[Benchmark '#1 Return]],"-"),"-")</f>
        <v>3.6418604342563214E-2</v>
      </c>
      <c r="H618" s="1" t="str">
        <f>IF(COUNTIF(Comp1[Comparable '#1 Dates],Benchmark1[[#This Row],[Benchmark '#1 Dates]])=1,"Pass","Fail")</f>
        <v>Pass</v>
      </c>
      <c r="I618" s="6">
        <f>IF(Benchmark1[[#This Row],[Comparable '#1 Date Check]]="Pass",INDEX(Comp1[Comparable '#1 Price],MATCH(Benchmark1[[#This Row],[Benchmark '#1 Dates]],Comp1[Comparable '#1 Dates],0)),"-")</f>
        <v>15.11</v>
      </c>
      <c r="J618" s="22">
        <f>IF(Benchmark1[[#This Row],[Comparable '#1 Date Check]]="Pass",INDEX(Comp1[Comparable '#1 Return],MATCH(Benchmark1[[#This Row],[Benchmark '#1 Dates]],Comp1[Comparable '#1 Dates],0)),"-")</f>
        <v>-5.9386515675824937E-3</v>
      </c>
      <c r="K618" s="1">
        <f>IFERROR(IF(Benchmark1[[#This Row],[Comparable '#1 Date Check]]="Pass",Benchmark1[[#This Row],[Comparable '#1 Return]]-Benchmark1[[#This Row],[Benchmark '#1 Return]],"-"),"-")</f>
        <v>-1.5712965973980727E-3</v>
      </c>
      <c r="L618" s="1" t="str">
        <f>IF(COUNTIF(Comp2[Comparable '#2 Dates],Benchmark1[[#This Row],[Benchmark '#1 Dates]])=1,"Pass","Fail")</f>
        <v>Pass</v>
      </c>
      <c r="M618" s="6">
        <f>IF(Benchmark1[[#This Row],[Comparable '#2 Date Check]]="Pass",INDEX(Comp2[Comparable '#2 Price],MATCH(Benchmark1[[#This Row],[Benchmark '#1 Dates]],Comp2[Comparable '#2 Dates],0)),"-")</f>
        <v>32.130000000000003</v>
      </c>
      <c r="N618" s="22">
        <f>IF(Benchmark1[[#This Row],[Comparable '#2 Date Check]]="Pass",INDEX(Comp2[Comparable '#2 Return],MATCH(Benchmark1[[#This Row],[Benchmark '#1 Dates]],Comp2[Comparable '#2 Dates],0)),"-")</f>
        <v>2.1073275497635414E-2</v>
      </c>
      <c r="O618" s="1">
        <f>IFERROR(IF(Benchmark1[[#This Row],[Comparable '#2 Date Check]]="Pass",Benchmark1[[#This Row],[Comparable '#2 Return]]-Benchmark1[[#This Row],[Benchmark '#1 Return]],"-"),"-")</f>
        <v>2.5440630467819837E-2</v>
      </c>
      <c r="P618" s="1" t="str">
        <f>IF(COUNTIF(Comp3[Comparable '#3 Dates],Benchmark1[[#This Row],[Benchmark '#1 Dates]])=1,"Pass","Fail")</f>
        <v>Pass</v>
      </c>
      <c r="Q618" s="6">
        <f>IF(Benchmark1[[#This Row],[Comparable '#3 Date Check]]="Pass",INDEX(Comp3[Comparable '#3 Price],MATCH(Benchmark1[[#This Row],[Benchmark '#1 Dates]],Comp3[Comparable '#3 Dates],0)),"-")</f>
        <v>93.77</v>
      </c>
      <c r="R618" s="22">
        <f>IF(Benchmark1[[#This Row],[Comparable '#3 Date Check]]="Pass",INDEX(Comp3[Comparable '#3 Return],MATCH(Benchmark1[[#This Row],[Benchmark '#1 Dates]],Comp3[Comparable '#3 Dates],0)),"-")</f>
        <v>-1.0713441107908454E-2</v>
      </c>
      <c r="S618" s="1">
        <f>IFERROR(IF(Benchmark1[[#This Row],[Comparable '#3 Date Check]]="Pass",Benchmark1[[#This Row],[Comparable '#3 Return]]-Benchmark1[[#This Row],[Benchmark '#1 Return]],"-"),"-")</f>
        <v>-6.3460861377240326E-3</v>
      </c>
    </row>
    <row r="619" spans="1:19">
      <c r="A619" s="103">
        <v>44180</v>
      </c>
      <c r="B619" s="104">
        <v>3694.6220762202515</v>
      </c>
      <c r="C619" s="4">
        <f t="shared" si="9"/>
        <v>1.283812978548921E-2</v>
      </c>
      <c r="D619" s="1" t="str">
        <f>IF(COUNTIF(Target1[Target Dates],Benchmark1[[#This Row],[Benchmark '#1 Dates]])=1,"Pass","Fail")</f>
        <v>Pass</v>
      </c>
      <c r="E619" s="6">
        <f>IF(Benchmark1[[#This Row],[Target Date Check]]="Pass",INDEX(Target1[Target Price],MATCH(Benchmark1[[#This Row],[Benchmark '#1 Dates]],Target1[Target Dates],0)),"-")</f>
        <v>23.84</v>
      </c>
      <c r="F619" s="22">
        <f>IF(Benchmark1[[#This Row],[Target Date Check]]="Pass",INDEX(Target1[Target Return],MATCH(Benchmark1[[#This Row],[Benchmark '#1 Dates]],Target1[Target Dates],0)),"-")</f>
        <v>1.6067998971819625E-2</v>
      </c>
      <c r="G619" s="1">
        <f>IFERROR(IF(Benchmark1[[#This Row],[Target Date Check]]="Pass",Benchmark1[[#This Row],[Target Return]]-Benchmark1[[#This Row],[Benchmark '#1 Return]],"-"),"-")</f>
        <v>3.2298691863304144E-3</v>
      </c>
      <c r="H619" s="1" t="str">
        <f>IF(COUNTIF(Comp1[Comparable '#1 Dates],Benchmark1[[#This Row],[Benchmark '#1 Dates]])=1,"Pass","Fail")</f>
        <v>Pass</v>
      </c>
      <c r="I619" s="6">
        <f>IF(Benchmark1[[#This Row],[Comparable '#1 Date Check]]="Pass",INDEX(Comp1[Comparable '#1 Price],MATCH(Benchmark1[[#This Row],[Benchmark '#1 Dates]],Comp1[Comparable '#1 Dates],0)),"-")</f>
        <v>15.36</v>
      </c>
      <c r="J619" s="22">
        <f>IF(Benchmark1[[#This Row],[Comparable '#1 Date Check]]="Pass",INDEX(Comp1[Comparable '#1 Return],MATCH(Benchmark1[[#This Row],[Benchmark '#1 Dates]],Comp1[Comparable '#1 Dates],0)),"-")</f>
        <v>1.6409951434877855E-2</v>
      </c>
      <c r="K619" s="1">
        <f>IFERROR(IF(Benchmark1[[#This Row],[Comparable '#1 Date Check]]="Pass",Benchmark1[[#This Row],[Comparable '#1 Return]]-Benchmark1[[#This Row],[Benchmark '#1 Return]],"-"),"-")</f>
        <v>3.5718216493886446E-3</v>
      </c>
      <c r="L619" s="1" t="str">
        <f>IF(COUNTIF(Comp2[Comparable '#2 Dates],Benchmark1[[#This Row],[Benchmark '#1 Dates]])=1,"Pass","Fail")</f>
        <v>Pass</v>
      </c>
      <c r="M619" s="6">
        <f>IF(Benchmark1[[#This Row],[Comparable '#2 Date Check]]="Pass",INDEX(Comp2[Comparable '#2 Price],MATCH(Benchmark1[[#This Row],[Benchmark '#1 Dates]],Comp2[Comparable '#2 Dates],0)),"-")</f>
        <v>33.64</v>
      </c>
      <c r="N619" s="22">
        <f>IF(Benchmark1[[#This Row],[Comparable '#2 Date Check]]="Pass",INDEX(Comp2[Comparable '#2 Return],MATCH(Benchmark1[[#This Row],[Benchmark '#1 Dates]],Comp2[Comparable '#2 Dates],0)),"-")</f>
        <v>4.5925661976980198E-2</v>
      </c>
      <c r="O619" s="1">
        <f>IFERROR(IF(Benchmark1[[#This Row],[Comparable '#2 Date Check]]="Pass",Benchmark1[[#This Row],[Comparable '#2 Return]]-Benchmark1[[#This Row],[Benchmark '#1 Return]],"-"),"-")</f>
        <v>3.3087532191490986E-2</v>
      </c>
      <c r="P619" s="1" t="str">
        <f>IF(COUNTIF(Comp3[Comparable '#3 Dates],Benchmark1[[#This Row],[Benchmark '#1 Dates]])=1,"Pass","Fail")</f>
        <v>Pass</v>
      </c>
      <c r="Q619" s="6">
        <f>IF(Benchmark1[[#This Row],[Comparable '#3 Date Check]]="Pass",INDEX(Comp3[Comparable '#3 Price],MATCH(Benchmark1[[#This Row],[Benchmark '#1 Dates]],Comp3[Comparable '#3 Dates],0)),"-")</f>
        <v>98.59</v>
      </c>
      <c r="R619" s="22">
        <f>IF(Benchmark1[[#This Row],[Comparable '#3 Date Check]]="Pass",INDEX(Comp3[Comparable '#3 Return],MATCH(Benchmark1[[#This Row],[Benchmark '#1 Dates]],Comp3[Comparable '#3 Dates],0)),"-")</f>
        <v>5.012486115541618E-2</v>
      </c>
      <c r="S619" s="1">
        <f>IFERROR(IF(Benchmark1[[#This Row],[Comparable '#3 Date Check]]="Pass",Benchmark1[[#This Row],[Comparable '#3 Return]]-Benchmark1[[#This Row],[Benchmark '#1 Return]],"-"),"-")</f>
        <v>3.7286731369926968E-2</v>
      </c>
    </row>
    <row r="620" spans="1:19">
      <c r="A620" s="103">
        <v>44181</v>
      </c>
      <c r="B620" s="104">
        <v>3701.1738275196926</v>
      </c>
      <c r="C620" s="4">
        <f t="shared" si="9"/>
        <v>1.7717506265989193E-3</v>
      </c>
      <c r="D620" s="1" t="str">
        <f>IF(COUNTIF(Target1[Target Dates],Benchmark1[[#This Row],[Benchmark '#1 Dates]])=1,"Pass","Fail")</f>
        <v>Pass</v>
      </c>
      <c r="E620" s="6">
        <f>IF(Benchmark1[[#This Row],[Target Date Check]]="Pass",INDEX(Target1[Target Price],MATCH(Benchmark1[[#This Row],[Benchmark '#1 Dates]],Target1[Target Dates],0)),"-")</f>
        <v>23.15</v>
      </c>
      <c r="F620" s="22">
        <f>IF(Benchmark1[[#This Row],[Target Date Check]]="Pass",INDEX(Target1[Target Return],MATCH(Benchmark1[[#This Row],[Benchmark '#1 Dates]],Target1[Target Dates],0)),"-")</f>
        <v>-2.937006166490598E-2</v>
      </c>
      <c r="G620" s="1">
        <f>IFERROR(IF(Benchmark1[[#This Row],[Target Date Check]]="Pass",Benchmark1[[#This Row],[Target Return]]-Benchmark1[[#This Row],[Benchmark '#1 Return]],"-"),"-")</f>
        <v>-3.1141812291504901E-2</v>
      </c>
      <c r="H620" s="1" t="str">
        <f>IF(COUNTIF(Comp1[Comparable '#1 Dates],Benchmark1[[#This Row],[Benchmark '#1 Dates]])=1,"Pass","Fail")</f>
        <v>Pass</v>
      </c>
      <c r="I620" s="6">
        <f>IF(Benchmark1[[#This Row],[Comparable '#1 Date Check]]="Pass",INDEX(Comp1[Comparable '#1 Price],MATCH(Benchmark1[[#This Row],[Benchmark '#1 Dates]],Comp1[Comparable '#1 Dates],0)),"-")</f>
        <v>15.164999999999999</v>
      </c>
      <c r="J620" s="22">
        <f>IF(Benchmark1[[#This Row],[Comparable '#1 Date Check]]="Pass",INDEX(Comp1[Comparable '#1 Return],MATCH(Benchmark1[[#This Row],[Benchmark '#1 Dates]],Comp1[Comparable '#1 Dates],0)),"-")</f>
        <v>-1.2776586578981678E-2</v>
      </c>
      <c r="K620" s="1">
        <f>IFERROR(IF(Benchmark1[[#This Row],[Comparable '#1 Date Check]]="Pass",Benchmark1[[#This Row],[Comparable '#1 Return]]-Benchmark1[[#This Row],[Benchmark '#1 Return]],"-"),"-")</f>
        <v>-1.4548337205580597E-2</v>
      </c>
      <c r="L620" s="1" t="str">
        <f>IF(COUNTIF(Comp2[Comparable '#2 Dates],Benchmark1[[#This Row],[Benchmark '#1 Dates]])=1,"Pass","Fail")</f>
        <v>Pass</v>
      </c>
      <c r="M620" s="6">
        <f>IF(Benchmark1[[#This Row],[Comparable '#2 Date Check]]="Pass",INDEX(Comp2[Comparable '#2 Price],MATCH(Benchmark1[[#This Row],[Benchmark '#1 Dates]],Comp2[Comparable '#2 Dates],0)),"-")</f>
        <v>33.1</v>
      </c>
      <c r="N620" s="22">
        <f>IF(Benchmark1[[#This Row],[Comparable '#2 Date Check]]="Pass",INDEX(Comp2[Comparable '#2 Return],MATCH(Benchmark1[[#This Row],[Benchmark '#1 Dates]],Comp2[Comparable '#2 Dates],0)),"-")</f>
        <v>-1.6182552721730081E-2</v>
      </c>
      <c r="O620" s="1">
        <f>IFERROR(IF(Benchmark1[[#This Row],[Comparable '#2 Date Check]]="Pass",Benchmark1[[#This Row],[Comparable '#2 Return]]-Benchmark1[[#This Row],[Benchmark '#1 Return]],"-"),"-")</f>
        <v>-1.7954303348329002E-2</v>
      </c>
      <c r="P620" s="1" t="str">
        <f>IF(COUNTIF(Comp3[Comparable '#3 Dates],Benchmark1[[#This Row],[Benchmark '#1 Dates]])=1,"Pass","Fail")</f>
        <v>Pass</v>
      </c>
      <c r="Q620" s="6">
        <f>IF(Benchmark1[[#This Row],[Comparable '#3 Date Check]]="Pass",INDEX(Comp3[Comparable '#3 Price],MATCH(Benchmark1[[#This Row],[Benchmark '#1 Dates]],Comp3[Comparable '#3 Dates],0)),"-")</f>
        <v>95.51</v>
      </c>
      <c r="R620" s="22">
        <f>IF(Benchmark1[[#This Row],[Comparable '#3 Date Check]]="Pass",INDEX(Comp3[Comparable '#3 Return],MATCH(Benchmark1[[#This Row],[Benchmark '#1 Dates]],Comp3[Comparable '#3 Dates],0)),"-")</f>
        <v>-3.173888254030377E-2</v>
      </c>
      <c r="S620" s="1">
        <f>IFERROR(IF(Benchmark1[[#This Row],[Comparable '#3 Date Check]]="Pass",Benchmark1[[#This Row],[Comparable '#3 Return]]-Benchmark1[[#This Row],[Benchmark '#1 Return]],"-"),"-")</f>
        <v>-3.3510633166902691E-2</v>
      </c>
    </row>
    <row r="621" spans="1:19">
      <c r="A621" s="103">
        <v>44182</v>
      </c>
      <c r="B621" s="104">
        <v>3722.4821934067891</v>
      </c>
      <c r="C621" s="4">
        <f t="shared" si="9"/>
        <v>5.740682042880761E-3</v>
      </c>
      <c r="D621" s="1" t="str">
        <f>IF(COUNTIF(Target1[Target Dates],Benchmark1[[#This Row],[Benchmark '#1 Dates]])=1,"Pass","Fail")</f>
        <v>Pass</v>
      </c>
      <c r="E621" s="6">
        <f>IF(Benchmark1[[#This Row],[Target Date Check]]="Pass",INDEX(Target1[Target Price],MATCH(Benchmark1[[#This Row],[Benchmark '#1 Dates]],Target1[Target Dates],0)),"-")</f>
        <v>22.95</v>
      </c>
      <c r="F621" s="22">
        <f>IF(Benchmark1[[#This Row],[Target Date Check]]="Pass",INDEX(Target1[Target Return],MATCH(Benchmark1[[#This Row],[Benchmark '#1 Dates]],Target1[Target Dates],0)),"-")</f>
        <v>-8.6768440256888586E-3</v>
      </c>
      <c r="G621" s="1">
        <f>IFERROR(IF(Benchmark1[[#This Row],[Target Date Check]]="Pass",Benchmark1[[#This Row],[Target Return]]-Benchmark1[[#This Row],[Benchmark '#1 Return]],"-"),"-")</f>
        <v>-1.4417526068569619E-2</v>
      </c>
      <c r="H621" s="1" t="str">
        <f>IF(COUNTIF(Comp1[Comparable '#1 Dates],Benchmark1[[#This Row],[Benchmark '#1 Dates]])=1,"Pass","Fail")</f>
        <v>Pass</v>
      </c>
      <c r="I621" s="6">
        <f>IF(Benchmark1[[#This Row],[Comparable '#1 Date Check]]="Pass",INDEX(Comp1[Comparable '#1 Price],MATCH(Benchmark1[[#This Row],[Benchmark '#1 Dates]],Comp1[Comparable '#1 Dates],0)),"-")</f>
        <v>15.14</v>
      </c>
      <c r="J621" s="22">
        <f>IF(Benchmark1[[#This Row],[Comparable '#1 Date Check]]="Pass",INDEX(Comp1[Comparable '#1 Return],MATCH(Benchmark1[[#This Row],[Benchmark '#1 Dates]],Comp1[Comparable '#1 Dates],0)),"-")</f>
        <v>-1.6498931312416702E-3</v>
      </c>
      <c r="K621" s="1">
        <f>IFERROR(IF(Benchmark1[[#This Row],[Comparable '#1 Date Check]]="Pass",Benchmark1[[#This Row],[Comparable '#1 Return]]-Benchmark1[[#This Row],[Benchmark '#1 Return]],"-"),"-")</f>
        <v>-7.3905751741224317E-3</v>
      </c>
      <c r="L621" s="1" t="str">
        <f>IF(COUNTIF(Comp2[Comparable '#2 Dates],Benchmark1[[#This Row],[Benchmark '#1 Dates]])=1,"Pass","Fail")</f>
        <v>Pass</v>
      </c>
      <c r="M621" s="6">
        <f>IF(Benchmark1[[#This Row],[Comparable '#2 Date Check]]="Pass",INDEX(Comp2[Comparable '#2 Price],MATCH(Benchmark1[[#This Row],[Benchmark '#1 Dates]],Comp2[Comparable '#2 Dates],0)),"-")</f>
        <v>33.43</v>
      </c>
      <c r="N621" s="22">
        <f>IF(Benchmark1[[#This Row],[Comparable '#2 Date Check]]="Pass",INDEX(Comp2[Comparable '#2 Return],MATCH(Benchmark1[[#This Row],[Benchmark '#1 Dates]],Comp2[Comparable '#2 Dates],0)),"-")</f>
        <v>9.9204180489900415E-3</v>
      </c>
      <c r="O621" s="1">
        <f>IFERROR(IF(Benchmark1[[#This Row],[Comparable '#2 Date Check]]="Pass",Benchmark1[[#This Row],[Comparable '#2 Return]]-Benchmark1[[#This Row],[Benchmark '#1 Return]],"-"),"-")</f>
        <v>4.1797360061092805E-3</v>
      </c>
      <c r="P621" s="1" t="str">
        <f>IF(COUNTIF(Comp3[Comparable '#3 Dates],Benchmark1[[#This Row],[Benchmark '#1 Dates]])=1,"Pass","Fail")</f>
        <v>Pass</v>
      </c>
      <c r="Q621" s="6">
        <f>IF(Benchmark1[[#This Row],[Comparable '#3 Date Check]]="Pass",INDEX(Comp3[Comparable '#3 Price],MATCH(Benchmark1[[#This Row],[Benchmark '#1 Dates]],Comp3[Comparable '#3 Dates],0)),"-")</f>
        <v>96.15</v>
      </c>
      <c r="R621" s="22">
        <f>IF(Benchmark1[[#This Row],[Comparable '#3 Date Check]]="Pass",INDEX(Comp3[Comparable '#3 Return],MATCH(Benchmark1[[#This Row],[Benchmark '#1 Dates]],Comp3[Comparable '#3 Dates],0)),"-")</f>
        <v>6.6785179881425913E-3</v>
      </c>
      <c r="S621" s="1">
        <f>IFERROR(IF(Benchmark1[[#This Row],[Comparable '#3 Date Check]]="Pass",Benchmark1[[#This Row],[Comparable '#3 Return]]-Benchmark1[[#This Row],[Benchmark '#1 Return]],"-"),"-")</f>
        <v>9.3783594526183033E-4</v>
      </c>
    </row>
    <row r="622" spans="1:19">
      <c r="A622" s="103">
        <v>44183</v>
      </c>
      <c r="B622" s="104">
        <v>3709.40837546683</v>
      </c>
      <c r="C622" s="4">
        <f t="shared" si="9"/>
        <v>-3.5183056868122011E-3</v>
      </c>
      <c r="D622" s="1" t="str">
        <f>IF(COUNTIF(Target1[Target Dates],Benchmark1[[#This Row],[Benchmark '#1 Dates]])=1,"Pass","Fail")</f>
        <v>Pass</v>
      </c>
      <c r="E622" s="6">
        <f>IF(Benchmark1[[#This Row],[Target Date Check]]="Pass",INDEX(Target1[Target Price],MATCH(Benchmark1[[#This Row],[Benchmark '#1 Dates]],Target1[Target Dates],0)),"-")</f>
        <v>22.83</v>
      </c>
      <c r="F622" s="22">
        <f>IF(Benchmark1[[#This Row],[Target Date Check]]="Pass",INDEX(Target1[Target Return],MATCH(Benchmark1[[#This Row],[Benchmark '#1 Dates]],Target1[Target Dates],0)),"-")</f>
        <v>-5.2424759648500938E-3</v>
      </c>
      <c r="G622" s="1">
        <f>IFERROR(IF(Benchmark1[[#This Row],[Target Date Check]]="Pass",Benchmark1[[#This Row],[Target Return]]-Benchmark1[[#This Row],[Benchmark '#1 Return]],"-"),"-")</f>
        <v>-1.7241702780378928E-3</v>
      </c>
      <c r="H622" s="1" t="str">
        <f>IF(COUNTIF(Comp1[Comparable '#1 Dates],Benchmark1[[#This Row],[Benchmark '#1 Dates]])=1,"Pass","Fail")</f>
        <v>Pass</v>
      </c>
      <c r="I622" s="6">
        <f>IF(Benchmark1[[#This Row],[Comparable '#1 Date Check]]="Pass",INDEX(Comp1[Comparable '#1 Price],MATCH(Benchmark1[[#This Row],[Benchmark '#1 Dates]],Comp1[Comparable '#1 Dates],0)),"-")</f>
        <v>15.06</v>
      </c>
      <c r="J622" s="22">
        <f>IF(Benchmark1[[#This Row],[Comparable '#1 Date Check]]="Pass",INDEX(Comp1[Comparable '#1 Return],MATCH(Benchmark1[[#This Row],[Benchmark '#1 Dates]],Comp1[Comparable '#1 Dates],0)),"-")</f>
        <v>-5.2980256375551611E-3</v>
      </c>
      <c r="K622" s="1">
        <f>IFERROR(IF(Benchmark1[[#This Row],[Comparable '#1 Date Check]]="Pass",Benchmark1[[#This Row],[Comparable '#1 Return]]-Benchmark1[[#This Row],[Benchmark '#1 Return]],"-"),"-")</f>
        <v>-1.77971995074296E-3</v>
      </c>
      <c r="L622" s="1" t="str">
        <f>IF(COUNTIF(Comp2[Comparable '#2 Dates],Benchmark1[[#This Row],[Benchmark '#1 Dates]])=1,"Pass","Fail")</f>
        <v>Pass</v>
      </c>
      <c r="M622" s="6">
        <f>IF(Benchmark1[[#This Row],[Comparable '#2 Date Check]]="Pass",INDEX(Comp2[Comparable '#2 Price],MATCH(Benchmark1[[#This Row],[Benchmark '#1 Dates]],Comp2[Comparable '#2 Dates],0)),"-")</f>
        <v>33.93</v>
      </c>
      <c r="N622" s="22">
        <f>IF(Benchmark1[[#This Row],[Comparable '#2 Date Check]]="Pass",INDEX(Comp2[Comparable '#2 Return],MATCH(Benchmark1[[#This Row],[Benchmark '#1 Dates]],Comp2[Comparable '#2 Dates],0)),"-")</f>
        <v>1.4845878364131624E-2</v>
      </c>
      <c r="O622" s="1">
        <f>IFERROR(IF(Benchmark1[[#This Row],[Comparable '#2 Date Check]]="Pass",Benchmark1[[#This Row],[Comparable '#2 Return]]-Benchmark1[[#This Row],[Benchmark '#1 Return]],"-"),"-")</f>
        <v>1.8364184050943824E-2</v>
      </c>
      <c r="P622" s="1" t="str">
        <f>IF(COUNTIF(Comp3[Comparable '#3 Dates],Benchmark1[[#This Row],[Benchmark '#1 Dates]])=1,"Pass","Fail")</f>
        <v>Pass</v>
      </c>
      <c r="Q622" s="6">
        <f>IF(Benchmark1[[#This Row],[Comparable '#3 Date Check]]="Pass",INDEX(Comp3[Comparable '#3 Price],MATCH(Benchmark1[[#This Row],[Benchmark '#1 Dates]],Comp3[Comparable '#3 Dates],0)),"-")</f>
        <v>97.58</v>
      </c>
      <c r="R622" s="22">
        <f>IF(Benchmark1[[#This Row],[Comparable '#3 Date Check]]="Pass",INDEX(Comp3[Comparable '#3 Return],MATCH(Benchmark1[[#This Row],[Benchmark '#1 Dates]],Comp3[Comparable '#3 Dates],0)),"-")</f>
        <v>1.4763082352902242E-2</v>
      </c>
      <c r="S622" s="1">
        <f>IFERROR(IF(Benchmark1[[#This Row],[Comparable '#3 Date Check]]="Pass",Benchmark1[[#This Row],[Comparable '#3 Return]]-Benchmark1[[#This Row],[Benchmark '#1 Return]],"-"),"-")</f>
        <v>1.8281388039714443E-2</v>
      </c>
    </row>
    <row r="623" spans="1:19">
      <c r="A623" s="103">
        <v>44186</v>
      </c>
      <c r="B623" s="104">
        <v>3694.9196995995376</v>
      </c>
      <c r="C623" s="4">
        <f t="shared" si="9"/>
        <v>-3.9135743886160989E-3</v>
      </c>
      <c r="D623" s="1" t="str">
        <f>IF(COUNTIF(Target1[Target Dates],Benchmark1[[#This Row],[Benchmark '#1 Dates]])=1,"Pass","Fail")</f>
        <v>Pass</v>
      </c>
      <c r="E623" s="6">
        <f>IF(Benchmark1[[#This Row],[Target Date Check]]="Pass",INDEX(Target1[Target Price],MATCH(Benchmark1[[#This Row],[Benchmark '#1 Dates]],Target1[Target Dates],0)),"-")</f>
        <v>22.72</v>
      </c>
      <c r="F623" s="22">
        <f>IF(Benchmark1[[#This Row],[Target Date Check]]="Pass",INDEX(Target1[Target Return],MATCH(Benchmark1[[#This Row],[Benchmark '#1 Dates]],Target1[Target Dates],0)),"-")</f>
        <v>-4.8298666887535433E-3</v>
      </c>
      <c r="G623" s="1">
        <f>IFERROR(IF(Benchmark1[[#This Row],[Target Date Check]]="Pass",Benchmark1[[#This Row],[Target Return]]-Benchmark1[[#This Row],[Benchmark '#1 Return]],"-"),"-")</f>
        <v>-9.1629230013744439E-4</v>
      </c>
      <c r="H623" s="1" t="str">
        <f>IF(COUNTIF(Comp1[Comparable '#1 Dates],Benchmark1[[#This Row],[Benchmark '#1 Dates]])=1,"Pass","Fail")</f>
        <v>Pass</v>
      </c>
      <c r="I623" s="6">
        <f>IF(Benchmark1[[#This Row],[Comparable '#1 Date Check]]="Pass",INDEX(Comp1[Comparable '#1 Price],MATCH(Benchmark1[[#This Row],[Benchmark '#1 Dates]],Comp1[Comparable '#1 Dates],0)),"-")</f>
        <v>15.03</v>
      </c>
      <c r="J623" s="22">
        <f>IF(Benchmark1[[#This Row],[Comparable '#1 Date Check]]="Pass",INDEX(Comp1[Comparable '#1 Return],MATCH(Benchmark1[[#This Row],[Benchmark '#1 Dates]],Comp1[Comparable '#1 Dates],0)),"-")</f>
        <v>-1.9940186068645063E-3</v>
      </c>
      <c r="K623" s="1">
        <f>IFERROR(IF(Benchmark1[[#This Row],[Comparable '#1 Date Check]]="Pass",Benchmark1[[#This Row],[Comparable '#1 Return]]-Benchmark1[[#This Row],[Benchmark '#1 Return]],"-"),"-")</f>
        <v>1.9195557817515926E-3</v>
      </c>
      <c r="L623" s="1" t="str">
        <f>IF(COUNTIF(Comp2[Comparable '#2 Dates],Benchmark1[[#This Row],[Benchmark '#1 Dates]])=1,"Pass","Fail")</f>
        <v>Pass</v>
      </c>
      <c r="M623" s="6">
        <f>IF(Benchmark1[[#This Row],[Comparable '#2 Date Check]]="Pass",INDEX(Comp2[Comparable '#2 Price],MATCH(Benchmark1[[#This Row],[Benchmark '#1 Dates]],Comp2[Comparable '#2 Dates],0)),"-")</f>
        <v>33.93</v>
      </c>
      <c r="N623" s="22">
        <f>IF(Benchmark1[[#This Row],[Comparable '#2 Date Check]]="Pass",INDEX(Comp2[Comparable '#2 Return],MATCH(Benchmark1[[#This Row],[Benchmark '#1 Dates]],Comp2[Comparable '#2 Dates],0)),"-")</f>
        <v>0</v>
      </c>
      <c r="O623" s="1">
        <f>IFERROR(IF(Benchmark1[[#This Row],[Comparable '#2 Date Check]]="Pass",Benchmark1[[#This Row],[Comparable '#2 Return]]-Benchmark1[[#This Row],[Benchmark '#1 Return]],"-"),"-")</f>
        <v>3.9135743886160989E-3</v>
      </c>
      <c r="P623" s="1" t="str">
        <f>IF(COUNTIF(Comp3[Comparable '#3 Dates],Benchmark1[[#This Row],[Benchmark '#1 Dates]])=1,"Pass","Fail")</f>
        <v>Pass</v>
      </c>
      <c r="Q623" s="6">
        <f>IF(Benchmark1[[#This Row],[Comparable '#3 Date Check]]="Pass",INDEX(Comp3[Comparable '#3 Price],MATCH(Benchmark1[[#This Row],[Benchmark '#1 Dates]],Comp3[Comparable '#3 Dates],0)),"-")</f>
        <v>96.19</v>
      </c>
      <c r="R623" s="22">
        <f>IF(Benchmark1[[#This Row],[Comparable '#3 Date Check]]="Pass",INDEX(Comp3[Comparable '#3 Return],MATCH(Benchmark1[[#This Row],[Benchmark '#1 Dates]],Comp3[Comparable '#3 Dates],0)),"-")</f>
        <v>-1.4347152223166883E-2</v>
      </c>
      <c r="S623" s="1">
        <f>IFERROR(IF(Benchmark1[[#This Row],[Comparable '#3 Date Check]]="Pass",Benchmark1[[#This Row],[Comparable '#3 Return]]-Benchmark1[[#This Row],[Benchmark '#1 Return]],"-"),"-")</f>
        <v>-1.0433577834550784E-2</v>
      </c>
    </row>
    <row r="624" spans="1:19">
      <c r="A624" s="103">
        <v>44187</v>
      </c>
      <c r="B624" s="104">
        <v>3687.2604795347734</v>
      </c>
      <c r="C624" s="4">
        <f t="shared" si="9"/>
        <v>-2.0750571314171735E-3</v>
      </c>
      <c r="D624" s="1" t="str">
        <f>IF(COUNTIF(Target1[Target Dates],Benchmark1[[#This Row],[Benchmark '#1 Dates]])=1,"Pass","Fail")</f>
        <v>Pass</v>
      </c>
      <c r="E624" s="6">
        <f>IF(Benchmark1[[#This Row],[Target Date Check]]="Pass",INDEX(Target1[Target Price],MATCH(Benchmark1[[#This Row],[Benchmark '#1 Dates]],Target1[Target Dates],0)),"-")</f>
        <v>22.49</v>
      </c>
      <c r="F624" s="22">
        <f>IF(Benchmark1[[#This Row],[Target Date Check]]="Pass",INDEX(Target1[Target Return],MATCH(Benchmark1[[#This Row],[Benchmark '#1 Dates]],Target1[Target Dates],0)),"-")</f>
        <v>-1.0174827881726314E-2</v>
      </c>
      <c r="G624" s="1">
        <f>IFERROR(IF(Benchmark1[[#This Row],[Target Date Check]]="Pass",Benchmark1[[#This Row],[Target Return]]-Benchmark1[[#This Row],[Benchmark '#1 Return]],"-"),"-")</f>
        <v>-8.0997707503091404E-3</v>
      </c>
      <c r="H624" s="1" t="str">
        <f>IF(COUNTIF(Comp1[Comparable '#1 Dates],Benchmark1[[#This Row],[Benchmark '#1 Dates]])=1,"Pass","Fail")</f>
        <v>Pass</v>
      </c>
      <c r="I624" s="6">
        <f>IF(Benchmark1[[#This Row],[Comparable '#1 Date Check]]="Pass",INDEX(Comp1[Comparable '#1 Price],MATCH(Benchmark1[[#This Row],[Benchmark '#1 Dates]],Comp1[Comparable '#1 Dates],0)),"-")</f>
        <v>14.9</v>
      </c>
      <c r="J624" s="22">
        <f>IF(Benchmark1[[#This Row],[Comparable '#1 Date Check]]="Pass",INDEX(Comp1[Comparable '#1 Return],MATCH(Benchmark1[[#This Row],[Benchmark '#1 Dates]],Comp1[Comparable '#1 Dates],0)),"-")</f>
        <v>-8.6869908134695594E-3</v>
      </c>
      <c r="K624" s="1">
        <f>IFERROR(IF(Benchmark1[[#This Row],[Comparable '#1 Date Check]]="Pass",Benchmark1[[#This Row],[Comparable '#1 Return]]-Benchmark1[[#This Row],[Benchmark '#1 Return]],"-"),"-")</f>
        <v>-6.6119336820523854E-3</v>
      </c>
      <c r="L624" s="1" t="str">
        <f>IF(COUNTIF(Comp2[Comparable '#2 Dates],Benchmark1[[#This Row],[Benchmark '#1 Dates]])=1,"Pass","Fail")</f>
        <v>Pass</v>
      </c>
      <c r="M624" s="6">
        <f>IF(Benchmark1[[#This Row],[Comparable '#2 Date Check]]="Pass",INDEX(Comp2[Comparable '#2 Price],MATCH(Benchmark1[[#This Row],[Benchmark '#1 Dates]],Comp2[Comparable '#2 Dates],0)),"-")</f>
        <v>33.270000000000003</v>
      </c>
      <c r="N624" s="22">
        <f>IF(Benchmark1[[#This Row],[Comparable '#2 Date Check]]="Pass",INDEX(Comp2[Comparable '#2 Return],MATCH(Benchmark1[[#This Row],[Benchmark '#1 Dates]],Comp2[Comparable '#2 Dates],0)),"-")</f>
        <v>-1.9643488765753326E-2</v>
      </c>
      <c r="O624" s="1">
        <f>IFERROR(IF(Benchmark1[[#This Row],[Comparable '#2 Date Check]]="Pass",Benchmark1[[#This Row],[Comparable '#2 Return]]-Benchmark1[[#This Row],[Benchmark '#1 Return]],"-"),"-")</f>
        <v>-1.7568431634336152E-2</v>
      </c>
      <c r="P624" s="1" t="str">
        <f>IF(COUNTIF(Comp3[Comparable '#3 Dates],Benchmark1[[#This Row],[Benchmark '#1 Dates]])=1,"Pass","Fail")</f>
        <v>Pass</v>
      </c>
      <c r="Q624" s="6">
        <f>IF(Benchmark1[[#This Row],[Comparable '#3 Date Check]]="Pass",INDEX(Comp3[Comparable '#3 Price],MATCH(Benchmark1[[#This Row],[Benchmark '#1 Dates]],Comp3[Comparable '#3 Dates],0)),"-")</f>
        <v>93.12</v>
      </c>
      <c r="R624" s="22">
        <f>IF(Benchmark1[[#This Row],[Comparable '#3 Date Check]]="Pass",INDEX(Comp3[Comparable '#3 Return],MATCH(Benchmark1[[#This Row],[Benchmark '#1 Dates]],Comp3[Comparable '#3 Dates],0)),"-")</f>
        <v>-3.2436418181396399E-2</v>
      </c>
      <c r="S624" s="1">
        <f>IFERROR(IF(Benchmark1[[#This Row],[Comparable '#3 Date Check]]="Pass",Benchmark1[[#This Row],[Comparable '#3 Return]]-Benchmark1[[#This Row],[Benchmark '#1 Return]],"-"),"-")</f>
        <v>-3.0361361049979226E-2</v>
      </c>
    </row>
    <row r="625" spans="1:19">
      <c r="A625" s="103">
        <v>44188</v>
      </c>
      <c r="B625" s="104">
        <v>3690.0137969622378</v>
      </c>
      <c r="C625" s="4">
        <f t="shared" si="9"/>
        <v>7.4643220574643302E-4</v>
      </c>
      <c r="D625" s="1" t="str">
        <f>IF(COUNTIF(Target1[Target Dates],Benchmark1[[#This Row],[Benchmark '#1 Dates]])=1,"Pass","Fail")</f>
        <v>Pass</v>
      </c>
      <c r="E625" s="6">
        <f>IF(Benchmark1[[#This Row],[Target Date Check]]="Pass",INDEX(Target1[Target Price],MATCH(Benchmark1[[#This Row],[Benchmark '#1 Dates]],Target1[Target Dates],0)),"-")</f>
        <v>22.23</v>
      </c>
      <c r="F625" s="22">
        <f>IF(Benchmark1[[#This Row],[Target Date Check]]="Pass",INDEX(Target1[Target Return],MATCH(Benchmark1[[#This Row],[Benchmark '#1 Dates]],Target1[Target Dates],0)),"-")</f>
        <v>-1.1628037995118986E-2</v>
      </c>
      <c r="G625" s="1">
        <f>IFERROR(IF(Benchmark1[[#This Row],[Target Date Check]]="Pass",Benchmark1[[#This Row],[Target Return]]-Benchmark1[[#This Row],[Benchmark '#1 Return]],"-"),"-")</f>
        <v>-1.237447020086542E-2</v>
      </c>
      <c r="H625" s="1" t="str">
        <f>IF(COUNTIF(Comp1[Comparable '#1 Dates],Benchmark1[[#This Row],[Benchmark '#1 Dates]])=1,"Pass","Fail")</f>
        <v>Pass</v>
      </c>
      <c r="I625" s="6">
        <f>IF(Benchmark1[[#This Row],[Comparable '#1 Date Check]]="Pass",INDEX(Comp1[Comparable '#1 Price],MATCH(Benchmark1[[#This Row],[Benchmark '#1 Dates]],Comp1[Comparable '#1 Dates],0)),"-")</f>
        <v>15</v>
      </c>
      <c r="J625" s="22">
        <f>IF(Benchmark1[[#This Row],[Comparable '#1 Date Check]]="Pass",INDEX(Comp1[Comparable '#1 Return],MATCH(Benchmark1[[#This Row],[Benchmark '#1 Dates]],Comp1[Comparable '#1 Dates],0)),"-")</f>
        <v>6.6889881507964889E-3</v>
      </c>
      <c r="K625" s="1">
        <f>IFERROR(IF(Benchmark1[[#This Row],[Comparable '#1 Date Check]]="Pass",Benchmark1[[#This Row],[Comparable '#1 Return]]-Benchmark1[[#This Row],[Benchmark '#1 Return]],"-"),"-")</f>
        <v>5.942555945050056E-3</v>
      </c>
      <c r="L625" s="1" t="str">
        <f>IF(COUNTIF(Comp2[Comparable '#2 Dates],Benchmark1[[#This Row],[Benchmark '#1 Dates]])=1,"Pass","Fail")</f>
        <v>Pass</v>
      </c>
      <c r="M625" s="6">
        <f>IF(Benchmark1[[#This Row],[Comparable '#2 Date Check]]="Pass",INDEX(Comp2[Comparable '#2 Price],MATCH(Benchmark1[[#This Row],[Benchmark '#1 Dates]],Comp2[Comparable '#2 Dates],0)),"-")</f>
        <v>33.51</v>
      </c>
      <c r="N625" s="22">
        <f>IF(Benchmark1[[#This Row],[Comparable '#2 Date Check]]="Pass",INDEX(Comp2[Comparable '#2 Return],MATCH(Benchmark1[[#This Row],[Benchmark '#1 Dates]],Comp2[Comparable '#2 Dates],0)),"-")</f>
        <v>7.1878117188336156E-3</v>
      </c>
      <c r="O625" s="1">
        <f>IFERROR(IF(Benchmark1[[#This Row],[Comparable '#2 Date Check]]="Pass",Benchmark1[[#This Row],[Comparable '#2 Return]]-Benchmark1[[#This Row],[Benchmark '#1 Return]],"-"),"-")</f>
        <v>6.4413795130871827E-3</v>
      </c>
      <c r="P625" s="1" t="str">
        <f>IF(COUNTIF(Comp3[Comparable '#3 Dates],Benchmark1[[#This Row],[Benchmark '#1 Dates]])=1,"Pass","Fail")</f>
        <v>Pass</v>
      </c>
      <c r="Q625" s="6">
        <f>IF(Benchmark1[[#This Row],[Comparable '#3 Date Check]]="Pass",INDEX(Comp3[Comparable '#3 Price],MATCH(Benchmark1[[#This Row],[Benchmark '#1 Dates]],Comp3[Comparable '#3 Dates],0)),"-")</f>
        <v>98.01</v>
      </c>
      <c r="R625" s="22">
        <f>IF(Benchmark1[[#This Row],[Comparable '#3 Date Check]]="Pass",INDEX(Comp3[Comparable '#3 Return],MATCH(Benchmark1[[#This Row],[Benchmark '#1 Dates]],Comp3[Comparable '#3 Dates],0)),"-")</f>
        <v>5.118053029796072E-2</v>
      </c>
      <c r="S625" s="1">
        <f>IFERROR(IF(Benchmark1[[#This Row],[Comparable '#3 Date Check]]="Pass",Benchmark1[[#This Row],[Comparable '#3 Return]]-Benchmark1[[#This Row],[Benchmark '#1 Return]],"-"),"-")</f>
        <v>5.0434098092214288E-2</v>
      </c>
    </row>
    <row r="626" spans="1:19">
      <c r="A626" s="103">
        <v>44189</v>
      </c>
      <c r="B626" s="104">
        <v>3703.0578338216264</v>
      </c>
      <c r="C626" s="4">
        <f t="shared" si="9"/>
        <v>3.5287228491900553E-3</v>
      </c>
      <c r="D626" s="1" t="str">
        <f>IF(COUNTIF(Target1[Target Dates],Benchmark1[[#This Row],[Benchmark '#1 Dates]])=1,"Pass","Fail")</f>
        <v>Pass</v>
      </c>
      <c r="E626" s="6">
        <f>IF(Benchmark1[[#This Row],[Target Date Check]]="Pass",INDEX(Target1[Target Price],MATCH(Benchmark1[[#This Row],[Benchmark '#1 Dates]],Target1[Target Dates],0)),"-")</f>
        <v>22.25</v>
      </c>
      <c r="F626" s="22">
        <f>IF(Benchmark1[[#This Row],[Target Date Check]]="Pass",INDEX(Target1[Target Return],MATCH(Benchmark1[[#This Row],[Benchmark '#1 Dates]],Target1[Target Dates],0)),"-")</f>
        <v>8.9928063614401715E-4</v>
      </c>
      <c r="G626" s="1">
        <f>IFERROR(IF(Benchmark1[[#This Row],[Target Date Check]]="Pass",Benchmark1[[#This Row],[Target Return]]-Benchmark1[[#This Row],[Benchmark '#1 Return]],"-"),"-")</f>
        <v>-2.6294422130460383E-3</v>
      </c>
      <c r="H626" s="1" t="str">
        <f>IF(COUNTIF(Comp1[Comparable '#1 Dates],Benchmark1[[#This Row],[Benchmark '#1 Dates]])=1,"Pass","Fail")</f>
        <v>Pass</v>
      </c>
      <c r="I626" s="6">
        <f>IF(Benchmark1[[#This Row],[Comparable '#1 Date Check]]="Pass",INDEX(Comp1[Comparable '#1 Price],MATCH(Benchmark1[[#This Row],[Benchmark '#1 Dates]],Comp1[Comparable '#1 Dates],0)),"-")</f>
        <v>14.96</v>
      </c>
      <c r="J626" s="22">
        <f>IF(Benchmark1[[#This Row],[Comparable '#1 Date Check]]="Pass",INDEX(Comp1[Comparable '#1 Return],MATCH(Benchmark1[[#This Row],[Benchmark '#1 Dates]],Comp1[Comparable '#1 Dates],0)),"-")</f>
        <v>-2.6702285558788097E-3</v>
      </c>
      <c r="K626" s="1">
        <f>IFERROR(IF(Benchmark1[[#This Row],[Comparable '#1 Date Check]]="Pass",Benchmark1[[#This Row],[Comparable '#1 Return]]-Benchmark1[[#This Row],[Benchmark '#1 Return]],"-"),"-")</f>
        <v>-6.198951405068865E-3</v>
      </c>
      <c r="L626" s="1" t="str">
        <f>IF(COUNTIF(Comp2[Comparable '#2 Dates],Benchmark1[[#This Row],[Benchmark '#1 Dates]])=1,"Pass","Fail")</f>
        <v>Pass</v>
      </c>
      <c r="M626" s="6">
        <f>IF(Benchmark1[[#This Row],[Comparable '#2 Date Check]]="Pass",INDEX(Comp2[Comparable '#2 Price],MATCH(Benchmark1[[#This Row],[Benchmark '#1 Dates]],Comp2[Comparable '#2 Dates],0)),"-")</f>
        <v>34.42</v>
      </c>
      <c r="N626" s="22">
        <f>IF(Benchmark1[[#This Row],[Comparable '#2 Date Check]]="Pass",INDEX(Comp2[Comparable '#2 Return],MATCH(Benchmark1[[#This Row],[Benchmark '#1 Dates]],Comp2[Comparable '#2 Dates],0)),"-")</f>
        <v>2.6793889034174366E-2</v>
      </c>
      <c r="O626" s="1">
        <f>IFERROR(IF(Benchmark1[[#This Row],[Comparable '#2 Date Check]]="Pass",Benchmark1[[#This Row],[Comparable '#2 Return]]-Benchmark1[[#This Row],[Benchmark '#1 Return]],"-"),"-")</f>
        <v>2.3265166184984309E-2</v>
      </c>
      <c r="P626" s="1" t="str">
        <f>IF(COUNTIF(Comp3[Comparable '#3 Dates],Benchmark1[[#This Row],[Benchmark '#1 Dates]])=1,"Pass","Fail")</f>
        <v>Pass</v>
      </c>
      <c r="Q626" s="6">
        <f>IF(Benchmark1[[#This Row],[Comparable '#3 Date Check]]="Pass",INDEX(Comp3[Comparable '#3 Price],MATCH(Benchmark1[[#This Row],[Benchmark '#1 Dates]],Comp3[Comparable '#3 Dates],0)),"-")</f>
        <v>97.09</v>
      </c>
      <c r="R626" s="22">
        <f>IF(Benchmark1[[#This Row],[Comparable '#3 Date Check]]="Pass",INDEX(Comp3[Comparable '#3 Return],MATCH(Benchmark1[[#This Row],[Benchmark '#1 Dates]],Comp3[Comparable '#3 Dates],0)),"-")</f>
        <v>-9.4311308990349257E-3</v>
      </c>
      <c r="S626" s="1">
        <f>IFERROR(IF(Benchmark1[[#This Row],[Comparable '#3 Date Check]]="Pass",Benchmark1[[#This Row],[Comparable '#3 Return]]-Benchmark1[[#This Row],[Benchmark '#1 Return]],"-"),"-")</f>
        <v>-1.2959853748224981E-2</v>
      </c>
    </row>
    <row r="627" spans="1:19">
      <c r="A627" s="103">
        <v>44193</v>
      </c>
      <c r="B627" s="104">
        <v>3735.3557261721285</v>
      </c>
      <c r="C627" s="4">
        <f t="shared" si="9"/>
        <v>8.6841354185040673E-3</v>
      </c>
      <c r="D627" s="1" t="str">
        <f>IF(COUNTIF(Target1[Target Dates],Benchmark1[[#This Row],[Benchmark '#1 Dates]])=1,"Pass","Fail")</f>
        <v>Pass</v>
      </c>
      <c r="E627" s="6">
        <f>IF(Benchmark1[[#This Row],[Target Date Check]]="Pass",INDEX(Target1[Target Price],MATCH(Benchmark1[[#This Row],[Benchmark '#1 Dates]],Target1[Target Dates],0)),"-")</f>
        <v>21.75</v>
      </c>
      <c r="F627" s="22">
        <f>IF(Benchmark1[[#This Row],[Target Date Check]]="Pass",INDEX(Target1[Target Return],MATCH(Benchmark1[[#This Row],[Benchmark '#1 Dates]],Target1[Target Dates],0)),"-")</f>
        <v>-2.2728251077556175E-2</v>
      </c>
      <c r="G627" s="1">
        <f>IFERROR(IF(Benchmark1[[#This Row],[Target Date Check]]="Pass",Benchmark1[[#This Row],[Target Return]]-Benchmark1[[#This Row],[Benchmark '#1 Return]],"-"),"-")</f>
        <v>-3.1412386496060242E-2</v>
      </c>
      <c r="H627" s="1" t="str">
        <f>IF(COUNTIF(Comp1[Comparable '#1 Dates],Benchmark1[[#This Row],[Benchmark '#1 Dates]])=1,"Pass","Fail")</f>
        <v>Pass</v>
      </c>
      <c r="I627" s="6">
        <f>IF(Benchmark1[[#This Row],[Comparable '#1 Date Check]]="Pass",INDEX(Comp1[Comparable '#1 Price],MATCH(Benchmark1[[#This Row],[Benchmark '#1 Dates]],Comp1[Comparable '#1 Dates],0)),"-")</f>
        <v>15.07</v>
      </c>
      <c r="J627" s="22">
        <f>IF(Benchmark1[[#This Row],[Comparable '#1 Date Check]]="Pass",INDEX(Comp1[Comparable '#1 Return],MATCH(Benchmark1[[#This Row],[Benchmark '#1 Dates]],Comp1[Comparable '#1 Dates],0)),"-")</f>
        <v>7.3260400920728812E-3</v>
      </c>
      <c r="K627" s="1">
        <f>IFERROR(IF(Benchmark1[[#This Row],[Comparable '#1 Date Check]]="Pass",Benchmark1[[#This Row],[Comparable '#1 Return]]-Benchmark1[[#This Row],[Benchmark '#1 Return]],"-"),"-")</f>
        <v>-1.358095326431186E-3</v>
      </c>
      <c r="L627" s="1" t="str">
        <f>IF(COUNTIF(Comp2[Comparable '#2 Dates],Benchmark1[[#This Row],[Benchmark '#1 Dates]])=1,"Pass","Fail")</f>
        <v>Pass</v>
      </c>
      <c r="M627" s="6">
        <f>IF(Benchmark1[[#This Row],[Comparable '#2 Date Check]]="Pass",INDEX(Comp2[Comparable '#2 Price],MATCH(Benchmark1[[#This Row],[Benchmark '#1 Dates]],Comp2[Comparable '#2 Dates],0)),"-")</f>
        <v>34.049999999999997</v>
      </c>
      <c r="N627" s="22">
        <f>IF(Benchmark1[[#This Row],[Comparable '#2 Date Check]]="Pass",INDEX(Comp2[Comparable '#2 Return],MATCH(Benchmark1[[#This Row],[Benchmark '#1 Dates]],Comp2[Comparable '#2 Dates],0)),"-")</f>
        <v>-1.0807758187872087E-2</v>
      </c>
      <c r="O627" s="1">
        <f>IFERROR(IF(Benchmark1[[#This Row],[Comparable '#2 Date Check]]="Pass",Benchmark1[[#This Row],[Comparable '#2 Return]]-Benchmark1[[#This Row],[Benchmark '#1 Return]],"-"),"-")</f>
        <v>-1.9491893606376154E-2</v>
      </c>
      <c r="P627" s="1" t="str">
        <f>IF(COUNTIF(Comp3[Comparable '#3 Dates],Benchmark1[[#This Row],[Benchmark '#1 Dates]])=1,"Pass","Fail")</f>
        <v>Pass</v>
      </c>
      <c r="Q627" s="6">
        <f>IF(Benchmark1[[#This Row],[Comparable '#3 Date Check]]="Pass",INDEX(Comp3[Comparable '#3 Price],MATCH(Benchmark1[[#This Row],[Benchmark '#1 Dates]],Comp3[Comparable '#3 Dates],0)),"-")</f>
        <v>97.14</v>
      </c>
      <c r="R627" s="22">
        <f>IF(Benchmark1[[#This Row],[Comparable '#3 Date Check]]="Pass",INDEX(Comp3[Comparable '#3 Return],MATCH(Benchmark1[[#This Row],[Benchmark '#1 Dates]],Comp3[Comparable '#3 Dates],0)),"-")</f>
        <v>5.1485353554529226E-4</v>
      </c>
      <c r="S627" s="1">
        <f>IFERROR(IF(Benchmark1[[#This Row],[Comparable '#3 Date Check]]="Pass",Benchmark1[[#This Row],[Comparable '#3 Return]]-Benchmark1[[#This Row],[Benchmark '#1 Return]],"-"),"-")</f>
        <v>-8.1692818829587743E-3</v>
      </c>
    </row>
    <row r="628" spans="1:19">
      <c r="A628" s="103">
        <v>44194</v>
      </c>
      <c r="B628" s="104">
        <v>3727.0400782201937</v>
      </c>
      <c r="C628" s="4">
        <f t="shared" si="9"/>
        <v>-2.2286814079305784E-3</v>
      </c>
      <c r="D628" s="1" t="str">
        <f>IF(COUNTIF(Target1[Target Dates],Benchmark1[[#This Row],[Benchmark '#1 Dates]])=1,"Pass","Fail")</f>
        <v>Pass</v>
      </c>
      <c r="E628" s="6">
        <f>IF(Benchmark1[[#This Row],[Target Date Check]]="Pass",INDEX(Target1[Target Price],MATCH(Benchmark1[[#This Row],[Benchmark '#1 Dates]],Target1[Target Dates],0)),"-")</f>
        <v>21.06</v>
      </c>
      <c r="F628" s="22">
        <f>IF(Benchmark1[[#This Row],[Target Date Check]]="Pass",INDEX(Target1[Target Return],MATCH(Benchmark1[[#This Row],[Benchmark '#1 Dates]],Target1[Target Dates],0)),"-")</f>
        <v>-3.2238250828863745E-2</v>
      </c>
      <c r="G628" s="1">
        <f>IFERROR(IF(Benchmark1[[#This Row],[Target Date Check]]="Pass",Benchmark1[[#This Row],[Target Return]]-Benchmark1[[#This Row],[Benchmark '#1 Return]],"-"),"-")</f>
        <v>-3.0009569420933167E-2</v>
      </c>
      <c r="H628" s="1" t="str">
        <f>IF(COUNTIF(Comp1[Comparable '#1 Dates],Benchmark1[[#This Row],[Benchmark '#1 Dates]])=1,"Pass","Fail")</f>
        <v>Pass</v>
      </c>
      <c r="I628" s="6">
        <f>IF(Benchmark1[[#This Row],[Comparable '#1 Date Check]]="Pass",INDEX(Comp1[Comparable '#1 Price],MATCH(Benchmark1[[#This Row],[Benchmark '#1 Dates]],Comp1[Comparable '#1 Dates],0)),"-")</f>
        <v>14.84</v>
      </c>
      <c r="J628" s="22">
        <f>IF(Benchmark1[[#This Row],[Comparable '#1 Date Check]]="Pass",INDEX(Comp1[Comparable '#1 Return],MATCH(Benchmark1[[#This Row],[Benchmark '#1 Dates]],Comp1[Comparable '#1 Dates],0)),"-")</f>
        <v>-1.5379774899169734E-2</v>
      </c>
      <c r="K628" s="1">
        <f>IFERROR(IF(Benchmark1[[#This Row],[Comparable '#1 Date Check]]="Pass",Benchmark1[[#This Row],[Comparable '#1 Return]]-Benchmark1[[#This Row],[Benchmark '#1 Return]],"-"),"-")</f>
        <v>-1.3151093491239156E-2</v>
      </c>
      <c r="L628" s="1" t="str">
        <f>IF(COUNTIF(Comp2[Comparable '#2 Dates],Benchmark1[[#This Row],[Benchmark '#1 Dates]])=1,"Pass","Fail")</f>
        <v>Pass</v>
      </c>
      <c r="M628" s="6">
        <f>IF(Benchmark1[[#This Row],[Comparable '#2 Date Check]]="Pass",INDEX(Comp2[Comparable '#2 Price],MATCH(Benchmark1[[#This Row],[Benchmark '#1 Dates]],Comp2[Comparable '#2 Dates],0)),"-")</f>
        <v>32.89</v>
      </c>
      <c r="N628" s="22">
        <f>IF(Benchmark1[[#This Row],[Comparable '#2 Date Check]]="Pass",INDEX(Comp2[Comparable '#2 Return],MATCH(Benchmark1[[#This Row],[Benchmark '#1 Dates]],Comp2[Comparable '#2 Dates],0)),"-")</f>
        <v>-3.4661372394555655E-2</v>
      </c>
      <c r="O628" s="1">
        <f>IFERROR(IF(Benchmark1[[#This Row],[Comparable '#2 Date Check]]="Pass",Benchmark1[[#This Row],[Comparable '#2 Return]]-Benchmark1[[#This Row],[Benchmark '#1 Return]],"-"),"-")</f>
        <v>-3.2432690986625073E-2</v>
      </c>
      <c r="P628" s="1" t="str">
        <f>IF(COUNTIF(Comp3[Comparable '#3 Dates],Benchmark1[[#This Row],[Benchmark '#1 Dates]])=1,"Pass","Fail")</f>
        <v>Pass</v>
      </c>
      <c r="Q628" s="6">
        <f>IF(Benchmark1[[#This Row],[Comparable '#3 Date Check]]="Pass",INDEX(Comp3[Comparable '#3 Price],MATCH(Benchmark1[[#This Row],[Benchmark '#1 Dates]],Comp3[Comparable '#3 Dates],0)),"-")</f>
        <v>93.81</v>
      </c>
      <c r="R628" s="22">
        <f>IF(Benchmark1[[#This Row],[Comparable '#3 Date Check]]="Pass",INDEX(Comp3[Comparable '#3 Return],MATCH(Benchmark1[[#This Row],[Benchmark '#1 Dates]],Comp3[Comparable '#3 Dates],0)),"-")</f>
        <v>-3.4881776779739172E-2</v>
      </c>
      <c r="S628" s="1">
        <f>IFERROR(IF(Benchmark1[[#This Row],[Comparable '#3 Date Check]]="Pass",Benchmark1[[#This Row],[Comparable '#3 Return]]-Benchmark1[[#This Row],[Benchmark '#1 Return]],"-"),"-")</f>
        <v>-3.2653095371808591E-2</v>
      </c>
    </row>
    <row r="629" spans="1:19">
      <c r="A629" s="103">
        <v>44195</v>
      </c>
      <c r="B629" s="104">
        <v>3732.0419975507057</v>
      </c>
      <c r="C629" s="4">
        <f t="shared" si="9"/>
        <v>1.3411623654101222E-3</v>
      </c>
      <c r="D629" s="1" t="str">
        <f>IF(COUNTIF(Target1[Target Dates],Benchmark1[[#This Row],[Benchmark '#1 Dates]])=1,"Pass","Fail")</f>
        <v>Pass</v>
      </c>
      <c r="E629" s="6">
        <f>IF(Benchmark1[[#This Row],[Target Date Check]]="Pass",INDEX(Target1[Target Price],MATCH(Benchmark1[[#This Row],[Benchmark '#1 Dates]],Target1[Target Dates],0)),"-")</f>
        <v>21.58</v>
      </c>
      <c r="F629" s="22">
        <f>IF(Benchmark1[[#This Row],[Target Date Check]]="Pass",INDEX(Target1[Target Return],MATCH(Benchmark1[[#This Row],[Benchmark '#1 Dates]],Target1[Target Dates],0)),"-")</f>
        <v>2.4391453124159048E-2</v>
      </c>
      <c r="G629" s="1">
        <f>IFERROR(IF(Benchmark1[[#This Row],[Target Date Check]]="Pass",Benchmark1[[#This Row],[Target Return]]-Benchmark1[[#This Row],[Benchmark '#1 Return]],"-"),"-")</f>
        <v>2.3050290758748926E-2</v>
      </c>
      <c r="H629" s="1" t="str">
        <f>IF(COUNTIF(Comp1[Comparable '#1 Dates],Benchmark1[[#This Row],[Benchmark '#1 Dates]])=1,"Pass","Fail")</f>
        <v>Pass</v>
      </c>
      <c r="I629" s="6">
        <f>IF(Benchmark1[[#This Row],[Comparable '#1 Date Check]]="Pass",INDEX(Comp1[Comparable '#1 Price],MATCH(Benchmark1[[#This Row],[Benchmark '#1 Dates]],Comp1[Comparable '#1 Dates],0)),"-")</f>
        <v>14.74</v>
      </c>
      <c r="J629" s="22">
        <f>IF(Benchmark1[[#This Row],[Comparable '#1 Date Check]]="Pass",INDEX(Comp1[Comparable '#1 Return],MATCH(Benchmark1[[#This Row],[Benchmark '#1 Dates]],Comp1[Comparable '#1 Dates],0)),"-")</f>
        <v>-6.7613509780437954E-3</v>
      </c>
      <c r="K629" s="1">
        <f>IFERROR(IF(Benchmark1[[#This Row],[Comparable '#1 Date Check]]="Pass",Benchmark1[[#This Row],[Comparable '#1 Return]]-Benchmark1[[#This Row],[Benchmark '#1 Return]],"-"),"-")</f>
        <v>-8.1025133434539168E-3</v>
      </c>
      <c r="L629" s="1" t="str">
        <f>IF(COUNTIF(Comp2[Comparable '#2 Dates],Benchmark1[[#This Row],[Benchmark '#1 Dates]])=1,"Pass","Fail")</f>
        <v>Pass</v>
      </c>
      <c r="M629" s="6">
        <f>IF(Benchmark1[[#This Row],[Comparable '#2 Date Check]]="Pass",INDEX(Comp2[Comparable '#2 Price],MATCH(Benchmark1[[#This Row],[Benchmark '#1 Dates]],Comp2[Comparable '#2 Dates],0)),"-")</f>
        <v>32.909999999999997</v>
      </c>
      <c r="N629" s="22">
        <f>IF(Benchmark1[[#This Row],[Comparable '#2 Date Check]]="Pass",INDEX(Comp2[Comparable '#2 Return],MATCH(Benchmark1[[#This Row],[Benchmark '#1 Dates]],Comp2[Comparable '#2 Dates],0)),"-")</f>
        <v>6.0790275428294579E-4</v>
      </c>
      <c r="O629" s="1">
        <f>IFERROR(IF(Benchmark1[[#This Row],[Comparable '#2 Date Check]]="Pass",Benchmark1[[#This Row],[Comparable '#2 Return]]-Benchmark1[[#This Row],[Benchmark '#1 Return]],"-"),"-")</f>
        <v>-7.3325961112717642E-4</v>
      </c>
      <c r="P629" s="1" t="str">
        <f>IF(COUNTIF(Comp3[Comparable '#3 Dates],Benchmark1[[#This Row],[Benchmark '#1 Dates]])=1,"Pass","Fail")</f>
        <v>Pass</v>
      </c>
      <c r="Q629" s="6">
        <f>IF(Benchmark1[[#This Row],[Comparable '#3 Date Check]]="Pass",INDEX(Comp3[Comparable '#3 Price],MATCH(Benchmark1[[#This Row],[Benchmark '#1 Dates]],Comp3[Comparable '#3 Dates],0)),"-")</f>
        <v>96</v>
      </c>
      <c r="R629" s="22">
        <f>IF(Benchmark1[[#This Row],[Comparable '#3 Date Check]]="Pass",INDEX(Comp3[Comparable '#3 Return],MATCH(Benchmark1[[#This Row],[Benchmark '#1 Dates]],Comp3[Comparable '#3 Dates],0)),"-")</f>
        <v>2.3076731329976646E-2</v>
      </c>
      <c r="S629" s="1">
        <f>IFERROR(IF(Benchmark1[[#This Row],[Comparable '#3 Date Check]]="Pass",Benchmark1[[#This Row],[Comparable '#3 Return]]-Benchmark1[[#This Row],[Benchmark '#1 Return]],"-"),"-")</f>
        <v>2.1735568964566524E-2</v>
      </c>
    </row>
    <row r="630" spans="1:19">
      <c r="A630" s="103">
        <v>44196</v>
      </c>
      <c r="B630" s="104">
        <v>3756.0714689572019</v>
      </c>
      <c r="C630" s="4">
        <f t="shared" si="9"/>
        <v>6.4180528240884412E-3</v>
      </c>
      <c r="D630" s="1" t="str">
        <f>IF(COUNTIF(Target1[Target Dates],Benchmark1[[#This Row],[Benchmark '#1 Dates]])=1,"Pass","Fail")</f>
        <v>Pass</v>
      </c>
      <c r="E630" s="6">
        <f>IF(Benchmark1[[#This Row],[Target Date Check]]="Pass",INDEX(Target1[Target Price],MATCH(Benchmark1[[#This Row],[Benchmark '#1 Dates]],Target1[Target Dates],0)),"-")</f>
        <v>21.23</v>
      </c>
      <c r="F630" s="22">
        <f>IF(Benchmark1[[#This Row],[Target Date Check]]="Pass",INDEX(Target1[Target Return],MATCH(Benchmark1[[#This Row],[Benchmark '#1 Dates]],Target1[Target Dates],0)),"-")</f>
        <v>-1.6351684114823767E-2</v>
      </c>
      <c r="G630" s="1">
        <f>IFERROR(IF(Benchmark1[[#This Row],[Target Date Check]]="Pass",Benchmark1[[#This Row],[Target Return]]-Benchmark1[[#This Row],[Benchmark '#1 Return]],"-"),"-")</f>
        <v>-2.2769736938912207E-2</v>
      </c>
      <c r="H630" s="1" t="str">
        <f>IF(COUNTIF(Comp1[Comparable '#1 Dates],Benchmark1[[#This Row],[Benchmark '#1 Dates]])=1,"Pass","Fail")</f>
        <v>Pass</v>
      </c>
      <c r="I630" s="6">
        <f>IF(Benchmark1[[#This Row],[Comparable '#1 Date Check]]="Pass",INDEX(Comp1[Comparable '#1 Price],MATCH(Benchmark1[[#This Row],[Benchmark '#1 Dates]],Comp1[Comparable '#1 Dates],0)),"-")</f>
        <v>14.56</v>
      </c>
      <c r="J630" s="22">
        <f>IF(Benchmark1[[#This Row],[Comparable '#1 Date Check]]="Pass",INDEX(Comp1[Comparable '#1 Return],MATCH(Benchmark1[[#This Row],[Benchmark '#1 Dates]],Comp1[Comparable '#1 Dates],0)),"-")</f>
        <v>-1.2286843992650578E-2</v>
      </c>
      <c r="K630" s="1">
        <f>IFERROR(IF(Benchmark1[[#This Row],[Comparable '#1 Date Check]]="Pass",Benchmark1[[#This Row],[Comparable '#1 Return]]-Benchmark1[[#This Row],[Benchmark '#1 Return]],"-"),"-")</f>
        <v>-1.8704896816739019E-2</v>
      </c>
      <c r="L630" s="1" t="str">
        <f>IF(COUNTIF(Comp2[Comparable '#2 Dates],Benchmark1[[#This Row],[Benchmark '#1 Dates]])=1,"Pass","Fail")</f>
        <v>Pass</v>
      </c>
      <c r="M630" s="6">
        <f>IF(Benchmark1[[#This Row],[Comparable '#2 Date Check]]="Pass",INDEX(Comp2[Comparable '#2 Price],MATCH(Benchmark1[[#This Row],[Benchmark '#1 Dates]],Comp2[Comparable '#2 Dates],0)),"-")</f>
        <v>33.950000000000003</v>
      </c>
      <c r="N630" s="22">
        <f>IF(Benchmark1[[#This Row],[Comparable '#2 Date Check]]="Pass",INDEX(Comp2[Comparable '#2 Return],MATCH(Benchmark1[[#This Row],[Benchmark '#1 Dates]],Comp2[Comparable '#2 Dates],0)),"-")</f>
        <v>3.1112291049456845E-2</v>
      </c>
      <c r="O630" s="1">
        <f>IFERROR(IF(Benchmark1[[#This Row],[Comparable '#2 Date Check]]="Pass",Benchmark1[[#This Row],[Comparable '#2 Return]]-Benchmark1[[#This Row],[Benchmark '#1 Return]],"-"),"-")</f>
        <v>2.4694238225368405E-2</v>
      </c>
      <c r="P630" s="1" t="str">
        <f>IF(COUNTIF(Comp3[Comparable '#3 Dates],Benchmark1[[#This Row],[Benchmark '#1 Dates]])=1,"Pass","Fail")</f>
        <v>Pass</v>
      </c>
      <c r="Q630" s="6">
        <f>IF(Benchmark1[[#This Row],[Comparable '#3 Date Check]]="Pass",INDEX(Comp3[Comparable '#3 Price],MATCH(Benchmark1[[#This Row],[Benchmark '#1 Dates]],Comp3[Comparable '#3 Dates],0)),"-")</f>
        <v>95.33</v>
      </c>
      <c r="R630" s="22">
        <f>IF(Benchmark1[[#This Row],[Comparable '#3 Date Check]]="Pass",INDEX(Comp3[Comparable '#3 Return],MATCH(Benchmark1[[#This Row],[Benchmark '#1 Dates]],Comp3[Comparable '#3 Dates],0)),"-")</f>
        <v>-7.0036349623494405E-3</v>
      </c>
      <c r="S630" s="1">
        <f>IFERROR(IF(Benchmark1[[#This Row],[Comparable '#3 Date Check]]="Pass",Benchmark1[[#This Row],[Comparable '#3 Return]]-Benchmark1[[#This Row],[Benchmark '#1 Return]],"-"),"-")</f>
        <v>-1.3421687786437882E-2</v>
      </c>
    </row>
    <row r="631" spans="1:19">
      <c r="A631" s="103">
        <v>44200</v>
      </c>
      <c r="B631" s="104">
        <v>3700.6468301813161</v>
      </c>
      <c r="C631" s="4">
        <f t="shared" si="9"/>
        <v>-1.4865965769817436E-2</v>
      </c>
      <c r="D631" s="1" t="str">
        <f>IF(COUNTIF(Target1[Target Dates],Benchmark1[[#This Row],[Benchmark '#1 Dates]])=1,"Pass","Fail")</f>
        <v>Pass</v>
      </c>
      <c r="E631" s="6">
        <f>IF(Benchmark1[[#This Row],[Target Date Check]]="Pass",INDEX(Target1[Target Price],MATCH(Benchmark1[[#This Row],[Benchmark '#1 Dates]],Target1[Target Dates],0)),"-")</f>
        <v>21.01</v>
      </c>
      <c r="F631" s="22">
        <f>IF(Benchmark1[[#This Row],[Target Date Check]]="Pass",INDEX(Target1[Target Return],MATCH(Benchmark1[[#This Row],[Benchmark '#1 Dates]],Target1[Target Dates],0)),"-")</f>
        <v>-1.0416760858255604E-2</v>
      </c>
      <c r="G631" s="1">
        <f>IFERROR(IF(Benchmark1[[#This Row],[Target Date Check]]="Pass",Benchmark1[[#This Row],[Target Return]]-Benchmark1[[#This Row],[Benchmark '#1 Return]],"-"),"-")</f>
        <v>4.4492049115618312E-3</v>
      </c>
      <c r="H631" s="1" t="str">
        <f>IF(COUNTIF(Comp1[Comparable '#1 Dates],Benchmark1[[#This Row],[Benchmark '#1 Dates]])=1,"Pass","Fail")</f>
        <v>Pass</v>
      </c>
      <c r="I631" s="6">
        <f>IF(Benchmark1[[#This Row],[Comparable '#1 Date Check]]="Pass",INDEX(Comp1[Comparable '#1 Price],MATCH(Benchmark1[[#This Row],[Benchmark '#1 Dates]],Comp1[Comparable '#1 Dates],0)),"-")</f>
        <v>14.31</v>
      </c>
      <c r="J631" s="22">
        <f>IF(Benchmark1[[#This Row],[Comparable '#1 Date Check]]="Pass",INDEX(Comp1[Comparable '#1 Return],MATCH(Benchmark1[[#This Row],[Benchmark '#1 Dates]],Comp1[Comparable '#1 Dates],0)),"-")</f>
        <v>-1.7319449200180421E-2</v>
      </c>
      <c r="K631" s="1">
        <f>IFERROR(IF(Benchmark1[[#This Row],[Comparable '#1 Date Check]]="Pass",Benchmark1[[#This Row],[Comparable '#1 Return]]-Benchmark1[[#This Row],[Benchmark '#1 Return]],"-"),"-")</f>
        <v>-2.4534834303629859E-3</v>
      </c>
      <c r="L631" s="1" t="str">
        <f>IF(COUNTIF(Comp2[Comparable '#2 Dates],Benchmark1[[#This Row],[Benchmark '#1 Dates]])=1,"Pass","Fail")</f>
        <v>Pass</v>
      </c>
      <c r="M631" s="6">
        <f>IF(Benchmark1[[#This Row],[Comparable '#2 Date Check]]="Pass",INDEX(Comp2[Comparable '#2 Price],MATCH(Benchmark1[[#This Row],[Benchmark '#1 Dates]],Comp2[Comparable '#2 Dates],0)),"-")</f>
        <v>32.03</v>
      </c>
      <c r="N631" s="22">
        <f>IF(Benchmark1[[#This Row],[Comparable '#2 Date Check]]="Pass",INDEX(Comp2[Comparable '#2 Return],MATCH(Benchmark1[[#This Row],[Benchmark '#1 Dates]],Comp2[Comparable '#2 Dates],0)),"-")</f>
        <v>-5.8215890383638377E-2</v>
      </c>
      <c r="O631" s="1">
        <f>IFERROR(IF(Benchmark1[[#This Row],[Comparable '#2 Date Check]]="Pass",Benchmark1[[#This Row],[Comparable '#2 Return]]-Benchmark1[[#This Row],[Benchmark '#1 Return]],"-"),"-")</f>
        <v>-4.3349924613820943E-2</v>
      </c>
      <c r="P631" s="1" t="str">
        <f>IF(COUNTIF(Comp3[Comparable '#3 Dates],Benchmark1[[#This Row],[Benchmark '#1 Dates]])=1,"Pass","Fail")</f>
        <v>Pass</v>
      </c>
      <c r="Q631" s="6">
        <f>IF(Benchmark1[[#This Row],[Comparable '#3 Date Check]]="Pass",INDEX(Comp3[Comparable '#3 Price],MATCH(Benchmark1[[#This Row],[Benchmark '#1 Dates]],Comp3[Comparable '#3 Dates],0)),"-")</f>
        <v>91.84</v>
      </c>
      <c r="R631" s="22">
        <f>IF(Benchmark1[[#This Row],[Comparable '#3 Date Check]]="Pass",INDEX(Comp3[Comparable '#3 Return],MATCH(Benchmark1[[#This Row],[Benchmark '#1 Dates]],Comp3[Comparable '#3 Dates],0)),"-")</f>
        <v>-3.7296623934230472E-2</v>
      </c>
      <c r="S631" s="1">
        <f>IFERROR(IF(Benchmark1[[#This Row],[Comparable '#3 Date Check]]="Pass",Benchmark1[[#This Row],[Comparable '#3 Return]]-Benchmark1[[#This Row],[Benchmark '#1 Return]],"-"),"-")</f>
        <v>-2.2430658164413038E-2</v>
      </c>
    </row>
    <row r="632" spans="1:19">
      <c r="A632" s="103">
        <v>44201</v>
      </c>
      <c r="B632" s="104">
        <v>3726.855809644178</v>
      </c>
      <c r="C632" s="4">
        <f t="shared" si="9"/>
        <v>7.0573083614241579E-3</v>
      </c>
      <c r="D632" s="1" t="str">
        <f>IF(COUNTIF(Target1[Target Dates],Benchmark1[[#This Row],[Benchmark '#1 Dates]])=1,"Pass","Fail")</f>
        <v>Pass</v>
      </c>
      <c r="E632" s="6">
        <f>IF(Benchmark1[[#This Row],[Target Date Check]]="Pass",INDEX(Target1[Target Price],MATCH(Benchmark1[[#This Row],[Benchmark '#1 Dates]],Target1[Target Dates],0)),"-")</f>
        <v>21.63</v>
      </c>
      <c r="F632" s="22">
        <f>IF(Benchmark1[[#This Row],[Target Date Check]]="Pass",INDEX(Target1[Target Return],MATCH(Benchmark1[[#This Row],[Benchmark '#1 Dates]],Target1[Target Dates],0)),"-")</f>
        <v>2.9082725108058174E-2</v>
      </c>
      <c r="G632" s="1">
        <f>IFERROR(IF(Benchmark1[[#This Row],[Target Date Check]]="Pass",Benchmark1[[#This Row],[Target Return]]-Benchmark1[[#This Row],[Benchmark '#1 Return]],"-"),"-")</f>
        <v>2.2025416746634018E-2</v>
      </c>
      <c r="H632" s="1" t="str">
        <f>IF(COUNTIF(Comp1[Comparable '#1 Dates],Benchmark1[[#This Row],[Benchmark '#1 Dates]])=1,"Pass","Fail")</f>
        <v>Pass</v>
      </c>
      <c r="I632" s="6">
        <f>IF(Benchmark1[[#This Row],[Comparable '#1 Date Check]]="Pass",INDEX(Comp1[Comparable '#1 Price],MATCH(Benchmark1[[#This Row],[Benchmark '#1 Dates]],Comp1[Comparable '#1 Dates],0)),"-")</f>
        <v>14.27</v>
      </c>
      <c r="J632" s="22">
        <f>IF(Benchmark1[[#This Row],[Comparable '#1 Date Check]]="Pass",INDEX(Comp1[Comparable '#1 Return],MATCH(Benchmark1[[#This Row],[Benchmark '#1 Dates]],Comp1[Comparable '#1 Dates],0)),"-")</f>
        <v>-2.7991620796145775E-3</v>
      </c>
      <c r="K632" s="1">
        <f>IFERROR(IF(Benchmark1[[#This Row],[Comparable '#1 Date Check]]="Pass",Benchmark1[[#This Row],[Comparable '#1 Return]]-Benchmark1[[#This Row],[Benchmark '#1 Return]],"-"),"-")</f>
        <v>-9.8564704410387359E-3</v>
      </c>
      <c r="L632" s="1" t="str">
        <f>IF(COUNTIF(Comp2[Comparable '#2 Dates],Benchmark1[[#This Row],[Benchmark '#1 Dates]])=1,"Pass","Fail")</f>
        <v>Pass</v>
      </c>
      <c r="M632" s="6">
        <f>IF(Benchmark1[[#This Row],[Comparable '#2 Date Check]]="Pass",INDEX(Comp2[Comparable '#2 Price],MATCH(Benchmark1[[#This Row],[Benchmark '#1 Dates]],Comp2[Comparable '#2 Dates],0)),"-")</f>
        <v>32.590000000000003</v>
      </c>
      <c r="N632" s="22">
        <f>IF(Benchmark1[[#This Row],[Comparable '#2 Date Check]]="Pass",INDEX(Comp2[Comparable '#2 Return],MATCH(Benchmark1[[#This Row],[Benchmark '#1 Dates]],Comp2[Comparable '#2 Dates],0)),"-")</f>
        <v>1.7332529228403486E-2</v>
      </c>
      <c r="O632" s="1">
        <f>IFERROR(IF(Benchmark1[[#This Row],[Comparable '#2 Date Check]]="Pass",Benchmark1[[#This Row],[Comparable '#2 Return]]-Benchmark1[[#This Row],[Benchmark '#1 Return]],"-"),"-")</f>
        <v>1.0275220866979328E-2</v>
      </c>
      <c r="P632" s="1" t="str">
        <f>IF(COUNTIF(Comp3[Comparable '#3 Dates],Benchmark1[[#This Row],[Benchmark '#1 Dates]])=1,"Pass","Fail")</f>
        <v>Pass</v>
      </c>
      <c r="Q632" s="6">
        <f>IF(Benchmark1[[#This Row],[Comparable '#3 Date Check]]="Pass",INDEX(Comp3[Comparable '#3 Price],MATCH(Benchmark1[[#This Row],[Benchmark '#1 Dates]],Comp3[Comparable '#3 Dates],0)),"-")</f>
        <v>94.81</v>
      </c>
      <c r="R632" s="22">
        <f>IF(Benchmark1[[#This Row],[Comparable '#3 Date Check]]="Pass",INDEX(Comp3[Comparable '#3 Return],MATCH(Benchmark1[[#This Row],[Benchmark '#1 Dates]],Comp3[Comparable '#3 Dates],0)),"-")</f>
        <v>3.1826956358611554E-2</v>
      </c>
      <c r="S632" s="1">
        <f>IFERROR(IF(Benchmark1[[#This Row],[Comparable '#3 Date Check]]="Pass",Benchmark1[[#This Row],[Comparable '#3 Return]]-Benchmark1[[#This Row],[Benchmark '#1 Return]],"-"),"-")</f>
        <v>2.4769647997187394E-2</v>
      </c>
    </row>
    <row r="633" spans="1:19">
      <c r="A633" s="103">
        <v>44202</v>
      </c>
      <c r="B633" s="104">
        <v>3748.1378226856514</v>
      </c>
      <c r="C633" s="4">
        <f t="shared" si="9"/>
        <v>5.6942043277013136E-3</v>
      </c>
      <c r="D633" s="1" t="str">
        <f>IF(COUNTIF(Target1[Target Dates],Benchmark1[[#This Row],[Benchmark '#1 Dates]])=1,"Pass","Fail")</f>
        <v>Pass</v>
      </c>
      <c r="E633" s="6">
        <f>IF(Benchmark1[[#This Row],[Target Date Check]]="Pass",INDEX(Target1[Target Price],MATCH(Benchmark1[[#This Row],[Benchmark '#1 Dates]],Target1[Target Dates],0)),"-")</f>
        <v>20.89</v>
      </c>
      <c r="F633" s="22">
        <f>IF(Benchmark1[[#This Row],[Target Date Check]]="Pass",INDEX(Target1[Target Return],MATCH(Benchmark1[[#This Row],[Benchmark '#1 Dates]],Target1[Target Dates],0)),"-")</f>
        <v>-3.4810664396492885E-2</v>
      </c>
      <c r="G633" s="1">
        <f>IFERROR(IF(Benchmark1[[#This Row],[Target Date Check]]="Pass",Benchmark1[[#This Row],[Target Return]]-Benchmark1[[#This Row],[Benchmark '#1 Return]],"-"),"-")</f>
        <v>-4.0504868724194197E-2</v>
      </c>
      <c r="H633" s="1" t="str">
        <f>IF(COUNTIF(Comp1[Comparable '#1 Dates],Benchmark1[[#This Row],[Benchmark '#1 Dates]])=1,"Pass","Fail")</f>
        <v>Pass</v>
      </c>
      <c r="I633" s="6">
        <f>IF(Benchmark1[[#This Row],[Comparable '#1 Date Check]]="Pass",INDEX(Comp1[Comparable '#1 Price],MATCH(Benchmark1[[#This Row],[Benchmark '#1 Dates]],Comp1[Comparable '#1 Dates],0)),"-")</f>
        <v>14.36</v>
      </c>
      <c r="J633" s="22">
        <f>IF(Benchmark1[[#This Row],[Comparable '#1 Date Check]]="Pass",INDEX(Comp1[Comparable '#1 Return],MATCH(Benchmark1[[#This Row],[Benchmark '#1 Dates]],Comp1[Comparable '#1 Dates],0)),"-")</f>
        <v>6.2871321313329905E-3</v>
      </c>
      <c r="K633" s="1">
        <f>IFERROR(IF(Benchmark1[[#This Row],[Comparable '#1 Date Check]]="Pass",Benchmark1[[#This Row],[Comparable '#1 Return]]-Benchmark1[[#This Row],[Benchmark '#1 Return]],"-"),"-")</f>
        <v>5.9292780363167687E-4</v>
      </c>
      <c r="L633" s="1" t="str">
        <f>IF(COUNTIF(Comp2[Comparable '#2 Dates],Benchmark1[[#This Row],[Benchmark '#1 Dates]])=1,"Pass","Fail")</f>
        <v>Pass</v>
      </c>
      <c r="M633" s="6">
        <f>IF(Benchmark1[[#This Row],[Comparable '#2 Date Check]]="Pass",INDEX(Comp2[Comparable '#2 Price],MATCH(Benchmark1[[#This Row],[Benchmark '#1 Dates]],Comp2[Comparable '#2 Dates],0)),"-")</f>
        <v>33.159999999999997</v>
      </c>
      <c r="N633" s="22">
        <f>IF(Benchmark1[[#This Row],[Comparable '#2 Date Check]]="Pass",INDEX(Comp2[Comparable '#2 Return],MATCH(Benchmark1[[#This Row],[Benchmark '#1 Dates]],Comp2[Comparable '#2 Dates],0)),"-")</f>
        <v>1.7338837417623935E-2</v>
      </c>
      <c r="O633" s="1">
        <f>IFERROR(IF(Benchmark1[[#This Row],[Comparable '#2 Date Check]]="Pass",Benchmark1[[#This Row],[Comparable '#2 Return]]-Benchmark1[[#This Row],[Benchmark '#1 Return]],"-"),"-")</f>
        <v>1.1644633089922621E-2</v>
      </c>
      <c r="P633" s="1" t="str">
        <f>IF(COUNTIF(Comp3[Comparable '#3 Dates],Benchmark1[[#This Row],[Benchmark '#1 Dates]])=1,"Pass","Fail")</f>
        <v>Pass</v>
      </c>
      <c r="Q633" s="6">
        <f>IF(Benchmark1[[#This Row],[Comparable '#3 Date Check]]="Pass",INDEX(Comp3[Comparable '#3 Price],MATCH(Benchmark1[[#This Row],[Benchmark '#1 Dates]],Comp3[Comparable '#3 Dates],0)),"-")</f>
        <v>91.7</v>
      </c>
      <c r="R633" s="22">
        <f>IF(Benchmark1[[#This Row],[Comparable '#3 Date Check]]="Pass",INDEX(Comp3[Comparable '#3 Return],MATCH(Benchmark1[[#This Row],[Benchmark '#1 Dates]],Comp3[Comparable '#3 Dates],0)),"-")</f>
        <v>-3.3352509667448627E-2</v>
      </c>
      <c r="S633" s="1">
        <f>IFERROR(IF(Benchmark1[[#This Row],[Comparable '#3 Date Check]]="Pass",Benchmark1[[#This Row],[Comparable '#3 Return]]-Benchmark1[[#This Row],[Benchmark '#1 Return]],"-"),"-")</f>
        <v>-3.9046713995149938E-2</v>
      </c>
    </row>
    <row r="634" spans="1:19">
      <c r="A634" s="103">
        <v>44203</v>
      </c>
      <c r="B634" s="104">
        <v>3803.7903918660722</v>
      </c>
      <c r="C634" s="4">
        <f t="shared" si="9"/>
        <v>1.4738905103694744E-2</v>
      </c>
      <c r="D634" s="1" t="str">
        <f>IF(COUNTIF(Target1[Target Dates],Benchmark1[[#This Row],[Benchmark '#1 Dates]])=1,"Pass","Fail")</f>
        <v>Pass</v>
      </c>
      <c r="E634" s="6">
        <f>IF(Benchmark1[[#This Row],[Target Date Check]]="Pass",INDEX(Target1[Target Price],MATCH(Benchmark1[[#This Row],[Benchmark '#1 Dates]],Target1[Target Dates],0)),"-")</f>
        <v>21.7</v>
      </c>
      <c r="F634" s="22">
        <f>IF(Benchmark1[[#This Row],[Target Date Check]]="Pass",INDEX(Target1[Target Return],MATCH(Benchmark1[[#This Row],[Benchmark '#1 Dates]],Target1[Target Dates],0)),"-")</f>
        <v>3.8041684977939375E-2</v>
      </c>
      <c r="G634" s="1">
        <f>IFERROR(IF(Benchmark1[[#This Row],[Target Date Check]]="Pass",Benchmark1[[#This Row],[Target Return]]-Benchmark1[[#This Row],[Benchmark '#1 Return]],"-"),"-")</f>
        <v>2.3302779874244631E-2</v>
      </c>
      <c r="H634" s="1" t="str">
        <f>IF(COUNTIF(Comp1[Comparable '#1 Dates],Benchmark1[[#This Row],[Benchmark '#1 Dates]])=1,"Pass","Fail")</f>
        <v>Pass</v>
      </c>
      <c r="I634" s="6">
        <f>IF(Benchmark1[[#This Row],[Comparable '#1 Date Check]]="Pass",INDEX(Comp1[Comparable '#1 Price],MATCH(Benchmark1[[#This Row],[Benchmark '#1 Dates]],Comp1[Comparable '#1 Dates],0)),"-")</f>
        <v>14.244999999999999</v>
      </c>
      <c r="J634" s="22">
        <f>IF(Benchmark1[[#This Row],[Comparable '#1 Date Check]]="Pass",INDEX(Comp1[Comparable '#1 Return],MATCH(Benchmark1[[#This Row],[Benchmark '#1 Dates]],Comp1[Comparable '#1 Dates],0)),"-")</f>
        <v>-8.0405956702064973E-3</v>
      </c>
      <c r="K634" s="1">
        <f>IFERROR(IF(Benchmark1[[#This Row],[Comparable '#1 Date Check]]="Pass",Benchmark1[[#This Row],[Comparable '#1 Return]]-Benchmark1[[#This Row],[Benchmark '#1 Return]],"-"),"-")</f>
        <v>-2.2779500773901243E-2</v>
      </c>
      <c r="L634" s="1" t="str">
        <f>IF(COUNTIF(Comp2[Comparable '#2 Dates],Benchmark1[[#This Row],[Benchmark '#1 Dates]])=1,"Pass","Fail")</f>
        <v>Pass</v>
      </c>
      <c r="M634" s="6">
        <f>IF(Benchmark1[[#This Row],[Comparable '#2 Date Check]]="Pass",INDEX(Comp2[Comparable '#2 Price],MATCH(Benchmark1[[#This Row],[Benchmark '#1 Dates]],Comp2[Comparable '#2 Dates],0)),"-")</f>
        <v>33.18</v>
      </c>
      <c r="N634" s="22">
        <f>IF(Benchmark1[[#This Row],[Comparable '#2 Date Check]]="Pass",INDEX(Comp2[Comparable '#2 Return],MATCH(Benchmark1[[#This Row],[Benchmark '#1 Dates]],Comp2[Comparable '#2 Dates],0)),"-")</f>
        <v>6.029544952043459E-4</v>
      </c>
      <c r="O634" s="1">
        <f>IFERROR(IF(Benchmark1[[#This Row],[Comparable '#2 Date Check]]="Pass",Benchmark1[[#This Row],[Comparable '#2 Return]]-Benchmark1[[#This Row],[Benchmark '#1 Return]],"-"),"-")</f>
        <v>-1.4135950608490398E-2</v>
      </c>
      <c r="P634" s="1" t="str">
        <f>IF(COUNTIF(Comp3[Comparable '#3 Dates],Benchmark1[[#This Row],[Benchmark '#1 Dates]])=1,"Pass","Fail")</f>
        <v>Pass</v>
      </c>
      <c r="Q634" s="6">
        <f>IF(Benchmark1[[#This Row],[Comparable '#3 Date Check]]="Pass",INDEX(Comp3[Comparable '#3 Price],MATCH(Benchmark1[[#This Row],[Benchmark '#1 Dates]],Comp3[Comparable '#3 Dates],0)),"-")</f>
        <v>89.59</v>
      </c>
      <c r="R634" s="22">
        <f>IF(Benchmark1[[#This Row],[Comparable '#3 Date Check]]="Pass",INDEX(Comp3[Comparable '#3 Return],MATCH(Benchmark1[[#This Row],[Benchmark '#1 Dates]],Comp3[Comparable '#3 Dates],0)),"-")</f>
        <v>-2.3278672652932073E-2</v>
      </c>
      <c r="S634" s="1">
        <f>IFERROR(IF(Benchmark1[[#This Row],[Comparable '#3 Date Check]]="Pass",Benchmark1[[#This Row],[Comparable '#3 Return]]-Benchmark1[[#This Row],[Benchmark '#1 Return]],"-"),"-")</f>
        <v>-3.8017577756626814E-2</v>
      </c>
    </row>
    <row r="635" spans="1:19">
      <c r="A635" s="103">
        <v>44204</v>
      </c>
      <c r="B635" s="104">
        <v>3824.6809443013312</v>
      </c>
      <c r="C635" s="4">
        <f t="shared" si="9"/>
        <v>5.477009412999178E-3</v>
      </c>
      <c r="D635" s="1" t="str">
        <f>IF(COUNTIF(Target1[Target Dates],Benchmark1[[#This Row],[Benchmark '#1 Dates]])=1,"Pass","Fail")</f>
        <v>Pass</v>
      </c>
      <c r="E635" s="6">
        <f>IF(Benchmark1[[#This Row],[Target Date Check]]="Pass",INDEX(Target1[Target Price],MATCH(Benchmark1[[#This Row],[Benchmark '#1 Dates]],Target1[Target Dates],0)),"-")</f>
        <v>21.91</v>
      </c>
      <c r="F635" s="22">
        <f>IF(Benchmark1[[#This Row],[Target Date Check]]="Pass",INDEX(Target1[Target Return],MATCH(Benchmark1[[#This Row],[Benchmark '#1 Dates]],Target1[Target Dates],0)),"-")</f>
        <v>9.6308930609613659E-3</v>
      </c>
      <c r="G635" s="1">
        <f>IFERROR(IF(Benchmark1[[#This Row],[Target Date Check]]="Pass",Benchmark1[[#This Row],[Target Return]]-Benchmark1[[#This Row],[Benchmark '#1 Return]],"-"),"-")</f>
        <v>4.153883647962188E-3</v>
      </c>
      <c r="H635" s="1" t="str">
        <f>IF(COUNTIF(Comp1[Comparable '#1 Dates],Benchmark1[[#This Row],[Benchmark '#1 Dates]])=1,"Pass","Fail")</f>
        <v>Pass</v>
      </c>
      <c r="I635" s="6">
        <f>IF(Benchmark1[[#This Row],[Comparable '#1 Date Check]]="Pass",INDEX(Comp1[Comparable '#1 Price],MATCH(Benchmark1[[#This Row],[Benchmark '#1 Dates]],Comp1[Comparable '#1 Dates],0)),"-")</f>
        <v>14.37</v>
      </c>
      <c r="J635" s="22">
        <f>IF(Benchmark1[[#This Row],[Comparable '#1 Date Check]]="Pass",INDEX(Comp1[Comparable '#1 Return],MATCH(Benchmark1[[#This Row],[Benchmark '#1 Dates]],Comp1[Comparable '#1 Dates],0)),"-")</f>
        <v>8.7367321410618658E-3</v>
      </c>
      <c r="K635" s="1">
        <f>IFERROR(IF(Benchmark1[[#This Row],[Comparable '#1 Date Check]]="Pass",Benchmark1[[#This Row],[Comparable '#1 Return]]-Benchmark1[[#This Row],[Benchmark '#1 Return]],"-"),"-")</f>
        <v>3.2597227280626879E-3</v>
      </c>
      <c r="L635" s="1" t="str">
        <f>IF(COUNTIF(Comp2[Comparable '#2 Dates],Benchmark1[[#This Row],[Benchmark '#1 Dates]])=1,"Pass","Fail")</f>
        <v>Pass</v>
      </c>
      <c r="M635" s="6">
        <f>IF(Benchmark1[[#This Row],[Comparable '#2 Date Check]]="Pass",INDEX(Comp2[Comparable '#2 Price],MATCH(Benchmark1[[#This Row],[Benchmark '#1 Dates]],Comp2[Comparable '#2 Dates],0)),"-")</f>
        <v>34.229999999999997</v>
      </c>
      <c r="N635" s="22">
        <f>IF(Benchmark1[[#This Row],[Comparable '#2 Date Check]]="Pass",INDEX(Comp2[Comparable '#2 Return],MATCH(Benchmark1[[#This Row],[Benchmark '#1 Dates]],Comp2[Comparable '#2 Dates],0)),"-")</f>
        <v>3.1155167779795479E-2</v>
      </c>
      <c r="O635" s="1">
        <f>IFERROR(IF(Benchmark1[[#This Row],[Comparable '#2 Date Check]]="Pass",Benchmark1[[#This Row],[Comparable '#2 Return]]-Benchmark1[[#This Row],[Benchmark '#1 Return]],"-"),"-")</f>
        <v>2.5678158366796301E-2</v>
      </c>
      <c r="P635" s="1" t="str">
        <f>IF(COUNTIF(Comp3[Comparable '#3 Dates],Benchmark1[[#This Row],[Benchmark '#1 Dates]])=1,"Pass","Fail")</f>
        <v>Pass</v>
      </c>
      <c r="Q635" s="6">
        <f>IF(Benchmark1[[#This Row],[Comparable '#3 Date Check]]="Pass",INDEX(Comp3[Comparable '#3 Price],MATCH(Benchmark1[[#This Row],[Benchmark '#1 Dates]],Comp3[Comparable '#3 Dates],0)),"-")</f>
        <v>90.75</v>
      </c>
      <c r="R635" s="22">
        <f>IF(Benchmark1[[#This Row],[Comparable '#3 Date Check]]="Pass",INDEX(Comp3[Comparable '#3 Return],MATCH(Benchmark1[[#This Row],[Benchmark '#1 Dates]],Comp3[Comparable '#3 Dates],0)),"-")</f>
        <v>1.2864766535472985E-2</v>
      </c>
      <c r="S635" s="1">
        <f>IFERROR(IF(Benchmark1[[#This Row],[Comparable '#3 Date Check]]="Pass",Benchmark1[[#This Row],[Comparable '#3 Return]]-Benchmark1[[#This Row],[Benchmark '#1 Return]],"-"),"-")</f>
        <v>7.3877571224738071E-3</v>
      </c>
    </row>
    <row r="636" spans="1:19">
      <c r="A636" s="103">
        <v>44207</v>
      </c>
      <c r="B636" s="104">
        <v>3799.6051662534232</v>
      </c>
      <c r="C636" s="4">
        <f t="shared" si="9"/>
        <v>-6.5778928284011872E-3</v>
      </c>
      <c r="D636" s="1" t="str">
        <f>IF(COUNTIF(Target1[Target Dates],Benchmark1[[#This Row],[Benchmark '#1 Dates]])=1,"Pass","Fail")</f>
        <v>Pass</v>
      </c>
      <c r="E636" s="6">
        <f>IF(Benchmark1[[#This Row],[Target Date Check]]="Pass",INDEX(Target1[Target Price],MATCH(Benchmark1[[#This Row],[Benchmark '#1 Dates]],Target1[Target Dates],0)),"-")</f>
        <v>22.36</v>
      </c>
      <c r="F636" s="22">
        <f>IF(Benchmark1[[#This Row],[Target Date Check]]="Pass",INDEX(Target1[Target Return],MATCH(Benchmark1[[#This Row],[Benchmark '#1 Dates]],Target1[Target Dates],0)),"-")</f>
        <v>2.033049467952313E-2</v>
      </c>
      <c r="G636" s="1">
        <f>IFERROR(IF(Benchmark1[[#This Row],[Target Date Check]]="Pass",Benchmark1[[#This Row],[Target Return]]-Benchmark1[[#This Row],[Benchmark '#1 Return]],"-"),"-")</f>
        <v>2.6908387507924316E-2</v>
      </c>
      <c r="H636" s="1" t="str">
        <f>IF(COUNTIF(Comp1[Comparable '#1 Dates],Benchmark1[[#This Row],[Benchmark '#1 Dates]])=1,"Pass","Fail")</f>
        <v>Pass</v>
      </c>
      <c r="I636" s="6">
        <f>IF(Benchmark1[[#This Row],[Comparable '#1 Date Check]]="Pass",INDEX(Comp1[Comparable '#1 Price],MATCH(Benchmark1[[#This Row],[Benchmark '#1 Dates]],Comp1[Comparable '#1 Dates],0)),"-")</f>
        <v>14.305</v>
      </c>
      <c r="J636" s="22">
        <f>IF(Benchmark1[[#This Row],[Comparable '#1 Date Check]]="Pass",INDEX(Comp1[Comparable '#1 Return],MATCH(Benchmark1[[#This Row],[Benchmark '#1 Dates]],Comp1[Comparable '#1 Dates],0)),"-")</f>
        <v>-4.5335735888599772E-3</v>
      </c>
      <c r="K636" s="1">
        <f>IFERROR(IF(Benchmark1[[#This Row],[Comparable '#1 Date Check]]="Pass",Benchmark1[[#This Row],[Comparable '#1 Return]]-Benchmark1[[#This Row],[Benchmark '#1 Return]],"-"),"-")</f>
        <v>2.04431923954121E-3</v>
      </c>
      <c r="L636" s="1" t="str">
        <f>IF(COUNTIF(Comp2[Comparable '#2 Dates],Benchmark1[[#This Row],[Benchmark '#1 Dates]])=1,"Pass","Fail")</f>
        <v>Pass</v>
      </c>
      <c r="M636" s="6">
        <f>IF(Benchmark1[[#This Row],[Comparable '#2 Date Check]]="Pass",INDEX(Comp2[Comparable '#2 Price],MATCH(Benchmark1[[#This Row],[Benchmark '#1 Dates]],Comp2[Comparable '#2 Dates],0)),"-")</f>
        <v>35.840000000000003</v>
      </c>
      <c r="N636" s="22">
        <f>IF(Benchmark1[[#This Row],[Comparable '#2 Date Check]]="Pass",INDEX(Comp2[Comparable '#2 Return],MATCH(Benchmark1[[#This Row],[Benchmark '#1 Dates]],Comp2[Comparable '#2 Dates],0)),"-")</f>
        <v>4.5962135564635853E-2</v>
      </c>
      <c r="O636" s="1">
        <f>IFERROR(IF(Benchmark1[[#This Row],[Comparable '#2 Date Check]]="Pass",Benchmark1[[#This Row],[Comparable '#2 Return]]-Benchmark1[[#This Row],[Benchmark '#1 Return]],"-"),"-")</f>
        <v>5.2540028393037043E-2</v>
      </c>
      <c r="P636" s="1" t="str">
        <f>IF(COUNTIF(Comp3[Comparable '#3 Dates],Benchmark1[[#This Row],[Benchmark '#1 Dates]])=1,"Pass","Fail")</f>
        <v>Pass</v>
      </c>
      <c r="Q636" s="6">
        <f>IF(Benchmark1[[#This Row],[Comparable '#3 Date Check]]="Pass",INDEX(Comp3[Comparable '#3 Price],MATCH(Benchmark1[[#This Row],[Benchmark '#1 Dates]],Comp3[Comparable '#3 Dates],0)),"-")</f>
        <v>93.25</v>
      </c>
      <c r="R636" s="22">
        <f>IF(Benchmark1[[#This Row],[Comparable '#3 Date Check]]="Pass",INDEX(Comp3[Comparable '#3 Return],MATCH(Benchmark1[[#This Row],[Benchmark '#1 Dates]],Comp3[Comparable '#3 Dates],0)),"-")</f>
        <v>2.7175585378964816E-2</v>
      </c>
      <c r="S636" s="1">
        <f>IFERROR(IF(Benchmark1[[#This Row],[Comparable '#3 Date Check]]="Pass",Benchmark1[[#This Row],[Comparable '#3 Return]]-Benchmark1[[#This Row],[Benchmark '#1 Return]],"-"),"-")</f>
        <v>3.3753478207366003E-2</v>
      </c>
    </row>
    <row r="637" spans="1:19">
      <c r="A637" s="103">
        <v>44208</v>
      </c>
      <c r="B637" s="104">
        <v>3801.1911423045444</v>
      </c>
      <c r="C637" s="4">
        <f t="shared" si="9"/>
        <v>4.1731839921890258E-4</v>
      </c>
      <c r="D637" s="1" t="str">
        <f>IF(COUNTIF(Target1[Target Dates],Benchmark1[[#This Row],[Benchmark '#1 Dates]])=1,"Pass","Fail")</f>
        <v>Pass</v>
      </c>
      <c r="E637" s="6">
        <f>IF(Benchmark1[[#This Row],[Target Date Check]]="Pass",INDEX(Target1[Target Price],MATCH(Benchmark1[[#This Row],[Benchmark '#1 Dates]],Target1[Target Dates],0)),"-")</f>
        <v>22.7</v>
      </c>
      <c r="F637" s="22">
        <f>IF(Benchmark1[[#This Row],[Target Date Check]]="Pass",INDEX(Target1[Target Return],MATCH(Benchmark1[[#This Row],[Benchmark '#1 Dates]],Target1[Target Dates],0)),"-")</f>
        <v>1.5091276200458624E-2</v>
      </c>
      <c r="G637" s="1">
        <f>IFERROR(IF(Benchmark1[[#This Row],[Target Date Check]]="Pass",Benchmark1[[#This Row],[Target Return]]-Benchmark1[[#This Row],[Benchmark '#1 Return]],"-"),"-")</f>
        <v>1.4673957801239722E-2</v>
      </c>
      <c r="H637" s="1" t="str">
        <f>IF(COUNTIF(Comp1[Comparable '#1 Dates],Benchmark1[[#This Row],[Benchmark '#1 Dates]])=1,"Pass","Fail")</f>
        <v>Pass</v>
      </c>
      <c r="I637" s="6">
        <f>IF(Benchmark1[[#This Row],[Comparable '#1 Date Check]]="Pass",INDEX(Comp1[Comparable '#1 Price],MATCH(Benchmark1[[#This Row],[Benchmark '#1 Dates]],Comp1[Comparable '#1 Dates],0)),"-")</f>
        <v>14.33</v>
      </c>
      <c r="J637" s="22">
        <f>IF(Benchmark1[[#This Row],[Comparable '#1 Date Check]]="Pass",INDEX(Comp1[Comparable '#1 Return],MATCH(Benchmark1[[#This Row],[Benchmark '#1 Dates]],Comp1[Comparable '#1 Dates],0)),"-")</f>
        <v>1.7461153380069093E-3</v>
      </c>
      <c r="K637" s="1">
        <f>IFERROR(IF(Benchmark1[[#This Row],[Comparable '#1 Date Check]]="Pass",Benchmark1[[#This Row],[Comparable '#1 Return]]-Benchmark1[[#This Row],[Benchmark '#1 Return]],"-"),"-")</f>
        <v>1.3287969387880067E-3</v>
      </c>
      <c r="L637" s="1" t="str">
        <f>IF(COUNTIF(Comp2[Comparable '#2 Dates],Benchmark1[[#This Row],[Benchmark '#1 Dates]])=1,"Pass","Fail")</f>
        <v>Pass</v>
      </c>
      <c r="M637" s="6">
        <f>IF(Benchmark1[[#This Row],[Comparable '#2 Date Check]]="Pass",INDEX(Comp2[Comparable '#2 Price],MATCH(Benchmark1[[#This Row],[Benchmark '#1 Dates]],Comp2[Comparable '#2 Dates],0)),"-")</f>
        <v>36.33</v>
      </c>
      <c r="N637" s="22">
        <f>IF(Benchmark1[[#This Row],[Comparable '#2 Date Check]]="Pass",INDEX(Comp2[Comparable '#2 Return],MATCH(Benchmark1[[#This Row],[Benchmark '#1 Dates]],Comp2[Comparable '#2 Dates],0)),"-")</f>
        <v>1.3579258126380634E-2</v>
      </c>
      <c r="O637" s="1">
        <f>IFERROR(IF(Benchmark1[[#This Row],[Comparable '#2 Date Check]]="Pass",Benchmark1[[#This Row],[Comparable '#2 Return]]-Benchmark1[[#This Row],[Benchmark '#1 Return]],"-"),"-")</f>
        <v>1.3161939727161731E-2</v>
      </c>
      <c r="P637" s="1" t="str">
        <f>IF(COUNTIF(Comp3[Comparable '#3 Dates],Benchmark1[[#This Row],[Benchmark '#1 Dates]])=1,"Pass","Fail")</f>
        <v>Pass</v>
      </c>
      <c r="Q637" s="6">
        <f>IF(Benchmark1[[#This Row],[Comparable '#3 Date Check]]="Pass",INDEX(Comp3[Comparable '#3 Price],MATCH(Benchmark1[[#This Row],[Benchmark '#1 Dates]],Comp3[Comparable '#3 Dates],0)),"-")</f>
        <v>91.05</v>
      </c>
      <c r="R637" s="22">
        <f>IF(Benchmark1[[#This Row],[Comparable '#3 Date Check]]="Pass",INDEX(Comp3[Comparable '#3 Return],MATCH(Benchmark1[[#This Row],[Benchmark '#1 Dates]],Comp3[Comparable '#3 Dates],0)),"-")</f>
        <v>-2.3875252350308001E-2</v>
      </c>
      <c r="S637" s="1">
        <f>IFERROR(IF(Benchmark1[[#This Row],[Comparable '#3 Date Check]]="Pass",Benchmark1[[#This Row],[Comparable '#3 Return]]-Benchmark1[[#This Row],[Benchmark '#1 Return]],"-"),"-")</f>
        <v>-2.4292570749526905E-2</v>
      </c>
    </row>
    <row r="638" spans="1:19">
      <c r="A638" s="103">
        <v>44209</v>
      </c>
      <c r="B638" s="104">
        <v>3809.8432849092278</v>
      </c>
      <c r="C638" s="4">
        <f t="shared" si="9"/>
        <v>2.2735796072018569E-3</v>
      </c>
      <c r="D638" s="1" t="str">
        <f>IF(COUNTIF(Target1[Target Dates],Benchmark1[[#This Row],[Benchmark '#1 Dates]])=1,"Pass","Fail")</f>
        <v>Pass</v>
      </c>
      <c r="E638" s="6">
        <f>IF(Benchmark1[[#This Row],[Target Date Check]]="Pass",INDEX(Target1[Target Price],MATCH(Benchmark1[[#This Row],[Benchmark '#1 Dates]],Target1[Target Dates],0)),"-")</f>
        <v>23.25</v>
      </c>
      <c r="F638" s="22">
        <f>IF(Benchmark1[[#This Row],[Target Date Check]]="Pass",INDEX(Target1[Target Return],MATCH(Benchmark1[[#This Row],[Benchmark '#1 Dates]],Target1[Target Dates],0)),"-")</f>
        <v>2.3940207546008403E-2</v>
      </c>
      <c r="G638" s="1">
        <f>IFERROR(IF(Benchmark1[[#This Row],[Target Date Check]]="Pass",Benchmark1[[#This Row],[Target Return]]-Benchmark1[[#This Row],[Benchmark '#1 Return]],"-"),"-")</f>
        <v>2.1666627938806547E-2</v>
      </c>
      <c r="H638" s="1" t="str">
        <f>IF(COUNTIF(Comp1[Comparable '#1 Dates],Benchmark1[[#This Row],[Benchmark '#1 Dates]])=1,"Pass","Fail")</f>
        <v>Pass</v>
      </c>
      <c r="I638" s="6">
        <f>IF(Benchmark1[[#This Row],[Comparable '#1 Date Check]]="Pass",INDEX(Comp1[Comparable '#1 Price],MATCH(Benchmark1[[#This Row],[Benchmark '#1 Dates]],Comp1[Comparable '#1 Dates],0)),"-")</f>
        <v>14.215</v>
      </c>
      <c r="J638" s="22">
        <f>IF(Benchmark1[[#This Row],[Comparable '#1 Date Check]]="Pass",INDEX(Comp1[Comparable '#1 Return],MATCH(Benchmark1[[#This Row],[Benchmark '#1 Dates]],Comp1[Comparable '#1 Dates],0)),"-")</f>
        <v>-8.0574967371173783E-3</v>
      </c>
      <c r="K638" s="1">
        <f>IFERROR(IF(Benchmark1[[#This Row],[Comparable '#1 Date Check]]="Pass",Benchmark1[[#This Row],[Comparable '#1 Return]]-Benchmark1[[#This Row],[Benchmark '#1 Return]],"-"),"-")</f>
        <v>-1.0331076344319234E-2</v>
      </c>
      <c r="L638" s="1" t="str">
        <f>IF(COUNTIF(Comp2[Comparable '#2 Dates],Benchmark1[[#This Row],[Benchmark '#1 Dates]])=1,"Pass","Fail")</f>
        <v>Pass</v>
      </c>
      <c r="M638" s="6">
        <f>IF(Benchmark1[[#This Row],[Comparable '#2 Date Check]]="Pass",INDEX(Comp2[Comparable '#2 Price],MATCH(Benchmark1[[#This Row],[Benchmark '#1 Dates]],Comp2[Comparable '#2 Dates],0)),"-")</f>
        <v>36.89</v>
      </c>
      <c r="N638" s="22">
        <f>IF(Benchmark1[[#This Row],[Comparable '#2 Date Check]]="Pass",INDEX(Comp2[Comparable '#2 Return],MATCH(Benchmark1[[#This Row],[Benchmark '#1 Dates]],Comp2[Comparable '#2 Dates],0)),"-")</f>
        <v>1.5296665375473827E-2</v>
      </c>
      <c r="O638" s="1">
        <f>IFERROR(IF(Benchmark1[[#This Row],[Comparable '#2 Date Check]]="Pass",Benchmark1[[#This Row],[Comparable '#2 Return]]-Benchmark1[[#This Row],[Benchmark '#1 Return]],"-"),"-")</f>
        <v>1.3023085768271971E-2</v>
      </c>
      <c r="P638" s="1" t="str">
        <f>IF(COUNTIF(Comp3[Comparable '#3 Dates],Benchmark1[[#This Row],[Benchmark '#1 Dates]])=1,"Pass","Fail")</f>
        <v>Pass</v>
      </c>
      <c r="Q638" s="6">
        <f>IF(Benchmark1[[#This Row],[Comparable '#3 Date Check]]="Pass",INDEX(Comp3[Comparable '#3 Price],MATCH(Benchmark1[[#This Row],[Benchmark '#1 Dates]],Comp3[Comparable '#3 Dates],0)),"-")</f>
        <v>89.42</v>
      </c>
      <c r="R638" s="22">
        <f>IF(Benchmark1[[#This Row],[Comparable '#3 Date Check]]="Pass",INDEX(Comp3[Comparable '#3 Return],MATCH(Benchmark1[[#This Row],[Benchmark '#1 Dates]],Comp3[Comparable '#3 Dates],0)),"-")</f>
        <v>-1.8064435367782364E-2</v>
      </c>
      <c r="S638" s="1">
        <f>IFERROR(IF(Benchmark1[[#This Row],[Comparable '#3 Date Check]]="Pass",Benchmark1[[#This Row],[Comparable '#3 Return]]-Benchmark1[[#This Row],[Benchmark '#1 Return]],"-"),"-")</f>
        <v>-2.033801497498422E-2</v>
      </c>
    </row>
    <row r="639" spans="1:19">
      <c r="A639" s="103">
        <v>44210</v>
      </c>
      <c r="B639" s="104">
        <v>3795.541365665978</v>
      </c>
      <c r="C639" s="4">
        <f t="shared" si="9"/>
        <v>-3.7610026997700391E-3</v>
      </c>
      <c r="D639" s="1" t="str">
        <f>IF(COUNTIF(Target1[Target Dates],Benchmark1[[#This Row],[Benchmark '#1 Dates]])=1,"Pass","Fail")</f>
        <v>Pass</v>
      </c>
      <c r="E639" s="6">
        <f>IF(Benchmark1[[#This Row],[Target Date Check]]="Pass",INDEX(Target1[Target Price],MATCH(Benchmark1[[#This Row],[Benchmark '#1 Dates]],Target1[Target Dates],0)),"-")</f>
        <v>23.7</v>
      </c>
      <c r="F639" s="22">
        <f>IF(Benchmark1[[#This Row],[Target Date Check]]="Pass",INDEX(Target1[Target Return],MATCH(Benchmark1[[#This Row],[Benchmark '#1 Dates]],Target1[Target Dates],0)),"-")</f>
        <v>1.9169916107720123E-2</v>
      </c>
      <c r="G639" s="1">
        <f>IFERROR(IF(Benchmark1[[#This Row],[Target Date Check]]="Pass",Benchmark1[[#This Row],[Target Return]]-Benchmark1[[#This Row],[Benchmark '#1 Return]],"-"),"-")</f>
        <v>2.2930918807490163E-2</v>
      </c>
      <c r="H639" s="1" t="str">
        <f>IF(COUNTIF(Comp1[Comparable '#1 Dates],Benchmark1[[#This Row],[Benchmark '#1 Dates]])=1,"Pass","Fail")</f>
        <v>Pass</v>
      </c>
      <c r="I639" s="6">
        <f>IF(Benchmark1[[#This Row],[Comparable '#1 Date Check]]="Pass",INDEX(Comp1[Comparable '#1 Price],MATCH(Benchmark1[[#This Row],[Benchmark '#1 Dates]],Comp1[Comparable '#1 Dates],0)),"-")</f>
        <v>14.26</v>
      </c>
      <c r="J639" s="22">
        <f>IF(Benchmark1[[#This Row],[Comparable '#1 Date Check]]="Pass",INDEX(Comp1[Comparable '#1 Return],MATCH(Benchmark1[[#This Row],[Benchmark '#1 Dates]],Comp1[Comparable '#1 Dates],0)),"-")</f>
        <v>3.160669883186733E-3</v>
      </c>
      <c r="K639" s="1">
        <f>IFERROR(IF(Benchmark1[[#This Row],[Comparable '#1 Date Check]]="Pass",Benchmark1[[#This Row],[Comparable '#1 Return]]-Benchmark1[[#This Row],[Benchmark '#1 Return]],"-"),"-")</f>
        <v>6.9216725829567716E-3</v>
      </c>
      <c r="L639" s="1" t="str">
        <f>IF(COUNTIF(Comp2[Comparable '#2 Dates],Benchmark1[[#This Row],[Benchmark '#1 Dates]])=1,"Pass","Fail")</f>
        <v>Pass</v>
      </c>
      <c r="M639" s="6">
        <f>IF(Benchmark1[[#This Row],[Comparable '#2 Date Check]]="Pass",INDEX(Comp2[Comparable '#2 Price],MATCH(Benchmark1[[#This Row],[Benchmark '#1 Dates]],Comp2[Comparable '#2 Dates],0)),"-")</f>
        <v>38.03</v>
      </c>
      <c r="N639" s="22">
        <f>IF(Benchmark1[[#This Row],[Comparable '#2 Date Check]]="Pass",INDEX(Comp2[Comparable '#2 Return],MATCH(Benchmark1[[#This Row],[Benchmark '#1 Dates]],Comp2[Comparable '#2 Dates],0)),"-")</f>
        <v>3.0434810331584086E-2</v>
      </c>
      <c r="O639" s="1">
        <f>IFERROR(IF(Benchmark1[[#This Row],[Comparable '#2 Date Check]]="Pass",Benchmark1[[#This Row],[Comparable '#2 Return]]-Benchmark1[[#This Row],[Benchmark '#1 Return]],"-"),"-")</f>
        <v>3.4195813031354126E-2</v>
      </c>
      <c r="P639" s="1" t="str">
        <f>IF(COUNTIF(Comp3[Comparable '#3 Dates],Benchmark1[[#This Row],[Benchmark '#1 Dates]])=1,"Pass","Fail")</f>
        <v>Pass</v>
      </c>
      <c r="Q639" s="6">
        <f>IF(Benchmark1[[#This Row],[Comparable '#3 Date Check]]="Pass",INDEX(Comp3[Comparable '#3 Price],MATCH(Benchmark1[[#This Row],[Benchmark '#1 Dates]],Comp3[Comparable '#3 Dates],0)),"-")</f>
        <v>91.69</v>
      </c>
      <c r="R639" s="22">
        <f>IF(Benchmark1[[#This Row],[Comparable '#3 Date Check]]="Pass",INDEX(Comp3[Comparable '#3 Return],MATCH(Benchmark1[[#This Row],[Benchmark '#1 Dates]],Comp3[Comparable '#3 Dates],0)),"-")</f>
        <v>2.5068951255974831E-2</v>
      </c>
      <c r="S639" s="1">
        <f>IFERROR(IF(Benchmark1[[#This Row],[Comparable '#3 Date Check]]="Pass",Benchmark1[[#This Row],[Comparable '#3 Return]]-Benchmark1[[#This Row],[Benchmark '#1 Return]],"-"),"-")</f>
        <v>2.8829953955744871E-2</v>
      </c>
    </row>
    <row r="640" spans="1:19">
      <c r="A640" s="103">
        <v>44211</v>
      </c>
      <c r="B640" s="104">
        <v>3768.2462904890886</v>
      </c>
      <c r="C640" s="4">
        <f t="shared" si="9"/>
        <v>-7.2173347272028714E-3</v>
      </c>
      <c r="D640" s="1" t="str">
        <f>IF(COUNTIF(Target1[Target Dates],Benchmark1[[#This Row],[Benchmark '#1 Dates]])=1,"Pass","Fail")</f>
        <v>Pass</v>
      </c>
      <c r="E640" s="6">
        <f>IF(Benchmark1[[#This Row],[Target Date Check]]="Pass",INDEX(Target1[Target Price],MATCH(Benchmark1[[#This Row],[Benchmark '#1 Dates]],Target1[Target Dates],0)),"-")</f>
        <v>23.84</v>
      </c>
      <c r="F640" s="22">
        <f>IF(Benchmark1[[#This Row],[Target Date Check]]="Pass",INDEX(Target1[Target Return],MATCH(Benchmark1[[#This Row],[Benchmark '#1 Dates]],Target1[Target Dates],0)),"-")</f>
        <v>5.8897940560636141E-3</v>
      </c>
      <c r="G640" s="1">
        <f>IFERROR(IF(Benchmark1[[#This Row],[Target Date Check]]="Pass",Benchmark1[[#This Row],[Target Return]]-Benchmark1[[#This Row],[Benchmark '#1 Return]],"-"),"-")</f>
        <v>1.3107128783266486E-2</v>
      </c>
      <c r="H640" s="1" t="str">
        <f>IF(COUNTIF(Comp1[Comparable '#1 Dates],Benchmark1[[#This Row],[Benchmark '#1 Dates]])=1,"Pass","Fail")</f>
        <v>Pass</v>
      </c>
      <c r="I640" s="6">
        <f>IF(Benchmark1[[#This Row],[Comparable '#1 Date Check]]="Pass",INDEX(Comp1[Comparable '#1 Price],MATCH(Benchmark1[[#This Row],[Benchmark '#1 Dates]],Comp1[Comparable '#1 Dates],0)),"-")</f>
        <v>14.21</v>
      </c>
      <c r="J640" s="22">
        <f>IF(Benchmark1[[#This Row],[Comparable '#1 Date Check]]="Pass",INDEX(Comp1[Comparable '#1 Return],MATCH(Benchmark1[[#This Row],[Benchmark '#1 Dates]],Comp1[Comparable '#1 Dates],0)),"-")</f>
        <v>-3.5124728771405668E-3</v>
      </c>
      <c r="K640" s="1">
        <f>IFERROR(IF(Benchmark1[[#This Row],[Comparable '#1 Date Check]]="Pass",Benchmark1[[#This Row],[Comparable '#1 Return]]-Benchmark1[[#This Row],[Benchmark '#1 Return]],"-"),"-")</f>
        <v>3.7048618500623047E-3</v>
      </c>
      <c r="L640" s="1" t="str">
        <f>IF(COUNTIF(Comp2[Comparable '#2 Dates],Benchmark1[[#This Row],[Benchmark '#1 Dates]])=1,"Pass","Fail")</f>
        <v>Pass</v>
      </c>
      <c r="M640" s="6">
        <f>IF(Benchmark1[[#This Row],[Comparable '#2 Date Check]]="Pass",INDEX(Comp2[Comparable '#2 Price],MATCH(Benchmark1[[#This Row],[Benchmark '#1 Dates]],Comp2[Comparable '#2 Dates],0)),"-")</f>
        <v>36.9</v>
      </c>
      <c r="N640" s="22">
        <f>IF(Benchmark1[[#This Row],[Comparable '#2 Date Check]]="Pass",INDEX(Comp2[Comparable '#2 Return],MATCH(Benchmark1[[#This Row],[Benchmark '#1 Dates]],Comp2[Comparable '#2 Dates],0)),"-")</f>
        <v>-3.0163770893686812E-2</v>
      </c>
      <c r="O640" s="1">
        <f>IFERROR(IF(Benchmark1[[#This Row],[Comparable '#2 Date Check]]="Pass",Benchmark1[[#This Row],[Comparable '#2 Return]]-Benchmark1[[#This Row],[Benchmark '#1 Return]],"-"),"-")</f>
        <v>-2.2946436166483938E-2</v>
      </c>
      <c r="P640" s="1" t="str">
        <f>IF(COUNTIF(Comp3[Comparable '#3 Dates],Benchmark1[[#This Row],[Benchmark '#1 Dates]])=1,"Pass","Fail")</f>
        <v>Pass</v>
      </c>
      <c r="Q640" s="6">
        <f>IF(Benchmark1[[#This Row],[Comparable '#3 Date Check]]="Pass",INDEX(Comp3[Comparable '#3 Price],MATCH(Benchmark1[[#This Row],[Benchmark '#1 Dates]],Comp3[Comparable '#3 Dates],0)),"-")</f>
        <v>93.05</v>
      </c>
      <c r="R640" s="22">
        <f>IF(Benchmark1[[#This Row],[Comparable '#3 Date Check]]="Pass",INDEX(Comp3[Comparable '#3 Return],MATCH(Benchmark1[[#This Row],[Benchmark '#1 Dates]],Comp3[Comparable '#3 Dates],0)),"-")</f>
        <v>1.4723661026450331E-2</v>
      </c>
      <c r="S640" s="1">
        <f>IFERROR(IF(Benchmark1[[#This Row],[Comparable '#3 Date Check]]="Pass",Benchmark1[[#This Row],[Comparable '#3 Return]]-Benchmark1[[#This Row],[Benchmark '#1 Return]],"-"),"-")</f>
        <v>2.19409957536532E-2</v>
      </c>
    </row>
    <row r="641" spans="1:19">
      <c r="A641" s="103">
        <v>44215</v>
      </c>
      <c r="B641" s="104">
        <v>3798.9075306244767</v>
      </c>
      <c r="C641" s="4">
        <f t="shared" si="9"/>
        <v>8.1038151617697507E-3</v>
      </c>
      <c r="D641" s="1" t="str">
        <f>IF(COUNTIF(Target1[Target Dates],Benchmark1[[#This Row],[Benchmark '#1 Dates]])=1,"Pass","Fail")</f>
        <v>Pass</v>
      </c>
      <c r="E641" s="6">
        <f>IF(Benchmark1[[#This Row],[Target Date Check]]="Pass",INDEX(Target1[Target Price],MATCH(Benchmark1[[#This Row],[Benchmark '#1 Dates]],Target1[Target Dates],0)),"-")</f>
        <v>25.08</v>
      </c>
      <c r="F641" s="22">
        <f>IF(Benchmark1[[#This Row],[Target Date Check]]="Pass",INDEX(Target1[Target Return],MATCH(Benchmark1[[#This Row],[Benchmark '#1 Dates]],Target1[Target Dates],0)),"-")</f>
        <v>5.0705873567570836E-2</v>
      </c>
      <c r="G641" s="1">
        <f>IFERROR(IF(Benchmark1[[#This Row],[Target Date Check]]="Pass",Benchmark1[[#This Row],[Target Return]]-Benchmark1[[#This Row],[Benchmark '#1 Return]],"-"),"-")</f>
        <v>4.2602058405801085E-2</v>
      </c>
      <c r="H641" s="1" t="str">
        <f>IF(COUNTIF(Comp1[Comparable '#1 Dates],Benchmark1[[#This Row],[Benchmark '#1 Dates]])=1,"Pass","Fail")</f>
        <v>Pass</v>
      </c>
      <c r="I641" s="6">
        <f>IF(Benchmark1[[#This Row],[Comparable '#1 Date Check]]="Pass",INDEX(Comp1[Comparable '#1 Price],MATCH(Benchmark1[[#This Row],[Benchmark '#1 Dates]],Comp1[Comparable '#1 Dates],0)),"-")</f>
        <v>14.62</v>
      </c>
      <c r="J641" s="22">
        <f>IF(Benchmark1[[#This Row],[Comparable '#1 Date Check]]="Pass",INDEX(Comp1[Comparable '#1 Return],MATCH(Benchmark1[[#This Row],[Benchmark '#1 Dates]],Comp1[Comparable '#1 Dates],0)),"-")</f>
        <v>2.8444512212623094E-2</v>
      </c>
      <c r="K641" s="1">
        <f>IFERROR(IF(Benchmark1[[#This Row],[Comparable '#1 Date Check]]="Pass",Benchmark1[[#This Row],[Comparable '#1 Return]]-Benchmark1[[#This Row],[Benchmark '#1 Return]],"-"),"-")</f>
        <v>2.0340697050853344E-2</v>
      </c>
      <c r="L641" s="1" t="str">
        <f>IF(COUNTIF(Comp2[Comparable '#2 Dates],Benchmark1[[#This Row],[Benchmark '#1 Dates]])=1,"Pass","Fail")</f>
        <v>Pass</v>
      </c>
      <c r="M641" s="6">
        <f>IF(Benchmark1[[#This Row],[Comparable '#2 Date Check]]="Pass",INDEX(Comp2[Comparable '#2 Price],MATCH(Benchmark1[[#This Row],[Benchmark '#1 Dates]],Comp2[Comparable '#2 Dates],0)),"-")</f>
        <v>38.68</v>
      </c>
      <c r="N641" s="22">
        <f>IF(Benchmark1[[#This Row],[Comparable '#2 Date Check]]="Pass",INDEX(Comp2[Comparable '#2 Return],MATCH(Benchmark1[[#This Row],[Benchmark '#1 Dates]],Comp2[Comparable '#2 Dates],0)),"-")</f>
        <v>4.7111119538612092E-2</v>
      </c>
      <c r="O641" s="1">
        <f>IFERROR(IF(Benchmark1[[#This Row],[Comparable '#2 Date Check]]="Pass",Benchmark1[[#This Row],[Comparable '#2 Return]]-Benchmark1[[#This Row],[Benchmark '#1 Return]],"-"),"-")</f>
        <v>3.9007304376842342E-2</v>
      </c>
      <c r="P641" s="1" t="str">
        <f>IF(COUNTIF(Comp3[Comparable '#3 Dates],Benchmark1[[#This Row],[Benchmark '#1 Dates]])=1,"Pass","Fail")</f>
        <v>Pass</v>
      </c>
      <c r="Q641" s="6">
        <f>IF(Benchmark1[[#This Row],[Comparable '#3 Date Check]]="Pass",INDEX(Comp3[Comparable '#3 Price],MATCH(Benchmark1[[#This Row],[Benchmark '#1 Dates]],Comp3[Comparable '#3 Dates],0)),"-")</f>
        <v>92.13</v>
      </c>
      <c r="R641" s="22">
        <f>IF(Benchmark1[[#This Row],[Comparable '#3 Date Check]]="Pass",INDEX(Comp3[Comparable '#3 Return],MATCH(Benchmark1[[#This Row],[Benchmark '#1 Dates]],Comp3[Comparable '#3 Dates],0)),"-")</f>
        <v>-9.9363599674190551E-3</v>
      </c>
      <c r="S641" s="1">
        <f>IFERROR(IF(Benchmark1[[#This Row],[Comparable '#3 Date Check]]="Pass",Benchmark1[[#This Row],[Comparable '#3 Return]]-Benchmark1[[#This Row],[Benchmark '#1 Return]],"-"),"-")</f>
        <v>-1.8040175129188804E-2</v>
      </c>
    </row>
    <row r="642" spans="1:19">
      <c r="A642" s="103">
        <v>44216</v>
      </c>
      <c r="B642" s="104">
        <v>3851.8459364808609</v>
      </c>
      <c r="C642" s="4">
        <f t="shared" ref="C642:C705" si="10">IFERROR(IF(B642="","-",LN(B642/B641)),"-")</f>
        <v>1.3838963956866799E-2</v>
      </c>
      <c r="D642" s="1" t="str">
        <f>IF(COUNTIF(Target1[Target Dates],Benchmark1[[#This Row],[Benchmark '#1 Dates]])=1,"Pass","Fail")</f>
        <v>Pass</v>
      </c>
      <c r="E642" s="6">
        <f>IF(Benchmark1[[#This Row],[Target Date Check]]="Pass",INDEX(Target1[Target Price],MATCH(Benchmark1[[#This Row],[Benchmark '#1 Dates]],Target1[Target Dates],0)),"-")</f>
        <v>24.41</v>
      </c>
      <c r="F642" s="22">
        <f>IF(Benchmark1[[#This Row],[Target Date Check]]="Pass",INDEX(Target1[Target Return],MATCH(Benchmark1[[#This Row],[Benchmark '#1 Dates]],Target1[Target Dates],0)),"-")</f>
        <v>-2.7077831359851225E-2</v>
      </c>
      <c r="G642" s="1">
        <f>IFERROR(IF(Benchmark1[[#This Row],[Target Date Check]]="Pass",Benchmark1[[#This Row],[Target Return]]-Benchmark1[[#This Row],[Benchmark '#1 Return]],"-"),"-")</f>
        <v>-4.0916795316718026E-2</v>
      </c>
      <c r="H642" s="1" t="str">
        <f>IF(COUNTIF(Comp1[Comparable '#1 Dates],Benchmark1[[#This Row],[Benchmark '#1 Dates]])=1,"Pass","Fail")</f>
        <v>Pass</v>
      </c>
      <c r="I642" s="6">
        <f>IF(Benchmark1[[#This Row],[Comparable '#1 Date Check]]="Pass",INDEX(Comp1[Comparable '#1 Price],MATCH(Benchmark1[[#This Row],[Benchmark '#1 Dates]],Comp1[Comparable '#1 Dates],0)),"-")</f>
        <v>14.91</v>
      </c>
      <c r="J642" s="22">
        <f>IF(Benchmark1[[#This Row],[Comparable '#1 Date Check]]="Pass",INDEX(Comp1[Comparable '#1 Return],MATCH(Benchmark1[[#This Row],[Benchmark '#1 Dates]],Comp1[Comparable '#1 Dates],0)),"-")</f>
        <v>1.9641674455014652E-2</v>
      </c>
      <c r="K642" s="1">
        <f>IFERROR(IF(Benchmark1[[#This Row],[Comparable '#1 Date Check]]="Pass",Benchmark1[[#This Row],[Comparable '#1 Return]]-Benchmark1[[#This Row],[Benchmark '#1 Return]],"-"),"-")</f>
        <v>5.8027104981478537E-3</v>
      </c>
      <c r="L642" s="1" t="str">
        <f>IF(COUNTIF(Comp2[Comparable '#2 Dates],Benchmark1[[#This Row],[Benchmark '#1 Dates]])=1,"Pass","Fail")</f>
        <v>Pass</v>
      </c>
      <c r="M642" s="6">
        <f>IF(Benchmark1[[#This Row],[Comparable '#2 Date Check]]="Pass",INDEX(Comp2[Comparable '#2 Price],MATCH(Benchmark1[[#This Row],[Benchmark '#1 Dates]],Comp2[Comparable '#2 Dates],0)),"-")</f>
        <v>38.369999999999997</v>
      </c>
      <c r="N642" s="22">
        <f>IF(Benchmark1[[#This Row],[Comparable '#2 Date Check]]="Pass",INDEX(Comp2[Comparable '#2 Return],MATCH(Benchmark1[[#This Row],[Benchmark '#1 Dates]],Comp2[Comparable '#2 Dates],0)),"-")</f>
        <v>-8.0467663262325743E-3</v>
      </c>
      <c r="O642" s="1">
        <f>IFERROR(IF(Benchmark1[[#This Row],[Comparable '#2 Date Check]]="Pass",Benchmark1[[#This Row],[Comparable '#2 Return]]-Benchmark1[[#This Row],[Benchmark '#1 Return]],"-"),"-")</f>
        <v>-2.1885730283099373E-2</v>
      </c>
      <c r="P642" s="1" t="str">
        <f>IF(COUNTIF(Comp3[Comparable '#3 Dates],Benchmark1[[#This Row],[Benchmark '#1 Dates]])=1,"Pass","Fail")</f>
        <v>Pass</v>
      </c>
      <c r="Q642" s="6">
        <f>IF(Benchmark1[[#This Row],[Comparable '#3 Date Check]]="Pass",INDEX(Comp3[Comparable '#3 Price],MATCH(Benchmark1[[#This Row],[Benchmark '#1 Dates]],Comp3[Comparable '#3 Dates],0)),"-")</f>
        <v>89.7</v>
      </c>
      <c r="R642" s="22">
        <f>IF(Benchmark1[[#This Row],[Comparable '#3 Date Check]]="Pass",INDEX(Comp3[Comparable '#3 Return],MATCH(Benchmark1[[#This Row],[Benchmark '#1 Dates]],Comp3[Comparable '#3 Dates],0)),"-")</f>
        <v>-2.6729854056090182E-2</v>
      </c>
      <c r="S642" s="1">
        <f>IFERROR(IF(Benchmark1[[#This Row],[Comparable '#3 Date Check]]="Pass",Benchmark1[[#This Row],[Comparable '#3 Return]]-Benchmark1[[#This Row],[Benchmark '#1 Return]],"-"),"-")</f>
        <v>-4.0568818012956982E-2</v>
      </c>
    </row>
    <row r="643" spans="1:19">
      <c r="A643" s="103">
        <v>44217</v>
      </c>
      <c r="B643" s="104">
        <v>3853.0732977277303</v>
      </c>
      <c r="C643" s="4">
        <f t="shared" si="10"/>
        <v>3.1859159582136492E-4</v>
      </c>
      <c r="D643" s="1" t="str">
        <f>IF(COUNTIF(Target1[Target Dates],Benchmark1[[#This Row],[Benchmark '#1 Dates]])=1,"Pass","Fail")</f>
        <v>Pass</v>
      </c>
      <c r="E643" s="6">
        <f>IF(Benchmark1[[#This Row],[Target Date Check]]="Pass",INDEX(Target1[Target Price],MATCH(Benchmark1[[#This Row],[Benchmark '#1 Dates]],Target1[Target Dates],0)),"-")</f>
        <v>24.72</v>
      </c>
      <c r="F643" s="22">
        <f>IF(Benchmark1[[#This Row],[Target Date Check]]="Pass",INDEX(Target1[Target Return],MATCH(Benchmark1[[#This Row],[Benchmark '#1 Dates]],Target1[Target Dates],0)),"-")</f>
        <v>1.2619748184621167E-2</v>
      </c>
      <c r="G643" s="1">
        <f>IFERROR(IF(Benchmark1[[#This Row],[Target Date Check]]="Pass",Benchmark1[[#This Row],[Target Return]]-Benchmark1[[#This Row],[Benchmark '#1 Return]],"-"),"-")</f>
        <v>1.2301156588799803E-2</v>
      </c>
      <c r="H643" s="1" t="str">
        <f>IF(COUNTIF(Comp1[Comparable '#1 Dates],Benchmark1[[#This Row],[Benchmark '#1 Dates]])=1,"Pass","Fail")</f>
        <v>Pass</v>
      </c>
      <c r="I643" s="6">
        <f>IF(Benchmark1[[#This Row],[Comparable '#1 Date Check]]="Pass",INDEX(Comp1[Comparable '#1 Price],MATCH(Benchmark1[[#This Row],[Benchmark '#1 Dates]],Comp1[Comparable '#1 Dates],0)),"-")</f>
        <v>14.324999999999999</v>
      </c>
      <c r="J643" s="22">
        <f>IF(Benchmark1[[#This Row],[Comparable '#1 Date Check]]="Pass",INDEX(Comp1[Comparable '#1 Return],MATCH(Benchmark1[[#This Row],[Benchmark '#1 Dates]],Comp1[Comparable '#1 Dates],0)),"-")</f>
        <v>-4.0025866175843881E-2</v>
      </c>
      <c r="K643" s="1">
        <f>IFERROR(IF(Benchmark1[[#This Row],[Comparable '#1 Date Check]]="Pass",Benchmark1[[#This Row],[Comparable '#1 Return]]-Benchmark1[[#This Row],[Benchmark '#1 Return]],"-"),"-")</f>
        <v>-4.0344457771665246E-2</v>
      </c>
      <c r="L643" s="1" t="str">
        <f>IF(COUNTIF(Comp2[Comparable '#2 Dates],Benchmark1[[#This Row],[Benchmark '#1 Dates]])=1,"Pass","Fail")</f>
        <v>Pass</v>
      </c>
      <c r="M643" s="6">
        <f>IF(Benchmark1[[#This Row],[Comparable '#2 Date Check]]="Pass",INDEX(Comp2[Comparable '#2 Price],MATCH(Benchmark1[[#This Row],[Benchmark '#1 Dates]],Comp2[Comparable '#2 Dates],0)),"-")</f>
        <v>38.56</v>
      </c>
      <c r="N643" s="22">
        <f>IF(Benchmark1[[#This Row],[Comparable '#2 Date Check]]="Pass",INDEX(Comp2[Comparable '#2 Return],MATCH(Benchmark1[[#This Row],[Benchmark '#1 Dates]],Comp2[Comparable '#2 Dates],0)),"-")</f>
        <v>4.9395654834839915E-3</v>
      </c>
      <c r="O643" s="1">
        <f>IFERROR(IF(Benchmark1[[#This Row],[Comparable '#2 Date Check]]="Pass",Benchmark1[[#This Row],[Comparable '#2 Return]]-Benchmark1[[#This Row],[Benchmark '#1 Return]],"-"),"-")</f>
        <v>4.6209738876626261E-3</v>
      </c>
      <c r="P643" s="1" t="str">
        <f>IF(COUNTIF(Comp3[Comparable '#3 Dates],Benchmark1[[#This Row],[Benchmark '#1 Dates]])=1,"Pass","Fail")</f>
        <v>Pass</v>
      </c>
      <c r="Q643" s="6">
        <f>IF(Benchmark1[[#This Row],[Comparable '#3 Date Check]]="Pass",INDEX(Comp3[Comparable '#3 Price],MATCH(Benchmark1[[#This Row],[Benchmark '#1 Dates]],Comp3[Comparable '#3 Dates],0)),"-")</f>
        <v>90.55</v>
      </c>
      <c r="R643" s="22">
        <f>IF(Benchmark1[[#This Row],[Comparable '#3 Date Check]]="Pass",INDEX(Comp3[Comparable '#3 Return],MATCH(Benchmark1[[#This Row],[Benchmark '#1 Dates]],Comp3[Comparable '#3 Dates],0)),"-")</f>
        <v>9.4314152646719114E-3</v>
      </c>
      <c r="S643" s="1">
        <f>IFERROR(IF(Benchmark1[[#This Row],[Comparable '#3 Date Check]]="Pass",Benchmark1[[#This Row],[Comparable '#3 Return]]-Benchmark1[[#This Row],[Benchmark '#1 Return]],"-"),"-")</f>
        <v>9.1128236688505469E-3</v>
      </c>
    </row>
    <row r="644" spans="1:19">
      <c r="A644" s="103">
        <v>44218</v>
      </c>
      <c r="B644" s="104">
        <v>3841.4655707198276</v>
      </c>
      <c r="C644" s="4">
        <f t="shared" si="10"/>
        <v>-3.0171361823995882E-3</v>
      </c>
      <c r="D644" s="1" t="str">
        <f>IF(COUNTIF(Target1[Target Dates],Benchmark1[[#This Row],[Benchmark '#1 Dates]])=1,"Pass","Fail")</f>
        <v>Pass</v>
      </c>
      <c r="E644" s="6">
        <f>IF(Benchmark1[[#This Row],[Target Date Check]]="Pass",INDEX(Target1[Target Price],MATCH(Benchmark1[[#This Row],[Benchmark '#1 Dates]],Target1[Target Dates],0)),"-")</f>
        <v>24.7</v>
      </c>
      <c r="F644" s="22">
        <f>IF(Benchmark1[[#This Row],[Target Date Check]]="Pass",INDEX(Target1[Target Return],MATCH(Benchmark1[[#This Row],[Benchmark '#1 Dates]],Target1[Target Dates],0)),"-")</f>
        <v>-8.0938895555847292E-4</v>
      </c>
      <c r="G644" s="1">
        <f>IFERROR(IF(Benchmark1[[#This Row],[Target Date Check]]="Pass",Benchmark1[[#This Row],[Target Return]]-Benchmark1[[#This Row],[Benchmark '#1 Return]],"-"),"-")</f>
        <v>2.2077472268411153E-3</v>
      </c>
      <c r="H644" s="1" t="str">
        <f>IF(COUNTIF(Comp1[Comparable '#1 Dates],Benchmark1[[#This Row],[Benchmark '#1 Dates]])=1,"Pass","Fail")</f>
        <v>Pass</v>
      </c>
      <c r="I644" s="6">
        <f>IF(Benchmark1[[#This Row],[Comparable '#1 Date Check]]="Pass",INDEX(Comp1[Comparable '#1 Price],MATCH(Benchmark1[[#This Row],[Benchmark '#1 Dates]],Comp1[Comparable '#1 Dates],0)),"-")</f>
        <v>13.84</v>
      </c>
      <c r="J644" s="22">
        <f>IF(Benchmark1[[#This Row],[Comparable '#1 Date Check]]="Pass",INDEX(Comp1[Comparable '#1 Return],MATCH(Benchmark1[[#This Row],[Benchmark '#1 Dates]],Comp1[Comparable '#1 Dates],0)),"-")</f>
        <v>-3.4443312411279674E-2</v>
      </c>
      <c r="K644" s="1">
        <f>IFERROR(IF(Benchmark1[[#This Row],[Comparable '#1 Date Check]]="Pass",Benchmark1[[#This Row],[Comparable '#1 Return]]-Benchmark1[[#This Row],[Benchmark '#1 Return]],"-"),"-")</f>
        <v>-3.1426176228880089E-2</v>
      </c>
      <c r="L644" s="1" t="str">
        <f>IF(COUNTIF(Comp2[Comparable '#2 Dates],Benchmark1[[#This Row],[Benchmark '#1 Dates]])=1,"Pass","Fail")</f>
        <v>Pass</v>
      </c>
      <c r="M644" s="6">
        <f>IF(Benchmark1[[#This Row],[Comparable '#2 Date Check]]="Pass",INDEX(Comp2[Comparable '#2 Price],MATCH(Benchmark1[[#This Row],[Benchmark '#1 Dates]],Comp2[Comparable '#2 Dates],0)),"-")</f>
        <v>38.75</v>
      </c>
      <c r="N644" s="22">
        <f>IF(Benchmark1[[#This Row],[Comparable '#2 Date Check]]="Pass",INDEX(Comp2[Comparable '#2 Return],MATCH(Benchmark1[[#This Row],[Benchmark '#1 Dates]],Comp2[Comparable '#2 Dates],0)),"-")</f>
        <v>4.9152860570111194E-3</v>
      </c>
      <c r="O644" s="1">
        <f>IFERROR(IF(Benchmark1[[#This Row],[Comparable '#2 Date Check]]="Pass",Benchmark1[[#This Row],[Comparable '#2 Return]]-Benchmark1[[#This Row],[Benchmark '#1 Return]],"-"),"-")</f>
        <v>7.932422239410708E-3</v>
      </c>
      <c r="P644" s="1" t="str">
        <f>IF(COUNTIF(Comp3[Comparable '#3 Dates],Benchmark1[[#This Row],[Benchmark '#1 Dates]])=1,"Pass","Fail")</f>
        <v>Pass</v>
      </c>
      <c r="Q644" s="6">
        <f>IF(Benchmark1[[#This Row],[Comparable '#3 Date Check]]="Pass",INDEX(Comp3[Comparable '#3 Price],MATCH(Benchmark1[[#This Row],[Benchmark '#1 Dates]],Comp3[Comparable '#3 Dates],0)),"-")</f>
        <v>88.85</v>
      </c>
      <c r="R644" s="22">
        <f>IF(Benchmark1[[#This Row],[Comparable '#3 Date Check]]="Pass",INDEX(Comp3[Comparable '#3 Return],MATCH(Benchmark1[[#This Row],[Benchmark '#1 Dates]],Comp3[Comparable '#3 Dates],0)),"-")</f>
        <v>-1.8952629728762039E-2</v>
      </c>
      <c r="S644" s="1">
        <f>IFERROR(IF(Benchmark1[[#This Row],[Comparable '#3 Date Check]]="Pass",Benchmark1[[#This Row],[Comparable '#3 Return]]-Benchmark1[[#This Row],[Benchmark '#1 Return]],"-"),"-")</f>
        <v>-1.593549354636245E-2</v>
      </c>
    </row>
    <row r="645" spans="1:19">
      <c r="A645" s="103">
        <v>44221</v>
      </c>
      <c r="B645" s="104">
        <v>3855.3557347600422</v>
      </c>
      <c r="C645" s="4">
        <f t="shared" si="10"/>
        <v>3.6093287262746274E-3</v>
      </c>
      <c r="D645" s="1" t="str">
        <f>IF(COUNTIF(Target1[Target Dates],Benchmark1[[#This Row],[Benchmark '#1 Dates]])=1,"Pass","Fail")</f>
        <v>Pass</v>
      </c>
      <c r="E645" s="6">
        <f>IF(Benchmark1[[#This Row],[Target Date Check]]="Pass",INDEX(Target1[Target Price],MATCH(Benchmark1[[#This Row],[Benchmark '#1 Dates]],Target1[Target Dates],0)),"-")</f>
        <v>25.33</v>
      </c>
      <c r="F645" s="22">
        <f>IF(Benchmark1[[#This Row],[Target Date Check]]="Pass",INDEX(Target1[Target Return],MATCH(Benchmark1[[#This Row],[Benchmark '#1 Dates]],Target1[Target Dates],0)),"-")</f>
        <v>2.5186220379652218E-2</v>
      </c>
      <c r="G645" s="1">
        <f>IFERROR(IF(Benchmark1[[#This Row],[Target Date Check]]="Pass",Benchmark1[[#This Row],[Target Return]]-Benchmark1[[#This Row],[Benchmark '#1 Return]],"-"),"-")</f>
        <v>2.1576891653377589E-2</v>
      </c>
      <c r="H645" s="1" t="str">
        <f>IF(COUNTIF(Comp1[Comparable '#1 Dates],Benchmark1[[#This Row],[Benchmark '#1 Dates]])=1,"Pass","Fail")</f>
        <v>Pass</v>
      </c>
      <c r="I645" s="6">
        <f>IF(Benchmark1[[#This Row],[Comparable '#1 Date Check]]="Pass",INDEX(Comp1[Comparable '#1 Price],MATCH(Benchmark1[[#This Row],[Benchmark '#1 Dates]],Comp1[Comparable '#1 Dates],0)),"-")</f>
        <v>13.43</v>
      </c>
      <c r="J645" s="22">
        <f>IF(Benchmark1[[#This Row],[Comparable '#1 Date Check]]="Pass",INDEX(Comp1[Comparable '#1 Return],MATCH(Benchmark1[[#This Row],[Benchmark '#1 Dates]],Comp1[Comparable '#1 Dates],0)),"-")</f>
        <v>-3.0071939654377322E-2</v>
      </c>
      <c r="K645" s="1">
        <f>IFERROR(IF(Benchmark1[[#This Row],[Comparable '#1 Date Check]]="Pass",Benchmark1[[#This Row],[Comparable '#1 Return]]-Benchmark1[[#This Row],[Benchmark '#1 Return]],"-"),"-")</f>
        <v>-3.3681268380651948E-2</v>
      </c>
      <c r="L645" s="1" t="str">
        <f>IF(COUNTIF(Comp2[Comparable '#2 Dates],Benchmark1[[#This Row],[Benchmark '#1 Dates]])=1,"Pass","Fail")</f>
        <v>Pass</v>
      </c>
      <c r="M645" s="6">
        <f>IF(Benchmark1[[#This Row],[Comparable '#2 Date Check]]="Pass",INDEX(Comp2[Comparable '#2 Price],MATCH(Benchmark1[[#This Row],[Benchmark '#1 Dates]],Comp2[Comparable '#2 Dates],0)),"-")</f>
        <v>39</v>
      </c>
      <c r="N645" s="22">
        <f>IF(Benchmark1[[#This Row],[Comparable '#2 Date Check]]="Pass",INDEX(Comp2[Comparable '#2 Return],MATCH(Benchmark1[[#This Row],[Benchmark '#1 Dates]],Comp2[Comparable '#2 Dates],0)),"-")</f>
        <v>6.4308903302903314E-3</v>
      </c>
      <c r="O645" s="1">
        <f>IFERROR(IF(Benchmark1[[#This Row],[Comparable '#2 Date Check]]="Pass",Benchmark1[[#This Row],[Comparable '#2 Return]]-Benchmark1[[#This Row],[Benchmark '#1 Return]],"-"),"-")</f>
        <v>2.821561604015704E-3</v>
      </c>
      <c r="P645" s="1" t="str">
        <f>IF(COUNTIF(Comp3[Comparable '#3 Dates],Benchmark1[[#This Row],[Benchmark '#1 Dates]])=1,"Pass","Fail")</f>
        <v>Pass</v>
      </c>
      <c r="Q645" s="6">
        <f>IF(Benchmark1[[#This Row],[Comparable '#3 Date Check]]="Pass",INDEX(Comp3[Comparable '#3 Price],MATCH(Benchmark1[[#This Row],[Benchmark '#1 Dates]],Comp3[Comparable '#3 Dates],0)),"-")</f>
        <v>90.99</v>
      </c>
      <c r="R645" s="22">
        <f>IF(Benchmark1[[#This Row],[Comparable '#3 Date Check]]="Pass",INDEX(Comp3[Comparable '#3 Return],MATCH(Benchmark1[[#This Row],[Benchmark '#1 Dates]],Comp3[Comparable '#3 Dates],0)),"-")</f>
        <v>2.3800055767939012E-2</v>
      </c>
      <c r="S645" s="1">
        <f>IFERROR(IF(Benchmark1[[#This Row],[Comparable '#3 Date Check]]="Pass",Benchmark1[[#This Row],[Comparable '#3 Return]]-Benchmark1[[#This Row],[Benchmark '#1 Return]],"-"),"-")</f>
        <v>2.0190727041664386E-2</v>
      </c>
    </row>
    <row r="646" spans="1:19">
      <c r="A646" s="103">
        <v>44222</v>
      </c>
      <c r="B646" s="104">
        <v>3849.6212653526636</v>
      </c>
      <c r="C646" s="4">
        <f t="shared" si="10"/>
        <v>-1.4885107291298678E-3</v>
      </c>
      <c r="D646" s="1" t="str">
        <f>IF(COUNTIF(Target1[Target Dates],Benchmark1[[#This Row],[Benchmark '#1 Dates]])=1,"Pass","Fail")</f>
        <v>Pass</v>
      </c>
      <c r="E646" s="6">
        <f>IF(Benchmark1[[#This Row],[Target Date Check]]="Pass",INDEX(Target1[Target Price],MATCH(Benchmark1[[#This Row],[Benchmark '#1 Dates]],Target1[Target Dates],0)),"-")</f>
        <v>25.99</v>
      </c>
      <c r="F646" s="22">
        <f>IF(Benchmark1[[#This Row],[Target Date Check]]="Pass",INDEX(Target1[Target Return],MATCH(Benchmark1[[#This Row],[Benchmark '#1 Dates]],Target1[Target Dates],0)),"-")</f>
        <v>2.5722384639815105E-2</v>
      </c>
      <c r="G646" s="1">
        <f>IFERROR(IF(Benchmark1[[#This Row],[Target Date Check]]="Pass",Benchmark1[[#This Row],[Target Return]]-Benchmark1[[#This Row],[Benchmark '#1 Return]],"-"),"-")</f>
        <v>2.7210895368944971E-2</v>
      </c>
      <c r="H646" s="1" t="str">
        <f>IF(COUNTIF(Comp1[Comparable '#1 Dates],Benchmark1[[#This Row],[Benchmark '#1 Dates]])=1,"Pass","Fail")</f>
        <v>Pass</v>
      </c>
      <c r="I646" s="6">
        <f>IF(Benchmark1[[#This Row],[Comparable '#1 Date Check]]="Pass",INDEX(Comp1[Comparable '#1 Price],MATCH(Benchmark1[[#This Row],[Benchmark '#1 Dates]],Comp1[Comparable '#1 Dates],0)),"-")</f>
        <v>13.74</v>
      </c>
      <c r="J646" s="22">
        <f>IF(Benchmark1[[#This Row],[Comparable '#1 Date Check]]="Pass",INDEX(Comp1[Comparable '#1 Return],MATCH(Benchmark1[[#This Row],[Benchmark '#1 Dates]],Comp1[Comparable '#1 Dates],0)),"-")</f>
        <v>2.2820276259057158E-2</v>
      </c>
      <c r="K646" s="1">
        <f>IFERROR(IF(Benchmark1[[#This Row],[Comparable '#1 Date Check]]="Pass",Benchmark1[[#This Row],[Comparable '#1 Return]]-Benchmark1[[#This Row],[Benchmark '#1 Return]],"-"),"-")</f>
        <v>2.4308786988187024E-2</v>
      </c>
      <c r="L646" s="1" t="str">
        <f>IF(COUNTIF(Comp2[Comparable '#2 Dates],Benchmark1[[#This Row],[Benchmark '#1 Dates]])=1,"Pass","Fail")</f>
        <v>Pass</v>
      </c>
      <c r="M646" s="6">
        <f>IF(Benchmark1[[#This Row],[Comparable '#2 Date Check]]="Pass",INDEX(Comp2[Comparable '#2 Price],MATCH(Benchmark1[[#This Row],[Benchmark '#1 Dates]],Comp2[Comparable '#2 Dates],0)),"-")</f>
        <v>39.58</v>
      </c>
      <c r="N646" s="22">
        <f>IF(Benchmark1[[#This Row],[Comparable '#2 Date Check]]="Pass",INDEX(Comp2[Comparable '#2 Return],MATCH(Benchmark1[[#This Row],[Benchmark '#1 Dates]],Comp2[Comparable '#2 Dates],0)),"-")</f>
        <v>1.4762294044773276E-2</v>
      </c>
      <c r="O646" s="1">
        <f>IFERROR(IF(Benchmark1[[#This Row],[Comparable '#2 Date Check]]="Pass",Benchmark1[[#This Row],[Comparable '#2 Return]]-Benchmark1[[#This Row],[Benchmark '#1 Return]],"-"),"-")</f>
        <v>1.6250804773903144E-2</v>
      </c>
      <c r="P646" s="1" t="str">
        <f>IF(COUNTIF(Comp3[Comparable '#3 Dates],Benchmark1[[#This Row],[Benchmark '#1 Dates]])=1,"Pass","Fail")</f>
        <v>Pass</v>
      </c>
      <c r="Q646" s="6">
        <f>IF(Benchmark1[[#This Row],[Comparable '#3 Date Check]]="Pass",INDEX(Comp3[Comparable '#3 Price],MATCH(Benchmark1[[#This Row],[Benchmark '#1 Dates]],Comp3[Comparable '#3 Dates],0)),"-")</f>
        <v>88.91</v>
      </c>
      <c r="R646" s="22">
        <f>IF(Benchmark1[[#This Row],[Comparable '#3 Date Check]]="Pass",INDEX(Comp3[Comparable '#3 Return],MATCH(Benchmark1[[#This Row],[Benchmark '#1 Dates]],Comp3[Comparable '#3 Dates],0)),"-")</f>
        <v>-2.3124988235551761E-2</v>
      </c>
      <c r="S646" s="1">
        <f>IFERROR(IF(Benchmark1[[#This Row],[Comparable '#3 Date Check]]="Pass",Benchmark1[[#This Row],[Comparable '#3 Return]]-Benchmark1[[#This Row],[Benchmark '#1 Return]],"-"),"-")</f>
        <v>-2.1636477506421892E-2</v>
      </c>
    </row>
    <row r="647" spans="1:19">
      <c r="A647" s="103">
        <v>44223</v>
      </c>
      <c r="B647" s="104">
        <v>3750.7732048387993</v>
      </c>
      <c r="C647" s="4">
        <f t="shared" si="10"/>
        <v>-2.6012764139598715E-2</v>
      </c>
      <c r="D647" s="1" t="str">
        <f>IF(COUNTIF(Target1[Target Dates],Benchmark1[[#This Row],[Benchmark '#1 Dates]])=1,"Pass","Fail")</f>
        <v>Pass</v>
      </c>
      <c r="E647" s="6">
        <f>IF(Benchmark1[[#This Row],[Target Date Check]]="Pass",INDEX(Target1[Target Price],MATCH(Benchmark1[[#This Row],[Benchmark '#1 Dates]],Target1[Target Dates],0)),"-")</f>
        <v>24.87</v>
      </c>
      <c r="F647" s="22">
        <f>IF(Benchmark1[[#This Row],[Target Date Check]]="Pass",INDEX(Target1[Target Return],MATCH(Benchmark1[[#This Row],[Benchmark '#1 Dates]],Target1[Target Dates],0)),"-")</f>
        <v>-4.404959083808551E-2</v>
      </c>
      <c r="G647" s="1">
        <f>IFERROR(IF(Benchmark1[[#This Row],[Target Date Check]]="Pass",Benchmark1[[#This Row],[Target Return]]-Benchmark1[[#This Row],[Benchmark '#1 Return]],"-"),"-")</f>
        <v>-1.8036826698486795E-2</v>
      </c>
      <c r="H647" s="1" t="str">
        <f>IF(COUNTIF(Comp1[Comparable '#1 Dates],Benchmark1[[#This Row],[Benchmark '#1 Dates]])=1,"Pass","Fail")</f>
        <v>Pass</v>
      </c>
      <c r="I647" s="6">
        <f>IF(Benchmark1[[#This Row],[Comparable '#1 Date Check]]="Pass",INDEX(Comp1[Comparable '#1 Price],MATCH(Benchmark1[[#This Row],[Benchmark '#1 Dates]],Comp1[Comparable '#1 Dates],0)),"-")</f>
        <v>13.36</v>
      </c>
      <c r="J647" s="22">
        <f>IF(Benchmark1[[#This Row],[Comparable '#1 Date Check]]="Pass",INDEX(Comp1[Comparable '#1 Return],MATCH(Benchmark1[[#This Row],[Benchmark '#1 Dates]],Comp1[Comparable '#1 Dates],0)),"-")</f>
        <v>-2.8046118685703718E-2</v>
      </c>
      <c r="K647" s="1">
        <f>IFERROR(IF(Benchmark1[[#This Row],[Comparable '#1 Date Check]]="Pass",Benchmark1[[#This Row],[Comparable '#1 Return]]-Benchmark1[[#This Row],[Benchmark '#1 Return]],"-"),"-")</f>
        <v>-2.0333545461050026E-3</v>
      </c>
      <c r="L647" s="1" t="str">
        <f>IF(COUNTIF(Comp2[Comparable '#2 Dates],Benchmark1[[#This Row],[Benchmark '#1 Dates]])=1,"Pass","Fail")</f>
        <v>Pass</v>
      </c>
      <c r="M647" s="6">
        <f>IF(Benchmark1[[#This Row],[Comparable '#2 Date Check]]="Pass",INDEX(Comp2[Comparable '#2 Price],MATCH(Benchmark1[[#This Row],[Benchmark '#1 Dates]],Comp2[Comparable '#2 Dates],0)),"-")</f>
        <v>39.450000000000003</v>
      </c>
      <c r="N647" s="22">
        <f>IF(Benchmark1[[#This Row],[Comparable '#2 Date Check]]="Pass",INDEX(Comp2[Comparable '#2 Return],MATCH(Benchmark1[[#This Row],[Benchmark '#1 Dates]],Comp2[Comparable '#2 Dates],0)),"-")</f>
        <v>-3.2898928825363274E-3</v>
      </c>
      <c r="O647" s="1">
        <f>IFERROR(IF(Benchmark1[[#This Row],[Comparable '#2 Date Check]]="Pass",Benchmark1[[#This Row],[Comparable '#2 Return]]-Benchmark1[[#This Row],[Benchmark '#1 Return]],"-"),"-")</f>
        <v>2.2722871257062387E-2</v>
      </c>
      <c r="P647" s="1" t="str">
        <f>IF(COUNTIF(Comp3[Comparable '#3 Dates],Benchmark1[[#This Row],[Benchmark '#1 Dates]])=1,"Pass","Fail")</f>
        <v>Pass</v>
      </c>
      <c r="Q647" s="6">
        <f>IF(Benchmark1[[#This Row],[Comparable '#3 Date Check]]="Pass",INDEX(Comp3[Comparable '#3 Price],MATCH(Benchmark1[[#This Row],[Benchmark '#1 Dates]],Comp3[Comparable '#3 Dates],0)),"-")</f>
        <v>89.07</v>
      </c>
      <c r="R647" s="22">
        <f>IF(Benchmark1[[#This Row],[Comparable '#3 Date Check]]="Pass",INDEX(Comp3[Comparable '#3 Return],MATCH(Benchmark1[[#This Row],[Benchmark '#1 Dates]],Comp3[Comparable '#3 Dates],0)),"-")</f>
        <v>1.7979553107305751E-3</v>
      </c>
      <c r="S647" s="1">
        <f>IFERROR(IF(Benchmark1[[#This Row],[Comparable '#3 Date Check]]="Pass",Benchmark1[[#This Row],[Comparable '#3 Return]]-Benchmark1[[#This Row],[Benchmark '#1 Return]],"-"),"-")</f>
        <v>2.7810719450329289E-2</v>
      </c>
    </row>
    <row r="648" spans="1:19">
      <c r="A648" s="103">
        <v>44224</v>
      </c>
      <c r="B648" s="104">
        <v>3787.3768557652861</v>
      </c>
      <c r="C648" s="4">
        <f t="shared" si="10"/>
        <v>9.7116502921031113E-3</v>
      </c>
      <c r="D648" s="1" t="str">
        <f>IF(COUNTIF(Target1[Target Dates],Benchmark1[[#This Row],[Benchmark '#1 Dates]])=1,"Pass","Fail")</f>
        <v>Pass</v>
      </c>
      <c r="E648" s="6">
        <f>IF(Benchmark1[[#This Row],[Target Date Check]]="Pass",INDEX(Target1[Target Price],MATCH(Benchmark1[[#This Row],[Benchmark '#1 Dates]],Target1[Target Dates],0)),"-")</f>
        <v>24.03</v>
      </c>
      <c r="F648" s="22">
        <f>IF(Benchmark1[[#This Row],[Target Date Check]]="Pass",INDEX(Target1[Target Return],MATCH(Benchmark1[[#This Row],[Benchmark '#1 Dates]],Target1[Target Dates],0)),"-")</f>
        <v>-3.4359208066935785E-2</v>
      </c>
      <c r="G648" s="1">
        <f>IFERROR(IF(Benchmark1[[#This Row],[Target Date Check]]="Pass",Benchmark1[[#This Row],[Target Return]]-Benchmark1[[#This Row],[Benchmark '#1 Return]],"-"),"-")</f>
        <v>-4.40708583590389E-2</v>
      </c>
      <c r="H648" s="1" t="str">
        <f>IF(COUNTIF(Comp1[Comparable '#1 Dates],Benchmark1[[#This Row],[Benchmark '#1 Dates]])=1,"Pass","Fail")</f>
        <v>Pass</v>
      </c>
      <c r="I648" s="6">
        <f>IF(Benchmark1[[#This Row],[Comparable '#1 Date Check]]="Pass",INDEX(Comp1[Comparable '#1 Price],MATCH(Benchmark1[[#This Row],[Benchmark '#1 Dates]],Comp1[Comparable '#1 Dates],0)),"-")</f>
        <v>13.25</v>
      </c>
      <c r="J648" s="22">
        <f>IF(Benchmark1[[#This Row],[Comparable '#1 Date Check]]="Pass",INDEX(Comp1[Comparable '#1 Return],MATCH(Benchmark1[[#This Row],[Benchmark '#1 Dates]],Comp1[Comparable '#1 Dates],0)),"-")</f>
        <v>-8.2676156762683632E-3</v>
      </c>
      <c r="K648" s="1">
        <f>IFERROR(IF(Benchmark1[[#This Row],[Comparable '#1 Date Check]]="Pass",Benchmark1[[#This Row],[Comparable '#1 Return]]-Benchmark1[[#This Row],[Benchmark '#1 Return]],"-"),"-")</f>
        <v>-1.7979265968371475E-2</v>
      </c>
      <c r="L648" s="1" t="str">
        <f>IF(COUNTIF(Comp2[Comparable '#2 Dates],Benchmark1[[#This Row],[Benchmark '#1 Dates]])=1,"Pass","Fail")</f>
        <v>Pass</v>
      </c>
      <c r="M648" s="6">
        <f>IF(Benchmark1[[#This Row],[Comparable '#2 Date Check]]="Pass",INDEX(Comp2[Comparable '#2 Price],MATCH(Benchmark1[[#This Row],[Benchmark '#1 Dates]],Comp2[Comparable '#2 Dates],0)),"-")</f>
        <v>38.840000000000003</v>
      </c>
      <c r="N648" s="22">
        <f>IF(Benchmark1[[#This Row],[Comparable '#2 Date Check]]="Pass",INDEX(Comp2[Comparable '#2 Return],MATCH(Benchmark1[[#This Row],[Benchmark '#1 Dates]],Comp2[Comparable '#2 Dates],0)),"-")</f>
        <v>-1.5583403868759048E-2</v>
      </c>
      <c r="O648" s="1">
        <f>IFERROR(IF(Benchmark1[[#This Row],[Comparable '#2 Date Check]]="Pass",Benchmark1[[#This Row],[Comparable '#2 Return]]-Benchmark1[[#This Row],[Benchmark '#1 Return]],"-"),"-")</f>
        <v>-2.5295054160862161E-2</v>
      </c>
      <c r="P648" s="1" t="str">
        <f>IF(COUNTIF(Comp3[Comparable '#3 Dates],Benchmark1[[#This Row],[Benchmark '#1 Dates]])=1,"Pass","Fail")</f>
        <v>Pass</v>
      </c>
      <c r="Q648" s="6">
        <f>IF(Benchmark1[[#This Row],[Comparable '#3 Date Check]]="Pass",INDEX(Comp3[Comparable '#3 Price],MATCH(Benchmark1[[#This Row],[Benchmark '#1 Dates]],Comp3[Comparable '#3 Dates],0)),"-")</f>
        <v>86.62</v>
      </c>
      <c r="R648" s="22">
        <f>IF(Benchmark1[[#This Row],[Comparable '#3 Date Check]]="Pass",INDEX(Comp3[Comparable '#3 Return],MATCH(Benchmark1[[#This Row],[Benchmark '#1 Dates]],Comp3[Comparable '#3 Dates],0)),"-")</f>
        <v>-2.7891841657297436E-2</v>
      </c>
      <c r="S648" s="1">
        <f>IFERROR(IF(Benchmark1[[#This Row],[Comparable '#3 Date Check]]="Pass",Benchmark1[[#This Row],[Comparable '#3 Return]]-Benchmark1[[#This Row],[Benchmark '#1 Return]],"-"),"-")</f>
        <v>-3.7603491949400547E-2</v>
      </c>
    </row>
    <row r="649" spans="1:19">
      <c r="A649" s="103">
        <v>44225</v>
      </c>
      <c r="B649" s="104">
        <v>3714.2426897766395</v>
      </c>
      <c r="C649" s="4">
        <f t="shared" si="10"/>
        <v>-1.9498851600215104E-2</v>
      </c>
      <c r="D649" s="1" t="str">
        <f>IF(COUNTIF(Target1[Target Dates],Benchmark1[[#This Row],[Benchmark '#1 Dates]])=1,"Pass","Fail")</f>
        <v>Pass</v>
      </c>
      <c r="E649" s="6">
        <f>IF(Benchmark1[[#This Row],[Target Date Check]]="Pass",INDEX(Target1[Target Price],MATCH(Benchmark1[[#This Row],[Benchmark '#1 Dates]],Target1[Target Dates],0)),"-")</f>
        <v>25.75</v>
      </c>
      <c r="F649" s="22">
        <f>IF(Benchmark1[[#This Row],[Target Date Check]]="Pass",INDEX(Target1[Target Return],MATCH(Benchmark1[[#This Row],[Benchmark '#1 Dates]],Target1[Target Dates],0)),"-")</f>
        <v>6.9131577361367491E-2</v>
      </c>
      <c r="G649" s="1">
        <f>IFERROR(IF(Benchmark1[[#This Row],[Target Date Check]]="Pass",Benchmark1[[#This Row],[Target Return]]-Benchmark1[[#This Row],[Benchmark '#1 Return]],"-"),"-")</f>
        <v>8.8630428961582602E-2</v>
      </c>
      <c r="H649" s="1" t="str">
        <f>IF(COUNTIF(Comp1[Comparable '#1 Dates],Benchmark1[[#This Row],[Benchmark '#1 Dates]])=1,"Pass","Fail")</f>
        <v>Pass</v>
      </c>
      <c r="I649" s="6">
        <f>IF(Benchmark1[[#This Row],[Comparable '#1 Date Check]]="Pass",INDEX(Comp1[Comparable '#1 Price],MATCH(Benchmark1[[#This Row],[Benchmark '#1 Dates]],Comp1[Comparable '#1 Dates],0)),"-")</f>
        <v>13.01</v>
      </c>
      <c r="J649" s="22">
        <f>IF(Benchmark1[[#This Row],[Comparable '#1 Date Check]]="Pass",INDEX(Comp1[Comparable '#1 Return],MATCH(Benchmark1[[#This Row],[Benchmark '#1 Dates]],Comp1[Comparable '#1 Dates],0)),"-")</f>
        <v>-1.8279259907817327E-2</v>
      </c>
      <c r="K649" s="1">
        <f>IFERROR(IF(Benchmark1[[#This Row],[Comparable '#1 Date Check]]="Pass",Benchmark1[[#This Row],[Comparable '#1 Return]]-Benchmark1[[#This Row],[Benchmark '#1 Return]],"-"),"-")</f>
        <v>1.219591692397777E-3</v>
      </c>
      <c r="L649" s="1" t="str">
        <f>IF(COUNTIF(Comp2[Comparable '#2 Dates],Benchmark1[[#This Row],[Benchmark '#1 Dates]])=1,"Pass","Fail")</f>
        <v>Pass</v>
      </c>
      <c r="M649" s="6">
        <f>IF(Benchmark1[[#This Row],[Comparable '#2 Date Check]]="Pass",INDEX(Comp2[Comparable '#2 Price],MATCH(Benchmark1[[#This Row],[Benchmark '#1 Dates]],Comp2[Comparable '#2 Dates],0)),"-")</f>
        <v>38.590000000000003</v>
      </c>
      <c r="N649" s="22">
        <f>IF(Benchmark1[[#This Row],[Comparable '#2 Date Check]]="Pass",INDEX(Comp2[Comparable '#2 Return],MATCH(Benchmark1[[#This Row],[Benchmark '#1 Dates]],Comp2[Comparable '#2 Dates],0)),"-")</f>
        <v>-6.4574678735967259E-3</v>
      </c>
      <c r="O649" s="1">
        <f>IFERROR(IF(Benchmark1[[#This Row],[Comparable '#2 Date Check]]="Pass",Benchmark1[[#This Row],[Comparable '#2 Return]]-Benchmark1[[#This Row],[Benchmark '#1 Return]],"-"),"-")</f>
        <v>1.3041383726618378E-2</v>
      </c>
      <c r="P649" s="1" t="str">
        <f>IF(COUNTIF(Comp3[Comparable '#3 Dates],Benchmark1[[#This Row],[Benchmark '#1 Dates]])=1,"Pass","Fail")</f>
        <v>Pass</v>
      </c>
      <c r="Q649" s="6">
        <f>IF(Benchmark1[[#This Row],[Comparable '#3 Date Check]]="Pass",INDEX(Comp3[Comparable '#3 Price],MATCH(Benchmark1[[#This Row],[Benchmark '#1 Dates]],Comp3[Comparable '#3 Dates],0)),"-")</f>
        <v>88.37</v>
      </c>
      <c r="R649" s="22">
        <f>IF(Benchmark1[[#This Row],[Comparable '#3 Date Check]]="Pass",INDEX(Comp3[Comparable '#3 Return],MATCH(Benchmark1[[#This Row],[Benchmark '#1 Dates]],Comp3[Comparable '#3 Dates],0)),"-")</f>
        <v>2.0001809743432488E-2</v>
      </c>
      <c r="S649" s="1">
        <f>IFERROR(IF(Benchmark1[[#This Row],[Comparable '#3 Date Check]]="Pass",Benchmark1[[#This Row],[Comparable '#3 Return]]-Benchmark1[[#This Row],[Benchmark '#1 Return]],"-"),"-")</f>
        <v>3.9500661343647589E-2</v>
      </c>
    </row>
    <row r="650" spans="1:19">
      <c r="A650" s="103">
        <v>44228</v>
      </c>
      <c r="B650" s="104">
        <v>3773.8571040592547</v>
      </c>
      <c r="C650" s="4">
        <f t="shared" si="10"/>
        <v>1.5922777592782898E-2</v>
      </c>
      <c r="D650" s="1" t="str">
        <f>IF(COUNTIF(Target1[Target Dates],Benchmark1[[#This Row],[Benchmark '#1 Dates]])=1,"Pass","Fail")</f>
        <v>Pass</v>
      </c>
      <c r="E650" s="6">
        <f>IF(Benchmark1[[#This Row],[Target Date Check]]="Pass",INDEX(Target1[Target Price],MATCH(Benchmark1[[#This Row],[Benchmark '#1 Dates]],Target1[Target Dates],0)),"-")</f>
        <v>27.16</v>
      </c>
      <c r="F650" s="22">
        <f>IF(Benchmark1[[#This Row],[Target Date Check]]="Pass",INDEX(Target1[Target Return],MATCH(Benchmark1[[#This Row],[Benchmark '#1 Dates]],Target1[Target Dates],0)),"-")</f>
        <v>5.3310675580750262E-2</v>
      </c>
      <c r="G650" s="1">
        <f>IFERROR(IF(Benchmark1[[#This Row],[Target Date Check]]="Pass",Benchmark1[[#This Row],[Target Return]]-Benchmark1[[#This Row],[Benchmark '#1 Return]],"-"),"-")</f>
        <v>3.7387897987967364E-2</v>
      </c>
      <c r="H650" s="1" t="str">
        <f>IF(COUNTIF(Comp1[Comparable '#1 Dates],Benchmark1[[#This Row],[Benchmark '#1 Dates]])=1,"Pass","Fail")</f>
        <v>Pass</v>
      </c>
      <c r="I650" s="6">
        <f>IF(Benchmark1[[#This Row],[Comparable '#1 Date Check]]="Pass",INDEX(Comp1[Comparable '#1 Price],MATCH(Benchmark1[[#This Row],[Benchmark '#1 Dates]],Comp1[Comparable '#1 Dates],0)),"-")</f>
        <v>13.59</v>
      </c>
      <c r="J650" s="22">
        <f>IF(Benchmark1[[#This Row],[Comparable '#1 Date Check]]="Pass",INDEX(Comp1[Comparable '#1 Return],MATCH(Benchmark1[[#This Row],[Benchmark '#1 Dates]],Comp1[Comparable '#1 Dates],0)),"-")</f>
        <v>4.3615935638638491E-2</v>
      </c>
      <c r="K650" s="1">
        <f>IFERROR(IF(Benchmark1[[#This Row],[Comparable '#1 Date Check]]="Pass",Benchmark1[[#This Row],[Comparable '#1 Return]]-Benchmark1[[#This Row],[Benchmark '#1 Return]],"-"),"-")</f>
        <v>2.7693158045855593E-2</v>
      </c>
      <c r="L650" s="1" t="str">
        <f>IF(COUNTIF(Comp2[Comparable '#2 Dates],Benchmark1[[#This Row],[Benchmark '#1 Dates]])=1,"Pass","Fail")</f>
        <v>Pass</v>
      </c>
      <c r="M650" s="6">
        <f>IF(Benchmark1[[#This Row],[Comparable '#2 Date Check]]="Pass",INDEX(Comp2[Comparable '#2 Price],MATCH(Benchmark1[[#This Row],[Benchmark '#1 Dates]],Comp2[Comparable '#2 Dates],0)),"-")</f>
        <v>39.130000000000003</v>
      </c>
      <c r="N650" s="22">
        <f>IF(Benchmark1[[#This Row],[Comparable '#2 Date Check]]="Pass",INDEX(Comp2[Comparable '#2 Return],MATCH(Benchmark1[[#This Row],[Benchmark '#1 Dates]],Comp2[Comparable '#2 Dates],0)),"-")</f>
        <v>1.3896260672793597E-2</v>
      </c>
      <c r="O650" s="1">
        <f>IFERROR(IF(Benchmark1[[#This Row],[Comparable '#2 Date Check]]="Pass",Benchmark1[[#This Row],[Comparable '#2 Return]]-Benchmark1[[#This Row],[Benchmark '#1 Return]],"-"),"-")</f>
        <v>-2.0265169199893008E-3</v>
      </c>
      <c r="P650" s="1" t="str">
        <f>IF(COUNTIF(Comp3[Comparable '#3 Dates],Benchmark1[[#This Row],[Benchmark '#1 Dates]])=1,"Pass","Fail")</f>
        <v>Pass</v>
      </c>
      <c r="Q650" s="6">
        <f>IF(Benchmark1[[#This Row],[Comparable '#3 Date Check]]="Pass",INDEX(Comp3[Comparable '#3 Price],MATCH(Benchmark1[[#This Row],[Benchmark '#1 Dates]],Comp3[Comparable '#3 Dates],0)),"-")</f>
        <v>90.3</v>
      </c>
      <c r="R650" s="22">
        <f>IF(Benchmark1[[#This Row],[Comparable '#3 Date Check]]="Pass",INDEX(Comp3[Comparable '#3 Return],MATCH(Benchmark1[[#This Row],[Benchmark '#1 Dates]],Comp3[Comparable '#3 Dates],0)),"-")</f>
        <v>2.1604914893026503E-2</v>
      </c>
      <c r="S650" s="1">
        <f>IFERROR(IF(Benchmark1[[#This Row],[Comparable '#3 Date Check]]="Pass",Benchmark1[[#This Row],[Comparable '#3 Return]]-Benchmark1[[#This Row],[Benchmark '#1 Return]],"-"),"-")</f>
        <v>5.6821373002436046E-3</v>
      </c>
    </row>
    <row r="651" spans="1:19">
      <c r="A651" s="103">
        <v>44229</v>
      </c>
      <c r="B651" s="104">
        <v>3826.3128950860009</v>
      </c>
      <c r="C651" s="4">
        <f t="shared" si="10"/>
        <v>1.3804065960110849E-2</v>
      </c>
      <c r="D651" s="1" t="str">
        <f>IF(COUNTIF(Target1[Target Dates],Benchmark1[[#This Row],[Benchmark '#1 Dates]])=1,"Pass","Fail")</f>
        <v>Pass</v>
      </c>
      <c r="E651" s="6">
        <f>IF(Benchmark1[[#This Row],[Target Date Check]]="Pass",INDEX(Target1[Target Price],MATCH(Benchmark1[[#This Row],[Benchmark '#1 Dates]],Target1[Target Dates],0)),"-")</f>
        <v>27.32</v>
      </c>
      <c r="F651" s="22">
        <f>IF(Benchmark1[[#This Row],[Target Date Check]]="Pass",INDEX(Target1[Target Return],MATCH(Benchmark1[[#This Row],[Benchmark '#1 Dates]],Target1[Target Dates],0)),"-")</f>
        <v>5.8737320120939157E-3</v>
      </c>
      <c r="G651" s="1">
        <f>IFERROR(IF(Benchmark1[[#This Row],[Target Date Check]]="Pass",Benchmark1[[#This Row],[Target Return]]-Benchmark1[[#This Row],[Benchmark '#1 Return]],"-"),"-")</f>
        <v>-7.9303339480169335E-3</v>
      </c>
      <c r="H651" s="1" t="str">
        <f>IF(COUNTIF(Comp1[Comparable '#1 Dates],Benchmark1[[#This Row],[Benchmark '#1 Dates]])=1,"Pass","Fail")</f>
        <v>Pass</v>
      </c>
      <c r="I651" s="6">
        <f>IF(Benchmark1[[#This Row],[Comparable '#1 Date Check]]="Pass",INDEX(Comp1[Comparable '#1 Price],MATCH(Benchmark1[[#This Row],[Benchmark '#1 Dates]],Comp1[Comparable '#1 Dates],0)),"-")</f>
        <v>13.62</v>
      </c>
      <c r="J651" s="22">
        <f>IF(Benchmark1[[#This Row],[Comparable '#1 Date Check]]="Pass",INDEX(Comp1[Comparable '#1 Return],MATCH(Benchmark1[[#This Row],[Benchmark '#1 Dates]],Comp1[Comparable '#1 Dates],0)),"-")</f>
        <v>2.2050725583139755E-3</v>
      </c>
      <c r="K651" s="1">
        <f>IFERROR(IF(Benchmark1[[#This Row],[Comparable '#1 Date Check]]="Pass",Benchmark1[[#This Row],[Comparable '#1 Return]]-Benchmark1[[#This Row],[Benchmark '#1 Return]],"-"),"-")</f>
        <v>-1.1598993401796874E-2</v>
      </c>
      <c r="L651" s="1" t="str">
        <f>IF(COUNTIF(Comp2[Comparable '#2 Dates],Benchmark1[[#This Row],[Benchmark '#1 Dates]])=1,"Pass","Fail")</f>
        <v>Pass</v>
      </c>
      <c r="M651" s="6">
        <f>IF(Benchmark1[[#This Row],[Comparable '#2 Date Check]]="Pass",INDEX(Comp2[Comparable '#2 Price],MATCH(Benchmark1[[#This Row],[Benchmark '#1 Dates]],Comp2[Comparable '#2 Dates],0)),"-")</f>
        <v>40.409999999999997</v>
      </c>
      <c r="N651" s="22">
        <f>IF(Benchmark1[[#This Row],[Comparable '#2 Date Check]]="Pass",INDEX(Comp2[Comparable '#2 Return],MATCH(Benchmark1[[#This Row],[Benchmark '#1 Dates]],Comp2[Comparable '#2 Dates],0)),"-")</f>
        <v>3.2187842868060985E-2</v>
      </c>
      <c r="O651" s="1">
        <f>IFERROR(IF(Benchmark1[[#This Row],[Comparable '#2 Date Check]]="Pass",Benchmark1[[#This Row],[Comparable '#2 Return]]-Benchmark1[[#This Row],[Benchmark '#1 Return]],"-"),"-")</f>
        <v>1.8383776907950136E-2</v>
      </c>
      <c r="P651" s="1" t="str">
        <f>IF(COUNTIF(Comp3[Comparable '#3 Dates],Benchmark1[[#This Row],[Benchmark '#1 Dates]])=1,"Pass","Fail")</f>
        <v>Pass</v>
      </c>
      <c r="Q651" s="6">
        <f>IF(Benchmark1[[#This Row],[Comparable '#3 Date Check]]="Pass",INDEX(Comp3[Comparable '#3 Price],MATCH(Benchmark1[[#This Row],[Benchmark '#1 Dates]],Comp3[Comparable '#3 Dates],0)),"-")</f>
        <v>91.7</v>
      </c>
      <c r="R651" s="22">
        <f>IF(Benchmark1[[#This Row],[Comparable '#3 Date Check]]="Pass",INDEX(Comp3[Comparable '#3 Return],MATCH(Benchmark1[[#This Row],[Benchmark '#1 Dates]],Comp3[Comparable '#3 Dates],0)),"-")</f>
        <v>1.5384918839479456E-2</v>
      </c>
      <c r="S651" s="1">
        <f>IFERROR(IF(Benchmark1[[#This Row],[Comparable '#3 Date Check]]="Pass",Benchmark1[[#This Row],[Comparable '#3 Return]]-Benchmark1[[#This Row],[Benchmark '#1 Return]],"-"),"-")</f>
        <v>1.5808528793686064E-3</v>
      </c>
    </row>
    <row r="652" spans="1:19">
      <c r="A652" s="103">
        <v>44230</v>
      </c>
      <c r="B652" s="104">
        <v>3830.1725355069725</v>
      </c>
      <c r="C652" s="4">
        <f t="shared" si="10"/>
        <v>1.0082016828463296E-3</v>
      </c>
      <c r="D652" s="1" t="str">
        <f>IF(COUNTIF(Target1[Target Dates],Benchmark1[[#This Row],[Benchmark '#1 Dates]])=1,"Pass","Fail")</f>
        <v>Pass</v>
      </c>
      <c r="E652" s="6">
        <f>IF(Benchmark1[[#This Row],[Target Date Check]]="Pass",INDEX(Target1[Target Price],MATCH(Benchmark1[[#This Row],[Benchmark '#1 Dates]],Target1[Target Dates],0)),"-")</f>
        <v>27.72</v>
      </c>
      <c r="F652" s="22">
        <f>IF(Benchmark1[[#This Row],[Target Date Check]]="Pass",INDEX(Target1[Target Return],MATCH(Benchmark1[[#This Row],[Benchmark '#1 Dates]],Target1[Target Dates],0)),"-")</f>
        <v>1.4535139619113223E-2</v>
      </c>
      <c r="G652" s="1">
        <f>IFERROR(IF(Benchmark1[[#This Row],[Target Date Check]]="Pass",Benchmark1[[#This Row],[Target Return]]-Benchmark1[[#This Row],[Benchmark '#1 Return]],"-"),"-")</f>
        <v>1.3526937936266893E-2</v>
      </c>
      <c r="H652" s="1" t="str">
        <f>IF(COUNTIF(Comp1[Comparable '#1 Dates],Benchmark1[[#This Row],[Benchmark '#1 Dates]])=1,"Pass","Fail")</f>
        <v>Pass</v>
      </c>
      <c r="I652" s="6">
        <f>IF(Benchmark1[[#This Row],[Comparable '#1 Date Check]]="Pass",INDEX(Comp1[Comparable '#1 Price],MATCH(Benchmark1[[#This Row],[Benchmark '#1 Dates]],Comp1[Comparable '#1 Dates],0)),"-")</f>
        <v>14.03</v>
      </c>
      <c r="J652" s="22">
        <f>IF(Benchmark1[[#This Row],[Comparable '#1 Date Check]]="Pass",INDEX(Comp1[Comparable '#1 Return],MATCH(Benchmark1[[#This Row],[Benchmark '#1 Dates]],Comp1[Comparable '#1 Dates],0)),"-")</f>
        <v>2.9658593393003384E-2</v>
      </c>
      <c r="K652" s="1">
        <f>IFERROR(IF(Benchmark1[[#This Row],[Comparable '#1 Date Check]]="Pass",Benchmark1[[#This Row],[Comparable '#1 Return]]-Benchmark1[[#This Row],[Benchmark '#1 Return]],"-"),"-")</f>
        <v>2.8650391710157055E-2</v>
      </c>
      <c r="L652" s="1" t="str">
        <f>IF(COUNTIF(Comp2[Comparable '#2 Dates],Benchmark1[[#This Row],[Benchmark '#1 Dates]])=1,"Pass","Fail")</f>
        <v>Pass</v>
      </c>
      <c r="M652" s="6">
        <f>IF(Benchmark1[[#This Row],[Comparable '#2 Date Check]]="Pass",INDEX(Comp2[Comparable '#2 Price],MATCH(Benchmark1[[#This Row],[Benchmark '#1 Dates]],Comp2[Comparable '#2 Dates],0)),"-")</f>
        <v>39.159999999999997</v>
      </c>
      <c r="N652" s="22">
        <f>IF(Benchmark1[[#This Row],[Comparable '#2 Date Check]]="Pass",INDEX(Comp2[Comparable '#2 Return],MATCH(Benchmark1[[#This Row],[Benchmark '#1 Dates]],Comp2[Comparable '#2 Dates],0)),"-")</f>
        <v>-3.1421461428072707E-2</v>
      </c>
      <c r="O652" s="1">
        <f>IFERROR(IF(Benchmark1[[#This Row],[Comparable '#2 Date Check]]="Pass",Benchmark1[[#This Row],[Comparable '#2 Return]]-Benchmark1[[#This Row],[Benchmark '#1 Return]],"-"),"-")</f>
        <v>-3.2429663110919035E-2</v>
      </c>
      <c r="P652" s="1" t="str">
        <f>IF(COUNTIF(Comp3[Comparable '#3 Dates],Benchmark1[[#This Row],[Benchmark '#1 Dates]])=1,"Pass","Fail")</f>
        <v>Pass</v>
      </c>
      <c r="Q652" s="6">
        <f>IF(Benchmark1[[#This Row],[Comparable '#3 Date Check]]="Pass",INDEX(Comp3[Comparable '#3 Price],MATCH(Benchmark1[[#This Row],[Benchmark '#1 Dates]],Comp3[Comparable '#3 Dates],0)),"-")</f>
        <v>88.92</v>
      </c>
      <c r="R652" s="22">
        <f>IF(Benchmark1[[#This Row],[Comparable '#3 Date Check]]="Pass",INDEX(Comp3[Comparable '#3 Return],MATCH(Benchmark1[[#This Row],[Benchmark '#1 Dates]],Comp3[Comparable '#3 Dates],0)),"-")</f>
        <v>-3.0785290166423344E-2</v>
      </c>
      <c r="S652" s="1">
        <f>IFERROR(IF(Benchmark1[[#This Row],[Comparable '#3 Date Check]]="Pass",Benchmark1[[#This Row],[Comparable '#3 Return]]-Benchmark1[[#This Row],[Benchmark '#1 Return]],"-"),"-")</f>
        <v>-3.1793491849269676E-2</v>
      </c>
    </row>
    <row r="653" spans="1:19">
      <c r="A653" s="103">
        <v>44231</v>
      </c>
      <c r="B653" s="104">
        <v>3871.7406040676769</v>
      </c>
      <c r="C653" s="4">
        <f t="shared" si="10"/>
        <v>1.0794323805954265E-2</v>
      </c>
      <c r="D653" s="1" t="str">
        <f>IF(COUNTIF(Target1[Target Dates],Benchmark1[[#This Row],[Benchmark '#1 Dates]])=1,"Pass","Fail")</f>
        <v>Pass</v>
      </c>
      <c r="E653" s="6">
        <f>IF(Benchmark1[[#This Row],[Target Date Check]]="Pass",INDEX(Target1[Target Price],MATCH(Benchmark1[[#This Row],[Benchmark '#1 Dates]],Target1[Target Dates],0)),"-")</f>
        <v>27.23</v>
      </c>
      <c r="F653" s="22">
        <f>IF(Benchmark1[[#This Row],[Target Date Check]]="Pass",INDEX(Target1[Target Return],MATCH(Benchmark1[[#This Row],[Benchmark '#1 Dates]],Target1[Target Dates],0)),"-")</f>
        <v>-1.7834867636034198E-2</v>
      </c>
      <c r="G653" s="1">
        <f>IFERROR(IF(Benchmark1[[#This Row],[Target Date Check]]="Pass",Benchmark1[[#This Row],[Target Return]]-Benchmark1[[#This Row],[Benchmark '#1 Return]],"-"),"-")</f>
        <v>-2.8629191441988465E-2</v>
      </c>
      <c r="H653" s="1" t="str">
        <f>IF(COUNTIF(Comp1[Comparable '#1 Dates],Benchmark1[[#This Row],[Benchmark '#1 Dates]])=1,"Pass","Fail")</f>
        <v>Pass</v>
      </c>
      <c r="I653" s="6">
        <f>IF(Benchmark1[[#This Row],[Comparable '#1 Date Check]]="Pass",INDEX(Comp1[Comparable '#1 Price],MATCH(Benchmark1[[#This Row],[Benchmark '#1 Dates]],Comp1[Comparable '#1 Dates],0)),"-")</f>
        <v>14</v>
      </c>
      <c r="J653" s="22">
        <f>IF(Benchmark1[[#This Row],[Comparable '#1 Date Check]]="Pass",INDEX(Comp1[Comparable '#1 Return],MATCH(Benchmark1[[#This Row],[Benchmark '#1 Dates]],Comp1[Comparable '#1 Dates],0)),"-")</f>
        <v>-2.1405644991108769E-3</v>
      </c>
      <c r="K653" s="1">
        <f>IFERROR(IF(Benchmark1[[#This Row],[Comparable '#1 Date Check]]="Pass",Benchmark1[[#This Row],[Comparable '#1 Return]]-Benchmark1[[#This Row],[Benchmark '#1 Return]],"-"),"-")</f>
        <v>-1.2934888305065142E-2</v>
      </c>
      <c r="L653" s="1" t="str">
        <f>IF(COUNTIF(Comp2[Comparable '#2 Dates],Benchmark1[[#This Row],[Benchmark '#1 Dates]])=1,"Pass","Fail")</f>
        <v>Pass</v>
      </c>
      <c r="M653" s="6">
        <f>IF(Benchmark1[[#This Row],[Comparable '#2 Date Check]]="Pass",INDEX(Comp2[Comparable '#2 Price],MATCH(Benchmark1[[#This Row],[Benchmark '#1 Dates]],Comp2[Comparable '#2 Dates],0)),"-")</f>
        <v>39.54</v>
      </c>
      <c r="N653" s="22">
        <f>IF(Benchmark1[[#This Row],[Comparable '#2 Date Check]]="Pass",INDEX(Comp2[Comparable '#2 Return],MATCH(Benchmark1[[#This Row],[Benchmark '#1 Dates]],Comp2[Comparable '#2 Dates],0)),"-")</f>
        <v>9.6570000801612516E-3</v>
      </c>
      <c r="O653" s="1">
        <f>IFERROR(IF(Benchmark1[[#This Row],[Comparable '#2 Date Check]]="Pass",Benchmark1[[#This Row],[Comparable '#2 Return]]-Benchmark1[[#This Row],[Benchmark '#1 Return]],"-"),"-")</f>
        <v>-1.1373237257930133E-3</v>
      </c>
      <c r="P653" s="1" t="str">
        <f>IF(COUNTIF(Comp3[Comparable '#3 Dates],Benchmark1[[#This Row],[Benchmark '#1 Dates]])=1,"Pass","Fail")</f>
        <v>Pass</v>
      </c>
      <c r="Q653" s="6">
        <f>IF(Benchmark1[[#This Row],[Comparable '#3 Date Check]]="Pass",INDEX(Comp3[Comparable '#3 Price],MATCH(Benchmark1[[#This Row],[Benchmark '#1 Dates]],Comp3[Comparable '#3 Dates],0)),"-")</f>
        <v>90.1</v>
      </c>
      <c r="R653" s="22">
        <f>IF(Benchmark1[[#This Row],[Comparable '#3 Date Check]]="Pass",INDEX(Comp3[Comparable '#3 Return],MATCH(Benchmark1[[#This Row],[Benchmark '#1 Dates]],Comp3[Comparable '#3 Dates],0)),"-")</f>
        <v>1.318307551829625E-2</v>
      </c>
      <c r="S653" s="1">
        <f>IFERROR(IF(Benchmark1[[#This Row],[Comparable '#3 Date Check]]="Pass",Benchmark1[[#This Row],[Comparable '#3 Return]]-Benchmark1[[#This Row],[Benchmark '#1 Return]],"-"),"-")</f>
        <v>2.3887517123419855E-3</v>
      </c>
    </row>
    <row r="654" spans="1:19">
      <c r="A654" s="103">
        <v>44232</v>
      </c>
      <c r="B654" s="104">
        <v>3886.8316808802365</v>
      </c>
      <c r="C654" s="4">
        <f t="shared" si="10"/>
        <v>3.8901734210823368E-3</v>
      </c>
      <c r="D654" s="1" t="str">
        <f>IF(COUNTIF(Target1[Target Dates],Benchmark1[[#This Row],[Benchmark '#1 Dates]])=1,"Pass","Fail")</f>
        <v>Pass</v>
      </c>
      <c r="E654" s="6">
        <f>IF(Benchmark1[[#This Row],[Target Date Check]]="Pass",INDEX(Target1[Target Price],MATCH(Benchmark1[[#This Row],[Benchmark '#1 Dates]],Target1[Target Dates],0)),"-")</f>
        <v>27.22</v>
      </c>
      <c r="F654" s="22">
        <f>IF(Benchmark1[[#This Row],[Target Date Check]]="Pass",INDEX(Target1[Target Return],MATCH(Benchmark1[[#This Row],[Benchmark '#1 Dates]],Target1[Target Dates],0)),"-")</f>
        <v>-3.6730946234826798E-4</v>
      </c>
      <c r="G654" s="1">
        <f>IFERROR(IF(Benchmark1[[#This Row],[Target Date Check]]="Pass",Benchmark1[[#This Row],[Target Return]]-Benchmark1[[#This Row],[Benchmark '#1 Return]],"-"),"-")</f>
        <v>-4.2574828834306046E-3</v>
      </c>
      <c r="H654" s="1" t="str">
        <f>IF(COUNTIF(Comp1[Comparable '#1 Dates],Benchmark1[[#This Row],[Benchmark '#1 Dates]])=1,"Pass","Fail")</f>
        <v>Pass</v>
      </c>
      <c r="I654" s="6">
        <f>IF(Benchmark1[[#This Row],[Comparable '#1 Date Check]]="Pass",INDEX(Comp1[Comparable '#1 Price],MATCH(Benchmark1[[#This Row],[Benchmark '#1 Dates]],Comp1[Comparable '#1 Dates],0)),"-")</f>
        <v>13.98</v>
      </c>
      <c r="J654" s="22">
        <f>IF(Benchmark1[[#This Row],[Comparable '#1 Date Check]]="Pass",INDEX(Comp1[Comparable '#1 Return],MATCH(Benchmark1[[#This Row],[Benchmark '#1 Dates]],Comp1[Comparable '#1 Dates],0)),"-")</f>
        <v>-1.4295928095944335E-3</v>
      </c>
      <c r="K654" s="1">
        <f>IFERROR(IF(Benchmark1[[#This Row],[Comparable '#1 Date Check]]="Pass",Benchmark1[[#This Row],[Comparable '#1 Return]]-Benchmark1[[#This Row],[Benchmark '#1 Return]],"-"),"-")</f>
        <v>-5.3197662306767703E-3</v>
      </c>
      <c r="L654" s="1" t="str">
        <f>IF(COUNTIF(Comp2[Comparable '#2 Dates],Benchmark1[[#This Row],[Benchmark '#1 Dates]])=1,"Pass","Fail")</f>
        <v>Pass</v>
      </c>
      <c r="M654" s="6">
        <f>IF(Benchmark1[[#This Row],[Comparable '#2 Date Check]]="Pass",INDEX(Comp2[Comparable '#2 Price],MATCH(Benchmark1[[#This Row],[Benchmark '#1 Dates]],Comp2[Comparable '#2 Dates],0)),"-")</f>
        <v>39.5</v>
      </c>
      <c r="N654" s="22">
        <f>IF(Benchmark1[[#This Row],[Comparable '#2 Date Check]]="Pass",INDEX(Comp2[Comparable '#2 Return],MATCH(Benchmark1[[#This Row],[Benchmark '#1 Dates]],Comp2[Comparable '#2 Dates],0)),"-")</f>
        <v>-1.012145835394629E-3</v>
      </c>
      <c r="O654" s="1">
        <f>IFERROR(IF(Benchmark1[[#This Row],[Comparable '#2 Date Check]]="Pass",Benchmark1[[#This Row],[Comparable '#2 Return]]-Benchmark1[[#This Row],[Benchmark '#1 Return]],"-"),"-")</f>
        <v>-4.902319256476966E-3</v>
      </c>
      <c r="P654" s="1" t="str">
        <f>IF(COUNTIF(Comp3[Comparable '#3 Dates],Benchmark1[[#This Row],[Benchmark '#1 Dates]])=1,"Pass","Fail")</f>
        <v>Pass</v>
      </c>
      <c r="Q654" s="6">
        <f>IF(Benchmark1[[#This Row],[Comparable '#3 Date Check]]="Pass",INDEX(Comp3[Comparable '#3 Price],MATCH(Benchmark1[[#This Row],[Benchmark '#1 Dates]],Comp3[Comparable '#3 Dates],0)),"-")</f>
        <v>90.41</v>
      </c>
      <c r="R654" s="22">
        <f>IF(Benchmark1[[#This Row],[Comparable '#3 Date Check]]="Pass",INDEX(Comp3[Comparable '#3 Return],MATCH(Benchmark1[[#This Row],[Benchmark '#1 Dates]],Comp3[Comparable '#3 Dates],0)),"-")</f>
        <v>3.4347161349829181E-3</v>
      </c>
      <c r="S654" s="1">
        <f>IFERROR(IF(Benchmark1[[#This Row],[Comparable '#3 Date Check]]="Pass",Benchmark1[[#This Row],[Comparable '#3 Return]]-Benchmark1[[#This Row],[Benchmark '#1 Return]],"-"),"-")</f>
        <v>-4.5545728609941872E-4</v>
      </c>
    </row>
    <row r="655" spans="1:19">
      <c r="A655" s="103">
        <v>44235</v>
      </c>
      <c r="B655" s="104">
        <v>3915.5885750829889</v>
      </c>
      <c r="C655" s="4">
        <f t="shared" si="10"/>
        <v>7.3713087659781828E-3</v>
      </c>
      <c r="D655" s="1" t="str">
        <f>IF(COUNTIF(Target1[Target Dates],Benchmark1[[#This Row],[Benchmark '#1 Dates]])=1,"Pass","Fail")</f>
        <v>Pass</v>
      </c>
      <c r="E655" s="6">
        <f>IF(Benchmark1[[#This Row],[Target Date Check]]="Pass",INDEX(Target1[Target Price],MATCH(Benchmark1[[#This Row],[Benchmark '#1 Dates]],Target1[Target Dates],0)),"-")</f>
        <v>27.69</v>
      </c>
      <c r="F655" s="22">
        <f>IF(Benchmark1[[#This Row],[Target Date Check]]="Pass",INDEX(Target1[Target Return],MATCH(Benchmark1[[#This Row],[Benchmark '#1 Dates]],Target1[Target Dates],0)),"-")</f>
        <v>1.7119339959550582E-2</v>
      </c>
      <c r="G655" s="1">
        <f>IFERROR(IF(Benchmark1[[#This Row],[Target Date Check]]="Pass",Benchmark1[[#This Row],[Target Return]]-Benchmark1[[#This Row],[Benchmark '#1 Return]],"-"),"-")</f>
        <v>9.7480311935723984E-3</v>
      </c>
      <c r="H655" s="1" t="str">
        <f>IF(COUNTIF(Comp1[Comparable '#1 Dates],Benchmark1[[#This Row],[Benchmark '#1 Dates]])=1,"Pass","Fail")</f>
        <v>Pass</v>
      </c>
      <c r="I655" s="6">
        <f>IF(Benchmark1[[#This Row],[Comparable '#1 Date Check]]="Pass",INDEX(Comp1[Comparable '#1 Price],MATCH(Benchmark1[[#This Row],[Benchmark '#1 Dates]],Comp1[Comparable '#1 Dates],0)),"-")</f>
        <v>14.53</v>
      </c>
      <c r="J655" s="22">
        <f>IF(Benchmark1[[#This Row],[Comparable '#1 Date Check]]="Pass",INDEX(Comp1[Comparable '#1 Return],MATCH(Benchmark1[[#This Row],[Benchmark '#1 Dates]],Comp1[Comparable '#1 Dates],0)),"-")</f>
        <v>3.8587740776527213E-2</v>
      </c>
      <c r="K655" s="1">
        <f>IFERROR(IF(Benchmark1[[#This Row],[Comparable '#1 Date Check]]="Pass",Benchmark1[[#This Row],[Comparable '#1 Return]]-Benchmark1[[#This Row],[Benchmark '#1 Return]],"-"),"-")</f>
        <v>3.1216432010549029E-2</v>
      </c>
      <c r="L655" s="1" t="str">
        <f>IF(COUNTIF(Comp2[Comparable '#2 Dates],Benchmark1[[#This Row],[Benchmark '#1 Dates]])=1,"Pass","Fail")</f>
        <v>Pass</v>
      </c>
      <c r="M655" s="6">
        <f>IF(Benchmark1[[#This Row],[Comparable '#2 Date Check]]="Pass",INDEX(Comp2[Comparable '#2 Price],MATCH(Benchmark1[[#This Row],[Benchmark '#1 Dates]],Comp2[Comparable '#2 Dates],0)),"-")</f>
        <v>41.54</v>
      </c>
      <c r="N655" s="22">
        <f>IF(Benchmark1[[#This Row],[Comparable '#2 Date Check]]="Pass",INDEX(Comp2[Comparable '#2 Return],MATCH(Benchmark1[[#This Row],[Benchmark '#1 Dates]],Comp2[Comparable '#2 Dates],0)),"-")</f>
        <v>5.0356146540890032E-2</v>
      </c>
      <c r="O655" s="1">
        <f>IFERROR(IF(Benchmark1[[#This Row],[Comparable '#2 Date Check]]="Pass",Benchmark1[[#This Row],[Comparable '#2 Return]]-Benchmark1[[#This Row],[Benchmark '#1 Return]],"-"),"-")</f>
        <v>4.2984837774911848E-2</v>
      </c>
      <c r="P655" s="1" t="str">
        <f>IF(COUNTIF(Comp3[Comparable '#3 Dates],Benchmark1[[#This Row],[Benchmark '#1 Dates]])=1,"Pass","Fail")</f>
        <v>Pass</v>
      </c>
      <c r="Q655" s="6">
        <f>IF(Benchmark1[[#This Row],[Comparable '#3 Date Check]]="Pass",INDEX(Comp3[Comparable '#3 Price],MATCH(Benchmark1[[#This Row],[Benchmark '#1 Dates]],Comp3[Comparable '#3 Dates],0)),"-")</f>
        <v>94.29</v>
      </c>
      <c r="R655" s="22">
        <f>IF(Benchmark1[[#This Row],[Comparable '#3 Date Check]]="Pass",INDEX(Comp3[Comparable '#3 Return],MATCH(Benchmark1[[#This Row],[Benchmark '#1 Dates]],Comp3[Comparable '#3 Dates],0)),"-")</f>
        <v>4.2020258728311E-2</v>
      </c>
      <c r="S655" s="1">
        <f>IFERROR(IF(Benchmark1[[#This Row],[Comparable '#3 Date Check]]="Pass",Benchmark1[[#This Row],[Comparable '#3 Return]]-Benchmark1[[#This Row],[Benchmark '#1 Return]],"-"),"-")</f>
        <v>3.4648949962332816E-2</v>
      </c>
    </row>
    <row r="656" spans="1:19">
      <c r="A656" s="103">
        <v>44236</v>
      </c>
      <c r="B656" s="104">
        <v>3911.2276652776313</v>
      </c>
      <c r="C656" s="4">
        <f t="shared" si="10"/>
        <v>-1.1143510011499495E-3</v>
      </c>
      <c r="D656" s="1" t="str">
        <f>IF(COUNTIF(Target1[Target Dates],Benchmark1[[#This Row],[Benchmark '#1 Dates]])=1,"Pass","Fail")</f>
        <v>Pass</v>
      </c>
      <c r="E656" s="6">
        <f>IF(Benchmark1[[#This Row],[Target Date Check]]="Pass",INDEX(Target1[Target Price],MATCH(Benchmark1[[#This Row],[Benchmark '#1 Dates]],Target1[Target Dates],0)),"-")</f>
        <v>28.16</v>
      </c>
      <c r="F656" s="22">
        <f>IF(Benchmark1[[#This Row],[Target Date Check]]="Pass",INDEX(Target1[Target Return],MATCH(Benchmark1[[#This Row],[Benchmark '#1 Dates]],Target1[Target Dates],0)),"-")</f>
        <v>1.6831194106971026E-2</v>
      </c>
      <c r="G656" s="1">
        <f>IFERROR(IF(Benchmark1[[#This Row],[Target Date Check]]="Pass",Benchmark1[[#This Row],[Target Return]]-Benchmark1[[#This Row],[Benchmark '#1 Return]],"-"),"-")</f>
        <v>1.7945545108120978E-2</v>
      </c>
      <c r="H656" s="1" t="str">
        <f>IF(COUNTIF(Comp1[Comparable '#1 Dates],Benchmark1[[#This Row],[Benchmark '#1 Dates]])=1,"Pass","Fail")</f>
        <v>Pass</v>
      </c>
      <c r="I656" s="6">
        <f>IF(Benchmark1[[#This Row],[Comparable '#1 Date Check]]="Pass",INDEX(Comp1[Comparable '#1 Price],MATCH(Benchmark1[[#This Row],[Benchmark '#1 Dates]],Comp1[Comparable '#1 Dates],0)),"-")</f>
        <v>14.55</v>
      </c>
      <c r="J656" s="22">
        <f>IF(Benchmark1[[#This Row],[Comparable '#1 Date Check]]="Pass",INDEX(Comp1[Comparable '#1 Return],MATCH(Benchmark1[[#This Row],[Benchmark '#1 Dates]],Comp1[Comparable '#1 Dates],0)),"-")</f>
        <v>1.3755160353100982E-3</v>
      </c>
      <c r="K656" s="1">
        <f>IFERROR(IF(Benchmark1[[#This Row],[Comparable '#1 Date Check]]="Pass",Benchmark1[[#This Row],[Comparable '#1 Return]]-Benchmark1[[#This Row],[Benchmark '#1 Return]],"-"),"-")</f>
        <v>2.4898670364600474E-3</v>
      </c>
      <c r="L656" s="1" t="str">
        <f>IF(COUNTIF(Comp2[Comparable '#2 Dates],Benchmark1[[#This Row],[Benchmark '#1 Dates]])=1,"Pass","Fail")</f>
        <v>Pass</v>
      </c>
      <c r="M656" s="6">
        <f>IF(Benchmark1[[#This Row],[Comparable '#2 Date Check]]="Pass",INDEX(Comp2[Comparable '#2 Price],MATCH(Benchmark1[[#This Row],[Benchmark '#1 Dates]],Comp2[Comparable '#2 Dates],0)),"-")</f>
        <v>41.3</v>
      </c>
      <c r="N656" s="22">
        <f>IF(Benchmark1[[#This Row],[Comparable '#2 Date Check]]="Pass",INDEX(Comp2[Comparable '#2 Return],MATCH(Benchmark1[[#This Row],[Benchmark '#1 Dates]],Comp2[Comparable '#2 Dates],0)),"-")</f>
        <v>-5.7943184809791885E-3</v>
      </c>
      <c r="O656" s="1">
        <f>IFERROR(IF(Benchmark1[[#This Row],[Comparable '#2 Date Check]]="Pass",Benchmark1[[#This Row],[Comparable '#2 Return]]-Benchmark1[[#This Row],[Benchmark '#1 Return]],"-"),"-")</f>
        <v>-4.679967479829239E-3</v>
      </c>
      <c r="P656" s="1" t="str">
        <f>IF(COUNTIF(Comp3[Comparable '#3 Dates],Benchmark1[[#This Row],[Benchmark '#1 Dates]])=1,"Pass","Fail")</f>
        <v>Pass</v>
      </c>
      <c r="Q656" s="6">
        <f>IF(Benchmark1[[#This Row],[Comparable '#3 Date Check]]="Pass",INDEX(Comp3[Comparable '#3 Price],MATCH(Benchmark1[[#This Row],[Benchmark '#1 Dates]],Comp3[Comparable '#3 Dates],0)),"-")</f>
        <v>94.15</v>
      </c>
      <c r="R656" s="22">
        <f>IF(Benchmark1[[#This Row],[Comparable '#3 Date Check]]="Pass",INDEX(Comp3[Comparable '#3 Return],MATCH(Benchmark1[[#This Row],[Benchmark '#1 Dates]],Comp3[Comparable '#3 Dates],0)),"-")</f>
        <v>-1.4858843744245515E-3</v>
      </c>
      <c r="S656" s="1">
        <f>IFERROR(IF(Benchmark1[[#This Row],[Comparable '#3 Date Check]]="Pass",Benchmark1[[#This Row],[Comparable '#3 Return]]-Benchmark1[[#This Row],[Benchmark '#1 Return]],"-"),"-")</f>
        <v>-3.7153337327460205E-4</v>
      </c>
    </row>
    <row r="657" spans="1:19">
      <c r="A657" s="103">
        <v>44237</v>
      </c>
      <c r="B657" s="104">
        <v>3909.8797475581473</v>
      </c>
      <c r="C657" s="4">
        <f t="shared" si="10"/>
        <v>-3.4468718090154932E-4</v>
      </c>
      <c r="D657" s="1" t="str">
        <f>IF(COUNTIF(Target1[Target Dates],Benchmark1[[#This Row],[Benchmark '#1 Dates]])=1,"Pass","Fail")</f>
        <v>Pass</v>
      </c>
      <c r="E657" s="6">
        <f>IF(Benchmark1[[#This Row],[Target Date Check]]="Pass",INDEX(Target1[Target Price],MATCH(Benchmark1[[#This Row],[Benchmark '#1 Dates]],Target1[Target Dates],0)),"-")</f>
        <v>28.57</v>
      </c>
      <c r="F657" s="22">
        <f>IF(Benchmark1[[#This Row],[Target Date Check]]="Pass",INDEX(Target1[Target Return],MATCH(Benchmark1[[#This Row],[Benchmark '#1 Dates]],Target1[Target Dates],0)),"-")</f>
        <v>1.4454684952840132E-2</v>
      </c>
      <c r="G657" s="1">
        <f>IFERROR(IF(Benchmark1[[#This Row],[Target Date Check]]="Pass",Benchmark1[[#This Row],[Target Return]]-Benchmark1[[#This Row],[Benchmark '#1 Return]],"-"),"-")</f>
        <v>1.4799372133741681E-2</v>
      </c>
      <c r="H657" s="1" t="str">
        <f>IF(COUNTIF(Comp1[Comparable '#1 Dates],Benchmark1[[#This Row],[Benchmark '#1 Dates]])=1,"Pass","Fail")</f>
        <v>Pass</v>
      </c>
      <c r="I657" s="6">
        <f>IF(Benchmark1[[#This Row],[Comparable '#1 Date Check]]="Pass",INDEX(Comp1[Comparable '#1 Price],MATCH(Benchmark1[[#This Row],[Benchmark '#1 Dates]],Comp1[Comparable '#1 Dates],0)),"-")</f>
        <v>14.52</v>
      </c>
      <c r="J657" s="22">
        <f>IF(Benchmark1[[#This Row],[Comparable '#1 Date Check]]="Pass",INDEX(Comp1[Comparable '#1 Return],MATCH(Benchmark1[[#This Row],[Benchmark '#1 Dates]],Comp1[Comparable '#1 Dates],0)),"-")</f>
        <v>-2.0639842208515936E-3</v>
      </c>
      <c r="K657" s="1">
        <f>IFERROR(IF(Benchmark1[[#This Row],[Comparable '#1 Date Check]]="Pass",Benchmark1[[#This Row],[Comparable '#1 Return]]-Benchmark1[[#This Row],[Benchmark '#1 Return]],"-"),"-")</f>
        <v>-1.7192970399500442E-3</v>
      </c>
      <c r="L657" s="1" t="str">
        <f>IF(COUNTIF(Comp2[Comparable '#2 Dates],Benchmark1[[#This Row],[Benchmark '#1 Dates]])=1,"Pass","Fail")</f>
        <v>Pass</v>
      </c>
      <c r="M657" s="6">
        <f>IF(Benchmark1[[#This Row],[Comparable '#2 Date Check]]="Pass",INDEX(Comp2[Comparable '#2 Price],MATCH(Benchmark1[[#This Row],[Benchmark '#1 Dates]],Comp2[Comparable '#2 Dates],0)),"-")</f>
        <v>41.09</v>
      </c>
      <c r="N657" s="22">
        <f>IF(Benchmark1[[#This Row],[Comparable '#2 Date Check]]="Pass",INDEX(Comp2[Comparable '#2 Return],MATCH(Benchmark1[[#This Row],[Benchmark '#1 Dates]],Comp2[Comparable '#2 Dates],0)),"-")</f>
        <v>-5.0977170716684939E-3</v>
      </c>
      <c r="O657" s="1">
        <f>IFERROR(IF(Benchmark1[[#This Row],[Comparable '#2 Date Check]]="Pass",Benchmark1[[#This Row],[Comparable '#2 Return]]-Benchmark1[[#This Row],[Benchmark '#1 Return]],"-"),"-")</f>
        <v>-4.7530298907669443E-3</v>
      </c>
      <c r="P657" s="1" t="str">
        <f>IF(COUNTIF(Comp3[Comparable '#3 Dates],Benchmark1[[#This Row],[Benchmark '#1 Dates]])=1,"Pass","Fail")</f>
        <v>Pass</v>
      </c>
      <c r="Q657" s="6">
        <f>IF(Benchmark1[[#This Row],[Comparable '#3 Date Check]]="Pass",INDEX(Comp3[Comparable '#3 Price],MATCH(Benchmark1[[#This Row],[Benchmark '#1 Dates]],Comp3[Comparable '#3 Dates],0)),"-")</f>
        <v>95.24</v>
      </c>
      <c r="R657" s="22">
        <f>IF(Benchmark1[[#This Row],[Comparable '#3 Date Check]]="Pass",INDEX(Comp3[Comparable '#3 Return],MATCH(Benchmark1[[#This Row],[Benchmark '#1 Dates]],Comp3[Comparable '#3 Dates],0)),"-")</f>
        <v>1.151076651550049E-2</v>
      </c>
      <c r="S657" s="1">
        <f>IFERROR(IF(Benchmark1[[#This Row],[Comparable '#3 Date Check]]="Pass",Benchmark1[[#This Row],[Comparable '#3 Return]]-Benchmark1[[#This Row],[Benchmark '#1 Return]],"-"),"-")</f>
        <v>1.1855453696402039E-2</v>
      </c>
    </row>
    <row r="658" spans="1:19">
      <c r="A658" s="103">
        <v>44238</v>
      </c>
      <c r="B658" s="104">
        <v>3916.3750096200552</v>
      </c>
      <c r="C658" s="4">
        <f t="shared" si="10"/>
        <v>1.6598650963250542E-3</v>
      </c>
      <c r="D658" s="1" t="str">
        <f>IF(COUNTIF(Target1[Target Dates],Benchmark1[[#This Row],[Benchmark '#1 Dates]])=1,"Pass","Fail")</f>
        <v>Pass</v>
      </c>
      <c r="E658" s="6">
        <f>IF(Benchmark1[[#This Row],[Target Date Check]]="Pass",INDEX(Target1[Target Price],MATCH(Benchmark1[[#This Row],[Benchmark '#1 Dates]],Target1[Target Dates],0)),"-")</f>
        <v>28.45</v>
      </c>
      <c r="F658" s="22">
        <f>IF(Benchmark1[[#This Row],[Target Date Check]]="Pass",INDEX(Target1[Target Return],MATCH(Benchmark1[[#This Row],[Benchmark '#1 Dates]],Target1[Target Dates],0)),"-")</f>
        <v>-4.2090556703417784E-3</v>
      </c>
      <c r="G658" s="1">
        <f>IFERROR(IF(Benchmark1[[#This Row],[Target Date Check]]="Pass",Benchmark1[[#This Row],[Target Return]]-Benchmark1[[#This Row],[Benchmark '#1 Return]],"-"),"-")</f>
        <v>-5.8689207666668321E-3</v>
      </c>
      <c r="H658" s="1" t="str">
        <f>IF(COUNTIF(Comp1[Comparable '#1 Dates],Benchmark1[[#This Row],[Benchmark '#1 Dates]])=1,"Pass","Fail")</f>
        <v>Pass</v>
      </c>
      <c r="I658" s="6">
        <f>IF(Benchmark1[[#This Row],[Comparable '#1 Date Check]]="Pass",INDEX(Comp1[Comparable '#1 Price],MATCH(Benchmark1[[#This Row],[Benchmark '#1 Dates]],Comp1[Comparable '#1 Dates],0)),"-")</f>
        <v>14.625</v>
      </c>
      <c r="J658" s="22">
        <f>IF(Benchmark1[[#This Row],[Comparable '#1 Date Check]]="Pass",INDEX(Comp1[Comparable '#1 Return],MATCH(Benchmark1[[#This Row],[Benchmark '#1 Dates]],Comp1[Comparable '#1 Dates],0)),"-")</f>
        <v>7.2053837212701635E-3</v>
      </c>
      <c r="K658" s="1">
        <f>IFERROR(IF(Benchmark1[[#This Row],[Comparable '#1 Date Check]]="Pass",Benchmark1[[#This Row],[Comparable '#1 Return]]-Benchmark1[[#This Row],[Benchmark '#1 Return]],"-"),"-")</f>
        <v>5.5455186249451088E-3</v>
      </c>
      <c r="L658" s="1" t="str">
        <f>IF(COUNTIF(Comp2[Comparable '#2 Dates],Benchmark1[[#This Row],[Benchmark '#1 Dates]])=1,"Pass","Fail")</f>
        <v>Pass</v>
      </c>
      <c r="M658" s="6">
        <f>IF(Benchmark1[[#This Row],[Comparable '#2 Date Check]]="Pass",INDEX(Comp2[Comparable '#2 Price],MATCH(Benchmark1[[#This Row],[Benchmark '#1 Dates]],Comp2[Comparable '#2 Dates],0)),"-")</f>
        <v>40.799999999999997</v>
      </c>
      <c r="N658" s="22">
        <f>IF(Benchmark1[[#This Row],[Comparable '#2 Date Check]]="Pass",INDEX(Comp2[Comparable '#2 Return],MATCH(Benchmark1[[#This Row],[Benchmark '#1 Dates]],Comp2[Comparable '#2 Dates],0)),"-")</f>
        <v>-7.0827014852025503E-3</v>
      </c>
      <c r="O658" s="1">
        <f>IFERROR(IF(Benchmark1[[#This Row],[Comparable '#2 Date Check]]="Pass",Benchmark1[[#This Row],[Comparable '#2 Return]]-Benchmark1[[#This Row],[Benchmark '#1 Return]],"-"),"-")</f>
        <v>-8.7425665815276041E-3</v>
      </c>
      <c r="P658" s="1" t="str">
        <f>IF(COUNTIF(Comp3[Comparable '#3 Dates],Benchmark1[[#This Row],[Benchmark '#1 Dates]])=1,"Pass","Fail")</f>
        <v>Pass</v>
      </c>
      <c r="Q658" s="6">
        <f>IF(Benchmark1[[#This Row],[Comparable '#3 Date Check]]="Pass",INDEX(Comp3[Comparable '#3 Price],MATCH(Benchmark1[[#This Row],[Benchmark '#1 Dates]],Comp3[Comparable '#3 Dates],0)),"-")</f>
        <v>96.22</v>
      </c>
      <c r="R658" s="22">
        <f>IF(Benchmark1[[#This Row],[Comparable '#3 Date Check]]="Pass",INDEX(Comp3[Comparable '#3 Return],MATCH(Benchmark1[[#This Row],[Benchmark '#1 Dates]],Comp3[Comparable '#3 Dates],0)),"-")</f>
        <v>1.0237214652645717E-2</v>
      </c>
      <c r="S658" s="1">
        <f>IFERROR(IF(Benchmark1[[#This Row],[Comparable '#3 Date Check]]="Pass",Benchmark1[[#This Row],[Comparable '#3 Return]]-Benchmark1[[#This Row],[Benchmark '#1 Return]],"-"),"-")</f>
        <v>8.5773495563206629E-3</v>
      </c>
    </row>
    <row r="659" spans="1:19">
      <c r="A659" s="103">
        <v>44239</v>
      </c>
      <c r="B659" s="104">
        <v>3934.8336727926089</v>
      </c>
      <c r="C659" s="4">
        <f t="shared" si="10"/>
        <v>4.7021287878897386E-3</v>
      </c>
      <c r="D659" s="1" t="str">
        <f>IF(COUNTIF(Target1[Target Dates],Benchmark1[[#This Row],[Benchmark '#1 Dates]])=1,"Pass","Fail")</f>
        <v>Pass</v>
      </c>
      <c r="E659" s="6">
        <f>IF(Benchmark1[[#This Row],[Target Date Check]]="Pass",INDEX(Target1[Target Price],MATCH(Benchmark1[[#This Row],[Benchmark '#1 Dates]],Target1[Target Dates],0)),"-")</f>
        <v>28.27</v>
      </c>
      <c r="F659" s="22">
        <f>IF(Benchmark1[[#This Row],[Target Date Check]]="Pass",INDEX(Target1[Target Return],MATCH(Benchmark1[[#This Row],[Benchmark '#1 Dates]],Target1[Target Dates],0)),"-")</f>
        <v>-6.3469888668409294E-3</v>
      </c>
      <c r="G659" s="1">
        <f>IFERROR(IF(Benchmark1[[#This Row],[Target Date Check]]="Pass",Benchmark1[[#This Row],[Target Return]]-Benchmark1[[#This Row],[Benchmark '#1 Return]],"-"),"-")</f>
        <v>-1.1049117654730668E-2</v>
      </c>
      <c r="H659" s="1" t="str">
        <f>IF(COUNTIF(Comp1[Comparable '#1 Dates],Benchmark1[[#This Row],[Benchmark '#1 Dates]])=1,"Pass","Fail")</f>
        <v>Pass</v>
      </c>
      <c r="I659" s="6">
        <f>IF(Benchmark1[[#This Row],[Comparable '#1 Date Check]]="Pass",INDEX(Comp1[Comparable '#1 Price],MATCH(Benchmark1[[#This Row],[Benchmark '#1 Dates]],Comp1[Comparable '#1 Dates],0)),"-")</f>
        <v>14.56</v>
      </c>
      <c r="J659" s="22">
        <f>IF(Benchmark1[[#This Row],[Comparable '#1 Date Check]]="Pass",INDEX(Comp1[Comparable '#1 Return],MATCH(Benchmark1[[#This Row],[Benchmark '#1 Dates]],Comp1[Comparable '#1 Dates],0)),"-")</f>
        <v>-4.4543503493801968E-3</v>
      </c>
      <c r="K659" s="1">
        <f>IFERROR(IF(Benchmark1[[#This Row],[Comparable '#1 Date Check]]="Pass",Benchmark1[[#This Row],[Comparable '#1 Return]]-Benchmark1[[#This Row],[Benchmark '#1 Return]],"-"),"-")</f>
        <v>-9.1564791372699354E-3</v>
      </c>
      <c r="L659" s="1" t="str">
        <f>IF(COUNTIF(Comp2[Comparable '#2 Dates],Benchmark1[[#This Row],[Benchmark '#1 Dates]])=1,"Pass","Fail")</f>
        <v>Pass</v>
      </c>
      <c r="M659" s="6">
        <f>IF(Benchmark1[[#This Row],[Comparable '#2 Date Check]]="Pass",INDEX(Comp2[Comparable '#2 Price],MATCH(Benchmark1[[#This Row],[Benchmark '#1 Dates]],Comp2[Comparable '#2 Dates],0)),"-")</f>
        <v>40.659999999999997</v>
      </c>
      <c r="N659" s="22">
        <f>IF(Benchmark1[[#This Row],[Comparable '#2 Date Check]]="Pass",INDEX(Comp2[Comparable '#2 Return],MATCH(Benchmark1[[#This Row],[Benchmark '#1 Dates]],Comp2[Comparable '#2 Dates],0)),"-")</f>
        <v>-3.437273209915429E-3</v>
      </c>
      <c r="O659" s="1">
        <f>IFERROR(IF(Benchmark1[[#This Row],[Comparable '#2 Date Check]]="Pass",Benchmark1[[#This Row],[Comparable '#2 Return]]-Benchmark1[[#This Row],[Benchmark '#1 Return]],"-"),"-")</f>
        <v>-8.1394019978051676E-3</v>
      </c>
      <c r="P659" s="1" t="str">
        <f>IF(COUNTIF(Comp3[Comparable '#3 Dates],Benchmark1[[#This Row],[Benchmark '#1 Dates]])=1,"Pass","Fail")</f>
        <v>Pass</v>
      </c>
      <c r="Q659" s="6">
        <f>IF(Benchmark1[[#This Row],[Comparable '#3 Date Check]]="Pass",INDEX(Comp3[Comparable '#3 Price],MATCH(Benchmark1[[#This Row],[Benchmark '#1 Dates]],Comp3[Comparable '#3 Dates],0)),"-")</f>
        <v>94.41</v>
      </c>
      <c r="R659" s="22">
        <f>IF(Benchmark1[[#This Row],[Comparable '#3 Date Check]]="Pass",INDEX(Comp3[Comparable '#3 Return],MATCH(Benchmark1[[#This Row],[Benchmark '#1 Dates]],Comp3[Comparable '#3 Dates],0)),"-")</f>
        <v>-1.89902365268825E-2</v>
      </c>
      <c r="S659" s="1">
        <f>IFERROR(IF(Benchmark1[[#This Row],[Comparable '#3 Date Check]]="Pass",Benchmark1[[#This Row],[Comparable '#3 Return]]-Benchmark1[[#This Row],[Benchmark '#1 Return]],"-"),"-")</f>
        <v>-2.3692365314772239E-2</v>
      </c>
    </row>
    <row r="660" spans="1:19">
      <c r="A660" s="103">
        <v>44243</v>
      </c>
      <c r="B660" s="104">
        <v>3932.5892513150538</v>
      </c>
      <c r="C660" s="4">
        <f t="shared" si="10"/>
        <v>-5.705607948353873E-4</v>
      </c>
      <c r="D660" s="1" t="str">
        <f>IF(COUNTIF(Target1[Target Dates],Benchmark1[[#This Row],[Benchmark '#1 Dates]])=1,"Pass","Fail")</f>
        <v>Pass</v>
      </c>
      <c r="E660" s="6">
        <f>IF(Benchmark1[[#This Row],[Target Date Check]]="Pass",INDEX(Target1[Target Price],MATCH(Benchmark1[[#This Row],[Benchmark '#1 Dates]],Target1[Target Dates],0)),"-")</f>
        <v>27.37</v>
      </c>
      <c r="F660" s="22">
        <f>IF(Benchmark1[[#This Row],[Target Date Check]]="Pass",INDEX(Target1[Target Return],MATCH(Benchmark1[[#This Row],[Benchmark '#1 Dates]],Target1[Target Dates],0)),"-")</f>
        <v>-3.2353648652911161E-2</v>
      </c>
      <c r="G660" s="1">
        <f>IFERROR(IF(Benchmark1[[#This Row],[Target Date Check]]="Pass",Benchmark1[[#This Row],[Target Return]]-Benchmark1[[#This Row],[Benchmark '#1 Return]],"-"),"-")</f>
        <v>-3.1783087858075772E-2</v>
      </c>
      <c r="H660" s="1" t="str">
        <f>IF(COUNTIF(Comp1[Comparable '#1 Dates],Benchmark1[[#This Row],[Benchmark '#1 Dates]])=1,"Pass","Fail")</f>
        <v>Pass</v>
      </c>
      <c r="I660" s="6">
        <f>IF(Benchmark1[[#This Row],[Comparable '#1 Date Check]]="Pass",INDEX(Comp1[Comparable '#1 Price],MATCH(Benchmark1[[#This Row],[Benchmark '#1 Dates]],Comp1[Comparable '#1 Dates],0)),"-")</f>
        <v>14.45</v>
      </c>
      <c r="J660" s="22">
        <f>IF(Benchmark1[[#This Row],[Comparable '#1 Date Check]]="Pass",INDEX(Comp1[Comparable '#1 Return],MATCH(Benchmark1[[#This Row],[Benchmark '#1 Dates]],Comp1[Comparable '#1 Dates],0)),"-")</f>
        <v>-7.5836282100988283E-3</v>
      </c>
      <c r="K660" s="1">
        <f>IFERROR(IF(Benchmark1[[#This Row],[Comparable '#1 Date Check]]="Pass",Benchmark1[[#This Row],[Comparable '#1 Return]]-Benchmark1[[#This Row],[Benchmark '#1 Return]],"-"),"-")</f>
        <v>-7.0130674152634413E-3</v>
      </c>
      <c r="L660" s="1" t="str">
        <f>IF(COUNTIF(Comp2[Comparable '#2 Dates],Benchmark1[[#This Row],[Benchmark '#1 Dates]])=1,"Pass","Fail")</f>
        <v>Pass</v>
      </c>
      <c r="M660" s="6">
        <f>IF(Benchmark1[[#This Row],[Comparable '#2 Date Check]]="Pass",INDEX(Comp2[Comparable '#2 Price],MATCH(Benchmark1[[#This Row],[Benchmark '#1 Dates]],Comp2[Comparable '#2 Dates],0)),"-")</f>
        <v>38.950000000000003</v>
      </c>
      <c r="N660" s="22">
        <f>IF(Benchmark1[[#This Row],[Comparable '#2 Date Check]]="Pass",INDEX(Comp2[Comparable '#2 Return],MATCH(Benchmark1[[#This Row],[Benchmark '#1 Dates]],Comp2[Comparable '#2 Dates],0)),"-")</f>
        <v>-4.2966035883443138E-2</v>
      </c>
      <c r="O660" s="1">
        <f>IFERROR(IF(Benchmark1[[#This Row],[Comparable '#2 Date Check]]="Pass",Benchmark1[[#This Row],[Comparable '#2 Return]]-Benchmark1[[#This Row],[Benchmark '#1 Return]],"-"),"-")</f>
        <v>-4.2395475088607748E-2</v>
      </c>
      <c r="P660" s="1" t="str">
        <f>IF(COUNTIF(Comp3[Comparable '#3 Dates],Benchmark1[[#This Row],[Benchmark '#1 Dates]])=1,"Pass","Fail")</f>
        <v>Pass</v>
      </c>
      <c r="Q660" s="6">
        <f>IF(Benchmark1[[#This Row],[Comparable '#3 Date Check]]="Pass",INDEX(Comp3[Comparable '#3 Price],MATCH(Benchmark1[[#This Row],[Benchmark '#1 Dates]],Comp3[Comparable '#3 Dates],0)),"-")</f>
        <v>93.12</v>
      </c>
      <c r="R660" s="22">
        <f>IF(Benchmark1[[#This Row],[Comparable '#3 Date Check]]="Pass",INDEX(Comp3[Comparable '#3 Return],MATCH(Benchmark1[[#This Row],[Benchmark '#1 Dates]],Comp3[Comparable '#3 Dates],0)),"-")</f>
        <v>-1.3758015761297412E-2</v>
      </c>
      <c r="S660" s="1">
        <f>IFERROR(IF(Benchmark1[[#This Row],[Comparable '#3 Date Check]]="Pass",Benchmark1[[#This Row],[Comparable '#3 Return]]-Benchmark1[[#This Row],[Benchmark '#1 Return]],"-"),"-")</f>
        <v>-1.3187454966462024E-2</v>
      </c>
    </row>
    <row r="661" spans="1:19">
      <c r="A661" s="103">
        <v>44244</v>
      </c>
      <c r="B661" s="104">
        <v>3931.3305157628297</v>
      </c>
      <c r="C661" s="4">
        <f t="shared" si="10"/>
        <v>-3.2012929944773462E-4</v>
      </c>
      <c r="D661" s="1" t="str">
        <f>IF(COUNTIF(Target1[Target Dates],Benchmark1[[#This Row],[Benchmark '#1 Dates]])=1,"Pass","Fail")</f>
        <v>Pass</v>
      </c>
      <c r="E661" s="6">
        <f>IF(Benchmark1[[#This Row],[Target Date Check]]="Pass",INDEX(Target1[Target Price],MATCH(Benchmark1[[#This Row],[Benchmark '#1 Dates]],Target1[Target Dates],0)),"-")</f>
        <v>26.24</v>
      </c>
      <c r="F661" s="22">
        <f>IF(Benchmark1[[#This Row],[Target Date Check]]="Pass",INDEX(Target1[Target Return],MATCH(Benchmark1[[#This Row],[Benchmark '#1 Dates]],Target1[Target Dates],0)),"-")</f>
        <v>-4.2162558976699543E-2</v>
      </c>
      <c r="G661" s="1">
        <f>IFERROR(IF(Benchmark1[[#This Row],[Target Date Check]]="Pass",Benchmark1[[#This Row],[Target Return]]-Benchmark1[[#This Row],[Benchmark '#1 Return]],"-"),"-")</f>
        <v>-4.1842429677251811E-2</v>
      </c>
      <c r="H661" s="1" t="str">
        <f>IF(COUNTIF(Comp1[Comparable '#1 Dates],Benchmark1[[#This Row],[Benchmark '#1 Dates]])=1,"Pass","Fail")</f>
        <v>Pass</v>
      </c>
      <c r="I661" s="6">
        <f>IF(Benchmark1[[#This Row],[Comparable '#1 Date Check]]="Pass",INDEX(Comp1[Comparable '#1 Price],MATCH(Benchmark1[[#This Row],[Benchmark '#1 Dates]],Comp1[Comparable '#1 Dates],0)),"-")</f>
        <v>14.4</v>
      </c>
      <c r="J661" s="22">
        <f>IF(Benchmark1[[#This Row],[Comparable '#1 Date Check]]="Pass",INDEX(Comp1[Comparable '#1 Return],MATCH(Benchmark1[[#This Row],[Benchmark '#1 Dates]],Comp1[Comparable '#1 Dates],0)),"-")</f>
        <v>-3.4662079764861725E-3</v>
      </c>
      <c r="K661" s="1">
        <f>IFERROR(IF(Benchmark1[[#This Row],[Comparable '#1 Date Check]]="Pass",Benchmark1[[#This Row],[Comparable '#1 Return]]-Benchmark1[[#This Row],[Benchmark '#1 Return]],"-"),"-")</f>
        <v>-3.146078677038438E-3</v>
      </c>
      <c r="L661" s="1" t="str">
        <f>IF(COUNTIF(Comp2[Comparable '#2 Dates],Benchmark1[[#This Row],[Benchmark '#1 Dates]])=1,"Pass","Fail")</f>
        <v>Pass</v>
      </c>
      <c r="M661" s="6">
        <f>IF(Benchmark1[[#This Row],[Comparable '#2 Date Check]]="Pass",INDEX(Comp2[Comparable '#2 Price],MATCH(Benchmark1[[#This Row],[Benchmark '#1 Dates]],Comp2[Comparable '#2 Dates],0)),"-")</f>
        <v>39.75</v>
      </c>
      <c r="N661" s="22">
        <f>IF(Benchmark1[[#This Row],[Comparable '#2 Date Check]]="Pass",INDEX(Comp2[Comparable '#2 Return],MATCH(Benchmark1[[#This Row],[Benchmark '#1 Dates]],Comp2[Comparable '#2 Dates],0)),"-")</f>
        <v>2.0331068783583539E-2</v>
      </c>
      <c r="O661" s="1">
        <f>IFERROR(IF(Benchmark1[[#This Row],[Comparable '#2 Date Check]]="Pass",Benchmark1[[#This Row],[Comparable '#2 Return]]-Benchmark1[[#This Row],[Benchmark '#1 Return]],"-"),"-")</f>
        <v>2.0651198083031275E-2</v>
      </c>
      <c r="P661" s="1" t="str">
        <f>IF(COUNTIF(Comp3[Comparable '#3 Dates],Benchmark1[[#This Row],[Benchmark '#1 Dates]])=1,"Pass","Fail")</f>
        <v>Pass</v>
      </c>
      <c r="Q661" s="6">
        <f>IF(Benchmark1[[#This Row],[Comparable '#3 Date Check]]="Pass",INDEX(Comp3[Comparable '#3 Price],MATCH(Benchmark1[[#This Row],[Benchmark '#1 Dates]],Comp3[Comparable '#3 Dates],0)),"-")</f>
        <v>92.42</v>
      </c>
      <c r="R661" s="22">
        <f>IF(Benchmark1[[#This Row],[Comparable '#3 Date Check]]="Pass",INDEX(Comp3[Comparable '#3 Return],MATCH(Benchmark1[[#This Row],[Benchmark '#1 Dates]],Comp3[Comparable '#3 Dates],0)),"-")</f>
        <v>-7.5455785410074539E-3</v>
      </c>
      <c r="S661" s="1">
        <f>IFERROR(IF(Benchmark1[[#This Row],[Comparable '#3 Date Check]]="Pass",Benchmark1[[#This Row],[Comparable '#3 Return]]-Benchmark1[[#This Row],[Benchmark '#1 Return]],"-"),"-")</f>
        <v>-7.2254492415597194E-3</v>
      </c>
    </row>
    <row r="662" spans="1:19">
      <c r="A662" s="103">
        <v>44245</v>
      </c>
      <c r="B662" s="104">
        <v>3913.9712923164948</v>
      </c>
      <c r="C662" s="4">
        <f t="shared" si="10"/>
        <v>-4.4253878821551521E-3</v>
      </c>
      <c r="D662" s="1" t="str">
        <f>IF(COUNTIF(Target1[Target Dates],Benchmark1[[#This Row],[Benchmark '#1 Dates]])=1,"Pass","Fail")</f>
        <v>Pass</v>
      </c>
      <c r="E662" s="6">
        <f>IF(Benchmark1[[#This Row],[Target Date Check]]="Pass",INDEX(Target1[Target Price],MATCH(Benchmark1[[#This Row],[Benchmark '#1 Dates]],Target1[Target Dates],0)),"-")</f>
        <v>26.35</v>
      </c>
      <c r="F662" s="22">
        <f>IF(Benchmark1[[#This Row],[Target Date Check]]="Pass",INDEX(Target1[Target Return],MATCH(Benchmark1[[#This Row],[Benchmark '#1 Dates]],Target1[Target Dates],0)),"-")</f>
        <v>4.1833109114832239E-3</v>
      </c>
      <c r="G662" s="1">
        <f>IFERROR(IF(Benchmark1[[#This Row],[Target Date Check]]="Pass",Benchmark1[[#This Row],[Target Return]]-Benchmark1[[#This Row],[Benchmark '#1 Return]],"-"),"-")</f>
        <v>8.6086987936383752E-3</v>
      </c>
      <c r="H662" s="1" t="str">
        <f>IF(COUNTIF(Comp1[Comparable '#1 Dates],Benchmark1[[#This Row],[Benchmark '#1 Dates]])=1,"Pass","Fail")</f>
        <v>Pass</v>
      </c>
      <c r="I662" s="6">
        <f>IF(Benchmark1[[#This Row],[Comparable '#1 Date Check]]="Pass",INDEX(Comp1[Comparable '#1 Price],MATCH(Benchmark1[[#This Row],[Benchmark '#1 Dates]],Comp1[Comparable '#1 Dates],0)),"-")</f>
        <v>14.5</v>
      </c>
      <c r="J662" s="22">
        <f>IF(Benchmark1[[#This Row],[Comparable '#1 Date Check]]="Pass",INDEX(Comp1[Comparable '#1 Return],MATCH(Benchmark1[[#This Row],[Benchmark '#1 Dates]],Comp1[Comparable '#1 Dates],0)),"-")</f>
        <v>6.920442844573757E-3</v>
      </c>
      <c r="K662" s="1">
        <f>IFERROR(IF(Benchmark1[[#This Row],[Comparable '#1 Date Check]]="Pass",Benchmark1[[#This Row],[Comparable '#1 Return]]-Benchmark1[[#This Row],[Benchmark '#1 Return]],"-"),"-")</f>
        <v>1.1345830726728909E-2</v>
      </c>
      <c r="L662" s="1" t="str">
        <f>IF(COUNTIF(Comp2[Comparable '#2 Dates],Benchmark1[[#This Row],[Benchmark '#1 Dates]])=1,"Pass","Fail")</f>
        <v>Pass</v>
      </c>
      <c r="M662" s="6">
        <f>IF(Benchmark1[[#This Row],[Comparable '#2 Date Check]]="Pass",INDEX(Comp2[Comparable '#2 Price],MATCH(Benchmark1[[#This Row],[Benchmark '#1 Dates]],Comp2[Comparable '#2 Dates],0)),"-")</f>
        <v>40.630000000000003</v>
      </c>
      <c r="N662" s="22">
        <f>IF(Benchmark1[[#This Row],[Comparable '#2 Date Check]]="Pass",INDEX(Comp2[Comparable '#2 Return],MATCH(Benchmark1[[#This Row],[Benchmark '#1 Dates]],Comp2[Comparable '#2 Dates],0)),"-")</f>
        <v>2.1896868899294555E-2</v>
      </c>
      <c r="O662" s="1">
        <f>IFERROR(IF(Benchmark1[[#This Row],[Comparable '#2 Date Check]]="Pass",Benchmark1[[#This Row],[Comparable '#2 Return]]-Benchmark1[[#This Row],[Benchmark '#1 Return]],"-"),"-")</f>
        <v>2.6322256781449706E-2</v>
      </c>
      <c r="P662" s="1" t="str">
        <f>IF(COUNTIF(Comp3[Comparable '#3 Dates],Benchmark1[[#This Row],[Benchmark '#1 Dates]])=1,"Pass","Fail")</f>
        <v>Pass</v>
      </c>
      <c r="Q662" s="6">
        <f>IF(Benchmark1[[#This Row],[Comparable '#3 Date Check]]="Pass",INDEX(Comp3[Comparable '#3 Price],MATCH(Benchmark1[[#This Row],[Benchmark '#1 Dates]],Comp3[Comparable '#3 Dates],0)),"-")</f>
        <v>94.74</v>
      </c>
      <c r="R662" s="22">
        <f>IF(Benchmark1[[#This Row],[Comparable '#3 Date Check]]="Pass",INDEX(Comp3[Comparable '#3 Return],MATCH(Benchmark1[[#This Row],[Benchmark '#1 Dates]],Comp3[Comparable '#3 Dates],0)),"-")</f>
        <v>2.4792892053485279E-2</v>
      </c>
      <c r="S662" s="1">
        <f>IFERROR(IF(Benchmark1[[#This Row],[Comparable '#3 Date Check]]="Pass",Benchmark1[[#This Row],[Comparable '#3 Return]]-Benchmark1[[#This Row],[Benchmark '#1 Return]],"-"),"-")</f>
        <v>2.9218279935640433E-2</v>
      </c>
    </row>
    <row r="663" spans="1:19">
      <c r="A663" s="103">
        <v>44246</v>
      </c>
      <c r="B663" s="104">
        <v>3906.7078480188743</v>
      </c>
      <c r="C663" s="4">
        <f t="shared" si="10"/>
        <v>-1.8574976049276824E-3</v>
      </c>
      <c r="D663" s="1" t="str">
        <f>IF(COUNTIF(Target1[Target Dates],Benchmark1[[#This Row],[Benchmark '#1 Dates]])=1,"Pass","Fail")</f>
        <v>Pass</v>
      </c>
      <c r="E663" s="6">
        <f>IF(Benchmark1[[#This Row],[Target Date Check]]="Pass",INDEX(Target1[Target Price],MATCH(Benchmark1[[#This Row],[Benchmark '#1 Dates]],Target1[Target Dates],0)),"-")</f>
        <v>25.56</v>
      </c>
      <c r="F663" s="22">
        <f>IF(Benchmark1[[#This Row],[Target Date Check]]="Pass",INDEX(Target1[Target Return],MATCH(Benchmark1[[#This Row],[Benchmark '#1 Dates]],Target1[Target Dates],0)),"-")</f>
        <v>-3.0439645478037437E-2</v>
      </c>
      <c r="G663" s="1">
        <f>IFERROR(IF(Benchmark1[[#This Row],[Target Date Check]]="Pass",Benchmark1[[#This Row],[Target Return]]-Benchmark1[[#This Row],[Benchmark '#1 Return]],"-"),"-")</f>
        <v>-2.8582147873109753E-2</v>
      </c>
      <c r="H663" s="1" t="str">
        <f>IF(COUNTIF(Comp1[Comparable '#1 Dates],Benchmark1[[#This Row],[Benchmark '#1 Dates]])=1,"Pass","Fail")</f>
        <v>Pass</v>
      </c>
      <c r="I663" s="6">
        <f>IF(Benchmark1[[#This Row],[Comparable '#1 Date Check]]="Pass",INDEX(Comp1[Comparable '#1 Price],MATCH(Benchmark1[[#This Row],[Benchmark '#1 Dates]],Comp1[Comparable '#1 Dates],0)),"-")</f>
        <v>14.6</v>
      </c>
      <c r="J663" s="22">
        <f>IF(Benchmark1[[#This Row],[Comparable '#1 Date Check]]="Pass",INDEX(Comp1[Comparable '#1 Return],MATCH(Benchmark1[[#This Row],[Benchmark '#1 Dates]],Comp1[Comparable '#1 Dates],0)),"-")</f>
        <v>6.8728792877620504E-3</v>
      </c>
      <c r="K663" s="1">
        <f>IFERROR(IF(Benchmark1[[#This Row],[Comparable '#1 Date Check]]="Pass",Benchmark1[[#This Row],[Comparable '#1 Return]]-Benchmark1[[#This Row],[Benchmark '#1 Return]],"-"),"-")</f>
        <v>8.7303768926897327E-3</v>
      </c>
      <c r="L663" s="1" t="str">
        <f>IF(COUNTIF(Comp2[Comparable '#2 Dates],Benchmark1[[#This Row],[Benchmark '#1 Dates]])=1,"Pass","Fail")</f>
        <v>Pass</v>
      </c>
      <c r="M663" s="6">
        <f>IF(Benchmark1[[#This Row],[Comparable '#2 Date Check]]="Pass",INDEX(Comp2[Comparable '#2 Price],MATCH(Benchmark1[[#This Row],[Benchmark '#1 Dates]],Comp2[Comparable '#2 Dates],0)),"-")</f>
        <v>41.33</v>
      </c>
      <c r="N663" s="22">
        <f>IF(Benchmark1[[#This Row],[Comparable '#2 Date Check]]="Pass",INDEX(Comp2[Comparable '#2 Return],MATCH(Benchmark1[[#This Row],[Benchmark '#1 Dates]],Comp2[Comparable '#2 Dates],0)),"-")</f>
        <v>1.7081918524005597E-2</v>
      </c>
      <c r="O663" s="1">
        <f>IFERROR(IF(Benchmark1[[#This Row],[Comparable '#2 Date Check]]="Pass",Benchmark1[[#This Row],[Comparable '#2 Return]]-Benchmark1[[#This Row],[Benchmark '#1 Return]],"-"),"-")</f>
        <v>1.8939416128933281E-2</v>
      </c>
      <c r="P663" s="1" t="str">
        <f>IF(COUNTIF(Comp3[Comparable '#3 Dates],Benchmark1[[#This Row],[Benchmark '#1 Dates]])=1,"Pass","Fail")</f>
        <v>Pass</v>
      </c>
      <c r="Q663" s="6">
        <f>IF(Benchmark1[[#This Row],[Comparable '#3 Date Check]]="Pass",INDEX(Comp3[Comparable '#3 Price],MATCH(Benchmark1[[#This Row],[Benchmark '#1 Dates]],Comp3[Comparable '#3 Dates],0)),"-")</f>
        <v>94.22</v>
      </c>
      <c r="R663" s="22">
        <f>IF(Benchmark1[[#This Row],[Comparable '#3 Date Check]]="Pass",INDEX(Comp3[Comparable '#3 Return],MATCH(Benchmark1[[#This Row],[Benchmark '#1 Dates]],Comp3[Comparable '#3 Dates],0)),"-")</f>
        <v>-5.5038242237106239E-3</v>
      </c>
      <c r="S663" s="1">
        <f>IFERROR(IF(Benchmark1[[#This Row],[Comparable '#3 Date Check]]="Pass",Benchmark1[[#This Row],[Comparable '#3 Return]]-Benchmark1[[#This Row],[Benchmark '#1 Return]],"-"),"-")</f>
        <v>-3.6463266187829416E-3</v>
      </c>
    </row>
    <row r="664" spans="1:19">
      <c r="A664" s="103">
        <v>44249</v>
      </c>
      <c r="B664" s="104">
        <v>3876.4998838850397</v>
      </c>
      <c r="C664" s="4">
        <f t="shared" si="10"/>
        <v>-7.7623820036372285E-3</v>
      </c>
      <c r="D664" s="1" t="str">
        <f>IF(COUNTIF(Target1[Target Dates],Benchmark1[[#This Row],[Benchmark '#1 Dates]])=1,"Pass","Fail")</f>
        <v>Pass</v>
      </c>
      <c r="E664" s="6">
        <f>IF(Benchmark1[[#This Row],[Target Date Check]]="Pass",INDEX(Target1[Target Price],MATCH(Benchmark1[[#This Row],[Benchmark '#1 Dates]],Target1[Target Dates],0)),"-")</f>
        <v>25.07</v>
      </c>
      <c r="F664" s="22">
        <f>IF(Benchmark1[[#This Row],[Target Date Check]]="Pass",INDEX(Target1[Target Return],MATCH(Benchmark1[[#This Row],[Benchmark '#1 Dates]],Target1[Target Dates],0)),"-")</f>
        <v>-1.9356717339131916E-2</v>
      </c>
      <c r="G664" s="1">
        <f>IFERROR(IF(Benchmark1[[#This Row],[Target Date Check]]="Pass",Benchmark1[[#This Row],[Target Return]]-Benchmark1[[#This Row],[Benchmark '#1 Return]],"-"),"-")</f>
        <v>-1.1594335335494688E-2</v>
      </c>
      <c r="H664" s="1" t="str">
        <f>IF(COUNTIF(Comp1[Comparable '#1 Dates],Benchmark1[[#This Row],[Benchmark '#1 Dates]])=1,"Pass","Fail")</f>
        <v>Pass</v>
      </c>
      <c r="I664" s="6">
        <f>IF(Benchmark1[[#This Row],[Comparable '#1 Date Check]]="Pass",INDEX(Comp1[Comparable '#1 Price],MATCH(Benchmark1[[#This Row],[Benchmark '#1 Dates]],Comp1[Comparable '#1 Dates],0)),"-")</f>
        <v>14.35</v>
      </c>
      <c r="J664" s="22">
        <f>IF(Benchmark1[[#This Row],[Comparable '#1 Date Check]]="Pass",INDEX(Comp1[Comparable '#1 Return],MATCH(Benchmark1[[#This Row],[Benchmark '#1 Dates]],Comp1[Comparable '#1 Dates],0)),"-")</f>
        <v>-1.7271586508660595E-2</v>
      </c>
      <c r="K664" s="1">
        <f>IFERROR(IF(Benchmark1[[#This Row],[Comparable '#1 Date Check]]="Pass",Benchmark1[[#This Row],[Comparable '#1 Return]]-Benchmark1[[#This Row],[Benchmark '#1 Return]],"-"),"-")</f>
        <v>-9.5092045050233671E-3</v>
      </c>
      <c r="L664" s="1" t="str">
        <f>IF(COUNTIF(Comp2[Comparable '#2 Dates],Benchmark1[[#This Row],[Benchmark '#1 Dates]])=1,"Pass","Fail")</f>
        <v>Pass</v>
      </c>
      <c r="M664" s="6">
        <f>IF(Benchmark1[[#This Row],[Comparable '#2 Date Check]]="Pass",INDEX(Comp2[Comparable '#2 Price],MATCH(Benchmark1[[#This Row],[Benchmark '#1 Dates]],Comp2[Comparable '#2 Dates],0)),"-")</f>
        <v>41.1</v>
      </c>
      <c r="N664" s="22">
        <f>IF(Benchmark1[[#This Row],[Comparable '#2 Date Check]]="Pass",INDEX(Comp2[Comparable '#2 Return],MATCH(Benchmark1[[#This Row],[Benchmark '#1 Dates]],Comp2[Comparable '#2 Dates],0)),"-")</f>
        <v>-5.580507021452014E-3</v>
      </c>
      <c r="O664" s="1">
        <f>IFERROR(IF(Benchmark1[[#This Row],[Comparable '#2 Date Check]]="Pass",Benchmark1[[#This Row],[Comparable '#2 Return]]-Benchmark1[[#This Row],[Benchmark '#1 Return]],"-"),"-")</f>
        <v>2.1818749821852145E-3</v>
      </c>
      <c r="P664" s="1" t="str">
        <f>IF(COUNTIF(Comp3[Comparable '#3 Dates],Benchmark1[[#This Row],[Benchmark '#1 Dates]])=1,"Pass","Fail")</f>
        <v>Pass</v>
      </c>
      <c r="Q664" s="6">
        <f>IF(Benchmark1[[#This Row],[Comparable '#3 Date Check]]="Pass",INDEX(Comp3[Comparable '#3 Price],MATCH(Benchmark1[[#This Row],[Benchmark '#1 Dates]],Comp3[Comparable '#3 Dates],0)),"-")</f>
        <v>90.67</v>
      </c>
      <c r="R664" s="22">
        <f>IF(Benchmark1[[#This Row],[Comparable '#3 Date Check]]="Pass",INDEX(Comp3[Comparable '#3 Return],MATCH(Benchmark1[[#This Row],[Benchmark '#1 Dates]],Comp3[Comparable '#3 Dates],0)),"-")</f>
        <v>-3.8405931613930286E-2</v>
      </c>
      <c r="S664" s="1">
        <f>IFERROR(IF(Benchmark1[[#This Row],[Comparable '#3 Date Check]]="Pass",Benchmark1[[#This Row],[Comparable '#3 Return]]-Benchmark1[[#This Row],[Benchmark '#1 Return]],"-"),"-")</f>
        <v>-3.0643549610293058E-2</v>
      </c>
    </row>
    <row r="665" spans="1:19">
      <c r="A665" s="103">
        <v>44250</v>
      </c>
      <c r="B665" s="104">
        <v>3881.3689239979253</v>
      </c>
      <c r="C665" s="4">
        <f t="shared" si="10"/>
        <v>1.2552521505046141E-3</v>
      </c>
      <c r="D665" s="1" t="str">
        <f>IF(COUNTIF(Target1[Target Dates],Benchmark1[[#This Row],[Benchmark '#1 Dates]])=1,"Pass","Fail")</f>
        <v>Pass</v>
      </c>
      <c r="E665" s="6">
        <f>IF(Benchmark1[[#This Row],[Target Date Check]]="Pass",INDEX(Target1[Target Price],MATCH(Benchmark1[[#This Row],[Benchmark '#1 Dates]],Target1[Target Dates],0)),"-")</f>
        <v>24.72</v>
      </c>
      <c r="F665" s="22">
        <f>IF(Benchmark1[[#This Row],[Target Date Check]]="Pass",INDEX(Target1[Target Return],MATCH(Benchmark1[[#This Row],[Benchmark '#1 Dates]],Target1[Target Dates],0)),"-")</f>
        <v>-1.4059279580712009E-2</v>
      </c>
      <c r="G665" s="1">
        <f>IFERROR(IF(Benchmark1[[#This Row],[Target Date Check]]="Pass",Benchmark1[[#This Row],[Target Return]]-Benchmark1[[#This Row],[Benchmark '#1 Return]],"-"),"-")</f>
        <v>-1.5314531731216623E-2</v>
      </c>
      <c r="H665" s="1" t="str">
        <f>IF(COUNTIF(Comp1[Comparable '#1 Dates],Benchmark1[[#This Row],[Benchmark '#1 Dates]])=1,"Pass","Fail")</f>
        <v>Pass</v>
      </c>
      <c r="I665" s="6">
        <f>IF(Benchmark1[[#This Row],[Comparable '#1 Date Check]]="Pass",INDEX(Comp1[Comparable '#1 Price],MATCH(Benchmark1[[#This Row],[Benchmark '#1 Dates]],Comp1[Comparable '#1 Dates],0)),"-")</f>
        <v>14.35</v>
      </c>
      <c r="J665" s="22">
        <f>IF(Benchmark1[[#This Row],[Comparable '#1 Date Check]]="Pass",INDEX(Comp1[Comparable '#1 Return],MATCH(Benchmark1[[#This Row],[Benchmark '#1 Dates]],Comp1[Comparable '#1 Dates],0)),"-")</f>
        <v>0</v>
      </c>
      <c r="K665" s="1">
        <f>IFERROR(IF(Benchmark1[[#This Row],[Comparable '#1 Date Check]]="Pass",Benchmark1[[#This Row],[Comparable '#1 Return]]-Benchmark1[[#This Row],[Benchmark '#1 Return]],"-"),"-")</f>
        <v>-1.2552521505046141E-3</v>
      </c>
      <c r="L665" s="1" t="str">
        <f>IF(COUNTIF(Comp2[Comparable '#2 Dates],Benchmark1[[#This Row],[Benchmark '#1 Dates]])=1,"Pass","Fail")</f>
        <v>Pass</v>
      </c>
      <c r="M665" s="6">
        <f>IF(Benchmark1[[#This Row],[Comparable '#2 Date Check]]="Pass",INDEX(Comp2[Comparable '#2 Price],MATCH(Benchmark1[[#This Row],[Benchmark '#1 Dates]],Comp2[Comparable '#2 Dates],0)),"-")</f>
        <v>40.619999999999997</v>
      </c>
      <c r="N665" s="22">
        <f>IF(Benchmark1[[#This Row],[Comparable '#2 Date Check]]="Pass",INDEX(Comp2[Comparable '#2 Return],MATCH(Benchmark1[[#This Row],[Benchmark '#1 Dates]],Comp2[Comparable '#2 Dates],0)),"-")</f>
        <v>-1.1747565349950417E-2</v>
      </c>
      <c r="O665" s="1">
        <f>IFERROR(IF(Benchmark1[[#This Row],[Comparable '#2 Date Check]]="Pass",Benchmark1[[#This Row],[Comparable '#2 Return]]-Benchmark1[[#This Row],[Benchmark '#1 Return]],"-"),"-")</f>
        <v>-1.3002817500455031E-2</v>
      </c>
      <c r="P665" s="1" t="str">
        <f>IF(COUNTIF(Comp3[Comparable '#3 Dates],Benchmark1[[#This Row],[Benchmark '#1 Dates]])=1,"Pass","Fail")</f>
        <v>Pass</v>
      </c>
      <c r="Q665" s="6">
        <f>IF(Benchmark1[[#This Row],[Comparable '#3 Date Check]]="Pass",INDEX(Comp3[Comparable '#3 Price],MATCH(Benchmark1[[#This Row],[Benchmark '#1 Dates]],Comp3[Comparable '#3 Dates],0)),"-")</f>
        <v>92.87</v>
      </c>
      <c r="R665" s="22">
        <f>IF(Benchmark1[[#This Row],[Comparable '#3 Date Check]]="Pass",INDEX(Comp3[Comparable '#3 Return],MATCH(Benchmark1[[#This Row],[Benchmark '#1 Dates]],Comp3[Comparable '#3 Dates],0)),"-")</f>
        <v>2.3974124129952239E-2</v>
      </c>
      <c r="S665" s="1">
        <f>IFERROR(IF(Benchmark1[[#This Row],[Comparable '#3 Date Check]]="Pass",Benchmark1[[#This Row],[Comparable '#3 Return]]-Benchmark1[[#This Row],[Benchmark '#1 Return]],"-"),"-")</f>
        <v>2.2718871979447625E-2</v>
      </c>
    </row>
    <row r="666" spans="1:19">
      <c r="A666" s="103">
        <v>44251</v>
      </c>
      <c r="B666" s="104">
        <v>3925.4276476639457</v>
      </c>
      <c r="C666" s="4">
        <f t="shared" si="10"/>
        <v>1.1287393244241472E-2</v>
      </c>
      <c r="D666" s="1" t="str">
        <f>IF(COUNTIF(Target1[Target Dates],Benchmark1[[#This Row],[Benchmark '#1 Dates]])=1,"Pass","Fail")</f>
        <v>Pass</v>
      </c>
      <c r="E666" s="6">
        <f>IF(Benchmark1[[#This Row],[Target Date Check]]="Pass",INDEX(Target1[Target Price],MATCH(Benchmark1[[#This Row],[Benchmark '#1 Dates]],Target1[Target Dates],0)),"-")</f>
        <v>25.19</v>
      </c>
      <c r="F666" s="22">
        <f>IF(Benchmark1[[#This Row],[Target Date Check]]="Pass",INDEX(Target1[Target Return],MATCH(Benchmark1[[#This Row],[Benchmark '#1 Dates]],Target1[Target Dates],0)),"-")</f>
        <v>1.8834457775028811E-2</v>
      </c>
      <c r="G666" s="1">
        <f>IFERROR(IF(Benchmark1[[#This Row],[Target Date Check]]="Pass",Benchmark1[[#This Row],[Target Return]]-Benchmark1[[#This Row],[Benchmark '#1 Return]],"-"),"-")</f>
        <v>7.5470645307873386E-3</v>
      </c>
      <c r="H666" s="1" t="str">
        <f>IF(COUNTIF(Comp1[Comparable '#1 Dates],Benchmark1[[#This Row],[Benchmark '#1 Dates]])=1,"Pass","Fail")</f>
        <v>Pass</v>
      </c>
      <c r="I666" s="6">
        <f>IF(Benchmark1[[#This Row],[Comparable '#1 Date Check]]="Pass",INDEX(Comp1[Comparable '#1 Price],MATCH(Benchmark1[[#This Row],[Benchmark '#1 Dates]],Comp1[Comparable '#1 Dates],0)),"-")</f>
        <v>14.82</v>
      </c>
      <c r="J666" s="22">
        <f>IF(Benchmark1[[#This Row],[Comparable '#1 Date Check]]="Pass",INDEX(Comp1[Comparable '#1 Return],MATCH(Benchmark1[[#This Row],[Benchmark '#1 Dates]],Comp1[Comparable '#1 Dates],0)),"-")</f>
        <v>3.2227677662310709E-2</v>
      </c>
      <c r="K666" s="1">
        <f>IFERROR(IF(Benchmark1[[#This Row],[Comparable '#1 Date Check]]="Pass",Benchmark1[[#This Row],[Comparable '#1 Return]]-Benchmark1[[#This Row],[Benchmark '#1 Return]],"-"),"-")</f>
        <v>2.0940284418069235E-2</v>
      </c>
      <c r="L666" s="1" t="str">
        <f>IF(COUNTIF(Comp2[Comparable '#2 Dates],Benchmark1[[#This Row],[Benchmark '#1 Dates]])=1,"Pass","Fail")</f>
        <v>Pass</v>
      </c>
      <c r="M666" s="6">
        <f>IF(Benchmark1[[#This Row],[Comparable '#2 Date Check]]="Pass",INDEX(Comp2[Comparable '#2 Price],MATCH(Benchmark1[[#This Row],[Benchmark '#1 Dates]],Comp2[Comparable '#2 Dates],0)),"-")</f>
        <v>41.33</v>
      </c>
      <c r="N666" s="22">
        <f>IF(Benchmark1[[#This Row],[Comparable '#2 Date Check]]="Pass",INDEX(Comp2[Comparable '#2 Return],MATCH(Benchmark1[[#This Row],[Benchmark '#1 Dates]],Comp2[Comparable '#2 Dates],0)),"-")</f>
        <v>1.732807237140244E-2</v>
      </c>
      <c r="O666" s="1">
        <f>IFERROR(IF(Benchmark1[[#This Row],[Comparable '#2 Date Check]]="Pass",Benchmark1[[#This Row],[Comparable '#2 Return]]-Benchmark1[[#This Row],[Benchmark '#1 Return]],"-"),"-")</f>
        <v>6.0406791271609677E-3</v>
      </c>
      <c r="P666" s="1" t="str">
        <f>IF(COUNTIF(Comp3[Comparable '#3 Dates],Benchmark1[[#This Row],[Benchmark '#1 Dates]])=1,"Pass","Fail")</f>
        <v>Pass</v>
      </c>
      <c r="Q666" s="6">
        <f>IF(Benchmark1[[#This Row],[Comparable '#3 Date Check]]="Pass",INDEX(Comp3[Comparable '#3 Price],MATCH(Benchmark1[[#This Row],[Benchmark '#1 Dates]],Comp3[Comparable '#3 Dates],0)),"-")</f>
        <v>93.93</v>
      </c>
      <c r="R666" s="22">
        <f>IF(Benchmark1[[#This Row],[Comparable '#3 Date Check]]="Pass",INDEX(Comp3[Comparable '#3 Return],MATCH(Benchmark1[[#This Row],[Benchmark '#1 Dates]],Comp3[Comparable '#3 Dates],0)),"-")</f>
        <v>1.1349158218507167E-2</v>
      </c>
      <c r="S666" s="1">
        <f>IFERROR(IF(Benchmark1[[#This Row],[Comparable '#3 Date Check]]="Pass",Benchmark1[[#This Row],[Comparable '#3 Return]]-Benchmark1[[#This Row],[Benchmark '#1 Return]],"-"),"-")</f>
        <v>6.1764974265694772E-5</v>
      </c>
    </row>
    <row r="667" spans="1:19">
      <c r="A667" s="103">
        <v>44252</v>
      </c>
      <c r="B667" s="104">
        <v>3829.3360911108739</v>
      </c>
      <c r="C667" s="4">
        <f t="shared" si="10"/>
        <v>-2.4783856308855375E-2</v>
      </c>
      <c r="D667" s="1" t="str">
        <f>IF(COUNTIF(Target1[Target Dates],Benchmark1[[#This Row],[Benchmark '#1 Dates]])=1,"Pass","Fail")</f>
        <v>Pass</v>
      </c>
      <c r="E667" s="6">
        <f>IF(Benchmark1[[#This Row],[Target Date Check]]="Pass",INDEX(Target1[Target Price],MATCH(Benchmark1[[#This Row],[Benchmark '#1 Dates]],Target1[Target Dates],0)),"-")</f>
        <v>25.09</v>
      </c>
      <c r="F667" s="22">
        <f>IF(Benchmark1[[#This Row],[Target Date Check]]="Pass",INDEX(Target1[Target Return],MATCH(Benchmark1[[#This Row],[Benchmark '#1 Dates]],Target1[Target Dates],0)),"-")</f>
        <v>-3.9777299861879344E-3</v>
      </c>
      <c r="G667" s="1">
        <f>IFERROR(IF(Benchmark1[[#This Row],[Target Date Check]]="Pass",Benchmark1[[#This Row],[Target Return]]-Benchmark1[[#This Row],[Benchmark '#1 Return]],"-"),"-")</f>
        <v>2.0806126322667443E-2</v>
      </c>
      <c r="H667" s="1" t="str">
        <f>IF(COUNTIF(Comp1[Comparable '#1 Dates],Benchmark1[[#This Row],[Benchmark '#1 Dates]])=1,"Pass","Fail")</f>
        <v>Pass</v>
      </c>
      <c r="I667" s="6">
        <f>IF(Benchmark1[[#This Row],[Comparable '#1 Date Check]]="Pass",INDEX(Comp1[Comparable '#1 Price],MATCH(Benchmark1[[#This Row],[Benchmark '#1 Dates]],Comp1[Comparable '#1 Dates],0)),"-")</f>
        <v>13.74</v>
      </c>
      <c r="J667" s="22">
        <f>IF(Benchmark1[[#This Row],[Comparable '#1 Date Check]]="Pass",INDEX(Comp1[Comparable '#1 Return],MATCH(Benchmark1[[#This Row],[Benchmark '#1 Dates]],Comp1[Comparable '#1 Dates],0)),"-")</f>
        <v>-7.5666333073737574E-2</v>
      </c>
      <c r="K667" s="1">
        <f>IFERROR(IF(Benchmark1[[#This Row],[Comparable '#1 Date Check]]="Pass",Benchmark1[[#This Row],[Comparable '#1 Return]]-Benchmark1[[#This Row],[Benchmark '#1 Return]],"-"),"-")</f>
        <v>-5.0882476764882195E-2</v>
      </c>
      <c r="L667" s="1" t="str">
        <f>IF(COUNTIF(Comp2[Comparable '#2 Dates],Benchmark1[[#This Row],[Benchmark '#1 Dates]])=1,"Pass","Fail")</f>
        <v>Pass</v>
      </c>
      <c r="M667" s="6">
        <f>IF(Benchmark1[[#This Row],[Comparable '#2 Date Check]]="Pass",INDEX(Comp2[Comparable '#2 Price],MATCH(Benchmark1[[#This Row],[Benchmark '#1 Dates]],Comp2[Comparable '#2 Dates],0)),"-")</f>
        <v>39.67</v>
      </c>
      <c r="N667" s="22">
        <f>IF(Benchmark1[[#This Row],[Comparable '#2 Date Check]]="Pass",INDEX(Comp2[Comparable '#2 Return],MATCH(Benchmark1[[#This Row],[Benchmark '#1 Dates]],Comp2[Comparable '#2 Dates],0)),"-")</f>
        <v>-4.0993393997402171E-2</v>
      </c>
      <c r="O667" s="1">
        <f>IFERROR(IF(Benchmark1[[#This Row],[Comparable '#2 Date Check]]="Pass",Benchmark1[[#This Row],[Comparable '#2 Return]]-Benchmark1[[#This Row],[Benchmark '#1 Return]],"-"),"-")</f>
        <v>-1.6209537688546796E-2</v>
      </c>
      <c r="P667" s="1" t="str">
        <f>IF(COUNTIF(Comp3[Comparable '#3 Dates],Benchmark1[[#This Row],[Benchmark '#1 Dates]])=1,"Pass","Fail")</f>
        <v>Pass</v>
      </c>
      <c r="Q667" s="6">
        <f>IF(Benchmark1[[#This Row],[Comparable '#3 Date Check]]="Pass",INDEX(Comp3[Comparable '#3 Price],MATCH(Benchmark1[[#This Row],[Benchmark '#1 Dates]],Comp3[Comparable '#3 Dates],0)),"-")</f>
        <v>90.47</v>
      </c>
      <c r="R667" s="22">
        <f>IF(Benchmark1[[#This Row],[Comparable '#3 Date Check]]="Pass",INDEX(Comp3[Comparable '#3 Return],MATCH(Benchmark1[[#This Row],[Benchmark '#1 Dates]],Comp3[Comparable '#3 Dates],0)),"-")</f>
        <v>-3.7531519968773866E-2</v>
      </c>
      <c r="S667" s="1">
        <f>IFERROR(IF(Benchmark1[[#This Row],[Comparable '#3 Date Check]]="Pass",Benchmark1[[#This Row],[Comparable '#3 Return]]-Benchmark1[[#This Row],[Benchmark '#1 Return]],"-"),"-")</f>
        <v>-1.2747663659918491E-2</v>
      </c>
    </row>
    <row r="668" spans="1:19">
      <c r="A668" s="103">
        <v>44253</v>
      </c>
      <c r="B668" s="104">
        <v>3811.1497495982776</v>
      </c>
      <c r="C668" s="4">
        <f t="shared" si="10"/>
        <v>-4.7605286463721867E-3</v>
      </c>
      <c r="D668" s="1" t="str">
        <f>IF(COUNTIF(Target1[Target Dates],Benchmark1[[#This Row],[Benchmark '#1 Dates]])=1,"Pass","Fail")</f>
        <v>Pass</v>
      </c>
      <c r="E668" s="6">
        <f>IF(Benchmark1[[#This Row],[Target Date Check]]="Pass",INDEX(Target1[Target Price],MATCH(Benchmark1[[#This Row],[Benchmark '#1 Dates]],Target1[Target Dates],0)),"-")</f>
        <v>24.05</v>
      </c>
      <c r="F668" s="22">
        <f>IF(Benchmark1[[#This Row],[Target Date Check]]="Pass",INDEX(Target1[Target Return],MATCH(Benchmark1[[#This Row],[Benchmark '#1 Dates]],Target1[Target Dates],0)),"-")</f>
        <v>-4.2334363826560653E-2</v>
      </c>
      <c r="G668" s="1">
        <f>IFERROR(IF(Benchmark1[[#This Row],[Target Date Check]]="Pass",Benchmark1[[#This Row],[Target Return]]-Benchmark1[[#This Row],[Benchmark '#1 Return]],"-"),"-")</f>
        <v>-3.7573835180188468E-2</v>
      </c>
      <c r="H668" s="1" t="str">
        <f>IF(COUNTIF(Comp1[Comparable '#1 Dates],Benchmark1[[#This Row],[Benchmark '#1 Dates]])=1,"Pass","Fail")</f>
        <v>Pass</v>
      </c>
      <c r="I668" s="6">
        <f>IF(Benchmark1[[#This Row],[Comparable '#1 Date Check]]="Pass",INDEX(Comp1[Comparable '#1 Price],MATCH(Benchmark1[[#This Row],[Benchmark '#1 Dates]],Comp1[Comparable '#1 Dates],0)),"-")</f>
        <v>13.75</v>
      </c>
      <c r="J668" s="22">
        <f>IF(Benchmark1[[#This Row],[Comparable '#1 Date Check]]="Pass",INDEX(Comp1[Comparable '#1 Return],MATCH(Benchmark1[[#This Row],[Benchmark '#1 Dates]],Comp1[Comparable '#1 Dates],0)),"-")</f>
        <v>7.275373183769279E-4</v>
      </c>
      <c r="K668" s="1">
        <f>IFERROR(IF(Benchmark1[[#This Row],[Comparable '#1 Date Check]]="Pass",Benchmark1[[#This Row],[Comparable '#1 Return]]-Benchmark1[[#This Row],[Benchmark '#1 Return]],"-"),"-")</f>
        <v>5.4880659647491142E-3</v>
      </c>
      <c r="L668" s="1" t="str">
        <f>IF(COUNTIF(Comp2[Comparable '#2 Dates],Benchmark1[[#This Row],[Benchmark '#1 Dates]])=1,"Pass","Fail")</f>
        <v>Pass</v>
      </c>
      <c r="M668" s="6">
        <f>IF(Benchmark1[[#This Row],[Comparable '#2 Date Check]]="Pass",INDEX(Comp2[Comparable '#2 Price],MATCH(Benchmark1[[#This Row],[Benchmark '#1 Dates]],Comp2[Comparable '#2 Dates],0)),"-")</f>
        <v>39.299999999999997</v>
      </c>
      <c r="N668" s="22">
        <f>IF(Benchmark1[[#This Row],[Comparable '#2 Date Check]]="Pass",INDEX(Comp2[Comparable '#2 Return],MATCH(Benchmark1[[#This Row],[Benchmark '#1 Dates]],Comp2[Comparable '#2 Dates],0)),"-")</f>
        <v>-9.3707156510233428E-3</v>
      </c>
      <c r="O668" s="1">
        <f>IFERROR(IF(Benchmark1[[#This Row],[Comparable '#2 Date Check]]="Pass",Benchmark1[[#This Row],[Comparable '#2 Return]]-Benchmark1[[#This Row],[Benchmark '#1 Return]],"-"),"-")</f>
        <v>-4.6101870046511562E-3</v>
      </c>
      <c r="P668" s="1" t="str">
        <f>IF(COUNTIF(Comp3[Comparable '#3 Dates],Benchmark1[[#This Row],[Benchmark '#1 Dates]])=1,"Pass","Fail")</f>
        <v>Pass</v>
      </c>
      <c r="Q668" s="6">
        <f>IF(Benchmark1[[#This Row],[Comparable '#3 Date Check]]="Pass",INDEX(Comp3[Comparable '#3 Price],MATCH(Benchmark1[[#This Row],[Benchmark '#1 Dates]],Comp3[Comparable '#3 Dates],0)),"-")</f>
        <v>90.92</v>
      </c>
      <c r="R668" s="22">
        <f>IF(Benchmark1[[#This Row],[Comparable '#3 Date Check]]="Pass",INDEX(Comp3[Comparable '#3 Return],MATCH(Benchmark1[[#This Row],[Benchmark '#1 Dates]],Comp3[Comparable '#3 Dates],0)),"-")</f>
        <v>4.9616949466921708E-3</v>
      </c>
      <c r="S668" s="1">
        <f>IFERROR(IF(Benchmark1[[#This Row],[Comparable '#3 Date Check]]="Pass",Benchmark1[[#This Row],[Comparable '#3 Return]]-Benchmark1[[#This Row],[Benchmark '#1 Return]],"-"),"-")</f>
        <v>9.7222235930643566E-3</v>
      </c>
    </row>
    <row r="669" spans="1:19">
      <c r="A669" s="103">
        <v>44256</v>
      </c>
      <c r="B669" s="104">
        <v>3901.8155855253822</v>
      </c>
      <c r="C669" s="4">
        <f t="shared" si="10"/>
        <v>2.351106439517724E-2</v>
      </c>
      <c r="D669" s="1" t="str">
        <f>IF(COUNTIF(Target1[Target Dates],Benchmark1[[#This Row],[Benchmark '#1 Dates]])=1,"Pass","Fail")</f>
        <v>Pass</v>
      </c>
      <c r="E669" s="6">
        <f>IF(Benchmark1[[#This Row],[Target Date Check]]="Pass",INDEX(Target1[Target Price],MATCH(Benchmark1[[#This Row],[Benchmark '#1 Dates]],Target1[Target Dates],0)),"-")</f>
        <v>25.33</v>
      </c>
      <c r="F669" s="22">
        <f>IF(Benchmark1[[#This Row],[Target Date Check]]="Pass",INDEX(Target1[Target Return],MATCH(Benchmark1[[#This Row],[Benchmark '#1 Dates]],Target1[Target Dates],0)),"-")</f>
        <v>5.1854467461813672E-2</v>
      </c>
      <c r="G669" s="1">
        <f>IFERROR(IF(Benchmark1[[#This Row],[Target Date Check]]="Pass",Benchmark1[[#This Row],[Target Return]]-Benchmark1[[#This Row],[Benchmark '#1 Return]],"-"),"-")</f>
        <v>2.8343403066636432E-2</v>
      </c>
      <c r="H669" s="1" t="str">
        <f>IF(COUNTIF(Comp1[Comparable '#1 Dates],Benchmark1[[#This Row],[Benchmark '#1 Dates]])=1,"Pass","Fail")</f>
        <v>Pass</v>
      </c>
      <c r="I669" s="6">
        <f>IF(Benchmark1[[#This Row],[Comparable '#1 Date Check]]="Pass",INDEX(Comp1[Comparable '#1 Price],MATCH(Benchmark1[[#This Row],[Benchmark '#1 Dates]],Comp1[Comparable '#1 Dates],0)),"-")</f>
        <v>13.56</v>
      </c>
      <c r="J669" s="22">
        <f>IF(Benchmark1[[#This Row],[Comparable '#1 Date Check]]="Pass",INDEX(Comp1[Comparable '#1 Return],MATCH(Benchmark1[[#This Row],[Benchmark '#1 Dates]],Comp1[Comparable '#1 Dates],0)),"-")</f>
        <v>-1.3914541600330699E-2</v>
      </c>
      <c r="K669" s="1">
        <f>IFERROR(IF(Benchmark1[[#This Row],[Comparable '#1 Date Check]]="Pass",Benchmark1[[#This Row],[Comparable '#1 Return]]-Benchmark1[[#This Row],[Benchmark '#1 Return]],"-"),"-")</f>
        <v>-3.7425605995507941E-2</v>
      </c>
      <c r="L669" s="1" t="str">
        <f>IF(COUNTIF(Comp2[Comparable '#2 Dates],Benchmark1[[#This Row],[Benchmark '#1 Dates]])=1,"Pass","Fail")</f>
        <v>Pass</v>
      </c>
      <c r="M669" s="6">
        <f>IF(Benchmark1[[#This Row],[Comparable '#2 Date Check]]="Pass",INDEX(Comp2[Comparable '#2 Price],MATCH(Benchmark1[[#This Row],[Benchmark '#1 Dates]],Comp2[Comparable '#2 Dates],0)),"-")</f>
        <v>38.99</v>
      </c>
      <c r="N669" s="22">
        <f>IF(Benchmark1[[#This Row],[Comparable '#2 Date Check]]="Pass",INDEX(Comp2[Comparable '#2 Return],MATCH(Benchmark1[[#This Row],[Benchmark '#1 Dates]],Comp2[Comparable '#2 Dates],0)),"-")</f>
        <v>-7.9193158807094686E-3</v>
      </c>
      <c r="O669" s="1">
        <f>IFERROR(IF(Benchmark1[[#This Row],[Comparable '#2 Date Check]]="Pass",Benchmark1[[#This Row],[Comparable '#2 Return]]-Benchmark1[[#This Row],[Benchmark '#1 Return]],"-"),"-")</f>
        <v>-3.143038027588671E-2</v>
      </c>
      <c r="P669" s="1" t="str">
        <f>IF(COUNTIF(Comp3[Comparable '#3 Dates],Benchmark1[[#This Row],[Benchmark '#1 Dates]])=1,"Pass","Fail")</f>
        <v>Pass</v>
      </c>
      <c r="Q669" s="6">
        <f>IF(Benchmark1[[#This Row],[Comparable '#3 Date Check]]="Pass",INDEX(Comp3[Comparable '#3 Price],MATCH(Benchmark1[[#This Row],[Benchmark '#1 Dates]],Comp3[Comparable '#3 Dates],0)),"-")</f>
        <v>86.49</v>
      </c>
      <c r="R669" s="22">
        <f>IF(Benchmark1[[#This Row],[Comparable '#3 Date Check]]="Pass",INDEX(Comp3[Comparable '#3 Return],MATCH(Benchmark1[[#This Row],[Benchmark '#1 Dates]],Comp3[Comparable '#3 Dates],0)),"-")</f>
        <v>-4.995119866592207E-2</v>
      </c>
      <c r="S669" s="1">
        <f>IFERROR(IF(Benchmark1[[#This Row],[Comparable '#3 Date Check]]="Pass",Benchmark1[[#This Row],[Comparable '#3 Return]]-Benchmark1[[#This Row],[Benchmark '#1 Return]],"-"),"-")</f>
        <v>-7.3462263061099306E-2</v>
      </c>
    </row>
    <row r="670" spans="1:19">
      <c r="A670" s="103">
        <v>44257</v>
      </c>
      <c r="B670" s="104">
        <v>3870.2938290189254</v>
      </c>
      <c r="C670" s="4">
        <f t="shared" si="10"/>
        <v>-8.1115505873762088E-3</v>
      </c>
      <c r="D670" s="1" t="str">
        <f>IF(COUNTIF(Target1[Target Dates],Benchmark1[[#This Row],[Benchmark '#1 Dates]])=1,"Pass","Fail")</f>
        <v>Pass</v>
      </c>
      <c r="E670" s="6">
        <f>IF(Benchmark1[[#This Row],[Target Date Check]]="Pass",INDEX(Target1[Target Price],MATCH(Benchmark1[[#This Row],[Benchmark '#1 Dates]],Target1[Target Dates],0)),"-")</f>
        <v>24.13</v>
      </c>
      <c r="F670" s="22">
        <f>IF(Benchmark1[[#This Row],[Target Date Check]]="Pass",INDEX(Target1[Target Return],MATCH(Benchmark1[[#This Row],[Benchmark '#1 Dates]],Target1[Target Dates],0)),"-")</f>
        <v>-4.8533584376643478E-2</v>
      </c>
      <c r="G670" s="1">
        <f>IFERROR(IF(Benchmark1[[#This Row],[Target Date Check]]="Pass",Benchmark1[[#This Row],[Target Return]]-Benchmark1[[#This Row],[Benchmark '#1 Return]],"-"),"-")</f>
        <v>-4.0422033789267273E-2</v>
      </c>
      <c r="H670" s="1" t="str">
        <f>IF(COUNTIF(Comp1[Comparable '#1 Dates],Benchmark1[[#This Row],[Benchmark '#1 Dates]])=1,"Pass","Fail")</f>
        <v>Pass</v>
      </c>
      <c r="I670" s="6">
        <f>IF(Benchmark1[[#This Row],[Comparable '#1 Date Check]]="Pass",INDEX(Comp1[Comparable '#1 Price],MATCH(Benchmark1[[#This Row],[Benchmark '#1 Dates]],Comp1[Comparable '#1 Dates],0)),"-")</f>
        <v>13.76</v>
      </c>
      <c r="J670" s="22">
        <f>IF(Benchmark1[[#This Row],[Comparable '#1 Date Check]]="Pass",INDEX(Comp1[Comparable '#1 Return],MATCH(Benchmark1[[#This Row],[Benchmark '#1 Dates]],Comp1[Comparable '#1 Dates],0)),"-")</f>
        <v>1.4641549992947969E-2</v>
      </c>
      <c r="K670" s="1">
        <f>IFERROR(IF(Benchmark1[[#This Row],[Comparable '#1 Date Check]]="Pass",Benchmark1[[#This Row],[Comparable '#1 Return]]-Benchmark1[[#This Row],[Benchmark '#1 Return]],"-"),"-")</f>
        <v>2.2753100580324176E-2</v>
      </c>
      <c r="L670" s="1" t="str">
        <f>IF(COUNTIF(Comp2[Comparable '#2 Dates],Benchmark1[[#This Row],[Benchmark '#1 Dates]])=1,"Pass","Fail")</f>
        <v>Pass</v>
      </c>
      <c r="M670" s="6">
        <f>IF(Benchmark1[[#This Row],[Comparable '#2 Date Check]]="Pass",INDEX(Comp2[Comparable '#2 Price],MATCH(Benchmark1[[#This Row],[Benchmark '#1 Dates]],Comp2[Comparable '#2 Dates],0)),"-")</f>
        <v>38.35</v>
      </c>
      <c r="N670" s="22">
        <f>IF(Benchmark1[[#This Row],[Comparable '#2 Date Check]]="Pass",INDEX(Comp2[Comparable '#2 Return],MATCH(Benchmark1[[#This Row],[Benchmark '#1 Dates]],Comp2[Comparable '#2 Dates],0)),"-")</f>
        <v>-1.6550675181240749E-2</v>
      </c>
      <c r="O670" s="1">
        <f>IFERROR(IF(Benchmark1[[#This Row],[Comparable '#2 Date Check]]="Pass",Benchmark1[[#This Row],[Comparable '#2 Return]]-Benchmark1[[#This Row],[Benchmark '#1 Return]],"-"),"-")</f>
        <v>-8.4391245938645401E-3</v>
      </c>
      <c r="P670" s="1" t="str">
        <f>IF(COUNTIF(Comp3[Comparable '#3 Dates],Benchmark1[[#This Row],[Benchmark '#1 Dates]])=1,"Pass","Fail")</f>
        <v>Pass</v>
      </c>
      <c r="Q670" s="6">
        <f>IF(Benchmark1[[#This Row],[Comparable '#3 Date Check]]="Pass",INDEX(Comp3[Comparable '#3 Price],MATCH(Benchmark1[[#This Row],[Benchmark '#1 Dates]],Comp3[Comparable '#3 Dates],0)),"-")</f>
        <v>79.709999999999994</v>
      </c>
      <c r="R670" s="22">
        <f>IF(Benchmark1[[#This Row],[Comparable '#3 Date Check]]="Pass",INDEX(Comp3[Comparable '#3 Return],MATCH(Benchmark1[[#This Row],[Benchmark '#1 Dates]],Comp3[Comparable '#3 Dates],0)),"-")</f>
        <v>-8.1633751878588748E-2</v>
      </c>
      <c r="S670" s="1">
        <f>IFERROR(IF(Benchmark1[[#This Row],[Comparable '#3 Date Check]]="Pass",Benchmark1[[#This Row],[Comparable '#3 Return]]-Benchmark1[[#This Row],[Benchmark '#1 Return]],"-"),"-")</f>
        <v>-7.3522201291212536E-2</v>
      </c>
    </row>
    <row r="671" spans="1:19">
      <c r="A671" s="103">
        <v>44258</v>
      </c>
      <c r="B671" s="104">
        <v>3819.7165335079221</v>
      </c>
      <c r="C671" s="4">
        <f t="shared" si="10"/>
        <v>-1.315421499352752E-2</v>
      </c>
      <c r="D671" s="1" t="str">
        <f>IF(COUNTIF(Target1[Target Dates],Benchmark1[[#This Row],[Benchmark '#1 Dates]])=1,"Pass","Fail")</f>
        <v>Pass</v>
      </c>
      <c r="E671" s="6">
        <f>IF(Benchmark1[[#This Row],[Target Date Check]]="Pass",INDEX(Target1[Target Price],MATCH(Benchmark1[[#This Row],[Benchmark '#1 Dates]],Target1[Target Dates],0)),"-")</f>
        <v>24.15</v>
      </c>
      <c r="F671" s="22">
        <f>IF(Benchmark1[[#This Row],[Target Date Check]]="Pass",INDEX(Target1[Target Return],MATCH(Benchmark1[[#This Row],[Benchmark '#1 Dates]],Target1[Target Dates],0)),"-")</f>
        <v>8.285004616413157E-4</v>
      </c>
      <c r="G671" s="1">
        <f>IFERROR(IF(Benchmark1[[#This Row],[Target Date Check]]="Pass",Benchmark1[[#This Row],[Target Return]]-Benchmark1[[#This Row],[Benchmark '#1 Return]],"-"),"-")</f>
        <v>1.3982715455168836E-2</v>
      </c>
      <c r="H671" s="1" t="str">
        <f>IF(COUNTIF(Comp1[Comparable '#1 Dates],Benchmark1[[#This Row],[Benchmark '#1 Dates]])=1,"Pass","Fail")</f>
        <v>Pass</v>
      </c>
      <c r="I671" s="6">
        <f>IF(Benchmark1[[#This Row],[Comparable '#1 Date Check]]="Pass",INDEX(Comp1[Comparable '#1 Price],MATCH(Benchmark1[[#This Row],[Benchmark '#1 Dates]],Comp1[Comparable '#1 Dates],0)),"-")</f>
        <v>13.12</v>
      </c>
      <c r="J671" s="22">
        <f>IF(Benchmark1[[#This Row],[Comparable '#1 Date Check]]="Pass",INDEX(Comp1[Comparable '#1 Return],MATCH(Benchmark1[[#This Row],[Benchmark '#1 Dates]],Comp1[Comparable '#1 Dates],0)),"-")</f>
        <v>-4.7628048989254705E-2</v>
      </c>
      <c r="K671" s="1">
        <f>IFERROR(IF(Benchmark1[[#This Row],[Comparable '#1 Date Check]]="Pass",Benchmark1[[#This Row],[Comparable '#1 Return]]-Benchmark1[[#This Row],[Benchmark '#1 Return]],"-"),"-")</f>
        <v>-3.4473833995727184E-2</v>
      </c>
      <c r="L671" s="1" t="str">
        <f>IF(COUNTIF(Comp2[Comparable '#2 Dates],Benchmark1[[#This Row],[Benchmark '#1 Dates]])=1,"Pass","Fail")</f>
        <v>Pass</v>
      </c>
      <c r="M671" s="6">
        <f>IF(Benchmark1[[#This Row],[Comparable '#2 Date Check]]="Pass",INDEX(Comp2[Comparable '#2 Price],MATCH(Benchmark1[[#This Row],[Benchmark '#1 Dates]],Comp2[Comparable '#2 Dates],0)),"-")</f>
        <v>38.299999999999997</v>
      </c>
      <c r="N671" s="22">
        <f>IF(Benchmark1[[#This Row],[Comparable '#2 Date Check]]="Pass",INDEX(Comp2[Comparable '#2 Return],MATCH(Benchmark1[[#This Row],[Benchmark '#1 Dates]],Comp2[Comparable '#2 Dates],0)),"-")</f>
        <v>-1.3046316266649694E-3</v>
      </c>
      <c r="O671" s="1">
        <f>IFERROR(IF(Benchmark1[[#This Row],[Comparable '#2 Date Check]]="Pass",Benchmark1[[#This Row],[Comparable '#2 Return]]-Benchmark1[[#This Row],[Benchmark '#1 Return]],"-"),"-")</f>
        <v>1.1849583366862551E-2</v>
      </c>
      <c r="P671" s="1" t="str">
        <f>IF(COUNTIF(Comp3[Comparable '#3 Dates],Benchmark1[[#This Row],[Benchmark '#1 Dates]])=1,"Pass","Fail")</f>
        <v>Pass</v>
      </c>
      <c r="Q671" s="6">
        <f>IF(Benchmark1[[#This Row],[Comparable '#3 Date Check]]="Pass",INDEX(Comp3[Comparable '#3 Price],MATCH(Benchmark1[[#This Row],[Benchmark '#1 Dates]],Comp3[Comparable '#3 Dates],0)),"-")</f>
        <v>79.06</v>
      </c>
      <c r="R671" s="22">
        <f>IF(Benchmark1[[#This Row],[Comparable '#3 Date Check]]="Pass",INDEX(Comp3[Comparable '#3 Return],MATCH(Benchmark1[[#This Row],[Benchmark '#1 Dates]],Comp3[Comparable '#3 Dates],0)),"-")</f>
        <v>-8.1879905712922574E-3</v>
      </c>
      <c r="S671" s="1">
        <f>IFERROR(IF(Benchmark1[[#This Row],[Comparable '#3 Date Check]]="Pass",Benchmark1[[#This Row],[Comparable '#3 Return]]-Benchmark1[[#This Row],[Benchmark '#1 Return]],"-"),"-")</f>
        <v>4.9662244222352624E-3</v>
      </c>
    </row>
    <row r="672" spans="1:19">
      <c r="A672" s="103">
        <v>44259</v>
      </c>
      <c r="B672" s="104">
        <v>3768.4736658470374</v>
      </c>
      <c r="C672" s="4">
        <f t="shared" si="10"/>
        <v>-1.3506157666960963E-2</v>
      </c>
      <c r="D672" s="1" t="str">
        <f>IF(COUNTIF(Target1[Target Dates],Benchmark1[[#This Row],[Benchmark '#1 Dates]])=1,"Pass","Fail")</f>
        <v>Pass</v>
      </c>
      <c r="E672" s="6">
        <f>IF(Benchmark1[[#This Row],[Target Date Check]]="Pass",INDEX(Target1[Target Price],MATCH(Benchmark1[[#This Row],[Benchmark '#1 Dates]],Target1[Target Dates],0)),"-")</f>
        <v>24.36</v>
      </c>
      <c r="F672" s="22">
        <f>IF(Benchmark1[[#This Row],[Target Date Check]]="Pass",INDEX(Target1[Target Return],MATCH(Benchmark1[[#This Row],[Benchmark '#1 Dates]],Target1[Target Dates],0)),"-")</f>
        <v>8.6580627431145311E-3</v>
      </c>
      <c r="G672" s="1">
        <f>IFERROR(IF(Benchmark1[[#This Row],[Target Date Check]]="Pass",Benchmark1[[#This Row],[Target Return]]-Benchmark1[[#This Row],[Benchmark '#1 Return]],"-"),"-")</f>
        <v>2.2164220410075493E-2</v>
      </c>
      <c r="H672" s="1" t="str">
        <f>IF(COUNTIF(Comp1[Comparable '#1 Dates],Benchmark1[[#This Row],[Benchmark '#1 Dates]])=1,"Pass","Fail")</f>
        <v>Pass</v>
      </c>
      <c r="I672" s="6">
        <f>IF(Benchmark1[[#This Row],[Comparable '#1 Date Check]]="Pass",INDEX(Comp1[Comparable '#1 Price],MATCH(Benchmark1[[#This Row],[Benchmark '#1 Dates]],Comp1[Comparable '#1 Dates],0)),"-")</f>
        <v>13.59</v>
      </c>
      <c r="J672" s="22">
        <f>IF(Benchmark1[[#This Row],[Comparable '#1 Date Check]]="Pass",INDEX(Comp1[Comparable '#1 Return],MATCH(Benchmark1[[#This Row],[Benchmark '#1 Dates]],Comp1[Comparable '#1 Dates],0)),"-")</f>
        <v>3.5196444647109415E-2</v>
      </c>
      <c r="K672" s="1">
        <f>IFERROR(IF(Benchmark1[[#This Row],[Comparable '#1 Date Check]]="Pass",Benchmark1[[#This Row],[Comparable '#1 Return]]-Benchmark1[[#This Row],[Benchmark '#1 Return]],"-"),"-")</f>
        <v>4.8702602314070378E-2</v>
      </c>
      <c r="L672" s="1" t="str">
        <f>IF(COUNTIF(Comp2[Comparable '#2 Dates],Benchmark1[[#This Row],[Benchmark '#1 Dates]])=1,"Pass","Fail")</f>
        <v>Pass</v>
      </c>
      <c r="M672" s="6">
        <f>IF(Benchmark1[[#This Row],[Comparable '#2 Date Check]]="Pass",INDEX(Comp2[Comparable '#2 Price],MATCH(Benchmark1[[#This Row],[Benchmark '#1 Dates]],Comp2[Comparable '#2 Dates],0)),"-")</f>
        <v>38.020000000000003</v>
      </c>
      <c r="N672" s="22">
        <f>IF(Benchmark1[[#This Row],[Comparable '#2 Date Check]]="Pass",INDEX(Comp2[Comparable '#2 Return],MATCH(Benchmark1[[#This Row],[Benchmark '#1 Dates]],Comp2[Comparable '#2 Dates],0)),"-")</f>
        <v>-7.3375591263169938E-3</v>
      </c>
      <c r="O672" s="1">
        <f>IFERROR(IF(Benchmark1[[#This Row],[Comparable '#2 Date Check]]="Pass",Benchmark1[[#This Row],[Comparable '#2 Return]]-Benchmark1[[#This Row],[Benchmark '#1 Return]],"-"),"-")</f>
        <v>6.1685985406439697E-3</v>
      </c>
      <c r="P672" s="1" t="str">
        <f>IF(COUNTIF(Comp3[Comparable '#3 Dates],Benchmark1[[#This Row],[Benchmark '#1 Dates]])=1,"Pass","Fail")</f>
        <v>Pass</v>
      </c>
      <c r="Q672" s="6">
        <f>IF(Benchmark1[[#This Row],[Comparable '#3 Date Check]]="Pass",INDEX(Comp3[Comparable '#3 Price],MATCH(Benchmark1[[#This Row],[Benchmark '#1 Dates]],Comp3[Comparable '#3 Dates],0)),"-")</f>
        <v>80.680000000000007</v>
      </c>
      <c r="R672" s="22">
        <f>IF(Benchmark1[[#This Row],[Comparable '#3 Date Check]]="Pass",INDEX(Comp3[Comparable '#3 Return],MATCH(Benchmark1[[#This Row],[Benchmark '#1 Dates]],Comp3[Comparable '#3 Dates],0)),"-")</f>
        <v>2.0283655217471649E-2</v>
      </c>
      <c r="S672" s="1">
        <f>IFERROR(IF(Benchmark1[[#This Row],[Comparable '#3 Date Check]]="Pass",Benchmark1[[#This Row],[Comparable '#3 Return]]-Benchmark1[[#This Row],[Benchmark '#1 Return]],"-"),"-")</f>
        <v>3.3789812884432613E-2</v>
      </c>
    </row>
    <row r="673" spans="1:19">
      <c r="A673" s="103">
        <v>44260</v>
      </c>
      <c r="B673" s="104">
        <v>3841.9413711389252</v>
      </c>
      <c r="C673" s="4">
        <f t="shared" si="10"/>
        <v>1.9307747935116099E-2</v>
      </c>
      <c r="D673" s="1" t="str">
        <f>IF(COUNTIF(Target1[Target Dates],Benchmark1[[#This Row],[Benchmark '#1 Dates]])=1,"Pass","Fail")</f>
        <v>Pass</v>
      </c>
      <c r="E673" s="6">
        <f>IF(Benchmark1[[#This Row],[Target Date Check]]="Pass",INDEX(Target1[Target Price],MATCH(Benchmark1[[#This Row],[Benchmark '#1 Dates]],Target1[Target Dates],0)),"-")</f>
        <v>24.79</v>
      </c>
      <c r="F673" s="22">
        <f>IF(Benchmark1[[#This Row],[Target Date Check]]="Pass",INDEX(Target1[Target Return],MATCH(Benchmark1[[#This Row],[Benchmark '#1 Dates]],Target1[Target Dates],0)),"-")</f>
        <v>1.7497903205402867E-2</v>
      </c>
      <c r="G673" s="1">
        <f>IFERROR(IF(Benchmark1[[#This Row],[Target Date Check]]="Pass",Benchmark1[[#This Row],[Target Return]]-Benchmark1[[#This Row],[Benchmark '#1 Return]],"-"),"-")</f>
        <v>-1.8098447297132322E-3</v>
      </c>
      <c r="H673" s="1" t="str">
        <f>IF(COUNTIF(Comp1[Comparable '#1 Dates],Benchmark1[[#This Row],[Benchmark '#1 Dates]])=1,"Pass","Fail")</f>
        <v>Pass</v>
      </c>
      <c r="I673" s="6">
        <f>IF(Benchmark1[[#This Row],[Comparable '#1 Date Check]]="Pass",INDEX(Comp1[Comparable '#1 Price],MATCH(Benchmark1[[#This Row],[Benchmark '#1 Dates]],Comp1[Comparable '#1 Dates],0)),"-")</f>
        <v>13.93</v>
      </c>
      <c r="J673" s="22">
        <f>IF(Benchmark1[[#This Row],[Comparable '#1 Date Check]]="Pass",INDEX(Comp1[Comparable '#1 Return],MATCH(Benchmark1[[#This Row],[Benchmark '#1 Dates]],Comp1[Comparable '#1 Dates],0)),"-")</f>
        <v>2.4710559628662043E-2</v>
      </c>
      <c r="K673" s="1">
        <f>IFERROR(IF(Benchmark1[[#This Row],[Comparable '#1 Date Check]]="Pass",Benchmark1[[#This Row],[Comparable '#1 Return]]-Benchmark1[[#This Row],[Benchmark '#1 Return]],"-"),"-")</f>
        <v>5.4028116935459433E-3</v>
      </c>
      <c r="L673" s="1" t="str">
        <f>IF(COUNTIF(Comp2[Comparable '#2 Dates],Benchmark1[[#This Row],[Benchmark '#1 Dates]])=1,"Pass","Fail")</f>
        <v>Pass</v>
      </c>
      <c r="M673" s="6">
        <f>IF(Benchmark1[[#This Row],[Comparable '#2 Date Check]]="Pass",INDEX(Comp2[Comparable '#2 Price],MATCH(Benchmark1[[#This Row],[Benchmark '#1 Dates]],Comp2[Comparable '#2 Dates],0)),"-")</f>
        <v>38.799999999999997</v>
      </c>
      <c r="N673" s="22">
        <f>IF(Benchmark1[[#This Row],[Comparable '#2 Date Check]]="Pass",INDEX(Comp2[Comparable '#2 Return],MATCH(Benchmark1[[#This Row],[Benchmark '#1 Dates]],Comp2[Comparable '#2 Dates],0)),"-")</f>
        <v>2.0307909568944418E-2</v>
      </c>
      <c r="O673" s="1">
        <f>IFERROR(IF(Benchmark1[[#This Row],[Comparable '#2 Date Check]]="Pass",Benchmark1[[#This Row],[Comparable '#2 Return]]-Benchmark1[[#This Row],[Benchmark '#1 Return]],"-"),"-")</f>
        <v>1.0001616338283191E-3</v>
      </c>
      <c r="P673" s="1" t="str">
        <f>IF(COUNTIF(Comp3[Comparable '#3 Dates],Benchmark1[[#This Row],[Benchmark '#1 Dates]])=1,"Pass","Fail")</f>
        <v>Pass</v>
      </c>
      <c r="Q673" s="6">
        <f>IF(Benchmark1[[#This Row],[Comparable '#3 Date Check]]="Pass",INDEX(Comp3[Comparable '#3 Price],MATCH(Benchmark1[[#This Row],[Benchmark '#1 Dates]],Comp3[Comparable '#3 Dates],0)),"-")</f>
        <v>80.599999999999994</v>
      </c>
      <c r="R673" s="22">
        <f>IF(Benchmark1[[#This Row],[Comparable '#3 Date Check]]="Pass",INDEX(Comp3[Comparable '#3 Return],MATCH(Benchmark1[[#This Row],[Benchmark '#1 Dates]],Comp3[Comparable '#3 Dates],0)),"-")</f>
        <v>-9.9206357342858657E-4</v>
      </c>
      <c r="S673" s="1">
        <f>IFERROR(IF(Benchmark1[[#This Row],[Comparable '#3 Date Check]]="Pass",Benchmark1[[#This Row],[Comparable '#3 Return]]-Benchmark1[[#This Row],[Benchmark '#1 Return]],"-"),"-")</f>
        <v>-2.0299811508544686E-2</v>
      </c>
    </row>
    <row r="674" spans="1:19">
      <c r="A674" s="103">
        <v>44263</v>
      </c>
      <c r="B674" s="104">
        <v>3821.3466792755285</v>
      </c>
      <c r="C674" s="4">
        <f t="shared" si="10"/>
        <v>-5.3749099104763989E-3</v>
      </c>
      <c r="D674" s="1" t="str">
        <f>IF(COUNTIF(Target1[Target Dates],Benchmark1[[#This Row],[Benchmark '#1 Dates]])=1,"Pass","Fail")</f>
        <v>Pass</v>
      </c>
      <c r="E674" s="6">
        <f>IF(Benchmark1[[#This Row],[Target Date Check]]="Pass",INDEX(Target1[Target Price],MATCH(Benchmark1[[#This Row],[Benchmark '#1 Dates]],Target1[Target Dates],0)),"-")</f>
        <v>23.6</v>
      </c>
      <c r="F674" s="22">
        <f>IF(Benchmark1[[#This Row],[Target Date Check]]="Pass",INDEX(Target1[Target Return],MATCH(Benchmark1[[#This Row],[Benchmark '#1 Dates]],Target1[Target Dates],0)),"-")</f>
        <v>-4.9193634015534692E-2</v>
      </c>
      <c r="G674" s="1">
        <f>IFERROR(IF(Benchmark1[[#This Row],[Target Date Check]]="Pass",Benchmark1[[#This Row],[Target Return]]-Benchmark1[[#This Row],[Benchmark '#1 Return]],"-"),"-")</f>
        <v>-4.3818724105058292E-2</v>
      </c>
      <c r="H674" s="1" t="str">
        <f>IF(COUNTIF(Comp1[Comparable '#1 Dates],Benchmark1[[#This Row],[Benchmark '#1 Dates]])=1,"Pass","Fail")</f>
        <v>Pass</v>
      </c>
      <c r="I674" s="6">
        <f>IF(Benchmark1[[#This Row],[Comparable '#1 Date Check]]="Pass",INDEX(Comp1[Comparable '#1 Price],MATCH(Benchmark1[[#This Row],[Benchmark '#1 Dates]],Comp1[Comparable '#1 Dates],0)),"-")</f>
        <v>13.82</v>
      </c>
      <c r="J674" s="22">
        <f>IF(Benchmark1[[#This Row],[Comparable '#1 Date Check]]="Pass",INDEX(Comp1[Comparable '#1 Return],MATCH(Benchmark1[[#This Row],[Benchmark '#1 Dates]],Comp1[Comparable '#1 Dates],0)),"-")</f>
        <v>-7.9279694521904327E-3</v>
      </c>
      <c r="K674" s="1">
        <f>IFERROR(IF(Benchmark1[[#This Row],[Comparable '#1 Date Check]]="Pass",Benchmark1[[#This Row],[Comparable '#1 Return]]-Benchmark1[[#This Row],[Benchmark '#1 Return]],"-"),"-")</f>
        <v>-2.5530595417140338E-3</v>
      </c>
      <c r="L674" s="1" t="str">
        <f>IF(COUNTIF(Comp2[Comparable '#2 Dates],Benchmark1[[#This Row],[Benchmark '#1 Dates]])=1,"Pass","Fail")</f>
        <v>Pass</v>
      </c>
      <c r="M674" s="6">
        <f>IF(Benchmark1[[#This Row],[Comparable '#2 Date Check]]="Pass",INDEX(Comp2[Comparable '#2 Price],MATCH(Benchmark1[[#This Row],[Benchmark '#1 Dates]],Comp2[Comparable '#2 Dates],0)),"-")</f>
        <v>38.35</v>
      </c>
      <c r="N674" s="22">
        <f>IF(Benchmark1[[#This Row],[Comparable '#2 Date Check]]="Pass",INDEX(Comp2[Comparable '#2 Return],MATCH(Benchmark1[[#This Row],[Benchmark '#1 Dates]],Comp2[Comparable '#2 Dates],0)),"-")</f>
        <v>-1.1665718815962409E-2</v>
      </c>
      <c r="O674" s="1">
        <f>IFERROR(IF(Benchmark1[[#This Row],[Comparable '#2 Date Check]]="Pass",Benchmark1[[#This Row],[Comparable '#2 Return]]-Benchmark1[[#This Row],[Benchmark '#1 Return]],"-"),"-")</f>
        <v>-6.2908089054860101E-3</v>
      </c>
      <c r="P674" s="1" t="str">
        <f>IF(COUNTIF(Comp3[Comparable '#3 Dates],Benchmark1[[#This Row],[Benchmark '#1 Dates]])=1,"Pass","Fail")</f>
        <v>Pass</v>
      </c>
      <c r="Q674" s="6">
        <f>IF(Benchmark1[[#This Row],[Comparable '#3 Date Check]]="Pass",INDEX(Comp3[Comparable '#3 Price],MATCH(Benchmark1[[#This Row],[Benchmark '#1 Dates]],Comp3[Comparable '#3 Dates],0)),"-")</f>
        <v>83.51</v>
      </c>
      <c r="R674" s="22">
        <f>IF(Benchmark1[[#This Row],[Comparable '#3 Date Check]]="Pass",INDEX(Comp3[Comparable '#3 Return],MATCH(Benchmark1[[#This Row],[Benchmark '#1 Dates]],Comp3[Comparable '#3 Dates],0)),"-")</f>
        <v>3.5467735652555614E-2</v>
      </c>
      <c r="S674" s="1">
        <f>IFERROR(IF(Benchmark1[[#This Row],[Comparable '#3 Date Check]]="Pass",Benchmark1[[#This Row],[Comparable '#3 Return]]-Benchmark1[[#This Row],[Benchmark '#1 Return]],"-"),"-")</f>
        <v>4.0842645563032014E-2</v>
      </c>
    </row>
    <row r="675" spans="1:19">
      <c r="A675" s="103">
        <v>44264</v>
      </c>
      <c r="B675" s="104">
        <v>3875.4424731244421</v>
      </c>
      <c r="C675" s="4">
        <f t="shared" si="10"/>
        <v>1.4056948564483619E-2</v>
      </c>
      <c r="D675" s="1" t="str">
        <f>IF(COUNTIF(Target1[Target Dates],Benchmark1[[#This Row],[Benchmark '#1 Dates]])=1,"Pass","Fail")</f>
        <v>Pass</v>
      </c>
      <c r="E675" s="6">
        <f>IF(Benchmark1[[#This Row],[Target Date Check]]="Pass",INDEX(Target1[Target Price],MATCH(Benchmark1[[#This Row],[Benchmark '#1 Dates]],Target1[Target Dates],0)),"-")</f>
        <v>24.27</v>
      </c>
      <c r="F675" s="22">
        <f>IF(Benchmark1[[#This Row],[Target Date Check]]="Pass",INDEX(Target1[Target Return],MATCH(Benchmark1[[#This Row],[Benchmark '#1 Dates]],Target1[Target Dates],0)),"-")</f>
        <v>2.7994307706945488E-2</v>
      </c>
      <c r="G675" s="1">
        <f>IFERROR(IF(Benchmark1[[#This Row],[Target Date Check]]="Pass",Benchmark1[[#This Row],[Target Return]]-Benchmark1[[#This Row],[Benchmark '#1 Return]],"-"),"-")</f>
        <v>1.3937359142461869E-2</v>
      </c>
      <c r="H675" s="1" t="str">
        <f>IF(COUNTIF(Comp1[Comparable '#1 Dates],Benchmark1[[#This Row],[Benchmark '#1 Dates]])=1,"Pass","Fail")</f>
        <v>Pass</v>
      </c>
      <c r="I675" s="6">
        <f>IF(Benchmark1[[#This Row],[Comparable '#1 Date Check]]="Pass",INDEX(Comp1[Comparable '#1 Price],MATCH(Benchmark1[[#This Row],[Benchmark '#1 Dates]],Comp1[Comparable '#1 Dates],0)),"-")</f>
        <v>13.79</v>
      </c>
      <c r="J675" s="22">
        <f>IF(Benchmark1[[#This Row],[Comparable '#1 Date Check]]="Pass",INDEX(Comp1[Comparable '#1 Return],MATCH(Benchmark1[[#This Row],[Benchmark '#1 Dates]],Comp1[Comparable '#1 Dates],0)),"-")</f>
        <v>-2.1731265343134607E-3</v>
      </c>
      <c r="K675" s="1">
        <f>IFERROR(IF(Benchmark1[[#This Row],[Comparable '#1 Date Check]]="Pass",Benchmark1[[#This Row],[Comparable '#1 Return]]-Benchmark1[[#This Row],[Benchmark '#1 Return]],"-"),"-")</f>
        <v>-1.6230075098797078E-2</v>
      </c>
      <c r="L675" s="1" t="str">
        <f>IF(COUNTIF(Comp2[Comparable '#2 Dates],Benchmark1[[#This Row],[Benchmark '#1 Dates]])=1,"Pass","Fail")</f>
        <v>Pass</v>
      </c>
      <c r="M675" s="6">
        <f>IF(Benchmark1[[#This Row],[Comparable '#2 Date Check]]="Pass",INDEX(Comp2[Comparable '#2 Price],MATCH(Benchmark1[[#This Row],[Benchmark '#1 Dates]],Comp2[Comparable '#2 Dates],0)),"-")</f>
        <v>39.51</v>
      </c>
      <c r="N675" s="22">
        <f>IF(Benchmark1[[#This Row],[Comparable '#2 Date Check]]="Pass",INDEX(Comp2[Comparable '#2 Return],MATCH(Benchmark1[[#This Row],[Benchmark '#1 Dates]],Comp2[Comparable '#2 Dates],0)),"-")</f>
        <v>2.9799276610033992E-2</v>
      </c>
      <c r="O675" s="1">
        <f>IFERROR(IF(Benchmark1[[#This Row],[Comparable '#2 Date Check]]="Pass",Benchmark1[[#This Row],[Comparable '#2 Return]]-Benchmark1[[#This Row],[Benchmark '#1 Return]],"-"),"-")</f>
        <v>1.5742328045550372E-2</v>
      </c>
      <c r="P675" s="1" t="str">
        <f>IF(COUNTIF(Comp3[Comparable '#3 Dates],Benchmark1[[#This Row],[Benchmark '#1 Dates]])=1,"Pass","Fail")</f>
        <v>Pass</v>
      </c>
      <c r="Q675" s="6">
        <f>IF(Benchmark1[[#This Row],[Comparable '#3 Date Check]]="Pass",INDEX(Comp3[Comparable '#3 Price],MATCH(Benchmark1[[#This Row],[Benchmark '#1 Dates]],Comp3[Comparable '#3 Dates],0)),"-")</f>
        <v>82.91</v>
      </c>
      <c r="R675" s="22">
        <f>IF(Benchmark1[[#This Row],[Comparable '#3 Date Check]]="Pass",INDEX(Comp3[Comparable '#3 Return],MATCH(Benchmark1[[#This Row],[Benchmark '#1 Dates]],Comp3[Comparable '#3 Dates],0)),"-")</f>
        <v>-7.2107030370108282E-3</v>
      </c>
      <c r="S675" s="1">
        <f>IFERROR(IF(Benchmark1[[#This Row],[Comparable '#3 Date Check]]="Pass",Benchmark1[[#This Row],[Comparable '#3 Return]]-Benchmark1[[#This Row],[Benchmark '#1 Return]],"-"),"-")</f>
        <v>-2.1267651601494447E-2</v>
      </c>
    </row>
    <row r="676" spans="1:19">
      <c r="A676" s="103">
        <v>44265</v>
      </c>
      <c r="B676" s="104">
        <v>3898.805101888021</v>
      </c>
      <c r="C676" s="4">
        <f t="shared" si="10"/>
        <v>6.0102791598424712E-3</v>
      </c>
      <c r="D676" s="1" t="str">
        <f>IF(COUNTIF(Target1[Target Dates],Benchmark1[[#This Row],[Benchmark '#1 Dates]])=1,"Pass","Fail")</f>
        <v>Pass</v>
      </c>
      <c r="E676" s="6">
        <f>IF(Benchmark1[[#This Row],[Target Date Check]]="Pass",INDEX(Target1[Target Price],MATCH(Benchmark1[[#This Row],[Benchmark '#1 Dates]],Target1[Target Dates],0)),"-")</f>
        <v>24.84</v>
      </c>
      <c r="F676" s="22">
        <f>IF(Benchmark1[[#This Row],[Target Date Check]]="Pass",INDEX(Target1[Target Return],MATCH(Benchmark1[[#This Row],[Benchmark '#1 Dates]],Target1[Target Dates],0)),"-")</f>
        <v>2.3214237326768028E-2</v>
      </c>
      <c r="G676" s="1">
        <f>IFERROR(IF(Benchmark1[[#This Row],[Target Date Check]]="Pass",Benchmark1[[#This Row],[Target Return]]-Benchmark1[[#This Row],[Benchmark '#1 Return]],"-"),"-")</f>
        <v>1.7203958166925555E-2</v>
      </c>
      <c r="H676" s="1" t="str">
        <f>IF(COUNTIF(Comp1[Comparable '#1 Dates],Benchmark1[[#This Row],[Benchmark '#1 Dates]])=1,"Pass","Fail")</f>
        <v>Pass</v>
      </c>
      <c r="I676" s="6">
        <f>IF(Benchmark1[[#This Row],[Comparable '#1 Date Check]]="Pass",INDEX(Comp1[Comparable '#1 Price],MATCH(Benchmark1[[#This Row],[Benchmark '#1 Dates]],Comp1[Comparable '#1 Dates],0)),"-")</f>
        <v>13.92</v>
      </c>
      <c r="J676" s="22">
        <f>IF(Benchmark1[[#This Row],[Comparable '#1 Date Check]]="Pass",INDEX(Comp1[Comparable '#1 Return],MATCH(Benchmark1[[#This Row],[Benchmark '#1 Dates]],Comp1[Comparable '#1 Dates],0)),"-")</f>
        <v>9.3829631010632197E-3</v>
      </c>
      <c r="K676" s="1">
        <f>IFERROR(IF(Benchmark1[[#This Row],[Comparable '#1 Date Check]]="Pass",Benchmark1[[#This Row],[Comparable '#1 Return]]-Benchmark1[[#This Row],[Benchmark '#1 Return]],"-"),"-")</f>
        <v>3.3726839412207485E-3</v>
      </c>
      <c r="L676" s="1" t="str">
        <f>IF(COUNTIF(Comp2[Comparable '#2 Dates],Benchmark1[[#This Row],[Benchmark '#1 Dates]])=1,"Pass","Fail")</f>
        <v>Pass</v>
      </c>
      <c r="M676" s="6">
        <f>IF(Benchmark1[[#This Row],[Comparable '#2 Date Check]]="Pass",INDEX(Comp2[Comparable '#2 Price],MATCH(Benchmark1[[#This Row],[Benchmark '#1 Dates]],Comp2[Comparable '#2 Dates],0)),"-")</f>
        <v>39.22</v>
      </c>
      <c r="N676" s="22">
        <f>IF(Benchmark1[[#This Row],[Comparable '#2 Date Check]]="Pass",INDEX(Comp2[Comparable '#2 Return],MATCH(Benchmark1[[#This Row],[Benchmark '#1 Dates]],Comp2[Comparable '#2 Dates],0)),"-")</f>
        <v>-7.3669836550990875E-3</v>
      </c>
      <c r="O676" s="1">
        <f>IFERROR(IF(Benchmark1[[#This Row],[Comparable '#2 Date Check]]="Pass",Benchmark1[[#This Row],[Comparable '#2 Return]]-Benchmark1[[#This Row],[Benchmark '#1 Return]],"-"),"-")</f>
        <v>-1.337726281494156E-2</v>
      </c>
      <c r="P676" s="1" t="str">
        <f>IF(COUNTIF(Comp3[Comparable '#3 Dates],Benchmark1[[#This Row],[Benchmark '#1 Dates]])=1,"Pass","Fail")</f>
        <v>Pass</v>
      </c>
      <c r="Q676" s="6">
        <f>IF(Benchmark1[[#This Row],[Comparable '#3 Date Check]]="Pass",INDEX(Comp3[Comparable '#3 Price],MATCH(Benchmark1[[#This Row],[Benchmark '#1 Dates]],Comp3[Comparable '#3 Dates],0)),"-")</f>
        <v>83.82</v>
      </c>
      <c r="R676" s="22">
        <f>IF(Benchmark1[[#This Row],[Comparable '#3 Date Check]]="Pass",INDEX(Comp3[Comparable '#3 Return],MATCH(Benchmark1[[#This Row],[Benchmark '#1 Dates]],Comp3[Comparable '#3 Dates],0)),"-")</f>
        <v>1.0915960368798152E-2</v>
      </c>
      <c r="S676" s="1">
        <f>IFERROR(IF(Benchmark1[[#This Row],[Comparable '#3 Date Check]]="Pass",Benchmark1[[#This Row],[Comparable '#3 Return]]-Benchmark1[[#This Row],[Benchmark '#1 Return]],"-"),"-")</f>
        <v>4.9056812089556812E-3</v>
      </c>
    </row>
    <row r="677" spans="1:19">
      <c r="A677" s="103">
        <v>44266</v>
      </c>
      <c r="B677" s="104">
        <v>3939.3383932544884</v>
      </c>
      <c r="C677" s="4">
        <f t="shared" si="10"/>
        <v>1.0342666656716038E-2</v>
      </c>
      <c r="D677" s="1" t="str">
        <f>IF(COUNTIF(Target1[Target Dates],Benchmark1[[#This Row],[Benchmark '#1 Dates]])=1,"Pass","Fail")</f>
        <v>Pass</v>
      </c>
      <c r="E677" s="6">
        <f>IF(Benchmark1[[#This Row],[Target Date Check]]="Pass",INDEX(Target1[Target Price],MATCH(Benchmark1[[#This Row],[Benchmark '#1 Dates]],Target1[Target Dates],0)),"-")</f>
        <v>27.08</v>
      </c>
      <c r="F677" s="22">
        <f>IF(Benchmark1[[#This Row],[Target Date Check]]="Pass",INDEX(Target1[Target Return],MATCH(Benchmark1[[#This Row],[Benchmark '#1 Dates]],Target1[Target Dates],0)),"-")</f>
        <v>8.6340190978796194E-2</v>
      </c>
      <c r="G677" s="1">
        <f>IFERROR(IF(Benchmark1[[#This Row],[Target Date Check]]="Pass",Benchmark1[[#This Row],[Target Return]]-Benchmark1[[#This Row],[Benchmark '#1 Return]],"-"),"-")</f>
        <v>7.5997524322080151E-2</v>
      </c>
      <c r="H677" s="1" t="str">
        <f>IF(COUNTIF(Comp1[Comparable '#1 Dates],Benchmark1[[#This Row],[Benchmark '#1 Dates]])=1,"Pass","Fail")</f>
        <v>Pass</v>
      </c>
      <c r="I677" s="6">
        <f>IF(Benchmark1[[#This Row],[Comparable '#1 Date Check]]="Pass",INDEX(Comp1[Comparable '#1 Price],MATCH(Benchmark1[[#This Row],[Benchmark '#1 Dates]],Comp1[Comparable '#1 Dates],0)),"-")</f>
        <v>14.35</v>
      </c>
      <c r="J677" s="22">
        <f>IF(Benchmark1[[#This Row],[Comparable '#1 Date Check]]="Pass",INDEX(Comp1[Comparable '#1 Return],MATCH(Benchmark1[[#This Row],[Benchmark '#1 Dates]],Comp1[Comparable '#1 Dates],0)),"-")</f>
        <v>3.0423287299356592E-2</v>
      </c>
      <c r="K677" s="1">
        <f>IFERROR(IF(Benchmark1[[#This Row],[Comparable '#1 Date Check]]="Pass",Benchmark1[[#This Row],[Comparable '#1 Return]]-Benchmark1[[#This Row],[Benchmark '#1 Return]],"-"),"-")</f>
        <v>2.0080620642640552E-2</v>
      </c>
      <c r="L677" s="1" t="str">
        <f>IF(COUNTIF(Comp2[Comparable '#2 Dates],Benchmark1[[#This Row],[Benchmark '#1 Dates]])=1,"Pass","Fail")</f>
        <v>Pass</v>
      </c>
      <c r="M677" s="6">
        <f>IF(Benchmark1[[#This Row],[Comparable '#2 Date Check]]="Pass",INDEX(Comp2[Comparable '#2 Price],MATCH(Benchmark1[[#This Row],[Benchmark '#1 Dates]],Comp2[Comparable '#2 Dates],0)),"-")</f>
        <v>40.119999999999997</v>
      </c>
      <c r="N677" s="22">
        <f>IF(Benchmark1[[#This Row],[Comparable '#2 Date Check]]="Pass",INDEX(Comp2[Comparable '#2 Return],MATCH(Benchmark1[[#This Row],[Benchmark '#1 Dates]],Comp2[Comparable '#2 Dates],0)),"-")</f>
        <v>2.2688142325534535E-2</v>
      </c>
      <c r="O677" s="1">
        <f>IFERROR(IF(Benchmark1[[#This Row],[Comparable '#2 Date Check]]="Pass",Benchmark1[[#This Row],[Comparable '#2 Return]]-Benchmark1[[#This Row],[Benchmark '#1 Return]],"-"),"-")</f>
        <v>1.2345475668818497E-2</v>
      </c>
      <c r="P677" s="1" t="str">
        <f>IF(COUNTIF(Comp3[Comparable '#3 Dates],Benchmark1[[#This Row],[Benchmark '#1 Dates]])=1,"Pass","Fail")</f>
        <v>Pass</v>
      </c>
      <c r="Q677" s="6">
        <f>IF(Benchmark1[[#This Row],[Comparable '#3 Date Check]]="Pass",INDEX(Comp3[Comparable '#3 Price],MATCH(Benchmark1[[#This Row],[Benchmark '#1 Dates]],Comp3[Comparable '#3 Dates],0)),"-")</f>
        <v>87.39</v>
      </c>
      <c r="R677" s="22">
        <f>IF(Benchmark1[[#This Row],[Comparable '#3 Date Check]]="Pass",INDEX(Comp3[Comparable '#3 Return],MATCH(Benchmark1[[#This Row],[Benchmark '#1 Dates]],Comp3[Comparable '#3 Dates],0)),"-")</f>
        <v>4.1709217142527462E-2</v>
      </c>
      <c r="S677" s="1">
        <f>IFERROR(IF(Benchmark1[[#This Row],[Comparable '#3 Date Check]]="Pass",Benchmark1[[#This Row],[Comparable '#3 Return]]-Benchmark1[[#This Row],[Benchmark '#1 Return]],"-"),"-")</f>
        <v>3.1366550485811426E-2</v>
      </c>
    </row>
    <row r="678" spans="1:19">
      <c r="A678" s="103">
        <v>44267</v>
      </c>
      <c r="B678" s="104">
        <v>3943.3427950516775</v>
      </c>
      <c r="C678" s="4">
        <f t="shared" si="10"/>
        <v>1.0160000248630042E-3</v>
      </c>
      <c r="D678" s="1" t="str">
        <f>IF(COUNTIF(Target1[Target Dates],Benchmark1[[#This Row],[Benchmark '#1 Dates]])=1,"Pass","Fail")</f>
        <v>Pass</v>
      </c>
      <c r="E678" s="6">
        <f>IF(Benchmark1[[#This Row],[Target Date Check]]="Pass",INDEX(Target1[Target Price],MATCH(Benchmark1[[#This Row],[Benchmark '#1 Dates]],Target1[Target Dates],0)),"-")</f>
        <v>28.73</v>
      </c>
      <c r="F678" s="22">
        <f>IF(Benchmark1[[#This Row],[Target Date Check]]="Pass",INDEX(Target1[Target Return],MATCH(Benchmark1[[#This Row],[Benchmark '#1 Dates]],Target1[Target Dates],0)),"-")</f>
        <v>5.9146424947124035E-2</v>
      </c>
      <c r="G678" s="1">
        <f>IFERROR(IF(Benchmark1[[#This Row],[Target Date Check]]="Pass",Benchmark1[[#This Row],[Target Return]]-Benchmark1[[#This Row],[Benchmark '#1 Return]],"-"),"-")</f>
        <v>5.8130424922261031E-2</v>
      </c>
      <c r="H678" s="1" t="str">
        <f>IF(COUNTIF(Comp1[Comparable '#1 Dates],Benchmark1[[#This Row],[Benchmark '#1 Dates]])=1,"Pass","Fail")</f>
        <v>Pass</v>
      </c>
      <c r="I678" s="6">
        <f>IF(Benchmark1[[#This Row],[Comparable '#1 Date Check]]="Pass",INDEX(Comp1[Comparable '#1 Price],MATCH(Benchmark1[[#This Row],[Benchmark '#1 Dates]],Comp1[Comparable '#1 Dates],0)),"-")</f>
        <v>14.56</v>
      </c>
      <c r="J678" s="22">
        <f>IF(Benchmark1[[#This Row],[Comparable '#1 Date Check]]="Pass",INDEX(Comp1[Comparable '#1 Return],MATCH(Benchmark1[[#This Row],[Benchmark '#1 Dates]],Comp1[Comparable '#1 Dates],0)),"-")</f>
        <v>1.4528100562909808E-2</v>
      </c>
      <c r="K678" s="1">
        <f>IFERROR(IF(Benchmark1[[#This Row],[Comparable '#1 Date Check]]="Pass",Benchmark1[[#This Row],[Comparable '#1 Return]]-Benchmark1[[#This Row],[Benchmark '#1 Return]],"-"),"-")</f>
        <v>1.3512100538046804E-2</v>
      </c>
      <c r="L678" s="1" t="str">
        <f>IF(COUNTIF(Comp2[Comparable '#2 Dates],Benchmark1[[#This Row],[Benchmark '#1 Dates]])=1,"Pass","Fail")</f>
        <v>Pass</v>
      </c>
      <c r="M678" s="6">
        <f>IF(Benchmark1[[#This Row],[Comparable '#2 Date Check]]="Pass",INDEX(Comp2[Comparable '#2 Price],MATCH(Benchmark1[[#This Row],[Benchmark '#1 Dates]],Comp2[Comparable '#2 Dates],0)),"-")</f>
        <v>41.69</v>
      </c>
      <c r="N678" s="22">
        <f>IF(Benchmark1[[#This Row],[Comparable '#2 Date Check]]="Pass",INDEX(Comp2[Comparable '#2 Return],MATCH(Benchmark1[[#This Row],[Benchmark '#1 Dates]],Comp2[Comparable '#2 Dates],0)),"-")</f>
        <v>3.8386328798970741E-2</v>
      </c>
      <c r="O678" s="1">
        <f>IFERROR(IF(Benchmark1[[#This Row],[Comparable '#2 Date Check]]="Pass",Benchmark1[[#This Row],[Comparable '#2 Return]]-Benchmark1[[#This Row],[Benchmark '#1 Return]],"-"),"-")</f>
        <v>3.7370328774107738E-2</v>
      </c>
      <c r="P678" s="1" t="str">
        <f>IF(COUNTIF(Comp3[Comparable '#3 Dates],Benchmark1[[#This Row],[Benchmark '#1 Dates]])=1,"Pass","Fail")</f>
        <v>Pass</v>
      </c>
      <c r="Q678" s="6">
        <f>IF(Benchmark1[[#This Row],[Comparable '#3 Date Check]]="Pass",INDEX(Comp3[Comparable '#3 Price],MATCH(Benchmark1[[#This Row],[Benchmark '#1 Dates]],Comp3[Comparable '#3 Dates],0)),"-")</f>
        <v>88.84</v>
      </c>
      <c r="R678" s="22">
        <f>IF(Benchmark1[[#This Row],[Comparable '#3 Date Check]]="Pass",INDEX(Comp3[Comparable '#3 Return],MATCH(Benchmark1[[#This Row],[Benchmark '#1 Dates]],Comp3[Comparable '#3 Dates],0)),"-")</f>
        <v>1.6456139386773747E-2</v>
      </c>
      <c r="S678" s="1">
        <f>IFERROR(IF(Benchmark1[[#This Row],[Comparable '#3 Date Check]]="Pass",Benchmark1[[#This Row],[Comparable '#3 Return]]-Benchmark1[[#This Row],[Benchmark '#1 Return]],"-"),"-")</f>
        <v>1.5440139361910743E-2</v>
      </c>
    </row>
    <row r="679" spans="1:19">
      <c r="A679" s="103">
        <v>44270</v>
      </c>
      <c r="B679" s="104">
        <v>3968.9372128685891</v>
      </c>
      <c r="C679" s="4">
        <f t="shared" si="10"/>
        <v>6.4695655520327607E-3</v>
      </c>
      <c r="D679" s="1" t="str">
        <f>IF(COUNTIF(Target1[Target Dates],Benchmark1[[#This Row],[Benchmark '#1 Dates]])=1,"Pass","Fail")</f>
        <v>Pass</v>
      </c>
      <c r="E679" s="6">
        <f>IF(Benchmark1[[#This Row],[Target Date Check]]="Pass",INDEX(Target1[Target Price],MATCH(Benchmark1[[#This Row],[Benchmark '#1 Dates]],Target1[Target Dates],0)),"-")</f>
        <v>28.24</v>
      </c>
      <c r="F679" s="22">
        <f>IF(Benchmark1[[#This Row],[Target Date Check]]="Pass",INDEX(Target1[Target Return],MATCH(Benchmark1[[#This Row],[Benchmark '#1 Dates]],Target1[Target Dates],0)),"-")</f>
        <v>-1.7202460366156927E-2</v>
      </c>
      <c r="G679" s="1">
        <f>IFERROR(IF(Benchmark1[[#This Row],[Target Date Check]]="Pass",Benchmark1[[#This Row],[Target Return]]-Benchmark1[[#This Row],[Benchmark '#1 Return]],"-"),"-")</f>
        <v>-2.3672025918189687E-2</v>
      </c>
      <c r="H679" s="1" t="str">
        <f>IF(COUNTIF(Comp1[Comparable '#1 Dates],Benchmark1[[#This Row],[Benchmark '#1 Dates]])=1,"Pass","Fail")</f>
        <v>Pass</v>
      </c>
      <c r="I679" s="6">
        <f>IF(Benchmark1[[#This Row],[Comparable '#1 Date Check]]="Pass",INDEX(Comp1[Comparable '#1 Price],MATCH(Benchmark1[[#This Row],[Benchmark '#1 Dates]],Comp1[Comparable '#1 Dates],0)),"-")</f>
        <v>14.41</v>
      </c>
      <c r="J679" s="22">
        <f>IF(Benchmark1[[#This Row],[Comparable '#1 Date Check]]="Pass",INDEX(Comp1[Comparable '#1 Return],MATCH(Benchmark1[[#This Row],[Benchmark '#1 Dates]],Comp1[Comparable '#1 Dates],0)),"-")</f>
        <v>-1.0355632757109266E-2</v>
      </c>
      <c r="K679" s="1">
        <f>IFERROR(IF(Benchmark1[[#This Row],[Comparable '#1 Date Check]]="Pass",Benchmark1[[#This Row],[Comparable '#1 Return]]-Benchmark1[[#This Row],[Benchmark '#1 Return]],"-"),"-")</f>
        <v>-1.6825198309142027E-2</v>
      </c>
      <c r="L679" s="1" t="str">
        <f>IF(COUNTIF(Comp2[Comparable '#2 Dates],Benchmark1[[#This Row],[Benchmark '#1 Dates]])=1,"Pass","Fail")</f>
        <v>Pass</v>
      </c>
      <c r="M679" s="6">
        <f>IF(Benchmark1[[#This Row],[Comparable '#2 Date Check]]="Pass",INDEX(Comp2[Comparable '#2 Price],MATCH(Benchmark1[[#This Row],[Benchmark '#1 Dates]],Comp2[Comparable '#2 Dates],0)),"-")</f>
        <v>41.27</v>
      </c>
      <c r="N679" s="22">
        <f>IF(Benchmark1[[#This Row],[Comparable '#2 Date Check]]="Pass",INDEX(Comp2[Comparable '#2 Return],MATCH(Benchmark1[[#This Row],[Benchmark '#1 Dates]],Comp2[Comparable '#2 Dates],0)),"-")</f>
        <v>-1.0125448128214984E-2</v>
      </c>
      <c r="O679" s="1">
        <f>IFERROR(IF(Benchmark1[[#This Row],[Comparable '#2 Date Check]]="Pass",Benchmark1[[#This Row],[Comparable '#2 Return]]-Benchmark1[[#This Row],[Benchmark '#1 Return]],"-"),"-")</f>
        <v>-1.6595013680247746E-2</v>
      </c>
      <c r="P679" s="1" t="str">
        <f>IF(COUNTIF(Comp3[Comparable '#3 Dates],Benchmark1[[#This Row],[Benchmark '#1 Dates]])=1,"Pass","Fail")</f>
        <v>Pass</v>
      </c>
      <c r="Q679" s="6">
        <f>IF(Benchmark1[[#This Row],[Comparable '#3 Date Check]]="Pass",INDEX(Comp3[Comparable '#3 Price],MATCH(Benchmark1[[#This Row],[Benchmark '#1 Dates]],Comp3[Comparable '#3 Dates],0)),"-")</f>
        <v>87.85</v>
      </c>
      <c r="R679" s="22">
        <f>IF(Benchmark1[[#This Row],[Comparable '#3 Date Check]]="Pass",INDEX(Comp3[Comparable '#3 Return],MATCH(Benchmark1[[#This Row],[Benchmark '#1 Dates]],Comp3[Comparable '#3 Dates],0)),"-")</f>
        <v>-1.1206184393120622E-2</v>
      </c>
      <c r="S679" s="1">
        <f>IFERROR(IF(Benchmark1[[#This Row],[Comparable '#3 Date Check]]="Pass",Benchmark1[[#This Row],[Comparable '#3 Return]]-Benchmark1[[#This Row],[Benchmark '#1 Return]],"-"),"-")</f>
        <v>-1.7675749945153384E-2</v>
      </c>
    </row>
    <row r="680" spans="1:19">
      <c r="A680" s="103">
        <v>44271</v>
      </c>
      <c r="B680" s="104">
        <v>3962.707532820396</v>
      </c>
      <c r="C680" s="4">
        <f t="shared" si="10"/>
        <v>-1.5708422474621188E-3</v>
      </c>
      <c r="D680" s="1" t="str">
        <f>IF(COUNTIF(Target1[Target Dates],Benchmark1[[#This Row],[Benchmark '#1 Dates]])=1,"Pass","Fail")</f>
        <v>Pass</v>
      </c>
      <c r="E680" s="6">
        <f>IF(Benchmark1[[#This Row],[Target Date Check]]="Pass",INDEX(Target1[Target Price],MATCH(Benchmark1[[#This Row],[Benchmark '#1 Dates]],Target1[Target Dates],0)),"-")</f>
        <v>28.56</v>
      </c>
      <c r="F680" s="22">
        <f>IF(Benchmark1[[#This Row],[Target Date Check]]="Pass",INDEX(Target1[Target Return],MATCH(Benchmark1[[#This Row],[Benchmark '#1 Dates]],Target1[Target Dates],0)),"-")</f>
        <v>1.1267724846342288E-2</v>
      </c>
      <c r="G680" s="1">
        <f>IFERROR(IF(Benchmark1[[#This Row],[Target Date Check]]="Pass",Benchmark1[[#This Row],[Target Return]]-Benchmark1[[#This Row],[Benchmark '#1 Return]],"-"),"-")</f>
        <v>1.2838567093804407E-2</v>
      </c>
      <c r="H680" s="1" t="str">
        <f>IF(COUNTIF(Comp1[Comparable '#1 Dates],Benchmark1[[#This Row],[Benchmark '#1 Dates]])=1,"Pass","Fail")</f>
        <v>Pass</v>
      </c>
      <c r="I680" s="6">
        <f>IF(Benchmark1[[#This Row],[Comparable '#1 Date Check]]="Pass",INDEX(Comp1[Comparable '#1 Price],MATCH(Benchmark1[[#This Row],[Benchmark '#1 Dates]],Comp1[Comparable '#1 Dates],0)),"-")</f>
        <v>14.19</v>
      </c>
      <c r="J680" s="22">
        <f>IF(Benchmark1[[#This Row],[Comparable '#1 Date Check]]="Pass",INDEX(Comp1[Comparable '#1 Return],MATCH(Benchmark1[[#This Row],[Benchmark '#1 Dates]],Comp1[Comparable '#1 Dates],0)),"-")</f>
        <v>-1.5384918839479456E-2</v>
      </c>
      <c r="K680" s="1">
        <f>IFERROR(IF(Benchmark1[[#This Row],[Comparable '#1 Date Check]]="Pass",Benchmark1[[#This Row],[Comparable '#1 Return]]-Benchmark1[[#This Row],[Benchmark '#1 Return]],"-"),"-")</f>
        <v>-1.3814076592017336E-2</v>
      </c>
      <c r="L680" s="1" t="str">
        <f>IF(COUNTIF(Comp2[Comparable '#2 Dates],Benchmark1[[#This Row],[Benchmark '#1 Dates]])=1,"Pass","Fail")</f>
        <v>Pass</v>
      </c>
      <c r="M680" s="6">
        <f>IF(Benchmark1[[#This Row],[Comparable '#2 Date Check]]="Pass",INDEX(Comp2[Comparable '#2 Price],MATCH(Benchmark1[[#This Row],[Benchmark '#1 Dates]],Comp2[Comparable '#2 Dates],0)),"-")</f>
        <v>40.44</v>
      </c>
      <c r="N680" s="22">
        <f>IF(Benchmark1[[#This Row],[Comparable '#2 Date Check]]="Pass",INDEX(Comp2[Comparable '#2 Return],MATCH(Benchmark1[[#This Row],[Benchmark '#1 Dates]],Comp2[Comparable '#2 Dates],0)),"-")</f>
        <v>-2.0316449612219963E-2</v>
      </c>
      <c r="O680" s="1">
        <f>IFERROR(IF(Benchmark1[[#This Row],[Comparable '#2 Date Check]]="Pass",Benchmark1[[#This Row],[Comparable '#2 Return]]-Benchmark1[[#This Row],[Benchmark '#1 Return]],"-"),"-")</f>
        <v>-1.8745607364757843E-2</v>
      </c>
      <c r="P680" s="1" t="str">
        <f>IF(COUNTIF(Comp3[Comparable '#3 Dates],Benchmark1[[#This Row],[Benchmark '#1 Dates]])=1,"Pass","Fail")</f>
        <v>Pass</v>
      </c>
      <c r="Q680" s="6">
        <f>IF(Benchmark1[[#This Row],[Comparable '#3 Date Check]]="Pass",INDEX(Comp3[Comparable '#3 Price],MATCH(Benchmark1[[#This Row],[Benchmark '#1 Dates]],Comp3[Comparable '#3 Dates],0)),"-")</f>
        <v>86.47</v>
      </c>
      <c r="R680" s="22">
        <f>IF(Benchmark1[[#This Row],[Comparable '#3 Date Check]]="Pass",INDEX(Comp3[Comparable '#3 Return],MATCH(Benchmark1[[#This Row],[Benchmark '#1 Dates]],Comp3[Comparable '#3 Dates],0)),"-")</f>
        <v>-1.5833281660767237E-2</v>
      </c>
      <c r="S680" s="1">
        <f>IFERROR(IF(Benchmark1[[#This Row],[Comparable '#3 Date Check]]="Pass",Benchmark1[[#This Row],[Comparable '#3 Return]]-Benchmark1[[#This Row],[Benchmark '#1 Return]],"-"),"-")</f>
        <v>-1.4262439413305118E-2</v>
      </c>
    </row>
    <row r="681" spans="1:19">
      <c r="A681" s="103">
        <v>44272</v>
      </c>
      <c r="B681" s="104">
        <v>3974.1163065139922</v>
      </c>
      <c r="C681" s="4">
        <f t="shared" si="10"/>
        <v>2.8748985192002157E-3</v>
      </c>
      <c r="D681" s="1" t="str">
        <f>IF(COUNTIF(Target1[Target Dates],Benchmark1[[#This Row],[Benchmark '#1 Dates]])=1,"Pass","Fail")</f>
        <v>Pass</v>
      </c>
      <c r="E681" s="6">
        <f>IF(Benchmark1[[#This Row],[Target Date Check]]="Pass",INDEX(Target1[Target Price],MATCH(Benchmark1[[#This Row],[Benchmark '#1 Dates]],Target1[Target Dates],0)),"-")</f>
        <v>28.16</v>
      </c>
      <c r="F681" s="22">
        <f>IF(Benchmark1[[#This Row],[Target Date Check]]="Pass",INDEX(Target1[Target Return],MATCH(Benchmark1[[#This Row],[Benchmark '#1 Dates]],Target1[Target Dates],0)),"-")</f>
        <v>-1.4104606181541935E-2</v>
      </c>
      <c r="G681" s="1">
        <f>IFERROR(IF(Benchmark1[[#This Row],[Target Date Check]]="Pass",Benchmark1[[#This Row],[Target Return]]-Benchmark1[[#This Row],[Benchmark '#1 Return]],"-"),"-")</f>
        <v>-1.6979504700742151E-2</v>
      </c>
      <c r="H681" s="1" t="str">
        <f>IF(COUNTIF(Comp1[Comparable '#1 Dates],Benchmark1[[#This Row],[Benchmark '#1 Dates]])=1,"Pass","Fail")</f>
        <v>Pass</v>
      </c>
      <c r="I681" s="6">
        <f>IF(Benchmark1[[#This Row],[Comparable '#1 Date Check]]="Pass",INDEX(Comp1[Comparable '#1 Price],MATCH(Benchmark1[[#This Row],[Benchmark '#1 Dates]],Comp1[Comparable '#1 Dates],0)),"-")</f>
        <v>14.18</v>
      </c>
      <c r="J681" s="22">
        <f>IF(Benchmark1[[#This Row],[Comparable '#1 Date Check]]="Pass",INDEX(Comp1[Comparable '#1 Return],MATCH(Benchmark1[[#This Row],[Benchmark '#1 Dates]],Comp1[Comparable '#1 Dates],0)),"-")</f>
        <v>-7.0497006796982125E-4</v>
      </c>
      <c r="K681" s="1">
        <f>IFERROR(IF(Benchmark1[[#This Row],[Comparable '#1 Date Check]]="Pass",Benchmark1[[#This Row],[Comparable '#1 Return]]-Benchmark1[[#This Row],[Benchmark '#1 Return]],"-"),"-")</f>
        <v>-3.5798685871700369E-3</v>
      </c>
      <c r="L681" s="1" t="str">
        <f>IF(COUNTIF(Comp2[Comparable '#2 Dates],Benchmark1[[#This Row],[Benchmark '#1 Dates]])=1,"Pass","Fail")</f>
        <v>Pass</v>
      </c>
      <c r="M681" s="6">
        <f>IF(Benchmark1[[#This Row],[Comparable '#2 Date Check]]="Pass",INDEX(Comp2[Comparable '#2 Price],MATCH(Benchmark1[[#This Row],[Benchmark '#1 Dates]],Comp2[Comparable '#2 Dates],0)),"-")</f>
        <v>40.97</v>
      </c>
      <c r="N681" s="22">
        <f>IF(Benchmark1[[#This Row],[Comparable '#2 Date Check]]="Pass",INDEX(Comp2[Comparable '#2 Return],MATCH(Benchmark1[[#This Row],[Benchmark '#1 Dates]],Comp2[Comparable '#2 Dates],0)),"-")</f>
        <v>1.3020697406509168E-2</v>
      </c>
      <c r="O681" s="1">
        <f>IFERROR(IF(Benchmark1[[#This Row],[Comparable '#2 Date Check]]="Pass",Benchmark1[[#This Row],[Comparable '#2 Return]]-Benchmark1[[#This Row],[Benchmark '#1 Return]],"-"),"-")</f>
        <v>1.0145798887308953E-2</v>
      </c>
      <c r="P681" s="1" t="str">
        <f>IF(COUNTIF(Comp3[Comparable '#3 Dates],Benchmark1[[#This Row],[Benchmark '#1 Dates]])=1,"Pass","Fail")</f>
        <v>Pass</v>
      </c>
      <c r="Q681" s="6">
        <f>IF(Benchmark1[[#This Row],[Comparable '#3 Date Check]]="Pass",INDEX(Comp3[Comparable '#3 Price],MATCH(Benchmark1[[#This Row],[Benchmark '#1 Dates]],Comp3[Comparable '#3 Dates],0)),"-")</f>
        <v>87.7</v>
      </c>
      <c r="R681" s="22">
        <f>IF(Benchmark1[[#This Row],[Comparable '#3 Date Check]]="Pass",INDEX(Comp3[Comparable '#3 Return],MATCH(Benchmark1[[#This Row],[Benchmark '#1 Dates]],Comp3[Comparable '#3 Dates],0)),"-")</f>
        <v>1.4124366405798509E-2</v>
      </c>
      <c r="S681" s="1">
        <f>IFERROR(IF(Benchmark1[[#This Row],[Comparable '#3 Date Check]]="Pass",Benchmark1[[#This Row],[Comparable '#3 Return]]-Benchmark1[[#This Row],[Benchmark '#1 Return]],"-"),"-")</f>
        <v>1.1249467886598294E-2</v>
      </c>
    </row>
    <row r="682" spans="1:19">
      <c r="A682" s="103">
        <v>44273</v>
      </c>
      <c r="B682" s="104">
        <v>3915.4612739918775</v>
      </c>
      <c r="C682" s="4">
        <f t="shared" si="10"/>
        <v>-1.4869265842045811E-2</v>
      </c>
      <c r="D682" s="1" t="str">
        <f>IF(COUNTIF(Target1[Target Dates],Benchmark1[[#This Row],[Benchmark '#1 Dates]])=1,"Pass","Fail")</f>
        <v>Pass</v>
      </c>
      <c r="E682" s="6">
        <f>IF(Benchmark1[[#This Row],[Target Date Check]]="Pass",INDEX(Target1[Target Price],MATCH(Benchmark1[[#This Row],[Benchmark '#1 Dates]],Target1[Target Dates],0)),"-")</f>
        <v>27.69</v>
      </c>
      <c r="F682" s="22">
        <f>IF(Benchmark1[[#This Row],[Target Date Check]]="Pass",INDEX(Target1[Target Return],MATCH(Benchmark1[[#This Row],[Benchmark '#1 Dates]],Target1[Target Dates],0)),"-")</f>
        <v>-1.6831194106971089E-2</v>
      </c>
      <c r="G682" s="1">
        <f>IFERROR(IF(Benchmark1[[#This Row],[Target Date Check]]="Pass",Benchmark1[[#This Row],[Target Return]]-Benchmark1[[#This Row],[Benchmark '#1 Return]],"-"),"-")</f>
        <v>-1.9619282649252778E-3</v>
      </c>
      <c r="H682" s="1" t="str">
        <f>IF(COUNTIF(Comp1[Comparable '#1 Dates],Benchmark1[[#This Row],[Benchmark '#1 Dates]])=1,"Pass","Fail")</f>
        <v>Pass</v>
      </c>
      <c r="I682" s="6">
        <f>IF(Benchmark1[[#This Row],[Comparable '#1 Date Check]]="Pass",INDEX(Comp1[Comparable '#1 Price],MATCH(Benchmark1[[#This Row],[Benchmark '#1 Dates]],Comp1[Comparable '#1 Dates],0)),"-")</f>
        <v>14.22</v>
      </c>
      <c r="J682" s="22">
        <f>IF(Benchmark1[[#This Row],[Comparable '#1 Date Check]]="Pass",INDEX(Comp1[Comparable '#1 Return],MATCH(Benchmark1[[#This Row],[Benchmark '#1 Dates]],Comp1[Comparable '#1 Dates],0)),"-")</f>
        <v>2.8169032711133734E-3</v>
      </c>
      <c r="K682" s="1">
        <f>IFERROR(IF(Benchmark1[[#This Row],[Comparable '#1 Date Check]]="Pass",Benchmark1[[#This Row],[Comparable '#1 Return]]-Benchmark1[[#This Row],[Benchmark '#1 Return]],"-"),"-")</f>
        <v>1.7686169113159185E-2</v>
      </c>
      <c r="L682" s="1" t="str">
        <f>IF(COUNTIF(Comp2[Comparable '#2 Dates],Benchmark1[[#This Row],[Benchmark '#1 Dates]])=1,"Pass","Fail")</f>
        <v>Pass</v>
      </c>
      <c r="M682" s="6">
        <f>IF(Benchmark1[[#This Row],[Comparable '#2 Date Check]]="Pass",INDEX(Comp2[Comparable '#2 Price],MATCH(Benchmark1[[#This Row],[Benchmark '#1 Dates]],Comp2[Comparable '#2 Dates],0)),"-")</f>
        <v>40.880000000000003</v>
      </c>
      <c r="N682" s="22">
        <f>IF(Benchmark1[[#This Row],[Comparable '#2 Date Check]]="Pass",INDEX(Comp2[Comparable '#2 Return],MATCH(Benchmark1[[#This Row],[Benchmark '#1 Dates]],Comp2[Comparable '#2 Dates],0)),"-")</f>
        <v>-2.199145663330594E-3</v>
      </c>
      <c r="O682" s="1">
        <f>IFERROR(IF(Benchmark1[[#This Row],[Comparable '#2 Date Check]]="Pass",Benchmark1[[#This Row],[Comparable '#2 Return]]-Benchmark1[[#This Row],[Benchmark '#1 Return]],"-"),"-")</f>
        <v>1.2670120178715216E-2</v>
      </c>
      <c r="P682" s="1" t="str">
        <f>IF(COUNTIF(Comp3[Comparable '#3 Dates],Benchmark1[[#This Row],[Benchmark '#1 Dates]])=1,"Pass","Fail")</f>
        <v>Pass</v>
      </c>
      <c r="Q682" s="6">
        <f>IF(Benchmark1[[#This Row],[Comparable '#3 Date Check]]="Pass",INDEX(Comp3[Comparable '#3 Price],MATCH(Benchmark1[[#This Row],[Benchmark '#1 Dates]],Comp3[Comparable '#3 Dates],0)),"-")</f>
        <v>87.17</v>
      </c>
      <c r="R682" s="22">
        <f>IF(Benchmark1[[#This Row],[Comparable '#3 Date Check]]="Pass",INDEX(Comp3[Comparable '#3 Return],MATCH(Benchmark1[[#This Row],[Benchmark '#1 Dates]],Comp3[Comparable '#3 Dates],0)),"-")</f>
        <v>-6.0616643546527356E-3</v>
      </c>
      <c r="S682" s="1">
        <f>IFERROR(IF(Benchmark1[[#This Row],[Comparable '#3 Date Check]]="Pass",Benchmark1[[#This Row],[Comparable '#3 Return]]-Benchmark1[[#This Row],[Benchmark '#1 Return]],"-"),"-")</f>
        <v>8.8076014873930755E-3</v>
      </c>
    </row>
    <row r="683" spans="1:19">
      <c r="A683" s="103">
        <v>44274</v>
      </c>
      <c r="B683" s="104">
        <v>3913.0992050896625</v>
      </c>
      <c r="C683" s="4">
        <f t="shared" si="10"/>
        <v>-6.0344912202076918E-4</v>
      </c>
      <c r="D683" s="1" t="str">
        <f>IF(COUNTIF(Target1[Target Dates],Benchmark1[[#This Row],[Benchmark '#1 Dates]])=1,"Pass","Fail")</f>
        <v>Pass</v>
      </c>
      <c r="E683" s="6">
        <f>IF(Benchmark1[[#This Row],[Target Date Check]]="Pass",INDEX(Target1[Target Price],MATCH(Benchmark1[[#This Row],[Benchmark '#1 Dates]],Target1[Target Dates],0)),"-")</f>
        <v>28.2</v>
      </c>
      <c r="F683" s="22">
        <f>IF(Benchmark1[[#This Row],[Target Date Check]]="Pass",INDEX(Target1[Target Return],MATCH(Benchmark1[[#This Row],[Benchmark '#1 Dates]],Target1[Target Dates],0)),"-")</f>
        <v>1.8250640761197433E-2</v>
      </c>
      <c r="G683" s="1">
        <f>IFERROR(IF(Benchmark1[[#This Row],[Target Date Check]]="Pass",Benchmark1[[#This Row],[Target Return]]-Benchmark1[[#This Row],[Benchmark '#1 Return]],"-"),"-")</f>
        <v>1.8854089883218204E-2</v>
      </c>
      <c r="H683" s="1" t="str">
        <f>IF(COUNTIF(Comp1[Comparable '#1 Dates],Benchmark1[[#This Row],[Benchmark '#1 Dates]])=1,"Pass","Fail")</f>
        <v>Pass</v>
      </c>
      <c r="I683" s="6">
        <f>IF(Benchmark1[[#This Row],[Comparable '#1 Date Check]]="Pass",INDEX(Comp1[Comparable '#1 Price],MATCH(Benchmark1[[#This Row],[Benchmark '#1 Dates]],Comp1[Comparable '#1 Dates],0)),"-")</f>
        <v>14.154999999999999</v>
      </c>
      <c r="J683" s="22">
        <f>IF(Benchmark1[[#This Row],[Comparable '#1 Date Check]]="Pass",INDEX(Comp1[Comparable '#1 Return],MATCH(Benchmark1[[#This Row],[Benchmark '#1 Dates]],Comp1[Comparable '#1 Dates],0)),"-")</f>
        <v>-4.5815058112319692E-3</v>
      </c>
      <c r="K683" s="1">
        <f>IFERROR(IF(Benchmark1[[#This Row],[Comparable '#1 Date Check]]="Pass",Benchmark1[[#This Row],[Comparable '#1 Return]]-Benchmark1[[#This Row],[Benchmark '#1 Return]],"-"),"-")</f>
        <v>-3.9780566892112E-3</v>
      </c>
      <c r="L683" s="1" t="str">
        <f>IF(COUNTIF(Comp2[Comparable '#2 Dates],Benchmark1[[#This Row],[Benchmark '#1 Dates]])=1,"Pass","Fail")</f>
        <v>Pass</v>
      </c>
      <c r="M683" s="6">
        <f>IF(Benchmark1[[#This Row],[Comparable '#2 Date Check]]="Pass",INDEX(Comp2[Comparable '#2 Price],MATCH(Benchmark1[[#This Row],[Benchmark '#1 Dates]],Comp2[Comparable '#2 Dates],0)),"-")</f>
        <v>41.43</v>
      </c>
      <c r="N683" s="22">
        <f>IF(Benchmark1[[#This Row],[Comparable '#2 Date Check]]="Pass",INDEX(Comp2[Comparable '#2 Return],MATCH(Benchmark1[[#This Row],[Benchmark '#1 Dates]],Comp2[Comparable '#2 Dates],0)),"-")</f>
        <v>1.3364310193861289E-2</v>
      </c>
      <c r="O683" s="1">
        <f>IFERROR(IF(Benchmark1[[#This Row],[Comparable '#2 Date Check]]="Pass",Benchmark1[[#This Row],[Comparable '#2 Return]]-Benchmark1[[#This Row],[Benchmark '#1 Return]],"-"),"-")</f>
        <v>1.3967759315882058E-2</v>
      </c>
      <c r="P683" s="1" t="str">
        <f>IF(COUNTIF(Comp3[Comparable '#3 Dates],Benchmark1[[#This Row],[Benchmark '#1 Dates]])=1,"Pass","Fail")</f>
        <v>Pass</v>
      </c>
      <c r="Q683" s="6">
        <f>IF(Benchmark1[[#This Row],[Comparable '#3 Date Check]]="Pass",INDEX(Comp3[Comparable '#3 Price],MATCH(Benchmark1[[#This Row],[Benchmark '#1 Dates]],Comp3[Comparable '#3 Dates],0)),"-")</f>
        <v>87.52</v>
      </c>
      <c r="R683" s="22">
        <f>IF(Benchmark1[[#This Row],[Comparable '#3 Date Check]]="Pass",INDEX(Comp3[Comparable '#3 Return],MATCH(Benchmark1[[#This Row],[Benchmark '#1 Dates]],Comp3[Comparable '#3 Dates],0)),"-")</f>
        <v>4.0071036501864374E-3</v>
      </c>
      <c r="S683" s="1">
        <f>IFERROR(IF(Benchmark1[[#This Row],[Comparable '#3 Date Check]]="Pass",Benchmark1[[#This Row],[Comparable '#3 Return]]-Benchmark1[[#This Row],[Benchmark '#1 Return]],"-"),"-")</f>
        <v>4.6105527722072066E-3</v>
      </c>
    </row>
    <row r="684" spans="1:19">
      <c r="A684" s="103">
        <v>44277</v>
      </c>
      <c r="B684" s="104">
        <v>3940.5852368697142</v>
      </c>
      <c r="C684" s="4">
        <f t="shared" si="10"/>
        <v>6.9995539554500935E-3</v>
      </c>
      <c r="D684" s="1" t="str">
        <f>IF(COUNTIF(Target1[Target Dates],Benchmark1[[#This Row],[Benchmark '#1 Dates]])=1,"Pass","Fail")</f>
        <v>Pass</v>
      </c>
      <c r="E684" s="6">
        <f>IF(Benchmark1[[#This Row],[Target Date Check]]="Pass",INDEX(Target1[Target Price],MATCH(Benchmark1[[#This Row],[Benchmark '#1 Dates]],Target1[Target Dates],0)),"-")</f>
        <v>28.77</v>
      </c>
      <c r="F684" s="22">
        <f>IF(Benchmark1[[#This Row],[Target Date Check]]="Pass",INDEX(Target1[Target Return],MATCH(Benchmark1[[#This Row],[Benchmark '#1 Dates]],Target1[Target Dates],0)),"-")</f>
        <v>2.0011199619388749E-2</v>
      </c>
      <c r="G684" s="1">
        <f>IFERROR(IF(Benchmark1[[#This Row],[Target Date Check]]="Pass",Benchmark1[[#This Row],[Target Return]]-Benchmark1[[#This Row],[Benchmark '#1 Return]],"-"),"-")</f>
        <v>1.3011645663938656E-2</v>
      </c>
      <c r="H684" s="1" t="str">
        <f>IF(COUNTIF(Comp1[Comparable '#1 Dates],Benchmark1[[#This Row],[Benchmark '#1 Dates]])=1,"Pass","Fail")</f>
        <v>Pass</v>
      </c>
      <c r="I684" s="6">
        <f>IF(Benchmark1[[#This Row],[Comparable '#1 Date Check]]="Pass",INDEX(Comp1[Comparable '#1 Price],MATCH(Benchmark1[[#This Row],[Benchmark '#1 Dates]],Comp1[Comparable '#1 Dates],0)),"-")</f>
        <v>14.09</v>
      </c>
      <c r="J684" s="22">
        <f>IF(Benchmark1[[#This Row],[Comparable '#1 Date Check]]="Pass",INDEX(Comp1[Comparable '#1 Return],MATCH(Benchmark1[[#This Row],[Benchmark '#1 Dates]],Comp1[Comparable '#1 Dates],0)),"-")</f>
        <v>-4.6025926532739913E-3</v>
      </c>
      <c r="K684" s="1">
        <f>IFERROR(IF(Benchmark1[[#This Row],[Comparable '#1 Date Check]]="Pass",Benchmark1[[#This Row],[Comparable '#1 Return]]-Benchmark1[[#This Row],[Benchmark '#1 Return]],"-"),"-")</f>
        <v>-1.1602146608724086E-2</v>
      </c>
      <c r="L684" s="1" t="str">
        <f>IF(COUNTIF(Comp2[Comparable '#2 Dates],Benchmark1[[#This Row],[Benchmark '#1 Dates]])=1,"Pass","Fail")</f>
        <v>Pass</v>
      </c>
      <c r="M684" s="6">
        <f>IF(Benchmark1[[#This Row],[Comparable '#2 Date Check]]="Pass",INDEX(Comp2[Comparable '#2 Price],MATCH(Benchmark1[[#This Row],[Benchmark '#1 Dates]],Comp2[Comparable '#2 Dates],0)),"-")</f>
        <v>41.02</v>
      </c>
      <c r="N684" s="22">
        <f>IF(Benchmark1[[#This Row],[Comparable '#2 Date Check]]="Pass",INDEX(Comp2[Comparable '#2 Return],MATCH(Benchmark1[[#This Row],[Benchmark '#1 Dates]],Comp2[Comparable '#2 Dates],0)),"-")</f>
        <v>-9.9455034450757537E-3</v>
      </c>
      <c r="O684" s="1">
        <f>IFERROR(IF(Benchmark1[[#This Row],[Comparable '#2 Date Check]]="Pass",Benchmark1[[#This Row],[Comparable '#2 Return]]-Benchmark1[[#This Row],[Benchmark '#1 Return]],"-"),"-")</f>
        <v>-1.6945057400525848E-2</v>
      </c>
      <c r="P684" s="1" t="str">
        <f>IF(COUNTIF(Comp3[Comparable '#3 Dates],Benchmark1[[#This Row],[Benchmark '#1 Dates]])=1,"Pass","Fail")</f>
        <v>Pass</v>
      </c>
      <c r="Q684" s="6">
        <f>IF(Benchmark1[[#This Row],[Comparable '#3 Date Check]]="Pass",INDEX(Comp3[Comparable '#3 Price],MATCH(Benchmark1[[#This Row],[Benchmark '#1 Dates]],Comp3[Comparable '#3 Dates],0)),"-")</f>
        <v>85.6</v>
      </c>
      <c r="R684" s="22">
        <f>IF(Benchmark1[[#This Row],[Comparable '#3 Date Check]]="Pass",INDEX(Comp3[Comparable '#3 Return],MATCH(Benchmark1[[#This Row],[Benchmark '#1 Dates]],Comp3[Comparable '#3 Dates],0)),"-")</f>
        <v>-2.2182055525974641E-2</v>
      </c>
      <c r="S684" s="1">
        <f>IFERROR(IF(Benchmark1[[#This Row],[Comparable '#3 Date Check]]="Pass",Benchmark1[[#This Row],[Comparable '#3 Return]]-Benchmark1[[#This Row],[Benchmark '#1 Return]],"-"),"-")</f>
        <v>-2.9181609481424734E-2</v>
      </c>
    </row>
    <row r="685" spans="1:19">
      <c r="A685" s="103">
        <v>44278</v>
      </c>
      <c r="B685" s="104">
        <v>3910.5158357771434</v>
      </c>
      <c r="C685" s="4">
        <f t="shared" si="10"/>
        <v>-7.6599569514860686E-3</v>
      </c>
      <c r="D685" s="1" t="str">
        <f>IF(COUNTIF(Target1[Target Dates],Benchmark1[[#This Row],[Benchmark '#1 Dates]])=1,"Pass","Fail")</f>
        <v>Pass</v>
      </c>
      <c r="E685" s="6">
        <f>IF(Benchmark1[[#This Row],[Target Date Check]]="Pass",INDEX(Target1[Target Price],MATCH(Benchmark1[[#This Row],[Benchmark '#1 Dates]],Target1[Target Dates],0)),"-")</f>
        <v>28.39</v>
      </c>
      <c r="F685" s="22">
        <f>IF(Benchmark1[[#This Row],[Target Date Check]]="Pass",INDEX(Target1[Target Return],MATCH(Benchmark1[[#This Row],[Benchmark '#1 Dates]],Target1[Target Dates],0)),"-")</f>
        <v>-1.3296207078576708E-2</v>
      </c>
      <c r="G685" s="1">
        <f>IFERROR(IF(Benchmark1[[#This Row],[Target Date Check]]="Pass",Benchmark1[[#This Row],[Target Return]]-Benchmark1[[#This Row],[Benchmark '#1 Return]],"-"),"-")</f>
        <v>-5.6362501270906399E-3</v>
      </c>
      <c r="H685" s="1" t="str">
        <f>IF(COUNTIF(Comp1[Comparable '#1 Dates],Benchmark1[[#This Row],[Benchmark '#1 Dates]])=1,"Pass","Fail")</f>
        <v>Pass</v>
      </c>
      <c r="I685" s="6">
        <f>IF(Benchmark1[[#This Row],[Comparable '#1 Date Check]]="Pass",INDEX(Comp1[Comparable '#1 Price],MATCH(Benchmark1[[#This Row],[Benchmark '#1 Dates]],Comp1[Comparable '#1 Dates],0)),"-")</f>
        <v>13.73</v>
      </c>
      <c r="J685" s="22">
        <f>IF(Benchmark1[[#This Row],[Comparable '#1 Date Check]]="Pass",INDEX(Comp1[Comparable '#1 Return],MATCH(Benchmark1[[#This Row],[Benchmark '#1 Dates]],Comp1[Comparable '#1 Dates],0)),"-")</f>
        <v>-2.5882106130709074E-2</v>
      </c>
      <c r="K685" s="1">
        <f>IFERROR(IF(Benchmark1[[#This Row],[Comparable '#1 Date Check]]="Pass",Benchmark1[[#This Row],[Comparable '#1 Return]]-Benchmark1[[#This Row],[Benchmark '#1 Return]],"-"),"-")</f>
        <v>-1.8222149179223004E-2</v>
      </c>
      <c r="L685" s="1" t="str">
        <f>IF(COUNTIF(Comp2[Comparable '#2 Dates],Benchmark1[[#This Row],[Benchmark '#1 Dates]])=1,"Pass","Fail")</f>
        <v>Pass</v>
      </c>
      <c r="M685" s="6">
        <f>IF(Benchmark1[[#This Row],[Comparable '#2 Date Check]]="Pass",INDEX(Comp2[Comparable '#2 Price],MATCH(Benchmark1[[#This Row],[Benchmark '#1 Dates]],Comp2[Comparable '#2 Dates],0)),"-")</f>
        <v>38.729999999999997</v>
      </c>
      <c r="N685" s="22">
        <f>IF(Benchmark1[[#This Row],[Comparable '#2 Date Check]]="Pass",INDEX(Comp2[Comparable '#2 Return],MATCH(Benchmark1[[#This Row],[Benchmark '#1 Dates]],Comp2[Comparable '#2 Dates],0)),"-")</f>
        <v>-5.7445259117573935E-2</v>
      </c>
      <c r="O685" s="1">
        <f>IFERROR(IF(Benchmark1[[#This Row],[Comparable '#2 Date Check]]="Pass",Benchmark1[[#This Row],[Comparable '#2 Return]]-Benchmark1[[#This Row],[Benchmark '#1 Return]],"-"),"-")</f>
        <v>-4.9785302166087869E-2</v>
      </c>
      <c r="P685" s="1" t="str">
        <f>IF(COUNTIF(Comp3[Comparable '#3 Dates],Benchmark1[[#This Row],[Benchmark '#1 Dates]])=1,"Pass","Fail")</f>
        <v>Pass</v>
      </c>
      <c r="Q685" s="6">
        <f>IF(Benchmark1[[#This Row],[Comparable '#3 Date Check]]="Pass",INDEX(Comp3[Comparable '#3 Price],MATCH(Benchmark1[[#This Row],[Benchmark '#1 Dates]],Comp3[Comparable '#3 Dates],0)),"-")</f>
        <v>87.6</v>
      </c>
      <c r="R685" s="22">
        <f>IF(Benchmark1[[#This Row],[Comparable '#3 Date Check]]="Pass",INDEX(Comp3[Comparable '#3 Return],MATCH(Benchmark1[[#This Row],[Benchmark '#1 Dates]],Comp3[Comparable '#3 Dates],0)),"-")</f>
        <v>2.3095714794649395E-2</v>
      </c>
      <c r="S685" s="1">
        <f>IFERROR(IF(Benchmark1[[#This Row],[Comparable '#3 Date Check]]="Pass",Benchmark1[[#This Row],[Comparable '#3 Return]]-Benchmark1[[#This Row],[Benchmark '#1 Return]],"-"),"-")</f>
        <v>3.0755671746135464E-2</v>
      </c>
    </row>
    <row r="686" spans="1:19">
      <c r="A686" s="103">
        <v>44279</v>
      </c>
      <c r="B686" s="104">
        <v>3889.14198237559</v>
      </c>
      <c r="C686" s="4">
        <f t="shared" si="10"/>
        <v>-5.4807293865640301E-3</v>
      </c>
      <c r="D686" s="1" t="str">
        <f>IF(COUNTIF(Target1[Target Dates],Benchmark1[[#This Row],[Benchmark '#1 Dates]])=1,"Pass","Fail")</f>
        <v>Pass</v>
      </c>
      <c r="E686" s="6">
        <f>IF(Benchmark1[[#This Row],[Target Date Check]]="Pass",INDEX(Target1[Target Price],MATCH(Benchmark1[[#This Row],[Benchmark '#1 Dates]],Target1[Target Dates],0)),"-")</f>
        <v>28.23</v>
      </c>
      <c r="F686" s="22">
        <f>IF(Benchmark1[[#This Row],[Target Date Check]]="Pass",INDEX(Target1[Target Return],MATCH(Benchmark1[[#This Row],[Benchmark '#1 Dates]],Target1[Target Dates],0)),"-")</f>
        <v>-5.6517282194818667E-3</v>
      </c>
      <c r="G686" s="1">
        <f>IFERROR(IF(Benchmark1[[#This Row],[Target Date Check]]="Pass",Benchmark1[[#This Row],[Target Return]]-Benchmark1[[#This Row],[Benchmark '#1 Return]],"-"),"-")</f>
        <v>-1.7099883291783659E-4</v>
      </c>
      <c r="H686" s="1" t="str">
        <f>IF(COUNTIF(Comp1[Comparable '#1 Dates],Benchmark1[[#This Row],[Benchmark '#1 Dates]])=1,"Pass","Fail")</f>
        <v>Pass</v>
      </c>
      <c r="I686" s="6">
        <f>IF(Benchmark1[[#This Row],[Comparable '#1 Date Check]]="Pass",INDEX(Comp1[Comparable '#1 Price],MATCH(Benchmark1[[#This Row],[Benchmark '#1 Dates]],Comp1[Comparable '#1 Dates],0)),"-")</f>
        <v>13.63</v>
      </c>
      <c r="J686" s="22">
        <f>IF(Benchmark1[[#This Row],[Comparable '#1 Date Check]]="Pass",INDEX(Comp1[Comparable '#1 Return],MATCH(Benchmark1[[#This Row],[Benchmark '#1 Dates]],Comp1[Comparable '#1 Dates],0)),"-")</f>
        <v>-7.3099740714383799E-3</v>
      </c>
      <c r="K686" s="1">
        <f>IFERROR(IF(Benchmark1[[#This Row],[Comparable '#1 Date Check]]="Pass",Benchmark1[[#This Row],[Comparable '#1 Return]]-Benchmark1[[#This Row],[Benchmark '#1 Return]],"-"),"-")</f>
        <v>-1.8292446848743498E-3</v>
      </c>
      <c r="L686" s="1" t="str">
        <f>IF(COUNTIF(Comp2[Comparable '#2 Dates],Benchmark1[[#This Row],[Benchmark '#1 Dates]])=1,"Pass","Fail")</f>
        <v>Pass</v>
      </c>
      <c r="M686" s="6">
        <f>IF(Benchmark1[[#This Row],[Comparable '#2 Date Check]]="Pass",INDEX(Comp2[Comparable '#2 Price],MATCH(Benchmark1[[#This Row],[Benchmark '#1 Dates]],Comp2[Comparable '#2 Dates],0)),"-")</f>
        <v>38.54</v>
      </c>
      <c r="N686" s="22">
        <f>IF(Benchmark1[[#This Row],[Comparable '#2 Date Check]]="Pass",INDEX(Comp2[Comparable '#2 Return],MATCH(Benchmark1[[#This Row],[Benchmark '#1 Dates]],Comp2[Comparable '#2 Dates],0)),"-")</f>
        <v>-4.9178305404404075E-3</v>
      </c>
      <c r="O686" s="1">
        <f>IFERROR(IF(Benchmark1[[#This Row],[Comparable '#2 Date Check]]="Pass",Benchmark1[[#This Row],[Comparable '#2 Return]]-Benchmark1[[#This Row],[Benchmark '#1 Return]],"-"),"-")</f>
        <v>5.628988461236226E-4</v>
      </c>
      <c r="P686" s="1" t="str">
        <f>IF(COUNTIF(Comp3[Comparable '#3 Dates],Benchmark1[[#This Row],[Benchmark '#1 Dates]])=1,"Pass","Fail")</f>
        <v>Pass</v>
      </c>
      <c r="Q686" s="6">
        <f>IF(Benchmark1[[#This Row],[Comparable '#3 Date Check]]="Pass",INDEX(Comp3[Comparable '#3 Price],MATCH(Benchmark1[[#This Row],[Benchmark '#1 Dates]],Comp3[Comparable '#3 Dates],0)),"-")</f>
        <v>89.2</v>
      </c>
      <c r="R686" s="22">
        <f>IF(Benchmark1[[#This Row],[Comparable '#3 Date Check]]="Pass",INDEX(Comp3[Comparable '#3 Return],MATCH(Benchmark1[[#This Row],[Benchmark '#1 Dates]],Comp3[Comparable '#3 Dates],0)),"-")</f>
        <v>1.8100041643617937E-2</v>
      </c>
      <c r="S686" s="1">
        <f>IFERROR(IF(Benchmark1[[#This Row],[Comparable '#3 Date Check]]="Pass",Benchmark1[[#This Row],[Comparable '#3 Return]]-Benchmark1[[#This Row],[Benchmark '#1 Return]],"-"),"-")</f>
        <v>2.3580771030181968E-2</v>
      </c>
    </row>
    <row r="687" spans="1:19">
      <c r="A687" s="103">
        <v>44280</v>
      </c>
      <c r="B687" s="104">
        <v>3909.5155083340328</v>
      </c>
      <c r="C687" s="4">
        <f t="shared" si="10"/>
        <v>5.2248921898704675E-3</v>
      </c>
      <c r="D687" s="1" t="str">
        <f>IF(COUNTIF(Target1[Target Dates],Benchmark1[[#This Row],[Benchmark '#1 Dates]])=1,"Pass","Fail")</f>
        <v>Pass</v>
      </c>
      <c r="E687" s="6">
        <f>IF(Benchmark1[[#This Row],[Target Date Check]]="Pass",INDEX(Target1[Target Price],MATCH(Benchmark1[[#This Row],[Benchmark '#1 Dates]],Target1[Target Dates],0)),"-")</f>
        <v>30.9</v>
      </c>
      <c r="F687" s="22">
        <f>IF(Benchmark1[[#This Row],[Target Date Check]]="Pass",INDEX(Target1[Target Return],MATCH(Benchmark1[[#This Row],[Benchmark '#1 Dates]],Target1[Target Dates],0)),"-")</f>
        <v>9.0370941638301672E-2</v>
      </c>
      <c r="G687" s="1">
        <f>IFERROR(IF(Benchmark1[[#This Row],[Target Date Check]]="Pass",Benchmark1[[#This Row],[Target Return]]-Benchmark1[[#This Row],[Benchmark '#1 Return]],"-"),"-")</f>
        <v>8.514604944843121E-2</v>
      </c>
      <c r="H687" s="1" t="str">
        <f>IF(COUNTIF(Comp1[Comparable '#1 Dates],Benchmark1[[#This Row],[Benchmark '#1 Dates]])=1,"Pass","Fail")</f>
        <v>Pass</v>
      </c>
      <c r="I687" s="6">
        <f>IF(Benchmark1[[#This Row],[Comparable '#1 Date Check]]="Pass",INDEX(Comp1[Comparable '#1 Price],MATCH(Benchmark1[[#This Row],[Benchmark '#1 Dates]],Comp1[Comparable '#1 Dates],0)),"-")</f>
        <v>13.59</v>
      </c>
      <c r="J687" s="22">
        <f>IF(Benchmark1[[#This Row],[Comparable '#1 Date Check]]="Pass",INDEX(Comp1[Comparable '#1 Return],MATCH(Benchmark1[[#This Row],[Benchmark '#1 Dates]],Comp1[Comparable '#1 Dates],0)),"-")</f>
        <v>-2.9390175453889605E-3</v>
      </c>
      <c r="K687" s="1">
        <f>IFERROR(IF(Benchmark1[[#This Row],[Comparable '#1 Date Check]]="Pass",Benchmark1[[#This Row],[Comparable '#1 Return]]-Benchmark1[[#This Row],[Benchmark '#1 Return]],"-"),"-")</f>
        <v>-8.1639097352594284E-3</v>
      </c>
      <c r="L687" s="1" t="str">
        <f>IF(COUNTIF(Comp2[Comparable '#2 Dates],Benchmark1[[#This Row],[Benchmark '#1 Dates]])=1,"Pass","Fail")</f>
        <v>Pass</v>
      </c>
      <c r="M687" s="6">
        <f>IF(Benchmark1[[#This Row],[Comparable '#2 Date Check]]="Pass",INDEX(Comp2[Comparable '#2 Price],MATCH(Benchmark1[[#This Row],[Benchmark '#1 Dates]],Comp2[Comparable '#2 Dates],0)),"-")</f>
        <v>40.06</v>
      </c>
      <c r="N687" s="22">
        <f>IF(Benchmark1[[#This Row],[Comparable '#2 Date Check]]="Pass",INDEX(Comp2[Comparable '#2 Return],MATCH(Benchmark1[[#This Row],[Benchmark '#1 Dates]],Comp2[Comparable '#2 Dates],0)),"-")</f>
        <v>3.8681667251452036E-2</v>
      </c>
      <c r="O687" s="1">
        <f>IFERROR(IF(Benchmark1[[#This Row],[Comparable '#2 Date Check]]="Pass",Benchmark1[[#This Row],[Comparable '#2 Return]]-Benchmark1[[#This Row],[Benchmark '#1 Return]],"-"),"-")</f>
        <v>3.3456775061581567E-2</v>
      </c>
      <c r="P687" s="1" t="str">
        <f>IF(COUNTIF(Comp3[Comparable '#3 Dates],Benchmark1[[#This Row],[Benchmark '#1 Dates]])=1,"Pass","Fail")</f>
        <v>Pass</v>
      </c>
      <c r="Q687" s="6">
        <f>IF(Benchmark1[[#This Row],[Comparable '#3 Date Check]]="Pass",INDEX(Comp3[Comparable '#3 Price],MATCH(Benchmark1[[#This Row],[Benchmark '#1 Dates]],Comp3[Comparable '#3 Dates],0)),"-")</f>
        <v>92.22</v>
      </c>
      <c r="R687" s="22">
        <f>IF(Benchmark1[[#This Row],[Comparable '#3 Date Check]]="Pass",INDEX(Comp3[Comparable '#3 Return],MATCH(Benchmark1[[#This Row],[Benchmark '#1 Dates]],Comp3[Comparable '#3 Dates],0)),"-")</f>
        <v>3.3295987192595758E-2</v>
      </c>
      <c r="S687" s="1">
        <f>IFERROR(IF(Benchmark1[[#This Row],[Comparable '#3 Date Check]]="Pass",Benchmark1[[#This Row],[Comparable '#3 Return]]-Benchmark1[[#This Row],[Benchmark '#1 Return]],"-"),"-")</f>
        <v>2.807109500272529E-2</v>
      </c>
    </row>
    <row r="688" spans="1:19">
      <c r="A688" s="103">
        <v>44281</v>
      </c>
      <c r="B688" s="104">
        <v>3974.5368731917033</v>
      </c>
      <c r="C688" s="4">
        <f t="shared" si="10"/>
        <v>1.6494776021940234E-2</v>
      </c>
      <c r="D688" s="1" t="str">
        <f>IF(COUNTIF(Target1[Target Dates],Benchmark1[[#This Row],[Benchmark '#1 Dates]])=1,"Pass","Fail")</f>
        <v>Pass</v>
      </c>
      <c r="E688" s="6">
        <f>IF(Benchmark1[[#This Row],[Target Date Check]]="Pass",INDEX(Target1[Target Price],MATCH(Benchmark1[[#This Row],[Benchmark '#1 Dates]],Target1[Target Dates],0)),"-")</f>
        <v>31.2</v>
      </c>
      <c r="F688" s="22">
        <f>IF(Benchmark1[[#This Row],[Target Date Check]]="Pass",INDEX(Target1[Target Return],MATCH(Benchmark1[[#This Row],[Benchmark '#1 Dates]],Target1[Target Dates],0)),"-")</f>
        <v>9.6619109117368901E-3</v>
      </c>
      <c r="G688" s="1">
        <f>IFERROR(IF(Benchmark1[[#This Row],[Target Date Check]]="Pass",Benchmark1[[#This Row],[Target Return]]-Benchmark1[[#This Row],[Benchmark '#1 Return]],"-"),"-")</f>
        <v>-6.8328651102033434E-3</v>
      </c>
      <c r="H688" s="1" t="str">
        <f>IF(COUNTIF(Comp1[Comparable '#1 Dates],Benchmark1[[#This Row],[Benchmark '#1 Dates]])=1,"Pass","Fail")</f>
        <v>Pass</v>
      </c>
      <c r="I688" s="6">
        <f>IF(Benchmark1[[#This Row],[Comparable '#1 Date Check]]="Pass",INDEX(Comp1[Comparable '#1 Price],MATCH(Benchmark1[[#This Row],[Benchmark '#1 Dates]],Comp1[Comparable '#1 Dates],0)),"-")</f>
        <v>13.96</v>
      </c>
      <c r="J688" s="22">
        <f>IF(Benchmark1[[#This Row],[Comparable '#1 Date Check]]="Pass",INDEX(Comp1[Comparable '#1 Return],MATCH(Benchmark1[[#This Row],[Benchmark '#1 Dates]],Comp1[Comparable '#1 Dates],0)),"-")</f>
        <v>2.6861869171174134E-2</v>
      </c>
      <c r="K688" s="1">
        <f>IFERROR(IF(Benchmark1[[#This Row],[Comparable '#1 Date Check]]="Pass",Benchmark1[[#This Row],[Comparable '#1 Return]]-Benchmark1[[#This Row],[Benchmark '#1 Return]],"-"),"-")</f>
        <v>1.03670931492339E-2</v>
      </c>
      <c r="L688" s="1" t="str">
        <f>IF(COUNTIF(Comp2[Comparable '#2 Dates],Benchmark1[[#This Row],[Benchmark '#1 Dates]])=1,"Pass","Fail")</f>
        <v>Pass</v>
      </c>
      <c r="M688" s="6">
        <f>IF(Benchmark1[[#This Row],[Comparable '#2 Date Check]]="Pass",INDEX(Comp2[Comparable '#2 Price],MATCH(Benchmark1[[#This Row],[Benchmark '#1 Dates]],Comp2[Comparable '#2 Dates],0)),"-")</f>
        <v>40.92</v>
      </c>
      <c r="N688" s="22">
        <f>IF(Benchmark1[[#This Row],[Comparable '#2 Date Check]]="Pass",INDEX(Comp2[Comparable '#2 Return],MATCH(Benchmark1[[#This Row],[Benchmark '#1 Dates]],Comp2[Comparable '#2 Dates],0)),"-")</f>
        <v>2.1240610845753551E-2</v>
      </c>
      <c r="O688" s="1">
        <f>IFERROR(IF(Benchmark1[[#This Row],[Comparable '#2 Date Check]]="Pass",Benchmark1[[#This Row],[Comparable '#2 Return]]-Benchmark1[[#This Row],[Benchmark '#1 Return]],"-"),"-")</f>
        <v>4.745834823813317E-3</v>
      </c>
      <c r="P688" s="1" t="str">
        <f>IF(COUNTIF(Comp3[Comparable '#3 Dates],Benchmark1[[#This Row],[Benchmark '#1 Dates]])=1,"Pass","Fail")</f>
        <v>Pass</v>
      </c>
      <c r="Q688" s="6">
        <f>IF(Benchmark1[[#This Row],[Comparable '#3 Date Check]]="Pass",INDEX(Comp3[Comparable '#3 Price],MATCH(Benchmark1[[#This Row],[Benchmark '#1 Dates]],Comp3[Comparable '#3 Dates],0)),"-")</f>
        <v>93.11</v>
      </c>
      <c r="R688" s="22">
        <f>IF(Benchmark1[[#This Row],[Comparable '#3 Date Check]]="Pass",INDEX(Comp3[Comparable '#3 Return],MATCH(Benchmark1[[#This Row],[Benchmark '#1 Dates]],Comp3[Comparable '#3 Dates],0)),"-")</f>
        <v>9.6045631218788854E-3</v>
      </c>
      <c r="S688" s="1">
        <f>IFERROR(IF(Benchmark1[[#This Row],[Comparable '#3 Date Check]]="Pass",Benchmark1[[#This Row],[Comparable '#3 Return]]-Benchmark1[[#This Row],[Benchmark '#1 Return]],"-"),"-")</f>
        <v>-6.8902129000613481E-3</v>
      </c>
    </row>
    <row r="689" spans="1:19">
      <c r="A689" s="103">
        <v>44284</v>
      </c>
      <c r="B689" s="104">
        <v>3971.0947405202883</v>
      </c>
      <c r="C689" s="4">
        <f t="shared" si="10"/>
        <v>-8.6642146379020094E-4</v>
      </c>
      <c r="D689" s="1" t="str">
        <f>IF(COUNTIF(Target1[Target Dates],Benchmark1[[#This Row],[Benchmark '#1 Dates]])=1,"Pass","Fail")</f>
        <v>Pass</v>
      </c>
      <c r="E689" s="6">
        <f>IF(Benchmark1[[#This Row],[Target Date Check]]="Pass",INDEX(Target1[Target Price],MATCH(Benchmark1[[#This Row],[Benchmark '#1 Dates]],Target1[Target Dates],0)),"-")</f>
        <v>29.05</v>
      </c>
      <c r="F689" s="22">
        <f>IF(Benchmark1[[#This Row],[Target Date Check]]="Pass",INDEX(Target1[Target Return],MATCH(Benchmark1[[#This Row],[Benchmark '#1 Dates]],Target1[Target Dates],0)),"-")</f>
        <v>-7.1399611517516406E-2</v>
      </c>
      <c r="G689" s="1">
        <f>IFERROR(IF(Benchmark1[[#This Row],[Target Date Check]]="Pass",Benchmark1[[#This Row],[Target Return]]-Benchmark1[[#This Row],[Benchmark '#1 Return]],"-"),"-")</f>
        <v>-7.05331900537262E-2</v>
      </c>
      <c r="H689" s="1" t="str">
        <f>IF(COUNTIF(Comp1[Comparable '#1 Dates],Benchmark1[[#This Row],[Benchmark '#1 Dates]])=1,"Pass","Fail")</f>
        <v>Pass</v>
      </c>
      <c r="I689" s="6">
        <f>IF(Benchmark1[[#This Row],[Comparable '#1 Date Check]]="Pass",INDEX(Comp1[Comparable '#1 Price],MATCH(Benchmark1[[#This Row],[Benchmark '#1 Dates]],Comp1[Comparable '#1 Dates],0)),"-")</f>
        <v>13.63</v>
      </c>
      <c r="J689" s="22">
        <f>IF(Benchmark1[[#This Row],[Comparable '#1 Date Check]]="Pass",INDEX(Comp1[Comparable '#1 Return],MATCH(Benchmark1[[#This Row],[Benchmark '#1 Dates]],Comp1[Comparable '#1 Dates],0)),"-")</f>
        <v>-2.3922851625785176E-2</v>
      </c>
      <c r="K689" s="1">
        <f>IFERROR(IF(Benchmark1[[#This Row],[Comparable '#1 Date Check]]="Pass",Benchmark1[[#This Row],[Comparable '#1 Return]]-Benchmark1[[#This Row],[Benchmark '#1 Return]],"-"),"-")</f>
        <v>-2.3056430161994976E-2</v>
      </c>
      <c r="L689" s="1" t="str">
        <f>IF(COUNTIF(Comp2[Comparable '#2 Dates],Benchmark1[[#This Row],[Benchmark '#1 Dates]])=1,"Pass","Fail")</f>
        <v>Pass</v>
      </c>
      <c r="M689" s="6">
        <f>IF(Benchmark1[[#This Row],[Comparable '#2 Date Check]]="Pass",INDEX(Comp2[Comparable '#2 Price],MATCH(Benchmark1[[#This Row],[Benchmark '#1 Dates]],Comp2[Comparable '#2 Dates],0)),"-")</f>
        <v>39.42</v>
      </c>
      <c r="N689" s="22">
        <f>IF(Benchmark1[[#This Row],[Comparable '#2 Date Check]]="Pass",INDEX(Comp2[Comparable '#2 Return],MATCH(Benchmark1[[#This Row],[Benchmark '#1 Dates]],Comp2[Comparable '#2 Dates],0)),"-")</f>
        <v>-3.7345639358851553E-2</v>
      </c>
      <c r="O689" s="1">
        <f>IFERROR(IF(Benchmark1[[#This Row],[Comparable '#2 Date Check]]="Pass",Benchmark1[[#This Row],[Comparable '#2 Return]]-Benchmark1[[#This Row],[Benchmark '#1 Return]],"-"),"-")</f>
        <v>-3.6479217895061353E-2</v>
      </c>
      <c r="P689" s="1" t="str">
        <f>IF(COUNTIF(Comp3[Comparable '#3 Dates],Benchmark1[[#This Row],[Benchmark '#1 Dates]])=1,"Pass","Fail")</f>
        <v>Pass</v>
      </c>
      <c r="Q689" s="6">
        <f>IF(Benchmark1[[#This Row],[Comparable '#3 Date Check]]="Pass",INDEX(Comp3[Comparable '#3 Price],MATCH(Benchmark1[[#This Row],[Benchmark '#1 Dates]],Comp3[Comparable '#3 Dates],0)),"-")</f>
        <v>90</v>
      </c>
      <c r="R689" s="22">
        <f>IF(Benchmark1[[#This Row],[Comparable '#3 Date Check]]="Pass",INDEX(Comp3[Comparable '#3 Return],MATCH(Benchmark1[[#This Row],[Benchmark '#1 Dates]],Comp3[Comparable '#3 Dates],0)),"-")</f>
        <v>-3.3971919570173335E-2</v>
      </c>
      <c r="S689" s="1">
        <f>IFERROR(IF(Benchmark1[[#This Row],[Comparable '#3 Date Check]]="Pass",Benchmark1[[#This Row],[Comparable '#3 Return]]-Benchmark1[[#This Row],[Benchmark '#1 Return]],"-"),"-")</f>
        <v>-3.3105498106383136E-2</v>
      </c>
    </row>
    <row r="690" spans="1:19">
      <c r="A690" s="103">
        <v>44285</v>
      </c>
      <c r="B690" s="104">
        <v>3958.5523348205393</v>
      </c>
      <c r="C690" s="4">
        <f t="shared" si="10"/>
        <v>-3.1634235521860714E-3</v>
      </c>
      <c r="D690" s="1" t="str">
        <f>IF(COUNTIF(Target1[Target Dates],Benchmark1[[#This Row],[Benchmark '#1 Dates]])=1,"Pass","Fail")</f>
        <v>Pass</v>
      </c>
      <c r="E690" s="6">
        <f>IF(Benchmark1[[#This Row],[Target Date Check]]="Pass",INDEX(Target1[Target Price],MATCH(Benchmark1[[#This Row],[Benchmark '#1 Dates]],Target1[Target Dates],0)),"-")</f>
        <v>29.6</v>
      </c>
      <c r="F690" s="22">
        <f>IF(Benchmark1[[#This Row],[Target Date Check]]="Pass",INDEX(Target1[Target Return],MATCH(Benchmark1[[#This Row],[Benchmark '#1 Dates]],Target1[Target Dates],0)),"-")</f>
        <v>1.8755878032094497E-2</v>
      </c>
      <c r="G690" s="1">
        <f>IFERROR(IF(Benchmark1[[#This Row],[Target Date Check]]="Pass",Benchmark1[[#This Row],[Target Return]]-Benchmark1[[#This Row],[Benchmark '#1 Return]],"-"),"-")</f>
        <v>2.1919301584280571E-2</v>
      </c>
      <c r="H690" s="1" t="str">
        <f>IF(COUNTIF(Comp1[Comparable '#1 Dates],Benchmark1[[#This Row],[Benchmark '#1 Dates]])=1,"Pass","Fail")</f>
        <v>Pass</v>
      </c>
      <c r="I690" s="6">
        <f>IF(Benchmark1[[#This Row],[Comparable '#1 Date Check]]="Pass",INDEX(Comp1[Comparable '#1 Price],MATCH(Benchmark1[[#This Row],[Benchmark '#1 Dates]],Comp1[Comparable '#1 Dates],0)),"-")</f>
        <v>13.68</v>
      </c>
      <c r="J690" s="22">
        <f>IF(Benchmark1[[#This Row],[Comparable '#1 Date Check]]="Pass",INDEX(Comp1[Comparable '#1 Return],MATCH(Benchmark1[[#This Row],[Benchmark '#1 Dates]],Comp1[Comparable '#1 Dates],0)),"-")</f>
        <v>3.6616664859631738E-3</v>
      </c>
      <c r="K690" s="1">
        <f>IFERROR(IF(Benchmark1[[#This Row],[Comparable '#1 Date Check]]="Pass",Benchmark1[[#This Row],[Comparable '#1 Return]]-Benchmark1[[#This Row],[Benchmark '#1 Return]],"-"),"-")</f>
        <v>6.8250900381492449E-3</v>
      </c>
      <c r="L690" s="1" t="str">
        <f>IF(COUNTIF(Comp2[Comparable '#2 Dates],Benchmark1[[#This Row],[Benchmark '#1 Dates]])=1,"Pass","Fail")</f>
        <v>Pass</v>
      </c>
      <c r="M690" s="6">
        <f>IF(Benchmark1[[#This Row],[Comparable '#2 Date Check]]="Pass",INDEX(Comp2[Comparable '#2 Price],MATCH(Benchmark1[[#This Row],[Benchmark '#1 Dates]],Comp2[Comparable '#2 Dates],0)),"-")</f>
        <v>39.119999999999997</v>
      </c>
      <c r="N690" s="22">
        <f>IF(Benchmark1[[#This Row],[Comparable '#2 Date Check]]="Pass",INDEX(Comp2[Comparable '#2 Return],MATCH(Benchmark1[[#This Row],[Benchmark '#1 Dates]],Comp2[Comparable '#2 Dates],0)),"-")</f>
        <v>-7.6394565579576143E-3</v>
      </c>
      <c r="O690" s="1">
        <f>IFERROR(IF(Benchmark1[[#This Row],[Comparable '#2 Date Check]]="Pass",Benchmark1[[#This Row],[Comparable '#2 Return]]-Benchmark1[[#This Row],[Benchmark '#1 Return]],"-"),"-")</f>
        <v>-4.4760330057715429E-3</v>
      </c>
      <c r="P690" s="1" t="str">
        <f>IF(COUNTIF(Comp3[Comparable '#3 Dates],Benchmark1[[#This Row],[Benchmark '#1 Dates]])=1,"Pass","Fail")</f>
        <v>Pass</v>
      </c>
      <c r="Q690" s="6">
        <f>IF(Benchmark1[[#This Row],[Comparable '#3 Date Check]]="Pass",INDEX(Comp3[Comparable '#3 Price],MATCH(Benchmark1[[#This Row],[Benchmark '#1 Dates]],Comp3[Comparable '#3 Dates],0)),"-")</f>
        <v>91.01</v>
      </c>
      <c r="R690" s="22">
        <f>IF(Benchmark1[[#This Row],[Comparable '#3 Date Check]]="Pass",INDEX(Comp3[Comparable '#3 Return],MATCH(Benchmark1[[#This Row],[Benchmark '#1 Dates]],Comp3[Comparable '#3 Dates],0)),"-")</f>
        <v>1.1159720258999282E-2</v>
      </c>
      <c r="S690" s="1">
        <f>IFERROR(IF(Benchmark1[[#This Row],[Comparable '#3 Date Check]]="Pass",Benchmark1[[#This Row],[Comparable '#3 Return]]-Benchmark1[[#This Row],[Benchmark '#1 Return]],"-"),"-")</f>
        <v>1.4323143811185353E-2</v>
      </c>
    </row>
    <row r="691" spans="1:19">
      <c r="A691" s="103">
        <v>44286</v>
      </c>
      <c r="B691" s="104">
        <v>3972.8922084302517</v>
      </c>
      <c r="C691" s="4">
        <f t="shared" si="10"/>
        <v>3.615959023905619E-3</v>
      </c>
      <c r="D691" s="1" t="str">
        <f>IF(COUNTIF(Target1[Target Dates],Benchmark1[[#This Row],[Benchmark '#1 Dates]])=1,"Pass","Fail")</f>
        <v>Pass</v>
      </c>
      <c r="E691" s="6">
        <f>IF(Benchmark1[[#This Row],[Target Date Check]]="Pass",INDEX(Target1[Target Price],MATCH(Benchmark1[[#This Row],[Benchmark '#1 Dates]],Target1[Target Dates],0)),"-")</f>
        <v>30.11</v>
      </c>
      <c r="F691" s="22">
        <f>IF(Benchmark1[[#This Row],[Target Date Check]]="Pass",INDEX(Target1[Target Return],MATCH(Benchmark1[[#This Row],[Benchmark '#1 Dates]],Target1[Target Dates],0)),"-")</f>
        <v>1.7082981163627737E-2</v>
      </c>
      <c r="G691" s="1">
        <f>IFERROR(IF(Benchmark1[[#This Row],[Target Date Check]]="Pass",Benchmark1[[#This Row],[Target Return]]-Benchmark1[[#This Row],[Benchmark '#1 Return]],"-"),"-")</f>
        <v>1.3467022139722118E-2</v>
      </c>
      <c r="H691" s="1" t="str">
        <f>IF(COUNTIF(Comp1[Comparable '#1 Dates],Benchmark1[[#This Row],[Benchmark '#1 Dates]])=1,"Pass","Fail")</f>
        <v>Pass</v>
      </c>
      <c r="I691" s="6">
        <f>IF(Benchmark1[[#This Row],[Comparable '#1 Date Check]]="Pass",INDEX(Comp1[Comparable '#1 Price],MATCH(Benchmark1[[#This Row],[Benchmark '#1 Dates]],Comp1[Comparable '#1 Dates],0)),"-")</f>
        <v>13.59</v>
      </c>
      <c r="J691" s="22">
        <f>IF(Benchmark1[[#This Row],[Comparable '#1 Date Check]]="Pass",INDEX(Comp1[Comparable '#1 Return],MATCH(Benchmark1[[#This Row],[Benchmark '#1 Dates]],Comp1[Comparable '#1 Dates],0)),"-")</f>
        <v>-6.6006840313520242E-3</v>
      </c>
      <c r="K691" s="1">
        <f>IFERROR(IF(Benchmark1[[#This Row],[Comparable '#1 Date Check]]="Pass",Benchmark1[[#This Row],[Comparable '#1 Return]]-Benchmark1[[#This Row],[Benchmark '#1 Return]],"-"),"-")</f>
        <v>-1.0216643055257643E-2</v>
      </c>
      <c r="L691" s="1" t="str">
        <f>IF(COUNTIF(Comp2[Comparable '#2 Dates],Benchmark1[[#This Row],[Benchmark '#1 Dates]])=1,"Pass","Fail")</f>
        <v>Pass</v>
      </c>
      <c r="M691" s="6">
        <f>IF(Benchmark1[[#This Row],[Comparable '#2 Date Check]]="Pass",INDEX(Comp2[Comparable '#2 Price],MATCH(Benchmark1[[#This Row],[Benchmark '#1 Dates]],Comp2[Comparable '#2 Dates],0)),"-")</f>
        <v>39.54</v>
      </c>
      <c r="N691" s="22">
        <f>IF(Benchmark1[[#This Row],[Comparable '#2 Date Check]]="Pass",INDEX(Comp2[Comparable '#2 Return],MATCH(Benchmark1[[#This Row],[Benchmark '#1 Dates]],Comp2[Comparable '#2 Dates],0)),"-")</f>
        <v>1.0678972575854314E-2</v>
      </c>
      <c r="O691" s="1">
        <f>IFERROR(IF(Benchmark1[[#This Row],[Comparable '#2 Date Check]]="Pass",Benchmark1[[#This Row],[Comparable '#2 Return]]-Benchmark1[[#This Row],[Benchmark '#1 Return]],"-"),"-")</f>
        <v>7.063013551948695E-3</v>
      </c>
      <c r="P691" s="1" t="str">
        <f>IF(COUNTIF(Comp3[Comparable '#3 Dates],Benchmark1[[#This Row],[Benchmark '#1 Dates]])=1,"Pass","Fail")</f>
        <v>Pass</v>
      </c>
      <c r="Q691" s="6">
        <f>IF(Benchmark1[[#This Row],[Comparable '#3 Date Check]]="Pass",INDEX(Comp3[Comparable '#3 Price],MATCH(Benchmark1[[#This Row],[Benchmark '#1 Dates]],Comp3[Comparable '#3 Dates],0)),"-")</f>
        <v>91.91</v>
      </c>
      <c r="R691" s="22">
        <f>IF(Benchmark1[[#This Row],[Comparable '#3 Date Check]]="Pass",INDEX(Comp3[Comparable '#3 Return],MATCH(Benchmark1[[#This Row],[Benchmark '#1 Dates]],Comp3[Comparable '#3 Dates],0)),"-")</f>
        <v>9.8404467807537647E-3</v>
      </c>
      <c r="S691" s="1">
        <f>IFERROR(IF(Benchmark1[[#This Row],[Comparable '#3 Date Check]]="Pass",Benchmark1[[#This Row],[Comparable '#3 Return]]-Benchmark1[[#This Row],[Benchmark '#1 Return]],"-"),"-")</f>
        <v>6.2244877568481457E-3</v>
      </c>
    </row>
    <row r="692" spans="1:19">
      <c r="A692" s="103">
        <v>44287</v>
      </c>
      <c r="B692" s="104">
        <v>4019.8654449760584</v>
      </c>
      <c r="C692" s="4">
        <f t="shared" si="10"/>
        <v>1.1754085234218913E-2</v>
      </c>
      <c r="D692" s="1" t="str">
        <f>IF(COUNTIF(Target1[Target Dates],Benchmark1[[#This Row],[Benchmark '#1 Dates]])=1,"Pass","Fail")</f>
        <v>Pass</v>
      </c>
      <c r="E692" s="6">
        <f>IF(Benchmark1[[#This Row],[Target Date Check]]="Pass",INDEX(Target1[Target Price],MATCH(Benchmark1[[#This Row],[Benchmark '#1 Dates]],Target1[Target Dates],0)),"-")</f>
        <v>31.75</v>
      </c>
      <c r="F692" s="22">
        <f>IF(Benchmark1[[#This Row],[Target Date Check]]="Pass",INDEX(Target1[Target Return],MATCH(Benchmark1[[#This Row],[Benchmark '#1 Dates]],Target1[Target Dates],0)),"-")</f>
        <v>5.3035382845058272E-2</v>
      </c>
      <c r="G692" s="1">
        <f>IFERROR(IF(Benchmark1[[#This Row],[Target Date Check]]="Pass",Benchmark1[[#This Row],[Target Return]]-Benchmark1[[#This Row],[Benchmark '#1 Return]],"-"),"-")</f>
        <v>4.128129761083936E-2</v>
      </c>
      <c r="H692" s="1" t="str">
        <f>IF(COUNTIF(Comp1[Comparable '#1 Dates],Benchmark1[[#This Row],[Benchmark '#1 Dates]])=1,"Pass","Fail")</f>
        <v>Pass</v>
      </c>
      <c r="I692" s="6">
        <f>IF(Benchmark1[[#This Row],[Comparable '#1 Date Check]]="Pass",INDEX(Comp1[Comparable '#1 Price],MATCH(Benchmark1[[#This Row],[Benchmark '#1 Dates]],Comp1[Comparable '#1 Dates],0)),"-")</f>
        <v>13.96</v>
      </c>
      <c r="J692" s="22">
        <f>IF(Benchmark1[[#This Row],[Comparable '#1 Date Check]]="Pass",INDEX(Comp1[Comparable '#1 Return],MATCH(Benchmark1[[#This Row],[Benchmark '#1 Dates]],Comp1[Comparable '#1 Dates],0)),"-")</f>
        <v>2.6861869171174134E-2</v>
      </c>
      <c r="K692" s="1">
        <f>IFERROR(IF(Benchmark1[[#This Row],[Comparable '#1 Date Check]]="Pass",Benchmark1[[#This Row],[Comparable '#1 Return]]-Benchmark1[[#This Row],[Benchmark '#1 Return]],"-"),"-")</f>
        <v>1.5107783936955221E-2</v>
      </c>
      <c r="L692" s="1" t="str">
        <f>IF(COUNTIF(Comp2[Comparable '#2 Dates],Benchmark1[[#This Row],[Benchmark '#1 Dates]])=1,"Pass","Fail")</f>
        <v>Pass</v>
      </c>
      <c r="M692" s="6">
        <f>IF(Benchmark1[[#This Row],[Comparable '#2 Date Check]]="Pass",INDEX(Comp2[Comparable '#2 Price],MATCH(Benchmark1[[#This Row],[Benchmark '#1 Dates]],Comp2[Comparable '#2 Dates],0)),"-")</f>
        <v>40.1</v>
      </c>
      <c r="N692" s="22">
        <f>IF(Benchmark1[[#This Row],[Comparable '#2 Date Check]]="Pass",INDEX(Comp2[Comparable '#2 Return],MATCH(Benchmark1[[#This Row],[Benchmark '#1 Dates]],Comp2[Comparable '#2 Dates],0)),"-")</f>
        <v>1.4063516570052781E-2</v>
      </c>
      <c r="O692" s="1">
        <f>IFERROR(IF(Benchmark1[[#This Row],[Comparable '#2 Date Check]]="Pass",Benchmark1[[#This Row],[Comparable '#2 Return]]-Benchmark1[[#This Row],[Benchmark '#1 Return]],"-"),"-")</f>
        <v>2.3094313358338683E-3</v>
      </c>
      <c r="P692" s="1" t="str">
        <f>IF(COUNTIF(Comp3[Comparable '#3 Dates],Benchmark1[[#This Row],[Benchmark '#1 Dates]])=1,"Pass","Fail")</f>
        <v>Pass</v>
      </c>
      <c r="Q692" s="6">
        <f>IF(Benchmark1[[#This Row],[Comparable '#3 Date Check]]="Pass",INDEX(Comp3[Comparable '#3 Price],MATCH(Benchmark1[[#This Row],[Benchmark '#1 Dates]],Comp3[Comparable '#3 Dates],0)),"-")</f>
        <v>92.89</v>
      </c>
      <c r="R692" s="22">
        <f>IF(Benchmark1[[#This Row],[Comparable '#3 Date Check]]="Pass",INDEX(Comp3[Comparable '#3 Return],MATCH(Benchmark1[[#This Row],[Benchmark '#1 Dates]],Comp3[Comparable '#3 Dates],0)),"-")</f>
        <v>1.0606160029411298E-2</v>
      </c>
      <c r="S692" s="1">
        <f>IFERROR(IF(Benchmark1[[#This Row],[Comparable '#3 Date Check]]="Pass",Benchmark1[[#This Row],[Comparable '#3 Return]]-Benchmark1[[#This Row],[Benchmark '#1 Return]],"-"),"-")</f>
        <v>-1.1479252048076146E-3</v>
      </c>
    </row>
    <row r="693" spans="1:19">
      <c r="A693" s="103">
        <v>44291</v>
      </c>
      <c r="B693" s="104">
        <v>4077.9137018946781</v>
      </c>
      <c r="C693" s="4">
        <f t="shared" si="10"/>
        <v>1.4337079386720408E-2</v>
      </c>
      <c r="D693" s="1" t="str">
        <f>IF(COUNTIF(Target1[Target Dates],Benchmark1[[#This Row],[Benchmark '#1 Dates]])=1,"Pass","Fail")</f>
        <v>Pass</v>
      </c>
      <c r="E693" s="6">
        <f>IF(Benchmark1[[#This Row],[Target Date Check]]="Pass",INDEX(Target1[Target Price],MATCH(Benchmark1[[#This Row],[Benchmark '#1 Dates]],Target1[Target Dates],0)),"-")</f>
        <v>32.39</v>
      </c>
      <c r="F693" s="22">
        <f>IF(Benchmark1[[#This Row],[Target Date Check]]="Pass",INDEX(Target1[Target Return],MATCH(Benchmark1[[#This Row],[Benchmark '#1 Dates]],Target1[Target Dates],0)),"-")</f>
        <v>1.9957007844537317E-2</v>
      </c>
      <c r="G693" s="1">
        <f>IFERROR(IF(Benchmark1[[#This Row],[Target Date Check]]="Pass",Benchmark1[[#This Row],[Target Return]]-Benchmark1[[#This Row],[Benchmark '#1 Return]],"-"),"-")</f>
        <v>5.6199284578169091E-3</v>
      </c>
      <c r="H693" s="1" t="str">
        <f>IF(COUNTIF(Comp1[Comparable '#1 Dates],Benchmark1[[#This Row],[Benchmark '#1 Dates]])=1,"Pass","Fail")</f>
        <v>Pass</v>
      </c>
      <c r="I693" s="6">
        <f>IF(Benchmark1[[#This Row],[Comparable '#1 Date Check]]="Pass",INDEX(Comp1[Comparable '#1 Price],MATCH(Benchmark1[[#This Row],[Benchmark '#1 Dates]],Comp1[Comparable '#1 Dates],0)),"-")</f>
        <v>14</v>
      </c>
      <c r="J693" s="22">
        <f>IF(Benchmark1[[#This Row],[Comparable '#1 Date Check]]="Pass",INDEX(Comp1[Comparable '#1 Return],MATCH(Benchmark1[[#This Row],[Benchmark '#1 Dates]],Comp1[Comparable '#1 Dates],0)),"-")</f>
        <v>2.8612322810321949E-3</v>
      </c>
      <c r="K693" s="1">
        <f>IFERROR(IF(Benchmark1[[#This Row],[Comparable '#1 Date Check]]="Pass",Benchmark1[[#This Row],[Comparable '#1 Return]]-Benchmark1[[#This Row],[Benchmark '#1 Return]],"-"),"-")</f>
        <v>-1.1475847105688212E-2</v>
      </c>
      <c r="L693" s="1" t="str">
        <f>IF(COUNTIF(Comp2[Comparable '#2 Dates],Benchmark1[[#This Row],[Benchmark '#1 Dates]])=1,"Pass","Fail")</f>
        <v>Pass</v>
      </c>
      <c r="M693" s="6">
        <f>IF(Benchmark1[[#This Row],[Comparable '#2 Date Check]]="Pass",INDEX(Comp2[Comparable '#2 Price],MATCH(Benchmark1[[#This Row],[Benchmark '#1 Dates]],Comp2[Comparable '#2 Dates],0)),"-")</f>
        <v>40.340000000000003</v>
      </c>
      <c r="N693" s="22">
        <f>IF(Benchmark1[[#This Row],[Comparable '#2 Date Check]]="Pass",INDEX(Comp2[Comparable '#2 Return],MATCH(Benchmark1[[#This Row],[Benchmark '#1 Dates]],Comp2[Comparable '#2 Dates],0)),"-")</f>
        <v>5.9671982135422385E-3</v>
      </c>
      <c r="O693" s="1">
        <f>IFERROR(IF(Benchmark1[[#This Row],[Comparable '#2 Date Check]]="Pass",Benchmark1[[#This Row],[Comparable '#2 Return]]-Benchmark1[[#This Row],[Benchmark '#1 Return]],"-"),"-")</f>
        <v>-8.3698811731781689E-3</v>
      </c>
      <c r="P693" s="1" t="str">
        <f>IF(COUNTIF(Comp3[Comparable '#3 Dates],Benchmark1[[#This Row],[Benchmark '#1 Dates]])=1,"Pass","Fail")</f>
        <v>Pass</v>
      </c>
      <c r="Q693" s="6">
        <f>IF(Benchmark1[[#This Row],[Comparable '#3 Date Check]]="Pass",INDEX(Comp3[Comparable '#3 Price],MATCH(Benchmark1[[#This Row],[Benchmark '#1 Dates]],Comp3[Comparable '#3 Dates],0)),"-")</f>
        <v>92.44</v>
      </c>
      <c r="R693" s="22">
        <f>IF(Benchmark1[[#This Row],[Comparable '#3 Date Check]]="Pass",INDEX(Comp3[Comparable '#3 Return],MATCH(Benchmark1[[#This Row],[Benchmark '#1 Dates]],Comp3[Comparable '#3 Dates],0)),"-")</f>
        <v>-4.8562119932495261E-3</v>
      </c>
      <c r="S693" s="1">
        <f>IFERROR(IF(Benchmark1[[#This Row],[Comparable '#3 Date Check]]="Pass",Benchmark1[[#This Row],[Comparable '#3 Return]]-Benchmark1[[#This Row],[Benchmark '#1 Return]],"-"),"-")</f>
        <v>-1.9193291379969935E-2</v>
      </c>
    </row>
    <row r="694" spans="1:19">
      <c r="A694" s="103">
        <v>44292</v>
      </c>
      <c r="B694" s="104">
        <v>4073.9406675351847</v>
      </c>
      <c r="C694" s="4">
        <f t="shared" si="10"/>
        <v>-9.7475604789358961E-4</v>
      </c>
      <c r="D694" s="1" t="str">
        <f>IF(COUNTIF(Target1[Target Dates],Benchmark1[[#This Row],[Benchmark '#1 Dates]])=1,"Pass","Fail")</f>
        <v>Pass</v>
      </c>
      <c r="E694" s="6">
        <f>IF(Benchmark1[[#This Row],[Target Date Check]]="Pass",INDEX(Target1[Target Price],MATCH(Benchmark1[[#This Row],[Benchmark '#1 Dates]],Target1[Target Dates],0)),"-")</f>
        <v>32.93</v>
      </c>
      <c r="F694" s="22">
        <f>IF(Benchmark1[[#This Row],[Target Date Check]]="Pass",INDEX(Target1[Target Return],MATCH(Benchmark1[[#This Row],[Benchmark '#1 Dates]],Target1[Target Dates],0)),"-")</f>
        <v>1.6534363205035024E-2</v>
      </c>
      <c r="G694" s="1">
        <f>IFERROR(IF(Benchmark1[[#This Row],[Target Date Check]]="Pass",Benchmark1[[#This Row],[Target Return]]-Benchmark1[[#This Row],[Benchmark '#1 Return]],"-"),"-")</f>
        <v>1.7509119252928612E-2</v>
      </c>
      <c r="H694" s="1" t="str">
        <f>IF(COUNTIF(Comp1[Comparable '#1 Dates],Benchmark1[[#This Row],[Benchmark '#1 Dates]])=1,"Pass","Fail")</f>
        <v>Pass</v>
      </c>
      <c r="I694" s="6">
        <f>IF(Benchmark1[[#This Row],[Comparable '#1 Date Check]]="Pass",INDEX(Comp1[Comparable '#1 Price],MATCH(Benchmark1[[#This Row],[Benchmark '#1 Dates]],Comp1[Comparable '#1 Dates],0)),"-")</f>
        <v>13.9</v>
      </c>
      <c r="J694" s="22">
        <f>IF(Benchmark1[[#This Row],[Comparable '#1 Date Check]]="Pass",INDEX(Comp1[Comparable '#1 Return],MATCH(Benchmark1[[#This Row],[Benchmark '#1 Dates]],Comp1[Comparable '#1 Dates],0)),"-")</f>
        <v>-7.168489478612516E-3</v>
      </c>
      <c r="K694" s="1">
        <f>IFERROR(IF(Benchmark1[[#This Row],[Comparable '#1 Date Check]]="Pass",Benchmark1[[#This Row],[Comparable '#1 Return]]-Benchmark1[[#This Row],[Benchmark '#1 Return]],"-"),"-")</f>
        <v>-6.1937334307189265E-3</v>
      </c>
      <c r="L694" s="1" t="str">
        <f>IF(COUNTIF(Comp2[Comparable '#2 Dates],Benchmark1[[#This Row],[Benchmark '#1 Dates]])=1,"Pass","Fail")</f>
        <v>Pass</v>
      </c>
      <c r="M694" s="6">
        <f>IF(Benchmark1[[#This Row],[Comparable '#2 Date Check]]="Pass",INDEX(Comp2[Comparable '#2 Price],MATCH(Benchmark1[[#This Row],[Benchmark '#1 Dates]],Comp2[Comparable '#2 Dates],0)),"-")</f>
        <v>40.26</v>
      </c>
      <c r="N694" s="22">
        <f>IF(Benchmark1[[#This Row],[Comparable '#2 Date Check]]="Pass",INDEX(Comp2[Comparable '#2 Return],MATCH(Benchmark1[[#This Row],[Benchmark '#1 Dates]],Comp2[Comparable '#2 Dates],0)),"-")</f>
        <v>-1.9851123144204075E-3</v>
      </c>
      <c r="O694" s="1">
        <f>IFERROR(IF(Benchmark1[[#This Row],[Comparable '#2 Date Check]]="Pass",Benchmark1[[#This Row],[Comparable '#2 Return]]-Benchmark1[[#This Row],[Benchmark '#1 Return]],"-"),"-")</f>
        <v>-1.010356266526818E-3</v>
      </c>
      <c r="P694" s="1" t="str">
        <f>IF(COUNTIF(Comp3[Comparable '#3 Dates],Benchmark1[[#This Row],[Benchmark '#1 Dates]])=1,"Pass","Fail")</f>
        <v>Pass</v>
      </c>
      <c r="Q694" s="6">
        <f>IF(Benchmark1[[#This Row],[Comparable '#3 Date Check]]="Pass",INDEX(Comp3[Comparable '#3 Price],MATCH(Benchmark1[[#This Row],[Benchmark '#1 Dates]],Comp3[Comparable '#3 Dates],0)),"-")</f>
        <v>91.42</v>
      </c>
      <c r="R694" s="22">
        <f>IF(Benchmark1[[#This Row],[Comparable '#3 Date Check]]="Pass",INDEX(Comp3[Comparable '#3 Return],MATCH(Benchmark1[[#This Row],[Benchmark '#1 Dates]],Comp3[Comparable '#3 Dates],0)),"-")</f>
        <v>-1.1095512502581586E-2</v>
      </c>
      <c r="S694" s="1">
        <f>IFERROR(IF(Benchmark1[[#This Row],[Comparable '#3 Date Check]]="Pass",Benchmark1[[#This Row],[Comparable '#3 Return]]-Benchmark1[[#This Row],[Benchmark '#1 Return]],"-"),"-")</f>
        <v>-1.0120756454687995E-2</v>
      </c>
    </row>
    <row r="695" spans="1:19">
      <c r="A695" s="103">
        <v>44293</v>
      </c>
      <c r="B695" s="104">
        <v>4079.9529255520438</v>
      </c>
      <c r="C695" s="4">
        <f t="shared" si="10"/>
        <v>1.4746964840313499E-3</v>
      </c>
      <c r="D695" s="1" t="str">
        <f>IF(COUNTIF(Target1[Target Dates],Benchmark1[[#This Row],[Benchmark '#1 Dates]])=1,"Pass","Fail")</f>
        <v>Pass</v>
      </c>
      <c r="E695" s="6">
        <f>IF(Benchmark1[[#This Row],[Target Date Check]]="Pass",INDEX(Target1[Target Price],MATCH(Benchmark1[[#This Row],[Benchmark '#1 Dates]],Target1[Target Dates],0)),"-")</f>
        <v>32.75</v>
      </c>
      <c r="F695" s="22">
        <f>IF(Benchmark1[[#This Row],[Target Date Check]]="Pass",INDEX(Target1[Target Return],MATCH(Benchmark1[[#This Row],[Benchmark '#1 Dates]],Target1[Target Dates],0)),"-")</f>
        <v>-5.4811343070119692E-3</v>
      </c>
      <c r="G695" s="1">
        <f>IFERROR(IF(Benchmark1[[#This Row],[Target Date Check]]="Pass",Benchmark1[[#This Row],[Target Return]]-Benchmark1[[#This Row],[Benchmark '#1 Return]],"-"),"-")</f>
        <v>-6.955830791043319E-3</v>
      </c>
      <c r="H695" s="1" t="str">
        <f>IF(COUNTIF(Comp1[Comparable '#1 Dates],Benchmark1[[#This Row],[Benchmark '#1 Dates]])=1,"Pass","Fail")</f>
        <v>Pass</v>
      </c>
      <c r="I695" s="6">
        <f>IF(Benchmark1[[#This Row],[Comparable '#1 Date Check]]="Pass",INDEX(Comp1[Comparable '#1 Price],MATCH(Benchmark1[[#This Row],[Benchmark '#1 Dates]],Comp1[Comparable '#1 Dates],0)),"-")</f>
        <v>13.33</v>
      </c>
      <c r="J695" s="22">
        <f>IF(Benchmark1[[#This Row],[Comparable '#1 Date Check]]="Pass",INDEX(Comp1[Comparable '#1 Return],MATCH(Benchmark1[[#This Row],[Benchmark '#1 Dates]],Comp1[Comparable '#1 Dates],0)),"-")</f>
        <v>-4.1871705946028757E-2</v>
      </c>
      <c r="K695" s="1">
        <f>IFERROR(IF(Benchmark1[[#This Row],[Comparable '#1 Date Check]]="Pass",Benchmark1[[#This Row],[Comparable '#1 Return]]-Benchmark1[[#This Row],[Benchmark '#1 Return]],"-"),"-")</f>
        <v>-4.3346402430060105E-2</v>
      </c>
      <c r="L695" s="1" t="str">
        <f>IF(COUNTIF(Comp2[Comparable '#2 Dates],Benchmark1[[#This Row],[Benchmark '#1 Dates]])=1,"Pass","Fail")</f>
        <v>Pass</v>
      </c>
      <c r="M695" s="6">
        <f>IF(Benchmark1[[#This Row],[Comparable '#2 Date Check]]="Pass",INDEX(Comp2[Comparable '#2 Price],MATCH(Benchmark1[[#This Row],[Benchmark '#1 Dates]],Comp2[Comparable '#2 Dates],0)),"-")</f>
        <v>39.46</v>
      </c>
      <c r="N695" s="22">
        <f>IF(Benchmark1[[#This Row],[Comparable '#2 Date Check]]="Pass",INDEX(Comp2[Comparable '#2 Return],MATCH(Benchmark1[[#This Row],[Benchmark '#1 Dates]],Comp2[Comparable '#2 Dates],0)),"-")</f>
        <v>-2.0070919617176088E-2</v>
      </c>
      <c r="O695" s="1">
        <f>IFERROR(IF(Benchmark1[[#This Row],[Comparable '#2 Date Check]]="Pass",Benchmark1[[#This Row],[Comparable '#2 Return]]-Benchmark1[[#This Row],[Benchmark '#1 Return]],"-"),"-")</f>
        <v>-2.1545616101207438E-2</v>
      </c>
      <c r="P695" s="1" t="str">
        <f>IF(COUNTIF(Comp3[Comparable '#3 Dates],Benchmark1[[#This Row],[Benchmark '#1 Dates]])=1,"Pass","Fail")</f>
        <v>Pass</v>
      </c>
      <c r="Q695" s="6">
        <f>IF(Benchmark1[[#This Row],[Comparable '#3 Date Check]]="Pass",INDEX(Comp3[Comparable '#3 Price],MATCH(Benchmark1[[#This Row],[Benchmark '#1 Dates]],Comp3[Comparable '#3 Dates],0)),"-")</f>
        <v>91.86</v>
      </c>
      <c r="R695" s="22">
        <f>IF(Benchmark1[[#This Row],[Comparable '#3 Date Check]]="Pass",INDEX(Comp3[Comparable '#3 Return],MATCH(Benchmark1[[#This Row],[Benchmark '#1 Dates]],Comp3[Comparable '#3 Dates],0)),"-")</f>
        <v>4.8014059940491034E-3</v>
      </c>
      <c r="S695" s="1">
        <f>IFERROR(IF(Benchmark1[[#This Row],[Comparable '#3 Date Check]]="Pass",Benchmark1[[#This Row],[Comparable '#3 Return]]-Benchmark1[[#This Row],[Benchmark '#1 Return]],"-"),"-")</f>
        <v>3.3267095100177535E-3</v>
      </c>
    </row>
    <row r="696" spans="1:19">
      <c r="A696" s="103">
        <v>44294</v>
      </c>
      <c r="B696" s="104">
        <v>4097.1680464349456</v>
      </c>
      <c r="C696" s="4">
        <f t="shared" si="10"/>
        <v>4.210564176697784E-3</v>
      </c>
      <c r="D696" s="1" t="str">
        <f>IF(COUNTIF(Target1[Target Dates],Benchmark1[[#This Row],[Benchmark '#1 Dates]])=1,"Pass","Fail")</f>
        <v>Pass</v>
      </c>
      <c r="E696" s="6">
        <f>IF(Benchmark1[[#This Row],[Target Date Check]]="Pass",INDEX(Target1[Target Price],MATCH(Benchmark1[[#This Row],[Benchmark '#1 Dates]],Target1[Target Dates],0)),"-")</f>
        <v>34.44</v>
      </c>
      <c r="F696" s="22">
        <f>IF(Benchmark1[[#This Row],[Target Date Check]]="Pass",INDEX(Target1[Target Return],MATCH(Benchmark1[[#This Row],[Benchmark '#1 Dates]],Target1[Target Dates],0)),"-")</f>
        <v>5.0315717478269024E-2</v>
      </c>
      <c r="G696" s="1">
        <f>IFERROR(IF(Benchmark1[[#This Row],[Target Date Check]]="Pass",Benchmark1[[#This Row],[Target Return]]-Benchmark1[[#This Row],[Benchmark '#1 Return]],"-"),"-")</f>
        <v>4.6105153301571243E-2</v>
      </c>
      <c r="H696" s="1" t="str">
        <f>IF(COUNTIF(Comp1[Comparable '#1 Dates],Benchmark1[[#This Row],[Benchmark '#1 Dates]])=1,"Pass","Fail")</f>
        <v>Pass</v>
      </c>
      <c r="I696" s="6">
        <f>IF(Benchmark1[[#This Row],[Comparable '#1 Date Check]]="Pass",INDEX(Comp1[Comparable '#1 Price],MATCH(Benchmark1[[#This Row],[Benchmark '#1 Dates]],Comp1[Comparable '#1 Dates],0)),"-")</f>
        <v>13.27</v>
      </c>
      <c r="J696" s="22">
        <f>IF(Benchmark1[[#This Row],[Comparable '#1 Date Check]]="Pass",INDEX(Comp1[Comparable '#1 Return],MATCH(Benchmark1[[#This Row],[Benchmark '#1 Dates]],Comp1[Comparable '#1 Dates],0)),"-")</f>
        <v>-4.5112858465012366E-3</v>
      </c>
      <c r="K696" s="1">
        <f>IFERROR(IF(Benchmark1[[#This Row],[Comparable '#1 Date Check]]="Pass",Benchmark1[[#This Row],[Comparable '#1 Return]]-Benchmark1[[#This Row],[Benchmark '#1 Return]],"-"),"-")</f>
        <v>-8.7218500231990206E-3</v>
      </c>
      <c r="L696" s="1" t="str">
        <f>IF(COUNTIF(Comp2[Comparable '#2 Dates],Benchmark1[[#This Row],[Benchmark '#1 Dates]])=1,"Pass","Fail")</f>
        <v>Pass</v>
      </c>
      <c r="M696" s="6">
        <f>IF(Benchmark1[[#This Row],[Comparable '#2 Date Check]]="Pass",INDEX(Comp2[Comparable '#2 Price],MATCH(Benchmark1[[#This Row],[Benchmark '#1 Dates]],Comp2[Comparable '#2 Dates],0)),"-")</f>
        <v>39.880000000000003</v>
      </c>
      <c r="N696" s="22">
        <f>IF(Benchmark1[[#This Row],[Comparable '#2 Date Check]]="Pass",INDEX(Comp2[Comparable '#2 Return],MATCH(Benchmark1[[#This Row],[Benchmark '#1 Dates]],Comp2[Comparable '#2 Dates],0)),"-")</f>
        <v>1.0587444499168408E-2</v>
      </c>
      <c r="O696" s="1">
        <f>IFERROR(IF(Benchmark1[[#This Row],[Comparable '#2 Date Check]]="Pass",Benchmark1[[#This Row],[Comparable '#2 Return]]-Benchmark1[[#This Row],[Benchmark '#1 Return]],"-"),"-")</f>
        <v>6.3768803224706237E-3</v>
      </c>
      <c r="P696" s="1" t="str">
        <f>IF(COUNTIF(Comp3[Comparable '#3 Dates],Benchmark1[[#This Row],[Benchmark '#1 Dates]])=1,"Pass","Fail")</f>
        <v>Pass</v>
      </c>
      <c r="Q696" s="6">
        <f>IF(Benchmark1[[#This Row],[Comparable '#3 Date Check]]="Pass",INDEX(Comp3[Comparable '#3 Price],MATCH(Benchmark1[[#This Row],[Benchmark '#1 Dates]],Comp3[Comparable '#3 Dates],0)),"-")</f>
        <v>92.43</v>
      </c>
      <c r="R696" s="22">
        <f>IF(Benchmark1[[#This Row],[Comparable '#3 Date Check]]="Pass",INDEX(Comp3[Comparable '#3 Return],MATCH(Benchmark1[[#This Row],[Benchmark '#1 Dates]],Comp3[Comparable '#3 Dates],0)),"-")</f>
        <v>6.1859223790389434E-3</v>
      </c>
      <c r="S696" s="1">
        <f>IFERROR(IF(Benchmark1[[#This Row],[Comparable '#3 Date Check]]="Pass",Benchmark1[[#This Row],[Comparable '#3 Return]]-Benchmark1[[#This Row],[Benchmark '#1 Return]],"-"),"-")</f>
        <v>1.9753582023411594E-3</v>
      </c>
    </row>
    <row r="697" spans="1:19">
      <c r="A697" s="103">
        <v>44295</v>
      </c>
      <c r="B697" s="104">
        <v>4128.8020798496536</v>
      </c>
      <c r="C697" s="4">
        <f t="shared" si="10"/>
        <v>7.6912969228615773E-3</v>
      </c>
      <c r="D697" s="1" t="str">
        <f>IF(COUNTIF(Target1[Target Dates],Benchmark1[[#This Row],[Benchmark '#1 Dates]])=1,"Pass","Fail")</f>
        <v>Pass</v>
      </c>
      <c r="E697" s="6">
        <f>IF(Benchmark1[[#This Row],[Target Date Check]]="Pass",INDEX(Target1[Target Price],MATCH(Benchmark1[[#This Row],[Benchmark '#1 Dates]],Target1[Target Dates],0)),"-")</f>
        <v>32.92</v>
      </c>
      <c r="F697" s="22">
        <f>IF(Benchmark1[[#This Row],[Target Date Check]]="Pass",INDEX(Target1[Target Return],MATCH(Benchmark1[[#This Row],[Benchmark '#1 Dates]],Target1[Target Dates],0)),"-")</f>
        <v>-4.5138303750660844E-2</v>
      </c>
      <c r="G697" s="1">
        <f>IFERROR(IF(Benchmark1[[#This Row],[Target Date Check]]="Pass",Benchmark1[[#This Row],[Target Return]]-Benchmark1[[#This Row],[Benchmark '#1 Return]],"-"),"-")</f>
        <v>-5.2829600673522423E-2</v>
      </c>
      <c r="H697" s="1" t="str">
        <f>IF(COUNTIF(Comp1[Comparable '#1 Dates],Benchmark1[[#This Row],[Benchmark '#1 Dates]])=1,"Pass","Fail")</f>
        <v>Pass</v>
      </c>
      <c r="I697" s="6">
        <f>IF(Benchmark1[[#This Row],[Comparable '#1 Date Check]]="Pass",INDEX(Comp1[Comparable '#1 Price],MATCH(Benchmark1[[#This Row],[Benchmark '#1 Dates]],Comp1[Comparable '#1 Dates],0)),"-")</f>
        <v>13.18</v>
      </c>
      <c r="J697" s="22">
        <f>IF(Benchmark1[[#This Row],[Comparable '#1 Date Check]]="Pass",INDEX(Comp1[Comparable '#1 Return],MATCH(Benchmark1[[#This Row],[Benchmark '#1 Dates]],Comp1[Comparable '#1 Dates],0)),"-")</f>
        <v>-6.8053192697549265E-3</v>
      </c>
      <c r="K697" s="1">
        <f>IFERROR(IF(Benchmark1[[#This Row],[Comparable '#1 Date Check]]="Pass",Benchmark1[[#This Row],[Comparable '#1 Return]]-Benchmark1[[#This Row],[Benchmark '#1 Return]],"-"),"-")</f>
        <v>-1.4496616192616503E-2</v>
      </c>
      <c r="L697" s="1" t="str">
        <f>IF(COUNTIF(Comp2[Comparable '#2 Dates],Benchmark1[[#This Row],[Benchmark '#1 Dates]])=1,"Pass","Fail")</f>
        <v>Pass</v>
      </c>
      <c r="M697" s="6">
        <f>IF(Benchmark1[[#This Row],[Comparable '#2 Date Check]]="Pass",INDEX(Comp2[Comparable '#2 Price],MATCH(Benchmark1[[#This Row],[Benchmark '#1 Dates]],Comp2[Comparable '#2 Dates],0)),"-")</f>
        <v>39.36</v>
      </c>
      <c r="N697" s="22">
        <f>IF(Benchmark1[[#This Row],[Comparable '#2 Date Check]]="Pass",INDEX(Comp2[Comparable '#2 Return],MATCH(Benchmark1[[#This Row],[Benchmark '#1 Dates]],Comp2[Comparable '#2 Dates],0)),"-")</f>
        <v>-1.3124872909584945E-2</v>
      </c>
      <c r="O697" s="1">
        <f>IFERROR(IF(Benchmark1[[#This Row],[Comparable '#2 Date Check]]="Pass",Benchmark1[[#This Row],[Comparable '#2 Return]]-Benchmark1[[#This Row],[Benchmark '#1 Return]],"-"),"-")</f>
        <v>-2.0816169832446524E-2</v>
      </c>
      <c r="P697" s="1" t="str">
        <f>IF(COUNTIF(Comp3[Comparable '#3 Dates],Benchmark1[[#This Row],[Benchmark '#1 Dates]])=1,"Pass","Fail")</f>
        <v>Pass</v>
      </c>
      <c r="Q697" s="6">
        <f>IF(Benchmark1[[#This Row],[Comparable '#3 Date Check]]="Pass",INDEX(Comp3[Comparable '#3 Price],MATCH(Benchmark1[[#This Row],[Benchmark '#1 Dates]],Comp3[Comparable '#3 Dates],0)),"-")</f>
        <v>90.5</v>
      </c>
      <c r="R697" s="22">
        <f>IF(Benchmark1[[#This Row],[Comparable '#3 Date Check]]="Pass",INDEX(Comp3[Comparable '#3 Return],MATCH(Benchmark1[[#This Row],[Benchmark '#1 Dates]],Comp3[Comparable '#3 Dates],0)),"-")</f>
        <v>-2.1101750570805849E-2</v>
      </c>
      <c r="S697" s="1">
        <f>IFERROR(IF(Benchmark1[[#This Row],[Comparable '#3 Date Check]]="Pass",Benchmark1[[#This Row],[Comparable '#3 Return]]-Benchmark1[[#This Row],[Benchmark '#1 Return]],"-"),"-")</f>
        <v>-2.8793047493667429E-2</v>
      </c>
    </row>
    <row r="698" spans="1:19">
      <c r="A698" s="103">
        <v>44298</v>
      </c>
      <c r="B698" s="104">
        <v>4127.9932341801923</v>
      </c>
      <c r="C698" s="4">
        <f t="shared" si="10"/>
        <v>-1.9592242299490048E-4</v>
      </c>
      <c r="D698" s="1" t="str">
        <f>IF(COUNTIF(Target1[Target Dates],Benchmark1[[#This Row],[Benchmark '#1 Dates]])=1,"Pass","Fail")</f>
        <v>Pass</v>
      </c>
      <c r="E698" s="6">
        <f>IF(Benchmark1[[#This Row],[Target Date Check]]="Pass",INDEX(Target1[Target Price],MATCH(Benchmark1[[#This Row],[Benchmark '#1 Dates]],Target1[Target Dates],0)),"-")</f>
        <v>32.42</v>
      </c>
      <c r="F698" s="22">
        <f>IF(Benchmark1[[#This Row],[Target Date Check]]="Pass",INDEX(Target1[Target Return],MATCH(Benchmark1[[#This Row],[Benchmark '#1 Dates]],Target1[Target Dates],0)),"-")</f>
        <v>-1.5304859501338964E-2</v>
      </c>
      <c r="G698" s="1">
        <f>IFERROR(IF(Benchmark1[[#This Row],[Target Date Check]]="Pass",Benchmark1[[#This Row],[Target Return]]-Benchmark1[[#This Row],[Benchmark '#1 Return]],"-"),"-")</f>
        <v>-1.5108937078344063E-2</v>
      </c>
      <c r="H698" s="1" t="str">
        <f>IF(COUNTIF(Comp1[Comparable '#1 Dates],Benchmark1[[#This Row],[Benchmark '#1 Dates]])=1,"Pass","Fail")</f>
        <v>Pass</v>
      </c>
      <c r="I698" s="6">
        <f>IF(Benchmark1[[#This Row],[Comparable '#1 Date Check]]="Pass",INDEX(Comp1[Comparable '#1 Price],MATCH(Benchmark1[[#This Row],[Benchmark '#1 Dates]],Comp1[Comparable '#1 Dates],0)),"-")</f>
        <v>13.23</v>
      </c>
      <c r="J698" s="22">
        <f>IF(Benchmark1[[#This Row],[Comparable '#1 Date Check]]="Pass",INDEX(Comp1[Comparable '#1 Return],MATCH(Benchmark1[[#This Row],[Benchmark '#1 Dates]],Comp1[Comparable '#1 Dates],0)),"-")</f>
        <v>3.786449052503262E-3</v>
      </c>
      <c r="K698" s="1">
        <f>IFERROR(IF(Benchmark1[[#This Row],[Comparable '#1 Date Check]]="Pass",Benchmark1[[#This Row],[Comparable '#1 Return]]-Benchmark1[[#This Row],[Benchmark '#1 Return]],"-"),"-")</f>
        <v>3.9823714754981627E-3</v>
      </c>
      <c r="L698" s="1" t="str">
        <f>IF(COUNTIF(Comp2[Comparable '#2 Dates],Benchmark1[[#This Row],[Benchmark '#1 Dates]])=1,"Pass","Fail")</f>
        <v>Pass</v>
      </c>
      <c r="M698" s="6">
        <f>IF(Benchmark1[[#This Row],[Comparable '#2 Date Check]]="Pass",INDEX(Comp2[Comparable '#2 Price],MATCH(Benchmark1[[#This Row],[Benchmark '#1 Dates]],Comp2[Comparable '#2 Dates],0)),"-")</f>
        <v>39.369999999999997</v>
      </c>
      <c r="N698" s="22">
        <f>IF(Benchmark1[[#This Row],[Comparable '#2 Date Check]]="Pass",INDEX(Comp2[Comparable '#2 Return],MATCH(Benchmark1[[#This Row],[Benchmark '#1 Dates]],Comp2[Comparable '#2 Dates],0)),"-")</f>
        <v>2.5403277159346762E-4</v>
      </c>
      <c r="O698" s="1">
        <f>IFERROR(IF(Benchmark1[[#This Row],[Comparable '#2 Date Check]]="Pass",Benchmark1[[#This Row],[Comparable '#2 Return]]-Benchmark1[[#This Row],[Benchmark '#1 Return]],"-"),"-")</f>
        <v>4.4995519458836813E-4</v>
      </c>
      <c r="P698" s="1" t="str">
        <f>IF(COUNTIF(Comp3[Comparable '#3 Dates],Benchmark1[[#This Row],[Benchmark '#1 Dates]])=1,"Pass","Fail")</f>
        <v>Pass</v>
      </c>
      <c r="Q698" s="6">
        <f>IF(Benchmark1[[#This Row],[Comparable '#3 Date Check]]="Pass",INDEX(Comp3[Comparable '#3 Price],MATCH(Benchmark1[[#This Row],[Benchmark '#1 Dates]],Comp3[Comparable '#3 Dates],0)),"-")</f>
        <v>86.8</v>
      </c>
      <c r="R698" s="22">
        <f>IF(Benchmark1[[#This Row],[Comparable '#3 Date Check]]="Pass",INDEX(Comp3[Comparable '#3 Return],MATCH(Benchmark1[[#This Row],[Benchmark '#1 Dates]],Comp3[Comparable '#3 Dates],0)),"-")</f>
        <v>-4.1743229039576002E-2</v>
      </c>
      <c r="S698" s="1">
        <f>IFERROR(IF(Benchmark1[[#This Row],[Comparable '#3 Date Check]]="Pass",Benchmark1[[#This Row],[Comparable '#3 Return]]-Benchmark1[[#This Row],[Benchmark '#1 Return]],"-"),"-")</f>
        <v>-4.1547306616581105E-2</v>
      </c>
    </row>
    <row r="699" spans="1:19">
      <c r="A699" s="103">
        <v>44299</v>
      </c>
      <c r="B699" s="104">
        <v>4141.593759490378</v>
      </c>
      <c r="C699" s="4">
        <f t="shared" si="10"/>
        <v>3.2892906460965398E-3</v>
      </c>
      <c r="D699" s="1" t="str">
        <f>IF(COUNTIF(Target1[Target Dates],Benchmark1[[#This Row],[Benchmark '#1 Dates]])=1,"Pass","Fail")</f>
        <v>Pass</v>
      </c>
      <c r="E699" s="6">
        <f>IF(Benchmark1[[#This Row],[Target Date Check]]="Pass",INDEX(Target1[Target Price],MATCH(Benchmark1[[#This Row],[Benchmark '#1 Dates]],Target1[Target Dates],0)),"-")</f>
        <v>32.32</v>
      </c>
      <c r="F699" s="22">
        <f>IF(Benchmark1[[#This Row],[Target Date Check]]="Pass",INDEX(Target1[Target Return],MATCH(Benchmark1[[#This Row],[Benchmark '#1 Dates]],Target1[Target Dates],0)),"-")</f>
        <v>-3.0892826546354878E-3</v>
      </c>
      <c r="G699" s="1">
        <f>IFERROR(IF(Benchmark1[[#This Row],[Target Date Check]]="Pass",Benchmark1[[#This Row],[Target Return]]-Benchmark1[[#This Row],[Benchmark '#1 Return]],"-"),"-")</f>
        <v>-6.3785733007320281E-3</v>
      </c>
      <c r="H699" s="1" t="str">
        <f>IF(COUNTIF(Comp1[Comparable '#1 Dates],Benchmark1[[#This Row],[Benchmark '#1 Dates]])=1,"Pass","Fail")</f>
        <v>Pass</v>
      </c>
      <c r="I699" s="6">
        <f>IF(Benchmark1[[#This Row],[Comparable '#1 Date Check]]="Pass",INDEX(Comp1[Comparable '#1 Price],MATCH(Benchmark1[[#This Row],[Benchmark '#1 Dates]],Comp1[Comparable '#1 Dates],0)),"-")</f>
        <v>13.04</v>
      </c>
      <c r="J699" s="22">
        <f>IF(Benchmark1[[#This Row],[Comparable '#1 Date Check]]="Pass",INDEX(Comp1[Comparable '#1 Return],MATCH(Benchmark1[[#This Row],[Benchmark '#1 Dates]],Comp1[Comparable '#1 Dates],0)),"-")</f>
        <v>-1.4465421628357527E-2</v>
      </c>
      <c r="K699" s="1">
        <f>IFERROR(IF(Benchmark1[[#This Row],[Comparable '#1 Date Check]]="Pass",Benchmark1[[#This Row],[Comparable '#1 Return]]-Benchmark1[[#This Row],[Benchmark '#1 Return]],"-"),"-")</f>
        <v>-1.7754712274454066E-2</v>
      </c>
      <c r="L699" s="1" t="str">
        <f>IF(COUNTIF(Comp2[Comparable '#2 Dates],Benchmark1[[#This Row],[Benchmark '#1 Dates]])=1,"Pass","Fail")</f>
        <v>Pass</v>
      </c>
      <c r="M699" s="6">
        <f>IF(Benchmark1[[#This Row],[Comparable '#2 Date Check]]="Pass",INDEX(Comp2[Comparable '#2 Price],MATCH(Benchmark1[[#This Row],[Benchmark '#1 Dates]],Comp2[Comparable '#2 Dates],0)),"-")</f>
        <v>38.85</v>
      </c>
      <c r="N699" s="22">
        <f>IF(Benchmark1[[#This Row],[Comparable '#2 Date Check]]="Pass",INDEX(Comp2[Comparable '#2 Return],MATCH(Benchmark1[[#This Row],[Benchmark '#1 Dates]],Comp2[Comparable '#2 Dates],0)),"-")</f>
        <v>-1.3296028141989658E-2</v>
      </c>
      <c r="O699" s="1">
        <f>IFERROR(IF(Benchmark1[[#This Row],[Comparable '#2 Date Check]]="Pass",Benchmark1[[#This Row],[Comparable '#2 Return]]-Benchmark1[[#This Row],[Benchmark '#1 Return]],"-"),"-")</f>
        <v>-1.6585318788086199E-2</v>
      </c>
      <c r="P699" s="1" t="str">
        <f>IF(COUNTIF(Comp3[Comparable '#3 Dates],Benchmark1[[#This Row],[Benchmark '#1 Dates]])=1,"Pass","Fail")</f>
        <v>Pass</v>
      </c>
      <c r="Q699" s="6">
        <f>IF(Benchmark1[[#This Row],[Comparable '#3 Date Check]]="Pass",INDEX(Comp3[Comparable '#3 Price],MATCH(Benchmark1[[#This Row],[Benchmark '#1 Dates]],Comp3[Comparable '#3 Dates],0)),"-")</f>
        <v>87.2</v>
      </c>
      <c r="R699" s="22">
        <f>IF(Benchmark1[[#This Row],[Comparable '#3 Date Check]]="Pass",INDEX(Comp3[Comparable '#3 Return],MATCH(Benchmark1[[#This Row],[Benchmark '#1 Dates]],Comp3[Comparable '#3 Dates],0)),"-")</f>
        <v>4.5977092486295494E-3</v>
      </c>
      <c r="S699" s="1">
        <f>IFERROR(IF(Benchmark1[[#This Row],[Comparable '#3 Date Check]]="Pass",Benchmark1[[#This Row],[Comparable '#3 Return]]-Benchmark1[[#This Row],[Benchmark '#1 Return]],"-"),"-")</f>
        <v>1.3084186025330096E-3</v>
      </c>
    </row>
    <row r="700" spans="1:19">
      <c r="A700" s="103">
        <v>44300</v>
      </c>
      <c r="B700" s="104">
        <v>4124.6606296957179</v>
      </c>
      <c r="C700" s="4">
        <f t="shared" si="10"/>
        <v>-4.096935004043979E-3</v>
      </c>
      <c r="D700" s="1" t="str">
        <f>IF(COUNTIF(Target1[Target Dates],Benchmark1[[#This Row],[Benchmark '#1 Dates]])=1,"Pass","Fail")</f>
        <v>Pass</v>
      </c>
      <c r="E700" s="6">
        <f>IF(Benchmark1[[#This Row],[Target Date Check]]="Pass",INDEX(Target1[Target Price],MATCH(Benchmark1[[#This Row],[Benchmark '#1 Dates]],Target1[Target Dates],0)),"-")</f>
        <v>31.66</v>
      </c>
      <c r="F700" s="22">
        <f>IF(Benchmark1[[#This Row],[Target Date Check]]="Pass",INDEX(Target1[Target Return],MATCH(Benchmark1[[#This Row],[Benchmark '#1 Dates]],Target1[Target Dates],0)),"-")</f>
        <v>-2.0632179200028501E-2</v>
      </c>
      <c r="G700" s="1">
        <f>IFERROR(IF(Benchmark1[[#This Row],[Target Date Check]]="Pass",Benchmark1[[#This Row],[Target Return]]-Benchmark1[[#This Row],[Benchmark '#1 Return]],"-"),"-")</f>
        <v>-1.6535244195984521E-2</v>
      </c>
      <c r="H700" s="1" t="str">
        <f>IF(COUNTIF(Comp1[Comparable '#1 Dates],Benchmark1[[#This Row],[Benchmark '#1 Dates]])=1,"Pass","Fail")</f>
        <v>Pass</v>
      </c>
      <c r="I700" s="6">
        <f>IF(Benchmark1[[#This Row],[Comparable '#1 Date Check]]="Pass",INDEX(Comp1[Comparable '#1 Price],MATCH(Benchmark1[[#This Row],[Benchmark '#1 Dates]],Comp1[Comparable '#1 Dates],0)),"-")</f>
        <v>13.08</v>
      </c>
      <c r="J700" s="22">
        <f>IF(Benchmark1[[#This Row],[Comparable '#1 Date Check]]="Pass",INDEX(Comp1[Comparable '#1 Return],MATCH(Benchmark1[[#This Row],[Benchmark '#1 Dates]],Comp1[Comparable '#1 Dates],0)),"-")</f>
        <v>3.0627895305457308E-3</v>
      </c>
      <c r="K700" s="1">
        <f>IFERROR(IF(Benchmark1[[#This Row],[Comparable '#1 Date Check]]="Pass",Benchmark1[[#This Row],[Comparable '#1 Return]]-Benchmark1[[#This Row],[Benchmark '#1 Return]],"-"),"-")</f>
        <v>7.1597245345897103E-3</v>
      </c>
      <c r="L700" s="1" t="str">
        <f>IF(COUNTIF(Comp2[Comparable '#2 Dates],Benchmark1[[#This Row],[Benchmark '#1 Dates]])=1,"Pass","Fail")</f>
        <v>Pass</v>
      </c>
      <c r="M700" s="6">
        <f>IF(Benchmark1[[#This Row],[Comparable '#2 Date Check]]="Pass",INDEX(Comp2[Comparable '#2 Price],MATCH(Benchmark1[[#This Row],[Benchmark '#1 Dates]],Comp2[Comparable '#2 Dates],0)),"-")</f>
        <v>39.17</v>
      </c>
      <c r="N700" s="22">
        <f>IF(Benchmark1[[#This Row],[Comparable '#2 Date Check]]="Pass",INDEX(Comp2[Comparable '#2 Return],MATCH(Benchmark1[[#This Row],[Benchmark '#1 Dates]],Comp2[Comparable '#2 Dates],0)),"-")</f>
        <v>8.203070864083532E-3</v>
      </c>
      <c r="O700" s="1">
        <f>IFERROR(IF(Benchmark1[[#This Row],[Comparable '#2 Date Check]]="Pass",Benchmark1[[#This Row],[Comparable '#2 Return]]-Benchmark1[[#This Row],[Benchmark '#1 Return]],"-"),"-")</f>
        <v>1.230000586812751E-2</v>
      </c>
      <c r="P700" s="1" t="str">
        <f>IF(COUNTIF(Comp3[Comparable '#3 Dates],Benchmark1[[#This Row],[Benchmark '#1 Dates]])=1,"Pass","Fail")</f>
        <v>Pass</v>
      </c>
      <c r="Q700" s="6">
        <f>IF(Benchmark1[[#This Row],[Comparable '#3 Date Check]]="Pass",INDEX(Comp3[Comparable '#3 Price],MATCH(Benchmark1[[#This Row],[Benchmark '#1 Dates]],Comp3[Comparable '#3 Dates],0)),"-")</f>
        <v>85.57</v>
      </c>
      <c r="R700" s="22">
        <f>IF(Benchmark1[[#This Row],[Comparable '#3 Date Check]]="Pass",INDEX(Comp3[Comparable '#3 Return],MATCH(Benchmark1[[#This Row],[Benchmark '#1 Dates]],Comp3[Comparable '#3 Dates],0)),"-")</f>
        <v>-1.8869576484970597E-2</v>
      </c>
      <c r="S700" s="1">
        <f>IFERROR(IF(Benchmark1[[#This Row],[Comparable '#3 Date Check]]="Pass",Benchmark1[[#This Row],[Comparable '#3 Return]]-Benchmark1[[#This Row],[Benchmark '#1 Return]],"-"),"-")</f>
        <v>-1.4772641480926618E-2</v>
      </c>
    </row>
    <row r="701" spans="1:19">
      <c r="A701" s="103">
        <v>44301</v>
      </c>
      <c r="B701" s="104">
        <v>4170.4227898208164</v>
      </c>
      <c r="C701" s="4">
        <f t="shared" si="10"/>
        <v>1.1033674304253196E-2</v>
      </c>
      <c r="D701" s="1" t="str">
        <f>IF(COUNTIF(Target1[Target Dates],Benchmark1[[#This Row],[Benchmark '#1 Dates]])=1,"Pass","Fail")</f>
        <v>Pass</v>
      </c>
      <c r="E701" s="6">
        <f>IF(Benchmark1[[#This Row],[Target Date Check]]="Pass",INDEX(Target1[Target Price],MATCH(Benchmark1[[#This Row],[Benchmark '#1 Dates]],Target1[Target Dates],0)),"-")</f>
        <v>31.42</v>
      </c>
      <c r="F701" s="22">
        <f>IF(Benchmark1[[#This Row],[Target Date Check]]="Pass",INDEX(Target1[Target Return],MATCH(Benchmark1[[#This Row],[Benchmark '#1 Dates]],Target1[Target Dates],0)),"-")</f>
        <v>-7.6094216253909039E-3</v>
      </c>
      <c r="G701" s="1">
        <f>IFERROR(IF(Benchmark1[[#This Row],[Target Date Check]]="Pass",Benchmark1[[#This Row],[Target Return]]-Benchmark1[[#This Row],[Benchmark '#1 Return]],"-"),"-")</f>
        <v>-1.86430959296441E-2</v>
      </c>
      <c r="H701" s="1" t="str">
        <f>IF(COUNTIF(Comp1[Comparable '#1 Dates],Benchmark1[[#This Row],[Benchmark '#1 Dates]])=1,"Pass","Fail")</f>
        <v>Pass</v>
      </c>
      <c r="I701" s="6">
        <f>IF(Benchmark1[[#This Row],[Comparable '#1 Date Check]]="Pass",INDEX(Comp1[Comparable '#1 Price],MATCH(Benchmark1[[#This Row],[Benchmark '#1 Dates]],Comp1[Comparable '#1 Dates],0)),"-")</f>
        <v>13.34</v>
      </c>
      <c r="J701" s="22">
        <f>IF(Benchmark1[[#This Row],[Comparable '#1 Date Check]]="Pass",INDEX(Comp1[Comparable '#1 Return],MATCH(Benchmark1[[#This Row],[Benchmark '#1 Dates]],Comp1[Comparable '#1 Dates],0)),"-")</f>
        <v>1.968269445842508E-2</v>
      </c>
      <c r="K701" s="1">
        <f>IFERROR(IF(Benchmark1[[#This Row],[Comparable '#1 Date Check]]="Pass",Benchmark1[[#This Row],[Comparable '#1 Return]]-Benchmark1[[#This Row],[Benchmark '#1 Return]],"-"),"-")</f>
        <v>8.6490201541718839E-3</v>
      </c>
      <c r="L701" s="1" t="str">
        <f>IF(COUNTIF(Comp2[Comparable '#2 Dates],Benchmark1[[#This Row],[Benchmark '#1 Dates]])=1,"Pass","Fail")</f>
        <v>Pass</v>
      </c>
      <c r="M701" s="6">
        <f>IF(Benchmark1[[#This Row],[Comparable '#2 Date Check]]="Pass",INDEX(Comp2[Comparable '#2 Price],MATCH(Benchmark1[[#This Row],[Benchmark '#1 Dates]],Comp2[Comparable '#2 Dates],0)),"-")</f>
        <v>40</v>
      </c>
      <c r="N701" s="22">
        <f>IF(Benchmark1[[#This Row],[Comparable '#2 Date Check]]="Pass",INDEX(Comp2[Comparable '#2 Return],MATCH(Benchmark1[[#This Row],[Benchmark '#1 Dates]],Comp2[Comparable '#2 Dates],0)),"-")</f>
        <v>2.0968306436196398E-2</v>
      </c>
      <c r="O701" s="1">
        <f>IFERROR(IF(Benchmark1[[#This Row],[Comparable '#2 Date Check]]="Pass",Benchmark1[[#This Row],[Comparable '#2 Return]]-Benchmark1[[#This Row],[Benchmark '#1 Return]],"-"),"-")</f>
        <v>9.9346321319432017E-3</v>
      </c>
      <c r="P701" s="1" t="str">
        <f>IF(COUNTIF(Comp3[Comparable '#3 Dates],Benchmark1[[#This Row],[Benchmark '#1 Dates]])=1,"Pass","Fail")</f>
        <v>Pass</v>
      </c>
      <c r="Q701" s="6">
        <f>IF(Benchmark1[[#This Row],[Comparable '#3 Date Check]]="Pass",INDEX(Comp3[Comparable '#3 Price],MATCH(Benchmark1[[#This Row],[Benchmark '#1 Dates]],Comp3[Comparable '#3 Dates],0)),"-")</f>
        <v>86.89</v>
      </c>
      <c r="R701" s="22">
        <f>IF(Benchmark1[[#This Row],[Comparable '#3 Date Check]]="Pass",INDEX(Comp3[Comparable '#3 Return],MATCH(Benchmark1[[#This Row],[Benchmark '#1 Dates]],Comp3[Comparable '#3 Dates],0)),"-")</f>
        <v>1.5308196421151363E-2</v>
      </c>
      <c r="S701" s="1">
        <f>IFERROR(IF(Benchmark1[[#This Row],[Comparable '#3 Date Check]]="Pass",Benchmark1[[#This Row],[Comparable '#3 Return]]-Benchmark1[[#This Row],[Benchmark '#1 Return]],"-"),"-")</f>
        <v>4.2745221168981676E-3</v>
      </c>
    </row>
    <row r="702" spans="1:19">
      <c r="A702" s="103">
        <v>44302</v>
      </c>
      <c r="B702" s="104">
        <v>4185.4687107571099</v>
      </c>
      <c r="C702" s="4">
        <f t="shared" si="10"/>
        <v>3.601276344090471E-3</v>
      </c>
      <c r="D702" s="1" t="str">
        <f>IF(COUNTIF(Target1[Target Dates],Benchmark1[[#This Row],[Benchmark '#1 Dates]])=1,"Pass","Fail")</f>
        <v>Pass</v>
      </c>
      <c r="E702" s="6">
        <f>IF(Benchmark1[[#This Row],[Target Date Check]]="Pass",INDEX(Target1[Target Price],MATCH(Benchmark1[[#This Row],[Benchmark '#1 Dates]],Target1[Target Dates],0)),"-")</f>
        <v>32.340000000000003</v>
      </c>
      <c r="F702" s="22">
        <f>IF(Benchmark1[[#This Row],[Target Date Check]]="Pass",INDEX(Target1[Target Return],MATCH(Benchmark1[[#This Row],[Benchmark '#1 Dates]],Target1[Target Dates],0)),"-")</f>
        <v>2.8860221321485635E-2</v>
      </c>
      <c r="G702" s="1">
        <f>IFERROR(IF(Benchmark1[[#This Row],[Target Date Check]]="Pass",Benchmark1[[#This Row],[Target Return]]-Benchmark1[[#This Row],[Benchmark '#1 Return]],"-"),"-")</f>
        <v>2.5258944977395163E-2</v>
      </c>
      <c r="H702" s="1" t="str">
        <f>IF(COUNTIF(Comp1[Comparable '#1 Dates],Benchmark1[[#This Row],[Benchmark '#1 Dates]])=1,"Pass","Fail")</f>
        <v>Pass</v>
      </c>
      <c r="I702" s="6">
        <f>IF(Benchmark1[[#This Row],[Comparable '#1 Date Check]]="Pass",INDEX(Comp1[Comparable '#1 Price],MATCH(Benchmark1[[#This Row],[Benchmark '#1 Dates]],Comp1[Comparable '#1 Dates],0)),"-")</f>
        <v>13.42</v>
      </c>
      <c r="J702" s="22">
        <f>IF(Benchmark1[[#This Row],[Comparable '#1 Date Check]]="Pass",INDEX(Comp1[Comparable '#1 Return],MATCH(Benchmark1[[#This Row],[Benchmark '#1 Dates]],Comp1[Comparable '#1 Dates],0)),"-")</f>
        <v>5.9790910560580095E-3</v>
      </c>
      <c r="K702" s="1">
        <f>IFERROR(IF(Benchmark1[[#This Row],[Comparable '#1 Date Check]]="Pass",Benchmark1[[#This Row],[Comparable '#1 Return]]-Benchmark1[[#This Row],[Benchmark '#1 Return]],"-"),"-")</f>
        <v>2.3778147119675385E-3</v>
      </c>
      <c r="L702" s="1" t="str">
        <f>IF(COUNTIF(Comp2[Comparable '#2 Dates],Benchmark1[[#This Row],[Benchmark '#1 Dates]])=1,"Pass","Fail")</f>
        <v>Pass</v>
      </c>
      <c r="M702" s="6">
        <f>IF(Benchmark1[[#This Row],[Comparable '#2 Date Check]]="Pass",INDEX(Comp2[Comparable '#2 Price],MATCH(Benchmark1[[#This Row],[Benchmark '#1 Dates]],Comp2[Comparable '#2 Dates],0)),"-")</f>
        <v>40.020000000000003</v>
      </c>
      <c r="N702" s="22">
        <f>IF(Benchmark1[[#This Row],[Comparable '#2 Date Check]]="Pass",INDEX(Comp2[Comparable '#2 Return],MATCH(Benchmark1[[#This Row],[Benchmark '#1 Dates]],Comp2[Comparable '#2 Dates],0)),"-")</f>
        <v>4.9987504165121481E-4</v>
      </c>
      <c r="O702" s="1">
        <f>IFERROR(IF(Benchmark1[[#This Row],[Comparable '#2 Date Check]]="Pass",Benchmark1[[#This Row],[Comparable '#2 Return]]-Benchmark1[[#This Row],[Benchmark '#1 Return]],"-"),"-")</f>
        <v>-3.1014013024392561E-3</v>
      </c>
      <c r="P702" s="1" t="str">
        <f>IF(COUNTIF(Comp3[Comparable '#3 Dates],Benchmark1[[#This Row],[Benchmark '#1 Dates]])=1,"Pass","Fail")</f>
        <v>Pass</v>
      </c>
      <c r="Q702" s="6">
        <f>IF(Benchmark1[[#This Row],[Comparable '#3 Date Check]]="Pass",INDEX(Comp3[Comparable '#3 Price],MATCH(Benchmark1[[#This Row],[Benchmark '#1 Dates]],Comp3[Comparable '#3 Dates],0)),"-")</f>
        <v>89.26</v>
      </c>
      <c r="R702" s="22">
        <f>IF(Benchmark1[[#This Row],[Comparable '#3 Date Check]]="Pass",INDEX(Comp3[Comparable '#3 Return],MATCH(Benchmark1[[#This Row],[Benchmark '#1 Dates]],Comp3[Comparable '#3 Dates],0)),"-")</f>
        <v>2.6910508350009271E-2</v>
      </c>
      <c r="S702" s="1">
        <f>IFERROR(IF(Benchmark1[[#This Row],[Comparable '#3 Date Check]]="Pass",Benchmark1[[#This Row],[Comparable '#3 Return]]-Benchmark1[[#This Row],[Benchmark '#1 Return]],"-"),"-")</f>
        <v>2.3309232005918799E-2</v>
      </c>
    </row>
    <row r="703" spans="1:19">
      <c r="A703" s="103">
        <v>44305</v>
      </c>
      <c r="B703" s="104">
        <v>4163.2580954282821</v>
      </c>
      <c r="C703" s="4">
        <f t="shared" si="10"/>
        <v>-5.3207317099500757E-3</v>
      </c>
      <c r="D703" s="1" t="str">
        <f>IF(COUNTIF(Target1[Target Dates],Benchmark1[[#This Row],[Benchmark '#1 Dates]])=1,"Pass","Fail")</f>
        <v>Pass</v>
      </c>
      <c r="E703" s="6">
        <f>IF(Benchmark1[[#This Row],[Target Date Check]]="Pass",INDEX(Target1[Target Price],MATCH(Benchmark1[[#This Row],[Benchmark '#1 Dates]],Target1[Target Dates],0)),"-")</f>
        <v>30.62</v>
      </c>
      <c r="F703" s="22">
        <f>IF(Benchmark1[[#This Row],[Target Date Check]]="Pass",INDEX(Target1[Target Return],MATCH(Benchmark1[[#This Row],[Benchmark '#1 Dates]],Target1[Target Dates],0)),"-")</f>
        <v>-5.4651463919423132E-2</v>
      </c>
      <c r="G703" s="1">
        <f>IFERROR(IF(Benchmark1[[#This Row],[Target Date Check]]="Pass",Benchmark1[[#This Row],[Target Return]]-Benchmark1[[#This Row],[Benchmark '#1 Return]],"-"),"-")</f>
        <v>-4.9330732209473059E-2</v>
      </c>
      <c r="H703" s="1" t="str">
        <f>IF(COUNTIF(Comp1[Comparable '#1 Dates],Benchmark1[[#This Row],[Benchmark '#1 Dates]])=1,"Pass","Fail")</f>
        <v>Pass</v>
      </c>
      <c r="I703" s="6">
        <f>IF(Benchmark1[[#This Row],[Comparable '#1 Date Check]]="Pass",INDEX(Comp1[Comparable '#1 Price],MATCH(Benchmark1[[#This Row],[Benchmark '#1 Dates]],Comp1[Comparable '#1 Dates],0)),"-")</f>
        <v>13.06</v>
      </c>
      <c r="J703" s="22">
        <f>IF(Benchmark1[[#This Row],[Comparable '#1 Date Check]]="Pass",INDEX(Comp1[Comparable '#1 Return],MATCH(Benchmark1[[#This Row],[Benchmark '#1 Dates]],Comp1[Comparable '#1 Dates],0)),"-")</f>
        <v>-2.719200769525066E-2</v>
      </c>
      <c r="K703" s="1">
        <f>IFERROR(IF(Benchmark1[[#This Row],[Comparable '#1 Date Check]]="Pass",Benchmark1[[#This Row],[Comparable '#1 Return]]-Benchmark1[[#This Row],[Benchmark '#1 Return]],"-"),"-")</f>
        <v>-2.1871275985300583E-2</v>
      </c>
      <c r="L703" s="1" t="str">
        <f>IF(COUNTIF(Comp2[Comparable '#2 Dates],Benchmark1[[#This Row],[Benchmark '#1 Dates]])=1,"Pass","Fail")</f>
        <v>Pass</v>
      </c>
      <c r="M703" s="6">
        <f>IF(Benchmark1[[#This Row],[Comparable '#2 Date Check]]="Pass",INDEX(Comp2[Comparable '#2 Price],MATCH(Benchmark1[[#This Row],[Benchmark '#1 Dates]],Comp2[Comparable '#2 Dates],0)),"-")</f>
        <v>39.85</v>
      </c>
      <c r="N703" s="22">
        <f>IF(Benchmark1[[#This Row],[Comparable '#2 Date Check]]="Pass",INDEX(Comp2[Comparable '#2 Return],MATCH(Benchmark1[[#This Row],[Benchmark '#1 Dates]],Comp2[Comparable '#2 Dates],0)),"-")</f>
        <v>-4.2569239193633703E-3</v>
      </c>
      <c r="O703" s="1">
        <f>IFERROR(IF(Benchmark1[[#This Row],[Comparable '#2 Date Check]]="Pass",Benchmark1[[#This Row],[Comparable '#2 Return]]-Benchmark1[[#This Row],[Benchmark '#1 Return]],"-"),"-")</f>
        <v>1.0638077905867054E-3</v>
      </c>
      <c r="P703" s="1" t="str">
        <f>IF(COUNTIF(Comp3[Comparable '#3 Dates],Benchmark1[[#This Row],[Benchmark '#1 Dates]])=1,"Pass","Fail")</f>
        <v>Pass</v>
      </c>
      <c r="Q703" s="6">
        <f>IF(Benchmark1[[#This Row],[Comparable '#3 Date Check]]="Pass",INDEX(Comp3[Comparable '#3 Price],MATCH(Benchmark1[[#This Row],[Benchmark '#1 Dates]],Comp3[Comparable '#3 Dates],0)),"-")</f>
        <v>85.92</v>
      </c>
      <c r="R703" s="22">
        <f>IF(Benchmark1[[#This Row],[Comparable '#3 Date Check]]="Pass",INDEX(Comp3[Comparable '#3 Return],MATCH(Benchmark1[[#This Row],[Benchmark '#1 Dates]],Comp3[Comparable '#3 Dates],0)),"-")</f>
        <v>-3.8136828440569301E-2</v>
      </c>
      <c r="S703" s="1">
        <f>IFERROR(IF(Benchmark1[[#This Row],[Comparable '#3 Date Check]]="Pass",Benchmark1[[#This Row],[Comparable '#3 Return]]-Benchmark1[[#This Row],[Benchmark '#1 Return]],"-"),"-")</f>
        <v>-3.2816096730619228E-2</v>
      </c>
    </row>
    <row r="704" spans="1:19">
      <c r="A704" s="103">
        <v>44306</v>
      </c>
      <c r="B704" s="104">
        <v>4134.9394248632152</v>
      </c>
      <c r="C704" s="4">
        <f t="shared" si="10"/>
        <v>-6.8252847513019556E-3</v>
      </c>
      <c r="D704" s="1" t="str">
        <f>IF(COUNTIF(Target1[Target Dates],Benchmark1[[#This Row],[Benchmark '#1 Dates]])=1,"Pass","Fail")</f>
        <v>Pass</v>
      </c>
      <c r="E704" s="6">
        <f>IF(Benchmark1[[#This Row],[Target Date Check]]="Pass",INDEX(Target1[Target Price],MATCH(Benchmark1[[#This Row],[Benchmark '#1 Dates]],Target1[Target Dates],0)),"-")</f>
        <v>30.51</v>
      </c>
      <c r="F704" s="22">
        <f>IF(Benchmark1[[#This Row],[Target Date Check]]="Pass",INDEX(Target1[Target Return],MATCH(Benchmark1[[#This Row],[Benchmark '#1 Dates]],Target1[Target Dates],0)),"-")</f>
        <v>-3.5988915009594357E-3</v>
      </c>
      <c r="G704" s="1">
        <f>IFERROR(IF(Benchmark1[[#This Row],[Target Date Check]]="Pass",Benchmark1[[#This Row],[Target Return]]-Benchmark1[[#This Row],[Benchmark '#1 Return]],"-"),"-")</f>
        <v>3.2263932503425199E-3</v>
      </c>
      <c r="H704" s="1" t="str">
        <f>IF(COUNTIF(Comp1[Comparable '#1 Dates],Benchmark1[[#This Row],[Benchmark '#1 Dates]])=1,"Pass","Fail")</f>
        <v>Pass</v>
      </c>
      <c r="I704" s="6">
        <f>IF(Benchmark1[[#This Row],[Comparable '#1 Date Check]]="Pass",INDEX(Comp1[Comparable '#1 Price],MATCH(Benchmark1[[#This Row],[Benchmark '#1 Dates]],Comp1[Comparable '#1 Dates],0)),"-")</f>
        <v>12.86</v>
      </c>
      <c r="J704" s="22">
        <f>IF(Benchmark1[[#This Row],[Comparable '#1 Date Check]]="Pass",INDEX(Comp1[Comparable '#1 Return],MATCH(Benchmark1[[#This Row],[Benchmark '#1 Dates]],Comp1[Comparable '#1 Dates],0)),"-")</f>
        <v>-1.5432405038811752E-2</v>
      </c>
      <c r="K704" s="1">
        <f>IFERROR(IF(Benchmark1[[#This Row],[Comparable '#1 Date Check]]="Pass",Benchmark1[[#This Row],[Comparable '#1 Return]]-Benchmark1[[#This Row],[Benchmark '#1 Return]],"-"),"-")</f>
        <v>-8.6071202875097966E-3</v>
      </c>
      <c r="L704" s="1" t="str">
        <f>IF(COUNTIF(Comp2[Comparable '#2 Dates],Benchmark1[[#This Row],[Benchmark '#1 Dates]])=1,"Pass","Fail")</f>
        <v>Pass</v>
      </c>
      <c r="M704" s="6">
        <f>IF(Benchmark1[[#This Row],[Comparable '#2 Date Check]]="Pass",INDEX(Comp2[Comparable '#2 Price],MATCH(Benchmark1[[#This Row],[Benchmark '#1 Dates]],Comp2[Comparable '#2 Dates],0)),"-")</f>
        <v>38.94</v>
      </c>
      <c r="N704" s="22">
        <f>IF(Benchmark1[[#This Row],[Comparable '#2 Date Check]]="Pass",INDEX(Comp2[Comparable '#2 Return],MATCH(Benchmark1[[#This Row],[Benchmark '#1 Dates]],Comp2[Comparable '#2 Dates],0)),"-")</f>
        <v>-2.3100405292170528E-2</v>
      </c>
      <c r="O704" s="1">
        <f>IFERROR(IF(Benchmark1[[#This Row],[Comparable '#2 Date Check]]="Pass",Benchmark1[[#This Row],[Comparable '#2 Return]]-Benchmark1[[#This Row],[Benchmark '#1 Return]],"-"),"-")</f>
        <v>-1.6275120540868573E-2</v>
      </c>
      <c r="P704" s="1" t="str">
        <f>IF(COUNTIF(Comp3[Comparable '#3 Dates],Benchmark1[[#This Row],[Benchmark '#1 Dates]])=1,"Pass","Fail")</f>
        <v>Pass</v>
      </c>
      <c r="Q704" s="6">
        <f>IF(Benchmark1[[#This Row],[Comparable '#3 Date Check]]="Pass",INDEX(Comp3[Comparable '#3 Price],MATCH(Benchmark1[[#This Row],[Benchmark '#1 Dates]],Comp3[Comparable '#3 Dates],0)),"-")</f>
        <v>86.24</v>
      </c>
      <c r="R704" s="22">
        <f>IF(Benchmark1[[#This Row],[Comparable '#3 Date Check]]="Pass",INDEX(Comp3[Comparable '#3 Return],MATCH(Benchmark1[[#This Row],[Benchmark '#1 Dates]],Comp3[Comparable '#3 Dates],0)),"-")</f>
        <v>3.7174764001323521E-3</v>
      </c>
      <c r="S704" s="1">
        <f>IFERROR(IF(Benchmark1[[#This Row],[Comparable '#3 Date Check]]="Pass",Benchmark1[[#This Row],[Comparable '#3 Return]]-Benchmark1[[#This Row],[Benchmark '#1 Return]],"-"),"-")</f>
        <v>1.0542761151434307E-2</v>
      </c>
    </row>
    <row r="705" spans="1:19">
      <c r="A705" s="103">
        <v>44307</v>
      </c>
      <c r="B705" s="104">
        <v>4173.4215589629821</v>
      </c>
      <c r="C705" s="4">
        <f t="shared" si="10"/>
        <v>9.2635381066560295E-3</v>
      </c>
      <c r="D705" s="1" t="str">
        <f>IF(COUNTIF(Target1[Target Dates],Benchmark1[[#This Row],[Benchmark '#1 Dates]])=1,"Pass","Fail")</f>
        <v>Pass</v>
      </c>
      <c r="E705" s="6">
        <f>IF(Benchmark1[[#This Row],[Target Date Check]]="Pass",INDEX(Target1[Target Price],MATCH(Benchmark1[[#This Row],[Benchmark '#1 Dates]],Target1[Target Dates],0)),"-")</f>
        <v>30</v>
      </c>
      <c r="F705" s="22">
        <f>IF(Benchmark1[[#This Row],[Target Date Check]]="Pass",INDEX(Target1[Target Return],MATCH(Benchmark1[[#This Row],[Benchmark '#1 Dates]],Target1[Target Dates],0)),"-")</f>
        <v>-1.6857117066422952E-2</v>
      </c>
      <c r="G705" s="1">
        <f>IFERROR(IF(Benchmark1[[#This Row],[Target Date Check]]="Pass",Benchmark1[[#This Row],[Target Return]]-Benchmark1[[#This Row],[Benchmark '#1 Return]],"-"),"-")</f>
        <v>-2.6120655173078981E-2</v>
      </c>
      <c r="H705" s="1" t="str">
        <f>IF(COUNTIF(Comp1[Comparable '#1 Dates],Benchmark1[[#This Row],[Benchmark '#1 Dates]])=1,"Pass","Fail")</f>
        <v>Pass</v>
      </c>
      <c r="I705" s="6">
        <f>IF(Benchmark1[[#This Row],[Comparable '#1 Date Check]]="Pass",INDEX(Comp1[Comparable '#1 Price],MATCH(Benchmark1[[#This Row],[Benchmark '#1 Dates]],Comp1[Comparable '#1 Dates],0)),"-")</f>
        <v>12.85</v>
      </c>
      <c r="J705" s="22">
        <f>IF(Benchmark1[[#This Row],[Comparable '#1 Date Check]]="Pass",INDEX(Comp1[Comparable '#1 Return],MATCH(Benchmark1[[#This Row],[Benchmark '#1 Dates]],Comp1[Comparable '#1 Dates],0)),"-")</f>
        <v>-7.7790746824445926E-4</v>
      </c>
      <c r="K705" s="1">
        <f>IFERROR(IF(Benchmark1[[#This Row],[Comparable '#1 Date Check]]="Pass",Benchmark1[[#This Row],[Comparable '#1 Return]]-Benchmark1[[#This Row],[Benchmark '#1 Return]],"-"),"-")</f>
        <v>-1.0041445574900488E-2</v>
      </c>
      <c r="L705" s="1" t="str">
        <f>IF(COUNTIF(Comp2[Comparable '#2 Dates],Benchmark1[[#This Row],[Benchmark '#1 Dates]])=1,"Pass","Fail")</f>
        <v>Pass</v>
      </c>
      <c r="M705" s="6">
        <f>IF(Benchmark1[[#This Row],[Comparable '#2 Date Check]]="Pass",INDEX(Comp2[Comparable '#2 Price],MATCH(Benchmark1[[#This Row],[Benchmark '#1 Dates]],Comp2[Comparable '#2 Dates],0)),"-")</f>
        <v>38.61</v>
      </c>
      <c r="N705" s="22">
        <f>IF(Benchmark1[[#This Row],[Comparable '#2 Date Check]]="Pass",INDEX(Comp2[Comparable '#2 Return],MATCH(Benchmark1[[#This Row],[Benchmark '#1 Dates]],Comp2[Comparable '#2 Dates],0)),"-")</f>
        <v>-8.5106896679086191E-3</v>
      </c>
      <c r="O705" s="1">
        <f>IFERROR(IF(Benchmark1[[#This Row],[Comparable '#2 Date Check]]="Pass",Benchmark1[[#This Row],[Comparable '#2 Return]]-Benchmark1[[#This Row],[Benchmark '#1 Return]],"-"),"-")</f>
        <v>-1.7774227774564649E-2</v>
      </c>
      <c r="P705" s="1" t="str">
        <f>IF(COUNTIF(Comp3[Comparable '#3 Dates],Benchmark1[[#This Row],[Benchmark '#1 Dates]])=1,"Pass","Fail")</f>
        <v>Pass</v>
      </c>
      <c r="Q705" s="6">
        <f>IF(Benchmark1[[#This Row],[Comparable '#3 Date Check]]="Pass",INDEX(Comp3[Comparable '#3 Price],MATCH(Benchmark1[[#This Row],[Benchmark '#1 Dates]],Comp3[Comparable '#3 Dates],0)),"-")</f>
        <v>84.35</v>
      </c>
      <c r="R705" s="22">
        <f>IF(Benchmark1[[#This Row],[Comparable '#3 Date Check]]="Pass",INDEX(Comp3[Comparable '#3 Return],MATCH(Benchmark1[[#This Row],[Benchmark '#1 Dates]],Comp3[Comparable '#3 Dates],0)),"-")</f>
        <v>-2.2159298168709689E-2</v>
      </c>
      <c r="S705" s="1">
        <f>IFERROR(IF(Benchmark1[[#This Row],[Comparable '#3 Date Check]]="Pass",Benchmark1[[#This Row],[Comparable '#3 Return]]-Benchmark1[[#This Row],[Benchmark '#1 Return]],"-"),"-")</f>
        <v>-3.1422836275365719E-2</v>
      </c>
    </row>
    <row r="706" spans="1:19">
      <c r="A706" s="103">
        <v>44308</v>
      </c>
      <c r="B706" s="104">
        <v>4134.9816646785084</v>
      </c>
      <c r="C706" s="4">
        <f t="shared" ref="C706:C769" si="11">IFERROR(IF(B706="","-",LN(B706/B705)),"-")</f>
        <v>-9.2533228180612138E-3</v>
      </c>
      <c r="D706" s="1" t="str">
        <f>IF(COUNTIF(Target1[Target Dates],Benchmark1[[#This Row],[Benchmark '#1 Dates]])=1,"Pass","Fail")</f>
        <v>Pass</v>
      </c>
      <c r="E706" s="6">
        <f>IF(Benchmark1[[#This Row],[Target Date Check]]="Pass",INDEX(Target1[Target Price],MATCH(Benchmark1[[#This Row],[Benchmark '#1 Dates]],Target1[Target Dates],0)),"-")</f>
        <v>31.03</v>
      </c>
      <c r="F706" s="22">
        <f>IF(Benchmark1[[#This Row],[Target Date Check]]="Pass",INDEX(Target1[Target Return],MATCH(Benchmark1[[#This Row],[Benchmark '#1 Dates]],Target1[Target Dates],0)),"-")</f>
        <v>3.3757096798133449E-2</v>
      </c>
      <c r="G706" s="1">
        <f>IFERROR(IF(Benchmark1[[#This Row],[Target Date Check]]="Pass",Benchmark1[[#This Row],[Target Return]]-Benchmark1[[#This Row],[Benchmark '#1 Return]],"-"),"-")</f>
        <v>4.3010419616194659E-2</v>
      </c>
      <c r="H706" s="1" t="str">
        <f>IF(COUNTIF(Comp1[Comparable '#1 Dates],Benchmark1[[#This Row],[Benchmark '#1 Dates]])=1,"Pass","Fail")</f>
        <v>Pass</v>
      </c>
      <c r="I706" s="6">
        <f>IF(Benchmark1[[#This Row],[Comparable '#1 Date Check]]="Pass",INDEX(Comp1[Comparable '#1 Price],MATCH(Benchmark1[[#This Row],[Benchmark '#1 Dates]],Comp1[Comparable '#1 Dates],0)),"-")</f>
        <v>12.16</v>
      </c>
      <c r="J706" s="22">
        <f>IF(Benchmark1[[#This Row],[Comparable '#1 Date Check]]="Pass",INDEX(Comp1[Comparable '#1 Return],MATCH(Benchmark1[[#This Row],[Benchmark '#1 Dates]],Comp1[Comparable '#1 Dates],0)),"-")</f>
        <v>-5.5191934803207769E-2</v>
      </c>
      <c r="K706" s="1">
        <f>IFERROR(IF(Benchmark1[[#This Row],[Comparable '#1 Date Check]]="Pass",Benchmark1[[#This Row],[Comparable '#1 Return]]-Benchmark1[[#This Row],[Benchmark '#1 Return]],"-"),"-")</f>
        <v>-4.5938611985146552E-2</v>
      </c>
      <c r="L706" s="1" t="str">
        <f>IF(COUNTIF(Comp2[Comparable '#2 Dates],Benchmark1[[#This Row],[Benchmark '#1 Dates]])=1,"Pass","Fail")</f>
        <v>Pass</v>
      </c>
      <c r="M706" s="6">
        <f>IF(Benchmark1[[#This Row],[Comparable '#2 Date Check]]="Pass",INDEX(Comp2[Comparable '#2 Price],MATCH(Benchmark1[[#This Row],[Benchmark '#1 Dates]],Comp2[Comparable '#2 Dates],0)),"-")</f>
        <v>38.799999999999997</v>
      </c>
      <c r="N706" s="22">
        <f>IF(Benchmark1[[#This Row],[Comparable '#2 Date Check]]="Pass",INDEX(Comp2[Comparable '#2 Return],MATCH(Benchmark1[[#This Row],[Benchmark '#1 Dates]],Comp2[Comparable '#2 Dates],0)),"-")</f>
        <v>4.9089363530827402E-3</v>
      </c>
      <c r="O706" s="1">
        <f>IFERROR(IF(Benchmark1[[#This Row],[Comparable '#2 Date Check]]="Pass",Benchmark1[[#This Row],[Comparable '#2 Return]]-Benchmark1[[#This Row],[Benchmark '#1 Return]],"-"),"-")</f>
        <v>1.4162259171143953E-2</v>
      </c>
      <c r="P706" s="1" t="str">
        <f>IF(COUNTIF(Comp3[Comparable '#3 Dates],Benchmark1[[#This Row],[Benchmark '#1 Dates]])=1,"Pass","Fail")</f>
        <v>Pass</v>
      </c>
      <c r="Q706" s="6">
        <f>IF(Benchmark1[[#This Row],[Comparable '#3 Date Check]]="Pass",INDEX(Comp3[Comparable '#3 Price],MATCH(Benchmark1[[#This Row],[Benchmark '#1 Dates]],Comp3[Comparable '#3 Dates],0)),"-")</f>
        <v>84.86</v>
      </c>
      <c r="R706" s="22">
        <f>IF(Benchmark1[[#This Row],[Comparable '#3 Date Check]]="Pass",INDEX(Comp3[Comparable '#3 Return],MATCH(Benchmark1[[#This Row],[Benchmark '#1 Dates]],Comp3[Comparable '#3 Dates],0)),"-")</f>
        <v>6.028030782201467E-3</v>
      </c>
      <c r="S706" s="1">
        <f>IFERROR(IF(Benchmark1[[#This Row],[Comparable '#3 Date Check]]="Pass",Benchmark1[[#This Row],[Comparable '#3 Return]]-Benchmark1[[#This Row],[Benchmark '#1 Return]],"-"),"-")</f>
        <v>1.5281353600262681E-2</v>
      </c>
    </row>
    <row r="707" spans="1:19">
      <c r="A707" s="103">
        <v>44309</v>
      </c>
      <c r="B707" s="104">
        <v>4180.1673762952323</v>
      </c>
      <c r="C707" s="4">
        <f t="shared" si="11"/>
        <v>1.0868393621970184E-2</v>
      </c>
      <c r="D707" s="1" t="str">
        <f>IF(COUNTIF(Target1[Target Dates],Benchmark1[[#This Row],[Benchmark '#1 Dates]])=1,"Pass","Fail")</f>
        <v>Pass</v>
      </c>
      <c r="E707" s="6">
        <f>IF(Benchmark1[[#This Row],[Target Date Check]]="Pass",INDEX(Target1[Target Price],MATCH(Benchmark1[[#This Row],[Benchmark '#1 Dates]],Target1[Target Dates],0)),"-")</f>
        <v>31.39</v>
      </c>
      <c r="F707" s="22">
        <f>IF(Benchmark1[[#This Row],[Target Date Check]]="Pass",INDEX(Target1[Target Return],MATCH(Benchmark1[[#This Row],[Benchmark '#1 Dates]],Target1[Target Dates],0)),"-")</f>
        <v>1.1534892393573316E-2</v>
      </c>
      <c r="G707" s="1">
        <f>IFERROR(IF(Benchmark1[[#This Row],[Target Date Check]]="Pass",Benchmark1[[#This Row],[Target Return]]-Benchmark1[[#This Row],[Benchmark '#1 Return]],"-"),"-")</f>
        <v>6.6649877160313183E-4</v>
      </c>
      <c r="H707" s="1" t="str">
        <f>IF(COUNTIF(Comp1[Comparable '#1 Dates],Benchmark1[[#This Row],[Benchmark '#1 Dates]])=1,"Pass","Fail")</f>
        <v>Pass</v>
      </c>
      <c r="I707" s="6">
        <f>IF(Benchmark1[[#This Row],[Comparable '#1 Date Check]]="Pass",INDEX(Comp1[Comparable '#1 Price],MATCH(Benchmark1[[#This Row],[Benchmark '#1 Dates]],Comp1[Comparable '#1 Dates],0)),"-")</f>
        <v>12.47</v>
      </c>
      <c r="J707" s="22">
        <f>IF(Benchmark1[[#This Row],[Comparable '#1 Date Check]]="Pass",INDEX(Comp1[Comparable '#1 Return],MATCH(Benchmark1[[#This Row],[Benchmark '#1 Dates]],Comp1[Comparable '#1 Dates],0)),"-")</f>
        <v>2.517388315392419E-2</v>
      </c>
      <c r="K707" s="1">
        <f>IFERROR(IF(Benchmark1[[#This Row],[Comparable '#1 Date Check]]="Pass",Benchmark1[[#This Row],[Comparable '#1 Return]]-Benchmark1[[#This Row],[Benchmark '#1 Return]],"-"),"-")</f>
        <v>1.4305489531954006E-2</v>
      </c>
      <c r="L707" s="1" t="str">
        <f>IF(COUNTIF(Comp2[Comparable '#2 Dates],Benchmark1[[#This Row],[Benchmark '#1 Dates]])=1,"Pass","Fail")</f>
        <v>Pass</v>
      </c>
      <c r="M707" s="6">
        <f>IF(Benchmark1[[#This Row],[Comparable '#2 Date Check]]="Pass",INDEX(Comp2[Comparable '#2 Price],MATCH(Benchmark1[[#This Row],[Benchmark '#1 Dates]],Comp2[Comparable '#2 Dates],0)),"-")</f>
        <v>38.69</v>
      </c>
      <c r="N707" s="22">
        <f>IF(Benchmark1[[#This Row],[Comparable '#2 Date Check]]="Pass",INDEX(Comp2[Comparable '#2 Return],MATCH(Benchmark1[[#This Row],[Benchmark '#1 Dates]],Comp2[Comparable '#2 Dates],0)),"-")</f>
        <v>-2.8390779168061516E-3</v>
      </c>
      <c r="O707" s="1">
        <f>IFERROR(IF(Benchmark1[[#This Row],[Comparable '#2 Date Check]]="Pass",Benchmark1[[#This Row],[Comparable '#2 Return]]-Benchmark1[[#This Row],[Benchmark '#1 Return]],"-"),"-")</f>
        <v>-1.3707471538776335E-2</v>
      </c>
      <c r="P707" s="1" t="str">
        <f>IF(COUNTIF(Comp3[Comparable '#3 Dates],Benchmark1[[#This Row],[Benchmark '#1 Dates]])=1,"Pass","Fail")</f>
        <v>Pass</v>
      </c>
      <c r="Q707" s="6">
        <f>IF(Benchmark1[[#This Row],[Comparable '#3 Date Check]]="Pass",INDEX(Comp3[Comparable '#3 Price],MATCH(Benchmark1[[#This Row],[Benchmark '#1 Dates]],Comp3[Comparable '#3 Dates],0)),"-")</f>
        <v>85.43</v>
      </c>
      <c r="R707" s="22">
        <f>IF(Benchmark1[[#This Row],[Comparable '#3 Date Check]]="Pass",INDEX(Comp3[Comparable '#3 Return],MATCH(Benchmark1[[#This Row],[Benchmark '#1 Dates]],Comp3[Comparable '#3 Dates],0)),"-")</f>
        <v>6.69448738934862E-3</v>
      </c>
      <c r="S707" s="1">
        <f>IFERROR(IF(Benchmark1[[#This Row],[Comparable '#3 Date Check]]="Pass",Benchmark1[[#This Row],[Comparable '#3 Return]]-Benchmark1[[#This Row],[Benchmark '#1 Return]],"-"),"-")</f>
        <v>-4.1739062326215642E-3</v>
      </c>
    </row>
    <row r="708" spans="1:19">
      <c r="A708" s="103">
        <v>44312</v>
      </c>
      <c r="B708" s="104">
        <v>4187.6174702370981</v>
      </c>
      <c r="C708" s="4">
        <f t="shared" si="11"/>
        <v>1.7806614407607142E-3</v>
      </c>
      <c r="D708" s="1" t="str">
        <f>IF(COUNTIF(Target1[Target Dates],Benchmark1[[#This Row],[Benchmark '#1 Dates]])=1,"Pass","Fail")</f>
        <v>Pass</v>
      </c>
      <c r="E708" s="6">
        <f>IF(Benchmark1[[#This Row],[Target Date Check]]="Pass",INDEX(Target1[Target Price],MATCH(Benchmark1[[#This Row],[Benchmark '#1 Dates]],Target1[Target Dates],0)),"-")</f>
        <v>31.12</v>
      </c>
      <c r="F708" s="22">
        <f>IF(Benchmark1[[#This Row],[Target Date Check]]="Pass",INDEX(Target1[Target Return],MATCH(Benchmark1[[#This Row],[Benchmark '#1 Dates]],Target1[Target Dates],0)),"-")</f>
        <v>-8.6386715436713186E-3</v>
      </c>
      <c r="G708" s="1">
        <f>IFERROR(IF(Benchmark1[[#This Row],[Target Date Check]]="Pass",Benchmark1[[#This Row],[Target Return]]-Benchmark1[[#This Row],[Benchmark '#1 Return]],"-"),"-")</f>
        <v>-1.0419332984432032E-2</v>
      </c>
      <c r="H708" s="1" t="str">
        <f>IF(COUNTIF(Comp1[Comparable '#1 Dates],Benchmark1[[#This Row],[Benchmark '#1 Dates]])=1,"Pass","Fail")</f>
        <v>Pass</v>
      </c>
      <c r="I708" s="6">
        <f>IF(Benchmark1[[#This Row],[Comparable '#1 Date Check]]="Pass",INDEX(Comp1[Comparable '#1 Price],MATCH(Benchmark1[[#This Row],[Benchmark '#1 Dates]],Comp1[Comparable '#1 Dates],0)),"-")</f>
        <v>12.42</v>
      </c>
      <c r="J708" s="22">
        <f>IF(Benchmark1[[#This Row],[Comparable '#1 Date Check]]="Pass",INDEX(Comp1[Comparable '#1 Return],MATCH(Benchmark1[[#This Row],[Benchmark '#1 Dates]],Comp1[Comparable '#1 Dates],0)),"-")</f>
        <v>-4.0176831866124184E-3</v>
      </c>
      <c r="K708" s="1">
        <f>IFERROR(IF(Benchmark1[[#This Row],[Comparable '#1 Date Check]]="Pass",Benchmark1[[#This Row],[Comparable '#1 Return]]-Benchmark1[[#This Row],[Benchmark '#1 Return]],"-"),"-")</f>
        <v>-5.798344627373133E-3</v>
      </c>
      <c r="L708" s="1" t="str">
        <f>IF(COUNTIF(Comp2[Comparable '#2 Dates],Benchmark1[[#This Row],[Benchmark '#1 Dates]])=1,"Pass","Fail")</f>
        <v>Pass</v>
      </c>
      <c r="M708" s="6">
        <f>IF(Benchmark1[[#This Row],[Comparable '#2 Date Check]]="Pass",INDEX(Comp2[Comparable '#2 Price],MATCH(Benchmark1[[#This Row],[Benchmark '#1 Dates]],Comp2[Comparable '#2 Dates],0)),"-")</f>
        <v>38.840000000000003</v>
      </c>
      <c r="N708" s="22">
        <f>IF(Benchmark1[[#This Row],[Comparable '#2 Date Check]]="Pass",INDEX(Comp2[Comparable '#2 Return],MATCH(Benchmark1[[#This Row],[Benchmark '#1 Dates]],Comp2[Comparable '#2 Dates],0)),"-")</f>
        <v>3.8694747107027995E-3</v>
      </c>
      <c r="O708" s="1">
        <f>IFERROR(IF(Benchmark1[[#This Row],[Comparable '#2 Date Check]]="Pass",Benchmark1[[#This Row],[Comparable '#2 Return]]-Benchmark1[[#This Row],[Benchmark '#1 Return]],"-"),"-")</f>
        <v>2.0888132699420853E-3</v>
      </c>
      <c r="P708" s="1" t="str">
        <f>IF(COUNTIF(Comp3[Comparable '#3 Dates],Benchmark1[[#This Row],[Benchmark '#1 Dates]])=1,"Pass","Fail")</f>
        <v>Pass</v>
      </c>
      <c r="Q708" s="6">
        <f>IF(Benchmark1[[#This Row],[Comparable '#3 Date Check]]="Pass",INDEX(Comp3[Comparable '#3 Price],MATCH(Benchmark1[[#This Row],[Benchmark '#1 Dates]],Comp3[Comparable '#3 Dates],0)),"-")</f>
        <v>85.92</v>
      </c>
      <c r="R708" s="22">
        <f>IF(Benchmark1[[#This Row],[Comparable '#3 Date Check]]="Pass",INDEX(Comp3[Comparable '#3 Return],MATCH(Benchmark1[[#This Row],[Benchmark '#1 Dates]],Comp3[Comparable '#3 Dates],0)),"-")</f>
        <v>5.7193035970272213E-3</v>
      </c>
      <c r="S708" s="1">
        <f>IFERROR(IF(Benchmark1[[#This Row],[Comparable '#3 Date Check]]="Pass",Benchmark1[[#This Row],[Comparable '#3 Return]]-Benchmark1[[#This Row],[Benchmark '#1 Return]],"-"),"-")</f>
        <v>3.9386421562665076E-3</v>
      </c>
    </row>
    <row r="709" spans="1:19">
      <c r="A709" s="103">
        <v>44313</v>
      </c>
      <c r="B709" s="104">
        <v>4186.7182223501613</v>
      </c>
      <c r="C709" s="4">
        <f t="shared" si="11"/>
        <v>-2.147627999171113E-4</v>
      </c>
      <c r="D709" s="1" t="str">
        <f>IF(COUNTIF(Target1[Target Dates],Benchmark1[[#This Row],[Benchmark '#1 Dates]])=1,"Pass","Fail")</f>
        <v>Pass</v>
      </c>
      <c r="E709" s="6">
        <f>IF(Benchmark1[[#This Row],[Target Date Check]]="Pass",INDEX(Target1[Target Price],MATCH(Benchmark1[[#This Row],[Benchmark '#1 Dates]],Target1[Target Dates],0)),"-")</f>
        <v>30.37</v>
      </c>
      <c r="F709" s="22">
        <f>IF(Benchmark1[[#This Row],[Target Date Check]]="Pass",INDEX(Target1[Target Return],MATCH(Benchmark1[[#This Row],[Benchmark '#1 Dates]],Target1[Target Dates],0)),"-")</f>
        <v>-2.4395420252533485E-2</v>
      </c>
      <c r="G709" s="1">
        <f>IFERROR(IF(Benchmark1[[#This Row],[Target Date Check]]="Pass",Benchmark1[[#This Row],[Target Return]]-Benchmark1[[#This Row],[Benchmark '#1 Return]],"-"),"-")</f>
        <v>-2.4180657452616373E-2</v>
      </c>
      <c r="H709" s="1" t="str">
        <f>IF(COUNTIF(Comp1[Comparable '#1 Dates],Benchmark1[[#This Row],[Benchmark '#1 Dates]])=1,"Pass","Fail")</f>
        <v>Pass</v>
      </c>
      <c r="I709" s="6">
        <f>IF(Benchmark1[[#This Row],[Comparable '#1 Date Check]]="Pass",INDEX(Comp1[Comparable '#1 Price],MATCH(Benchmark1[[#This Row],[Benchmark '#1 Dates]],Comp1[Comparable '#1 Dates],0)),"-")</f>
        <v>12</v>
      </c>
      <c r="J709" s="22">
        <f>IF(Benchmark1[[#This Row],[Comparable '#1 Date Check]]="Pass",INDEX(Comp1[Comparable '#1 Return],MATCH(Benchmark1[[#This Row],[Benchmark '#1 Dates]],Comp1[Comparable '#1 Dates],0)),"-")</f>
        <v>-3.4401426717332435E-2</v>
      </c>
      <c r="K709" s="1">
        <f>IFERROR(IF(Benchmark1[[#This Row],[Comparable '#1 Date Check]]="Pass",Benchmark1[[#This Row],[Comparable '#1 Return]]-Benchmark1[[#This Row],[Benchmark '#1 Return]],"-"),"-")</f>
        <v>-3.4186663917415323E-2</v>
      </c>
      <c r="L709" s="1" t="str">
        <f>IF(COUNTIF(Comp2[Comparable '#2 Dates],Benchmark1[[#This Row],[Benchmark '#1 Dates]])=1,"Pass","Fail")</f>
        <v>Pass</v>
      </c>
      <c r="M709" s="6">
        <f>IF(Benchmark1[[#This Row],[Comparable '#2 Date Check]]="Pass",INDEX(Comp2[Comparable '#2 Price],MATCH(Benchmark1[[#This Row],[Benchmark '#1 Dates]],Comp2[Comparable '#2 Dates],0)),"-")</f>
        <v>37.94</v>
      </c>
      <c r="N709" s="22">
        <f>IF(Benchmark1[[#This Row],[Comparable '#2 Date Check]]="Pass",INDEX(Comp2[Comparable '#2 Return],MATCH(Benchmark1[[#This Row],[Benchmark '#1 Dates]],Comp2[Comparable '#2 Dates],0)),"-")</f>
        <v>-2.3444678916256203E-2</v>
      </c>
      <c r="O709" s="1">
        <f>IFERROR(IF(Benchmark1[[#This Row],[Comparable '#2 Date Check]]="Pass",Benchmark1[[#This Row],[Comparable '#2 Return]]-Benchmark1[[#This Row],[Benchmark '#1 Return]],"-"),"-")</f>
        <v>-2.3229916116339091E-2</v>
      </c>
      <c r="P709" s="1" t="str">
        <f>IF(COUNTIF(Comp3[Comparable '#3 Dates],Benchmark1[[#This Row],[Benchmark '#1 Dates]])=1,"Pass","Fail")</f>
        <v>Pass</v>
      </c>
      <c r="Q709" s="6">
        <f>IF(Benchmark1[[#This Row],[Comparable '#3 Date Check]]="Pass",INDEX(Comp3[Comparable '#3 Price],MATCH(Benchmark1[[#This Row],[Benchmark '#1 Dates]],Comp3[Comparable '#3 Dates],0)),"-")</f>
        <v>81.78</v>
      </c>
      <c r="R709" s="22">
        <f>IF(Benchmark1[[#This Row],[Comparable '#3 Date Check]]="Pass",INDEX(Comp3[Comparable '#3 Return],MATCH(Benchmark1[[#This Row],[Benchmark '#1 Dates]],Comp3[Comparable '#3 Dates],0)),"-")</f>
        <v>-4.9383915824058294E-2</v>
      </c>
      <c r="S709" s="1">
        <f>IFERROR(IF(Benchmark1[[#This Row],[Comparable '#3 Date Check]]="Pass",Benchmark1[[#This Row],[Comparable '#3 Return]]-Benchmark1[[#This Row],[Benchmark '#1 Return]],"-"),"-")</f>
        <v>-4.9169153024141182E-2</v>
      </c>
    </row>
    <row r="710" spans="1:19">
      <c r="A710" s="103">
        <v>44314</v>
      </c>
      <c r="B710" s="104">
        <v>4183.183001956133</v>
      </c>
      <c r="C710" s="4">
        <f t="shared" si="11"/>
        <v>-8.447460751361543E-4</v>
      </c>
      <c r="D710" s="1" t="str">
        <f>IF(COUNTIF(Target1[Target Dates],Benchmark1[[#This Row],[Benchmark '#1 Dates]])=1,"Pass","Fail")</f>
        <v>Pass</v>
      </c>
      <c r="E710" s="6">
        <f>IF(Benchmark1[[#This Row],[Target Date Check]]="Pass",INDEX(Target1[Target Price],MATCH(Benchmark1[[#This Row],[Benchmark '#1 Dates]],Target1[Target Dates],0)),"-")</f>
        <v>29.4</v>
      </c>
      <c r="F710" s="22">
        <f>IF(Benchmark1[[#This Row],[Target Date Check]]="Pass",INDEX(Target1[Target Return],MATCH(Benchmark1[[#This Row],[Benchmark '#1 Dates]],Target1[Target Dates],0)),"-")</f>
        <v>-3.2460604713021604E-2</v>
      </c>
      <c r="G710" s="1">
        <f>IFERROR(IF(Benchmark1[[#This Row],[Target Date Check]]="Pass",Benchmark1[[#This Row],[Target Return]]-Benchmark1[[#This Row],[Benchmark '#1 Return]],"-"),"-")</f>
        <v>-3.1615858637885449E-2</v>
      </c>
      <c r="H710" s="1" t="str">
        <f>IF(COUNTIF(Comp1[Comparable '#1 Dates],Benchmark1[[#This Row],[Benchmark '#1 Dates]])=1,"Pass","Fail")</f>
        <v>Pass</v>
      </c>
      <c r="I710" s="6">
        <f>IF(Benchmark1[[#This Row],[Comparable '#1 Date Check]]="Pass",INDEX(Comp1[Comparable '#1 Price],MATCH(Benchmark1[[#This Row],[Benchmark '#1 Dates]],Comp1[Comparable '#1 Dates],0)),"-")</f>
        <v>12.12</v>
      </c>
      <c r="J710" s="22">
        <f>IF(Benchmark1[[#This Row],[Comparable '#1 Date Check]]="Pass",INDEX(Comp1[Comparable '#1 Return],MATCH(Benchmark1[[#This Row],[Benchmark '#1 Dates]],Comp1[Comparable '#1 Dates],0)),"-")</f>
        <v>9.950330853168092E-3</v>
      </c>
      <c r="K710" s="1">
        <f>IFERROR(IF(Benchmark1[[#This Row],[Comparable '#1 Date Check]]="Pass",Benchmark1[[#This Row],[Comparable '#1 Return]]-Benchmark1[[#This Row],[Benchmark '#1 Return]],"-"),"-")</f>
        <v>1.0795076928304247E-2</v>
      </c>
      <c r="L710" s="1" t="str">
        <f>IF(COUNTIF(Comp2[Comparable '#2 Dates],Benchmark1[[#This Row],[Benchmark '#1 Dates]])=1,"Pass","Fail")</f>
        <v>Pass</v>
      </c>
      <c r="M710" s="6">
        <f>IF(Benchmark1[[#This Row],[Comparable '#2 Date Check]]="Pass",INDEX(Comp2[Comparable '#2 Price],MATCH(Benchmark1[[#This Row],[Benchmark '#1 Dates]],Comp2[Comparable '#2 Dates],0)),"-")</f>
        <v>36.869999999999997</v>
      </c>
      <c r="N710" s="22">
        <f>IF(Benchmark1[[#This Row],[Comparable '#2 Date Check]]="Pass",INDEX(Comp2[Comparable '#2 Return],MATCH(Benchmark1[[#This Row],[Benchmark '#1 Dates]],Comp2[Comparable '#2 Dates],0)),"-")</f>
        <v>-2.8607752260815016E-2</v>
      </c>
      <c r="O710" s="1">
        <f>IFERROR(IF(Benchmark1[[#This Row],[Comparable '#2 Date Check]]="Pass",Benchmark1[[#This Row],[Comparable '#2 Return]]-Benchmark1[[#This Row],[Benchmark '#1 Return]],"-"),"-")</f>
        <v>-2.7763006185678861E-2</v>
      </c>
      <c r="P710" s="1" t="str">
        <f>IF(COUNTIF(Comp3[Comparable '#3 Dates],Benchmark1[[#This Row],[Benchmark '#1 Dates]])=1,"Pass","Fail")</f>
        <v>Pass</v>
      </c>
      <c r="Q710" s="6">
        <f>IF(Benchmark1[[#This Row],[Comparable '#3 Date Check]]="Pass",INDEX(Comp3[Comparable '#3 Price],MATCH(Benchmark1[[#This Row],[Benchmark '#1 Dates]],Comp3[Comparable '#3 Dates],0)),"-")</f>
        <v>82.75</v>
      </c>
      <c r="R710" s="22">
        <f>IF(Benchmark1[[#This Row],[Comparable '#3 Date Check]]="Pass",INDEX(Comp3[Comparable '#3 Return],MATCH(Benchmark1[[#This Row],[Benchmark '#1 Dates]],Comp3[Comparable '#3 Dates],0)),"-")</f>
        <v>1.1791299320676111E-2</v>
      </c>
      <c r="S710" s="1">
        <f>IFERROR(IF(Benchmark1[[#This Row],[Comparable '#3 Date Check]]="Pass",Benchmark1[[#This Row],[Comparable '#3 Return]]-Benchmark1[[#This Row],[Benchmark '#1 Return]],"-"),"-")</f>
        <v>1.2636045395812265E-2</v>
      </c>
    </row>
    <row r="711" spans="1:19">
      <c r="A711" s="103">
        <v>44315</v>
      </c>
      <c r="B711" s="104">
        <v>4211.474874363902</v>
      </c>
      <c r="C711" s="4">
        <f t="shared" si="11"/>
        <v>6.7404723199409244E-3</v>
      </c>
      <c r="D711" s="1" t="str">
        <f>IF(COUNTIF(Target1[Target Dates],Benchmark1[[#This Row],[Benchmark '#1 Dates]])=1,"Pass","Fail")</f>
        <v>Pass</v>
      </c>
      <c r="E711" s="6">
        <f>IF(Benchmark1[[#This Row],[Target Date Check]]="Pass",INDEX(Target1[Target Price],MATCH(Benchmark1[[#This Row],[Benchmark '#1 Dates]],Target1[Target Dates],0)),"-")</f>
        <v>29.1</v>
      </c>
      <c r="F711" s="22">
        <f>IF(Benchmark1[[#This Row],[Target Date Check]]="Pass",INDEX(Target1[Target Return],MATCH(Benchmark1[[#This Row],[Benchmark '#1 Dates]],Target1[Target Dates],0)),"-")</f>
        <v>-1.0256500167188997E-2</v>
      </c>
      <c r="G711" s="1">
        <f>IFERROR(IF(Benchmark1[[#This Row],[Target Date Check]]="Pass",Benchmark1[[#This Row],[Target Return]]-Benchmark1[[#This Row],[Benchmark '#1 Return]],"-"),"-")</f>
        <v>-1.6996972487129922E-2</v>
      </c>
      <c r="H711" s="1" t="str">
        <f>IF(COUNTIF(Comp1[Comparable '#1 Dates],Benchmark1[[#This Row],[Benchmark '#1 Dates]])=1,"Pass","Fail")</f>
        <v>Pass</v>
      </c>
      <c r="I711" s="6">
        <f>IF(Benchmark1[[#This Row],[Comparable '#1 Date Check]]="Pass",INDEX(Comp1[Comparable '#1 Price],MATCH(Benchmark1[[#This Row],[Benchmark '#1 Dates]],Comp1[Comparable '#1 Dates],0)),"-")</f>
        <v>11.87</v>
      </c>
      <c r="J711" s="22">
        <f>IF(Benchmark1[[#This Row],[Comparable '#1 Date Check]]="Pass",INDEX(Comp1[Comparable '#1 Return],MATCH(Benchmark1[[#This Row],[Benchmark '#1 Dates]],Comp1[Comparable '#1 Dates],0)),"-")</f>
        <v>-2.0842772019591782E-2</v>
      </c>
      <c r="K711" s="1">
        <f>IFERROR(IF(Benchmark1[[#This Row],[Comparable '#1 Date Check]]="Pass",Benchmark1[[#This Row],[Comparable '#1 Return]]-Benchmark1[[#This Row],[Benchmark '#1 Return]],"-"),"-")</f>
        <v>-2.7583244339532707E-2</v>
      </c>
      <c r="L711" s="1" t="str">
        <f>IF(COUNTIF(Comp2[Comparable '#2 Dates],Benchmark1[[#This Row],[Benchmark '#1 Dates]])=1,"Pass","Fail")</f>
        <v>Pass</v>
      </c>
      <c r="M711" s="6">
        <f>IF(Benchmark1[[#This Row],[Comparable '#2 Date Check]]="Pass",INDEX(Comp2[Comparable '#2 Price],MATCH(Benchmark1[[#This Row],[Benchmark '#1 Dates]],Comp2[Comparable '#2 Dates],0)),"-")</f>
        <v>36.950000000000003</v>
      </c>
      <c r="N711" s="22">
        <f>IF(Benchmark1[[#This Row],[Comparable '#2 Date Check]]="Pass",INDEX(Comp2[Comparable '#2 Return],MATCH(Benchmark1[[#This Row],[Benchmark '#1 Dates]],Comp2[Comparable '#2 Dates],0)),"-")</f>
        <v>2.1674351481577262E-3</v>
      </c>
      <c r="O711" s="1">
        <f>IFERROR(IF(Benchmark1[[#This Row],[Comparable '#2 Date Check]]="Pass",Benchmark1[[#This Row],[Comparable '#2 Return]]-Benchmark1[[#This Row],[Benchmark '#1 Return]],"-"),"-")</f>
        <v>-4.5730371717831982E-3</v>
      </c>
      <c r="P711" s="1" t="str">
        <f>IF(COUNTIF(Comp3[Comparable '#3 Dates],Benchmark1[[#This Row],[Benchmark '#1 Dates]])=1,"Pass","Fail")</f>
        <v>Pass</v>
      </c>
      <c r="Q711" s="6">
        <f>IF(Benchmark1[[#This Row],[Comparable '#3 Date Check]]="Pass",INDEX(Comp3[Comparable '#3 Price],MATCH(Benchmark1[[#This Row],[Benchmark '#1 Dates]],Comp3[Comparable '#3 Dates],0)),"-")</f>
        <v>78.099999999999994</v>
      </c>
      <c r="R711" s="22">
        <f>IF(Benchmark1[[#This Row],[Comparable '#3 Date Check]]="Pass",INDEX(Comp3[Comparable '#3 Return],MATCH(Benchmark1[[#This Row],[Benchmark '#1 Dates]],Comp3[Comparable '#3 Dates],0)),"-")</f>
        <v>-5.7833957411532071E-2</v>
      </c>
      <c r="S711" s="1">
        <f>IFERROR(IF(Benchmark1[[#This Row],[Comparable '#3 Date Check]]="Pass",Benchmark1[[#This Row],[Comparable '#3 Return]]-Benchmark1[[#This Row],[Benchmark '#1 Return]],"-"),"-")</f>
        <v>-6.4574429731472996E-2</v>
      </c>
    </row>
    <row r="712" spans="1:19">
      <c r="A712" s="103">
        <v>44316</v>
      </c>
      <c r="B712" s="104">
        <v>4181.1748954407885</v>
      </c>
      <c r="C712" s="4">
        <f t="shared" si="11"/>
        <v>-7.2206302898791984E-3</v>
      </c>
      <c r="D712" s="1" t="str">
        <f>IF(COUNTIF(Target1[Target Dates],Benchmark1[[#This Row],[Benchmark '#1 Dates]])=1,"Pass","Fail")</f>
        <v>Pass</v>
      </c>
      <c r="E712" s="6">
        <f>IF(Benchmark1[[#This Row],[Target Date Check]]="Pass",INDEX(Target1[Target Price],MATCH(Benchmark1[[#This Row],[Benchmark '#1 Dates]],Target1[Target Dates],0)),"-")</f>
        <v>28.63</v>
      </c>
      <c r="F712" s="22">
        <f>IF(Benchmark1[[#This Row],[Target Date Check]]="Pass",INDEX(Target1[Target Return],MATCH(Benchmark1[[#This Row],[Benchmark '#1 Dates]],Target1[Target Dates],0)),"-")</f>
        <v>-1.62830550674232E-2</v>
      </c>
      <c r="G712" s="1">
        <f>IFERROR(IF(Benchmark1[[#This Row],[Target Date Check]]="Pass",Benchmark1[[#This Row],[Target Return]]-Benchmark1[[#This Row],[Benchmark '#1 Return]],"-"),"-")</f>
        <v>-9.0624247775440009E-3</v>
      </c>
      <c r="H712" s="1" t="str">
        <f>IF(COUNTIF(Comp1[Comparable '#1 Dates],Benchmark1[[#This Row],[Benchmark '#1 Dates]])=1,"Pass","Fail")</f>
        <v>Pass</v>
      </c>
      <c r="I712" s="6">
        <f>IF(Benchmark1[[#This Row],[Comparable '#1 Date Check]]="Pass",INDEX(Comp1[Comparable '#1 Price],MATCH(Benchmark1[[#This Row],[Benchmark '#1 Dates]],Comp1[Comparable '#1 Dates],0)),"-")</f>
        <v>13.75</v>
      </c>
      <c r="J712" s="22">
        <f>IF(Benchmark1[[#This Row],[Comparable '#1 Date Check]]="Pass",INDEX(Comp1[Comparable '#1 Return],MATCH(Benchmark1[[#This Row],[Benchmark '#1 Dates]],Comp1[Comparable '#1 Dates],0)),"-")</f>
        <v>0.14702461549100368</v>
      </c>
      <c r="K712" s="1">
        <f>IFERROR(IF(Benchmark1[[#This Row],[Comparable '#1 Date Check]]="Pass",Benchmark1[[#This Row],[Comparable '#1 Return]]-Benchmark1[[#This Row],[Benchmark '#1 Return]],"-"),"-")</f>
        <v>0.15424524578088289</v>
      </c>
      <c r="L712" s="1" t="str">
        <f>IF(COUNTIF(Comp2[Comparable '#2 Dates],Benchmark1[[#This Row],[Benchmark '#1 Dates]])=1,"Pass","Fail")</f>
        <v>Pass</v>
      </c>
      <c r="M712" s="6">
        <f>IF(Benchmark1[[#This Row],[Comparable '#2 Date Check]]="Pass",INDEX(Comp2[Comparable '#2 Price],MATCH(Benchmark1[[#This Row],[Benchmark '#1 Dates]],Comp2[Comparable '#2 Dates],0)),"-")</f>
        <v>34.31</v>
      </c>
      <c r="N712" s="22">
        <f>IF(Benchmark1[[#This Row],[Comparable '#2 Date Check]]="Pass",INDEX(Comp2[Comparable '#2 Return],MATCH(Benchmark1[[#This Row],[Benchmark '#1 Dates]],Comp2[Comparable '#2 Dates],0)),"-")</f>
        <v>-7.4128790523852434E-2</v>
      </c>
      <c r="O712" s="1">
        <f>IFERROR(IF(Benchmark1[[#This Row],[Comparable '#2 Date Check]]="Pass",Benchmark1[[#This Row],[Comparable '#2 Return]]-Benchmark1[[#This Row],[Benchmark '#1 Return]],"-"),"-")</f>
        <v>-6.6908160233973238E-2</v>
      </c>
      <c r="P712" s="1" t="str">
        <f>IF(COUNTIF(Comp3[Comparable '#3 Dates],Benchmark1[[#This Row],[Benchmark '#1 Dates]])=1,"Pass","Fail")</f>
        <v>Pass</v>
      </c>
      <c r="Q712" s="6">
        <f>IF(Benchmark1[[#This Row],[Comparable '#3 Date Check]]="Pass",INDEX(Comp3[Comparable '#3 Price],MATCH(Benchmark1[[#This Row],[Benchmark '#1 Dates]],Comp3[Comparable '#3 Dates],0)),"-")</f>
        <v>75.06</v>
      </c>
      <c r="R712" s="22">
        <f>IF(Benchmark1[[#This Row],[Comparable '#3 Date Check]]="Pass",INDEX(Comp3[Comparable '#3 Return],MATCH(Benchmark1[[#This Row],[Benchmark '#1 Dates]],Comp3[Comparable '#3 Dates],0)),"-")</f>
        <v>-3.9702263138765348E-2</v>
      </c>
      <c r="S712" s="1">
        <f>IFERROR(IF(Benchmark1[[#This Row],[Comparable '#3 Date Check]]="Pass",Benchmark1[[#This Row],[Comparable '#3 Return]]-Benchmark1[[#This Row],[Benchmark '#1 Return]],"-"),"-")</f>
        <v>-3.2481632848886152E-2</v>
      </c>
    </row>
    <row r="713" spans="1:19">
      <c r="A713" s="103">
        <v>44319</v>
      </c>
      <c r="B713" s="104">
        <v>4192.6576077777036</v>
      </c>
      <c r="C713" s="4">
        <f t="shared" si="11"/>
        <v>2.7425242933176016E-3</v>
      </c>
      <c r="D713" s="1" t="str">
        <f>IF(COUNTIF(Target1[Target Dates],Benchmark1[[#This Row],[Benchmark '#1 Dates]])=1,"Pass","Fail")</f>
        <v>Pass</v>
      </c>
      <c r="E713" s="6">
        <f>IF(Benchmark1[[#This Row],[Target Date Check]]="Pass",INDEX(Target1[Target Price],MATCH(Benchmark1[[#This Row],[Benchmark '#1 Dates]],Target1[Target Dates],0)),"-")</f>
        <v>28.5</v>
      </c>
      <c r="F713" s="22">
        <f>IF(Benchmark1[[#This Row],[Target Date Check]]="Pass",INDEX(Target1[Target Return],MATCH(Benchmark1[[#This Row],[Benchmark '#1 Dates]],Target1[Target Dates],0)),"-")</f>
        <v>-4.5510318354188058E-3</v>
      </c>
      <c r="G713" s="1">
        <f>IFERROR(IF(Benchmark1[[#This Row],[Target Date Check]]="Pass",Benchmark1[[#This Row],[Target Return]]-Benchmark1[[#This Row],[Benchmark '#1 Return]],"-"),"-")</f>
        <v>-7.2935561287364075E-3</v>
      </c>
      <c r="H713" s="1" t="str">
        <f>IF(COUNTIF(Comp1[Comparable '#1 Dates],Benchmark1[[#This Row],[Benchmark '#1 Dates]])=1,"Pass","Fail")</f>
        <v>Pass</v>
      </c>
      <c r="I713" s="6">
        <f>IF(Benchmark1[[#This Row],[Comparable '#1 Date Check]]="Pass",INDEX(Comp1[Comparable '#1 Price],MATCH(Benchmark1[[#This Row],[Benchmark '#1 Dates]],Comp1[Comparable '#1 Dates],0)),"-")</f>
        <v>13.61</v>
      </c>
      <c r="J713" s="22">
        <f>IF(Benchmark1[[#This Row],[Comparable '#1 Date Check]]="Pass",INDEX(Comp1[Comparable '#1 Return],MATCH(Benchmark1[[#This Row],[Benchmark '#1 Dates]],Comp1[Comparable '#1 Dates],0)),"-")</f>
        <v>-1.0234007449205594E-2</v>
      </c>
      <c r="K713" s="1">
        <f>IFERROR(IF(Benchmark1[[#This Row],[Comparable '#1 Date Check]]="Pass",Benchmark1[[#This Row],[Comparable '#1 Return]]-Benchmark1[[#This Row],[Benchmark '#1 Return]],"-"),"-")</f>
        <v>-1.2976531742523195E-2</v>
      </c>
      <c r="L713" s="1" t="str">
        <f>IF(COUNTIF(Comp2[Comparable '#2 Dates],Benchmark1[[#This Row],[Benchmark '#1 Dates]])=1,"Pass","Fail")</f>
        <v>Pass</v>
      </c>
      <c r="M713" s="6">
        <f>IF(Benchmark1[[#This Row],[Comparable '#2 Date Check]]="Pass",INDEX(Comp2[Comparable '#2 Price],MATCH(Benchmark1[[#This Row],[Benchmark '#1 Dates]],Comp2[Comparable '#2 Dates],0)),"-")</f>
        <v>34.76</v>
      </c>
      <c r="N713" s="22">
        <f>IF(Benchmark1[[#This Row],[Comparable '#2 Date Check]]="Pass",INDEX(Comp2[Comparable '#2 Return],MATCH(Benchmark1[[#This Row],[Benchmark '#1 Dates]],Comp2[Comparable '#2 Dates],0)),"-")</f>
        <v>1.3030443526832905E-2</v>
      </c>
      <c r="O713" s="1">
        <f>IFERROR(IF(Benchmark1[[#This Row],[Comparable '#2 Date Check]]="Pass",Benchmark1[[#This Row],[Comparable '#2 Return]]-Benchmark1[[#This Row],[Benchmark '#1 Return]],"-"),"-")</f>
        <v>1.0287919233515304E-2</v>
      </c>
      <c r="P713" s="1" t="str">
        <f>IF(COUNTIF(Comp3[Comparable '#3 Dates],Benchmark1[[#This Row],[Benchmark '#1 Dates]])=1,"Pass","Fail")</f>
        <v>Pass</v>
      </c>
      <c r="Q713" s="6">
        <f>IF(Benchmark1[[#This Row],[Comparable '#3 Date Check]]="Pass",INDEX(Comp3[Comparable '#3 Price],MATCH(Benchmark1[[#This Row],[Benchmark '#1 Dates]],Comp3[Comparable '#3 Dates],0)),"-")</f>
        <v>76.959999999999994</v>
      </c>
      <c r="R713" s="22">
        <f>IF(Benchmark1[[#This Row],[Comparable '#3 Date Check]]="Pass",INDEX(Comp3[Comparable '#3 Return],MATCH(Benchmark1[[#This Row],[Benchmark '#1 Dates]],Comp3[Comparable '#3 Dates],0)),"-")</f>
        <v>2.4998012650576173E-2</v>
      </c>
      <c r="S713" s="1">
        <f>IFERROR(IF(Benchmark1[[#This Row],[Comparable '#3 Date Check]]="Pass",Benchmark1[[#This Row],[Comparable '#3 Return]]-Benchmark1[[#This Row],[Benchmark '#1 Return]],"-"),"-")</f>
        <v>2.225548835725857E-2</v>
      </c>
    </row>
    <row r="714" spans="1:19">
      <c r="A714" s="103">
        <v>44320</v>
      </c>
      <c r="B714" s="104">
        <v>4164.6590365206994</v>
      </c>
      <c r="C714" s="4">
        <f t="shared" si="11"/>
        <v>-6.7003985128351023E-3</v>
      </c>
      <c r="D714" s="1" t="str">
        <f>IF(COUNTIF(Target1[Target Dates],Benchmark1[[#This Row],[Benchmark '#1 Dates]])=1,"Pass","Fail")</f>
        <v>Pass</v>
      </c>
      <c r="E714" s="6">
        <f>IF(Benchmark1[[#This Row],[Target Date Check]]="Pass",INDEX(Target1[Target Price],MATCH(Benchmark1[[#This Row],[Benchmark '#1 Dates]],Target1[Target Dates],0)),"-")</f>
        <v>27.93</v>
      </c>
      <c r="F714" s="22">
        <f>IF(Benchmark1[[#This Row],[Target Date Check]]="Pass",INDEX(Target1[Target Return],MATCH(Benchmark1[[#This Row],[Benchmark '#1 Dates]],Target1[Target Dates],0)),"-")</f>
        <v>-2.0202707317519466E-2</v>
      </c>
      <c r="G714" s="1">
        <f>IFERROR(IF(Benchmark1[[#This Row],[Target Date Check]]="Pass",Benchmark1[[#This Row],[Target Return]]-Benchmark1[[#This Row],[Benchmark '#1 Return]],"-"),"-")</f>
        <v>-1.3502308804684364E-2</v>
      </c>
      <c r="H714" s="1" t="str">
        <f>IF(COUNTIF(Comp1[Comparable '#1 Dates],Benchmark1[[#This Row],[Benchmark '#1 Dates]])=1,"Pass","Fail")</f>
        <v>Pass</v>
      </c>
      <c r="I714" s="6">
        <f>IF(Benchmark1[[#This Row],[Comparable '#1 Date Check]]="Pass",INDEX(Comp1[Comparable '#1 Price],MATCH(Benchmark1[[#This Row],[Benchmark '#1 Dates]],Comp1[Comparable '#1 Dates],0)),"-")</f>
        <v>13.525</v>
      </c>
      <c r="J714" s="22">
        <f>IF(Benchmark1[[#This Row],[Comparable '#1 Date Check]]="Pass",INDEX(Comp1[Comparable '#1 Return],MATCH(Benchmark1[[#This Row],[Benchmark '#1 Dates]],Comp1[Comparable '#1 Dates],0)),"-")</f>
        <v>-6.2649919308293729E-3</v>
      </c>
      <c r="K714" s="1">
        <f>IFERROR(IF(Benchmark1[[#This Row],[Comparable '#1 Date Check]]="Pass",Benchmark1[[#This Row],[Comparable '#1 Return]]-Benchmark1[[#This Row],[Benchmark '#1 Return]],"-"),"-")</f>
        <v>4.3540658200572936E-4</v>
      </c>
      <c r="L714" s="1" t="str">
        <f>IF(COUNTIF(Comp2[Comparable '#2 Dates],Benchmark1[[#This Row],[Benchmark '#1 Dates]])=1,"Pass","Fail")</f>
        <v>Pass</v>
      </c>
      <c r="M714" s="6">
        <f>IF(Benchmark1[[#This Row],[Comparable '#2 Date Check]]="Pass",INDEX(Comp2[Comparable '#2 Price],MATCH(Benchmark1[[#This Row],[Benchmark '#1 Dates]],Comp2[Comparable '#2 Dates],0)),"-")</f>
        <v>33.799999999999997</v>
      </c>
      <c r="N714" s="22">
        <f>IF(Benchmark1[[#This Row],[Comparable '#2 Date Check]]="Pass",INDEX(Comp2[Comparable '#2 Return],MATCH(Benchmark1[[#This Row],[Benchmark '#1 Dates]],Comp2[Comparable '#2 Dates],0)),"-")</f>
        <v>-2.8006497908218218E-2</v>
      </c>
      <c r="O714" s="1">
        <f>IFERROR(IF(Benchmark1[[#This Row],[Comparable '#2 Date Check]]="Pass",Benchmark1[[#This Row],[Comparable '#2 Return]]-Benchmark1[[#This Row],[Benchmark '#1 Return]],"-"),"-")</f>
        <v>-2.1306099395383117E-2</v>
      </c>
      <c r="P714" s="1" t="str">
        <f>IF(COUNTIF(Comp3[Comparable '#3 Dates],Benchmark1[[#This Row],[Benchmark '#1 Dates]])=1,"Pass","Fail")</f>
        <v>Pass</v>
      </c>
      <c r="Q714" s="6">
        <f>IF(Benchmark1[[#This Row],[Comparable '#3 Date Check]]="Pass",INDEX(Comp3[Comparable '#3 Price],MATCH(Benchmark1[[#This Row],[Benchmark '#1 Dates]],Comp3[Comparable '#3 Dates],0)),"-")</f>
        <v>77.5</v>
      </c>
      <c r="R714" s="22">
        <f>IF(Benchmark1[[#This Row],[Comparable '#3 Date Check]]="Pass",INDEX(Comp3[Comparable '#3 Return],MATCH(Benchmark1[[#This Row],[Benchmark '#1 Dates]],Comp3[Comparable '#3 Dates],0)),"-")</f>
        <v>6.992130001850296E-3</v>
      </c>
      <c r="S714" s="1">
        <f>IFERROR(IF(Benchmark1[[#This Row],[Comparable '#3 Date Check]]="Pass",Benchmark1[[#This Row],[Comparable '#3 Return]]-Benchmark1[[#This Row],[Benchmark '#1 Return]],"-"),"-")</f>
        <v>1.3692528514685397E-2</v>
      </c>
    </row>
    <row r="715" spans="1:19">
      <c r="A715" s="103">
        <v>44321</v>
      </c>
      <c r="B715" s="104">
        <v>4167.5877674525909</v>
      </c>
      <c r="C715" s="4">
        <f t="shared" si="11"/>
        <v>7.0298711053735962E-4</v>
      </c>
      <c r="D715" s="1" t="str">
        <f>IF(COUNTIF(Target1[Target Dates],Benchmark1[[#This Row],[Benchmark '#1 Dates]])=1,"Pass","Fail")</f>
        <v>Pass</v>
      </c>
      <c r="E715" s="6">
        <f>IF(Benchmark1[[#This Row],[Target Date Check]]="Pass",INDEX(Target1[Target Price],MATCH(Benchmark1[[#This Row],[Benchmark '#1 Dates]],Target1[Target Dates],0)),"-")</f>
        <v>28.02</v>
      </c>
      <c r="F715" s="22">
        <f>IF(Benchmark1[[#This Row],[Target Date Check]]="Pass",INDEX(Target1[Target Return],MATCH(Benchmark1[[#This Row],[Benchmark '#1 Dates]],Target1[Target Dates],0)),"-")</f>
        <v>3.2171609517755427E-3</v>
      </c>
      <c r="G715" s="1">
        <f>IFERROR(IF(Benchmark1[[#This Row],[Target Date Check]]="Pass",Benchmark1[[#This Row],[Target Return]]-Benchmark1[[#This Row],[Benchmark '#1 Return]],"-"),"-")</f>
        <v>2.514173841238183E-3</v>
      </c>
      <c r="H715" s="1" t="str">
        <f>IF(COUNTIF(Comp1[Comparable '#1 Dates],Benchmark1[[#This Row],[Benchmark '#1 Dates]])=1,"Pass","Fail")</f>
        <v>Pass</v>
      </c>
      <c r="I715" s="6">
        <f>IF(Benchmark1[[#This Row],[Comparable '#1 Date Check]]="Pass",INDEX(Comp1[Comparable '#1 Price],MATCH(Benchmark1[[#This Row],[Benchmark '#1 Dates]],Comp1[Comparable '#1 Dates],0)),"-")</f>
        <v>13.39</v>
      </c>
      <c r="J715" s="22">
        <f>IF(Benchmark1[[#This Row],[Comparable '#1 Date Check]]="Pass",INDEX(Comp1[Comparable '#1 Return],MATCH(Benchmark1[[#This Row],[Benchmark '#1 Dates]],Comp1[Comparable '#1 Dates],0)),"-")</f>
        <v>-1.0031665029464051E-2</v>
      </c>
      <c r="K715" s="1">
        <f>IFERROR(IF(Benchmark1[[#This Row],[Comparable '#1 Date Check]]="Pass",Benchmark1[[#This Row],[Comparable '#1 Return]]-Benchmark1[[#This Row],[Benchmark '#1 Return]],"-"),"-")</f>
        <v>-1.0734652140001411E-2</v>
      </c>
      <c r="L715" s="1" t="str">
        <f>IF(COUNTIF(Comp2[Comparable '#2 Dates],Benchmark1[[#This Row],[Benchmark '#1 Dates]])=1,"Pass","Fail")</f>
        <v>Pass</v>
      </c>
      <c r="M715" s="6">
        <f>IF(Benchmark1[[#This Row],[Comparable '#2 Date Check]]="Pass",INDEX(Comp2[Comparable '#2 Price],MATCH(Benchmark1[[#This Row],[Benchmark '#1 Dates]],Comp2[Comparable '#2 Dates],0)),"-")</f>
        <v>33.75</v>
      </c>
      <c r="N715" s="22">
        <f>IF(Benchmark1[[#This Row],[Comparable '#2 Date Check]]="Pass",INDEX(Comp2[Comparable '#2 Return],MATCH(Benchmark1[[#This Row],[Benchmark '#1 Dates]],Comp2[Comparable '#2 Dates],0)),"-")</f>
        <v>-1.4803851704342195E-3</v>
      </c>
      <c r="O715" s="1">
        <f>IFERROR(IF(Benchmark1[[#This Row],[Comparable '#2 Date Check]]="Pass",Benchmark1[[#This Row],[Comparable '#2 Return]]-Benchmark1[[#This Row],[Benchmark '#1 Return]],"-"),"-")</f>
        <v>-2.1833722809715792E-3</v>
      </c>
      <c r="P715" s="1" t="str">
        <f>IF(COUNTIF(Comp3[Comparable '#3 Dates],Benchmark1[[#This Row],[Benchmark '#1 Dates]])=1,"Pass","Fail")</f>
        <v>Pass</v>
      </c>
      <c r="Q715" s="6">
        <f>IF(Benchmark1[[#This Row],[Comparable '#3 Date Check]]="Pass",INDEX(Comp3[Comparable '#3 Price],MATCH(Benchmark1[[#This Row],[Benchmark '#1 Dates]],Comp3[Comparable '#3 Dates],0)),"-")</f>
        <v>76.180000000000007</v>
      </c>
      <c r="R715" s="22">
        <f>IF(Benchmark1[[#This Row],[Comparable '#3 Date Check]]="Pass",INDEX(Comp3[Comparable '#3 Return],MATCH(Benchmark1[[#This Row],[Benchmark '#1 Dates]],Comp3[Comparable '#3 Dates],0)),"-")</f>
        <v>-1.7178975308843224E-2</v>
      </c>
      <c r="S715" s="1">
        <f>IFERROR(IF(Benchmark1[[#This Row],[Comparable '#3 Date Check]]="Pass",Benchmark1[[#This Row],[Comparable '#3 Return]]-Benchmark1[[#This Row],[Benchmark '#1 Return]],"-"),"-")</f>
        <v>-1.7881962419380584E-2</v>
      </c>
    </row>
    <row r="716" spans="1:19">
      <c r="A716" s="103">
        <v>44322</v>
      </c>
      <c r="B716" s="104">
        <v>4201.6187797117736</v>
      </c>
      <c r="C716" s="4">
        <f t="shared" si="11"/>
        <v>8.1324793758904383E-3</v>
      </c>
      <c r="D716" s="1" t="str">
        <f>IF(COUNTIF(Target1[Target Dates],Benchmark1[[#This Row],[Benchmark '#1 Dates]])=1,"Pass","Fail")</f>
        <v>Pass</v>
      </c>
      <c r="E716" s="6">
        <f>IF(Benchmark1[[#This Row],[Target Date Check]]="Pass",INDEX(Target1[Target Price],MATCH(Benchmark1[[#This Row],[Benchmark '#1 Dates]],Target1[Target Dates],0)),"-")</f>
        <v>27.42</v>
      </c>
      <c r="F716" s="22">
        <f>IF(Benchmark1[[#This Row],[Target Date Check]]="Pass",INDEX(Target1[Target Return],MATCH(Benchmark1[[#This Row],[Benchmark '#1 Dates]],Target1[Target Dates],0)),"-")</f>
        <v>-2.1645866774692549E-2</v>
      </c>
      <c r="G716" s="1">
        <f>IFERROR(IF(Benchmark1[[#This Row],[Target Date Check]]="Pass",Benchmark1[[#This Row],[Target Return]]-Benchmark1[[#This Row],[Benchmark '#1 Return]],"-"),"-")</f>
        <v>-2.9778346150582988E-2</v>
      </c>
      <c r="H716" s="1" t="str">
        <f>IF(COUNTIF(Comp1[Comparable '#1 Dates],Benchmark1[[#This Row],[Benchmark '#1 Dates]])=1,"Pass","Fail")</f>
        <v>Pass</v>
      </c>
      <c r="I716" s="6">
        <f>IF(Benchmark1[[#This Row],[Comparable '#1 Date Check]]="Pass",INDEX(Comp1[Comparable '#1 Price],MATCH(Benchmark1[[#This Row],[Benchmark '#1 Dates]],Comp1[Comparable '#1 Dates],0)),"-")</f>
        <v>13.7</v>
      </c>
      <c r="J716" s="22">
        <f>IF(Benchmark1[[#This Row],[Comparable '#1 Date Check]]="Pass",INDEX(Comp1[Comparable '#1 Return],MATCH(Benchmark1[[#This Row],[Benchmark '#1 Dates]],Comp1[Comparable '#1 Dates],0)),"-")</f>
        <v>2.2887673130997949E-2</v>
      </c>
      <c r="K716" s="1">
        <f>IFERROR(IF(Benchmark1[[#This Row],[Comparable '#1 Date Check]]="Pass",Benchmark1[[#This Row],[Comparable '#1 Return]]-Benchmark1[[#This Row],[Benchmark '#1 Return]],"-"),"-")</f>
        <v>1.4755193755107511E-2</v>
      </c>
      <c r="L716" s="1" t="str">
        <f>IF(COUNTIF(Comp2[Comparable '#2 Dates],Benchmark1[[#This Row],[Benchmark '#1 Dates]])=1,"Pass","Fail")</f>
        <v>Pass</v>
      </c>
      <c r="M716" s="6">
        <f>IF(Benchmark1[[#This Row],[Comparable '#2 Date Check]]="Pass",INDEX(Comp2[Comparable '#2 Price],MATCH(Benchmark1[[#This Row],[Benchmark '#1 Dates]],Comp2[Comparable '#2 Dates],0)),"-")</f>
        <v>33.450000000000003</v>
      </c>
      <c r="N716" s="22">
        <f>IF(Benchmark1[[#This Row],[Comparable '#2 Date Check]]="Pass",INDEX(Comp2[Comparable '#2 Return],MATCH(Benchmark1[[#This Row],[Benchmark '#1 Dates]],Comp2[Comparable '#2 Dates],0)),"-")</f>
        <v>-8.9286307443013184E-3</v>
      </c>
      <c r="O716" s="1">
        <f>IFERROR(IF(Benchmark1[[#This Row],[Comparable '#2 Date Check]]="Pass",Benchmark1[[#This Row],[Comparable '#2 Return]]-Benchmark1[[#This Row],[Benchmark '#1 Return]],"-"),"-")</f>
        <v>-1.7061110120191757E-2</v>
      </c>
      <c r="P716" s="1" t="str">
        <f>IF(COUNTIF(Comp3[Comparable '#3 Dates],Benchmark1[[#This Row],[Benchmark '#1 Dates]])=1,"Pass","Fail")</f>
        <v>Pass</v>
      </c>
      <c r="Q716" s="6">
        <f>IF(Benchmark1[[#This Row],[Comparable '#3 Date Check]]="Pass",INDEX(Comp3[Comparable '#3 Price],MATCH(Benchmark1[[#This Row],[Benchmark '#1 Dates]],Comp3[Comparable '#3 Dates],0)),"-")</f>
        <v>75.77</v>
      </c>
      <c r="R716" s="22">
        <f>IF(Benchmark1[[#This Row],[Comparable '#3 Date Check]]="Pass",INDEX(Comp3[Comparable '#3 Return],MATCH(Benchmark1[[#This Row],[Benchmark '#1 Dates]],Comp3[Comparable '#3 Dates],0)),"-")</f>
        <v>-5.3965251071760997E-3</v>
      </c>
      <c r="S716" s="1">
        <f>IFERROR(IF(Benchmark1[[#This Row],[Comparable '#3 Date Check]]="Pass",Benchmark1[[#This Row],[Comparable '#3 Return]]-Benchmark1[[#This Row],[Benchmark '#1 Return]],"-"),"-")</f>
        <v>-1.3529004483066539E-2</v>
      </c>
    </row>
    <row r="717" spans="1:19">
      <c r="A717" s="103">
        <v>44323</v>
      </c>
      <c r="B717" s="104">
        <v>4232.6013782573273</v>
      </c>
      <c r="C717" s="4">
        <f t="shared" si="11"/>
        <v>7.3469122995977439E-3</v>
      </c>
      <c r="D717" s="1" t="str">
        <f>IF(COUNTIF(Target1[Target Dates],Benchmark1[[#This Row],[Benchmark '#1 Dates]])=1,"Pass","Fail")</f>
        <v>Pass</v>
      </c>
      <c r="E717" s="6">
        <f>IF(Benchmark1[[#This Row],[Target Date Check]]="Pass",INDEX(Target1[Target Price],MATCH(Benchmark1[[#This Row],[Benchmark '#1 Dates]],Target1[Target Dates],0)),"-")</f>
        <v>28.38</v>
      </c>
      <c r="F717" s="22">
        <f>IF(Benchmark1[[#This Row],[Target Date Check]]="Pass",INDEX(Target1[Target Return],MATCH(Benchmark1[[#This Row],[Benchmark '#1 Dates]],Target1[Target Dates],0)),"-")</f>
        <v>3.4411997597728186E-2</v>
      </c>
      <c r="G717" s="1">
        <f>IFERROR(IF(Benchmark1[[#This Row],[Target Date Check]]="Pass",Benchmark1[[#This Row],[Target Return]]-Benchmark1[[#This Row],[Benchmark '#1 Return]],"-"),"-")</f>
        <v>2.7065085298130443E-2</v>
      </c>
      <c r="H717" s="1" t="str">
        <f>IF(COUNTIF(Comp1[Comparable '#1 Dates],Benchmark1[[#This Row],[Benchmark '#1 Dates]])=1,"Pass","Fail")</f>
        <v>Pass</v>
      </c>
      <c r="I717" s="6">
        <f>IF(Benchmark1[[#This Row],[Comparable '#1 Date Check]]="Pass",INDEX(Comp1[Comparable '#1 Price],MATCH(Benchmark1[[#This Row],[Benchmark '#1 Dates]],Comp1[Comparable '#1 Dates],0)),"-")</f>
        <v>13.97</v>
      </c>
      <c r="J717" s="22">
        <f>IF(Benchmark1[[#This Row],[Comparable '#1 Date Check]]="Pass",INDEX(Comp1[Comparable '#1 Return],MATCH(Benchmark1[[#This Row],[Benchmark '#1 Dates]],Comp1[Comparable '#1 Dates],0)),"-")</f>
        <v>1.9516340434791293E-2</v>
      </c>
      <c r="K717" s="1">
        <f>IFERROR(IF(Benchmark1[[#This Row],[Comparable '#1 Date Check]]="Pass",Benchmark1[[#This Row],[Comparable '#1 Return]]-Benchmark1[[#This Row],[Benchmark '#1 Return]],"-"),"-")</f>
        <v>1.216942813519355E-2</v>
      </c>
      <c r="L717" s="1" t="str">
        <f>IF(COUNTIF(Comp2[Comparable '#2 Dates],Benchmark1[[#This Row],[Benchmark '#1 Dates]])=1,"Pass","Fail")</f>
        <v>Pass</v>
      </c>
      <c r="M717" s="6">
        <f>IF(Benchmark1[[#This Row],[Comparable '#2 Date Check]]="Pass",INDEX(Comp2[Comparable '#2 Price],MATCH(Benchmark1[[#This Row],[Benchmark '#1 Dates]],Comp2[Comparable '#2 Dates],0)),"-")</f>
        <v>36.89</v>
      </c>
      <c r="N717" s="22">
        <f>IF(Benchmark1[[#This Row],[Comparable '#2 Date Check]]="Pass",INDEX(Comp2[Comparable '#2 Return],MATCH(Benchmark1[[#This Row],[Benchmark '#1 Dates]],Comp2[Comparable '#2 Dates],0)),"-")</f>
        <v>9.7888725034346785E-2</v>
      </c>
      <c r="O717" s="1">
        <f>IFERROR(IF(Benchmark1[[#This Row],[Comparable '#2 Date Check]]="Pass",Benchmark1[[#This Row],[Comparable '#2 Return]]-Benchmark1[[#This Row],[Benchmark '#1 Return]],"-"),"-")</f>
        <v>9.0541812734749039E-2</v>
      </c>
      <c r="P717" s="1" t="str">
        <f>IF(COUNTIF(Comp3[Comparable '#3 Dates],Benchmark1[[#This Row],[Benchmark '#1 Dates]])=1,"Pass","Fail")</f>
        <v>Pass</v>
      </c>
      <c r="Q717" s="6">
        <f>IF(Benchmark1[[#This Row],[Comparable '#3 Date Check]]="Pass",INDEX(Comp3[Comparable '#3 Price],MATCH(Benchmark1[[#This Row],[Benchmark '#1 Dates]],Comp3[Comparable '#3 Dates],0)),"-")</f>
        <v>77.31</v>
      </c>
      <c r="R717" s="22">
        <f>IF(Benchmark1[[#This Row],[Comparable '#3 Date Check]]="Pass",INDEX(Comp3[Comparable '#3 Return],MATCH(Benchmark1[[#This Row],[Benchmark '#1 Dates]],Comp3[Comparable '#3 Dates],0)),"-")</f>
        <v>2.0120877389101517E-2</v>
      </c>
      <c r="S717" s="1">
        <f>IFERROR(IF(Benchmark1[[#This Row],[Comparable '#3 Date Check]]="Pass",Benchmark1[[#This Row],[Comparable '#3 Return]]-Benchmark1[[#This Row],[Benchmark '#1 Return]],"-"),"-")</f>
        <v>1.2773965089503774E-2</v>
      </c>
    </row>
    <row r="718" spans="1:19">
      <c r="A718" s="103">
        <v>44326</v>
      </c>
      <c r="B718" s="104">
        <v>4188.4273497506992</v>
      </c>
      <c r="C718" s="4">
        <f t="shared" si="11"/>
        <v>-1.0491457783005908E-2</v>
      </c>
      <c r="D718" s="1" t="str">
        <f>IF(COUNTIF(Target1[Target Dates],Benchmark1[[#This Row],[Benchmark '#1 Dates]])=1,"Pass","Fail")</f>
        <v>Pass</v>
      </c>
      <c r="E718" s="6">
        <f>IF(Benchmark1[[#This Row],[Target Date Check]]="Pass",INDEX(Target1[Target Price],MATCH(Benchmark1[[#This Row],[Benchmark '#1 Dates]],Target1[Target Dates],0)),"-")</f>
        <v>27.5</v>
      </c>
      <c r="F718" s="22">
        <f>IF(Benchmark1[[#This Row],[Target Date Check]]="Pass",INDEX(Target1[Target Return],MATCH(Benchmark1[[#This Row],[Benchmark '#1 Dates]],Target1[Target Dates],0)),"-")</f>
        <v>-3.1498667059370933E-2</v>
      </c>
      <c r="G718" s="1">
        <f>IFERROR(IF(Benchmark1[[#This Row],[Target Date Check]]="Pass",Benchmark1[[#This Row],[Target Return]]-Benchmark1[[#This Row],[Benchmark '#1 Return]],"-"),"-")</f>
        <v>-2.1007209276365027E-2</v>
      </c>
      <c r="H718" s="1" t="str">
        <f>IF(COUNTIF(Comp1[Comparable '#1 Dates],Benchmark1[[#This Row],[Benchmark '#1 Dates]])=1,"Pass","Fail")</f>
        <v>Pass</v>
      </c>
      <c r="I718" s="6">
        <f>IF(Benchmark1[[#This Row],[Comparable '#1 Date Check]]="Pass",INDEX(Comp1[Comparable '#1 Price],MATCH(Benchmark1[[#This Row],[Benchmark '#1 Dates]],Comp1[Comparable '#1 Dates],0)),"-")</f>
        <v>14.14</v>
      </c>
      <c r="J718" s="22">
        <f>IF(Benchmark1[[#This Row],[Comparable '#1 Date Check]]="Pass",INDEX(Comp1[Comparable '#1 Return],MATCH(Benchmark1[[#This Row],[Benchmark '#1 Dates]],Comp1[Comparable '#1 Dates],0)),"-")</f>
        <v>1.2095487199556307E-2</v>
      </c>
      <c r="K718" s="1">
        <f>IFERROR(IF(Benchmark1[[#This Row],[Comparable '#1 Date Check]]="Pass",Benchmark1[[#This Row],[Comparable '#1 Return]]-Benchmark1[[#This Row],[Benchmark '#1 Return]],"-"),"-")</f>
        <v>2.2586944982562217E-2</v>
      </c>
      <c r="L718" s="1" t="str">
        <f>IF(COUNTIF(Comp2[Comparable '#2 Dates],Benchmark1[[#This Row],[Benchmark '#1 Dates]])=1,"Pass","Fail")</f>
        <v>Pass</v>
      </c>
      <c r="M718" s="6">
        <f>IF(Benchmark1[[#This Row],[Comparable '#2 Date Check]]="Pass",INDEX(Comp2[Comparable '#2 Price],MATCH(Benchmark1[[#This Row],[Benchmark '#1 Dates]],Comp2[Comparable '#2 Dates],0)),"-")</f>
        <v>37.28</v>
      </c>
      <c r="N718" s="22">
        <f>IF(Benchmark1[[#This Row],[Comparable '#2 Date Check]]="Pass",INDEX(Comp2[Comparable '#2 Return],MATCH(Benchmark1[[#This Row],[Benchmark '#1 Dates]],Comp2[Comparable '#2 Dates],0)),"-")</f>
        <v>1.0516478208806261E-2</v>
      </c>
      <c r="O718" s="1">
        <f>IFERROR(IF(Benchmark1[[#This Row],[Comparable '#2 Date Check]]="Pass",Benchmark1[[#This Row],[Comparable '#2 Return]]-Benchmark1[[#This Row],[Benchmark '#1 Return]],"-"),"-")</f>
        <v>2.1007935991812169E-2</v>
      </c>
      <c r="P718" s="1" t="str">
        <f>IF(COUNTIF(Comp3[Comparable '#3 Dates],Benchmark1[[#This Row],[Benchmark '#1 Dates]])=1,"Pass","Fail")</f>
        <v>Pass</v>
      </c>
      <c r="Q718" s="6">
        <f>IF(Benchmark1[[#This Row],[Comparable '#3 Date Check]]="Pass",INDEX(Comp3[Comparable '#3 Price],MATCH(Benchmark1[[#This Row],[Benchmark '#1 Dates]],Comp3[Comparable '#3 Dates],0)),"-")</f>
        <v>79.19</v>
      </c>
      <c r="R718" s="22">
        <f>IF(Benchmark1[[#This Row],[Comparable '#3 Date Check]]="Pass",INDEX(Comp3[Comparable '#3 Return],MATCH(Benchmark1[[#This Row],[Benchmark '#1 Dates]],Comp3[Comparable '#3 Dates],0)),"-")</f>
        <v>2.4026714889937618E-2</v>
      </c>
      <c r="S718" s="1">
        <f>IFERROR(IF(Benchmark1[[#This Row],[Comparable '#3 Date Check]]="Pass",Benchmark1[[#This Row],[Comparable '#3 Return]]-Benchmark1[[#This Row],[Benchmark '#1 Return]],"-"),"-")</f>
        <v>3.4518172672943527E-2</v>
      </c>
    </row>
    <row r="719" spans="1:19">
      <c r="A719" s="103">
        <v>44327</v>
      </c>
      <c r="B719" s="104">
        <v>4152.0953083379109</v>
      </c>
      <c r="C719" s="4">
        <f t="shared" si="11"/>
        <v>-8.7122288880307295E-3</v>
      </c>
      <c r="D719" s="1" t="str">
        <f>IF(COUNTIF(Target1[Target Dates],Benchmark1[[#This Row],[Benchmark '#1 Dates]])=1,"Pass","Fail")</f>
        <v>Pass</v>
      </c>
      <c r="E719" s="6">
        <f>IF(Benchmark1[[#This Row],[Target Date Check]]="Pass",INDEX(Target1[Target Price],MATCH(Benchmark1[[#This Row],[Benchmark '#1 Dates]],Target1[Target Dates],0)),"-")</f>
        <v>27.09</v>
      </c>
      <c r="F719" s="22">
        <f>IF(Benchmark1[[#This Row],[Target Date Check]]="Pass",INDEX(Target1[Target Return],MATCH(Benchmark1[[#This Row],[Benchmark '#1 Dates]],Target1[Target Dates],0)),"-")</f>
        <v>-1.5021348575521828E-2</v>
      </c>
      <c r="G719" s="1">
        <f>IFERROR(IF(Benchmark1[[#This Row],[Target Date Check]]="Pass",Benchmark1[[#This Row],[Target Return]]-Benchmark1[[#This Row],[Benchmark '#1 Return]],"-"),"-")</f>
        <v>-6.309119687491099E-3</v>
      </c>
      <c r="H719" s="1" t="str">
        <f>IF(COUNTIF(Comp1[Comparable '#1 Dates],Benchmark1[[#This Row],[Benchmark '#1 Dates]])=1,"Pass","Fail")</f>
        <v>Pass</v>
      </c>
      <c r="I719" s="6">
        <f>IF(Benchmark1[[#This Row],[Comparable '#1 Date Check]]="Pass",INDEX(Comp1[Comparable '#1 Price],MATCH(Benchmark1[[#This Row],[Benchmark '#1 Dates]],Comp1[Comparable '#1 Dates],0)),"-")</f>
        <v>14.45</v>
      </c>
      <c r="J719" s="22">
        <f>IF(Benchmark1[[#This Row],[Comparable '#1 Date Check]]="Pass",INDEX(Comp1[Comparable '#1 Return],MATCH(Benchmark1[[#This Row],[Benchmark '#1 Dates]],Comp1[Comparable '#1 Dates],0)),"-")</f>
        <v>2.1686754090014394E-2</v>
      </c>
      <c r="K719" s="1">
        <f>IFERROR(IF(Benchmark1[[#This Row],[Comparable '#1 Date Check]]="Pass",Benchmark1[[#This Row],[Comparable '#1 Return]]-Benchmark1[[#This Row],[Benchmark '#1 Return]],"-"),"-")</f>
        <v>3.0398982978045122E-2</v>
      </c>
      <c r="L719" s="1" t="str">
        <f>IF(COUNTIF(Comp2[Comparable '#2 Dates],Benchmark1[[#This Row],[Benchmark '#1 Dates]])=1,"Pass","Fail")</f>
        <v>Pass</v>
      </c>
      <c r="M719" s="6">
        <f>IF(Benchmark1[[#This Row],[Comparable '#2 Date Check]]="Pass",INDEX(Comp2[Comparable '#2 Price],MATCH(Benchmark1[[#This Row],[Benchmark '#1 Dates]],Comp2[Comparable '#2 Dates],0)),"-")</f>
        <v>36.94</v>
      </c>
      <c r="N719" s="22">
        <f>IF(Benchmark1[[#This Row],[Comparable '#2 Date Check]]="Pass",INDEX(Comp2[Comparable '#2 Return],MATCH(Benchmark1[[#This Row],[Benchmark '#1 Dates]],Comp2[Comparable '#2 Dates],0)),"-")</f>
        <v>-9.162015046296634E-3</v>
      </c>
      <c r="O719" s="1">
        <f>IFERROR(IF(Benchmark1[[#This Row],[Comparable '#2 Date Check]]="Pass",Benchmark1[[#This Row],[Comparable '#2 Return]]-Benchmark1[[#This Row],[Benchmark '#1 Return]],"-"),"-")</f>
        <v>-4.4978615826590448E-4</v>
      </c>
      <c r="P719" s="1" t="str">
        <f>IF(COUNTIF(Comp3[Comparable '#3 Dates],Benchmark1[[#This Row],[Benchmark '#1 Dates]])=1,"Pass","Fail")</f>
        <v>Pass</v>
      </c>
      <c r="Q719" s="6">
        <f>IF(Benchmark1[[#This Row],[Comparable '#3 Date Check]]="Pass",INDEX(Comp3[Comparable '#3 Price],MATCH(Benchmark1[[#This Row],[Benchmark '#1 Dates]],Comp3[Comparable '#3 Dates],0)),"-")</f>
        <v>78.05</v>
      </c>
      <c r="R719" s="22">
        <f>IF(Benchmark1[[#This Row],[Comparable '#3 Date Check]]="Pass",INDEX(Comp3[Comparable '#3 Return],MATCH(Benchmark1[[#This Row],[Benchmark '#1 Dates]],Comp3[Comparable '#3 Dates],0)),"-")</f>
        <v>-1.4500381260880003E-2</v>
      </c>
      <c r="S719" s="1">
        <f>IFERROR(IF(Benchmark1[[#This Row],[Comparable '#3 Date Check]]="Pass",Benchmark1[[#This Row],[Comparable '#3 Return]]-Benchmark1[[#This Row],[Benchmark '#1 Return]],"-"),"-")</f>
        <v>-5.7881523728492736E-3</v>
      </c>
    </row>
    <row r="720" spans="1:19">
      <c r="A720" s="103">
        <v>44328</v>
      </c>
      <c r="B720" s="104">
        <v>4063.0378801877637</v>
      </c>
      <c r="C720" s="4">
        <f t="shared" si="11"/>
        <v>-2.1682160233563383E-2</v>
      </c>
      <c r="D720" s="1" t="str">
        <f>IF(COUNTIF(Target1[Target Dates],Benchmark1[[#This Row],[Benchmark '#1 Dates]])=1,"Pass","Fail")</f>
        <v>Pass</v>
      </c>
      <c r="E720" s="6">
        <f>IF(Benchmark1[[#This Row],[Target Date Check]]="Pass",INDEX(Target1[Target Price],MATCH(Benchmark1[[#This Row],[Benchmark '#1 Dates]],Target1[Target Dates],0)),"-")</f>
        <v>26.65</v>
      </c>
      <c r="F720" s="22">
        <f>IF(Benchmark1[[#This Row],[Target Date Check]]="Pass",INDEX(Target1[Target Return],MATCH(Benchmark1[[#This Row],[Benchmark '#1 Dates]],Target1[Target Dates],0)),"-")</f>
        <v>-1.637550548515028E-2</v>
      </c>
      <c r="G720" s="1">
        <f>IFERROR(IF(Benchmark1[[#This Row],[Target Date Check]]="Pass",Benchmark1[[#This Row],[Target Return]]-Benchmark1[[#This Row],[Benchmark '#1 Return]],"-"),"-")</f>
        <v>5.3066547484131033E-3</v>
      </c>
      <c r="H720" s="1" t="str">
        <f>IF(COUNTIF(Comp1[Comparable '#1 Dates],Benchmark1[[#This Row],[Benchmark '#1 Dates]])=1,"Pass","Fail")</f>
        <v>Pass</v>
      </c>
      <c r="I720" s="6">
        <f>IF(Benchmark1[[#This Row],[Comparable '#1 Date Check]]="Pass",INDEX(Comp1[Comparable '#1 Price],MATCH(Benchmark1[[#This Row],[Benchmark '#1 Dates]],Comp1[Comparable '#1 Dates],0)),"-")</f>
        <v>14.27</v>
      </c>
      <c r="J720" s="22">
        <f>IF(Benchmark1[[#This Row],[Comparable '#1 Date Check]]="Pass",INDEX(Comp1[Comparable '#1 Return],MATCH(Benchmark1[[#This Row],[Benchmark '#1 Dates]],Comp1[Comparable '#1 Dates],0)),"-")</f>
        <v>-1.2534983069696087E-2</v>
      </c>
      <c r="K720" s="1">
        <f>IFERROR(IF(Benchmark1[[#This Row],[Comparable '#1 Date Check]]="Pass",Benchmark1[[#This Row],[Comparable '#1 Return]]-Benchmark1[[#This Row],[Benchmark '#1 Return]],"-"),"-")</f>
        <v>9.1471771638672959E-3</v>
      </c>
      <c r="L720" s="1" t="str">
        <f>IF(COUNTIF(Comp2[Comparable '#2 Dates],Benchmark1[[#This Row],[Benchmark '#1 Dates]])=1,"Pass","Fail")</f>
        <v>Pass</v>
      </c>
      <c r="M720" s="6">
        <f>IF(Benchmark1[[#This Row],[Comparable '#2 Date Check]]="Pass",INDEX(Comp2[Comparable '#2 Price],MATCH(Benchmark1[[#This Row],[Benchmark '#1 Dates]],Comp2[Comparable '#2 Dates],0)),"-")</f>
        <v>36.79</v>
      </c>
      <c r="N720" s="22">
        <f>IF(Benchmark1[[#This Row],[Comparable '#2 Date Check]]="Pass",INDEX(Comp2[Comparable '#2 Return],MATCH(Benchmark1[[#This Row],[Benchmark '#1 Dates]],Comp2[Comparable '#2 Dates],0)),"-")</f>
        <v>-4.0689056544108669E-3</v>
      </c>
      <c r="O720" s="1">
        <f>IFERROR(IF(Benchmark1[[#This Row],[Comparable '#2 Date Check]]="Pass",Benchmark1[[#This Row],[Comparable '#2 Return]]-Benchmark1[[#This Row],[Benchmark '#1 Return]],"-"),"-")</f>
        <v>1.7613254579152516E-2</v>
      </c>
      <c r="P720" s="1" t="str">
        <f>IF(COUNTIF(Comp3[Comparable '#3 Dates],Benchmark1[[#This Row],[Benchmark '#1 Dates]])=1,"Pass","Fail")</f>
        <v>Pass</v>
      </c>
      <c r="Q720" s="6">
        <f>IF(Benchmark1[[#This Row],[Comparable '#3 Date Check]]="Pass",INDEX(Comp3[Comparable '#3 Price],MATCH(Benchmark1[[#This Row],[Benchmark '#1 Dates]],Comp3[Comparable '#3 Dates],0)),"-")</f>
        <v>78.33</v>
      </c>
      <c r="R720" s="22">
        <f>IF(Benchmark1[[#This Row],[Comparable '#3 Date Check]]="Pass",INDEX(Comp3[Comparable '#3 Return],MATCH(Benchmark1[[#This Row],[Benchmark '#1 Dates]],Comp3[Comparable '#3 Dates],0)),"-")</f>
        <v>3.5810244177060212E-3</v>
      </c>
      <c r="S720" s="1">
        <f>IFERROR(IF(Benchmark1[[#This Row],[Comparable '#3 Date Check]]="Pass",Benchmark1[[#This Row],[Comparable '#3 Return]]-Benchmark1[[#This Row],[Benchmark '#1 Return]],"-"),"-")</f>
        <v>2.5263184651269404E-2</v>
      </c>
    </row>
    <row r="721" spans="1:19">
      <c r="A721" s="103">
        <v>44329</v>
      </c>
      <c r="B721" s="104">
        <v>4112.4960143557264</v>
      </c>
      <c r="C721" s="4">
        <f t="shared" si="11"/>
        <v>1.2099206768829609E-2</v>
      </c>
      <c r="D721" s="1" t="str">
        <f>IF(COUNTIF(Target1[Target Dates],Benchmark1[[#This Row],[Benchmark '#1 Dates]])=1,"Pass","Fail")</f>
        <v>Pass</v>
      </c>
      <c r="E721" s="6">
        <f>IF(Benchmark1[[#This Row],[Target Date Check]]="Pass",INDEX(Target1[Target Price],MATCH(Benchmark1[[#This Row],[Benchmark '#1 Dates]],Target1[Target Dates],0)),"-")</f>
        <v>26.77</v>
      </c>
      <c r="F721" s="22">
        <f>IF(Benchmark1[[#This Row],[Target Date Check]]="Pass",INDEX(Target1[Target Return],MATCH(Benchmark1[[#This Row],[Benchmark '#1 Dates]],Target1[Target Dates],0)),"-")</f>
        <v>4.492706920407632E-3</v>
      </c>
      <c r="G721" s="1">
        <f>IFERROR(IF(Benchmark1[[#This Row],[Target Date Check]]="Pass",Benchmark1[[#This Row],[Target Return]]-Benchmark1[[#This Row],[Benchmark '#1 Return]],"-"),"-")</f>
        <v>-7.6064998484219768E-3</v>
      </c>
      <c r="H721" s="1" t="str">
        <f>IF(COUNTIF(Comp1[Comparable '#1 Dates],Benchmark1[[#This Row],[Benchmark '#1 Dates]])=1,"Pass","Fail")</f>
        <v>Pass</v>
      </c>
      <c r="I721" s="6">
        <f>IF(Benchmark1[[#This Row],[Comparable '#1 Date Check]]="Pass",INDEX(Comp1[Comparable '#1 Price],MATCH(Benchmark1[[#This Row],[Benchmark '#1 Dates]],Comp1[Comparable '#1 Dates],0)),"-")</f>
        <v>14.25</v>
      </c>
      <c r="J721" s="22">
        <f>IF(Benchmark1[[#This Row],[Comparable '#1 Date Check]]="Pass",INDEX(Comp1[Comparable '#1 Return],MATCH(Benchmark1[[#This Row],[Benchmark '#1 Dates]],Comp1[Comparable '#1 Dates],0)),"-")</f>
        <v>-1.4025247740854356E-3</v>
      </c>
      <c r="K721" s="1">
        <f>IFERROR(IF(Benchmark1[[#This Row],[Comparable '#1 Date Check]]="Pass",Benchmark1[[#This Row],[Comparable '#1 Return]]-Benchmark1[[#This Row],[Benchmark '#1 Return]],"-"),"-")</f>
        <v>-1.3501731542915044E-2</v>
      </c>
      <c r="L721" s="1" t="str">
        <f>IF(COUNTIF(Comp2[Comparable '#2 Dates],Benchmark1[[#This Row],[Benchmark '#1 Dates]])=1,"Pass","Fail")</f>
        <v>Pass</v>
      </c>
      <c r="M721" s="6">
        <f>IF(Benchmark1[[#This Row],[Comparable '#2 Date Check]]="Pass",INDEX(Comp2[Comparable '#2 Price],MATCH(Benchmark1[[#This Row],[Benchmark '#1 Dates]],Comp2[Comparable '#2 Dates],0)),"-")</f>
        <v>36.69</v>
      </c>
      <c r="N721" s="22">
        <f>IF(Benchmark1[[#This Row],[Comparable '#2 Date Check]]="Pass",INDEX(Comp2[Comparable '#2 Return],MATCH(Benchmark1[[#This Row],[Benchmark '#1 Dates]],Comp2[Comparable '#2 Dates],0)),"-")</f>
        <v>-2.7218307494924019E-3</v>
      </c>
      <c r="O721" s="1">
        <f>IFERROR(IF(Benchmark1[[#This Row],[Comparable '#2 Date Check]]="Pass",Benchmark1[[#This Row],[Comparable '#2 Return]]-Benchmark1[[#This Row],[Benchmark '#1 Return]],"-"),"-")</f>
        <v>-1.4821037518322011E-2</v>
      </c>
      <c r="P721" s="1" t="str">
        <f>IF(COUNTIF(Comp3[Comparable '#3 Dates],Benchmark1[[#This Row],[Benchmark '#1 Dates]])=1,"Pass","Fail")</f>
        <v>Pass</v>
      </c>
      <c r="Q721" s="6">
        <f>IF(Benchmark1[[#This Row],[Comparable '#3 Date Check]]="Pass",INDEX(Comp3[Comparable '#3 Price],MATCH(Benchmark1[[#This Row],[Benchmark '#1 Dates]],Comp3[Comparable '#3 Dates],0)),"-")</f>
        <v>78.069999999999993</v>
      </c>
      <c r="R721" s="22">
        <f>IF(Benchmark1[[#This Row],[Comparable '#3 Date Check]]="Pass",INDEX(Comp3[Comparable '#3 Return],MATCH(Benchmark1[[#This Row],[Benchmark '#1 Dates]],Comp3[Comparable '#3 Dates],0)),"-")</f>
        <v>-3.3248112469476902E-3</v>
      </c>
      <c r="S721" s="1">
        <f>IFERROR(IF(Benchmark1[[#This Row],[Comparable '#3 Date Check]]="Pass",Benchmark1[[#This Row],[Comparable '#3 Return]]-Benchmark1[[#This Row],[Benchmark '#1 Return]],"-"),"-")</f>
        <v>-1.5424018015777299E-2</v>
      </c>
    </row>
    <row r="722" spans="1:19">
      <c r="A722" s="103">
        <v>44330</v>
      </c>
      <c r="B722" s="104">
        <v>4173.8540942424324</v>
      </c>
      <c r="C722" s="4">
        <f t="shared" si="11"/>
        <v>1.4809705247137286E-2</v>
      </c>
      <c r="D722" s="1" t="str">
        <f>IF(COUNTIF(Target1[Target Dates],Benchmark1[[#This Row],[Benchmark '#1 Dates]])=1,"Pass","Fail")</f>
        <v>Pass</v>
      </c>
      <c r="E722" s="6">
        <f>IF(Benchmark1[[#This Row],[Target Date Check]]="Pass",INDEX(Target1[Target Price],MATCH(Benchmark1[[#This Row],[Benchmark '#1 Dates]],Target1[Target Dates],0)),"-")</f>
        <v>27.57</v>
      </c>
      <c r="F722" s="22">
        <f>IF(Benchmark1[[#This Row],[Target Date Check]]="Pass",INDEX(Target1[Target Return],MATCH(Benchmark1[[#This Row],[Benchmark '#1 Dates]],Target1[Target Dates],0)),"-")</f>
        <v>2.9446367503444329E-2</v>
      </c>
      <c r="G722" s="1">
        <f>IFERROR(IF(Benchmark1[[#This Row],[Target Date Check]]="Pass",Benchmark1[[#This Row],[Target Return]]-Benchmark1[[#This Row],[Benchmark '#1 Return]],"-"),"-")</f>
        <v>1.4636662256307043E-2</v>
      </c>
      <c r="H722" s="1" t="str">
        <f>IF(COUNTIF(Comp1[Comparable '#1 Dates],Benchmark1[[#This Row],[Benchmark '#1 Dates]])=1,"Pass","Fail")</f>
        <v>Pass</v>
      </c>
      <c r="I722" s="6">
        <f>IF(Benchmark1[[#This Row],[Comparable '#1 Date Check]]="Pass",INDEX(Comp1[Comparable '#1 Price],MATCH(Benchmark1[[#This Row],[Benchmark '#1 Dates]],Comp1[Comparable '#1 Dates],0)),"-")</f>
        <v>14.56</v>
      </c>
      <c r="J722" s="22">
        <f>IF(Benchmark1[[#This Row],[Comparable '#1 Date Check]]="Pass",INDEX(Comp1[Comparable '#1 Return],MATCH(Benchmark1[[#This Row],[Benchmark '#1 Dates]],Comp1[Comparable '#1 Dates],0)),"-")</f>
        <v>2.15211360538804E-2</v>
      </c>
      <c r="K722" s="1">
        <f>IFERROR(IF(Benchmark1[[#This Row],[Comparable '#1 Date Check]]="Pass",Benchmark1[[#This Row],[Comparable '#1 Return]]-Benchmark1[[#This Row],[Benchmark '#1 Return]],"-"),"-")</f>
        <v>6.7114308067431142E-3</v>
      </c>
      <c r="L722" s="1" t="str">
        <f>IF(COUNTIF(Comp2[Comparable '#2 Dates],Benchmark1[[#This Row],[Benchmark '#1 Dates]])=1,"Pass","Fail")</f>
        <v>Pass</v>
      </c>
      <c r="M722" s="6">
        <f>IF(Benchmark1[[#This Row],[Comparable '#2 Date Check]]="Pass",INDEX(Comp2[Comparable '#2 Price],MATCH(Benchmark1[[#This Row],[Benchmark '#1 Dates]],Comp2[Comparable '#2 Dates],0)),"-")</f>
        <v>38.049999999999997</v>
      </c>
      <c r="N722" s="22">
        <f>IF(Benchmark1[[#This Row],[Comparable '#2 Date Check]]="Pass",INDEX(Comp2[Comparable '#2 Return],MATCH(Benchmark1[[#This Row],[Benchmark '#1 Dates]],Comp2[Comparable '#2 Dates],0)),"-")</f>
        <v>3.6396845940504158E-2</v>
      </c>
      <c r="O722" s="1">
        <f>IFERROR(IF(Benchmark1[[#This Row],[Comparable '#2 Date Check]]="Pass",Benchmark1[[#This Row],[Comparable '#2 Return]]-Benchmark1[[#This Row],[Benchmark '#1 Return]],"-"),"-")</f>
        <v>2.1587140693366872E-2</v>
      </c>
      <c r="P722" s="1" t="str">
        <f>IF(COUNTIF(Comp3[Comparable '#3 Dates],Benchmark1[[#This Row],[Benchmark '#1 Dates]])=1,"Pass","Fail")</f>
        <v>Pass</v>
      </c>
      <c r="Q722" s="6">
        <f>IF(Benchmark1[[#This Row],[Comparable '#3 Date Check]]="Pass",INDEX(Comp3[Comparable '#3 Price],MATCH(Benchmark1[[#This Row],[Benchmark '#1 Dates]],Comp3[Comparable '#3 Dates],0)),"-")</f>
        <v>76.61</v>
      </c>
      <c r="R722" s="22">
        <f>IF(Benchmark1[[#This Row],[Comparable '#3 Date Check]]="Pass",INDEX(Comp3[Comparable '#3 Return],MATCH(Benchmark1[[#This Row],[Benchmark '#1 Dates]],Comp3[Comparable '#3 Dates],0)),"-")</f>
        <v>-1.8878243603469989E-2</v>
      </c>
      <c r="S722" s="1">
        <f>IFERROR(IF(Benchmark1[[#This Row],[Comparable '#3 Date Check]]="Pass",Benchmark1[[#This Row],[Comparable '#3 Return]]-Benchmark1[[#This Row],[Benchmark '#1 Return]],"-"),"-")</f>
        <v>-3.3687948850607274E-2</v>
      </c>
    </row>
    <row r="723" spans="1:19">
      <c r="A723" s="103">
        <v>44333</v>
      </c>
      <c r="B723" s="104">
        <v>4163.2904545989159</v>
      </c>
      <c r="C723" s="4">
        <f t="shared" si="11"/>
        <v>-2.5341159037637162E-3</v>
      </c>
      <c r="D723" s="1" t="str">
        <f>IF(COUNTIF(Target1[Target Dates],Benchmark1[[#This Row],[Benchmark '#1 Dates]])=1,"Pass","Fail")</f>
        <v>Pass</v>
      </c>
      <c r="E723" s="6">
        <f>IF(Benchmark1[[#This Row],[Target Date Check]]="Pass",INDEX(Target1[Target Price],MATCH(Benchmark1[[#This Row],[Benchmark '#1 Dates]],Target1[Target Dates],0)),"-")</f>
        <v>28.44</v>
      </c>
      <c r="F723" s="22">
        <f>IF(Benchmark1[[#This Row],[Target Date Check]]="Pass",INDEX(Target1[Target Return],MATCH(Benchmark1[[#This Row],[Benchmark '#1 Dates]],Target1[Target Dates],0)),"-")</f>
        <v>3.1068379899334694E-2</v>
      </c>
      <c r="G723" s="1">
        <f>IFERROR(IF(Benchmark1[[#This Row],[Target Date Check]]="Pass",Benchmark1[[#This Row],[Target Return]]-Benchmark1[[#This Row],[Benchmark '#1 Return]],"-"),"-")</f>
        <v>3.360249580309841E-2</v>
      </c>
      <c r="H723" s="1" t="str">
        <f>IF(COUNTIF(Comp1[Comparable '#1 Dates],Benchmark1[[#This Row],[Benchmark '#1 Dates]])=1,"Pass","Fail")</f>
        <v>Pass</v>
      </c>
      <c r="I723" s="6">
        <f>IF(Benchmark1[[#This Row],[Comparable '#1 Date Check]]="Pass",INDEX(Comp1[Comparable '#1 Price],MATCH(Benchmark1[[#This Row],[Benchmark '#1 Dates]],Comp1[Comparable '#1 Dates],0)),"-")</f>
        <v>14.58</v>
      </c>
      <c r="J723" s="22">
        <f>IF(Benchmark1[[#This Row],[Comparable '#1 Date Check]]="Pass",INDEX(Comp1[Comparable '#1 Return],MATCH(Benchmark1[[#This Row],[Benchmark '#1 Dates]],Comp1[Comparable '#1 Dates],0)),"-")</f>
        <v>1.3726838119721742E-3</v>
      </c>
      <c r="K723" s="1">
        <f>IFERROR(IF(Benchmark1[[#This Row],[Comparable '#1 Date Check]]="Pass",Benchmark1[[#This Row],[Comparable '#1 Return]]-Benchmark1[[#This Row],[Benchmark '#1 Return]],"-"),"-")</f>
        <v>3.9067997157358906E-3</v>
      </c>
      <c r="L723" s="1" t="str">
        <f>IF(COUNTIF(Comp2[Comparable '#2 Dates],Benchmark1[[#This Row],[Benchmark '#1 Dates]])=1,"Pass","Fail")</f>
        <v>Pass</v>
      </c>
      <c r="M723" s="6">
        <f>IF(Benchmark1[[#This Row],[Comparable '#2 Date Check]]="Pass",INDEX(Comp2[Comparable '#2 Price],MATCH(Benchmark1[[#This Row],[Benchmark '#1 Dates]],Comp2[Comparable '#2 Dates],0)),"-")</f>
        <v>37.96</v>
      </c>
      <c r="N723" s="22">
        <f>IF(Benchmark1[[#This Row],[Comparable '#2 Date Check]]="Pass",INDEX(Comp2[Comparable '#2 Return],MATCH(Benchmark1[[#This Row],[Benchmark '#1 Dates]],Comp2[Comparable '#2 Dates],0)),"-")</f>
        <v>-2.3681105659676687E-3</v>
      </c>
      <c r="O723" s="1">
        <f>IFERROR(IF(Benchmark1[[#This Row],[Comparable '#2 Date Check]]="Pass",Benchmark1[[#This Row],[Comparable '#2 Return]]-Benchmark1[[#This Row],[Benchmark '#1 Return]],"-"),"-")</f>
        <v>1.6600533779604753E-4</v>
      </c>
      <c r="P723" s="1" t="str">
        <f>IF(COUNTIF(Comp3[Comparable '#3 Dates],Benchmark1[[#This Row],[Benchmark '#1 Dates]])=1,"Pass","Fail")</f>
        <v>Pass</v>
      </c>
      <c r="Q723" s="6">
        <f>IF(Benchmark1[[#This Row],[Comparable '#3 Date Check]]="Pass",INDEX(Comp3[Comparable '#3 Price],MATCH(Benchmark1[[#This Row],[Benchmark '#1 Dates]],Comp3[Comparable '#3 Dates],0)),"-")</f>
        <v>76.95</v>
      </c>
      <c r="R723" s="22">
        <f>IF(Benchmark1[[#This Row],[Comparable '#3 Date Check]]="Pass",INDEX(Comp3[Comparable '#3 Return],MATCH(Benchmark1[[#This Row],[Benchmark '#1 Dates]],Comp3[Comparable '#3 Dates],0)),"-")</f>
        <v>4.4282437561587997E-3</v>
      </c>
      <c r="S723" s="1">
        <f>IFERROR(IF(Benchmark1[[#This Row],[Comparable '#3 Date Check]]="Pass",Benchmark1[[#This Row],[Comparable '#3 Return]]-Benchmark1[[#This Row],[Benchmark '#1 Return]],"-"),"-")</f>
        <v>6.9623596599225155E-3</v>
      </c>
    </row>
    <row r="724" spans="1:19">
      <c r="A724" s="103">
        <v>44334</v>
      </c>
      <c r="B724" s="104">
        <v>4127.8298252134391</v>
      </c>
      <c r="C724" s="4">
        <f t="shared" si="11"/>
        <v>-8.5539334635117842E-3</v>
      </c>
      <c r="D724" s="1" t="str">
        <f>IF(COUNTIF(Target1[Target Dates],Benchmark1[[#This Row],[Benchmark '#1 Dates]])=1,"Pass","Fail")</f>
        <v>Pass</v>
      </c>
      <c r="E724" s="6">
        <f>IF(Benchmark1[[#This Row],[Target Date Check]]="Pass",INDEX(Target1[Target Price],MATCH(Benchmark1[[#This Row],[Benchmark '#1 Dates]],Target1[Target Dates],0)),"-")</f>
        <v>28.77</v>
      </c>
      <c r="F724" s="22">
        <f>IF(Benchmark1[[#This Row],[Target Date Check]]="Pass",INDEX(Target1[Target Return],MATCH(Benchmark1[[#This Row],[Benchmark '#1 Dates]],Target1[Target Dates],0)),"-")</f>
        <v>1.1536572628416331E-2</v>
      </c>
      <c r="G724" s="1">
        <f>IFERROR(IF(Benchmark1[[#This Row],[Target Date Check]]="Pass",Benchmark1[[#This Row],[Target Return]]-Benchmark1[[#This Row],[Benchmark '#1 Return]],"-"),"-")</f>
        <v>2.0090506091928115E-2</v>
      </c>
      <c r="H724" s="1" t="str">
        <f>IF(COUNTIF(Comp1[Comparable '#1 Dates],Benchmark1[[#This Row],[Benchmark '#1 Dates]])=1,"Pass","Fail")</f>
        <v>Pass</v>
      </c>
      <c r="I724" s="6">
        <f>IF(Benchmark1[[#This Row],[Comparable '#1 Date Check]]="Pass",INDEX(Comp1[Comparable '#1 Price],MATCH(Benchmark1[[#This Row],[Benchmark '#1 Dates]],Comp1[Comparable '#1 Dates],0)),"-")</f>
        <v>14.53</v>
      </c>
      <c r="J724" s="22">
        <f>IF(Benchmark1[[#This Row],[Comparable '#1 Date Check]]="Pass",INDEX(Comp1[Comparable '#1 Return],MATCH(Benchmark1[[#This Row],[Benchmark '#1 Dates]],Comp1[Comparable '#1 Dates],0)),"-")</f>
        <v>-3.435248998320557E-3</v>
      </c>
      <c r="K724" s="1">
        <f>IFERROR(IF(Benchmark1[[#This Row],[Comparable '#1 Date Check]]="Pass",Benchmark1[[#This Row],[Comparable '#1 Return]]-Benchmark1[[#This Row],[Benchmark '#1 Return]],"-"),"-")</f>
        <v>5.1186844651912276E-3</v>
      </c>
      <c r="L724" s="1" t="str">
        <f>IF(COUNTIF(Comp2[Comparable '#2 Dates],Benchmark1[[#This Row],[Benchmark '#1 Dates]])=1,"Pass","Fail")</f>
        <v>Pass</v>
      </c>
      <c r="M724" s="6">
        <f>IF(Benchmark1[[#This Row],[Comparable '#2 Date Check]]="Pass",INDEX(Comp2[Comparable '#2 Price],MATCH(Benchmark1[[#This Row],[Benchmark '#1 Dates]],Comp2[Comparable '#2 Dates],0)),"-")</f>
        <v>38.130000000000003</v>
      </c>
      <c r="N724" s="22">
        <f>IF(Benchmark1[[#This Row],[Comparable '#2 Date Check]]="Pass",INDEX(Comp2[Comparable '#2 Return],MATCH(Benchmark1[[#This Row],[Benchmark '#1 Dates]],Comp2[Comparable '#2 Dates],0)),"-")</f>
        <v>4.4684001277453689E-3</v>
      </c>
      <c r="O724" s="1">
        <f>IFERROR(IF(Benchmark1[[#This Row],[Comparable '#2 Date Check]]="Pass",Benchmark1[[#This Row],[Comparable '#2 Return]]-Benchmark1[[#This Row],[Benchmark '#1 Return]],"-"),"-")</f>
        <v>1.3022333591257153E-2</v>
      </c>
      <c r="P724" s="1" t="str">
        <f>IF(COUNTIF(Comp3[Comparable '#3 Dates],Benchmark1[[#This Row],[Benchmark '#1 Dates]])=1,"Pass","Fail")</f>
        <v>Pass</v>
      </c>
      <c r="Q724" s="6">
        <f>IF(Benchmark1[[#This Row],[Comparable '#3 Date Check]]="Pass",INDEX(Comp3[Comparable '#3 Price],MATCH(Benchmark1[[#This Row],[Benchmark '#1 Dates]],Comp3[Comparable '#3 Dates],0)),"-")</f>
        <v>76.430000000000007</v>
      </c>
      <c r="R724" s="22">
        <f>IF(Benchmark1[[#This Row],[Comparable '#3 Date Check]]="Pass",INDEX(Comp3[Comparable '#3 Return],MATCH(Benchmark1[[#This Row],[Benchmark '#1 Dates]],Comp3[Comparable '#3 Dates],0)),"-")</f>
        <v>-6.780571030095466E-3</v>
      </c>
      <c r="S724" s="1">
        <f>IFERROR(IF(Benchmark1[[#This Row],[Comparable '#3 Date Check]]="Pass",Benchmark1[[#This Row],[Comparable '#3 Return]]-Benchmark1[[#This Row],[Benchmark '#1 Return]],"-"),"-")</f>
        <v>1.7733624334163181E-3</v>
      </c>
    </row>
    <row r="725" spans="1:19">
      <c r="A725" s="103">
        <v>44335</v>
      </c>
      <c r="B725" s="104">
        <v>4115.6767845125951</v>
      </c>
      <c r="C725" s="4">
        <f t="shared" si="11"/>
        <v>-2.9485145292700004E-3</v>
      </c>
      <c r="D725" s="1" t="str">
        <f>IF(COUNTIF(Target1[Target Dates],Benchmark1[[#This Row],[Benchmark '#1 Dates]])=1,"Pass","Fail")</f>
        <v>Pass</v>
      </c>
      <c r="E725" s="6">
        <f>IF(Benchmark1[[#This Row],[Target Date Check]]="Pass",INDEX(Target1[Target Price],MATCH(Benchmark1[[#This Row],[Benchmark '#1 Dates]],Target1[Target Dates],0)),"-")</f>
        <v>27.71</v>
      </c>
      <c r="F725" s="22">
        <f>IF(Benchmark1[[#This Row],[Target Date Check]]="Pass",INDEX(Target1[Target Return],MATCH(Benchmark1[[#This Row],[Benchmark '#1 Dates]],Target1[Target Dates],0)),"-")</f>
        <v>-3.7539818688569454E-2</v>
      </c>
      <c r="G725" s="1">
        <f>IFERROR(IF(Benchmark1[[#This Row],[Target Date Check]]="Pass",Benchmark1[[#This Row],[Target Return]]-Benchmark1[[#This Row],[Benchmark '#1 Return]],"-"),"-")</f>
        <v>-3.4591304159299452E-2</v>
      </c>
      <c r="H725" s="1" t="str">
        <f>IF(COUNTIF(Comp1[Comparable '#1 Dates],Benchmark1[[#This Row],[Benchmark '#1 Dates]])=1,"Pass","Fail")</f>
        <v>Pass</v>
      </c>
      <c r="I725" s="6">
        <f>IF(Benchmark1[[#This Row],[Comparable '#1 Date Check]]="Pass",INDEX(Comp1[Comparable '#1 Price],MATCH(Benchmark1[[#This Row],[Benchmark '#1 Dates]],Comp1[Comparable '#1 Dates],0)),"-")</f>
        <v>14.48</v>
      </c>
      <c r="J725" s="22">
        <f>IF(Benchmark1[[#This Row],[Comparable '#1 Date Check]]="Pass",INDEX(Comp1[Comparable '#1 Return],MATCH(Benchmark1[[#This Row],[Benchmark '#1 Dates]],Comp1[Comparable '#1 Dates],0)),"-")</f>
        <v>-3.4470906246211806E-3</v>
      </c>
      <c r="K725" s="1">
        <f>IFERROR(IF(Benchmark1[[#This Row],[Comparable '#1 Date Check]]="Pass",Benchmark1[[#This Row],[Comparable '#1 Return]]-Benchmark1[[#This Row],[Benchmark '#1 Return]],"-"),"-")</f>
        <v>-4.9857609535118022E-4</v>
      </c>
      <c r="L725" s="1" t="str">
        <f>IF(COUNTIF(Comp2[Comparable '#2 Dates],Benchmark1[[#This Row],[Benchmark '#1 Dates]])=1,"Pass","Fail")</f>
        <v>Pass</v>
      </c>
      <c r="M725" s="6">
        <f>IF(Benchmark1[[#This Row],[Comparable '#2 Date Check]]="Pass",INDEX(Comp2[Comparable '#2 Price],MATCH(Benchmark1[[#This Row],[Benchmark '#1 Dates]],Comp2[Comparable '#2 Dates],0)),"-")</f>
        <v>37.270000000000003</v>
      </c>
      <c r="N725" s="22">
        <f>IF(Benchmark1[[#This Row],[Comparable '#2 Date Check]]="Pass",INDEX(Comp2[Comparable '#2 Return],MATCH(Benchmark1[[#This Row],[Benchmark '#1 Dates]],Comp2[Comparable '#2 Dates],0)),"-")</f>
        <v>-2.2812660378305354E-2</v>
      </c>
      <c r="O725" s="1">
        <f>IFERROR(IF(Benchmark1[[#This Row],[Comparable '#2 Date Check]]="Pass",Benchmark1[[#This Row],[Comparable '#2 Return]]-Benchmark1[[#This Row],[Benchmark '#1 Return]],"-"),"-")</f>
        <v>-1.9864145849035356E-2</v>
      </c>
      <c r="P725" s="1" t="str">
        <f>IF(COUNTIF(Comp3[Comparable '#3 Dates],Benchmark1[[#This Row],[Benchmark '#1 Dates]])=1,"Pass","Fail")</f>
        <v>Pass</v>
      </c>
      <c r="Q725" s="6">
        <f>IF(Benchmark1[[#This Row],[Comparable '#3 Date Check]]="Pass",INDEX(Comp3[Comparable '#3 Price],MATCH(Benchmark1[[#This Row],[Benchmark '#1 Dates]],Comp3[Comparable '#3 Dates],0)),"-")</f>
        <v>76.14</v>
      </c>
      <c r="R725" s="22">
        <f>IF(Benchmark1[[#This Row],[Comparable '#3 Date Check]]="Pass",INDEX(Comp3[Comparable '#3 Return],MATCH(Benchmark1[[#This Row],[Benchmark '#1 Dates]],Comp3[Comparable '#3 Dates],0)),"-")</f>
        <v>-3.8015383004414561E-3</v>
      </c>
      <c r="S725" s="1">
        <f>IFERROR(IF(Benchmark1[[#This Row],[Comparable '#3 Date Check]]="Pass",Benchmark1[[#This Row],[Comparable '#3 Return]]-Benchmark1[[#This Row],[Benchmark '#1 Return]],"-"),"-")</f>
        <v>-8.5302377117145575E-4</v>
      </c>
    </row>
    <row r="726" spans="1:19">
      <c r="A726" s="103">
        <v>44336</v>
      </c>
      <c r="B726" s="104">
        <v>4159.1244180773328</v>
      </c>
      <c r="C726" s="4">
        <f t="shared" si="11"/>
        <v>1.0501287408193137E-2</v>
      </c>
      <c r="D726" s="1" t="str">
        <f>IF(COUNTIF(Target1[Target Dates],Benchmark1[[#This Row],[Benchmark '#1 Dates]])=1,"Pass","Fail")</f>
        <v>Pass</v>
      </c>
      <c r="E726" s="6">
        <f>IF(Benchmark1[[#This Row],[Target Date Check]]="Pass",INDEX(Target1[Target Price],MATCH(Benchmark1[[#This Row],[Benchmark '#1 Dates]],Target1[Target Dates],0)),"-")</f>
        <v>27.98</v>
      </c>
      <c r="F726" s="22">
        <f>IF(Benchmark1[[#This Row],[Target Date Check]]="Pass",INDEX(Target1[Target Return],MATCH(Benchmark1[[#This Row],[Benchmark '#1 Dates]],Target1[Target Dates],0)),"-")</f>
        <v>9.696610362448144E-3</v>
      </c>
      <c r="G726" s="1">
        <f>IFERROR(IF(Benchmark1[[#This Row],[Target Date Check]]="Pass",Benchmark1[[#This Row],[Target Return]]-Benchmark1[[#This Row],[Benchmark '#1 Return]],"-"),"-")</f>
        <v>-8.0467704574499303E-4</v>
      </c>
      <c r="H726" s="1" t="str">
        <f>IF(COUNTIF(Comp1[Comparable '#1 Dates],Benchmark1[[#This Row],[Benchmark '#1 Dates]])=1,"Pass","Fail")</f>
        <v>Pass</v>
      </c>
      <c r="I726" s="6">
        <f>IF(Benchmark1[[#This Row],[Comparable '#1 Date Check]]="Pass",INDEX(Comp1[Comparable '#1 Price],MATCH(Benchmark1[[#This Row],[Benchmark '#1 Dates]],Comp1[Comparable '#1 Dates],0)),"-")</f>
        <v>14.62</v>
      </c>
      <c r="J726" s="22">
        <f>IF(Benchmark1[[#This Row],[Comparable '#1 Date Check]]="Pass",INDEX(Comp1[Comparable '#1 Return],MATCH(Benchmark1[[#This Row],[Benchmark '#1 Dates]],Comp1[Comparable '#1 Dates],0)),"-")</f>
        <v>9.6220673640620303E-3</v>
      </c>
      <c r="K726" s="1">
        <f>IFERROR(IF(Benchmark1[[#This Row],[Comparable '#1 Date Check]]="Pass",Benchmark1[[#This Row],[Comparable '#1 Return]]-Benchmark1[[#This Row],[Benchmark '#1 Return]],"-"),"-")</f>
        <v>-8.7922004413110676E-4</v>
      </c>
      <c r="L726" s="1" t="str">
        <f>IF(COUNTIF(Comp2[Comparable '#2 Dates],Benchmark1[[#This Row],[Benchmark '#1 Dates]])=1,"Pass","Fail")</f>
        <v>Pass</v>
      </c>
      <c r="M726" s="6">
        <f>IF(Benchmark1[[#This Row],[Comparable '#2 Date Check]]="Pass",INDEX(Comp2[Comparable '#2 Price],MATCH(Benchmark1[[#This Row],[Benchmark '#1 Dates]],Comp2[Comparable '#2 Dates],0)),"-")</f>
        <v>37.86</v>
      </c>
      <c r="N726" s="22">
        <f>IF(Benchmark1[[#This Row],[Comparable '#2 Date Check]]="Pass",INDEX(Comp2[Comparable '#2 Return],MATCH(Benchmark1[[#This Row],[Benchmark '#1 Dates]],Comp2[Comparable '#2 Dates],0)),"-")</f>
        <v>1.5706432290009672E-2</v>
      </c>
      <c r="O726" s="1">
        <f>IFERROR(IF(Benchmark1[[#This Row],[Comparable '#2 Date Check]]="Pass",Benchmark1[[#This Row],[Comparable '#2 Return]]-Benchmark1[[#This Row],[Benchmark '#1 Return]],"-"),"-")</f>
        <v>5.2051448818165348E-3</v>
      </c>
      <c r="P726" s="1" t="str">
        <f>IF(COUNTIF(Comp3[Comparable '#3 Dates],Benchmark1[[#This Row],[Benchmark '#1 Dates]])=1,"Pass","Fail")</f>
        <v>Pass</v>
      </c>
      <c r="Q726" s="6">
        <f>IF(Benchmark1[[#This Row],[Comparable '#3 Date Check]]="Pass",INDEX(Comp3[Comparable '#3 Price],MATCH(Benchmark1[[#This Row],[Benchmark '#1 Dates]],Comp3[Comparable '#3 Dates],0)),"-")</f>
        <v>76.47</v>
      </c>
      <c r="R726" s="22">
        <f>IF(Benchmark1[[#This Row],[Comparable '#3 Date Check]]="Pass",INDEX(Comp3[Comparable '#3 Return],MATCH(Benchmark1[[#This Row],[Benchmark '#1 Dates]],Comp3[Comparable '#3 Dates],0)),"-")</f>
        <v>4.3247561017825337E-3</v>
      </c>
      <c r="S726" s="1">
        <f>IFERROR(IF(Benchmark1[[#This Row],[Comparable '#3 Date Check]]="Pass",Benchmark1[[#This Row],[Comparable '#3 Return]]-Benchmark1[[#This Row],[Benchmark '#1 Return]],"-"),"-")</f>
        <v>-6.1765313064106033E-3</v>
      </c>
    </row>
    <row r="727" spans="1:19">
      <c r="A727" s="103">
        <v>44337</v>
      </c>
      <c r="B727" s="104">
        <v>4155.8578117310499</v>
      </c>
      <c r="C727" s="4">
        <f t="shared" si="11"/>
        <v>-7.857158137092845E-4</v>
      </c>
      <c r="D727" s="1" t="str">
        <f>IF(COUNTIF(Target1[Target Dates],Benchmark1[[#This Row],[Benchmark '#1 Dates]])=1,"Pass","Fail")</f>
        <v>Pass</v>
      </c>
      <c r="E727" s="6">
        <f>IF(Benchmark1[[#This Row],[Target Date Check]]="Pass",INDEX(Target1[Target Price],MATCH(Benchmark1[[#This Row],[Benchmark '#1 Dates]],Target1[Target Dates],0)),"-")</f>
        <v>27.95</v>
      </c>
      <c r="F727" s="22">
        <f>IF(Benchmark1[[#This Row],[Target Date Check]]="Pass",INDEX(Target1[Target Return],MATCH(Benchmark1[[#This Row],[Benchmark '#1 Dates]],Target1[Target Dates],0)),"-")</f>
        <v>-1.0727696362270154E-3</v>
      </c>
      <c r="G727" s="1">
        <f>IFERROR(IF(Benchmark1[[#This Row],[Target Date Check]]="Pass",Benchmark1[[#This Row],[Target Return]]-Benchmark1[[#This Row],[Benchmark '#1 Return]],"-"),"-")</f>
        <v>-2.870538225177309E-4</v>
      </c>
      <c r="H727" s="1" t="str">
        <f>IF(COUNTIF(Comp1[Comparable '#1 Dates],Benchmark1[[#This Row],[Benchmark '#1 Dates]])=1,"Pass","Fail")</f>
        <v>Pass</v>
      </c>
      <c r="I727" s="6">
        <f>IF(Benchmark1[[#This Row],[Comparable '#1 Date Check]]="Pass",INDEX(Comp1[Comparable '#1 Price],MATCH(Benchmark1[[#This Row],[Benchmark '#1 Dates]],Comp1[Comparable '#1 Dates],0)),"-")</f>
        <v>14.32</v>
      </c>
      <c r="J727" s="22">
        <f>IF(Benchmark1[[#This Row],[Comparable '#1 Date Check]]="Pass",INDEX(Comp1[Comparable '#1 Return],MATCH(Benchmark1[[#This Row],[Benchmark '#1 Dates]],Comp1[Comparable '#1 Dates],0)),"-")</f>
        <v>-2.0733292789132846E-2</v>
      </c>
      <c r="K727" s="1">
        <f>IFERROR(IF(Benchmark1[[#This Row],[Comparable '#1 Date Check]]="Pass",Benchmark1[[#This Row],[Comparable '#1 Return]]-Benchmark1[[#This Row],[Benchmark '#1 Return]],"-"),"-")</f>
        <v>-1.9947576975423563E-2</v>
      </c>
      <c r="L727" s="1" t="str">
        <f>IF(COUNTIF(Comp2[Comparable '#2 Dates],Benchmark1[[#This Row],[Benchmark '#1 Dates]])=1,"Pass","Fail")</f>
        <v>Pass</v>
      </c>
      <c r="M727" s="6">
        <f>IF(Benchmark1[[#This Row],[Comparable '#2 Date Check]]="Pass",INDEX(Comp2[Comparable '#2 Price],MATCH(Benchmark1[[#This Row],[Benchmark '#1 Dates]],Comp2[Comparable '#2 Dates],0)),"-")</f>
        <v>37.880000000000003</v>
      </c>
      <c r="N727" s="22">
        <f>IF(Benchmark1[[#This Row],[Comparable '#2 Date Check]]="Pass",INDEX(Comp2[Comparable '#2 Return],MATCH(Benchmark1[[#This Row],[Benchmark '#1 Dates]],Comp2[Comparable '#2 Dates],0)),"-")</f>
        <v>5.281225367007637E-4</v>
      </c>
      <c r="O727" s="1">
        <f>IFERROR(IF(Benchmark1[[#This Row],[Comparable '#2 Date Check]]="Pass",Benchmark1[[#This Row],[Comparable '#2 Return]]-Benchmark1[[#This Row],[Benchmark '#1 Return]],"-"),"-")</f>
        <v>1.3138383504100481E-3</v>
      </c>
      <c r="P727" s="1" t="str">
        <f>IF(COUNTIF(Comp3[Comparable '#3 Dates],Benchmark1[[#This Row],[Benchmark '#1 Dates]])=1,"Pass","Fail")</f>
        <v>Pass</v>
      </c>
      <c r="Q727" s="6">
        <f>IF(Benchmark1[[#This Row],[Comparable '#3 Date Check]]="Pass",INDEX(Comp3[Comparable '#3 Price],MATCH(Benchmark1[[#This Row],[Benchmark '#1 Dates]],Comp3[Comparable '#3 Dates],0)),"-")</f>
        <v>74.099999999999994</v>
      </c>
      <c r="R727" s="22">
        <f>IF(Benchmark1[[#This Row],[Comparable '#3 Date Check]]="Pass",INDEX(Comp3[Comparable '#3 Return],MATCH(Benchmark1[[#This Row],[Benchmark '#1 Dates]],Comp3[Comparable '#3 Dates],0)),"-")</f>
        <v>-3.1482974754092605E-2</v>
      </c>
      <c r="S727" s="1">
        <f>IFERROR(IF(Benchmark1[[#This Row],[Comparable '#3 Date Check]]="Pass",Benchmark1[[#This Row],[Comparable '#3 Return]]-Benchmark1[[#This Row],[Benchmark '#1 Return]],"-"),"-")</f>
        <v>-3.0697258940383321E-2</v>
      </c>
    </row>
    <row r="728" spans="1:19">
      <c r="A728" s="103">
        <v>44340</v>
      </c>
      <c r="B728" s="104">
        <v>4197.0472518328097</v>
      </c>
      <c r="C728" s="4">
        <f t="shared" si="11"/>
        <v>9.862382883757367E-3</v>
      </c>
      <c r="D728" s="1" t="str">
        <f>IF(COUNTIF(Target1[Target Dates],Benchmark1[[#This Row],[Benchmark '#1 Dates]])=1,"Pass","Fail")</f>
        <v>Pass</v>
      </c>
      <c r="E728" s="6">
        <f>IF(Benchmark1[[#This Row],[Target Date Check]]="Pass",INDEX(Target1[Target Price],MATCH(Benchmark1[[#This Row],[Benchmark '#1 Dates]],Target1[Target Dates],0)),"-")</f>
        <v>27.64</v>
      </c>
      <c r="F728" s="22">
        <f>IF(Benchmark1[[#This Row],[Target Date Check]]="Pass",INDEX(Target1[Target Return],MATCH(Benchmark1[[#This Row],[Benchmark '#1 Dates]],Target1[Target Dates],0)),"-")</f>
        <v>-1.1153200701639002E-2</v>
      </c>
      <c r="G728" s="1">
        <f>IFERROR(IF(Benchmark1[[#This Row],[Target Date Check]]="Pass",Benchmark1[[#This Row],[Target Return]]-Benchmark1[[#This Row],[Benchmark '#1 Return]],"-"),"-")</f>
        <v>-2.1015583585396368E-2</v>
      </c>
      <c r="H728" s="1" t="str">
        <f>IF(COUNTIF(Comp1[Comparable '#1 Dates],Benchmark1[[#This Row],[Benchmark '#1 Dates]])=1,"Pass","Fail")</f>
        <v>Pass</v>
      </c>
      <c r="I728" s="6">
        <f>IF(Benchmark1[[#This Row],[Comparable '#1 Date Check]]="Pass",INDEX(Comp1[Comparable '#1 Price],MATCH(Benchmark1[[#This Row],[Benchmark '#1 Dates]],Comp1[Comparable '#1 Dates],0)),"-")</f>
        <v>14.26</v>
      </c>
      <c r="J728" s="22">
        <f>IF(Benchmark1[[#This Row],[Comparable '#1 Date Check]]="Pass",INDEX(Comp1[Comparable '#1 Return],MATCH(Benchmark1[[#This Row],[Benchmark '#1 Dates]],Comp1[Comparable '#1 Dates],0)),"-")</f>
        <v>-4.1987465463497161E-3</v>
      </c>
      <c r="K728" s="1">
        <f>IFERROR(IF(Benchmark1[[#This Row],[Comparable '#1 Date Check]]="Pass",Benchmark1[[#This Row],[Comparable '#1 Return]]-Benchmark1[[#This Row],[Benchmark '#1 Return]],"-"),"-")</f>
        <v>-1.4061129430107084E-2</v>
      </c>
      <c r="L728" s="1" t="str">
        <f>IF(COUNTIF(Comp2[Comparable '#2 Dates],Benchmark1[[#This Row],[Benchmark '#1 Dates]])=1,"Pass","Fail")</f>
        <v>Pass</v>
      </c>
      <c r="M728" s="6">
        <f>IF(Benchmark1[[#This Row],[Comparable '#2 Date Check]]="Pass",INDEX(Comp2[Comparable '#2 Price],MATCH(Benchmark1[[#This Row],[Benchmark '#1 Dates]],Comp2[Comparable '#2 Dates],0)),"-")</f>
        <v>36.15</v>
      </c>
      <c r="N728" s="22">
        <f>IF(Benchmark1[[#This Row],[Comparable '#2 Date Check]]="Pass",INDEX(Comp2[Comparable '#2 Return],MATCH(Benchmark1[[#This Row],[Benchmark '#1 Dates]],Comp2[Comparable '#2 Dates],0)),"-")</f>
        <v>-4.6746319713103876E-2</v>
      </c>
      <c r="O728" s="1">
        <f>IFERROR(IF(Benchmark1[[#This Row],[Comparable '#2 Date Check]]="Pass",Benchmark1[[#This Row],[Comparable '#2 Return]]-Benchmark1[[#This Row],[Benchmark '#1 Return]],"-"),"-")</f>
        <v>-5.6608702596861245E-2</v>
      </c>
      <c r="P728" s="1" t="str">
        <f>IF(COUNTIF(Comp3[Comparable '#3 Dates],Benchmark1[[#This Row],[Benchmark '#1 Dates]])=1,"Pass","Fail")</f>
        <v>Pass</v>
      </c>
      <c r="Q728" s="6">
        <f>IF(Benchmark1[[#This Row],[Comparable '#3 Date Check]]="Pass",INDEX(Comp3[Comparable '#3 Price],MATCH(Benchmark1[[#This Row],[Benchmark '#1 Dates]],Comp3[Comparable '#3 Dates],0)),"-")</f>
        <v>73.459999999999994</v>
      </c>
      <c r="R728" s="22">
        <f>IF(Benchmark1[[#This Row],[Comparable '#3 Date Check]]="Pass",INDEX(Comp3[Comparable '#3 Return],MATCH(Benchmark1[[#This Row],[Benchmark '#1 Dates]],Comp3[Comparable '#3 Dates],0)),"-")</f>
        <v>-8.6744919105199436E-3</v>
      </c>
      <c r="S728" s="1">
        <f>IFERROR(IF(Benchmark1[[#This Row],[Comparable '#3 Date Check]]="Pass",Benchmark1[[#This Row],[Comparable '#3 Return]]-Benchmark1[[#This Row],[Benchmark '#1 Return]],"-"),"-")</f>
        <v>-1.8536874794277312E-2</v>
      </c>
    </row>
    <row r="729" spans="1:19">
      <c r="A729" s="103">
        <v>44341</v>
      </c>
      <c r="B729" s="104">
        <v>4188.1341131835607</v>
      </c>
      <c r="C729" s="4">
        <f t="shared" si="11"/>
        <v>-2.1259270654287819E-3</v>
      </c>
      <c r="D729" s="1" t="str">
        <f>IF(COUNTIF(Target1[Target Dates],Benchmark1[[#This Row],[Benchmark '#1 Dates]])=1,"Pass","Fail")</f>
        <v>Pass</v>
      </c>
      <c r="E729" s="6">
        <f>IF(Benchmark1[[#This Row],[Target Date Check]]="Pass",INDEX(Target1[Target Price],MATCH(Benchmark1[[#This Row],[Benchmark '#1 Dates]],Target1[Target Dates],0)),"-")</f>
        <v>27.07</v>
      </c>
      <c r="F729" s="22">
        <f>IF(Benchmark1[[#This Row],[Target Date Check]]="Pass",INDEX(Target1[Target Return],MATCH(Benchmark1[[#This Row],[Benchmark '#1 Dates]],Target1[Target Dates],0)),"-")</f>
        <v>-2.0837895273259296E-2</v>
      </c>
      <c r="G729" s="1">
        <f>IFERROR(IF(Benchmark1[[#This Row],[Target Date Check]]="Pass",Benchmark1[[#This Row],[Target Return]]-Benchmark1[[#This Row],[Benchmark '#1 Return]],"-"),"-")</f>
        <v>-1.8711968207830512E-2</v>
      </c>
      <c r="H729" s="1" t="str">
        <f>IF(COUNTIF(Comp1[Comparable '#1 Dates],Benchmark1[[#This Row],[Benchmark '#1 Dates]])=1,"Pass","Fail")</f>
        <v>Pass</v>
      </c>
      <c r="I729" s="6">
        <f>IF(Benchmark1[[#This Row],[Comparable '#1 Date Check]]="Pass",INDEX(Comp1[Comparable '#1 Price],MATCH(Benchmark1[[#This Row],[Benchmark '#1 Dates]],Comp1[Comparable '#1 Dates],0)),"-")</f>
        <v>14.21</v>
      </c>
      <c r="J729" s="22">
        <f>IF(Benchmark1[[#This Row],[Comparable '#1 Date Check]]="Pass",INDEX(Comp1[Comparable '#1 Return],MATCH(Benchmark1[[#This Row],[Benchmark '#1 Dates]],Comp1[Comparable '#1 Dates],0)),"-")</f>
        <v>-3.5124728771405668E-3</v>
      </c>
      <c r="K729" s="1">
        <f>IFERROR(IF(Benchmark1[[#This Row],[Comparable '#1 Date Check]]="Pass",Benchmark1[[#This Row],[Comparable '#1 Return]]-Benchmark1[[#This Row],[Benchmark '#1 Return]],"-"),"-")</f>
        <v>-1.3865458117117849E-3</v>
      </c>
      <c r="L729" s="1" t="str">
        <f>IF(COUNTIF(Comp2[Comparable '#2 Dates],Benchmark1[[#This Row],[Benchmark '#1 Dates]])=1,"Pass","Fail")</f>
        <v>Pass</v>
      </c>
      <c r="M729" s="6">
        <f>IF(Benchmark1[[#This Row],[Comparable '#2 Date Check]]="Pass",INDEX(Comp2[Comparable '#2 Price],MATCH(Benchmark1[[#This Row],[Benchmark '#1 Dates]],Comp2[Comparable '#2 Dates],0)),"-")</f>
        <v>35.65</v>
      </c>
      <c r="N729" s="22">
        <f>IF(Benchmark1[[#This Row],[Comparable '#2 Date Check]]="Pass",INDEX(Comp2[Comparable '#2 Return],MATCH(Benchmark1[[#This Row],[Benchmark '#1 Dates]],Comp2[Comparable '#2 Dates],0)),"-")</f>
        <v>-1.39278017444687E-2</v>
      </c>
      <c r="O729" s="1">
        <f>IFERROR(IF(Benchmark1[[#This Row],[Comparable '#2 Date Check]]="Pass",Benchmark1[[#This Row],[Comparable '#2 Return]]-Benchmark1[[#This Row],[Benchmark '#1 Return]],"-"),"-")</f>
        <v>-1.1801874679039918E-2</v>
      </c>
      <c r="P729" s="1" t="str">
        <f>IF(COUNTIF(Comp3[Comparable '#3 Dates],Benchmark1[[#This Row],[Benchmark '#1 Dates]])=1,"Pass","Fail")</f>
        <v>Pass</v>
      </c>
      <c r="Q729" s="6">
        <f>IF(Benchmark1[[#This Row],[Comparable '#3 Date Check]]="Pass",INDEX(Comp3[Comparable '#3 Price],MATCH(Benchmark1[[#This Row],[Benchmark '#1 Dates]],Comp3[Comparable '#3 Dates],0)),"-")</f>
        <v>73.22</v>
      </c>
      <c r="R729" s="22">
        <f>IF(Benchmark1[[#This Row],[Comparable '#3 Date Check]]="Pass",INDEX(Comp3[Comparable '#3 Return],MATCH(Benchmark1[[#This Row],[Benchmark '#1 Dates]],Comp3[Comparable '#3 Dates],0)),"-")</f>
        <v>-3.2724326994309876E-3</v>
      </c>
      <c r="S729" s="1">
        <f>IFERROR(IF(Benchmark1[[#This Row],[Comparable '#3 Date Check]]="Pass",Benchmark1[[#This Row],[Comparable '#3 Return]]-Benchmark1[[#This Row],[Benchmark '#1 Return]],"-"),"-")</f>
        <v>-1.1465056340022057E-3</v>
      </c>
    </row>
    <row r="730" spans="1:19">
      <c r="A730" s="103">
        <v>44342</v>
      </c>
      <c r="B730" s="104">
        <v>4195.9936338327198</v>
      </c>
      <c r="C730" s="4">
        <f t="shared" si="11"/>
        <v>1.8748576330317971E-3</v>
      </c>
      <c r="D730" s="1" t="str">
        <f>IF(COUNTIF(Target1[Target Dates],Benchmark1[[#This Row],[Benchmark '#1 Dates]])=1,"Pass","Fail")</f>
        <v>Pass</v>
      </c>
      <c r="E730" s="6">
        <f>IF(Benchmark1[[#This Row],[Target Date Check]]="Pass",INDEX(Target1[Target Price],MATCH(Benchmark1[[#This Row],[Benchmark '#1 Dates]],Target1[Target Dates],0)),"-")</f>
        <v>26.34</v>
      </c>
      <c r="F730" s="22">
        <f>IF(Benchmark1[[#This Row],[Target Date Check]]="Pass",INDEX(Target1[Target Return],MATCH(Benchmark1[[#This Row],[Benchmark '#1 Dates]],Target1[Target Dates],0)),"-")</f>
        <v>-2.7337407311074854E-2</v>
      </c>
      <c r="G730" s="1">
        <f>IFERROR(IF(Benchmark1[[#This Row],[Target Date Check]]="Pass",Benchmark1[[#This Row],[Target Return]]-Benchmark1[[#This Row],[Benchmark '#1 Return]],"-"),"-")</f>
        <v>-2.9212264944106652E-2</v>
      </c>
      <c r="H730" s="1" t="str">
        <f>IF(COUNTIF(Comp1[Comparable '#1 Dates],Benchmark1[[#This Row],[Benchmark '#1 Dates]])=1,"Pass","Fail")</f>
        <v>Pass</v>
      </c>
      <c r="I730" s="6">
        <f>IF(Benchmark1[[#This Row],[Comparable '#1 Date Check]]="Pass",INDEX(Comp1[Comparable '#1 Price],MATCH(Benchmark1[[#This Row],[Benchmark '#1 Dates]],Comp1[Comparable '#1 Dates],0)),"-")</f>
        <v>14.42</v>
      </c>
      <c r="J730" s="22">
        <f>IF(Benchmark1[[#This Row],[Comparable '#1 Date Check]]="Pass",INDEX(Comp1[Comparable '#1 Return],MATCH(Benchmark1[[#This Row],[Benchmark '#1 Dates]],Comp1[Comparable '#1 Dates],0)),"-")</f>
        <v>1.4670189747793621E-2</v>
      </c>
      <c r="K730" s="1">
        <f>IFERROR(IF(Benchmark1[[#This Row],[Comparable '#1 Date Check]]="Pass",Benchmark1[[#This Row],[Comparable '#1 Return]]-Benchmark1[[#This Row],[Benchmark '#1 Return]],"-"),"-")</f>
        <v>1.2795332114761823E-2</v>
      </c>
      <c r="L730" s="1" t="str">
        <f>IF(COUNTIF(Comp2[Comparable '#2 Dates],Benchmark1[[#This Row],[Benchmark '#1 Dates]])=1,"Pass","Fail")</f>
        <v>Pass</v>
      </c>
      <c r="M730" s="6">
        <f>IF(Benchmark1[[#This Row],[Comparable '#2 Date Check]]="Pass",INDEX(Comp2[Comparable '#2 Price],MATCH(Benchmark1[[#This Row],[Benchmark '#1 Dates]],Comp2[Comparable '#2 Dates],0)),"-")</f>
        <v>35.81</v>
      </c>
      <c r="N730" s="22">
        <f>IF(Benchmark1[[#This Row],[Comparable '#2 Date Check]]="Pass",INDEX(Comp2[Comparable '#2 Return],MATCH(Benchmark1[[#This Row],[Benchmark '#1 Dates]],Comp2[Comparable '#2 Dates],0)),"-")</f>
        <v>4.4780371500364778E-3</v>
      </c>
      <c r="O730" s="1">
        <f>IFERROR(IF(Benchmark1[[#This Row],[Comparable '#2 Date Check]]="Pass",Benchmark1[[#This Row],[Comparable '#2 Return]]-Benchmark1[[#This Row],[Benchmark '#1 Return]],"-"),"-")</f>
        <v>2.603179517004681E-3</v>
      </c>
      <c r="P730" s="1" t="str">
        <f>IF(COUNTIF(Comp3[Comparable '#3 Dates],Benchmark1[[#This Row],[Benchmark '#1 Dates]])=1,"Pass","Fail")</f>
        <v>Pass</v>
      </c>
      <c r="Q730" s="6">
        <f>IF(Benchmark1[[#This Row],[Comparable '#3 Date Check]]="Pass",INDEX(Comp3[Comparable '#3 Price],MATCH(Benchmark1[[#This Row],[Benchmark '#1 Dates]],Comp3[Comparable '#3 Dates],0)),"-")</f>
        <v>73.739999999999995</v>
      </c>
      <c r="R730" s="22">
        <f>IF(Benchmark1[[#This Row],[Comparable '#3 Date Check]]="Pass",INDEX(Comp3[Comparable '#3 Return],MATCH(Benchmark1[[#This Row],[Benchmark '#1 Dates]],Comp3[Comparable '#3 Dates],0)),"-")</f>
        <v>7.076785113908338E-3</v>
      </c>
      <c r="S730" s="1">
        <f>IFERROR(IF(Benchmark1[[#This Row],[Comparable '#3 Date Check]]="Pass",Benchmark1[[#This Row],[Comparable '#3 Return]]-Benchmark1[[#This Row],[Benchmark '#1 Return]],"-"),"-")</f>
        <v>5.2019274808765411E-3</v>
      </c>
    </row>
    <row r="731" spans="1:19">
      <c r="A731" s="103">
        <v>44343</v>
      </c>
      <c r="B731" s="104">
        <v>4200.8758020057394</v>
      </c>
      <c r="C731" s="4">
        <f t="shared" si="11"/>
        <v>1.1628545044022971E-3</v>
      </c>
      <c r="D731" s="1" t="str">
        <f>IF(COUNTIF(Target1[Target Dates],Benchmark1[[#This Row],[Benchmark '#1 Dates]])=1,"Pass","Fail")</f>
        <v>Pass</v>
      </c>
      <c r="E731" s="6">
        <f>IF(Benchmark1[[#This Row],[Target Date Check]]="Pass",INDEX(Target1[Target Price],MATCH(Benchmark1[[#This Row],[Benchmark '#1 Dates]],Target1[Target Dates],0)),"-")</f>
        <v>26.93</v>
      </c>
      <c r="F731" s="22">
        <f>IF(Benchmark1[[#This Row],[Target Date Check]]="Pass",INDEX(Target1[Target Return],MATCH(Benchmark1[[#This Row],[Benchmark '#1 Dates]],Target1[Target Dates],0)),"-")</f>
        <v>2.2152210508372627E-2</v>
      </c>
      <c r="G731" s="1">
        <f>IFERROR(IF(Benchmark1[[#This Row],[Target Date Check]]="Pass",Benchmark1[[#This Row],[Target Return]]-Benchmark1[[#This Row],[Benchmark '#1 Return]],"-"),"-")</f>
        <v>2.0989356003970332E-2</v>
      </c>
      <c r="H731" s="1" t="str">
        <f>IF(COUNTIF(Comp1[Comparable '#1 Dates],Benchmark1[[#This Row],[Benchmark '#1 Dates]])=1,"Pass","Fail")</f>
        <v>Pass</v>
      </c>
      <c r="I731" s="6">
        <f>IF(Benchmark1[[#This Row],[Comparable '#1 Date Check]]="Pass",INDEX(Comp1[Comparable '#1 Price],MATCH(Benchmark1[[#This Row],[Benchmark '#1 Dates]],Comp1[Comparable '#1 Dates],0)),"-")</f>
        <v>14.53</v>
      </c>
      <c r="J731" s="22">
        <f>IF(Benchmark1[[#This Row],[Comparable '#1 Date Check]]="Pass",INDEX(Comp1[Comparable '#1 Return],MATCH(Benchmark1[[#This Row],[Benchmark '#1 Dates]],Comp1[Comparable '#1 Dates],0)),"-")</f>
        <v>7.5993457253885153E-3</v>
      </c>
      <c r="K731" s="1">
        <f>IFERROR(IF(Benchmark1[[#This Row],[Comparable '#1 Date Check]]="Pass",Benchmark1[[#This Row],[Comparable '#1 Return]]-Benchmark1[[#This Row],[Benchmark '#1 Return]],"-"),"-")</f>
        <v>6.436491220986218E-3</v>
      </c>
      <c r="L731" s="1" t="str">
        <f>IF(COUNTIF(Comp2[Comparable '#2 Dates],Benchmark1[[#This Row],[Benchmark '#1 Dates]])=1,"Pass","Fail")</f>
        <v>Pass</v>
      </c>
      <c r="M731" s="6">
        <f>IF(Benchmark1[[#This Row],[Comparable '#2 Date Check]]="Pass",INDEX(Comp2[Comparable '#2 Price],MATCH(Benchmark1[[#This Row],[Benchmark '#1 Dates]],Comp2[Comparable '#2 Dates],0)),"-")</f>
        <v>36.93</v>
      </c>
      <c r="N731" s="22">
        <f>IF(Benchmark1[[#This Row],[Comparable '#2 Date Check]]="Pass",INDEX(Comp2[Comparable '#2 Return],MATCH(Benchmark1[[#This Row],[Benchmark '#1 Dates]],Comp2[Comparable '#2 Dates],0)),"-")</f>
        <v>3.0797044854130533E-2</v>
      </c>
      <c r="O731" s="1">
        <f>IFERROR(IF(Benchmark1[[#This Row],[Comparable '#2 Date Check]]="Pass",Benchmark1[[#This Row],[Comparable '#2 Return]]-Benchmark1[[#This Row],[Benchmark '#1 Return]],"-"),"-")</f>
        <v>2.9634190349728237E-2</v>
      </c>
      <c r="P731" s="1" t="str">
        <f>IF(COUNTIF(Comp3[Comparable '#3 Dates],Benchmark1[[#This Row],[Benchmark '#1 Dates]])=1,"Pass","Fail")</f>
        <v>Pass</v>
      </c>
      <c r="Q731" s="6">
        <f>IF(Benchmark1[[#This Row],[Comparable '#3 Date Check]]="Pass",INDEX(Comp3[Comparable '#3 Price],MATCH(Benchmark1[[#This Row],[Benchmark '#1 Dates]],Comp3[Comparable '#3 Dates],0)),"-")</f>
        <v>74.7</v>
      </c>
      <c r="R731" s="22">
        <f>IF(Benchmark1[[#This Row],[Comparable '#3 Date Check]]="Pass",INDEX(Comp3[Comparable '#3 Return],MATCH(Benchmark1[[#This Row],[Benchmark '#1 Dates]],Comp3[Comparable '#3 Dates],0)),"-")</f>
        <v>1.2934699332773263E-2</v>
      </c>
      <c r="S731" s="1">
        <f>IFERROR(IF(Benchmark1[[#This Row],[Comparable '#3 Date Check]]="Pass",Benchmark1[[#This Row],[Comparable '#3 Return]]-Benchmark1[[#This Row],[Benchmark '#1 Return]],"-"),"-")</f>
        <v>1.1771844828370966E-2</v>
      </c>
    </row>
    <row r="732" spans="1:19">
      <c r="A732" s="103">
        <v>44344</v>
      </c>
      <c r="B732" s="104">
        <v>4204.1105456536434</v>
      </c>
      <c r="C732" s="4">
        <f t="shared" si="11"/>
        <v>7.6972018128540585E-4</v>
      </c>
      <c r="D732" s="1" t="str">
        <f>IF(COUNTIF(Target1[Target Dates],Benchmark1[[#This Row],[Benchmark '#1 Dates]])=1,"Pass","Fail")</f>
        <v>Pass</v>
      </c>
      <c r="E732" s="6">
        <f>IF(Benchmark1[[#This Row],[Target Date Check]]="Pass",INDEX(Target1[Target Price],MATCH(Benchmark1[[#This Row],[Benchmark '#1 Dates]],Target1[Target Dates],0)),"-")</f>
        <v>26.88</v>
      </c>
      <c r="F732" s="22">
        <f>IF(Benchmark1[[#This Row],[Target Date Check]]="Pass",INDEX(Target1[Target Return],MATCH(Benchmark1[[#This Row],[Benchmark '#1 Dates]],Target1[Target Dates],0)),"-")</f>
        <v>-1.858391168558769E-3</v>
      </c>
      <c r="G732" s="1">
        <f>IFERROR(IF(Benchmark1[[#This Row],[Target Date Check]]="Pass",Benchmark1[[#This Row],[Target Return]]-Benchmark1[[#This Row],[Benchmark '#1 Return]],"-"),"-")</f>
        <v>-2.6281113498441747E-3</v>
      </c>
      <c r="H732" s="1" t="str">
        <f>IF(COUNTIF(Comp1[Comparable '#1 Dates],Benchmark1[[#This Row],[Benchmark '#1 Dates]])=1,"Pass","Fail")</f>
        <v>Pass</v>
      </c>
      <c r="I732" s="6">
        <f>IF(Benchmark1[[#This Row],[Comparable '#1 Date Check]]="Pass",INDEX(Comp1[Comparable '#1 Price],MATCH(Benchmark1[[#This Row],[Benchmark '#1 Dates]],Comp1[Comparable '#1 Dates],0)),"-")</f>
        <v>14.61</v>
      </c>
      <c r="J732" s="22">
        <f>IF(Benchmark1[[#This Row],[Comparable '#1 Date Check]]="Pass",INDEX(Comp1[Comparable '#1 Return],MATCH(Benchmark1[[#This Row],[Benchmark '#1 Dates]],Comp1[Comparable '#1 Dates],0)),"-")</f>
        <v>5.4907481804165907E-3</v>
      </c>
      <c r="K732" s="1">
        <f>IFERROR(IF(Benchmark1[[#This Row],[Comparable '#1 Date Check]]="Pass",Benchmark1[[#This Row],[Comparable '#1 Return]]-Benchmark1[[#This Row],[Benchmark '#1 Return]],"-"),"-")</f>
        <v>4.7210279991311849E-3</v>
      </c>
      <c r="L732" s="1" t="str">
        <f>IF(COUNTIF(Comp2[Comparable '#2 Dates],Benchmark1[[#This Row],[Benchmark '#1 Dates]])=1,"Pass","Fail")</f>
        <v>Pass</v>
      </c>
      <c r="M732" s="6">
        <f>IF(Benchmark1[[#This Row],[Comparable '#2 Date Check]]="Pass",INDEX(Comp2[Comparable '#2 Price],MATCH(Benchmark1[[#This Row],[Benchmark '#1 Dates]],Comp2[Comparable '#2 Dates],0)),"-")</f>
        <v>36.380000000000003</v>
      </c>
      <c r="N732" s="22">
        <f>IF(Benchmark1[[#This Row],[Comparable '#2 Date Check]]="Pass",INDEX(Comp2[Comparable '#2 Return],MATCH(Benchmark1[[#This Row],[Benchmark '#1 Dates]],Comp2[Comparable '#2 Dates],0)),"-")</f>
        <v>-1.5005055774495511E-2</v>
      </c>
      <c r="O732" s="1">
        <f>IFERROR(IF(Benchmark1[[#This Row],[Comparable '#2 Date Check]]="Pass",Benchmark1[[#This Row],[Comparable '#2 Return]]-Benchmark1[[#This Row],[Benchmark '#1 Return]],"-"),"-")</f>
        <v>-1.5774775955780918E-2</v>
      </c>
      <c r="P732" s="1" t="str">
        <f>IF(COUNTIF(Comp3[Comparable '#3 Dates],Benchmark1[[#This Row],[Benchmark '#1 Dates]])=1,"Pass","Fail")</f>
        <v>Pass</v>
      </c>
      <c r="Q732" s="6">
        <f>IF(Benchmark1[[#This Row],[Comparable '#3 Date Check]]="Pass",INDEX(Comp3[Comparable '#3 Price],MATCH(Benchmark1[[#This Row],[Benchmark '#1 Dates]],Comp3[Comparable '#3 Dates],0)),"-")</f>
        <v>70.84</v>
      </c>
      <c r="R732" s="22">
        <f>IF(Benchmark1[[#This Row],[Comparable '#3 Date Check]]="Pass",INDEX(Comp3[Comparable '#3 Return],MATCH(Benchmark1[[#This Row],[Benchmark '#1 Dates]],Comp3[Comparable '#3 Dates],0)),"-")</f>
        <v>-5.3056279224138782E-2</v>
      </c>
      <c r="S732" s="1">
        <f>IFERROR(IF(Benchmark1[[#This Row],[Comparable '#3 Date Check]]="Pass",Benchmark1[[#This Row],[Comparable '#3 Return]]-Benchmark1[[#This Row],[Benchmark '#1 Return]],"-"),"-")</f>
        <v>-5.3825999405424187E-2</v>
      </c>
    </row>
    <row r="733" spans="1:19">
      <c r="A733" s="103">
        <v>44348</v>
      </c>
      <c r="B733" s="104">
        <v>4202.041609136676</v>
      </c>
      <c r="C733" s="4">
        <f t="shared" si="11"/>
        <v>-4.922434237796448E-4</v>
      </c>
      <c r="D733" s="1" t="str">
        <f>IF(COUNTIF(Target1[Target Dates],Benchmark1[[#This Row],[Benchmark '#1 Dates]])=1,"Pass","Fail")</f>
        <v>Pass</v>
      </c>
      <c r="E733" s="6">
        <f>IF(Benchmark1[[#This Row],[Target Date Check]]="Pass",INDEX(Target1[Target Price],MATCH(Benchmark1[[#This Row],[Benchmark '#1 Dates]],Target1[Target Dates],0)),"-")</f>
        <v>27.57</v>
      </c>
      <c r="F733" s="22">
        <f>IF(Benchmark1[[#This Row],[Target Date Check]]="Pass",INDEX(Target1[Target Return],MATCH(Benchmark1[[#This Row],[Benchmark '#1 Dates]],Target1[Target Dates],0)),"-")</f>
        <v>2.5345709380756733E-2</v>
      </c>
      <c r="G733" s="1">
        <f>IFERROR(IF(Benchmark1[[#This Row],[Target Date Check]]="Pass",Benchmark1[[#This Row],[Target Return]]-Benchmark1[[#This Row],[Benchmark '#1 Return]],"-"),"-")</f>
        <v>2.5837952804536376E-2</v>
      </c>
      <c r="H733" s="1" t="str">
        <f>IF(COUNTIF(Comp1[Comparable '#1 Dates],Benchmark1[[#This Row],[Benchmark '#1 Dates]])=1,"Pass","Fail")</f>
        <v>Pass</v>
      </c>
      <c r="I733" s="6">
        <f>IF(Benchmark1[[#This Row],[Comparable '#1 Date Check]]="Pass",INDEX(Comp1[Comparable '#1 Price],MATCH(Benchmark1[[#This Row],[Benchmark '#1 Dates]],Comp1[Comparable '#1 Dates],0)),"-")</f>
        <v>15.16</v>
      </c>
      <c r="J733" s="22">
        <f>IF(Benchmark1[[#This Row],[Comparable '#1 Date Check]]="Pass",INDEX(Comp1[Comparable '#1 Return],MATCH(Benchmark1[[#This Row],[Benchmark '#1 Dates]],Comp1[Comparable '#1 Dates],0)),"-")</f>
        <v>3.6954154451617469E-2</v>
      </c>
      <c r="K733" s="1">
        <f>IFERROR(IF(Benchmark1[[#This Row],[Comparable '#1 Date Check]]="Pass",Benchmark1[[#This Row],[Comparable '#1 Return]]-Benchmark1[[#This Row],[Benchmark '#1 Return]],"-"),"-")</f>
        <v>3.7446397875397115E-2</v>
      </c>
      <c r="L733" s="1" t="str">
        <f>IF(COUNTIF(Comp2[Comparable '#2 Dates],Benchmark1[[#This Row],[Benchmark '#1 Dates]])=1,"Pass","Fail")</f>
        <v>Pass</v>
      </c>
      <c r="M733" s="6">
        <f>IF(Benchmark1[[#This Row],[Comparable '#2 Date Check]]="Pass",INDEX(Comp2[Comparable '#2 Price],MATCH(Benchmark1[[#This Row],[Benchmark '#1 Dates]],Comp2[Comparable '#2 Dates],0)),"-")</f>
        <v>37.630000000000003</v>
      </c>
      <c r="N733" s="22">
        <f>IF(Benchmark1[[#This Row],[Comparable '#2 Date Check]]="Pass",INDEX(Comp2[Comparable '#2 Return],MATCH(Benchmark1[[#This Row],[Benchmark '#1 Dates]],Comp2[Comparable '#2 Dates],0)),"-")</f>
        <v>3.3782431515369776E-2</v>
      </c>
      <c r="O733" s="1">
        <f>IFERROR(IF(Benchmark1[[#This Row],[Comparable '#2 Date Check]]="Pass",Benchmark1[[#This Row],[Comparable '#2 Return]]-Benchmark1[[#This Row],[Benchmark '#1 Return]],"-"),"-")</f>
        <v>3.4274674939149423E-2</v>
      </c>
      <c r="P733" s="1" t="str">
        <f>IF(COUNTIF(Comp3[Comparable '#3 Dates],Benchmark1[[#This Row],[Benchmark '#1 Dates]])=1,"Pass","Fail")</f>
        <v>Pass</v>
      </c>
      <c r="Q733" s="6">
        <f>IF(Benchmark1[[#This Row],[Comparable '#3 Date Check]]="Pass",INDEX(Comp3[Comparable '#3 Price],MATCH(Benchmark1[[#This Row],[Benchmark '#1 Dates]],Comp3[Comparable '#3 Dates],0)),"-")</f>
        <v>73.42</v>
      </c>
      <c r="R733" s="22">
        <f>IF(Benchmark1[[#This Row],[Comparable '#3 Date Check]]="Pass",INDEX(Comp3[Comparable '#3 Return],MATCH(Benchmark1[[#This Row],[Benchmark '#1 Dates]],Comp3[Comparable '#3 Dates],0)),"-")</f>
        <v>3.5772565154055483E-2</v>
      </c>
      <c r="S733" s="1">
        <f>IFERROR(IF(Benchmark1[[#This Row],[Comparable '#3 Date Check]]="Pass",Benchmark1[[#This Row],[Comparable '#3 Return]]-Benchmark1[[#This Row],[Benchmark '#1 Return]],"-"),"-")</f>
        <v>3.626480857783513E-2</v>
      </c>
    </row>
    <row r="734" spans="1:19">
      <c r="A734" s="103">
        <v>44349</v>
      </c>
      <c r="B734" s="104">
        <v>4208.1192195229587</v>
      </c>
      <c r="C734" s="4">
        <f t="shared" si="11"/>
        <v>1.4453020740175331E-3</v>
      </c>
      <c r="D734" s="1" t="str">
        <f>IF(COUNTIF(Target1[Target Dates],Benchmark1[[#This Row],[Benchmark '#1 Dates]])=1,"Pass","Fail")</f>
        <v>Pass</v>
      </c>
      <c r="E734" s="6">
        <f>IF(Benchmark1[[#This Row],[Target Date Check]]="Pass",INDEX(Target1[Target Price],MATCH(Benchmark1[[#This Row],[Benchmark '#1 Dates]],Target1[Target Dates],0)),"-")</f>
        <v>27.65</v>
      </c>
      <c r="F734" s="22">
        <f>IF(Benchmark1[[#This Row],[Target Date Check]]="Pass",INDEX(Target1[Target Return],MATCH(Benchmark1[[#This Row],[Benchmark '#1 Dates]],Target1[Target Dates],0)),"-")</f>
        <v>2.8975029326382923E-3</v>
      </c>
      <c r="G734" s="1">
        <f>IFERROR(IF(Benchmark1[[#This Row],[Target Date Check]]="Pass",Benchmark1[[#This Row],[Target Return]]-Benchmark1[[#This Row],[Benchmark '#1 Return]],"-"),"-")</f>
        <v>1.4522008586207592E-3</v>
      </c>
      <c r="H734" s="1" t="str">
        <f>IF(COUNTIF(Comp1[Comparable '#1 Dates],Benchmark1[[#This Row],[Benchmark '#1 Dates]])=1,"Pass","Fail")</f>
        <v>Pass</v>
      </c>
      <c r="I734" s="6">
        <f>IF(Benchmark1[[#This Row],[Comparable '#1 Date Check]]="Pass",INDEX(Comp1[Comparable '#1 Price],MATCH(Benchmark1[[#This Row],[Benchmark '#1 Dates]],Comp1[Comparable '#1 Dates],0)),"-")</f>
        <v>15.49</v>
      </c>
      <c r="J734" s="22">
        <f>IF(Benchmark1[[#This Row],[Comparable '#1 Date Check]]="Pass",INDEX(Comp1[Comparable '#1 Return],MATCH(Benchmark1[[#This Row],[Benchmark '#1 Dates]],Comp1[Comparable '#1 Dates],0)),"-")</f>
        <v>2.1534274214551612E-2</v>
      </c>
      <c r="K734" s="1">
        <f>IFERROR(IF(Benchmark1[[#This Row],[Comparable '#1 Date Check]]="Pass",Benchmark1[[#This Row],[Comparable '#1 Return]]-Benchmark1[[#This Row],[Benchmark '#1 Return]],"-"),"-")</f>
        <v>2.0088972140534078E-2</v>
      </c>
      <c r="L734" s="1" t="str">
        <f>IF(COUNTIF(Comp2[Comparable '#2 Dates],Benchmark1[[#This Row],[Benchmark '#1 Dates]])=1,"Pass","Fail")</f>
        <v>Pass</v>
      </c>
      <c r="M734" s="6">
        <f>IF(Benchmark1[[#This Row],[Comparable '#2 Date Check]]="Pass",INDEX(Comp2[Comparable '#2 Price],MATCH(Benchmark1[[#This Row],[Benchmark '#1 Dates]],Comp2[Comparable '#2 Dates],0)),"-")</f>
        <v>37.36</v>
      </c>
      <c r="N734" s="22">
        <f>IF(Benchmark1[[#This Row],[Comparable '#2 Date Check]]="Pass",INDEX(Comp2[Comparable '#2 Return],MATCH(Benchmark1[[#This Row],[Benchmark '#1 Dates]],Comp2[Comparable '#2 Dates],0)),"-")</f>
        <v>-7.2009912447041496E-3</v>
      </c>
      <c r="O734" s="1">
        <f>IFERROR(IF(Benchmark1[[#This Row],[Comparable '#2 Date Check]]="Pass",Benchmark1[[#This Row],[Comparable '#2 Return]]-Benchmark1[[#This Row],[Benchmark '#1 Return]],"-"),"-")</f>
        <v>-8.6462933187216821E-3</v>
      </c>
      <c r="P734" s="1" t="str">
        <f>IF(COUNTIF(Comp3[Comparable '#3 Dates],Benchmark1[[#This Row],[Benchmark '#1 Dates]])=1,"Pass","Fail")</f>
        <v>Pass</v>
      </c>
      <c r="Q734" s="6">
        <f>IF(Benchmark1[[#This Row],[Comparable '#3 Date Check]]="Pass",INDEX(Comp3[Comparable '#3 Price],MATCH(Benchmark1[[#This Row],[Benchmark '#1 Dates]],Comp3[Comparable '#3 Dates],0)),"-")</f>
        <v>72.05</v>
      </c>
      <c r="R734" s="22">
        <f>IF(Benchmark1[[#This Row],[Comparable '#3 Date Check]]="Pass",INDEX(Comp3[Comparable '#3 Return],MATCH(Benchmark1[[#This Row],[Benchmark '#1 Dates]],Comp3[Comparable '#3 Dates],0)),"-")</f>
        <v>-1.8836055623157179E-2</v>
      </c>
      <c r="S734" s="1">
        <f>IFERROR(IF(Benchmark1[[#This Row],[Comparable '#3 Date Check]]="Pass",Benchmark1[[#This Row],[Comparable '#3 Return]]-Benchmark1[[#This Row],[Benchmark '#1 Return]],"-"),"-")</f>
        <v>-2.0281357697174714E-2</v>
      </c>
    </row>
    <row r="735" spans="1:19">
      <c r="A735" s="103">
        <v>44350</v>
      </c>
      <c r="B735" s="104">
        <v>4192.8548140375351</v>
      </c>
      <c r="C735" s="4">
        <f t="shared" si="11"/>
        <v>-3.6339648765818773E-3</v>
      </c>
      <c r="D735" s="1" t="str">
        <f>IF(COUNTIF(Target1[Target Dates],Benchmark1[[#This Row],[Benchmark '#1 Dates]])=1,"Pass","Fail")</f>
        <v>Pass</v>
      </c>
      <c r="E735" s="6">
        <f>IF(Benchmark1[[#This Row],[Target Date Check]]="Pass",INDEX(Target1[Target Price],MATCH(Benchmark1[[#This Row],[Benchmark '#1 Dates]],Target1[Target Dates],0)),"-")</f>
        <v>28.22</v>
      </c>
      <c r="F735" s="22">
        <f>IF(Benchmark1[[#This Row],[Target Date Check]]="Pass",INDEX(Target1[Target Return],MATCH(Benchmark1[[#This Row],[Benchmark '#1 Dates]],Target1[Target Dates],0)),"-")</f>
        <v>2.0405218456324124E-2</v>
      </c>
      <c r="G735" s="1">
        <f>IFERROR(IF(Benchmark1[[#This Row],[Target Date Check]]="Pass",Benchmark1[[#This Row],[Target Return]]-Benchmark1[[#This Row],[Benchmark '#1 Return]],"-"),"-")</f>
        <v>2.4039183332906E-2</v>
      </c>
      <c r="H735" s="1" t="str">
        <f>IF(COUNTIF(Comp1[Comparable '#1 Dates],Benchmark1[[#This Row],[Benchmark '#1 Dates]])=1,"Pass","Fail")</f>
        <v>Pass</v>
      </c>
      <c r="I735" s="6">
        <f>IF(Benchmark1[[#This Row],[Comparable '#1 Date Check]]="Pass",INDEX(Comp1[Comparable '#1 Price],MATCH(Benchmark1[[#This Row],[Benchmark '#1 Dates]],Comp1[Comparable '#1 Dates],0)),"-")</f>
        <v>15.21</v>
      </c>
      <c r="J735" s="22">
        <f>IF(Benchmark1[[#This Row],[Comparable '#1 Date Check]]="Pass",INDEX(Comp1[Comparable '#1 Return],MATCH(Benchmark1[[#This Row],[Benchmark '#1 Dates]],Comp1[Comparable '#1 Dates],0)),"-")</f>
        <v>-1.8241548157575754E-2</v>
      </c>
      <c r="K735" s="1">
        <f>IFERROR(IF(Benchmark1[[#This Row],[Comparable '#1 Date Check]]="Pass",Benchmark1[[#This Row],[Comparable '#1 Return]]-Benchmark1[[#This Row],[Benchmark '#1 Return]],"-"),"-")</f>
        <v>-1.4607583280993878E-2</v>
      </c>
      <c r="L735" s="1" t="str">
        <f>IF(COUNTIF(Comp2[Comparable '#2 Dates],Benchmark1[[#This Row],[Benchmark '#1 Dates]])=1,"Pass","Fail")</f>
        <v>Pass</v>
      </c>
      <c r="M735" s="6">
        <f>IF(Benchmark1[[#This Row],[Comparable '#2 Date Check]]="Pass",INDEX(Comp2[Comparable '#2 Price],MATCH(Benchmark1[[#This Row],[Benchmark '#1 Dates]],Comp2[Comparable '#2 Dates],0)),"-")</f>
        <v>37</v>
      </c>
      <c r="N735" s="22">
        <f>IF(Benchmark1[[#This Row],[Comparable '#2 Date Check]]="Pass",INDEX(Comp2[Comparable '#2 Return],MATCH(Benchmark1[[#This Row],[Benchmark '#1 Dates]],Comp2[Comparable '#2 Dates],0)),"-")</f>
        <v>-9.6827007164173879E-3</v>
      </c>
      <c r="O735" s="1">
        <f>IFERROR(IF(Benchmark1[[#This Row],[Comparable '#2 Date Check]]="Pass",Benchmark1[[#This Row],[Comparable '#2 Return]]-Benchmark1[[#This Row],[Benchmark '#1 Return]],"-"),"-")</f>
        <v>-6.0487358398355106E-3</v>
      </c>
      <c r="P735" s="1" t="str">
        <f>IF(COUNTIF(Comp3[Comparable '#3 Dates],Benchmark1[[#This Row],[Benchmark '#1 Dates]])=1,"Pass","Fail")</f>
        <v>Pass</v>
      </c>
      <c r="Q735" s="6">
        <f>IF(Benchmark1[[#This Row],[Comparable '#3 Date Check]]="Pass",INDEX(Comp3[Comparable '#3 Price],MATCH(Benchmark1[[#This Row],[Benchmark '#1 Dates]],Comp3[Comparable '#3 Dates],0)),"-")</f>
        <v>72.599999999999994</v>
      </c>
      <c r="R735" s="22">
        <f>IF(Benchmark1[[#This Row],[Comparable '#3 Date Check]]="Pass",INDEX(Comp3[Comparable '#3 Return],MATCH(Benchmark1[[#This Row],[Benchmark '#1 Dates]],Comp3[Comparable '#3 Dates],0)),"-")</f>
        <v>7.6045993852192125E-3</v>
      </c>
      <c r="S735" s="1">
        <f>IFERROR(IF(Benchmark1[[#This Row],[Comparable '#3 Date Check]]="Pass",Benchmark1[[#This Row],[Comparable '#3 Return]]-Benchmark1[[#This Row],[Benchmark '#1 Return]],"-"),"-")</f>
        <v>1.1238564261801091E-2</v>
      </c>
    </row>
    <row r="736" spans="1:19">
      <c r="A736" s="103">
        <v>44351</v>
      </c>
      <c r="B736" s="104">
        <v>4229.8906041031296</v>
      </c>
      <c r="C736" s="4">
        <f t="shared" si="11"/>
        <v>8.7942890164299653E-3</v>
      </c>
      <c r="D736" s="1" t="str">
        <f>IF(COUNTIF(Target1[Target Dates],Benchmark1[[#This Row],[Benchmark '#1 Dates]])=1,"Pass","Fail")</f>
        <v>Pass</v>
      </c>
      <c r="E736" s="6">
        <f>IF(Benchmark1[[#This Row],[Target Date Check]]="Pass",INDEX(Target1[Target Price],MATCH(Benchmark1[[#This Row],[Benchmark '#1 Dates]],Target1[Target Dates],0)),"-")</f>
        <v>28.78</v>
      </c>
      <c r="F736" s="22">
        <f>IF(Benchmark1[[#This Row],[Target Date Check]]="Pass",INDEX(Target1[Target Return],MATCH(Benchmark1[[#This Row],[Benchmark '#1 Dates]],Target1[Target Dates],0)),"-")</f>
        <v>1.9649755034553903E-2</v>
      </c>
      <c r="G736" s="1">
        <f>IFERROR(IF(Benchmark1[[#This Row],[Target Date Check]]="Pass",Benchmark1[[#This Row],[Target Return]]-Benchmark1[[#This Row],[Benchmark '#1 Return]],"-"),"-")</f>
        <v>1.0855466018123937E-2</v>
      </c>
      <c r="H736" s="1" t="str">
        <f>IF(COUNTIF(Comp1[Comparable '#1 Dates],Benchmark1[[#This Row],[Benchmark '#1 Dates]])=1,"Pass","Fail")</f>
        <v>Pass</v>
      </c>
      <c r="I736" s="6">
        <f>IF(Benchmark1[[#This Row],[Comparable '#1 Date Check]]="Pass",INDEX(Comp1[Comparable '#1 Price],MATCH(Benchmark1[[#This Row],[Benchmark '#1 Dates]],Comp1[Comparable '#1 Dates],0)),"-")</f>
        <v>15.31</v>
      </c>
      <c r="J736" s="22">
        <f>IF(Benchmark1[[#This Row],[Comparable '#1 Date Check]]="Pass",INDEX(Comp1[Comparable '#1 Return],MATCH(Benchmark1[[#This Row],[Benchmark '#1 Dates]],Comp1[Comparable '#1 Dates],0)),"-")</f>
        <v>6.5531033983908587E-3</v>
      </c>
      <c r="K736" s="1">
        <f>IFERROR(IF(Benchmark1[[#This Row],[Comparable '#1 Date Check]]="Pass",Benchmark1[[#This Row],[Comparable '#1 Return]]-Benchmark1[[#This Row],[Benchmark '#1 Return]],"-"),"-")</f>
        <v>-2.2411856180391066E-3</v>
      </c>
      <c r="L736" s="1" t="str">
        <f>IF(COUNTIF(Comp2[Comparable '#2 Dates],Benchmark1[[#This Row],[Benchmark '#1 Dates]])=1,"Pass","Fail")</f>
        <v>Pass</v>
      </c>
      <c r="M736" s="6">
        <f>IF(Benchmark1[[#This Row],[Comparable '#2 Date Check]]="Pass",INDEX(Comp2[Comparable '#2 Price],MATCH(Benchmark1[[#This Row],[Benchmark '#1 Dates]],Comp2[Comparable '#2 Dates],0)),"-")</f>
        <v>37.130000000000003</v>
      </c>
      <c r="N736" s="22">
        <f>IF(Benchmark1[[#This Row],[Comparable '#2 Date Check]]="Pass",INDEX(Comp2[Comparable '#2 Return],MATCH(Benchmark1[[#This Row],[Benchmark '#1 Dates]],Comp2[Comparable '#2 Dates],0)),"-")</f>
        <v>3.5073555447643436E-3</v>
      </c>
      <c r="O736" s="1">
        <f>IFERROR(IF(Benchmark1[[#This Row],[Comparable '#2 Date Check]]="Pass",Benchmark1[[#This Row],[Comparable '#2 Return]]-Benchmark1[[#This Row],[Benchmark '#1 Return]],"-"),"-")</f>
        <v>-5.2869334716656221E-3</v>
      </c>
      <c r="P736" s="1" t="str">
        <f>IF(COUNTIF(Comp3[Comparable '#3 Dates],Benchmark1[[#This Row],[Benchmark '#1 Dates]])=1,"Pass","Fail")</f>
        <v>Pass</v>
      </c>
      <c r="Q736" s="6">
        <f>IF(Benchmark1[[#This Row],[Comparable '#3 Date Check]]="Pass",INDEX(Comp3[Comparable '#3 Price],MATCH(Benchmark1[[#This Row],[Benchmark '#1 Dates]],Comp3[Comparable '#3 Dates],0)),"-")</f>
        <v>72.930000000000007</v>
      </c>
      <c r="R736" s="22">
        <f>IF(Benchmark1[[#This Row],[Comparable '#3 Date Check]]="Pass",INDEX(Comp3[Comparable '#3 Return],MATCH(Benchmark1[[#This Row],[Benchmark '#1 Dates]],Comp3[Comparable '#3 Dates],0)),"-")</f>
        <v>4.5351551653913628E-3</v>
      </c>
      <c r="S736" s="1">
        <f>IFERROR(IF(Benchmark1[[#This Row],[Comparable '#3 Date Check]]="Pass",Benchmark1[[#This Row],[Comparable '#3 Return]]-Benchmark1[[#This Row],[Benchmark '#1 Return]],"-"),"-")</f>
        <v>-4.2591338510386025E-3</v>
      </c>
    </row>
    <row r="737" spans="1:19">
      <c r="A737" s="103">
        <v>44354</v>
      </c>
      <c r="B737" s="104">
        <v>4226.5201782638551</v>
      </c>
      <c r="C737" s="4">
        <f t="shared" si="11"/>
        <v>-7.9712920871126164E-4</v>
      </c>
      <c r="D737" s="1" t="str">
        <f>IF(COUNTIF(Target1[Target Dates],Benchmark1[[#This Row],[Benchmark '#1 Dates]])=1,"Pass","Fail")</f>
        <v>Pass</v>
      </c>
      <c r="E737" s="6">
        <f>IF(Benchmark1[[#This Row],[Target Date Check]]="Pass",INDEX(Target1[Target Price],MATCH(Benchmark1[[#This Row],[Benchmark '#1 Dates]],Target1[Target Dates],0)),"-")</f>
        <v>29.27</v>
      </c>
      <c r="F737" s="22">
        <f>IF(Benchmark1[[#This Row],[Target Date Check]]="Pass",INDEX(Target1[Target Return],MATCH(Benchmark1[[#This Row],[Benchmark '#1 Dates]],Target1[Target Dates],0)),"-")</f>
        <v>1.6882399244572684E-2</v>
      </c>
      <c r="G737" s="1">
        <f>IFERROR(IF(Benchmark1[[#This Row],[Target Date Check]]="Pass",Benchmark1[[#This Row],[Target Return]]-Benchmark1[[#This Row],[Benchmark '#1 Return]],"-"),"-")</f>
        <v>1.7679528453283945E-2</v>
      </c>
      <c r="H737" s="1" t="str">
        <f>IF(COUNTIF(Comp1[Comparable '#1 Dates],Benchmark1[[#This Row],[Benchmark '#1 Dates]])=1,"Pass","Fail")</f>
        <v>Pass</v>
      </c>
      <c r="I737" s="6">
        <f>IF(Benchmark1[[#This Row],[Comparable '#1 Date Check]]="Pass",INDEX(Comp1[Comparable '#1 Price],MATCH(Benchmark1[[#This Row],[Benchmark '#1 Dates]],Comp1[Comparable '#1 Dates],0)),"-")</f>
        <v>15.34</v>
      </c>
      <c r="J737" s="22">
        <f>IF(Benchmark1[[#This Row],[Comparable '#1 Date Check]]="Pass",INDEX(Comp1[Comparable '#1 Return],MATCH(Benchmark1[[#This Row],[Benchmark '#1 Dates]],Comp1[Comparable '#1 Dates],0)),"-")</f>
        <v>1.957586269517629E-3</v>
      </c>
      <c r="K737" s="1">
        <f>IFERROR(IF(Benchmark1[[#This Row],[Comparable '#1 Date Check]]="Pass",Benchmark1[[#This Row],[Comparable '#1 Return]]-Benchmark1[[#This Row],[Benchmark '#1 Return]],"-"),"-")</f>
        <v>2.7547154782288905E-3</v>
      </c>
      <c r="L737" s="1" t="str">
        <f>IF(COUNTIF(Comp2[Comparable '#2 Dates],Benchmark1[[#This Row],[Benchmark '#1 Dates]])=1,"Pass","Fail")</f>
        <v>Pass</v>
      </c>
      <c r="M737" s="6">
        <f>IF(Benchmark1[[#This Row],[Comparable '#2 Date Check]]="Pass",INDEX(Comp2[Comparable '#2 Price],MATCH(Benchmark1[[#This Row],[Benchmark '#1 Dates]],Comp2[Comparable '#2 Dates],0)),"-")</f>
        <v>37.75</v>
      </c>
      <c r="N737" s="22">
        <f>IF(Benchmark1[[#This Row],[Comparable '#2 Date Check]]="Pass",INDEX(Comp2[Comparable '#2 Return],MATCH(Benchmark1[[#This Row],[Benchmark '#1 Dates]],Comp2[Comparable '#2 Dates],0)),"-")</f>
        <v>1.6560207506044838E-2</v>
      </c>
      <c r="O737" s="1">
        <f>IFERROR(IF(Benchmark1[[#This Row],[Comparable '#2 Date Check]]="Pass",Benchmark1[[#This Row],[Comparable '#2 Return]]-Benchmark1[[#This Row],[Benchmark '#1 Return]],"-"),"-")</f>
        <v>1.7357336714756099E-2</v>
      </c>
      <c r="P737" s="1" t="str">
        <f>IF(COUNTIF(Comp3[Comparable '#3 Dates],Benchmark1[[#This Row],[Benchmark '#1 Dates]])=1,"Pass","Fail")</f>
        <v>Pass</v>
      </c>
      <c r="Q737" s="6">
        <f>IF(Benchmark1[[#This Row],[Comparable '#3 Date Check]]="Pass",INDEX(Comp3[Comparable '#3 Price],MATCH(Benchmark1[[#This Row],[Benchmark '#1 Dates]],Comp3[Comparable '#3 Dates],0)),"-")</f>
        <v>73.37</v>
      </c>
      <c r="R737" s="22">
        <f>IF(Benchmark1[[#This Row],[Comparable '#3 Date Check]]="Pass",INDEX(Comp3[Comparable '#3 Return],MATCH(Benchmark1[[#This Row],[Benchmark '#1 Dates]],Comp3[Comparable '#3 Dates],0)),"-")</f>
        <v>6.015055729761189E-3</v>
      </c>
      <c r="S737" s="1">
        <f>IFERROR(IF(Benchmark1[[#This Row],[Comparable '#3 Date Check]]="Pass",Benchmark1[[#This Row],[Comparable '#3 Return]]-Benchmark1[[#This Row],[Benchmark '#1 Return]],"-"),"-")</f>
        <v>6.8121849384724506E-3</v>
      </c>
    </row>
    <row r="738" spans="1:19">
      <c r="A738" s="103">
        <v>44355</v>
      </c>
      <c r="B738" s="104">
        <v>4227.2550041271543</v>
      </c>
      <c r="C738" s="4">
        <f t="shared" si="11"/>
        <v>1.7384561318365628E-4</v>
      </c>
      <c r="D738" s="1" t="str">
        <f>IF(COUNTIF(Target1[Target Dates],Benchmark1[[#This Row],[Benchmark '#1 Dates]])=1,"Pass","Fail")</f>
        <v>Pass</v>
      </c>
      <c r="E738" s="6">
        <f>IF(Benchmark1[[#This Row],[Target Date Check]]="Pass",INDEX(Target1[Target Price],MATCH(Benchmark1[[#This Row],[Benchmark '#1 Dates]],Target1[Target Dates],0)),"-")</f>
        <v>29.84</v>
      </c>
      <c r="F738" s="22">
        <f>IF(Benchmark1[[#This Row],[Target Date Check]]="Pass",INDEX(Target1[Target Return],MATCH(Benchmark1[[#This Row],[Benchmark '#1 Dates]],Target1[Target Dates],0)),"-")</f>
        <v>1.9286674631765664E-2</v>
      </c>
      <c r="G738" s="1">
        <f>IFERROR(IF(Benchmark1[[#This Row],[Target Date Check]]="Pass",Benchmark1[[#This Row],[Target Return]]-Benchmark1[[#This Row],[Benchmark '#1 Return]],"-"),"-")</f>
        <v>1.9112829018582009E-2</v>
      </c>
      <c r="H738" s="1" t="str">
        <f>IF(COUNTIF(Comp1[Comparable '#1 Dates],Benchmark1[[#This Row],[Benchmark '#1 Dates]])=1,"Pass","Fail")</f>
        <v>Pass</v>
      </c>
      <c r="I738" s="6">
        <f>IF(Benchmark1[[#This Row],[Comparable '#1 Date Check]]="Pass",INDEX(Comp1[Comparable '#1 Price],MATCH(Benchmark1[[#This Row],[Benchmark '#1 Dates]],Comp1[Comparable '#1 Dates],0)),"-")</f>
        <v>15.28</v>
      </c>
      <c r="J738" s="22">
        <f>IF(Benchmark1[[#This Row],[Comparable '#1 Date Check]]="Pass",INDEX(Comp1[Comparable '#1 Return],MATCH(Benchmark1[[#This Row],[Benchmark '#1 Dates]],Comp1[Comparable '#1 Dates],0)),"-")</f>
        <v>-3.9190122007357192E-3</v>
      </c>
      <c r="K738" s="1">
        <f>IFERROR(IF(Benchmark1[[#This Row],[Comparable '#1 Date Check]]="Pass",Benchmark1[[#This Row],[Comparable '#1 Return]]-Benchmark1[[#This Row],[Benchmark '#1 Return]],"-"),"-")</f>
        <v>-4.0928578139193756E-3</v>
      </c>
      <c r="L738" s="1" t="str">
        <f>IF(COUNTIF(Comp2[Comparable '#2 Dates],Benchmark1[[#This Row],[Benchmark '#1 Dates]])=1,"Pass","Fail")</f>
        <v>Pass</v>
      </c>
      <c r="M738" s="6">
        <f>IF(Benchmark1[[#This Row],[Comparable '#2 Date Check]]="Pass",INDEX(Comp2[Comparable '#2 Price],MATCH(Benchmark1[[#This Row],[Benchmark '#1 Dates]],Comp2[Comparable '#2 Dates],0)),"-")</f>
        <v>38.39</v>
      </c>
      <c r="N738" s="22">
        <f>IF(Benchmark1[[#This Row],[Comparable '#2 Date Check]]="Pass",INDEX(Comp2[Comparable '#2 Return],MATCH(Benchmark1[[#This Row],[Benchmark '#1 Dates]],Comp2[Comparable '#2 Dates],0)),"-")</f>
        <v>1.6811533317672576E-2</v>
      </c>
      <c r="O738" s="1">
        <f>IFERROR(IF(Benchmark1[[#This Row],[Comparable '#2 Date Check]]="Pass",Benchmark1[[#This Row],[Comparable '#2 Return]]-Benchmark1[[#This Row],[Benchmark '#1 Return]],"-"),"-")</f>
        <v>1.663768770448892E-2</v>
      </c>
      <c r="P738" s="1" t="str">
        <f>IF(COUNTIF(Comp3[Comparable '#3 Dates],Benchmark1[[#This Row],[Benchmark '#1 Dates]])=1,"Pass","Fail")</f>
        <v>Pass</v>
      </c>
      <c r="Q738" s="6">
        <f>IF(Benchmark1[[#This Row],[Comparable '#3 Date Check]]="Pass",INDEX(Comp3[Comparable '#3 Price],MATCH(Benchmark1[[#This Row],[Benchmark '#1 Dates]],Comp3[Comparable '#3 Dates],0)),"-")</f>
        <v>73.7</v>
      </c>
      <c r="R738" s="22">
        <f>IF(Benchmark1[[#This Row],[Comparable '#3 Date Check]]="Pass",INDEX(Comp3[Comparable '#3 Return],MATCH(Benchmark1[[#This Row],[Benchmark '#1 Dates]],Comp3[Comparable '#3 Dates],0)),"-")</f>
        <v>4.4876664693879768E-3</v>
      </c>
      <c r="S738" s="1">
        <f>IFERROR(IF(Benchmark1[[#This Row],[Comparable '#3 Date Check]]="Pass",Benchmark1[[#This Row],[Comparable '#3 Return]]-Benchmark1[[#This Row],[Benchmark '#1 Return]],"-"),"-")</f>
        <v>4.3138208562043204E-3</v>
      </c>
    </row>
    <row r="739" spans="1:19">
      <c r="A739" s="103">
        <v>44356</v>
      </c>
      <c r="B739" s="104">
        <v>4219.5468305216391</v>
      </c>
      <c r="C739" s="4">
        <f t="shared" si="11"/>
        <v>-1.8251110647763496E-3</v>
      </c>
      <c r="D739" s="1" t="str">
        <f>IF(COUNTIF(Target1[Target Dates],Benchmark1[[#This Row],[Benchmark '#1 Dates]])=1,"Pass","Fail")</f>
        <v>Pass</v>
      </c>
      <c r="E739" s="6">
        <f>IF(Benchmark1[[#This Row],[Target Date Check]]="Pass",INDEX(Target1[Target Price],MATCH(Benchmark1[[#This Row],[Benchmark '#1 Dates]],Target1[Target Dates],0)),"-")</f>
        <v>29.7</v>
      </c>
      <c r="F739" s="22">
        <f>IF(Benchmark1[[#This Row],[Target Date Check]]="Pass",INDEX(Target1[Target Return],MATCH(Benchmark1[[#This Row],[Benchmark '#1 Dates]],Target1[Target Dates],0)),"-")</f>
        <v>-4.7027295269062262E-3</v>
      </c>
      <c r="G739" s="1">
        <f>IFERROR(IF(Benchmark1[[#This Row],[Target Date Check]]="Pass",Benchmark1[[#This Row],[Target Return]]-Benchmark1[[#This Row],[Benchmark '#1 Return]],"-"),"-")</f>
        <v>-2.8776184621298767E-3</v>
      </c>
      <c r="H739" s="1" t="str">
        <f>IF(COUNTIF(Comp1[Comparable '#1 Dates],Benchmark1[[#This Row],[Benchmark '#1 Dates]])=1,"Pass","Fail")</f>
        <v>Pass</v>
      </c>
      <c r="I739" s="6">
        <f>IF(Benchmark1[[#This Row],[Comparable '#1 Date Check]]="Pass",INDEX(Comp1[Comparable '#1 Price],MATCH(Benchmark1[[#This Row],[Benchmark '#1 Dates]],Comp1[Comparable '#1 Dates],0)),"-")</f>
        <v>15.2</v>
      </c>
      <c r="J739" s="22">
        <f>IF(Benchmark1[[#This Row],[Comparable '#1 Date Check]]="Pass",INDEX(Comp1[Comparable '#1 Return],MATCH(Benchmark1[[#This Row],[Benchmark '#1 Dates]],Comp1[Comparable '#1 Dates],0)),"-")</f>
        <v>-5.2493558861436782E-3</v>
      </c>
      <c r="K739" s="1">
        <f>IFERROR(IF(Benchmark1[[#This Row],[Comparable '#1 Date Check]]="Pass",Benchmark1[[#This Row],[Comparable '#1 Return]]-Benchmark1[[#This Row],[Benchmark '#1 Return]],"-"),"-")</f>
        <v>-3.4242448213673287E-3</v>
      </c>
      <c r="L739" s="1" t="str">
        <f>IF(COUNTIF(Comp2[Comparable '#2 Dates],Benchmark1[[#This Row],[Benchmark '#1 Dates]])=1,"Pass","Fail")</f>
        <v>Pass</v>
      </c>
      <c r="M739" s="6">
        <f>IF(Benchmark1[[#This Row],[Comparable '#2 Date Check]]="Pass",INDEX(Comp2[Comparable '#2 Price],MATCH(Benchmark1[[#This Row],[Benchmark '#1 Dates]],Comp2[Comparable '#2 Dates],0)),"-")</f>
        <v>37.94</v>
      </c>
      <c r="N739" s="22">
        <f>IF(Benchmark1[[#This Row],[Comparable '#2 Date Check]]="Pass",INDEX(Comp2[Comparable '#2 Return],MATCH(Benchmark1[[#This Row],[Benchmark '#1 Dates]],Comp2[Comparable '#2 Dates],0)),"-")</f>
        <v>-1.1791044505838321E-2</v>
      </c>
      <c r="O739" s="1">
        <f>IFERROR(IF(Benchmark1[[#This Row],[Comparable '#2 Date Check]]="Pass",Benchmark1[[#This Row],[Comparable '#2 Return]]-Benchmark1[[#This Row],[Benchmark '#1 Return]],"-"),"-")</f>
        <v>-9.9659334410619714E-3</v>
      </c>
      <c r="P739" s="1" t="str">
        <f>IF(COUNTIF(Comp3[Comparable '#3 Dates],Benchmark1[[#This Row],[Benchmark '#1 Dates]])=1,"Pass","Fail")</f>
        <v>Pass</v>
      </c>
      <c r="Q739" s="6">
        <f>IF(Benchmark1[[#This Row],[Comparable '#3 Date Check]]="Pass",INDEX(Comp3[Comparable '#3 Price],MATCH(Benchmark1[[#This Row],[Benchmark '#1 Dates]],Comp3[Comparable '#3 Dates],0)),"-")</f>
        <v>75.67</v>
      </c>
      <c r="R739" s="22">
        <f>IF(Benchmark1[[#This Row],[Comparable '#3 Date Check]]="Pass",INDEX(Comp3[Comparable '#3 Return],MATCH(Benchmark1[[#This Row],[Benchmark '#1 Dates]],Comp3[Comparable '#3 Dates],0)),"-")</f>
        <v>2.6378981511139273E-2</v>
      </c>
      <c r="S739" s="1">
        <f>IFERROR(IF(Benchmark1[[#This Row],[Comparable '#3 Date Check]]="Pass",Benchmark1[[#This Row],[Comparable '#3 Return]]-Benchmark1[[#This Row],[Benchmark '#1 Return]],"-"),"-")</f>
        <v>2.8204092575915621E-2</v>
      </c>
    </row>
    <row r="740" spans="1:19">
      <c r="A740" s="103">
        <v>44357</v>
      </c>
      <c r="B740" s="104">
        <v>4239.1841541500853</v>
      </c>
      <c r="C740" s="4">
        <f t="shared" si="11"/>
        <v>4.6430981061013153E-3</v>
      </c>
      <c r="D740" s="1" t="str">
        <f>IF(COUNTIF(Target1[Target Dates],Benchmark1[[#This Row],[Benchmark '#1 Dates]])=1,"Pass","Fail")</f>
        <v>Pass</v>
      </c>
      <c r="E740" s="6">
        <f>IF(Benchmark1[[#This Row],[Target Date Check]]="Pass",INDEX(Target1[Target Price],MATCH(Benchmark1[[#This Row],[Benchmark '#1 Dates]],Target1[Target Dates],0)),"-")</f>
        <v>30.18</v>
      </c>
      <c r="F740" s="22">
        <f>IF(Benchmark1[[#This Row],[Target Date Check]]="Pass",INDEX(Target1[Target Return],MATCH(Benchmark1[[#This Row],[Benchmark '#1 Dates]],Target1[Target Dates],0)),"-")</f>
        <v>1.6032407531049009E-2</v>
      </c>
      <c r="G740" s="1">
        <f>IFERROR(IF(Benchmark1[[#This Row],[Target Date Check]]="Pass",Benchmark1[[#This Row],[Target Return]]-Benchmark1[[#This Row],[Benchmark '#1 Return]],"-"),"-")</f>
        <v>1.1389309424947694E-2</v>
      </c>
      <c r="H740" s="1" t="str">
        <f>IF(COUNTIF(Comp1[Comparable '#1 Dates],Benchmark1[[#This Row],[Benchmark '#1 Dates]])=1,"Pass","Fail")</f>
        <v>Pass</v>
      </c>
      <c r="I740" s="6">
        <f>IF(Benchmark1[[#This Row],[Comparable '#1 Date Check]]="Pass",INDEX(Comp1[Comparable '#1 Price],MATCH(Benchmark1[[#This Row],[Benchmark '#1 Dates]],Comp1[Comparable '#1 Dates],0)),"-")</f>
        <v>15.47</v>
      </c>
      <c r="J740" s="22">
        <f>IF(Benchmark1[[#This Row],[Comparable '#1 Date Check]]="Pass",INDEX(Comp1[Comparable '#1 Return],MATCH(Benchmark1[[#This Row],[Benchmark '#1 Dates]],Comp1[Comparable '#1 Dates],0)),"-")</f>
        <v>1.7607236732744239E-2</v>
      </c>
      <c r="K740" s="1">
        <f>IFERROR(IF(Benchmark1[[#This Row],[Comparable '#1 Date Check]]="Pass",Benchmark1[[#This Row],[Comparable '#1 Return]]-Benchmark1[[#This Row],[Benchmark '#1 Return]],"-"),"-")</f>
        <v>1.2964138626642923E-2</v>
      </c>
      <c r="L740" s="1" t="str">
        <f>IF(COUNTIF(Comp2[Comparable '#2 Dates],Benchmark1[[#This Row],[Benchmark '#1 Dates]])=1,"Pass","Fail")</f>
        <v>Pass</v>
      </c>
      <c r="M740" s="6">
        <f>IF(Benchmark1[[#This Row],[Comparable '#2 Date Check]]="Pass",INDEX(Comp2[Comparable '#2 Price],MATCH(Benchmark1[[#This Row],[Benchmark '#1 Dates]],Comp2[Comparable '#2 Dates],0)),"-")</f>
        <v>38.86</v>
      </c>
      <c r="N740" s="22">
        <f>IF(Benchmark1[[#This Row],[Comparable '#2 Date Check]]="Pass",INDEX(Comp2[Comparable '#2 Return],MATCH(Benchmark1[[#This Row],[Benchmark '#1 Dates]],Comp2[Comparable '#2 Dates],0)),"-")</f>
        <v>2.3959479442426025E-2</v>
      </c>
      <c r="O740" s="1">
        <f>IFERROR(IF(Benchmark1[[#This Row],[Comparable '#2 Date Check]]="Pass",Benchmark1[[#This Row],[Comparable '#2 Return]]-Benchmark1[[#This Row],[Benchmark '#1 Return]],"-"),"-")</f>
        <v>1.9316381336324712E-2</v>
      </c>
      <c r="P740" s="1" t="str">
        <f>IF(COUNTIF(Comp3[Comparable '#3 Dates],Benchmark1[[#This Row],[Benchmark '#1 Dates]])=1,"Pass","Fail")</f>
        <v>Pass</v>
      </c>
      <c r="Q740" s="6">
        <f>IF(Benchmark1[[#This Row],[Comparable '#3 Date Check]]="Pass",INDEX(Comp3[Comparable '#3 Price],MATCH(Benchmark1[[#This Row],[Benchmark '#1 Dates]],Comp3[Comparable '#3 Dates],0)),"-")</f>
        <v>78.17</v>
      </c>
      <c r="R740" s="22">
        <f>IF(Benchmark1[[#This Row],[Comparable '#3 Date Check]]="Pass",INDEX(Comp3[Comparable '#3 Return],MATCH(Benchmark1[[#This Row],[Benchmark '#1 Dates]],Comp3[Comparable '#3 Dates],0)),"-")</f>
        <v>3.2504161525808789E-2</v>
      </c>
      <c r="S740" s="1">
        <f>IFERROR(IF(Benchmark1[[#This Row],[Comparable '#3 Date Check]]="Pass",Benchmark1[[#This Row],[Comparable '#3 Return]]-Benchmark1[[#This Row],[Benchmark '#1 Return]],"-"),"-")</f>
        <v>2.7861063419707476E-2</v>
      </c>
    </row>
    <row r="741" spans="1:19">
      <c r="A741" s="103">
        <v>44358</v>
      </c>
      <c r="B741" s="104">
        <v>4247.4397847524287</v>
      </c>
      <c r="C741" s="4">
        <f t="shared" si="11"/>
        <v>1.9455635753136023E-3</v>
      </c>
      <c r="D741" s="1" t="str">
        <f>IF(COUNTIF(Target1[Target Dates],Benchmark1[[#This Row],[Benchmark '#1 Dates]])=1,"Pass","Fail")</f>
        <v>Pass</v>
      </c>
      <c r="E741" s="6">
        <f>IF(Benchmark1[[#This Row],[Target Date Check]]="Pass",INDEX(Target1[Target Price],MATCH(Benchmark1[[#This Row],[Benchmark '#1 Dates]],Target1[Target Dates],0)),"-")</f>
        <v>30.44</v>
      </c>
      <c r="F741" s="22">
        <f>IF(Benchmark1[[#This Row],[Target Date Check]]="Pass",INDEX(Target1[Target Return],MATCH(Benchmark1[[#This Row],[Benchmark '#1 Dates]],Target1[Target Dates],0)),"-")</f>
        <v>8.5780796537822477E-3</v>
      </c>
      <c r="G741" s="1">
        <f>IFERROR(IF(Benchmark1[[#This Row],[Target Date Check]]="Pass",Benchmark1[[#This Row],[Target Return]]-Benchmark1[[#This Row],[Benchmark '#1 Return]],"-"),"-")</f>
        <v>6.6325160784686454E-3</v>
      </c>
      <c r="H741" s="1" t="str">
        <f>IF(COUNTIF(Comp1[Comparable '#1 Dates],Benchmark1[[#This Row],[Benchmark '#1 Dates]])=1,"Pass","Fail")</f>
        <v>Pass</v>
      </c>
      <c r="I741" s="6">
        <f>IF(Benchmark1[[#This Row],[Comparable '#1 Date Check]]="Pass",INDEX(Comp1[Comparable '#1 Price],MATCH(Benchmark1[[#This Row],[Benchmark '#1 Dates]],Comp1[Comparable '#1 Dates],0)),"-")</f>
        <v>15.43</v>
      </c>
      <c r="J741" s="22">
        <f>IF(Benchmark1[[#This Row],[Comparable '#1 Date Check]]="Pass",INDEX(Comp1[Comparable '#1 Return],MATCH(Benchmark1[[#This Row],[Benchmark '#1 Dates]],Comp1[Comparable '#1 Dates],0)),"-")</f>
        <v>-2.5889982099053842E-3</v>
      </c>
      <c r="K741" s="1">
        <f>IFERROR(IF(Benchmark1[[#This Row],[Comparable '#1 Date Check]]="Pass",Benchmark1[[#This Row],[Comparable '#1 Return]]-Benchmark1[[#This Row],[Benchmark '#1 Return]],"-"),"-")</f>
        <v>-4.5345617852189865E-3</v>
      </c>
      <c r="L741" s="1" t="str">
        <f>IF(COUNTIF(Comp2[Comparable '#2 Dates],Benchmark1[[#This Row],[Benchmark '#1 Dates]])=1,"Pass","Fail")</f>
        <v>Pass</v>
      </c>
      <c r="M741" s="6">
        <f>IF(Benchmark1[[#This Row],[Comparable '#2 Date Check]]="Pass",INDEX(Comp2[Comparable '#2 Price],MATCH(Benchmark1[[#This Row],[Benchmark '#1 Dates]],Comp2[Comparable '#2 Dates],0)),"-")</f>
        <v>39.21</v>
      </c>
      <c r="N741" s="22">
        <f>IF(Benchmark1[[#This Row],[Comparable '#2 Date Check]]="Pass",INDEX(Comp2[Comparable '#2 Return],MATCH(Benchmark1[[#This Row],[Benchmark '#1 Dates]],Comp2[Comparable '#2 Dates],0)),"-")</f>
        <v>8.9663723549462948E-3</v>
      </c>
      <c r="O741" s="1">
        <f>IFERROR(IF(Benchmark1[[#This Row],[Comparable '#2 Date Check]]="Pass",Benchmark1[[#This Row],[Comparable '#2 Return]]-Benchmark1[[#This Row],[Benchmark '#1 Return]],"-"),"-")</f>
        <v>7.0208087796326925E-3</v>
      </c>
      <c r="P741" s="1" t="str">
        <f>IF(COUNTIF(Comp3[Comparable '#3 Dates],Benchmark1[[#This Row],[Benchmark '#1 Dates]])=1,"Pass","Fail")</f>
        <v>Pass</v>
      </c>
      <c r="Q741" s="6">
        <f>IF(Benchmark1[[#This Row],[Comparable '#3 Date Check]]="Pass",INDEX(Comp3[Comparable '#3 Price],MATCH(Benchmark1[[#This Row],[Benchmark '#1 Dates]],Comp3[Comparable '#3 Dates],0)),"-")</f>
        <v>79.44</v>
      </c>
      <c r="R741" s="22">
        <f>IF(Benchmark1[[#This Row],[Comparable '#3 Date Check]]="Pass",INDEX(Comp3[Comparable '#3 Return],MATCH(Benchmark1[[#This Row],[Benchmark '#1 Dates]],Comp3[Comparable '#3 Dates],0)),"-")</f>
        <v>1.6116077504677966E-2</v>
      </c>
      <c r="S741" s="1">
        <f>IFERROR(IF(Benchmark1[[#This Row],[Comparable '#3 Date Check]]="Pass",Benchmark1[[#This Row],[Comparable '#3 Return]]-Benchmark1[[#This Row],[Benchmark '#1 Return]],"-"),"-")</f>
        <v>1.4170513929364362E-2</v>
      </c>
    </row>
    <row r="742" spans="1:19">
      <c r="A742" s="103">
        <v>44361</v>
      </c>
      <c r="B742" s="104">
        <v>4255.1503298521702</v>
      </c>
      <c r="C742" s="4">
        <f t="shared" si="11"/>
        <v>1.8136937355456039E-3</v>
      </c>
      <c r="D742" s="1" t="str">
        <f>IF(COUNTIF(Target1[Target Dates],Benchmark1[[#This Row],[Benchmark '#1 Dates]])=1,"Pass","Fail")</f>
        <v>Pass</v>
      </c>
      <c r="E742" s="6">
        <f>IF(Benchmark1[[#This Row],[Target Date Check]]="Pass",INDEX(Target1[Target Price],MATCH(Benchmark1[[#This Row],[Benchmark '#1 Dates]],Target1[Target Dates],0)),"-")</f>
        <v>30.17</v>
      </c>
      <c r="F742" s="22">
        <f>IF(Benchmark1[[#This Row],[Target Date Check]]="Pass",INDEX(Target1[Target Return],MATCH(Benchmark1[[#This Row],[Benchmark '#1 Dates]],Target1[Target Dates],0)),"-")</f>
        <v>-8.9094798225153385E-3</v>
      </c>
      <c r="G742" s="1">
        <f>IFERROR(IF(Benchmark1[[#This Row],[Target Date Check]]="Pass",Benchmark1[[#This Row],[Target Return]]-Benchmark1[[#This Row],[Benchmark '#1 Return]],"-"),"-")</f>
        <v>-1.0723173558060942E-2</v>
      </c>
      <c r="H742" s="1" t="str">
        <f>IF(COUNTIF(Comp1[Comparable '#1 Dates],Benchmark1[[#This Row],[Benchmark '#1 Dates]])=1,"Pass","Fail")</f>
        <v>Pass</v>
      </c>
      <c r="I742" s="6">
        <f>IF(Benchmark1[[#This Row],[Comparable '#1 Date Check]]="Pass",INDEX(Comp1[Comparable '#1 Price],MATCH(Benchmark1[[#This Row],[Benchmark '#1 Dates]],Comp1[Comparable '#1 Dates],0)),"-")</f>
        <v>15.43</v>
      </c>
      <c r="J742" s="22">
        <f>IF(Benchmark1[[#This Row],[Comparable '#1 Date Check]]="Pass",INDEX(Comp1[Comparable '#1 Return],MATCH(Benchmark1[[#This Row],[Benchmark '#1 Dates]],Comp1[Comparable '#1 Dates],0)),"-")</f>
        <v>0</v>
      </c>
      <c r="K742" s="1">
        <f>IFERROR(IF(Benchmark1[[#This Row],[Comparable '#1 Date Check]]="Pass",Benchmark1[[#This Row],[Comparable '#1 Return]]-Benchmark1[[#This Row],[Benchmark '#1 Return]],"-"),"-")</f>
        <v>-1.8136937355456039E-3</v>
      </c>
      <c r="L742" s="1" t="str">
        <f>IF(COUNTIF(Comp2[Comparable '#2 Dates],Benchmark1[[#This Row],[Benchmark '#1 Dates]])=1,"Pass","Fail")</f>
        <v>Pass</v>
      </c>
      <c r="M742" s="6">
        <f>IF(Benchmark1[[#This Row],[Comparable '#2 Date Check]]="Pass",INDEX(Comp2[Comparable '#2 Price],MATCH(Benchmark1[[#This Row],[Benchmark '#1 Dates]],Comp2[Comparable '#2 Dates],0)),"-")</f>
        <v>38.53</v>
      </c>
      <c r="N742" s="22">
        <f>IF(Benchmark1[[#This Row],[Comparable '#2 Date Check]]="Pass",INDEX(Comp2[Comparable '#2 Return],MATCH(Benchmark1[[#This Row],[Benchmark '#1 Dates]],Comp2[Comparable '#2 Dates],0)),"-")</f>
        <v>-1.7494657666174009E-2</v>
      </c>
      <c r="O742" s="1">
        <f>IFERROR(IF(Benchmark1[[#This Row],[Comparable '#2 Date Check]]="Pass",Benchmark1[[#This Row],[Comparable '#2 Return]]-Benchmark1[[#This Row],[Benchmark '#1 Return]],"-"),"-")</f>
        <v>-1.9308351401719614E-2</v>
      </c>
      <c r="P742" s="1" t="str">
        <f>IF(COUNTIF(Comp3[Comparable '#3 Dates],Benchmark1[[#This Row],[Benchmark '#1 Dates]])=1,"Pass","Fail")</f>
        <v>Pass</v>
      </c>
      <c r="Q742" s="6">
        <f>IF(Benchmark1[[#This Row],[Comparable '#3 Date Check]]="Pass",INDEX(Comp3[Comparable '#3 Price],MATCH(Benchmark1[[#This Row],[Benchmark '#1 Dates]],Comp3[Comparable '#3 Dates],0)),"-")</f>
        <v>78.34</v>
      </c>
      <c r="R742" s="22">
        <f>IF(Benchmark1[[#This Row],[Comparable '#3 Date Check]]="Pass",INDEX(Comp3[Comparable '#3 Return],MATCH(Benchmark1[[#This Row],[Benchmark '#1 Dates]],Comp3[Comparable '#3 Dates],0)),"-")</f>
        <v>-1.3943691499231855E-2</v>
      </c>
      <c r="S742" s="1">
        <f>IFERROR(IF(Benchmark1[[#This Row],[Comparable '#3 Date Check]]="Pass",Benchmark1[[#This Row],[Comparable '#3 Return]]-Benchmark1[[#This Row],[Benchmark '#1 Return]],"-"),"-")</f>
        <v>-1.575738523477746E-2</v>
      </c>
    </row>
    <row r="743" spans="1:19">
      <c r="A743" s="103">
        <v>44362</v>
      </c>
      <c r="B743" s="104">
        <v>4246.5939782313317</v>
      </c>
      <c r="C743" s="4">
        <f t="shared" si="11"/>
        <v>-2.012846822875709E-3</v>
      </c>
      <c r="D743" s="1" t="str">
        <f>IF(COUNTIF(Target1[Target Dates],Benchmark1[[#This Row],[Benchmark '#1 Dates]])=1,"Pass","Fail")</f>
        <v>Pass</v>
      </c>
      <c r="E743" s="6">
        <f>IF(Benchmark1[[#This Row],[Target Date Check]]="Pass",INDEX(Target1[Target Price],MATCH(Benchmark1[[#This Row],[Benchmark '#1 Dates]],Target1[Target Dates],0)),"-")</f>
        <v>30.27</v>
      </c>
      <c r="F743" s="22">
        <f>IF(Benchmark1[[#This Row],[Target Date Check]]="Pass",INDEX(Target1[Target Return],MATCH(Benchmark1[[#This Row],[Benchmark '#1 Dates]],Target1[Target Dates],0)),"-")</f>
        <v>3.3090698626574325E-3</v>
      </c>
      <c r="G743" s="1">
        <f>IFERROR(IF(Benchmark1[[#This Row],[Target Date Check]]="Pass",Benchmark1[[#This Row],[Target Return]]-Benchmark1[[#This Row],[Benchmark '#1 Return]],"-"),"-")</f>
        <v>5.3219166855331419E-3</v>
      </c>
      <c r="H743" s="1" t="str">
        <f>IF(COUNTIF(Comp1[Comparable '#1 Dates],Benchmark1[[#This Row],[Benchmark '#1 Dates]])=1,"Pass","Fail")</f>
        <v>Pass</v>
      </c>
      <c r="I743" s="6">
        <f>IF(Benchmark1[[#This Row],[Comparable '#1 Date Check]]="Pass",INDEX(Comp1[Comparable '#1 Price],MATCH(Benchmark1[[#This Row],[Benchmark '#1 Dates]],Comp1[Comparable '#1 Dates],0)),"-")</f>
        <v>15.47</v>
      </c>
      <c r="J743" s="22">
        <f>IF(Benchmark1[[#This Row],[Comparable '#1 Date Check]]="Pass",INDEX(Comp1[Comparable '#1 Return],MATCH(Benchmark1[[#This Row],[Benchmark '#1 Dates]],Comp1[Comparable '#1 Dates],0)),"-")</f>
        <v>2.5889982099054033E-3</v>
      </c>
      <c r="K743" s="1">
        <f>IFERROR(IF(Benchmark1[[#This Row],[Comparable '#1 Date Check]]="Pass",Benchmark1[[#This Row],[Comparable '#1 Return]]-Benchmark1[[#This Row],[Benchmark '#1 Return]],"-"),"-")</f>
        <v>4.6018450327811123E-3</v>
      </c>
      <c r="L743" s="1" t="str">
        <f>IF(COUNTIF(Comp2[Comparable '#2 Dates],Benchmark1[[#This Row],[Benchmark '#1 Dates]])=1,"Pass","Fail")</f>
        <v>Pass</v>
      </c>
      <c r="M743" s="6">
        <f>IF(Benchmark1[[#This Row],[Comparable '#2 Date Check]]="Pass",INDEX(Comp2[Comparable '#2 Price],MATCH(Benchmark1[[#This Row],[Benchmark '#1 Dates]],Comp2[Comparable '#2 Dates],0)),"-")</f>
        <v>38.549999999999997</v>
      </c>
      <c r="N743" s="22">
        <f>IF(Benchmark1[[#This Row],[Comparable '#2 Date Check]]="Pass",INDEX(Comp2[Comparable '#2 Return],MATCH(Benchmark1[[#This Row],[Benchmark '#1 Dates]],Comp2[Comparable '#2 Dates],0)),"-")</f>
        <v>5.1894137127225836E-4</v>
      </c>
      <c r="O743" s="1">
        <f>IFERROR(IF(Benchmark1[[#This Row],[Comparable '#2 Date Check]]="Pass",Benchmark1[[#This Row],[Comparable '#2 Return]]-Benchmark1[[#This Row],[Benchmark '#1 Return]],"-"),"-")</f>
        <v>2.5317881941479673E-3</v>
      </c>
      <c r="P743" s="1" t="str">
        <f>IF(COUNTIF(Comp3[Comparable '#3 Dates],Benchmark1[[#This Row],[Benchmark '#1 Dates]])=1,"Pass","Fail")</f>
        <v>Pass</v>
      </c>
      <c r="Q743" s="6">
        <f>IF(Benchmark1[[#This Row],[Comparable '#3 Date Check]]="Pass",INDEX(Comp3[Comparable '#3 Price],MATCH(Benchmark1[[#This Row],[Benchmark '#1 Dates]],Comp3[Comparable '#3 Dates],0)),"-")</f>
        <v>78.27</v>
      </c>
      <c r="R743" s="22">
        <f>IF(Benchmark1[[#This Row],[Comparable '#3 Date Check]]="Pass",INDEX(Comp3[Comparable '#3 Return],MATCH(Benchmark1[[#This Row],[Benchmark '#1 Dates]],Comp3[Comparable '#3 Dates],0)),"-")</f>
        <v>-8.939404209385366E-4</v>
      </c>
      <c r="S743" s="1">
        <f>IFERROR(IF(Benchmark1[[#This Row],[Comparable '#3 Date Check]]="Pass",Benchmark1[[#This Row],[Comparable '#3 Return]]-Benchmark1[[#This Row],[Benchmark '#1 Return]],"-"),"-")</f>
        <v>1.1189064019371724E-3</v>
      </c>
    </row>
    <row r="744" spans="1:19">
      <c r="A744" s="103">
        <v>44363</v>
      </c>
      <c r="B744" s="104">
        <v>4223.7041915153332</v>
      </c>
      <c r="C744" s="4">
        <f t="shared" si="11"/>
        <v>-5.4047312094439113E-3</v>
      </c>
      <c r="D744" s="1" t="str">
        <f>IF(COUNTIF(Target1[Target Dates],Benchmark1[[#This Row],[Benchmark '#1 Dates]])=1,"Pass","Fail")</f>
        <v>Pass</v>
      </c>
      <c r="E744" s="6">
        <f>IF(Benchmark1[[#This Row],[Target Date Check]]="Pass",INDEX(Target1[Target Price],MATCH(Benchmark1[[#This Row],[Benchmark '#1 Dates]],Target1[Target Dates],0)),"-")</f>
        <v>30.2</v>
      </c>
      <c r="F744" s="22">
        <f>IF(Benchmark1[[#This Row],[Target Date Check]]="Pass",INDEX(Target1[Target Return],MATCH(Benchmark1[[#This Row],[Benchmark '#1 Dates]],Target1[Target Dates],0)),"-")</f>
        <v>-2.3151986528033002E-3</v>
      </c>
      <c r="G744" s="1">
        <f>IFERROR(IF(Benchmark1[[#This Row],[Target Date Check]]="Pass",Benchmark1[[#This Row],[Target Return]]-Benchmark1[[#This Row],[Benchmark '#1 Return]],"-"),"-")</f>
        <v>3.0895325566406111E-3</v>
      </c>
      <c r="H744" s="1" t="str">
        <f>IF(COUNTIF(Comp1[Comparable '#1 Dates],Benchmark1[[#This Row],[Benchmark '#1 Dates]])=1,"Pass","Fail")</f>
        <v>Pass</v>
      </c>
      <c r="I744" s="6">
        <f>IF(Benchmark1[[#This Row],[Comparable '#1 Date Check]]="Pass",INDEX(Comp1[Comparable '#1 Price],MATCH(Benchmark1[[#This Row],[Benchmark '#1 Dates]],Comp1[Comparable '#1 Dates],0)),"-")</f>
        <v>15.38</v>
      </c>
      <c r="J744" s="22">
        <f>IF(Benchmark1[[#This Row],[Comparable '#1 Date Check]]="Pass",INDEX(Comp1[Comparable '#1 Return],MATCH(Benchmark1[[#This Row],[Benchmark '#1 Dates]],Comp1[Comparable '#1 Dates],0)),"-")</f>
        <v>-5.8347005074768166E-3</v>
      </c>
      <c r="K744" s="1">
        <f>IFERROR(IF(Benchmark1[[#This Row],[Comparable '#1 Date Check]]="Pass",Benchmark1[[#This Row],[Comparable '#1 Return]]-Benchmark1[[#This Row],[Benchmark '#1 Return]],"-"),"-")</f>
        <v>-4.2996929803290531E-4</v>
      </c>
      <c r="L744" s="1" t="str">
        <f>IF(COUNTIF(Comp2[Comparable '#2 Dates],Benchmark1[[#This Row],[Benchmark '#1 Dates]])=1,"Pass","Fail")</f>
        <v>Pass</v>
      </c>
      <c r="M744" s="6">
        <f>IF(Benchmark1[[#This Row],[Comparable '#2 Date Check]]="Pass",INDEX(Comp2[Comparable '#2 Price],MATCH(Benchmark1[[#This Row],[Benchmark '#1 Dates]],Comp2[Comparable '#2 Dates],0)),"-")</f>
        <v>37.69</v>
      </c>
      <c r="N744" s="22">
        <f>IF(Benchmark1[[#This Row],[Comparable '#2 Date Check]]="Pass",INDEX(Comp2[Comparable '#2 Return],MATCH(Benchmark1[[#This Row],[Benchmark '#1 Dates]],Comp2[Comparable '#2 Dates],0)),"-")</f>
        <v>-2.2561292730294467E-2</v>
      </c>
      <c r="O744" s="1">
        <f>IFERROR(IF(Benchmark1[[#This Row],[Comparable '#2 Date Check]]="Pass",Benchmark1[[#This Row],[Comparable '#2 Return]]-Benchmark1[[#This Row],[Benchmark '#1 Return]],"-"),"-")</f>
        <v>-1.7156561520850558E-2</v>
      </c>
      <c r="P744" s="1" t="str">
        <f>IF(COUNTIF(Comp3[Comparable '#3 Dates],Benchmark1[[#This Row],[Benchmark '#1 Dates]])=1,"Pass","Fail")</f>
        <v>Pass</v>
      </c>
      <c r="Q744" s="6">
        <f>IF(Benchmark1[[#This Row],[Comparable '#3 Date Check]]="Pass",INDEX(Comp3[Comparable '#3 Price],MATCH(Benchmark1[[#This Row],[Benchmark '#1 Dates]],Comp3[Comparable '#3 Dates],0)),"-")</f>
        <v>78.91</v>
      </c>
      <c r="R744" s="22">
        <f>IF(Benchmark1[[#This Row],[Comparable '#3 Date Check]]="Pass",INDEX(Comp3[Comparable '#3 Return],MATCH(Benchmark1[[#This Row],[Benchmark '#1 Dates]],Comp3[Comparable '#3 Dates],0)),"-")</f>
        <v>8.1435747161968039E-3</v>
      </c>
      <c r="S744" s="1">
        <f>IFERROR(IF(Benchmark1[[#This Row],[Comparable '#3 Date Check]]="Pass",Benchmark1[[#This Row],[Comparable '#3 Return]]-Benchmark1[[#This Row],[Benchmark '#1 Return]],"-"),"-")</f>
        <v>1.3548305925640715E-2</v>
      </c>
    </row>
    <row r="745" spans="1:19">
      <c r="A745" s="103">
        <v>44364</v>
      </c>
      <c r="B745" s="104">
        <v>4221.8583317954917</v>
      </c>
      <c r="C745" s="4">
        <f t="shared" si="11"/>
        <v>-4.3711943263407155E-4</v>
      </c>
      <c r="D745" s="1" t="str">
        <f>IF(COUNTIF(Target1[Target Dates],Benchmark1[[#This Row],[Benchmark '#1 Dates]])=1,"Pass","Fail")</f>
        <v>Pass</v>
      </c>
      <c r="E745" s="6">
        <f>IF(Benchmark1[[#This Row],[Target Date Check]]="Pass",INDEX(Target1[Target Price],MATCH(Benchmark1[[#This Row],[Benchmark '#1 Dates]],Target1[Target Dates],0)),"-")</f>
        <v>29.65</v>
      </c>
      <c r="F745" s="22">
        <f>IF(Benchmark1[[#This Row],[Target Date Check]]="Pass",INDEX(Target1[Target Return],MATCH(Benchmark1[[#This Row],[Benchmark '#1 Dates]],Target1[Target Dates],0)),"-")</f>
        <v>-1.8379798937089534E-2</v>
      </c>
      <c r="G745" s="1">
        <f>IFERROR(IF(Benchmark1[[#This Row],[Target Date Check]]="Pass",Benchmark1[[#This Row],[Target Return]]-Benchmark1[[#This Row],[Benchmark '#1 Return]],"-"),"-")</f>
        <v>-1.7942679504455463E-2</v>
      </c>
      <c r="H745" s="1" t="str">
        <f>IF(COUNTIF(Comp1[Comparable '#1 Dates],Benchmark1[[#This Row],[Benchmark '#1 Dates]])=1,"Pass","Fail")</f>
        <v>Pass</v>
      </c>
      <c r="I745" s="6">
        <f>IF(Benchmark1[[#This Row],[Comparable '#1 Date Check]]="Pass",INDEX(Comp1[Comparable '#1 Price],MATCH(Benchmark1[[#This Row],[Benchmark '#1 Dates]],Comp1[Comparable '#1 Dates],0)),"-")</f>
        <v>15.2</v>
      </c>
      <c r="J745" s="22">
        <f>IF(Benchmark1[[#This Row],[Comparable '#1 Date Check]]="Pass",INDEX(Comp1[Comparable '#1 Return],MATCH(Benchmark1[[#This Row],[Benchmark '#1 Dates]],Comp1[Comparable '#1 Dates],0)),"-")</f>
        <v>-1.1772536225267348E-2</v>
      </c>
      <c r="K745" s="1">
        <f>IFERROR(IF(Benchmark1[[#This Row],[Comparable '#1 Date Check]]="Pass",Benchmark1[[#This Row],[Comparable '#1 Return]]-Benchmark1[[#This Row],[Benchmark '#1 Return]],"-"),"-")</f>
        <v>-1.1335416792633276E-2</v>
      </c>
      <c r="L745" s="1" t="str">
        <f>IF(COUNTIF(Comp2[Comparable '#2 Dates],Benchmark1[[#This Row],[Benchmark '#1 Dates]])=1,"Pass","Fail")</f>
        <v>Pass</v>
      </c>
      <c r="M745" s="6">
        <f>IF(Benchmark1[[#This Row],[Comparable '#2 Date Check]]="Pass",INDEX(Comp2[Comparable '#2 Price],MATCH(Benchmark1[[#This Row],[Benchmark '#1 Dates]],Comp2[Comparable '#2 Dates],0)),"-")</f>
        <v>37.380000000000003</v>
      </c>
      <c r="N745" s="22">
        <f>IF(Benchmark1[[#This Row],[Comparable '#2 Date Check]]="Pass",INDEX(Comp2[Comparable '#2 Return],MATCH(Benchmark1[[#This Row],[Benchmark '#1 Dates]],Comp2[Comparable '#2 Dates],0)),"-")</f>
        <v>-8.2590052516271651E-3</v>
      </c>
      <c r="O745" s="1">
        <f>IFERROR(IF(Benchmark1[[#This Row],[Comparable '#2 Date Check]]="Pass",Benchmark1[[#This Row],[Comparable '#2 Return]]-Benchmark1[[#This Row],[Benchmark '#1 Return]],"-"),"-")</f>
        <v>-7.8218858189930927E-3</v>
      </c>
      <c r="P745" s="1" t="str">
        <f>IF(COUNTIF(Comp3[Comparable '#3 Dates],Benchmark1[[#This Row],[Benchmark '#1 Dates]])=1,"Pass","Fail")</f>
        <v>Pass</v>
      </c>
      <c r="Q745" s="6">
        <f>IF(Benchmark1[[#This Row],[Comparable '#3 Date Check]]="Pass",INDEX(Comp3[Comparable '#3 Price],MATCH(Benchmark1[[#This Row],[Benchmark '#1 Dates]],Comp3[Comparable '#3 Dates],0)),"-")</f>
        <v>78.95</v>
      </c>
      <c r="R745" s="22">
        <f>IF(Benchmark1[[#This Row],[Comparable '#3 Date Check]]="Pass",INDEX(Comp3[Comparable '#3 Return],MATCH(Benchmark1[[#This Row],[Benchmark '#1 Dates]],Comp3[Comparable '#3 Dates],0)),"-")</f>
        <v>5.0677816870752662E-4</v>
      </c>
      <c r="S745" s="1">
        <f>IFERROR(IF(Benchmark1[[#This Row],[Comparable '#3 Date Check]]="Pass",Benchmark1[[#This Row],[Comparable '#3 Return]]-Benchmark1[[#This Row],[Benchmark '#1 Return]],"-"),"-")</f>
        <v>9.4389760134159823E-4</v>
      </c>
    </row>
    <row r="746" spans="1:19">
      <c r="A746" s="103">
        <v>44365</v>
      </c>
      <c r="B746" s="104">
        <v>4166.4532373348111</v>
      </c>
      <c r="C746" s="4">
        <f t="shared" si="11"/>
        <v>-1.3210262812754822E-2</v>
      </c>
      <c r="D746" s="1" t="str">
        <f>IF(COUNTIF(Target1[Target Dates],Benchmark1[[#This Row],[Benchmark '#1 Dates]])=1,"Pass","Fail")</f>
        <v>Pass</v>
      </c>
      <c r="E746" s="6">
        <f>IF(Benchmark1[[#This Row],[Target Date Check]]="Pass",INDEX(Target1[Target Price],MATCH(Benchmark1[[#This Row],[Benchmark '#1 Dates]],Target1[Target Dates],0)),"-")</f>
        <v>29.17</v>
      </c>
      <c r="F746" s="22">
        <f>IF(Benchmark1[[#This Row],[Target Date Check]]="Pass",INDEX(Target1[Target Return],MATCH(Benchmark1[[#This Row],[Benchmark '#1 Dates]],Target1[Target Dates],0)),"-")</f>
        <v>-1.6321341564104256E-2</v>
      </c>
      <c r="G746" s="1">
        <f>IFERROR(IF(Benchmark1[[#This Row],[Target Date Check]]="Pass",Benchmark1[[#This Row],[Target Return]]-Benchmark1[[#This Row],[Benchmark '#1 Return]],"-"),"-")</f>
        <v>-3.1110787513494338E-3</v>
      </c>
      <c r="H746" s="1" t="str">
        <f>IF(COUNTIF(Comp1[Comparable '#1 Dates],Benchmark1[[#This Row],[Benchmark '#1 Dates]])=1,"Pass","Fail")</f>
        <v>Pass</v>
      </c>
      <c r="I746" s="6">
        <f>IF(Benchmark1[[#This Row],[Comparable '#1 Date Check]]="Pass",INDEX(Comp1[Comparable '#1 Price],MATCH(Benchmark1[[#This Row],[Benchmark '#1 Dates]],Comp1[Comparable '#1 Dates],0)),"-")</f>
        <v>14.89</v>
      </c>
      <c r="J746" s="22">
        <f>IF(Benchmark1[[#This Row],[Comparable '#1 Date Check]]="Pass",INDEX(Comp1[Comparable '#1 Return],MATCH(Benchmark1[[#This Row],[Benchmark '#1 Dates]],Comp1[Comparable '#1 Dates],0)),"-")</f>
        <v>-2.0605581156312953E-2</v>
      </c>
      <c r="K746" s="1">
        <f>IFERROR(IF(Benchmark1[[#This Row],[Comparable '#1 Date Check]]="Pass",Benchmark1[[#This Row],[Comparable '#1 Return]]-Benchmark1[[#This Row],[Benchmark '#1 Return]],"-"),"-")</f>
        <v>-7.3953183435581313E-3</v>
      </c>
      <c r="L746" s="1" t="str">
        <f>IF(COUNTIF(Comp2[Comparable '#2 Dates],Benchmark1[[#This Row],[Benchmark '#1 Dates]])=1,"Pass","Fail")</f>
        <v>Pass</v>
      </c>
      <c r="M746" s="6">
        <f>IF(Benchmark1[[#This Row],[Comparable '#2 Date Check]]="Pass",INDEX(Comp2[Comparable '#2 Price],MATCH(Benchmark1[[#This Row],[Benchmark '#1 Dates]],Comp2[Comparable '#2 Dates],0)),"-")</f>
        <v>36.6</v>
      </c>
      <c r="N746" s="22">
        <f>IF(Benchmark1[[#This Row],[Comparable '#2 Date Check]]="Pass",INDEX(Comp2[Comparable '#2 Return],MATCH(Benchmark1[[#This Row],[Benchmark '#1 Dates]],Comp2[Comparable '#2 Dates],0)),"-")</f>
        <v>-2.1087561620096278E-2</v>
      </c>
      <c r="O746" s="1">
        <f>IFERROR(IF(Benchmark1[[#This Row],[Comparable '#2 Date Check]]="Pass",Benchmark1[[#This Row],[Comparable '#2 Return]]-Benchmark1[[#This Row],[Benchmark '#1 Return]],"-"),"-")</f>
        <v>-7.8772988073414554E-3</v>
      </c>
      <c r="P746" s="1" t="str">
        <f>IF(COUNTIF(Comp3[Comparable '#3 Dates],Benchmark1[[#This Row],[Benchmark '#1 Dates]])=1,"Pass","Fail")</f>
        <v>Pass</v>
      </c>
      <c r="Q746" s="6">
        <f>IF(Benchmark1[[#This Row],[Comparable '#3 Date Check]]="Pass",INDEX(Comp3[Comparable '#3 Price],MATCH(Benchmark1[[#This Row],[Benchmark '#1 Dates]],Comp3[Comparable '#3 Dates],0)),"-")</f>
        <v>78.41</v>
      </c>
      <c r="R746" s="22">
        <f>IF(Benchmark1[[#This Row],[Comparable '#3 Date Check]]="Pass",INDEX(Comp3[Comparable '#3 Return],MATCH(Benchmark1[[#This Row],[Benchmark '#1 Dates]],Comp3[Comparable '#3 Dates],0)),"-")</f>
        <v>-6.8632704588205487E-3</v>
      </c>
      <c r="S746" s="1">
        <f>IFERROR(IF(Benchmark1[[#This Row],[Comparable '#3 Date Check]]="Pass",Benchmark1[[#This Row],[Comparable '#3 Return]]-Benchmark1[[#This Row],[Benchmark '#1 Return]],"-"),"-")</f>
        <v>6.3469923539342735E-3</v>
      </c>
    </row>
    <row r="747" spans="1:19">
      <c r="A747" s="103">
        <v>44368</v>
      </c>
      <c r="B747" s="104">
        <v>4224.7878036142492</v>
      </c>
      <c r="C747" s="4">
        <f t="shared" si="11"/>
        <v>1.3903904262686961E-2</v>
      </c>
      <c r="D747" s="1" t="str">
        <f>IF(COUNTIF(Target1[Target Dates],Benchmark1[[#This Row],[Benchmark '#1 Dates]])=1,"Pass","Fail")</f>
        <v>Pass</v>
      </c>
      <c r="E747" s="6">
        <f>IF(Benchmark1[[#This Row],[Target Date Check]]="Pass",INDEX(Target1[Target Price],MATCH(Benchmark1[[#This Row],[Benchmark '#1 Dates]],Target1[Target Dates],0)),"-")</f>
        <v>30.28</v>
      </c>
      <c r="F747" s="22">
        <f>IF(Benchmark1[[#This Row],[Target Date Check]]="Pass",INDEX(Target1[Target Return],MATCH(Benchmark1[[#This Row],[Benchmark '#1 Dates]],Target1[Target Dates],0)),"-")</f>
        <v>3.7346644689617847E-2</v>
      </c>
      <c r="G747" s="1">
        <f>IFERROR(IF(Benchmark1[[#This Row],[Target Date Check]]="Pass",Benchmark1[[#This Row],[Target Return]]-Benchmark1[[#This Row],[Benchmark '#1 Return]],"-"),"-")</f>
        <v>2.3442740426930887E-2</v>
      </c>
      <c r="H747" s="1" t="str">
        <f>IF(COUNTIF(Comp1[Comparable '#1 Dates],Benchmark1[[#This Row],[Benchmark '#1 Dates]])=1,"Pass","Fail")</f>
        <v>Pass</v>
      </c>
      <c r="I747" s="6">
        <f>IF(Benchmark1[[#This Row],[Comparable '#1 Date Check]]="Pass",INDEX(Comp1[Comparable '#1 Price],MATCH(Benchmark1[[#This Row],[Benchmark '#1 Dates]],Comp1[Comparable '#1 Dates],0)),"-")</f>
        <v>15.08</v>
      </c>
      <c r="J747" s="22">
        <f>IF(Benchmark1[[#This Row],[Comparable '#1 Date Check]]="Pass",INDEX(Comp1[Comparable '#1 Return],MATCH(Benchmark1[[#This Row],[Benchmark '#1 Dates]],Comp1[Comparable '#1 Dates],0)),"-")</f>
        <v>1.267951588389233E-2</v>
      </c>
      <c r="K747" s="1">
        <f>IFERROR(IF(Benchmark1[[#This Row],[Comparable '#1 Date Check]]="Pass",Benchmark1[[#This Row],[Comparable '#1 Return]]-Benchmark1[[#This Row],[Benchmark '#1 Return]],"-"),"-")</f>
        <v>-1.2243883787946309E-3</v>
      </c>
      <c r="L747" s="1" t="str">
        <f>IF(COUNTIF(Comp2[Comparable '#2 Dates],Benchmark1[[#This Row],[Benchmark '#1 Dates]])=1,"Pass","Fail")</f>
        <v>Pass</v>
      </c>
      <c r="M747" s="6">
        <f>IF(Benchmark1[[#This Row],[Comparable '#2 Date Check]]="Pass",INDEX(Comp2[Comparable '#2 Price],MATCH(Benchmark1[[#This Row],[Benchmark '#1 Dates]],Comp2[Comparable '#2 Dates],0)),"-")</f>
        <v>37.04</v>
      </c>
      <c r="N747" s="22">
        <f>IF(Benchmark1[[#This Row],[Comparable '#2 Date Check]]="Pass",INDEX(Comp2[Comparable '#2 Return],MATCH(Benchmark1[[#This Row],[Benchmark '#1 Dates]],Comp2[Comparable '#2 Dates],0)),"-")</f>
        <v>1.1950169370657994E-2</v>
      </c>
      <c r="O747" s="1">
        <f>IFERROR(IF(Benchmark1[[#This Row],[Comparable '#2 Date Check]]="Pass",Benchmark1[[#This Row],[Comparable '#2 Return]]-Benchmark1[[#This Row],[Benchmark '#1 Return]],"-"),"-")</f>
        <v>-1.9537348920289667E-3</v>
      </c>
      <c r="P747" s="1" t="str">
        <f>IF(COUNTIF(Comp3[Comparable '#3 Dates],Benchmark1[[#This Row],[Benchmark '#1 Dates]])=1,"Pass","Fail")</f>
        <v>Pass</v>
      </c>
      <c r="Q747" s="6">
        <f>IF(Benchmark1[[#This Row],[Comparable '#3 Date Check]]="Pass",INDEX(Comp3[Comparable '#3 Price],MATCH(Benchmark1[[#This Row],[Benchmark '#1 Dates]],Comp3[Comparable '#3 Dates],0)),"-")</f>
        <v>81.010000000000005</v>
      </c>
      <c r="R747" s="22">
        <f>IF(Benchmark1[[#This Row],[Comparable '#3 Date Check]]="Pass",INDEX(Comp3[Comparable '#3 Return],MATCH(Benchmark1[[#This Row],[Benchmark '#1 Dates]],Comp3[Comparable '#3 Dates],0)),"-")</f>
        <v>3.2621133599569398E-2</v>
      </c>
      <c r="S747" s="1">
        <f>IFERROR(IF(Benchmark1[[#This Row],[Comparable '#3 Date Check]]="Pass",Benchmark1[[#This Row],[Comparable '#3 Return]]-Benchmark1[[#This Row],[Benchmark '#1 Return]],"-"),"-")</f>
        <v>1.8717229336882437E-2</v>
      </c>
    </row>
    <row r="748" spans="1:19">
      <c r="A748" s="103">
        <v>44369</v>
      </c>
      <c r="B748" s="104">
        <v>4246.4350183726829</v>
      </c>
      <c r="C748" s="4">
        <f t="shared" si="11"/>
        <v>5.1107761729649306E-3</v>
      </c>
      <c r="D748" s="1" t="str">
        <f>IF(COUNTIF(Target1[Target Dates],Benchmark1[[#This Row],[Benchmark '#1 Dates]])=1,"Pass","Fail")</f>
        <v>Pass</v>
      </c>
      <c r="E748" s="6">
        <f>IF(Benchmark1[[#This Row],[Target Date Check]]="Pass",INDEX(Target1[Target Price],MATCH(Benchmark1[[#This Row],[Benchmark '#1 Dates]],Target1[Target Dates],0)),"-")</f>
        <v>30.55</v>
      </c>
      <c r="F748" s="22">
        <f>IF(Benchmark1[[#This Row],[Target Date Check]]="Pass",INDEX(Target1[Target Return],MATCH(Benchmark1[[#This Row],[Benchmark '#1 Dates]],Target1[Target Dates],0)),"-")</f>
        <v>8.8772570483562543E-3</v>
      </c>
      <c r="G748" s="1">
        <f>IFERROR(IF(Benchmark1[[#This Row],[Target Date Check]]="Pass",Benchmark1[[#This Row],[Target Return]]-Benchmark1[[#This Row],[Benchmark '#1 Return]],"-"),"-")</f>
        <v>3.7664808753913237E-3</v>
      </c>
      <c r="H748" s="1" t="str">
        <f>IF(COUNTIF(Comp1[Comparable '#1 Dates],Benchmark1[[#This Row],[Benchmark '#1 Dates]])=1,"Pass","Fail")</f>
        <v>Pass</v>
      </c>
      <c r="I748" s="6">
        <f>IF(Benchmark1[[#This Row],[Comparable '#1 Date Check]]="Pass",INDEX(Comp1[Comparable '#1 Price],MATCH(Benchmark1[[#This Row],[Benchmark '#1 Dates]],Comp1[Comparable '#1 Dates],0)),"-")</f>
        <v>14.88</v>
      </c>
      <c r="J748" s="22">
        <f>IF(Benchmark1[[#This Row],[Comparable '#1 Date Check]]="Pass",INDEX(Comp1[Comparable '#1 Return],MATCH(Benchmark1[[#This Row],[Benchmark '#1 Dates]],Comp1[Comparable '#1 Dates],0)),"-")</f>
        <v>-1.3351333174864113E-2</v>
      </c>
      <c r="K748" s="1">
        <f>IFERROR(IF(Benchmark1[[#This Row],[Comparable '#1 Date Check]]="Pass",Benchmark1[[#This Row],[Comparable '#1 Return]]-Benchmark1[[#This Row],[Benchmark '#1 Return]],"-"),"-")</f>
        <v>-1.8462109347829044E-2</v>
      </c>
      <c r="L748" s="1" t="str">
        <f>IF(COUNTIF(Comp2[Comparable '#2 Dates],Benchmark1[[#This Row],[Benchmark '#1 Dates]])=1,"Pass","Fail")</f>
        <v>Pass</v>
      </c>
      <c r="M748" s="6">
        <f>IF(Benchmark1[[#This Row],[Comparable '#2 Date Check]]="Pass",INDEX(Comp2[Comparable '#2 Price],MATCH(Benchmark1[[#This Row],[Benchmark '#1 Dates]],Comp2[Comparable '#2 Dates],0)),"-")</f>
        <v>35.950000000000003</v>
      </c>
      <c r="N748" s="22">
        <f>IF(Benchmark1[[#This Row],[Comparable '#2 Date Check]]="Pass",INDEX(Comp2[Comparable '#2 Return],MATCH(Benchmark1[[#This Row],[Benchmark '#1 Dates]],Comp2[Comparable '#2 Dates],0)),"-")</f>
        <v>-2.986932561092279E-2</v>
      </c>
      <c r="O748" s="1">
        <f>IFERROR(IF(Benchmark1[[#This Row],[Comparable '#2 Date Check]]="Pass",Benchmark1[[#This Row],[Comparable '#2 Return]]-Benchmark1[[#This Row],[Benchmark '#1 Return]],"-"),"-")</f>
        <v>-3.4980101783887718E-2</v>
      </c>
      <c r="P748" s="1" t="str">
        <f>IF(COUNTIF(Comp3[Comparable '#3 Dates],Benchmark1[[#This Row],[Benchmark '#1 Dates]])=1,"Pass","Fail")</f>
        <v>Pass</v>
      </c>
      <c r="Q748" s="6">
        <f>IF(Benchmark1[[#This Row],[Comparable '#3 Date Check]]="Pass",INDEX(Comp3[Comparable '#3 Price],MATCH(Benchmark1[[#This Row],[Benchmark '#1 Dates]],Comp3[Comparable '#3 Dates],0)),"-")</f>
        <v>77.02</v>
      </c>
      <c r="R748" s="22">
        <f>IF(Benchmark1[[#This Row],[Comparable '#3 Date Check]]="Pass",INDEX(Comp3[Comparable '#3 Return],MATCH(Benchmark1[[#This Row],[Benchmark '#1 Dates]],Comp3[Comparable '#3 Dates],0)),"-")</f>
        <v>-5.0507475455637205E-2</v>
      </c>
      <c r="S748" s="1">
        <f>IFERROR(IF(Benchmark1[[#This Row],[Comparable '#3 Date Check]]="Pass",Benchmark1[[#This Row],[Comparable '#3 Return]]-Benchmark1[[#This Row],[Benchmark '#1 Return]],"-"),"-")</f>
        <v>-5.5618251628602136E-2</v>
      </c>
    </row>
    <row r="749" spans="1:19">
      <c r="A749" s="103">
        <v>44370</v>
      </c>
      <c r="B749" s="104">
        <v>4241.8359887185334</v>
      </c>
      <c r="C749" s="4">
        <f t="shared" si="11"/>
        <v>-1.0836199976025753E-3</v>
      </c>
      <c r="D749" s="1" t="str">
        <f>IF(COUNTIF(Target1[Target Dates],Benchmark1[[#This Row],[Benchmark '#1 Dates]])=1,"Pass","Fail")</f>
        <v>Pass</v>
      </c>
      <c r="E749" s="6">
        <f>IF(Benchmark1[[#This Row],[Target Date Check]]="Pass",INDEX(Target1[Target Price],MATCH(Benchmark1[[#This Row],[Benchmark '#1 Dates]],Target1[Target Dates],0)),"-")</f>
        <v>31.64</v>
      </c>
      <c r="F749" s="22">
        <f>IF(Benchmark1[[#This Row],[Target Date Check]]="Pass",INDEX(Target1[Target Return],MATCH(Benchmark1[[#This Row],[Benchmark '#1 Dates]],Target1[Target Dates],0)),"-")</f>
        <v>3.5057457281848704E-2</v>
      </c>
      <c r="G749" s="1">
        <f>IFERROR(IF(Benchmark1[[#This Row],[Target Date Check]]="Pass",Benchmark1[[#This Row],[Target Return]]-Benchmark1[[#This Row],[Benchmark '#1 Return]],"-"),"-")</f>
        <v>3.6141077279451282E-2</v>
      </c>
      <c r="H749" s="1" t="str">
        <f>IF(COUNTIF(Comp1[Comparable '#1 Dates],Benchmark1[[#This Row],[Benchmark '#1 Dates]])=1,"Pass","Fail")</f>
        <v>Pass</v>
      </c>
      <c r="I749" s="6">
        <f>IF(Benchmark1[[#This Row],[Comparable '#1 Date Check]]="Pass",INDEX(Comp1[Comparable '#1 Price],MATCH(Benchmark1[[#This Row],[Benchmark '#1 Dates]],Comp1[Comparable '#1 Dates],0)),"-")</f>
        <v>14.89</v>
      </c>
      <c r="J749" s="22">
        <f>IF(Benchmark1[[#This Row],[Comparable '#1 Date Check]]="Pass",INDEX(Comp1[Comparable '#1 Return],MATCH(Benchmark1[[#This Row],[Benchmark '#1 Dates]],Comp1[Comparable '#1 Dates],0)),"-")</f>
        <v>6.7181729097186478E-4</v>
      </c>
      <c r="K749" s="1">
        <f>IFERROR(IF(Benchmark1[[#This Row],[Comparable '#1 Date Check]]="Pass",Benchmark1[[#This Row],[Comparable '#1 Return]]-Benchmark1[[#This Row],[Benchmark '#1 Return]],"-"),"-")</f>
        <v>1.7554372885744401E-3</v>
      </c>
      <c r="L749" s="1" t="str">
        <f>IF(COUNTIF(Comp2[Comparable '#2 Dates],Benchmark1[[#This Row],[Benchmark '#1 Dates]])=1,"Pass","Fail")</f>
        <v>Pass</v>
      </c>
      <c r="M749" s="6">
        <f>IF(Benchmark1[[#This Row],[Comparable '#2 Date Check]]="Pass",INDEX(Comp2[Comparable '#2 Price],MATCH(Benchmark1[[#This Row],[Benchmark '#1 Dates]],Comp2[Comparable '#2 Dates],0)),"-")</f>
        <v>35.880000000000003</v>
      </c>
      <c r="N749" s="22">
        <f>IF(Benchmark1[[#This Row],[Comparable '#2 Date Check]]="Pass",INDEX(Comp2[Comparable '#2 Return],MATCH(Benchmark1[[#This Row],[Benchmark '#1 Dates]],Comp2[Comparable '#2 Dates],0)),"-")</f>
        <v>-1.9490469764603803E-3</v>
      </c>
      <c r="O749" s="1">
        <f>IFERROR(IF(Benchmark1[[#This Row],[Comparable '#2 Date Check]]="Pass",Benchmark1[[#This Row],[Comparable '#2 Return]]-Benchmark1[[#This Row],[Benchmark '#1 Return]],"-"),"-")</f>
        <v>-8.6542697885780501E-4</v>
      </c>
      <c r="P749" s="1" t="str">
        <f>IF(COUNTIF(Comp3[Comparable '#3 Dates],Benchmark1[[#This Row],[Benchmark '#1 Dates]])=1,"Pass","Fail")</f>
        <v>Pass</v>
      </c>
      <c r="Q749" s="6">
        <f>IF(Benchmark1[[#This Row],[Comparable '#3 Date Check]]="Pass",INDEX(Comp3[Comparable '#3 Price],MATCH(Benchmark1[[#This Row],[Benchmark '#1 Dates]],Comp3[Comparable '#3 Dates],0)),"-")</f>
        <v>77.569999999999993</v>
      </c>
      <c r="R749" s="22">
        <f>IF(Benchmark1[[#This Row],[Comparable '#3 Date Check]]="Pass",INDEX(Comp3[Comparable '#3 Return],MATCH(Benchmark1[[#This Row],[Benchmark '#1 Dates]],Comp3[Comparable '#3 Dates],0)),"-")</f>
        <v>7.1156261160173519E-3</v>
      </c>
      <c r="S749" s="1">
        <f>IFERROR(IF(Benchmark1[[#This Row],[Comparable '#3 Date Check]]="Pass",Benchmark1[[#This Row],[Comparable '#3 Return]]-Benchmark1[[#This Row],[Benchmark '#1 Return]],"-"),"-")</f>
        <v>8.1992461136199263E-3</v>
      </c>
    </row>
    <row r="750" spans="1:19">
      <c r="A750" s="103">
        <v>44371</v>
      </c>
      <c r="B750" s="104">
        <v>4266.4857807059325</v>
      </c>
      <c r="C750" s="4">
        <f t="shared" si="11"/>
        <v>5.7942944851101926E-3</v>
      </c>
      <c r="D750" s="1" t="str">
        <f>IF(COUNTIF(Target1[Target Dates],Benchmark1[[#This Row],[Benchmark '#1 Dates]])=1,"Pass","Fail")</f>
        <v>Pass</v>
      </c>
      <c r="E750" s="6">
        <f>IF(Benchmark1[[#This Row],[Target Date Check]]="Pass",INDEX(Target1[Target Price],MATCH(Benchmark1[[#This Row],[Benchmark '#1 Dates]],Target1[Target Dates],0)),"-")</f>
        <v>33.229999999999997</v>
      </c>
      <c r="F750" s="22">
        <f>IF(Benchmark1[[#This Row],[Target Date Check]]="Pass",INDEX(Target1[Target Return],MATCH(Benchmark1[[#This Row],[Benchmark '#1 Dates]],Target1[Target Dates],0)),"-")</f>
        <v>4.9030939467049735E-2</v>
      </c>
      <c r="G750" s="1">
        <f>IFERROR(IF(Benchmark1[[#This Row],[Target Date Check]]="Pass",Benchmark1[[#This Row],[Target Return]]-Benchmark1[[#This Row],[Benchmark '#1 Return]],"-"),"-")</f>
        <v>4.3236644981939541E-2</v>
      </c>
      <c r="H750" s="1" t="str">
        <f>IF(COUNTIF(Comp1[Comparable '#1 Dates],Benchmark1[[#This Row],[Benchmark '#1 Dates]])=1,"Pass","Fail")</f>
        <v>Pass</v>
      </c>
      <c r="I750" s="6">
        <f>IF(Benchmark1[[#This Row],[Comparable '#1 Date Check]]="Pass",INDEX(Comp1[Comparable '#1 Price],MATCH(Benchmark1[[#This Row],[Benchmark '#1 Dates]],Comp1[Comparable '#1 Dates],0)),"-")</f>
        <v>15.05</v>
      </c>
      <c r="J750" s="22">
        <f>IF(Benchmark1[[#This Row],[Comparable '#1 Date Check]]="Pass",INDEX(Comp1[Comparable '#1 Return],MATCH(Benchmark1[[#This Row],[Benchmark '#1 Dates]],Comp1[Comparable '#1 Dates],0)),"-")</f>
        <v>1.0688144498967026E-2</v>
      </c>
      <c r="K750" s="1">
        <f>IFERROR(IF(Benchmark1[[#This Row],[Comparable '#1 Date Check]]="Pass",Benchmark1[[#This Row],[Comparable '#1 Return]]-Benchmark1[[#This Row],[Benchmark '#1 Return]],"-"),"-")</f>
        <v>4.8938500138568332E-3</v>
      </c>
      <c r="L750" s="1" t="str">
        <f>IF(COUNTIF(Comp2[Comparable '#2 Dates],Benchmark1[[#This Row],[Benchmark '#1 Dates]])=1,"Pass","Fail")</f>
        <v>Pass</v>
      </c>
      <c r="M750" s="6">
        <f>IF(Benchmark1[[#This Row],[Comparable '#2 Date Check]]="Pass",INDEX(Comp2[Comparable '#2 Price],MATCH(Benchmark1[[#This Row],[Benchmark '#1 Dates]],Comp2[Comparable '#2 Dates],0)),"-")</f>
        <v>36.880000000000003</v>
      </c>
      <c r="N750" s="22">
        <f>IF(Benchmark1[[#This Row],[Comparable '#2 Date Check]]="Pass",INDEX(Comp2[Comparable '#2 Return],MATCH(Benchmark1[[#This Row],[Benchmark '#1 Dates]],Comp2[Comparable '#2 Dates],0)),"-")</f>
        <v>2.7489361497797765E-2</v>
      </c>
      <c r="O750" s="1">
        <f>IFERROR(IF(Benchmark1[[#This Row],[Comparable '#2 Date Check]]="Pass",Benchmark1[[#This Row],[Comparable '#2 Return]]-Benchmark1[[#This Row],[Benchmark '#1 Return]],"-"),"-")</f>
        <v>2.1695067012687572E-2</v>
      </c>
      <c r="P750" s="1" t="str">
        <f>IF(COUNTIF(Comp3[Comparable '#3 Dates],Benchmark1[[#This Row],[Benchmark '#1 Dates]])=1,"Pass","Fail")</f>
        <v>Pass</v>
      </c>
      <c r="Q750" s="6">
        <f>IF(Benchmark1[[#This Row],[Comparable '#3 Date Check]]="Pass",INDEX(Comp3[Comparable '#3 Price],MATCH(Benchmark1[[#This Row],[Benchmark '#1 Dates]],Comp3[Comparable '#3 Dates],0)),"-")</f>
        <v>80.680000000000007</v>
      </c>
      <c r="R750" s="22">
        <f>IF(Benchmark1[[#This Row],[Comparable '#3 Date Check]]="Pass",INDEX(Comp3[Comparable '#3 Return],MATCH(Benchmark1[[#This Row],[Benchmark '#1 Dates]],Comp3[Comparable '#3 Dates],0)),"-")</f>
        <v>3.9309958583230942E-2</v>
      </c>
      <c r="S750" s="1">
        <f>IFERROR(IF(Benchmark1[[#This Row],[Comparable '#3 Date Check]]="Pass",Benchmark1[[#This Row],[Comparable '#3 Return]]-Benchmark1[[#This Row],[Benchmark '#1 Return]],"-"),"-")</f>
        <v>3.3515664098120748E-2</v>
      </c>
    </row>
    <row r="751" spans="1:19">
      <c r="A751" s="103">
        <v>44372</v>
      </c>
      <c r="B751" s="104">
        <v>4280.7024217071048</v>
      </c>
      <c r="C751" s="4">
        <f t="shared" si="11"/>
        <v>3.326627137518732E-3</v>
      </c>
      <c r="D751" s="1" t="str">
        <f>IF(COUNTIF(Target1[Target Dates],Benchmark1[[#This Row],[Benchmark '#1 Dates]])=1,"Pass","Fail")</f>
        <v>Pass</v>
      </c>
      <c r="E751" s="6">
        <f>IF(Benchmark1[[#This Row],[Target Date Check]]="Pass",INDEX(Target1[Target Price],MATCH(Benchmark1[[#This Row],[Benchmark '#1 Dates]],Target1[Target Dates],0)),"-")</f>
        <v>32.39</v>
      </c>
      <c r="F751" s="22">
        <f>IF(Benchmark1[[#This Row],[Target Date Check]]="Pass",INDEX(Target1[Target Return],MATCH(Benchmark1[[#This Row],[Benchmark '#1 Dates]],Target1[Target Dates],0)),"-")</f>
        <v>-2.5603349183264845E-2</v>
      </c>
      <c r="G751" s="1">
        <f>IFERROR(IF(Benchmark1[[#This Row],[Target Date Check]]="Pass",Benchmark1[[#This Row],[Target Return]]-Benchmark1[[#This Row],[Benchmark '#1 Return]],"-"),"-")</f>
        <v>-2.8929976320783576E-2</v>
      </c>
      <c r="H751" s="1" t="str">
        <f>IF(COUNTIF(Comp1[Comparable '#1 Dates],Benchmark1[[#This Row],[Benchmark '#1 Dates]])=1,"Pass","Fail")</f>
        <v>Pass</v>
      </c>
      <c r="I751" s="6">
        <f>IF(Benchmark1[[#This Row],[Comparable '#1 Date Check]]="Pass",INDEX(Comp1[Comparable '#1 Price],MATCH(Benchmark1[[#This Row],[Benchmark '#1 Dates]],Comp1[Comparable '#1 Dates],0)),"-")</f>
        <v>15</v>
      </c>
      <c r="J751" s="22">
        <f>IF(Benchmark1[[#This Row],[Comparable '#1 Date Check]]="Pass",INDEX(Comp1[Comparable '#1 Return],MATCH(Benchmark1[[#This Row],[Benchmark '#1 Dates]],Comp1[Comparable '#1 Dates],0)),"-")</f>
        <v>-3.327790092674691E-3</v>
      </c>
      <c r="K751" s="1">
        <f>IFERROR(IF(Benchmark1[[#This Row],[Comparable '#1 Date Check]]="Pass",Benchmark1[[#This Row],[Comparable '#1 Return]]-Benchmark1[[#This Row],[Benchmark '#1 Return]],"-"),"-")</f>
        <v>-6.6544172301934226E-3</v>
      </c>
      <c r="L751" s="1" t="str">
        <f>IF(COUNTIF(Comp2[Comparable '#2 Dates],Benchmark1[[#This Row],[Benchmark '#1 Dates]])=1,"Pass","Fail")</f>
        <v>Pass</v>
      </c>
      <c r="M751" s="6">
        <f>IF(Benchmark1[[#This Row],[Comparable '#2 Date Check]]="Pass",INDEX(Comp2[Comparable '#2 Price],MATCH(Benchmark1[[#This Row],[Benchmark '#1 Dates]],Comp2[Comparable '#2 Dates],0)),"-")</f>
        <v>36.28</v>
      </c>
      <c r="N751" s="22">
        <f>IF(Benchmark1[[#This Row],[Comparable '#2 Date Check]]="Pass",INDEX(Comp2[Comparable '#2 Return],MATCH(Benchmark1[[#This Row],[Benchmark '#1 Dates]],Comp2[Comparable '#2 Dates],0)),"-")</f>
        <v>-1.6402773441457269E-2</v>
      </c>
      <c r="O751" s="1">
        <f>IFERROR(IF(Benchmark1[[#This Row],[Comparable '#2 Date Check]]="Pass",Benchmark1[[#This Row],[Comparable '#2 Return]]-Benchmark1[[#This Row],[Benchmark '#1 Return]],"-"),"-")</f>
        <v>-1.9729400578976E-2</v>
      </c>
      <c r="P751" s="1" t="str">
        <f>IF(COUNTIF(Comp3[Comparable '#3 Dates],Benchmark1[[#This Row],[Benchmark '#1 Dates]])=1,"Pass","Fail")</f>
        <v>Pass</v>
      </c>
      <c r="Q751" s="6">
        <f>IF(Benchmark1[[#This Row],[Comparable '#3 Date Check]]="Pass",INDEX(Comp3[Comparable '#3 Price],MATCH(Benchmark1[[#This Row],[Benchmark '#1 Dates]],Comp3[Comparable '#3 Dates],0)),"-")</f>
        <v>79.010000000000005</v>
      </c>
      <c r="R751" s="22">
        <f>IF(Benchmark1[[#This Row],[Comparable '#3 Date Check]]="Pass",INDEX(Comp3[Comparable '#3 Return],MATCH(Benchmark1[[#This Row],[Benchmark '#1 Dates]],Comp3[Comparable '#3 Dates],0)),"-")</f>
        <v>-2.0916286351369166E-2</v>
      </c>
      <c r="S751" s="1">
        <f>IFERROR(IF(Benchmark1[[#This Row],[Comparable '#3 Date Check]]="Pass",Benchmark1[[#This Row],[Comparable '#3 Return]]-Benchmark1[[#This Row],[Benchmark '#1 Return]],"-"),"-")</f>
        <v>-2.4242913488887897E-2</v>
      </c>
    </row>
    <row r="752" spans="1:19">
      <c r="A752" s="103">
        <v>44375</v>
      </c>
      <c r="B752" s="104">
        <v>4290.6077846537082</v>
      </c>
      <c r="C752" s="4">
        <f t="shared" si="11"/>
        <v>2.3112843002272405E-3</v>
      </c>
      <c r="D752" s="1" t="str">
        <f>IF(COUNTIF(Target1[Target Dates],Benchmark1[[#This Row],[Benchmark '#1 Dates]])=1,"Pass","Fail")</f>
        <v>Pass</v>
      </c>
      <c r="E752" s="6">
        <f>IF(Benchmark1[[#This Row],[Target Date Check]]="Pass",INDEX(Target1[Target Price],MATCH(Benchmark1[[#This Row],[Benchmark '#1 Dates]],Target1[Target Dates],0)),"-")</f>
        <v>32.99</v>
      </c>
      <c r="F752" s="22">
        <f>IF(Benchmark1[[#This Row],[Target Date Check]]="Pass",INDEX(Target1[Target Return],MATCH(Benchmark1[[#This Row],[Benchmark '#1 Dates]],Target1[Target Dates],0)),"-")</f>
        <v>1.835475205725217E-2</v>
      </c>
      <c r="G752" s="1">
        <f>IFERROR(IF(Benchmark1[[#This Row],[Target Date Check]]="Pass",Benchmark1[[#This Row],[Target Return]]-Benchmark1[[#This Row],[Benchmark '#1 Return]],"-"),"-")</f>
        <v>1.6043467757024931E-2</v>
      </c>
      <c r="H752" s="1" t="str">
        <f>IF(COUNTIF(Comp1[Comparable '#1 Dates],Benchmark1[[#This Row],[Benchmark '#1 Dates]])=1,"Pass","Fail")</f>
        <v>Pass</v>
      </c>
      <c r="I752" s="6">
        <f>IF(Benchmark1[[#This Row],[Comparable '#1 Date Check]]="Pass",INDEX(Comp1[Comparable '#1 Price],MATCH(Benchmark1[[#This Row],[Benchmark '#1 Dates]],Comp1[Comparable '#1 Dates],0)),"-")</f>
        <v>14.6</v>
      </c>
      <c r="J752" s="22">
        <f>IF(Benchmark1[[#This Row],[Comparable '#1 Date Check]]="Pass",INDEX(Comp1[Comparable '#1 Return],MATCH(Benchmark1[[#This Row],[Benchmark '#1 Dates]],Comp1[Comparable '#1 Dates],0)),"-")</f>
        <v>-2.7028672387919374E-2</v>
      </c>
      <c r="K752" s="1">
        <f>IFERROR(IF(Benchmark1[[#This Row],[Comparable '#1 Date Check]]="Pass",Benchmark1[[#This Row],[Comparable '#1 Return]]-Benchmark1[[#This Row],[Benchmark '#1 Return]],"-"),"-")</f>
        <v>-2.9339956688146613E-2</v>
      </c>
      <c r="L752" s="1" t="str">
        <f>IF(COUNTIF(Comp2[Comparable '#2 Dates],Benchmark1[[#This Row],[Benchmark '#1 Dates]])=1,"Pass","Fail")</f>
        <v>Pass</v>
      </c>
      <c r="M752" s="6">
        <f>IF(Benchmark1[[#This Row],[Comparable '#2 Date Check]]="Pass",INDEX(Comp2[Comparable '#2 Price],MATCH(Benchmark1[[#This Row],[Benchmark '#1 Dates]],Comp2[Comparable '#2 Dates],0)),"-")</f>
        <v>35.78</v>
      </c>
      <c r="N752" s="22">
        <f>IF(Benchmark1[[#This Row],[Comparable '#2 Date Check]]="Pass",INDEX(Comp2[Comparable '#2 Return],MATCH(Benchmark1[[#This Row],[Benchmark '#1 Dates]],Comp2[Comparable '#2 Dates],0)),"-")</f>
        <v>-1.3877547166362745E-2</v>
      </c>
      <c r="O752" s="1">
        <f>IFERROR(IF(Benchmark1[[#This Row],[Comparable '#2 Date Check]]="Pass",Benchmark1[[#This Row],[Comparable '#2 Return]]-Benchmark1[[#This Row],[Benchmark '#1 Return]],"-"),"-")</f>
        <v>-1.6188831466589986E-2</v>
      </c>
      <c r="P752" s="1" t="str">
        <f>IF(COUNTIF(Comp3[Comparable '#3 Dates],Benchmark1[[#This Row],[Benchmark '#1 Dates]])=1,"Pass","Fail")</f>
        <v>Pass</v>
      </c>
      <c r="Q752" s="6">
        <f>IF(Benchmark1[[#This Row],[Comparable '#3 Date Check]]="Pass",INDEX(Comp3[Comparable '#3 Price],MATCH(Benchmark1[[#This Row],[Benchmark '#1 Dates]],Comp3[Comparable '#3 Dates],0)),"-")</f>
        <v>75.739999999999995</v>
      </c>
      <c r="R752" s="22">
        <f>IF(Benchmark1[[#This Row],[Comparable '#3 Date Check]]="Pass",INDEX(Comp3[Comparable '#3 Return],MATCH(Benchmark1[[#This Row],[Benchmark '#1 Dates]],Comp3[Comparable '#3 Dates],0)),"-")</f>
        <v>-4.2268004260993315E-2</v>
      </c>
      <c r="S752" s="1">
        <f>IFERROR(IF(Benchmark1[[#This Row],[Comparable '#3 Date Check]]="Pass",Benchmark1[[#This Row],[Comparable '#3 Return]]-Benchmark1[[#This Row],[Benchmark '#1 Return]],"-"),"-")</f>
        <v>-4.4579288561220558E-2</v>
      </c>
    </row>
    <row r="753" spans="1:19">
      <c r="A753" s="103">
        <v>44376</v>
      </c>
      <c r="B753" s="104">
        <v>4291.8016560456963</v>
      </c>
      <c r="C753" s="4">
        <f t="shared" si="11"/>
        <v>2.7821357345812899E-4</v>
      </c>
      <c r="D753" s="1" t="str">
        <f>IF(COUNTIF(Target1[Target Dates],Benchmark1[[#This Row],[Benchmark '#1 Dates]])=1,"Pass","Fail")</f>
        <v>Pass</v>
      </c>
      <c r="E753" s="6">
        <f>IF(Benchmark1[[#This Row],[Target Date Check]]="Pass",INDEX(Target1[Target Price],MATCH(Benchmark1[[#This Row],[Benchmark '#1 Dates]],Target1[Target Dates],0)),"-")</f>
        <v>32.630000000000003</v>
      </c>
      <c r="F753" s="22">
        <f>IF(Benchmark1[[#This Row],[Target Date Check]]="Pass",INDEX(Target1[Target Return],MATCH(Benchmark1[[#This Row],[Benchmark '#1 Dates]],Target1[Target Dates],0)),"-")</f>
        <v>-1.0972374635260818E-2</v>
      </c>
      <c r="G753" s="1">
        <f>IFERROR(IF(Benchmark1[[#This Row],[Target Date Check]]="Pass",Benchmark1[[#This Row],[Target Return]]-Benchmark1[[#This Row],[Benchmark '#1 Return]],"-"),"-")</f>
        <v>-1.1250588208718947E-2</v>
      </c>
      <c r="H753" s="1" t="str">
        <f>IF(COUNTIF(Comp1[Comparable '#1 Dates],Benchmark1[[#This Row],[Benchmark '#1 Dates]])=1,"Pass","Fail")</f>
        <v>Pass</v>
      </c>
      <c r="I753" s="6">
        <f>IF(Benchmark1[[#This Row],[Comparable '#1 Date Check]]="Pass",INDEX(Comp1[Comparable '#1 Price],MATCH(Benchmark1[[#This Row],[Benchmark '#1 Dates]],Comp1[Comparable '#1 Dates],0)),"-")</f>
        <v>14.48</v>
      </c>
      <c r="J753" s="22">
        <f>IF(Benchmark1[[#This Row],[Comparable '#1 Date Check]]="Pass",INDEX(Comp1[Comparable '#1 Return],MATCH(Benchmark1[[#This Row],[Benchmark '#1 Dates]],Comp1[Comparable '#1 Dates],0)),"-")</f>
        <v>-8.2531417567204141E-3</v>
      </c>
      <c r="K753" s="1">
        <f>IFERROR(IF(Benchmark1[[#This Row],[Comparable '#1 Date Check]]="Pass",Benchmark1[[#This Row],[Comparable '#1 Return]]-Benchmark1[[#This Row],[Benchmark '#1 Return]],"-"),"-")</f>
        <v>-8.5313553301785434E-3</v>
      </c>
      <c r="L753" s="1" t="str">
        <f>IF(COUNTIF(Comp2[Comparable '#2 Dates],Benchmark1[[#This Row],[Benchmark '#1 Dates]])=1,"Pass","Fail")</f>
        <v>Pass</v>
      </c>
      <c r="M753" s="6">
        <f>IF(Benchmark1[[#This Row],[Comparable '#2 Date Check]]="Pass",INDEX(Comp2[Comparable '#2 Price],MATCH(Benchmark1[[#This Row],[Benchmark '#1 Dates]],Comp2[Comparable '#2 Dates],0)),"-")</f>
        <v>35.770000000000003</v>
      </c>
      <c r="N753" s="22">
        <f>IF(Benchmark1[[#This Row],[Comparable '#2 Date Check]]="Pass",INDEX(Comp2[Comparable '#2 Return],MATCH(Benchmark1[[#This Row],[Benchmark '#1 Dates]],Comp2[Comparable '#2 Dates],0)),"-")</f>
        <v>-2.795248096467249E-4</v>
      </c>
      <c r="O753" s="1">
        <f>IFERROR(IF(Benchmark1[[#This Row],[Comparable '#2 Date Check]]="Pass",Benchmark1[[#This Row],[Comparable '#2 Return]]-Benchmark1[[#This Row],[Benchmark '#1 Return]],"-"),"-")</f>
        <v>-5.5773838310485394E-4</v>
      </c>
      <c r="P753" s="1" t="str">
        <f>IF(COUNTIF(Comp3[Comparable '#3 Dates],Benchmark1[[#This Row],[Benchmark '#1 Dates]])=1,"Pass","Fail")</f>
        <v>Pass</v>
      </c>
      <c r="Q753" s="6">
        <f>IF(Benchmark1[[#This Row],[Comparable '#3 Date Check]]="Pass",INDEX(Comp3[Comparable '#3 Price],MATCH(Benchmark1[[#This Row],[Benchmark '#1 Dates]],Comp3[Comparable '#3 Dates],0)),"-")</f>
        <v>75.849999999999994</v>
      </c>
      <c r="R753" s="22">
        <f>IF(Benchmark1[[#This Row],[Comparable '#3 Date Check]]="Pass",INDEX(Comp3[Comparable '#3 Return],MATCH(Benchmark1[[#This Row],[Benchmark '#1 Dates]],Comp3[Comparable '#3 Dates],0)),"-")</f>
        <v>1.4512833208925209E-3</v>
      </c>
      <c r="S753" s="1">
        <f>IFERROR(IF(Benchmark1[[#This Row],[Comparable '#3 Date Check]]="Pass",Benchmark1[[#This Row],[Comparable '#3 Return]]-Benchmark1[[#This Row],[Benchmark '#1 Return]],"-"),"-")</f>
        <v>1.1730697474343918E-3</v>
      </c>
    </row>
    <row r="754" spans="1:19">
      <c r="A754" s="103">
        <v>44377</v>
      </c>
      <c r="B754" s="104">
        <v>4297.4966318818797</v>
      </c>
      <c r="C754" s="4">
        <f t="shared" si="11"/>
        <v>1.326063312695118E-3</v>
      </c>
      <c r="D754" s="1" t="str">
        <f>IF(COUNTIF(Target1[Target Dates],Benchmark1[[#This Row],[Benchmark '#1 Dates]])=1,"Pass","Fail")</f>
        <v>Pass</v>
      </c>
      <c r="E754" s="6">
        <f>IF(Benchmark1[[#This Row],[Target Date Check]]="Pass",INDEX(Target1[Target Price],MATCH(Benchmark1[[#This Row],[Benchmark '#1 Dates]],Target1[Target Dates],0)),"-")</f>
        <v>32.130000000000003</v>
      </c>
      <c r="F754" s="22">
        <f>IF(Benchmark1[[#This Row],[Target Date Check]]="Pass",INDEX(Target1[Target Return],MATCH(Benchmark1[[#This Row],[Benchmark '#1 Dates]],Target1[Target Dates],0)),"-")</f>
        <v>-1.544193747746214E-2</v>
      </c>
      <c r="G754" s="1">
        <f>IFERROR(IF(Benchmark1[[#This Row],[Target Date Check]]="Pass",Benchmark1[[#This Row],[Target Return]]-Benchmark1[[#This Row],[Benchmark '#1 Return]],"-"),"-")</f>
        <v>-1.6768000790157257E-2</v>
      </c>
      <c r="H754" s="1" t="str">
        <f>IF(COUNTIF(Comp1[Comparable '#1 Dates],Benchmark1[[#This Row],[Benchmark '#1 Dates]])=1,"Pass","Fail")</f>
        <v>Pass</v>
      </c>
      <c r="I754" s="6">
        <f>IF(Benchmark1[[#This Row],[Comparable '#1 Date Check]]="Pass",INDEX(Comp1[Comparable '#1 Price],MATCH(Benchmark1[[#This Row],[Benchmark '#1 Dates]],Comp1[Comparable '#1 Dates],0)),"-")</f>
        <v>14.51</v>
      </c>
      <c r="J754" s="22">
        <f>IF(Benchmark1[[#This Row],[Comparable '#1 Date Check]]="Pass",INDEX(Comp1[Comparable '#1 Return],MATCH(Benchmark1[[#This Row],[Benchmark '#1 Dates]],Comp1[Comparable '#1 Dates],0)),"-")</f>
        <v>2.06967993852618E-3</v>
      </c>
      <c r="K754" s="1">
        <f>IFERROR(IF(Benchmark1[[#This Row],[Comparable '#1 Date Check]]="Pass",Benchmark1[[#This Row],[Comparable '#1 Return]]-Benchmark1[[#This Row],[Benchmark '#1 Return]],"-"),"-")</f>
        <v>7.43616625831062E-4</v>
      </c>
      <c r="L754" s="1" t="str">
        <f>IF(COUNTIF(Comp2[Comparable '#2 Dates],Benchmark1[[#This Row],[Benchmark '#1 Dates]])=1,"Pass","Fail")</f>
        <v>Pass</v>
      </c>
      <c r="M754" s="6">
        <f>IF(Benchmark1[[#This Row],[Comparable '#2 Date Check]]="Pass",INDEX(Comp2[Comparable '#2 Price],MATCH(Benchmark1[[#This Row],[Benchmark '#1 Dates]],Comp2[Comparable '#2 Dates],0)),"-")</f>
        <v>35.64</v>
      </c>
      <c r="N754" s="22">
        <f>IF(Benchmark1[[#This Row],[Comparable '#2 Date Check]]="Pass",INDEX(Comp2[Comparable '#2 Return],MATCH(Benchmark1[[#This Row],[Benchmark '#1 Dates]],Comp2[Comparable '#2 Dates],0)),"-")</f>
        <v>-3.640950668317914E-3</v>
      </c>
      <c r="O754" s="1">
        <f>IFERROR(IF(Benchmark1[[#This Row],[Comparable '#2 Date Check]]="Pass",Benchmark1[[#This Row],[Comparable '#2 Return]]-Benchmark1[[#This Row],[Benchmark '#1 Return]],"-"),"-")</f>
        <v>-4.9670139810130323E-3</v>
      </c>
      <c r="P754" s="1" t="str">
        <f>IF(COUNTIF(Comp3[Comparable '#3 Dates],Benchmark1[[#This Row],[Benchmark '#1 Dates]])=1,"Pass","Fail")</f>
        <v>Pass</v>
      </c>
      <c r="Q754" s="6">
        <f>IF(Benchmark1[[#This Row],[Comparable '#3 Date Check]]="Pass",INDEX(Comp3[Comparable '#3 Price],MATCH(Benchmark1[[#This Row],[Benchmark '#1 Dates]],Comp3[Comparable '#3 Dates],0)),"-")</f>
        <v>76.06</v>
      </c>
      <c r="R754" s="22">
        <f>IF(Benchmark1[[#This Row],[Comparable '#3 Date Check]]="Pass",INDEX(Comp3[Comparable '#3 Return],MATCH(Benchmark1[[#This Row],[Benchmark '#1 Dates]],Comp3[Comparable '#3 Dates],0)),"-")</f>
        <v>2.7647967055723639E-3</v>
      </c>
      <c r="S754" s="1">
        <f>IFERROR(IF(Benchmark1[[#This Row],[Comparable '#3 Date Check]]="Pass",Benchmark1[[#This Row],[Comparable '#3 Return]]-Benchmark1[[#This Row],[Benchmark '#1 Return]],"-"),"-")</f>
        <v>1.4387333928772459E-3</v>
      </c>
    </row>
    <row r="755" spans="1:19">
      <c r="A755" s="103">
        <v>44378</v>
      </c>
      <c r="B755" s="104">
        <v>4319.9400806815647</v>
      </c>
      <c r="C755" s="4">
        <f t="shared" si="11"/>
        <v>5.2088574116117255E-3</v>
      </c>
      <c r="D755" s="1" t="str">
        <f>IF(COUNTIF(Target1[Target Dates],Benchmark1[[#This Row],[Benchmark '#1 Dates]])=1,"Pass","Fail")</f>
        <v>Pass</v>
      </c>
      <c r="E755" s="6">
        <f>IF(Benchmark1[[#This Row],[Target Date Check]]="Pass",INDEX(Target1[Target Price],MATCH(Benchmark1[[#This Row],[Benchmark '#1 Dates]],Target1[Target Dates],0)),"-")</f>
        <v>32.78</v>
      </c>
      <c r="F755" s="22">
        <f>IF(Benchmark1[[#This Row],[Target Date Check]]="Pass",INDEX(Target1[Target Return],MATCH(Benchmark1[[#This Row],[Benchmark '#1 Dates]],Target1[Target Dates],0)),"-")</f>
        <v>2.0028400187916538E-2</v>
      </c>
      <c r="G755" s="1">
        <f>IFERROR(IF(Benchmark1[[#This Row],[Target Date Check]]="Pass",Benchmark1[[#This Row],[Target Return]]-Benchmark1[[#This Row],[Benchmark '#1 Return]],"-"),"-")</f>
        <v>1.4819542776304814E-2</v>
      </c>
      <c r="H755" s="1" t="str">
        <f>IF(COUNTIF(Comp1[Comparable '#1 Dates],Benchmark1[[#This Row],[Benchmark '#1 Dates]])=1,"Pass","Fail")</f>
        <v>Pass</v>
      </c>
      <c r="I755" s="6">
        <f>IF(Benchmark1[[#This Row],[Comparable '#1 Date Check]]="Pass",INDEX(Comp1[Comparable '#1 Price],MATCH(Benchmark1[[#This Row],[Benchmark '#1 Dates]],Comp1[Comparable '#1 Dates],0)),"-")</f>
        <v>14.76</v>
      </c>
      <c r="J755" s="22">
        <f>IF(Benchmark1[[#This Row],[Comparable '#1 Date Check]]="Pass",INDEX(Comp1[Comparable '#1 Return],MATCH(Benchmark1[[#This Row],[Benchmark '#1 Dates]],Comp1[Comparable '#1 Dates],0)),"-")</f>
        <v>1.7082752276229976E-2</v>
      </c>
      <c r="K755" s="1">
        <f>IFERROR(IF(Benchmark1[[#This Row],[Comparable '#1 Date Check]]="Pass",Benchmark1[[#This Row],[Comparable '#1 Return]]-Benchmark1[[#This Row],[Benchmark '#1 Return]],"-"),"-")</f>
        <v>1.1873894864618251E-2</v>
      </c>
      <c r="L755" s="1" t="str">
        <f>IF(COUNTIF(Comp2[Comparable '#2 Dates],Benchmark1[[#This Row],[Benchmark '#1 Dates]])=1,"Pass","Fail")</f>
        <v>Pass</v>
      </c>
      <c r="M755" s="6">
        <f>IF(Benchmark1[[#This Row],[Comparable '#2 Date Check]]="Pass",INDEX(Comp2[Comparable '#2 Price],MATCH(Benchmark1[[#This Row],[Benchmark '#1 Dates]],Comp2[Comparable '#2 Dates],0)),"-")</f>
        <v>36.69</v>
      </c>
      <c r="N755" s="22">
        <f>IF(Benchmark1[[#This Row],[Comparable '#2 Date Check]]="Pass",INDEX(Comp2[Comparable '#2 Return],MATCH(Benchmark1[[#This Row],[Benchmark '#1 Dates]],Comp2[Comparable '#2 Dates],0)),"-")</f>
        <v>2.9035635764582068E-2</v>
      </c>
      <c r="O755" s="1">
        <f>IFERROR(IF(Benchmark1[[#This Row],[Comparable '#2 Date Check]]="Pass",Benchmark1[[#This Row],[Comparable '#2 Return]]-Benchmark1[[#This Row],[Benchmark '#1 Return]],"-"),"-")</f>
        <v>2.3826778352970344E-2</v>
      </c>
      <c r="P755" s="1" t="str">
        <f>IF(COUNTIF(Comp3[Comparable '#3 Dates],Benchmark1[[#This Row],[Benchmark '#1 Dates]])=1,"Pass","Fail")</f>
        <v>Pass</v>
      </c>
      <c r="Q755" s="6">
        <f>IF(Benchmark1[[#This Row],[Comparable '#3 Date Check]]="Pass",INDEX(Comp3[Comparable '#3 Price],MATCH(Benchmark1[[#This Row],[Benchmark '#1 Dates]],Comp3[Comparable '#3 Dates],0)),"-")</f>
        <v>77.16</v>
      </c>
      <c r="R755" s="22">
        <f>IF(Benchmark1[[#This Row],[Comparable '#3 Date Check]]="Pass",INDEX(Comp3[Comparable '#3 Return],MATCH(Benchmark1[[#This Row],[Benchmark '#1 Dates]],Comp3[Comparable '#3 Dates],0)),"-")</f>
        <v>1.4358685537414652E-2</v>
      </c>
      <c r="S755" s="1">
        <f>IFERROR(IF(Benchmark1[[#This Row],[Comparable '#3 Date Check]]="Pass",Benchmark1[[#This Row],[Comparable '#3 Return]]-Benchmark1[[#This Row],[Benchmark '#1 Return]],"-"),"-")</f>
        <v>9.1498281258029258E-3</v>
      </c>
    </row>
    <row r="756" spans="1:19">
      <c r="A756" s="103">
        <v>44379</v>
      </c>
      <c r="B756" s="104">
        <v>4352.3388792954038</v>
      </c>
      <c r="C756" s="4">
        <f t="shared" si="11"/>
        <v>7.4718420600574506E-3</v>
      </c>
      <c r="D756" s="1" t="str">
        <f>IF(COUNTIF(Target1[Target Dates],Benchmark1[[#This Row],[Benchmark '#1 Dates]])=1,"Pass","Fail")</f>
        <v>Pass</v>
      </c>
      <c r="E756" s="6">
        <f>IF(Benchmark1[[#This Row],[Target Date Check]]="Pass",INDEX(Target1[Target Price],MATCH(Benchmark1[[#This Row],[Benchmark '#1 Dates]],Target1[Target Dates],0)),"-")</f>
        <v>32.590000000000003</v>
      </c>
      <c r="F756" s="22">
        <f>IF(Benchmark1[[#This Row],[Target Date Check]]="Pass",INDEX(Target1[Target Return],MATCH(Benchmark1[[#This Row],[Benchmark '#1 Dates]],Target1[Target Dates],0)),"-")</f>
        <v>-5.8130804662133474E-3</v>
      </c>
      <c r="G756" s="1">
        <f>IFERROR(IF(Benchmark1[[#This Row],[Target Date Check]]="Pass",Benchmark1[[#This Row],[Target Return]]-Benchmark1[[#This Row],[Benchmark '#1 Return]],"-"),"-")</f>
        <v>-1.3284922526270799E-2</v>
      </c>
      <c r="H756" s="1" t="str">
        <f>IF(COUNTIF(Comp1[Comparable '#1 Dates],Benchmark1[[#This Row],[Benchmark '#1 Dates]])=1,"Pass","Fail")</f>
        <v>Pass</v>
      </c>
      <c r="I756" s="6">
        <f>IF(Benchmark1[[#This Row],[Comparable '#1 Date Check]]="Pass",INDEX(Comp1[Comparable '#1 Price],MATCH(Benchmark1[[#This Row],[Benchmark '#1 Dates]],Comp1[Comparable '#1 Dates],0)),"-")</f>
        <v>14.79</v>
      </c>
      <c r="J756" s="22">
        <f>IF(Benchmark1[[#This Row],[Comparable '#1 Date Check]]="Pass",INDEX(Comp1[Comparable '#1 Return],MATCH(Benchmark1[[#This Row],[Benchmark '#1 Dates]],Comp1[Comparable '#1 Dates],0)),"-")</f>
        <v>2.0304575503819213E-3</v>
      </c>
      <c r="K756" s="1">
        <f>IFERROR(IF(Benchmark1[[#This Row],[Comparable '#1 Date Check]]="Pass",Benchmark1[[#This Row],[Comparable '#1 Return]]-Benchmark1[[#This Row],[Benchmark '#1 Return]],"-"),"-")</f>
        <v>-5.4413845096755297E-3</v>
      </c>
      <c r="L756" s="1" t="str">
        <f>IF(COUNTIF(Comp2[Comparable '#2 Dates],Benchmark1[[#This Row],[Benchmark '#1 Dates]])=1,"Pass","Fail")</f>
        <v>Pass</v>
      </c>
      <c r="M756" s="6">
        <f>IF(Benchmark1[[#This Row],[Comparable '#2 Date Check]]="Pass",INDEX(Comp2[Comparable '#2 Price],MATCH(Benchmark1[[#This Row],[Benchmark '#1 Dates]],Comp2[Comparable '#2 Dates],0)),"-")</f>
        <v>39.61</v>
      </c>
      <c r="N756" s="22">
        <f>IF(Benchmark1[[#This Row],[Comparable '#2 Date Check]]="Pass",INDEX(Comp2[Comparable '#2 Return],MATCH(Benchmark1[[#This Row],[Benchmark '#1 Dates]],Comp2[Comparable '#2 Dates],0)),"-")</f>
        <v>7.6577373266634635E-2</v>
      </c>
      <c r="O756" s="1">
        <f>IFERROR(IF(Benchmark1[[#This Row],[Comparable '#2 Date Check]]="Pass",Benchmark1[[#This Row],[Comparable '#2 Return]]-Benchmark1[[#This Row],[Benchmark '#1 Return]],"-"),"-")</f>
        <v>6.9105531206577184E-2</v>
      </c>
      <c r="P756" s="1" t="str">
        <f>IF(COUNTIF(Comp3[Comparable '#3 Dates],Benchmark1[[#This Row],[Benchmark '#1 Dates]])=1,"Pass","Fail")</f>
        <v>Pass</v>
      </c>
      <c r="Q756" s="6">
        <f>IF(Benchmark1[[#This Row],[Comparable '#3 Date Check]]="Pass",INDEX(Comp3[Comparable '#3 Price],MATCH(Benchmark1[[#This Row],[Benchmark '#1 Dates]],Comp3[Comparable '#3 Dates],0)),"-")</f>
        <v>76.150000000000006</v>
      </c>
      <c r="R756" s="22">
        <f>IF(Benchmark1[[#This Row],[Comparable '#3 Date Check]]="Pass",INDEX(Comp3[Comparable '#3 Return],MATCH(Benchmark1[[#This Row],[Benchmark '#1 Dates]],Comp3[Comparable '#3 Dates],0)),"-")</f>
        <v>-1.317610869635737E-2</v>
      </c>
      <c r="S756" s="1">
        <f>IFERROR(IF(Benchmark1[[#This Row],[Comparable '#3 Date Check]]="Pass",Benchmark1[[#This Row],[Comparable '#3 Return]]-Benchmark1[[#This Row],[Benchmark '#1 Return]],"-"),"-")</f>
        <v>-2.0647950756414821E-2</v>
      </c>
    </row>
    <row r="757" spans="1:19">
      <c r="A757" s="103">
        <v>44383</v>
      </c>
      <c r="B757" s="104">
        <v>4343.5430694692895</v>
      </c>
      <c r="C757" s="4">
        <f t="shared" si="11"/>
        <v>-2.0229834944053195E-3</v>
      </c>
      <c r="D757" s="1" t="str">
        <f>IF(COUNTIF(Target1[Target Dates],Benchmark1[[#This Row],[Benchmark '#1 Dates]])=1,"Pass","Fail")</f>
        <v>Pass</v>
      </c>
      <c r="E757" s="6">
        <f>IF(Benchmark1[[#This Row],[Target Date Check]]="Pass",INDEX(Target1[Target Price],MATCH(Benchmark1[[#This Row],[Benchmark '#1 Dates]],Target1[Target Dates],0)),"-")</f>
        <v>28.63</v>
      </c>
      <c r="F757" s="22">
        <f>IF(Benchmark1[[#This Row],[Target Date Check]]="Pass",INDEX(Target1[Target Return],MATCH(Benchmark1[[#This Row],[Benchmark '#1 Dates]],Target1[Target Dates],0)),"-")</f>
        <v>-0.12955037373944661</v>
      </c>
      <c r="G757" s="1">
        <f>IFERROR(IF(Benchmark1[[#This Row],[Target Date Check]]="Pass",Benchmark1[[#This Row],[Target Return]]-Benchmark1[[#This Row],[Benchmark '#1 Return]],"-"),"-")</f>
        <v>-0.12752739024504128</v>
      </c>
      <c r="H757" s="1" t="str">
        <f>IF(COUNTIF(Comp1[Comparable '#1 Dates],Benchmark1[[#This Row],[Benchmark '#1 Dates]])=1,"Pass","Fail")</f>
        <v>Pass</v>
      </c>
      <c r="I757" s="6">
        <f>IF(Benchmark1[[#This Row],[Comparable '#1 Date Check]]="Pass",INDEX(Comp1[Comparable '#1 Price],MATCH(Benchmark1[[#This Row],[Benchmark '#1 Dates]],Comp1[Comparable '#1 Dates],0)),"-")</f>
        <v>14.86</v>
      </c>
      <c r="J757" s="22">
        <f>IF(Benchmark1[[#This Row],[Comparable '#1 Date Check]]="Pass",INDEX(Comp1[Comparable '#1 Return],MATCH(Benchmark1[[#This Row],[Benchmark '#1 Dates]],Comp1[Comparable '#1 Dates],0)),"-")</f>
        <v>4.721762566904689E-3</v>
      </c>
      <c r="K757" s="1">
        <f>IFERROR(IF(Benchmark1[[#This Row],[Comparable '#1 Date Check]]="Pass",Benchmark1[[#This Row],[Comparable '#1 Return]]-Benchmark1[[#This Row],[Benchmark '#1 Return]],"-"),"-")</f>
        <v>6.7447460613100085E-3</v>
      </c>
      <c r="L757" s="1" t="str">
        <f>IF(COUNTIF(Comp2[Comparable '#2 Dates],Benchmark1[[#This Row],[Benchmark '#1 Dates]])=1,"Pass","Fail")</f>
        <v>Pass</v>
      </c>
      <c r="M757" s="6">
        <f>IF(Benchmark1[[#This Row],[Comparable '#2 Date Check]]="Pass",INDEX(Comp2[Comparable '#2 Price],MATCH(Benchmark1[[#This Row],[Benchmark '#1 Dates]],Comp2[Comparable '#2 Dates],0)),"-")</f>
        <v>38.61</v>
      </c>
      <c r="N757" s="22">
        <f>IF(Benchmark1[[#This Row],[Comparable '#2 Date Check]]="Pass",INDEX(Comp2[Comparable '#2 Return],MATCH(Benchmark1[[#This Row],[Benchmark '#1 Dates]],Comp2[Comparable '#2 Dates],0)),"-")</f>
        <v>-2.5570301357680333E-2</v>
      </c>
      <c r="O757" s="1">
        <f>IFERROR(IF(Benchmark1[[#This Row],[Comparable '#2 Date Check]]="Pass",Benchmark1[[#This Row],[Comparable '#2 Return]]-Benchmark1[[#This Row],[Benchmark '#1 Return]],"-"),"-")</f>
        <v>-2.3547317863275012E-2</v>
      </c>
      <c r="P757" s="1" t="str">
        <f>IF(COUNTIF(Comp3[Comparable '#3 Dates],Benchmark1[[#This Row],[Benchmark '#1 Dates]])=1,"Pass","Fail")</f>
        <v>Pass</v>
      </c>
      <c r="Q757" s="6">
        <f>IF(Benchmark1[[#This Row],[Comparable '#3 Date Check]]="Pass",INDEX(Comp3[Comparable '#3 Price],MATCH(Benchmark1[[#This Row],[Benchmark '#1 Dates]],Comp3[Comparable '#3 Dates],0)),"-")</f>
        <v>75.98</v>
      </c>
      <c r="R757" s="22">
        <f>IF(Benchmark1[[#This Row],[Comparable '#3 Date Check]]="Pass",INDEX(Comp3[Comparable '#3 Return],MATCH(Benchmark1[[#This Row],[Benchmark '#1 Dates]],Comp3[Comparable '#3 Dates],0)),"-")</f>
        <v>-2.2349315816913378E-3</v>
      </c>
      <c r="S757" s="1">
        <f>IFERROR(IF(Benchmark1[[#This Row],[Comparable '#3 Date Check]]="Pass",Benchmark1[[#This Row],[Comparable '#3 Return]]-Benchmark1[[#This Row],[Benchmark '#1 Return]],"-"),"-")</f>
        <v>-2.1194808728601825E-4</v>
      </c>
    </row>
    <row r="758" spans="1:19">
      <c r="A758" s="103">
        <v>44384</v>
      </c>
      <c r="B758" s="104">
        <v>4358.1332270915809</v>
      </c>
      <c r="C758" s="4">
        <f t="shared" si="11"/>
        <v>3.3534162379117399E-3</v>
      </c>
      <c r="D758" s="1" t="str">
        <f>IF(COUNTIF(Target1[Target Dates],Benchmark1[[#This Row],[Benchmark '#1 Dates]])=1,"Pass","Fail")</f>
        <v>Pass</v>
      </c>
      <c r="E758" s="6">
        <f>IF(Benchmark1[[#This Row],[Target Date Check]]="Pass",INDEX(Target1[Target Price],MATCH(Benchmark1[[#This Row],[Benchmark '#1 Dates]],Target1[Target Dates],0)),"-")</f>
        <v>29.52</v>
      </c>
      <c r="F758" s="22">
        <f>IF(Benchmark1[[#This Row],[Target Date Check]]="Pass",INDEX(Target1[Target Return],MATCH(Benchmark1[[#This Row],[Benchmark '#1 Dates]],Target1[Target Dates],0)),"-")</f>
        <v>3.0612880622248151E-2</v>
      </c>
      <c r="G758" s="1">
        <f>IFERROR(IF(Benchmark1[[#This Row],[Target Date Check]]="Pass",Benchmark1[[#This Row],[Target Return]]-Benchmark1[[#This Row],[Benchmark '#1 Return]],"-"),"-")</f>
        <v>2.7259464384336411E-2</v>
      </c>
      <c r="H758" s="1" t="str">
        <f>IF(COUNTIF(Comp1[Comparable '#1 Dates],Benchmark1[[#This Row],[Benchmark '#1 Dates]])=1,"Pass","Fail")</f>
        <v>Pass</v>
      </c>
      <c r="I758" s="6">
        <f>IF(Benchmark1[[#This Row],[Comparable '#1 Date Check]]="Pass",INDEX(Comp1[Comparable '#1 Price],MATCH(Benchmark1[[#This Row],[Benchmark '#1 Dates]],Comp1[Comparable '#1 Dates],0)),"-")</f>
        <v>14.87</v>
      </c>
      <c r="J758" s="22">
        <f>IF(Benchmark1[[#This Row],[Comparable '#1 Date Check]]="Pass",INDEX(Comp1[Comparable '#1 Return],MATCH(Benchmark1[[#This Row],[Benchmark '#1 Dates]],Comp1[Comparable '#1 Dates],0)),"-")</f>
        <v>6.7272118245055481E-4</v>
      </c>
      <c r="K758" s="1">
        <f>IFERROR(IF(Benchmark1[[#This Row],[Comparable '#1 Date Check]]="Pass",Benchmark1[[#This Row],[Comparable '#1 Return]]-Benchmark1[[#This Row],[Benchmark '#1 Return]],"-"),"-")</f>
        <v>-2.680695055461185E-3</v>
      </c>
      <c r="L758" s="1" t="str">
        <f>IF(COUNTIF(Comp2[Comparable '#2 Dates],Benchmark1[[#This Row],[Benchmark '#1 Dates]])=1,"Pass","Fail")</f>
        <v>Pass</v>
      </c>
      <c r="M758" s="6">
        <f>IF(Benchmark1[[#This Row],[Comparable '#2 Date Check]]="Pass",INDEX(Comp2[Comparable '#2 Price],MATCH(Benchmark1[[#This Row],[Benchmark '#1 Dates]],Comp2[Comparable '#2 Dates],0)),"-")</f>
        <v>37.630000000000003</v>
      </c>
      <c r="N758" s="22">
        <f>IF(Benchmark1[[#This Row],[Comparable '#2 Date Check]]="Pass",INDEX(Comp2[Comparable '#2 Return],MATCH(Benchmark1[[#This Row],[Benchmark '#1 Dates]],Comp2[Comparable '#2 Dates],0)),"-")</f>
        <v>-2.5709705670798989E-2</v>
      </c>
      <c r="O758" s="1">
        <f>IFERROR(IF(Benchmark1[[#This Row],[Comparable '#2 Date Check]]="Pass",Benchmark1[[#This Row],[Comparable '#2 Return]]-Benchmark1[[#This Row],[Benchmark '#1 Return]],"-"),"-")</f>
        <v>-2.9063121908710729E-2</v>
      </c>
      <c r="P758" s="1" t="str">
        <f>IF(COUNTIF(Comp3[Comparable '#3 Dates],Benchmark1[[#This Row],[Benchmark '#1 Dates]])=1,"Pass","Fail")</f>
        <v>Pass</v>
      </c>
      <c r="Q758" s="6">
        <f>IF(Benchmark1[[#This Row],[Comparable '#3 Date Check]]="Pass",INDEX(Comp3[Comparable '#3 Price],MATCH(Benchmark1[[#This Row],[Benchmark '#1 Dates]],Comp3[Comparable '#3 Dates],0)),"-")</f>
        <v>74.19</v>
      </c>
      <c r="R758" s="22">
        <f>IF(Benchmark1[[#This Row],[Comparable '#3 Date Check]]="Pass",INDEX(Comp3[Comparable '#3 Return],MATCH(Benchmark1[[#This Row],[Benchmark '#1 Dates]],Comp3[Comparable '#3 Dates],0)),"-")</f>
        <v>-2.3840777558045027E-2</v>
      </c>
      <c r="S758" s="1">
        <f>IFERROR(IF(Benchmark1[[#This Row],[Comparable '#3 Date Check]]="Pass",Benchmark1[[#This Row],[Comparable '#3 Return]]-Benchmark1[[#This Row],[Benchmark '#1 Return]],"-"),"-")</f>
        <v>-2.7194193795956768E-2</v>
      </c>
    </row>
    <row r="759" spans="1:19">
      <c r="A759" s="103">
        <v>44385</v>
      </c>
      <c r="B759" s="104">
        <v>4320.8176461386192</v>
      </c>
      <c r="C759" s="4">
        <f t="shared" si="11"/>
        <v>-8.5991524645708355E-3</v>
      </c>
      <c r="D759" s="1" t="str">
        <f>IF(COUNTIF(Target1[Target Dates],Benchmark1[[#This Row],[Benchmark '#1 Dates]])=1,"Pass","Fail")</f>
        <v>Pass</v>
      </c>
      <c r="E759" s="6">
        <f>IF(Benchmark1[[#This Row],[Target Date Check]]="Pass",INDEX(Target1[Target Price],MATCH(Benchmark1[[#This Row],[Benchmark '#1 Dates]],Target1[Target Dates],0)),"-")</f>
        <v>28.68</v>
      </c>
      <c r="F759" s="22">
        <f>IF(Benchmark1[[#This Row],[Target Date Check]]="Pass",INDEX(Target1[Target Return],MATCH(Benchmark1[[#This Row],[Benchmark '#1 Dates]],Target1[Target Dates],0)),"-")</f>
        <v>-2.8867984000852127E-2</v>
      </c>
      <c r="G759" s="1">
        <f>IFERROR(IF(Benchmark1[[#This Row],[Target Date Check]]="Pass",Benchmark1[[#This Row],[Target Return]]-Benchmark1[[#This Row],[Benchmark '#1 Return]],"-"),"-")</f>
        <v>-2.0268831536281291E-2</v>
      </c>
      <c r="H759" s="1" t="str">
        <f>IF(COUNTIF(Comp1[Comparable '#1 Dates],Benchmark1[[#This Row],[Benchmark '#1 Dates]])=1,"Pass","Fail")</f>
        <v>Pass</v>
      </c>
      <c r="I759" s="6">
        <f>IF(Benchmark1[[#This Row],[Comparable '#1 Date Check]]="Pass",INDEX(Comp1[Comparable '#1 Price],MATCH(Benchmark1[[#This Row],[Benchmark '#1 Dates]],Comp1[Comparable '#1 Dates],0)),"-")</f>
        <v>14.49</v>
      </c>
      <c r="J759" s="22">
        <f>IF(Benchmark1[[#This Row],[Comparable '#1 Date Check]]="Pass",INDEX(Comp1[Comparable '#1 Return],MATCH(Benchmark1[[#This Row],[Benchmark '#1 Dates]],Comp1[Comparable '#1 Dates],0)),"-")</f>
        <v>-2.5887004139472654E-2</v>
      </c>
      <c r="K759" s="1">
        <f>IFERROR(IF(Benchmark1[[#This Row],[Comparable '#1 Date Check]]="Pass",Benchmark1[[#This Row],[Comparable '#1 Return]]-Benchmark1[[#This Row],[Benchmark '#1 Return]],"-"),"-")</f>
        <v>-1.7287851674901818E-2</v>
      </c>
      <c r="L759" s="1" t="str">
        <f>IF(COUNTIF(Comp2[Comparable '#2 Dates],Benchmark1[[#This Row],[Benchmark '#1 Dates]])=1,"Pass","Fail")</f>
        <v>Pass</v>
      </c>
      <c r="M759" s="6">
        <f>IF(Benchmark1[[#This Row],[Comparable '#2 Date Check]]="Pass",INDEX(Comp2[Comparable '#2 Price],MATCH(Benchmark1[[#This Row],[Benchmark '#1 Dates]],Comp2[Comparable '#2 Dates],0)),"-")</f>
        <v>36.94</v>
      </c>
      <c r="N759" s="22">
        <f>IF(Benchmark1[[#This Row],[Comparable '#2 Date Check]]="Pass",INDEX(Comp2[Comparable '#2 Return],MATCH(Benchmark1[[#This Row],[Benchmark '#1 Dates]],Comp2[Comparable '#2 Dates],0)),"-")</f>
        <v>-1.8506629834252081E-2</v>
      </c>
      <c r="O759" s="1">
        <f>IFERROR(IF(Benchmark1[[#This Row],[Comparable '#2 Date Check]]="Pass",Benchmark1[[#This Row],[Comparable '#2 Return]]-Benchmark1[[#This Row],[Benchmark '#1 Return]],"-"),"-")</f>
        <v>-9.9074773696812453E-3</v>
      </c>
      <c r="P759" s="1" t="str">
        <f>IF(COUNTIF(Comp3[Comparable '#3 Dates],Benchmark1[[#This Row],[Benchmark '#1 Dates]])=1,"Pass","Fail")</f>
        <v>Pass</v>
      </c>
      <c r="Q759" s="6">
        <f>IF(Benchmark1[[#This Row],[Comparable '#3 Date Check]]="Pass",INDEX(Comp3[Comparable '#3 Price],MATCH(Benchmark1[[#This Row],[Benchmark '#1 Dates]],Comp3[Comparable '#3 Dates],0)),"-")</f>
        <v>71.61</v>
      </c>
      <c r="R759" s="22">
        <f>IF(Benchmark1[[#This Row],[Comparable '#3 Date Check]]="Pass",INDEX(Comp3[Comparable '#3 Return],MATCH(Benchmark1[[#This Row],[Benchmark '#1 Dates]],Comp3[Comparable '#3 Dates],0)),"-")</f>
        <v>-3.5394641182586138E-2</v>
      </c>
      <c r="S759" s="1">
        <f>IFERROR(IF(Benchmark1[[#This Row],[Comparable '#3 Date Check]]="Pass",Benchmark1[[#This Row],[Comparable '#3 Return]]-Benchmark1[[#This Row],[Benchmark '#1 Return]],"-"),"-")</f>
        <v>-2.6795488718015303E-2</v>
      </c>
    </row>
    <row r="760" spans="1:19">
      <c r="A760" s="103">
        <v>44386</v>
      </c>
      <c r="B760" s="104">
        <v>4369.5509981816649</v>
      </c>
      <c r="C760" s="4">
        <f t="shared" si="11"/>
        <v>1.1215603130987465E-2</v>
      </c>
      <c r="D760" s="1" t="str">
        <f>IF(COUNTIF(Target1[Target Dates],Benchmark1[[#This Row],[Benchmark '#1 Dates]])=1,"Pass","Fail")</f>
        <v>Pass</v>
      </c>
      <c r="E760" s="6">
        <f>IF(Benchmark1[[#This Row],[Target Date Check]]="Pass",INDEX(Target1[Target Price],MATCH(Benchmark1[[#This Row],[Benchmark '#1 Dates]],Target1[Target Dates],0)),"-")</f>
        <v>29.86</v>
      </c>
      <c r="F760" s="22">
        <f>IF(Benchmark1[[#This Row],[Target Date Check]]="Pass",INDEX(Target1[Target Return],MATCH(Benchmark1[[#This Row],[Benchmark '#1 Dates]],Target1[Target Dates],0)),"-")</f>
        <v>4.0319776379624792E-2</v>
      </c>
      <c r="G760" s="1">
        <f>IFERROR(IF(Benchmark1[[#This Row],[Target Date Check]]="Pass",Benchmark1[[#This Row],[Target Return]]-Benchmark1[[#This Row],[Benchmark '#1 Return]],"-"),"-")</f>
        <v>2.9104173248637327E-2</v>
      </c>
      <c r="H760" s="1" t="str">
        <f>IF(COUNTIF(Comp1[Comparable '#1 Dates],Benchmark1[[#This Row],[Benchmark '#1 Dates]])=1,"Pass","Fail")</f>
        <v>Pass</v>
      </c>
      <c r="I760" s="6">
        <f>IF(Benchmark1[[#This Row],[Comparable '#1 Date Check]]="Pass",INDEX(Comp1[Comparable '#1 Price],MATCH(Benchmark1[[#This Row],[Benchmark '#1 Dates]],Comp1[Comparable '#1 Dates],0)),"-")</f>
        <v>14.62</v>
      </c>
      <c r="J760" s="22">
        <f>IF(Benchmark1[[#This Row],[Comparable '#1 Date Check]]="Pass",INDEX(Comp1[Comparable '#1 Return],MATCH(Benchmark1[[#This Row],[Benchmark '#1 Dates]],Comp1[Comparable '#1 Dates],0)),"-")</f>
        <v>8.9316979890413165E-3</v>
      </c>
      <c r="K760" s="1">
        <f>IFERROR(IF(Benchmark1[[#This Row],[Comparable '#1 Date Check]]="Pass",Benchmark1[[#This Row],[Comparable '#1 Return]]-Benchmark1[[#This Row],[Benchmark '#1 Return]],"-"),"-")</f>
        <v>-2.2839051419461485E-3</v>
      </c>
      <c r="L760" s="1" t="str">
        <f>IF(COUNTIF(Comp2[Comparable '#2 Dates],Benchmark1[[#This Row],[Benchmark '#1 Dates]])=1,"Pass","Fail")</f>
        <v>Pass</v>
      </c>
      <c r="M760" s="6">
        <f>IF(Benchmark1[[#This Row],[Comparable '#2 Date Check]]="Pass",INDEX(Comp2[Comparable '#2 Price],MATCH(Benchmark1[[#This Row],[Benchmark '#1 Dates]],Comp2[Comparable '#2 Dates],0)),"-")</f>
        <v>37.49</v>
      </c>
      <c r="N760" s="22">
        <f>IF(Benchmark1[[#This Row],[Comparable '#2 Date Check]]="Pass",INDEX(Comp2[Comparable '#2 Return],MATCH(Benchmark1[[#This Row],[Benchmark '#1 Dates]],Comp2[Comparable '#2 Dates],0)),"-")</f>
        <v>1.4779255976726927E-2</v>
      </c>
      <c r="O760" s="1">
        <f>IFERROR(IF(Benchmark1[[#This Row],[Comparable '#2 Date Check]]="Pass",Benchmark1[[#This Row],[Comparable '#2 Return]]-Benchmark1[[#This Row],[Benchmark '#1 Return]],"-"),"-")</f>
        <v>3.5636528457394616E-3</v>
      </c>
      <c r="P760" s="1" t="str">
        <f>IF(COUNTIF(Comp3[Comparable '#3 Dates],Benchmark1[[#This Row],[Benchmark '#1 Dates]])=1,"Pass","Fail")</f>
        <v>Pass</v>
      </c>
      <c r="Q760" s="6">
        <f>IF(Benchmark1[[#This Row],[Comparable '#3 Date Check]]="Pass",INDEX(Comp3[Comparable '#3 Price],MATCH(Benchmark1[[#This Row],[Benchmark '#1 Dates]],Comp3[Comparable '#3 Dates],0)),"-")</f>
        <v>72.959999999999994</v>
      </c>
      <c r="R760" s="22">
        <f>IF(Benchmark1[[#This Row],[Comparable '#3 Date Check]]="Pass",INDEX(Comp3[Comparable '#3 Return],MATCH(Benchmark1[[#This Row],[Benchmark '#1 Dates]],Comp3[Comparable '#3 Dates],0)),"-")</f>
        <v>1.8676616747227422E-2</v>
      </c>
      <c r="S760" s="1">
        <f>IFERROR(IF(Benchmark1[[#This Row],[Comparable '#3 Date Check]]="Pass",Benchmark1[[#This Row],[Comparable '#3 Return]]-Benchmark1[[#This Row],[Benchmark '#1 Return]],"-"),"-")</f>
        <v>7.4610136162399573E-3</v>
      </c>
    </row>
    <row r="761" spans="1:19">
      <c r="A761" s="103">
        <v>44389</v>
      </c>
      <c r="B761" s="104">
        <v>4384.6257252821397</v>
      </c>
      <c r="C761" s="4">
        <f t="shared" si="11"/>
        <v>3.4440113507069772E-3</v>
      </c>
      <c r="D761" s="1" t="str">
        <f>IF(COUNTIF(Target1[Target Dates],Benchmark1[[#This Row],[Benchmark '#1 Dates]])=1,"Pass","Fail")</f>
        <v>Pass</v>
      </c>
      <c r="E761" s="6">
        <f>IF(Benchmark1[[#This Row],[Target Date Check]]="Pass",INDEX(Target1[Target Price],MATCH(Benchmark1[[#This Row],[Benchmark '#1 Dates]],Target1[Target Dates],0)),"-")</f>
        <v>30.86</v>
      </c>
      <c r="F761" s="22">
        <f>IF(Benchmark1[[#This Row],[Target Date Check]]="Pass",INDEX(Target1[Target Return],MATCH(Benchmark1[[#This Row],[Benchmark '#1 Dates]],Target1[Target Dates],0)),"-")</f>
        <v>3.2941054823970528E-2</v>
      </c>
      <c r="G761" s="1">
        <f>IFERROR(IF(Benchmark1[[#This Row],[Target Date Check]]="Pass",Benchmark1[[#This Row],[Target Return]]-Benchmark1[[#This Row],[Benchmark '#1 Return]],"-"),"-")</f>
        <v>2.949704347326355E-2</v>
      </c>
      <c r="H761" s="1" t="str">
        <f>IF(COUNTIF(Comp1[Comparable '#1 Dates],Benchmark1[[#This Row],[Benchmark '#1 Dates]])=1,"Pass","Fail")</f>
        <v>Pass</v>
      </c>
      <c r="I761" s="6">
        <f>IF(Benchmark1[[#This Row],[Comparable '#1 Date Check]]="Pass",INDEX(Comp1[Comparable '#1 Price],MATCH(Benchmark1[[#This Row],[Benchmark '#1 Dates]],Comp1[Comparable '#1 Dates],0)),"-")</f>
        <v>14.75</v>
      </c>
      <c r="J761" s="22">
        <f>IF(Benchmark1[[#This Row],[Comparable '#1 Date Check]]="Pass",INDEX(Comp1[Comparable '#1 Return],MATCH(Benchmark1[[#This Row],[Benchmark '#1 Dates]],Comp1[Comparable '#1 Dates],0)),"-")</f>
        <v>8.8526284641965453E-3</v>
      </c>
      <c r="K761" s="1">
        <f>IFERROR(IF(Benchmark1[[#This Row],[Comparable '#1 Date Check]]="Pass",Benchmark1[[#This Row],[Comparable '#1 Return]]-Benchmark1[[#This Row],[Benchmark '#1 Return]],"-"),"-")</f>
        <v>5.4086171134895677E-3</v>
      </c>
      <c r="L761" s="1" t="str">
        <f>IF(COUNTIF(Comp2[Comparable '#2 Dates],Benchmark1[[#This Row],[Benchmark '#1 Dates]])=1,"Pass","Fail")</f>
        <v>Pass</v>
      </c>
      <c r="M761" s="6">
        <f>IF(Benchmark1[[#This Row],[Comparable '#2 Date Check]]="Pass",INDEX(Comp2[Comparable '#2 Price],MATCH(Benchmark1[[#This Row],[Benchmark '#1 Dates]],Comp2[Comparable '#2 Dates],0)),"-")</f>
        <v>37.93</v>
      </c>
      <c r="N761" s="22">
        <f>IF(Benchmark1[[#This Row],[Comparable '#2 Date Check]]="Pass",INDEX(Comp2[Comparable '#2 Return],MATCH(Benchmark1[[#This Row],[Benchmark '#1 Dates]],Comp2[Comparable '#2 Dates],0)),"-")</f>
        <v>1.1668124952986846E-2</v>
      </c>
      <c r="O761" s="1">
        <f>IFERROR(IF(Benchmark1[[#This Row],[Comparable '#2 Date Check]]="Pass",Benchmark1[[#This Row],[Comparable '#2 Return]]-Benchmark1[[#This Row],[Benchmark '#1 Return]],"-"),"-")</f>
        <v>8.2241136022798682E-3</v>
      </c>
      <c r="P761" s="1" t="str">
        <f>IF(COUNTIF(Comp3[Comparable '#3 Dates],Benchmark1[[#This Row],[Benchmark '#1 Dates]])=1,"Pass","Fail")</f>
        <v>Pass</v>
      </c>
      <c r="Q761" s="6">
        <f>IF(Benchmark1[[#This Row],[Comparable '#3 Date Check]]="Pass",INDEX(Comp3[Comparable '#3 Price],MATCH(Benchmark1[[#This Row],[Benchmark '#1 Dates]],Comp3[Comparable '#3 Dates],0)),"-")</f>
        <v>72.94</v>
      </c>
      <c r="R761" s="22">
        <f>IF(Benchmark1[[#This Row],[Comparable '#3 Date Check]]="Pass",INDEX(Comp3[Comparable '#3 Return],MATCH(Benchmark1[[#This Row],[Benchmark '#1 Dates]],Comp3[Comparable '#3 Dates],0)),"-")</f>
        <v>-2.7416038554168144E-4</v>
      </c>
      <c r="S761" s="1">
        <f>IFERROR(IF(Benchmark1[[#This Row],[Comparable '#3 Date Check]]="Pass",Benchmark1[[#This Row],[Comparable '#3 Return]]-Benchmark1[[#This Row],[Benchmark '#1 Return]],"-"),"-")</f>
        <v>-3.7181717362486585E-3</v>
      </c>
    </row>
    <row r="762" spans="1:19">
      <c r="A762" s="103">
        <v>44390</v>
      </c>
      <c r="B762" s="104">
        <v>4369.209765917175</v>
      </c>
      <c r="C762" s="4">
        <f t="shared" si="11"/>
        <v>-3.5221076103198277E-3</v>
      </c>
      <c r="D762" s="1" t="str">
        <f>IF(COUNTIF(Target1[Target Dates],Benchmark1[[#This Row],[Benchmark '#1 Dates]])=1,"Pass","Fail")</f>
        <v>Pass</v>
      </c>
      <c r="E762" s="6">
        <f>IF(Benchmark1[[#This Row],[Target Date Check]]="Pass",INDEX(Target1[Target Price],MATCH(Benchmark1[[#This Row],[Benchmark '#1 Dates]],Target1[Target Dates],0)),"-")</f>
        <v>31.54</v>
      </c>
      <c r="F762" s="22">
        <f>IF(Benchmark1[[#This Row],[Target Date Check]]="Pass",INDEX(Target1[Target Return],MATCH(Benchmark1[[#This Row],[Benchmark '#1 Dates]],Target1[Target Dates],0)),"-")</f>
        <v>2.1795734599877468E-2</v>
      </c>
      <c r="G762" s="1">
        <f>IFERROR(IF(Benchmark1[[#This Row],[Target Date Check]]="Pass",Benchmark1[[#This Row],[Target Return]]-Benchmark1[[#This Row],[Benchmark '#1 Return]],"-"),"-")</f>
        <v>2.5317842210197297E-2</v>
      </c>
      <c r="H762" s="1" t="str">
        <f>IF(COUNTIF(Comp1[Comparable '#1 Dates],Benchmark1[[#This Row],[Benchmark '#1 Dates]])=1,"Pass","Fail")</f>
        <v>Pass</v>
      </c>
      <c r="I762" s="6">
        <f>IF(Benchmark1[[#This Row],[Comparable '#1 Date Check]]="Pass",INDEX(Comp1[Comparable '#1 Price],MATCH(Benchmark1[[#This Row],[Benchmark '#1 Dates]],Comp1[Comparable '#1 Dates],0)),"-")</f>
        <v>14.62</v>
      </c>
      <c r="J762" s="22">
        <f>IF(Benchmark1[[#This Row],[Comparable '#1 Date Check]]="Pass",INDEX(Comp1[Comparable '#1 Return],MATCH(Benchmark1[[#This Row],[Benchmark '#1 Dates]],Comp1[Comparable '#1 Dates],0)),"-")</f>
        <v>-8.8526284641964707E-3</v>
      </c>
      <c r="K762" s="1">
        <f>IFERROR(IF(Benchmark1[[#This Row],[Comparable '#1 Date Check]]="Pass",Benchmark1[[#This Row],[Comparable '#1 Return]]-Benchmark1[[#This Row],[Benchmark '#1 Return]],"-"),"-")</f>
        <v>-5.3305208538766431E-3</v>
      </c>
      <c r="L762" s="1" t="str">
        <f>IF(COUNTIF(Comp2[Comparable '#2 Dates],Benchmark1[[#This Row],[Benchmark '#1 Dates]])=1,"Pass","Fail")</f>
        <v>Pass</v>
      </c>
      <c r="M762" s="6">
        <f>IF(Benchmark1[[#This Row],[Comparable '#2 Date Check]]="Pass",INDEX(Comp2[Comparable '#2 Price],MATCH(Benchmark1[[#This Row],[Benchmark '#1 Dates]],Comp2[Comparable '#2 Dates],0)),"-")</f>
        <v>37.56</v>
      </c>
      <c r="N762" s="22">
        <f>IF(Benchmark1[[#This Row],[Comparable '#2 Date Check]]="Pass",INDEX(Comp2[Comparable '#2 Return],MATCH(Benchmark1[[#This Row],[Benchmark '#1 Dates]],Comp2[Comparable '#2 Dates],0)),"-")</f>
        <v>-9.8027013607453646E-3</v>
      </c>
      <c r="O762" s="1">
        <f>IFERROR(IF(Benchmark1[[#This Row],[Comparable '#2 Date Check]]="Pass",Benchmark1[[#This Row],[Comparable '#2 Return]]-Benchmark1[[#This Row],[Benchmark '#1 Return]],"-"),"-")</f>
        <v>-6.2805937504255369E-3</v>
      </c>
      <c r="P762" s="1" t="str">
        <f>IF(COUNTIF(Comp3[Comparable '#3 Dates],Benchmark1[[#This Row],[Benchmark '#1 Dates]])=1,"Pass","Fail")</f>
        <v>Pass</v>
      </c>
      <c r="Q762" s="6">
        <f>IF(Benchmark1[[#This Row],[Comparable '#3 Date Check]]="Pass",INDEX(Comp3[Comparable '#3 Price],MATCH(Benchmark1[[#This Row],[Benchmark '#1 Dates]],Comp3[Comparable '#3 Dates],0)),"-")</f>
        <v>72.09</v>
      </c>
      <c r="R762" s="22">
        <f>IF(Benchmark1[[#This Row],[Comparable '#3 Date Check]]="Pass",INDEX(Comp3[Comparable '#3 Return],MATCH(Benchmark1[[#This Row],[Benchmark '#1 Dates]],Comp3[Comparable '#3 Dates],0)),"-")</f>
        <v>-1.1721846964046838E-2</v>
      </c>
      <c r="S762" s="1">
        <f>IFERROR(IF(Benchmark1[[#This Row],[Comparable '#3 Date Check]]="Pass",Benchmark1[[#This Row],[Comparable '#3 Return]]-Benchmark1[[#This Row],[Benchmark '#1 Return]],"-"),"-")</f>
        <v>-8.1997393537270105E-3</v>
      </c>
    </row>
    <row r="763" spans="1:19">
      <c r="A763" s="103">
        <v>44391</v>
      </c>
      <c r="B763" s="104">
        <v>4374.2966329565788</v>
      </c>
      <c r="C763" s="4">
        <f t="shared" si="11"/>
        <v>1.1635761172402376E-3</v>
      </c>
      <c r="D763" s="1" t="str">
        <f>IF(COUNTIF(Target1[Target Dates],Benchmark1[[#This Row],[Benchmark '#1 Dates]])=1,"Pass","Fail")</f>
        <v>Pass</v>
      </c>
      <c r="E763" s="6">
        <f>IF(Benchmark1[[#This Row],[Target Date Check]]="Pass",INDEX(Target1[Target Price],MATCH(Benchmark1[[#This Row],[Benchmark '#1 Dates]],Target1[Target Dates],0)),"-")</f>
        <v>30.92</v>
      </c>
      <c r="F763" s="22">
        <f>IF(Benchmark1[[#This Row],[Target Date Check]]="Pass",INDEX(Target1[Target Return],MATCH(Benchmark1[[#This Row],[Benchmark '#1 Dates]],Target1[Target Dates],0)),"-")</f>
        <v>-1.9853357815671071E-2</v>
      </c>
      <c r="G763" s="1">
        <f>IFERROR(IF(Benchmark1[[#This Row],[Target Date Check]]="Pass",Benchmark1[[#This Row],[Target Return]]-Benchmark1[[#This Row],[Benchmark '#1 Return]],"-"),"-")</f>
        <v>-2.1016933932911309E-2</v>
      </c>
      <c r="H763" s="1" t="str">
        <f>IF(COUNTIF(Comp1[Comparable '#1 Dates],Benchmark1[[#This Row],[Benchmark '#1 Dates]])=1,"Pass","Fail")</f>
        <v>Pass</v>
      </c>
      <c r="I763" s="6">
        <f>IF(Benchmark1[[#This Row],[Comparable '#1 Date Check]]="Pass",INDEX(Comp1[Comparable '#1 Price],MATCH(Benchmark1[[#This Row],[Benchmark '#1 Dates]],Comp1[Comparable '#1 Dates],0)),"-")</f>
        <v>14.59</v>
      </c>
      <c r="J763" s="22">
        <f>IF(Benchmark1[[#This Row],[Comparable '#1 Date Check]]="Pass",INDEX(Comp1[Comparable '#1 Return],MATCH(Benchmark1[[#This Row],[Benchmark '#1 Dates]],Comp1[Comparable '#1 Dates],0)),"-")</f>
        <v>-2.0540917869381185E-3</v>
      </c>
      <c r="K763" s="1">
        <f>IFERROR(IF(Benchmark1[[#This Row],[Comparable '#1 Date Check]]="Pass",Benchmark1[[#This Row],[Comparable '#1 Return]]-Benchmark1[[#This Row],[Benchmark '#1 Return]],"-"),"-")</f>
        <v>-3.2176679041783559E-3</v>
      </c>
      <c r="L763" s="1" t="str">
        <f>IF(COUNTIF(Comp2[Comparable '#2 Dates],Benchmark1[[#This Row],[Benchmark '#1 Dates]])=1,"Pass","Fail")</f>
        <v>Pass</v>
      </c>
      <c r="M763" s="6">
        <f>IF(Benchmark1[[#This Row],[Comparable '#2 Date Check]]="Pass",INDEX(Comp2[Comparable '#2 Price],MATCH(Benchmark1[[#This Row],[Benchmark '#1 Dates]],Comp2[Comparable '#2 Dates],0)),"-")</f>
        <v>36.65</v>
      </c>
      <c r="N763" s="22">
        <f>IF(Benchmark1[[#This Row],[Comparable '#2 Date Check]]="Pass",INDEX(Comp2[Comparable '#2 Return],MATCH(Benchmark1[[#This Row],[Benchmark '#1 Dates]],Comp2[Comparable '#2 Dates],0)),"-")</f>
        <v>-2.4526226007401765E-2</v>
      </c>
      <c r="O763" s="1">
        <f>IFERROR(IF(Benchmark1[[#This Row],[Comparable '#2 Date Check]]="Pass",Benchmark1[[#This Row],[Comparable '#2 Return]]-Benchmark1[[#This Row],[Benchmark '#1 Return]],"-"),"-")</f>
        <v>-2.5689802124642003E-2</v>
      </c>
      <c r="P763" s="1" t="str">
        <f>IF(COUNTIF(Comp3[Comparable '#3 Dates],Benchmark1[[#This Row],[Benchmark '#1 Dates]])=1,"Pass","Fail")</f>
        <v>Pass</v>
      </c>
      <c r="Q763" s="6">
        <f>IF(Benchmark1[[#This Row],[Comparable '#3 Date Check]]="Pass",INDEX(Comp3[Comparable '#3 Price],MATCH(Benchmark1[[#This Row],[Benchmark '#1 Dates]],Comp3[Comparable '#3 Dates],0)),"-")</f>
        <v>72.06</v>
      </c>
      <c r="R763" s="22">
        <f>IF(Benchmark1[[#This Row],[Comparable '#3 Date Check]]="Pass",INDEX(Comp3[Comparable '#3 Return],MATCH(Benchmark1[[#This Row],[Benchmark '#1 Dates]],Comp3[Comparable '#3 Dates],0)),"-")</f>
        <v>-4.1623309654010014E-4</v>
      </c>
      <c r="S763" s="1">
        <f>IFERROR(IF(Benchmark1[[#This Row],[Comparable '#3 Date Check]]="Pass",Benchmark1[[#This Row],[Comparable '#3 Return]]-Benchmark1[[#This Row],[Benchmark '#1 Return]],"-"),"-")</f>
        <v>-1.5798092137803378E-3</v>
      </c>
    </row>
    <row r="764" spans="1:19">
      <c r="A764" s="103">
        <v>44392</v>
      </c>
      <c r="B764" s="104">
        <v>4360.0267444247911</v>
      </c>
      <c r="C764" s="4">
        <f t="shared" si="11"/>
        <v>-3.2675458903208372E-3</v>
      </c>
      <c r="D764" s="1" t="str">
        <f>IF(COUNTIF(Target1[Target Dates],Benchmark1[[#This Row],[Benchmark '#1 Dates]])=1,"Pass","Fail")</f>
        <v>Pass</v>
      </c>
      <c r="E764" s="6">
        <f>IF(Benchmark1[[#This Row],[Target Date Check]]="Pass",INDEX(Target1[Target Price],MATCH(Benchmark1[[#This Row],[Benchmark '#1 Dates]],Target1[Target Dates],0)),"-")</f>
        <v>31.14</v>
      </c>
      <c r="F764" s="22">
        <f>IF(Benchmark1[[#This Row],[Target Date Check]]="Pass",INDEX(Target1[Target Return],MATCH(Benchmark1[[#This Row],[Benchmark '#1 Dates]],Target1[Target Dates],0)),"-")</f>
        <v>7.0899426866309319E-3</v>
      </c>
      <c r="G764" s="1">
        <f>IFERROR(IF(Benchmark1[[#This Row],[Target Date Check]]="Pass",Benchmark1[[#This Row],[Target Return]]-Benchmark1[[#This Row],[Benchmark '#1 Return]],"-"),"-")</f>
        <v>1.0357488576951769E-2</v>
      </c>
      <c r="H764" s="1" t="str">
        <f>IF(COUNTIF(Comp1[Comparable '#1 Dates],Benchmark1[[#This Row],[Benchmark '#1 Dates]])=1,"Pass","Fail")</f>
        <v>Pass</v>
      </c>
      <c r="I764" s="6">
        <f>IF(Benchmark1[[#This Row],[Comparable '#1 Date Check]]="Pass",INDEX(Comp1[Comparable '#1 Price],MATCH(Benchmark1[[#This Row],[Benchmark '#1 Dates]],Comp1[Comparable '#1 Dates],0)),"-")</f>
        <v>14.57</v>
      </c>
      <c r="J764" s="22">
        <f>IF(Benchmark1[[#This Row],[Comparable '#1 Date Check]]="Pass",INDEX(Comp1[Comparable '#1 Return],MATCH(Benchmark1[[#This Row],[Benchmark '#1 Dates]],Comp1[Comparable '#1 Dates],0)),"-")</f>
        <v>-1.3717423275807702E-3</v>
      </c>
      <c r="K764" s="1">
        <f>IFERROR(IF(Benchmark1[[#This Row],[Comparable '#1 Date Check]]="Pass",Benchmark1[[#This Row],[Comparable '#1 Return]]-Benchmark1[[#This Row],[Benchmark '#1 Return]],"-"),"-")</f>
        <v>1.8958035627400669E-3</v>
      </c>
      <c r="L764" s="1" t="str">
        <f>IF(COUNTIF(Comp2[Comparable '#2 Dates],Benchmark1[[#This Row],[Benchmark '#1 Dates]])=1,"Pass","Fail")</f>
        <v>Pass</v>
      </c>
      <c r="M764" s="6">
        <f>IF(Benchmark1[[#This Row],[Comparable '#2 Date Check]]="Pass",INDEX(Comp2[Comparable '#2 Price],MATCH(Benchmark1[[#This Row],[Benchmark '#1 Dates]],Comp2[Comparable '#2 Dates],0)),"-")</f>
        <v>35.83</v>
      </c>
      <c r="N764" s="22">
        <f>IF(Benchmark1[[#This Row],[Comparable '#2 Date Check]]="Pass",INDEX(Comp2[Comparable '#2 Return],MATCH(Benchmark1[[#This Row],[Benchmark '#1 Dates]],Comp2[Comparable '#2 Dates],0)),"-")</f>
        <v>-2.2627897015798079E-2</v>
      </c>
      <c r="O764" s="1">
        <f>IFERROR(IF(Benchmark1[[#This Row],[Comparable '#2 Date Check]]="Pass",Benchmark1[[#This Row],[Comparable '#2 Return]]-Benchmark1[[#This Row],[Benchmark '#1 Return]],"-"),"-")</f>
        <v>-1.9360351125477241E-2</v>
      </c>
      <c r="P764" s="1" t="str">
        <f>IF(COUNTIF(Comp3[Comparable '#3 Dates],Benchmark1[[#This Row],[Benchmark '#1 Dates]])=1,"Pass","Fail")</f>
        <v>Pass</v>
      </c>
      <c r="Q764" s="6">
        <f>IF(Benchmark1[[#This Row],[Comparable '#3 Date Check]]="Pass",INDEX(Comp3[Comparable '#3 Price],MATCH(Benchmark1[[#This Row],[Benchmark '#1 Dates]],Comp3[Comparable '#3 Dates],0)),"-")</f>
        <v>71.25</v>
      </c>
      <c r="R764" s="22">
        <f>IF(Benchmark1[[#This Row],[Comparable '#3 Date Check]]="Pass",INDEX(Comp3[Comparable '#3 Return],MATCH(Benchmark1[[#This Row],[Benchmark '#1 Dates]],Comp3[Comparable '#3 Dates],0)),"-")</f>
        <v>-1.1304286171187341E-2</v>
      </c>
      <c r="S764" s="1">
        <f>IFERROR(IF(Benchmark1[[#This Row],[Comparable '#3 Date Check]]="Pass",Benchmark1[[#This Row],[Comparable '#3 Return]]-Benchmark1[[#This Row],[Benchmark '#1 Return]],"-"),"-")</f>
        <v>-8.0367402808665042E-3</v>
      </c>
    </row>
    <row r="765" spans="1:19">
      <c r="A765" s="103">
        <v>44393</v>
      </c>
      <c r="B765" s="104">
        <v>4327.1581538364935</v>
      </c>
      <c r="C765" s="4">
        <f t="shared" si="11"/>
        <v>-7.5671803506245352E-3</v>
      </c>
      <c r="D765" s="1" t="str">
        <f>IF(COUNTIF(Target1[Target Dates],Benchmark1[[#This Row],[Benchmark '#1 Dates]])=1,"Pass","Fail")</f>
        <v>Pass</v>
      </c>
      <c r="E765" s="6">
        <f>IF(Benchmark1[[#This Row],[Target Date Check]]="Pass",INDEX(Target1[Target Price],MATCH(Benchmark1[[#This Row],[Benchmark '#1 Dates]],Target1[Target Dates],0)),"-")</f>
        <v>31.63</v>
      </c>
      <c r="F765" s="22">
        <f>IF(Benchmark1[[#This Row],[Target Date Check]]="Pass",INDEX(Target1[Target Return],MATCH(Benchmark1[[#This Row],[Benchmark '#1 Dates]],Target1[Target Dates],0)),"-")</f>
        <v>1.561287091170516E-2</v>
      </c>
      <c r="G765" s="1">
        <f>IFERROR(IF(Benchmark1[[#This Row],[Target Date Check]]="Pass",Benchmark1[[#This Row],[Target Return]]-Benchmark1[[#This Row],[Benchmark '#1 Return]],"-"),"-")</f>
        <v>2.3180051262329696E-2</v>
      </c>
      <c r="H765" s="1" t="str">
        <f>IF(COUNTIF(Comp1[Comparable '#1 Dates],Benchmark1[[#This Row],[Benchmark '#1 Dates]])=1,"Pass","Fail")</f>
        <v>Pass</v>
      </c>
      <c r="I765" s="6">
        <f>IF(Benchmark1[[#This Row],[Comparable '#1 Date Check]]="Pass",INDEX(Comp1[Comparable '#1 Price],MATCH(Benchmark1[[#This Row],[Benchmark '#1 Dates]],Comp1[Comparable '#1 Dates],0)),"-")</f>
        <v>14.48</v>
      </c>
      <c r="J765" s="22">
        <f>IF(Benchmark1[[#This Row],[Comparable '#1 Date Check]]="Pass",INDEX(Comp1[Comparable '#1 Return],MATCH(Benchmark1[[#This Row],[Benchmark '#1 Dates]],Comp1[Comparable '#1 Dates],0)),"-")</f>
        <v>-6.1962332495431446E-3</v>
      </c>
      <c r="K765" s="1">
        <f>IFERROR(IF(Benchmark1[[#This Row],[Comparable '#1 Date Check]]="Pass",Benchmark1[[#This Row],[Comparable '#1 Return]]-Benchmark1[[#This Row],[Benchmark '#1 Return]],"-"),"-")</f>
        <v>1.3709471010813906E-3</v>
      </c>
      <c r="L765" s="1" t="str">
        <f>IF(COUNTIF(Comp2[Comparable '#2 Dates],Benchmark1[[#This Row],[Benchmark '#1 Dates]])=1,"Pass","Fail")</f>
        <v>Pass</v>
      </c>
      <c r="M765" s="6">
        <f>IF(Benchmark1[[#This Row],[Comparable '#2 Date Check]]="Pass",INDEX(Comp2[Comparable '#2 Price],MATCH(Benchmark1[[#This Row],[Benchmark '#1 Dates]],Comp2[Comparable '#2 Dates],0)),"-")</f>
        <v>35.24</v>
      </c>
      <c r="N765" s="22">
        <f>IF(Benchmark1[[#This Row],[Comparable '#2 Date Check]]="Pass",INDEX(Comp2[Comparable '#2 Return],MATCH(Benchmark1[[#This Row],[Benchmark '#1 Dates]],Comp2[Comparable '#2 Dates],0)),"-")</f>
        <v>-1.6603730248883532E-2</v>
      </c>
      <c r="O765" s="1">
        <f>IFERROR(IF(Benchmark1[[#This Row],[Comparable '#2 Date Check]]="Pass",Benchmark1[[#This Row],[Comparable '#2 Return]]-Benchmark1[[#This Row],[Benchmark '#1 Return]],"-"),"-")</f>
        <v>-9.0365498982589963E-3</v>
      </c>
      <c r="P765" s="1" t="str">
        <f>IF(COUNTIF(Comp3[Comparable '#3 Dates],Benchmark1[[#This Row],[Benchmark '#1 Dates]])=1,"Pass","Fail")</f>
        <v>Pass</v>
      </c>
      <c r="Q765" s="6">
        <f>IF(Benchmark1[[#This Row],[Comparable '#3 Date Check]]="Pass",INDEX(Comp3[Comparable '#3 Price],MATCH(Benchmark1[[#This Row],[Benchmark '#1 Dates]],Comp3[Comparable '#3 Dates],0)),"-")</f>
        <v>70.69</v>
      </c>
      <c r="R765" s="22">
        <f>IF(Benchmark1[[#This Row],[Comparable '#3 Date Check]]="Pass",INDEX(Comp3[Comparable '#3 Return],MATCH(Benchmark1[[#This Row],[Benchmark '#1 Dates]],Comp3[Comparable '#3 Dates],0)),"-")</f>
        <v>-7.8906989658972179E-3</v>
      </c>
      <c r="S765" s="1">
        <f>IFERROR(IF(Benchmark1[[#This Row],[Comparable '#3 Date Check]]="Pass",Benchmark1[[#This Row],[Comparable '#3 Return]]-Benchmark1[[#This Row],[Benchmark '#1 Return]],"-"),"-")</f>
        <v>-3.235186152726827E-4</v>
      </c>
    </row>
    <row r="766" spans="1:19">
      <c r="A766" s="103">
        <v>44396</v>
      </c>
      <c r="B766" s="104">
        <v>4258.4926311494137</v>
      </c>
      <c r="C766" s="4">
        <f t="shared" si="11"/>
        <v>-1.5995755822811094E-2</v>
      </c>
      <c r="D766" s="1" t="str">
        <f>IF(COUNTIF(Target1[Target Dates],Benchmark1[[#This Row],[Benchmark '#1 Dates]])=1,"Pass","Fail")</f>
        <v>Pass</v>
      </c>
      <c r="E766" s="6">
        <f>IF(Benchmark1[[#This Row],[Target Date Check]]="Pass",INDEX(Target1[Target Price],MATCH(Benchmark1[[#This Row],[Benchmark '#1 Dates]],Target1[Target Dates],0)),"-")</f>
        <v>33.549999999999997</v>
      </c>
      <c r="F766" s="22">
        <f>IF(Benchmark1[[#This Row],[Target Date Check]]="Pass",INDEX(Target1[Target Return],MATCH(Benchmark1[[#This Row],[Benchmark '#1 Dates]],Target1[Target Dates],0)),"-")</f>
        <v>5.8930826100133255E-2</v>
      </c>
      <c r="G766" s="1">
        <f>IFERROR(IF(Benchmark1[[#This Row],[Target Date Check]]="Pass",Benchmark1[[#This Row],[Target Return]]-Benchmark1[[#This Row],[Benchmark '#1 Return]],"-"),"-")</f>
        <v>7.4926581922944352E-2</v>
      </c>
      <c r="H766" s="1" t="str">
        <f>IF(COUNTIF(Comp1[Comparable '#1 Dates],Benchmark1[[#This Row],[Benchmark '#1 Dates]])=1,"Pass","Fail")</f>
        <v>Pass</v>
      </c>
      <c r="I766" s="6">
        <f>IF(Benchmark1[[#This Row],[Comparable '#1 Date Check]]="Pass",INDEX(Comp1[Comparable '#1 Price],MATCH(Benchmark1[[#This Row],[Benchmark '#1 Dates]],Comp1[Comparable '#1 Dates],0)),"-")</f>
        <v>14.5</v>
      </c>
      <c r="J766" s="22">
        <f>IF(Benchmark1[[#This Row],[Comparable '#1 Date Check]]="Pass",INDEX(Comp1[Comparable '#1 Return],MATCH(Benchmark1[[#This Row],[Benchmark '#1 Dates]],Comp1[Comparable '#1 Dates],0)),"-")</f>
        <v>1.3802624689584903E-3</v>
      </c>
      <c r="K766" s="1">
        <f>IFERROR(IF(Benchmark1[[#This Row],[Comparable '#1 Date Check]]="Pass",Benchmark1[[#This Row],[Comparable '#1 Return]]-Benchmark1[[#This Row],[Benchmark '#1 Return]],"-"),"-")</f>
        <v>1.7376018291769584E-2</v>
      </c>
      <c r="L766" s="1" t="str">
        <f>IF(COUNTIF(Comp2[Comparable '#2 Dates],Benchmark1[[#This Row],[Benchmark '#1 Dates]])=1,"Pass","Fail")</f>
        <v>Pass</v>
      </c>
      <c r="M766" s="6">
        <f>IF(Benchmark1[[#This Row],[Comparable '#2 Date Check]]="Pass",INDEX(Comp2[Comparable '#2 Price],MATCH(Benchmark1[[#This Row],[Benchmark '#1 Dates]],Comp2[Comparable '#2 Dates],0)),"-")</f>
        <v>35.01</v>
      </c>
      <c r="N766" s="22">
        <f>IF(Benchmark1[[#This Row],[Comparable '#2 Date Check]]="Pass",INDEX(Comp2[Comparable '#2 Return],MATCH(Benchmark1[[#This Row],[Benchmark '#1 Dates]],Comp2[Comparable '#2 Dates],0)),"-")</f>
        <v>-6.5480661014046121E-3</v>
      </c>
      <c r="O766" s="1">
        <f>IFERROR(IF(Benchmark1[[#This Row],[Comparable '#2 Date Check]]="Pass",Benchmark1[[#This Row],[Comparable '#2 Return]]-Benchmark1[[#This Row],[Benchmark '#1 Return]],"-"),"-")</f>
        <v>9.4476897214064819E-3</v>
      </c>
      <c r="P766" s="1" t="str">
        <f>IF(COUNTIF(Comp3[Comparable '#3 Dates],Benchmark1[[#This Row],[Benchmark '#1 Dates]])=1,"Pass","Fail")</f>
        <v>Pass</v>
      </c>
      <c r="Q766" s="6">
        <f>IF(Benchmark1[[#This Row],[Comparable '#3 Date Check]]="Pass",INDEX(Comp3[Comparable '#3 Price],MATCH(Benchmark1[[#This Row],[Benchmark '#1 Dates]],Comp3[Comparable '#3 Dates],0)),"-")</f>
        <v>70.72</v>
      </c>
      <c r="R766" s="22">
        <f>IF(Benchmark1[[#This Row],[Comparable '#3 Date Check]]="Pass",INDEX(Comp3[Comparable '#3 Return],MATCH(Benchmark1[[#This Row],[Benchmark '#1 Dates]],Comp3[Comparable '#3 Dates],0)),"-")</f>
        <v>4.2429814652534907E-4</v>
      </c>
      <c r="S766" s="1">
        <f>IFERROR(IF(Benchmark1[[#This Row],[Comparable '#3 Date Check]]="Pass",Benchmark1[[#This Row],[Comparable '#3 Return]]-Benchmark1[[#This Row],[Benchmark '#1 Return]],"-"),"-")</f>
        <v>1.6420053969336441E-2</v>
      </c>
    </row>
    <row r="767" spans="1:19">
      <c r="A767" s="103">
        <v>44397</v>
      </c>
      <c r="B767" s="104">
        <v>4323.058604162673</v>
      </c>
      <c r="C767" s="4">
        <f t="shared" si="11"/>
        <v>1.5047906746785177E-2</v>
      </c>
      <c r="D767" s="1" t="str">
        <f>IF(COUNTIF(Target1[Target Dates],Benchmark1[[#This Row],[Benchmark '#1 Dates]])=1,"Pass","Fail")</f>
        <v>Pass</v>
      </c>
      <c r="E767" s="6">
        <f>IF(Benchmark1[[#This Row],[Target Date Check]]="Pass",INDEX(Target1[Target Price],MATCH(Benchmark1[[#This Row],[Benchmark '#1 Dates]],Target1[Target Dates],0)),"-")</f>
        <v>32</v>
      </c>
      <c r="F767" s="22">
        <f>IF(Benchmark1[[#This Row],[Target Date Check]]="Pass",INDEX(Target1[Target Return],MATCH(Benchmark1[[#This Row],[Benchmark '#1 Dates]],Target1[Target Dates],0)),"-")</f>
        <v>-4.7300960617964134E-2</v>
      </c>
      <c r="G767" s="1">
        <f>IFERROR(IF(Benchmark1[[#This Row],[Target Date Check]]="Pass",Benchmark1[[#This Row],[Target Return]]-Benchmark1[[#This Row],[Benchmark '#1 Return]],"-"),"-")</f>
        <v>-6.2348867364749309E-2</v>
      </c>
      <c r="H767" s="1" t="str">
        <f>IF(COUNTIF(Comp1[Comparable '#1 Dates],Benchmark1[[#This Row],[Benchmark '#1 Dates]])=1,"Pass","Fail")</f>
        <v>Pass</v>
      </c>
      <c r="I767" s="6">
        <f>IF(Benchmark1[[#This Row],[Comparable '#1 Date Check]]="Pass",INDEX(Comp1[Comparable '#1 Price],MATCH(Benchmark1[[#This Row],[Benchmark '#1 Dates]],Comp1[Comparable '#1 Dates],0)),"-")</f>
        <v>14.75</v>
      </c>
      <c r="J767" s="22">
        <f>IF(Benchmark1[[#This Row],[Comparable '#1 Date Check]]="Pass",INDEX(Comp1[Comparable '#1 Return],MATCH(Benchmark1[[#This Row],[Benchmark '#1 Dates]],Comp1[Comparable '#1 Dates],0)),"-")</f>
        <v>1.709443335930004E-2</v>
      </c>
      <c r="K767" s="1">
        <f>IFERROR(IF(Benchmark1[[#This Row],[Comparable '#1 Date Check]]="Pass",Benchmark1[[#This Row],[Comparable '#1 Return]]-Benchmark1[[#This Row],[Benchmark '#1 Return]],"-"),"-")</f>
        <v>2.0465266125148634E-3</v>
      </c>
      <c r="L767" s="1" t="str">
        <f>IF(COUNTIF(Comp2[Comparable '#2 Dates],Benchmark1[[#This Row],[Benchmark '#1 Dates]])=1,"Pass","Fail")</f>
        <v>Pass</v>
      </c>
      <c r="M767" s="6">
        <f>IF(Benchmark1[[#This Row],[Comparable '#2 Date Check]]="Pass",INDEX(Comp2[Comparable '#2 Price],MATCH(Benchmark1[[#This Row],[Benchmark '#1 Dates]],Comp2[Comparable '#2 Dates],0)),"-")</f>
        <v>36.03</v>
      </c>
      <c r="N767" s="22">
        <f>IF(Benchmark1[[#This Row],[Comparable '#2 Date Check]]="Pass",INDEX(Comp2[Comparable '#2 Return],MATCH(Benchmark1[[#This Row],[Benchmark '#1 Dates]],Comp2[Comparable '#2 Dates],0)),"-")</f>
        <v>2.8718189793427547E-2</v>
      </c>
      <c r="O767" s="1">
        <f>IFERROR(IF(Benchmark1[[#This Row],[Comparable '#2 Date Check]]="Pass",Benchmark1[[#This Row],[Comparable '#2 Return]]-Benchmark1[[#This Row],[Benchmark '#1 Return]],"-"),"-")</f>
        <v>1.3670283046642371E-2</v>
      </c>
      <c r="P767" s="1" t="str">
        <f>IF(COUNTIF(Comp3[Comparable '#3 Dates],Benchmark1[[#This Row],[Benchmark '#1 Dates]])=1,"Pass","Fail")</f>
        <v>Pass</v>
      </c>
      <c r="Q767" s="6">
        <f>IF(Benchmark1[[#This Row],[Comparable '#3 Date Check]]="Pass",INDEX(Comp3[Comparable '#3 Price],MATCH(Benchmark1[[#This Row],[Benchmark '#1 Dates]],Comp3[Comparable '#3 Dates],0)),"-")</f>
        <v>71.349999999999994</v>
      </c>
      <c r="R767" s="22">
        <f>IF(Benchmark1[[#This Row],[Comparable '#3 Date Check]]="Pass",INDEX(Comp3[Comparable '#3 Return],MATCH(Benchmark1[[#This Row],[Benchmark '#1 Dates]],Comp3[Comparable '#3 Dates],0)),"-")</f>
        <v>8.8689255934572865E-3</v>
      </c>
      <c r="S767" s="1">
        <f>IFERROR(IF(Benchmark1[[#This Row],[Comparable '#3 Date Check]]="Pass",Benchmark1[[#This Row],[Comparable '#3 Return]]-Benchmark1[[#This Row],[Benchmark '#1 Return]],"-"),"-")</f>
        <v>-6.1789811533278904E-3</v>
      </c>
    </row>
    <row r="768" spans="1:19">
      <c r="A768" s="103">
        <v>44398</v>
      </c>
      <c r="B768" s="104">
        <v>4358.6932938239552</v>
      </c>
      <c r="C768" s="4">
        <f t="shared" si="11"/>
        <v>8.2091472316990245E-3</v>
      </c>
      <c r="D768" s="1" t="str">
        <f>IF(COUNTIF(Target1[Target Dates],Benchmark1[[#This Row],[Benchmark '#1 Dates]])=1,"Pass","Fail")</f>
        <v>Pass</v>
      </c>
      <c r="E768" s="6">
        <f>IF(Benchmark1[[#This Row],[Target Date Check]]="Pass",INDEX(Target1[Target Price],MATCH(Benchmark1[[#This Row],[Benchmark '#1 Dates]],Target1[Target Dates],0)),"-")</f>
        <v>32.18</v>
      </c>
      <c r="F768" s="22">
        <f>IF(Benchmark1[[#This Row],[Target Date Check]]="Pass",INDEX(Target1[Target Return],MATCH(Benchmark1[[#This Row],[Benchmark '#1 Dates]],Target1[Target Dates],0)),"-")</f>
        <v>5.6092387645105945E-3</v>
      </c>
      <c r="G768" s="1">
        <f>IFERROR(IF(Benchmark1[[#This Row],[Target Date Check]]="Pass",Benchmark1[[#This Row],[Target Return]]-Benchmark1[[#This Row],[Benchmark '#1 Return]],"-"),"-")</f>
        <v>-2.59990846718843E-3</v>
      </c>
      <c r="H768" s="1" t="str">
        <f>IF(COUNTIF(Comp1[Comparable '#1 Dates],Benchmark1[[#This Row],[Benchmark '#1 Dates]])=1,"Pass","Fail")</f>
        <v>Pass</v>
      </c>
      <c r="I768" s="6">
        <f>IF(Benchmark1[[#This Row],[Comparable '#1 Date Check]]="Pass",INDEX(Comp1[Comparable '#1 Price],MATCH(Benchmark1[[#This Row],[Benchmark '#1 Dates]],Comp1[Comparable '#1 Dates],0)),"-")</f>
        <v>14.67</v>
      </c>
      <c r="J768" s="22">
        <f>IF(Benchmark1[[#This Row],[Comparable '#1 Date Check]]="Pass",INDEX(Comp1[Comparable '#1 Return],MATCH(Benchmark1[[#This Row],[Benchmark '#1 Dates]],Comp1[Comparable '#1 Dates],0)),"-")</f>
        <v>-5.4384906309385087E-3</v>
      </c>
      <c r="K768" s="1">
        <f>IFERROR(IF(Benchmark1[[#This Row],[Comparable '#1 Date Check]]="Pass",Benchmark1[[#This Row],[Comparable '#1 Return]]-Benchmark1[[#This Row],[Benchmark '#1 Return]],"-"),"-")</f>
        <v>-1.3647637862637533E-2</v>
      </c>
      <c r="L768" s="1" t="str">
        <f>IF(COUNTIF(Comp2[Comparable '#2 Dates],Benchmark1[[#This Row],[Benchmark '#1 Dates]])=1,"Pass","Fail")</f>
        <v>Pass</v>
      </c>
      <c r="M768" s="6">
        <f>IF(Benchmark1[[#This Row],[Comparable '#2 Date Check]]="Pass",INDEX(Comp2[Comparable '#2 Price],MATCH(Benchmark1[[#This Row],[Benchmark '#1 Dates]],Comp2[Comparable '#2 Dates],0)),"-")</f>
        <v>36.4</v>
      </c>
      <c r="N768" s="22">
        <f>IF(Benchmark1[[#This Row],[Comparable '#2 Date Check]]="Pass",INDEX(Comp2[Comparable '#2 Return],MATCH(Benchmark1[[#This Row],[Benchmark '#1 Dates]],Comp2[Comparable '#2 Dates],0)),"-")</f>
        <v>1.0216849882693013E-2</v>
      </c>
      <c r="O768" s="1">
        <f>IFERROR(IF(Benchmark1[[#This Row],[Comparable '#2 Date Check]]="Pass",Benchmark1[[#This Row],[Comparable '#2 Return]]-Benchmark1[[#This Row],[Benchmark '#1 Return]],"-"),"-")</f>
        <v>2.007702650993988E-3</v>
      </c>
      <c r="P768" s="1" t="str">
        <f>IF(COUNTIF(Comp3[Comparable '#3 Dates],Benchmark1[[#This Row],[Benchmark '#1 Dates]])=1,"Pass","Fail")</f>
        <v>Pass</v>
      </c>
      <c r="Q768" s="6">
        <f>IF(Benchmark1[[#This Row],[Comparable '#3 Date Check]]="Pass",INDEX(Comp3[Comparable '#3 Price],MATCH(Benchmark1[[#This Row],[Benchmark '#1 Dates]],Comp3[Comparable '#3 Dates],0)),"-")</f>
        <v>71.36</v>
      </c>
      <c r="R768" s="22">
        <f>IF(Benchmark1[[#This Row],[Comparable '#3 Date Check]]="Pass",INDEX(Comp3[Comparable '#3 Return],MATCH(Benchmark1[[#This Row],[Benchmark '#1 Dates]],Comp3[Comparable '#3 Dates],0)),"-")</f>
        <v>1.4014434890865048E-4</v>
      </c>
      <c r="S768" s="1">
        <f>IFERROR(IF(Benchmark1[[#This Row],[Comparable '#3 Date Check]]="Pass",Benchmark1[[#This Row],[Comparable '#3 Return]]-Benchmark1[[#This Row],[Benchmark '#1 Return]],"-"),"-")</f>
        <v>-8.0690028827903743E-3</v>
      </c>
    </row>
    <row r="769" spans="1:19">
      <c r="A769" s="103">
        <v>44399</v>
      </c>
      <c r="B769" s="104">
        <v>4367.4750603841067</v>
      </c>
      <c r="C769" s="4">
        <f t="shared" si="11"/>
        <v>2.0127435475375721E-3</v>
      </c>
      <c r="D769" s="1" t="str">
        <f>IF(COUNTIF(Target1[Target Dates],Benchmark1[[#This Row],[Benchmark '#1 Dates]])=1,"Pass","Fail")</f>
        <v>Pass</v>
      </c>
      <c r="E769" s="6">
        <f>IF(Benchmark1[[#This Row],[Target Date Check]]="Pass",INDEX(Target1[Target Price],MATCH(Benchmark1[[#This Row],[Benchmark '#1 Dates]],Target1[Target Dates],0)),"-")</f>
        <v>31.32</v>
      </c>
      <c r="F769" s="22">
        <f>IF(Benchmark1[[#This Row],[Target Date Check]]="Pass",INDEX(Target1[Target Return],MATCH(Benchmark1[[#This Row],[Benchmark '#1 Dates]],Target1[Target Dates],0)),"-")</f>
        <v>-2.7088270441634803E-2</v>
      </c>
      <c r="G769" s="1">
        <f>IFERROR(IF(Benchmark1[[#This Row],[Target Date Check]]="Pass",Benchmark1[[#This Row],[Target Return]]-Benchmark1[[#This Row],[Benchmark '#1 Return]],"-"),"-")</f>
        <v>-2.9101013989172374E-2</v>
      </c>
      <c r="H769" s="1" t="str">
        <f>IF(COUNTIF(Comp1[Comparable '#1 Dates],Benchmark1[[#This Row],[Benchmark '#1 Dates]])=1,"Pass","Fail")</f>
        <v>Pass</v>
      </c>
      <c r="I769" s="6">
        <f>IF(Benchmark1[[#This Row],[Comparable '#1 Date Check]]="Pass",INDEX(Comp1[Comparable '#1 Price],MATCH(Benchmark1[[#This Row],[Benchmark '#1 Dates]],Comp1[Comparable '#1 Dates],0)),"-")</f>
        <v>14.46</v>
      </c>
      <c r="J769" s="22">
        <f>IF(Benchmark1[[#This Row],[Comparable '#1 Date Check]]="Pass",INDEX(Comp1[Comparable '#1 Return],MATCH(Benchmark1[[#This Row],[Benchmark '#1 Dates]],Comp1[Comparable '#1 Dates],0)),"-")</f>
        <v>-1.4418375424271712E-2</v>
      </c>
      <c r="K769" s="1">
        <f>IFERROR(IF(Benchmark1[[#This Row],[Comparable '#1 Date Check]]="Pass",Benchmark1[[#This Row],[Comparable '#1 Return]]-Benchmark1[[#This Row],[Benchmark '#1 Return]],"-"),"-")</f>
        <v>-1.6431118971809284E-2</v>
      </c>
      <c r="L769" s="1" t="str">
        <f>IF(COUNTIF(Comp2[Comparable '#2 Dates],Benchmark1[[#This Row],[Benchmark '#1 Dates]])=1,"Pass","Fail")</f>
        <v>Pass</v>
      </c>
      <c r="M769" s="6">
        <f>IF(Benchmark1[[#This Row],[Comparable '#2 Date Check]]="Pass",INDEX(Comp2[Comparable '#2 Price],MATCH(Benchmark1[[#This Row],[Benchmark '#1 Dates]],Comp2[Comparable '#2 Dates],0)),"-")</f>
        <v>35.07</v>
      </c>
      <c r="N769" s="22">
        <f>IF(Benchmark1[[#This Row],[Comparable '#2 Date Check]]="Pass",INDEX(Comp2[Comparable '#2 Return],MATCH(Benchmark1[[#This Row],[Benchmark '#1 Dates]],Comp2[Comparable '#2 Dates],0)),"-")</f>
        <v>-3.722271049060822E-2</v>
      </c>
      <c r="O769" s="1">
        <f>IFERROR(IF(Benchmark1[[#This Row],[Comparable '#2 Date Check]]="Pass",Benchmark1[[#This Row],[Comparable '#2 Return]]-Benchmark1[[#This Row],[Benchmark '#1 Return]],"-"),"-")</f>
        <v>-3.9235454038145795E-2</v>
      </c>
      <c r="P769" s="1" t="str">
        <f>IF(COUNTIF(Comp3[Comparable '#3 Dates],Benchmark1[[#This Row],[Benchmark '#1 Dates]])=1,"Pass","Fail")</f>
        <v>Pass</v>
      </c>
      <c r="Q769" s="6">
        <f>IF(Benchmark1[[#This Row],[Comparable '#3 Date Check]]="Pass",INDEX(Comp3[Comparable '#3 Price],MATCH(Benchmark1[[#This Row],[Benchmark '#1 Dates]],Comp3[Comparable '#3 Dates],0)),"-")</f>
        <v>70.91</v>
      </c>
      <c r="R769" s="22">
        <f>IF(Benchmark1[[#This Row],[Comparable '#3 Date Check]]="Pass",INDEX(Comp3[Comparable '#3 Return],MATCH(Benchmark1[[#This Row],[Benchmark '#1 Dates]],Comp3[Comparable '#3 Dates],0)),"-")</f>
        <v>-6.3260209558487013E-3</v>
      </c>
      <c r="S769" s="1">
        <f>IFERROR(IF(Benchmark1[[#This Row],[Comparable '#3 Date Check]]="Pass",Benchmark1[[#This Row],[Comparable '#3 Return]]-Benchmark1[[#This Row],[Benchmark '#1 Return]],"-"),"-")</f>
        <v>-8.3387645033862739E-3</v>
      </c>
    </row>
    <row r="770" spans="1:19">
      <c r="A770" s="103">
        <v>44400</v>
      </c>
      <c r="B770" s="104">
        <v>4411.7924216024394</v>
      </c>
      <c r="C770" s="4">
        <f t="shared" ref="C770:C833" si="12">IFERROR(IF(B770="","-",LN(B770/B769)),"-")</f>
        <v>1.0095998953148114E-2</v>
      </c>
      <c r="D770" s="1" t="str">
        <f>IF(COUNTIF(Target1[Target Dates],Benchmark1[[#This Row],[Benchmark '#1 Dates]])=1,"Pass","Fail")</f>
        <v>Pass</v>
      </c>
      <c r="E770" s="6">
        <f>IF(Benchmark1[[#This Row],[Target Date Check]]="Pass",INDEX(Target1[Target Price],MATCH(Benchmark1[[#This Row],[Benchmark '#1 Dates]],Target1[Target Dates],0)),"-")</f>
        <v>30.98</v>
      </c>
      <c r="F770" s="22">
        <f>IF(Benchmark1[[#This Row],[Target Date Check]]="Pass",INDEX(Target1[Target Return],MATCH(Benchmark1[[#This Row],[Benchmark '#1 Dates]],Target1[Target Dates],0)),"-")</f>
        <v>-1.0915036133879797E-2</v>
      </c>
      <c r="G770" s="1">
        <f>IFERROR(IF(Benchmark1[[#This Row],[Target Date Check]]="Pass",Benchmark1[[#This Row],[Target Return]]-Benchmark1[[#This Row],[Benchmark '#1 Return]],"-"),"-")</f>
        <v>-2.101103508702791E-2</v>
      </c>
      <c r="H770" s="1" t="str">
        <f>IF(COUNTIF(Comp1[Comparable '#1 Dates],Benchmark1[[#This Row],[Benchmark '#1 Dates]])=1,"Pass","Fail")</f>
        <v>Pass</v>
      </c>
      <c r="I770" s="6">
        <f>IF(Benchmark1[[#This Row],[Comparable '#1 Date Check]]="Pass",INDEX(Comp1[Comparable '#1 Price],MATCH(Benchmark1[[#This Row],[Benchmark '#1 Dates]],Comp1[Comparable '#1 Dates],0)),"-")</f>
        <v>14.53</v>
      </c>
      <c r="J770" s="22">
        <f>IF(Benchmark1[[#This Row],[Comparable '#1 Date Check]]="Pass",INDEX(Comp1[Comparable '#1 Return],MATCH(Benchmark1[[#This Row],[Benchmark '#1 Dates]],Comp1[Comparable '#1 Dates],0)),"-")</f>
        <v>4.8292608515728905E-3</v>
      </c>
      <c r="K770" s="1">
        <f>IFERROR(IF(Benchmark1[[#This Row],[Comparable '#1 Date Check]]="Pass",Benchmark1[[#This Row],[Comparable '#1 Return]]-Benchmark1[[#This Row],[Benchmark '#1 Return]],"-"),"-")</f>
        <v>-5.2667381015752239E-3</v>
      </c>
      <c r="L770" s="1" t="str">
        <f>IF(COUNTIF(Comp2[Comparable '#2 Dates],Benchmark1[[#This Row],[Benchmark '#1 Dates]])=1,"Pass","Fail")</f>
        <v>Pass</v>
      </c>
      <c r="M770" s="6">
        <f>IF(Benchmark1[[#This Row],[Comparable '#2 Date Check]]="Pass",INDEX(Comp2[Comparable '#2 Price],MATCH(Benchmark1[[#This Row],[Benchmark '#1 Dates]],Comp2[Comparable '#2 Dates],0)),"-")</f>
        <v>35.520000000000003</v>
      </c>
      <c r="N770" s="22">
        <f>IF(Benchmark1[[#This Row],[Comparable '#2 Date Check]]="Pass",INDEX(Comp2[Comparable '#2 Return],MATCH(Benchmark1[[#This Row],[Benchmark '#1 Dates]],Comp2[Comparable '#2 Dates],0)),"-")</f>
        <v>1.2749853971882757E-2</v>
      </c>
      <c r="O770" s="1">
        <f>IFERROR(IF(Benchmark1[[#This Row],[Comparable '#2 Date Check]]="Pass",Benchmark1[[#This Row],[Comparable '#2 Return]]-Benchmark1[[#This Row],[Benchmark '#1 Return]],"-"),"-")</f>
        <v>2.6538550187346424E-3</v>
      </c>
      <c r="P770" s="1" t="str">
        <f>IF(COUNTIF(Comp3[Comparable '#3 Dates],Benchmark1[[#This Row],[Benchmark '#1 Dates]])=1,"Pass","Fail")</f>
        <v>Pass</v>
      </c>
      <c r="Q770" s="6">
        <f>IF(Benchmark1[[#This Row],[Comparable '#3 Date Check]]="Pass",INDEX(Comp3[Comparable '#3 Price],MATCH(Benchmark1[[#This Row],[Benchmark '#1 Dates]],Comp3[Comparable '#3 Dates],0)),"-")</f>
        <v>70.81</v>
      </c>
      <c r="R770" s="22">
        <f>IF(Benchmark1[[#This Row],[Comparable '#3 Date Check]]="Pass",INDEX(Comp3[Comparable '#3 Return],MATCH(Benchmark1[[#This Row],[Benchmark '#1 Dates]],Comp3[Comparable '#3 Dates],0)),"-")</f>
        <v>-1.411233652222675E-3</v>
      </c>
      <c r="S770" s="1">
        <f>IFERROR(IF(Benchmark1[[#This Row],[Comparable '#3 Date Check]]="Pass",Benchmark1[[#This Row],[Comparable '#3 Return]]-Benchmark1[[#This Row],[Benchmark '#1 Return]],"-"),"-")</f>
        <v>-1.1507232605370789E-2</v>
      </c>
    </row>
    <row r="771" spans="1:19">
      <c r="A771" s="103">
        <v>44403</v>
      </c>
      <c r="B771" s="104">
        <v>4422.3035417717156</v>
      </c>
      <c r="C771" s="4">
        <f t="shared" si="12"/>
        <v>2.3796719377027981E-3</v>
      </c>
      <c r="D771" s="1" t="str">
        <f>IF(COUNTIF(Target1[Target Dates],Benchmark1[[#This Row],[Benchmark '#1 Dates]])=1,"Pass","Fail")</f>
        <v>Pass</v>
      </c>
      <c r="E771" s="6">
        <f>IF(Benchmark1[[#This Row],[Target Date Check]]="Pass",INDEX(Target1[Target Price],MATCH(Benchmark1[[#This Row],[Benchmark '#1 Dates]],Target1[Target Dates],0)),"-")</f>
        <v>30.28</v>
      </c>
      <c r="F771" s="22">
        <f>IF(Benchmark1[[#This Row],[Target Date Check]]="Pass",INDEX(Target1[Target Return],MATCH(Benchmark1[[#This Row],[Benchmark '#1 Dates]],Target1[Target Dates],0)),"-")</f>
        <v>-2.2854406419474487E-2</v>
      </c>
      <c r="G771" s="1">
        <f>IFERROR(IF(Benchmark1[[#This Row],[Target Date Check]]="Pass",Benchmark1[[#This Row],[Target Return]]-Benchmark1[[#This Row],[Benchmark '#1 Return]],"-"),"-")</f>
        <v>-2.5234078357177284E-2</v>
      </c>
      <c r="H771" s="1" t="str">
        <f>IF(COUNTIF(Comp1[Comparable '#1 Dates],Benchmark1[[#This Row],[Benchmark '#1 Dates]])=1,"Pass","Fail")</f>
        <v>Pass</v>
      </c>
      <c r="I771" s="6">
        <f>IF(Benchmark1[[#This Row],[Comparable '#1 Date Check]]="Pass",INDEX(Comp1[Comparable '#1 Price],MATCH(Benchmark1[[#This Row],[Benchmark '#1 Dates]],Comp1[Comparable '#1 Dates],0)),"-")</f>
        <v>14.49</v>
      </c>
      <c r="J771" s="22">
        <f>IF(Benchmark1[[#This Row],[Comparable '#1 Date Check]]="Pass",INDEX(Comp1[Comparable '#1 Return],MATCH(Benchmark1[[#This Row],[Benchmark '#1 Dates]],Comp1[Comparable '#1 Dates],0)),"-")</f>
        <v>-2.7567212496004195E-3</v>
      </c>
      <c r="K771" s="1">
        <f>IFERROR(IF(Benchmark1[[#This Row],[Comparable '#1 Date Check]]="Pass",Benchmark1[[#This Row],[Comparable '#1 Return]]-Benchmark1[[#This Row],[Benchmark '#1 Return]],"-"),"-")</f>
        <v>-5.1363931873032176E-3</v>
      </c>
      <c r="L771" s="1" t="str">
        <f>IF(COUNTIF(Comp2[Comparable '#2 Dates],Benchmark1[[#This Row],[Benchmark '#1 Dates]])=1,"Pass","Fail")</f>
        <v>Pass</v>
      </c>
      <c r="M771" s="6">
        <f>IF(Benchmark1[[#This Row],[Comparable '#2 Date Check]]="Pass",INDEX(Comp2[Comparable '#2 Price],MATCH(Benchmark1[[#This Row],[Benchmark '#1 Dates]],Comp2[Comparable '#2 Dates],0)),"-")</f>
        <v>35.369999999999997</v>
      </c>
      <c r="N771" s="22">
        <f>IF(Benchmark1[[#This Row],[Comparable '#2 Date Check]]="Pass",INDEX(Comp2[Comparable '#2 Return],MATCH(Benchmark1[[#This Row],[Benchmark '#1 Dates]],Comp2[Comparable '#2 Dates],0)),"-")</f>
        <v>-4.23191490658023E-3</v>
      </c>
      <c r="O771" s="1">
        <f>IFERROR(IF(Benchmark1[[#This Row],[Comparable '#2 Date Check]]="Pass",Benchmark1[[#This Row],[Comparable '#2 Return]]-Benchmark1[[#This Row],[Benchmark '#1 Return]],"-"),"-")</f>
        <v>-6.6115868442830281E-3</v>
      </c>
      <c r="P771" s="1" t="str">
        <f>IF(COUNTIF(Comp3[Comparable '#3 Dates],Benchmark1[[#This Row],[Benchmark '#1 Dates]])=1,"Pass","Fail")</f>
        <v>Pass</v>
      </c>
      <c r="Q771" s="6">
        <f>IF(Benchmark1[[#This Row],[Comparable '#3 Date Check]]="Pass",INDEX(Comp3[Comparable '#3 Price],MATCH(Benchmark1[[#This Row],[Benchmark '#1 Dates]],Comp3[Comparable '#3 Dates],0)),"-")</f>
        <v>70.86</v>
      </c>
      <c r="R771" s="22">
        <f>IF(Benchmark1[[#This Row],[Comparable '#3 Date Check]]="Pass",INDEX(Comp3[Comparable '#3 Return],MATCH(Benchmark1[[#This Row],[Benchmark '#1 Dates]],Comp3[Comparable '#3 Dates],0)),"-")</f>
        <v>7.0586577364335518E-4</v>
      </c>
      <c r="S771" s="1">
        <f>IFERROR(IF(Benchmark1[[#This Row],[Comparable '#3 Date Check]]="Pass",Benchmark1[[#This Row],[Comparable '#3 Return]]-Benchmark1[[#This Row],[Benchmark '#1 Return]],"-"),"-")</f>
        <v>-1.673806164059443E-3</v>
      </c>
    </row>
    <row r="772" spans="1:19">
      <c r="A772" s="103">
        <v>44404</v>
      </c>
      <c r="B772" s="104">
        <v>4401.463058201045</v>
      </c>
      <c r="C772" s="4">
        <f t="shared" si="12"/>
        <v>-4.7237247464959687E-3</v>
      </c>
      <c r="D772" s="1" t="str">
        <f>IF(COUNTIF(Target1[Target Dates],Benchmark1[[#This Row],[Benchmark '#1 Dates]])=1,"Pass","Fail")</f>
        <v>Pass</v>
      </c>
      <c r="E772" s="6">
        <f>IF(Benchmark1[[#This Row],[Target Date Check]]="Pass",INDEX(Target1[Target Price],MATCH(Benchmark1[[#This Row],[Benchmark '#1 Dates]],Target1[Target Dates],0)),"-")</f>
        <v>29.28</v>
      </c>
      <c r="F772" s="22">
        <f>IF(Benchmark1[[#This Row],[Target Date Check]]="Pass",INDEX(Target1[Target Return],MATCH(Benchmark1[[#This Row],[Benchmark '#1 Dates]],Target1[Target Dates],0)),"-")</f>
        <v>-3.3582739476137262E-2</v>
      </c>
      <c r="G772" s="1">
        <f>IFERROR(IF(Benchmark1[[#This Row],[Target Date Check]]="Pass",Benchmark1[[#This Row],[Target Return]]-Benchmark1[[#This Row],[Benchmark '#1 Return]],"-"),"-")</f>
        <v>-2.8859014729641294E-2</v>
      </c>
      <c r="H772" s="1" t="str">
        <f>IF(COUNTIF(Comp1[Comparable '#1 Dates],Benchmark1[[#This Row],[Benchmark '#1 Dates]])=1,"Pass","Fail")</f>
        <v>Pass</v>
      </c>
      <c r="I772" s="6">
        <f>IF(Benchmark1[[#This Row],[Comparable '#1 Date Check]]="Pass",INDEX(Comp1[Comparable '#1 Price],MATCH(Benchmark1[[#This Row],[Benchmark '#1 Dates]],Comp1[Comparable '#1 Dates],0)),"-")</f>
        <v>14.44</v>
      </c>
      <c r="J772" s="22">
        <f>IF(Benchmark1[[#This Row],[Comparable '#1 Date Check]]="Pass",INDEX(Comp1[Comparable '#1 Return],MATCH(Benchmark1[[#This Row],[Benchmark '#1 Dates]],Comp1[Comparable '#1 Dates],0)),"-")</f>
        <v>-3.4566228679108711E-3</v>
      </c>
      <c r="K772" s="1">
        <f>IFERROR(IF(Benchmark1[[#This Row],[Comparable '#1 Date Check]]="Pass",Benchmark1[[#This Row],[Comparable '#1 Return]]-Benchmark1[[#This Row],[Benchmark '#1 Return]],"-"),"-")</f>
        <v>1.2671018785850975E-3</v>
      </c>
      <c r="L772" s="1" t="str">
        <f>IF(COUNTIF(Comp2[Comparable '#2 Dates],Benchmark1[[#This Row],[Benchmark '#1 Dates]])=1,"Pass","Fail")</f>
        <v>Pass</v>
      </c>
      <c r="M772" s="6">
        <f>IF(Benchmark1[[#This Row],[Comparable '#2 Date Check]]="Pass",INDEX(Comp2[Comparable '#2 Price],MATCH(Benchmark1[[#This Row],[Benchmark '#1 Dates]],Comp2[Comparable '#2 Dates],0)),"-")</f>
        <v>35.22</v>
      </c>
      <c r="N772" s="22">
        <f>IF(Benchmark1[[#This Row],[Comparable '#2 Date Check]]="Pass",INDEX(Comp2[Comparable '#2 Return],MATCH(Benchmark1[[#This Row],[Benchmark '#1 Dates]],Comp2[Comparable '#2 Dates],0)),"-")</f>
        <v>-4.2499001493291515E-3</v>
      </c>
      <c r="O772" s="1">
        <f>IFERROR(IF(Benchmark1[[#This Row],[Comparable '#2 Date Check]]="Pass",Benchmark1[[#This Row],[Comparable '#2 Return]]-Benchmark1[[#This Row],[Benchmark '#1 Return]],"-"),"-")</f>
        <v>4.7382459716681716E-4</v>
      </c>
      <c r="P772" s="1" t="str">
        <f>IF(COUNTIF(Comp3[Comparable '#3 Dates],Benchmark1[[#This Row],[Benchmark '#1 Dates]])=1,"Pass","Fail")</f>
        <v>Pass</v>
      </c>
      <c r="Q772" s="6">
        <f>IF(Benchmark1[[#This Row],[Comparable '#3 Date Check]]="Pass",INDEX(Comp3[Comparable '#3 Price],MATCH(Benchmark1[[#This Row],[Benchmark '#1 Dates]],Comp3[Comparable '#3 Dates],0)),"-")</f>
        <v>72.27</v>
      </c>
      <c r="R772" s="22">
        <f>IF(Benchmark1[[#This Row],[Comparable '#3 Date Check]]="Pass",INDEX(Comp3[Comparable '#3 Return],MATCH(Benchmark1[[#This Row],[Benchmark '#1 Dates]],Comp3[Comparable '#3 Dates],0)),"-")</f>
        <v>1.9703005857563741E-2</v>
      </c>
      <c r="S772" s="1">
        <f>IFERROR(IF(Benchmark1[[#This Row],[Comparable '#3 Date Check]]="Pass",Benchmark1[[#This Row],[Comparable '#3 Return]]-Benchmark1[[#This Row],[Benchmark '#1 Return]],"-"),"-")</f>
        <v>2.4426730604059709E-2</v>
      </c>
    </row>
    <row r="773" spans="1:19">
      <c r="A773" s="103">
        <v>44405</v>
      </c>
      <c r="B773" s="104">
        <v>4400.6355067175245</v>
      </c>
      <c r="C773" s="4">
        <f t="shared" si="12"/>
        <v>-1.8803504183805133E-4</v>
      </c>
      <c r="D773" s="1" t="str">
        <f>IF(COUNTIF(Target1[Target Dates],Benchmark1[[#This Row],[Benchmark '#1 Dates]])=1,"Pass","Fail")</f>
        <v>Pass</v>
      </c>
      <c r="E773" s="6">
        <f>IF(Benchmark1[[#This Row],[Target Date Check]]="Pass",INDEX(Target1[Target Price],MATCH(Benchmark1[[#This Row],[Benchmark '#1 Dates]],Target1[Target Dates],0)),"-")</f>
        <v>30.17</v>
      </c>
      <c r="F773" s="22">
        <f>IF(Benchmark1[[#This Row],[Target Date Check]]="Pass",INDEX(Target1[Target Return],MATCH(Benchmark1[[#This Row],[Benchmark '#1 Dates]],Target1[Target Dates],0)),"-")</f>
        <v>2.9943364077859014E-2</v>
      </c>
      <c r="G773" s="1">
        <f>IFERROR(IF(Benchmark1[[#This Row],[Target Date Check]]="Pass",Benchmark1[[#This Row],[Target Return]]-Benchmark1[[#This Row],[Benchmark '#1 Return]],"-"),"-")</f>
        <v>3.0131399119697064E-2</v>
      </c>
      <c r="H773" s="1" t="str">
        <f>IF(COUNTIF(Comp1[Comparable '#1 Dates],Benchmark1[[#This Row],[Benchmark '#1 Dates]])=1,"Pass","Fail")</f>
        <v>Pass</v>
      </c>
      <c r="I773" s="6">
        <f>IF(Benchmark1[[#This Row],[Comparable '#1 Date Check]]="Pass",INDEX(Comp1[Comparable '#1 Price],MATCH(Benchmark1[[#This Row],[Benchmark '#1 Dates]],Comp1[Comparable '#1 Dates],0)),"-")</f>
        <v>14.74</v>
      </c>
      <c r="J773" s="22">
        <f>IF(Benchmark1[[#This Row],[Comparable '#1 Date Check]]="Pass",INDEX(Comp1[Comparable '#1 Return],MATCH(Benchmark1[[#This Row],[Benchmark '#1 Dates]],Comp1[Comparable '#1 Dates],0)),"-")</f>
        <v>2.0562753296510507E-2</v>
      </c>
      <c r="K773" s="1">
        <f>IFERROR(IF(Benchmark1[[#This Row],[Comparable '#1 Date Check]]="Pass",Benchmark1[[#This Row],[Comparable '#1 Return]]-Benchmark1[[#This Row],[Benchmark '#1 Return]],"-"),"-")</f>
        <v>2.0750788338348557E-2</v>
      </c>
      <c r="L773" s="1" t="str">
        <f>IF(COUNTIF(Comp2[Comparable '#2 Dates],Benchmark1[[#This Row],[Benchmark '#1 Dates]])=1,"Pass","Fail")</f>
        <v>Pass</v>
      </c>
      <c r="M773" s="6">
        <f>IF(Benchmark1[[#This Row],[Comparable '#2 Date Check]]="Pass",INDEX(Comp2[Comparable '#2 Price],MATCH(Benchmark1[[#This Row],[Benchmark '#1 Dates]],Comp2[Comparable '#2 Dates],0)),"-")</f>
        <v>36.479999999999997</v>
      </c>
      <c r="N773" s="22">
        <f>IF(Benchmark1[[#This Row],[Comparable '#2 Date Check]]="Pass",INDEX(Comp2[Comparable '#2 Return],MATCH(Benchmark1[[#This Row],[Benchmark '#1 Dates]],Comp2[Comparable '#2 Dates],0)),"-")</f>
        <v>3.5150062138070481E-2</v>
      </c>
      <c r="O773" s="1">
        <f>IFERROR(IF(Benchmark1[[#This Row],[Comparable '#2 Date Check]]="Pass",Benchmark1[[#This Row],[Comparable '#2 Return]]-Benchmark1[[#This Row],[Benchmark '#1 Return]],"-"),"-")</f>
        <v>3.5338097179908531E-2</v>
      </c>
      <c r="P773" s="1" t="str">
        <f>IF(COUNTIF(Comp3[Comparable '#3 Dates],Benchmark1[[#This Row],[Benchmark '#1 Dates]])=1,"Pass","Fail")</f>
        <v>Pass</v>
      </c>
      <c r="Q773" s="6">
        <f>IF(Benchmark1[[#This Row],[Comparable '#3 Date Check]]="Pass",INDEX(Comp3[Comparable '#3 Price],MATCH(Benchmark1[[#This Row],[Benchmark '#1 Dates]],Comp3[Comparable '#3 Dates],0)),"-")</f>
        <v>78.03</v>
      </c>
      <c r="R773" s="22">
        <f>IF(Benchmark1[[#This Row],[Comparable '#3 Date Check]]="Pass",INDEX(Comp3[Comparable '#3 Return],MATCH(Benchmark1[[#This Row],[Benchmark '#1 Dates]],Comp3[Comparable '#3 Dates],0)),"-")</f>
        <v>7.668426283378027E-2</v>
      </c>
      <c r="S773" s="1">
        <f>IFERROR(IF(Benchmark1[[#This Row],[Comparable '#3 Date Check]]="Pass",Benchmark1[[#This Row],[Comparable '#3 Return]]-Benchmark1[[#This Row],[Benchmark '#1 Return]],"-"),"-")</f>
        <v>7.687229787561832E-2</v>
      </c>
    </row>
    <row r="774" spans="1:19">
      <c r="A774" s="103">
        <v>44406</v>
      </c>
      <c r="B774" s="104">
        <v>4419.1487646453297</v>
      </c>
      <c r="C774" s="4">
        <f t="shared" si="12"/>
        <v>4.1981265183828826E-3</v>
      </c>
      <c r="D774" s="1" t="str">
        <f>IF(COUNTIF(Target1[Target Dates],Benchmark1[[#This Row],[Benchmark '#1 Dates]])=1,"Pass","Fail")</f>
        <v>Pass</v>
      </c>
      <c r="E774" s="6">
        <f>IF(Benchmark1[[#This Row],[Target Date Check]]="Pass",INDEX(Target1[Target Price],MATCH(Benchmark1[[#This Row],[Benchmark '#1 Dates]],Target1[Target Dates],0)),"-")</f>
        <v>30.55</v>
      </c>
      <c r="F774" s="22">
        <f>IF(Benchmark1[[#This Row],[Target Date Check]]="Pass",INDEX(Target1[Target Return],MATCH(Benchmark1[[#This Row],[Benchmark '#1 Dates]],Target1[Target Dates],0)),"-")</f>
        <v>1.2516632446634538E-2</v>
      </c>
      <c r="G774" s="1">
        <f>IFERROR(IF(Benchmark1[[#This Row],[Target Date Check]]="Pass",Benchmark1[[#This Row],[Target Return]]-Benchmark1[[#This Row],[Benchmark '#1 Return]],"-"),"-")</f>
        <v>8.3185059282516564E-3</v>
      </c>
      <c r="H774" s="1" t="str">
        <f>IF(COUNTIF(Comp1[Comparable '#1 Dates],Benchmark1[[#This Row],[Benchmark '#1 Dates]])=1,"Pass","Fail")</f>
        <v>Pass</v>
      </c>
      <c r="I774" s="6">
        <f>IF(Benchmark1[[#This Row],[Comparable '#1 Date Check]]="Pass",INDEX(Comp1[Comparable '#1 Price],MATCH(Benchmark1[[#This Row],[Benchmark '#1 Dates]],Comp1[Comparable '#1 Dates],0)),"-")</f>
        <v>15.02</v>
      </c>
      <c r="J774" s="22">
        <f>IF(Benchmark1[[#This Row],[Comparable '#1 Date Check]]="Pass",INDEX(Comp1[Comparable '#1 Return],MATCH(Benchmark1[[#This Row],[Benchmark '#1 Dates]],Comp1[Comparable '#1 Dates],0)),"-")</f>
        <v>1.8817759574798056E-2</v>
      </c>
      <c r="K774" s="1">
        <f>IFERROR(IF(Benchmark1[[#This Row],[Comparable '#1 Date Check]]="Pass",Benchmark1[[#This Row],[Comparable '#1 Return]]-Benchmark1[[#This Row],[Benchmark '#1 Return]],"-"),"-")</f>
        <v>1.4619633056415175E-2</v>
      </c>
      <c r="L774" s="1" t="str">
        <f>IF(COUNTIF(Comp2[Comparable '#2 Dates],Benchmark1[[#This Row],[Benchmark '#1 Dates]])=1,"Pass","Fail")</f>
        <v>Pass</v>
      </c>
      <c r="M774" s="6">
        <f>IF(Benchmark1[[#This Row],[Comparable '#2 Date Check]]="Pass",INDEX(Comp2[Comparable '#2 Price],MATCH(Benchmark1[[#This Row],[Benchmark '#1 Dates]],Comp2[Comparable '#2 Dates],0)),"-")</f>
        <v>36.369999999999997</v>
      </c>
      <c r="N774" s="22">
        <f>IF(Benchmark1[[#This Row],[Comparable '#2 Date Check]]="Pass",INDEX(Comp2[Comparable '#2 Return],MATCH(Benchmark1[[#This Row],[Benchmark '#1 Dates]],Comp2[Comparable '#2 Dates],0)),"-")</f>
        <v>-3.019906207232948E-3</v>
      </c>
      <c r="O774" s="1">
        <f>IFERROR(IF(Benchmark1[[#This Row],[Comparable '#2 Date Check]]="Pass",Benchmark1[[#This Row],[Comparable '#2 Return]]-Benchmark1[[#This Row],[Benchmark '#1 Return]],"-"),"-")</f>
        <v>-7.2180327256158305E-3</v>
      </c>
      <c r="P774" s="1" t="str">
        <f>IF(COUNTIF(Comp3[Comparable '#3 Dates],Benchmark1[[#This Row],[Benchmark '#1 Dates]])=1,"Pass","Fail")</f>
        <v>Pass</v>
      </c>
      <c r="Q774" s="6">
        <f>IF(Benchmark1[[#This Row],[Comparable '#3 Date Check]]="Pass",INDEX(Comp3[Comparable '#3 Price],MATCH(Benchmark1[[#This Row],[Benchmark '#1 Dates]],Comp3[Comparable '#3 Dates],0)),"-")</f>
        <v>80.31</v>
      </c>
      <c r="R774" s="22">
        <f>IF(Benchmark1[[#This Row],[Comparable '#3 Date Check]]="Pass",INDEX(Comp3[Comparable '#3 Return],MATCH(Benchmark1[[#This Row],[Benchmark '#1 Dates]],Comp3[Comparable '#3 Dates],0)),"-")</f>
        <v>2.8800778071701016E-2</v>
      </c>
      <c r="S774" s="1">
        <f>IFERROR(IF(Benchmark1[[#This Row],[Comparable '#3 Date Check]]="Pass",Benchmark1[[#This Row],[Comparable '#3 Return]]-Benchmark1[[#This Row],[Benchmark '#1 Return]],"-"),"-")</f>
        <v>2.4602651553318134E-2</v>
      </c>
    </row>
    <row r="775" spans="1:19">
      <c r="A775" s="103">
        <v>44407</v>
      </c>
      <c r="B775" s="104">
        <v>4395.2639721631767</v>
      </c>
      <c r="C775" s="4">
        <f t="shared" si="12"/>
        <v>-5.4194990988665134E-3</v>
      </c>
      <c r="D775" s="1" t="str">
        <f>IF(COUNTIF(Target1[Target Dates],Benchmark1[[#This Row],[Benchmark '#1 Dates]])=1,"Pass","Fail")</f>
        <v>Pass</v>
      </c>
      <c r="E775" s="6">
        <f>IF(Benchmark1[[#This Row],[Target Date Check]]="Pass",INDEX(Target1[Target Price],MATCH(Benchmark1[[#This Row],[Benchmark '#1 Dates]],Target1[Target Dates],0)),"-")</f>
        <v>30.66</v>
      </c>
      <c r="F775" s="22">
        <f>IF(Benchmark1[[#This Row],[Target Date Check]]="Pass",INDEX(Target1[Target Return],MATCH(Benchmark1[[#This Row],[Benchmark '#1 Dates]],Target1[Target Dates],0)),"-")</f>
        <v>3.5941878260637343E-3</v>
      </c>
      <c r="G775" s="1">
        <f>IFERROR(IF(Benchmark1[[#This Row],[Target Date Check]]="Pass",Benchmark1[[#This Row],[Target Return]]-Benchmark1[[#This Row],[Benchmark '#1 Return]],"-"),"-")</f>
        <v>9.0136869249302469E-3</v>
      </c>
      <c r="H775" s="1" t="str">
        <f>IF(COUNTIF(Comp1[Comparable '#1 Dates],Benchmark1[[#This Row],[Benchmark '#1 Dates]])=1,"Pass","Fail")</f>
        <v>Pass</v>
      </c>
      <c r="I775" s="6">
        <f>IF(Benchmark1[[#This Row],[Comparable '#1 Date Check]]="Pass",INDEX(Comp1[Comparable '#1 Price],MATCH(Benchmark1[[#This Row],[Benchmark '#1 Dates]],Comp1[Comparable '#1 Dates],0)),"-")</f>
        <v>14.81</v>
      </c>
      <c r="J775" s="22">
        <f>IF(Benchmark1[[#This Row],[Comparable '#1 Date Check]]="Pass",INDEX(Comp1[Comparable '#1 Return],MATCH(Benchmark1[[#This Row],[Benchmark '#1 Dates]],Comp1[Comparable '#1 Dates],0)),"-")</f>
        <v>-1.408001805628124E-2</v>
      </c>
      <c r="K775" s="1">
        <f>IFERROR(IF(Benchmark1[[#This Row],[Comparable '#1 Date Check]]="Pass",Benchmark1[[#This Row],[Comparable '#1 Return]]-Benchmark1[[#This Row],[Benchmark '#1 Return]],"-"),"-")</f>
        <v>-8.6605189574147264E-3</v>
      </c>
      <c r="L775" s="1" t="str">
        <f>IF(COUNTIF(Comp2[Comparable '#2 Dates],Benchmark1[[#This Row],[Benchmark '#1 Dates]])=1,"Pass","Fail")</f>
        <v>Pass</v>
      </c>
      <c r="M775" s="6">
        <f>IF(Benchmark1[[#This Row],[Comparable '#2 Date Check]]="Pass",INDEX(Comp2[Comparable '#2 Price],MATCH(Benchmark1[[#This Row],[Benchmark '#1 Dates]],Comp2[Comparable '#2 Dates],0)),"-")</f>
        <v>36.340000000000003</v>
      </c>
      <c r="N775" s="22">
        <f>IF(Benchmark1[[#This Row],[Comparable '#2 Date Check]]="Pass",INDEX(Comp2[Comparable '#2 Return],MATCH(Benchmark1[[#This Row],[Benchmark '#1 Dates]],Comp2[Comparable '#2 Dates],0)),"-")</f>
        <v>-8.2519603087236081E-4</v>
      </c>
      <c r="O775" s="1">
        <f>IFERROR(IF(Benchmark1[[#This Row],[Comparable '#2 Date Check]]="Pass",Benchmark1[[#This Row],[Comparable '#2 Return]]-Benchmark1[[#This Row],[Benchmark '#1 Return]],"-"),"-")</f>
        <v>4.5943030679941529E-3</v>
      </c>
      <c r="P775" s="1" t="str">
        <f>IF(COUNTIF(Comp3[Comparable '#3 Dates],Benchmark1[[#This Row],[Benchmark '#1 Dates]])=1,"Pass","Fail")</f>
        <v>Pass</v>
      </c>
      <c r="Q775" s="6">
        <f>IF(Benchmark1[[#This Row],[Comparable '#3 Date Check]]="Pass",INDEX(Comp3[Comparable '#3 Price],MATCH(Benchmark1[[#This Row],[Benchmark '#1 Dates]],Comp3[Comparable '#3 Dates],0)),"-")</f>
        <v>79.290000000000006</v>
      </c>
      <c r="R775" s="22">
        <f>IF(Benchmark1[[#This Row],[Comparable '#3 Date Check]]="Pass",INDEX(Comp3[Comparable '#3 Return],MATCH(Benchmark1[[#This Row],[Benchmark '#1 Dates]],Comp3[Comparable '#3 Dates],0)),"-")</f>
        <v>-1.2782128916063255E-2</v>
      </c>
      <c r="S775" s="1">
        <f>IFERROR(IF(Benchmark1[[#This Row],[Comparable '#3 Date Check]]="Pass",Benchmark1[[#This Row],[Comparable '#3 Return]]-Benchmark1[[#This Row],[Benchmark '#1 Return]],"-"),"-")</f>
        <v>-7.3626298171967416E-3</v>
      </c>
    </row>
    <row r="776" spans="1:19">
      <c r="A776" s="103">
        <v>44410</v>
      </c>
      <c r="B776" s="104">
        <v>4387.1559456527375</v>
      </c>
      <c r="C776" s="4">
        <f t="shared" si="12"/>
        <v>-1.846422487162795E-3</v>
      </c>
      <c r="D776" s="1" t="str">
        <f>IF(COUNTIF(Target1[Target Dates],Benchmark1[[#This Row],[Benchmark '#1 Dates]])=1,"Pass","Fail")</f>
        <v>Pass</v>
      </c>
      <c r="E776" s="6">
        <f>IF(Benchmark1[[#This Row],[Target Date Check]]="Pass",INDEX(Target1[Target Price],MATCH(Benchmark1[[#This Row],[Benchmark '#1 Dates]],Target1[Target Dates],0)),"-")</f>
        <v>30.71</v>
      </c>
      <c r="F776" s="22">
        <f>IF(Benchmark1[[#This Row],[Target Date Check]]="Pass",INDEX(Target1[Target Return],MATCH(Benchmark1[[#This Row],[Benchmark '#1 Dates]],Target1[Target Dates],0)),"-")</f>
        <v>1.6294610090629605E-3</v>
      </c>
      <c r="G776" s="1">
        <f>IFERROR(IF(Benchmark1[[#This Row],[Target Date Check]]="Pass",Benchmark1[[#This Row],[Target Return]]-Benchmark1[[#This Row],[Benchmark '#1 Return]],"-"),"-")</f>
        <v>3.4758834962257557E-3</v>
      </c>
      <c r="H776" s="1" t="str">
        <f>IF(COUNTIF(Comp1[Comparable '#1 Dates],Benchmark1[[#This Row],[Benchmark '#1 Dates]])=1,"Pass","Fail")</f>
        <v>Pass</v>
      </c>
      <c r="I776" s="6">
        <f>IF(Benchmark1[[#This Row],[Comparable '#1 Date Check]]="Pass",INDEX(Comp1[Comparable '#1 Price],MATCH(Benchmark1[[#This Row],[Benchmark '#1 Dates]],Comp1[Comparable '#1 Dates],0)),"-")</f>
        <v>14.9</v>
      </c>
      <c r="J776" s="22">
        <f>IF(Benchmark1[[#This Row],[Comparable '#1 Date Check]]="Pass",INDEX(Comp1[Comparable '#1 Return],MATCH(Benchmark1[[#This Row],[Benchmark '#1 Dates]],Comp1[Comparable '#1 Dates],0)),"-")</f>
        <v>6.0585846717060932E-3</v>
      </c>
      <c r="K776" s="1">
        <f>IFERROR(IF(Benchmark1[[#This Row],[Comparable '#1 Date Check]]="Pass",Benchmark1[[#This Row],[Comparable '#1 Return]]-Benchmark1[[#This Row],[Benchmark '#1 Return]],"-"),"-")</f>
        <v>7.9050071588688889E-3</v>
      </c>
      <c r="L776" s="1" t="str">
        <f>IF(COUNTIF(Comp2[Comparable '#2 Dates],Benchmark1[[#This Row],[Benchmark '#1 Dates]])=1,"Pass","Fail")</f>
        <v>Pass</v>
      </c>
      <c r="M776" s="6">
        <f>IF(Benchmark1[[#This Row],[Comparable '#2 Date Check]]="Pass",INDEX(Comp2[Comparable '#2 Price],MATCH(Benchmark1[[#This Row],[Benchmark '#1 Dates]],Comp2[Comparable '#2 Dates],0)),"-")</f>
        <v>36.64</v>
      </c>
      <c r="N776" s="22">
        <f>IF(Benchmark1[[#This Row],[Comparable '#2 Date Check]]="Pass",INDEX(Comp2[Comparable '#2 Return],MATCH(Benchmark1[[#This Row],[Benchmark '#1 Dates]],Comp2[Comparable '#2 Dates],0)),"-")</f>
        <v>8.221476837904378E-3</v>
      </c>
      <c r="O776" s="1">
        <f>IFERROR(IF(Benchmark1[[#This Row],[Comparable '#2 Date Check]]="Pass",Benchmark1[[#This Row],[Comparable '#2 Return]]-Benchmark1[[#This Row],[Benchmark '#1 Return]],"-"),"-")</f>
        <v>1.0067899325067173E-2</v>
      </c>
      <c r="P776" s="1" t="str">
        <f>IF(COUNTIF(Comp3[Comparable '#3 Dates],Benchmark1[[#This Row],[Benchmark '#1 Dates]])=1,"Pass","Fail")</f>
        <v>Pass</v>
      </c>
      <c r="Q776" s="6">
        <f>IF(Benchmark1[[#This Row],[Comparable '#3 Date Check]]="Pass",INDEX(Comp3[Comparable '#3 Price],MATCH(Benchmark1[[#This Row],[Benchmark '#1 Dates]],Comp3[Comparable '#3 Dates],0)),"-")</f>
        <v>78.959999999999994</v>
      </c>
      <c r="R776" s="22">
        <f>IF(Benchmark1[[#This Row],[Comparable '#3 Date Check]]="Pass",INDEX(Comp3[Comparable '#3 Return],MATCH(Benchmark1[[#This Row],[Benchmark '#1 Dates]],Comp3[Comparable '#3 Dates],0)),"-")</f>
        <v>-4.1706221590815931E-3</v>
      </c>
      <c r="S776" s="1">
        <f>IFERROR(IF(Benchmark1[[#This Row],[Comparable '#3 Date Check]]="Pass",Benchmark1[[#This Row],[Comparable '#3 Return]]-Benchmark1[[#This Row],[Benchmark '#1 Return]],"-"),"-")</f>
        <v>-2.3241996719187983E-3</v>
      </c>
    </row>
    <row r="777" spans="1:19">
      <c r="A777" s="103">
        <v>44411</v>
      </c>
      <c r="B777" s="104">
        <v>4423.1536237890623</v>
      </c>
      <c r="C777" s="4">
        <f t="shared" si="12"/>
        <v>8.1717624500150104E-3</v>
      </c>
      <c r="D777" s="1" t="str">
        <f>IF(COUNTIF(Target1[Target Dates],Benchmark1[[#This Row],[Benchmark '#1 Dates]])=1,"Pass","Fail")</f>
        <v>Pass</v>
      </c>
      <c r="E777" s="6">
        <f>IF(Benchmark1[[#This Row],[Target Date Check]]="Pass",INDEX(Target1[Target Price],MATCH(Benchmark1[[#This Row],[Benchmark '#1 Dates]],Target1[Target Dates],0)),"-")</f>
        <v>31.26</v>
      </c>
      <c r="F777" s="22">
        <f>IF(Benchmark1[[#This Row],[Target Date Check]]="Pass",INDEX(Target1[Target Return],MATCH(Benchmark1[[#This Row],[Benchmark '#1 Dates]],Target1[Target Dates],0)),"-")</f>
        <v>1.7750990540599657E-2</v>
      </c>
      <c r="G777" s="1">
        <f>IFERROR(IF(Benchmark1[[#This Row],[Target Date Check]]="Pass",Benchmark1[[#This Row],[Target Return]]-Benchmark1[[#This Row],[Benchmark '#1 Return]],"-"),"-")</f>
        <v>9.5792280905846461E-3</v>
      </c>
      <c r="H777" s="1" t="str">
        <f>IF(COUNTIF(Comp1[Comparable '#1 Dates],Benchmark1[[#This Row],[Benchmark '#1 Dates]])=1,"Pass","Fail")</f>
        <v>Pass</v>
      </c>
      <c r="I777" s="6">
        <f>IF(Benchmark1[[#This Row],[Comparable '#1 Date Check]]="Pass",INDEX(Comp1[Comparable '#1 Price],MATCH(Benchmark1[[#This Row],[Benchmark '#1 Dates]],Comp1[Comparable '#1 Dates],0)),"-")</f>
        <v>15.13</v>
      </c>
      <c r="J777" s="22">
        <f>IF(Benchmark1[[#This Row],[Comparable '#1 Date Check]]="Pass",INDEX(Comp1[Comparable '#1 Return],MATCH(Benchmark1[[#This Row],[Benchmark '#1 Dates]],Comp1[Comparable '#1 Dates],0)),"-")</f>
        <v>1.5318314848851149E-2</v>
      </c>
      <c r="K777" s="1">
        <f>IFERROR(IF(Benchmark1[[#This Row],[Comparable '#1 Date Check]]="Pass",Benchmark1[[#This Row],[Comparable '#1 Return]]-Benchmark1[[#This Row],[Benchmark '#1 Return]],"-"),"-")</f>
        <v>7.1465523988361382E-3</v>
      </c>
      <c r="L777" s="1" t="str">
        <f>IF(COUNTIF(Comp2[Comparable '#2 Dates],Benchmark1[[#This Row],[Benchmark '#1 Dates]])=1,"Pass","Fail")</f>
        <v>Pass</v>
      </c>
      <c r="M777" s="6">
        <f>IF(Benchmark1[[#This Row],[Comparable '#2 Date Check]]="Pass",INDEX(Comp2[Comparable '#2 Price],MATCH(Benchmark1[[#This Row],[Benchmark '#1 Dates]],Comp2[Comparable '#2 Dates],0)),"-")</f>
        <v>37.56</v>
      </c>
      <c r="N777" s="22">
        <f>IF(Benchmark1[[#This Row],[Comparable '#2 Date Check]]="Pass",INDEX(Comp2[Comparable '#2 Return],MATCH(Benchmark1[[#This Row],[Benchmark '#1 Dates]],Comp2[Comparable '#2 Dates],0)),"-")</f>
        <v>2.4799114534132725E-2</v>
      </c>
      <c r="O777" s="1">
        <f>IFERROR(IF(Benchmark1[[#This Row],[Comparable '#2 Date Check]]="Pass",Benchmark1[[#This Row],[Comparable '#2 Return]]-Benchmark1[[#This Row],[Benchmark '#1 Return]],"-"),"-")</f>
        <v>1.6627352084117714E-2</v>
      </c>
      <c r="P777" s="1" t="str">
        <f>IF(COUNTIF(Comp3[Comparable '#3 Dates],Benchmark1[[#This Row],[Benchmark '#1 Dates]])=1,"Pass","Fail")</f>
        <v>Pass</v>
      </c>
      <c r="Q777" s="6">
        <f>IF(Benchmark1[[#This Row],[Comparable '#3 Date Check]]="Pass",INDEX(Comp3[Comparable '#3 Price],MATCH(Benchmark1[[#This Row],[Benchmark '#1 Dates]],Comp3[Comparable '#3 Dates],0)),"-")</f>
        <v>79</v>
      </c>
      <c r="R777" s="22">
        <f>IF(Benchmark1[[#This Row],[Comparable '#3 Date Check]]="Pass",INDEX(Comp3[Comparable '#3 Return],MATCH(Benchmark1[[#This Row],[Benchmark '#1 Dates]],Comp3[Comparable '#3 Dates],0)),"-")</f>
        <v>5.064573417954385E-4</v>
      </c>
      <c r="S777" s="1">
        <f>IFERROR(IF(Benchmark1[[#This Row],[Comparable '#3 Date Check]]="Pass",Benchmark1[[#This Row],[Comparable '#3 Return]]-Benchmark1[[#This Row],[Benchmark '#1 Return]],"-"),"-")</f>
        <v>-7.6653051082195721E-3</v>
      </c>
    </row>
    <row r="778" spans="1:19">
      <c r="A778" s="103">
        <v>44412</v>
      </c>
      <c r="B778" s="104">
        <v>4402.6610484659941</v>
      </c>
      <c r="C778" s="4">
        <f t="shared" si="12"/>
        <v>-4.6437893634827974E-3</v>
      </c>
      <c r="D778" s="1" t="str">
        <f>IF(COUNTIF(Target1[Target Dates],Benchmark1[[#This Row],[Benchmark '#1 Dates]])=1,"Pass","Fail")</f>
        <v>Pass</v>
      </c>
      <c r="E778" s="6">
        <f>IF(Benchmark1[[#This Row],[Target Date Check]]="Pass",INDEX(Target1[Target Price],MATCH(Benchmark1[[#This Row],[Benchmark '#1 Dates]],Target1[Target Dates],0)),"-")</f>
        <v>30.27</v>
      </c>
      <c r="F778" s="22">
        <f>IF(Benchmark1[[#This Row],[Target Date Check]]="Pass",INDEX(Target1[Target Return],MATCH(Benchmark1[[#This Row],[Benchmark '#1 Dates]],Target1[Target Dates],0)),"-")</f>
        <v>-3.2182201959703373E-2</v>
      </c>
      <c r="G778" s="1">
        <f>IFERROR(IF(Benchmark1[[#This Row],[Target Date Check]]="Pass",Benchmark1[[#This Row],[Target Return]]-Benchmark1[[#This Row],[Benchmark '#1 Return]],"-"),"-")</f>
        <v>-2.7538412596220575E-2</v>
      </c>
      <c r="H778" s="1" t="str">
        <f>IF(COUNTIF(Comp1[Comparable '#1 Dates],Benchmark1[[#This Row],[Benchmark '#1 Dates]])=1,"Pass","Fail")</f>
        <v>Pass</v>
      </c>
      <c r="I778" s="6">
        <f>IF(Benchmark1[[#This Row],[Comparable '#1 Date Check]]="Pass",INDEX(Comp1[Comparable '#1 Price],MATCH(Benchmark1[[#This Row],[Benchmark '#1 Dates]],Comp1[Comparable '#1 Dates],0)),"-")</f>
        <v>15</v>
      </c>
      <c r="J778" s="22">
        <f>IF(Benchmark1[[#This Row],[Comparable '#1 Date Check]]="Pass",INDEX(Comp1[Comparable '#1 Return],MATCH(Benchmark1[[#This Row],[Benchmark '#1 Dates]],Comp1[Comparable '#1 Dates],0)),"-")</f>
        <v>-8.6293266980545253E-3</v>
      </c>
      <c r="K778" s="1">
        <f>IFERROR(IF(Benchmark1[[#This Row],[Comparable '#1 Date Check]]="Pass",Benchmark1[[#This Row],[Comparable '#1 Return]]-Benchmark1[[#This Row],[Benchmark '#1 Return]],"-"),"-")</f>
        <v>-3.9855373345717279E-3</v>
      </c>
      <c r="L778" s="1" t="str">
        <f>IF(COUNTIF(Comp2[Comparable '#2 Dates],Benchmark1[[#This Row],[Benchmark '#1 Dates]])=1,"Pass","Fail")</f>
        <v>Pass</v>
      </c>
      <c r="M778" s="6">
        <f>IF(Benchmark1[[#This Row],[Comparable '#2 Date Check]]="Pass",INDEX(Comp2[Comparable '#2 Price],MATCH(Benchmark1[[#This Row],[Benchmark '#1 Dates]],Comp2[Comparable '#2 Dates],0)),"-")</f>
        <v>36.979999999999997</v>
      </c>
      <c r="N778" s="22">
        <f>IF(Benchmark1[[#This Row],[Comparable '#2 Date Check]]="Pass",INDEX(Comp2[Comparable '#2 Return],MATCH(Benchmark1[[#This Row],[Benchmark '#1 Dates]],Comp2[Comparable '#2 Dates],0)),"-")</f>
        <v>-1.5562428381083555E-2</v>
      </c>
      <c r="O778" s="1">
        <f>IFERROR(IF(Benchmark1[[#This Row],[Comparable '#2 Date Check]]="Pass",Benchmark1[[#This Row],[Comparable '#2 Return]]-Benchmark1[[#This Row],[Benchmark '#1 Return]],"-"),"-")</f>
        <v>-1.0918639017600758E-2</v>
      </c>
      <c r="P778" s="1" t="str">
        <f>IF(COUNTIF(Comp3[Comparable '#3 Dates],Benchmark1[[#This Row],[Benchmark '#1 Dates]])=1,"Pass","Fail")</f>
        <v>Pass</v>
      </c>
      <c r="Q778" s="6">
        <f>IF(Benchmark1[[#This Row],[Comparable '#3 Date Check]]="Pass",INDEX(Comp3[Comparable '#3 Price],MATCH(Benchmark1[[#This Row],[Benchmark '#1 Dates]],Comp3[Comparable '#3 Dates],0)),"-")</f>
        <v>78.489999999999995</v>
      </c>
      <c r="R778" s="22">
        <f>IF(Benchmark1[[#This Row],[Comparable '#3 Date Check]]="Pass",INDEX(Comp3[Comparable '#3 Return],MATCH(Benchmark1[[#This Row],[Benchmark '#1 Dates]],Comp3[Comparable '#3 Dates],0)),"-")</f>
        <v>-6.4766243282992474E-3</v>
      </c>
      <c r="S778" s="1">
        <f>IFERROR(IF(Benchmark1[[#This Row],[Comparable '#3 Date Check]]="Pass",Benchmark1[[#This Row],[Comparable '#3 Return]]-Benchmark1[[#This Row],[Benchmark '#1 Return]],"-"),"-")</f>
        <v>-1.83283496481645E-3</v>
      </c>
    </row>
    <row r="779" spans="1:19">
      <c r="A779" s="103">
        <v>44413</v>
      </c>
      <c r="B779" s="104">
        <v>4429.1029887409068</v>
      </c>
      <c r="C779" s="4">
        <f t="shared" si="12"/>
        <v>5.9879360840296427E-3</v>
      </c>
      <c r="D779" s="1" t="str">
        <f>IF(COUNTIF(Target1[Target Dates],Benchmark1[[#This Row],[Benchmark '#1 Dates]])=1,"Pass","Fail")</f>
        <v>Pass</v>
      </c>
      <c r="E779" s="6">
        <f>IF(Benchmark1[[#This Row],[Target Date Check]]="Pass",INDEX(Target1[Target Price],MATCH(Benchmark1[[#This Row],[Benchmark '#1 Dates]],Target1[Target Dates],0)),"-")</f>
        <v>30.42</v>
      </c>
      <c r="F779" s="22">
        <f>IF(Benchmark1[[#This Row],[Target Date Check]]="Pass",INDEX(Target1[Target Return],MATCH(Benchmark1[[#This Row],[Benchmark '#1 Dates]],Target1[Target Dates],0)),"-")</f>
        <v>4.9431637975195092E-3</v>
      </c>
      <c r="G779" s="1">
        <f>IFERROR(IF(Benchmark1[[#This Row],[Target Date Check]]="Pass",Benchmark1[[#This Row],[Target Return]]-Benchmark1[[#This Row],[Benchmark '#1 Return]],"-"),"-")</f>
        <v>-1.0447722865101336E-3</v>
      </c>
      <c r="H779" s="1" t="str">
        <f>IF(COUNTIF(Comp1[Comparable '#1 Dates],Benchmark1[[#This Row],[Benchmark '#1 Dates]])=1,"Pass","Fail")</f>
        <v>Pass</v>
      </c>
      <c r="I779" s="6">
        <f>IF(Benchmark1[[#This Row],[Comparable '#1 Date Check]]="Pass",INDEX(Comp1[Comparable '#1 Price],MATCH(Benchmark1[[#This Row],[Benchmark '#1 Dates]],Comp1[Comparable '#1 Dates],0)),"-")</f>
        <v>15.45</v>
      </c>
      <c r="J779" s="22">
        <f>IF(Benchmark1[[#This Row],[Comparable '#1 Date Check]]="Pass",INDEX(Comp1[Comparable '#1 Return],MATCH(Benchmark1[[#This Row],[Benchmark '#1 Dates]],Comp1[Comparable '#1 Dates],0)),"-")</f>
        <v>2.9558802241544429E-2</v>
      </c>
      <c r="K779" s="1">
        <f>IFERROR(IF(Benchmark1[[#This Row],[Comparable '#1 Date Check]]="Pass",Benchmark1[[#This Row],[Comparable '#1 Return]]-Benchmark1[[#This Row],[Benchmark '#1 Return]],"-"),"-")</f>
        <v>2.3570866157514785E-2</v>
      </c>
      <c r="L779" s="1" t="str">
        <f>IF(COUNTIF(Comp2[Comparable '#2 Dates],Benchmark1[[#This Row],[Benchmark '#1 Dates]])=1,"Pass","Fail")</f>
        <v>Pass</v>
      </c>
      <c r="M779" s="6">
        <f>IF(Benchmark1[[#This Row],[Comparable '#2 Date Check]]="Pass",INDEX(Comp2[Comparable '#2 Price],MATCH(Benchmark1[[#This Row],[Benchmark '#1 Dates]],Comp2[Comparable '#2 Dates],0)),"-")</f>
        <v>37.33</v>
      </c>
      <c r="N779" s="22">
        <f>IF(Benchmark1[[#This Row],[Comparable '#2 Date Check]]="Pass",INDEX(Comp2[Comparable '#2 Return],MATCH(Benchmark1[[#This Row],[Benchmark '#1 Dates]],Comp2[Comparable '#2 Dates],0)),"-")</f>
        <v>9.4200669675136191E-3</v>
      </c>
      <c r="O779" s="1">
        <f>IFERROR(IF(Benchmark1[[#This Row],[Comparable '#2 Date Check]]="Pass",Benchmark1[[#This Row],[Comparable '#2 Return]]-Benchmark1[[#This Row],[Benchmark '#1 Return]],"-"),"-")</f>
        <v>3.4321308834839763E-3</v>
      </c>
      <c r="P779" s="1" t="str">
        <f>IF(COUNTIF(Comp3[Comparable '#3 Dates],Benchmark1[[#This Row],[Benchmark '#1 Dates]])=1,"Pass","Fail")</f>
        <v>Pass</v>
      </c>
      <c r="Q779" s="6">
        <f>IF(Benchmark1[[#This Row],[Comparable '#3 Date Check]]="Pass",INDEX(Comp3[Comparable '#3 Price],MATCH(Benchmark1[[#This Row],[Benchmark '#1 Dates]],Comp3[Comparable '#3 Dates],0)),"-")</f>
        <v>78.97</v>
      </c>
      <c r="R779" s="22">
        <f>IF(Benchmark1[[#This Row],[Comparable '#3 Date Check]]="Pass",INDEX(Comp3[Comparable '#3 Return],MATCH(Benchmark1[[#This Row],[Benchmark '#1 Dates]],Comp3[Comparable '#3 Dates],0)),"-")</f>
        <v>6.0968053707672306E-3</v>
      </c>
      <c r="S779" s="1">
        <f>IFERROR(IF(Benchmark1[[#This Row],[Comparable '#3 Date Check]]="Pass",Benchmark1[[#This Row],[Comparable '#3 Return]]-Benchmark1[[#This Row],[Benchmark '#1 Return]],"-"),"-")</f>
        <v>1.0886928673758782E-4</v>
      </c>
    </row>
    <row r="780" spans="1:19">
      <c r="A780" s="103">
        <v>44414</v>
      </c>
      <c r="B780" s="104">
        <v>4436.5177567441024</v>
      </c>
      <c r="C780" s="4">
        <f t="shared" si="12"/>
        <v>1.6727017644661316E-3</v>
      </c>
      <c r="D780" s="1" t="str">
        <f>IF(COUNTIF(Target1[Target Dates],Benchmark1[[#This Row],[Benchmark '#1 Dates]])=1,"Pass","Fail")</f>
        <v>Pass</v>
      </c>
      <c r="E780" s="6">
        <f>IF(Benchmark1[[#This Row],[Target Date Check]]="Pass",INDEX(Target1[Target Price],MATCH(Benchmark1[[#This Row],[Benchmark '#1 Dates]],Target1[Target Dates],0)),"-")</f>
        <v>30.03</v>
      </c>
      <c r="F780" s="22">
        <f>IF(Benchmark1[[#This Row],[Target Date Check]]="Pass",INDEX(Target1[Target Return],MATCH(Benchmark1[[#This Row],[Benchmark '#1 Dates]],Target1[Target Dates],0)),"-")</f>
        <v>-1.2903404835907954E-2</v>
      </c>
      <c r="G780" s="1">
        <f>IFERROR(IF(Benchmark1[[#This Row],[Target Date Check]]="Pass",Benchmark1[[#This Row],[Target Return]]-Benchmark1[[#This Row],[Benchmark '#1 Return]],"-"),"-")</f>
        <v>-1.4576106600374086E-2</v>
      </c>
      <c r="H780" s="1" t="str">
        <f>IF(COUNTIF(Comp1[Comparable '#1 Dates],Benchmark1[[#This Row],[Benchmark '#1 Dates]])=1,"Pass","Fail")</f>
        <v>Pass</v>
      </c>
      <c r="I780" s="6">
        <f>IF(Benchmark1[[#This Row],[Comparable '#1 Date Check]]="Pass",INDEX(Comp1[Comparable '#1 Price],MATCH(Benchmark1[[#This Row],[Benchmark '#1 Dates]],Comp1[Comparable '#1 Dates],0)),"-")</f>
        <v>15.62</v>
      </c>
      <c r="J780" s="22">
        <f>IF(Benchmark1[[#This Row],[Comparable '#1 Date Check]]="Pass",INDEX(Comp1[Comparable '#1 Return],MATCH(Benchmark1[[#This Row],[Benchmark '#1 Dates]],Comp1[Comparable '#1 Dates],0)),"-")</f>
        <v>1.0943141067785418E-2</v>
      </c>
      <c r="K780" s="1">
        <f>IFERROR(IF(Benchmark1[[#This Row],[Comparable '#1 Date Check]]="Pass",Benchmark1[[#This Row],[Comparable '#1 Return]]-Benchmark1[[#This Row],[Benchmark '#1 Return]],"-"),"-")</f>
        <v>9.2704393033192865E-3</v>
      </c>
      <c r="L780" s="1" t="str">
        <f>IF(COUNTIF(Comp2[Comparable '#2 Dates],Benchmark1[[#This Row],[Benchmark '#1 Dates]])=1,"Pass","Fail")</f>
        <v>Pass</v>
      </c>
      <c r="M780" s="6">
        <f>IF(Benchmark1[[#This Row],[Comparable '#2 Date Check]]="Pass",INDEX(Comp2[Comparable '#2 Price],MATCH(Benchmark1[[#This Row],[Benchmark '#1 Dates]],Comp2[Comparable '#2 Dates],0)),"-")</f>
        <v>36.69</v>
      </c>
      <c r="N780" s="22">
        <f>IF(Benchmark1[[#This Row],[Comparable '#2 Date Check]]="Pass",INDEX(Comp2[Comparable '#2 Return],MATCH(Benchmark1[[#This Row],[Benchmark '#1 Dates]],Comp2[Comparable '#2 Dates],0)),"-")</f>
        <v>-1.7293054559301826E-2</v>
      </c>
      <c r="O780" s="1">
        <f>IFERROR(IF(Benchmark1[[#This Row],[Comparable '#2 Date Check]]="Pass",Benchmark1[[#This Row],[Comparable '#2 Return]]-Benchmark1[[#This Row],[Benchmark '#1 Return]],"-"),"-")</f>
        <v>-1.8965756323767957E-2</v>
      </c>
      <c r="P780" s="1" t="str">
        <f>IF(COUNTIF(Comp3[Comparable '#3 Dates],Benchmark1[[#This Row],[Benchmark '#1 Dates]])=1,"Pass","Fail")</f>
        <v>Pass</v>
      </c>
      <c r="Q780" s="6">
        <f>IF(Benchmark1[[#This Row],[Comparable '#3 Date Check]]="Pass",INDEX(Comp3[Comparable '#3 Price],MATCH(Benchmark1[[#This Row],[Benchmark '#1 Dates]],Comp3[Comparable '#3 Dates],0)),"-")</f>
        <v>76.14</v>
      </c>
      <c r="R780" s="22">
        <f>IF(Benchmark1[[#This Row],[Comparable '#3 Date Check]]="Pass",INDEX(Comp3[Comparable '#3 Return],MATCH(Benchmark1[[#This Row],[Benchmark '#1 Dates]],Comp3[Comparable '#3 Dates],0)),"-")</f>
        <v>-3.6494282555138285E-2</v>
      </c>
      <c r="S780" s="1">
        <f>IFERROR(IF(Benchmark1[[#This Row],[Comparable '#3 Date Check]]="Pass",Benchmark1[[#This Row],[Comparable '#3 Return]]-Benchmark1[[#This Row],[Benchmark '#1 Return]],"-"),"-")</f>
        <v>-3.816698431960442E-2</v>
      </c>
    </row>
    <row r="781" spans="1:19">
      <c r="A781" s="103">
        <v>44417</v>
      </c>
      <c r="B781" s="104">
        <v>4432.3529954748901</v>
      </c>
      <c r="C781" s="4">
        <f t="shared" si="12"/>
        <v>-9.3918644023642745E-4</v>
      </c>
      <c r="D781" s="1" t="str">
        <f>IF(COUNTIF(Target1[Target Dates],Benchmark1[[#This Row],[Benchmark '#1 Dates]])=1,"Pass","Fail")</f>
        <v>Pass</v>
      </c>
      <c r="E781" s="6">
        <f>IF(Benchmark1[[#This Row],[Target Date Check]]="Pass",INDEX(Target1[Target Price],MATCH(Benchmark1[[#This Row],[Benchmark '#1 Dates]],Target1[Target Dates],0)),"-")</f>
        <v>30.75</v>
      </c>
      <c r="F781" s="22">
        <f>IF(Benchmark1[[#This Row],[Target Date Check]]="Pass",INDEX(Target1[Target Return],MATCH(Benchmark1[[#This Row],[Benchmark '#1 Dates]],Target1[Target Dates],0)),"-")</f>
        <v>2.3693112257287825E-2</v>
      </c>
      <c r="G781" s="1">
        <f>IFERROR(IF(Benchmark1[[#This Row],[Target Date Check]]="Pass",Benchmark1[[#This Row],[Target Return]]-Benchmark1[[#This Row],[Benchmark '#1 Return]],"-"),"-")</f>
        <v>2.4632298697524254E-2</v>
      </c>
      <c r="H781" s="1" t="str">
        <f>IF(COUNTIF(Comp1[Comparable '#1 Dates],Benchmark1[[#This Row],[Benchmark '#1 Dates]])=1,"Pass","Fail")</f>
        <v>Pass</v>
      </c>
      <c r="I781" s="6">
        <f>IF(Benchmark1[[#This Row],[Comparable '#1 Date Check]]="Pass",INDEX(Comp1[Comparable '#1 Price],MATCH(Benchmark1[[#This Row],[Benchmark '#1 Dates]],Comp1[Comparable '#1 Dates],0)),"-")</f>
        <v>15.36</v>
      </c>
      <c r="J781" s="22">
        <f>IF(Benchmark1[[#This Row],[Comparable '#1 Date Check]]="Pass",INDEX(Comp1[Comparable '#1 Return],MATCH(Benchmark1[[#This Row],[Benchmark '#1 Dates]],Comp1[Comparable '#1 Dates],0)),"-")</f>
        <v>-1.6785416692013836E-2</v>
      </c>
      <c r="K781" s="1">
        <f>IFERROR(IF(Benchmark1[[#This Row],[Comparable '#1 Date Check]]="Pass",Benchmark1[[#This Row],[Comparable '#1 Return]]-Benchmark1[[#This Row],[Benchmark '#1 Return]],"-"),"-")</f>
        <v>-1.5846230251777407E-2</v>
      </c>
      <c r="L781" s="1" t="str">
        <f>IF(COUNTIF(Comp2[Comparable '#2 Dates],Benchmark1[[#This Row],[Benchmark '#1 Dates]])=1,"Pass","Fail")</f>
        <v>Pass</v>
      </c>
      <c r="M781" s="6">
        <f>IF(Benchmark1[[#This Row],[Comparable '#2 Date Check]]="Pass",INDEX(Comp2[Comparable '#2 Price],MATCH(Benchmark1[[#This Row],[Benchmark '#1 Dates]],Comp2[Comparable '#2 Dates],0)),"-")</f>
        <v>36.35</v>
      </c>
      <c r="N781" s="22">
        <f>IF(Benchmark1[[#This Row],[Comparable '#2 Date Check]]="Pass",INDEX(Comp2[Comparable '#2 Return],MATCH(Benchmark1[[#This Row],[Benchmark '#1 Dates]],Comp2[Comparable '#2 Dates],0)),"-")</f>
        <v>-9.3100343876622478E-3</v>
      </c>
      <c r="O781" s="1">
        <f>IFERROR(IF(Benchmark1[[#This Row],[Comparable '#2 Date Check]]="Pass",Benchmark1[[#This Row],[Comparable '#2 Return]]-Benchmark1[[#This Row],[Benchmark '#1 Return]],"-"),"-")</f>
        <v>-8.3708479474258208E-3</v>
      </c>
      <c r="P781" s="1" t="str">
        <f>IF(COUNTIF(Comp3[Comparable '#3 Dates],Benchmark1[[#This Row],[Benchmark '#1 Dates]])=1,"Pass","Fail")</f>
        <v>Pass</v>
      </c>
      <c r="Q781" s="6">
        <f>IF(Benchmark1[[#This Row],[Comparable '#3 Date Check]]="Pass",INDEX(Comp3[Comparable '#3 Price],MATCH(Benchmark1[[#This Row],[Benchmark '#1 Dates]],Comp3[Comparable '#3 Dates],0)),"-")</f>
        <v>76.239999999999995</v>
      </c>
      <c r="R781" s="22">
        <f>IF(Benchmark1[[#This Row],[Comparable '#3 Date Check]]="Pass",INDEX(Comp3[Comparable '#3 Return],MATCH(Benchmark1[[#This Row],[Benchmark '#1 Dates]],Comp3[Comparable '#3 Dates],0)),"-")</f>
        <v>1.3125083915951957E-3</v>
      </c>
      <c r="S781" s="1">
        <f>IFERROR(IF(Benchmark1[[#This Row],[Comparable '#3 Date Check]]="Pass",Benchmark1[[#This Row],[Comparable '#3 Return]]-Benchmark1[[#This Row],[Benchmark '#1 Return]],"-"),"-")</f>
        <v>2.2516948318316229E-3</v>
      </c>
    </row>
    <row r="782" spans="1:19">
      <c r="A782" s="103">
        <v>44418</v>
      </c>
      <c r="B782" s="104">
        <v>4436.7528791782152</v>
      </c>
      <c r="C782" s="4">
        <f t="shared" si="12"/>
        <v>9.9218210413866696E-4</v>
      </c>
      <c r="D782" s="1" t="str">
        <f>IF(COUNTIF(Target1[Target Dates],Benchmark1[[#This Row],[Benchmark '#1 Dates]])=1,"Pass","Fail")</f>
        <v>Pass</v>
      </c>
      <c r="E782" s="6">
        <f>IF(Benchmark1[[#This Row],[Target Date Check]]="Pass",INDEX(Target1[Target Price],MATCH(Benchmark1[[#This Row],[Benchmark '#1 Dates]],Target1[Target Dates],0)),"-")</f>
        <v>30.7</v>
      </c>
      <c r="F782" s="22">
        <f>IF(Benchmark1[[#This Row],[Target Date Check]]="Pass",INDEX(Target1[Target Return],MATCH(Benchmark1[[#This Row],[Benchmark '#1 Dates]],Target1[Target Dates],0)),"-")</f>
        <v>-1.6273396593754824E-3</v>
      </c>
      <c r="G782" s="1">
        <f>IFERROR(IF(Benchmark1[[#This Row],[Target Date Check]]="Pass",Benchmark1[[#This Row],[Target Return]]-Benchmark1[[#This Row],[Benchmark '#1 Return]],"-"),"-")</f>
        <v>-2.6195217635141491E-3</v>
      </c>
      <c r="H782" s="1" t="str">
        <f>IF(COUNTIF(Comp1[Comparable '#1 Dates],Benchmark1[[#This Row],[Benchmark '#1 Dates]])=1,"Pass","Fail")</f>
        <v>Pass</v>
      </c>
      <c r="I782" s="6">
        <f>IF(Benchmark1[[#This Row],[Comparable '#1 Date Check]]="Pass",INDEX(Comp1[Comparable '#1 Price],MATCH(Benchmark1[[#This Row],[Benchmark '#1 Dates]],Comp1[Comparable '#1 Dates],0)),"-")</f>
        <v>15.32</v>
      </c>
      <c r="J782" s="22">
        <f>IF(Benchmark1[[#This Row],[Comparable '#1 Date Check]]="Pass",INDEX(Comp1[Comparable '#1 Return],MATCH(Benchmark1[[#This Row],[Benchmark '#1 Dates]],Comp1[Comparable '#1 Dates],0)),"-")</f>
        <v>-2.6075634070808302E-3</v>
      </c>
      <c r="K782" s="1">
        <f>IFERROR(IF(Benchmark1[[#This Row],[Comparable '#1 Date Check]]="Pass",Benchmark1[[#This Row],[Comparable '#1 Return]]-Benchmark1[[#This Row],[Benchmark '#1 Return]],"-"),"-")</f>
        <v>-3.599745511219497E-3</v>
      </c>
      <c r="L782" s="1" t="str">
        <f>IF(COUNTIF(Comp2[Comparable '#2 Dates],Benchmark1[[#This Row],[Benchmark '#1 Dates]])=1,"Pass","Fail")</f>
        <v>Pass</v>
      </c>
      <c r="M782" s="6">
        <f>IF(Benchmark1[[#This Row],[Comparable '#2 Date Check]]="Pass",INDEX(Comp2[Comparable '#2 Price],MATCH(Benchmark1[[#This Row],[Benchmark '#1 Dates]],Comp2[Comparable '#2 Dates],0)),"-")</f>
        <v>36.43</v>
      </c>
      <c r="N782" s="22">
        <f>IF(Benchmark1[[#This Row],[Comparable '#2 Date Check]]="Pass",INDEX(Comp2[Comparable '#2 Return],MATCH(Benchmark1[[#This Row],[Benchmark '#1 Dates]],Comp2[Comparable '#2 Dates],0)),"-")</f>
        <v>2.1984070409439469E-3</v>
      </c>
      <c r="O782" s="1">
        <f>IFERROR(IF(Benchmark1[[#This Row],[Comparable '#2 Date Check]]="Pass",Benchmark1[[#This Row],[Comparable '#2 Return]]-Benchmark1[[#This Row],[Benchmark '#1 Return]],"-"),"-")</f>
        <v>1.2062249368052799E-3</v>
      </c>
      <c r="P782" s="1" t="str">
        <f>IF(COUNTIF(Comp3[Comparable '#3 Dates],Benchmark1[[#This Row],[Benchmark '#1 Dates]])=1,"Pass","Fail")</f>
        <v>Pass</v>
      </c>
      <c r="Q782" s="6">
        <f>IF(Benchmark1[[#This Row],[Comparable '#3 Date Check]]="Pass",INDEX(Comp3[Comparable '#3 Price],MATCH(Benchmark1[[#This Row],[Benchmark '#1 Dates]],Comp3[Comparable '#3 Dates],0)),"-")</f>
        <v>75.17</v>
      </c>
      <c r="R782" s="22">
        <f>IF(Benchmark1[[#This Row],[Comparable '#3 Date Check]]="Pass",INDEX(Comp3[Comparable '#3 Return],MATCH(Benchmark1[[#This Row],[Benchmark '#1 Dates]],Comp3[Comparable '#3 Dates],0)),"-")</f>
        <v>-1.4134044156569065E-2</v>
      </c>
      <c r="S782" s="1">
        <f>IFERROR(IF(Benchmark1[[#This Row],[Comparable '#3 Date Check]]="Pass",Benchmark1[[#This Row],[Comparable '#3 Return]]-Benchmark1[[#This Row],[Benchmark '#1 Return]],"-"),"-")</f>
        <v>-1.5126226260707733E-2</v>
      </c>
    </row>
    <row r="783" spans="1:19">
      <c r="A783" s="103">
        <v>44419</v>
      </c>
      <c r="B783" s="104">
        <v>4447.7035768493452</v>
      </c>
      <c r="C783" s="4">
        <f t="shared" si="12"/>
        <v>2.4651374613305337E-3</v>
      </c>
      <c r="D783" s="1" t="str">
        <f>IF(COUNTIF(Target1[Target Dates],Benchmark1[[#This Row],[Benchmark '#1 Dates]])=1,"Pass","Fail")</f>
        <v>Pass</v>
      </c>
      <c r="E783" s="6">
        <f>IF(Benchmark1[[#This Row],[Target Date Check]]="Pass",INDEX(Target1[Target Price],MATCH(Benchmark1[[#This Row],[Benchmark '#1 Dates]],Target1[Target Dates],0)),"-")</f>
        <v>33.090000000000003</v>
      </c>
      <c r="F783" s="22">
        <f>IF(Benchmark1[[#This Row],[Target Date Check]]="Pass",INDEX(Target1[Target Return],MATCH(Benchmark1[[#This Row],[Benchmark '#1 Dates]],Target1[Target Dates],0)),"-")</f>
        <v>7.4968467340369438E-2</v>
      </c>
      <c r="G783" s="1">
        <f>IFERROR(IF(Benchmark1[[#This Row],[Target Date Check]]="Pass",Benchmark1[[#This Row],[Target Return]]-Benchmark1[[#This Row],[Benchmark '#1 Return]],"-"),"-")</f>
        <v>7.2503329879038902E-2</v>
      </c>
      <c r="H783" s="1" t="str">
        <f>IF(COUNTIF(Comp1[Comparable '#1 Dates],Benchmark1[[#This Row],[Benchmark '#1 Dates]])=1,"Pass","Fail")</f>
        <v>Pass</v>
      </c>
      <c r="I783" s="6">
        <f>IF(Benchmark1[[#This Row],[Comparable '#1 Date Check]]="Pass",INDEX(Comp1[Comparable '#1 Price],MATCH(Benchmark1[[#This Row],[Benchmark '#1 Dates]],Comp1[Comparable '#1 Dates],0)),"-")</f>
        <v>15.37</v>
      </c>
      <c r="J783" s="22">
        <f>IF(Benchmark1[[#This Row],[Comparable '#1 Date Check]]="Pass",INDEX(Comp1[Comparable '#1 Return],MATCH(Benchmark1[[#This Row],[Benchmark '#1 Dates]],Comp1[Comparable '#1 Dates],0)),"-")</f>
        <v>3.2583932380590751E-3</v>
      </c>
      <c r="K783" s="1">
        <f>IFERROR(IF(Benchmark1[[#This Row],[Comparable '#1 Date Check]]="Pass",Benchmark1[[#This Row],[Comparable '#1 Return]]-Benchmark1[[#This Row],[Benchmark '#1 Return]],"-"),"-")</f>
        <v>7.9325577672854138E-4</v>
      </c>
      <c r="L783" s="1" t="str">
        <f>IF(COUNTIF(Comp2[Comparable '#2 Dates],Benchmark1[[#This Row],[Benchmark '#1 Dates]])=1,"Pass","Fail")</f>
        <v>Pass</v>
      </c>
      <c r="M783" s="6">
        <f>IF(Benchmark1[[#This Row],[Comparable '#2 Date Check]]="Pass",INDEX(Comp2[Comparable '#2 Price],MATCH(Benchmark1[[#This Row],[Benchmark '#1 Dates]],Comp2[Comparable '#2 Dates],0)),"-")</f>
        <v>37.19</v>
      </c>
      <c r="N783" s="22">
        <f>IF(Benchmark1[[#This Row],[Comparable '#2 Date Check]]="Pass",INDEX(Comp2[Comparable '#2 Return],MATCH(Benchmark1[[#This Row],[Benchmark '#1 Dates]],Comp2[Comparable '#2 Dates],0)),"-")</f>
        <v>2.0647296916506196E-2</v>
      </c>
      <c r="O783" s="1">
        <f>IFERROR(IF(Benchmark1[[#This Row],[Comparable '#2 Date Check]]="Pass",Benchmark1[[#This Row],[Comparable '#2 Return]]-Benchmark1[[#This Row],[Benchmark '#1 Return]],"-"),"-")</f>
        <v>1.8182159455175664E-2</v>
      </c>
      <c r="P783" s="1" t="str">
        <f>IF(COUNTIF(Comp3[Comparable '#3 Dates],Benchmark1[[#This Row],[Benchmark '#1 Dates]])=1,"Pass","Fail")</f>
        <v>Pass</v>
      </c>
      <c r="Q783" s="6">
        <f>IF(Benchmark1[[#This Row],[Comparable '#3 Date Check]]="Pass",INDEX(Comp3[Comparable '#3 Price],MATCH(Benchmark1[[#This Row],[Benchmark '#1 Dates]],Comp3[Comparable '#3 Dates],0)),"-")</f>
        <v>75.52</v>
      </c>
      <c r="R783" s="22">
        <f>IF(Benchmark1[[#This Row],[Comparable '#3 Date Check]]="Pass",INDEX(Comp3[Comparable '#3 Return],MATCH(Benchmark1[[#This Row],[Benchmark '#1 Dates]],Comp3[Comparable '#3 Dates],0)),"-")</f>
        <v>4.6453066478675904E-3</v>
      </c>
      <c r="S783" s="1">
        <f>IFERROR(IF(Benchmark1[[#This Row],[Comparable '#3 Date Check]]="Pass",Benchmark1[[#This Row],[Comparable '#3 Return]]-Benchmark1[[#This Row],[Benchmark '#1 Return]],"-"),"-")</f>
        <v>2.1801691865370567E-3</v>
      </c>
    </row>
    <row r="784" spans="1:19">
      <c r="A784" s="103">
        <v>44420</v>
      </c>
      <c r="B784" s="104">
        <v>4460.8319191946885</v>
      </c>
      <c r="C784" s="4">
        <f t="shared" si="12"/>
        <v>2.9473647727963886E-3</v>
      </c>
      <c r="D784" s="1" t="str">
        <f>IF(COUNTIF(Target1[Target Dates],Benchmark1[[#This Row],[Benchmark '#1 Dates]])=1,"Pass","Fail")</f>
        <v>Pass</v>
      </c>
      <c r="E784" s="6">
        <f>IF(Benchmark1[[#This Row],[Target Date Check]]="Pass",INDEX(Target1[Target Price],MATCH(Benchmark1[[#This Row],[Benchmark '#1 Dates]],Target1[Target Dates],0)),"-")</f>
        <v>33.39</v>
      </c>
      <c r="F784" s="22">
        <f>IF(Benchmark1[[#This Row],[Target Date Check]]="Pass",INDEX(Target1[Target Return],MATCH(Benchmark1[[#This Row],[Benchmark '#1 Dates]],Target1[Target Dates],0)),"-")</f>
        <v>9.0253320220422158E-3</v>
      </c>
      <c r="G784" s="1">
        <f>IFERROR(IF(Benchmark1[[#This Row],[Target Date Check]]="Pass",Benchmark1[[#This Row],[Target Return]]-Benchmark1[[#This Row],[Benchmark '#1 Return]],"-"),"-")</f>
        <v>6.0779672492458272E-3</v>
      </c>
      <c r="H784" s="1" t="str">
        <f>IF(COUNTIF(Comp1[Comparable '#1 Dates],Benchmark1[[#This Row],[Benchmark '#1 Dates]])=1,"Pass","Fail")</f>
        <v>Pass</v>
      </c>
      <c r="I784" s="6">
        <f>IF(Benchmark1[[#This Row],[Comparable '#1 Date Check]]="Pass",INDEX(Comp1[Comparable '#1 Price],MATCH(Benchmark1[[#This Row],[Benchmark '#1 Dates]],Comp1[Comparable '#1 Dates],0)),"-")</f>
        <v>15.65</v>
      </c>
      <c r="J784" s="22">
        <f>IF(Benchmark1[[#This Row],[Comparable '#1 Date Check]]="Pass",INDEX(Comp1[Comparable '#1 Return],MATCH(Benchmark1[[#This Row],[Benchmark '#1 Dates]],Comp1[Comparable '#1 Dates],0)),"-")</f>
        <v>1.8053359435657741E-2</v>
      </c>
      <c r="K784" s="1">
        <f>IFERROR(IF(Benchmark1[[#This Row],[Comparable '#1 Date Check]]="Pass",Benchmark1[[#This Row],[Comparable '#1 Return]]-Benchmark1[[#This Row],[Benchmark '#1 Return]],"-"),"-")</f>
        <v>1.5105994662861352E-2</v>
      </c>
      <c r="L784" s="1" t="str">
        <f>IF(COUNTIF(Comp2[Comparable '#2 Dates],Benchmark1[[#This Row],[Benchmark '#1 Dates]])=1,"Pass","Fail")</f>
        <v>Pass</v>
      </c>
      <c r="M784" s="6">
        <f>IF(Benchmark1[[#This Row],[Comparable '#2 Date Check]]="Pass",INDEX(Comp2[Comparable '#2 Price],MATCH(Benchmark1[[#This Row],[Benchmark '#1 Dates]],Comp2[Comparable '#2 Dates],0)),"-")</f>
        <v>37.57</v>
      </c>
      <c r="N784" s="22">
        <f>IF(Benchmark1[[#This Row],[Comparable '#2 Date Check]]="Pass",INDEX(Comp2[Comparable '#2 Return],MATCH(Benchmark1[[#This Row],[Benchmark '#1 Dates]],Comp2[Comparable '#2 Dates],0)),"-")</f>
        <v>1.0165951648899003E-2</v>
      </c>
      <c r="O784" s="1">
        <f>IFERROR(IF(Benchmark1[[#This Row],[Comparable '#2 Date Check]]="Pass",Benchmark1[[#This Row],[Comparable '#2 Return]]-Benchmark1[[#This Row],[Benchmark '#1 Return]],"-"),"-")</f>
        <v>7.2185868761026149E-3</v>
      </c>
      <c r="P784" s="1" t="str">
        <f>IF(COUNTIF(Comp3[Comparable '#3 Dates],Benchmark1[[#This Row],[Benchmark '#1 Dates]])=1,"Pass","Fail")</f>
        <v>Pass</v>
      </c>
      <c r="Q784" s="6">
        <f>IF(Benchmark1[[#This Row],[Comparable '#3 Date Check]]="Pass",INDEX(Comp3[Comparable '#3 Price],MATCH(Benchmark1[[#This Row],[Benchmark '#1 Dates]],Comp3[Comparable '#3 Dates],0)),"-")</f>
        <v>75.38</v>
      </c>
      <c r="R784" s="22">
        <f>IF(Benchmark1[[#This Row],[Comparable '#3 Date Check]]="Pass",INDEX(Comp3[Comparable '#3 Return],MATCH(Benchmark1[[#This Row],[Benchmark '#1 Dates]],Comp3[Comparable '#3 Dates],0)),"-")</f>
        <v>-1.8555339982558581E-3</v>
      </c>
      <c r="S784" s="1">
        <f>IFERROR(IF(Benchmark1[[#This Row],[Comparable '#3 Date Check]]="Pass",Benchmark1[[#This Row],[Comparable '#3 Return]]-Benchmark1[[#This Row],[Benchmark '#1 Return]],"-"),"-")</f>
        <v>-4.8028987710522462E-3</v>
      </c>
    </row>
    <row r="785" spans="1:19">
      <c r="A785" s="103">
        <v>44421</v>
      </c>
      <c r="B785" s="104">
        <v>4468.0032439905217</v>
      </c>
      <c r="C785" s="4">
        <f t="shared" si="12"/>
        <v>1.6063296514673589E-3</v>
      </c>
      <c r="D785" s="1" t="str">
        <f>IF(COUNTIF(Target1[Target Dates],Benchmark1[[#This Row],[Benchmark '#1 Dates]])=1,"Pass","Fail")</f>
        <v>Pass</v>
      </c>
      <c r="E785" s="6">
        <f>IF(Benchmark1[[#This Row],[Target Date Check]]="Pass",INDEX(Target1[Target Price],MATCH(Benchmark1[[#This Row],[Benchmark '#1 Dates]],Target1[Target Dates],0)),"-")</f>
        <v>35.619999999999997</v>
      </c>
      <c r="F785" s="22">
        <f>IF(Benchmark1[[#This Row],[Target Date Check]]="Pass",INDEX(Target1[Target Return],MATCH(Benchmark1[[#This Row],[Benchmark '#1 Dates]],Target1[Target Dates],0)),"-")</f>
        <v>6.4650823905952379E-2</v>
      </c>
      <c r="G785" s="1">
        <f>IFERROR(IF(Benchmark1[[#This Row],[Target Date Check]]="Pass",Benchmark1[[#This Row],[Target Return]]-Benchmark1[[#This Row],[Benchmark '#1 Return]],"-"),"-")</f>
        <v>6.3044494254485023E-2</v>
      </c>
      <c r="H785" s="1" t="str">
        <f>IF(COUNTIF(Comp1[Comparable '#1 Dates],Benchmark1[[#This Row],[Benchmark '#1 Dates]])=1,"Pass","Fail")</f>
        <v>Pass</v>
      </c>
      <c r="I785" s="6">
        <f>IF(Benchmark1[[#This Row],[Comparable '#1 Date Check]]="Pass",INDEX(Comp1[Comparable '#1 Price],MATCH(Benchmark1[[#This Row],[Benchmark '#1 Dates]],Comp1[Comparable '#1 Dates],0)),"-")</f>
        <v>16.100000000000001</v>
      </c>
      <c r="J785" s="22">
        <f>IF(Benchmark1[[#This Row],[Comparable '#1 Date Check]]="Pass",INDEX(Comp1[Comparable '#1 Return],MATCH(Benchmark1[[#This Row],[Benchmark '#1 Dates]],Comp1[Comparable '#1 Dates],0)),"-")</f>
        <v>2.834835500425513E-2</v>
      </c>
      <c r="K785" s="1">
        <f>IFERROR(IF(Benchmark1[[#This Row],[Comparable '#1 Date Check]]="Pass",Benchmark1[[#This Row],[Comparable '#1 Return]]-Benchmark1[[#This Row],[Benchmark '#1 Return]],"-"),"-")</f>
        <v>2.674202535278777E-2</v>
      </c>
      <c r="L785" s="1" t="str">
        <f>IF(COUNTIF(Comp2[Comparable '#2 Dates],Benchmark1[[#This Row],[Benchmark '#1 Dates]])=1,"Pass","Fail")</f>
        <v>Pass</v>
      </c>
      <c r="M785" s="6">
        <f>IF(Benchmark1[[#This Row],[Comparable '#2 Date Check]]="Pass",INDEX(Comp2[Comparable '#2 Price],MATCH(Benchmark1[[#This Row],[Benchmark '#1 Dates]],Comp2[Comparable '#2 Dates],0)),"-")</f>
        <v>37.74</v>
      </c>
      <c r="N785" s="22">
        <f>IF(Benchmark1[[#This Row],[Comparable '#2 Date Check]]="Pass",INDEX(Comp2[Comparable '#2 Return],MATCH(Benchmark1[[#This Row],[Benchmark '#1 Dates]],Comp2[Comparable '#2 Dates],0)),"-")</f>
        <v>4.514680354526613E-3</v>
      </c>
      <c r="O785" s="1">
        <f>IFERROR(IF(Benchmark1[[#This Row],[Comparable '#2 Date Check]]="Pass",Benchmark1[[#This Row],[Comparable '#2 Return]]-Benchmark1[[#This Row],[Benchmark '#1 Return]],"-"),"-")</f>
        <v>2.9083507030592541E-3</v>
      </c>
      <c r="P785" s="1" t="str">
        <f>IF(COUNTIF(Comp3[Comparable '#3 Dates],Benchmark1[[#This Row],[Benchmark '#1 Dates]])=1,"Pass","Fail")</f>
        <v>Pass</v>
      </c>
      <c r="Q785" s="6">
        <f>IF(Benchmark1[[#This Row],[Comparable '#3 Date Check]]="Pass",INDEX(Comp3[Comparable '#3 Price],MATCH(Benchmark1[[#This Row],[Benchmark '#1 Dates]],Comp3[Comparable '#3 Dates],0)),"-")</f>
        <v>76.260000000000005</v>
      </c>
      <c r="R785" s="22">
        <f>IF(Benchmark1[[#This Row],[Comparable '#3 Date Check]]="Pass",INDEX(Comp3[Comparable '#3 Return],MATCH(Benchmark1[[#This Row],[Benchmark '#1 Dates]],Comp3[Comparable '#3 Dates],0)),"-")</f>
        <v>1.1606566590428512E-2</v>
      </c>
      <c r="S785" s="1">
        <f>IFERROR(IF(Benchmark1[[#This Row],[Comparable '#3 Date Check]]="Pass",Benchmark1[[#This Row],[Comparable '#3 Return]]-Benchmark1[[#This Row],[Benchmark '#1 Return]],"-"),"-")</f>
        <v>1.0000236938961153E-2</v>
      </c>
    </row>
    <row r="786" spans="1:19">
      <c r="A786" s="103">
        <v>44424</v>
      </c>
      <c r="B786" s="104">
        <v>4479.7087201898403</v>
      </c>
      <c r="C786" s="4">
        <f t="shared" si="12"/>
        <v>2.6164192418820734E-3</v>
      </c>
      <c r="D786" s="1" t="str">
        <f>IF(COUNTIF(Target1[Target Dates],Benchmark1[[#This Row],[Benchmark '#1 Dates]])=1,"Pass","Fail")</f>
        <v>Pass</v>
      </c>
      <c r="E786" s="6">
        <f>IF(Benchmark1[[#This Row],[Target Date Check]]="Pass",INDEX(Target1[Target Price],MATCH(Benchmark1[[#This Row],[Benchmark '#1 Dates]],Target1[Target Dates],0)),"-")</f>
        <v>35.06</v>
      </c>
      <c r="F786" s="22">
        <f>IF(Benchmark1[[#This Row],[Target Date Check]]="Pass",INDEX(Target1[Target Return],MATCH(Benchmark1[[#This Row],[Benchmark '#1 Dates]],Target1[Target Dates],0)),"-")</f>
        <v>-1.5846398368426967E-2</v>
      </c>
      <c r="G786" s="1">
        <f>IFERROR(IF(Benchmark1[[#This Row],[Target Date Check]]="Pass",Benchmark1[[#This Row],[Target Return]]-Benchmark1[[#This Row],[Benchmark '#1 Return]],"-"),"-")</f>
        <v>-1.8462817610309039E-2</v>
      </c>
      <c r="H786" s="1" t="str">
        <f>IF(COUNTIF(Comp1[Comparable '#1 Dates],Benchmark1[[#This Row],[Benchmark '#1 Dates]])=1,"Pass","Fail")</f>
        <v>Pass</v>
      </c>
      <c r="I786" s="6">
        <f>IF(Benchmark1[[#This Row],[Comparable '#1 Date Check]]="Pass",INDEX(Comp1[Comparable '#1 Price],MATCH(Benchmark1[[#This Row],[Benchmark '#1 Dates]],Comp1[Comparable '#1 Dates],0)),"-")</f>
        <v>15.96</v>
      </c>
      <c r="J786" s="22">
        <f>IF(Benchmark1[[#This Row],[Comparable '#1 Date Check]]="Pass",INDEX(Comp1[Comparable '#1 Return],MATCH(Benchmark1[[#This Row],[Benchmark '#1 Dates]],Comp1[Comparable '#1 Dates],0)),"-")</f>
        <v>-8.7336799687546662E-3</v>
      </c>
      <c r="K786" s="1">
        <f>IFERROR(IF(Benchmark1[[#This Row],[Comparable '#1 Date Check]]="Pass",Benchmark1[[#This Row],[Comparable '#1 Return]]-Benchmark1[[#This Row],[Benchmark '#1 Return]],"-"),"-")</f>
        <v>-1.135009921063674E-2</v>
      </c>
      <c r="L786" s="1" t="str">
        <f>IF(COUNTIF(Comp2[Comparable '#2 Dates],Benchmark1[[#This Row],[Benchmark '#1 Dates]])=1,"Pass","Fail")</f>
        <v>Pass</v>
      </c>
      <c r="M786" s="6">
        <f>IF(Benchmark1[[#This Row],[Comparable '#2 Date Check]]="Pass",INDEX(Comp2[Comparable '#2 Price],MATCH(Benchmark1[[#This Row],[Benchmark '#1 Dates]],Comp2[Comparable '#2 Dates],0)),"-")</f>
        <v>36.79</v>
      </c>
      <c r="N786" s="22">
        <f>IF(Benchmark1[[#This Row],[Comparable '#2 Date Check]]="Pass",INDEX(Comp2[Comparable '#2 Return],MATCH(Benchmark1[[#This Row],[Benchmark '#1 Dates]],Comp2[Comparable '#2 Dates],0)),"-")</f>
        <v>-2.5494470823721277E-2</v>
      </c>
      <c r="O786" s="1">
        <f>IFERROR(IF(Benchmark1[[#This Row],[Comparable '#2 Date Check]]="Pass",Benchmark1[[#This Row],[Comparable '#2 Return]]-Benchmark1[[#This Row],[Benchmark '#1 Return]],"-"),"-")</f>
        <v>-2.8110890065603349E-2</v>
      </c>
      <c r="P786" s="1" t="str">
        <f>IF(COUNTIF(Comp3[Comparable '#3 Dates],Benchmark1[[#This Row],[Benchmark '#1 Dates]])=1,"Pass","Fail")</f>
        <v>Pass</v>
      </c>
      <c r="Q786" s="6">
        <f>IF(Benchmark1[[#This Row],[Comparable '#3 Date Check]]="Pass",INDEX(Comp3[Comparable '#3 Price],MATCH(Benchmark1[[#This Row],[Benchmark '#1 Dates]],Comp3[Comparable '#3 Dates],0)),"-")</f>
        <v>75.11</v>
      </c>
      <c r="R786" s="22">
        <f>IF(Benchmark1[[#This Row],[Comparable '#3 Date Check]]="Pass",INDEX(Comp3[Comparable '#3 Return],MATCH(Benchmark1[[#This Row],[Benchmark '#1 Dates]],Comp3[Comparable '#3 Dates],0)),"-")</f>
        <v>-1.5194848731497327E-2</v>
      </c>
      <c r="S786" s="1">
        <f>IFERROR(IF(Benchmark1[[#This Row],[Comparable '#3 Date Check]]="Pass",Benchmark1[[#This Row],[Comparable '#3 Return]]-Benchmark1[[#This Row],[Benchmark '#1 Return]],"-"),"-")</f>
        <v>-1.78112679733794E-2</v>
      </c>
    </row>
    <row r="787" spans="1:19">
      <c r="A787" s="103">
        <v>44425</v>
      </c>
      <c r="B787" s="104">
        <v>4448.0754052513839</v>
      </c>
      <c r="C787" s="4">
        <f t="shared" si="12"/>
        <v>-7.0865170743231775E-3</v>
      </c>
      <c r="D787" s="1" t="str">
        <f>IF(COUNTIF(Target1[Target Dates],Benchmark1[[#This Row],[Benchmark '#1 Dates]])=1,"Pass","Fail")</f>
        <v>Pass</v>
      </c>
      <c r="E787" s="6">
        <f>IF(Benchmark1[[#This Row],[Target Date Check]]="Pass",INDEX(Target1[Target Price],MATCH(Benchmark1[[#This Row],[Benchmark '#1 Dates]],Target1[Target Dates],0)),"-")</f>
        <v>33.96</v>
      </c>
      <c r="F787" s="22">
        <f>IF(Benchmark1[[#This Row],[Target Date Check]]="Pass",INDEX(Target1[Target Return],MATCH(Benchmark1[[#This Row],[Benchmark '#1 Dates]],Target1[Target Dates],0)),"-")</f>
        <v>-3.1877518049941961E-2</v>
      </c>
      <c r="G787" s="1">
        <f>IFERROR(IF(Benchmark1[[#This Row],[Target Date Check]]="Pass",Benchmark1[[#This Row],[Target Return]]-Benchmark1[[#This Row],[Benchmark '#1 Return]],"-"),"-")</f>
        <v>-2.4791000975618784E-2</v>
      </c>
      <c r="H787" s="1" t="str">
        <f>IF(COUNTIF(Comp1[Comparable '#1 Dates],Benchmark1[[#This Row],[Benchmark '#1 Dates]])=1,"Pass","Fail")</f>
        <v>Pass</v>
      </c>
      <c r="I787" s="6">
        <f>IF(Benchmark1[[#This Row],[Comparable '#1 Date Check]]="Pass",INDEX(Comp1[Comparable '#1 Price],MATCH(Benchmark1[[#This Row],[Benchmark '#1 Dates]],Comp1[Comparable '#1 Dates],0)),"-")</f>
        <v>15.68</v>
      </c>
      <c r="J787" s="22">
        <f>IF(Benchmark1[[#This Row],[Comparable '#1 Date Check]]="Pass",INDEX(Comp1[Comparable '#1 Return],MATCH(Benchmark1[[#This Row],[Benchmark '#1 Dates]],Comp1[Comparable '#1 Dates],0)),"-")</f>
        <v>-1.7699577099400975E-2</v>
      </c>
      <c r="K787" s="1">
        <f>IFERROR(IF(Benchmark1[[#This Row],[Comparable '#1 Date Check]]="Pass",Benchmark1[[#This Row],[Comparable '#1 Return]]-Benchmark1[[#This Row],[Benchmark '#1 Return]],"-"),"-")</f>
        <v>-1.0613060025077798E-2</v>
      </c>
      <c r="L787" s="1" t="str">
        <f>IF(COUNTIF(Comp2[Comparable '#2 Dates],Benchmark1[[#This Row],[Benchmark '#1 Dates]])=1,"Pass","Fail")</f>
        <v>Pass</v>
      </c>
      <c r="M787" s="6">
        <f>IF(Benchmark1[[#This Row],[Comparable '#2 Date Check]]="Pass",INDEX(Comp2[Comparable '#2 Price],MATCH(Benchmark1[[#This Row],[Benchmark '#1 Dates]],Comp2[Comparable '#2 Dates],0)),"-")</f>
        <v>36.01</v>
      </c>
      <c r="N787" s="22">
        <f>IF(Benchmark1[[#This Row],[Comparable '#2 Date Check]]="Pass",INDEX(Comp2[Comparable '#2 Return],MATCH(Benchmark1[[#This Row],[Benchmark '#1 Dates]],Comp2[Comparable '#2 Dates],0)),"-")</f>
        <v>-2.1429391455899165E-2</v>
      </c>
      <c r="O787" s="1">
        <f>IFERROR(IF(Benchmark1[[#This Row],[Comparable '#2 Date Check]]="Pass",Benchmark1[[#This Row],[Comparable '#2 Return]]-Benchmark1[[#This Row],[Benchmark '#1 Return]],"-"),"-")</f>
        <v>-1.4342874381575988E-2</v>
      </c>
      <c r="P787" s="1" t="str">
        <f>IF(COUNTIF(Comp3[Comparable '#3 Dates],Benchmark1[[#This Row],[Benchmark '#1 Dates]])=1,"Pass","Fail")</f>
        <v>Pass</v>
      </c>
      <c r="Q787" s="6">
        <f>IF(Benchmark1[[#This Row],[Comparable '#3 Date Check]]="Pass",INDEX(Comp3[Comparable '#3 Price],MATCH(Benchmark1[[#This Row],[Benchmark '#1 Dates]],Comp3[Comparable '#3 Dates],0)),"-")</f>
        <v>74.94</v>
      </c>
      <c r="R787" s="22">
        <f>IF(Benchmark1[[#This Row],[Comparable '#3 Date Check]]="Pass",INDEX(Comp3[Comparable '#3 Return],MATCH(Benchmark1[[#This Row],[Benchmark '#1 Dates]],Comp3[Comparable '#3 Dates],0)),"-")</f>
        <v>-2.2659123323791456E-3</v>
      </c>
      <c r="S787" s="1">
        <f>IFERROR(IF(Benchmark1[[#This Row],[Comparable '#3 Date Check]]="Pass",Benchmark1[[#This Row],[Comparable '#3 Return]]-Benchmark1[[#This Row],[Benchmark '#1 Return]],"-"),"-")</f>
        <v>4.8206047419440314E-3</v>
      </c>
    </row>
    <row r="788" spans="1:19">
      <c r="A788" s="103">
        <v>44426</v>
      </c>
      <c r="B788" s="104">
        <v>4400.2663355383729</v>
      </c>
      <c r="C788" s="4">
        <f t="shared" si="12"/>
        <v>-1.0806439527577106E-2</v>
      </c>
      <c r="D788" s="1" t="str">
        <f>IF(COUNTIF(Target1[Target Dates],Benchmark1[[#This Row],[Benchmark '#1 Dates]])=1,"Pass","Fail")</f>
        <v>Pass</v>
      </c>
      <c r="E788" s="6">
        <f>IF(Benchmark1[[#This Row],[Target Date Check]]="Pass",INDEX(Target1[Target Price],MATCH(Benchmark1[[#This Row],[Benchmark '#1 Dates]],Target1[Target Dates],0)),"-")</f>
        <v>33.200000000000003</v>
      </c>
      <c r="F788" s="22">
        <f>IF(Benchmark1[[#This Row],[Target Date Check]]="Pass",INDEX(Target1[Target Return],MATCH(Benchmark1[[#This Row],[Benchmark '#1 Dates]],Target1[Target Dates],0)),"-")</f>
        <v>-2.2633485520703645E-2</v>
      </c>
      <c r="G788" s="1">
        <f>IFERROR(IF(Benchmark1[[#This Row],[Target Date Check]]="Pass",Benchmark1[[#This Row],[Target Return]]-Benchmark1[[#This Row],[Benchmark '#1 Return]],"-"),"-")</f>
        <v>-1.1827045993126539E-2</v>
      </c>
      <c r="H788" s="1" t="str">
        <f>IF(COUNTIF(Comp1[Comparable '#1 Dates],Benchmark1[[#This Row],[Benchmark '#1 Dates]])=1,"Pass","Fail")</f>
        <v>Pass</v>
      </c>
      <c r="I788" s="6">
        <f>IF(Benchmark1[[#This Row],[Comparable '#1 Date Check]]="Pass",INDEX(Comp1[Comparable '#1 Price],MATCH(Benchmark1[[#This Row],[Benchmark '#1 Dates]],Comp1[Comparable '#1 Dates],0)),"-")</f>
        <v>15.59</v>
      </c>
      <c r="J788" s="22">
        <f>IF(Benchmark1[[#This Row],[Comparable '#1 Date Check]]="Pass",INDEX(Comp1[Comparable '#1 Return],MATCH(Benchmark1[[#This Row],[Benchmark '#1 Dates]],Comp1[Comparable '#1 Dates],0)),"-")</f>
        <v>-5.7563318525766655E-3</v>
      </c>
      <c r="K788" s="1">
        <f>IFERROR(IF(Benchmark1[[#This Row],[Comparable '#1 Date Check]]="Pass",Benchmark1[[#This Row],[Comparable '#1 Return]]-Benchmark1[[#This Row],[Benchmark '#1 Return]],"-"),"-")</f>
        <v>5.0501076750004408E-3</v>
      </c>
      <c r="L788" s="1" t="str">
        <f>IF(COUNTIF(Comp2[Comparable '#2 Dates],Benchmark1[[#This Row],[Benchmark '#1 Dates]])=1,"Pass","Fail")</f>
        <v>Pass</v>
      </c>
      <c r="M788" s="6">
        <f>IF(Benchmark1[[#This Row],[Comparable '#2 Date Check]]="Pass",INDEX(Comp2[Comparable '#2 Price],MATCH(Benchmark1[[#This Row],[Benchmark '#1 Dates]],Comp2[Comparable '#2 Dates],0)),"-")</f>
        <v>35.47</v>
      </c>
      <c r="N788" s="22">
        <f>IF(Benchmark1[[#This Row],[Comparable '#2 Date Check]]="Pass",INDEX(Comp2[Comparable '#2 Return],MATCH(Benchmark1[[#This Row],[Benchmark '#1 Dates]],Comp2[Comparable '#2 Dates],0)),"-")</f>
        <v>-1.5109408875253378E-2</v>
      </c>
      <c r="O788" s="1">
        <f>IFERROR(IF(Benchmark1[[#This Row],[Comparable '#2 Date Check]]="Pass",Benchmark1[[#This Row],[Comparable '#2 Return]]-Benchmark1[[#This Row],[Benchmark '#1 Return]],"-"),"-")</f>
        <v>-4.3029693476762717E-3</v>
      </c>
      <c r="P788" s="1" t="str">
        <f>IF(COUNTIF(Comp3[Comparable '#3 Dates],Benchmark1[[#This Row],[Benchmark '#1 Dates]])=1,"Pass","Fail")</f>
        <v>Pass</v>
      </c>
      <c r="Q788" s="6">
        <f>IF(Benchmark1[[#This Row],[Comparable '#3 Date Check]]="Pass",INDEX(Comp3[Comparable '#3 Price],MATCH(Benchmark1[[#This Row],[Benchmark '#1 Dates]],Comp3[Comparable '#3 Dates],0)),"-")</f>
        <v>73.180000000000007</v>
      </c>
      <c r="R788" s="22">
        <f>IF(Benchmark1[[#This Row],[Comparable '#3 Date Check]]="Pass",INDEX(Comp3[Comparable '#3 Return],MATCH(Benchmark1[[#This Row],[Benchmark '#1 Dates]],Comp3[Comparable '#3 Dates],0)),"-")</f>
        <v>-2.3765633774480439E-2</v>
      </c>
      <c r="S788" s="1">
        <f>IFERROR(IF(Benchmark1[[#This Row],[Comparable '#3 Date Check]]="Pass",Benchmark1[[#This Row],[Comparable '#3 Return]]-Benchmark1[[#This Row],[Benchmark '#1 Return]],"-"),"-")</f>
        <v>-1.2959194246903333E-2</v>
      </c>
    </row>
    <row r="789" spans="1:19">
      <c r="A789" s="103">
        <v>44427</v>
      </c>
      <c r="B789" s="104">
        <v>4405.8028926030747</v>
      </c>
      <c r="C789" s="4">
        <f t="shared" si="12"/>
        <v>1.2574413511361464E-3</v>
      </c>
      <c r="D789" s="1" t="str">
        <f>IF(COUNTIF(Target1[Target Dates],Benchmark1[[#This Row],[Benchmark '#1 Dates]])=1,"Pass","Fail")</f>
        <v>Pass</v>
      </c>
      <c r="E789" s="6">
        <f>IF(Benchmark1[[#This Row],[Target Date Check]]="Pass",INDEX(Target1[Target Price],MATCH(Benchmark1[[#This Row],[Benchmark '#1 Dates]],Target1[Target Dates],0)),"-")</f>
        <v>34.03</v>
      </c>
      <c r="F789" s="22">
        <f>IF(Benchmark1[[#This Row],[Target Date Check]]="Pass",INDEX(Target1[Target Return],MATCH(Benchmark1[[#This Row],[Benchmark '#1 Dates]],Target1[Target Dates],0)),"-")</f>
        <v>2.4692612590371414E-2</v>
      </c>
      <c r="G789" s="1">
        <f>IFERROR(IF(Benchmark1[[#This Row],[Target Date Check]]="Pass",Benchmark1[[#This Row],[Target Return]]-Benchmark1[[#This Row],[Benchmark '#1 Return]],"-"),"-")</f>
        <v>2.3435171239235268E-2</v>
      </c>
      <c r="H789" s="1" t="str">
        <f>IF(COUNTIF(Comp1[Comparable '#1 Dates],Benchmark1[[#This Row],[Benchmark '#1 Dates]])=1,"Pass","Fail")</f>
        <v>Pass</v>
      </c>
      <c r="I789" s="6">
        <f>IF(Benchmark1[[#This Row],[Comparable '#1 Date Check]]="Pass",INDEX(Comp1[Comparable '#1 Price],MATCH(Benchmark1[[#This Row],[Benchmark '#1 Dates]],Comp1[Comparable '#1 Dates],0)),"-")</f>
        <v>15.35</v>
      </c>
      <c r="J789" s="22">
        <f>IF(Benchmark1[[#This Row],[Comparable '#1 Date Check]]="Pass",INDEX(Comp1[Comparable '#1 Return],MATCH(Benchmark1[[#This Row],[Benchmark '#1 Dates]],Comp1[Comparable '#1 Dates],0)),"-")</f>
        <v>-1.5514209036479019E-2</v>
      </c>
      <c r="K789" s="1">
        <f>IFERROR(IF(Benchmark1[[#This Row],[Comparable '#1 Date Check]]="Pass",Benchmark1[[#This Row],[Comparable '#1 Return]]-Benchmark1[[#This Row],[Benchmark '#1 Return]],"-"),"-")</f>
        <v>-1.6771650387615165E-2</v>
      </c>
      <c r="L789" s="1" t="str">
        <f>IF(COUNTIF(Comp2[Comparable '#2 Dates],Benchmark1[[#This Row],[Benchmark '#1 Dates]])=1,"Pass","Fail")</f>
        <v>Pass</v>
      </c>
      <c r="M789" s="6">
        <f>IF(Benchmark1[[#This Row],[Comparable '#2 Date Check]]="Pass",INDEX(Comp2[Comparable '#2 Price],MATCH(Benchmark1[[#This Row],[Benchmark '#1 Dates]],Comp2[Comparable '#2 Dates],0)),"-")</f>
        <v>34.6</v>
      </c>
      <c r="N789" s="22">
        <f>IF(Benchmark1[[#This Row],[Comparable '#2 Date Check]]="Pass",INDEX(Comp2[Comparable '#2 Return],MATCH(Benchmark1[[#This Row],[Benchmark '#1 Dates]],Comp2[Comparable '#2 Dates],0)),"-")</f>
        <v>-2.4833586721851857E-2</v>
      </c>
      <c r="O789" s="1">
        <f>IFERROR(IF(Benchmark1[[#This Row],[Comparable '#2 Date Check]]="Pass",Benchmark1[[#This Row],[Comparable '#2 Return]]-Benchmark1[[#This Row],[Benchmark '#1 Return]],"-"),"-")</f>
        <v>-2.6091028072988003E-2</v>
      </c>
      <c r="P789" s="1" t="str">
        <f>IF(COUNTIF(Comp3[Comparable '#3 Dates],Benchmark1[[#This Row],[Benchmark '#1 Dates]])=1,"Pass","Fail")</f>
        <v>Pass</v>
      </c>
      <c r="Q789" s="6">
        <f>IF(Benchmark1[[#This Row],[Comparable '#3 Date Check]]="Pass",INDEX(Comp3[Comparable '#3 Price],MATCH(Benchmark1[[#This Row],[Benchmark '#1 Dates]],Comp3[Comparable '#3 Dates],0)),"-")</f>
        <v>73.38</v>
      </c>
      <c r="R789" s="22">
        <f>IF(Benchmark1[[#This Row],[Comparable '#3 Date Check]]="Pass",INDEX(Comp3[Comparable '#3 Return],MATCH(Benchmark1[[#This Row],[Benchmark '#1 Dates]],Comp3[Comparable '#3 Dates],0)),"-")</f>
        <v>2.729259336075041E-3</v>
      </c>
      <c r="S789" s="1">
        <f>IFERROR(IF(Benchmark1[[#This Row],[Comparable '#3 Date Check]]="Pass",Benchmark1[[#This Row],[Comparable '#3 Return]]-Benchmark1[[#This Row],[Benchmark '#1 Return]],"-"),"-")</f>
        <v>1.4718179849388946E-3</v>
      </c>
    </row>
    <row r="790" spans="1:19">
      <c r="A790" s="103">
        <v>44428</v>
      </c>
      <c r="B790" s="104">
        <v>4441.6651820921334</v>
      </c>
      <c r="C790" s="4">
        <f t="shared" si="12"/>
        <v>8.106835897961729E-3</v>
      </c>
      <c r="D790" s="1" t="str">
        <f>IF(COUNTIF(Target1[Target Dates],Benchmark1[[#This Row],[Benchmark '#1 Dates]])=1,"Pass","Fail")</f>
        <v>Pass</v>
      </c>
      <c r="E790" s="6">
        <f>IF(Benchmark1[[#This Row],[Target Date Check]]="Pass",INDEX(Target1[Target Price],MATCH(Benchmark1[[#This Row],[Benchmark '#1 Dates]],Target1[Target Dates],0)),"-")</f>
        <v>34.1</v>
      </c>
      <c r="F790" s="22">
        <f>IF(Benchmark1[[#This Row],[Target Date Check]]="Pass",INDEX(Target1[Target Return],MATCH(Benchmark1[[#This Row],[Benchmark '#1 Dates]],Target1[Target Dates],0)),"-")</f>
        <v>2.0548957766567994E-3</v>
      </c>
      <c r="G790" s="1">
        <f>IFERROR(IF(Benchmark1[[#This Row],[Target Date Check]]="Pass",Benchmark1[[#This Row],[Target Return]]-Benchmark1[[#This Row],[Benchmark '#1 Return]],"-"),"-")</f>
        <v>-6.0519401213049301E-3</v>
      </c>
      <c r="H790" s="1" t="str">
        <f>IF(COUNTIF(Comp1[Comparable '#1 Dates],Benchmark1[[#This Row],[Benchmark '#1 Dates]])=1,"Pass","Fail")</f>
        <v>Pass</v>
      </c>
      <c r="I790" s="6">
        <f>IF(Benchmark1[[#This Row],[Comparable '#1 Date Check]]="Pass",INDEX(Comp1[Comparable '#1 Price],MATCH(Benchmark1[[#This Row],[Benchmark '#1 Dates]],Comp1[Comparable '#1 Dates],0)),"-")</f>
        <v>15.62</v>
      </c>
      <c r="J790" s="22">
        <f>IF(Benchmark1[[#This Row],[Comparable '#1 Date Check]]="Pass",INDEX(Comp1[Comparable '#1 Return],MATCH(Benchmark1[[#This Row],[Benchmark '#1 Dates]],Comp1[Comparable '#1 Dates],0)),"-")</f>
        <v>1.7436670378333623E-2</v>
      </c>
      <c r="K790" s="1">
        <f>IFERROR(IF(Benchmark1[[#This Row],[Comparable '#1 Date Check]]="Pass",Benchmark1[[#This Row],[Comparable '#1 Return]]-Benchmark1[[#This Row],[Benchmark '#1 Return]],"-"),"-")</f>
        <v>9.3298344803718937E-3</v>
      </c>
      <c r="L790" s="1" t="str">
        <f>IF(COUNTIF(Comp2[Comparable '#2 Dates],Benchmark1[[#This Row],[Benchmark '#1 Dates]])=1,"Pass","Fail")</f>
        <v>Pass</v>
      </c>
      <c r="M790" s="6">
        <f>IF(Benchmark1[[#This Row],[Comparable '#2 Date Check]]="Pass",INDEX(Comp2[Comparable '#2 Price],MATCH(Benchmark1[[#This Row],[Benchmark '#1 Dates]],Comp2[Comparable '#2 Dates],0)),"-")</f>
        <v>35.94</v>
      </c>
      <c r="N790" s="22">
        <f>IF(Benchmark1[[#This Row],[Comparable '#2 Date Check]]="Pass",INDEX(Comp2[Comparable '#2 Return],MATCH(Benchmark1[[#This Row],[Benchmark '#1 Dates]],Comp2[Comparable '#2 Dates],0)),"-")</f>
        <v>3.7997199291734257E-2</v>
      </c>
      <c r="O790" s="1">
        <f>IFERROR(IF(Benchmark1[[#This Row],[Comparable '#2 Date Check]]="Pass",Benchmark1[[#This Row],[Comparable '#2 Return]]-Benchmark1[[#This Row],[Benchmark '#1 Return]],"-"),"-")</f>
        <v>2.9890363393772528E-2</v>
      </c>
      <c r="P790" s="1" t="str">
        <f>IF(COUNTIF(Comp3[Comparable '#3 Dates],Benchmark1[[#This Row],[Benchmark '#1 Dates]])=1,"Pass","Fail")</f>
        <v>Pass</v>
      </c>
      <c r="Q790" s="6">
        <f>IF(Benchmark1[[#This Row],[Comparable '#3 Date Check]]="Pass",INDEX(Comp3[Comparable '#3 Price],MATCH(Benchmark1[[#This Row],[Benchmark '#1 Dates]],Comp3[Comparable '#3 Dates],0)),"-")</f>
        <v>76.239999999999995</v>
      </c>
      <c r="R790" s="22">
        <f>IF(Benchmark1[[#This Row],[Comparable '#3 Date Check]]="Pass",INDEX(Comp3[Comparable '#3 Return],MATCH(Benchmark1[[#This Row],[Benchmark '#1 Dates]],Comp3[Comparable '#3 Dates],0)),"-")</f>
        <v>3.8234840418810617E-2</v>
      </c>
      <c r="S790" s="1">
        <f>IFERROR(IF(Benchmark1[[#This Row],[Comparable '#3 Date Check]]="Pass",Benchmark1[[#This Row],[Comparable '#3 Return]]-Benchmark1[[#This Row],[Benchmark '#1 Return]],"-"),"-")</f>
        <v>3.0128004520848888E-2</v>
      </c>
    </row>
    <row r="791" spans="1:19">
      <c r="A791" s="103">
        <v>44431</v>
      </c>
      <c r="B791" s="104">
        <v>4479.5304641280309</v>
      </c>
      <c r="C791" s="4">
        <f t="shared" si="12"/>
        <v>8.4888866743918056E-3</v>
      </c>
      <c r="D791" s="1" t="str">
        <f>IF(COUNTIF(Target1[Target Dates],Benchmark1[[#This Row],[Benchmark '#1 Dates]])=1,"Pass","Fail")</f>
        <v>Pass</v>
      </c>
      <c r="E791" s="6">
        <f>IF(Benchmark1[[#This Row],[Target Date Check]]="Pass",INDEX(Target1[Target Price],MATCH(Benchmark1[[#This Row],[Benchmark '#1 Dates]],Target1[Target Dates],0)),"-")</f>
        <v>34.39</v>
      </c>
      <c r="F791" s="22">
        <f>IF(Benchmark1[[#This Row],[Target Date Check]]="Pass",INDEX(Target1[Target Return],MATCH(Benchmark1[[#This Row],[Benchmark '#1 Dates]],Target1[Target Dates],0)),"-")</f>
        <v>8.4684401547037696E-3</v>
      </c>
      <c r="G791" s="1">
        <f>IFERROR(IF(Benchmark1[[#This Row],[Target Date Check]]="Pass",Benchmark1[[#This Row],[Target Return]]-Benchmark1[[#This Row],[Benchmark '#1 Return]],"-"),"-")</f>
        <v>-2.0446519688036013E-5</v>
      </c>
      <c r="H791" s="1" t="str">
        <f>IF(COUNTIF(Comp1[Comparable '#1 Dates],Benchmark1[[#This Row],[Benchmark '#1 Dates]])=1,"Pass","Fail")</f>
        <v>Pass</v>
      </c>
      <c r="I791" s="6">
        <f>IF(Benchmark1[[#This Row],[Comparable '#1 Date Check]]="Pass",INDEX(Comp1[Comparable '#1 Price],MATCH(Benchmark1[[#This Row],[Benchmark '#1 Dates]],Comp1[Comparable '#1 Dates],0)),"-")</f>
        <v>15.78</v>
      </c>
      <c r="J791" s="22">
        <f>IF(Benchmark1[[#This Row],[Comparable '#1 Date Check]]="Pass",INDEX(Comp1[Comparable '#1 Return],MATCH(Benchmark1[[#This Row],[Benchmark '#1 Dates]],Comp1[Comparable '#1 Dates],0)),"-")</f>
        <v>1.0191171006188283E-2</v>
      </c>
      <c r="K791" s="1">
        <f>IFERROR(IF(Benchmark1[[#This Row],[Comparable '#1 Date Check]]="Pass",Benchmark1[[#This Row],[Comparable '#1 Return]]-Benchmark1[[#This Row],[Benchmark '#1 Return]],"-"),"-")</f>
        <v>1.7022843317964775E-3</v>
      </c>
      <c r="L791" s="1" t="str">
        <f>IF(COUNTIF(Comp2[Comparable '#2 Dates],Benchmark1[[#This Row],[Benchmark '#1 Dates]])=1,"Pass","Fail")</f>
        <v>Pass</v>
      </c>
      <c r="M791" s="6">
        <f>IF(Benchmark1[[#This Row],[Comparable '#2 Date Check]]="Pass",INDEX(Comp2[Comparable '#2 Price],MATCH(Benchmark1[[#This Row],[Benchmark '#1 Dates]],Comp2[Comparable '#2 Dates],0)),"-")</f>
        <v>36.85</v>
      </c>
      <c r="N791" s="22">
        <f>IF(Benchmark1[[#This Row],[Comparable '#2 Date Check]]="Pass",INDEX(Comp2[Comparable '#2 Return],MATCH(Benchmark1[[#This Row],[Benchmark '#1 Dates]],Comp2[Comparable '#2 Dates],0)),"-")</f>
        <v>2.5004737279932673E-2</v>
      </c>
      <c r="O791" s="1">
        <f>IFERROR(IF(Benchmark1[[#This Row],[Comparable '#2 Date Check]]="Pass",Benchmark1[[#This Row],[Comparable '#2 Return]]-Benchmark1[[#This Row],[Benchmark '#1 Return]],"-"),"-")</f>
        <v>1.6515850605540866E-2</v>
      </c>
      <c r="P791" s="1" t="str">
        <f>IF(COUNTIF(Comp3[Comparable '#3 Dates],Benchmark1[[#This Row],[Benchmark '#1 Dates]])=1,"Pass","Fail")</f>
        <v>Pass</v>
      </c>
      <c r="Q791" s="6">
        <f>IF(Benchmark1[[#This Row],[Comparable '#3 Date Check]]="Pass",INDEX(Comp3[Comparable '#3 Price],MATCH(Benchmark1[[#This Row],[Benchmark '#1 Dates]],Comp3[Comparable '#3 Dates],0)),"-")</f>
        <v>77.239999999999995</v>
      </c>
      <c r="R791" s="22">
        <f>IF(Benchmark1[[#This Row],[Comparable '#3 Date Check]]="Pass",INDEX(Comp3[Comparable '#3 Return],MATCH(Benchmark1[[#This Row],[Benchmark '#1 Dates]],Comp3[Comparable '#3 Dates],0)),"-")</f>
        <v>1.3031198214367108E-2</v>
      </c>
      <c r="S791" s="1">
        <f>IFERROR(IF(Benchmark1[[#This Row],[Comparable '#3 Date Check]]="Pass",Benchmark1[[#This Row],[Comparable '#3 Return]]-Benchmark1[[#This Row],[Benchmark '#1 Return]],"-"),"-")</f>
        <v>4.5423115399753026E-3</v>
      </c>
    </row>
    <row r="792" spans="1:19">
      <c r="A792" s="103">
        <v>44432</v>
      </c>
      <c r="B792" s="104">
        <v>4486.2341371110469</v>
      </c>
      <c r="C792" s="4">
        <f t="shared" si="12"/>
        <v>1.495393762919168E-3</v>
      </c>
      <c r="D792" s="1" t="str">
        <f>IF(COUNTIF(Target1[Target Dates],Benchmark1[[#This Row],[Benchmark '#1 Dates]])=1,"Pass","Fail")</f>
        <v>Pass</v>
      </c>
      <c r="E792" s="6">
        <f>IF(Benchmark1[[#This Row],[Target Date Check]]="Pass",INDEX(Target1[Target Price],MATCH(Benchmark1[[#This Row],[Benchmark '#1 Dates]],Target1[Target Dates],0)),"-")</f>
        <v>33.58</v>
      </c>
      <c r="F792" s="22">
        <f>IF(Benchmark1[[#This Row],[Target Date Check]]="Pass",INDEX(Target1[Target Return],MATCH(Benchmark1[[#This Row],[Benchmark '#1 Dates]],Target1[Target Dates],0)),"-")</f>
        <v>-2.3835172794780111E-2</v>
      </c>
      <c r="G792" s="1">
        <f>IFERROR(IF(Benchmark1[[#This Row],[Target Date Check]]="Pass",Benchmark1[[#This Row],[Target Return]]-Benchmark1[[#This Row],[Benchmark '#1 Return]],"-"),"-")</f>
        <v>-2.5330566557699278E-2</v>
      </c>
      <c r="H792" s="1" t="str">
        <f>IF(COUNTIF(Comp1[Comparable '#1 Dates],Benchmark1[[#This Row],[Benchmark '#1 Dates]])=1,"Pass","Fail")</f>
        <v>Pass</v>
      </c>
      <c r="I792" s="6">
        <f>IF(Benchmark1[[#This Row],[Comparable '#1 Date Check]]="Pass",INDEX(Comp1[Comparable '#1 Price],MATCH(Benchmark1[[#This Row],[Benchmark '#1 Dates]],Comp1[Comparable '#1 Dates],0)),"-")</f>
        <v>16.010000000000002</v>
      </c>
      <c r="J792" s="22">
        <f>IF(Benchmark1[[#This Row],[Comparable '#1 Date Check]]="Pass",INDEX(Comp1[Comparable '#1 Return],MATCH(Benchmark1[[#This Row],[Benchmark '#1 Dates]],Comp1[Comparable '#1 Dates],0)),"-")</f>
        <v>1.4470211590895239E-2</v>
      </c>
      <c r="K792" s="1">
        <f>IFERROR(IF(Benchmark1[[#This Row],[Comparable '#1 Date Check]]="Pass",Benchmark1[[#This Row],[Comparable '#1 Return]]-Benchmark1[[#This Row],[Benchmark '#1 Return]],"-"),"-")</f>
        <v>1.2974817827976071E-2</v>
      </c>
      <c r="L792" s="1" t="str">
        <f>IF(COUNTIF(Comp2[Comparable '#2 Dates],Benchmark1[[#This Row],[Benchmark '#1 Dates]])=1,"Pass","Fail")</f>
        <v>Pass</v>
      </c>
      <c r="M792" s="6">
        <f>IF(Benchmark1[[#This Row],[Comparable '#2 Date Check]]="Pass",INDEX(Comp2[Comparable '#2 Price],MATCH(Benchmark1[[#This Row],[Benchmark '#1 Dates]],Comp2[Comparable '#2 Dates],0)),"-")</f>
        <v>35.58</v>
      </c>
      <c r="N792" s="22">
        <f>IF(Benchmark1[[#This Row],[Comparable '#2 Date Check]]="Pass",INDEX(Comp2[Comparable '#2 Return],MATCH(Benchmark1[[#This Row],[Benchmark '#1 Dates]],Comp2[Comparable '#2 Dates],0)),"-")</f>
        <v>-3.5071936397656572E-2</v>
      </c>
      <c r="O792" s="1">
        <f>IFERROR(IF(Benchmark1[[#This Row],[Comparable '#2 Date Check]]="Pass",Benchmark1[[#This Row],[Comparable '#2 Return]]-Benchmark1[[#This Row],[Benchmark '#1 Return]],"-"),"-")</f>
        <v>-3.6567330160575742E-2</v>
      </c>
      <c r="P792" s="1" t="str">
        <f>IF(COUNTIF(Comp3[Comparable '#3 Dates],Benchmark1[[#This Row],[Benchmark '#1 Dates]])=1,"Pass","Fail")</f>
        <v>Pass</v>
      </c>
      <c r="Q792" s="6">
        <f>IF(Benchmark1[[#This Row],[Comparable '#3 Date Check]]="Pass",INDEX(Comp3[Comparable '#3 Price],MATCH(Benchmark1[[#This Row],[Benchmark '#1 Dates]],Comp3[Comparable '#3 Dates],0)),"-")</f>
        <v>77.81</v>
      </c>
      <c r="R792" s="22">
        <f>IF(Benchmark1[[#This Row],[Comparable '#3 Date Check]]="Pass",INDEX(Comp3[Comparable '#3 Return],MATCH(Benchmark1[[#This Row],[Benchmark '#1 Dates]],Comp3[Comparable '#3 Dates],0)),"-")</f>
        <v>7.3525000685252034E-3</v>
      </c>
      <c r="S792" s="1">
        <f>IFERROR(IF(Benchmark1[[#This Row],[Comparable '#3 Date Check]]="Pass",Benchmark1[[#This Row],[Comparable '#3 Return]]-Benchmark1[[#This Row],[Benchmark '#1 Return]],"-"),"-")</f>
        <v>5.8571063056060352E-3</v>
      </c>
    </row>
    <row r="793" spans="1:19">
      <c r="A793" s="103">
        <v>44433</v>
      </c>
      <c r="B793" s="104">
        <v>4496.1908942378104</v>
      </c>
      <c r="C793" s="4">
        <f t="shared" si="12"/>
        <v>2.2169427899480128E-3</v>
      </c>
      <c r="D793" s="1" t="str">
        <f>IF(COUNTIF(Target1[Target Dates],Benchmark1[[#This Row],[Benchmark '#1 Dates]])=1,"Pass","Fail")</f>
        <v>Pass</v>
      </c>
      <c r="E793" s="6">
        <f>IF(Benchmark1[[#This Row],[Target Date Check]]="Pass",INDEX(Target1[Target Price],MATCH(Benchmark1[[#This Row],[Benchmark '#1 Dates]],Target1[Target Dates],0)),"-")</f>
        <v>34.57</v>
      </c>
      <c r="F793" s="22">
        <f>IF(Benchmark1[[#This Row],[Target Date Check]]="Pass",INDEX(Target1[Target Return],MATCH(Benchmark1[[#This Row],[Benchmark '#1 Dates]],Target1[Target Dates],0)),"-")</f>
        <v>2.905560228413848E-2</v>
      </c>
      <c r="G793" s="1">
        <f>IFERROR(IF(Benchmark1[[#This Row],[Target Date Check]]="Pass",Benchmark1[[#This Row],[Target Return]]-Benchmark1[[#This Row],[Benchmark '#1 Return]],"-"),"-")</f>
        <v>2.6838659494190467E-2</v>
      </c>
      <c r="H793" s="1" t="str">
        <f>IF(COUNTIF(Comp1[Comparable '#1 Dates],Benchmark1[[#This Row],[Benchmark '#1 Dates]])=1,"Pass","Fail")</f>
        <v>Pass</v>
      </c>
      <c r="I793" s="6">
        <f>IF(Benchmark1[[#This Row],[Comparable '#1 Date Check]]="Pass",INDEX(Comp1[Comparable '#1 Price],MATCH(Benchmark1[[#This Row],[Benchmark '#1 Dates]],Comp1[Comparable '#1 Dates],0)),"-")</f>
        <v>15.994999999999999</v>
      </c>
      <c r="J793" s="22">
        <f>IF(Benchmark1[[#This Row],[Comparable '#1 Date Check]]="Pass",INDEX(Comp1[Comparable '#1 Return],MATCH(Benchmark1[[#This Row],[Benchmark '#1 Dates]],Comp1[Comparable '#1 Dates],0)),"-")</f>
        <v>-9.3735360714210887E-4</v>
      </c>
      <c r="K793" s="1">
        <f>IFERROR(IF(Benchmark1[[#This Row],[Comparable '#1 Date Check]]="Pass",Benchmark1[[#This Row],[Comparable '#1 Return]]-Benchmark1[[#This Row],[Benchmark '#1 Return]],"-"),"-")</f>
        <v>-3.1542963970901216E-3</v>
      </c>
      <c r="L793" s="1" t="str">
        <f>IF(COUNTIF(Comp2[Comparable '#2 Dates],Benchmark1[[#This Row],[Benchmark '#1 Dates]])=1,"Pass","Fail")</f>
        <v>Pass</v>
      </c>
      <c r="M793" s="6">
        <f>IF(Benchmark1[[#This Row],[Comparable '#2 Date Check]]="Pass",INDEX(Comp2[Comparable '#2 Price],MATCH(Benchmark1[[#This Row],[Benchmark '#1 Dates]],Comp2[Comparable '#2 Dates],0)),"-")</f>
        <v>36.46</v>
      </c>
      <c r="N793" s="22">
        <f>IF(Benchmark1[[#This Row],[Comparable '#2 Date Check]]="Pass",INDEX(Comp2[Comparable '#2 Return],MATCH(Benchmark1[[#This Row],[Benchmark '#1 Dates]],Comp2[Comparable '#2 Dates],0)),"-")</f>
        <v>2.4432087012827904E-2</v>
      </c>
      <c r="O793" s="1">
        <f>IFERROR(IF(Benchmark1[[#This Row],[Comparable '#2 Date Check]]="Pass",Benchmark1[[#This Row],[Comparable '#2 Return]]-Benchmark1[[#This Row],[Benchmark '#1 Return]],"-"),"-")</f>
        <v>2.2215144222879891E-2</v>
      </c>
      <c r="P793" s="1" t="str">
        <f>IF(COUNTIF(Comp3[Comparable '#3 Dates],Benchmark1[[#This Row],[Benchmark '#1 Dates]])=1,"Pass","Fail")</f>
        <v>Pass</v>
      </c>
      <c r="Q793" s="6">
        <f>IF(Benchmark1[[#This Row],[Comparable '#3 Date Check]]="Pass",INDEX(Comp3[Comparable '#3 Price],MATCH(Benchmark1[[#This Row],[Benchmark '#1 Dates]],Comp3[Comparable '#3 Dates],0)),"-")</f>
        <v>77.180000000000007</v>
      </c>
      <c r="R793" s="22">
        <f>IF(Benchmark1[[#This Row],[Comparable '#3 Date Check]]="Pass",INDEX(Comp3[Comparable '#3 Return],MATCH(Benchmark1[[#This Row],[Benchmark '#1 Dates]],Comp3[Comparable '#3 Dates],0)),"-")</f>
        <v>-8.1296015193660608E-3</v>
      </c>
      <c r="S793" s="1">
        <f>IFERROR(IF(Benchmark1[[#This Row],[Comparable '#3 Date Check]]="Pass",Benchmark1[[#This Row],[Comparable '#3 Return]]-Benchmark1[[#This Row],[Benchmark '#1 Return]],"-"),"-")</f>
        <v>-1.0346544309314074E-2</v>
      </c>
    </row>
    <row r="794" spans="1:19">
      <c r="A794" s="103">
        <v>44434</v>
      </c>
      <c r="B794" s="104">
        <v>4469.9963535827128</v>
      </c>
      <c r="C794" s="4">
        <f t="shared" si="12"/>
        <v>-5.8429775009959245E-3</v>
      </c>
      <c r="D794" s="1" t="str">
        <f>IF(COUNTIF(Target1[Target Dates],Benchmark1[[#This Row],[Benchmark '#1 Dates]])=1,"Pass","Fail")</f>
        <v>Pass</v>
      </c>
      <c r="E794" s="6">
        <f>IF(Benchmark1[[#This Row],[Target Date Check]]="Pass",INDEX(Target1[Target Price],MATCH(Benchmark1[[#This Row],[Benchmark '#1 Dates]],Target1[Target Dates],0)),"-")</f>
        <v>34.5</v>
      </c>
      <c r="F794" s="22">
        <f>IF(Benchmark1[[#This Row],[Target Date Check]]="Pass",INDEX(Target1[Target Return],MATCH(Benchmark1[[#This Row],[Benchmark '#1 Dates]],Target1[Target Dates],0)),"-")</f>
        <v>-2.0269298962191148E-3</v>
      </c>
      <c r="G794" s="1">
        <f>IFERROR(IF(Benchmark1[[#This Row],[Target Date Check]]="Pass",Benchmark1[[#This Row],[Target Return]]-Benchmark1[[#This Row],[Benchmark '#1 Return]],"-"),"-")</f>
        <v>3.8160476047768097E-3</v>
      </c>
      <c r="H794" s="1" t="str">
        <f>IF(COUNTIF(Comp1[Comparable '#1 Dates],Benchmark1[[#This Row],[Benchmark '#1 Dates]])=1,"Pass","Fail")</f>
        <v>Pass</v>
      </c>
      <c r="I794" s="6">
        <f>IF(Benchmark1[[#This Row],[Comparable '#1 Date Check]]="Pass",INDEX(Comp1[Comparable '#1 Price],MATCH(Benchmark1[[#This Row],[Benchmark '#1 Dates]],Comp1[Comparable '#1 Dates],0)),"-")</f>
        <v>15.86</v>
      </c>
      <c r="J794" s="22">
        <f>IF(Benchmark1[[#This Row],[Comparable '#1 Date Check]]="Pass",INDEX(Comp1[Comparable '#1 Return],MATCH(Benchmark1[[#This Row],[Benchmark '#1 Dates]],Comp1[Comparable '#1 Dates],0)),"-")</f>
        <v>-8.475957194779336E-3</v>
      </c>
      <c r="K794" s="1">
        <f>IFERROR(IF(Benchmark1[[#This Row],[Comparable '#1 Date Check]]="Pass",Benchmark1[[#This Row],[Comparable '#1 Return]]-Benchmark1[[#This Row],[Benchmark '#1 Return]],"-"),"-")</f>
        <v>-2.6329796937834115E-3</v>
      </c>
      <c r="L794" s="1" t="str">
        <f>IF(COUNTIF(Comp2[Comparable '#2 Dates],Benchmark1[[#This Row],[Benchmark '#1 Dates]])=1,"Pass","Fail")</f>
        <v>Pass</v>
      </c>
      <c r="M794" s="6">
        <f>IF(Benchmark1[[#This Row],[Comparable '#2 Date Check]]="Pass",INDEX(Comp2[Comparable '#2 Price],MATCH(Benchmark1[[#This Row],[Benchmark '#1 Dates]],Comp2[Comparable '#2 Dates],0)),"-")</f>
        <v>36.82</v>
      </c>
      <c r="N794" s="22">
        <f>IF(Benchmark1[[#This Row],[Comparable '#2 Date Check]]="Pass",INDEX(Comp2[Comparable '#2 Return],MATCH(Benchmark1[[#This Row],[Benchmark '#1 Dates]],Comp2[Comparable '#2 Dates],0)),"-")</f>
        <v>9.8254065544148578E-3</v>
      </c>
      <c r="O794" s="1">
        <f>IFERROR(IF(Benchmark1[[#This Row],[Comparable '#2 Date Check]]="Pass",Benchmark1[[#This Row],[Comparable '#2 Return]]-Benchmark1[[#This Row],[Benchmark '#1 Return]],"-"),"-")</f>
        <v>1.5668384055410781E-2</v>
      </c>
      <c r="P794" s="1" t="str">
        <f>IF(COUNTIF(Comp3[Comparable '#3 Dates],Benchmark1[[#This Row],[Benchmark '#1 Dates]])=1,"Pass","Fail")</f>
        <v>Pass</v>
      </c>
      <c r="Q794" s="6">
        <f>IF(Benchmark1[[#This Row],[Comparable '#3 Date Check]]="Pass",INDEX(Comp3[Comparable '#3 Price],MATCH(Benchmark1[[#This Row],[Benchmark '#1 Dates]],Comp3[Comparable '#3 Dates],0)),"-")</f>
        <v>75.64</v>
      </c>
      <c r="R794" s="22">
        <f>IF(Benchmark1[[#This Row],[Comparable '#3 Date Check]]="Pass",INDEX(Comp3[Comparable '#3 Return],MATCH(Benchmark1[[#This Row],[Benchmark '#1 Dates]],Comp3[Comparable '#3 Dates],0)),"-")</f>
        <v>-2.0155112319215997E-2</v>
      </c>
      <c r="S794" s="1">
        <f>IFERROR(IF(Benchmark1[[#This Row],[Comparable '#3 Date Check]]="Pass",Benchmark1[[#This Row],[Comparable '#3 Return]]-Benchmark1[[#This Row],[Benchmark '#1 Return]],"-"),"-")</f>
        <v>-1.4312134818220072E-2</v>
      </c>
    </row>
    <row r="795" spans="1:19">
      <c r="A795" s="103">
        <v>44435</v>
      </c>
      <c r="B795" s="104">
        <v>4509.369089379521</v>
      </c>
      <c r="C795" s="4">
        <f t="shared" si="12"/>
        <v>8.7696593668948018E-3</v>
      </c>
      <c r="D795" s="1" t="str">
        <f>IF(COUNTIF(Target1[Target Dates],Benchmark1[[#This Row],[Benchmark '#1 Dates]])=1,"Pass","Fail")</f>
        <v>Pass</v>
      </c>
      <c r="E795" s="6">
        <f>IF(Benchmark1[[#This Row],[Target Date Check]]="Pass",INDEX(Target1[Target Price],MATCH(Benchmark1[[#This Row],[Benchmark '#1 Dates]],Target1[Target Dates],0)),"-")</f>
        <v>34.409999999999997</v>
      </c>
      <c r="F795" s="22">
        <f>IF(Benchmark1[[#This Row],[Target Date Check]]="Pass",INDEX(Target1[Target Return],MATCH(Benchmark1[[#This Row],[Benchmark '#1 Dates]],Target1[Target Dates],0)),"-")</f>
        <v>-2.6121042279251775E-3</v>
      </c>
      <c r="G795" s="1">
        <f>IFERROR(IF(Benchmark1[[#This Row],[Target Date Check]]="Pass",Benchmark1[[#This Row],[Target Return]]-Benchmark1[[#This Row],[Benchmark '#1 Return]],"-"),"-")</f>
        <v>-1.1381763594819979E-2</v>
      </c>
      <c r="H795" s="1" t="str">
        <f>IF(COUNTIF(Comp1[Comparable '#1 Dates],Benchmark1[[#This Row],[Benchmark '#1 Dates]])=1,"Pass","Fail")</f>
        <v>Pass</v>
      </c>
      <c r="I795" s="6">
        <f>IF(Benchmark1[[#This Row],[Comparable '#1 Date Check]]="Pass",INDEX(Comp1[Comparable '#1 Price],MATCH(Benchmark1[[#This Row],[Benchmark '#1 Dates]],Comp1[Comparable '#1 Dates],0)),"-")</f>
        <v>15.99</v>
      </c>
      <c r="J795" s="22">
        <f>IF(Benchmark1[[#This Row],[Comparable '#1 Date Check]]="Pass",INDEX(Comp1[Comparable '#1 Return],MATCH(Benchmark1[[#This Row],[Benchmark '#1 Dates]],Comp1[Comparable '#1 Dates],0)),"-")</f>
        <v>8.1633106391610557E-3</v>
      </c>
      <c r="K795" s="1">
        <f>IFERROR(IF(Benchmark1[[#This Row],[Comparable '#1 Date Check]]="Pass",Benchmark1[[#This Row],[Comparable '#1 Return]]-Benchmark1[[#This Row],[Benchmark '#1 Return]],"-"),"-")</f>
        <v>-6.0634872773374614E-4</v>
      </c>
      <c r="L795" s="1" t="str">
        <f>IF(COUNTIF(Comp2[Comparable '#2 Dates],Benchmark1[[#This Row],[Benchmark '#1 Dates]])=1,"Pass","Fail")</f>
        <v>Pass</v>
      </c>
      <c r="M795" s="6">
        <f>IF(Benchmark1[[#This Row],[Comparable '#2 Date Check]]="Pass",INDEX(Comp2[Comparable '#2 Price],MATCH(Benchmark1[[#This Row],[Benchmark '#1 Dates]],Comp2[Comparable '#2 Dates],0)),"-")</f>
        <v>37.58</v>
      </c>
      <c r="N795" s="22">
        <f>IF(Benchmark1[[#This Row],[Comparable '#2 Date Check]]="Pass",INDEX(Comp2[Comparable '#2 Return],MATCH(Benchmark1[[#This Row],[Benchmark '#1 Dates]],Comp2[Comparable '#2 Dates],0)),"-")</f>
        <v>2.0430818180387476E-2</v>
      </c>
      <c r="O795" s="1">
        <f>IFERROR(IF(Benchmark1[[#This Row],[Comparable '#2 Date Check]]="Pass",Benchmark1[[#This Row],[Comparable '#2 Return]]-Benchmark1[[#This Row],[Benchmark '#1 Return]],"-"),"-")</f>
        <v>1.1661158813492674E-2</v>
      </c>
      <c r="P795" s="1" t="str">
        <f>IF(COUNTIF(Comp3[Comparable '#3 Dates],Benchmark1[[#This Row],[Benchmark '#1 Dates]])=1,"Pass","Fail")</f>
        <v>Pass</v>
      </c>
      <c r="Q795" s="6">
        <f>IF(Benchmark1[[#This Row],[Comparable '#3 Date Check]]="Pass",INDEX(Comp3[Comparable '#3 Price],MATCH(Benchmark1[[#This Row],[Benchmark '#1 Dates]],Comp3[Comparable '#3 Dates],0)),"-")</f>
        <v>76.91</v>
      </c>
      <c r="R795" s="22">
        <f>IF(Benchmark1[[#This Row],[Comparable '#3 Date Check]]="Pass",INDEX(Comp3[Comparable '#3 Return],MATCH(Benchmark1[[#This Row],[Benchmark '#1 Dates]],Comp3[Comparable '#3 Dates],0)),"-")</f>
        <v>1.6650663278705652E-2</v>
      </c>
      <c r="S795" s="1">
        <f>IFERROR(IF(Benchmark1[[#This Row],[Comparable '#3 Date Check]]="Pass",Benchmark1[[#This Row],[Comparable '#3 Return]]-Benchmark1[[#This Row],[Benchmark '#1 Return]],"-"),"-")</f>
        <v>7.8810039118108501E-3</v>
      </c>
    </row>
    <row r="796" spans="1:19">
      <c r="A796" s="103">
        <v>44438</v>
      </c>
      <c r="B796" s="104">
        <v>4528.79366364411</v>
      </c>
      <c r="C796" s="4">
        <f t="shared" si="12"/>
        <v>4.2983523759142833E-3</v>
      </c>
      <c r="D796" s="1" t="str">
        <f>IF(COUNTIF(Target1[Target Dates],Benchmark1[[#This Row],[Benchmark '#1 Dates]])=1,"Pass","Fail")</f>
        <v>Pass</v>
      </c>
      <c r="E796" s="6">
        <f>IF(Benchmark1[[#This Row],[Target Date Check]]="Pass",INDEX(Target1[Target Price],MATCH(Benchmark1[[#This Row],[Benchmark '#1 Dates]],Target1[Target Dates],0)),"-")</f>
        <v>34.5</v>
      </c>
      <c r="F796" s="22">
        <f>IF(Benchmark1[[#This Row],[Target Date Check]]="Pass",INDEX(Target1[Target Return],MATCH(Benchmark1[[#This Row],[Benchmark '#1 Dates]],Target1[Target Dates],0)),"-")</f>
        <v>2.6121042279251827E-3</v>
      </c>
      <c r="G796" s="1">
        <f>IFERROR(IF(Benchmark1[[#This Row],[Target Date Check]]="Pass",Benchmark1[[#This Row],[Target Return]]-Benchmark1[[#This Row],[Benchmark '#1 Return]],"-"),"-")</f>
        <v>-1.6862481479891006E-3</v>
      </c>
      <c r="H796" s="1" t="str">
        <f>IF(COUNTIF(Comp1[Comparable '#1 Dates],Benchmark1[[#This Row],[Benchmark '#1 Dates]])=1,"Pass","Fail")</f>
        <v>Pass</v>
      </c>
      <c r="I796" s="6">
        <f>IF(Benchmark1[[#This Row],[Comparable '#1 Date Check]]="Pass",INDEX(Comp1[Comparable '#1 Price],MATCH(Benchmark1[[#This Row],[Benchmark '#1 Dates]],Comp1[Comparable '#1 Dates],0)),"-")</f>
        <v>15.94</v>
      </c>
      <c r="J796" s="22">
        <f>IF(Benchmark1[[#This Row],[Comparable '#1 Date Check]]="Pass",INDEX(Comp1[Comparable '#1 Return],MATCH(Benchmark1[[#This Row],[Benchmark '#1 Dates]],Comp1[Comparable '#1 Dates],0)),"-")</f>
        <v>-3.1318534837939337E-3</v>
      </c>
      <c r="K796" s="1">
        <f>IFERROR(IF(Benchmark1[[#This Row],[Comparable '#1 Date Check]]="Pass",Benchmark1[[#This Row],[Comparable '#1 Return]]-Benchmark1[[#This Row],[Benchmark '#1 Return]],"-"),"-")</f>
        <v>-7.4302058597082166E-3</v>
      </c>
      <c r="L796" s="1" t="str">
        <f>IF(COUNTIF(Comp2[Comparable '#2 Dates],Benchmark1[[#This Row],[Benchmark '#1 Dates]])=1,"Pass","Fail")</f>
        <v>Pass</v>
      </c>
      <c r="M796" s="6">
        <f>IF(Benchmark1[[#This Row],[Comparable '#2 Date Check]]="Pass",INDEX(Comp2[Comparable '#2 Price],MATCH(Benchmark1[[#This Row],[Benchmark '#1 Dates]],Comp2[Comparable '#2 Dates],0)),"-")</f>
        <v>36.75</v>
      </c>
      <c r="N796" s="22">
        <f>IF(Benchmark1[[#This Row],[Comparable '#2 Date Check]]="Pass",INDEX(Comp2[Comparable '#2 Return],MATCH(Benchmark1[[#This Row],[Benchmark '#1 Dates]],Comp2[Comparable '#2 Dates],0)),"-")</f>
        <v>-2.2333768326473578E-2</v>
      </c>
      <c r="O796" s="1">
        <f>IFERROR(IF(Benchmark1[[#This Row],[Comparable '#2 Date Check]]="Pass",Benchmark1[[#This Row],[Comparable '#2 Return]]-Benchmark1[[#This Row],[Benchmark '#1 Return]],"-"),"-")</f>
        <v>-2.6632120702387862E-2</v>
      </c>
      <c r="P796" s="1" t="str">
        <f>IF(COUNTIF(Comp3[Comparable '#3 Dates],Benchmark1[[#This Row],[Benchmark '#1 Dates]])=1,"Pass","Fail")</f>
        <v>Pass</v>
      </c>
      <c r="Q796" s="6">
        <f>IF(Benchmark1[[#This Row],[Comparable '#3 Date Check]]="Pass",INDEX(Comp3[Comparable '#3 Price],MATCH(Benchmark1[[#This Row],[Benchmark '#1 Dates]],Comp3[Comparable '#3 Dates],0)),"-")</f>
        <v>77.94</v>
      </c>
      <c r="R796" s="22">
        <f>IF(Benchmark1[[#This Row],[Comparable '#3 Date Check]]="Pass",INDEX(Comp3[Comparable '#3 Return],MATCH(Benchmark1[[#This Row],[Benchmark '#1 Dates]],Comp3[Comparable '#3 Dates],0)),"-")</f>
        <v>1.330339284160084E-2</v>
      </c>
      <c r="S796" s="1">
        <f>IFERROR(IF(Benchmark1[[#This Row],[Comparable '#3 Date Check]]="Pass",Benchmark1[[#This Row],[Comparable '#3 Return]]-Benchmark1[[#This Row],[Benchmark '#1 Return]],"-"),"-")</f>
        <v>9.0050404656865576E-3</v>
      </c>
    </row>
    <row r="797" spans="1:19">
      <c r="A797" s="103">
        <v>44439</v>
      </c>
      <c r="B797" s="104">
        <v>4522.6801193645524</v>
      </c>
      <c r="C797" s="4">
        <f t="shared" si="12"/>
        <v>-1.3508397319083783E-3</v>
      </c>
      <c r="D797" s="1" t="str">
        <f>IF(COUNTIF(Target1[Target Dates],Benchmark1[[#This Row],[Benchmark '#1 Dates]])=1,"Pass","Fail")</f>
        <v>Pass</v>
      </c>
      <c r="E797" s="6">
        <f>IF(Benchmark1[[#This Row],[Target Date Check]]="Pass",INDEX(Target1[Target Price],MATCH(Benchmark1[[#This Row],[Benchmark '#1 Dates]],Target1[Target Dates],0)),"-")</f>
        <v>34.24</v>
      </c>
      <c r="F797" s="22">
        <f>IF(Benchmark1[[#This Row],[Target Date Check]]="Pass",INDEX(Target1[Target Return],MATCH(Benchmark1[[#This Row],[Benchmark '#1 Dates]],Target1[Target Dates],0)),"-")</f>
        <v>-7.5647727637726918E-3</v>
      </c>
      <c r="G797" s="1">
        <f>IFERROR(IF(Benchmark1[[#This Row],[Target Date Check]]="Pass",Benchmark1[[#This Row],[Target Return]]-Benchmark1[[#This Row],[Benchmark '#1 Return]],"-"),"-")</f>
        <v>-6.2139330318643137E-3</v>
      </c>
      <c r="H797" s="1" t="str">
        <f>IF(COUNTIF(Comp1[Comparable '#1 Dates],Benchmark1[[#This Row],[Benchmark '#1 Dates]])=1,"Pass","Fail")</f>
        <v>Pass</v>
      </c>
      <c r="I797" s="6">
        <f>IF(Benchmark1[[#This Row],[Comparable '#1 Date Check]]="Pass",INDEX(Comp1[Comparable '#1 Price],MATCH(Benchmark1[[#This Row],[Benchmark '#1 Dates]],Comp1[Comparable '#1 Dates],0)),"-")</f>
        <v>15.93</v>
      </c>
      <c r="J797" s="22">
        <f>IF(Benchmark1[[#This Row],[Comparable '#1 Date Check]]="Pass",INDEX(Comp1[Comparable '#1 Return],MATCH(Benchmark1[[#This Row],[Benchmark '#1 Dates]],Comp1[Comparable '#1 Dates],0)),"-")</f>
        <v>-6.275494401118012E-4</v>
      </c>
      <c r="K797" s="1">
        <f>IFERROR(IF(Benchmark1[[#This Row],[Comparable '#1 Date Check]]="Pass",Benchmark1[[#This Row],[Comparable '#1 Return]]-Benchmark1[[#This Row],[Benchmark '#1 Return]],"-"),"-")</f>
        <v>7.2329029179657705E-4</v>
      </c>
      <c r="L797" s="1" t="str">
        <f>IF(COUNTIF(Comp2[Comparable '#2 Dates],Benchmark1[[#This Row],[Benchmark '#1 Dates]])=1,"Pass","Fail")</f>
        <v>Pass</v>
      </c>
      <c r="M797" s="6">
        <f>IF(Benchmark1[[#This Row],[Comparable '#2 Date Check]]="Pass",INDEX(Comp2[Comparable '#2 Price],MATCH(Benchmark1[[#This Row],[Benchmark '#1 Dates]],Comp2[Comparable '#2 Dates],0)),"-")</f>
        <v>37</v>
      </c>
      <c r="N797" s="22">
        <f>IF(Benchmark1[[#This Row],[Comparable '#2 Date Check]]="Pass",INDEX(Comp2[Comparable '#2 Return],MATCH(Benchmark1[[#This Row],[Benchmark '#1 Dates]],Comp2[Comparable '#2 Dates],0)),"-")</f>
        <v>6.7796869853787691E-3</v>
      </c>
      <c r="O797" s="1">
        <f>IFERROR(IF(Benchmark1[[#This Row],[Comparable '#2 Date Check]]="Pass",Benchmark1[[#This Row],[Comparable '#2 Return]]-Benchmark1[[#This Row],[Benchmark '#1 Return]],"-"),"-")</f>
        <v>8.1305267172871471E-3</v>
      </c>
      <c r="P797" s="1" t="str">
        <f>IF(COUNTIF(Comp3[Comparable '#3 Dates],Benchmark1[[#This Row],[Benchmark '#1 Dates]])=1,"Pass","Fail")</f>
        <v>Pass</v>
      </c>
      <c r="Q797" s="6">
        <f>IF(Benchmark1[[#This Row],[Comparable '#3 Date Check]]="Pass",INDEX(Comp3[Comparable '#3 Price],MATCH(Benchmark1[[#This Row],[Benchmark '#1 Dates]],Comp3[Comparable '#3 Dates],0)),"-")</f>
        <v>78.28</v>
      </c>
      <c r="R797" s="22">
        <f>IF(Benchmark1[[#This Row],[Comparable '#3 Date Check]]="Pass",INDEX(Comp3[Comparable '#3 Return],MATCH(Benchmark1[[#This Row],[Benchmark '#1 Dates]],Comp3[Comparable '#3 Dates],0)),"-")</f>
        <v>4.3528426173124095E-3</v>
      </c>
      <c r="S797" s="1">
        <f>IFERROR(IF(Benchmark1[[#This Row],[Comparable '#3 Date Check]]="Pass",Benchmark1[[#This Row],[Comparable '#3 Return]]-Benchmark1[[#This Row],[Benchmark '#1 Return]],"-"),"-")</f>
        <v>5.7036823492207876E-3</v>
      </c>
    </row>
    <row r="798" spans="1:19">
      <c r="A798" s="103">
        <v>44440</v>
      </c>
      <c r="B798" s="104">
        <v>4524.0922712540041</v>
      </c>
      <c r="C798" s="4">
        <f t="shared" si="12"/>
        <v>3.1218910788246131E-4</v>
      </c>
      <c r="D798" s="1" t="str">
        <f>IF(COUNTIF(Target1[Target Dates],Benchmark1[[#This Row],[Benchmark '#1 Dates]])=1,"Pass","Fail")</f>
        <v>Pass</v>
      </c>
      <c r="E798" s="6">
        <f>IF(Benchmark1[[#This Row],[Target Date Check]]="Pass",INDEX(Target1[Target Price],MATCH(Benchmark1[[#This Row],[Benchmark '#1 Dates]],Target1[Target Dates],0)),"-")</f>
        <v>34.46</v>
      </c>
      <c r="F798" s="22">
        <f>IF(Benchmark1[[#This Row],[Target Date Check]]="Pass",INDEX(Target1[Target Return],MATCH(Benchmark1[[#This Row],[Benchmark '#1 Dates]],Target1[Target Dates],0)),"-")</f>
        <v>6.4046798262422048E-3</v>
      </c>
      <c r="G798" s="1">
        <f>IFERROR(IF(Benchmark1[[#This Row],[Target Date Check]]="Pass",Benchmark1[[#This Row],[Target Return]]-Benchmark1[[#This Row],[Benchmark '#1 Return]],"-"),"-")</f>
        <v>6.0924907183597431E-3</v>
      </c>
      <c r="H798" s="1" t="str">
        <f>IF(COUNTIF(Comp1[Comparable '#1 Dates],Benchmark1[[#This Row],[Benchmark '#1 Dates]])=1,"Pass","Fail")</f>
        <v>Pass</v>
      </c>
      <c r="I798" s="6">
        <f>IF(Benchmark1[[#This Row],[Comparable '#1 Date Check]]="Pass",INDEX(Comp1[Comparable '#1 Price],MATCH(Benchmark1[[#This Row],[Benchmark '#1 Dates]],Comp1[Comparable '#1 Dates],0)),"-")</f>
        <v>15.91</v>
      </c>
      <c r="J798" s="22">
        <f>IF(Benchmark1[[#This Row],[Comparable '#1 Date Check]]="Pass",INDEX(Comp1[Comparable '#1 Return],MATCH(Benchmark1[[#This Row],[Benchmark '#1 Dates]],Comp1[Comparable '#1 Dates],0)),"-")</f>
        <v>-1.2562815722616701E-3</v>
      </c>
      <c r="K798" s="1">
        <f>IFERROR(IF(Benchmark1[[#This Row],[Comparable '#1 Date Check]]="Pass",Benchmark1[[#This Row],[Comparable '#1 Return]]-Benchmark1[[#This Row],[Benchmark '#1 Return]],"-"),"-")</f>
        <v>-1.5684706801441313E-3</v>
      </c>
      <c r="L798" s="1" t="str">
        <f>IF(COUNTIF(Comp2[Comparable '#2 Dates],Benchmark1[[#This Row],[Benchmark '#1 Dates]])=1,"Pass","Fail")</f>
        <v>Pass</v>
      </c>
      <c r="M798" s="6">
        <f>IF(Benchmark1[[#This Row],[Comparable '#2 Date Check]]="Pass",INDEX(Comp2[Comparable '#2 Price],MATCH(Benchmark1[[#This Row],[Benchmark '#1 Dates]],Comp2[Comparable '#2 Dates],0)),"-")</f>
        <v>37.090000000000003</v>
      </c>
      <c r="N798" s="22">
        <f>IF(Benchmark1[[#This Row],[Comparable '#2 Date Check]]="Pass",INDEX(Comp2[Comparable '#2 Return],MATCH(Benchmark1[[#This Row],[Benchmark '#1 Dates]],Comp2[Comparable '#2 Dates],0)),"-")</f>
        <v>2.4294788572750766E-3</v>
      </c>
      <c r="O798" s="1">
        <f>IFERROR(IF(Benchmark1[[#This Row],[Comparable '#2 Date Check]]="Pass",Benchmark1[[#This Row],[Comparable '#2 Return]]-Benchmark1[[#This Row],[Benchmark '#1 Return]],"-"),"-")</f>
        <v>2.1172897493926153E-3</v>
      </c>
      <c r="P798" s="1" t="str">
        <f>IF(COUNTIF(Comp3[Comparable '#3 Dates],Benchmark1[[#This Row],[Benchmark '#1 Dates]])=1,"Pass","Fail")</f>
        <v>Pass</v>
      </c>
      <c r="Q798" s="6">
        <f>IF(Benchmark1[[#This Row],[Comparable '#3 Date Check]]="Pass",INDEX(Comp3[Comparable '#3 Price],MATCH(Benchmark1[[#This Row],[Benchmark '#1 Dates]],Comp3[Comparable '#3 Dates],0)),"-")</f>
        <v>77.84</v>
      </c>
      <c r="R798" s="22">
        <f>IF(Benchmark1[[#This Row],[Comparable '#3 Date Check]]="Pass",INDEX(Comp3[Comparable '#3 Return],MATCH(Benchmark1[[#This Row],[Benchmark '#1 Dates]],Comp3[Comparable '#3 Dates],0)),"-")</f>
        <v>-5.6367046501257798E-3</v>
      </c>
      <c r="S798" s="1">
        <f>IFERROR(IF(Benchmark1[[#This Row],[Comparable '#3 Date Check]]="Pass",Benchmark1[[#This Row],[Comparable '#3 Return]]-Benchmark1[[#This Row],[Benchmark '#1 Return]],"-"),"-")</f>
        <v>-5.9488937580082415E-3</v>
      </c>
    </row>
    <row r="799" spans="1:19">
      <c r="A799" s="103">
        <v>44441</v>
      </c>
      <c r="B799" s="104">
        <v>4536.9461637949216</v>
      </c>
      <c r="C799" s="4">
        <f t="shared" si="12"/>
        <v>2.8371805848611876E-3</v>
      </c>
      <c r="D799" s="1" t="str">
        <f>IF(COUNTIF(Target1[Target Dates],Benchmark1[[#This Row],[Benchmark '#1 Dates]])=1,"Pass","Fail")</f>
        <v>Pass</v>
      </c>
      <c r="E799" s="6">
        <f>IF(Benchmark1[[#This Row],[Target Date Check]]="Pass",INDEX(Target1[Target Price],MATCH(Benchmark1[[#This Row],[Benchmark '#1 Dates]],Target1[Target Dates],0)),"-")</f>
        <v>34.42</v>
      </c>
      <c r="F799" s="22">
        <f>IF(Benchmark1[[#This Row],[Target Date Check]]="Pass",INDEX(Target1[Target Return],MATCH(Benchmark1[[#This Row],[Benchmark '#1 Dates]],Target1[Target Dates],0)),"-")</f>
        <v>-1.1614403163901388E-3</v>
      </c>
      <c r="G799" s="1">
        <f>IFERROR(IF(Benchmark1[[#This Row],[Target Date Check]]="Pass",Benchmark1[[#This Row],[Target Return]]-Benchmark1[[#This Row],[Benchmark '#1 Return]],"-"),"-")</f>
        <v>-3.9986209012513266E-3</v>
      </c>
      <c r="H799" s="1" t="str">
        <f>IF(COUNTIF(Comp1[Comparable '#1 Dates],Benchmark1[[#This Row],[Benchmark '#1 Dates]])=1,"Pass","Fail")</f>
        <v>Pass</v>
      </c>
      <c r="I799" s="6">
        <f>IF(Benchmark1[[#This Row],[Comparable '#1 Date Check]]="Pass",INDEX(Comp1[Comparable '#1 Price],MATCH(Benchmark1[[#This Row],[Benchmark '#1 Dates]],Comp1[Comparable '#1 Dates],0)),"-")</f>
        <v>15.86</v>
      </c>
      <c r="J799" s="22">
        <f>IF(Benchmark1[[#This Row],[Comparable '#1 Date Check]]="Pass",INDEX(Comp1[Comparable '#1 Return],MATCH(Benchmark1[[#This Row],[Benchmark '#1 Dates]],Comp1[Comparable '#1 Dates],0)),"-")</f>
        <v>-3.1476261429936423E-3</v>
      </c>
      <c r="K799" s="1">
        <f>IFERROR(IF(Benchmark1[[#This Row],[Comparable '#1 Date Check]]="Pass",Benchmark1[[#This Row],[Comparable '#1 Return]]-Benchmark1[[#This Row],[Benchmark '#1 Return]],"-"),"-")</f>
        <v>-5.9848067278548299E-3</v>
      </c>
      <c r="L799" s="1" t="str">
        <f>IF(COUNTIF(Comp2[Comparable '#2 Dates],Benchmark1[[#This Row],[Benchmark '#1 Dates]])=1,"Pass","Fail")</f>
        <v>Pass</v>
      </c>
      <c r="M799" s="6">
        <f>IF(Benchmark1[[#This Row],[Comparable '#2 Date Check]]="Pass",INDEX(Comp2[Comparable '#2 Price],MATCH(Benchmark1[[#This Row],[Benchmark '#1 Dates]],Comp2[Comparable '#2 Dates],0)),"-")</f>
        <v>37.369999999999997</v>
      </c>
      <c r="N799" s="22">
        <f>IF(Benchmark1[[#This Row],[Comparable '#2 Date Check]]="Pass",INDEX(Comp2[Comparable '#2 Return],MATCH(Benchmark1[[#This Row],[Benchmark '#1 Dates]],Comp2[Comparable '#2 Dates],0)),"-")</f>
        <v>7.5208519958929422E-3</v>
      </c>
      <c r="O799" s="1">
        <f>IFERROR(IF(Benchmark1[[#This Row],[Comparable '#2 Date Check]]="Pass",Benchmark1[[#This Row],[Comparable '#2 Return]]-Benchmark1[[#This Row],[Benchmark '#1 Return]],"-"),"-")</f>
        <v>4.6836714110317541E-3</v>
      </c>
      <c r="P799" s="1" t="str">
        <f>IF(COUNTIF(Comp3[Comparable '#3 Dates],Benchmark1[[#This Row],[Benchmark '#1 Dates]])=1,"Pass","Fail")</f>
        <v>Pass</v>
      </c>
      <c r="Q799" s="6">
        <f>IF(Benchmark1[[#This Row],[Comparable '#3 Date Check]]="Pass",INDEX(Comp3[Comparable '#3 Price],MATCH(Benchmark1[[#This Row],[Benchmark '#1 Dates]],Comp3[Comparable '#3 Dates],0)),"-")</f>
        <v>77.400000000000006</v>
      </c>
      <c r="R799" s="22">
        <f>IF(Benchmark1[[#This Row],[Comparable '#3 Date Check]]="Pass",INDEX(Comp3[Comparable '#3 Return],MATCH(Benchmark1[[#This Row],[Benchmark '#1 Dates]],Comp3[Comparable '#3 Dates],0)),"-")</f>
        <v>-5.6686572820681715E-3</v>
      </c>
      <c r="S799" s="1">
        <f>IFERROR(IF(Benchmark1[[#This Row],[Comparable '#3 Date Check]]="Pass",Benchmark1[[#This Row],[Comparable '#3 Return]]-Benchmark1[[#This Row],[Benchmark '#1 Return]],"-"),"-")</f>
        <v>-8.5058378669293586E-3</v>
      </c>
    </row>
    <row r="800" spans="1:19">
      <c r="A800" s="103">
        <v>44442</v>
      </c>
      <c r="B800" s="104">
        <v>4535.4326449816017</v>
      </c>
      <c r="C800" s="4">
        <f t="shared" si="12"/>
        <v>-3.3365423981122417E-4</v>
      </c>
      <c r="D800" s="1" t="str">
        <f>IF(COUNTIF(Target1[Target Dates],Benchmark1[[#This Row],[Benchmark '#1 Dates]])=1,"Pass","Fail")</f>
        <v>Pass</v>
      </c>
      <c r="E800" s="6">
        <f>IF(Benchmark1[[#This Row],[Target Date Check]]="Pass",INDEX(Target1[Target Price],MATCH(Benchmark1[[#This Row],[Benchmark '#1 Dates]],Target1[Target Dates],0)),"-")</f>
        <v>34.049999999999997</v>
      </c>
      <c r="F800" s="22">
        <f>IF(Benchmark1[[#This Row],[Target Date Check]]="Pass",INDEX(Target1[Target Return],MATCH(Benchmark1[[#This Row],[Benchmark '#1 Dates]],Target1[Target Dates],0)),"-")</f>
        <v>-1.0807758187872087E-2</v>
      </c>
      <c r="G800" s="1">
        <f>IFERROR(IF(Benchmark1[[#This Row],[Target Date Check]]="Pass",Benchmark1[[#This Row],[Target Return]]-Benchmark1[[#This Row],[Benchmark '#1 Return]],"-"),"-")</f>
        <v>-1.0474103948060863E-2</v>
      </c>
      <c r="H800" s="1" t="str">
        <f>IF(COUNTIF(Comp1[Comparable '#1 Dates],Benchmark1[[#This Row],[Benchmark '#1 Dates]])=1,"Pass","Fail")</f>
        <v>Pass</v>
      </c>
      <c r="I800" s="6">
        <f>IF(Benchmark1[[#This Row],[Comparable '#1 Date Check]]="Pass",INDEX(Comp1[Comparable '#1 Price],MATCH(Benchmark1[[#This Row],[Benchmark '#1 Dates]],Comp1[Comparable '#1 Dates],0)),"-")</f>
        <v>15.61</v>
      </c>
      <c r="J800" s="22">
        <f>IF(Benchmark1[[#This Row],[Comparable '#1 Date Check]]="Pass",INDEX(Comp1[Comparable '#1 Return],MATCH(Benchmark1[[#This Row],[Benchmark '#1 Dates]],Comp1[Comparable '#1 Dates],0)),"-")</f>
        <v>-1.588848167936123E-2</v>
      </c>
      <c r="K800" s="1">
        <f>IFERROR(IF(Benchmark1[[#This Row],[Comparable '#1 Date Check]]="Pass",Benchmark1[[#This Row],[Comparable '#1 Return]]-Benchmark1[[#This Row],[Benchmark '#1 Return]],"-"),"-")</f>
        <v>-1.5554827439550006E-2</v>
      </c>
      <c r="L800" s="1" t="str">
        <f>IF(COUNTIF(Comp2[Comparable '#2 Dates],Benchmark1[[#This Row],[Benchmark '#1 Dates]])=1,"Pass","Fail")</f>
        <v>Pass</v>
      </c>
      <c r="M800" s="6">
        <f>IF(Benchmark1[[#This Row],[Comparable '#2 Date Check]]="Pass",INDEX(Comp2[Comparable '#2 Price],MATCH(Benchmark1[[#This Row],[Benchmark '#1 Dates]],Comp2[Comparable '#2 Dates],0)),"-")</f>
        <v>37.1</v>
      </c>
      <c r="N800" s="22">
        <f>IF(Benchmark1[[#This Row],[Comparable '#2 Date Check]]="Pass",INDEX(Comp2[Comparable '#2 Return],MATCH(Benchmark1[[#This Row],[Benchmark '#1 Dates]],Comp2[Comparable '#2 Dates],0)),"-")</f>
        <v>-7.2512738840030001E-3</v>
      </c>
      <c r="O800" s="1">
        <f>IFERROR(IF(Benchmark1[[#This Row],[Comparable '#2 Date Check]]="Pass",Benchmark1[[#This Row],[Comparable '#2 Return]]-Benchmark1[[#This Row],[Benchmark '#1 Return]],"-"),"-")</f>
        <v>-6.9176196441917762E-3</v>
      </c>
      <c r="P800" s="1" t="str">
        <f>IF(COUNTIF(Comp3[Comparable '#3 Dates],Benchmark1[[#This Row],[Benchmark '#1 Dates]])=1,"Pass","Fail")</f>
        <v>Pass</v>
      </c>
      <c r="Q800" s="6">
        <f>IF(Benchmark1[[#This Row],[Comparable '#3 Date Check]]="Pass",INDEX(Comp3[Comparable '#3 Price],MATCH(Benchmark1[[#This Row],[Benchmark '#1 Dates]],Comp3[Comparable '#3 Dates],0)),"-")</f>
        <v>77.25</v>
      </c>
      <c r="R800" s="22">
        <f>IF(Benchmark1[[#This Row],[Comparable '#3 Date Check]]="Pass",INDEX(Comp3[Comparable '#3 Return],MATCH(Benchmark1[[#This Row],[Benchmark '#1 Dates]],Comp3[Comparable '#3 Dates],0)),"-")</f>
        <v>-1.939864817826703E-3</v>
      </c>
      <c r="S800" s="1">
        <f>IFERROR(IF(Benchmark1[[#This Row],[Comparable '#3 Date Check]]="Pass",Benchmark1[[#This Row],[Comparable '#3 Return]]-Benchmark1[[#This Row],[Benchmark '#1 Return]],"-"),"-")</f>
        <v>-1.6062105780154789E-3</v>
      </c>
    </row>
    <row r="801" spans="1:19">
      <c r="A801" s="103">
        <v>44446</v>
      </c>
      <c r="B801" s="104">
        <v>4520.02775467431</v>
      </c>
      <c r="C801" s="4">
        <f t="shared" si="12"/>
        <v>-3.4023460957116084E-3</v>
      </c>
      <c r="D801" s="1" t="str">
        <f>IF(COUNTIF(Target1[Target Dates],Benchmark1[[#This Row],[Benchmark '#1 Dates]])=1,"Pass","Fail")</f>
        <v>Pass</v>
      </c>
      <c r="E801" s="6">
        <f>IF(Benchmark1[[#This Row],[Target Date Check]]="Pass",INDEX(Target1[Target Price],MATCH(Benchmark1[[#This Row],[Benchmark '#1 Dates]],Target1[Target Dates],0)),"-")</f>
        <v>33.36</v>
      </c>
      <c r="F801" s="22">
        <f>IF(Benchmark1[[#This Row],[Target Date Check]]="Pass",INDEX(Target1[Target Return],MATCH(Benchmark1[[#This Row],[Benchmark '#1 Dates]],Target1[Target Dates],0)),"-")</f>
        <v>-2.0472455104975345E-2</v>
      </c>
      <c r="G801" s="1">
        <f>IFERROR(IF(Benchmark1[[#This Row],[Target Date Check]]="Pass",Benchmark1[[#This Row],[Target Return]]-Benchmark1[[#This Row],[Benchmark '#1 Return]],"-"),"-")</f>
        <v>-1.7070109009263736E-2</v>
      </c>
      <c r="H801" s="1" t="str">
        <f>IF(COUNTIF(Comp1[Comparable '#1 Dates],Benchmark1[[#This Row],[Benchmark '#1 Dates]])=1,"Pass","Fail")</f>
        <v>Pass</v>
      </c>
      <c r="I801" s="6">
        <f>IF(Benchmark1[[#This Row],[Comparable '#1 Date Check]]="Pass",INDEX(Comp1[Comparable '#1 Price],MATCH(Benchmark1[[#This Row],[Benchmark '#1 Dates]],Comp1[Comparable '#1 Dates],0)),"-")</f>
        <v>16.02</v>
      </c>
      <c r="J801" s="22">
        <f>IF(Benchmark1[[#This Row],[Comparable '#1 Date Check]]="Pass",INDEX(Comp1[Comparable '#1 Return],MATCH(Benchmark1[[#This Row],[Benchmark '#1 Dates]],Comp1[Comparable '#1 Dates],0)),"-")</f>
        <v>2.592620711287251E-2</v>
      </c>
      <c r="K801" s="1">
        <f>IFERROR(IF(Benchmark1[[#This Row],[Comparable '#1 Date Check]]="Pass",Benchmark1[[#This Row],[Comparable '#1 Return]]-Benchmark1[[#This Row],[Benchmark '#1 Return]],"-"),"-")</f>
        <v>2.9328553208584119E-2</v>
      </c>
      <c r="L801" s="1" t="str">
        <f>IF(COUNTIF(Comp2[Comparable '#2 Dates],Benchmark1[[#This Row],[Benchmark '#1 Dates]])=1,"Pass","Fail")</f>
        <v>Pass</v>
      </c>
      <c r="M801" s="6">
        <f>IF(Benchmark1[[#This Row],[Comparable '#2 Date Check]]="Pass",INDEX(Comp2[Comparable '#2 Price],MATCH(Benchmark1[[#This Row],[Benchmark '#1 Dates]],Comp2[Comparable '#2 Dates],0)),"-")</f>
        <v>37.200000000000003</v>
      </c>
      <c r="N801" s="22">
        <f>IF(Benchmark1[[#This Row],[Comparable '#2 Date Check]]="Pass",INDEX(Comp2[Comparable '#2 Return],MATCH(Benchmark1[[#This Row],[Benchmark '#1 Dates]],Comp2[Comparable '#2 Dates],0)),"-")</f>
        <v>2.691791665711353E-3</v>
      </c>
      <c r="O801" s="1">
        <f>IFERROR(IF(Benchmark1[[#This Row],[Comparable '#2 Date Check]]="Pass",Benchmark1[[#This Row],[Comparable '#2 Return]]-Benchmark1[[#This Row],[Benchmark '#1 Return]],"-"),"-")</f>
        <v>6.0941377614229615E-3</v>
      </c>
      <c r="P801" s="1" t="str">
        <f>IF(COUNTIF(Comp3[Comparable '#3 Dates],Benchmark1[[#This Row],[Benchmark '#1 Dates]])=1,"Pass","Fail")</f>
        <v>Pass</v>
      </c>
      <c r="Q801" s="6">
        <f>IF(Benchmark1[[#This Row],[Comparable '#3 Date Check]]="Pass",INDEX(Comp3[Comparable '#3 Price],MATCH(Benchmark1[[#This Row],[Benchmark '#1 Dates]],Comp3[Comparable '#3 Dates],0)),"-")</f>
        <v>77.180000000000007</v>
      </c>
      <c r="R801" s="22">
        <f>IF(Benchmark1[[#This Row],[Comparable '#3 Date Check]]="Pass",INDEX(Comp3[Comparable '#3 Return],MATCH(Benchmark1[[#This Row],[Benchmark '#1 Dates]],Comp3[Comparable '#3 Dates],0)),"-")</f>
        <v>-9.0655966838211369E-4</v>
      </c>
      <c r="S801" s="1">
        <f>IFERROR(IF(Benchmark1[[#This Row],[Comparable '#3 Date Check]]="Pass",Benchmark1[[#This Row],[Comparable '#3 Return]]-Benchmark1[[#This Row],[Benchmark '#1 Return]],"-"),"-")</f>
        <v>2.4957864273294945E-3</v>
      </c>
    </row>
    <row r="802" spans="1:19">
      <c r="A802" s="103">
        <v>44447</v>
      </c>
      <c r="B802" s="104">
        <v>4514.0685254201353</v>
      </c>
      <c r="C802" s="4">
        <f t="shared" si="12"/>
        <v>-1.3192753173630778E-3</v>
      </c>
      <c r="D802" s="1" t="str">
        <f>IF(COUNTIF(Target1[Target Dates],Benchmark1[[#This Row],[Benchmark '#1 Dates]])=1,"Pass","Fail")</f>
        <v>Pass</v>
      </c>
      <c r="E802" s="6">
        <f>IF(Benchmark1[[#This Row],[Target Date Check]]="Pass",INDEX(Target1[Target Price],MATCH(Benchmark1[[#This Row],[Benchmark '#1 Dates]],Target1[Target Dates],0)),"-")</f>
        <v>33.229999999999997</v>
      </c>
      <c r="F802" s="22">
        <f>IF(Benchmark1[[#This Row],[Target Date Check]]="Pass",INDEX(Target1[Target Return],MATCH(Benchmark1[[#This Row],[Benchmark '#1 Dates]],Target1[Target Dates],0)),"-")</f>
        <v>-3.9044951240431842E-3</v>
      </c>
      <c r="G802" s="1">
        <f>IFERROR(IF(Benchmark1[[#This Row],[Target Date Check]]="Pass",Benchmark1[[#This Row],[Target Return]]-Benchmark1[[#This Row],[Benchmark '#1 Return]],"-"),"-")</f>
        <v>-2.5852198066801061E-3</v>
      </c>
      <c r="H802" s="1" t="str">
        <f>IF(COUNTIF(Comp1[Comparable '#1 Dates],Benchmark1[[#This Row],[Benchmark '#1 Dates]])=1,"Pass","Fail")</f>
        <v>Pass</v>
      </c>
      <c r="I802" s="6">
        <f>IF(Benchmark1[[#This Row],[Comparable '#1 Date Check]]="Pass",INDEX(Comp1[Comparable '#1 Price],MATCH(Benchmark1[[#This Row],[Benchmark '#1 Dates]],Comp1[Comparable '#1 Dates],0)),"-")</f>
        <v>16.260000000000002</v>
      </c>
      <c r="J802" s="22">
        <f>IF(Benchmark1[[#This Row],[Comparable '#1 Date Check]]="Pass",INDEX(Comp1[Comparable '#1 Return],MATCH(Benchmark1[[#This Row],[Benchmark '#1 Dates]],Comp1[Comparable '#1 Dates],0)),"-")</f>
        <v>1.4870162479451407E-2</v>
      </c>
      <c r="K802" s="1">
        <f>IFERROR(IF(Benchmark1[[#This Row],[Comparable '#1 Date Check]]="Pass",Benchmark1[[#This Row],[Comparable '#1 Return]]-Benchmark1[[#This Row],[Benchmark '#1 Return]],"-"),"-")</f>
        <v>1.6189437796814483E-2</v>
      </c>
      <c r="L802" s="1" t="str">
        <f>IF(COUNTIF(Comp2[Comparable '#2 Dates],Benchmark1[[#This Row],[Benchmark '#1 Dates]])=1,"Pass","Fail")</f>
        <v>Pass</v>
      </c>
      <c r="M802" s="6">
        <f>IF(Benchmark1[[#This Row],[Comparable '#2 Date Check]]="Pass",INDEX(Comp2[Comparable '#2 Price],MATCH(Benchmark1[[#This Row],[Benchmark '#1 Dates]],Comp2[Comparable '#2 Dates],0)),"-")</f>
        <v>37.79</v>
      </c>
      <c r="N802" s="22">
        <f>IF(Benchmark1[[#This Row],[Comparable '#2 Date Check]]="Pass",INDEX(Comp2[Comparable '#2 Return],MATCH(Benchmark1[[#This Row],[Benchmark '#1 Dates]],Comp2[Comparable '#2 Dates],0)),"-")</f>
        <v>1.5735756082296735E-2</v>
      </c>
      <c r="O802" s="1">
        <f>IFERROR(IF(Benchmark1[[#This Row],[Comparable '#2 Date Check]]="Pass",Benchmark1[[#This Row],[Comparable '#2 Return]]-Benchmark1[[#This Row],[Benchmark '#1 Return]],"-"),"-")</f>
        <v>1.7055031399659814E-2</v>
      </c>
      <c r="P802" s="1" t="str">
        <f>IF(COUNTIF(Comp3[Comparable '#3 Dates],Benchmark1[[#This Row],[Benchmark '#1 Dates]])=1,"Pass","Fail")</f>
        <v>Pass</v>
      </c>
      <c r="Q802" s="6">
        <f>IF(Benchmark1[[#This Row],[Comparable '#3 Date Check]]="Pass",INDEX(Comp3[Comparable '#3 Price],MATCH(Benchmark1[[#This Row],[Benchmark '#1 Dates]],Comp3[Comparable '#3 Dates],0)),"-")</f>
        <v>78.849999999999994</v>
      </c>
      <c r="R802" s="22">
        <f>IF(Benchmark1[[#This Row],[Comparable '#3 Date Check]]="Pass",INDEX(Comp3[Comparable '#3 Return],MATCH(Benchmark1[[#This Row],[Benchmark '#1 Dates]],Comp3[Comparable '#3 Dates],0)),"-")</f>
        <v>2.1406957299574533E-2</v>
      </c>
      <c r="S802" s="1">
        <f>IFERROR(IF(Benchmark1[[#This Row],[Comparable '#3 Date Check]]="Pass",Benchmark1[[#This Row],[Comparable '#3 Return]]-Benchmark1[[#This Row],[Benchmark '#1 Return]],"-"),"-")</f>
        <v>2.2726232616937611E-2</v>
      </c>
    </row>
    <row r="803" spans="1:19">
      <c r="A803" s="103">
        <v>44448</v>
      </c>
      <c r="B803" s="104">
        <v>4493.2842970430474</v>
      </c>
      <c r="C803" s="4">
        <f t="shared" si="12"/>
        <v>-4.6149552870756146E-3</v>
      </c>
      <c r="D803" s="1" t="str">
        <f>IF(COUNTIF(Target1[Target Dates],Benchmark1[[#This Row],[Benchmark '#1 Dates]])=1,"Pass","Fail")</f>
        <v>Pass</v>
      </c>
      <c r="E803" s="6">
        <f>IF(Benchmark1[[#This Row],[Target Date Check]]="Pass",INDEX(Target1[Target Price],MATCH(Benchmark1[[#This Row],[Benchmark '#1 Dates]],Target1[Target Dates],0)),"-")</f>
        <v>33.880000000000003</v>
      </c>
      <c r="F803" s="22">
        <f>IF(Benchmark1[[#This Row],[Target Date Check]]="Pass",INDEX(Target1[Target Return],MATCH(Benchmark1[[#This Row],[Benchmark '#1 Dates]],Target1[Target Dates],0)),"-")</f>
        <v>1.9371787417350874E-2</v>
      </c>
      <c r="G803" s="1">
        <f>IFERROR(IF(Benchmark1[[#This Row],[Target Date Check]]="Pass",Benchmark1[[#This Row],[Target Return]]-Benchmark1[[#This Row],[Benchmark '#1 Return]],"-"),"-")</f>
        <v>2.3986742704426488E-2</v>
      </c>
      <c r="H803" s="1" t="str">
        <f>IF(COUNTIF(Comp1[Comparable '#1 Dates],Benchmark1[[#This Row],[Benchmark '#1 Dates]])=1,"Pass","Fail")</f>
        <v>Pass</v>
      </c>
      <c r="I803" s="6">
        <f>IF(Benchmark1[[#This Row],[Comparable '#1 Date Check]]="Pass",INDEX(Comp1[Comparable '#1 Price],MATCH(Benchmark1[[#This Row],[Benchmark '#1 Dates]],Comp1[Comparable '#1 Dates],0)),"-")</f>
        <v>16.329999999999998</v>
      </c>
      <c r="J803" s="22">
        <f>IF(Benchmark1[[#This Row],[Comparable '#1 Date Check]]="Pass",INDEX(Comp1[Comparable '#1 Return],MATCH(Benchmark1[[#This Row],[Benchmark '#1 Dates]],Comp1[Comparable '#1 Dates],0)),"-")</f>
        <v>4.2958028627090427E-3</v>
      </c>
      <c r="K803" s="1">
        <f>IFERROR(IF(Benchmark1[[#This Row],[Comparable '#1 Date Check]]="Pass",Benchmark1[[#This Row],[Comparable '#1 Return]]-Benchmark1[[#This Row],[Benchmark '#1 Return]],"-"),"-")</f>
        <v>8.9107581497846582E-3</v>
      </c>
      <c r="L803" s="1" t="str">
        <f>IF(COUNTIF(Comp2[Comparable '#2 Dates],Benchmark1[[#This Row],[Benchmark '#1 Dates]])=1,"Pass","Fail")</f>
        <v>Pass</v>
      </c>
      <c r="M803" s="6">
        <f>IF(Benchmark1[[#This Row],[Comparable '#2 Date Check]]="Pass",INDEX(Comp2[Comparable '#2 Price],MATCH(Benchmark1[[#This Row],[Benchmark '#1 Dates]],Comp2[Comparable '#2 Dates],0)),"-")</f>
        <v>38.24</v>
      </c>
      <c r="N803" s="22">
        <f>IF(Benchmark1[[#This Row],[Comparable '#2 Date Check]]="Pass",INDEX(Comp2[Comparable '#2 Return],MATCH(Benchmark1[[#This Row],[Benchmark '#1 Dates]],Comp2[Comparable '#2 Dates],0)),"-")</f>
        <v>1.1837570821803112E-2</v>
      </c>
      <c r="O803" s="1">
        <f>IFERROR(IF(Benchmark1[[#This Row],[Comparable '#2 Date Check]]="Pass",Benchmark1[[#This Row],[Comparable '#2 Return]]-Benchmark1[[#This Row],[Benchmark '#1 Return]],"-"),"-")</f>
        <v>1.6452526108878728E-2</v>
      </c>
      <c r="P803" s="1" t="str">
        <f>IF(COUNTIF(Comp3[Comparable '#3 Dates],Benchmark1[[#This Row],[Benchmark '#1 Dates]])=1,"Pass","Fail")</f>
        <v>Pass</v>
      </c>
      <c r="Q803" s="6">
        <f>IF(Benchmark1[[#This Row],[Comparable '#3 Date Check]]="Pass",INDEX(Comp3[Comparable '#3 Price],MATCH(Benchmark1[[#This Row],[Benchmark '#1 Dates]],Comp3[Comparable '#3 Dates],0)),"-")</f>
        <v>77.8</v>
      </c>
      <c r="R803" s="22">
        <f>IF(Benchmark1[[#This Row],[Comparable '#3 Date Check]]="Pass",INDEX(Comp3[Comparable '#3 Return],MATCH(Benchmark1[[#This Row],[Benchmark '#1 Dates]],Comp3[Comparable '#3 Dates],0)),"-")</f>
        <v>-1.3405882224701385E-2</v>
      </c>
      <c r="S803" s="1">
        <f>IFERROR(IF(Benchmark1[[#This Row],[Comparable '#3 Date Check]]="Pass",Benchmark1[[#This Row],[Comparable '#3 Return]]-Benchmark1[[#This Row],[Benchmark '#1 Return]],"-"),"-")</f>
        <v>-8.7909269376257697E-3</v>
      </c>
    </row>
    <row r="804" spans="1:19">
      <c r="A804" s="103">
        <v>44449</v>
      </c>
      <c r="B804" s="104">
        <v>4458.5798545346197</v>
      </c>
      <c r="C804" s="4">
        <f t="shared" si="12"/>
        <v>-7.7536065751869021E-3</v>
      </c>
      <c r="D804" s="1" t="str">
        <f>IF(COUNTIF(Target1[Target Dates],Benchmark1[[#This Row],[Benchmark '#1 Dates]])=1,"Pass","Fail")</f>
        <v>Pass</v>
      </c>
      <c r="E804" s="6">
        <f>IF(Benchmark1[[#This Row],[Target Date Check]]="Pass",INDEX(Target1[Target Price],MATCH(Benchmark1[[#This Row],[Benchmark '#1 Dates]],Target1[Target Dates],0)),"-")</f>
        <v>33.450000000000003</v>
      </c>
      <c r="F804" s="22">
        <f>IF(Benchmark1[[#This Row],[Target Date Check]]="Pass",INDEX(Target1[Target Return],MATCH(Benchmark1[[#This Row],[Benchmark '#1 Dates]],Target1[Target Dates],0)),"-")</f>
        <v>-1.2773083209616169E-2</v>
      </c>
      <c r="G804" s="1">
        <f>IFERROR(IF(Benchmark1[[#This Row],[Target Date Check]]="Pass",Benchmark1[[#This Row],[Target Return]]-Benchmark1[[#This Row],[Benchmark '#1 Return]],"-"),"-")</f>
        <v>-5.0194766344292671E-3</v>
      </c>
      <c r="H804" s="1" t="str">
        <f>IF(COUNTIF(Comp1[Comparable '#1 Dates],Benchmark1[[#This Row],[Benchmark '#1 Dates]])=1,"Pass","Fail")</f>
        <v>Pass</v>
      </c>
      <c r="I804" s="6">
        <f>IF(Benchmark1[[#This Row],[Comparable '#1 Date Check]]="Pass",INDEX(Comp1[Comparable '#1 Price],MATCH(Benchmark1[[#This Row],[Benchmark '#1 Dates]],Comp1[Comparable '#1 Dates],0)),"-")</f>
        <v>16.8</v>
      </c>
      <c r="J804" s="22">
        <f>IF(Benchmark1[[#This Row],[Comparable '#1 Date Check]]="Pass",INDEX(Comp1[Comparable '#1 Return],MATCH(Benchmark1[[#This Row],[Benchmark '#1 Dates]],Comp1[Comparable '#1 Dates],0)),"-")</f>
        <v>2.8374979426839583E-2</v>
      </c>
      <c r="K804" s="1">
        <f>IFERROR(IF(Benchmark1[[#This Row],[Comparable '#1 Date Check]]="Pass",Benchmark1[[#This Row],[Comparable '#1 Return]]-Benchmark1[[#This Row],[Benchmark '#1 Return]],"-"),"-")</f>
        <v>3.6128586002026487E-2</v>
      </c>
      <c r="L804" s="1" t="str">
        <f>IF(COUNTIF(Comp2[Comparable '#2 Dates],Benchmark1[[#This Row],[Benchmark '#1 Dates]])=1,"Pass","Fail")</f>
        <v>Pass</v>
      </c>
      <c r="M804" s="6">
        <f>IF(Benchmark1[[#This Row],[Comparable '#2 Date Check]]="Pass",INDEX(Comp2[Comparable '#2 Price],MATCH(Benchmark1[[#This Row],[Benchmark '#1 Dates]],Comp2[Comparable '#2 Dates],0)),"-")</f>
        <v>37.44</v>
      </c>
      <c r="N804" s="22">
        <f>IF(Benchmark1[[#This Row],[Comparable '#2 Date Check]]="Pass",INDEX(Comp2[Comparable '#2 Return],MATCH(Benchmark1[[#This Row],[Benchmark '#1 Dates]],Comp2[Comparable '#2 Dates],0)),"-")</f>
        <v>-2.1142436573809351E-2</v>
      </c>
      <c r="O804" s="1">
        <f>IFERROR(IF(Benchmark1[[#This Row],[Comparable '#2 Date Check]]="Pass",Benchmark1[[#This Row],[Comparable '#2 Return]]-Benchmark1[[#This Row],[Benchmark '#1 Return]],"-"),"-")</f>
        <v>-1.338882999862245E-2</v>
      </c>
      <c r="P804" s="1" t="str">
        <f>IF(COUNTIF(Comp3[Comparable '#3 Dates],Benchmark1[[#This Row],[Benchmark '#1 Dates]])=1,"Pass","Fail")</f>
        <v>Pass</v>
      </c>
      <c r="Q804" s="6">
        <f>IF(Benchmark1[[#This Row],[Comparable '#3 Date Check]]="Pass",INDEX(Comp3[Comparable '#3 Price],MATCH(Benchmark1[[#This Row],[Benchmark '#1 Dates]],Comp3[Comparable '#3 Dates],0)),"-")</f>
        <v>75.45</v>
      </c>
      <c r="R804" s="22">
        <f>IF(Benchmark1[[#This Row],[Comparable '#3 Date Check]]="Pass",INDEX(Comp3[Comparable '#3 Return],MATCH(Benchmark1[[#This Row],[Benchmark '#1 Dates]],Comp3[Comparable '#3 Dates],0)),"-")</f>
        <v>-3.0671245970487891E-2</v>
      </c>
      <c r="S804" s="1">
        <f>IFERROR(IF(Benchmark1[[#This Row],[Comparable '#3 Date Check]]="Pass",Benchmark1[[#This Row],[Comparable '#3 Return]]-Benchmark1[[#This Row],[Benchmark '#1 Return]],"-"),"-")</f>
        <v>-2.291763939530099E-2</v>
      </c>
    </row>
    <row r="805" spans="1:19">
      <c r="A805" s="103">
        <v>44452</v>
      </c>
      <c r="B805" s="104">
        <v>4468.726298365521</v>
      </c>
      <c r="C805" s="4">
        <f t="shared" si="12"/>
        <v>2.273126523521898E-3</v>
      </c>
      <c r="D805" s="1" t="str">
        <f>IF(COUNTIF(Target1[Target Dates],Benchmark1[[#This Row],[Benchmark '#1 Dates]])=1,"Pass","Fail")</f>
        <v>Pass</v>
      </c>
      <c r="E805" s="6">
        <f>IF(Benchmark1[[#This Row],[Target Date Check]]="Pass",INDEX(Target1[Target Price],MATCH(Benchmark1[[#This Row],[Benchmark '#1 Dates]],Target1[Target Dates],0)),"-")</f>
        <v>33.29</v>
      </c>
      <c r="F805" s="22">
        <f>IF(Benchmark1[[#This Row],[Target Date Check]]="Pass",INDEX(Target1[Target Return],MATCH(Benchmark1[[#This Row],[Benchmark '#1 Dates]],Target1[Target Dates],0)),"-")</f>
        <v>-4.794734987304E-3</v>
      </c>
      <c r="G805" s="1">
        <f>IFERROR(IF(Benchmark1[[#This Row],[Target Date Check]]="Pass",Benchmark1[[#This Row],[Target Return]]-Benchmark1[[#This Row],[Benchmark '#1 Return]],"-"),"-")</f>
        <v>-7.067861510825898E-3</v>
      </c>
      <c r="H805" s="1" t="str">
        <f>IF(COUNTIF(Comp1[Comparable '#1 Dates],Benchmark1[[#This Row],[Benchmark '#1 Dates]])=1,"Pass","Fail")</f>
        <v>Pass</v>
      </c>
      <c r="I805" s="6">
        <f>IF(Benchmark1[[#This Row],[Comparable '#1 Date Check]]="Pass",INDEX(Comp1[Comparable '#1 Price],MATCH(Benchmark1[[#This Row],[Benchmark '#1 Dates]],Comp1[Comparable '#1 Dates],0)),"-")</f>
        <v>17</v>
      </c>
      <c r="J805" s="22">
        <f>IF(Benchmark1[[#This Row],[Comparable '#1 Date Check]]="Pass",INDEX(Comp1[Comparable '#1 Return],MATCH(Benchmark1[[#This Row],[Benchmark '#1 Dates]],Comp1[Comparable '#1 Dates],0)),"-")</f>
        <v>1.1834457647002798E-2</v>
      </c>
      <c r="K805" s="1">
        <f>IFERROR(IF(Benchmark1[[#This Row],[Comparable '#1 Date Check]]="Pass",Benchmark1[[#This Row],[Comparable '#1 Return]]-Benchmark1[[#This Row],[Benchmark '#1 Return]],"-"),"-")</f>
        <v>9.5613311234809002E-3</v>
      </c>
      <c r="L805" s="1" t="str">
        <f>IF(COUNTIF(Comp2[Comparable '#2 Dates],Benchmark1[[#This Row],[Benchmark '#1 Dates]])=1,"Pass","Fail")</f>
        <v>Pass</v>
      </c>
      <c r="M805" s="6">
        <f>IF(Benchmark1[[#This Row],[Comparable '#2 Date Check]]="Pass",INDEX(Comp2[Comparable '#2 Price],MATCH(Benchmark1[[#This Row],[Benchmark '#1 Dates]],Comp2[Comparable '#2 Dates],0)),"-")</f>
        <v>38.25</v>
      </c>
      <c r="N805" s="22">
        <f>IF(Benchmark1[[#This Row],[Comparable '#2 Date Check]]="Pass",INDEX(Comp2[Comparable '#2 Return],MATCH(Benchmark1[[#This Row],[Benchmark '#1 Dates]],Comp2[Comparable '#2 Dates],0)),"-")</f>
        <v>2.140390866315358E-2</v>
      </c>
      <c r="O805" s="1">
        <f>IFERROR(IF(Benchmark1[[#This Row],[Comparable '#2 Date Check]]="Pass",Benchmark1[[#This Row],[Comparable '#2 Return]]-Benchmark1[[#This Row],[Benchmark '#1 Return]],"-"),"-")</f>
        <v>1.913078213963168E-2</v>
      </c>
      <c r="P805" s="1" t="str">
        <f>IF(COUNTIF(Comp3[Comparable '#3 Dates],Benchmark1[[#This Row],[Benchmark '#1 Dates]])=1,"Pass","Fail")</f>
        <v>Pass</v>
      </c>
      <c r="Q805" s="6">
        <f>IF(Benchmark1[[#This Row],[Comparable '#3 Date Check]]="Pass",INDEX(Comp3[Comparable '#3 Price],MATCH(Benchmark1[[#This Row],[Benchmark '#1 Dates]],Comp3[Comparable '#3 Dates],0)),"-")</f>
        <v>73.459999999999994</v>
      </c>
      <c r="R805" s="22">
        <f>IF(Benchmark1[[#This Row],[Comparable '#3 Date Check]]="Pass",INDEX(Comp3[Comparable '#3 Return],MATCH(Benchmark1[[#This Row],[Benchmark '#1 Dates]],Comp3[Comparable '#3 Dates],0)),"-")</f>
        <v>-2.6729144822336723E-2</v>
      </c>
      <c r="S805" s="1">
        <f>IFERROR(IF(Benchmark1[[#This Row],[Comparable '#3 Date Check]]="Pass",Benchmark1[[#This Row],[Comparable '#3 Return]]-Benchmark1[[#This Row],[Benchmark '#1 Return]],"-"),"-")</f>
        <v>-2.9002271345858623E-2</v>
      </c>
    </row>
    <row r="806" spans="1:19">
      <c r="A806" s="103">
        <v>44453</v>
      </c>
      <c r="B806" s="104">
        <v>4443.0498649946767</v>
      </c>
      <c r="C806" s="4">
        <f t="shared" si="12"/>
        <v>-5.7623764216976903E-3</v>
      </c>
      <c r="D806" s="1" t="str">
        <f>IF(COUNTIF(Target1[Target Dates],Benchmark1[[#This Row],[Benchmark '#1 Dates]])=1,"Pass","Fail")</f>
        <v>Pass</v>
      </c>
      <c r="E806" s="6">
        <f>IF(Benchmark1[[#This Row],[Target Date Check]]="Pass",INDEX(Target1[Target Price],MATCH(Benchmark1[[#This Row],[Benchmark '#1 Dates]],Target1[Target Dates],0)),"-")</f>
        <v>33.79</v>
      </c>
      <c r="F806" s="22">
        <f>IF(Benchmark1[[#This Row],[Target Date Check]]="Pass",INDEX(Target1[Target Return],MATCH(Benchmark1[[#This Row],[Benchmark '#1 Dates]],Target1[Target Dates],0)),"-")</f>
        <v>1.4907849139264996E-2</v>
      </c>
      <c r="G806" s="1">
        <f>IFERROR(IF(Benchmark1[[#This Row],[Target Date Check]]="Pass",Benchmark1[[#This Row],[Target Return]]-Benchmark1[[#This Row],[Benchmark '#1 Return]],"-"),"-")</f>
        <v>2.0670225560962686E-2</v>
      </c>
      <c r="H806" s="1" t="str">
        <f>IF(COUNTIF(Comp1[Comparable '#1 Dates],Benchmark1[[#This Row],[Benchmark '#1 Dates]])=1,"Pass","Fail")</f>
        <v>Pass</v>
      </c>
      <c r="I806" s="6">
        <f>IF(Benchmark1[[#This Row],[Comparable '#1 Date Check]]="Pass",INDEX(Comp1[Comparable '#1 Price],MATCH(Benchmark1[[#This Row],[Benchmark '#1 Dates]],Comp1[Comparable '#1 Dates],0)),"-")</f>
        <v>16.96</v>
      </c>
      <c r="J806" s="22">
        <f>IF(Benchmark1[[#This Row],[Comparable '#1 Date Check]]="Pass",INDEX(Comp1[Comparable '#1 Return],MATCH(Benchmark1[[#This Row],[Benchmark '#1 Dates]],Comp1[Comparable '#1 Dates],0)),"-")</f>
        <v>-2.3557136924590365E-3</v>
      </c>
      <c r="K806" s="1">
        <f>IFERROR(IF(Benchmark1[[#This Row],[Comparable '#1 Date Check]]="Pass",Benchmark1[[#This Row],[Comparable '#1 Return]]-Benchmark1[[#This Row],[Benchmark '#1 Return]],"-"),"-")</f>
        <v>3.4066627292386538E-3</v>
      </c>
      <c r="L806" s="1" t="str">
        <f>IF(COUNTIF(Comp2[Comparable '#2 Dates],Benchmark1[[#This Row],[Benchmark '#1 Dates]])=1,"Pass","Fail")</f>
        <v>Pass</v>
      </c>
      <c r="M806" s="6">
        <f>IF(Benchmark1[[#This Row],[Comparable '#2 Date Check]]="Pass",INDEX(Comp2[Comparable '#2 Price],MATCH(Benchmark1[[#This Row],[Benchmark '#1 Dates]],Comp2[Comparable '#2 Dates],0)),"-")</f>
        <v>38.01</v>
      </c>
      <c r="N806" s="22">
        <f>IF(Benchmark1[[#This Row],[Comparable '#2 Date Check]]="Pass",INDEX(Comp2[Comparable '#2 Return],MATCH(Benchmark1[[#This Row],[Benchmark '#1 Dates]],Comp2[Comparable '#2 Dates],0)),"-")</f>
        <v>-6.2942772713875357E-3</v>
      </c>
      <c r="O806" s="1">
        <f>IFERROR(IF(Benchmark1[[#This Row],[Comparable '#2 Date Check]]="Pass",Benchmark1[[#This Row],[Comparable '#2 Return]]-Benchmark1[[#This Row],[Benchmark '#1 Return]],"-"),"-")</f>
        <v>-5.3190084968984547E-4</v>
      </c>
      <c r="P806" s="1" t="str">
        <f>IF(COUNTIF(Comp3[Comparable '#3 Dates],Benchmark1[[#This Row],[Benchmark '#1 Dates]])=1,"Pass","Fail")</f>
        <v>Pass</v>
      </c>
      <c r="Q806" s="6">
        <f>IF(Benchmark1[[#This Row],[Comparable '#3 Date Check]]="Pass",INDEX(Comp3[Comparable '#3 Price],MATCH(Benchmark1[[#This Row],[Benchmark '#1 Dates]],Comp3[Comparable '#3 Dates],0)),"-")</f>
        <v>73.64</v>
      </c>
      <c r="R806" s="22">
        <f>IF(Benchmark1[[#This Row],[Comparable '#3 Date Check]]="Pass",INDEX(Comp3[Comparable '#3 Return],MATCH(Benchmark1[[#This Row],[Benchmark '#1 Dates]],Comp3[Comparable '#3 Dates],0)),"-")</f>
        <v>2.4473159733558506E-3</v>
      </c>
      <c r="S806" s="1">
        <f>IFERROR(IF(Benchmark1[[#This Row],[Comparable '#3 Date Check]]="Pass",Benchmark1[[#This Row],[Comparable '#3 Return]]-Benchmark1[[#This Row],[Benchmark '#1 Return]],"-"),"-")</f>
        <v>8.2096923950535413E-3</v>
      </c>
    </row>
    <row r="807" spans="1:19">
      <c r="A807" s="103">
        <v>44454</v>
      </c>
      <c r="B807" s="104">
        <v>4480.7014938553921</v>
      </c>
      <c r="C807" s="4">
        <f t="shared" si="12"/>
        <v>8.4385704566928912E-3</v>
      </c>
      <c r="D807" s="1" t="str">
        <f>IF(COUNTIF(Target1[Target Dates],Benchmark1[[#This Row],[Benchmark '#1 Dates]])=1,"Pass","Fail")</f>
        <v>Pass</v>
      </c>
      <c r="E807" s="6">
        <f>IF(Benchmark1[[#This Row],[Target Date Check]]="Pass",INDEX(Target1[Target Price],MATCH(Benchmark1[[#This Row],[Benchmark '#1 Dates]],Target1[Target Dates],0)),"-")</f>
        <v>34.79</v>
      </c>
      <c r="F807" s="22">
        <f>IF(Benchmark1[[#This Row],[Target Date Check]]="Pass",INDEX(Target1[Target Return],MATCH(Benchmark1[[#This Row],[Benchmark '#1 Dates]],Target1[Target Dates],0)),"-")</f>
        <v>2.9165088437651997E-2</v>
      </c>
      <c r="G807" s="1">
        <f>IFERROR(IF(Benchmark1[[#This Row],[Target Date Check]]="Pass",Benchmark1[[#This Row],[Target Return]]-Benchmark1[[#This Row],[Benchmark '#1 Return]],"-"),"-")</f>
        <v>2.0726517980959105E-2</v>
      </c>
      <c r="H807" s="1" t="str">
        <f>IF(COUNTIF(Comp1[Comparable '#1 Dates],Benchmark1[[#This Row],[Benchmark '#1 Dates]])=1,"Pass","Fail")</f>
        <v>Pass</v>
      </c>
      <c r="I807" s="6">
        <f>IF(Benchmark1[[#This Row],[Comparable '#1 Date Check]]="Pass",INDEX(Comp1[Comparable '#1 Price],MATCH(Benchmark1[[#This Row],[Benchmark '#1 Dates]],Comp1[Comparable '#1 Dates],0)),"-")</f>
        <v>16.96</v>
      </c>
      <c r="J807" s="22">
        <f>IF(Benchmark1[[#This Row],[Comparable '#1 Date Check]]="Pass",INDEX(Comp1[Comparable '#1 Return],MATCH(Benchmark1[[#This Row],[Benchmark '#1 Dates]],Comp1[Comparable '#1 Dates],0)),"-")</f>
        <v>0</v>
      </c>
      <c r="K807" s="1">
        <f>IFERROR(IF(Benchmark1[[#This Row],[Comparable '#1 Date Check]]="Pass",Benchmark1[[#This Row],[Comparable '#1 Return]]-Benchmark1[[#This Row],[Benchmark '#1 Return]],"-"),"-")</f>
        <v>-8.4385704566928912E-3</v>
      </c>
      <c r="L807" s="1" t="str">
        <f>IF(COUNTIF(Comp2[Comparable '#2 Dates],Benchmark1[[#This Row],[Benchmark '#1 Dates]])=1,"Pass","Fail")</f>
        <v>Pass</v>
      </c>
      <c r="M807" s="6">
        <f>IF(Benchmark1[[#This Row],[Comparable '#2 Date Check]]="Pass",INDEX(Comp2[Comparable '#2 Price],MATCH(Benchmark1[[#This Row],[Benchmark '#1 Dates]],Comp2[Comparable '#2 Dates],0)),"-")</f>
        <v>38.21</v>
      </c>
      <c r="N807" s="22">
        <f>IF(Benchmark1[[#This Row],[Comparable '#2 Date Check]]="Pass",INDEX(Comp2[Comparable '#2 Return],MATCH(Benchmark1[[#This Row],[Benchmark '#1 Dates]],Comp2[Comparable '#2 Dates],0)),"-")</f>
        <v>5.2479784576512567E-3</v>
      </c>
      <c r="O807" s="1">
        <f>IFERROR(IF(Benchmark1[[#This Row],[Comparable '#2 Date Check]]="Pass",Benchmark1[[#This Row],[Comparable '#2 Return]]-Benchmark1[[#This Row],[Benchmark '#1 Return]],"-"),"-")</f>
        <v>-3.1905919990416346E-3</v>
      </c>
      <c r="P807" s="1" t="str">
        <f>IF(COUNTIF(Comp3[Comparable '#3 Dates],Benchmark1[[#This Row],[Benchmark '#1 Dates]])=1,"Pass","Fail")</f>
        <v>Pass</v>
      </c>
      <c r="Q807" s="6">
        <f>IF(Benchmark1[[#This Row],[Comparable '#3 Date Check]]="Pass",INDEX(Comp3[Comparable '#3 Price],MATCH(Benchmark1[[#This Row],[Benchmark '#1 Dates]],Comp3[Comparable '#3 Dates],0)),"-")</f>
        <v>71.55</v>
      </c>
      <c r="R807" s="22">
        <f>IF(Benchmark1[[#This Row],[Comparable '#3 Date Check]]="Pass",INDEX(Comp3[Comparable '#3 Return],MATCH(Benchmark1[[#This Row],[Benchmark '#1 Dates]],Comp3[Comparable '#3 Dates],0)),"-")</f>
        <v>-2.8791850362417219E-2</v>
      </c>
      <c r="S807" s="1">
        <f>IFERROR(IF(Benchmark1[[#This Row],[Comparable '#3 Date Check]]="Pass",Benchmark1[[#This Row],[Comparable '#3 Return]]-Benchmark1[[#This Row],[Benchmark '#1 Return]],"-"),"-")</f>
        <v>-3.7230420819110113E-2</v>
      </c>
    </row>
    <row r="808" spans="1:19">
      <c r="A808" s="103">
        <v>44455</v>
      </c>
      <c r="B808" s="104">
        <v>4473.7527516669361</v>
      </c>
      <c r="C808" s="4">
        <f t="shared" si="12"/>
        <v>-1.5520194514935014E-3</v>
      </c>
      <c r="D808" s="1" t="str">
        <f>IF(COUNTIF(Target1[Target Dates],Benchmark1[[#This Row],[Benchmark '#1 Dates]])=1,"Pass","Fail")</f>
        <v>Pass</v>
      </c>
      <c r="E808" s="6">
        <f>IF(Benchmark1[[#This Row],[Target Date Check]]="Pass",INDEX(Target1[Target Price],MATCH(Benchmark1[[#This Row],[Benchmark '#1 Dates]],Target1[Target Dates],0)),"-")</f>
        <v>34.93</v>
      </c>
      <c r="F808" s="22">
        <f>IF(Benchmark1[[#This Row],[Target Date Check]]="Pass",INDEX(Target1[Target Return],MATCH(Benchmark1[[#This Row],[Benchmark '#1 Dates]],Target1[Target Dates],0)),"-")</f>
        <v>4.0160696548899649E-3</v>
      </c>
      <c r="G808" s="1">
        <f>IFERROR(IF(Benchmark1[[#This Row],[Target Date Check]]="Pass",Benchmark1[[#This Row],[Target Return]]-Benchmark1[[#This Row],[Benchmark '#1 Return]],"-"),"-")</f>
        <v>5.5680891063834663E-3</v>
      </c>
      <c r="H808" s="1" t="str">
        <f>IF(COUNTIF(Comp1[Comparable '#1 Dates],Benchmark1[[#This Row],[Benchmark '#1 Dates]])=1,"Pass","Fail")</f>
        <v>Pass</v>
      </c>
      <c r="I808" s="6">
        <f>IF(Benchmark1[[#This Row],[Comparable '#1 Date Check]]="Pass",INDEX(Comp1[Comparable '#1 Price],MATCH(Benchmark1[[#This Row],[Benchmark '#1 Dates]],Comp1[Comparable '#1 Dates],0)),"-")</f>
        <v>17.5</v>
      </c>
      <c r="J808" s="22">
        <f>IF(Benchmark1[[#This Row],[Comparable '#1 Date Check]]="Pass",INDEX(Comp1[Comparable '#1 Return],MATCH(Benchmark1[[#This Row],[Benchmark '#1 Dates]],Comp1[Comparable '#1 Dates],0)),"-")</f>
        <v>3.1343250565711335E-2</v>
      </c>
      <c r="K808" s="1">
        <f>IFERROR(IF(Benchmark1[[#This Row],[Comparable '#1 Date Check]]="Pass",Benchmark1[[#This Row],[Comparable '#1 Return]]-Benchmark1[[#This Row],[Benchmark '#1 Return]],"-"),"-")</f>
        <v>3.2895270017204839E-2</v>
      </c>
      <c r="L808" s="1" t="str">
        <f>IF(COUNTIF(Comp2[Comparable '#2 Dates],Benchmark1[[#This Row],[Benchmark '#1 Dates]])=1,"Pass","Fail")</f>
        <v>Pass</v>
      </c>
      <c r="M808" s="6">
        <f>IF(Benchmark1[[#This Row],[Comparable '#2 Date Check]]="Pass",INDEX(Comp2[Comparable '#2 Price],MATCH(Benchmark1[[#This Row],[Benchmark '#1 Dates]],Comp2[Comparable '#2 Dates],0)),"-")</f>
        <v>38.1</v>
      </c>
      <c r="N808" s="22">
        <f>IF(Benchmark1[[#This Row],[Comparable '#2 Date Check]]="Pass",INDEX(Comp2[Comparable '#2 Return],MATCH(Benchmark1[[#This Row],[Benchmark '#1 Dates]],Comp2[Comparable '#2 Dates],0)),"-")</f>
        <v>-2.8829793261533339E-3</v>
      </c>
      <c r="O808" s="1">
        <f>IFERROR(IF(Benchmark1[[#This Row],[Comparable '#2 Date Check]]="Pass",Benchmark1[[#This Row],[Comparable '#2 Return]]-Benchmark1[[#This Row],[Benchmark '#1 Return]],"-"),"-")</f>
        <v>-1.3309598746598325E-3</v>
      </c>
      <c r="P808" s="1" t="str">
        <f>IF(COUNTIF(Comp3[Comparable '#3 Dates],Benchmark1[[#This Row],[Benchmark '#1 Dates]])=1,"Pass","Fail")</f>
        <v>Pass</v>
      </c>
      <c r="Q808" s="6">
        <f>IF(Benchmark1[[#This Row],[Comparable '#3 Date Check]]="Pass",INDEX(Comp3[Comparable '#3 Price],MATCH(Benchmark1[[#This Row],[Benchmark '#1 Dates]],Comp3[Comparable '#3 Dates],0)),"-")</f>
        <v>71.33</v>
      </c>
      <c r="R808" s="22">
        <f>IF(Benchmark1[[#This Row],[Comparable '#3 Date Check]]="Pass",INDEX(Comp3[Comparable '#3 Return],MATCH(Benchmark1[[#This Row],[Benchmark '#1 Dates]],Comp3[Comparable '#3 Dates],0)),"-")</f>
        <v>-3.0795097125131143E-3</v>
      </c>
      <c r="S808" s="1">
        <f>IFERROR(IF(Benchmark1[[#This Row],[Comparable '#3 Date Check]]="Pass",Benchmark1[[#This Row],[Comparable '#3 Return]]-Benchmark1[[#This Row],[Benchmark '#1 Return]],"-"),"-")</f>
        <v>-1.5274902610196129E-3</v>
      </c>
    </row>
    <row r="809" spans="1:19">
      <c r="A809" s="103">
        <v>44456</v>
      </c>
      <c r="B809" s="104">
        <v>4432.9874800295211</v>
      </c>
      <c r="C809" s="4">
        <f t="shared" si="12"/>
        <v>-9.1538666742698987E-3</v>
      </c>
      <c r="D809" s="1" t="str">
        <f>IF(COUNTIF(Target1[Target Dates],Benchmark1[[#This Row],[Benchmark '#1 Dates]])=1,"Pass","Fail")</f>
        <v>Pass</v>
      </c>
      <c r="E809" s="6">
        <f>IF(Benchmark1[[#This Row],[Target Date Check]]="Pass",INDEX(Target1[Target Price],MATCH(Benchmark1[[#This Row],[Benchmark '#1 Dates]],Target1[Target Dates],0)),"-")</f>
        <v>35.68</v>
      </c>
      <c r="F809" s="22">
        <f>IF(Benchmark1[[#This Row],[Target Date Check]]="Pass",INDEX(Target1[Target Return],MATCH(Benchmark1[[#This Row],[Benchmark '#1 Dates]],Target1[Target Dates],0)),"-")</f>
        <v>2.1244248893068033E-2</v>
      </c>
      <c r="G809" s="1">
        <f>IFERROR(IF(Benchmark1[[#This Row],[Target Date Check]]="Pass",Benchmark1[[#This Row],[Target Return]]-Benchmark1[[#This Row],[Benchmark '#1 Return]],"-"),"-")</f>
        <v>3.039811556733793E-2</v>
      </c>
      <c r="H809" s="1" t="str">
        <f>IF(COUNTIF(Comp1[Comparable '#1 Dates],Benchmark1[[#This Row],[Benchmark '#1 Dates]])=1,"Pass","Fail")</f>
        <v>Pass</v>
      </c>
      <c r="I809" s="6">
        <f>IF(Benchmark1[[#This Row],[Comparable '#1 Date Check]]="Pass",INDEX(Comp1[Comparable '#1 Price],MATCH(Benchmark1[[#This Row],[Benchmark '#1 Dates]],Comp1[Comparable '#1 Dates],0)),"-")</f>
        <v>17.489999999999998</v>
      </c>
      <c r="J809" s="22">
        <f>IF(Benchmark1[[#This Row],[Comparable '#1 Date Check]]="Pass",INDEX(Comp1[Comparable '#1 Return],MATCH(Benchmark1[[#This Row],[Benchmark '#1 Dates]],Comp1[Comparable '#1 Dates],0)),"-")</f>
        <v>-5.7159189895776444E-4</v>
      </c>
      <c r="K809" s="1">
        <f>IFERROR(IF(Benchmark1[[#This Row],[Comparable '#1 Date Check]]="Pass",Benchmark1[[#This Row],[Comparable '#1 Return]]-Benchmark1[[#This Row],[Benchmark '#1 Return]],"-"),"-")</f>
        <v>8.5822747753121348E-3</v>
      </c>
      <c r="L809" s="1" t="str">
        <f>IF(COUNTIF(Comp2[Comparable '#2 Dates],Benchmark1[[#This Row],[Benchmark '#1 Dates]])=1,"Pass","Fail")</f>
        <v>Pass</v>
      </c>
      <c r="M809" s="6">
        <f>IF(Benchmark1[[#This Row],[Comparable '#2 Date Check]]="Pass",INDEX(Comp2[Comparable '#2 Price],MATCH(Benchmark1[[#This Row],[Benchmark '#1 Dates]],Comp2[Comparable '#2 Dates],0)),"-")</f>
        <v>39.659999999999997</v>
      </c>
      <c r="N809" s="22">
        <f>IF(Benchmark1[[#This Row],[Comparable '#2 Date Check]]="Pass",INDEX(Comp2[Comparable '#2 Return],MATCH(Benchmark1[[#This Row],[Benchmark '#1 Dates]],Comp2[Comparable '#2 Dates],0)),"-")</f>
        <v>4.0128840958994612E-2</v>
      </c>
      <c r="O809" s="1">
        <f>IFERROR(IF(Benchmark1[[#This Row],[Comparable '#2 Date Check]]="Pass",Benchmark1[[#This Row],[Comparable '#2 Return]]-Benchmark1[[#This Row],[Benchmark '#1 Return]],"-"),"-")</f>
        <v>4.9282707633264512E-2</v>
      </c>
      <c r="P809" s="1" t="str">
        <f>IF(COUNTIF(Comp3[Comparable '#3 Dates],Benchmark1[[#This Row],[Benchmark '#1 Dates]])=1,"Pass","Fail")</f>
        <v>Pass</v>
      </c>
      <c r="Q809" s="6">
        <f>IF(Benchmark1[[#This Row],[Comparable '#3 Date Check]]="Pass",INDEX(Comp3[Comparable '#3 Price],MATCH(Benchmark1[[#This Row],[Benchmark '#1 Dates]],Comp3[Comparable '#3 Dates],0)),"-")</f>
        <v>70.89</v>
      </c>
      <c r="R809" s="22">
        <f>IF(Benchmark1[[#This Row],[Comparable '#3 Date Check]]="Pass",INDEX(Comp3[Comparable '#3 Return],MATCH(Benchmark1[[#This Row],[Benchmark '#1 Dates]],Comp3[Comparable '#3 Dates],0)),"-")</f>
        <v>-6.1876164230205023E-3</v>
      </c>
      <c r="S809" s="1">
        <f>IFERROR(IF(Benchmark1[[#This Row],[Comparable '#3 Date Check]]="Pass",Benchmark1[[#This Row],[Comparable '#3 Return]]-Benchmark1[[#This Row],[Benchmark '#1 Return]],"-"),"-")</f>
        <v>2.9662502512493964E-3</v>
      </c>
    </row>
    <row r="810" spans="1:19">
      <c r="A810" s="103">
        <v>44459</v>
      </c>
      <c r="B810" s="104">
        <v>4357.7278663354728</v>
      </c>
      <c r="C810" s="4">
        <f t="shared" si="12"/>
        <v>-1.7122941542829239E-2</v>
      </c>
      <c r="D810" s="1" t="str">
        <f>IF(COUNTIF(Target1[Target Dates],Benchmark1[[#This Row],[Benchmark '#1 Dates]])=1,"Pass","Fail")</f>
        <v>Pass</v>
      </c>
      <c r="E810" s="6">
        <f>IF(Benchmark1[[#This Row],[Target Date Check]]="Pass",INDEX(Target1[Target Price],MATCH(Benchmark1[[#This Row],[Benchmark '#1 Dates]],Target1[Target Dates],0)),"-")</f>
        <v>32.770000000000003</v>
      </c>
      <c r="F810" s="22">
        <f>IF(Benchmark1[[#This Row],[Target Date Check]]="Pass",INDEX(Target1[Target Return],MATCH(Benchmark1[[#This Row],[Benchmark '#1 Dates]],Target1[Target Dates],0)),"-")</f>
        <v>-8.5076845001085283E-2</v>
      </c>
      <c r="G810" s="1">
        <f>IFERROR(IF(Benchmark1[[#This Row],[Target Date Check]]="Pass",Benchmark1[[#This Row],[Target Return]]-Benchmark1[[#This Row],[Benchmark '#1 Return]],"-"),"-")</f>
        <v>-6.795390345825604E-2</v>
      </c>
      <c r="H810" s="1" t="str">
        <f>IF(COUNTIF(Comp1[Comparable '#1 Dates],Benchmark1[[#This Row],[Benchmark '#1 Dates]])=1,"Pass","Fail")</f>
        <v>Pass</v>
      </c>
      <c r="I810" s="6">
        <f>IF(Benchmark1[[#This Row],[Comparable '#1 Date Check]]="Pass",INDEX(Comp1[Comparable '#1 Price],MATCH(Benchmark1[[#This Row],[Benchmark '#1 Dates]],Comp1[Comparable '#1 Dates],0)),"-")</f>
        <v>17.190000000000001</v>
      </c>
      <c r="J810" s="22">
        <f>IF(Benchmark1[[#This Row],[Comparable '#1 Date Check]]="Pass",INDEX(Comp1[Comparable '#1 Return],MATCH(Benchmark1[[#This Row],[Benchmark '#1 Dates]],Comp1[Comparable '#1 Dates],0)),"-")</f>
        <v>-1.7301469635752666E-2</v>
      </c>
      <c r="K810" s="1">
        <f>IFERROR(IF(Benchmark1[[#This Row],[Comparable '#1 Date Check]]="Pass",Benchmark1[[#This Row],[Comparable '#1 Return]]-Benchmark1[[#This Row],[Benchmark '#1 Return]],"-"),"-")</f>
        <v>-1.7852809292342661E-4</v>
      </c>
      <c r="L810" s="1" t="str">
        <f>IF(COUNTIF(Comp2[Comparable '#2 Dates],Benchmark1[[#This Row],[Benchmark '#1 Dates]])=1,"Pass","Fail")</f>
        <v>Pass</v>
      </c>
      <c r="M810" s="6">
        <f>IF(Benchmark1[[#This Row],[Comparable '#2 Date Check]]="Pass",INDEX(Comp2[Comparable '#2 Price],MATCH(Benchmark1[[#This Row],[Benchmark '#1 Dates]],Comp2[Comparable '#2 Dates],0)),"-")</f>
        <v>38.56</v>
      </c>
      <c r="N810" s="22">
        <f>IF(Benchmark1[[#This Row],[Comparable '#2 Date Check]]="Pass",INDEX(Comp2[Comparable '#2 Return],MATCH(Benchmark1[[#This Row],[Benchmark '#1 Dates]],Comp2[Comparable '#2 Dates],0)),"-")</f>
        <v>-2.8127653349304876E-2</v>
      </c>
      <c r="O810" s="1">
        <f>IFERROR(IF(Benchmark1[[#This Row],[Comparable '#2 Date Check]]="Pass",Benchmark1[[#This Row],[Comparable '#2 Return]]-Benchmark1[[#This Row],[Benchmark '#1 Return]],"-"),"-")</f>
        <v>-1.1004711806475637E-2</v>
      </c>
      <c r="P810" s="1" t="str">
        <f>IF(COUNTIF(Comp3[Comparable '#3 Dates],Benchmark1[[#This Row],[Benchmark '#1 Dates]])=1,"Pass","Fail")</f>
        <v>Pass</v>
      </c>
      <c r="Q810" s="6">
        <f>IF(Benchmark1[[#This Row],[Comparable '#3 Date Check]]="Pass",INDEX(Comp3[Comparable '#3 Price],MATCH(Benchmark1[[#This Row],[Benchmark '#1 Dates]],Comp3[Comparable '#3 Dates],0)),"-")</f>
        <v>70.72</v>
      </c>
      <c r="R810" s="22">
        <f>IF(Benchmark1[[#This Row],[Comparable '#3 Date Check]]="Pass",INDEX(Comp3[Comparable '#3 Return],MATCH(Benchmark1[[#This Row],[Benchmark '#1 Dates]],Comp3[Comparable '#3 Dates],0)),"-")</f>
        <v>-2.4009615375381503E-3</v>
      </c>
      <c r="S810" s="1">
        <f>IFERROR(IF(Benchmark1[[#This Row],[Comparable '#3 Date Check]]="Pass",Benchmark1[[#This Row],[Comparable '#3 Return]]-Benchmark1[[#This Row],[Benchmark '#1 Return]],"-"),"-")</f>
        <v>1.472198000529109E-2</v>
      </c>
    </row>
    <row r="811" spans="1:19">
      <c r="A811" s="103">
        <v>44460</v>
      </c>
      <c r="B811" s="104">
        <v>4354.1888556907561</v>
      </c>
      <c r="C811" s="4">
        <f t="shared" si="12"/>
        <v>-8.1245286251147193E-4</v>
      </c>
      <c r="D811" s="1" t="str">
        <f>IF(COUNTIF(Target1[Target Dates],Benchmark1[[#This Row],[Benchmark '#1 Dates]])=1,"Pass","Fail")</f>
        <v>Pass</v>
      </c>
      <c r="E811" s="6">
        <f>IF(Benchmark1[[#This Row],[Target Date Check]]="Pass",INDEX(Target1[Target Price],MATCH(Benchmark1[[#This Row],[Benchmark '#1 Dates]],Target1[Target Dates],0)),"-")</f>
        <v>33.6</v>
      </c>
      <c r="F811" s="22">
        <f>IF(Benchmark1[[#This Row],[Target Date Check]]="Pass",INDEX(Target1[Target Return],MATCH(Benchmark1[[#This Row],[Benchmark '#1 Dates]],Target1[Target Dates],0)),"-")</f>
        <v>2.5012604258435309E-2</v>
      </c>
      <c r="G811" s="1">
        <f>IFERROR(IF(Benchmark1[[#This Row],[Target Date Check]]="Pass",Benchmark1[[#This Row],[Target Return]]-Benchmark1[[#This Row],[Benchmark '#1 Return]],"-"),"-")</f>
        <v>2.5825057120946779E-2</v>
      </c>
      <c r="H811" s="1" t="str">
        <f>IF(COUNTIF(Comp1[Comparable '#1 Dates],Benchmark1[[#This Row],[Benchmark '#1 Dates]])=1,"Pass","Fail")</f>
        <v>Pass</v>
      </c>
      <c r="I811" s="6">
        <f>IF(Benchmark1[[#This Row],[Comparable '#1 Date Check]]="Pass",INDEX(Comp1[Comparable '#1 Price],MATCH(Benchmark1[[#This Row],[Benchmark '#1 Dates]],Comp1[Comparable '#1 Dates],0)),"-")</f>
        <v>17.170000000000002</v>
      </c>
      <c r="J811" s="22">
        <f>IF(Benchmark1[[#This Row],[Comparable '#1 Date Check]]="Pass",INDEX(Comp1[Comparable '#1 Return],MATCH(Benchmark1[[#This Row],[Benchmark '#1 Dates]],Comp1[Comparable '#1 Dates],0)),"-")</f>
        <v>-1.1641444853737134E-3</v>
      </c>
      <c r="K811" s="1">
        <f>IFERROR(IF(Benchmark1[[#This Row],[Comparable '#1 Date Check]]="Pass",Benchmark1[[#This Row],[Comparable '#1 Return]]-Benchmark1[[#This Row],[Benchmark '#1 Return]],"-"),"-")</f>
        <v>-3.516916228622415E-4</v>
      </c>
      <c r="L811" s="1" t="str">
        <f>IF(COUNTIF(Comp2[Comparable '#2 Dates],Benchmark1[[#This Row],[Benchmark '#1 Dates]])=1,"Pass","Fail")</f>
        <v>Pass</v>
      </c>
      <c r="M811" s="6">
        <f>IF(Benchmark1[[#This Row],[Comparable '#2 Date Check]]="Pass",INDEX(Comp2[Comparable '#2 Price],MATCH(Benchmark1[[#This Row],[Benchmark '#1 Dates]],Comp2[Comparable '#2 Dates],0)),"-")</f>
        <v>38.17</v>
      </c>
      <c r="N811" s="22">
        <f>IF(Benchmark1[[#This Row],[Comparable '#2 Date Check]]="Pass",INDEX(Comp2[Comparable '#2 Return],MATCH(Benchmark1[[#This Row],[Benchmark '#1 Dates]],Comp2[Comparable '#2 Dates],0)),"-")</f>
        <v>-1.0165602985206461E-2</v>
      </c>
      <c r="O811" s="1">
        <f>IFERROR(IF(Benchmark1[[#This Row],[Comparable '#2 Date Check]]="Pass",Benchmark1[[#This Row],[Comparable '#2 Return]]-Benchmark1[[#This Row],[Benchmark '#1 Return]],"-"),"-")</f>
        <v>-9.3531501226949889E-3</v>
      </c>
      <c r="P811" s="1" t="str">
        <f>IF(COUNTIF(Comp3[Comparable '#3 Dates],Benchmark1[[#This Row],[Benchmark '#1 Dates]])=1,"Pass","Fail")</f>
        <v>Pass</v>
      </c>
      <c r="Q811" s="6">
        <f>IF(Benchmark1[[#This Row],[Comparable '#3 Date Check]]="Pass",INDEX(Comp3[Comparable '#3 Price],MATCH(Benchmark1[[#This Row],[Benchmark '#1 Dates]],Comp3[Comparable '#3 Dates],0)),"-")</f>
        <v>69.78</v>
      </c>
      <c r="R811" s="22">
        <f>IF(Benchmark1[[#This Row],[Comparable '#3 Date Check]]="Pass",INDEX(Comp3[Comparable '#3 Return],MATCH(Benchmark1[[#This Row],[Benchmark '#1 Dates]],Comp3[Comparable '#3 Dates],0)),"-")</f>
        <v>-1.338098257075989E-2</v>
      </c>
      <c r="S811" s="1">
        <f>IFERROR(IF(Benchmark1[[#This Row],[Comparable '#3 Date Check]]="Pass",Benchmark1[[#This Row],[Comparable '#3 Return]]-Benchmark1[[#This Row],[Benchmark '#1 Return]],"-"),"-")</f>
        <v>-1.2568529708248418E-2</v>
      </c>
    </row>
    <row r="812" spans="1:19">
      <c r="A812" s="103">
        <v>44461</v>
      </c>
      <c r="B812" s="104">
        <v>4395.6371388491798</v>
      </c>
      <c r="C812" s="4">
        <f t="shared" si="12"/>
        <v>9.47415256383069E-3</v>
      </c>
      <c r="D812" s="1" t="str">
        <f>IF(COUNTIF(Target1[Target Dates],Benchmark1[[#This Row],[Benchmark '#1 Dates]])=1,"Pass","Fail")</f>
        <v>Pass</v>
      </c>
      <c r="E812" s="6">
        <f>IF(Benchmark1[[#This Row],[Target Date Check]]="Pass",INDEX(Target1[Target Price],MATCH(Benchmark1[[#This Row],[Benchmark '#1 Dates]],Target1[Target Dates],0)),"-")</f>
        <v>34.229999999999997</v>
      </c>
      <c r="F812" s="22">
        <f>IF(Benchmark1[[#This Row],[Target Date Check]]="Pass",INDEX(Target1[Target Return],MATCH(Benchmark1[[#This Row],[Benchmark '#1 Dates]],Target1[Target Dates],0)),"-")</f>
        <v>1.8576385572935238E-2</v>
      </c>
      <c r="G812" s="1">
        <f>IFERROR(IF(Benchmark1[[#This Row],[Target Date Check]]="Pass",Benchmark1[[#This Row],[Target Return]]-Benchmark1[[#This Row],[Benchmark '#1 Return]],"-"),"-")</f>
        <v>9.1022330091045482E-3</v>
      </c>
      <c r="H812" s="1" t="str">
        <f>IF(COUNTIF(Comp1[Comparable '#1 Dates],Benchmark1[[#This Row],[Benchmark '#1 Dates]])=1,"Pass","Fail")</f>
        <v>Pass</v>
      </c>
      <c r="I812" s="6">
        <f>IF(Benchmark1[[#This Row],[Comparable '#1 Date Check]]="Pass",INDEX(Comp1[Comparable '#1 Price],MATCH(Benchmark1[[#This Row],[Benchmark '#1 Dates]],Comp1[Comparable '#1 Dates],0)),"-")</f>
        <v>17.149999999999999</v>
      </c>
      <c r="J812" s="22">
        <f>IF(Benchmark1[[#This Row],[Comparable '#1 Date Check]]="Pass",INDEX(Comp1[Comparable '#1 Return],MATCH(Benchmark1[[#This Row],[Benchmark '#1 Dates]],Comp1[Comparable '#1 Dates],0)),"-")</f>
        <v>-1.165501297435432E-3</v>
      </c>
      <c r="K812" s="1">
        <f>IFERROR(IF(Benchmark1[[#This Row],[Comparable '#1 Date Check]]="Pass",Benchmark1[[#This Row],[Comparable '#1 Return]]-Benchmark1[[#This Row],[Benchmark '#1 Return]],"-"),"-")</f>
        <v>-1.0639653861266122E-2</v>
      </c>
      <c r="L812" s="1" t="str">
        <f>IF(COUNTIF(Comp2[Comparable '#2 Dates],Benchmark1[[#This Row],[Benchmark '#1 Dates]])=1,"Pass","Fail")</f>
        <v>Pass</v>
      </c>
      <c r="M812" s="6">
        <f>IF(Benchmark1[[#This Row],[Comparable '#2 Date Check]]="Pass",INDEX(Comp2[Comparable '#2 Price],MATCH(Benchmark1[[#This Row],[Benchmark '#1 Dates]],Comp2[Comparable '#2 Dates],0)),"-")</f>
        <v>38.24</v>
      </c>
      <c r="N812" s="22">
        <f>IF(Benchmark1[[#This Row],[Comparable '#2 Date Check]]="Pass",INDEX(Comp2[Comparable '#2 Return],MATCH(Benchmark1[[#This Row],[Benchmark '#1 Dates]],Comp2[Comparable '#2 Dates],0)),"-")</f>
        <v>1.8322214260622809E-3</v>
      </c>
      <c r="O812" s="1">
        <f>IFERROR(IF(Benchmark1[[#This Row],[Comparable '#2 Date Check]]="Pass",Benchmark1[[#This Row],[Comparable '#2 Return]]-Benchmark1[[#This Row],[Benchmark '#1 Return]],"-"),"-")</f>
        <v>-7.6419311377684089E-3</v>
      </c>
      <c r="P812" s="1" t="str">
        <f>IF(COUNTIF(Comp3[Comparable '#3 Dates],Benchmark1[[#This Row],[Benchmark '#1 Dates]])=1,"Pass","Fail")</f>
        <v>Pass</v>
      </c>
      <c r="Q812" s="6">
        <f>IF(Benchmark1[[#This Row],[Comparable '#3 Date Check]]="Pass",INDEX(Comp3[Comparable '#3 Price],MATCH(Benchmark1[[#This Row],[Benchmark '#1 Dates]],Comp3[Comparable '#3 Dates],0)),"-")</f>
        <v>69.83</v>
      </c>
      <c r="R812" s="22">
        <f>IF(Benchmark1[[#This Row],[Comparable '#3 Date Check]]="Pass",INDEX(Comp3[Comparable '#3 Return],MATCH(Benchmark1[[#This Row],[Benchmark '#1 Dates]],Comp3[Comparable '#3 Dates],0)),"-")</f>
        <v>7.1628109931593778E-4</v>
      </c>
      <c r="S812" s="1">
        <f>IFERROR(IF(Benchmark1[[#This Row],[Comparable '#3 Date Check]]="Pass",Benchmark1[[#This Row],[Comparable '#3 Return]]-Benchmark1[[#This Row],[Benchmark '#1 Return]],"-"),"-")</f>
        <v>-8.7578714645147517E-3</v>
      </c>
    </row>
    <row r="813" spans="1:19">
      <c r="A813" s="103">
        <v>44462</v>
      </c>
      <c r="B813" s="104">
        <v>4448.9840534059476</v>
      </c>
      <c r="C813" s="4">
        <f t="shared" si="12"/>
        <v>1.2063277856160815E-2</v>
      </c>
      <c r="D813" s="1" t="str">
        <f>IF(COUNTIF(Target1[Target Dates],Benchmark1[[#This Row],[Benchmark '#1 Dates]])=1,"Pass","Fail")</f>
        <v>Pass</v>
      </c>
      <c r="E813" s="6">
        <f>IF(Benchmark1[[#This Row],[Target Date Check]]="Pass",INDEX(Target1[Target Price],MATCH(Benchmark1[[#This Row],[Benchmark '#1 Dates]],Target1[Target Dates],0)),"-")</f>
        <v>35.03</v>
      </c>
      <c r="F813" s="22">
        <f>IF(Benchmark1[[#This Row],[Target Date Check]]="Pass",INDEX(Target1[Target Return],MATCH(Benchmark1[[#This Row],[Benchmark '#1 Dates]],Target1[Target Dates],0)),"-")</f>
        <v>2.3102384667301652E-2</v>
      </c>
      <c r="G813" s="1">
        <f>IFERROR(IF(Benchmark1[[#This Row],[Target Date Check]]="Pass",Benchmark1[[#This Row],[Target Return]]-Benchmark1[[#This Row],[Benchmark '#1 Return]],"-"),"-")</f>
        <v>1.1039106811140837E-2</v>
      </c>
      <c r="H813" s="1" t="str">
        <f>IF(COUNTIF(Comp1[Comparable '#1 Dates],Benchmark1[[#This Row],[Benchmark '#1 Dates]])=1,"Pass","Fail")</f>
        <v>Pass</v>
      </c>
      <c r="I813" s="6">
        <f>IF(Benchmark1[[#This Row],[Comparable '#1 Date Check]]="Pass",INDEX(Comp1[Comparable '#1 Price],MATCH(Benchmark1[[#This Row],[Benchmark '#1 Dates]],Comp1[Comparable '#1 Dates],0)),"-")</f>
        <v>17.54</v>
      </c>
      <c r="J813" s="22">
        <f>IF(Benchmark1[[#This Row],[Comparable '#1 Date Check]]="Pass",INDEX(Comp1[Comparable '#1 Return],MATCH(Benchmark1[[#This Row],[Benchmark '#1 Dates]],Comp1[Comparable '#1 Dates],0)),"-")</f>
        <v>2.2485813332088201E-2</v>
      </c>
      <c r="K813" s="1">
        <f>IFERROR(IF(Benchmark1[[#This Row],[Comparable '#1 Date Check]]="Pass",Benchmark1[[#This Row],[Comparable '#1 Return]]-Benchmark1[[#This Row],[Benchmark '#1 Return]],"-"),"-")</f>
        <v>1.0422535475927386E-2</v>
      </c>
      <c r="L813" s="1" t="str">
        <f>IF(COUNTIF(Comp2[Comparable '#2 Dates],Benchmark1[[#This Row],[Benchmark '#1 Dates]])=1,"Pass","Fail")</f>
        <v>Pass</v>
      </c>
      <c r="M813" s="6">
        <f>IF(Benchmark1[[#This Row],[Comparable '#2 Date Check]]="Pass",INDEX(Comp2[Comparable '#2 Price],MATCH(Benchmark1[[#This Row],[Benchmark '#1 Dates]],Comp2[Comparable '#2 Dates],0)),"-")</f>
        <v>38.5</v>
      </c>
      <c r="N813" s="22">
        <f>IF(Benchmark1[[#This Row],[Comparable '#2 Date Check]]="Pass",INDEX(Comp2[Comparable '#2 Return],MATCH(Benchmark1[[#This Row],[Benchmark '#1 Dates]],Comp2[Comparable '#2 Dates],0)),"-")</f>
        <v>6.7761531105379313E-3</v>
      </c>
      <c r="O813" s="1">
        <f>IFERROR(IF(Benchmark1[[#This Row],[Comparable '#2 Date Check]]="Pass",Benchmark1[[#This Row],[Comparable '#2 Return]]-Benchmark1[[#This Row],[Benchmark '#1 Return]],"-"),"-")</f>
        <v>-5.2871247456228836E-3</v>
      </c>
      <c r="P813" s="1" t="str">
        <f>IF(COUNTIF(Comp3[Comparable '#3 Dates],Benchmark1[[#This Row],[Benchmark '#1 Dates]])=1,"Pass","Fail")</f>
        <v>Pass</v>
      </c>
      <c r="Q813" s="6">
        <f>IF(Benchmark1[[#This Row],[Comparable '#3 Date Check]]="Pass",INDEX(Comp3[Comparable '#3 Price],MATCH(Benchmark1[[#This Row],[Benchmark '#1 Dates]],Comp3[Comparable '#3 Dates],0)),"-")</f>
        <v>71.349999999999994</v>
      </c>
      <c r="R813" s="22">
        <f>IF(Benchmark1[[#This Row],[Comparable '#3 Date Check]]="Pass",INDEX(Comp3[Comparable '#3 Return],MATCH(Benchmark1[[#This Row],[Benchmark '#1 Dates]],Comp3[Comparable '#3 Dates],0)),"-")</f>
        <v>2.1533627064901383E-2</v>
      </c>
      <c r="S813" s="1">
        <f>IFERROR(IF(Benchmark1[[#This Row],[Comparable '#3 Date Check]]="Pass",Benchmark1[[#This Row],[Comparable '#3 Return]]-Benchmark1[[#This Row],[Benchmark '#1 Return]],"-"),"-")</f>
        <v>9.4703492087405677E-3</v>
      </c>
    </row>
    <row r="814" spans="1:19">
      <c r="A814" s="103">
        <v>44463</v>
      </c>
      <c r="B814" s="104">
        <v>4455.4779158833007</v>
      </c>
      <c r="C814" s="4">
        <f t="shared" si="12"/>
        <v>1.4585639538937556E-3</v>
      </c>
      <c r="D814" s="1" t="str">
        <f>IF(COUNTIF(Target1[Target Dates],Benchmark1[[#This Row],[Benchmark '#1 Dates]])=1,"Pass","Fail")</f>
        <v>Pass</v>
      </c>
      <c r="E814" s="6">
        <f>IF(Benchmark1[[#This Row],[Target Date Check]]="Pass",INDEX(Target1[Target Price],MATCH(Benchmark1[[#This Row],[Benchmark '#1 Dates]],Target1[Target Dates],0)),"-")</f>
        <v>36.020000000000003</v>
      </c>
      <c r="F814" s="22">
        <f>IF(Benchmark1[[#This Row],[Target Date Check]]="Pass",INDEX(Target1[Target Return],MATCH(Benchmark1[[#This Row],[Benchmark '#1 Dates]],Target1[Target Dates],0)),"-")</f>
        <v>2.7869502538414657E-2</v>
      </c>
      <c r="G814" s="1">
        <f>IFERROR(IF(Benchmark1[[#This Row],[Target Date Check]]="Pass",Benchmark1[[#This Row],[Target Return]]-Benchmark1[[#This Row],[Benchmark '#1 Return]],"-"),"-")</f>
        <v>2.6410938584520902E-2</v>
      </c>
      <c r="H814" s="1" t="str">
        <f>IF(COUNTIF(Comp1[Comparable '#1 Dates],Benchmark1[[#This Row],[Benchmark '#1 Dates]])=1,"Pass","Fail")</f>
        <v>Pass</v>
      </c>
      <c r="I814" s="6">
        <f>IF(Benchmark1[[#This Row],[Comparable '#1 Date Check]]="Pass",INDEX(Comp1[Comparable '#1 Price],MATCH(Benchmark1[[#This Row],[Benchmark '#1 Dates]],Comp1[Comparable '#1 Dates],0)),"-")</f>
        <v>17.239999999999998</v>
      </c>
      <c r="J814" s="22">
        <f>IF(Benchmark1[[#This Row],[Comparable '#1 Date Check]]="Pass",INDEX(Comp1[Comparable '#1 Return],MATCH(Benchmark1[[#This Row],[Benchmark '#1 Dates]],Comp1[Comparable '#1 Dates],0)),"-")</f>
        <v>-1.7251721708489934E-2</v>
      </c>
      <c r="K814" s="1">
        <f>IFERROR(IF(Benchmark1[[#This Row],[Comparable '#1 Date Check]]="Pass",Benchmark1[[#This Row],[Comparable '#1 Return]]-Benchmark1[[#This Row],[Benchmark '#1 Return]],"-"),"-")</f>
        <v>-1.871028566238369E-2</v>
      </c>
      <c r="L814" s="1" t="str">
        <f>IF(COUNTIF(Comp2[Comparable '#2 Dates],Benchmark1[[#This Row],[Benchmark '#1 Dates]])=1,"Pass","Fail")</f>
        <v>Pass</v>
      </c>
      <c r="M814" s="6">
        <f>IF(Benchmark1[[#This Row],[Comparable '#2 Date Check]]="Pass",INDEX(Comp2[Comparable '#2 Price],MATCH(Benchmark1[[#This Row],[Benchmark '#1 Dates]],Comp2[Comparable '#2 Dates],0)),"-")</f>
        <v>38.68</v>
      </c>
      <c r="N814" s="22">
        <f>IF(Benchmark1[[#This Row],[Comparable '#2 Date Check]]="Pass",INDEX(Comp2[Comparable '#2 Return],MATCH(Benchmark1[[#This Row],[Benchmark '#1 Dates]],Comp2[Comparable '#2 Dates],0)),"-")</f>
        <v>4.6644292913549717E-3</v>
      </c>
      <c r="O814" s="1">
        <f>IFERROR(IF(Benchmark1[[#This Row],[Comparable '#2 Date Check]]="Pass",Benchmark1[[#This Row],[Comparable '#2 Return]]-Benchmark1[[#This Row],[Benchmark '#1 Return]],"-"),"-")</f>
        <v>3.2058653374612161E-3</v>
      </c>
      <c r="P814" s="1" t="str">
        <f>IF(COUNTIF(Comp3[Comparable '#3 Dates],Benchmark1[[#This Row],[Benchmark '#1 Dates]])=1,"Pass","Fail")</f>
        <v>Pass</v>
      </c>
      <c r="Q814" s="6">
        <f>IF(Benchmark1[[#This Row],[Comparable '#3 Date Check]]="Pass",INDEX(Comp3[Comparable '#3 Price],MATCH(Benchmark1[[#This Row],[Benchmark '#1 Dates]],Comp3[Comparable '#3 Dates],0)),"-")</f>
        <v>71.88</v>
      </c>
      <c r="R814" s="22">
        <f>IF(Benchmark1[[#This Row],[Comparable '#3 Date Check]]="Pass",INDEX(Comp3[Comparable '#3 Return],MATCH(Benchmark1[[#This Row],[Benchmark '#1 Dates]],Comp3[Comparable '#3 Dates],0)),"-")</f>
        <v>7.4007179925129835E-3</v>
      </c>
      <c r="S814" s="1">
        <f>IFERROR(IF(Benchmark1[[#This Row],[Comparable '#3 Date Check]]="Pass",Benchmark1[[#This Row],[Comparable '#3 Return]]-Benchmark1[[#This Row],[Benchmark '#1 Return]],"-"),"-")</f>
        <v>5.9421540386192274E-3</v>
      </c>
    </row>
    <row r="815" spans="1:19">
      <c r="A815" s="103">
        <v>44466</v>
      </c>
      <c r="B815" s="104">
        <v>4443.1104005698999</v>
      </c>
      <c r="C815" s="4">
        <f t="shared" si="12"/>
        <v>-2.7796596126768861E-3</v>
      </c>
      <c r="D815" s="1" t="str">
        <f>IF(COUNTIF(Target1[Target Dates],Benchmark1[[#This Row],[Benchmark '#1 Dates]])=1,"Pass","Fail")</f>
        <v>Pass</v>
      </c>
      <c r="E815" s="6">
        <f>IF(Benchmark1[[#This Row],[Target Date Check]]="Pass",INDEX(Target1[Target Price],MATCH(Benchmark1[[#This Row],[Benchmark '#1 Dates]],Target1[Target Dates],0)),"-")</f>
        <v>36.369999999999997</v>
      </c>
      <c r="F815" s="22">
        <f>IF(Benchmark1[[#This Row],[Target Date Check]]="Pass",INDEX(Target1[Target Return],MATCH(Benchmark1[[#This Row],[Benchmark '#1 Dates]],Target1[Target Dates],0)),"-")</f>
        <v>9.669919251087419E-3</v>
      </c>
      <c r="G815" s="1">
        <f>IFERROR(IF(Benchmark1[[#This Row],[Target Date Check]]="Pass",Benchmark1[[#This Row],[Target Return]]-Benchmark1[[#This Row],[Benchmark '#1 Return]],"-"),"-")</f>
        <v>1.2449578863764306E-2</v>
      </c>
      <c r="H815" s="1" t="str">
        <f>IF(COUNTIF(Comp1[Comparable '#1 Dates],Benchmark1[[#This Row],[Benchmark '#1 Dates]])=1,"Pass","Fail")</f>
        <v>Pass</v>
      </c>
      <c r="I815" s="6">
        <f>IF(Benchmark1[[#This Row],[Comparable '#1 Date Check]]="Pass",INDEX(Comp1[Comparable '#1 Price],MATCH(Benchmark1[[#This Row],[Benchmark '#1 Dates]],Comp1[Comparable '#1 Dates],0)),"-")</f>
        <v>17.739999999999998</v>
      </c>
      <c r="J815" s="22">
        <f>IF(Benchmark1[[#This Row],[Comparable '#1 Date Check]]="Pass",INDEX(Comp1[Comparable '#1 Return],MATCH(Benchmark1[[#This Row],[Benchmark '#1 Dates]],Comp1[Comparable '#1 Dates],0)),"-")</f>
        <v>2.8589711645886424E-2</v>
      </c>
      <c r="K815" s="1">
        <f>IFERROR(IF(Benchmark1[[#This Row],[Comparable '#1 Date Check]]="Pass",Benchmark1[[#This Row],[Comparable '#1 Return]]-Benchmark1[[#This Row],[Benchmark '#1 Return]],"-"),"-")</f>
        <v>3.136937125856331E-2</v>
      </c>
      <c r="L815" s="1" t="str">
        <f>IF(COUNTIF(Comp2[Comparable '#2 Dates],Benchmark1[[#This Row],[Benchmark '#1 Dates]])=1,"Pass","Fail")</f>
        <v>Pass</v>
      </c>
      <c r="M815" s="6">
        <f>IF(Benchmark1[[#This Row],[Comparable '#2 Date Check]]="Pass",INDEX(Comp2[Comparable '#2 Price],MATCH(Benchmark1[[#This Row],[Benchmark '#1 Dates]],Comp2[Comparable '#2 Dates],0)),"-")</f>
        <v>38.96</v>
      </c>
      <c r="N815" s="22">
        <f>IF(Benchmark1[[#This Row],[Comparable '#2 Date Check]]="Pass",INDEX(Comp2[Comparable '#2 Return],MATCH(Benchmark1[[#This Row],[Benchmark '#1 Dates]],Comp2[Comparable '#2 Dates],0)),"-")</f>
        <v>7.2128081892407839E-3</v>
      </c>
      <c r="O815" s="1">
        <f>IFERROR(IF(Benchmark1[[#This Row],[Comparable '#2 Date Check]]="Pass",Benchmark1[[#This Row],[Comparable '#2 Return]]-Benchmark1[[#This Row],[Benchmark '#1 Return]],"-"),"-")</f>
        <v>9.9924678019176691E-3</v>
      </c>
      <c r="P815" s="1" t="str">
        <f>IF(COUNTIF(Comp3[Comparable '#3 Dates],Benchmark1[[#This Row],[Benchmark '#1 Dates]])=1,"Pass","Fail")</f>
        <v>Pass</v>
      </c>
      <c r="Q815" s="6">
        <f>IF(Benchmark1[[#This Row],[Comparable '#3 Date Check]]="Pass",INDEX(Comp3[Comparable '#3 Price],MATCH(Benchmark1[[#This Row],[Benchmark '#1 Dates]],Comp3[Comparable '#3 Dates],0)),"-")</f>
        <v>72.75</v>
      </c>
      <c r="R815" s="22">
        <f>IF(Benchmark1[[#This Row],[Comparable '#3 Date Check]]="Pass",INDEX(Comp3[Comparable '#3 Return],MATCH(Benchmark1[[#This Row],[Benchmark '#1 Dates]],Comp3[Comparable '#3 Dates],0)),"-")</f>
        <v>1.2030844136243666E-2</v>
      </c>
      <c r="S815" s="1">
        <f>IFERROR(IF(Benchmark1[[#This Row],[Comparable '#3 Date Check]]="Pass",Benchmark1[[#This Row],[Comparable '#3 Return]]-Benchmark1[[#This Row],[Benchmark '#1 Return]],"-"),"-")</f>
        <v>1.4810503748920553E-2</v>
      </c>
    </row>
    <row r="816" spans="1:19">
      <c r="A816" s="103">
        <v>44467</v>
      </c>
      <c r="B816" s="104">
        <v>4352.6343466370854</v>
      </c>
      <c r="C816" s="4">
        <f t="shared" si="12"/>
        <v>-2.0573413120114816E-2</v>
      </c>
      <c r="D816" s="1" t="str">
        <f>IF(COUNTIF(Target1[Target Dates],Benchmark1[[#This Row],[Benchmark '#1 Dates]])=1,"Pass","Fail")</f>
        <v>Pass</v>
      </c>
      <c r="E816" s="6">
        <f>IF(Benchmark1[[#This Row],[Target Date Check]]="Pass",INDEX(Target1[Target Price],MATCH(Benchmark1[[#This Row],[Benchmark '#1 Dates]],Target1[Target Dates],0)),"-")</f>
        <v>35.33</v>
      </c>
      <c r="F816" s="22">
        <f>IF(Benchmark1[[#This Row],[Target Date Check]]="Pass",INDEX(Target1[Target Return],MATCH(Benchmark1[[#This Row],[Benchmark '#1 Dates]],Target1[Target Dates],0)),"-")</f>
        <v>-2.9011797627843741E-2</v>
      </c>
      <c r="G816" s="1">
        <f>IFERROR(IF(Benchmark1[[#This Row],[Target Date Check]]="Pass",Benchmark1[[#This Row],[Target Return]]-Benchmark1[[#This Row],[Benchmark '#1 Return]],"-"),"-")</f>
        <v>-8.438384507728925E-3</v>
      </c>
      <c r="H816" s="1" t="str">
        <f>IF(COUNTIF(Comp1[Comparable '#1 Dates],Benchmark1[[#This Row],[Benchmark '#1 Dates]])=1,"Pass","Fail")</f>
        <v>Pass</v>
      </c>
      <c r="I816" s="6">
        <f>IF(Benchmark1[[#This Row],[Comparable '#1 Date Check]]="Pass",INDEX(Comp1[Comparable '#1 Price],MATCH(Benchmark1[[#This Row],[Benchmark '#1 Dates]],Comp1[Comparable '#1 Dates],0)),"-")</f>
        <v>17.52</v>
      </c>
      <c r="J816" s="22">
        <f>IF(Benchmark1[[#This Row],[Comparable '#1 Date Check]]="Pass",INDEX(Comp1[Comparable '#1 Return],MATCH(Benchmark1[[#This Row],[Benchmark '#1 Dates]],Comp1[Comparable '#1 Dates],0)),"-")</f>
        <v>-1.2478891373187969E-2</v>
      </c>
      <c r="K816" s="1">
        <f>IFERROR(IF(Benchmark1[[#This Row],[Comparable '#1 Date Check]]="Pass",Benchmark1[[#This Row],[Comparable '#1 Return]]-Benchmark1[[#This Row],[Benchmark '#1 Return]],"-"),"-")</f>
        <v>8.0945217469268471E-3</v>
      </c>
      <c r="L816" s="1" t="str">
        <f>IF(COUNTIF(Comp2[Comparable '#2 Dates],Benchmark1[[#This Row],[Benchmark '#1 Dates]])=1,"Pass","Fail")</f>
        <v>Pass</v>
      </c>
      <c r="M816" s="6">
        <f>IF(Benchmark1[[#This Row],[Comparable '#2 Date Check]]="Pass",INDEX(Comp2[Comparable '#2 Price],MATCH(Benchmark1[[#This Row],[Benchmark '#1 Dates]],Comp2[Comparable '#2 Dates],0)),"-")</f>
        <v>39.04</v>
      </c>
      <c r="N816" s="22">
        <f>IF(Benchmark1[[#This Row],[Comparable '#2 Date Check]]="Pass",INDEX(Comp2[Comparable '#2 Return],MATCH(Benchmark1[[#This Row],[Benchmark '#1 Dates]],Comp2[Comparable '#2 Dates],0)),"-")</f>
        <v>2.0512827705573612E-3</v>
      </c>
      <c r="O816" s="1">
        <f>IFERROR(IF(Benchmark1[[#This Row],[Comparable '#2 Date Check]]="Pass",Benchmark1[[#This Row],[Comparable '#2 Return]]-Benchmark1[[#This Row],[Benchmark '#1 Return]],"-"),"-")</f>
        <v>2.2624695890672179E-2</v>
      </c>
      <c r="P816" s="1" t="str">
        <f>IF(COUNTIF(Comp3[Comparable '#3 Dates],Benchmark1[[#This Row],[Benchmark '#1 Dates]])=1,"Pass","Fail")</f>
        <v>Pass</v>
      </c>
      <c r="Q816" s="6">
        <f>IF(Benchmark1[[#This Row],[Comparable '#3 Date Check]]="Pass",INDEX(Comp3[Comparable '#3 Price],MATCH(Benchmark1[[#This Row],[Benchmark '#1 Dates]],Comp3[Comparable '#3 Dates],0)),"-")</f>
        <v>71.510000000000005</v>
      </c>
      <c r="R816" s="22">
        <f>IF(Benchmark1[[#This Row],[Comparable '#3 Date Check]]="Pass",INDEX(Comp3[Comparable '#3 Return],MATCH(Benchmark1[[#This Row],[Benchmark '#1 Dates]],Comp3[Comparable '#3 Dates],0)),"-")</f>
        <v>-1.7191605991297296E-2</v>
      </c>
      <c r="S816" s="1">
        <f>IFERROR(IF(Benchmark1[[#This Row],[Comparable '#3 Date Check]]="Pass",Benchmark1[[#This Row],[Comparable '#3 Return]]-Benchmark1[[#This Row],[Benchmark '#1 Return]],"-"),"-")</f>
        <v>3.3818071288175197E-3</v>
      </c>
    </row>
    <row r="817" spans="1:19">
      <c r="A817" s="103">
        <v>44468</v>
      </c>
      <c r="B817" s="104">
        <v>4359.461057522084</v>
      </c>
      <c r="C817" s="4">
        <f t="shared" si="12"/>
        <v>1.567180331604457E-3</v>
      </c>
      <c r="D817" s="1" t="str">
        <f>IF(COUNTIF(Target1[Target Dates],Benchmark1[[#This Row],[Benchmark '#1 Dates]])=1,"Pass","Fail")</f>
        <v>Pass</v>
      </c>
      <c r="E817" s="6">
        <f>IF(Benchmark1[[#This Row],[Target Date Check]]="Pass",INDEX(Target1[Target Price],MATCH(Benchmark1[[#This Row],[Benchmark '#1 Dates]],Target1[Target Dates],0)),"-")</f>
        <v>35.07</v>
      </c>
      <c r="F817" s="22">
        <f>IF(Benchmark1[[#This Row],[Target Date Check]]="Pass",INDEX(Target1[Target Return],MATCH(Benchmark1[[#This Row],[Benchmark '#1 Dates]],Target1[Target Dates],0)),"-")</f>
        <v>-7.3863972189670982E-3</v>
      </c>
      <c r="G817" s="1">
        <f>IFERROR(IF(Benchmark1[[#This Row],[Target Date Check]]="Pass",Benchmark1[[#This Row],[Target Return]]-Benchmark1[[#This Row],[Benchmark '#1 Return]],"-"),"-")</f>
        <v>-8.9535775505715544E-3</v>
      </c>
      <c r="H817" s="1" t="str">
        <f>IF(COUNTIF(Comp1[Comparable '#1 Dates],Benchmark1[[#This Row],[Benchmark '#1 Dates]])=1,"Pass","Fail")</f>
        <v>Pass</v>
      </c>
      <c r="I817" s="6">
        <f>IF(Benchmark1[[#This Row],[Comparable '#1 Date Check]]="Pass",INDEX(Comp1[Comparable '#1 Price],MATCH(Benchmark1[[#This Row],[Benchmark '#1 Dates]],Comp1[Comparable '#1 Dates],0)),"-")</f>
        <v>17.170000000000002</v>
      </c>
      <c r="J817" s="22">
        <f>IF(Benchmark1[[#This Row],[Comparable '#1 Date Check]]="Pass",INDEX(Comp1[Comparable '#1 Return],MATCH(Benchmark1[[#This Row],[Benchmark '#1 Dates]],Comp1[Comparable '#1 Dates],0)),"-")</f>
        <v>-2.0179410598861053E-2</v>
      </c>
      <c r="K817" s="1">
        <f>IFERROR(IF(Benchmark1[[#This Row],[Comparable '#1 Date Check]]="Pass",Benchmark1[[#This Row],[Comparable '#1 Return]]-Benchmark1[[#This Row],[Benchmark '#1 Return]],"-"),"-")</f>
        <v>-2.174659093046551E-2</v>
      </c>
      <c r="L817" s="1" t="str">
        <f>IF(COUNTIF(Comp2[Comparable '#2 Dates],Benchmark1[[#This Row],[Benchmark '#1 Dates]])=1,"Pass","Fail")</f>
        <v>Pass</v>
      </c>
      <c r="M817" s="6">
        <f>IF(Benchmark1[[#This Row],[Comparable '#2 Date Check]]="Pass",INDEX(Comp2[Comparable '#2 Price],MATCH(Benchmark1[[#This Row],[Benchmark '#1 Dates]],Comp2[Comparable '#2 Dates],0)),"-")</f>
        <v>38.31</v>
      </c>
      <c r="N817" s="22">
        <f>IF(Benchmark1[[#This Row],[Comparable '#2 Date Check]]="Pass",INDEX(Comp2[Comparable '#2 Return],MATCH(Benchmark1[[#This Row],[Benchmark '#1 Dates]],Comp2[Comparable '#2 Dates],0)),"-")</f>
        <v>-1.8875802832334084E-2</v>
      </c>
      <c r="O817" s="1">
        <f>IFERROR(IF(Benchmark1[[#This Row],[Comparable '#2 Date Check]]="Pass",Benchmark1[[#This Row],[Comparable '#2 Return]]-Benchmark1[[#This Row],[Benchmark '#1 Return]],"-"),"-")</f>
        <v>-2.0442983163938541E-2</v>
      </c>
      <c r="P817" s="1" t="str">
        <f>IF(COUNTIF(Comp3[Comparable '#3 Dates],Benchmark1[[#This Row],[Benchmark '#1 Dates]])=1,"Pass","Fail")</f>
        <v>Pass</v>
      </c>
      <c r="Q817" s="6">
        <f>IF(Benchmark1[[#This Row],[Comparable '#3 Date Check]]="Pass",INDEX(Comp3[Comparable '#3 Price],MATCH(Benchmark1[[#This Row],[Benchmark '#1 Dates]],Comp3[Comparable '#3 Dates],0)),"-")</f>
        <v>71.680000000000007</v>
      </c>
      <c r="R817" s="22">
        <f>IF(Benchmark1[[#This Row],[Comparable '#3 Date Check]]="Pass",INDEX(Comp3[Comparable '#3 Return],MATCH(Benchmark1[[#This Row],[Benchmark '#1 Dates]],Comp3[Comparable '#3 Dates],0)),"-")</f>
        <v>2.3744686063705213E-3</v>
      </c>
      <c r="S817" s="1">
        <f>IFERROR(IF(Benchmark1[[#This Row],[Comparable '#3 Date Check]]="Pass",Benchmark1[[#This Row],[Comparable '#3 Return]]-Benchmark1[[#This Row],[Benchmark '#1 Return]],"-"),"-")</f>
        <v>8.0728827476606426E-4</v>
      </c>
    </row>
    <row r="818" spans="1:19">
      <c r="A818" s="103">
        <v>44469</v>
      </c>
      <c r="B818" s="104">
        <v>4307.538750789713</v>
      </c>
      <c r="C818" s="4">
        <f t="shared" si="12"/>
        <v>-1.1981753560307373E-2</v>
      </c>
      <c r="D818" s="1" t="str">
        <f>IF(COUNTIF(Target1[Target Dates],Benchmark1[[#This Row],[Benchmark '#1 Dates]])=1,"Pass","Fail")</f>
        <v>Pass</v>
      </c>
      <c r="E818" s="6">
        <f>IF(Benchmark1[[#This Row],[Target Date Check]]="Pass",INDEX(Target1[Target Price],MATCH(Benchmark1[[#This Row],[Benchmark '#1 Dates]],Target1[Target Dates],0)),"-")</f>
        <v>35.94</v>
      </c>
      <c r="F818" s="22">
        <f>IF(Benchmark1[[#This Row],[Target Date Check]]="Pass",INDEX(Target1[Target Return],MATCH(Benchmark1[[#This Row],[Benchmark '#1 Dates]],Target1[Target Dates],0)),"-")</f>
        <v>2.450481720332608E-2</v>
      </c>
      <c r="G818" s="1">
        <f>IFERROR(IF(Benchmark1[[#This Row],[Target Date Check]]="Pass",Benchmark1[[#This Row],[Target Return]]-Benchmark1[[#This Row],[Benchmark '#1 Return]],"-"),"-")</f>
        <v>3.6486570763633451E-2</v>
      </c>
      <c r="H818" s="1" t="str">
        <f>IF(COUNTIF(Comp1[Comparable '#1 Dates],Benchmark1[[#This Row],[Benchmark '#1 Dates]])=1,"Pass","Fail")</f>
        <v>Pass</v>
      </c>
      <c r="I818" s="6">
        <f>IF(Benchmark1[[#This Row],[Comparable '#1 Date Check]]="Pass",INDEX(Comp1[Comparable '#1 Price],MATCH(Benchmark1[[#This Row],[Benchmark '#1 Dates]],Comp1[Comparable '#1 Dates],0)),"-")</f>
        <v>16.989999999999998</v>
      </c>
      <c r="J818" s="22">
        <f>IF(Benchmark1[[#This Row],[Comparable '#1 Date Check]]="Pass",INDEX(Comp1[Comparable '#1 Return],MATCH(Benchmark1[[#This Row],[Benchmark '#1 Dates]],Comp1[Comparable '#1 Dates],0)),"-")</f>
        <v>-1.0538739225543669E-2</v>
      </c>
      <c r="K818" s="1">
        <f>IFERROR(IF(Benchmark1[[#This Row],[Comparable '#1 Date Check]]="Pass",Benchmark1[[#This Row],[Comparable '#1 Return]]-Benchmark1[[#This Row],[Benchmark '#1 Return]],"-"),"-")</f>
        <v>1.443014334763704E-3</v>
      </c>
      <c r="L818" s="1" t="str">
        <f>IF(COUNTIF(Comp2[Comparable '#2 Dates],Benchmark1[[#This Row],[Benchmark '#1 Dates]])=1,"Pass","Fail")</f>
        <v>Pass</v>
      </c>
      <c r="M818" s="6">
        <f>IF(Benchmark1[[#This Row],[Comparable '#2 Date Check]]="Pass",INDEX(Comp2[Comparable '#2 Price],MATCH(Benchmark1[[#This Row],[Benchmark '#1 Dates]],Comp2[Comparable '#2 Dates],0)),"-")</f>
        <v>37.81</v>
      </c>
      <c r="N818" s="22">
        <f>IF(Benchmark1[[#This Row],[Comparable '#2 Date Check]]="Pass",INDEX(Comp2[Comparable '#2 Return],MATCH(Benchmark1[[#This Row],[Benchmark '#1 Dates]],Comp2[Comparable '#2 Dates],0)),"-")</f>
        <v>-1.3137340809716154E-2</v>
      </c>
      <c r="O818" s="1">
        <f>IFERROR(IF(Benchmark1[[#This Row],[Comparable '#2 Date Check]]="Pass",Benchmark1[[#This Row],[Comparable '#2 Return]]-Benchmark1[[#This Row],[Benchmark '#1 Return]],"-"),"-")</f>
        <v>-1.1555872494087814E-3</v>
      </c>
      <c r="P818" s="1" t="str">
        <f>IF(COUNTIF(Comp3[Comparable '#3 Dates],Benchmark1[[#This Row],[Benchmark '#1 Dates]])=1,"Pass","Fail")</f>
        <v>Pass</v>
      </c>
      <c r="Q818" s="6">
        <f>IF(Benchmark1[[#This Row],[Comparable '#3 Date Check]]="Pass",INDEX(Comp3[Comparable '#3 Price],MATCH(Benchmark1[[#This Row],[Benchmark '#1 Dates]],Comp3[Comparable '#3 Dates],0)),"-")</f>
        <v>70.5</v>
      </c>
      <c r="R818" s="22">
        <f>IF(Benchmark1[[#This Row],[Comparable '#3 Date Check]]="Pass",INDEX(Comp3[Comparable '#3 Return],MATCH(Benchmark1[[#This Row],[Benchmark '#1 Dates]],Comp3[Comparable '#3 Dates],0)),"-")</f>
        <v>-1.6599058848452208E-2</v>
      </c>
      <c r="S818" s="1">
        <f>IFERROR(IF(Benchmark1[[#This Row],[Comparable '#3 Date Check]]="Pass",Benchmark1[[#This Row],[Comparable '#3 Return]]-Benchmark1[[#This Row],[Benchmark '#1 Return]],"-"),"-")</f>
        <v>-4.6173052881448347E-3</v>
      </c>
    </row>
    <row r="819" spans="1:19">
      <c r="A819" s="103">
        <v>44470</v>
      </c>
      <c r="B819" s="104">
        <v>4357.0388753383395</v>
      </c>
      <c r="C819" s="4">
        <f t="shared" si="12"/>
        <v>1.1425984096704303E-2</v>
      </c>
      <c r="D819" s="1" t="str">
        <f>IF(COUNTIF(Target1[Target Dates],Benchmark1[[#This Row],[Benchmark '#1 Dates]])=1,"Pass","Fail")</f>
        <v>Pass</v>
      </c>
      <c r="E819" s="6">
        <f>IF(Benchmark1[[#This Row],[Target Date Check]]="Pass",INDEX(Target1[Target Price],MATCH(Benchmark1[[#This Row],[Benchmark '#1 Dates]],Target1[Target Dates],0)),"-")</f>
        <v>35.72</v>
      </c>
      <c r="F819" s="22">
        <f>IF(Benchmark1[[#This Row],[Target Date Check]]="Pass",INDEX(Target1[Target Return],MATCH(Benchmark1[[#This Row],[Benchmark '#1 Dates]],Target1[Target Dates],0)),"-")</f>
        <v>-6.140125347114697E-3</v>
      </c>
      <c r="G819" s="1">
        <f>IFERROR(IF(Benchmark1[[#This Row],[Target Date Check]]="Pass",Benchmark1[[#This Row],[Target Return]]-Benchmark1[[#This Row],[Benchmark '#1 Return]],"-"),"-")</f>
        <v>-1.7566109443818999E-2</v>
      </c>
      <c r="H819" s="1" t="str">
        <f>IF(COUNTIF(Comp1[Comparable '#1 Dates],Benchmark1[[#This Row],[Benchmark '#1 Dates]])=1,"Pass","Fail")</f>
        <v>Pass</v>
      </c>
      <c r="I819" s="6">
        <f>IF(Benchmark1[[#This Row],[Comparable '#1 Date Check]]="Pass",INDEX(Comp1[Comparable '#1 Price],MATCH(Benchmark1[[#This Row],[Benchmark '#1 Dates]],Comp1[Comparable '#1 Dates],0)),"-")</f>
        <v>17.989999999999998</v>
      </c>
      <c r="J819" s="22">
        <f>IF(Benchmark1[[#This Row],[Comparable '#1 Date Check]]="Pass",INDEX(Comp1[Comparable '#1 Return],MATCH(Benchmark1[[#This Row],[Benchmark '#1 Dates]],Comp1[Comparable '#1 Dates],0)),"-")</f>
        <v>5.7191112278601165E-2</v>
      </c>
      <c r="K819" s="1">
        <f>IFERROR(IF(Benchmark1[[#This Row],[Comparable '#1 Date Check]]="Pass",Benchmark1[[#This Row],[Comparable '#1 Return]]-Benchmark1[[#This Row],[Benchmark '#1 Return]],"-"),"-")</f>
        <v>4.5765128181896861E-2</v>
      </c>
      <c r="L819" s="1" t="str">
        <f>IF(COUNTIF(Comp2[Comparable '#2 Dates],Benchmark1[[#This Row],[Benchmark '#1 Dates]])=1,"Pass","Fail")</f>
        <v>Pass</v>
      </c>
      <c r="M819" s="6">
        <f>IF(Benchmark1[[#This Row],[Comparable '#2 Date Check]]="Pass",INDEX(Comp2[Comparable '#2 Price],MATCH(Benchmark1[[#This Row],[Benchmark '#1 Dates]],Comp2[Comparable '#2 Dates],0)),"-")</f>
        <v>37.54</v>
      </c>
      <c r="N819" s="22">
        <f>IF(Benchmark1[[#This Row],[Comparable '#2 Date Check]]="Pass",INDEX(Comp2[Comparable '#2 Return],MATCH(Benchmark1[[#This Row],[Benchmark '#1 Dates]],Comp2[Comparable '#2 Dates],0)),"-")</f>
        <v>-7.1665867444787876E-3</v>
      </c>
      <c r="O819" s="1">
        <f>IFERROR(IF(Benchmark1[[#This Row],[Comparable '#2 Date Check]]="Pass",Benchmark1[[#This Row],[Comparable '#2 Return]]-Benchmark1[[#This Row],[Benchmark '#1 Return]],"-"),"-")</f>
        <v>-1.8592570841183091E-2</v>
      </c>
      <c r="P819" s="1" t="str">
        <f>IF(COUNTIF(Comp3[Comparable '#3 Dates],Benchmark1[[#This Row],[Benchmark '#1 Dates]])=1,"Pass","Fail")</f>
        <v>Pass</v>
      </c>
      <c r="Q819" s="6">
        <f>IF(Benchmark1[[#This Row],[Comparable '#3 Date Check]]="Pass",INDEX(Comp3[Comparable '#3 Price],MATCH(Benchmark1[[#This Row],[Benchmark '#1 Dates]],Comp3[Comparable '#3 Dates],0)),"-")</f>
        <v>71.95</v>
      </c>
      <c r="R819" s="22">
        <f>IF(Benchmark1[[#This Row],[Comparable '#3 Date Check]]="Pass",INDEX(Comp3[Comparable '#3 Return],MATCH(Benchmark1[[#This Row],[Benchmark '#1 Dates]],Comp3[Comparable '#3 Dates],0)),"-")</f>
        <v>2.0358723515153828E-2</v>
      </c>
      <c r="S819" s="1">
        <f>IFERROR(IF(Benchmark1[[#This Row],[Comparable '#3 Date Check]]="Pass",Benchmark1[[#This Row],[Comparable '#3 Return]]-Benchmark1[[#This Row],[Benchmark '#1 Return]],"-"),"-")</f>
        <v>8.9327394184495253E-3</v>
      </c>
    </row>
    <row r="820" spans="1:19">
      <c r="A820" s="103">
        <v>44473</v>
      </c>
      <c r="B820" s="104">
        <v>4300.4590120172934</v>
      </c>
      <c r="C820" s="4">
        <f t="shared" si="12"/>
        <v>-1.3070905613610882E-2</v>
      </c>
      <c r="D820" s="1" t="str">
        <f>IF(COUNTIF(Target1[Target Dates],Benchmark1[[#This Row],[Benchmark '#1 Dates]])=1,"Pass","Fail")</f>
        <v>Pass</v>
      </c>
      <c r="E820" s="6">
        <f>IF(Benchmark1[[#This Row],[Target Date Check]]="Pass",INDEX(Target1[Target Price],MATCH(Benchmark1[[#This Row],[Benchmark '#1 Dates]],Target1[Target Dates],0)),"-")</f>
        <v>35.97</v>
      </c>
      <c r="F820" s="22">
        <f>IF(Benchmark1[[#This Row],[Target Date Check]]="Pass",INDEX(Target1[Target Return],MATCH(Benchmark1[[#This Row],[Benchmark '#1 Dates]],Target1[Target Dates],0)),"-")</f>
        <v>6.9745016992343225E-3</v>
      </c>
      <c r="G820" s="1">
        <f>IFERROR(IF(Benchmark1[[#This Row],[Target Date Check]]="Pass",Benchmark1[[#This Row],[Target Return]]-Benchmark1[[#This Row],[Benchmark '#1 Return]],"-"),"-")</f>
        <v>2.0045407312845202E-2</v>
      </c>
      <c r="H820" s="1" t="str">
        <f>IF(COUNTIF(Comp1[Comparable '#1 Dates],Benchmark1[[#This Row],[Benchmark '#1 Dates]])=1,"Pass","Fail")</f>
        <v>Pass</v>
      </c>
      <c r="I820" s="6">
        <f>IF(Benchmark1[[#This Row],[Comparable '#1 Date Check]]="Pass",INDEX(Comp1[Comparable '#1 Price],MATCH(Benchmark1[[#This Row],[Benchmark '#1 Dates]],Comp1[Comparable '#1 Dates],0)),"-")</f>
        <v>17.84</v>
      </c>
      <c r="J820" s="22">
        <f>IF(Benchmark1[[#This Row],[Comparable '#1 Date Check]]="Pass",INDEX(Comp1[Comparable '#1 Return],MATCH(Benchmark1[[#This Row],[Benchmark '#1 Dates]],Comp1[Comparable '#1 Dates],0)),"-")</f>
        <v>-8.3729208105783864E-3</v>
      </c>
      <c r="K820" s="1">
        <f>IFERROR(IF(Benchmark1[[#This Row],[Comparable '#1 Date Check]]="Pass",Benchmark1[[#This Row],[Comparable '#1 Return]]-Benchmark1[[#This Row],[Benchmark '#1 Return]],"-"),"-")</f>
        <v>4.6979848030324952E-3</v>
      </c>
      <c r="L820" s="1" t="str">
        <f>IF(COUNTIF(Comp2[Comparable '#2 Dates],Benchmark1[[#This Row],[Benchmark '#1 Dates]])=1,"Pass","Fail")</f>
        <v>Pass</v>
      </c>
      <c r="M820" s="6">
        <f>IF(Benchmark1[[#This Row],[Comparable '#2 Date Check]]="Pass",INDEX(Comp2[Comparable '#2 Price],MATCH(Benchmark1[[#This Row],[Benchmark '#1 Dates]],Comp2[Comparable '#2 Dates],0)),"-")</f>
        <v>38.25</v>
      </c>
      <c r="N820" s="22">
        <f>IF(Benchmark1[[#This Row],[Comparable '#2 Date Check]]="Pass",INDEX(Comp2[Comparable '#2 Return],MATCH(Benchmark1[[#This Row],[Benchmark '#1 Dates]],Comp2[Comparable '#2 Dates],0)),"-")</f>
        <v>1.8736529114182141E-2</v>
      </c>
      <c r="O820" s="1">
        <f>IFERROR(IF(Benchmark1[[#This Row],[Comparable '#2 Date Check]]="Pass",Benchmark1[[#This Row],[Comparable '#2 Return]]-Benchmark1[[#This Row],[Benchmark '#1 Return]],"-"),"-")</f>
        <v>3.1807434727793023E-2</v>
      </c>
      <c r="P820" s="1" t="str">
        <f>IF(COUNTIF(Comp3[Comparable '#3 Dates],Benchmark1[[#This Row],[Benchmark '#1 Dates]])=1,"Pass","Fail")</f>
        <v>Pass</v>
      </c>
      <c r="Q820" s="6">
        <f>IF(Benchmark1[[#This Row],[Comparable '#3 Date Check]]="Pass",INDEX(Comp3[Comparable '#3 Price],MATCH(Benchmark1[[#This Row],[Benchmark '#1 Dates]],Comp3[Comparable '#3 Dates],0)),"-")</f>
        <v>72.92</v>
      </c>
      <c r="R820" s="22">
        <f>IF(Benchmark1[[#This Row],[Comparable '#3 Date Check]]="Pass",INDEX(Comp3[Comparable '#3 Return],MATCH(Benchmark1[[#This Row],[Benchmark '#1 Dates]],Comp3[Comparable '#3 Dates],0)),"-")</f>
        <v>1.339151647708545E-2</v>
      </c>
      <c r="S820" s="1">
        <f>IFERROR(IF(Benchmark1[[#This Row],[Comparable '#3 Date Check]]="Pass",Benchmark1[[#This Row],[Comparable '#3 Return]]-Benchmark1[[#This Row],[Benchmark '#1 Return]],"-"),"-")</f>
        <v>2.6462422090696332E-2</v>
      </c>
    </row>
    <row r="821" spans="1:19">
      <c r="A821" s="103">
        <v>44474</v>
      </c>
      <c r="B821" s="104">
        <v>4345.7162200412422</v>
      </c>
      <c r="C821" s="4">
        <f t="shared" si="12"/>
        <v>1.0468818903902317E-2</v>
      </c>
      <c r="D821" s="1" t="str">
        <f>IF(COUNTIF(Target1[Target Dates],Benchmark1[[#This Row],[Benchmark '#1 Dates]])=1,"Pass","Fail")</f>
        <v>Pass</v>
      </c>
      <c r="E821" s="6">
        <f>IF(Benchmark1[[#This Row],[Target Date Check]]="Pass",INDEX(Target1[Target Price],MATCH(Benchmark1[[#This Row],[Benchmark '#1 Dates]],Target1[Target Dates],0)),"-")</f>
        <v>36.380000000000003</v>
      </c>
      <c r="F821" s="22">
        <f>IF(Benchmark1[[#This Row],[Target Date Check]]="Pass",INDEX(Target1[Target Return],MATCH(Benchmark1[[#This Row],[Benchmark '#1 Dates]],Target1[Target Dates],0)),"-")</f>
        <v>1.1333915382443726E-2</v>
      </c>
      <c r="G821" s="1">
        <f>IFERROR(IF(Benchmark1[[#This Row],[Target Date Check]]="Pass",Benchmark1[[#This Row],[Target Return]]-Benchmark1[[#This Row],[Benchmark '#1 Return]],"-"),"-")</f>
        <v>8.6509647854140885E-4</v>
      </c>
      <c r="H821" s="1" t="str">
        <f>IF(COUNTIF(Comp1[Comparable '#1 Dates],Benchmark1[[#This Row],[Benchmark '#1 Dates]])=1,"Pass","Fail")</f>
        <v>Pass</v>
      </c>
      <c r="I821" s="6">
        <f>IF(Benchmark1[[#This Row],[Comparable '#1 Date Check]]="Pass",INDEX(Comp1[Comparable '#1 Price],MATCH(Benchmark1[[#This Row],[Benchmark '#1 Dates]],Comp1[Comparable '#1 Dates],0)),"-")</f>
        <v>18.170000000000002</v>
      </c>
      <c r="J821" s="22">
        <f>IF(Benchmark1[[#This Row],[Comparable '#1 Date Check]]="Pass",INDEX(Comp1[Comparable '#1 Return],MATCH(Benchmark1[[#This Row],[Benchmark '#1 Dates]],Comp1[Comparable '#1 Dates],0)),"-")</f>
        <v>1.8328755256216685E-2</v>
      </c>
      <c r="K821" s="1">
        <f>IFERROR(IF(Benchmark1[[#This Row],[Comparable '#1 Date Check]]="Pass",Benchmark1[[#This Row],[Comparable '#1 Return]]-Benchmark1[[#This Row],[Benchmark '#1 Return]],"-"),"-")</f>
        <v>7.8599363523143683E-3</v>
      </c>
      <c r="L821" s="1" t="str">
        <f>IF(COUNTIF(Comp2[Comparable '#2 Dates],Benchmark1[[#This Row],[Benchmark '#1 Dates]])=1,"Pass","Fail")</f>
        <v>Pass</v>
      </c>
      <c r="M821" s="6">
        <f>IF(Benchmark1[[#This Row],[Comparable '#2 Date Check]]="Pass",INDEX(Comp2[Comparable '#2 Price],MATCH(Benchmark1[[#This Row],[Benchmark '#1 Dates]],Comp2[Comparable '#2 Dates],0)),"-")</f>
        <v>39.07</v>
      </c>
      <c r="N821" s="22">
        <f>IF(Benchmark1[[#This Row],[Comparable '#2 Date Check]]="Pass",INDEX(Comp2[Comparable '#2 Return],MATCH(Benchmark1[[#This Row],[Benchmark '#1 Dates]],Comp2[Comparable '#2 Dates],0)),"-")</f>
        <v>2.1211348794434343E-2</v>
      </c>
      <c r="O821" s="1">
        <f>IFERROR(IF(Benchmark1[[#This Row],[Comparable '#2 Date Check]]="Pass",Benchmark1[[#This Row],[Comparable '#2 Return]]-Benchmark1[[#This Row],[Benchmark '#1 Return]],"-"),"-")</f>
        <v>1.0742529890532026E-2</v>
      </c>
      <c r="P821" s="1" t="str">
        <f>IF(COUNTIF(Comp3[Comparable '#3 Dates],Benchmark1[[#This Row],[Benchmark '#1 Dates]])=1,"Pass","Fail")</f>
        <v>Pass</v>
      </c>
      <c r="Q821" s="6">
        <f>IF(Benchmark1[[#This Row],[Comparable '#3 Date Check]]="Pass",INDEX(Comp3[Comparable '#3 Price],MATCH(Benchmark1[[#This Row],[Benchmark '#1 Dates]],Comp3[Comparable '#3 Dates],0)),"-")</f>
        <v>72.290000000000006</v>
      </c>
      <c r="R821" s="22">
        <f>IF(Benchmark1[[#This Row],[Comparable '#3 Date Check]]="Pass",INDEX(Comp3[Comparable '#3 Return],MATCH(Benchmark1[[#This Row],[Benchmark '#1 Dates]],Comp3[Comparable '#3 Dates],0)),"-")</f>
        <v>-8.6771427982564979E-3</v>
      </c>
      <c r="S821" s="1">
        <f>IFERROR(IF(Benchmark1[[#This Row],[Comparable '#3 Date Check]]="Pass",Benchmark1[[#This Row],[Comparable '#3 Return]]-Benchmark1[[#This Row],[Benchmark '#1 Return]],"-"),"-")</f>
        <v>-1.9145961702158813E-2</v>
      </c>
    </row>
    <row r="822" spans="1:19">
      <c r="A822" s="103">
        <v>44475</v>
      </c>
      <c r="B822" s="104">
        <v>4363.5451620709555</v>
      </c>
      <c r="C822" s="4">
        <f t="shared" si="12"/>
        <v>4.0942546452339898E-3</v>
      </c>
      <c r="D822" s="1" t="str">
        <f>IF(COUNTIF(Target1[Target Dates],Benchmark1[[#This Row],[Benchmark '#1 Dates]])=1,"Pass","Fail")</f>
        <v>Pass</v>
      </c>
      <c r="E822" s="6">
        <f>IF(Benchmark1[[#This Row],[Target Date Check]]="Pass",INDEX(Target1[Target Price],MATCH(Benchmark1[[#This Row],[Benchmark '#1 Dates]],Target1[Target Dates],0)),"-")</f>
        <v>36.49</v>
      </c>
      <c r="F822" s="22">
        <f>IF(Benchmark1[[#This Row],[Target Date Check]]="Pass",INDEX(Target1[Target Return],MATCH(Benchmark1[[#This Row],[Benchmark '#1 Dates]],Target1[Target Dates],0)),"-")</f>
        <v>3.0190773583799982E-3</v>
      </c>
      <c r="G822" s="1">
        <f>IFERROR(IF(Benchmark1[[#This Row],[Target Date Check]]="Pass",Benchmark1[[#This Row],[Target Return]]-Benchmark1[[#This Row],[Benchmark '#1 Return]],"-"),"-")</f>
        <v>-1.0751772868539916E-3</v>
      </c>
      <c r="H822" s="1" t="str">
        <f>IF(COUNTIF(Comp1[Comparable '#1 Dates],Benchmark1[[#This Row],[Benchmark '#1 Dates]])=1,"Pass","Fail")</f>
        <v>Pass</v>
      </c>
      <c r="I822" s="6">
        <f>IF(Benchmark1[[#This Row],[Comparable '#1 Date Check]]="Pass",INDEX(Comp1[Comparable '#1 Price],MATCH(Benchmark1[[#This Row],[Benchmark '#1 Dates]],Comp1[Comparable '#1 Dates],0)),"-")</f>
        <v>17.48</v>
      </c>
      <c r="J822" s="22">
        <f>IF(Benchmark1[[#This Row],[Comparable '#1 Date Check]]="Pass",INDEX(Comp1[Comparable '#1 Return],MATCH(Benchmark1[[#This Row],[Benchmark '#1 Dates]],Comp1[Comparable '#1 Dates],0)),"-")</f>
        <v>-3.8714512180690511E-2</v>
      </c>
      <c r="K822" s="1">
        <f>IFERROR(IF(Benchmark1[[#This Row],[Comparable '#1 Date Check]]="Pass",Benchmark1[[#This Row],[Comparable '#1 Return]]-Benchmark1[[#This Row],[Benchmark '#1 Return]],"-"),"-")</f>
        <v>-4.28087668259245E-2</v>
      </c>
      <c r="L822" s="1" t="str">
        <f>IF(COUNTIF(Comp2[Comparable '#2 Dates],Benchmark1[[#This Row],[Benchmark '#1 Dates]])=1,"Pass","Fail")</f>
        <v>Pass</v>
      </c>
      <c r="M822" s="6">
        <f>IF(Benchmark1[[#This Row],[Comparable '#2 Date Check]]="Pass",INDEX(Comp2[Comparable '#2 Price],MATCH(Benchmark1[[#This Row],[Benchmark '#1 Dates]],Comp2[Comparable '#2 Dates],0)),"-")</f>
        <v>38.700000000000003</v>
      </c>
      <c r="N822" s="22">
        <f>IF(Benchmark1[[#This Row],[Comparable '#2 Date Check]]="Pass",INDEX(Comp2[Comparable '#2 Return],MATCH(Benchmark1[[#This Row],[Benchmark '#1 Dates]],Comp2[Comparable '#2 Dates],0)),"-")</f>
        <v>-9.515309031243032E-3</v>
      </c>
      <c r="O822" s="1">
        <f>IFERROR(IF(Benchmark1[[#This Row],[Comparable '#2 Date Check]]="Pass",Benchmark1[[#This Row],[Comparable '#2 Return]]-Benchmark1[[#This Row],[Benchmark '#1 Return]],"-"),"-")</f>
        <v>-1.3609563676477022E-2</v>
      </c>
      <c r="P822" s="1" t="str">
        <f>IF(COUNTIF(Comp3[Comparable '#3 Dates],Benchmark1[[#This Row],[Benchmark '#1 Dates]])=1,"Pass","Fail")</f>
        <v>Pass</v>
      </c>
      <c r="Q822" s="6">
        <f>IF(Benchmark1[[#This Row],[Comparable '#3 Date Check]]="Pass",INDEX(Comp3[Comparable '#3 Price],MATCH(Benchmark1[[#This Row],[Benchmark '#1 Dates]],Comp3[Comparable '#3 Dates],0)),"-")</f>
        <v>71.959999999999994</v>
      </c>
      <c r="R822" s="22">
        <f>IF(Benchmark1[[#This Row],[Comparable '#3 Date Check]]="Pass",INDEX(Comp3[Comparable '#3 Return],MATCH(Benchmark1[[#This Row],[Benchmark '#1 Dates]],Comp3[Comparable '#3 Dates],0)),"-")</f>
        <v>-4.5753979298735438E-3</v>
      </c>
      <c r="S822" s="1">
        <f>IFERROR(IF(Benchmark1[[#This Row],[Comparable '#3 Date Check]]="Pass",Benchmark1[[#This Row],[Comparable '#3 Return]]-Benchmark1[[#This Row],[Benchmark '#1 Return]],"-"),"-")</f>
        <v>-8.6696525751075344E-3</v>
      </c>
    </row>
    <row r="823" spans="1:19">
      <c r="A823" s="103">
        <v>44476</v>
      </c>
      <c r="B823" s="104">
        <v>4399.7633079159468</v>
      </c>
      <c r="C823" s="4">
        <f t="shared" si="12"/>
        <v>8.2659082894527003E-3</v>
      </c>
      <c r="D823" s="1" t="str">
        <f>IF(COUNTIF(Target1[Target Dates],Benchmark1[[#This Row],[Benchmark '#1 Dates]])=1,"Pass","Fail")</f>
        <v>Pass</v>
      </c>
      <c r="E823" s="6">
        <f>IF(Benchmark1[[#This Row],[Target Date Check]]="Pass",INDEX(Target1[Target Price],MATCH(Benchmark1[[#This Row],[Benchmark '#1 Dates]],Target1[Target Dates],0)),"-")</f>
        <v>36.659999999999997</v>
      </c>
      <c r="F823" s="22">
        <f>IF(Benchmark1[[#This Row],[Target Date Check]]="Pass",INDEX(Target1[Target Return],MATCH(Benchmark1[[#This Row],[Benchmark '#1 Dates]],Target1[Target Dates],0)),"-")</f>
        <v>4.6479919632026008E-3</v>
      </c>
      <c r="G823" s="1">
        <f>IFERROR(IF(Benchmark1[[#This Row],[Target Date Check]]="Pass",Benchmark1[[#This Row],[Target Return]]-Benchmark1[[#This Row],[Benchmark '#1 Return]],"-"),"-")</f>
        <v>-3.6179163262500995E-3</v>
      </c>
      <c r="H823" s="1" t="str">
        <f>IF(COUNTIF(Comp1[Comparable '#1 Dates],Benchmark1[[#This Row],[Benchmark '#1 Dates]])=1,"Pass","Fail")</f>
        <v>Pass</v>
      </c>
      <c r="I823" s="6">
        <f>IF(Benchmark1[[#This Row],[Comparable '#1 Date Check]]="Pass",INDEX(Comp1[Comparable '#1 Price],MATCH(Benchmark1[[#This Row],[Benchmark '#1 Dates]],Comp1[Comparable '#1 Dates],0)),"-")</f>
        <v>17.579999999999998</v>
      </c>
      <c r="J823" s="22">
        <f>IF(Benchmark1[[#This Row],[Comparable '#1 Date Check]]="Pass",INDEX(Comp1[Comparable '#1 Return],MATCH(Benchmark1[[#This Row],[Benchmark '#1 Dates]],Comp1[Comparable '#1 Dates],0)),"-")</f>
        <v>5.7045220296413528E-3</v>
      </c>
      <c r="K823" s="1">
        <f>IFERROR(IF(Benchmark1[[#This Row],[Comparable '#1 Date Check]]="Pass",Benchmark1[[#This Row],[Comparable '#1 Return]]-Benchmark1[[#This Row],[Benchmark '#1 Return]],"-"),"-")</f>
        <v>-2.5613862598113475E-3</v>
      </c>
      <c r="L823" s="1" t="str">
        <f>IF(COUNTIF(Comp2[Comparable '#2 Dates],Benchmark1[[#This Row],[Benchmark '#1 Dates]])=1,"Pass","Fail")</f>
        <v>Pass</v>
      </c>
      <c r="M823" s="6">
        <f>IF(Benchmark1[[#This Row],[Comparable '#2 Date Check]]="Pass",INDEX(Comp2[Comparable '#2 Price],MATCH(Benchmark1[[#This Row],[Benchmark '#1 Dates]],Comp2[Comparable '#2 Dates],0)),"-")</f>
        <v>38.18</v>
      </c>
      <c r="N823" s="22">
        <f>IF(Benchmark1[[#This Row],[Comparable '#2 Date Check]]="Pass",INDEX(Comp2[Comparable '#2 Return],MATCH(Benchmark1[[#This Row],[Benchmark '#1 Dates]],Comp2[Comparable '#2 Dates],0)),"-")</f>
        <v>-1.3527781738134688E-2</v>
      </c>
      <c r="O823" s="1">
        <f>IFERROR(IF(Benchmark1[[#This Row],[Comparable '#2 Date Check]]="Pass",Benchmark1[[#This Row],[Comparable '#2 Return]]-Benchmark1[[#This Row],[Benchmark '#1 Return]],"-"),"-")</f>
        <v>-2.1793690027587388E-2</v>
      </c>
      <c r="P823" s="1" t="str">
        <f>IF(COUNTIF(Comp3[Comparable '#3 Dates],Benchmark1[[#This Row],[Benchmark '#1 Dates]])=1,"Pass","Fail")</f>
        <v>Pass</v>
      </c>
      <c r="Q823" s="6">
        <f>IF(Benchmark1[[#This Row],[Comparable '#3 Date Check]]="Pass",INDEX(Comp3[Comparable '#3 Price],MATCH(Benchmark1[[#This Row],[Benchmark '#1 Dates]],Comp3[Comparable '#3 Dates],0)),"-")</f>
        <v>72.22</v>
      </c>
      <c r="R823" s="22">
        <f>IF(Benchmark1[[#This Row],[Comparable '#3 Date Check]]="Pass",INDEX(Comp3[Comparable '#3 Return],MATCH(Benchmark1[[#This Row],[Benchmark '#1 Dates]],Comp3[Comparable '#3 Dates],0)),"-")</f>
        <v>3.6066067669793225E-3</v>
      </c>
      <c r="S823" s="1">
        <f>IFERROR(IF(Benchmark1[[#This Row],[Comparable '#3 Date Check]]="Pass",Benchmark1[[#This Row],[Comparable '#3 Return]]-Benchmark1[[#This Row],[Benchmark '#1 Return]],"-"),"-")</f>
        <v>-4.6593015224733782E-3</v>
      </c>
    </row>
    <row r="824" spans="1:19">
      <c r="A824" s="103">
        <v>44477</v>
      </c>
      <c r="B824" s="104">
        <v>4391.3380521664831</v>
      </c>
      <c r="C824" s="4">
        <f t="shared" si="12"/>
        <v>-1.916769693330263E-3</v>
      </c>
      <c r="D824" s="1" t="str">
        <f>IF(COUNTIF(Target1[Target Dates],Benchmark1[[#This Row],[Benchmark '#1 Dates]])=1,"Pass","Fail")</f>
        <v>Pass</v>
      </c>
      <c r="E824" s="6">
        <f>IF(Benchmark1[[#This Row],[Target Date Check]]="Pass",INDEX(Target1[Target Price],MATCH(Benchmark1[[#This Row],[Benchmark '#1 Dates]],Target1[Target Dates],0)),"-")</f>
        <v>36.950000000000003</v>
      </c>
      <c r="F824" s="22">
        <f>IF(Benchmark1[[#This Row],[Target Date Check]]="Pass",INDEX(Target1[Target Return],MATCH(Benchmark1[[#This Row],[Benchmark '#1 Dates]],Target1[Target Dates],0)),"-")</f>
        <v>7.8794049826519854E-3</v>
      </c>
      <c r="G824" s="1">
        <f>IFERROR(IF(Benchmark1[[#This Row],[Target Date Check]]="Pass",Benchmark1[[#This Row],[Target Return]]-Benchmark1[[#This Row],[Benchmark '#1 Return]],"-"),"-")</f>
        <v>9.7961746759822489E-3</v>
      </c>
      <c r="H824" s="1" t="str">
        <f>IF(COUNTIF(Comp1[Comparable '#1 Dates],Benchmark1[[#This Row],[Benchmark '#1 Dates]])=1,"Pass","Fail")</f>
        <v>Pass</v>
      </c>
      <c r="I824" s="6">
        <f>IF(Benchmark1[[#This Row],[Comparable '#1 Date Check]]="Pass",INDEX(Comp1[Comparable '#1 Price],MATCH(Benchmark1[[#This Row],[Benchmark '#1 Dates]],Comp1[Comparable '#1 Dates],0)),"-")</f>
        <v>17.399999999999999</v>
      </c>
      <c r="J824" s="22">
        <f>IF(Benchmark1[[#This Row],[Comparable '#1 Date Check]]="Pass",INDEX(Comp1[Comparable '#1 Return],MATCH(Benchmark1[[#This Row],[Benchmark '#1 Dates]],Comp1[Comparable '#1 Dates],0)),"-")</f>
        <v>-1.0291686036547525E-2</v>
      </c>
      <c r="K824" s="1">
        <f>IFERROR(IF(Benchmark1[[#This Row],[Comparable '#1 Date Check]]="Pass",Benchmark1[[#This Row],[Comparable '#1 Return]]-Benchmark1[[#This Row],[Benchmark '#1 Return]],"-"),"-")</f>
        <v>-8.3749163432172615E-3</v>
      </c>
      <c r="L824" s="1" t="str">
        <f>IF(COUNTIF(Comp2[Comparable '#2 Dates],Benchmark1[[#This Row],[Benchmark '#1 Dates]])=1,"Pass","Fail")</f>
        <v>Pass</v>
      </c>
      <c r="M824" s="6">
        <f>IF(Benchmark1[[#This Row],[Comparable '#2 Date Check]]="Pass",INDEX(Comp2[Comparable '#2 Price],MATCH(Benchmark1[[#This Row],[Benchmark '#1 Dates]],Comp2[Comparable '#2 Dates],0)),"-")</f>
        <v>37.76</v>
      </c>
      <c r="N824" s="22">
        <f>IF(Benchmark1[[#This Row],[Comparable '#2 Date Check]]="Pass",INDEX(Comp2[Comparable '#2 Return],MATCH(Benchmark1[[#This Row],[Benchmark '#1 Dates]],Comp2[Comparable '#2 Dates],0)),"-")</f>
        <v>-1.1061477020301677E-2</v>
      </c>
      <c r="O824" s="1">
        <f>IFERROR(IF(Benchmark1[[#This Row],[Comparable '#2 Date Check]]="Pass",Benchmark1[[#This Row],[Comparable '#2 Return]]-Benchmark1[[#This Row],[Benchmark '#1 Return]],"-"),"-")</f>
        <v>-9.1447073269714137E-3</v>
      </c>
      <c r="P824" s="1" t="str">
        <f>IF(COUNTIF(Comp3[Comparable '#3 Dates],Benchmark1[[#This Row],[Benchmark '#1 Dates]])=1,"Pass","Fail")</f>
        <v>Pass</v>
      </c>
      <c r="Q824" s="6">
        <f>IF(Benchmark1[[#This Row],[Comparable '#3 Date Check]]="Pass",INDEX(Comp3[Comparable '#3 Price],MATCH(Benchmark1[[#This Row],[Benchmark '#1 Dates]],Comp3[Comparable '#3 Dates],0)),"-")</f>
        <v>71.81</v>
      </c>
      <c r="R824" s="22">
        <f>IF(Benchmark1[[#This Row],[Comparable '#3 Date Check]]="Pass",INDEX(Comp3[Comparable '#3 Return],MATCH(Benchmark1[[#This Row],[Benchmark '#1 Dates]],Comp3[Comparable '#3 Dates],0)),"-")</f>
        <v>-5.6932737270854574E-3</v>
      </c>
      <c r="S824" s="1">
        <f>IFERROR(IF(Benchmark1[[#This Row],[Comparable '#3 Date Check]]="Pass",Benchmark1[[#This Row],[Comparable '#3 Return]]-Benchmark1[[#This Row],[Benchmark '#1 Return]],"-"),"-")</f>
        <v>-3.7765040337551944E-3</v>
      </c>
    </row>
    <row r="825" spans="1:19">
      <c r="A825" s="103">
        <v>44480</v>
      </c>
      <c r="B825" s="104">
        <v>4361.1904862176489</v>
      </c>
      <c r="C825" s="4">
        <f t="shared" si="12"/>
        <v>-6.8889087405482182E-3</v>
      </c>
      <c r="D825" s="1" t="str">
        <f>IF(COUNTIF(Target1[Target Dates],Benchmark1[[#This Row],[Benchmark '#1 Dates]])=1,"Pass","Fail")</f>
        <v>Pass</v>
      </c>
      <c r="E825" s="6">
        <f>IF(Benchmark1[[#This Row],[Target Date Check]]="Pass",INDEX(Target1[Target Price],MATCH(Benchmark1[[#This Row],[Benchmark '#1 Dates]],Target1[Target Dates],0)),"-")</f>
        <v>35.270000000000003</v>
      </c>
      <c r="F825" s="22">
        <f>IF(Benchmark1[[#This Row],[Target Date Check]]="Pass",INDEX(Target1[Target Return],MATCH(Benchmark1[[#This Row],[Benchmark '#1 Dates]],Target1[Target Dates],0)),"-")</f>
        <v>-4.6532903146250165E-2</v>
      </c>
      <c r="G825" s="1">
        <f>IFERROR(IF(Benchmark1[[#This Row],[Target Date Check]]="Pass",Benchmark1[[#This Row],[Target Return]]-Benchmark1[[#This Row],[Benchmark '#1 Return]],"-"),"-")</f>
        <v>-3.9643994405701946E-2</v>
      </c>
      <c r="H825" s="1" t="str">
        <f>IF(COUNTIF(Comp1[Comparable '#1 Dates],Benchmark1[[#This Row],[Benchmark '#1 Dates]])=1,"Pass","Fail")</f>
        <v>Pass</v>
      </c>
      <c r="I825" s="6">
        <f>IF(Benchmark1[[#This Row],[Comparable '#1 Date Check]]="Pass",INDEX(Comp1[Comparable '#1 Price],MATCH(Benchmark1[[#This Row],[Benchmark '#1 Dates]],Comp1[Comparable '#1 Dates],0)),"-")</f>
        <v>17.3</v>
      </c>
      <c r="J825" s="22">
        <f>IF(Benchmark1[[#This Row],[Comparable '#1 Date Check]]="Pass",INDEX(Comp1[Comparable '#1 Return],MATCH(Benchmark1[[#This Row],[Benchmark '#1 Dates]],Comp1[Comparable '#1 Dates],0)),"-")</f>
        <v>-5.7637047167499065E-3</v>
      </c>
      <c r="K825" s="1">
        <f>IFERROR(IF(Benchmark1[[#This Row],[Comparable '#1 Date Check]]="Pass",Benchmark1[[#This Row],[Comparable '#1 Return]]-Benchmark1[[#This Row],[Benchmark '#1 Return]],"-"),"-")</f>
        <v>1.1252040237983117E-3</v>
      </c>
      <c r="L825" s="1" t="str">
        <f>IF(COUNTIF(Comp2[Comparable '#2 Dates],Benchmark1[[#This Row],[Benchmark '#1 Dates]])=1,"Pass","Fail")</f>
        <v>Pass</v>
      </c>
      <c r="M825" s="6">
        <f>IF(Benchmark1[[#This Row],[Comparable '#2 Date Check]]="Pass",INDEX(Comp2[Comparable '#2 Price],MATCH(Benchmark1[[#This Row],[Benchmark '#1 Dates]],Comp2[Comparable '#2 Dates],0)),"-")</f>
        <v>37.49</v>
      </c>
      <c r="N825" s="22">
        <f>IF(Benchmark1[[#This Row],[Comparable '#2 Date Check]]="Pass",INDEX(Comp2[Comparable '#2 Return],MATCH(Benchmark1[[#This Row],[Benchmark '#1 Dates]],Comp2[Comparable '#2 Dates],0)),"-")</f>
        <v>-7.1761105294791934E-3</v>
      </c>
      <c r="O825" s="1">
        <f>IFERROR(IF(Benchmark1[[#This Row],[Comparable '#2 Date Check]]="Pass",Benchmark1[[#This Row],[Comparable '#2 Return]]-Benchmark1[[#This Row],[Benchmark '#1 Return]],"-"),"-")</f>
        <v>-2.8720178893097519E-4</v>
      </c>
      <c r="P825" s="1" t="str">
        <f>IF(COUNTIF(Comp3[Comparable '#3 Dates],Benchmark1[[#This Row],[Benchmark '#1 Dates]])=1,"Pass","Fail")</f>
        <v>Pass</v>
      </c>
      <c r="Q825" s="6">
        <f>IF(Benchmark1[[#This Row],[Comparable '#3 Date Check]]="Pass",INDEX(Comp3[Comparable '#3 Price],MATCH(Benchmark1[[#This Row],[Benchmark '#1 Dates]],Comp3[Comparable '#3 Dates],0)),"-")</f>
        <v>69.180000000000007</v>
      </c>
      <c r="R825" s="22">
        <f>IF(Benchmark1[[#This Row],[Comparable '#3 Date Check]]="Pass",INDEX(Comp3[Comparable '#3 Return],MATCH(Benchmark1[[#This Row],[Benchmark '#1 Dates]],Comp3[Comparable '#3 Dates],0)),"-")</f>
        <v>-3.7311938613203491E-2</v>
      </c>
      <c r="S825" s="1">
        <f>IFERROR(IF(Benchmark1[[#This Row],[Comparable '#3 Date Check]]="Pass",Benchmark1[[#This Row],[Comparable '#3 Return]]-Benchmark1[[#This Row],[Benchmark '#1 Return]],"-"),"-")</f>
        <v>-3.0423029872655272E-2</v>
      </c>
    </row>
    <row r="826" spans="1:19">
      <c r="A826" s="103">
        <v>44481</v>
      </c>
      <c r="B826" s="104">
        <v>4350.6459678722231</v>
      </c>
      <c r="C826" s="4">
        <f t="shared" si="12"/>
        <v>-2.420734950706614E-3</v>
      </c>
      <c r="D826" s="1" t="str">
        <f>IF(COUNTIF(Target1[Target Dates],Benchmark1[[#This Row],[Benchmark '#1 Dates]])=1,"Pass","Fail")</f>
        <v>Pass</v>
      </c>
      <c r="E826" s="6">
        <f>IF(Benchmark1[[#This Row],[Target Date Check]]="Pass",INDEX(Target1[Target Price],MATCH(Benchmark1[[#This Row],[Benchmark '#1 Dates]],Target1[Target Dates],0)),"-")</f>
        <v>34.51</v>
      </c>
      <c r="F826" s="22">
        <f>IF(Benchmark1[[#This Row],[Target Date Check]]="Pass",INDEX(Target1[Target Return],MATCH(Benchmark1[[#This Row],[Benchmark '#1 Dates]],Target1[Target Dates],0)),"-")</f>
        <v>-2.178360713804876E-2</v>
      </c>
      <c r="G826" s="1">
        <f>IFERROR(IF(Benchmark1[[#This Row],[Target Date Check]]="Pass",Benchmark1[[#This Row],[Target Return]]-Benchmark1[[#This Row],[Benchmark '#1 Return]],"-"),"-")</f>
        <v>-1.9362872187342145E-2</v>
      </c>
      <c r="H826" s="1" t="str">
        <f>IF(COUNTIF(Comp1[Comparable '#1 Dates],Benchmark1[[#This Row],[Benchmark '#1 Dates]])=1,"Pass","Fail")</f>
        <v>Pass</v>
      </c>
      <c r="I826" s="6">
        <f>IF(Benchmark1[[#This Row],[Comparable '#1 Date Check]]="Pass",INDEX(Comp1[Comparable '#1 Price],MATCH(Benchmark1[[#This Row],[Benchmark '#1 Dates]],Comp1[Comparable '#1 Dates],0)),"-")</f>
        <v>17.149999999999999</v>
      </c>
      <c r="J826" s="22">
        <f>IF(Benchmark1[[#This Row],[Comparable '#1 Date Check]]="Pass",INDEX(Comp1[Comparable '#1 Return],MATCH(Benchmark1[[#This Row],[Benchmark '#1 Dates]],Comp1[Comparable '#1 Dates],0)),"-")</f>
        <v>-8.7083278917844207E-3</v>
      </c>
      <c r="K826" s="1">
        <f>IFERROR(IF(Benchmark1[[#This Row],[Comparable '#1 Date Check]]="Pass",Benchmark1[[#This Row],[Comparable '#1 Return]]-Benchmark1[[#This Row],[Benchmark '#1 Return]],"-"),"-")</f>
        <v>-6.2875929410778067E-3</v>
      </c>
      <c r="L826" s="1" t="str">
        <f>IF(COUNTIF(Comp2[Comparable '#2 Dates],Benchmark1[[#This Row],[Benchmark '#1 Dates]])=1,"Pass","Fail")</f>
        <v>Pass</v>
      </c>
      <c r="M826" s="6">
        <f>IF(Benchmark1[[#This Row],[Comparable '#2 Date Check]]="Pass",INDEX(Comp2[Comparable '#2 Price],MATCH(Benchmark1[[#This Row],[Benchmark '#1 Dates]],Comp2[Comparable '#2 Dates],0)),"-")</f>
        <v>35.11</v>
      </c>
      <c r="N826" s="22">
        <f>IF(Benchmark1[[#This Row],[Comparable '#2 Date Check]]="Pass",INDEX(Comp2[Comparable '#2 Return],MATCH(Benchmark1[[#This Row],[Benchmark '#1 Dates]],Comp2[Comparable '#2 Dates],0)),"-")</f>
        <v>-6.5588240567479861E-2</v>
      </c>
      <c r="O826" s="1">
        <f>IFERROR(IF(Benchmark1[[#This Row],[Comparable '#2 Date Check]]="Pass",Benchmark1[[#This Row],[Comparable '#2 Return]]-Benchmark1[[#This Row],[Benchmark '#1 Return]],"-"),"-")</f>
        <v>-6.3167505616773242E-2</v>
      </c>
      <c r="P826" s="1" t="str">
        <f>IF(COUNTIF(Comp3[Comparable '#3 Dates],Benchmark1[[#This Row],[Benchmark '#1 Dates]])=1,"Pass","Fail")</f>
        <v>Pass</v>
      </c>
      <c r="Q826" s="6">
        <f>IF(Benchmark1[[#This Row],[Comparable '#3 Date Check]]="Pass",INDEX(Comp3[Comparable '#3 Price],MATCH(Benchmark1[[#This Row],[Benchmark '#1 Dates]],Comp3[Comparable '#3 Dates],0)),"-")</f>
        <v>69.38</v>
      </c>
      <c r="R826" s="22">
        <f>IF(Benchmark1[[#This Row],[Comparable '#3 Date Check]]="Pass",INDEX(Comp3[Comparable '#3 Return],MATCH(Benchmark1[[#This Row],[Benchmark '#1 Dates]],Comp3[Comparable '#3 Dates],0)),"-")</f>
        <v>2.8868380325808934E-3</v>
      </c>
      <c r="S826" s="1">
        <f>IFERROR(IF(Benchmark1[[#This Row],[Comparable '#3 Date Check]]="Pass",Benchmark1[[#This Row],[Comparable '#3 Return]]-Benchmark1[[#This Row],[Benchmark '#1 Return]],"-"),"-")</f>
        <v>5.307572983287507E-3</v>
      </c>
    </row>
    <row r="827" spans="1:19">
      <c r="A827" s="103">
        <v>44482</v>
      </c>
      <c r="B827" s="104">
        <v>4363.8045076624276</v>
      </c>
      <c r="C827" s="4">
        <f t="shared" si="12"/>
        <v>3.0199379358831963E-3</v>
      </c>
      <c r="D827" s="1" t="str">
        <f>IF(COUNTIF(Target1[Target Dates],Benchmark1[[#This Row],[Benchmark '#1 Dates]])=1,"Pass","Fail")</f>
        <v>Pass</v>
      </c>
      <c r="E827" s="6">
        <f>IF(Benchmark1[[#This Row],[Target Date Check]]="Pass",INDEX(Target1[Target Price],MATCH(Benchmark1[[#This Row],[Benchmark '#1 Dates]],Target1[Target Dates],0)),"-")</f>
        <v>33.78</v>
      </c>
      <c r="F827" s="22">
        <f>IF(Benchmark1[[#This Row],[Target Date Check]]="Pass",INDEX(Target1[Target Return],MATCH(Benchmark1[[#This Row],[Benchmark '#1 Dates]],Target1[Target Dates],0)),"-")</f>
        <v>-2.1380225730257909E-2</v>
      </c>
      <c r="G827" s="1">
        <f>IFERROR(IF(Benchmark1[[#This Row],[Target Date Check]]="Pass",Benchmark1[[#This Row],[Target Return]]-Benchmark1[[#This Row],[Benchmark '#1 Return]],"-"),"-")</f>
        <v>-2.4400163666141107E-2</v>
      </c>
      <c r="H827" s="1" t="str">
        <f>IF(COUNTIF(Comp1[Comparable '#1 Dates],Benchmark1[[#This Row],[Benchmark '#1 Dates]])=1,"Pass","Fail")</f>
        <v>Pass</v>
      </c>
      <c r="I827" s="6">
        <f>IF(Benchmark1[[#This Row],[Comparable '#1 Date Check]]="Pass",INDEX(Comp1[Comparable '#1 Price],MATCH(Benchmark1[[#This Row],[Benchmark '#1 Dates]],Comp1[Comparable '#1 Dates],0)),"-")</f>
        <v>17.29</v>
      </c>
      <c r="J827" s="22">
        <f>IF(Benchmark1[[#This Row],[Comparable '#1 Date Check]]="Pass",INDEX(Comp1[Comparable '#1 Return],MATCH(Benchmark1[[#This Row],[Benchmark '#1 Dates]],Comp1[Comparable '#1 Dates],0)),"-")</f>
        <v>8.1301260832503091E-3</v>
      </c>
      <c r="K827" s="1">
        <f>IFERROR(IF(Benchmark1[[#This Row],[Comparable '#1 Date Check]]="Pass",Benchmark1[[#This Row],[Comparable '#1 Return]]-Benchmark1[[#This Row],[Benchmark '#1 Return]],"-"),"-")</f>
        <v>5.1101881473671132E-3</v>
      </c>
      <c r="L827" s="1" t="str">
        <f>IF(COUNTIF(Comp2[Comparable '#2 Dates],Benchmark1[[#This Row],[Benchmark '#1 Dates]])=1,"Pass","Fail")</f>
        <v>Pass</v>
      </c>
      <c r="M827" s="6">
        <f>IF(Benchmark1[[#This Row],[Comparable '#2 Date Check]]="Pass",INDEX(Comp2[Comparable '#2 Price],MATCH(Benchmark1[[#This Row],[Benchmark '#1 Dates]],Comp2[Comparable '#2 Dates],0)),"-")</f>
        <v>35.61</v>
      </c>
      <c r="N827" s="22">
        <f>IF(Benchmark1[[#This Row],[Comparable '#2 Date Check]]="Pass",INDEX(Comp2[Comparable '#2 Return],MATCH(Benchmark1[[#This Row],[Benchmark '#1 Dates]],Comp2[Comparable '#2 Dates],0)),"-")</f>
        <v>1.4140507109345475E-2</v>
      </c>
      <c r="O827" s="1">
        <f>IFERROR(IF(Benchmark1[[#This Row],[Comparable '#2 Date Check]]="Pass",Benchmark1[[#This Row],[Comparable '#2 Return]]-Benchmark1[[#This Row],[Benchmark '#1 Return]],"-"),"-")</f>
        <v>1.112056917346228E-2</v>
      </c>
      <c r="P827" s="1" t="str">
        <f>IF(COUNTIF(Comp3[Comparable '#3 Dates],Benchmark1[[#This Row],[Benchmark '#1 Dates]])=1,"Pass","Fail")</f>
        <v>Pass</v>
      </c>
      <c r="Q827" s="6">
        <f>IF(Benchmark1[[#This Row],[Comparable '#3 Date Check]]="Pass",INDEX(Comp3[Comparable '#3 Price],MATCH(Benchmark1[[#This Row],[Benchmark '#1 Dates]],Comp3[Comparable '#3 Dates],0)),"-")</f>
        <v>68.95</v>
      </c>
      <c r="R827" s="22">
        <f>IF(Benchmark1[[#This Row],[Comparable '#3 Date Check]]="Pass",INDEX(Comp3[Comparable '#3 Return],MATCH(Benchmark1[[#This Row],[Benchmark '#1 Dates]],Comp3[Comparable '#3 Dates],0)),"-")</f>
        <v>-6.2170373022926847E-3</v>
      </c>
      <c r="S827" s="1">
        <f>IFERROR(IF(Benchmark1[[#This Row],[Comparable '#3 Date Check]]="Pass",Benchmark1[[#This Row],[Comparable '#3 Return]]-Benchmark1[[#This Row],[Benchmark '#1 Return]],"-"),"-")</f>
        <v>-9.2369752381758815E-3</v>
      </c>
    </row>
    <row r="828" spans="1:19">
      <c r="A828" s="103">
        <v>44483</v>
      </c>
      <c r="B828" s="104">
        <v>4438.2643801024096</v>
      </c>
      <c r="C828" s="4">
        <f t="shared" si="12"/>
        <v>1.69191242652511E-2</v>
      </c>
      <c r="D828" s="1" t="str">
        <f>IF(COUNTIF(Target1[Target Dates],Benchmark1[[#This Row],[Benchmark '#1 Dates]])=1,"Pass","Fail")</f>
        <v>Pass</v>
      </c>
      <c r="E828" s="6">
        <f>IF(Benchmark1[[#This Row],[Target Date Check]]="Pass",INDEX(Target1[Target Price],MATCH(Benchmark1[[#This Row],[Benchmark '#1 Dates]],Target1[Target Dates],0)),"-")</f>
        <v>34.56</v>
      </c>
      <c r="F828" s="22">
        <f>IF(Benchmark1[[#This Row],[Target Date Check]]="Pass",INDEX(Target1[Target Return],MATCH(Benchmark1[[#This Row],[Benchmark '#1 Dates]],Target1[Target Dates],0)),"-")</f>
        <v>2.282803255620084E-2</v>
      </c>
      <c r="G828" s="1">
        <f>IFERROR(IF(Benchmark1[[#This Row],[Target Date Check]]="Pass",Benchmark1[[#This Row],[Target Return]]-Benchmark1[[#This Row],[Benchmark '#1 Return]],"-"),"-")</f>
        <v>5.9089082909497409E-3</v>
      </c>
      <c r="H828" s="1" t="str">
        <f>IF(COUNTIF(Comp1[Comparable '#1 Dates],Benchmark1[[#This Row],[Benchmark '#1 Dates]])=1,"Pass","Fail")</f>
        <v>Pass</v>
      </c>
      <c r="I828" s="6">
        <f>IF(Benchmark1[[#This Row],[Comparable '#1 Date Check]]="Pass",INDEX(Comp1[Comparable '#1 Price],MATCH(Benchmark1[[#This Row],[Benchmark '#1 Dates]],Comp1[Comparable '#1 Dates],0)),"-")</f>
        <v>17.350000000000001</v>
      </c>
      <c r="J828" s="22">
        <f>IF(Benchmark1[[#This Row],[Comparable '#1 Date Check]]="Pass",INDEX(Comp1[Comparable '#1 Return],MATCH(Benchmark1[[#This Row],[Benchmark '#1 Dates]],Comp1[Comparable '#1 Dates],0)),"-")</f>
        <v>3.4642066976691933E-3</v>
      </c>
      <c r="K828" s="1">
        <f>IFERROR(IF(Benchmark1[[#This Row],[Comparable '#1 Date Check]]="Pass",Benchmark1[[#This Row],[Comparable '#1 Return]]-Benchmark1[[#This Row],[Benchmark '#1 Return]],"-"),"-")</f>
        <v>-1.3454917567581905E-2</v>
      </c>
      <c r="L828" s="1" t="str">
        <f>IF(COUNTIF(Comp2[Comparable '#2 Dates],Benchmark1[[#This Row],[Benchmark '#1 Dates]])=1,"Pass","Fail")</f>
        <v>Pass</v>
      </c>
      <c r="M828" s="6">
        <f>IF(Benchmark1[[#This Row],[Comparable '#2 Date Check]]="Pass",INDEX(Comp2[Comparable '#2 Price],MATCH(Benchmark1[[#This Row],[Benchmark '#1 Dates]],Comp2[Comparable '#2 Dates],0)),"-")</f>
        <v>36.51</v>
      </c>
      <c r="N828" s="22">
        <f>IF(Benchmark1[[#This Row],[Comparable '#2 Date Check]]="Pass",INDEX(Comp2[Comparable '#2 Return],MATCH(Benchmark1[[#This Row],[Benchmark '#1 Dates]],Comp2[Comparable '#2 Dates],0)),"-")</f>
        <v>2.4959698377859142E-2</v>
      </c>
      <c r="O828" s="1">
        <f>IFERROR(IF(Benchmark1[[#This Row],[Comparable '#2 Date Check]]="Pass",Benchmark1[[#This Row],[Comparable '#2 Return]]-Benchmark1[[#This Row],[Benchmark '#1 Return]],"-"),"-")</f>
        <v>8.0405741126080427E-3</v>
      </c>
      <c r="P828" s="1" t="str">
        <f>IF(COUNTIF(Comp3[Comparable '#3 Dates],Benchmark1[[#This Row],[Benchmark '#1 Dates]])=1,"Pass","Fail")</f>
        <v>Pass</v>
      </c>
      <c r="Q828" s="6">
        <f>IF(Benchmark1[[#This Row],[Comparable '#3 Date Check]]="Pass",INDEX(Comp3[Comparable '#3 Price],MATCH(Benchmark1[[#This Row],[Benchmark '#1 Dates]],Comp3[Comparable '#3 Dates],0)),"-")</f>
        <v>70.25</v>
      </c>
      <c r="R828" s="22">
        <f>IF(Benchmark1[[#This Row],[Comparable '#3 Date Check]]="Pass",INDEX(Comp3[Comparable '#3 Return],MATCH(Benchmark1[[#This Row],[Benchmark '#1 Dates]],Comp3[Comparable '#3 Dates],0)),"-")</f>
        <v>1.8678703974544259E-2</v>
      </c>
      <c r="S828" s="1">
        <f>IFERROR(IF(Benchmark1[[#This Row],[Comparable '#3 Date Check]]="Pass",Benchmark1[[#This Row],[Comparable '#3 Return]]-Benchmark1[[#This Row],[Benchmark '#1 Return]],"-"),"-")</f>
        <v>1.7595797092931596E-3</v>
      </c>
    </row>
    <row r="829" spans="1:19">
      <c r="A829" s="103">
        <v>44484</v>
      </c>
      <c r="B829" s="104">
        <v>4471.3684542177743</v>
      </c>
      <c r="C829" s="4">
        <f t="shared" si="12"/>
        <v>7.4311090184167898E-3</v>
      </c>
      <c r="D829" s="1" t="str">
        <f>IF(COUNTIF(Target1[Target Dates],Benchmark1[[#This Row],[Benchmark '#1 Dates]])=1,"Pass","Fail")</f>
        <v>Pass</v>
      </c>
      <c r="E829" s="6">
        <f>IF(Benchmark1[[#This Row],[Target Date Check]]="Pass",INDEX(Target1[Target Price],MATCH(Benchmark1[[#This Row],[Benchmark '#1 Dates]],Target1[Target Dates],0)),"-")</f>
        <v>34.29</v>
      </c>
      <c r="F829" s="22">
        <f>IF(Benchmark1[[#This Row],[Target Date Check]]="Pass",INDEX(Target1[Target Return],MATCH(Benchmark1[[#This Row],[Benchmark '#1 Dates]],Target1[Target Dates],0)),"-")</f>
        <v>-7.8431774610260054E-3</v>
      </c>
      <c r="G829" s="1">
        <f>IFERROR(IF(Benchmark1[[#This Row],[Target Date Check]]="Pass",Benchmark1[[#This Row],[Target Return]]-Benchmark1[[#This Row],[Benchmark '#1 Return]],"-"),"-")</f>
        <v>-1.5274286479442796E-2</v>
      </c>
      <c r="H829" s="1" t="str">
        <f>IF(COUNTIF(Comp1[Comparable '#1 Dates],Benchmark1[[#This Row],[Benchmark '#1 Dates]])=1,"Pass","Fail")</f>
        <v>Pass</v>
      </c>
      <c r="I829" s="6">
        <f>IF(Benchmark1[[#This Row],[Comparable '#1 Date Check]]="Pass",INDEX(Comp1[Comparable '#1 Price],MATCH(Benchmark1[[#This Row],[Benchmark '#1 Dates]],Comp1[Comparable '#1 Dates],0)),"-")</f>
        <v>17.3</v>
      </c>
      <c r="J829" s="22">
        <f>IF(Benchmark1[[#This Row],[Comparable '#1 Date Check]]="Pass",INDEX(Comp1[Comparable '#1 Return],MATCH(Benchmark1[[#This Row],[Benchmark '#1 Dates]],Comp1[Comparable '#1 Dates],0)),"-")</f>
        <v>-2.8860048891349867E-3</v>
      </c>
      <c r="K829" s="1">
        <f>IFERROR(IF(Benchmark1[[#This Row],[Comparable '#1 Date Check]]="Pass",Benchmark1[[#This Row],[Comparable '#1 Return]]-Benchmark1[[#This Row],[Benchmark '#1 Return]],"-"),"-")</f>
        <v>-1.0317113907551776E-2</v>
      </c>
      <c r="L829" s="1" t="str">
        <f>IF(COUNTIF(Comp2[Comparable '#2 Dates],Benchmark1[[#This Row],[Benchmark '#1 Dates]])=1,"Pass","Fail")</f>
        <v>Pass</v>
      </c>
      <c r="M829" s="6">
        <f>IF(Benchmark1[[#This Row],[Comparable '#2 Date Check]]="Pass",INDEX(Comp2[Comparable '#2 Price],MATCH(Benchmark1[[#This Row],[Benchmark '#1 Dates]],Comp2[Comparable '#2 Dates],0)),"-")</f>
        <v>36.409999999999997</v>
      </c>
      <c r="N829" s="22">
        <f>IF(Benchmark1[[#This Row],[Comparable '#2 Date Check]]="Pass",INDEX(Comp2[Comparable '#2 Return],MATCH(Benchmark1[[#This Row],[Benchmark '#1 Dates]],Comp2[Comparable '#2 Dates],0)),"-")</f>
        <v>-2.7427334802034445E-3</v>
      </c>
      <c r="O829" s="1">
        <f>IFERROR(IF(Benchmark1[[#This Row],[Comparable '#2 Date Check]]="Pass",Benchmark1[[#This Row],[Comparable '#2 Return]]-Benchmark1[[#This Row],[Benchmark '#1 Return]],"-"),"-")</f>
        <v>-1.0173842498620234E-2</v>
      </c>
      <c r="P829" s="1" t="str">
        <f>IF(COUNTIF(Comp3[Comparable '#3 Dates],Benchmark1[[#This Row],[Benchmark '#1 Dates]])=1,"Pass","Fail")</f>
        <v>Pass</v>
      </c>
      <c r="Q829" s="6">
        <f>IF(Benchmark1[[#This Row],[Comparable '#3 Date Check]]="Pass",INDEX(Comp3[Comparable '#3 Price],MATCH(Benchmark1[[#This Row],[Benchmark '#1 Dates]],Comp3[Comparable '#3 Dates],0)),"-")</f>
        <v>71.25</v>
      </c>
      <c r="R829" s="22">
        <f>IF(Benchmark1[[#This Row],[Comparable '#3 Date Check]]="Pass",INDEX(Comp3[Comparable '#3 Return],MATCH(Benchmark1[[#This Row],[Benchmark '#1 Dates]],Comp3[Comparable '#3 Dates],0)),"-")</f>
        <v>1.4134510934904716E-2</v>
      </c>
      <c r="S829" s="1">
        <f>IFERROR(IF(Benchmark1[[#This Row],[Comparable '#3 Date Check]]="Pass",Benchmark1[[#This Row],[Comparable '#3 Return]]-Benchmark1[[#This Row],[Benchmark '#1 Return]],"-"),"-")</f>
        <v>6.7034019164879258E-3</v>
      </c>
    </row>
    <row r="830" spans="1:19">
      <c r="A830" s="103">
        <v>44487</v>
      </c>
      <c r="B830" s="104">
        <v>4486.4604923383695</v>
      </c>
      <c r="C830" s="4">
        <f t="shared" si="12"/>
        <v>3.3695781623625126E-3</v>
      </c>
      <c r="D830" s="1" t="str">
        <f>IF(COUNTIF(Target1[Target Dates],Benchmark1[[#This Row],[Benchmark '#1 Dates]])=1,"Pass","Fail")</f>
        <v>Pass</v>
      </c>
      <c r="E830" s="6">
        <f>IF(Benchmark1[[#This Row],[Target Date Check]]="Pass",INDEX(Target1[Target Price],MATCH(Benchmark1[[#This Row],[Benchmark '#1 Dates]],Target1[Target Dates],0)),"-")</f>
        <v>33.17</v>
      </c>
      <c r="F830" s="22">
        <f>IF(Benchmark1[[#This Row],[Target Date Check]]="Pass",INDEX(Target1[Target Return],MATCH(Benchmark1[[#This Row],[Benchmark '#1 Dates]],Target1[Target Dates],0)),"-")</f>
        <v>-3.3207913515867861E-2</v>
      </c>
      <c r="G830" s="1">
        <f>IFERROR(IF(Benchmark1[[#This Row],[Target Date Check]]="Pass",Benchmark1[[#This Row],[Target Return]]-Benchmark1[[#This Row],[Benchmark '#1 Return]],"-"),"-")</f>
        <v>-3.6577491678230371E-2</v>
      </c>
      <c r="H830" s="1" t="str">
        <f>IF(COUNTIF(Comp1[Comparable '#1 Dates],Benchmark1[[#This Row],[Benchmark '#1 Dates]])=1,"Pass","Fail")</f>
        <v>Pass</v>
      </c>
      <c r="I830" s="6">
        <f>IF(Benchmark1[[#This Row],[Comparable '#1 Date Check]]="Pass",INDEX(Comp1[Comparable '#1 Price],MATCH(Benchmark1[[#This Row],[Benchmark '#1 Dates]],Comp1[Comparable '#1 Dates],0)),"-")</f>
        <v>17.13</v>
      </c>
      <c r="J830" s="22">
        <f>IF(Benchmark1[[#This Row],[Comparable '#1 Date Check]]="Pass",INDEX(Comp1[Comparable '#1 Return],MATCH(Benchmark1[[#This Row],[Benchmark '#1 Dates]],Comp1[Comparable '#1 Dates],0)),"-")</f>
        <v>-9.8751891677048582E-3</v>
      </c>
      <c r="K830" s="1">
        <f>IFERROR(IF(Benchmark1[[#This Row],[Comparable '#1 Date Check]]="Pass",Benchmark1[[#This Row],[Comparable '#1 Return]]-Benchmark1[[#This Row],[Benchmark '#1 Return]],"-"),"-")</f>
        <v>-1.324476733006737E-2</v>
      </c>
      <c r="L830" s="1" t="str">
        <f>IF(COUNTIF(Comp2[Comparable '#2 Dates],Benchmark1[[#This Row],[Benchmark '#1 Dates]])=1,"Pass","Fail")</f>
        <v>Pass</v>
      </c>
      <c r="M830" s="6">
        <f>IF(Benchmark1[[#This Row],[Comparable '#2 Date Check]]="Pass",INDEX(Comp2[Comparable '#2 Price],MATCH(Benchmark1[[#This Row],[Benchmark '#1 Dates]],Comp2[Comparable '#2 Dates],0)),"-")</f>
        <v>36.549999999999997</v>
      </c>
      <c r="N830" s="22">
        <f>IF(Benchmark1[[#This Row],[Comparable '#2 Date Check]]="Pass",INDEX(Comp2[Comparable '#2 Return],MATCH(Benchmark1[[#This Row],[Benchmark '#1 Dates]],Comp2[Comparable '#2 Dates],0)),"-")</f>
        <v>3.8377240084455423E-3</v>
      </c>
      <c r="O830" s="1">
        <f>IFERROR(IF(Benchmark1[[#This Row],[Comparable '#2 Date Check]]="Pass",Benchmark1[[#This Row],[Comparable '#2 Return]]-Benchmark1[[#This Row],[Benchmark '#1 Return]],"-"),"-")</f>
        <v>4.681458460830297E-4</v>
      </c>
      <c r="P830" s="1" t="str">
        <f>IF(COUNTIF(Comp3[Comparable '#3 Dates],Benchmark1[[#This Row],[Benchmark '#1 Dates]])=1,"Pass","Fail")</f>
        <v>Pass</v>
      </c>
      <c r="Q830" s="6">
        <f>IF(Benchmark1[[#This Row],[Comparable '#3 Date Check]]="Pass",INDEX(Comp3[Comparable '#3 Price],MATCH(Benchmark1[[#This Row],[Benchmark '#1 Dates]],Comp3[Comparable '#3 Dates],0)),"-")</f>
        <v>69.78</v>
      </c>
      <c r="R830" s="22">
        <f>IF(Benchmark1[[#This Row],[Comparable '#3 Date Check]]="Pass",INDEX(Comp3[Comparable '#3 Return],MATCH(Benchmark1[[#This Row],[Benchmark '#1 Dates]],Comp3[Comparable '#3 Dates],0)),"-")</f>
        <v>-2.0847383390131875E-2</v>
      </c>
      <c r="S830" s="1">
        <f>IFERROR(IF(Benchmark1[[#This Row],[Comparable '#3 Date Check]]="Pass",Benchmark1[[#This Row],[Comparable '#3 Return]]-Benchmark1[[#This Row],[Benchmark '#1 Return]],"-"),"-")</f>
        <v>-2.4216961552494389E-2</v>
      </c>
    </row>
    <row r="831" spans="1:19">
      <c r="A831" s="103">
        <v>44488</v>
      </c>
      <c r="B831" s="104">
        <v>4519.6306119422024</v>
      </c>
      <c r="C831" s="4">
        <f t="shared" si="12"/>
        <v>7.3661856638484458E-3</v>
      </c>
      <c r="D831" s="1" t="str">
        <f>IF(COUNTIF(Target1[Target Dates],Benchmark1[[#This Row],[Benchmark '#1 Dates]])=1,"Pass","Fail")</f>
        <v>Pass</v>
      </c>
      <c r="E831" s="6">
        <f>IF(Benchmark1[[#This Row],[Target Date Check]]="Pass",INDEX(Target1[Target Price],MATCH(Benchmark1[[#This Row],[Benchmark '#1 Dates]],Target1[Target Dates],0)),"-")</f>
        <v>34.19</v>
      </c>
      <c r="F831" s="22">
        <f>IF(Benchmark1[[#This Row],[Target Date Check]]="Pass",INDEX(Target1[Target Return],MATCH(Benchmark1[[#This Row],[Benchmark '#1 Dates]],Target1[Target Dates],0)),"-")</f>
        <v>3.0287350692248843E-2</v>
      </c>
      <c r="G831" s="1">
        <f>IFERROR(IF(Benchmark1[[#This Row],[Target Date Check]]="Pass",Benchmark1[[#This Row],[Target Return]]-Benchmark1[[#This Row],[Benchmark '#1 Return]],"-"),"-")</f>
        <v>2.2921165028400397E-2</v>
      </c>
      <c r="H831" s="1" t="str">
        <f>IF(COUNTIF(Comp1[Comparable '#1 Dates],Benchmark1[[#This Row],[Benchmark '#1 Dates]])=1,"Pass","Fail")</f>
        <v>Pass</v>
      </c>
      <c r="I831" s="6">
        <f>IF(Benchmark1[[#This Row],[Comparable '#1 Date Check]]="Pass",INDEX(Comp1[Comparable '#1 Price],MATCH(Benchmark1[[#This Row],[Benchmark '#1 Dates]],Comp1[Comparable '#1 Dates],0)),"-")</f>
        <v>17.34</v>
      </c>
      <c r="J831" s="22">
        <f>IF(Benchmark1[[#This Row],[Comparable '#1 Date Check]]="Pass",INDEX(Comp1[Comparable '#1 Return],MATCH(Benchmark1[[#This Row],[Benchmark '#1 Dates]],Comp1[Comparable '#1 Dates],0)),"-")</f>
        <v>1.2184659016367219E-2</v>
      </c>
      <c r="K831" s="1">
        <f>IFERROR(IF(Benchmark1[[#This Row],[Comparable '#1 Date Check]]="Pass",Benchmark1[[#This Row],[Comparable '#1 Return]]-Benchmark1[[#This Row],[Benchmark '#1 Return]],"-"),"-")</f>
        <v>4.8184733525187731E-3</v>
      </c>
      <c r="L831" s="1" t="str">
        <f>IF(COUNTIF(Comp2[Comparable '#2 Dates],Benchmark1[[#This Row],[Benchmark '#1 Dates]])=1,"Pass","Fail")</f>
        <v>Pass</v>
      </c>
      <c r="M831" s="6">
        <f>IF(Benchmark1[[#This Row],[Comparable '#2 Date Check]]="Pass",INDEX(Comp2[Comparable '#2 Price],MATCH(Benchmark1[[#This Row],[Benchmark '#1 Dates]],Comp2[Comparable '#2 Dates],0)),"-")</f>
        <v>36.32</v>
      </c>
      <c r="N831" s="22">
        <f>IF(Benchmark1[[#This Row],[Comparable '#2 Date Check]]="Pass",INDEX(Comp2[Comparable '#2 Return],MATCH(Benchmark1[[#This Row],[Benchmark '#1 Dates]],Comp2[Comparable '#2 Dates],0)),"-")</f>
        <v>-6.312632462694868E-3</v>
      </c>
      <c r="O831" s="1">
        <f>IFERROR(IF(Benchmark1[[#This Row],[Comparable '#2 Date Check]]="Pass",Benchmark1[[#This Row],[Comparable '#2 Return]]-Benchmark1[[#This Row],[Benchmark '#1 Return]],"-"),"-")</f>
        <v>-1.3678818126543313E-2</v>
      </c>
      <c r="P831" s="1" t="str">
        <f>IF(COUNTIF(Comp3[Comparable '#3 Dates],Benchmark1[[#This Row],[Benchmark '#1 Dates]])=1,"Pass","Fail")</f>
        <v>Pass</v>
      </c>
      <c r="Q831" s="6">
        <f>IF(Benchmark1[[#This Row],[Comparable '#3 Date Check]]="Pass",INDEX(Comp3[Comparable '#3 Price],MATCH(Benchmark1[[#This Row],[Benchmark '#1 Dates]],Comp3[Comparable '#3 Dates],0)),"-")</f>
        <v>71.03</v>
      </c>
      <c r="R831" s="22">
        <f>IF(Benchmark1[[#This Row],[Comparable '#3 Date Check]]="Pass",INDEX(Comp3[Comparable '#3 Return],MATCH(Benchmark1[[#This Row],[Benchmark '#1 Dates]],Comp3[Comparable '#3 Dates],0)),"-")</f>
        <v>1.7754887251090496E-2</v>
      </c>
      <c r="S831" s="1">
        <f>IFERROR(IF(Benchmark1[[#This Row],[Comparable '#3 Date Check]]="Pass",Benchmark1[[#This Row],[Comparable '#3 Return]]-Benchmark1[[#This Row],[Benchmark '#1 Return]],"-"),"-")</f>
        <v>1.038870158724205E-2</v>
      </c>
    </row>
    <row r="832" spans="1:19">
      <c r="A832" s="103">
        <v>44489</v>
      </c>
      <c r="B832" s="104">
        <v>4536.1921397276465</v>
      </c>
      <c r="C832" s="4">
        <f t="shared" si="12"/>
        <v>3.6576568918281942E-3</v>
      </c>
      <c r="D832" s="1" t="str">
        <f>IF(COUNTIF(Target1[Target Dates],Benchmark1[[#This Row],[Benchmark '#1 Dates]])=1,"Pass","Fail")</f>
        <v>Pass</v>
      </c>
      <c r="E832" s="6">
        <f>IF(Benchmark1[[#This Row],[Target Date Check]]="Pass",INDEX(Target1[Target Price],MATCH(Benchmark1[[#This Row],[Benchmark '#1 Dates]],Target1[Target Dates],0)),"-")</f>
        <v>35.24</v>
      </c>
      <c r="F832" s="22">
        <f>IF(Benchmark1[[#This Row],[Target Date Check]]="Pass",INDEX(Target1[Target Return],MATCH(Benchmark1[[#This Row],[Benchmark '#1 Dates]],Target1[Target Dates],0)),"-")</f>
        <v>3.0248597416768937E-2</v>
      </c>
      <c r="G832" s="1">
        <f>IFERROR(IF(Benchmark1[[#This Row],[Target Date Check]]="Pass",Benchmark1[[#This Row],[Target Return]]-Benchmark1[[#This Row],[Benchmark '#1 Return]],"-"),"-")</f>
        <v>2.6590940524940744E-2</v>
      </c>
      <c r="H832" s="1" t="str">
        <f>IF(COUNTIF(Comp1[Comparable '#1 Dates],Benchmark1[[#This Row],[Benchmark '#1 Dates]])=1,"Pass","Fail")</f>
        <v>Pass</v>
      </c>
      <c r="I832" s="6">
        <f>IF(Benchmark1[[#This Row],[Comparable '#1 Date Check]]="Pass",INDEX(Comp1[Comparable '#1 Price],MATCH(Benchmark1[[#This Row],[Benchmark '#1 Dates]],Comp1[Comparable '#1 Dates],0)),"-")</f>
        <v>17.059999999999999</v>
      </c>
      <c r="J832" s="22">
        <f>IF(Benchmark1[[#This Row],[Comparable '#1 Date Check]]="Pass",INDEX(Comp1[Comparable '#1 Return],MATCH(Benchmark1[[#This Row],[Benchmark '#1 Dates]],Comp1[Comparable '#1 Dates],0)),"-")</f>
        <v>-1.6279429288862834E-2</v>
      </c>
      <c r="K832" s="1">
        <f>IFERROR(IF(Benchmark1[[#This Row],[Comparable '#1 Date Check]]="Pass",Benchmark1[[#This Row],[Comparable '#1 Return]]-Benchmark1[[#This Row],[Benchmark '#1 Return]],"-"),"-")</f>
        <v>-1.9937086180691028E-2</v>
      </c>
      <c r="L832" s="1" t="str">
        <f>IF(COUNTIF(Comp2[Comparable '#2 Dates],Benchmark1[[#This Row],[Benchmark '#1 Dates]])=1,"Pass","Fail")</f>
        <v>Pass</v>
      </c>
      <c r="M832" s="6">
        <f>IF(Benchmark1[[#This Row],[Comparable '#2 Date Check]]="Pass",INDEX(Comp2[Comparable '#2 Price],MATCH(Benchmark1[[#This Row],[Benchmark '#1 Dates]],Comp2[Comparable '#2 Dates],0)),"-")</f>
        <v>35.799999999999997</v>
      </c>
      <c r="N832" s="22">
        <f>IF(Benchmark1[[#This Row],[Comparable '#2 Date Check]]="Pass",INDEX(Comp2[Comparable '#2 Return],MATCH(Benchmark1[[#This Row],[Benchmark '#1 Dates]],Comp2[Comparable '#2 Dates],0)),"-")</f>
        <v>-1.4420660326437979E-2</v>
      </c>
      <c r="O832" s="1">
        <f>IFERROR(IF(Benchmark1[[#This Row],[Comparable '#2 Date Check]]="Pass",Benchmark1[[#This Row],[Comparable '#2 Return]]-Benchmark1[[#This Row],[Benchmark '#1 Return]],"-"),"-")</f>
        <v>-1.8078317218266172E-2</v>
      </c>
      <c r="P832" s="1" t="str">
        <f>IF(COUNTIF(Comp3[Comparable '#3 Dates],Benchmark1[[#This Row],[Benchmark '#1 Dates]])=1,"Pass","Fail")</f>
        <v>Pass</v>
      </c>
      <c r="Q832" s="6">
        <f>IF(Benchmark1[[#This Row],[Comparable '#3 Date Check]]="Pass",INDEX(Comp3[Comparable '#3 Price],MATCH(Benchmark1[[#This Row],[Benchmark '#1 Dates]],Comp3[Comparable '#3 Dates],0)),"-")</f>
        <v>70.67</v>
      </c>
      <c r="R832" s="22">
        <f>IF(Benchmark1[[#This Row],[Comparable '#3 Date Check]]="Pass",INDEX(Comp3[Comparable '#3 Return],MATCH(Benchmark1[[#This Row],[Benchmark '#1 Dates]],Comp3[Comparable '#3 Dates],0)),"-")</f>
        <v>-5.0811683069556801E-3</v>
      </c>
      <c r="S832" s="1">
        <f>IFERROR(IF(Benchmark1[[#This Row],[Comparable '#3 Date Check]]="Pass",Benchmark1[[#This Row],[Comparable '#3 Return]]-Benchmark1[[#This Row],[Benchmark '#1 Return]],"-"),"-")</f>
        <v>-8.7388251987838735E-3</v>
      </c>
    </row>
    <row r="833" spans="1:19">
      <c r="A833" s="103">
        <v>44490</v>
      </c>
      <c r="B833" s="104">
        <v>4549.781346898224</v>
      </c>
      <c r="C833" s="4">
        <f t="shared" si="12"/>
        <v>2.9912518065632072E-3</v>
      </c>
      <c r="D833" s="1" t="str">
        <f>IF(COUNTIF(Target1[Target Dates],Benchmark1[[#This Row],[Benchmark '#1 Dates]])=1,"Pass","Fail")</f>
        <v>Pass</v>
      </c>
      <c r="E833" s="6">
        <f>IF(Benchmark1[[#This Row],[Target Date Check]]="Pass",INDEX(Target1[Target Price],MATCH(Benchmark1[[#This Row],[Benchmark '#1 Dates]],Target1[Target Dates],0)),"-")</f>
        <v>34.32</v>
      </c>
      <c r="F833" s="22">
        <f>IF(Benchmark1[[#This Row],[Target Date Check]]="Pass",INDEX(Target1[Target Return],MATCH(Benchmark1[[#This Row],[Benchmark '#1 Dates]],Target1[Target Dates],0)),"-")</f>
        <v>-2.6453526448217312E-2</v>
      </c>
      <c r="G833" s="1">
        <f>IFERROR(IF(Benchmark1[[#This Row],[Target Date Check]]="Pass",Benchmark1[[#This Row],[Target Return]]-Benchmark1[[#This Row],[Benchmark '#1 Return]],"-"),"-")</f>
        <v>-2.9444778254780521E-2</v>
      </c>
      <c r="H833" s="1" t="str">
        <f>IF(COUNTIF(Comp1[Comparable '#1 Dates],Benchmark1[[#This Row],[Benchmark '#1 Dates]])=1,"Pass","Fail")</f>
        <v>Pass</v>
      </c>
      <c r="I833" s="6">
        <f>IF(Benchmark1[[#This Row],[Comparable '#1 Date Check]]="Pass",INDEX(Comp1[Comparable '#1 Price],MATCH(Benchmark1[[#This Row],[Benchmark '#1 Dates]],Comp1[Comparable '#1 Dates],0)),"-")</f>
        <v>17.36</v>
      </c>
      <c r="J833" s="22">
        <f>IF(Benchmark1[[#This Row],[Comparable '#1 Date Check]]="Pass",INDEX(Comp1[Comparable '#1 Return],MATCH(Benchmark1[[#This Row],[Benchmark '#1 Dates]],Comp1[Comparable '#1 Dates],0)),"-")</f>
        <v>1.7432167168671017E-2</v>
      </c>
      <c r="K833" s="1">
        <f>IFERROR(IF(Benchmark1[[#This Row],[Comparable '#1 Date Check]]="Pass",Benchmark1[[#This Row],[Comparable '#1 Return]]-Benchmark1[[#This Row],[Benchmark '#1 Return]],"-"),"-")</f>
        <v>1.4440915362107809E-2</v>
      </c>
      <c r="L833" s="1" t="str">
        <f>IF(COUNTIF(Comp2[Comparable '#2 Dates],Benchmark1[[#This Row],[Benchmark '#1 Dates]])=1,"Pass","Fail")</f>
        <v>Pass</v>
      </c>
      <c r="M833" s="6">
        <f>IF(Benchmark1[[#This Row],[Comparable '#2 Date Check]]="Pass",INDEX(Comp2[Comparable '#2 Price],MATCH(Benchmark1[[#This Row],[Benchmark '#1 Dates]],Comp2[Comparable '#2 Dates],0)),"-")</f>
        <v>36.729999999999997</v>
      </c>
      <c r="N833" s="22">
        <f>IF(Benchmark1[[#This Row],[Comparable '#2 Date Check]]="Pass",INDEX(Comp2[Comparable '#2 Return],MATCH(Benchmark1[[#This Row],[Benchmark '#1 Dates]],Comp2[Comparable '#2 Dates],0)),"-")</f>
        <v>2.5645966424921417E-2</v>
      </c>
      <c r="O833" s="1">
        <f>IFERROR(IF(Benchmark1[[#This Row],[Comparable '#2 Date Check]]="Pass",Benchmark1[[#This Row],[Comparable '#2 Return]]-Benchmark1[[#This Row],[Benchmark '#1 Return]],"-"),"-")</f>
        <v>2.2654714618358211E-2</v>
      </c>
      <c r="P833" s="1" t="str">
        <f>IF(COUNTIF(Comp3[Comparable '#3 Dates],Benchmark1[[#This Row],[Benchmark '#1 Dates]])=1,"Pass","Fail")</f>
        <v>Pass</v>
      </c>
      <c r="Q833" s="6">
        <f>IF(Benchmark1[[#This Row],[Comparable '#3 Date Check]]="Pass",INDEX(Comp3[Comparable '#3 Price],MATCH(Benchmark1[[#This Row],[Benchmark '#1 Dates]],Comp3[Comparable '#3 Dates],0)),"-")</f>
        <v>71.849999999999994</v>
      </c>
      <c r="R833" s="22">
        <f>IF(Benchmark1[[#This Row],[Comparable '#3 Date Check]]="Pass",INDEX(Comp3[Comparable '#3 Return],MATCH(Benchmark1[[#This Row],[Benchmark '#1 Dates]],Comp3[Comparable '#3 Dates],0)),"-")</f>
        <v>1.6559457822270914E-2</v>
      </c>
      <c r="S833" s="1">
        <f>IFERROR(IF(Benchmark1[[#This Row],[Comparable '#3 Date Check]]="Pass",Benchmark1[[#This Row],[Comparable '#3 Return]]-Benchmark1[[#This Row],[Benchmark '#1 Return]],"-"),"-")</f>
        <v>1.3568206015707707E-2</v>
      </c>
    </row>
    <row r="834" spans="1:19">
      <c r="A834" s="103">
        <v>44491</v>
      </c>
      <c r="B834" s="104">
        <v>4544.8982526817153</v>
      </c>
      <c r="C834" s="4">
        <f t="shared" ref="C834:C897" si="13">IFERROR(IF(B834="","-",LN(B834/B833)),"-")</f>
        <v>-1.0738354512165537E-3</v>
      </c>
      <c r="D834" s="1" t="str">
        <f>IF(COUNTIF(Target1[Target Dates],Benchmark1[[#This Row],[Benchmark '#1 Dates]])=1,"Pass","Fail")</f>
        <v>Pass</v>
      </c>
      <c r="E834" s="6">
        <f>IF(Benchmark1[[#This Row],[Target Date Check]]="Pass",INDEX(Target1[Target Price],MATCH(Benchmark1[[#This Row],[Benchmark '#1 Dates]],Target1[Target Dates],0)),"-")</f>
        <v>33.369999999999997</v>
      </c>
      <c r="F834" s="22">
        <f>IF(Benchmark1[[#This Row],[Target Date Check]]="Pass",INDEX(Target1[Target Return],MATCH(Benchmark1[[#This Row],[Benchmark '#1 Dates]],Target1[Target Dates],0)),"-")</f>
        <v>-2.8070981856478997E-2</v>
      </c>
      <c r="G834" s="1">
        <f>IFERROR(IF(Benchmark1[[#This Row],[Target Date Check]]="Pass",Benchmark1[[#This Row],[Target Return]]-Benchmark1[[#This Row],[Benchmark '#1 Return]],"-"),"-")</f>
        <v>-2.6997146405262445E-2</v>
      </c>
      <c r="H834" s="1" t="str">
        <f>IF(COUNTIF(Comp1[Comparable '#1 Dates],Benchmark1[[#This Row],[Benchmark '#1 Dates]])=1,"Pass","Fail")</f>
        <v>Pass</v>
      </c>
      <c r="I834" s="6">
        <f>IF(Benchmark1[[#This Row],[Comparable '#1 Date Check]]="Pass",INDEX(Comp1[Comparable '#1 Price],MATCH(Benchmark1[[#This Row],[Benchmark '#1 Dates]],Comp1[Comparable '#1 Dates],0)),"-")</f>
        <v>17.329999999999998</v>
      </c>
      <c r="J834" s="22">
        <f>IF(Benchmark1[[#This Row],[Comparable '#1 Date Check]]="Pass",INDEX(Comp1[Comparable '#1 Return],MATCH(Benchmark1[[#This Row],[Benchmark '#1 Dates]],Comp1[Comparable '#1 Dates],0)),"-")</f>
        <v>-1.7296055046894614E-3</v>
      </c>
      <c r="K834" s="1">
        <f>IFERROR(IF(Benchmark1[[#This Row],[Comparable '#1 Date Check]]="Pass",Benchmark1[[#This Row],[Comparable '#1 Return]]-Benchmark1[[#This Row],[Benchmark '#1 Return]],"-"),"-")</f>
        <v>-6.5577005347290771E-4</v>
      </c>
      <c r="L834" s="1" t="str">
        <f>IF(COUNTIF(Comp2[Comparable '#2 Dates],Benchmark1[[#This Row],[Benchmark '#1 Dates]])=1,"Pass","Fail")</f>
        <v>Pass</v>
      </c>
      <c r="M834" s="6">
        <f>IF(Benchmark1[[#This Row],[Comparable '#2 Date Check]]="Pass",INDEX(Comp2[Comparable '#2 Price],MATCH(Benchmark1[[#This Row],[Benchmark '#1 Dates]],Comp2[Comparable '#2 Dates],0)),"-")</f>
        <v>36.799999999999997</v>
      </c>
      <c r="N834" s="22">
        <f>IF(Benchmark1[[#This Row],[Comparable '#2 Date Check]]="Pass",INDEX(Comp2[Comparable '#2 Return],MATCH(Benchmark1[[#This Row],[Benchmark '#1 Dates]],Comp2[Comparable '#2 Dates],0)),"-")</f>
        <v>1.9039853433092248E-3</v>
      </c>
      <c r="O834" s="1">
        <f>IFERROR(IF(Benchmark1[[#This Row],[Comparable '#2 Date Check]]="Pass",Benchmark1[[#This Row],[Comparable '#2 Return]]-Benchmark1[[#This Row],[Benchmark '#1 Return]],"-"),"-")</f>
        <v>2.9778207945257784E-3</v>
      </c>
      <c r="P834" s="1" t="str">
        <f>IF(COUNTIF(Comp3[Comparable '#3 Dates],Benchmark1[[#This Row],[Benchmark '#1 Dates]])=1,"Pass","Fail")</f>
        <v>Pass</v>
      </c>
      <c r="Q834" s="6">
        <f>IF(Benchmark1[[#This Row],[Comparable '#3 Date Check]]="Pass",INDEX(Comp3[Comparable '#3 Price],MATCH(Benchmark1[[#This Row],[Benchmark '#1 Dates]],Comp3[Comparable '#3 Dates],0)),"-")</f>
        <v>71.09</v>
      </c>
      <c r="R834" s="22">
        <f>IF(Benchmark1[[#This Row],[Comparable '#3 Date Check]]="Pass",INDEX(Comp3[Comparable '#3 Return],MATCH(Benchmark1[[#This Row],[Benchmark '#1 Dates]],Comp3[Comparable '#3 Dates],0)),"-")</f>
        <v>-1.063393258364204E-2</v>
      </c>
      <c r="S834" s="1">
        <f>IFERROR(IF(Benchmark1[[#This Row],[Comparable '#3 Date Check]]="Pass",Benchmark1[[#This Row],[Comparable '#3 Return]]-Benchmark1[[#This Row],[Benchmark '#1 Return]],"-"),"-")</f>
        <v>-9.5600971324254855E-3</v>
      </c>
    </row>
    <row r="835" spans="1:19">
      <c r="A835" s="103">
        <v>44494</v>
      </c>
      <c r="B835" s="104">
        <v>4566.4780020688422</v>
      </c>
      <c r="C835" s="4">
        <f t="shared" si="13"/>
        <v>4.7368891667950754E-3</v>
      </c>
      <c r="D835" s="1" t="str">
        <f>IF(COUNTIF(Target1[Target Dates],Benchmark1[[#This Row],[Benchmark '#1 Dates]])=1,"Pass","Fail")</f>
        <v>Pass</v>
      </c>
      <c r="E835" s="6">
        <f>IF(Benchmark1[[#This Row],[Target Date Check]]="Pass",INDEX(Target1[Target Price],MATCH(Benchmark1[[#This Row],[Benchmark '#1 Dates]],Target1[Target Dates],0)),"-")</f>
        <v>33.799999999999997</v>
      </c>
      <c r="F835" s="22">
        <f>IF(Benchmark1[[#This Row],[Target Date Check]]="Pass",INDEX(Target1[Target Return],MATCH(Benchmark1[[#This Row],[Benchmark '#1 Dates]],Target1[Target Dates],0)),"-")</f>
        <v>1.2803509725690412E-2</v>
      </c>
      <c r="G835" s="1">
        <f>IFERROR(IF(Benchmark1[[#This Row],[Target Date Check]]="Pass",Benchmark1[[#This Row],[Target Return]]-Benchmark1[[#This Row],[Benchmark '#1 Return]],"-"),"-")</f>
        <v>8.0666205588953363E-3</v>
      </c>
      <c r="H835" s="1" t="str">
        <f>IF(COUNTIF(Comp1[Comparable '#1 Dates],Benchmark1[[#This Row],[Benchmark '#1 Dates]])=1,"Pass","Fail")</f>
        <v>Pass</v>
      </c>
      <c r="I835" s="6">
        <f>IF(Benchmark1[[#This Row],[Comparable '#1 Date Check]]="Pass",INDEX(Comp1[Comparable '#1 Price],MATCH(Benchmark1[[#This Row],[Benchmark '#1 Dates]],Comp1[Comparable '#1 Dates],0)),"-")</f>
        <v>17.12</v>
      </c>
      <c r="J835" s="22">
        <f>IF(Benchmark1[[#This Row],[Comparable '#1 Date Check]]="Pass",INDEX(Comp1[Comparable '#1 Return],MATCH(Benchmark1[[#This Row],[Benchmark '#1 Dates]],Comp1[Comparable '#1 Dates],0)),"-")</f>
        <v>-1.2191733013918559E-2</v>
      </c>
      <c r="K835" s="1">
        <f>IFERROR(IF(Benchmark1[[#This Row],[Comparable '#1 Date Check]]="Pass",Benchmark1[[#This Row],[Comparable '#1 Return]]-Benchmark1[[#This Row],[Benchmark '#1 Return]],"-"),"-")</f>
        <v>-1.6928622180713636E-2</v>
      </c>
      <c r="L835" s="1" t="str">
        <f>IF(COUNTIF(Comp2[Comparable '#2 Dates],Benchmark1[[#This Row],[Benchmark '#1 Dates]])=1,"Pass","Fail")</f>
        <v>Pass</v>
      </c>
      <c r="M835" s="6">
        <f>IF(Benchmark1[[#This Row],[Comparable '#2 Date Check]]="Pass",INDEX(Comp2[Comparable '#2 Price],MATCH(Benchmark1[[#This Row],[Benchmark '#1 Dates]],Comp2[Comparable '#2 Dates],0)),"-")</f>
        <v>37.53</v>
      </c>
      <c r="N835" s="22">
        <f>IF(Benchmark1[[#This Row],[Comparable '#2 Date Check]]="Pass",INDEX(Comp2[Comparable '#2 Return],MATCH(Benchmark1[[#This Row],[Benchmark '#1 Dates]],Comp2[Comparable '#2 Dates],0)),"-")</f>
        <v>1.9642767972044419E-2</v>
      </c>
      <c r="O835" s="1">
        <f>IFERROR(IF(Benchmark1[[#This Row],[Comparable '#2 Date Check]]="Pass",Benchmark1[[#This Row],[Comparable '#2 Return]]-Benchmark1[[#This Row],[Benchmark '#1 Return]],"-"),"-")</f>
        <v>1.4905878805249344E-2</v>
      </c>
      <c r="P835" s="1" t="str">
        <f>IF(COUNTIF(Comp3[Comparable '#3 Dates],Benchmark1[[#This Row],[Benchmark '#1 Dates]])=1,"Pass","Fail")</f>
        <v>Pass</v>
      </c>
      <c r="Q835" s="6">
        <f>IF(Benchmark1[[#This Row],[Comparable '#3 Date Check]]="Pass",INDEX(Comp3[Comparable '#3 Price],MATCH(Benchmark1[[#This Row],[Benchmark '#1 Dates]],Comp3[Comparable '#3 Dates],0)),"-")</f>
        <v>71.739999999999995</v>
      </c>
      <c r="R835" s="22">
        <f>IF(Benchmark1[[#This Row],[Comparable '#3 Date Check]]="Pass",INDEX(Comp3[Comparable '#3 Return],MATCH(Benchmark1[[#This Row],[Benchmark '#1 Dates]],Comp3[Comparable '#3 Dates],0)),"-")</f>
        <v>9.1017921627447266E-3</v>
      </c>
      <c r="S835" s="1">
        <f>IFERROR(IF(Benchmark1[[#This Row],[Comparable '#3 Date Check]]="Pass",Benchmark1[[#This Row],[Comparable '#3 Return]]-Benchmark1[[#This Row],[Benchmark '#1 Return]],"-"),"-")</f>
        <v>4.3649029959496512E-3</v>
      </c>
    </row>
    <row r="836" spans="1:19">
      <c r="A836" s="103">
        <v>44495</v>
      </c>
      <c r="B836" s="104">
        <v>4574.7888367279102</v>
      </c>
      <c r="C836" s="4">
        <f t="shared" si="13"/>
        <v>1.8183118588354695E-3</v>
      </c>
      <c r="D836" s="1" t="str">
        <f>IF(COUNTIF(Target1[Target Dates],Benchmark1[[#This Row],[Benchmark '#1 Dates]])=1,"Pass","Fail")</f>
        <v>Pass</v>
      </c>
      <c r="E836" s="6">
        <f>IF(Benchmark1[[#This Row],[Target Date Check]]="Pass",INDEX(Target1[Target Price],MATCH(Benchmark1[[#This Row],[Benchmark '#1 Dates]],Target1[Target Dates],0)),"-")</f>
        <v>34.21</v>
      </c>
      <c r="F836" s="22">
        <f>IF(Benchmark1[[#This Row],[Target Date Check]]="Pass",INDEX(Target1[Target Return],MATCH(Benchmark1[[#This Row],[Benchmark '#1 Dates]],Target1[Target Dates],0)),"-")</f>
        <v>1.2057196500540372E-2</v>
      </c>
      <c r="G836" s="1">
        <f>IFERROR(IF(Benchmark1[[#This Row],[Target Date Check]]="Pass",Benchmark1[[#This Row],[Target Return]]-Benchmark1[[#This Row],[Benchmark '#1 Return]],"-"),"-")</f>
        <v>1.0238884641704903E-2</v>
      </c>
      <c r="H836" s="1" t="str">
        <f>IF(COUNTIF(Comp1[Comparable '#1 Dates],Benchmark1[[#This Row],[Benchmark '#1 Dates]])=1,"Pass","Fail")</f>
        <v>Pass</v>
      </c>
      <c r="I836" s="6">
        <f>IF(Benchmark1[[#This Row],[Comparable '#1 Date Check]]="Pass",INDEX(Comp1[Comparable '#1 Price],MATCH(Benchmark1[[#This Row],[Benchmark '#1 Dates]],Comp1[Comparable '#1 Dates],0)),"-")</f>
        <v>17.03</v>
      </c>
      <c r="J836" s="22">
        <f>IF(Benchmark1[[#This Row],[Comparable '#1 Date Check]]="Pass",INDEX(Comp1[Comparable '#1 Return],MATCH(Benchmark1[[#This Row],[Benchmark '#1 Dates]],Comp1[Comparable '#1 Dates],0)),"-")</f>
        <v>-5.2708760389991666E-3</v>
      </c>
      <c r="K836" s="1">
        <f>IFERROR(IF(Benchmark1[[#This Row],[Comparable '#1 Date Check]]="Pass",Benchmark1[[#This Row],[Comparable '#1 Return]]-Benchmark1[[#This Row],[Benchmark '#1 Return]],"-"),"-")</f>
        <v>-7.0891878978346359E-3</v>
      </c>
      <c r="L836" s="1" t="str">
        <f>IF(COUNTIF(Comp2[Comparable '#2 Dates],Benchmark1[[#This Row],[Benchmark '#1 Dates]])=1,"Pass","Fail")</f>
        <v>Pass</v>
      </c>
      <c r="M836" s="6">
        <f>IF(Benchmark1[[#This Row],[Comparable '#2 Date Check]]="Pass",INDEX(Comp2[Comparable '#2 Price],MATCH(Benchmark1[[#This Row],[Benchmark '#1 Dates]],Comp2[Comparable '#2 Dates],0)),"-")</f>
        <v>37.19</v>
      </c>
      <c r="N836" s="22">
        <f>IF(Benchmark1[[#This Row],[Comparable '#2 Date Check]]="Pass",INDEX(Comp2[Comparable '#2 Return],MATCH(Benchmark1[[#This Row],[Benchmark '#1 Dates]],Comp2[Comparable '#2 Dates],0)),"-")</f>
        <v>-9.1007052099508681E-3</v>
      </c>
      <c r="O836" s="1">
        <f>IFERROR(IF(Benchmark1[[#This Row],[Comparable '#2 Date Check]]="Pass",Benchmark1[[#This Row],[Comparable '#2 Return]]-Benchmark1[[#This Row],[Benchmark '#1 Return]],"-"),"-")</f>
        <v>-1.0919017068786337E-2</v>
      </c>
      <c r="P836" s="1" t="str">
        <f>IF(COUNTIF(Comp3[Comparable '#3 Dates],Benchmark1[[#This Row],[Benchmark '#1 Dates]])=1,"Pass","Fail")</f>
        <v>Pass</v>
      </c>
      <c r="Q836" s="6">
        <f>IF(Benchmark1[[#This Row],[Comparable '#3 Date Check]]="Pass",INDEX(Comp3[Comparable '#3 Price],MATCH(Benchmark1[[#This Row],[Benchmark '#1 Dates]],Comp3[Comparable '#3 Dates],0)),"-")</f>
        <v>70.430000000000007</v>
      </c>
      <c r="R836" s="22">
        <f>IF(Benchmark1[[#This Row],[Comparable '#3 Date Check]]="Pass",INDEX(Comp3[Comparable '#3 Return],MATCH(Benchmark1[[#This Row],[Benchmark '#1 Dates]],Comp3[Comparable '#3 Dates],0)),"-")</f>
        <v>-1.8429163346817382E-2</v>
      </c>
      <c r="S836" s="1">
        <f>IFERROR(IF(Benchmark1[[#This Row],[Comparable '#3 Date Check]]="Pass",Benchmark1[[#This Row],[Comparable '#3 Return]]-Benchmark1[[#This Row],[Benchmark '#1 Return]],"-"),"-")</f>
        <v>-2.0247475205652853E-2</v>
      </c>
    </row>
    <row r="837" spans="1:19">
      <c r="A837" s="103">
        <v>44496</v>
      </c>
      <c r="B837" s="104">
        <v>4551.6811353509402</v>
      </c>
      <c r="C837" s="4">
        <f t="shared" si="13"/>
        <v>-5.0638967370675442E-3</v>
      </c>
      <c r="D837" s="1" t="str">
        <f>IF(COUNTIF(Target1[Target Dates],Benchmark1[[#This Row],[Benchmark '#1 Dates]])=1,"Pass","Fail")</f>
        <v>Pass</v>
      </c>
      <c r="E837" s="6">
        <f>IF(Benchmark1[[#This Row],[Target Date Check]]="Pass",INDEX(Target1[Target Price],MATCH(Benchmark1[[#This Row],[Benchmark '#1 Dates]],Target1[Target Dates],0)),"-")</f>
        <v>33.85</v>
      </c>
      <c r="F837" s="22">
        <f>IF(Benchmark1[[#This Row],[Target Date Check]]="Pass",INDEX(Target1[Target Return],MATCH(Benchmark1[[#This Row],[Benchmark '#1 Dates]],Target1[Target Dates],0)),"-")</f>
        <v>-1.0578999631229255E-2</v>
      </c>
      <c r="G837" s="1">
        <f>IFERROR(IF(Benchmark1[[#This Row],[Target Date Check]]="Pass",Benchmark1[[#This Row],[Target Return]]-Benchmark1[[#This Row],[Benchmark '#1 Return]],"-"),"-")</f>
        <v>-5.5151028941617108E-3</v>
      </c>
      <c r="H837" s="1" t="str">
        <f>IF(COUNTIF(Comp1[Comparable '#1 Dates],Benchmark1[[#This Row],[Benchmark '#1 Dates]])=1,"Pass","Fail")</f>
        <v>Pass</v>
      </c>
      <c r="I837" s="6">
        <f>IF(Benchmark1[[#This Row],[Comparable '#1 Date Check]]="Pass",INDEX(Comp1[Comparable '#1 Price],MATCH(Benchmark1[[#This Row],[Benchmark '#1 Dates]],Comp1[Comparable '#1 Dates],0)),"-")</f>
        <v>16.600000000000001</v>
      </c>
      <c r="J837" s="22">
        <f>IF(Benchmark1[[#This Row],[Comparable '#1 Date Check]]="Pass",INDEX(Comp1[Comparable '#1 Return],MATCH(Benchmark1[[#This Row],[Benchmark '#1 Dates]],Comp1[Comparable '#1 Dates],0)),"-")</f>
        <v>-2.5573799312099355E-2</v>
      </c>
      <c r="K837" s="1">
        <f>IFERROR(IF(Benchmark1[[#This Row],[Comparable '#1 Date Check]]="Pass",Benchmark1[[#This Row],[Comparable '#1 Return]]-Benchmark1[[#This Row],[Benchmark '#1 Return]],"-"),"-")</f>
        <v>-2.050990257503181E-2</v>
      </c>
      <c r="L837" s="1" t="str">
        <f>IF(COUNTIF(Comp2[Comparable '#2 Dates],Benchmark1[[#This Row],[Benchmark '#1 Dates]])=1,"Pass","Fail")</f>
        <v>Pass</v>
      </c>
      <c r="M837" s="6">
        <f>IF(Benchmark1[[#This Row],[Comparable '#2 Date Check]]="Pass",INDEX(Comp2[Comparable '#2 Price],MATCH(Benchmark1[[#This Row],[Benchmark '#1 Dates]],Comp2[Comparable '#2 Dates],0)),"-")</f>
        <v>37.31</v>
      </c>
      <c r="N837" s="22">
        <f>IF(Benchmark1[[#This Row],[Comparable '#2 Date Check]]="Pass",INDEX(Comp2[Comparable '#2 Return],MATCH(Benchmark1[[#This Row],[Benchmark '#1 Dates]],Comp2[Comparable '#2 Dates],0)),"-")</f>
        <v>3.2214792960878259E-3</v>
      </c>
      <c r="O837" s="1">
        <f>IFERROR(IF(Benchmark1[[#This Row],[Comparable '#2 Date Check]]="Pass",Benchmark1[[#This Row],[Comparable '#2 Return]]-Benchmark1[[#This Row],[Benchmark '#1 Return]],"-"),"-")</f>
        <v>8.2853760331553696E-3</v>
      </c>
      <c r="P837" s="1" t="str">
        <f>IF(COUNTIF(Comp3[Comparable '#3 Dates],Benchmark1[[#This Row],[Benchmark '#1 Dates]])=1,"Pass","Fail")</f>
        <v>Pass</v>
      </c>
      <c r="Q837" s="6">
        <f>IF(Benchmark1[[#This Row],[Comparable '#3 Date Check]]="Pass",INDEX(Comp3[Comparable '#3 Price],MATCH(Benchmark1[[#This Row],[Benchmark '#1 Dates]],Comp3[Comparable '#3 Dates],0)),"-")</f>
        <v>69.239999999999995</v>
      </c>
      <c r="R837" s="22">
        <f>IF(Benchmark1[[#This Row],[Comparable '#3 Date Check]]="Pass",INDEX(Comp3[Comparable '#3 Return],MATCH(Benchmark1[[#This Row],[Benchmark '#1 Dates]],Comp3[Comparable '#3 Dates],0)),"-")</f>
        <v>-1.7040578449310638E-2</v>
      </c>
      <c r="S837" s="1">
        <f>IFERROR(IF(Benchmark1[[#This Row],[Comparable '#3 Date Check]]="Pass",Benchmark1[[#This Row],[Comparable '#3 Return]]-Benchmark1[[#This Row],[Benchmark '#1 Return]],"-"),"-")</f>
        <v>-1.1976681712243094E-2</v>
      </c>
    </row>
    <row r="838" spans="1:19">
      <c r="A838" s="103">
        <v>44497</v>
      </c>
      <c r="B838" s="104">
        <v>4596.4150792038727</v>
      </c>
      <c r="C838" s="4">
        <f t="shared" si="13"/>
        <v>9.7800240324952947E-3</v>
      </c>
      <c r="D838" s="1" t="str">
        <f>IF(COUNTIF(Target1[Target Dates],Benchmark1[[#This Row],[Benchmark '#1 Dates]])=1,"Pass","Fail")</f>
        <v>Pass</v>
      </c>
      <c r="E838" s="6">
        <f>IF(Benchmark1[[#This Row],[Target Date Check]]="Pass",INDEX(Target1[Target Price],MATCH(Benchmark1[[#This Row],[Benchmark '#1 Dates]],Target1[Target Dates],0)),"-")</f>
        <v>33.96</v>
      </c>
      <c r="F838" s="22">
        <f>IF(Benchmark1[[#This Row],[Target Date Check]]="Pass",INDEX(Target1[Target Return],MATCH(Benchmark1[[#This Row],[Benchmark '#1 Dates]],Target1[Target Dates],0)),"-")</f>
        <v>3.2443620848626609E-3</v>
      </c>
      <c r="G838" s="1">
        <f>IFERROR(IF(Benchmark1[[#This Row],[Target Date Check]]="Pass",Benchmark1[[#This Row],[Target Return]]-Benchmark1[[#This Row],[Benchmark '#1 Return]],"-"),"-")</f>
        <v>-6.5356619476326337E-3</v>
      </c>
      <c r="H838" s="1" t="str">
        <f>IF(COUNTIF(Comp1[Comparable '#1 Dates],Benchmark1[[#This Row],[Benchmark '#1 Dates]])=1,"Pass","Fail")</f>
        <v>Pass</v>
      </c>
      <c r="I838" s="6">
        <f>IF(Benchmark1[[#This Row],[Comparable '#1 Date Check]]="Pass",INDEX(Comp1[Comparable '#1 Price],MATCH(Benchmark1[[#This Row],[Benchmark '#1 Dates]],Comp1[Comparable '#1 Dates],0)),"-")</f>
        <v>16.82</v>
      </c>
      <c r="J838" s="22">
        <f>IF(Benchmark1[[#This Row],[Comparable '#1 Date Check]]="Pass",INDEX(Comp1[Comparable '#1 Return],MATCH(Benchmark1[[#This Row],[Benchmark '#1 Dates]],Comp1[Comparable '#1 Dates],0)),"-")</f>
        <v>1.3165959182304303E-2</v>
      </c>
      <c r="K838" s="1">
        <f>IFERROR(IF(Benchmark1[[#This Row],[Comparable '#1 Date Check]]="Pass",Benchmark1[[#This Row],[Comparable '#1 Return]]-Benchmark1[[#This Row],[Benchmark '#1 Return]],"-"),"-")</f>
        <v>3.3859351498090086E-3</v>
      </c>
      <c r="L838" s="1" t="str">
        <f>IF(COUNTIF(Comp2[Comparable '#2 Dates],Benchmark1[[#This Row],[Benchmark '#1 Dates]])=1,"Pass","Fail")</f>
        <v>Pass</v>
      </c>
      <c r="M838" s="6">
        <f>IF(Benchmark1[[#This Row],[Comparable '#2 Date Check]]="Pass",INDEX(Comp2[Comparable '#2 Price],MATCH(Benchmark1[[#This Row],[Benchmark '#1 Dates]],Comp2[Comparable '#2 Dates],0)),"-")</f>
        <v>38.03</v>
      </c>
      <c r="N838" s="22">
        <f>IF(Benchmark1[[#This Row],[Comparable '#2 Date Check]]="Pass",INDEX(Comp2[Comparable '#2 Return],MATCH(Benchmark1[[#This Row],[Benchmark '#1 Dates]],Comp2[Comparable '#2 Dates],0)),"-")</f>
        <v>1.9113934707101723E-2</v>
      </c>
      <c r="O838" s="1">
        <f>IFERROR(IF(Benchmark1[[#This Row],[Comparable '#2 Date Check]]="Pass",Benchmark1[[#This Row],[Comparable '#2 Return]]-Benchmark1[[#This Row],[Benchmark '#1 Return]],"-"),"-")</f>
        <v>9.3339106746064288E-3</v>
      </c>
      <c r="P838" s="1" t="str">
        <f>IF(COUNTIF(Comp3[Comparable '#3 Dates],Benchmark1[[#This Row],[Benchmark '#1 Dates]])=1,"Pass","Fail")</f>
        <v>Pass</v>
      </c>
      <c r="Q838" s="6">
        <f>IF(Benchmark1[[#This Row],[Comparable '#3 Date Check]]="Pass",INDEX(Comp3[Comparable '#3 Price],MATCH(Benchmark1[[#This Row],[Benchmark '#1 Dates]],Comp3[Comparable '#3 Dates],0)),"-")</f>
        <v>69.75</v>
      </c>
      <c r="R838" s="22">
        <f>IF(Benchmark1[[#This Row],[Comparable '#3 Date Check]]="Pass",INDEX(Comp3[Comparable '#3 Return],MATCH(Benchmark1[[#This Row],[Benchmark '#1 Dates]],Comp3[Comparable '#3 Dates],0)),"-")</f>
        <v>7.3386903934665546E-3</v>
      </c>
      <c r="S838" s="1">
        <f>IFERROR(IF(Benchmark1[[#This Row],[Comparable '#3 Date Check]]="Pass",Benchmark1[[#This Row],[Comparable '#3 Return]]-Benchmark1[[#This Row],[Benchmark '#1 Return]],"-"),"-")</f>
        <v>-2.44133363902874E-3</v>
      </c>
    </row>
    <row r="839" spans="1:19">
      <c r="A839" s="103">
        <v>44498</v>
      </c>
      <c r="B839" s="104">
        <v>4605.3766481775965</v>
      </c>
      <c r="C839" s="4">
        <f t="shared" si="13"/>
        <v>1.9477884465298426E-3</v>
      </c>
      <c r="D839" s="1" t="str">
        <f>IF(COUNTIF(Target1[Target Dates],Benchmark1[[#This Row],[Benchmark '#1 Dates]])=1,"Pass","Fail")</f>
        <v>Pass</v>
      </c>
      <c r="E839" s="6">
        <f>IF(Benchmark1[[#This Row],[Target Date Check]]="Pass",INDEX(Target1[Target Price],MATCH(Benchmark1[[#This Row],[Benchmark '#1 Dates]],Target1[Target Dates],0)),"-")</f>
        <v>35.5</v>
      </c>
      <c r="F839" s="22">
        <f>IF(Benchmark1[[#This Row],[Target Date Check]]="Pass",INDEX(Target1[Target Return],MATCH(Benchmark1[[#This Row],[Benchmark '#1 Dates]],Target1[Target Dates],0)),"-")</f>
        <v>4.4349335038223428E-2</v>
      </c>
      <c r="G839" s="1">
        <f>IFERROR(IF(Benchmark1[[#This Row],[Target Date Check]]="Pass",Benchmark1[[#This Row],[Target Return]]-Benchmark1[[#This Row],[Benchmark '#1 Return]],"-"),"-")</f>
        <v>4.2401546591693588E-2</v>
      </c>
      <c r="H839" s="1" t="str">
        <f>IF(COUNTIF(Comp1[Comparable '#1 Dates],Benchmark1[[#This Row],[Benchmark '#1 Dates]])=1,"Pass","Fail")</f>
        <v>Pass</v>
      </c>
      <c r="I839" s="6">
        <f>IF(Benchmark1[[#This Row],[Comparable '#1 Date Check]]="Pass",INDEX(Comp1[Comparable '#1 Price],MATCH(Benchmark1[[#This Row],[Benchmark '#1 Dates]],Comp1[Comparable '#1 Dates],0)),"-")</f>
        <v>17.32</v>
      </c>
      <c r="J839" s="22">
        <f>IF(Benchmark1[[#This Row],[Comparable '#1 Date Check]]="Pass",INDEX(Comp1[Comparable '#1 Return],MATCH(Benchmark1[[#This Row],[Benchmark '#1 Dates]],Comp1[Comparable '#1 Dates],0)),"-")</f>
        <v>2.9293248589487012E-2</v>
      </c>
      <c r="K839" s="1">
        <f>IFERROR(IF(Benchmark1[[#This Row],[Comparable '#1 Date Check]]="Pass",Benchmark1[[#This Row],[Comparable '#1 Return]]-Benchmark1[[#This Row],[Benchmark '#1 Return]],"-"),"-")</f>
        <v>2.7345460142957169E-2</v>
      </c>
      <c r="L839" s="1" t="str">
        <f>IF(COUNTIF(Comp2[Comparable '#2 Dates],Benchmark1[[#This Row],[Benchmark '#1 Dates]])=1,"Pass","Fail")</f>
        <v>Pass</v>
      </c>
      <c r="M839" s="6">
        <f>IF(Benchmark1[[#This Row],[Comparable '#2 Date Check]]="Pass",INDEX(Comp2[Comparable '#2 Price],MATCH(Benchmark1[[#This Row],[Benchmark '#1 Dates]],Comp2[Comparable '#2 Dates],0)),"-")</f>
        <v>36.93</v>
      </c>
      <c r="N839" s="22">
        <f>IF(Benchmark1[[#This Row],[Comparable '#2 Date Check]]="Pass",INDEX(Comp2[Comparable '#2 Return],MATCH(Benchmark1[[#This Row],[Benchmark '#1 Dates]],Comp2[Comparable '#2 Dates],0)),"-")</f>
        <v>-2.935109307569652E-2</v>
      </c>
      <c r="O839" s="1">
        <f>IFERROR(IF(Benchmark1[[#This Row],[Comparable '#2 Date Check]]="Pass",Benchmark1[[#This Row],[Comparable '#2 Return]]-Benchmark1[[#This Row],[Benchmark '#1 Return]],"-"),"-")</f>
        <v>-3.129888152222636E-2</v>
      </c>
      <c r="P839" s="1" t="str">
        <f>IF(COUNTIF(Comp3[Comparable '#3 Dates],Benchmark1[[#This Row],[Benchmark '#1 Dates]])=1,"Pass","Fail")</f>
        <v>Pass</v>
      </c>
      <c r="Q839" s="6">
        <f>IF(Benchmark1[[#This Row],[Comparable '#3 Date Check]]="Pass",INDEX(Comp3[Comparable '#3 Price],MATCH(Benchmark1[[#This Row],[Benchmark '#1 Dates]],Comp3[Comparable '#3 Dates],0)),"-")</f>
        <v>68.209999999999994</v>
      </c>
      <c r="R839" s="22">
        <f>IF(Benchmark1[[#This Row],[Comparable '#3 Date Check]]="Pass",INDEX(Comp3[Comparable '#3 Return],MATCH(Benchmark1[[#This Row],[Benchmark '#1 Dates]],Comp3[Comparable '#3 Dates],0)),"-")</f>
        <v>-2.2326239034847137E-2</v>
      </c>
      <c r="S839" s="1">
        <f>IFERROR(IF(Benchmark1[[#This Row],[Comparable '#3 Date Check]]="Pass",Benchmark1[[#This Row],[Comparable '#3 Return]]-Benchmark1[[#This Row],[Benchmark '#1 Return]],"-"),"-")</f>
        <v>-2.427402748137698E-2</v>
      </c>
    </row>
    <row r="840" spans="1:19">
      <c r="A840" s="103">
        <v>44501</v>
      </c>
      <c r="B840" s="104">
        <v>4613.6730076382246</v>
      </c>
      <c r="C840" s="4">
        <f t="shared" si="13"/>
        <v>1.7998301365018952E-3</v>
      </c>
      <c r="D840" s="1" t="str">
        <f>IF(COUNTIF(Target1[Target Dates],Benchmark1[[#This Row],[Benchmark '#1 Dates]])=1,"Pass","Fail")</f>
        <v>Pass</v>
      </c>
      <c r="E840" s="6">
        <f>IF(Benchmark1[[#This Row],[Target Date Check]]="Pass",INDEX(Target1[Target Price],MATCH(Benchmark1[[#This Row],[Benchmark '#1 Dates]],Target1[Target Dates],0)),"-")</f>
        <v>37.700000000000003</v>
      </c>
      <c r="F840" s="22">
        <f>IF(Benchmark1[[#This Row],[Target Date Check]]="Pass",INDEX(Target1[Target Return],MATCH(Benchmark1[[#This Row],[Benchmark '#1 Dates]],Target1[Target Dates],0)),"-")</f>
        <v>6.0127397972595101E-2</v>
      </c>
      <c r="G840" s="1">
        <f>IFERROR(IF(Benchmark1[[#This Row],[Target Date Check]]="Pass",Benchmark1[[#This Row],[Target Return]]-Benchmark1[[#This Row],[Benchmark '#1 Return]],"-"),"-")</f>
        <v>5.8327567836093205E-2</v>
      </c>
      <c r="H840" s="1" t="str">
        <f>IF(COUNTIF(Comp1[Comparable '#1 Dates],Benchmark1[[#This Row],[Benchmark '#1 Dates]])=1,"Pass","Fail")</f>
        <v>Pass</v>
      </c>
      <c r="I840" s="6">
        <f>IF(Benchmark1[[#This Row],[Comparable '#1 Date Check]]="Pass",INDEX(Comp1[Comparable '#1 Price],MATCH(Benchmark1[[#This Row],[Benchmark '#1 Dates]],Comp1[Comparable '#1 Dates],0)),"-")</f>
        <v>10.1</v>
      </c>
      <c r="J840" s="22">
        <f>IF(Benchmark1[[#This Row],[Comparable '#1 Date Check]]="Pass",INDEX(Comp1[Comparable '#1 Return],MATCH(Benchmark1[[#This Row],[Benchmark '#1 Dates]],Comp1[Comparable '#1 Dates],0)),"-")</f>
        <v>-0.53932647928707544</v>
      </c>
      <c r="K840" s="1">
        <f>IFERROR(IF(Benchmark1[[#This Row],[Comparable '#1 Date Check]]="Pass",Benchmark1[[#This Row],[Comparable '#1 Return]]-Benchmark1[[#This Row],[Benchmark '#1 Return]],"-"),"-")</f>
        <v>-0.54112630942357731</v>
      </c>
      <c r="L840" s="1" t="str">
        <f>IF(COUNTIF(Comp2[Comparable '#2 Dates],Benchmark1[[#This Row],[Benchmark '#1 Dates]])=1,"Pass","Fail")</f>
        <v>Pass</v>
      </c>
      <c r="M840" s="6">
        <f>IF(Benchmark1[[#This Row],[Comparable '#2 Date Check]]="Pass",INDEX(Comp2[Comparable '#2 Price],MATCH(Benchmark1[[#This Row],[Benchmark '#1 Dates]],Comp2[Comparable '#2 Dates],0)),"-")</f>
        <v>38.869999999999997</v>
      </c>
      <c r="N840" s="22">
        <f>IF(Benchmark1[[#This Row],[Comparable '#2 Date Check]]="Pass",INDEX(Comp2[Comparable '#2 Return],MATCH(Benchmark1[[#This Row],[Benchmark '#1 Dates]],Comp2[Comparable '#2 Dates],0)),"-")</f>
        <v>5.1198515999659903E-2</v>
      </c>
      <c r="O840" s="1">
        <f>IFERROR(IF(Benchmark1[[#This Row],[Comparable '#2 Date Check]]="Pass",Benchmark1[[#This Row],[Comparable '#2 Return]]-Benchmark1[[#This Row],[Benchmark '#1 Return]],"-"),"-")</f>
        <v>4.9398685863158008E-2</v>
      </c>
      <c r="P840" s="1" t="str">
        <f>IF(COUNTIF(Comp3[Comparable '#3 Dates],Benchmark1[[#This Row],[Benchmark '#1 Dates]])=1,"Pass","Fail")</f>
        <v>Pass</v>
      </c>
      <c r="Q840" s="6">
        <f>IF(Benchmark1[[#This Row],[Comparable '#3 Date Check]]="Pass",INDEX(Comp3[Comparable '#3 Price],MATCH(Benchmark1[[#This Row],[Benchmark '#1 Dates]],Comp3[Comparable '#3 Dates],0)),"-")</f>
        <v>71.48</v>
      </c>
      <c r="R840" s="22">
        <f>IF(Benchmark1[[#This Row],[Comparable '#3 Date Check]]="Pass",INDEX(Comp3[Comparable '#3 Return],MATCH(Benchmark1[[#This Row],[Benchmark '#1 Dates]],Comp3[Comparable '#3 Dates],0)),"-")</f>
        <v>4.6826508624599562E-2</v>
      </c>
      <c r="S840" s="1">
        <f>IFERROR(IF(Benchmark1[[#This Row],[Comparable '#3 Date Check]]="Pass",Benchmark1[[#This Row],[Comparable '#3 Return]]-Benchmark1[[#This Row],[Benchmark '#1 Return]],"-"),"-")</f>
        <v>4.5026678488097667E-2</v>
      </c>
    </row>
    <row r="841" spans="1:19">
      <c r="A841" s="103">
        <v>44502</v>
      </c>
      <c r="B841" s="104">
        <v>4630.6533609778799</v>
      </c>
      <c r="C841" s="4">
        <f t="shared" si="13"/>
        <v>3.6736851901903889E-3</v>
      </c>
      <c r="D841" s="1" t="str">
        <f>IF(COUNTIF(Target1[Target Dates],Benchmark1[[#This Row],[Benchmark '#1 Dates]])=1,"Pass","Fail")</f>
        <v>Pass</v>
      </c>
      <c r="E841" s="6">
        <f>IF(Benchmark1[[#This Row],[Target Date Check]]="Pass",INDEX(Target1[Target Price],MATCH(Benchmark1[[#This Row],[Benchmark '#1 Dates]],Target1[Target Dates],0)),"-")</f>
        <v>36.270000000000003</v>
      </c>
      <c r="F841" s="22">
        <f>IF(Benchmark1[[#This Row],[Target Date Check]]="Pass",INDEX(Target1[Target Return],MATCH(Benchmark1[[#This Row],[Benchmark '#1 Dates]],Target1[Target Dates],0)),"-")</f>
        <v>-3.8669141159154048E-2</v>
      </c>
      <c r="G841" s="1">
        <f>IFERROR(IF(Benchmark1[[#This Row],[Target Date Check]]="Pass",Benchmark1[[#This Row],[Target Return]]-Benchmark1[[#This Row],[Benchmark '#1 Return]],"-"),"-")</f>
        <v>-4.2342826349344435E-2</v>
      </c>
      <c r="H841" s="1" t="str">
        <f>IF(COUNTIF(Comp1[Comparable '#1 Dates],Benchmark1[[#This Row],[Benchmark '#1 Dates]])=1,"Pass","Fail")</f>
        <v>Pass</v>
      </c>
      <c r="I841" s="6">
        <f>IF(Benchmark1[[#This Row],[Comparable '#1 Date Check]]="Pass",INDEX(Comp1[Comparable '#1 Price],MATCH(Benchmark1[[#This Row],[Benchmark '#1 Dates]],Comp1[Comparable '#1 Dates],0)),"-")</f>
        <v>9.6199999999999992</v>
      </c>
      <c r="J841" s="22">
        <f>IF(Benchmark1[[#This Row],[Comparable '#1 Date Check]]="Pass",INDEX(Comp1[Comparable '#1 Return],MATCH(Benchmark1[[#This Row],[Benchmark '#1 Dates]],Comp1[Comparable '#1 Dates],0)),"-")</f>
        <v>-4.8691159169598687E-2</v>
      </c>
      <c r="K841" s="1">
        <f>IFERROR(IF(Benchmark1[[#This Row],[Comparable '#1 Date Check]]="Pass",Benchmark1[[#This Row],[Comparable '#1 Return]]-Benchmark1[[#This Row],[Benchmark '#1 Return]],"-"),"-")</f>
        <v>-5.2364844359789074E-2</v>
      </c>
      <c r="L841" s="1" t="str">
        <f>IF(COUNTIF(Comp2[Comparable '#2 Dates],Benchmark1[[#This Row],[Benchmark '#1 Dates]])=1,"Pass","Fail")</f>
        <v>Pass</v>
      </c>
      <c r="M841" s="6">
        <f>IF(Benchmark1[[#This Row],[Comparable '#2 Date Check]]="Pass",INDEX(Comp2[Comparable '#2 Price],MATCH(Benchmark1[[#This Row],[Benchmark '#1 Dates]],Comp2[Comparable '#2 Dates],0)),"-")</f>
        <v>34.909999999999997</v>
      </c>
      <c r="N841" s="22">
        <f>IF(Benchmark1[[#This Row],[Comparable '#2 Date Check]]="Pass",INDEX(Comp2[Comparable '#2 Return],MATCH(Benchmark1[[#This Row],[Benchmark '#1 Dates]],Comp2[Comparable '#2 Dates],0)),"-")</f>
        <v>-0.10744942374718711</v>
      </c>
      <c r="O841" s="1">
        <f>IFERROR(IF(Benchmark1[[#This Row],[Comparable '#2 Date Check]]="Pass",Benchmark1[[#This Row],[Comparable '#2 Return]]-Benchmark1[[#This Row],[Benchmark '#1 Return]],"-"),"-")</f>
        <v>-0.11112310893737749</v>
      </c>
      <c r="P841" s="1" t="str">
        <f>IF(COUNTIF(Comp3[Comparable '#3 Dates],Benchmark1[[#This Row],[Benchmark '#1 Dates]])=1,"Pass","Fail")</f>
        <v>Pass</v>
      </c>
      <c r="Q841" s="6">
        <f>IF(Benchmark1[[#This Row],[Comparable '#3 Date Check]]="Pass",INDEX(Comp3[Comparable '#3 Price],MATCH(Benchmark1[[#This Row],[Benchmark '#1 Dates]],Comp3[Comparable '#3 Dates],0)),"-")</f>
        <v>67.45</v>
      </c>
      <c r="R841" s="22">
        <f>IF(Benchmark1[[#This Row],[Comparable '#3 Date Check]]="Pass",INDEX(Comp3[Comparable '#3 Return],MATCH(Benchmark1[[#This Row],[Benchmark '#1 Dates]],Comp3[Comparable '#3 Dates],0)),"-")</f>
        <v>-5.8031107637462442E-2</v>
      </c>
      <c r="S841" s="1">
        <f>IFERROR(IF(Benchmark1[[#This Row],[Comparable '#3 Date Check]]="Pass",Benchmark1[[#This Row],[Comparable '#3 Return]]-Benchmark1[[#This Row],[Benchmark '#1 Return]],"-"),"-")</f>
        <v>-6.170479282765283E-2</v>
      </c>
    </row>
    <row r="842" spans="1:19">
      <c r="A842" s="103">
        <v>44503</v>
      </c>
      <c r="B842" s="104">
        <v>4660.5695825632474</v>
      </c>
      <c r="C842" s="4">
        <f t="shared" si="13"/>
        <v>6.4396958617331627E-3</v>
      </c>
      <c r="D842" s="1" t="str">
        <f>IF(COUNTIF(Target1[Target Dates],Benchmark1[[#This Row],[Benchmark '#1 Dates]])=1,"Pass","Fail")</f>
        <v>Pass</v>
      </c>
      <c r="E842" s="6">
        <f>IF(Benchmark1[[#This Row],[Target Date Check]]="Pass",INDEX(Target1[Target Price],MATCH(Benchmark1[[#This Row],[Benchmark '#1 Dates]],Target1[Target Dates],0)),"-")</f>
        <v>37</v>
      </c>
      <c r="F842" s="22">
        <f>IF(Benchmark1[[#This Row],[Target Date Check]]="Pass",INDEX(Target1[Target Return],MATCH(Benchmark1[[#This Row],[Benchmark '#1 Dates]],Target1[Target Dates],0)),"-")</f>
        <v>1.9926959349413308E-2</v>
      </c>
      <c r="G842" s="1">
        <f>IFERROR(IF(Benchmark1[[#This Row],[Target Date Check]]="Pass",Benchmark1[[#This Row],[Target Return]]-Benchmark1[[#This Row],[Benchmark '#1 Return]],"-"),"-")</f>
        <v>1.3487263487680146E-2</v>
      </c>
      <c r="H842" s="1" t="str">
        <f>IF(COUNTIF(Comp1[Comparable '#1 Dates],Benchmark1[[#This Row],[Benchmark '#1 Dates]])=1,"Pass","Fail")</f>
        <v>Pass</v>
      </c>
      <c r="I842" s="6">
        <f>IF(Benchmark1[[#This Row],[Comparable '#1 Date Check]]="Pass",INDEX(Comp1[Comparable '#1 Price],MATCH(Benchmark1[[#This Row],[Benchmark '#1 Dates]],Comp1[Comparable '#1 Dates],0)),"-")</f>
        <v>10.18</v>
      </c>
      <c r="J842" s="22">
        <f>IF(Benchmark1[[#This Row],[Comparable '#1 Date Check]]="Pass",INDEX(Comp1[Comparable '#1 Return],MATCH(Benchmark1[[#This Row],[Benchmark '#1 Dates]],Comp1[Comparable '#1 Dates],0)),"-")</f>
        <v>5.6580746444761562E-2</v>
      </c>
      <c r="K842" s="1">
        <f>IFERROR(IF(Benchmark1[[#This Row],[Comparable '#1 Date Check]]="Pass",Benchmark1[[#This Row],[Comparable '#1 Return]]-Benchmark1[[#This Row],[Benchmark '#1 Return]],"-"),"-")</f>
        <v>5.0141050583028396E-2</v>
      </c>
      <c r="L842" s="1" t="str">
        <f>IF(COUNTIF(Comp2[Comparable '#2 Dates],Benchmark1[[#This Row],[Benchmark '#1 Dates]])=1,"Pass","Fail")</f>
        <v>Pass</v>
      </c>
      <c r="M842" s="6">
        <f>IF(Benchmark1[[#This Row],[Comparable '#2 Date Check]]="Pass",INDEX(Comp2[Comparable '#2 Price],MATCH(Benchmark1[[#This Row],[Benchmark '#1 Dates]],Comp2[Comparable '#2 Dates],0)),"-")</f>
        <v>36.24</v>
      </c>
      <c r="N842" s="22">
        <f>IF(Benchmark1[[#This Row],[Comparable '#2 Date Check]]="Pass",INDEX(Comp2[Comparable '#2 Return],MATCH(Benchmark1[[#This Row],[Benchmark '#1 Dates]],Comp2[Comparable '#2 Dates],0)),"-")</f>
        <v>3.7390160057834021E-2</v>
      </c>
      <c r="O842" s="1">
        <f>IFERROR(IF(Benchmark1[[#This Row],[Comparable '#2 Date Check]]="Pass",Benchmark1[[#This Row],[Comparable '#2 Return]]-Benchmark1[[#This Row],[Benchmark '#1 Return]],"-"),"-")</f>
        <v>3.0950464196100858E-2</v>
      </c>
      <c r="P842" s="1" t="str">
        <f>IF(COUNTIF(Comp3[Comparable '#3 Dates],Benchmark1[[#This Row],[Benchmark '#1 Dates]])=1,"Pass","Fail")</f>
        <v>Pass</v>
      </c>
      <c r="Q842" s="6">
        <f>IF(Benchmark1[[#This Row],[Comparable '#3 Date Check]]="Pass",INDEX(Comp3[Comparable '#3 Price],MATCH(Benchmark1[[#This Row],[Benchmark '#1 Dates]],Comp3[Comparable '#3 Dates],0)),"-")</f>
        <v>70</v>
      </c>
      <c r="R842" s="22">
        <f>IF(Benchmark1[[#This Row],[Comparable '#3 Date Check]]="Pass",INDEX(Comp3[Comparable '#3 Return],MATCH(Benchmark1[[#This Row],[Benchmark '#1 Dates]],Comp3[Comparable '#3 Dates],0)),"-")</f>
        <v>3.7108659395594108E-2</v>
      </c>
      <c r="S842" s="1">
        <f>IFERROR(IF(Benchmark1[[#This Row],[Comparable '#3 Date Check]]="Pass",Benchmark1[[#This Row],[Comparable '#3 Return]]-Benchmark1[[#This Row],[Benchmark '#1 Return]],"-"),"-")</f>
        <v>3.0668963533860946E-2</v>
      </c>
    </row>
    <row r="843" spans="1:19">
      <c r="A843" s="103">
        <v>44504</v>
      </c>
      <c r="B843" s="104">
        <v>4680.0558425613599</v>
      </c>
      <c r="C843" s="4">
        <f t="shared" si="13"/>
        <v>4.1723733434151453E-3</v>
      </c>
      <c r="D843" s="1" t="str">
        <f>IF(COUNTIF(Target1[Target Dates],Benchmark1[[#This Row],[Benchmark '#1 Dates]])=1,"Pass","Fail")</f>
        <v>Pass</v>
      </c>
      <c r="E843" s="6">
        <f>IF(Benchmark1[[#This Row],[Target Date Check]]="Pass",INDEX(Target1[Target Price],MATCH(Benchmark1[[#This Row],[Benchmark '#1 Dates]],Target1[Target Dates],0)),"-")</f>
        <v>36.47</v>
      </c>
      <c r="F843" s="22">
        <f>IF(Benchmark1[[#This Row],[Target Date Check]]="Pass",INDEX(Target1[Target Return],MATCH(Benchmark1[[#This Row],[Benchmark '#1 Dates]],Target1[Target Dates],0)),"-")</f>
        <v>-1.4427907823635667E-2</v>
      </c>
      <c r="G843" s="1">
        <f>IFERROR(IF(Benchmark1[[#This Row],[Target Date Check]]="Pass",Benchmark1[[#This Row],[Target Return]]-Benchmark1[[#This Row],[Benchmark '#1 Return]],"-"),"-")</f>
        <v>-1.8600281167050814E-2</v>
      </c>
      <c r="H843" s="1" t="str">
        <f>IF(COUNTIF(Comp1[Comparable '#1 Dates],Benchmark1[[#This Row],[Benchmark '#1 Dates]])=1,"Pass","Fail")</f>
        <v>Pass</v>
      </c>
      <c r="I843" s="6">
        <f>IF(Benchmark1[[#This Row],[Comparable '#1 Date Check]]="Pass",INDEX(Comp1[Comparable '#1 Price],MATCH(Benchmark1[[#This Row],[Benchmark '#1 Dates]],Comp1[Comparable '#1 Dates],0)),"-")</f>
        <v>11.26</v>
      </c>
      <c r="J843" s="22">
        <f>IF(Benchmark1[[#This Row],[Comparable '#1 Date Check]]="Pass",INDEX(Comp1[Comparable '#1 Return],MATCH(Benchmark1[[#This Row],[Benchmark '#1 Dates]],Comp1[Comparable '#1 Dates],0)),"-")</f>
        <v>0.10083161158916767</v>
      </c>
      <c r="K843" s="1">
        <f>IFERROR(IF(Benchmark1[[#This Row],[Comparable '#1 Date Check]]="Pass",Benchmark1[[#This Row],[Comparable '#1 Return]]-Benchmark1[[#This Row],[Benchmark '#1 Return]],"-"),"-")</f>
        <v>9.6659238245752524E-2</v>
      </c>
      <c r="L843" s="1" t="str">
        <f>IF(COUNTIF(Comp2[Comparable '#2 Dates],Benchmark1[[#This Row],[Benchmark '#1 Dates]])=1,"Pass","Fail")</f>
        <v>Pass</v>
      </c>
      <c r="M843" s="6">
        <f>IF(Benchmark1[[#This Row],[Comparable '#2 Date Check]]="Pass",INDEX(Comp2[Comparable '#2 Price],MATCH(Benchmark1[[#This Row],[Benchmark '#1 Dates]],Comp2[Comparable '#2 Dates],0)),"-")</f>
        <v>30.42</v>
      </c>
      <c r="N843" s="22">
        <f>IF(Benchmark1[[#This Row],[Comparable '#2 Date Check]]="Pass",INDEX(Comp2[Comparable '#2 Return],MATCH(Benchmark1[[#This Row],[Benchmark '#1 Dates]],Comp2[Comparable '#2 Dates],0)),"-")</f>
        <v>-0.17506319434363177</v>
      </c>
      <c r="O843" s="1">
        <f>IFERROR(IF(Benchmark1[[#This Row],[Comparable '#2 Date Check]]="Pass",Benchmark1[[#This Row],[Comparable '#2 Return]]-Benchmark1[[#This Row],[Benchmark '#1 Return]],"-"),"-")</f>
        <v>-0.1792355676870469</v>
      </c>
      <c r="P843" s="1" t="str">
        <f>IF(COUNTIF(Comp3[Comparable '#3 Dates],Benchmark1[[#This Row],[Benchmark '#1 Dates]])=1,"Pass","Fail")</f>
        <v>Pass</v>
      </c>
      <c r="Q843" s="6">
        <f>IF(Benchmark1[[#This Row],[Comparable '#3 Date Check]]="Pass",INDEX(Comp3[Comparable '#3 Price],MATCH(Benchmark1[[#This Row],[Benchmark '#1 Dates]],Comp3[Comparable '#3 Dates],0)),"-")</f>
        <v>64.63</v>
      </c>
      <c r="R843" s="22">
        <f>IF(Benchmark1[[#This Row],[Comparable '#3 Date Check]]="Pass",INDEX(Comp3[Comparable '#3 Return],MATCH(Benchmark1[[#This Row],[Benchmark '#1 Dates]],Comp3[Comparable '#3 Dates],0)),"-")</f>
        <v>-7.9816542774554924E-2</v>
      </c>
      <c r="S843" s="1">
        <f>IFERROR(IF(Benchmark1[[#This Row],[Comparable '#3 Date Check]]="Pass",Benchmark1[[#This Row],[Comparable '#3 Return]]-Benchmark1[[#This Row],[Benchmark '#1 Return]],"-"),"-")</f>
        <v>-8.3988916117970075E-2</v>
      </c>
    </row>
    <row r="844" spans="1:19">
      <c r="A844" s="103">
        <v>44505</v>
      </c>
      <c r="B844" s="104">
        <v>4697.5268054852331</v>
      </c>
      <c r="C844" s="4">
        <f t="shared" si="13"/>
        <v>3.7261165896162285E-3</v>
      </c>
      <c r="D844" s="1" t="str">
        <f>IF(COUNTIF(Target1[Target Dates],Benchmark1[[#This Row],[Benchmark '#1 Dates]])=1,"Pass","Fail")</f>
        <v>Pass</v>
      </c>
      <c r="E844" s="6">
        <f>IF(Benchmark1[[#This Row],[Target Date Check]]="Pass",INDEX(Target1[Target Price],MATCH(Benchmark1[[#This Row],[Benchmark '#1 Dates]],Target1[Target Dates],0)),"-")</f>
        <v>36.21</v>
      </c>
      <c r="F844" s="22">
        <f>IF(Benchmark1[[#This Row],[Target Date Check]]="Pass",INDEX(Target1[Target Return],MATCH(Benchmark1[[#This Row],[Benchmark '#1 Dates]],Target1[Target Dates],0)),"-")</f>
        <v>-7.1546810430389903E-3</v>
      </c>
      <c r="G844" s="1">
        <f>IFERROR(IF(Benchmark1[[#This Row],[Target Date Check]]="Pass",Benchmark1[[#This Row],[Target Return]]-Benchmark1[[#This Row],[Benchmark '#1 Return]],"-"),"-")</f>
        <v>-1.0880797632655219E-2</v>
      </c>
      <c r="H844" s="1" t="str">
        <f>IF(COUNTIF(Comp1[Comparable '#1 Dates],Benchmark1[[#This Row],[Benchmark '#1 Dates]])=1,"Pass","Fail")</f>
        <v>Pass</v>
      </c>
      <c r="I844" s="6">
        <f>IF(Benchmark1[[#This Row],[Comparable '#1 Date Check]]="Pass",INDEX(Comp1[Comparable '#1 Price],MATCH(Benchmark1[[#This Row],[Benchmark '#1 Dates]],Comp1[Comparable '#1 Dates],0)),"-")</f>
        <v>11.83</v>
      </c>
      <c r="J844" s="22">
        <f>IF(Benchmark1[[#This Row],[Comparable '#1 Date Check]]="Pass",INDEX(Comp1[Comparable '#1 Return],MATCH(Benchmark1[[#This Row],[Benchmark '#1 Dates]],Comp1[Comparable '#1 Dates],0)),"-")</f>
        <v>4.9382055278751183E-2</v>
      </c>
      <c r="K844" s="1">
        <f>IFERROR(IF(Benchmark1[[#This Row],[Comparable '#1 Date Check]]="Pass",Benchmark1[[#This Row],[Comparable '#1 Return]]-Benchmark1[[#This Row],[Benchmark '#1 Return]],"-"),"-")</f>
        <v>4.5655938689134958E-2</v>
      </c>
      <c r="L844" s="1" t="str">
        <f>IF(COUNTIF(Comp2[Comparable '#2 Dates],Benchmark1[[#This Row],[Benchmark '#1 Dates]])=1,"Pass","Fail")</f>
        <v>Pass</v>
      </c>
      <c r="M844" s="6">
        <f>IF(Benchmark1[[#This Row],[Comparable '#2 Date Check]]="Pass",INDEX(Comp2[Comparable '#2 Price],MATCH(Benchmark1[[#This Row],[Benchmark '#1 Dates]],Comp2[Comparable '#2 Dates],0)),"-")</f>
        <v>31.86</v>
      </c>
      <c r="N844" s="22">
        <f>IF(Benchmark1[[#This Row],[Comparable '#2 Date Check]]="Pass",INDEX(Comp2[Comparable '#2 Return],MATCH(Benchmark1[[#This Row],[Benchmark '#1 Dates]],Comp2[Comparable '#2 Dates],0)),"-")</f>
        <v>4.6251017650755691E-2</v>
      </c>
      <c r="O844" s="1">
        <f>IFERROR(IF(Benchmark1[[#This Row],[Comparable '#2 Date Check]]="Pass",Benchmark1[[#This Row],[Comparable '#2 Return]]-Benchmark1[[#This Row],[Benchmark '#1 Return]],"-"),"-")</f>
        <v>4.2524901061139465E-2</v>
      </c>
      <c r="P844" s="1" t="str">
        <f>IF(COUNTIF(Comp3[Comparable '#3 Dates],Benchmark1[[#This Row],[Benchmark '#1 Dates]])=1,"Pass","Fail")</f>
        <v>Pass</v>
      </c>
      <c r="Q844" s="6">
        <f>IF(Benchmark1[[#This Row],[Comparable '#3 Date Check]]="Pass",INDEX(Comp3[Comparable '#3 Price],MATCH(Benchmark1[[#This Row],[Benchmark '#1 Dates]],Comp3[Comparable '#3 Dates],0)),"-")</f>
        <v>64.239999999999995</v>
      </c>
      <c r="R844" s="22">
        <f>IF(Benchmark1[[#This Row],[Comparable '#3 Date Check]]="Pass",INDEX(Comp3[Comparable '#3 Return],MATCH(Benchmark1[[#This Row],[Benchmark '#1 Dates]],Comp3[Comparable '#3 Dates],0)),"-")</f>
        <v>-6.0526296362978351E-3</v>
      </c>
      <c r="S844" s="1">
        <f>IFERROR(IF(Benchmark1[[#This Row],[Comparable '#3 Date Check]]="Pass",Benchmark1[[#This Row],[Comparable '#3 Return]]-Benchmark1[[#This Row],[Benchmark '#1 Return]],"-"),"-")</f>
        <v>-9.7787462259140631E-3</v>
      </c>
    </row>
    <row r="845" spans="1:19">
      <c r="A845" s="103">
        <v>44508</v>
      </c>
      <c r="B845" s="104">
        <v>4701.7020433626958</v>
      </c>
      <c r="C845" s="4">
        <f t="shared" si="13"/>
        <v>8.884214267424977E-4</v>
      </c>
      <c r="D845" s="1" t="str">
        <f>IF(COUNTIF(Target1[Target Dates],Benchmark1[[#This Row],[Benchmark '#1 Dates]])=1,"Pass","Fail")</f>
        <v>Pass</v>
      </c>
      <c r="E845" s="6">
        <f>IF(Benchmark1[[#This Row],[Target Date Check]]="Pass",INDEX(Target1[Target Price],MATCH(Benchmark1[[#This Row],[Benchmark '#1 Dates]],Target1[Target Dates],0)),"-")</f>
        <v>35.909999999999997</v>
      </c>
      <c r="F845" s="22">
        <f>IF(Benchmark1[[#This Row],[Target Date Check]]="Pass",INDEX(Target1[Target Return],MATCH(Benchmark1[[#This Row],[Benchmark '#1 Dates]],Target1[Target Dates],0)),"-")</f>
        <v>-8.3195155395584999E-3</v>
      </c>
      <c r="G845" s="1">
        <f>IFERROR(IF(Benchmark1[[#This Row],[Target Date Check]]="Pass",Benchmark1[[#This Row],[Target Return]]-Benchmark1[[#This Row],[Benchmark '#1 Return]],"-"),"-")</f>
        <v>-9.2079369663009975E-3</v>
      </c>
      <c r="H845" s="1" t="str">
        <f>IF(COUNTIF(Comp1[Comparable '#1 Dates],Benchmark1[[#This Row],[Benchmark '#1 Dates]])=1,"Pass","Fail")</f>
        <v>Pass</v>
      </c>
      <c r="I845" s="6">
        <f>IF(Benchmark1[[#This Row],[Comparable '#1 Date Check]]="Pass",INDEX(Comp1[Comparable '#1 Price],MATCH(Benchmark1[[#This Row],[Benchmark '#1 Dates]],Comp1[Comparable '#1 Dates],0)),"-")</f>
        <v>12.13</v>
      </c>
      <c r="J845" s="22">
        <f>IF(Benchmark1[[#This Row],[Comparable '#1 Date Check]]="Pass",INDEX(Comp1[Comparable '#1 Return],MATCH(Benchmark1[[#This Row],[Benchmark '#1 Dates]],Comp1[Comparable '#1 Dates],0)),"-")</f>
        <v>2.5043044965663449E-2</v>
      </c>
      <c r="K845" s="1">
        <f>IFERROR(IF(Benchmark1[[#This Row],[Comparable '#1 Date Check]]="Pass",Benchmark1[[#This Row],[Comparable '#1 Return]]-Benchmark1[[#This Row],[Benchmark '#1 Return]],"-"),"-")</f>
        <v>2.415462353892095E-2</v>
      </c>
      <c r="L845" s="1" t="str">
        <f>IF(COUNTIF(Comp2[Comparable '#2 Dates],Benchmark1[[#This Row],[Benchmark '#1 Dates]])=1,"Pass","Fail")</f>
        <v>Pass</v>
      </c>
      <c r="M845" s="6">
        <f>IF(Benchmark1[[#This Row],[Comparable '#2 Date Check]]="Pass",INDEX(Comp2[Comparable '#2 Price],MATCH(Benchmark1[[#This Row],[Benchmark '#1 Dates]],Comp2[Comparable '#2 Dates],0)),"-")</f>
        <v>32.82</v>
      </c>
      <c r="N845" s="22">
        <f>IF(Benchmark1[[#This Row],[Comparable '#2 Date Check]]="Pass",INDEX(Comp2[Comparable '#2 Return],MATCH(Benchmark1[[#This Row],[Benchmark '#1 Dates]],Comp2[Comparable '#2 Dates],0)),"-")</f>
        <v>2.9686781180042462E-2</v>
      </c>
      <c r="O845" s="1">
        <f>IFERROR(IF(Benchmark1[[#This Row],[Comparable '#2 Date Check]]="Pass",Benchmark1[[#This Row],[Comparable '#2 Return]]-Benchmark1[[#This Row],[Benchmark '#1 Return]],"-"),"-")</f>
        <v>2.8798359753299963E-2</v>
      </c>
      <c r="P845" s="1" t="str">
        <f>IF(COUNTIF(Comp3[Comparable '#3 Dates],Benchmark1[[#This Row],[Benchmark '#1 Dates]])=1,"Pass","Fail")</f>
        <v>Pass</v>
      </c>
      <c r="Q845" s="6">
        <f>IF(Benchmark1[[#This Row],[Comparable '#3 Date Check]]="Pass",INDEX(Comp3[Comparable '#3 Price],MATCH(Benchmark1[[#This Row],[Benchmark '#1 Dates]],Comp3[Comparable '#3 Dates],0)),"-")</f>
        <v>61.85</v>
      </c>
      <c r="R845" s="22">
        <f>IF(Benchmark1[[#This Row],[Comparable '#3 Date Check]]="Pass",INDEX(Comp3[Comparable '#3 Return],MATCH(Benchmark1[[#This Row],[Benchmark '#1 Dates]],Comp3[Comparable '#3 Dates],0)),"-")</f>
        <v>-3.7913970800009196E-2</v>
      </c>
      <c r="S845" s="1">
        <f>IFERROR(IF(Benchmark1[[#This Row],[Comparable '#3 Date Check]]="Pass",Benchmark1[[#This Row],[Comparable '#3 Return]]-Benchmark1[[#This Row],[Benchmark '#1 Return]],"-"),"-")</f>
        <v>-3.8802392226751692E-2</v>
      </c>
    </row>
    <row r="846" spans="1:19">
      <c r="A846" s="103">
        <v>44509</v>
      </c>
      <c r="B846" s="104">
        <v>4685.2511773578099</v>
      </c>
      <c r="C846" s="4">
        <f t="shared" si="13"/>
        <v>-3.5050526960514043E-3</v>
      </c>
      <c r="D846" s="1" t="str">
        <f>IF(COUNTIF(Target1[Target Dates],Benchmark1[[#This Row],[Benchmark '#1 Dates]])=1,"Pass","Fail")</f>
        <v>Pass</v>
      </c>
      <c r="E846" s="6">
        <f>IF(Benchmark1[[#This Row],[Target Date Check]]="Pass",INDEX(Target1[Target Price],MATCH(Benchmark1[[#This Row],[Benchmark '#1 Dates]],Target1[Target Dates],0)),"-")</f>
        <v>35.659999999999997</v>
      </c>
      <c r="F846" s="22">
        <f>IF(Benchmark1[[#This Row],[Target Date Check]]="Pass",INDEX(Target1[Target Return],MATCH(Benchmark1[[#This Row],[Benchmark '#1 Dates]],Target1[Target Dates],0)),"-")</f>
        <v>-6.9861958029971772E-3</v>
      </c>
      <c r="G846" s="1">
        <f>IFERROR(IF(Benchmark1[[#This Row],[Target Date Check]]="Pass",Benchmark1[[#This Row],[Target Return]]-Benchmark1[[#This Row],[Benchmark '#1 Return]],"-"),"-")</f>
        <v>-3.4811431069457729E-3</v>
      </c>
      <c r="H846" s="1" t="str">
        <f>IF(COUNTIF(Comp1[Comparable '#1 Dates],Benchmark1[[#This Row],[Benchmark '#1 Dates]])=1,"Pass","Fail")</f>
        <v>Pass</v>
      </c>
      <c r="I846" s="6">
        <f>IF(Benchmark1[[#This Row],[Comparable '#1 Date Check]]="Pass",INDEX(Comp1[Comparable '#1 Price],MATCH(Benchmark1[[#This Row],[Benchmark '#1 Dates]],Comp1[Comparable '#1 Dates],0)),"-")</f>
        <v>12.01</v>
      </c>
      <c r="J846" s="22">
        <f>IF(Benchmark1[[#This Row],[Comparable '#1 Date Check]]="Pass",INDEX(Comp1[Comparable '#1 Return],MATCH(Benchmark1[[#This Row],[Benchmark '#1 Dates]],Comp1[Comparable '#1 Dates],0)),"-")</f>
        <v>-9.9420868640666474E-3</v>
      </c>
      <c r="K846" s="1">
        <f>IFERROR(IF(Benchmark1[[#This Row],[Comparable '#1 Date Check]]="Pass",Benchmark1[[#This Row],[Comparable '#1 Return]]-Benchmark1[[#This Row],[Benchmark '#1 Return]],"-"),"-")</f>
        <v>-6.4370341680152435E-3</v>
      </c>
      <c r="L846" s="1" t="str">
        <f>IF(COUNTIF(Comp2[Comparable '#2 Dates],Benchmark1[[#This Row],[Benchmark '#1 Dates]])=1,"Pass","Fail")</f>
        <v>Pass</v>
      </c>
      <c r="M846" s="6">
        <f>IF(Benchmark1[[#This Row],[Comparable '#2 Date Check]]="Pass",INDEX(Comp2[Comparable '#2 Price],MATCH(Benchmark1[[#This Row],[Benchmark '#1 Dates]],Comp2[Comparable '#2 Dates],0)),"-")</f>
        <v>33.520000000000003</v>
      </c>
      <c r="N846" s="22">
        <f>IF(Benchmark1[[#This Row],[Comparable '#2 Date Check]]="Pass",INDEX(Comp2[Comparable '#2 Return],MATCH(Benchmark1[[#This Row],[Benchmark '#1 Dates]],Comp2[Comparable '#2 Dates],0)),"-")</f>
        <v>2.1104189951937635E-2</v>
      </c>
      <c r="O846" s="1">
        <f>IFERROR(IF(Benchmark1[[#This Row],[Comparable '#2 Date Check]]="Pass",Benchmark1[[#This Row],[Comparable '#2 Return]]-Benchmark1[[#This Row],[Benchmark '#1 Return]],"-"),"-")</f>
        <v>2.4609242647989041E-2</v>
      </c>
      <c r="P846" s="1" t="str">
        <f>IF(COUNTIF(Comp3[Comparable '#3 Dates],Benchmark1[[#This Row],[Benchmark '#1 Dates]])=1,"Pass","Fail")</f>
        <v>Pass</v>
      </c>
      <c r="Q846" s="6">
        <f>IF(Benchmark1[[#This Row],[Comparable '#3 Date Check]]="Pass",INDEX(Comp3[Comparable '#3 Price],MATCH(Benchmark1[[#This Row],[Benchmark '#1 Dates]],Comp3[Comparable '#3 Dates],0)),"-")</f>
        <v>61.65</v>
      </c>
      <c r="R846" s="22">
        <f>IF(Benchmark1[[#This Row],[Comparable '#3 Date Check]]="Pass",INDEX(Comp3[Comparable '#3 Return],MATCH(Benchmark1[[#This Row],[Benchmark '#1 Dates]],Comp3[Comparable '#3 Dates],0)),"-")</f>
        <v>-3.238869228143692E-3</v>
      </c>
      <c r="S846" s="1">
        <f>IFERROR(IF(Benchmark1[[#This Row],[Comparable '#3 Date Check]]="Pass",Benchmark1[[#This Row],[Comparable '#3 Return]]-Benchmark1[[#This Row],[Benchmark '#1 Return]],"-"),"-")</f>
        <v>2.6618346790771227E-4</v>
      </c>
    </row>
    <row r="847" spans="1:19">
      <c r="A847" s="103">
        <v>44510</v>
      </c>
      <c r="B847" s="104">
        <v>4646.7076675650424</v>
      </c>
      <c r="C847" s="4">
        <f t="shared" si="13"/>
        <v>-8.2605870018170914E-3</v>
      </c>
      <c r="D847" s="1" t="str">
        <f>IF(COUNTIF(Target1[Target Dates],Benchmark1[[#This Row],[Benchmark '#1 Dates]])=1,"Pass","Fail")</f>
        <v>Pass</v>
      </c>
      <c r="E847" s="6">
        <f>IF(Benchmark1[[#This Row],[Target Date Check]]="Pass",INDEX(Target1[Target Price],MATCH(Benchmark1[[#This Row],[Benchmark '#1 Dates]],Target1[Target Dates],0)),"-")</f>
        <v>35.75</v>
      </c>
      <c r="F847" s="22">
        <f>IF(Benchmark1[[#This Row],[Target Date Check]]="Pass",INDEX(Target1[Target Return],MATCH(Benchmark1[[#This Row],[Benchmark '#1 Dates]],Target1[Target Dates],0)),"-")</f>
        <v>2.5206567050224133E-3</v>
      </c>
      <c r="G847" s="1">
        <f>IFERROR(IF(Benchmark1[[#This Row],[Target Date Check]]="Pass",Benchmark1[[#This Row],[Target Return]]-Benchmark1[[#This Row],[Benchmark '#1 Return]],"-"),"-")</f>
        <v>1.0781243706839505E-2</v>
      </c>
      <c r="H847" s="1" t="str">
        <f>IF(COUNTIF(Comp1[Comparable '#1 Dates],Benchmark1[[#This Row],[Benchmark '#1 Dates]])=1,"Pass","Fail")</f>
        <v>Pass</v>
      </c>
      <c r="I847" s="6">
        <f>IF(Benchmark1[[#This Row],[Comparable '#1 Date Check]]="Pass",INDEX(Comp1[Comparable '#1 Price],MATCH(Benchmark1[[#This Row],[Benchmark '#1 Dates]],Comp1[Comparable '#1 Dates],0)),"-")</f>
        <v>11.78</v>
      </c>
      <c r="J847" s="22">
        <f>IF(Benchmark1[[#This Row],[Comparable '#1 Date Check]]="Pass",INDEX(Comp1[Comparable '#1 Return],MATCH(Benchmark1[[#This Row],[Benchmark '#1 Dates]],Comp1[Comparable '#1 Dates],0)),"-")</f>
        <v>-1.9336457868451583E-2</v>
      </c>
      <c r="K847" s="1">
        <f>IFERROR(IF(Benchmark1[[#This Row],[Comparable '#1 Date Check]]="Pass",Benchmark1[[#This Row],[Comparable '#1 Return]]-Benchmark1[[#This Row],[Benchmark '#1 Return]],"-"),"-")</f>
        <v>-1.1075870866634491E-2</v>
      </c>
      <c r="L847" s="1" t="str">
        <f>IF(COUNTIF(Comp2[Comparable '#2 Dates],Benchmark1[[#This Row],[Benchmark '#1 Dates]])=1,"Pass","Fail")</f>
        <v>Pass</v>
      </c>
      <c r="M847" s="6">
        <f>IF(Benchmark1[[#This Row],[Comparable '#2 Date Check]]="Pass",INDEX(Comp2[Comparable '#2 Price],MATCH(Benchmark1[[#This Row],[Benchmark '#1 Dates]],Comp2[Comparable '#2 Dates],0)),"-")</f>
        <v>33.840000000000003</v>
      </c>
      <c r="N847" s="22">
        <f>IF(Benchmark1[[#This Row],[Comparable '#2 Date Check]]="Pass",INDEX(Comp2[Comparable '#2 Return],MATCH(Benchmark1[[#This Row],[Benchmark '#1 Dates]],Comp2[Comparable '#2 Dates],0)),"-")</f>
        <v>9.5012591241402152E-3</v>
      </c>
      <c r="O847" s="1">
        <f>IFERROR(IF(Benchmark1[[#This Row],[Comparable '#2 Date Check]]="Pass",Benchmark1[[#This Row],[Comparable '#2 Return]]-Benchmark1[[#This Row],[Benchmark '#1 Return]],"-"),"-")</f>
        <v>1.7761846125957305E-2</v>
      </c>
      <c r="P847" s="1" t="str">
        <f>IF(COUNTIF(Comp3[Comparable '#3 Dates],Benchmark1[[#This Row],[Benchmark '#1 Dates]])=1,"Pass","Fail")</f>
        <v>Pass</v>
      </c>
      <c r="Q847" s="6">
        <f>IF(Benchmark1[[#This Row],[Comparable '#3 Date Check]]="Pass",INDEX(Comp3[Comparable '#3 Price],MATCH(Benchmark1[[#This Row],[Benchmark '#1 Dates]],Comp3[Comparable '#3 Dates],0)),"-")</f>
        <v>60.9</v>
      </c>
      <c r="R847" s="22">
        <f>IF(Benchmark1[[#This Row],[Comparable '#3 Date Check]]="Pass",INDEX(Comp3[Comparable '#3 Return],MATCH(Benchmark1[[#This Row],[Benchmark '#1 Dates]],Comp3[Comparable '#3 Dates],0)),"-")</f>
        <v>-1.224005489450195E-2</v>
      </c>
      <c r="S847" s="1">
        <f>IFERROR(IF(Benchmark1[[#This Row],[Comparable '#3 Date Check]]="Pass",Benchmark1[[#This Row],[Comparable '#3 Return]]-Benchmark1[[#This Row],[Benchmark '#1 Return]],"-"),"-")</f>
        <v>-3.9794678926848587E-3</v>
      </c>
    </row>
    <row r="848" spans="1:19">
      <c r="A848" s="103">
        <v>44511</v>
      </c>
      <c r="B848" s="104">
        <v>4649.2692032346722</v>
      </c>
      <c r="C848" s="4">
        <f t="shared" si="13"/>
        <v>5.5110630546164729E-4</v>
      </c>
      <c r="D848" s="1" t="str">
        <f>IF(COUNTIF(Target1[Target Dates],Benchmark1[[#This Row],[Benchmark '#1 Dates]])=1,"Pass","Fail")</f>
        <v>Pass</v>
      </c>
      <c r="E848" s="6">
        <f>IF(Benchmark1[[#This Row],[Target Date Check]]="Pass",INDEX(Target1[Target Price],MATCH(Benchmark1[[#This Row],[Benchmark '#1 Dates]],Target1[Target Dates],0)),"-")</f>
        <v>35.71</v>
      </c>
      <c r="F848" s="22">
        <f>IF(Benchmark1[[#This Row],[Target Date Check]]="Pass",INDEX(Target1[Target Return],MATCH(Benchmark1[[#This Row],[Benchmark '#1 Dates]],Target1[Target Dates],0)),"-")</f>
        <v>-1.1195075336596094E-3</v>
      </c>
      <c r="G848" s="1">
        <f>IFERROR(IF(Benchmark1[[#This Row],[Target Date Check]]="Pass",Benchmark1[[#This Row],[Target Return]]-Benchmark1[[#This Row],[Benchmark '#1 Return]],"-"),"-")</f>
        <v>-1.6706138391212567E-3</v>
      </c>
      <c r="H848" s="1" t="str">
        <f>IF(COUNTIF(Comp1[Comparable '#1 Dates],Benchmark1[[#This Row],[Benchmark '#1 Dates]])=1,"Pass","Fail")</f>
        <v>Pass</v>
      </c>
      <c r="I848" s="6">
        <f>IF(Benchmark1[[#This Row],[Comparable '#1 Date Check]]="Pass",INDEX(Comp1[Comparable '#1 Price],MATCH(Benchmark1[[#This Row],[Benchmark '#1 Dates]],Comp1[Comparable '#1 Dates],0)),"-")</f>
        <v>11.27</v>
      </c>
      <c r="J848" s="22">
        <f>IF(Benchmark1[[#This Row],[Comparable '#1 Date Check]]="Pass",INDEX(Comp1[Comparable '#1 Return],MATCH(Benchmark1[[#This Row],[Benchmark '#1 Dates]],Comp1[Comparable '#1 Dates],0)),"-")</f>
        <v>-4.4258850171755737E-2</v>
      </c>
      <c r="K848" s="1">
        <f>IFERROR(IF(Benchmark1[[#This Row],[Comparable '#1 Date Check]]="Pass",Benchmark1[[#This Row],[Comparable '#1 Return]]-Benchmark1[[#This Row],[Benchmark '#1 Return]],"-"),"-")</f>
        <v>-4.4809956477217382E-2</v>
      </c>
      <c r="L848" s="1" t="str">
        <f>IF(COUNTIF(Comp2[Comparable '#2 Dates],Benchmark1[[#This Row],[Benchmark '#1 Dates]])=1,"Pass","Fail")</f>
        <v>Pass</v>
      </c>
      <c r="M848" s="6">
        <f>IF(Benchmark1[[#This Row],[Comparable '#2 Date Check]]="Pass",INDEX(Comp2[Comparable '#2 Price],MATCH(Benchmark1[[#This Row],[Benchmark '#1 Dates]],Comp2[Comparable '#2 Dates],0)),"-")</f>
        <v>33.340000000000003</v>
      </c>
      <c r="N848" s="22">
        <f>IF(Benchmark1[[#This Row],[Comparable '#2 Date Check]]="Pass",INDEX(Comp2[Comparable '#2 Return],MATCH(Benchmark1[[#This Row],[Benchmark '#1 Dates]],Comp2[Comparable '#2 Dates],0)),"-")</f>
        <v>-1.4885657415374636E-2</v>
      </c>
      <c r="O848" s="1">
        <f>IFERROR(IF(Benchmark1[[#This Row],[Comparable '#2 Date Check]]="Pass",Benchmark1[[#This Row],[Comparable '#2 Return]]-Benchmark1[[#This Row],[Benchmark '#1 Return]],"-"),"-")</f>
        <v>-1.5436763720836282E-2</v>
      </c>
      <c r="P848" s="1" t="str">
        <f>IF(COUNTIF(Comp3[Comparable '#3 Dates],Benchmark1[[#This Row],[Benchmark '#1 Dates]])=1,"Pass","Fail")</f>
        <v>Pass</v>
      </c>
      <c r="Q848" s="6">
        <f>IF(Benchmark1[[#This Row],[Comparable '#3 Date Check]]="Pass",INDEX(Comp3[Comparable '#3 Price],MATCH(Benchmark1[[#This Row],[Benchmark '#1 Dates]],Comp3[Comparable '#3 Dates],0)),"-")</f>
        <v>60.38</v>
      </c>
      <c r="R848" s="22">
        <f>IF(Benchmark1[[#This Row],[Comparable '#3 Date Check]]="Pass",INDEX(Comp3[Comparable '#3 Return],MATCH(Benchmark1[[#This Row],[Benchmark '#1 Dates]],Comp3[Comparable '#3 Dates],0)),"-")</f>
        <v>-8.5752504371584964E-3</v>
      </c>
      <c r="S848" s="1">
        <f>IFERROR(IF(Benchmark1[[#This Row],[Comparable '#3 Date Check]]="Pass",Benchmark1[[#This Row],[Comparable '#3 Return]]-Benchmark1[[#This Row],[Benchmark '#1 Return]],"-"),"-")</f>
        <v>-9.1263567426201446E-3</v>
      </c>
    </row>
    <row r="849" spans="1:19">
      <c r="A849" s="103">
        <v>44512</v>
      </c>
      <c r="B849" s="104">
        <v>4682.8473959507728</v>
      </c>
      <c r="C849" s="4">
        <f t="shared" si="13"/>
        <v>7.1962962030494154E-3</v>
      </c>
      <c r="D849" s="1" t="str">
        <f>IF(COUNTIF(Target1[Target Dates],Benchmark1[[#This Row],[Benchmark '#1 Dates]])=1,"Pass","Fail")</f>
        <v>Pass</v>
      </c>
      <c r="E849" s="6">
        <f>IF(Benchmark1[[#This Row],[Target Date Check]]="Pass",INDEX(Target1[Target Price],MATCH(Benchmark1[[#This Row],[Benchmark '#1 Dates]],Target1[Target Dates],0)),"-")</f>
        <v>36.22</v>
      </c>
      <c r="F849" s="22">
        <f>IF(Benchmark1[[#This Row],[Target Date Check]]="Pass",INDEX(Target1[Target Return],MATCH(Benchmark1[[#This Row],[Benchmark '#1 Dates]],Target1[Target Dates],0)),"-")</f>
        <v>1.4180690848910141E-2</v>
      </c>
      <c r="G849" s="1">
        <f>IFERROR(IF(Benchmark1[[#This Row],[Target Date Check]]="Pass",Benchmark1[[#This Row],[Target Return]]-Benchmark1[[#This Row],[Benchmark '#1 Return]],"-"),"-")</f>
        <v>6.9843946458607257E-3</v>
      </c>
      <c r="H849" s="1" t="str">
        <f>IF(COUNTIF(Comp1[Comparable '#1 Dates],Benchmark1[[#This Row],[Benchmark '#1 Dates]])=1,"Pass","Fail")</f>
        <v>Pass</v>
      </c>
      <c r="I849" s="6">
        <f>IF(Benchmark1[[#This Row],[Comparable '#1 Date Check]]="Pass",INDEX(Comp1[Comparable '#1 Price],MATCH(Benchmark1[[#This Row],[Benchmark '#1 Dates]],Comp1[Comparable '#1 Dates],0)),"-")</f>
        <v>11.17</v>
      </c>
      <c r="J849" s="22">
        <f>IF(Benchmark1[[#This Row],[Comparable '#1 Date Check]]="Pass",INDEX(Comp1[Comparable '#1 Return],MATCH(Benchmark1[[#This Row],[Benchmark '#1 Dates]],Comp1[Comparable '#1 Dates],0)),"-")</f>
        <v>-8.9127149705755301E-3</v>
      </c>
      <c r="K849" s="1">
        <f>IFERROR(IF(Benchmark1[[#This Row],[Comparable '#1 Date Check]]="Pass",Benchmark1[[#This Row],[Comparable '#1 Return]]-Benchmark1[[#This Row],[Benchmark '#1 Return]],"-"),"-")</f>
        <v>-1.6109011173624947E-2</v>
      </c>
      <c r="L849" s="1" t="str">
        <f>IF(COUNTIF(Comp2[Comparable '#2 Dates],Benchmark1[[#This Row],[Benchmark '#1 Dates]])=1,"Pass","Fail")</f>
        <v>Pass</v>
      </c>
      <c r="M849" s="6">
        <f>IF(Benchmark1[[#This Row],[Comparable '#2 Date Check]]="Pass",INDEX(Comp2[Comparable '#2 Price],MATCH(Benchmark1[[#This Row],[Benchmark '#1 Dates]],Comp2[Comparable '#2 Dates],0)),"-")</f>
        <v>32.9</v>
      </c>
      <c r="N849" s="22">
        <f>IF(Benchmark1[[#This Row],[Comparable '#2 Date Check]]="Pass",INDEX(Comp2[Comparable '#2 Return],MATCH(Benchmark1[[#This Row],[Benchmark '#1 Dates]],Comp2[Comparable '#2 Dates],0)),"-")</f>
        <v>-1.3285219551321869E-2</v>
      </c>
      <c r="O849" s="1">
        <f>IFERROR(IF(Benchmark1[[#This Row],[Comparable '#2 Date Check]]="Pass",Benchmark1[[#This Row],[Comparable '#2 Return]]-Benchmark1[[#This Row],[Benchmark '#1 Return]],"-"),"-")</f>
        <v>-2.0481515754371286E-2</v>
      </c>
      <c r="P849" s="1" t="str">
        <f>IF(COUNTIF(Comp3[Comparable '#3 Dates],Benchmark1[[#This Row],[Benchmark '#1 Dates]])=1,"Pass","Fail")</f>
        <v>Pass</v>
      </c>
      <c r="Q849" s="6">
        <f>IF(Benchmark1[[#This Row],[Comparable '#3 Date Check]]="Pass",INDEX(Comp3[Comparable '#3 Price],MATCH(Benchmark1[[#This Row],[Benchmark '#1 Dates]],Comp3[Comparable '#3 Dates],0)),"-")</f>
        <v>61.3</v>
      </c>
      <c r="R849" s="22">
        <f>IF(Benchmark1[[#This Row],[Comparable '#3 Date Check]]="Pass",INDEX(Comp3[Comparable '#3 Return],MATCH(Benchmark1[[#This Row],[Benchmark '#1 Dates]],Comp3[Comparable '#3 Dates],0)),"-")</f>
        <v>1.5121918663472818E-2</v>
      </c>
      <c r="S849" s="1">
        <f>IFERROR(IF(Benchmark1[[#This Row],[Comparable '#3 Date Check]]="Pass",Benchmark1[[#This Row],[Comparable '#3 Return]]-Benchmark1[[#This Row],[Benchmark '#1 Return]],"-"),"-")</f>
        <v>7.9256224604234028E-3</v>
      </c>
    </row>
    <row r="850" spans="1:19">
      <c r="A850" s="103">
        <v>44515</v>
      </c>
      <c r="B850" s="104">
        <v>4682.8035437138333</v>
      </c>
      <c r="C850" s="4">
        <f t="shared" si="13"/>
        <v>-9.3644824524034504E-6</v>
      </c>
      <c r="D850" s="1" t="str">
        <f>IF(COUNTIF(Target1[Target Dates],Benchmark1[[#This Row],[Benchmark '#1 Dates]])=1,"Pass","Fail")</f>
        <v>Pass</v>
      </c>
      <c r="E850" s="6">
        <f>IF(Benchmark1[[#This Row],[Target Date Check]]="Pass",INDEX(Target1[Target Price],MATCH(Benchmark1[[#This Row],[Benchmark '#1 Dates]],Target1[Target Dates],0)),"-")</f>
        <v>36.020000000000003</v>
      </c>
      <c r="F850" s="22">
        <f>IF(Benchmark1[[#This Row],[Target Date Check]]="Pass",INDEX(Target1[Target Return],MATCH(Benchmark1[[#This Row],[Benchmark '#1 Dates]],Target1[Target Dates],0)),"-")</f>
        <v>-5.5371127074571366E-3</v>
      </c>
      <c r="G850" s="1">
        <f>IFERROR(IF(Benchmark1[[#This Row],[Target Date Check]]="Pass",Benchmark1[[#This Row],[Target Return]]-Benchmark1[[#This Row],[Benchmark '#1 Return]],"-"),"-")</f>
        <v>-5.5277482250047335E-3</v>
      </c>
      <c r="H850" s="1" t="str">
        <f>IF(COUNTIF(Comp1[Comparable '#1 Dates],Benchmark1[[#This Row],[Benchmark '#1 Dates]])=1,"Pass","Fail")</f>
        <v>Pass</v>
      </c>
      <c r="I850" s="6">
        <f>IF(Benchmark1[[#This Row],[Comparable '#1 Date Check]]="Pass",INDEX(Comp1[Comparable '#1 Price],MATCH(Benchmark1[[#This Row],[Benchmark '#1 Dates]],Comp1[Comparable '#1 Dates],0)),"-")</f>
        <v>10.98</v>
      </c>
      <c r="J850" s="22">
        <f>IF(Benchmark1[[#This Row],[Comparable '#1 Date Check]]="Pass",INDEX(Comp1[Comparable '#1 Return],MATCH(Benchmark1[[#This Row],[Benchmark '#1 Dates]],Comp1[Comparable '#1 Dates],0)),"-")</f>
        <v>-1.7156176999724725E-2</v>
      </c>
      <c r="K850" s="1">
        <f>IFERROR(IF(Benchmark1[[#This Row],[Comparable '#1 Date Check]]="Pass",Benchmark1[[#This Row],[Comparable '#1 Return]]-Benchmark1[[#This Row],[Benchmark '#1 Return]],"-"),"-")</f>
        <v>-1.7146812517272323E-2</v>
      </c>
      <c r="L850" s="1" t="str">
        <f>IF(COUNTIF(Comp2[Comparable '#2 Dates],Benchmark1[[#This Row],[Benchmark '#1 Dates]])=1,"Pass","Fail")</f>
        <v>Pass</v>
      </c>
      <c r="M850" s="6">
        <f>IF(Benchmark1[[#This Row],[Comparable '#2 Date Check]]="Pass",INDEX(Comp2[Comparable '#2 Price],MATCH(Benchmark1[[#This Row],[Benchmark '#1 Dates]],Comp2[Comparable '#2 Dates],0)),"-")</f>
        <v>32.68</v>
      </c>
      <c r="N850" s="22">
        <f>IF(Benchmark1[[#This Row],[Comparable '#2 Date Check]]="Pass",INDEX(Comp2[Comparable '#2 Return],MATCH(Benchmark1[[#This Row],[Benchmark '#1 Dates]],Comp2[Comparable '#2 Dates],0)),"-")</f>
        <v>-6.7093877795240354E-3</v>
      </c>
      <c r="O850" s="1">
        <f>IFERROR(IF(Benchmark1[[#This Row],[Comparable '#2 Date Check]]="Pass",Benchmark1[[#This Row],[Comparable '#2 Return]]-Benchmark1[[#This Row],[Benchmark '#1 Return]],"-"),"-")</f>
        <v>-6.7000232970716323E-3</v>
      </c>
      <c r="P850" s="1" t="str">
        <f>IF(COUNTIF(Comp3[Comparable '#3 Dates],Benchmark1[[#This Row],[Benchmark '#1 Dates]])=1,"Pass","Fail")</f>
        <v>Pass</v>
      </c>
      <c r="Q850" s="6">
        <f>IF(Benchmark1[[#This Row],[Comparable '#3 Date Check]]="Pass",INDEX(Comp3[Comparable '#3 Price],MATCH(Benchmark1[[#This Row],[Benchmark '#1 Dates]],Comp3[Comparable '#3 Dates],0)),"-")</f>
        <v>60.53</v>
      </c>
      <c r="R850" s="22">
        <f>IF(Benchmark1[[#This Row],[Comparable '#3 Date Check]]="Pass",INDEX(Comp3[Comparable '#3 Return],MATCH(Benchmark1[[#This Row],[Benchmark '#1 Dates]],Comp3[Comparable '#3 Dates],0)),"-")</f>
        <v>-1.2640733038569834E-2</v>
      </c>
      <c r="S850" s="1">
        <f>IFERROR(IF(Benchmark1[[#This Row],[Comparable '#3 Date Check]]="Pass",Benchmark1[[#This Row],[Comparable '#3 Return]]-Benchmark1[[#This Row],[Benchmark '#1 Return]],"-"),"-")</f>
        <v>-1.263136855611743E-2</v>
      </c>
    </row>
    <row r="851" spans="1:19">
      <c r="A851" s="103">
        <v>44516</v>
      </c>
      <c r="B851" s="104">
        <v>4700.8971295209067</v>
      </c>
      <c r="C851" s="4">
        <f t="shared" si="13"/>
        <v>3.8563907483287153E-3</v>
      </c>
      <c r="D851" s="1" t="str">
        <f>IF(COUNTIF(Target1[Target Dates],Benchmark1[[#This Row],[Benchmark '#1 Dates]])=1,"Pass","Fail")</f>
        <v>Pass</v>
      </c>
      <c r="E851" s="6">
        <f>IF(Benchmark1[[#This Row],[Target Date Check]]="Pass",INDEX(Target1[Target Price],MATCH(Benchmark1[[#This Row],[Benchmark '#1 Dates]],Target1[Target Dates],0)),"-")</f>
        <v>36.29</v>
      </c>
      <c r="F851" s="22">
        <f>IF(Benchmark1[[#This Row],[Target Date Check]]="Pass",INDEX(Target1[Target Return],MATCH(Benchmark1[[#This Row],[Benchmark '#1 Dates]],Target1[Target Dates],0)),"-")</f>
        <v>7.467881477168938E-3</v>
      </c>
      <c r="G851" s="1">
        <f>IFERROR(IF(Benchmark1[[#This Row],[Target Date Check]]="Pass",Benchmark1[[#This Row],[Target Return]]-Benchmark1[[#This Row],[Benchmark '#1 Return]],"-"),"-")</f>
        <v>3.6114907288402227E-3</v>
      </c>
      <c r="H851" s="1" t="str">
        <f>IF(COUNTIF(Comp1[Comparable '#1 Dates],Benchmark1[[#This Row],[Benchmark '#1 Dates]])=1,"Pass","Fail")</f>
        <v>Pass</v>
      </c>
      <c r="I851" s="6">
        <f>IF(Benchmark1[[#This Row],[Comparable '#1 Date Check]]="Pass",INDEX(Comp1[Comparable '#1 Price],MATCH(Benchmark1[[#This Row],[Benchmark '#1 Dates]],Comp1[Comparable '#1 Dates],0)),"-")</f>
        <v>11.15</v>
      </c>
      <c r="J851" s="22">
        <f>IF(Benchmark1[[#This Row],[Comparable '#1 Date Check]]="Pass",INDEX(Comp1[Comparable '#1 Return],MATCH(Benchmark1[[#This Row],[Benchmark '#1 Dates]],Comp1[Comparable '#1 Dates],0)),"-")</f>
        <v>1.5364061824743246E-2</v>
      </c>
      <c r="K851" s="1">
        <f>IFERROR(IF(Benchmark1[[#This Row],[Comparable '#1 Date Check]]="Pass",Benchmark1[[#This Row],[Comparable '#1 Return]]-Benchmark1[[#This Row],[Benchmark '#1 Return]],"-"),"-")</f>
        <v>1.1507671076414532E-2</v>
      </c>
      <c r="L851" s="1" t="str">
        <f>IF(COUNTIF(Comp2[Comparable '#2 Dates],Benchmark1[[#This Row],[Benchmark '#1 Dates]])=1,"Pass","Fail")</f>
        <v>Pass</v>
      </c>
      <c r="M851" s="6">
        <f>IF(Benchmark1[[#This Row],[Comparable '#2 Date Check]]="Pass",INDEX(Comp2[Comparable '#2 Price],MATCH(Benchmark1[[#This Row],[Benchmark '#1 Dates]],Comp2[Comparable '#2 Dates],0)),"-")</f>
        <v>32.31</v>
      </c>
      <c r="N851" s="22">
        <f>IF(Benchmark1[[#This Row],[Comparable '#2 Date Check]]="Pass",INDEX(Comp2[Comparable '#2 Return],MATCH(Benchmark1[[#This Row],[Benchmark '#1 Dates]],Comp2[Comparable '#2 Dates],0)),"-")</f>
        <v>-1.1386490155395196E-2</v>
      </c>
      <c r="O851" s="1">
        <f>IFERROR(IF(Benchmark1[[#This Row],[Comparable '#2 Date Check]]="Pass",Benchmark1[[#This Row],[Comparable '#2 Return]]-Benchmark1[[#This Row],[Benchmark '#1 Return]],"-"),"-")</f>
        <v>-1.5242880903723912E-2</v>
      </c>
      <c r="P851" s="1" t="str">
        <f>IF(COUNTIF(Comp3[Comparable '#3 Dates],Benchmark1[[#This Row],[Benchmark '#1 Dates]])=1,"Pass","Fail")</f>
        <v>Pass</v>
      </c>
      <c r="Q851" s="6">
        <f>IF(Benchmark1[[#This Row],[Comparable '#3 Date Check]]="Pass",INDEX(Comp3[Comparable '#3 Price],MATCH(Benchmark1[[#This Row],[Benchmark '#1 Dates]],Comp3[Comparable '#3 Dates],0)),"-")</f>
        <v>60.56</v>
      </c>
      <c r="R851" s="22">
        <f>IF(Benchmark1[[#This Row],[Comparable '#3 Date Check]]="Pass",INDEX(Comp3[Comparable '#3 Return],MATCH(Benchmark1[[#This Row],[Benchmark '#1 Dates]],Comp3[Comparable '#3 Dates],0)),"-")</f>
        <v>4.9549922559756542E-4</v>
      </c>
      <c r="S851" s="1">
        <f>IFERROR(IF(Benchmark1[[#This Row],[Comparable '#3 Date Check]]="Pass",Benchmark1[[#This Row],[Comparable '#3 Return]]-Benchmark1[[#This Row],[Benchmark '#1 Return]],"-"),"-")</f>
        <v>-3.36089152273115E-3</v>
      </c>
    </row>
    <row r="852" spans="1:19">
      <c r="A852" s="103">
        <v>44517</v>
      </c>
      <c r="B852" s="104">
        <v>4688.6707002080484</v>
      </c>
      <c r="C852" s="4">
        <f t="shared" si="13"/>
        <v>-2.6042596304140932E-3</v>
      </c>
      <c r="D852" s="1" t="str">
        <f>IF(COUNTIF(Target1[Target Dates],Benchmark1[[#This Row],[Benchmark '#1 Dates]])=1,"Pass","Fail")</f>
        <v>Pass</v>
      </c>
      <c r="E852" s="6">
        <f>IF(Benchmark1[[#This Row],[Target Date Check]]="Pass",INDEX(Target1[Target Price],MATCH(Benchmark1[[#This Row],[Benchmark '#1 Dates]],Target1[Target Dates],0)),"-")</f>
        <v>36.06</v>
      </c>
      <c r="F852" s="22">
        <f>IF(Benchmark1[[#This Row],[Target Date Check]]="Pass",INDEX(Target1[Target Return],MATCH(Benchmark1[[#This Row],[Benchmark '#1 Dates]],Target1[Target Dates],0)),"-")</f>
        <v>-6.3580034498076921E-3</v>
      </c>
      <c r="G852" s="1">
        <f>IFERROR(IF(Benchmark1[[#This Row],[Target Date Check]]="Pass",Benchmark1[[#This Row],[Target Return]]-Benchmark1[[#This Row],[Benchmark '#1 Return]],"-"),"-")</f>
        <v>-3.7537438193935989E-3</v>
      </c>
      <c r="H852" s="1" t="str">
        <f>IF(COUNTIF(Comp1[Comparable '#1 Dates],Benchmark1[[#This Row],[Benchmark '#1 Dates]])=1,"Pass","Fail")</f>
        <v>Pass</v>
      </c>
      <c r="I852" s="6">
        <f>IF(Benchmark1[[#This Row],[Comparable '#1 Date Check]]="Pass",INDEX(Comp1[Comparable '#1 Price],MATCH(Benchmark1[[#This Row],[Benchmark '#1 Dates]],Comp1[Comparable '#1 Dates],0)),"-")</f>
        <v>11.1</v>
      </c>
      <c r="J852" s="22">
        <f>IF(Benchmark1[[#This Row],[Comparable '#1 Date Check]]="Pass",INDEX(Comp1[Comparable '#1 Return],MATCH(Benchmark1[[#This Row],[Benchmark '#1 Dates]],Comp1[Comparable '#1 Dates],0)),"-")</f>
        <v>-4.4943895878393264E-3</v>
      </c>
      <c r="K852" s="1">
        <f>IFERROR(IF(Benchmark1[[#This Row],[Comparable '#1 Date Check]]="Pass",Benchmark1[[#This Row],[Comparable '#1 Return]]-Benchmark1[[#This Row],[Benchmark '#1 Return]],"-"),"-")</f>
        <v>-1.8901299574252332E-3</v>
      </c>
      <c r="L852" s="1" t="str">
        <f>IF(COUNTIF(Comp2[Comparable '#2 Dates],Benchmark1[[#This Row],[Benchmark '#1 Dates]])=1,"Pass","Fail")</f>
        <v>Pass</v>
      </c>
      <c r="M852" s="6">
        <f>IF(Benchmark1[[#This Row],[Comparable '#2 Date Check]]="Pass",INDEX(Comp2[Comparable '#2 Price],MATCH(Benchmark1[[#This Row],[Benchmark '#1 Dates]],Comp2[Comparable '#2 Dates],0)),"-")</f>
        <v>31.73</v>
      </c>
      <c r="N852" s="22">
        <f>IF(Benchmark1[[#This Row],[Comparable '#2 Date Check]]="Pass",INDEX(Comp2[Comparable '#2 Return],MATCH(Benchmark1[[#This Row],[Benchmark '#1 Dates]],Comp2[Comparable '#2 Dates],0)),"-")</f>
        <v>-1.8114174241302728E-2</v>
      </c>
      <c r="O852" s="1">
        <f>IFERROR(IF(Benchmark1[[#This Row],[Comparable '#2 Date Check]]="Pass",Benchmark1[[#This Row],[Comparable '#2 Return]]-Benchmark1[[#This Row],[Benchmark '#1 Return]],"-"),"-")</f>
        <v>-1.5509914610888634E-2</v>
      </c>
      <c r="P852" s="1" t="str">
        <f>IF(COUNTIF(Comp3[Comparable '#3 Dates],Benchmark1[[#This Row],[Benchmark '#1 Dates]])=1,"Pass","Fail")</f>
        <v>Pass</v>
      </c>
      <c r="Q852" s="6">
        <f>IF(Benchmark1[[#This Row],[Comparable '#3 Date Check]]="Pass",INDEX(Comp3[Comparable '#3 Price],MATCH(Benchmark1[[#This Row],[Benchmark '#1 Dates]],Comp3[Comparable '#3 Dates],0)),"-")</f>
        <v>59.24</v>
      </c>
      <c r="R852" s="22">
        <f>IF(Benchmark1[[#This Row],[Comparable '#3 Date Check]]="Pass",INDEX(Comp3[Comparable '#3 Return],MATCH(Benchmark1[[#This Row],[Benchmark '#1 Dates]],Comp3[Comparable '#3 Dates],0)),"-")</f>
        <v>-2.2037619729595344E-2</v>
      </c>
      <c r="S852" s="1">
        <f>IFERROR(IF(Benchmark1[[#This Row],[Comparable '#3 Date Check]]="Pass",Benchmark1[[#This Row],[Comparable '#3 Return]]-Benchmark1[[#This Row],[Benchmark '#1 Return]],"-"),"-")</f>
        <v>-1.943336009918125E-2</v>
      </c>
    </row>
    <row r="853" spans="1:19">
      <c r="A853" s="103">
        <v>44518</v>
      </c>
      <c r="B853" s="104">
        <v>4704.5419429075009</v>
      </c>
      <c r="C853" s="4">
        <f t="shared" si="13"/>
        <v>3.3793034196465854E-3</v>
      </c>
      <c r="D853" s="1" t="str">
        <f>IF(COUNTIF(Target1[Target Dates],Benchmark1[[#This Row],[Benchmark '#1 Dates]])=1,"Pass","Fail")</f>
        <v>Pass</v>
      </c>
      <c r="E853" s="6">
        <f>IF(Benchmark1[[#This Row],[Target Date Check]]="Pass",INDEX(Target1[Target Price],MATCH(Benchmark1[[#This Row],[Benchmark '#1 Dates]],Target1[Target Dates],0)),"-")</f>
        <v>36.81</v>
      </c>
      <c r="F853" s="22">
        <f>IF(Benchmark1[[#This Row],[Target Date Check]]="Pass",INDEX(Target1[Target Return],MATCH(Benchmark1[[#This Row],[Benchmark '#1 Dates]],Target1[Target Dates],0)),"-")</f>
        <v>2.058532961575853E-2</v>
      </c>
      <c r="G853" s="1">
        <f>IFERROR(IF(Benchmark1[[#This Row],[Target Date Check]]="Pass",Benchmark1[[#This Row],[Target Return]]-Benchmark1[[#This Row],[Benchmark '#1 Return]],"-"),"-")</f>
        <v>1.7206026196111945E-2</v>
      </c>
      <c r="H853" s="1" t="str">
        <f>IF(COUNTIF(Comp1[Comparable '#1 Dates],Benchmark1[[#This Row],[Benchmark '#1 Dates]])=1,"Pass","Fail")</f>
        <v>Pass</v>
      </c>
      <c r="I853" s="6">
        <f>IF(Benchmark1[[#This Row],[Comparable '#1 Date Check]]="Pass",INDEX(Comp1[Comparable '#1 Price],MATCH(Benchmark1[[#This Row],[Benchmark '#1 Dates]],Comp1[Comparable '#1 Dates],0)),"-")</f>
        <v>10.82</v>
      </c>
      <c r="J853" s="22">
        <f>IF(Benchmark1[[#This Row],[Comparable '#1 Date Check]]="Pass",INDEX(Comp1[Comparable '#1 Return],MATCH(Benchmark1[[#This Row],[Benchmark '#1 Dates]],Comp1[Comparable '#1 Dates],0)),"-")</f>
        <v>-2.5548834899952952E-2</v>
      </c>
      <c r="K853" s="1">
        <f>IFERROR(IF(Benchmark1[[#This Row],[Comparable '#1 Date Check]]="Pass",Benchmark1[[#This Row],[Comparable '#1 Return]]-Benchmark1[[#This Row],[Benchmark '#1 Return]],"-"),"-")</f>
        <v>-2.8928138319599537E-2</v>
      </c>
      <c r="L853" s="1" t="str">
        <f>IF(COUNTIF(Comp2[Comparable '#2 Dates],Benchmark1[[#This Row],[Benchmark '#1 Dates]])=1,"Pass","Fail")</f>
        <v>Pass</v>
      </c>
      <c r="M853" s="6">
        <f>IF(Benchmark1[[#This Row],[Comparable '#2 Date Check]]="Pass",INDEX(Comp2[Comparable '#2 Price],MATCH(Benchmark1[[#This Row],[Benchmark '#1 Dates]],Comp2[Comparable '#2 Dates],0)),"-")</f>
        <v>30.48</v>
      </c>
      <c r="N853" s="22">
        <f>IF(Benchmark1[[#This Row],[Comparable '#2 Date Check]]="Pass",INDEX(Comp2[Comparable '#2 Return],MATCH(Benchmark1[[#This Row],[Benchmark '#1 Dates]],Comp2[Comparable '#2 Dates],0)),"-")</f>
        <v>-4.0191874776658705E-2</v>
      </c>
      <c r="O853" s="1">
        <f>IFERROR(IF(Benchmark1[[#This Row],[Comparable '#2 Date Check]]="Pass",Benchmark1[[#This Row],[Comparable '#2 Return]]-Benchmark1[[#This Row],[Benchmark '#1 Return]],"-"),"-")</f>
        <v>-4.3571178196305294E-2</v>
      </c>
      <c r="P853" s="1" t="str">
        <f>IF(COUNTIF(Comp3[Comparable '#3 Dates],Benchmark1[[#This Row],[Benchmark '#1 Dates]])=1,"Pass","Fail")</f>
        <v>Pass</v>
      </c>
      <c r="Q853" s="6">
        <f>IF(Benchmark1[[#This Row],[Comparable '#3 Date Check]]="Pass",INDEX(Comp3[Comparable '#3 Price],MATCH(Benchmark1[[#This Row],[Benchmark '#1 Dates]],Comp3[Comparable '#3 Dates],0)),"-")</f>
        <v>57.8</v>
      </c>
      <c r="R853" s="22">
        <f>IF(Benchmark1[[#This Row],[Comparable '#3 Date Check]]="Pass",INDEX(Comp3[Comparable '#3 Return],MATCH(Benchmark1[[#This Row],[Benchmark '#1 Dates]],Comp3[Comparable '#3 Dates],0)),"-")</f>
        <v>-2.4608213721266342E-2</v>
      </c>
      <c r="S853" s="1">
        <f>IFERROR(IF(Benchmark1[[#This Row],[Comparable '#3 Date Check]]="Pass",Benchmark1[[#This Row],[Comparable '#3 Return]]-Benchmark1[[#This Row],[Benchmark '#1 Return]],"-"),"-")</f>
        <v>-2.7987517140912927E-2</v>
      </c>
    </row>
    <row r="854" spans="1:19">
      <c r="A854" s="103">
        <v>44519</v>
      </c>
      <c r="B854" s="104">
        <v>4697.9551064429661</v>
      </c>
      <c r="C854" s="4">
        <f t="shared" si="13"/>
        <v>-1.4010826076258816E-3</v>
      </c>
      <c r="D854" s="1" t="str">
        <f>IF(COUNTIF(Target1[Target Dates],Benchmark1[[#This Row],[Benchmark '#1 Dates]])=1,"Pass","Fail")</f>
        <v>Pass</v>
      </c>
      <c r="E854" s="6">
        <f>IF(Benchmark1[[#This Row],[Target Date Check]]="Pass",INDEX(Target1[Target Price],MATCH(Benchmark1[[#This Row],[Benchmark '#1 Dates]],Target1[Target Dates],0)),"-")</f>
        <v>37.1</v>
      </c>
      <c r="F854" s="22">
        <f>IF(Benchmark1[[#This Row],[Target Date Check]]="Pass",INDEX(Target1[Target Return],MATCH(Benchmark1[[#This Row],[Benchmark '#1 Dates]],Target1[Target Dates],0)),"-")</f>
        <v>7.847422222459639E-3</v>
      </c>
      <c r="G854" s="1">
        <f>IFERROR(IF(Benchmark1[[#This Row],[Target Date Check]]="Pass",Benchmark1[[#This Row],[Target Return]]-Benchmark1[[#This Row],[Benchmark '#1 Return]],"-"),"-")</f>
        <v>9.2485048300855206E-3</v>
      </c>
      <c r="H854" s="1" t="str">
        <f>IF(COUNTIF(Comp1[Comparable '#1 Dates],Benchmark1[[#This Row],[Benchmark '#1 Dates]])=1,"Pass","Fail")</f>
        <v>Pass</v>
      </c>
      <c r="I854" s="6">
        <f>IF(Benchmark1[[#This Row],[Comparable '#1 Date Check]]="Pass",INDEX(Comp1[Comparable '#1 Price],MATCH(Benchmark1[[#This Row],[Benchmark '#1 Dates]],Comp1[Comparable '#1 Dates],0)),"-")</f>
        <v>11</v>
      </c>
      <c r="J854" s="22">
        <f>IF(Benchmark1[[#This Row],[Comparable '#1 Date Check]]="Pass",INDEX(Comp1[Comparable '#1 Return],MATCH(Benchmark1[[#This Row],[Benchmark '#1 Dates]],Comp1[Comparable '#1 Dates],0)),"-")</f>
        <v>1.649899938003507E-2</v>
      </c>
      <c r="K854" s="1">
        <f>IFERROR(IF(Benchmark1[[#This Row],[Comparable '#1 Date Check]]="Pass",Benchmark1[[#This Row],[Comparable '#1 Return]]-Benchmark1[[#This Row],[Benchmark '#1 Return]],"-"),"-")</f>
        <v>1.7900081987660951E-2</v>
      </c>
      <c r="L854" s="1" t="str">
        <f>IF(COUNTIF(Comp2[Comparable '#2 Dates],Benchmark1[[#This Row],[Benchmark '#1 Dates]])=1,"Pass","Fail")</f>
        <v>Pass</v>
      </c>
      <c r="M854" s="6">
        <f>IF(Benchmark1[[#This Row],[Comparable '#2 Date Check]]="Pass",INDEX(Comp2[Comparable '#2 Price],MATCH(Benchmark1[[#This Row],[Benchmark '#1 Dates]],Comp2[Comparable '#2 Dates],0)),"-")</f>
        <v>30.61</v>
      </c>
      <c r="N854" s="22">
        <f>IF(Benchmark1[[#This Row],[Comparable '#2 Date Check]]="Pass",INDEX(Comp2[Comparable '#2 Return],MATCH(Benchmark1[[#This Row],[Benchmark '#1 Dates]],Comp2[Comparable '#2 Dates],0)),"-")</f>
        <v>4.2560221388755317E-3</v>
      </c>
      <c r="O854" s="1">
        <f>IFERROR(IF(Benchmark1[[#This Row],[Comparable '#2 Date Check]]="Pass",Benchmark1[[#This Row],[Comparable '#2 Return]]-Benchmark1[[#This Row],[Benchmark '#1 Return]],"-"),"-")</f>
        <v>5.6571047465014132E-3</v>
      </c>
      <c r="P854" s="1" t="str">
        <f>IF(COUNTIF(Comp3[Comparable '#3 Dates],Benchmark1[[#This Row],[Benchmark '#1 Dates]])=1,"Pass","Fail")</f>
        <v>Pass</v>
      </c>
      <c r="Q854" s="6">
        <f>IF(Benchmark1[[#This Row],[Comparable '#3 Date Check]]="Pass",INDEX(Comp3[Comparable '#3 Price],MATCH(Benchmark1[[#This Row],[Benchmark '#1 Dates]],Comp3[Comparable '#3 Dates],0)),"-")</f>
        <v>57.65</v>
      </c>
      <c r="R854" s="22">
        <f>IF(Benchmark1[[#This Row],[Comparable '#3 Date Check]]="Pass",INDEX(Comp3[Comparable '#3 Return],MATCH(Benchmark1[[#This Row],[Benchmark '#1 Dates]],Comp3[Comparable '#3 Dates],0)),"-")</f>
        <v>-2.5985289632637376E-3</v>
      </c>
      <c r="S854" s="1">
        <f>IFERROR(IF(Benchmark1[[#This Row],[Comparable '#3 Date Check]]="Pass",Benchmark1[[#This Row],[Comparable '#3 Return]]-Benchmark1[[#This Row],[Benchmark '#1 Return]],"-"),"-")</f>
        <v>-1.197446355637856E-3</v>
      </c>
    </row>
    <row r="855" spans="1:19">
      <c r="A855" s="103">
        <v>44522</v>
      </c>
      <c r="B855" s="104">
        <v>4682.9439483726055</v>
      </c>
      <c r="C855" s="4">
        <f t="shared" si="13"/>
        <v>-3.2003693452242105E-3</v>
      </c>
      <c r="D855" s="1" t="str">
        <f>IF(COUNTIF(Target1[Target Dates],Benchmark1[[#This Row],[Benchmark '#1 Dates]])=1,"Pass","Fail")</f>
        <v>Pass</v>
      </c>
      <c r="E855" s="6">
        <f>IF(Benchmark1[[#This Row],[Target Date Check]]="Pass",INDEX(Target1[Target Price],MATCH(Benchmark1[[#This Row],[Benchmark '#1 Dates]],Target1[Target Dates],0)),"-")</f>
        <v>36.39</v>
      </c>
      <c r="F855" s="22">
        <f>IF(Benchmark1[[#This Row],[Target Date Check]]="Pass",INDEX(Target1[Target Return],MATCH(Benchmark1[[#This Row],[Benchmark '#1 Dates]],Target1[Target Dates],0)),"-")</f>
        <v>-1.9322957989321012E-2</v>
      </c>
      <c r="G855" s="1">
        <f>IFERROR(IF(Benchmark1[[#This Row],[Target Date Check]]="Pass",Benchmark1[[#This Row],[Target Return]]-Benchmark1[[#This Row],[Benchmark '#1 Return]],"-"),"-")</f>
        <v>-1.61225886440968E-2</v>
      </c>
      <c r="H855" s="1" t="str">
        <f>IF(COUNTIF(Comp1[Comparable '#1 Dates],Benchmark1[[#This Row],[Benchmark '#1 Dates]])=1,"Pass","Fail")</f>
        <v>Pass</v>
      </c>
      <c r="I855" s="6">
        <f>IF(Benchmark1[[#This Row],[Comparable '#1 Date Check]]="Pass",INDEX(Comp1[Comparable '#1 Price],MATCH(Benchmark1[[#This Row],[Benchmark '#1 Dates]],Comp1[Comparable '#1 Dates],0)),"-")</f>
        <v>10.93</v>
      </c>
      <c r="J855" s="22">
        <f>IF(Benchmark1[[#This Row],[Comparable '#1 Date Check]]="Pass",INDEX(Comp1[Comparable '#1 Return],MATCH(Benchmark1[[#This Row],[Benchmark '#1 Dates]],Comp1[Comparable '#1 Dates],0)),"-")</f>
        <v>-6.3839706099233368E-3</v>
      </c>
      <c r="K855" s="1">
        <f>IFERROR(IF(Benchmark1[[#This Row],[Comparable '#1 Date Check]]="Pass",Benchmark1[[#This Row],[Comparable '#1 Return]]-Benchmark1[[#This Row],[Benchmark '#1 Return]],"-"),"-")</f>
        <v>-3.1836012646991262E-3</v>
      </c>
      <c r="L855" s="1" t="str">
        <f>IF(COUNTIF(Comp2[Comparable '#2 Dates],Benchmark1[[#This Row],[Benchmark '#1 Dates]])=1,"Pass","Fail")</f>
        <v>Pass</v>
      </c>
      <c r="M855" s="6">
        <f>IF(Benchmark1[[#This Row],[Comparable '#2 Date Check]]="Pass",INDEX(Comp2[Comparable '#2 Price],MATCH(Benchmark1[[#This Row],[Benchmark '#1 Dates]],Comp2[Comparable '#2 Dates],0)),"-")</f>
        <v>30.78</v>
      </c>
      <c r="N855" s="22">
        <f>IF(Benchmark1[[#This Row],[Comparable '#2 Date Check]]="Pass",INDEX(Comp2[Comparable '#2 Return],MATCH(Benchmark1[[#This Row],[Benchmark '#1 Dates]],Comp2[Comparable '#2 Dates],0)),"-")</f>
        <v>5.5383754534121541E-3</v>
      </c>
      <c r="O855" s="1">
        <f>IFERROR(IF(Benchmark1[[#This Row],[Comparable '#2 Date Check]]="Pass",Benchmark1[[#This Row],[Comparable '#2 Return]]-Benchmark1[[#This Row],[Benchmark '#1 Return]],"-"),"-")</f>
        <v>8.7387447986363651E-3</v>
      </c>
      <c r="P855" s="1" t="str">
        <f>IF(COUNTIF(Comp3[Comparable '#3 Dates],Benchmark1[[#This Row],[Benchmark '#1 Dates]])=1,"Pass","Fail")</f>
        <v>Pass</v>
      </c>
      <c r="Q855" s="6">
        <f>IF(Benchmark1[[#This Row],[Comparable '#3 Date Check]]="Pass",INDEX(Comp3[Comparable '#3 Price],MATCH(Benchmark1[[#This Row],[Benchmark '#1 Dates]],Comp3[Comparable '#3 Dates],0)),"-")</f>
        <v>59.39</v>
      </c>
      <c r="R855" s="22">
        <f>IF(Benchmark1[[#This Row],[Comparable '#3 Date Check]]="Pass",INDEX(Comp3[Comparable '#3 Return],MATCH(Benchmark1[[#This Row],[Benchmark '#1 Dates]],Comp3[Comparable '#3 Dates],0)),"-")</f>
        <v>2.9735615312700938E-2</v>
      </c>
      <c r="S855" s="1">
        <f>IFERROR(IF(Benchmark1[[#This Row],[Comparable '#3 Date Check]]="Pass",Benchmark1[[#This Row],[Comparable '#3 Return]]-Benchmark1[[#This Row],[Benchmark '#1 Return]],"-"),"-")</f>
        <v>3.2935984657925146E-2</v>
      </c>
    </row>
    <row r="856" spans="1:19">
      <c r="A856" s="103">
        <v>44523</v>
      </c>
      <c r="B856" s="104">
        <v>4690.6980510588628</v>
      </c>
      <c r="C856" s="4">
        <f t="shared" si="13"/>
        <v>1.65444860288856E-3</v>
      </c>
      <c r="D856" s="1" t="str">
        <f>IF(COUNTIF(Target1[Target Dates],Benchmark1[[#This Row],[Benchmark '#1 Dates]])=1,"Pass","Fail")</f>
        <v>Pass</v>
      </c>
      <c r="E856" s="6">
        <f>IF(Benchmark1[[#This Row],[Target Date Check]]="Pass",INDEX(Target1[Target Price],MATCH(Benchmark1[[#This Row],[Benchmark '#1 Dates]],Target1[Target Dates],0)),"-")</f>
        <v>35.5</v>
      </c>
      <c r="F856" s="22">
        <f>IF(Benchmark1[[#This Row],[Target Date Check]]="Pass",INDEX(Target1[Target Return],MATCH(Benchmark1[[#This Row],[Benchmark '#1 Dates]],Target1[Target Dates],0)),"-")</f>
        <v>-2.476131514269839E-2</v>
      </c>
      <c r="G856" s="1">
        <f>IFERROR(IF(Benchmark1[[#This Row],[Target Date Check]]="Pass",Benchmark1[[#This Row],[Target Return]]-Benchmark1[[#This Row],[Benchmark '#1 Return]],"-"),"-")</f>
        <v>-2.6415763745586952E-2</v>
      </c>
      <c r="H856" s="1" t="str">
        <f>IF(COUNTIF(Comp1[Comparable '#1 Dates],Benchmark1[[#This Row],[Benchmark '#1 Dates]])=1,"Pass","Fail")</f>
        <v>Pass</v>
      </c>
      <c r="I856" s="6">
        <f>IF(Benchmark1[[#This Row],[Comparable '#1 Date Check]]="Pass",INDEX(Comp1[Comparable '#1 Price],MATCH(Benchmark1[[#This Row],[Benchmark '#1 Dates]],Comp1[Comparable '#1 Dates],0)),"-")</f>
        <v>11.14</v>
      </c>
      <c r="J856" s="22">
        <f>IF(Benchmark1[[#This Row],[Comparable '#1 Date Check]]="Pass",INDEX(Comp1[Comparable '#1 Return],MATCH(Benchmark1[[#This Row],[Benchmark '#1 Dates]],Comp1[Comparable '#1 Dates],0)),"-")</f>
        <v>1.9030932310690876E-2</v>
      </c>
      <c r="K856" s="1">
        <f>IFERROR(IF(Benchmark1[[#This Row],[Comparable '#1 Date Check]]="Pass",Benchmark1[[#This Row],[Comparable '#1 Return]]-Benchmark1[[#This Row],[Benchmark '#1 Return]],"-"),"-")</f>
        <v>1.7376483707802315E-2</v>
      </c>
      <c r="L856" s="1" t="str">
        <f>IF(COUNTIF(Comp2[Comparable '#2 Dates],Benchmark1[[#This Row],[Benchmark '#1 Dates]])=1,"Pass","Fail")</f>
        <v>Pass</v>
      </c>
      <c r="M856" s="6">
        <f>IF(Benchmark1[[#This Row],[Comparable '#2 Date Check]]="Pass",INDEX(Comp2[Comparable '#2 Price],MATCH(Benchmark1[[#This Row],[Benchmark '#1 Dates]],Comp2[Comparable '#2 Dates],0)),"-")</f>
        <v>31.01</v>
      </c>
      <c r="N856" s="22">
        <f>IF(Benchmark1[[#This Row],[Comparable '#2 Date Check]]="Pass",INDEX(Comp2[Comparable '#2 Return],MATCH(Benchmark1[[#This Row],[Benchmark '#1 Dates]],Comp2[Comparable '#2 Dates],0)),"-")</f>
        <v>7.4446047016243251E-3</v>
      </c>
      <c r="O856" s="1">
        <f>IFERROR(IF(Benchmark1[[#This Row],[Comparable '#2 Date Check]]="Pass",Benchmark1[[#This Row],[Comparable '#2 Return]]-Benchmark1[[#This Row],[Benchmark '#1 Return]],"-"),"-")</f>
        <v>5.7901560987357655E-3</v>
      </c>
      <c r="P856" s="1" t="str">
        <f>IF(COUNTIF(Comp3[Comparable '#3 Dates],Benchmark1[[#This Row],[Benchmark '#1 Dates]])=1,"Pass","Fail")</f>
        <v>Pass</v>
      </c>
      <c r="Q856" s="6">
        <f>IF(Benchmark1[[#This Row],[Comparable '#3 Date Check]]="Pass",INDEX(Comp3[Comparable '#3 Price],MATCH(Benchmark1[[#This Row],[Benchmark '#1 Dates]],Comp3[Comparable '#3 Dates],0)),"-")</f>
        <v>59.05</v>
      </c>
      <c r="R856" s="22">
        <f>IF(Benchmark1[[#This Row],[Comparable '#3 Date Check]]="Pass",INDEX(Comp3[Comparable '#3 Return],MATCH(Benchmark1[[#This Row],[Benchmark '#1 Dates]],Comp3[Comparable '#3 Dates],0)),"-")</f>
        <v>-5.7413193843975372E-3</v>
      </c>
      <c r="S856" s="1">
        <f>IFERROR(IF(Benchmark1[[#This Row],[Comparable '#3 Date Check]]="Pass",Benchmark1[[#This Row],[Comparable '#3 Return]]-Benchmark1[[#This Row],[Benchmark '#1 Return]],"-"),"-")</f>
        <v>-7.3957679872860976E-3</v>
      </c>
    </row>
    <row r="857" spans="1:19">
      <c r="A857" s="103">
        <v>44524</v>
      </c>
      <c r="B857" s="104">
        <v>4701.4648544797055</v>
      </c>
      <c r="C857" s="4">
        <f t="shared" si="13"/>
        <v>2.292721760792097E-3</v>
      </c>
      <c r="D857" s="1" t="str">
        <f>IF(COUNTIF(Target1[Target Dates],Benchmark1[[#This Row],[Benchmark '#1 Dates]])=1,"Pass","Fail")</f>
        <v>Pass</v>
      </c>
      <c r="E857" s="6">
        <f>IF(Benchmark1[[#This Row],[Target Date Check]]="Pass",INDEX(Target1[Target Price],MATCH(Benchmark1[[#This Row],[Benchmark '#1 Dates]],Target1[Target Dates],0)),"-")</f>
        <v>35.57</v>
      </c>
      <c r="F857" s="22">
        <f>IF(Benchmark1[[#This Row],[Target Date Check]]="Pass",INDEX(Target1[Target Return],MATCH(Benchmark1[[#This Row],[Benchmark '#1 Dates]],Target1[Target Dates],0)),"-")</f>
        <v>1.969889478993805E-3</v>
      </c>
      <c r="G857" s="1">
        <f>IFERROR(IF(Benchmark1[[#This Row],[Target Date Check]]="Pass",Benchmark1[[#This Row],[Target Return]]-Benchmark1[[#This Row],[Benchmark '#1 Return]],"-"),"-")</f>
        <v>-3.2283228179829206E-4</v>
      </c>
      <c r="H857" s="1" t="str">
        <f>IF(COUNTIF(Comp1[Comparable '#1 Dates],Benchmark1[[#This Row],[Benchmark '#1 Dates]])=1,"Pass","Fail")</f>
        <v>Pass</v>
      </c>
      <c r="I857" s="6">
        <f>IF(Benchmark1[[#This Row],[Comparable '#1 Date Check]]="Pass",INDEX(Comp1[Comparable '#1 Price],MATCH(Benchmark1[[#This Row],[Benchmark '#1 Dates]],Comp1[Comparable '#1 Dates],0)),"-")</f>
        <v>11.08</v>
      </c>
      <c r="J857" s="22">
        <f>IF(Benchmark1[[#This Row],[Comparable '#1 Date Check]]="Pass",INDEX(Comp1[Comparable '#1 Return],MATCH(Benchmark1[[#This Row],[Benchmark '#1 Dates]],Comp1[Comparable '#1 Dates],0)),"-")</f>
        <v>-5.4005531800002775E-3</v>
      </c>
      <c r="K857" s="1">
        <f>IFERROR(IF(Benchmark1[[#This Row],[Comparable '#1 Date Check]]="Pass",Benchmark1[[#This Row],[Comparable '#1 Return]]-Benchmark1[[#This Row],[Benchmark '#1 Return]],"-"),"-")</f>
        <v>-7.6932749407923745E-3</v>
      </c>
      <c r="L857" s="1" t="str">
        <f>IF(COUNTIF(Comp2[Comparable '#2 Dates],Benchmark1[[#This Row],[Benchmark '#1 Dates]])=1,"Pass","Fail")</f>
        <v>Pass</v>
      </c>
      <c r="M857" s="6">
        <f>IF(Benchmark1[[#This Row],[Comparable '#2 Date Check]]="Pass",INDEX(Comp2[Comparable '#2 Price],MATCH(Benchmark1[[#This Row],[Benchmark '#1 Dates]],Comp2[Comparable '#2 Dates],0)),"-")</f>
        <v>31.72</v>
      </c>
      <c r="N857" s="22">
        <f>IF(Benchmark1[[#This Row],[Comparable '#2 Date Check]]="Pass",INDEX(Comp2[Comparable '#2 Return],MATCH(Benchmark1[[#This Row],[Benchmark '#1 Dates]],Comp2[Comparable '#2 Dates],0)),"-")</f>
        <v>2.2637663654289576E-2</v>
      </c>
      <c r="O857" s="1">
        <f>IFERROR(IF(Benchmark1[[#This Row],[Comparable '#2 Date Check]]="Pass",Benchmark1[[#This Row],[Comparable '#2 Return]]-Benchmark1[[#This Row],[Benchmark '#1 Return]],"-"),"-")</f>
        <v>2.0344941893497479E-2</v>
      </c>
      <c r="P857" s="1" t="str">
        <f>IF(COUNTIF(Comp3[Comparable '#3 Dates],Benchmark1[[#This Row],[Benchmark '#1 Dates]])=1,"Pass","Fail")</f>
        <v>Pass</v>
      </c>
      <c r="Q857" s="6">
        <f>IF(Benchmark1[[#This Row],[Comparable '#3 Date Check]]="Pass",INDEX(Comp3[Comparable '#3 Price],MATCH(Benchmark1[[#This Row],[Benchmark '#1 Dates]],Comp3[Comparable '#3 Dates],0)),"-")</f>
        <v>59.61</v>
      </c>
      <c r="R857" s="22">
        <f>IF(Benchmark1[[#This Row],[Comparable '#3 Date Check]]="Pass",INDEX(Comp3[Comparable '#3 Return],MATCH(Benchmark1[[#This Row],[Benchmark '#1 Dates]],Comp3[Comparable '#3 Dates],0)),"-")</f>
        <v>9.4388025884639248E-3</v>
      </c>
      <c r="S857" s="1">
        <f>IFERROR(IF(Benchmark1[[#This Row],[Comparable '#3 Date Check]]="Pass",Benchmark1[[#This Row],[Comparable '#3 Return]]-Benchmark1[[#This Row],[Benchmark '#1 Return]],"-"),"-")</f>
        <v>7.1460808276718277E-3</v>
      </c>
    </row>
    <row r="858" spans="1:19">
      <c r="A858" s="103">
        <v>44526</v>
      </c>
      <c r="B858" s="104">
        <v>4594.6182775142297</v>
      </c>
      <c r="C858" s="4">
        <f t="shared" si="13"/>
        <v>-2.2988452411983485E-2</v>
      </c>
      <c r="D858" s="1" t="str">
        <f>IF(COUNTIF(Target1[Target Dates],Benchmark1[[#This Row],[Benchmark '#1 Dates]])=1,"Pass","Fail")</f>
        <v>Pass</v>
      </c>
      <c r="E858" s="6">
        <f>IF(Benchmark1[[#This Row],[Target Date Check]]="Pass",INDEX(Target1[Target Price],MATCH(Benchmark1[[#This Row],[Benchmark '#1 Dates]],Target1[Target Dates],0)),"-")</f>
        <v>36.36</v>
      </c>
      <c r="F858" s="22">
        <f>IF(Benchmark1[[#This Row],[Target Date Check]]="Pass",INDEX(Target1[Target Return],MATCH(Benchmark1[[#This Row],[Benchmark '#1 Dates]],Target1[Target Dates],0)),"-")</f>
        <v>2.1966683348914259E-2</v>
      </c>
      <c r="G858" s="1">
        <f>IFERROR(IF(Benchmark1[[#This Row],[Target Date Check]]="Pass",Benchmark1[[#This Row],[Target Return]]-Benchmark1[[#This Row],[Benchmark '#1 Return]],"-"),"-")</f>
        <v>4.4955135760897741E-2</v>
      </c>
      <c r="H858" s="1" t="str">
        <f>IF(COUNTIF(Comp1[Comparable '#1 Dates],Benchmark1[[#This Row],[Benchmark '#1 Dates]])=1,"Pass","Fail")</f>
        <v>Pass</v>
      </c>
      <c r="I858" s="6">
        <f>IF(Benchmark1[[#This Row],[Comparable '#1 Date Check]]="Pass",INDEX(Comp1[Comparable '#1 Price],MATCH(Benchmark1[[#This Row],[Benchmark '#1 Dates]],Comp1[Comparable '#1 Dates],0)),"-")</f>
        <v>10.8</v>
      </c>
      <c r="J858" s="22">
        <f>IF(Benchmark1[[#This Row],[Comparable '#1 Date Check]]="Pass",INDEX(Comp1[Comparable '#1 Return],MATCH(Benchmark1[[#This Row],[Benchmark '#1 Dates]],Comp1[Comparable '#1 Dates],0)),"-")</f>
        <v>-2.5595547188963653E-2</v>
      </c>
      <c r="K858" s="1">
        <f>IFERROR(IF(Benchmark1[[#This Row],[Comparable '#1 Date Check]]="Pass",Benchmark1[[#This Row],[Comparable '#1 Return]]-Benchmark1[[#This Row],[Benchmark '#1 Return]],"-"),"-")</f>
        <v>-2.6070947769801685E-3</v>
      </c>
      <c r="L858" s="1" t="str">
        <f>IF(COUNTIF(Comp2[Comparable '#2 Dates],Benchmark1[[#This Row],[Benchmark '#1 Dates]])=1,"Pass","Fail")</f>
        <v>Pass</v>
      </c>
      <c r="M858" s="6">
        <f>IF(Benchmark1[[#This Row],[Comparable '#2 Date Check]]="Pass",INDEX(Comp2[Comparable '#2 Price],MATCH(Benchmark1[[#This Row],[Benchmark '#1 Dates]],Comp2[Comparable '#2 Dates],0)),"-")</f>
        <v>30.66</v>
      </c>
      <c r="N858" s="22">
        <f>IF(Benchmark1[[#This Row],[Comparable '#2 Date Check]]="Pass",INDEX(Comp2[Comparable '#2 Return],MATCH(Benchmark1[[#This Row],[Benchmark '#1 Dates]],Comp2[Comparable '#2 Dates],0)),"-")</f>
        <v>-3.3988523322979108E-2</v>
      </c>
      <c r="O858" s="1">
        <f>IFERROR(IF(Benchmark1[[#This Row],[Comparable '#2 Date Check]]="Pass",Benchmark1[[#This Row],[Comparable '#2 Return]]-Benchmark1[[#This Row],[Benchmark '#1 Return]],"-"),"-")</f>
        <v>-1.1000070910995623E-2</v>
      </c>
      <c r="P858" s="1" t="str">
        <f>IF(COUNTIF(Comp3[Comparable '#3 Dates],Benchmark1[[#This Row],[Benchmark '#1 Dates]])=1,"Pass","Fail")</f>
        <v>Pass</v>
      </c>
      <c r="Q858" s="6">
        <f>IF(Benchmark1[[#This Row],[Comparable '#3 Date Check]]="Pass",INDEX(Comp3[Comparable '#3 Price],MATCH(Benchmark1[[#This Row],[Benchmark '#1 Dates]],Comp3[Comparable '#3 Dates],0)),"-")</f>
        <v>57.76</v>
      </c>
      <c r="R858" s="22">
        <f>IF(Benchmark1[[#This Row],[Comparable '#3 Date Check]]="Pass",INDEX(Comp3[Comparable '#3 Return],MATCH(Benchmark1[[#This Row],[Benchmark '#1 Dates]],Comp3[Comparable '#3 Dates],0)),"-")</f>
        <v>-3.1526850647264397E-2</v>
      </c>
      <c r="S858" s="1">
        <f>IFERROR(IF(Benchmark1[[#This Row],[Comparable '#3 Date Check]]="Pass",Benchmark1[[#This Row],[Comparable '#3 Return]]-Benchmark1[[#This Row],[Benchmark '#1 Return]],"-"),"-")</f>
        <v>-8.5383982352809119E-3</v>
      </c>
    </row>
    <row r="859" spans="1:19">
      <c r="A859" s="103">
        <v>44529</v>
      </c>
      <c r="B859" s="104">
        <v>4655.2701892451305</v>
      </c>
      <c r="C859" s="4">
        <f t="shared" si="13"/>
        <v>1.311427293644743E-2</v>
      </c>
      <c r="D859" s="1" t="str">
        <f>IF(COUNTIF(Target1[Target Dates],Benchmark1[[#This Row],[Benchmark '#1 Dates]])=1,"Pass","Fail")</f>
        <v>Pass</v>
      </c>
      <c r="E859" s="6">
        <f>IF(Benchmark1[[#This Row],[Target Date Check]]="Pass",INDEX(Target1[Target Price],MATCH(Benchmark1[[#This Row],[Benchmark '#1 Dates]],Target1[Target Dates],0)),"-")</f>
        <v>34.43</v>
      </c>
      <c r="F859" s="22">
        <f>IF(Benchmark1[[#This Row],[Target Date Check]]="Pass",INDEX(Target1[Target Return],MATCH(Benchmark1[[#This Row],[Benchmark '#1 Dates]],Target1[Target Dates],0)),"-")</f>
        <v>-5.4540991958845715E-2</v>
      </c>
      <c r="G859" s="1">
        <f>IFERROR(IF(Benchmark1[[#This Row],[Target Date Check]]="Pass",Benchmark1[[#This Row],[Target Return]]-Benchmark1[[#This Row],[Benchmark '#1 Return]],"-"),"-")</f>
        <v>-6.7655264895293138E-2</v>
      </c>
      <c r="H859" s="1" t="str">
        <f>IF(COUNTIF(Comp1[Comparable '#1 Dates],Benchmark1[[#This Row],[Benchmark '#1 Dates]])=1,"Pass","Fail")</f>
        <v>Pass</v>
      </c>
      <c r="I859" s="6">
        <f>IF(Benchmark1[[#This Row],[Comparable '#1 Date Check]]="Pass",INDEX(Comp1[Comparable '#1 Price],MATCH(Benchmark1[[#This Row],[Benchmark '#1 Dates]],Comp1[Comparable '#1 Dates],0)),"-")</f>
        <v>10.54</v>
      </c>
      <c r="J859" s="22">
        <f>IF(Benchmark1[[#This Row],[Comparable '#1 Date Check]]="Pass",INDEX(Comp1[Comparable '#1 Return],MATCH(Benchmark1[[#This Row],[Benchmark '#1 Dates]],Comp1[Comparable '#1 Dates],0)),"-")</f>
        <v>-2.436859101695792E-2</v>
      </c>
      <c r="K859" s="1">
        <f>IFERROR(IF(Benchmark1[[#This Row],[Comparable '#1 Date Check]]="Pass",Benchmark1[[#This Row],[Comparable '#1 Return]]-Benchmark1[[#This Row],[Benchmark '#1 Return]],"-"),"-")</f>
        <v>-3.7482863953405346E-2</v>
      </c>
      <c r="L859" s="1" t="str">
        <f>IF(COUNTIF(Comp2[Comparable '#2 Dates],Benchmark1[[#This Row],[Benchmark '#1 Dates]])=1,"Pass","Fail")</f>
        <v>Pass</v>
      </c>
      <c r="M859" s="6">
        <f>IF(Benchmark1[[#This Row],[Comparable '#2 Date Check]]="Pass",INDEX(Comp2[Comparable '#2 Price],MATCH(Benchmark1[[#This Row],[Benchmark '#1 Dates]],Comp2[Comparable '#2 Dates],0)),"-")</f>
        <v>29.84</v>
      </c>
      <c r="N859" s="22">
        <f>IF(Benchmark1[[#This Row],[Comparable '#2 Date Check]]="Pass",INDEX(Comp2[Comparable '#2 Return],MATCH(Benchmark1[[#This Row],[Benchmark '#1 Dates]],Comp2[Comparable '#2 Dates],0)),"-")</f>
        <v>-2.7109098108108021E-2</v>
      </c>
      <c r="O859" s="1">
        <f>IFERROR(IF(Benchmark1[[#This Row],[Comparable '#2 Date Check]]="Pass",Benchmark1[[#This Row],[Comparable '#2 Return]]-Benchmark1[[#This Row],[Benchmark '#1 Return]],"-"),"-")</f>
        <v>-4.022337104455545E-2</v>
      </c>
      <c r="P859" s="1" t="str">
        <f>IF(COUNTIF(Comp3[Comparable '#3 Dates],Benchmark1[[#This Row],[Benchmark '#1 Dates]])=1,"Pass","Fail")</f>
        <v>Pass</v>
      </c>
      <c r="Q859" s="6">
        <f>IF(Benchmark1[[#This Row],[Comparable '#3 Date Check]]="Pass",INDEX(Comp3[Comparable '#3 Price],MATCH(Benchmark1[[#This Row],[Benchmark '#1 Dates]],Comp3[Comparable '#3 Dates],0)),"-")</f>
        <v>55.58</v>
      </c>
      <c r="R859" s="22">
        <f>IF(Benchmark1[[#This Row],[Comparable '#3 Date Check]]="Pass",INDEX(Comp3[Comparable '#3 Return],MATCH(Benchmark1[[#This Row],[Benchmark '#1 Dates]],Comp3[Comparable '#3 Dates],0)),"-")</f>
        <v>-3.8473070270213072E-2</v>
      </c>
      <c r="S859" s="1">
        <f>IFERROR(IF(Benchmark1[[#This Row],[Comparable '#3 Date Check]]="Pass",Benchmark1[[#This Row],[Comparable '#3 Return]]-Benchmark1[[#This Row],[Benchmark '#1 Return]],"-"),"-")</f>
        <v>-5.1587343206660502E-2</v>
      </c>
    </row>
    <row r="860" spans="1:19">
      <c r="A860" s="103">
        <v>44530</v>
      </c>
      <c r="B860" s="104">
        <v>4567.0014940092397</v>
      </c>
      <c r="C860" s="4">
        <f t="shared" si="13"/>
        <v>-1.9143090512765061E-2</v>
      </c>
      <c r="D860" s="1" t="str">
        <f>IF(COUNTIF(Target1[Target Dates],Benchmark1[[#This Row],[Benchmark '#1 Dates]])=1,"Pass","Fail")</f>
        <v>Pass</v>
      </c>
      <c r="E860" s="6">
        <f>IF(Benchmark1[[#This Row],[Target Date Check]]="Pass",INDEX(Target1[Target Price],MATCH(Benchmark1[[#This Row],[Benchmark '#1 Dates]],Target1[Target Dates],0)),"-")</f>
        <v>34.130000000000003</v>
      </c>
      <c r="F860" s="22">
        <f>IF(Benchmark1[[#This Row],[Target Date Check]]="Pass",INDEX(Target1[Target Return],MATCH(Benchmark1[[#This Row],[Benchmark '#1 Dates]],Target1[Target Dates],0)),"-")</f>
        <v>-8.7515144318165896E-3</v>
      </c>
      <c r="G860" s="1">
        <f>IFERROR(IF(Benchmark1[[#This Row],[Target Date Check]]="Pass",Benchmark1[[#This Row],[Target Return]]-Benchmark1[[#This Row],[Benchmark '#1 Return]],"-"),"-")</f>
        <v>1.0391576080948471E-2</v>
      </c>
      <c r="H860" s="1" t="str">
        <f>IF(COUNTIF(Comp1[Comparable '#1 Dates],Benchmark1[[#This Row],[Benchmark '#1 Dates]])=1,"Pass","Fail")</f>
        <v>Pass</v>
      </c>
      <c r="I860" s="6">
        <f>IF(Benchmark1[[#This Row],[Comparable '#1 Date Check]]="Pass",INDEX(Comp1[Comparable '#1 Price],MATCH(Benchmark1[[#This Row],[Benchmark '#1 Dates]],Comp1[Comparable '#1 Dates],0)),"-")</f>
        <v>10</v>
      </c>
      <c r="J860" s="22">
        <f>IF(Benchmark1[[#This Row],[Comparable '#1 Date Check]]="Pass",INDEX(Comp1[Comparable '#1 Return],MATCH(Benchmark1[[#This Row],[Benchmark '#1 Dates]],Comp1[Comparable '#1 Dates],0)),"-")</f>
        <v>-5.2592450119170499E-2</v>
      </c>
      <c r="K860" s="1">
        <f>IFERROR(IF(Benchmark1[[#This Row],[Comparable '#1 Date Check]]="Pass",Benchmark1[[#This Row],[Comparable '#1 Return]]-Benchmark1[[#This Row],[Benchmark '#1 Return]],"-"),"-")</f>
        <v>-3.3449359606405438E-2</v>
      </c>
      <c r="L860" s="1" t="str">
        <f>IF(COUNTIF(Comp2[Comparable '#2 Dates],Benchmark1[[#This Row],[Benchmark '#1 Dates]])=1,"Pass","Fail")</f>
        <v>Pass</v>
      </c>
      <c r="M860" s="6">
        <f>IF(Benchmark1[[#This Row],[Comparable '#2 Date Check]]="Pass",INDEX(Comp2[Comparable '#2 Price],MATCH(Benchmark1[[#This Row],[Benchmark '#1 Dates]],Comp2[Comparable '#2 Dates],0)),"-")</f>
        <v>29.67</v>
      </c>
      <c r="N860" s="22">
        <f>IF(Benchmark1[[#This Row],[Comparable '#2 Date Check]]="Pass",INDEX(Comp2[Comparable '#2 Return],MATCH(Benchmark1[[#This Row],[Benchmark '#1 Dates]],Comp2[Comparable '#2 Dates],0)),"-")</f>
        <v>-5.7133410328295839E-3</v>
      </c>
      <c r="O860" s="1">
        <f>IFERROR(IF(Benchmark1[[#This Row],[Comparable '#2 Date Check]]="Pass",Benchmark1[[#This Row],[Comparable '#2 Return]]-Benchmark1[[#This Row],[Benchmark '#1 Return]],"-"),"-")</f>
        <v>1.3429749479935478E-2</v>
      </c>
      <c r="P860" s="1" t="str">
        <f>IF(COUNTIF(Comp3[Comparable '#3 Dates],Benchmark1[[#This Row],[Benchmark '#1 Dates]])=1,"Pass","Fail")</f>
        <v>Pass</v>
      </c>
      <c r="Q860" s="6">
        <f>IF(Benchmark1[[#This Row],[Comparable '#3 Date Check]]="Pass",INDEX(Comp3[Comparable '#3 Price],MATCH(Benchmark1[[#This Row],[Benchmark '#1 Dates]],Comp3[Comparable '#3 Dates],0)),"-")</f>
        <v>53.5</v>
      </c>
      <c r="R860" s="22">
        <f>IF(Benchmark1[[#This Row],[Comparable '#3 Date Check]]="Pass",INDEX(Comp3[Comparable '#3 Return],MATCH(Benchmark1[[#This Row],[Benchmark '#1 Dates]],Comp3[Comparable '#3 Dates],0)),"-")</f>
        <v>-3.814177041239681E-2</v>
      </c>
      <c r="S860" s="1">
        <f>IFERROR(IF(Benchmark1[[#This Row],[Comparable '#3 Date Check]]="Pass",Benchmark1[[#This Row],[Comparable '#3 Return]]-Benchmark1[[#This Row],[Benchmark '#1 Return]],"-"),"-")</f>
        <v>-1.8998679899631749E-2</v>
      </c>
    </row>
    <row r="861" spans="1:19">
      <c r="A861" s="103">
        <v>44531</v>
      </c>
      <c r="B861" s="104">
        <v>4513.0361553804851</v>
      </c>
      <c r="C861" s="4">
        <f t="shared" si="13"/>
        <v>-1.1886729136469381E-2</v>
      </c>
      <c r="D861" s="1" t="str">
        <f>IF(COUNTIF(Target1[Target Dates],Benchmark1[[#This Row],[Benchmark '#1 Dates]])=1,"Pass","Fail")</f>
        <v>Pass</v>
      </c>
      <c r="E861" s="6">
        <f>IF(Benchmark1[[#This Row],[Target Date Check]]="Pass",INDEX(Target1[Target Price],MATCH(Benchmark1[[#This Row],[Benchmark '#1 Dates]],Target1[Target Dates],0)),"-")</f>
        <v>33.22</v>
      </c>
      <c r="F861" s="22">
        <f>IF(Benchmark1[[#This Row],[Target Date Check]]="Pass",INDEX(Target1[Target Return],MATCH(Benchmark1[[#This Row],[Benchmark '#1 Dates]],Target1[Target Dates],0)),"-")</f>
        <v>-2.702465873346695E-2</v>
      </c>
      <c r="G861" s="1">
        <f>IFERROR(IF(Benchmark1[[#This Row],[Target Date Check]]="Pass",Benchmark1[[#This Row],[Target Return]]-Benchmark1[[#This Row],[Benchmark '#1 Return]],"-"),"-")</f>
        <v>-1.5137929596997569E-2</v>
      </c>
      <c r="H861" s="1" t="str">
        <f>IF(COUNTIF(Comp1[Comparable '#1 Dates],Benchmark1[[#This Row],[Benchmark '#1 Dates]])=1,"Pass","Fail")</f>
        <v>Pass</v>
      </c>
      <c r="I861" s="6">
        <f>IF(Benchmark1[[#This Row],[Comparable '#1 Date Check]]="Pass",INDEX(Comp1[Comparable '#1 Price],MATCH(Benchmark1[[#This Row],[Benchmark '#1 Dates]],Comp1[Comparable '#1 Dates],0)),"-")</f>
        <v>9.75</v>
      </c>
      <c r="J861" s="22">
        <f>IF(Benchmark1[[#This Row],[Comparable '#1 Date Check]]="Pass",INDEX(Comp1[Comparable '#1 Return],MATCH(Benchmark1[[#This Row],[Benchmark '#1 Dates]],Comp1[Comparable '#1 Dates],0)),"-")</f>
        <v>-2.5317807984289897E-2</v>
      </c>
      <c r="K861" s="1">
        <f>IFERROR(IF(Benchmark1[[#This Row],[Comparable '#1 Date Check]]="Pass",Benchmark1[[#This Row],[Comparable '#1 Return]]-Benchmark1[[#This Row],[Benchmark '#1 Return]],"-"),"-")</f>
        <v>-1.3431078847820516E-2</v>
      </c>
      <c r="L861" s="1" t="str">
        <f>IF(COUNTIF(Comp2[Comparable '#2 Dates],Benchmark1[[#This Row],[Benchmark '#1 Dates]])=1,"Pass","Fail")</f>
        <v>Pass</v>
      </c>
      <c r="M861" s="6">
        <f>IF(Benchmark1[[#This Row],[Comparable '#2 Date Check]]="Pass",INDEX(Comp2[Comparable '#2 Price],MATCH(Benchmark1[[#This Row],[Benchmark '#1 Dates]],Comp2[Comparable '#2 Dates],0)),"-")</f>
        <v>28.83</v>
      </c>
      <c r="N861" s="22">
        <f>IF(Benchmark1[[#This Row],[Comparable '#2 Date Check]]="Pass",INDEX(Comp2[Comparable '#2 Return],MATCH(Benchmark1[[#This Row],[Benchmark '#1 Dates]],Comp2[Comparable '#2 Dates],0)),"-")</f>
        <v>-2.8719922652419703E-2</v>
      </c>
      <c r="O861" s="1">
        <f>IFERROR(IF(Benchmark1[[#This Row],[Comparable '#2 Date Check]]="Pass",Benchmark1[[#This Row],[Comparable '#2 Return]]-Benchmark1[[#This Row],[Benchmark '#1 Return]],"-"),"-")</f>
        <v>-1.683319351595032E-2</v>
      </c>
      <c r="P861" s="1" t="str">
        <f>IF(COUNTIF(Comp3[Comparable '#3 Dates],Benchmark1[[#This Row],[Benchmark '#1 Dates]])=1,"Pass","Fail")</f>
        <v>Pass</v>
      </c>
      <c r="Q861" s="6">
        <f>IF(Benchmark1[[#This Row],[Comparable '#3 Date Check]]="Pass",INDEX(Comp3[Comparable '#3 Price],MATCH(Benchmark1[[#This Row],[Benchmark '#1 Dates]],Comp3[Comparable '#3 Dates],0)),"-")</f>
        <v>52.85</v>
      </c>
      <c r="R861" s="22">
        <f>IF(Benchmark1[[#This Row],[Comparable '#3 Date Check]]="Pass",INDEX(Comp3[Comparable '#3 Return],MATCH(Benchmark1[[#This Row],[Benchmark '#1 Dates]],Comp3[Comparable '#3 Dates],0)),"-")</f>
        <v>-1.2223941585714146E-2</v>
      </c>
      <c r="S861" s="1">
        <f>IFERROR(IF(Benchmark1[[#This Row],[Comparable '#3 Date Check]]="Pass",Benchmark1[[#This Row],[Comparable '#3 Return]]-Benchmark1[[#This Row],[Benchmark '#1 Return]],"-"),"-")</f>
        <v>-3.3721244924476458E-4</v>
      </c>
    </row>
    <row r="862" spans="1:19">
      <c r="A862" s="103">
        <v>44532</v>
      </c>
      <c r="B862" s="104">
        <v>4577.1005320873837</v>
      </c>
      <c r="C862" s="4">
        <f t="shared" si="13"/>
        <v>1.4095593857246265E-2</v>
      </c>
      <c r="D862" s="1" t="str">
        <f>IF(COUNTIF(Target1[Target Dates],Benchmark1[[#This Row],[Benchmark '#1 Dates]])=1,"Pass","Fail")</f>
        <v>Pass</v>
      </c>
      <c r="E862" s="6">
        <f>IF(Benchmark1[[#This Row],[Target Date Check]]="Pass",INDEX(Target1[Target Price],MATCH(Benchmark1[[#This Row],[Benchmark '#1 Dates]],Target1[Target Dates],0)),"-")</f>
        <v>33.479999999999997</v>
      </c>
      <c r="F862" s="22">
        <f>IF(Benchmark1[[#This Row],[Target Date Check]]="Pass",INDEX(Target1[Target Return],MATCH(Benchmark1[[#This Row],[Benchmark '#1 Dates]],Target1[Target Dates],0)),"-")</f>
        <v>7.7961414361257166E-3</v>
      </c>
      <c r="G862" s="1">
        <f>IFERROR(IF(Benchmark1[[#This Row],[Target Date Check]]="Pass",Benchmark1[[#This Row],[Target Return]]-Benchmark1[[#This Row],[Benchmark '#1 Return]],"-"),"-")</f>
        <v>-6.2994524211205487E-3</v>
      </c>
      <c r="H862" s="1" t="str">
        <f>IF(COUNTIF(Comp1[Comparable '#1 Dates],Benchmark1[[#This Row],[Benchmark '#1 Dates]])=1,"Pass","Fail")</f>
        <v>Pass</v>
      </c>
      <c r="I862" s="6">
        <f>IF(Benchmark1[[#This Row],[Comparable '#1 Date Check]]="Pass",INDEX(Comp1[Comparable '#1 Price],MATCH(Benchmark1[[#This Row],[Benchmark '#1 Dates]],Comp1[Comparable '#1 Dates],0)),"-")</f>
        <v>10.16</v>
      </c>
      <c r="J862" s="22">
        <f>IF(Benchmark1[[#This Row],[Comparable '#1 Date Check]]="Pass",INDEX(Comp1[Comparable '#1 Return],MATCH(Benchmark1[[#This Row],[Benchmark '#1 Dates]],Comp1[Comparable '#1 Dates],0)),"-")</f>
        <v>4.1191157140580137E-2</v>
      </c>
      <c r="K862" s="1">
        <f>IFERROR(IF(Benchmark1[[#This Row],[Comparable '#1 Date Check]]="Pass",Benchmark1[[#This Row],[Comparable '#1 Return]]-Benchmark1[[#This Row],[Benchmark '#1 Return]],"-"),"-")</f>
        <v>2.7095563283333873E-2</v>
      </c>
      <c r="L862" s="1" t="str">
        <f>IF(COUNTIF(Comp2[Comparable '#2 Dates],Benchmark1[[#This Row],[Benchmark '#1 Dates]])=1,"Pass","Fail")</f>
        <v>Pass</v>
      </c>
      <c r="M862" s="6">
        <f>IF(Benchmark1[[#This Row],[Comparable '#2 Date Check]]="Pass",INDEX(Comp2[Comparable '#2 Price],MATCH(Benchmark1[[#This Row],[Benchmark '#1 Dates]],Comp2[Comparable '#2 Dates],0)),"-")</f>
        <v>28.56</v>
      </c>
      <c r="N862" s="22">
        <f>IF(Benchmark1[[#This Row],[Comparable '#2 Date Check]]="Pass",INDEX(Comp2[Comparable '#2 Return],MATCH(Benchmark1[[#This Row],[Benchmark '#1 Dates]],Comp2[Comparable '#2 Dates],0)),"-")</f>
        <v>-9.4093741789271438E-3</v>
      </c>
      <c r="O862" s="1">
        <f>IFERROR(IF(Benchmark1[[#This Row],[Comparable '#2 Date Check]]="Pass",Benchmark1[[#This Row],[Comparable '#2 Return]]-Benchmark1[[#This Row],[Benchmark '#1 Return]],"-"),"-")</f>
        <v>-2.3504968036173409E-2</v>
      </c>
      <c r="P862" s="1" t="str">
        <f>IF(COUNTIF(Comp3[Comparable '#3 Dates],Benchmark1[[#This Row],[Benchmark '#1 Dates]])=1,"Pass","Fail")</f>
        <v>Pass</v>
      </c>
      <c r="Q862" s="6">
        <f>IF(Benchmark1[[#This Row],[Comparable '#3 Date Check]]="Pass",INDEX(Comp3[Comparable '#3 Price],MATCH(Benchmark1[[#This Row],[Benchmark '#1 Dates]],Comp3[Comparable '#3 Dates],0)),"-")</f>
        <v>54</v>
      </c>
      <c r="R862" s="22">
        <f>IF(Benchmark1[[#This Row],[Comparable '#3 Date Check]]="Pass",INDEX(Comp3[Comparable '#3 Return],MATCH(Benchmark1[[#This Row],[Benchmark '#1 Dates]],Comp3[Comparable '#3 Dates],0)),"-")</f>
        <v>2.152633424802779E-2</v>
      </c>
      <c r="S862" s="1">
        <f>IFERROR(IF(Benchmark1[[#This Row],[Comparable '#3 Date Check]]="Pass",Benchmark1[[#This Row],[Comparable '#3 Return]]-Benchmark1[[#This Row],[Benchmark '#1 Return]],"-"),"-")</f>
        <v>7.4307403907815251E-3</v>
      </c>
    </row>
    <row r="863" spans="1:19">
      <c r="A863" s="103">
        <v>44533</v>
      </c>
      <c r="B863" s="104">
        <v>4538.427864936526</v>
      </c>
      <c r="C863" s="4">
        <f t="shared" si="13"/>
        <v>-8.4850592286145488E-3</v>
      </c>
      <c r="D863" s="1" t="str">
        <f>IF(COUNTIF(Target1[Target Dates],Benchmark1[[#This Row],[Benchmark '#1 Dates]])=1,"Pass","Fail")</f>
        <v>Pass</v>
      </c>
      <c r="E863" s="6">
        <f>IF(Benchmark1[[#This Row],[Target Date Check]]="Pass",INDEX(Target1[Target Price],MATCH(Benchmark1[[#This Row],[Benchmark '#1 Dates]],Target1[Target Dates],0)),"-")</f>
        <v>32.6</v>
      </c>
      <c r="F863" s="22">
        <f>IF(Benchmark1[[#This Row],[Target Date Check]]="Pass",INDEX(Target1[Target Return],MATCH(Benchmark1[[#This Row],[Benchmark '#1 Dates]],Target1[Target Dates],0)),"-")</f>
        <v>-2.6635957248612448E-2</v>
      </c>
      <c r="G863" s="1">
        <f>IFERROR(IF(Benchmark1[[#This Row],[Target Date Check]]="Pass",Benchmark1[[#This Row],[Target Return]]-Benchmark1[[#This Row],[Benchmark '#1 Return]],"-"),"-")</f>
        <v>-1.8150898019997898E-2</v>
      </c>
      <c r="H863" s="1" t="str">
        <f>IF(COUNTIF(Comp1[Comparable '#1 Dates],Benchmark1[[#This Row],[Benchmark '#1 Dates]])=1,"Pass","Fail")</f>
        <v>Pass</v>
      </c>
      <c r="I863" s="6">
        <f>IF(Benchmark1[[#This Row],[Comparable '#1 Date Check]]="Pass",INDEX(Comp1[Comparable '#1 Price],MATCH(Benchmark1[[#This Row],[Benchmark '#1 Dates]],Comp1[Comparable '#1 Dates],0)),"-")</f>
        <v>10.1</v>
      </c>
      <c r="J863" s="22">
        <f>IF(Benchmark1[[#This Row],[Comparable '#1 Date Check]]="Pass",INDEX(Comp1[Comparable '#1 Return],MATCH(Benchmark1[[#This Row],[Benchmark '#1 Dates]],Comp1[Comparable '#1 Dates],0)),"-")</f>
        <v>-5.9230183031221675E-3</v>
      </c>
      <c r="K863" s="1">
        <f>IFERROR(IF(Benchmark1[[#This Row],[Comparable '#1 Date Check]]="Pass",Benchmark1[[#This Row],[Comparable '#1 Return]]-Benchmark1[[#This Row],[Benchmark '#1 Return]],"-"),"-")</f>
        <v>2.5620409254923813E-3</v>
      </c>
      <c r="L863" s="1" t="str">
        <f>IF(COUNTIF(Comp2[Comparable '#2 Dates],Benchmark1[[#This Row],[Benchmark '#1 Dates]])=1,"Pass","Fail")</f>
        <v>Pass</v>
      </c>
      <c r="M863" s="6">
        <f>IF(Benchmark1[[#This Row],[Comparable '#2 Date Check]]="Pass",INDEX(Comp2[Comparable '#2 Price],MATCH(Benchmark1[[#This Row],[Benchmark '#1 Dates]],Comp2[Comparable '#2 Dates],0)),"-")</f>
        <v>29.12</v>
      </c>
      <c r="N863" s="22">
        <f>IF(Benchmark1[[#This Row],[Comparable '#2 Date Check]]="Pass",INDEX(Comp2[Comparable '#2 Return],MATCH(Benchmark1[[#This Row],[Benchmark '#1 Dates]],Comp2[Comparable '#2 Dates],0)),"-")</f>
        <v>1.9418085857101731E-2</v>
      </c>
      <c r="O863" s="1">
        <f>IFERROR(IF(Benchmark1[[#This Row],[Comparable '#2 Date Check]]="Pass",Benchmark1[[#This Row],[Comparable '#2 Return]]-Benchmark1[[#This Row],[Benchmark '#1 Return]],"-"),"-")</f>
        <v>2.7903145085716279E-2</v>
      </c>
      <c r="P863" s="1" t="str">
        <f>IF(COUNTIF(Comp3[Comparable '#3 Dates],Benchmark1[[#This Row],[Benchmark '#1 Dates]])=1,"Pass","Fail")</f>
        <v>Pass</v>
      </c>
      <c r="Q863" s="6">
        <f>IF(Benchmark1[[#This Row],[Comparable '#3 Date Check]]="Pass",INDEX(Comp3[Comparable '#3 Price],MATCH(Benchmark1[[#This Row],[Benchmark '#1 Dates]],Comp3[Comparable '#3 Dates],0)),"-")</f>
        <v>53.9</v>
      </c>
      <c r="R863" s="22">
        <f>IF(Benchmark1[[#This Row],[Comparable '#3 Date Check]]="Pass",INDEX(Comp3[Comparable '#3 Return],MATCH(Benchmark1[[#This Row],[Benchmark '#1 Dates]],Comp3[Comparable '#3 Dates],0)),"-")</f>
        <v>-1.8535686493229438E-3</v>
      </c>
      <c r="S863" s="1">
        <f>IFERROR(IF(Benchmark1[[#This Row],[Comparable '#3 Date Check]]="Pass",Benchmark1[[#This Row],[Comparable '#3 Return]]-Benchmark1[[#This Row],[Benchmark '#1 Return]],"-"),"-")</f>
        <v>6.6314905792916046E-3</v>
      </c>
    </row>
    <row r="864" spans="1:19">
      <c r="A864" s="103">
        <v>44536</v>
      </c>
      <c r="B864" s="104">
        <v>4591.6717950443699</v>
      </c>
      <c r="C864" s="4">
        <f t="shared" si="13"/>
        <v>1.1663516431910275E-2</v>
      </c>
      <c r="D864" s="1" t="str">
        <f>IF(COUNTIF(Target1[Target Dates],Benchmark1[[#This Row],[Benchmark '#1 Dates]])=1,"Pass","Fail")</f>
        <v>Pass</v>
      </c>
      <c r="E864" s="6">
        <f>IF(Benchmark1[[#This Row],[Target Date Check]]="Pass",INDEX(Target1[Target Price],MATCH(Benchmark1[[#This Row],[Benchmark '#1 Dates]],Target1[Target Dates],0)),"-")</f>
        <v>32.630000000000003</v>
      </c>
      <c r="F864" s="22">
        <f>IF(Benchmark1[[#This Row],[Target Date Check]]="Pass",INDEX(Target1[Target Return],MATCH(Benchmark1[[#This Row],[Benchmark '#1 Dates]],Target1[Target Dates],0)),"-")</f>
        <v>9.1982223256740039E-4</v>
      </c>
      <c r="G864" s="1">
        <f>IFERROR(IF(Benchmark1[[#This Row],[Target Date Check]]="Pass",Benchmark1[[#This Row],[Target Return]]-Benchmark1[[#This Row],[Benchmark '#1 Return]],"-"),"-")</f>
        <v>-1.0743694199342875E-2</v>
      </c>
      <c r="H864" s="1" t="str">
        <f>IF(COUNTIF(Comp1[Comparable '#1 Dates],Benchmark1[[#This Row],[Benchmark '#1 Dates]])=1,"Pass","Fail")</f>
        <v>Pass</v>
      </c>
      <c r="I864" s="6">
        <f>IF(Benchmark1[[#This Row],[Comparable '#1 Date Check]]="Pass",INDEX(Comp1[Comparable '#1 Price],MATCH(Benchmark1[[#This Row],[Benchmark '#1 Dates]],Comp1[Comparable '#1 Dates],0)),"-")</f>
        <v>10.47</v>
      </c>
      <c r="J864" s="22">
        <f>IF(Benchmark1[[#This Row],[Comparable '#1 Date Check]]="Pass",INDEX(Comp1[Comparable '#1 Return],MATCH(Benchmark1[[#This Row],[Benchmark '#1 Dates]],Comp1[Comparable '#1 Dates],0)),"-")</f>
        <v>3.5978601035231754E-2</v>
      </c>
      <c r="K864" s="1">
        <f>IFERROR(IF(Benchmark1[[#This Row],[Comparable '#1 Date Check]]="Pass",Benchmark1[[#This Row],[Comparable '#1 Return]]-Benchmark1[[#This Row],[Benchmark '#1 Return]],"-"),"-")</f>
        <v>2.4315084603321477E-2</v>
      </c>
      <c r="L864" s="1" t="str">
        <f>IF(COUNTIF(Comp2[Comparable '#2 Dates],Benchmark1[[#This Row],[Benchmark '#1 Dates]])=1,"Pass","Fail")</f>
        <v>Pass</v>
      </c>
      <c r="M864" s="6">
        <f>IF(Benchmark1[[#This Row],[Comparable '#2 Date Check]]="Pass",INDEX(Comp2[Comparable '#2 Price],MATCH(Benchmark1[[#This Row],[Benchmark '#1 Dates]],Comp2[Comparable '#2 Dates],0)),"-")</f>
        <v>30.35</v>
      </c>
      <c r="N864" s="22">
        <f>IF(Benchmark1[[#This Row],[Comparable '#2 Date Check]]="Pass",INDEX(Comp2[Comparable '#2 Return],MATCH(Benchmark1[[#This Row],[Benchmark '#1 Dates]],Comp2[Comparable '#2 Dates],0)),"-")</f>
        <v>4.1371294177022011E-2</v>
      </c>
      <c r="O864" s="1">
        <f>IFERROR(IF(Benchmark1[[#This Row],[Comparable '#2 Date Check]]="Pass",Benchmark1[[#This Row],[Comparable '#2 Return]]-Benchmark1[[#This Row],[Benchmark '#1 Return]],"-"),"-")</f>
        <v>2.9707777745111734E-2</v>
      </c>
      <c r="P864" s="1" t="str">
        <f>IF(COUNTIF(Comp3[Comparable '#3 Dates],Benchmark1[[#This Row],[Benchmark '#1 Dates]])=1,"Pass","Fail")</f>
        <v>Pass</v>
      </c>
      <c r="Q864" s="6">
        <f>IF(Benchmark1[[#This Row],[Comparable '#3 Date Check]]="Pass",INDEX(Comp3[Comparable '#3 Price],MATCH(Benchmark1[[#This Row],[Benchmark '#1 Dates]],Comp3[Comparable '#3 Dates],0)),"-")</f>
        <v>55</v>
      </c>
      <c r="R864" s="22">
        <f>IF(Benchmark1[[#This Row],[Comparable '#3 Date Check]]="Pass",INDEX(Comp3[Comparable '#3 Return],MATCH(Benchmark1[[#This Row],[Benchmark '#1 Dates]],Comp3[Comparable '#3 Dates],0)),"-")</f>
        <v>2.0202707317519469E-2</v>
      </c>
      <c r="S864" s="1">
        <f>IFERROR(IF(Benchmark1[[#This Row],[Comparable '#3 Date Check]]="Pass",Benchmark1[[#This Row],[Comparable '#3 Return]]-Benchmark1[[#This Row],[Benchmark '#1 Return]],"-"),"-")</f>
        <v>8.5391908856091939E-3</v>
      </c>
    </row>
    <row r="865" spans="1:19">
      <c r="A865" s="103">
        <v>44537</v>
      </c>
      <c r="B865" s="104">
        <v>4686.7454608721655</v>
      </c>
      <c r="C865" s="4">
        <f t="shared" si="13"/>
        <v>2.0494226734152084E-2</v>
      </c>
      <c r="D865" s="1" t="str">
        <f>IF(COUNTIF(Target1[Target Dates],Benchmark1[[#This Row],[Benchmark '#1 Dates]])=1,"Pass","Fail")</f>
        <v>Pass</v>
      </c>
      <c r="E865" s="6">
        <f>IF(Benchmark1[[#This Row],[Target Date Check]]="Pass",INDEX(Target1[Target Price],MATCH(Benchmark1[[#This Row],[Benchmark '#1 Dates]],Target1[Target Dates],0)),"-")</f>
        <v>33.369999999999997</v>
      </c>
      <c r="F865" s="22">
        <f>IF(Benchmark1[[#This Row],[Target Date Check]]="Pass",INDEX(Target1[Target Return],MATCH(Benchmark1[[#This Row],[Benchmark '#1 Dates]],Target1[Target Dates],0)),"-")</f>
        <v>2.2425182158053131E-2</v>
      </c>
      <c r="G865" s="1">
        <f>IFERROR(IF(Benchmark1[[#This Row],[Target Date Check]]="Pass",Benchmark1[[#This Row],[Target Return]]-Benchmark1[[#This Row],[Benchmark '#1 Return]],"-"),"-")</f>
        <v>1.9309554239010478E-3</v>
      </c>
      <c r="H865" s="1" t="str">
        <f>IF(COUNTIF(Comp1[Comparable '#1 Dates],Benchmark1[[#This Row],[Benchmark '#1 Dates]])=1,"Pass","Fail")</f>
        <v>Pass</v>
      </c>
      <c r="I865" s="6">
        <f>IF(Benchmark1[[#This Row],[Comparable '#1 Date Check]]="Pass",INDEX(Comp1[Comparable '#1 Price],MATCH(Benchmark1[[#This Row],[Benchmark '#1 Dates]],Comp1[Comparable '#1 Dates],0)),"-")</f>
        <v>10.55</v>
      </c>
      <c r="J865" s="22">
        <f>IF(Benchmark1[[#This Row],[Comparable '#1 Date Check]]="Pass",INDEX(Comp1[Comparable '#1 Return],MATCH(Benchmark1[[#This Row],[Benchmark '#1 Dates]],Comp1[Comparable '#1 Dates],0)),"-")</f>
        <v>7.6118350396300744E-3</v>
      </c>
      <c r="K865" s="1">
        <f>IFERROR(IF(Benchmark1[[#This Row],[Comparable '#1 Date Check]]="Pass",Benchmark1[[#This Row],[Comparable '#1 Return]]-Benchmark1[[#This Row],[Benchmark '#1 Return]],"-"),"-")</f>
        <v>-1.2882391694522009E-2</v>
      </c>
      <c r="L865" s="1" t="str">
        <f>IF(COUNTIF(Comp2[Comparable '#2 Dates],Benchmark1[[#This Row],[Benchmark '#1 Dates]])=1,"Pass","Fail")</f>
        <v>Pass</v>
      </c>
      <c r="M865" s="6">
        <f>IF(Benchmark1[[#This Row],[Comparable '#2 Date Check]]="Pass",INDEX(Comp2[Comparable '#2 Price],MATCH(Benchmark1[[#This Row],[Benchmark '#1 Dates]],Comp2[Comparable '#2 Dates],0)),"-")</f>
        <v>31.07</v>
      </c>
      <c r="N865" s="22">
        <f>IF(Benchmark1[[#This Row],[Comparable '#2 Date Check]]="Pass",INDEX(Comp2[Comparable '#2 Return],MATCH(Benchmark1[[#This Row],[Benchmark '#1 Dates]],Comp2[Comparable '#2 Dates],0)),"-")</f>
        <v>2.3446205899448631E-2</v>
      </c>
      <c r="O865" s="1">
        <f>IFERROR(IF(Benchmark1[[#This Row],[Comparable '#2 Date Check]]="Pass",Benchmark1[[#This Row],[Comparable '#2 Return]]-Benchmark1[[#This Row],[Benchmark '#1 Return]],"-"),"-")</f>
        <v>2.9519791652965477E-3</v>
      </c>
      <c r="P865" s="1" t="str">
        <f>IF(COUNTIF(Comp3[Comparable '#3 Dates],Benchmark1[[#This Row],[Benchmark '#1 Dates]])=1,"Pass","Fail")</f>
        <v>Pass</v>
      </c>
      <c r="Q865" s="6">
        <f>IF(Benchmark1[[#This Row],[Comparable '#3 Date Check]]="Pass",INDEX(Comp3[Comparable '#3 Price],MATCH(Benchmark1[[#This Row],[Benchmark '#1 Dates]],Comp3[Comparable '#3 Dates],0)),"-")</f>
        <v>54.35</v>
      </c>
      <c r="R865" s="22">
        <f>IF(Benchmark1[[#This Row],[Comparable '#3 Date Check]]="Pass",INDEX(Comp3[Comparable '#3 Return],MATCH(Benchmark1[[#This Row],[Benchmark '#1 Dates]],Comp3[Comparable '#3 Dates],0)),"-")</f>
        <v>-1.1888571665252489E-2</v>
      </c>
      <c r="S865" s="1">
        <f>IFERROR(IF(Benchmark1[[#This Row],[Comparable '#3 Date Check]]="Pass",Benchmark1[[#This Row],[Comparable '#3 Return]]-Benchmark1[[#This Row],[Benchmark '#1 Return]],"-"),"-")</f>
        <v>-3.2382798399404569E-2</v>
      </c>
    </row>
    <row r="866" spans="1:19">
      <c r="A866" s="103">
        <v>44538</v>
      </c>
      <c r="B866" s="104">
        <v>4701.2078641660819</v>
      </c>
      <c r="C866" s="4">
        <f t="shared" si="13"/>
        <v>3.0810580824280026E-3</v>
      </c>
      <c r="D866" s="1" t="str">
        <f>IF(COUNTIF(Target1[Target Dates],Benchmark1[[#This Row],[Benchmark '#1 Dates]])=1,"Pass","Fail")</f>
        <v>Pass</v>
      </c>
      <c r="E866" s="6">
        <f>IF(Benchmark1[[#This Row],[Target Date Check]]="Pass",INDEX(Target1[Target Price],MATCH(Benchmark1[[#This Row],[Benchmark '#1 Dates]],Target1[Target Dates],0)),"-")</f>
        <v>34.090000000000003</v>
      </c>
      <c r="F866" s="22">
        <f>IF(Benchmark1[[#This Row],[Target Date Check]]="Pass",INDEX(Target1[Target Return],MATCH(Benchmark1[[#This Row],[Benchmark '#1 Dates]],Target1[Target Dates],0)),"-")</f>
        <v>2.1346793386529343E-2</v>
      </c>
      <c r="G866" s="1">
        <f>IFERROR(IF(Benchmark1[[#This Row],[Target Date Check]]="Pass",Benchmark1[[#This Row],[Target Return]]-Benchmark1[[#This Row],[Benchmark '#1 Return]],"-"),"-")</f>
        <v>1.826573530410134E-2</v>
      </c>
      <c r="H866" s="1" t="str">
        <f>IF(COUNTIF(Comp1[Comparable '#1 Dates],Benchmark1[[#This Row],[Benchmark '#1 Dates]])=1,"Pass","Fail")</f>
        <v>Pass</v>
      </c>
      <c r="I866" s="6">
        <f>IF(Benchmark1[[#This Row],[Comparable '#1 Date Check]]="Pass",INDEX(Comp1[Comparable '#1 Price],MATCH(Benchmark1[[#This Row],[Benchmark '#1 Dates]],Comp1[Comparable '#1 Dates],0)),"-")</f>
        <v>10.95</v>
      </c>
      <c r="J866" s="22">
        <f>IF(Benchmark1[[#This Row],[Comparable '#1 Date Check]]="Pass",INDEX(Comp1[Comparable '#1 Return],MATCH(Benchmark1[[#This Row],[Benchmark '#1 Dates]],Comp1[Comparable '#1 Dates],0)),"-")</f>
        <v>3.7213596340434273E-2</v>
      </c>
      <c r="K866" s="1">
        <f>IFERROR(IF(Benchmark1[[#This Row],[Comparable '#1 Date Check]]="Pass",Benchmark1[[#This Row],[Comparable '#1 Return]]-Benchmark1[[#This Row],[Benchmark '#1 Return]],"-"),"-")</f>
        <v>3.4132538258006273E-2</v>
      </c>
      <c r="L866" s="1" t="str">
        <f>IF(COUNTIF(Comp2[Comparable '#2 Dates],Benchmark1[[#This Row],[Benchmark '#1 Dates]])=1,"Pass","Fail")</f>
        <v>Pass</v>
      </c>
      <c r="M866" s="6">
        <f>IF(Benchmark1[[#This Row],[Comparable '#2 Date Check]]="Pass",INDEX(Comp2[Comparable '#2 Price],MATCH(Benchmark1[[#This Row],[Benchmark '#1 Dates]],Comp2[Comparable '#2 Dates],0)),"-")</f>
        <v>31.7</v>
      </c>
      <c r="N866" s="22">
        <f>IF(Benchmark1[[#This Row],[Comparable '#2 Date Check]]="Pass",INDEX(Comp2[Comparable '#2 Return],MATCH(Benchmark1[[#This Row],[Benchmark '#1 Dates]],Comp2[Comparable '#2 Dates],0)),"-")</f>
        <v>2.0073957478278816E-2</v>
      </c>
      <c r="O866" s="1">
        <f>IFERROR(IF(Benchmark1[[#This Row],[Comparable '#2 Date Check]]="Pass",Benchmark1[[#This Row],[Comparable '#2 Return]]-Benchmark1[[#This Row],[Benchmark '#1 Return]],"-"),"-")</f>
        <v>1.6992899395850813E-2</v>
      </c>
      <c r="P866" s="1" t="str">
        <f>IF(COUNTIF(Comp3[Comparable '#3 Dates],Benchmark1[[#This Row],[Benchmark '#1 Dates]])=1,"Pass","Fail")</f>
        <v>Pass</v>
      </c>
      <c r="Q866" s="6">
        <f>IF(Benchmark1[[#This Row],[Comparable '#3 Date Check]]="Pass",INDEX(Comp3[Comparable '#3 Price],MATCH(Benchmark1[[#This Row],[Benchmark '#1 Dates]],Comp3[Comparable '#3 Dates],0)),"-")</f>
        <v>56</v>
      </c>
      <c r="R866" s="22">
        <f>IF(Benchmark1[[#This Row],[Comparable '#3 Date Check]]="Pass",INDEX(Comp3[Comparable '#3 Return],MATCH(Benchmark1[[#This Row],[Benchmark '#1 Dates]],Comp3[Comparable '#3 Dates],0)),"-")</f>
        <v>2.9907077167930809E-2</v>
      </c>
      <c r="S866" s="1">
        <f>IFERROR(IF(Benchmark1[[#This Row],[Comparable '#3 Date Check]]="Pass",Benchmark1[[#This Row],[Comparable '#3 Return]]-Benchmark1[[#This Row],[Benchmark '#1 Return]],"-"),"-")</f>
        <v>2.6826019085502806E-2</v>
      </c>
    </row>
    <row r="867" spans="1:19">
      <c r="A867" s="103">
        <v>44539</v>
      </c>
      <c r="B867" s="104">
        <v>4667.4539532321869</v>
      </c>
      <c r="C867" s="4">
        <f t="shared" si="13"/>
        <v>-7.2057370926661111E-3</v>
      </c>
      <c r="D867" s="1" t="str">
        <f>IF(COUNTIF(Target1[Target Dates],Benchmark1[[#This Row],[Benchmark '#1 Dates]])=1,"Pass","Fail")</f>
        <v>Pass</v>
      </c>
      <c r="E867" s="6">
        <f>IF(Benchmark1[[#This Row],[Target Date Check]]="Pass",INDEX(Target1[Target Price],MATCH(Benchmark1[[#This Row],[Benchmark '#1 Dates]],Target1[Target Dates],0)),"-")</f>
        <v>31.56</v>
      </c>
      <c r="F867" s="22">
        <f>IF(Benchmark1[[#This Row],[Target Date Check]]="Pass",INDEX(Target1[Target Return],MATCH(Benchmark1[[#This Row],[Benchmark '#1 Dates]],Target1[Target Dates],0)),"-")</f>
        <v>-7.7113590172138369E-2</v>
      </c>
      <c r="G867" s="1">
        <f>IFERROR(IF(Benchmark1[[#This Row],[Target Date Check]]="Pass",Benchmark1[[#This Row],[Target Return]]-Benchmark1[[#This Row],[Benchmark '#1 Return]],"-"),"-")</f>
        <v>-6.9907853079472254E-2</v>
      </c>
      <c r="H867" s="1" t="str">
        <f>IF(COUNTIF(Comp1[Comparable '#1 Dates],Benchmark1[[#This Row],[Benchmark '#1 Dates]])=1,"Pass","Fail")</f>
        <v>Pass</v>
      </c>
      <c r="I867" s="6">
        <f>IF(Benchmark1[[#This Row],[Comparable '#1 Date Check]]="Pass",INDEX(Comp1[Comparable '#1 Price],MATCH(Benchmark1[[#This Row],[Benchmark '#1 Dates]],Comp1[Comparable '#1 Dates],0)),"-")</f>
        <v>10.51</v>
      </c>
      <c r="J867" s="22">
        <f>IF(Benchmark1[[#This Row],[Comparable '#1 Date Check]]="Pass",INDEX(Comp1[Comparable '#1 Return],MATCH(Benchmark1[[#This Row],[Benchmark '#1 Dates]],Comp1[Comparable '#1 Dates],0)),"-")</f>
        <v>-4.1012271373649975E-2</v>
      </c>
      <c r="K867" s="1">
        <f>IFERROR(IF(Benchmark1[[#This Row],[Comparable '#1 Date Check]]="Pass",Benchmark1[[#This Row],[Comparable '#1 Return]]-Benchmark1[[#This Row],[Benchmark '#1 Return]],"-"),"-")</f>
        <v>-3.380653428098386E-2</v>
      </c>
      <c r="L867" s="1" t="str">
        <f>IF(COUNTIF(Comp2[Comparable '#2 Dates],Benchmark1[[#This Row],[Benchmark '#1 Dates]])=1,"Pass","Fail")</f>
        <v>Pass</v>
      </c>
      <c r="M867" s="6">
        <f>IF(Benchmark1[[#This Row],[Comparable '#2 Date Check]]="Pass",INDEX(Comp2[Comparable '#2 Price],MATCH(Benchmark1[[#This Row],[Benchmark '#1 Dates]],Comp2[Comparable '#2 Dates],0)),"-")</f>
        <v>30.39</v>
      </c>
      <c r="N867" s="22">
        <f>IF(Benchmark1[[#This Row],[Comparable '#2 Date Check]]="Pass",INDEX(Comp2[Comparable '#2 Return],MATCH(Benchmark1[[#This Row],[Benchmark '#1 Dates]],Comp2[Comparable '#2 Dates],0)),"-")</f>
        <v>-4.220307395453321E-2</v>
      </c>
      <c r="O867" s="1">
        <f>IFERROR(IF(Benchmark1[[#This Row],[Comparable '#2 Date Check]]="Pass",Benchmark1[[#This Row],[Comparable '#2 Return]]-Benchmark1[[#This Row],[Benchmark '#1 Return]],"-"),"-")</f>
        <v>-3.4997336861867095E-2</v>
      </c>
      <c r="P867" s="1" t="str">
        <f>IF(COUNTIF(Comp3[Comparable '#3 Dates],Benchmark1[[#This Row],[Benchmark '#1 Dates]])=1,"Pass","Fail")</f>
        <v>Pass</v>
      </c>
      <c r="Q867" s="6">
        <f>IF(Benchmark1[[#This Row],[Comparable '#3 Date Check]]="Pass",INDEX(Comp3[Comparable '#3 Price],MATCH(Benchmark1[[#This Row],[Benchmark '#1 Dates]],Comp3[Comparable '#3 Dates],0)),"-")</f>
        <v>54.99</v>
      </c>
      <c r="R867" s="22">
        <f>IF(Benchmark1[[#This Row],[Comparable '#3 Date Check]]="Pass",INDEX(Comp3[Comparable '#3 Return],MATCH(Benchmark1[[#This Row],[Benchmark '#1 Dates]],Comp3[Comparable '#3 Dates],0)),"-")</f>
        <v>-1.8200340215425877E-2</v>
      </c>
      <c r="S867" s="1">
        <f>IFERROR(IF(Benchmark1[[#This Row],[Comparable '#3 Date Check]]="Pass",Benchmark1[[#This Row],[Comparable '#3 Return]]-Benchmark1[[#This Row],[Benchmark '#1 Return]],"-"),"-")</f>
        <v>-1.0994603122759766E-2</v>
      </c>
    </row>
    <row r="868" spans="1:19">
      <c r="A868" s="103">
        <v>44540</v>
      </c>
      <c r="B868" s="104">
        <v>4712.0241361517237</v>
      </c>
      <c r="C868" s="4">
        <f t="shared" si="13"/>
        <v>9.503837627227979E-3</v>
      </c>
      <c r="D868" s="1" t="str">
        <f>IF(COUNTIF(Target1[Target Dates],Benchmark1[[#This Row],[Benchmark '#1 Dates]])=1,"Pass","Fail")</f>
        <v>Pass</v>
      </c>
      <c r="E868" s="6">
        <f>IF(Benchmark1[[#This Row],[Target Date Check]]="Pass",INDEX(Target1[Target Price],MATCH(Benchmark1[[#This Row],[Benchmark '#1 Dates]],Target1[Target Dates],0)),"-")</f>
        <v>31.75</v>
      </c>
      <c r="F868" s="22">
        <f>IF(Benchmark1[[#This Row],[Target Date Check]]="Pass",INDEX(Target1[Target Return],MATCH(Benchmark1[[#This Row],[Benchmark '#1 Dates]],Target1[Target Dates],0)),"-")</f>
        <v>6.0022293610272762E-3</v>
      </c>
      <c r="G868" s="1">
        <f>IFERROR(IF(Benchmark1[[#This Row],[Target Date Check]]="Pass",Benchmark1[[#This Row],[Target Return]]-Benchmark1[[#This Row],[Benchmark '#1 Return]],"-"),"-")</f>
        <v>-3.5016082662007028E-3</v>
      </c>
      <c r="H868" s="1" t="str">
        <f>IF(COUNTIF(Comp1[Comparable '#1 Dates],Benchmark1[[#This Row],[Benchmark '#1 Dates]])=1,"Pass","Fail")</f>
        <v>Pass</v>
      </c>
      <c r="I868" s="6">
        <f>IF(Benchmark1[[#This Row],[Comparable '#1 Date Check]]="Pass",INDEX(Comp1[Comparable '#1 Price],MATCH(Benchmark1[[#This Row],[Benchmark '#1 Dates]],Comp1[Comparable '#1 Dates],0)),"-")</f>
        <v>10.48</v>
      </c>
      <c r="J868" s="22">
        <f>IF(Benchmark1[[#This Row],[Comparable '#1 Date Check]]="Pass",INDEX(Comp1[Comparable '#1 Return],MATCH(Benchmark1[[#This Row],[Benchmark '#1 Dates]],Comp1[Comparable '#1 Dates],0)),"-")</f>
        <v>-2.8585059959635372E-3</v>
      </c>
      <c r="K868" s="1">
        <f>IFERROR(IF(Benchmark1[[#This Row],[Comparable '#1 Date Check]]="Pass",Benchmark1[[#This Row],[Comparable '#1 Return]]-Benchmark1[[#This Row],[Benchmark '#1 Return]],"-"),"-")</f>
        <v>-1.2362343623191517E-2</v>
      </c>
      <c r="L868" s="1" t="str">
        <f>IF(COUNTIF(Comp2[Comparable '#2 Dates],Benchmark1[[#This Row],[Benchmark '#1 Dates]])=1,"Pass","Fail")</f>
        <v>Pass</v>
      </c>
      <c r="M868" s="6">
        <f>IF(Benchmark1[[#This Row],[Comparable '#2 Date Check]]="Pass",INDEX(Comp2[Comparable '#2 Price],MATCH(Benchmark1[[#This Row],[Benchmark '#1 Dates]],Comp2[Comparable '#2 Dates],0)),"-")</f>
        <v>30.15</v>
      </c>
      <c r="N868" s="22">
        <f>IF(Benchmark1[[#This Row],[Comparable '#2 Date Check]]="Pass",INDEX(Comp2[Comparable '#2 Return],MATCH(Benchmark1[[#This Row],[Benchmark '#1 Dates]],Comp2[Comparable '#2 Dates],0)),"-")</f>
        <v>-7.9286837555073673E-3</v>
      </c>
      <c r="O868" s="1">
        <f>IFERROR(IF(Benchmark1[[#This Row],[Comparable '#2 Date Check]]="Pass",Benchmark1[[#This Row],[Comparable '#2 Return]]-Benchmark1[[#This Row],[Benchmark '#1 Return]],"-"),"-")</f>
        <v>-1.7432521382735346E-2</v>
      </c>
      <c r="P868" s="1" t="str">
        <f>IF(COUNTIF(Comp3[Comparable '#3 Dates],Benchmark1[[#This Row],[Benchmark '#1 Dates]])=1,"Pass","Fail")</f>
        <v>Pass</v>
      </c>
      <c r="Q868" s="6">
        <f>IF(Benchmark1[[#This Row],[Comparable '#3 Date Check]]="Pass",INDEX(Comp3[Comparable '#3 Price],MATCH(Benchmark1[[#This Row],[Benchmark '#1 Dates]],Comp3[Comparable '#3 Dates],0)),"-")</f>
        <v>55.35</v>
      </c>
      <c r="R868" s="22">
        <f>IF(Benchmark1[[#This Row],[Comparable '#3 Date Check]]="Pass",INDEX(Comp3[Comparable '#3 Return],MATCH(Benchmark1[[#This Row],[Benchmark '#1 Dates]],Comp3[Comparable '#3 Dates],0)),"-")</f>
        <v>6.525308634922641E-3</v>
      </c>
      <c r="S868" s="1">
        <f>IFERROR(IF(Benchmark1[[#This Row],[Comparable '#3 Date Check]]="Pass",Benchmark1[[#This Row],[Comparable '#3 Return]]-Benchmark1[[#This Row],[Benchmark '#1 Return]],"-"),"-")</f>
        <v>-2.978528992305338E-3</v>
      </c>
    </row>
    <row r="869" spans="1:19">
      <c r="A869" s="103">
        <v>44543</v>
      </c>
      <c r="B869" s="104">
        <v>4668.9720861143769</v>
      </c>
      <c r="C869" s="4">
        <f t="shared" si="13"/>
        <v>-9.1786311961649311E-3</v>
      </c>
      <c r="D869" s="1" t="str">
        <f>IF(COUNTIF(Target1[Target Dates],Benchmark1[[#This Row],[Benchmark '#1 Dates]])=1,"Pass","Fail")</f>
        <v>Pass</v>
      </c>
      <c r="E869" s="6">
        <f>IF(Benchmark1[[#This Row],[Target Date Check]]="Pass",INDEX(Target1[Target Price],MATCH(Benchmark1[[#This Row],[Benchmark '#1 Dates]],Target1[Target Dates],0)),"-")</f>
        <v>31.75</v>
      </c>
      <c r="F869" s="22">
        <f>IF(Benchmark1[[#This Row],[Target Date Check]]="Pass",INDEX(Target1[Target Return],MATCH(Benchmark1[[#This Row],[Benchmark '#1 Dates]],Target1[Target Dates],0)),"-")</f>
        <v>0</v>
      </c>
      <c r="G869" s="1">
        <f>IFERROR(IF(Benchmark1[[#This Row],[Target Date Check]]="Pass",Benchmark1[[#This Row],[Target Return]]-Benchmark1[[#This Row],[Benchmark '#1 Return]],"-"),"-")</f>
        <v>9.1786311961649311E-3</v>
      </c>
      <c r="H869" s="1" t="str">
        <f>IF(COUNTIF(Comp1[Comparable '#1 Dates],Benchmark1[[#This Row],[Benchmark '#1 Dates]])=1,"Pass","Fail")</f>
        <v>Pass</v>
      </c>
      <c r="I869" s="6">
        <f>IF(Benchmark1[[#This Row],[Comparable '#1 Date Check]]="Pass",INDEX(Comp1[Comparable '#1 Price],MATCH(Benchmark1[[#This Row],[Benchmark '#1 Dates]],Comp1[Comparable '#1 Dates],0)),"-")</f>
        <v>10.14</v>
      </c>
      <c r="J869" s="22">
        <f>IF(Benchmark1[[#This Row],[Comparable '#1 Date Check]]="Pass",INDEX(Comp1[Comparable '#1 Return],MATCH(Benchmark1[[#This Row],[Benchmark '#1 Dates]],Comp1[Comparable '#1 Dates],0)),"-")</f>
        <v>-3.2980680729859026E-2</v>
      </c>
      <c r="K869" s="1">
        <f>IFERROR(IF(Benchmark1[[#This Row],[Comparable '#1 Date Check]]="Pass",Benchmark1[[#This Row],[Comparable '#1 Return]]-Benchmark1[[#This Row],[Benchmark '#1 Return]],"-"),"-")</f>
        <v>-2.3802049533694095E-2</v>
      </c>
      <c r="L869" s="1" t="str">
        <f>IF(COUNTIF(Comp2[Comparable '#2 Dates],Benchmark1[[#This Row],[Benchmark '#1 Dates]])=1,"Pass","Fail")</f>
        <v>Pass</v>
      </c>
      <c r="M869" s="6">
        <f>IF(Benchmark1[[#This Row],[Comparable '#2 Date Check]]="Pass",INDEX(Comp2[Comparable '#2 Price],MATCH(Benchmark1[[#This Row],[Benchmark '#1 Dates]],Comp2[Comparable '#2 Dates],0)),"-")</f>
        <v>29.94</v>
      </c>
      <c r="N869" s="22">
        <f>IF(Benchmark1[[#This Row],[Comparable '#2 Date Check]]="Pass",INDEX(Comp2[Comparable '#2 Return],MATCH(Benchmark1[[#This Row],[Benchmark '#1 Dates]],Comp2[Comparable '#2 Dates],0)),"-")</f>
        <v>-6.9895441817120745E-3</v>
      </c>
      <c r="O869" s="1">
        <f>IFERROR(IF(Benchmark1[[#This Row],[Comparable '#2 Date Check]]="Pass",Benchmark1[[#This Row],[Comparable '#2 Return]]-Benchmark1[[#This Row],[Benchmark '#1 Return]],"-"),"-")</f>
        <v>2.1890870144528566E-3</v>
      </c>
      <c r="P869" s="1" t="str">
        <f>IF(COUNTIF(Comp3[Comparable '#3 Dates],Benchmark1[[#This Row],[Benchmark '#1 Dates]])=1,"Pass","Fail")</f>
        <v>Pass</v>
      </c>
      <c r="Q869" s="6">
        <f>IF(Benchmark1[[#This Row],[Comparable '#3 Date Check]]="Pass",INDEX(Comp3[Comparable '#3 Price],MATCH(Benchmark1[[#This Row],[Benchmark '#1 Dates]],Comp3[Comparable '#3 Dates],0)),"-")</f>
        <v>55.63</v>
      </c>
      <c r="R869" s="22">
        <f>IF(Benchmark1[[#This Row],[Comparable '#3 Date Check]]="Pass",INDEX(Comp3[Comparable '#3 Return],MATCH(Benchmark1[[#This Row],[Benchmark '#1 Dates]],Comp3[Comparable '#3 Dates],0)),"-")</f>
        <v>5.0459649325559726E-3</v>
      </c>
      <c r="S869" s="1">
        <f>IFERROR(IF(Benchmark1[[#This Row],[Comparable '#3 Date Check]]="Pass",Benchmark1[[#This Row],[Comparable '#3 Return]]-Benchmark1[[#This Row],[Benchmark '#1 Return]],"-"),"-")</f>
        <v>1.4224596128720905E-2</v>
      </c>
    </row>
    <row r="870" spans="1:19">
      <c r="A870" s="103">
        <v>44544</v>
      </c>
      <c r="B870" s="104">
        <v>4634.0876151888169</v>
      </c>
      <c r="C870" s="4">
        <f t="shared" si="13"/>
        <v>-7.4996045492933599E-3</v>
      </c>
      <c r="D870" s="1" t="str">
        <f>IF(COUNTIF(Target1[Target Dates],Benchmark1[[#This Row],[Benchmark '#1 Dates]])=1,"Pass","Fail")</f>
        <v>Pass</v>
      </c>
      <c r="E870" s="6">
        <f>IF(Benchmark1[[#This Row],[Target Date Check]]="Pass",INDEX(Target1[Target Price],MATCH(Benchmark1[[#This Row],[Benchmark '#1 Dates]],Target1[Target Dates],0)),"-")</f>
        <v>31.65</v>
      </c>
      <c r="F870" s="22">
        <f>IF(Benchmark1[[#This Row],[Target Date Check]]="Pass",INDEX(Target1[Target Return],MATCH(Benchmark1[[#This Row],[Benchmark '#1 Dates]],Target1[Target Dates],0)),"-")</f>
        <v>-3.1545767485155439E-3</v>
      </c>
      <c r="G870" s="1">
        <f>IFERROR(IF(Benchmark1[[#This Row],[Target Date Check]]="Pass",Benchmark1[[#This Row],[Target Return]]-Benchmark1[[#This Row],[Benchmark '#1 Return]],"-"),"-")</f>
        <v>4.345027800777816E-3</v>
      </c>
      <c r="H870" s="1" t="str">
        <f>IF(COUNTIF(Comp1[Comparable '#1 Dates],Benchmark1[[#This Row],[Benchmark '#1 Dates]])=1,"Pass","Fail")</f>
        <v>Pass</v>
      </c>
      <c r="I870" s="6">
        <f>IF(Benchmark1[[#This Row],[Comparable '#1 Date Check]]="Pass",INDEX(Comp1[Comparable '#1 Price],MATCH(Benchmark1[[#This Row],[Benchmark '#1 Dates]],Comp1[Comparable '#1 Dates],0)),"-")</f>
        <v>10.16</v>
      </c>
      <c r="J870" s="22">
        <f>IF(Benchmark1[[#This Row],[Comparable '#1 Date Check]]="Pass",INDEX(Comp1[Comparable '#1 Return],MATCH(Benchmark1[[#This Row],[Benchmark '#1 Dates]],Comp1[Comparable '#1 Dates],0)),"-")</f>
        <v>1.9704439872987385E-3</v>
      </c>
      <c r="K870" s="1">
        <f>IFERROR(IF(Benchmark1[[#This Row],[Comparable '#1 Date Check]]="Pass",Benchmark1[[#This Row],[Comparable '#1 Return]]-Benchmark1[[#This Row],[Benchmark '#1 Return]],"-"),"-")</f>
        <v>9.4700485365920989E-3</v>
      </c>
      <c r="L870" s="1" t="str">
        <f>IF(COUNTIF(Comp2[Comparable '#2 Dates],Benchmark1[[#This Row],[Benchmark '#1 Dates]])=1,"Pass","Fail")</f>
        <v>Pass</v>
      </c>
      <c r="M870" s="6">
        <f>IF(Benchmark1[[#This Row],[Comparable '#2 Date Check]]="Pass",INDEX(Comp2[Comparable '#2 Price],MATCH(Benchmark1[[#This Row],[Benchmark '#1 Dates]],Comp2[Comparable '#2 Dates],0)),"-")</f>
        <v>29.25</v>
      </c>
      <c r="N870" s="22">
        <f>IF(Benchmark1[[#This Row],[Comparable '#2 Date Check]]="Pass",INDEX(Comp2[Comparable '#2 Return],MATCH(Benchmark1[[#This Row],[Benchmark '#1 Dates]],Comp2[Comparable '#2 Dates],0)),"-")</f>
        <v>-2.3315805313616877E-2</v>
      </c>
      <c r="O870" s="1">
        <f>IFERROR(IF(Benchmark1[[#This Row],[Comparable '#2 Date Check]]="Pass",Benchmark1[[#This Row],[Comparable '#2 Return]]-Benchmark1[[#This Row],[Benchmark '#1 Return]],"-"),"-")</f>
        <v>-1.5816200764323517E-2</v>
      </c>
      <c r="P870" s="1" t="str">
        <f>IF(COUNTIF(Comp3[Comparable '#3 Dates],Benchmark1[[#This Row],[Benchmark '#1 Dates]])=1,"Pass","Fail")</f>
        <v>Pass</v>
      </c>
      <c r="Q870" s="6">
        <f>IF(Benchmark1[[#This Row],[Comparable '#3 Date Check]]="Pass",INDEX(Comp3[Comparable '#3 Price],MATCH(Benchmark1[[#This Row],[Benchmark '#1 Dates]],Comp3[Comparable '#3 Dates],0)),"-")</f>
        <v>56.2</v>
      </c>
      <c r="R870" s="22">
        <f>IF(Benchmark1[[#This Row],[Comparable '#3 Date Check]]="Pass",INDEX(Comp3[Comparable '#3 Return],MATCH(Benchmark1[[#This Row],[Benchmark '#1 Dates]],Comp3[Comparable '#3 Dates],0)),"-")</f>
        <v>1.0194132812443576E-2</v>
      </c>
      <c r="S870" s="1">
        <f>IFERROR(IF(Benchmark1[[#This Row],[Comparable '#3 Date Check]]="Pass",Benchmark1[[#This Row],[Comparable '#3 Return]]-Benchmark1[[#This Row],[Benchmark '#1 Return]],"-"),"-")</f>
        <v>1.7693737361736937E-2</v>
      </c>
    </row>
    <row r="871" spans="1:19">
      <c r="A871" s="103">
        <v>44545</v>
      </c>
      <c r="B871" s="104">
        <v>4709.8539053833401</v>
      </c>
      <c r="C871" s="4">
        <f t="shared" si="13"/>
        <v>1.6217556717944184E-2</v>
      </c>
      <c r="D871" s="1" t="str">
        <f>IF(COUNTIF(Target1[Target Dates],Benchmark1[[#This Row],[Benchmark '#1 Dates]])=1,"Pass","Fail")</f>
        <v>Pass</v>
      </c>
      <c r="E871" s="6">
        <f>IF(Benchmark1[[#This Row],[Target Date Check]]="Pass",INDEX(Target1[Target Price],MATCH(Benchmark1[[#This Row],[Benchmark '#1 Dates]],Target1[Target Dates],0)),"-")</f>
        <v>32.090000000000003</v>
      </c>
      <c r="F871" s="22">
        <f>IF(Benchmark1[[#This Row],[Target Date Check]]="Pass",INDEX(Target1[Target Return],MATCH(Benchmark1[[#This Row],[Benchmark '#1 Dates]],Target1[Target Dates],0)),"-")</f>
        <v>1.3806306531580378E-2</v>
      </c>
      <c r="G871" s="1">
        <f>IFERROR(IF(Benchmark1[[#This Row],[Target Date Check]]="Pass",Benchmark1[[#This Row],[Target Return]]-Benchmark1[[#This Row],[Benchmark '#1 Return]],"-"),"-")</f>
        <v>-2.4112501863638065E-3</v>
      </c>
      <c r="H871" s="1" t="str">
        <f>IF(COUNTIF(Comp1[Comparable '#1 Dates],Benchmark1[[#This Row],[Benchmark '#1 Dates]])=1,"Pass","Fail")</f>
        <v>Pass</v>
      </c>
      <c r="I871" s="6">
        <f>IF(Benchmark1[[#This Row],[Comparable '#1 Date Check]]="Pass",INDEX(Comp1[Comparable '#1 Price],MATCH(Benchmark1[[#This Row],[Benchmark '#1 Dates]],Comp1[Comparable '#1 Dates],0)),"-")</f>
        <v>10.38</v>
      </c>
      <c r="J871" s="22">
        <f>IF(Benchmark1[[#This Row],[Comparable '#1 Date Check]]="Pass",INDEX(Comp1[Comparable '#1 Return],MATCH(Benchmark1[[#This Row],[Benchmark '#1 Dates]],Comp1[Comparable '#1 Dates],0)),"-")</f>
        <v>2.142243558740671E-2</v>
      </c>
      <c r="K871" s="1">
        <f>IFERROR(IF(Benchmark1[[#This Row],[Comparable '#1 Date Check]]="Pass",Benchmark1[[#This Row],[Comparable '#1 Return]]-Benchmark1[[#This Row],[Benchmark '#1 Return]],"-"),"-")</f>
        <v>5.2048788694625259E-3</v>
      </c>
      <c r="L871" s="1" t="str">
        <f>IF(COUNTIF(Comp2[Comparable '#2 Dates],Benchmark1[[#This Row],[Benchmark '#1 Dates]])=1,"Pass","Fail")</f>
        <v>Pass</v>
      </c>
      <c r="M871" s="6">
        <f>IF(Benchmark1[[#This Row],[Comparable '#2 Date Check]]="Pass",INDEX(Comp2[Comparable '#2 Price],MATCH(Benchmark1[[#This Row],[Benchmark '#1 Dates]],Comp2[Comparable '#2 Dates],0)),"-")</f>
        <v>29.07</v>
      </c>
      <c r="N871" s="22">
        <f>IF(Benchmark1[[#This Row],[Comparable '#2 Date Check]]="Pass",INDEX(Comp2[Comparable '#2 Return],MATCH(Benchmark1[[#This Row],[Benchmark '#1 Dates]],Comp2[Comparable '#2 Dates],0)),"-")</f>
        <v>-6.1728591070809675E-3</v>
      </c>
      <c r="O871" s="1">
        <f>IFERROR(IF(Benchmark1[[#This Row],[Comparable '#2 Date Check]]="Pass",Benchmark1[[#This Row],[Comparable '#2 Return]]-Benchmark1[[#This Row],[Benchmark '#1 Return]],"-"),"-")</f>
        <v>-2.2390415825025153E-2</v>
      </c>
      <c r="P871" s="1" t="str">
        <f>IF(COUNTIF(Comp3[Comparable '#3 Dates],Benchmark1[[#This Row],[Benchmark '#1 Dates]])=1,"Pass","Fail")</f>
        <v>Pass</v>
      </c>
      <c r="Q871" s="6">
        <f>IF(Benchmark1[[#This Row],[Comparable '#3 Date Check]]="Pass",INDEX(Comp3[Comparable '#3 Price],MATCH(Benchmark1[[#This Row],[Benchmark '#1 Dates]],Comp3[Comparable '#3 Dates],0)),"-")</f>
        <v>57.33</v>
      </c>
      <c r="R871" s="22">
        <f>IF(Benchmark1[[#This Row],[Comparable '#3 Date Check]]="Pass",INDEX(Comp3[Comparable '#3 Return],MATCH(Benchmark1[[#This Row],[Benchmark '#1 Dates]],Comp3[Comparable '#3 Dates],0)),"-")</f>
        <v>1.9907290020645802E-2</v>
      </c>
      <c r="S871" s="1">
        <f>IFERROR(IF(Benchmark1[[#This Row],[Comparable '#3 Date Check]]="Pass",Benchmark1[[#This Row],[Comparable '#3 Return]]-Benchmark1[[#This Row],[Benchmark '#1 Return]],"-"),"-")</f>
        <v>3.6897333027016178E-3</v>
      </c>
    </row>
    <row r="872" spans="1:19">
      <c r="A872" s="103">
        <v>44546</v>
      </c>
      <c r="B872" s="104">
        <v>4668.6711974480468</v>
      </c>
      <c r="C872" s="4">
        <f t="shared" si="13"/>
        <v>-8.7823985513830298E-3</v>
      </c>
      <c r="D872" s="1" t="str">
        <f>IF(COUNTIF(Target1[Target Dates],Benchmark1[[#This Row],[Benchmark '#1 Dates]])=1,"Pass","Fail")</f>
        <v>Pass</v>
      </c>
      <c r="E872" s="6">
        <f>IF(Benchmark1[[#This Row],[Target Date Check]]="Pass",INDEX(Target1[Target Price],MATCH(Benchmark1[[#This Row],[Benchmark '#1 Dates]],Target1[Target Dates],0)),"-")</f>
        <v>31.68</v>
      </c>
      <c r="F872" s="22">
        <f>IF(Benchmark1[[#This Row],[Target Date Check]]="Pass",INDEX(Target1[Target Return],MATCH(Benchmark1[[#This Row],[Benchmark '#1 Dates]],Target1[Target Dates],0)),"-")</f>
        <v>-1.2858888175540555E-2</v>
      </c>
      <c r="G872" s="1">
        <f>IFERROR(IF(Benchmark1[[#This Row],[Target Date Check]]="Pass",Benchmark1[[#This Row],[Target Return]]-Benchmark1[[#This Row],[Benchmark '#1 Return]],"-"),"-")</f>
        <v>-4.0764896241575251E-3</v>
      </c>
      <c r="H872" s="1" t="str">
        <f>IF(COUNTIF(Comp1[Comparable '#1 Dates],Benchmark1[[#This Row],[Benchmark '#1 Dates]])=1,"Pass","Fail")</f>
        <v>Pass</v>
      </c>
      <c r="I872" s="6">
        <f>IF(Benchmark1[[#This Row],[Comparable '#1 Date Check]]="Pass",INDEX(Comp1[Comparable '#1 Price],MATCH(Benchmark1[[#This Row],[Benchmark '#1 Dates]],Comp1[Comparable '#1 Dates],0)),"-")</f>
        <v>10.64</v>
      </c>
      <c r="J872" s="22">
        <f>IF(Benchmark1[[#This Row],[Comparable '#1 Date Check]]="Pass",INDEX(Comp1[Comparable '#1 Return],MATCH(Benchmark1[[#This Row],[Benchmark '#1 Dates]],Comp1[Comparable '#1 Dates],0)),"-")</f>
        <v>2.4739606175755751E-2</v>
      </c>
      <c r="K872" s="1">
        <f>IFERROR(IF(Benchmark1[[#This Row],[Comparable '#1 Date Check]]="Pass",Benchmark1[[#This Row],[Comparable '#1 Return]]-Benchmark1[[#This Row],[Benchmark '#1 Return]],"-"),"-")</f>
        <v>3.3522004727138781E-2</v>
      </c>
      <c r="L872" s="1" t="str">
        <f>IF(COUNTIF(Comp2[Comparable '#2 Dates],Benchmark1[[#This Row],[Benchmark '#1 Dates]])=1,"Pass","Fail")</f>
        <v>Pass</v>
      </c>
      <c r="M872" s="6">
        <f>IF(Benchmark1[[#This Row],[Comparable '#2 Date Check]]="Pass",INDEX(Comp2[Comparable '#2 Price],MATCH(Benchmark1[[#This Row],[Benchmark '#1 Dates]],Comp2[Comparable '#2 Dates],0)),"-")</f>
        <v>28.23</v>
      </c>
      <c r="N872" s="22">
        <f>IF(Benchmark1[[#This Row],[Comparable '#2 Date Check]]="Pass",INDEX(Comp2[Comparable '#2 Return],MATCH(Benchmark1[[#This Row],[Benchmark '#1 Dates]],Comp2[Comparable '#2 Dates],0)),"-")</f>
        <v>-2.9321472305386634E-2</v>
      </c>
      <c r="O872" s="1">
        <f>IFERROR(IF(Benchmark1[[#This Row],[Comparable '#2 Date Check]]="Pass",Benchmark1[[#This Row],[Comparable '#2 Return]]-Benchmark1[[#This Row],[Benchmark '#1 Return]],"-"),"-")</f>
        <v>-2.0539073754003604E-2</v>
      </c>
      <c r="P872" s="1" t="str">
        <f>IF(COUNTIF(Comp3[Comparable '#3 Dates],Benchmark1[[#This Row],[Benchmark '#1 Dates]])=1,"Pass","Fail")</f>
        <v>Pass</v>
      </c>
      <c r="Q872" s="6">
        <f>IF(Benchmark1[[#This Row],[Comparable '#3 Date Check]]="Pass",INDEX(Comp3[Comparable '#3 Price],MATCH(Benchmark1[[#This Row],[Benchmark '#1 Dates]],Comp3[Comparable '#3 Dates],0)),"-")</f>
        <v>57.03</v>
      </c>
      <c r="R872" s="22">
        <f>IF(Benchmark1[[#This Row],[Comparable '#3 Date Check]]="Pass",INDEX(Comp3[Comparable '#3 Return],MATCH(Benchmark1[[#This Row],[Benchmark '#1 Dates]],Comp3[Comparable '#3 Dates],0)),"-")</f>
        <v>-5.2466017518438737E-3</v>
      </c>
      <c r="S872" s="1">
        <f>IFERROR(IF(Benchmark1[[#This Row],[Comparable '#3 Date Check]]="Pass",Benchmark1[[#This Row],[Comparable '#3 Return]]-Benchmark1[[#This Row],[Benchmark '#1 Return]],"-"),"-")</f>
        <v>3.5357967995391561E-3</v>
      </c>
    </row>
    <row r="873" spans="1:19">
      <c r="A873" s="103">
        <v>44547</v>
      </c>
      <c r="B873" s="104">
        <v>4620.6389852537568</v>
      </c>
      <c r="C873" s="4">
        <f t="shared" si="13"/>
        <v>-1.0341487004162403E-2</v>
      </c>
      <c r="D873" s="1" t="str">
        <f>IF(COUNTIF(Target1[Target Dates],Benchmark1[[#This Row],[Benchmark '#1 Dates]])=1,"Pass","Fail")</f>
        <v>Pass</v>
      </c>
      <c r="E873" s="6">
        <f>IF(Benchmark1[[#This Row],[Target Date Check]]="Pass",INDEX(Target1[Target Price],MATCH(Benchmark1[[#This Row],[Benchmark '#1 Dates]],Target1[Target Dates],0)),"-")</f>
        <v>31.84</v>
      </c>
      <c r="F873" s="22">
        <f>IF(Benchmark1[[#This Row],[Target Date Check]]="Pass",INDEX(Target1[Target Return],MATCH(Benchmark1[[#This Row],[Benchmark '#1 Dates]],Target1[Target Dates],0)),"-")</f>
        <v>5.037794029957081E-3</v>
      </c>
      <c r="G873" s="1">
        <f>IFERROR(IF(Benchmark1[[#This Row],[Target Date Check]]="Pass",Benchmark1[[#This Row],[Target Return]]-Benchmark1[[#This Row],[Benchmark '#1 Return]],"-"),"-")</f>
        <v>1.5379281034119483E-2</v>
      </c>
      <c r="H873" s="1" t="str">
        <f>IF(COUNTIF(Comp1[Comparable '#1 Dates],Benchmark1[[#This Row],[Benchmark '#1 Dates]])=1,"Pass","Fail")</f>
        <v>Pass</v>
      </c>
      <c r="I873" s="6">
        <f>IF(Benchmark1[[#This Row],[Comparable '#1 Date Check]]="Pass",INDEX(Comp1[Comparable '#1 Price],MATCH(Benchmark1[[#This Row],[Benchmark '#1 Dates]],Comp1[Comparable '#1 Dates],0)),"-")</f>
        <v>11.17</v>
      </c>
      <c r="J873" s="22">
        <f>IF(Benchmark1[[#This Row],[Comparable '#1 Date Check]]="Pass",INDEX(Comp1[Comparable '#1 Return],MATCH(Benchmark1[[#This Row],[Benchmark '#1 Dates]],Comp1[Comparable '#1 Dates],0)),"-")</f>
        <v>4.8611129167610914E-2</v>
      </c>
      <c r="K873" s="1">
        <f>IFERROR(IF(Benchmark1[[#This Row],[Comparable '#1 Date Check]]="Pass",Benchmark1[[#This Row],[Comparable '#1 Return]]-Benchmark1[[#This Row],[Benchmark '#1 Return]],"-"),"-")</f>
        <v>5.8952616171773317E-2</v>
      </c>
      <c r="L873" s="1" t="str">
        <f>IF(COUNTIF(Comp2[Comparable '#2 Dates],Benchmark1[[#This Row],[Benchmark '#1 Dates]])=1,"Pass","Fail")</f>
        <v>Pass</v>
      </c>
      <c r="M873" s="6">
        <f>IF(Benchmark1[[#This Row],[Comparable '#2 Date Check]]="Pass",INDEX(Comp2[Comparable '#2 Price],MATCH(Benchmark1[[#This Row],[Benchmark '#1 Dates]],Comp2[Comparable '#2 Dates],0)),"-")</f>
        <v>28.21</v>
      </c>
      <c r="N873" s="22">
        <f>IF(Benchmark1[[#This Row],[Comparable '#2 Date Check]]="Pass",INDEX(Comp2[Comparable '#2 Return],MATCH(Benchmark1[[#This Row],[Benchmark '#1 Dates]],Comp2[Comparable '#2 Dates],0)),"-")</f>
        <v>-7.08717251493077E-4</v>
      </c>
      <c r="O873" s="1">
        <f>IFERROR(IF(Benchmark1[[#This Row],[Comparable '#2 Date Check]]="Pass",Benchmark1[[#This Row],[Comparable '#2 Return]]-Benchmark1[[#This Row],[Benchmark '#1 Return]],"-"),"-")</f>
        <v>9.6327697526693255E-3</v>
      </c>
      <c r="P873" s="1" t="str">
        <f>IF(COUNTIF(Comp3[Comparable '#3 Dates],Benchmark1[[#This Row],[Benchmark '#1 Dates]])=1,"Pass","Fail")</f>
        <v>Pass</v>
      </c>
      <c r="Q873" s="6">
        <f>IF(Benchmark1[[#This Row],[Comparable '#3 Date Check]]="Pass",INDEX(Comp3[Comparable '#3 Price],MATCH(Benchmark1[[#This Row],[Benchmark '#1 Dates]],Comp3[Comparable '#3 Dates],0)),"-")</f>
        <v>58.3</v>
      </c>
      <c r="R873" s="22">
        <f>IF(Benchmark1[[#This Row],[Comparable '#3 Date Check]]="Pass",INDEX(Comp3[Comparable '#3 Return],MATCH(Benchmark1[[#This Row],[Benchmark '#1 Dates]],Comp3[Comparable '#3 Dates],0)),"-")</f>
        <v>2.2024648187999121E-2</v>
      </c>
      <c r="S873" s="1">
        <f>IFERROR(IF(Benchmark1[[#This Row],[Comparable '#3 Date Check]]="Pass",Benchmark1[[#This Row],[Comparable '#3 Return]]-Benchmark1[[#This Row],[Benchmark '#1 Return]],"-"),"-")</f>
        <v>3.2366135192161527E-2</v>
      </c>
    </row>
    <row r="874" spans="1:19">
      <c r="A874" s="103">
        <v>44550</v>
      </c>
      <c r="B874" s="104">
        <v>4568.0172428794021</v>
      </c>
      <c r="C874" s="4">
        <f t="shared" si="13"/>
        <v>-1.1453756968906111E-2</v>
      </c>
      <c r="D874" s="1" t="str">
        <f>IF(COUNTIF(Target1[Target Dates],Benchmark1[[#This Row],[Benchmark '#1 Dates]])=1,"Pass","Fail")</f>
        <v>Pass</v>
      </c>
      <c r="E874" s="6">
        <f>IF(Benchmark1[[#This Row],[Target Date Check]]="Pass",INDEX(Target1[Target Price],MATCH(Benchmark1[[#This Row],[Benchmark '#1 Dates]],Target1[Target Dates],0)),"-")</f>
        <v>31.97</v>
      </c>
      <c r="F874" s="22">
        <f>IF(Benchmark1[[#This Row],[Target Date Check]]="Pass",INDEX(Target1[Target Return],MATCH(Benchmark1[[#This Row],[Benchmark '#1 Dates]],Target1[Target Dates],0)),"-")</f>
        <v>4.074602095567743E-3</v>
      </c>
      <c r="G874" s="1">
        <f>IFERROR(IF(Benchmark1[[#This Row],[Target Date Check]]="Pass",Benchmark1[[#This Row],[Target Return]]-Benchmark1[[#This Row],[Benchmark '#1 Return]],"-"),"-")</f>
        <v>1.5528359064473854E-2</v>
      </c>
      <c r="H874" s="1" t="str">
        <f>IF(COUNTIF(Comp1[Comparable '#1 Dates],Benchmark1[[#This Row],[Benchmark '#1 Dates]])=1,"Pass","Fail")</f>
        <v>Pass</v>
      </c>
      <c r="I874" s="6">
        <f>IF(Benchmark1[[#This Row],[Comparable '#1 Date Check]]="Pass",INDEX(Comp1[Comparable '#1 Price],MATCH(Benchmark1[[#This Row],[Benchmark '#1 Dates]],Comp1[Comparable '#1 Dates],0)),"-")</f>
        <v>11.46</v>
      </c>
      <c r="J874" s="22">
        <f>IF(Benchmark1[[#This Row],[Comparable '#1 Date Check]]="Pass",INDEX(Comp1[Comparable '#1 Return],MATCH(Benchmark1[[#This Row],[Benchmark '#1 Dates]],Comp1[Comparable '#1 Dates],0)),"-")</f>
        <v>2.5631098205484346E-2</v>
      </c>
      <c r="K874" s="1">
        <f>IFERROR(IF(Benchmark1[[#This Row],[Comparable '#1 Date Check]]="Pass",Benchmark1[[#This Row],[Comparable '#1 Return]]-Benchmark1[[#This Row],[Benchmark '#1 Return]],"-"),"-")</f>
        <v>3.708485517439046E-2</v>
      </c>
      <c r="L874" s="1" t="str">
        <f>IF(COUNTIF(Comp2[Comparable '#2 Dates],Benchmark1[[#This Row],[Benchmark '#1 Dates]])=1,"Pass","Fail")</f>
        <v>Pass</v>
      </c>
      <c r="M874" s="6">
        <f>IF(Benchmark1[[#This Row],[Comparable '#2 Date Check]]="Pass",INDEX(Comp2[Comparable '#2 Price],MATCH(Benchmark1[[#This Row],[Benchmark '#1 Dates]],Comp2[Comparable '#2 Dates],0)),"-")</f>
        <v>27.57</v>
      </c>
      <c r="N874" s="22">
        <f>IF(Benchmark1[[#This Row],[Comparable '#2 Date Check]]="Pass",INDEX(Comp2[Comparable '#2 Return],MATCH(Benchmark1[[#This Row],[Benchmark '#1 Dates]],Comp2[Comparable '#2 Dates],0)),"-")</f>
        <v>-2.2948299978199603E-2</v>
      </c>
      <c r="O874" s="1">
        <f>IFERROR(IF(Benchmark1[[#This Row],[Comparable '#2 Date Check]]="Pass",Benchmark1[[#This Row],[Comparable '#2 Return]]-Benchmark1[[#This Row],[Benchmark '#1 Return]],"-"),"-")</f>
        <v>-1.1494543009293492E-2</v>
      </c>
      <c r="P874" s="1" t="str">
        <f>IF(COUNTIF(Comp3[Comparable '#3 Dates],Benchmark1[[#This Row],[Benchmark '#1 Dates]])=1,"Pass","Fail")</f>
        <v>Pass</v>
      </c>
      <c r="Q874" s="6">
        <f>IF(Benchmark1[[#This Row],[Comparable '#3 Date Check]]="Pass",INDEX(Comp3[Comparable '#3 Price],MATCH(Benchmark1[[#This Row],[Benchmark '#1 Dates]],Comp3[Comparable '#3 Dates],0)),"-")</f>
        <v>57</v>
      </c>
      <c r="R874" s="22">
        <f>IF(Benchmark1[[#This Row],[Comparable '#3 Date Check]]="Pass",INDEX(Comp3[Comparable '#3 Return],MATCH(Benchmark1[[#This Row],[Benchmark '#1 Dates]],Comp3[Comparable '#3 Dates],0)),"-")</f>
        <v>-2.2550825521896484E-2</v>
      </c>
      <c r="S874" s="1">
        <f>IFERROR(IF(Benchmark1[[#This Row],[Comparable '#3 Date Check]]="Pass",Benchmark1[[#This Row],[Comparable '#3 Return]]-Benchmark1[[#This Row],[Benchmark '#1 Return]],"-"),"-")</f>
        <v>-1.1097068552990374E-2</v>
      </c>
    </row>
    <row r="875" spans="1:19">
      <c r="A875" s="103">
        <v>44551</v>
      </c>
      <c r="B875" s="104">
        <v>4649.2266412488007</v>
      </c>
      <c r="C875" s="4">
        <f t="shared" si="13"/>
        <v>1.7621645000183657E-2</v>
      </c>
      <c r="D875" s="1" t="str">
        <f>IF(COUNTIF(Target1[Target Dates],Benchmark1[[#This Row],[Benchmark '#1 Dates]])=1,"Pass","Fail")</f>
        <v>Pass</v>
      </c>
      <c r="E875" s="6">
        <f>IF(Benchmark1[[#This Row],[Target Date Check]]="Pass",INDEX(Target1[Target Price],MATCH(Benchmark1[[#This Row],[Benchmark '#1 Dates]],Target1[Target Dates],0)),"-")</f>
        <v>32.909999999999997</v>
      </c>
      <c r="F875" s="22">
        <f>IF(Benchmark1[[#This Row],[Target Date Check]]="Pass",INDEX(Target1[Target Return],MATCH(Benchmark1[[#This Row],[Benchmark '#1 Dates]],Target1[Target Dates],0)),"-")</f>
        <v>2.8978599883498348E-2</v>
      </c>
      <c r="G875" s="1">
        <f>IFERROR(IF(Benchmark1[[#This Row],[Target Date Check]]="Pass",Benchmark1[[#This Row],[Target Return]]-Benchmark1[[#This Row],[Benchmark '#1 Return]],"-"),"-")</f>
        <v>1.1356954883314691E-2</v>
      </c>
      <c r="H875" s="1" t="str">
        <f>IF(COUNTIF(Comp1[Comparable '#1 Dates],Benchmark1[[#This Row],[Benchmark '#1 Dates]])=1,"Pass","Fail")</f>
        <v>Pass</v>
      </c>
      <c r="I875" s="6">
        <f>IF(Benchmark1[[#This Row],[Comparable '#1 Date Check]]="Pass",INDEX(Comp1[Comparable '#1 Price],MATCH(Benchmark1[[#This Row],[Benchmark '#1 Dates]],Comp1[Comparable '#1 Dates],0)),"-")</f>
        <v>12.38</v>
      </c>
      <c r="J875" s="22">
        <f>IF(Benchmark1[[#This Row],[Comparable '#1 Date Check]]="Pass",INDEX(Comp1[Comparable '#1 Return],MATCH(Benchmark1[[#This Row],[Benchmark '#1 Dates]],Comp1[Comparable '#1 Dates],0)),"-")</f>
        <v>7.721955596985644E-2</v>
      </c>
      <c r="K875" s="1">
        <f>IFERROR(IF(Benchmark1[[#This Row],[Comparable '#1 Date Check]]="Pass",Benchmark1[[#This Row],[Comparable '#1 Return]]-Benchmark1[[#This Row],[Benchmark '#1 Return]],"-"),"-")</f>
        <v>5.9597910969672784E-2</v>
      </c>
      <c r="L875" s="1" t="str">
        <f>IF(COUNTIF(Comp2[Comparable '#2 Dates],Benchmark1[[#This Row],[Benchmark '#1 Dates]])=1,"Pass","Fail")</f>
        <v>Pass</v>
      </c>
      <c r="M875" s="6">
        <f>IF(Benchmark1[[#This Row],[Comparable '#2 Date Check]]="Pass",INDEX(Comp2[Comparable '#2 Price],MATCH(Benchmark1[[#This Row],[Benchmark '#1 Dates]],Comp2[Comparable '#2 Dates],0)),"-")</f>
        <v>29.17</v>
      </c>
      <c r="N875" s="22">
        <f>IF(Benchmark1[[#This Row],[Comparable '#2 Date Check]]="Pass",INDEX(Comp2[Comparable '#2 Return],MATCH(Benchmark1[[#This Row],[Benchmark '#1 Dates]],Comp2[Comparable '#2 Dates],0)),"-")</f>
        <v>5.6412558843924737E-2</v>
      </c>
      <c r="O875" s="1">
        <f>IFERROR(IF(Benchmark1[[#This Row],[Comparable '#2 Date Check]]="Pass",Benchmark1[[#This Row],[Comparable '#2 Return]]-Benchmark1[[#This Row],[Benchmark '#1 Return]],"-"),"-")</f>
        <v>3.879091384374108E-2</v>
      </c>
      <c r="P875" s="1" t="str">
        <f>IF(COUNTIF(Comp3[Comparable '#3 Dates],Benchmark1[[#This Row],[Benchmark '#1 Dates]])=1,"Pass","Fail")</f>
        <v>Pass</v>
      </c>
      <c r="Q875" s="6">
        <f>IF(Benchmark1[[#This Row],[Comparable '#3 Date Check]]="Pass",INDEX(Comp3[Comparable '#3 Price],MATCH(Benchmark1[[#This Row],[Benchmark '#1 Dates]],Comp3[Comparable '#3 Dates],0)),"-")</f>
        <v>58.76</v>
      </c>
      <c r="R875" s="22">
        <f>IF(Benchmark1[[#This Row],[Comparable '#3 Date Check]]="Pass",INDEX(Comp3[Comparable '#3 Return],MATCH(Benchmark1[[#This Row],[Benchmark '#1 Dates]],Comp3[Comparable '#3 Dates],0)),"-")</f>
        <v>3.0410083471126326E-2</v>
      </c>
      <c r="S875" s="1">
        <f>IFERROR(IF(Benchmark1[[#This Row],[Comparable '#3 Date Check]]="Pass",Benchmark1[[#This Row],[Comparable '#3 Return]]-Benchmark1[[#This Row],[Benchmark '#1 Return]],"-"),"-")</f>
        <v>1.2788438470942669E-2</v>
      </c>
    </row>
    <row r="876" spans="1:19">
      <c r="A876" s="103">
        <v>44552</v>
      </c>
      <c r="B876" s="104">
        <v>4696.5615715174245</v>
      </c>
      <c r="C876" s="4">
        <f t="shared" si="13"/>
        <v>1.0129768394511717E-2</v>
      </c>
      <c r="D876" s="1" t="str">
        <f>IF(COUNTIF(Target1[Target Dates],Benchmark1[[#This Row],[Benchmark '#1 Dates]])=1,"Pass","Fail")</f>
        <v>Pass</v>
      </c>
      <c r="E876" s="6">
        <f>IF(Benchmark1[[#This Row],[Target Date Check]]="Pass",INDEX(Target1[Target Price],MATCH(Benchmark1[[#This Row],[Benchmark '#1 Dates]],Target1[Target Dates],0)),"-")</f>
        <v>32.97</v>
      </c>
      <c r="F876" s="22">
        <f>IF(Benchmark1[[#This Row],[Target Date Check]]="Pass",INDEX(Target1[Target Return],MATCH(Benchmark1[[#This Row],[Benchmark '#1 Dates]],Target1[Target Dates],0)),"-")</f>
        <v>1.8214941283912357E-3</v>
      </c>
      <c r="G876" s="1">
        <f>IFERROR(IF(Benchmark1[[#This Row],[Target Date Check]]="Pass",Benchmark1[[#This Row],[Target Return]]-Benchmark1[[#This Row],[Benchmark '#1 Return]],"-"),"-")</f>
        <v>-8.3082742661204825E-3</v>
      </c>
      <c r="H876" s="1" t="str">
        <f>IF(COUNTIF(Comp1[Comparable '#1 Dates],Benchmark1[[#This Row],[Benchmark '#1 Dates]])=1,"Pass","Fail")</f>
        <v>Pass</v>
      </c>
      <c r="I876" s="6">
        <f>IF(Benchmark1[[#This Row],[Comparable '#1 Date Check]]="Pass",INDEX(Comp1[Comparable '#1 Price],MATCH(Benchmark1[[#This Row],[Benchmark '#1 Dates]],Comp1[Comparable '#1 Dates],0)),"-")</f>
        <v>11.99</v>
      </c>
      <c r="J876" s="22">
        <f>IF(Benchmark1[[#This Row],[Comparable '#1 Date Check]]="Pass",INDEX(Comp1[Comparable '#1 Return],MATCH(Benchmark1[[#This Row],[Benchmark '#1 Dates]],Comp1[Comparable '#1 Dates],0)),"-")</f>
        <v>-3.2009298217027193E-2</v>
      </c>
      <c r="K876" s="1">
        <f>IFERROR(IF(Benchmark1[[#This Row],[Comparable '#1 Date Check]]="Pass",Benchmark1[[#This Row],[Comparable '#1 Return]]-Benchmark1[[#This Row],[Benchmark '#1 Return]],"-"),"-")</f>
        <v>-4.2139066611538913E-2</v>
      </c>
      <c r="L876" s="1" t="str">
        <f>IF(COUNTIF(Comp2[Comparable '#2 Dates],Benchmark1[[#This Row],[Benchmark '#1 Dates]])=1,"Pass","Fail")</f>
        <v>Pass</v>
      </c>
      <c r="M876" s="6">
        <f>IF(Benchmark1[[#This Row],[Comparable '#2 Date Check]]="Pass",INDEX(Comp2[Comparable '#2 Price],MATCH(Benchmark1[[#This Row],[Benchmark '#1 Dates]],Comp2[Comparable '#2 Dates],0)),"-")</f>
        <v>29.39</v>
      </c>
      <c r="N876" s="22">
        <f>IF(Benchmark1[[#This Row],[Comparable '#2 Date Check]]="Pass",INDEX(Comp2[Comparable '#2 Return],MATCH(Benchmark1[[#This Row],[Benchmark '#1 Dates]],Comp2[Comparable '#2 Dates],0)),"-")</f>
        <v>7.5136965511958609E-3</v>
      </c>
      <c r="O876" s="1">
        <f>IFERROR(IF(Benchmark1[[#This Row],[Comparable '#2 Date Check]]="Pass",Benchmark1[[#This Row],[Comparable '#2 Return]]-Benchmark1[[#This Row],[Benchmark '#1 Return]],"-"),"-")</f>
        <v>-2.6160718433158566E-3</v>
      </c>
      <c r="P876" s="1" t="str">
        <f>IF(COUNTIF(Comp3[Comparable '#3 Dates],Benchmark1[[#This Row],[Benchmark '#1 Dates]])=1,"Pass","Fail")</f>
        <v>Pass</v>
      </c>
      <c r="Q876" s="6">
        <f>IF(Benchmark1[[#This Row],[Comparable '#3 Date Check]]="Pass",INDEX(Comp3[Comparable '#3 Price],MATCH(Benchmark1[[#This Row],[Benchmark '#1 Dates]],Comp3[Comparable '#3 Dates],0)),"-")</f>
        <v>58.37</v>
      </c>
      <c r="R876" s="22">
        <f>IF(Benchmark1[[#This Row],[Comparable '#3 Date Check]]="Pass",INDEX(Comp3[Comparable '#3 Return],MATCH(Benchmark1[[#This Row],[Benchmark '#1 Dates]],Comp3[Comparable '#3 Dates],0)),"-")</f>
        <v>-6.6592920899768487E-3</v>
      </c>
      <c r="S876" s="1">
        <f>IFERROR(IF(Benchmark1[[#This Row],[Comparable '#3 Date Check]]="Pass",Benchmark1[[#This Row],[Comparable '#3 Return]]-Benchmark1[[#This Row],[Benchmark '#1 Return]],"-"),"-")</f>
        <v>-1.6789060484488565E-2</v>
      </c>
    </row>
    <row r="877" spans="1:19">
      <c r="A877" s="103">
        <v>44553</v>
      </c>
      <c r="B877" s="104">
        <v>4725.7882422776729</v>
      </c>
      <c r="C877" s="4">
        <f t="shared" si="13"/>
        <v>6.2037103424573614E-3</v>
      </c>
      <c r="D877" s="1" t="str">
        <f>IF(COUNTIF(Target1[Target Dates],Benchmark1[[#This Row],[Benchmark '#1 Dates]])=1,"Pass","Fail")</f>
        <v>Pass</v>
      </c>
      <c r="E877" s="6">
        <f>IF(Benchmark1[[#This Row],[Target Date Check]]="Pass",INDEX(Target1[Target Price],MATCH(Benchmark1[[#This Row],[Benchmark '#1 Dates]],Target1[Target Dates],0)),"-")</f>
        <v>33.619999999999997</v>
      </c>
      <c r="F877" s="22">
        <f>IF(Benchmark1[[#This Row],[Target Date Check]]="Pass",INDEX(Target1[Target Return],MATCH(Benchmark1[[#This Row],[Benchmark '#1 Dates]],Target1[Target Dates],0)),"-")</f>
        <v>1.9523070896829829E-2</v>
      </c>
      <c r="G877" s="1">
        <f>IFERROR(IF(Benchmark1[[#This Row],[Target Date Check]]="Pass",Benchmark1[[#This Row],[Target Return]]-Benchmark1[[#This Row],[Benchmark '#1 Return]],"-"),"-")</f>
        <v>1.3319360554372467E-2</v>
      </c>
      <c r="H877" s="1" t="str">
        <f>IF(COUNTIF(Comp1[Comparable '#1 Dates],Benchmark1[[#This Row],[Benchmark '#1 Dates]])=1,"Pass","Fail")</f>
        <v>Pass</v>
      </c>
      <c r="I877" s="6">
        <f>IF(Benchmark1[[#This Row],[Comparable '#1 Date Check]]="Pass",INDEX(Comp1[Comparable '#1 Price],MATCH(Benchmark1[[#This Row],[Benchmark '#1 Dates]],Comp1[Comparable '#1 Dates],0)),"-")</f>
        <v>12.18</v>
      </c>
      <c r="J877" s="22">
        <f>IF(Benchmark1[[#This Row],[Comparable '#1 Date Check]]="Pass",INDEX(Comp1[Comparable '#1 Return],MATCH(Benchmark1[[#This Row],[Benchmark '#1 Dates]],Comp1[Comparable '#1 Dates],0)),"-")</f>
        <v>1.5722293242328055E-2</v>
      </c>
      <c r="K877" s="1">
        <f>IFERROR(IF(Benchmark1[[#This Row],[Comparable '#1 Date Check]]="Pass",Benchmark1[[#This Row],[Comparable '#1 Return]]-Benchmark1[[#This Row],[Benchmark '#1 Return]],"-"),"-")</f>
        <v>9.518582899870693E-3</v>
      </c>
      <c r="L877" s="1" t="str">
        <f>IF(COUNTIF(Comp2[Comparable '#2 Dates],Benchmark1[[#This Row],[Benchmark '#1 Dates]])=1,"Pass","Fail")</f>
        <v>Pass</v>
      </c>
      <c r="M877" s="6">
        <f>IF(Benchmark1[[#This Row],[Comparable '#2 Date Check]]="Pass",INDEX(Comp2[Comparable '#2 Price],MATCH(Benchmark1[[#This Row],[Benchmark '#1 Dates]],Comp2[Comparable '#2 Dates],0)),"-")</f>
        <v>30.02</v>
      </c>
      <c r="N877" s="22">
        <f>IF(Benchmark1[[#This Row],[Comparable '#2 Date Check]]="Pass",INDEX(Comp2[Comparable '#2 Return],MATCH(Benchmark1[[#This Row],[Benchmark '#1 Dates]],Comp2[Comparable '#2 Dates],0)),"-")</f>
        <v>2.1209345774489814E-2</v>
      </c>
      <c r="O877" s="1">
        <f>IFERROR(IF(Benchmark1[[#This Row],[Comparable '#2 Date Check]]="Pass",Benchmark1[[#This Row],[Comparable '#2 Return]]-Benchmark1[[#This Row],[Benchmark '#1 Return]],"-"),"-")</f>
        <v>1.5005635432032451E-2</v>
      </c>
      <c r="P877" s="1" t="str">
        <f>IF(COUNTIF(Comp3[Comparable '#3 Dates],Benchmark1[[#This Row],[Benchmark '#1 Dates]])=1,"Pass","Fail")</f>
        <v>Pass</v>
      </c>
      <c r="Q877" s="6">
        <f>IF(Benchmark1[[#This Row],[Comparable '#3 Date Check]]="Pass",INDEX(Comp3[Comparable '#3 Price],MATCH(Benchmark1[[#This Row],[Benchmark '#1 Dates]],Comp3[Comparable '#3 Dates],0)),"-")</f>
        <v>58.56</v>
      </c>
      <c r="R877" s="22">
        <f>IF(Benchmark1[[#This Row],[Comparable '#3 Date Check]]="Pass",INDEX(Comp3[Comparable '#3 Return],MATCH(Benchmark1[[#This Row],[Benchmark '#1 Dates]],Comp3[Comparable '#3 Dates],0)),"-")</f>
        <v>3.2498104373566384E-3</v>
      </c>
      <c r="S877" s="1">
        <f>IFERROR(IF(Benchmark1[[#This Row],[Comparable '#3 Date Check]]="Pass",Benchmark1[[#This Row],[Comparable '#3 Return]]-Benchmark1[[#This Row],[Benchmark '#1 Return]],"-"),"-")</f>
        <v>-2.953899905100723E-3</v>
      </c>
    </row>
    <row r="878" spans="1:19">
      <c r="A878" s="103">
        <v>44557</v>
      </c>
      <c r="B878" s="104">
        <v>4791.1919548001742</v>
      </c>
      <c r="C878" s="4">
        <f t="shared" si="13"/>
        <v>1.3744852010305475E-2</v>
      </c>
      <c r="D878" s="1" t="str">
        <f>IF(COUNTIF(Target1[Target Dates],Benchmark1[[#This Row],[Benchmark '#1 Dates]])=1,"Pass","Fail")</f>
        <v>Pass</v>
      </c>
      <c r="E878" s="6">
        <f>IF(Benchmark1[[#This Row],[Target Date Check]]="Pass",INDEX(Target1[Target Price],MATCH(Benchmark1[[#This Row],[Benchmark '#1 Dates]],Target1[Target Dates],0)),"-")</f>
        <v>33.729999999999997</v>
      </c>
      <c r="F878" s="22">
        <f>IF(Benchmark1[[#This Row],[Target Date Check]]="Pass",INDEX(Target1[Target Return],MATCH(Benchmark1[[#This Row],[Benchmark '#1 Dates]],Target1[Target Dates],0)),"-")</f>
        <v>3.2665210930893133E-3</v>
      </c>
      <c r="G878" s="1">
        <f>IFERROR(IF(Benchmark1[[#This Row],[Target Date Check]]="Pass",Benchmark1[[#This Row],[Target Return]]-Benchmark1[[#This Row],[Benchmark '#1 Return]],"-"),"-")</f>
        <v>-1.0478330917216162E-2</v>
      </c>
      <c r="H878" s="1" t="str">
        <f>IF(COUNTIF(Comp1[Comparable '#1 Dates],Benchmark1[[#This Row],[Benchmark '#1 Dates]])=1,"Pass","Fail")</f>
        <v>Pass</v>
      </c>
      <c r="I878" s="6">
        <f>IF(Benchmark1[[#This Row],[Comparable '#1 Date Check]]="Pass",INDEX(Comp1[Comparable '#1 Price],MATCH(Benchmark1[[#This Row],[Benchmark '#1 Dates]],Comp1[Comparable '#1 Dates],0)),"-")</f>
        <v>12.05</v>
      </c>
      <c r="J878" s="22">
        <f>IF(Benchmark1[[#This Row],[Comparable '#1 Date Check]]="Pass",INDEX(Comp1[Comparable '#1 Return],MATCH(Benchmark1[[#This Row],[Benchmark '#1 Dates]],Comp1[Comparable '#1 Dates],0)),"-")</f>
        <v>-1.0730602345086894E-2</v>
      </c>
      <c r="K878" s="1">
        <f>IFERROR(IF(Benchmark1[[#This Row],[Comparable '#1 Date Check]]="Pass",Benchmark1[[#This Row],[Comparable '#1 Return]]-Benchmark1[[#This Row],[Benchmark '#1 Return]],"-"),"-")</f>
        <v>-2.4475454355392369E-2</v>
      </c>
      <c r="L878" s="1" t="str">
        <f>IF(COUNTIF(Comp2[Comparable '#2 Dates],Benchmark1[[#This Row],[Benchmark '#1 Dates]])=1,"Pass","Fail")</f>
        <v>Pass</v>
      </c>
      <c r="M878" s="6">
        <f>IF(Benchmark1[[#This Row],[Comparable '#2 Date Check]]="Pass",INDEX(Comp2[Comparable '#2 Price],MATCH(Benchmark1[[#This Row],[Benchmark '#1 Dates]],Comp2[Comparable '#2 Dates],0)),"-")</f>
        <v>30.4</v>
      </c>
      <c r="N878" s="22">
        <f>IF(Benchmark1[[#This Row],[Comparable '#2 Date Check]]="Pass",INDEX(Comp2[Comparable '#2 Return],MATCH(Benchmark1[[#This Row],[Benchmark '#1 Dates]],Comp2[Comparable '#2 Dates],0)),"-")</f>
        <v>1.2578782206860185E-2</v>
      </c>
      <c r="O878" s="1">
        <f>IFERROR(IF(Benchmark1[[#This Row],[Comparable '#2 Date Check]]="Pass",Benchmark1[[#This Row],[Comparable '#2 Return]]-Benchmark1[[#This Row],[Benchmark '#1 Return]],"-"),"-")</f>
        <v>-1.1660698034452899E-3</v>
      </c>
      <c r="P878" s="1" t="str">
        <f>IF(COUNTIF(Comp3[Comparable '#3 Dates],Benchmark1[[#This Row],[Benchmark '#1 Dates]])=1,"Pass","Fail")</f>
        <v>Pass</v>
      </c>
      <c r="Q878" s="6">
        <f>IF(Benchmark1[[#This Row],[Comparable '#3 Date Check]]="Pass",INDEX(Comp3[Comparable '#3 Price],MATCH(Benchmark1[[#This Row],[Benchmark '#1 Dates]],Comp3[Comparable '#3 Dates],0)),"-")</f>
        <v>58.15</v>
      </c>
      <c r="R878" s="22">
        <f>IF(Benchmark1[[#This Row],[Comparable '#3 Date Check]]="Pass",INDEX(Comp3[Comparable '#3 Return],MATCH(Benchmark1[[#This Row],[Benchmark '#1 Dates]],Comp3[Comparable '#3 Dates],0)),"-")</f>
        <v>-7.0259906883827303E-3</v>
      </c>
      <c r="S878" s="1">
        <f>IFERROR(IF(Benchmark1[[#This Row],[Comparable '#3 Date Check]]="Pass",Benchmark1[[#This Row],[Comparable '#3 Return]]-Benchmark1[[#This Row],[Benchmark '#1 Return]],"-"),"-")</f>
        <v>-2.0770842698688206E-2</v>
      </c>
    </row>
    <row r="879" spans="1:19">
      <c r="A879" s="103">
        <v>44558</v>
      </c>
      <c r="B879" s="104">
        <v>4786.3541171662109</v>
      </c>
      <c r="C879" s="4">
        <f t="shared" si="13"/>
        <v>-1.0102458414854745E-3</v>
      </c>
      <c r="D879" s="1" t="str">
        <f>IF(COUNTIF(Target1[Target Dates],Benchmark1[[#This Row],[Benchmark '#1 Dates]])=1,"Pass","Fail")</f>
        <v>Pass</v>
      </c>
      <c r="E879" s="6">
        <f>IF(Benchmark1[[#This Row],[Target Date Check]]="Pass",INDEX(Target1[Target Price],MATCH(Benchmark1[[#This Row],[Benchmark '#1 Dates]],Target1[Target Dates],0)),"-")</f>
        <v>33.24</v>
      </c>
      <c r="F879" s="22">
        <f>IF(Benchmark1[[#This Row],[Target Date Check]]="Pass",INDEX(Target1[Target Return],MATCH(Benchmark1[[#This Row],[Benchmark '#1 Dates]],Target1[Target Dates],0)),"-")</f>
        <v>-1.4633679086311302E-2</v>
      </c>
      <c r="G879" s="1">
        <f>IFERROR(IF(Benchmark1[[#This Row],[Target Date Check]]="Pass",Benchmark1[[#This Row],[Target Return]]-Benchmark1[[#This Row],[Benchmark '#1 Return]],"-"),"-")</f>
        <v>-1.3623433244825827E-2</v>
      </c>
      <c r="H879" s="1" t="str">
        <f>IF(COUNTIF(Comp1[Comparable '#1 Dates],Benchmark1[[#This Row],[Benchmark '#1 Dates]])=1,"Pass","Fail")</f>
        <v>Pass</v>
      </c>
      <c r="I879" s="6">
        <f>IF(Benchmark1[[#This Row],[Comparable '#1 Date Check]]="Pass",INDEX(Comp1[Comparable '#1 Price],MATCH(Benchmark1[[#This Row],[Benchmark '#1 Dates]],Comp1[Comparable '#1 Dates],0)),"-")</f>
        <v>11.98</v>
      </c>
      <c r="J879" s="22">
        <f>IF(Benchmark1[[#This Row],[Comparable '#1 Date Check]]="Pass",INDEX(Comp1[Comparable '#1 Return],MATCH(Benchmark1[[#This Row],[Benchmark '#1 Dates]],Comp1[Comparable '#1 Dates],0)),"-")</f>
        <v>-5.8260672493606908E-3</v>
      </c>
      <c r="K879" s="1">
        <f>IFERROR(IF(Benchmark1[[#This Row],[Comparable '#1 Date Check]]="Pass",Benchmark1[[#This Row],[Comparable '#1 Return]]-Benchmark1[[#This Row],[Benchmark '#1 Return]],"-"),"-")</f>
        <v>-4.8158214078752159E-3</v>
      </c>
      <c r="L879" s="1" t="str">
        <f>IF(COUNTIF(Comp2[Comparable '#2 Dates],Benchmark1[[#This Row],[Benchmark '#1 Dates]])=1,"Pass","Fail")</f>
        <v>Pass</v>
      </c>
      <c r="M879" s="6">
        <f>IF(Benchmark1[[#This Row],[Comparable '#2 Date Check]]="Pass",INDEX(Comp2[Comparable '#2 Price],MATCH(Benchmark1[[#This Row],[Benchmark '#1 Dates]],Comp2[Comparable '#2 Dates],0)),"-")</f>
        <v>29.82</v>
      </c>
      <c r="N879" s="22">
        <f>IF(Benchmark1[[#This Row],[Comparable '#2 Date Check]]="Pass",INDEX(Comp2[Comparable '#2 Return],MATCH(Benchmark1[[#This Row],[Benchmark '#1 Dates]],Comp2[Comparable '#2 Dates],0)),"-")</f>
        <v>-1.9263299075583572E-2</v>
      </c>
      <c r="O879" s="1">
        <f>IFERROR(IF(Benchmark1[[#This Row],[Comparable '#2 Date Check]]="Pass",Benchmark1[[#This Row],[Comparable '#2 Return]]-Benchmark1[[#This Row],[Benchmark '#1 Return]],"-"),"-")</f>
        <v>-1.8253053234098097E-2</v>
      </c>
      <c r="P879" s="1" t="str">
        <f>IF(COUNTIF(Comp3[Comparable '#3 Dates],Benchmark1[[#This Row],[Benchmark '#1 Dates]])=1,"Pass","Fail")</f>
        <v>Pass</v>
      </c>
      <c r="Q879" s="6">
        <f>IF(Benchmark1[[#This Row],[Comparable '#3 Date Check]]="Pass",INDEX(Comp3[Comparable '#3 Price],MATCH(Benchmark1[[#This Row],[Benchmark '#1 Dates]],Comp3[Comparable '#3 Dates],0)),"-")</f>
        <v>58.13</v>
      </c>
      <c r="R879" s="22">
        <f>IF(Benchmark1[[#This Row],[Comparable '#3 Date Check]]="Pass",INDEX(Comp3[Comparable '#3 Return],MATCH(Benchmark1[[#This Row],[Benchmark '#1 Dates]],Comp3[Comparable '#3 Dates],0)),"-")</f>
        <v>-3.4399725141416419E-4</v>
      </c>
      <c r="S879" s="1">
        <f>IFERROR(IF(Benchmark1[[#This Row],[Comparable '#3 Date Check]]="Pass",Benchmark1[[#This Row],[Comparable '#3 Return]]-Benchmark1[[#This Row],[Benchmark '#1 Return]],"-"),"-")</f>
        <v>6.6624859007131032E-4</v>
      </c>
    </row>
    <row r="880" spans="1:19">
      <c r="A880" s="103">
        <v>44559</v>
      </c>
      <c r="B880" s="104">
        <v>4793.0581213472551</v>
      </c>
      <c r="C880" s="4">
        <f t="shared" si="13"/>
        <v>1.399669438707527E-3</v>
      </c>
      <c r="D880" s="1" t="str">
        <f>IF(COUNTIF(Target1[Target Dates],Benchmark1[[#This Row],[Benchmark '#1 Dates]])=1,"Pass","Fail")</f>
        <v>Pass</v>
      </c>
      <c r="E880" s="6">
        <f>IF(Benchmark1[[#This Row],[Target Date Check]]="Pass",INDEX(Target1[Target Price],MATCH(Benchmark1[[#This Row],[Benchmark '#1 Dates]],Target1[Target Dates],0)),"-")</f>
        <v>32.9</v>
      </c>
      <c r="F880" s="22">
        <f>IF(Benchmark1[[#This Row],[Target Date Check]]="Pass",INDEX(Target1[Target Return],MATCH(Benchmark1[[#This Row],[Benchmark '#1 Dates]],Target1[Target Dates],0)),"-")</f>
        <v>-1.0281312215921344E-2</v>
      </c>
      <c r="G880" s="1">
        <f>IFERROR(IF(Benchmark1[[#This Row],[Target Date Check]]="Pass",Benchmark1[[#This Row],[Target Return]]-Benchmark1[[#This Row],[Benchmark '#1 Return]],"-"),"-")</f>
        <v>-1.1680981654628872E-2</v>
      </c>
      <c r="H880" s="1" t="str">
        <f>IF(COUNTIF(Comp1[Comparable '#1 Dates],Benchmark1[[#This Row],[Benchmark '#1 Dates]])=1,"Pass","Fail")</f>
        <v>Pass</v>
      </c>
      <c r="I880" s="6">
        <f>IF(Benchmark1[[#This Row],[Comparable '#1 Date Check]]="Pass",INDEX(Comp1[Comparable '#1 Price],MATCH(Benchmark1[[#This Row],[Benchmark '#1 Dates]],Comp1[Comparable '#1 Dates],0)),"-")</f>
        <v>12.04</v>
      </c>
      <c r="J880" s="22">
        <f>IF(Benchmark1[[#This Row],[Comparable '#1 Date Check]]="Pass",INDEX(Comp1[Comparable '#1 Return],MATCH(Benchmark1[[#This Row],[Benchmark '#1 Dates]],Comp1[Comparable '#1 Dates],0)),"-")</f>
        <v>4.9958471933716697E-3</v>
      </c>
      <c r="K880" s="1">
        <f>IFERROR(IF(Benchmark1[[#This Row],[Comparable '#1 Date Check]]="Pass",Benchmark1[[#This Row],[Comparable '#1 Return]]-Benchmark1[[#This Row],[Benchmark '#1 Return]],"-"),"-")</f>
        <v>3.5961777546641427E-3</v>
      </c>
      <c r="L880" s="1" t="str">
        <f>IF(COUNTIF(Comp2[Comparable '#2 Dates],Benchmark1[[#This Row],[Benchmark '#1 Dates]])=1,"Pass","Fail")</f>
        <v>Pass</v>
      </c>
      <c r="M880" s="6">
        <f>IF(Benchmark1[[#This Row],[Comparable '#2 Date Check]]="Pass",INDEX(Comp2[Comparable '#2 Price],MATCH(Benchmark1[[#This Row],[Benchmark '#1 Dates]],Comp2[Comparable '#2 Dates],0)),"-")</f>
        <v>29.16</v>
      </c>
      <c r="N880" s="22">
        <f>IF(Benchmark1[[#This Row],[Comparable '#2 Date Check]]="Pass",INDEX(Comp2[Comparable '#2 Return],MATCH(Benchmark1[[#This Row],[Benchmark '#1 Dates]],Comp2[Comparable '#2 Dates],0)),"-")</f>
        <v>-2.2381402196134995E-2</v>
      </c>
      <c r="O880" s="1">
        <f>IFERROR(IF(Benchmark1[[#This Row],[Comparable '#2 Date Check]]="Pass",Benchmark1[[#This Row],[Comparable '#2 Return]]-Benchmark1[[#This Row],[Benchmark '#1 Return]],"-"),"-")</f>
        <v>-2.3781071634842523E-2</v>
      </c>
      <c r="P880" s="1" t="str">
        <f>IF(COUNTIF(Comp3[Comparable '#3 Dates],Benchmark1[[#This Row],[Benchmark '#1 Dates]])=1,"Pass","Fail")</f>
        <v>Pass</v>
      </c>
      <c r="Q880" s="6">
        <f>IF(Benchmark1[[#This Row],[Comparable '#3 Date Check]]="Pass",INDEX(Comp3[Comparable '#3 Price],MATCH(Benchmark1[[#This Row],[Benchmark '#1 Dates]],Comp3[Comparable '#3 Dates],0)),"-")</f>
        <v>57.83</v>
      </c>
      <c r="R880" s="22">
        <f>IF(Benchmark1[[#This Row],[Comparable '#3 Date Check]]="Pass",INDEX(Comp3[Comparable '#3 Return],MATCH(Benchmark1[[#This Row],[Benchmark '#1 Dates]],Comp3[Comparable '#3 Dates],0)),"-")</f>
        <v>-5.1742095431323906E-3</v>
      </c>
      <c r="S880" s="1">
        <f>IFERROR(IF(Benchmark1[[#This Row],[Comparable '#3 Date Check]]="Pass",Benchmark1[[#This Row],[Comparable '#3 Return]]-Benchmark1[[#This Row],[Benchmark '#1 Return]],"-"),"-")</f>
        <v>-6.5738789818399175E-3</v>
      </c>
    </row>
    <row r="881" spans="1:19">
      <c r="A881" s="103">
        <v>44560</v>
      </c>
      <c r="B881" s="104">
        <v>4778.7269063721878</v>
      </c>
      <c r="C881" s="4">
        <f t="shared" si="13"/>
        <v>-2.9944729519951374E-3</v>
      </c>
      <c r="D881" s="1" t="str">
        <f>IF(COUNTIF(Target1[Target Dates],Benchmark1[[#This Row],[Benchmark '#1 Dates]])=1,"Pass","Fail")</f>
        <v>Pass</v>
      </c>
      <c r="E881" s="6">
        <f>IF(Benchmark1[[#This Row],[Target Date Check]]="Pass",INDEX(Target1[Target Price],MATCH(Benchmark1[[#This Row],[Benchmark '#1 Dates]],Target1[Target Dates],0)),"-")</f>
        <v>33.11</v>
      </c>
      <c r="F881" s="22">
        <f>IF(Benchmark1[[#This Row],[Target Date Check]]="Pass",INDEX(Target1[Target Return],MATCH(Benchmark1[[#This Row],[Benchmark '#1 Dates]],Target1[Target Dates],0)),"-")</f>
        <v>6.3626937878286504E-3</v>
      </c>
      <c r="G881" s="1">
        <f>IFERROR(IF(Benchmark1[[#This Row],[Target Date Check]]="Pass",Benchmark1[[#This Row],[Target Return]]-Benchmark1[[#This Row],[Benchmark '#1 Return]],"-"),"-")</f>
        <v>9.3571667398237874E-3</v>
      </c>
      <c r="H881" s="1" t="str">
        <f>IF(COUNTIF(Comp1[Comparable '#1 Dates],Benchmark1[[#This Row],[Benchmark '#1 Dates]])=1,"Pass","Fail")</f>
        <v>Pass</v>
      </c>
      <c r="I881" s="6">
        <f>IF(Benchmark1[[#This Row],[Comparable '#1 Date Check]]="Pass",INDEX(Comp1[Comparable '#1 Price],MATCH(Benchmark1[[#This Row],[Benchmark '#1 Dates]],Comp1[Comparable '#1 Dates],0)),"-")</f>
        <v>12.11</v>
      </c>
      <c r="J881" s="22">
        <f>IF(Benchmark1[[#This Row],[Comparable '#1 Date Check]]="Pass",INDEX(Comp1[Comparable '#1 Return],MATCH(Benchmark1[[#This Row],[Benchmark '#1 Dates]],Comp1[Comparable '#1 Dates],0)),"-")</f>
        <v>5.7971176843259146E-3</v>
      </c>
      <c r="K881" s="1">
        <f>IFERROR(IF(Benchmark1[[#This Row],[Comparable '#1 Date Check]]="Pass",Benchmark1[[#This Row],[Comparable '#1 Return]]-Benchmark1[[#This Row],[Benchmark '#1 Return]],"-"),"-")</f>
        <v>8.7915906363210516E-3</v>
      </c>
      <c r="L881" s="1" t="str">
        <f>IF(COUNTIF(Comp2[Comparable '#2 Dates],Benchmark1[[#This Row],[Benchmark '#1 Dates]])=1,"Pass","Fail")</f>
        <v>Pass</v>
      </c>
      <c r="M881" s="6">
        <f>IF(Benchmark1[[#This Row],[Comparable '#2 Date Check]]="Pass",INDEX(Comp2[Comparable '#2 Price],MATCH(Benchmark1[[#This Row],[Benchmark '#1 Dates]],Comp2[Comparable '#2 Dates],0)),"-")</f>
        <v>29.63</v>
      </c>
      <c r="N881" s="22">
        <f>IF(Benchmark1[[#This Row],[Comparable '#2 Date Check]]="Pass",INDEX(Comp2[Comparable '#2 Return],MATCH(Benchmark1[[#This Row],[Benchmark '#1 Dates]],Comp2[Comparable '#2 Dates],0)),"-")</f>
        <v>1.598945444501652E-2</v>
      </c>
      <c r="O881" s="1">
        <f>IFERROR(IF(Benchmark1[[#This Row],[Comparable '#2 Date Check]]="Pass",Benchmark1[[#This Row],[Comparable '#2 Return]]-Benchmark1[[#This Row],[Benchmark '#1 Return]],"-"),"-")</f>
        <v>1.8983927397011657E-2</v>
      </c>
      <c r="P881" s="1" t="str">
        <f>IF(COUNTIF(Comp3[Comparable '#3 Dates],Benchmark1[[#This Row],[Benchmark '#1 Dates]])=1,"Pass","Fail")</f>
        <v>Pass</v>
      </c>
      <c r="Q881" s="6">
        <f>IF(Benchmark1[[#This Row],[Comparable '#3 Date Check]]="Pass",INDEX(Comp3[Comparable '#3 Price],MATCH(Benchmark1[[#This Row],[Benchmark '#1 Dates]],Comp3[Comparable '#3 Dates],0)),"-")</f>
        <v>58.32</v>
      </c>
      <c r="R881" s="22">
        <f>IF(Benchmark1[[#This Row],[Comparable '#3 Date Check]]="Pass",INDEX(Comp3[Comparable '#3 Return],MATCH(Benchmark1[[#This Row],[Benchmark '#1 Dates]],Comp3[Comparable '#3 Dates],0)),"-")</f>
        <v>8.437415530275787E-3</v>
      </c>
      <c r="S881" s="1">
        <f>IFERROR(IF(Benchmark1[[#This Row],[Comparable '#3 Date Check]]="Pass",Benchmark1[[#This Row],[Comparable '#3 Return]]-Benchmark1[[#This Row],[Benchmark '#1 Return]],"-"),"-")</f>
        <v>1.1431888482270924E-2</v>
      </c>
    </row>
    <row r="882" spans="1:19">
      <c r="A882" s="103">
        <v>44561</v>
      </c>
      <c r="B882" s="104">
        <v>4766.182972428307</v>
      </c>
      <c r="C882" s="4">
        <f t="shared" si="13"/>
        <v>-2.6284043170271081E-3</v>
      </c>
      <c r="D882" s="1" t="str">
        <f>IF(COUNTIF(Target1[Target Dates],Benchmark1[[#This Row],[Benchmark '#1 Dates]])=1,"Pass","Fail")</f>
        <v>Pass</v>
      </c>
      <c r="E882" s="6">
        <f>IF(Benchmark1[[#This Row],[Target Date Check]]="Pass",INDEX(Target1[Target Price],MATCH(Benchmark1[[#This Row],[Benchmark '#1 Dates]],Target1[Target Dates],0)),"-")</f>
        <v>33.33</v>
      </c>
      <c r="F882" s="22">
        <f>IF(Benchmark1[[#This Row],[Target Date Check]]="Pass",INDEX(Target1[Target Return],MATCH(Benchmark1[[#This Row],[Benchmark '#1 Dates]],Target1[Target Dates],0)),"-")</f>
        <v>6.6225407604934569E-3</v>
      </c>
      <c r="G882" s="1">
        <f>IFERROR(IF(Benchmark1[[#This Row],[Target Date Check]]="Pass",Benchmark1[[#This Row],[Target Return]]-Benchmark1[[#This Row],[Benchmark '#1 Return]],"-"),"-")</f>
        <v>9.2509450775205646E-3</v>
      </c>
      <c r="H882" s="1" t="str">
        <f>IF(COUNTIF(Comp1[Comparable '#1 Dates],Benchmark1[[#This Row],[Benchmark '#1 Dates]])=1,"Pass","Fail")</f>
        <v>Pass</v>
      </c>
      <c r="I882" s="6">
        <f>IF(Benchmark1[[#This Row],[Comparable '#1 Date Check]]="Pass",INDEX(Comp1[Comparable '#1 Price],MATCH(Benchmark1[[#This Row],[Benchmark '#1 Dates]],Comp1[Comparable '#1 Dates],0)),"-")</f>
        <v>12.24</v>
      </c>
      <c r="J882" s="22">
        <f>IF(Benchmark1[[#This Row],[Comparable '#1 Date Check]]="Pass",INDEX(Comp1[Comparable '#1 Return],MATCH(Benchmark1[[#This Row],[Benchmark '#1 Dates]],Comp1[Comparable '#1 Dates],0)),"-")</f>
        <v>1.067771951917911E-2</v>
      </c>
      <c r="K882" s="1">
        <f>IFERROR(IF(Benchmark1[[#This Row],[Comparable '#1 Date Check]]="Pass",Benchmark1[[#This Row],[Comparable '#1 Return]]-Benchmark1[[#This Row],[Benchmark '#1 Return]],"-"),"-")</f>
        <v>1.3306123836206218E-2</v>
      </c>
      <c r="L882" s="1" t="str">
        <f>IF(COUNTIF(Comp2[Comparable '#2 Dates],Benchmark1[[#This Row],[Benchmark '#1 Dates]])=1,"Pass","Fail")</f>
        <v>Pass</v>
      </c>
      <c r="M882" s="6">
        <f>IF(Benchmark1[[#This Row],[Comparable '#2 Date Check]]="Pass",INDEX(Comp2[Comparable '#2 Price],MATCH(Benchmark1[[#This Row],[Benchmark '#1 Dates]],Comp2[Comparable '#2 Dates],0)),"-")</f>
        <v>29.56</v>
      </c>
      <c r="N882" s="22">
        <f>IF(Benchmark1[[#This Row],[Comparable '#2 Date Check]]="Pass",INDEX(Comp2[Comparable '#2 Return],MATCH(Benchmark1[[#This Row],[Benchmark '#1 Dates]],Comp2[Comparable '#2 Dates],0)),"-")</f>
        <v>-2.3652655054729058E-3</v>
      </c>
      <c r="O882" s="1">
        <f>IFERROR(IF(Benchmark1[[#This Row],[Comparable '#2 Date Check]]="Pass",Benchmark1[[#This Row],[Comparable '#2 Return]]-Benchmark1[[#This Row],[Benchmark '#1 Return]],"-"),"-")</f>
        <v>2.6313881155420231E-4</v>
      </c>
      <c r="P882" s="1" t="str">
        <f>IF(COUNTIF(Comp3[Comparable '#3 Dates],Benchmark1[[#This Row],[Benchmark '#1 Dates]])=1,"Pass","Fail")</f>
        <v>Pass</v>
      </c>
      <c r="Q882" s="6">
        <f>IF(Benchmark1[[#This Row],[Comparable '#3 Date Check]]="Pass",INDEX(Comp3[Comparable '#3 Price],MATCH(Benchmark1[[#This Row],[Benchmark '#1 Dates]],Comp3[Comparable '#3 Dates],0)),"-")</f>
        <v>57.84</v>
      </c>
      <c r="R882" s="22">
        <f>IF(Benchmark1[[#This Row],[Comparable '#3 Date Check]]="Pass",INDEX(Comp3[Comparable '#3 Return],MATCH(Benchmark1[[#This Row],[Benchmark '#1 Dates]],Comp3[Comparable '#3 Dates],0)),"-")</f>
        <v>-8.2645098498934245E-3</v>
      </c>
      <c r="S882" s="1">
        <f>IFERROR(IF(Benchmark1[[#This Row],[Comparable '#3 Date Check]]="Pass",Benchmark1[[#This Row],[Comparable '#3 Return]]-Benchmark1[[#This Row],[Benchmark '#1 Return]],"-"),"-")</f>
        <v>-5.6361055328663159E-3</v>
      </c>
    </row>
    <row r="883" spans="1:19">
      <c r="A883" s="103">
        <v>44564</v>
      </c>
      <c r="B883" s="104">
        <v>4796.5612479014098</v>
      </c>
      <c r="C883" s="4">
        <f t="shared" si="13"/>
        <v>6.3534853515943412E-3</v>
      </c>
      <c r="D883" s="1" t="str">
        <f>IF(COUNTIF(Target1[Target Dates],Benchmark1[[#This Row],[Benchmark '#1 Dates]])=1,"Pass","Fail")</f>
        <v>Pass</v>
      </c>
      <c r="E883" s="6">
        <f>IF(Benchmark1[[#This Row],[Target Date Check]]="Pass",INDEX(Target1[Target Price],MATCH(Benchmark1[[#This Row],[Benchmark '#1 Dates]],Target1[Target Dates],0)),"-")</f>
        <v>33.24</v>
      </c>
      <c r="F883" s="22">
        <f>IF(Benchmark1[[#This Row],[Target Date Check]]="Pass",INDEX(Target1[Target Return],MATCH(Benchmark1[[#This Row],[Benchmark '#1 Dates]],Target1[Target Dates],0)),"-")</f>
        <v>-2.7039223324007472E-3</v>
      </c>
      <c r="G883" s="1">
        <f>IFERROR(IF(Benchmark1[[#This Row],[Target Date Check]]="Pass",Benchmark1[[#This Row],[Target Return]]-Benchmark1[[#This Row],[Benchmark '#1 Return]],"-"),"-")</f>
        <v>-9.057407683995088E-3</v>
      </c>
      <c r="H883" s="1" t="str">
        <f>IF(COUNTIF(Comp1[Comparable '#1 Dates],Benchmark1[[#This Row],[Benchmark '#1 Dates]])=1,"Pass","Fail")</f>
        <v>Pass</v>
      </c>
      <c r="I883" s="6">
        <f>IF(Benchmark1[[#This Row],[Comparable '#1 Date Check]]="Pass",INDEX(Comp1[Comparable '#1 Price],MATCH(Benchmark1[[#This Row],[Benchmark '#1 Dates]],Comp1[Comparable '#1 Dates],0)),"-")</f>
        <v>12.01</v>
      </c>
      <c r="J883" s="22">
        <f>IF(Benchmark1[[#This Row],[Comparable '#1 Date Check]]="Pass",INDEX(Comp1[Comparable '#1 Return],MATCH(Benchmark1[[#This Row],[Benchmark '#1 Dates]],Comp1[Comparable '#1 Dates],0)),"-")</f>
        <v>-1.8969640992287897E-2</v>
      </c>
      <c r="K883" s="1">
        <f>IFERROR(IF(Benchmark1[[#This Row],[Comparable '#1 Date Check]]="Pass",Benchmark1[[#This Row],[Comparable '#1 Return]]-Benchmark1[[#This Row],[Benchmark '#1 Return]],"-"),"-")</f>
        <v>-2.5323126343882237E-2</v>
      </c>
      <c r="L883" s="1" t="str">
        <f>IF(COUNTIF(Comp2[Comparable '#2 Dates],Benchmark1[[#This Row],[Benchmark '#1 Dates]])=1,"Pass","Fail")</f>
        <v>Pass</v>
      </c>
      <c r="M883" s="6">
        <f>IF(Benchmark1[[#This Row],[Comparable '#2 Date Check]]="Pass",INDEX(Comp2[Comparable '#2 Price],MATCH(Benchmark1[[#This Row],[Benchmark '#1 Dates]],Comp2[Comparable '#2 Dates],0)),"-")</f>
        <v>30.65</v>
      </c>
      <c r="N883" s="22">
        <f>IF(Benchmark1[[#This Row],[Comparable '#2 Date Check]]="Pass",INDEX(Comp2[Comparable '#2 Return],MATCH(Benchmark1[[#This Row],[Benchmark '#1 Dates]],Comp2[Comparable '#2 Dates],0)),"-")</f>
        <v>3.6210566302219305E-2</v>
      </c>
      <c r="O883" s="1">
        <f>IFERROR(IF(Benchmark1[[#This Row],[Comparable '#2 Date Check]]="Pass",Benchmark1[[#This Row],[Comparable '#2 Return]]-Benchmark1[[#This Row],[Benchmark '#1 Return]],"-"),"-")</f>
        <v>2.9857080950624962E-2</v>
      </c>
      <c r="P883" s="1" t="str">
        <f>IF(COUNTIF(Comp3[Comparable '#3 Dates],Benchmark1[[#This Row],[Benchmark '#1 Dates]])=1,"Pass","Fail")</f>
        <v>Pass</v>
      </c>
      <c r="Q883" s="6">
        <f>IF(Benchmark1[[#This Row],[Comparable '#3 Date Check]]="Pass",INDEX(Comp3[Comparable '#3 Price],MATCH(Benchmark1[[#This Row],[Benchmark '#1 Dates]],Comp3[Comparable '#3 Dates],0)),"-")</f>
        <v>58.63</v>
      </c>
      <c r="R883" s="22">
        <f>IF(Benchmark1[[#This Row],[Comparable '#3 Date Check]]="Pass",INDEX(Comp3[Comparable '#3 Return],MATCH(Benchmark1[[#This Row],[Benchmark '#1 Dates]],Comp3[Comparable '#3 Dates],0)),"-")</f>
        <v>1.356593312561442E-2</v>
      </c>
      <c r="S883" s="1">
        <f>IFERROR(IF(Benchmark1[[#This Row],[Comparable '#3 Date Check]]="Pass",Benchmark1[[#This Row],[Comparable '#3 Return]]-Benchmark1[[#This Row],[Benchmark '#1 Return]],"-"),"-")</f>
        <v>7.2124477740200792E-3</v>
      </c>
    </row>
    <row r="884" spans="1:19">
      <c r="A884" s="103">
        <v>44565</v>
      </c>
      <c r="B884" s="104">
        <v>4793.5372228116084</v>
      </c>
      <c r="C884" s="4">
        <f t="shared" si="13"/>
        <v>-6.3065571208981792E-4</v>
      </c>
      <c r="D884" s="1" t="str">
        <f>IF(COUNTIF(Target1[Target Dates],Benchmark1[[#This Row],[Benchmark '#1 Dates]])=1,"Pass","Fail")</f>
        <v>Pass</v>
      </c>
      <c r="E884" s="6">
        <f>IF(Benchmark1[[#This Row],[Target Date Check]]="Pass",INDEX(Target1[Target Price],MATCH(Benchmark1[[#This Row],[Benchmark '#1 Dates]],Target1[Target Dates],0)),"-")</f>
        <v>33.200000000000003</v>
      </c>
      <c r="F884" s="22">
        <f>IF(Benchmark1[[#This Row],[Target Date Check]]="Pass",INDEX(Target1[Target Return],MATCH(Benchmark1[[#This Row],[Benchmark '#1 Dates]],Target1[Target Dates],0)),"-")</f>
        <v>-1.2040940648045638E-3</v>
      </c>
      <c r="G884" s="1">
        <f>IFERROR(IF(Benchmark1[[#This Row],[Target Date Check]]="Pass",Benchmark1[[#This Row],[Target Return]]-Benchmark1[[#This Row],[Benchmark '#1 Return]],"-"),"-")</f>
        <v>-5.7343835271474587E-4</v>
      </c>
      <c r="H884" s="1" t="str">
        <f>IF(COUNTIF(Comp1[Comparable '#1 Dates],Benchmark1[[#This Row],[Benchmark '#1 Dates]])=1,"Pass","Fail")</f>
        <v>Pass</v>
      </c>
      <c r="I884" s="6">
        <f>IF(Benchmark1[[#This Row],[Comparable '#1 Date Check]]="Pass",INDEX(Comp1[Comparable '#1 Price],MATCH(Benchmark1[[#This Row],[Benchmark '#1 Dates]],Comp1[Comparable '#1 Dates],0)),"-")</f>
        <v>12.01</v>
      </c>
      <c r="J884" s="22">
        <f>IF(Benchmark1[[#This Row],[Comparable '#1 Date Check]]="Pass",INDEX(Comp1[Comparable '#1 Return],MATCH(Benchmark1[[#This Row],[Benchmark '#1 Dates]],Comp1[Comparable '#1 Dates],0)),"-")</f>
        <v>0</v>
      </c>
      <c r="K884" s="1">
        <f>IFERROR(IF(Benchmark1[[#This Row],[Comparable '#1 Date Check]]="Pass",Benchmark1[[#This Row],[Comparable '#1 Return]]-Benchmark1[[#This Row],[Benchmark '#1 Return]],"-"),"-")</f>
        <v>6.3065571208981792E-4</v>
      </c>
      <c r="L884" s="1" t="str">
        <f>IF(COUNTIF(Comp2[Comparable '#2 Dates],Benchmark1[[#This Row],[Benchmark '#1 Dates]])=1,"Pass","Fail")</f>
        <v>Pass</v>
      </c>
      <c r="M884" s="6">
        <f>IF(Benchmark1[[#This Row],[Comparable '#2 Date Check]]="Pass",INDEX(Comp2[Comparable '#2 Price],MATCH(Benchmark1[[#This Row],[Benchmark '#1 Dates]],Comp2[Comparable '#2 Dates],0)),"-")</f>
        <v>31.5</v>
      </c>
      <c r="N884" s="22">
        <f>IF(Benchmark1[[#This Row],[Comparable '#2 Date Check]]="Pass",INDEX(Comp2[Comparable '#2 Return],MATCH(Benchmark1[[#This Row],[Benchmark '#1 Dates]],Comp2[Comparable '#2 Dates],0)),"-")</f>
        <v>2.7354883449366933E-2</v>
      </c>
      <c r="O884" s="1">
        <f>IFERROR(IF(Benchmark1[[#This Row],[Comparable '#2 Date Check]]="Pass",Benchmark1[[#This Row],[Comparable '#2 Return]]-Benchmark1[[#This Row],[Benchmark '#1 Return]],"-"),"-")</f>
        <v>2.7985539161456751E-2</v>
      </c>
      <c r="P884" s="1" t="str">
        <f>IF(COUNTIF(Comp3[Comparable '#3 Dates],Benchmark1[[#This Row],[Benchmark '#1 Dates]])=1,"Pass","Fail")</f>
        <v>Pass</v>
      </c>
      <c r="Q884" s="6">
        <f>IF(Benchmark1[[#This Row],[Comparable '#3 Date Check]]="Pass",INDEX(Comp3[Comparable '#3 Price],MATCH(Benchmark1[[#This Row],[Benchmark '#1 Dates]],Comp3[Comparable '#3 Dates],0)),"-")</f>
        <v>59.89</v>
      </c>
      <c r="R884" s="22">
        <f>IF(Benchmark1[[#This Row],[Comparable '#3 Date Check]]="Pass",INDEX(Comp3[Comparable '#3 Return],MATCH(Benchmark1[[#This Row],[Benchmark '#1 Dates]],Comp3[Comparable '#3 Dates],0)),"-")</f>
        <v>2.1263035300247278E-2</v>
      </c>
      <c r="S884" s="1">
        <f>IFERROR(IF(Benchmark1[[#This Row],[Comparable '#3 Date Check]]="Pass",Benchmark1[[#This Row],[Comparable '#3 Return]]-Benchmark1[[#This Row],[Benchmark '#1 Return]],"-"),"-")</f>
        <v>2.1893691012337096E-2</v>
      </c>
    </row>
    <row r="885" spans="1:19">
      <c r="A885" s="103">
        <v>44566</v>
      </c>
      <c r="B885" s="104">
        <v>4700.5783684477447</v>
      </c>
      <c r="C885" s="4">
        <f t="shared" si="13"/>
        <v>-1.9583040511001612E-2</v>
      </c>
      <c r="D885" s="1" t="str">
        <f>IF(COUNTIF(Target1[Target Dates],Benchmark1[[#This Row],[Benchmark '#1 Dates]])=1,"Pass","Fail")</f>
        <v>Pass</v>
      </c>
      <c r="E885" s="6">
        <f>IF(Benchmark1[[#This Row],[Target Date Check]]="Pass",INDEX(Target1[Target Price],MATCH(Benchmark1[[#This Row],[Benchmark '#1 Dates]],Target1[Target Dates],0)),"-")</f>
        <v>31.46</v>
      </c>
      <c r="F885" s="22">
        <f>IF(Benchmark1[[#This Row],[Target Date Check]]="Pass",INDEX(Target1[Target Return],MATCH(Benchmark1[[#This Row],[Benchmark '#1 Dates]],Target1[Target Dates],0)),"-")</f>
        <v>-5.3832978292311102E-2</v>
      </c>
      <c r="G885" s="1">
        <f>IFERROR(IF(Benchmark1[[#This Row],[Target Date Check]]="Pass",Benchmark1[[#This Row],[Target Return]]-Benchmark1[[#This Row],[Benchmark '#1 Return]],"-"),"-")</f>
        <v>-3.424993778130949E-2</v>
      </c>
      <c r="H885" s="1" t="str">
        <f>IF(COUNTIF(Comp1[Comparable '#1 Dates],Benchmark1[[#This Row],[Benchmark '#1 Dates]])=1,"Pass","Fail")</f>
        <v>Pass</v>
      </c>
      <c r="I885" s="6">
        <f>IF(Benchmark1[[#This Row],[Comparable '#1 Date Check]]="Pass",INDEX(Comp1[Comparable '#1 Price],MATCH(Benchmark1[[#This Row],[Benchmark '#1 Dates]],Comp1[Comparable '#1 Dates],0)),"-")</f>
        <v>11.93</v>
      </c>
      <c r="J885" s="22">
        <f>IF(Benchmark1[[#This Row],[Comparable '#1 Date Check]]="Pass",INDEX(Comp1[Comparable '#1 Return],MATCH(Benchmark1[[#This Row],[Benchmark '#1 Dates]],Comp1[Comparable '#1 Dates],0)),"-")</f>
        <v>-6.6833999820673801E-3</v>
      </c>
      <c r="K885" s="1">
        <f>IFERROR(IF(Benchmark1[[#This Row],[Comparable '#1 Date Check]]="Pass",Benchmark1[[#This Row],[Comparable '#1 Return]]-Benchmark1[[#This Row],[Benchmark '#1 Return]],"-"),"-")</f>
        <v>1.2899640528934232E-2</v>
      </c>
      <c r="L885" s="1" t="str">
        <f>IF(COUNTIF(Comp2[Comparable '#2 Dates],Benchmark1[[#This Row],[Benchmark '#1 Dates]])=1,"Pass","Fail")</f>
        <v>Pass</v>
      </c>
      <c r="M885" s="6">
        <f>IF(Benchmark1[[#This Row],[Comparable '#2 Date Check]]="Pass",INDEX(Comp2[Comparable '#2 Price],MATCH(Benchmark1[[#This Row],[Benchmark '#1 Dates]],Comp2[Comparable '#2 Dates],0)),"-")</f>
        <v>30.64</v>
      </c>
      <c r="N885" s="22">
        <f>IF(Benchmark1[[#This Row],[Comparable '#2 Date Check]]="Pass",INDEX(Comp2[Comparable '#2 Return],MATCH(Benchmark1[[#This Row],[Benchmark '#1 Dates]],Comp2[Comparable '#2 Dates],0)),"-")</f>
        <v>-2.7681200959196798E-2</v>
      </c>
      <c r="O885" s="1">
        <f>IFERROR(IF(Benchmark1[[#This Row],[Comparable '#2 Date Check]]="Pass",Benchmark1[[#This Row],[Comparable '#2 Return]]-Benchmark1[[#This Row],[Benchmark '#1 Return]],"-"),"-")</f>
        <v>-8.0981604481951859E-3</v>
      </c>
      <c r="P885" s="1" t="str">
        <f>IF(COUNTIF(Comp3[Comparable '#3 Dates],Benchmark1[[#This Row],[Benchmark '#1 Dates]])=1,"Pass","Fail")</f>
        <v>Pass</v>
      </c>
      <c r="Q885" s="6">
        <f>IF(Benchmark1[[#This Row],[Comparable '#3 Date Check]]="Pass",INDEX(Comp3[Comparable '#3 Price],MATCH(Benchmark1[[#This Row],[Benchmark '#1 Dates]],Comp3[Comparable '#3 Dates],0)),"-")</f>
        <v>58.18</v>
      </c>
      <c r="R885" s="22">
        <f>IF(Benchmark1[[#This Row],[Comparable '#3 Date Check]]="Pass",INDEX(Comp3[Comparable '#3 Return],MATCH(Benchmark1[[#This Row],[Benchmark '#1 Dates]],Comp3[Comparable '#3 Dates],0)),"-")</f>
        <v>-2.8967893209315431E-2</v>
      </c>
      <c r="S885" s="1">
        <f>IFERROR(IF(Benchmark1[[#This Row],[Comparable '#3 Date Check]]="Pass",Benchmark1[[#This Row],[Comparable '#3 Return]]-Benchmark1[[#This Row],[Benchmark '#1 Return]],"-"),"-")</f>
        <v>-9.384852698313819E-3</v>
      </c>
    </row>
    <row r="886" spans="1:19">
      <c r="A886" s="103">
        <v>44567</v>
      </c>
      <c r="B886" s="104">
        <v>4696.0538280245282</v>
      </c>
      <c r="C886" s="4">
        <f t="shared" si="13"/>
        <v>-9.6301327502940515E-4</v>
      </c>
      <c r="D886" s="1" t="str">
        <f>IF(COUNTIF(Target1[Target Dates],Benchmark1[[#This Row],[Benchmark '#1 Dates]])=1,"Pass","Fail")</f>
        <v>Pass</v>
      </c>
      <c r="E886" s="6">
        <f>IF(Benchmark1[[#This Row],[Target Date Check]]="Pass",INDEX(Target1[Target Price],MATCH(Benchmark1[[#This Row],[Benchmark '#1 Dates]],Target1[Target Dates],0)),"-")</f>
        <v>31.95</v>
      </c>
      <c r="F886" s="22">
        <f>IF(Benchmark1[[#This Row],[Target Date Check]]="Pass",INDEX(Target1[Target Return],MATCH(Benchmark1[[#This Row],[Benchmark '#1 Dates]],Target1[Target Dates],0)),"-")</f>
        <v>1.5455283193411919E-2</v>
      </c>
      <c r="G886" s="1">
        <f>IFERROR(IF(Benchmark1[[#This Row],[Target Date Check]]="Pass",Benchmark1[[#This Row],[Target Return]]-Benchmark1[[#This Row],[Benchmark '#1 Return]],"-"),"-")</f>
        <v>1.6418296468441323E-2</v>
      </c>
      <c r="H886" s="1" t="str">
        <f>IF(COUNTIF(Comp1[Comparable '#1 Dates],Benchmark1[[#This Row],[Benchmark '#1 Dates]])=1,"Pass","Fail")</f>
        <v>Pass</v>
      </c>
      <c r="I886" s="6">
        <f>IF(Benchmark1[[#This Row],[Comparable '#1 Date Check]]="Pass",INDEX(Comp1[Comparable '#1 Price],MATCH(Benchmark1[[#This Row],[Benchmark '#1 Dates]],Comp1[Comparable '#1 Dates],0)),"-")</f>
        <v>12.07</v>
      </c>
      <c r="J886" s="22">
        <f>IF(Benchmark1[[#This Row],[Comparable '#1 Date Check]]="Pass",INDEX(Comp1[Comparable '#1 Return],MATCH(Benchmark1[[#This Row],[Benchmark '#1 Dates]],Comp1[Comparable '#1 Dates],0)),"-")</f>
        <v>1.1666798999615381E-2</v>
      </c>
      <c r="K886" s="1">
        <f>IFERROR(IF(Benchmark1[[#This Row],[Comparable '#1 Date Check]]="Pass",Benchmark1[[#This Row],[Comparable '#1 Return]]-Benchmark1[[#This Row],[Benchmark '#1 Return]],"-"),"-")</f>
        <v>1.2629812274644787E-2</v>
      </c>
      <c r="L886" s="1" t="str">
        <f>IF(COUNTIF(Comp2[Comparable '#2 Dates],Benchmark1[[#This Row],[Benchmark '#1 Dates]])=1,"Pass","Fail")</f>
        <v>Pass</v>
      </c>
      <c r="M886" s="6">
        <f>IF(Benchmark1[[#This Row],[Comparable '#2 Date Check]]="Pass",INDEX(Comp2[Comparable '#2 Price],MATCH(Benchmark1[[#This Row],[Benchmark '#1 Dates]],Comp2[Comparable '#2 Dates],0)),"-")</f>
        <v>30.58</v>
      </c>
      <c r="N886" s="22">
        <f>IF(Benchmark1[[#This Row],[Comparable '#2 Date Check]]="Pass",INDEX(Comp2[Comparable '#2 Return],MATCH(Benchmark1[[#This Row],[Benchmark '#1 Dates]],Comp2[Comparable '#2 Dates],0)),"-")</f>
        <v>-1.9601443714744008E-3</v>
      </c>
      <c r="O886" s="1">
        <f>IFERROR(IF(Benchmark1[[#This Row],[Comparable '#2 Date Check]]="Pass",Benchmark1[[#This Row],[Comparable '#2 Return]]-Benchmark1[[#This Row],[Benchmark '#1 Return]],"-"),"-")</f>
        <v>-9.9713109644499571E-4</v>
      </c>
      <c r="P886" s="1" t="str">
        <f>IF(COUNTIF(Comp3[Comparable '#3 Dates],Benchmark1[[#This Row],[Benchmark '#1 Dates]])=1,"Pass","Fail")</f>
        <v>Pass</v>
      </c>
      <c r="Q886" s="6">
        <f>IF(Benchmark1[[#This Row],[Comparable '#3 Date Check]]="Pass",INDEX(Comp3[Comparable '#3 Price],MATCH(Benchmark1[[#This Row],[Benchmark '#1 Dates]],Comp3[Comparable '#3 Dates],0)),"-")</f>
        <v>58.43</v>
      </c>
      <c r="R886" s="22">
        <f>IF(Benchmark1[[#This Row],[Comparable '#3 Date Check]]="Pass",INDEX(Comp3[Comparable '#3 Return],MATCH(Benchmark1[[#This Row],[Benchmark '#1 Dates]],Comp3[Comparable '#3 Dates],0)),"-")</f>
        <v>4.2878034992900179E-3</v>
      </c>
      <c r="S886" s="1">
        <f>IFERROR(IF(Benchmark1[[#This Row],[Comparable '#3 Date Check]]="Pass",Benchmark1[[#This Row],[Comparable '#3 Return]]-Benchmark1[[#This Row],[Benchmark '#1 Return]],"-"),"-")</f>
        <v>5.250816774319423E-3</v>
      </c>
    </row>
    <row r="887" spans="1:19">
      <c r="A887" s="103">
        <v>44568</v>
      </c>
      <c r="B887" s="104">
        <v>4677.0276567339351</v>
      </c>
      <c r="C887" s="4">
        <f t="shared" si="13"/>
        <v>-4.0597529112120717E-3</v>
      </c>
      <c r="D887" s="1" t="str">
        <f>IF(COUNTIF(Target1[Target Dates],Benchmark1[[#This Row],[Benchmark '#1 Dates]])=1,"Pass","Fail")</f>
        <v>Pass</v>
      </c>
      <c r="E887" s="6">
        <f>IF(Benchmark1[[#This Row],[Target Date Check]]="Pass",INDEX(Target1[Target Price],MATCH(Benchmark1[[#This Row],[Benchmark '#1 Dates]],Target1[Target Dates],0)),"-")</f>
        <v>31.55</v>
      </c>
      <c r="F887" s="22">
        <f>IF(Benchmark1[[#This Row],[Target Date Check]]="Pass",INDEX(Target1[Target Return],MATCH(Benchmark1[[#This Row],[Benchmark '#1 Dates]],Target1[Target Dates],0)),"-")</f>
        <v>-1.2598591836321605E-2</v>
      </c>
      <c r="G887" s="1">
        <f>IFERROR(IF(Benchmark1[[#This Row],[Target Date Check]]="Pass",Benchmark1[[#This Row],[Target Return]]-Benchmark1[[#This Row],[Benchmark '#1 Return]],"-"),"-")</f>
        <v>-8.5388389251095341E-3</v>
      </c>
      <c r="H887" s="1" t="str">
        <f>IF(COUNTIF(Comp1[Comparable '#1 Dates],Benchmark1[[#This Row],[Benchmark '#1 Dates]])=1,"Pass","Fail")</f>
        <v>Pass</v>
      </c>
      <c r="I887" s="6">
        <f>IF(Benchmark1[[#This Row],[Comparable '#1 Date Check]]="Pass",INDEX(Comp1[Comparable '#1 Price],MATCH(Benchmark1[[#This Row],[Benchmark '#1 Dates]],Comp1[Comparable '#1 Dates],0)),"-")</f>
        <v>12.14</v>
      </c>
      <c r="J887" s="22">
        <f>IF(Benchmark1[[#This Row],[Comparable '#1 Date Check]]="Pass",INDEX(Comp1[Comparable '#1 Return],MATCH(Benchmark1[[#This Row],[Benchmark '#1 Dates]],Comp1[Comparable '#1 Dates],0)),"-")</f>
        <v>5.7827505219121269E-3</v>
      </c>
      <c r="K887" s="1">
        <f>IFERROR(IF(Benchmark1[[#This Row],[Comparable '#1 Date Check]]="Pass",Benchmark1[[#This Row],[Comparable '#1 Return]]-Benchmark1[[#This Row],[Benchmark '#1 Return]],"-"),"-")</f>
        <v>9.8425034331241987E-3</v>
      </c>
      <c r="L887" s="1" t="str">
        <f>IF(COUNTIF(Comp2[Comparable '#2 Dates],Benchmark1[[#This Row],[Benchmark '#1 Dates]])=1,"Pass","Fail")</f>
        <v>Pass</v>
      </c>
      <c r="M887" s="6">
        <f>IF(Benchmark1[[#This Row],[Comparable '#2 Date Check]]="Pass",INDEX(Comp2[Comparable '#2 Price],MATCH(Benchmark1[[#This Row],[Benchmark '#1 Dates]],Comp2[Comparable '#2 Dates],0)),"-")</f>
        <v>30.18</v>
      </c>
      <c r="N887" s="22">
        <f>IF(Benchmark1[[#This Row],[Comparable '#2 Date Check]]="Pass",INDEX(Comp2[Comparable '#2 Return],MATCH(Benchmark1[[#This Row],[Benchmark '#1 Dates]],Comp2[Comparable '#2 Dates],0)),"-")</f>
        <v>-1.3166747161213341E-2</v>
      </c>
      <c r="O887" s="1">
        <f>IFERROR(IF(Benchmark1[[#This Row],[Comparable '#2 Date Check]]="Pass",Benchmark1[[#This Row],[Comparable '#2 Return]]-Benchmark1[[#This Row],[Benchmark '#1 Return]],"-"),"-")</f>
        <v>-9.1069942500012699E-3</v>
      </c>
      <c r="P887" s="1" t="str">
        <f>IF(COUNTIF(Comp3[Comparable '#3 Dates],Benchmark1[[#This Row],[Benchmark '#1 Dates]])=1,"Pass","Fail")</f>
        <v>Pass</v>
      </c>
      <c r="Q887" s="6">
        <f>IF(Benchmark1[[#This Row],[Comparable '#3 Date Check]]="Pass",INDEX(Comp3[Comparable '#3 Price],MATCH(Benchmark1[[#This Row],[Benchmark '#1 Dates]],Comp3[Comparable '#3 Dates],0)),"-")</f>
        <v>58.61</v>
      </c>
      <c r="R887" s="22">
        <f>IF(Benchmark1[[#This Row],[Comparable '#3 Date Check]]="Pass",INDEX(Comp3[Comparable '#3 Return],MATCH(Benchmark1[[#This Row],[Benchmark '#1 Dates]],Comp3[Comparable '#3 Dates],0)),"-")</f>
        <v>3.0758739219922883E-3</v>
      </c>
      <c r="S887" s="1">
        <f>IFERROR(IF(Benchmark1[[#This Row],[Comparable '#3 Date Check]]="Pass",Benchmark1[[#This Row],[Comparable '#3 Return]]-Benchmark1[[#This Row],[Benchmark '#1 Return]],"-"),"-")</f>
        <v>7.1356268332043605E-3</v>
      </c>
    </row>
    <row r="888" spans="1:19">
      <c r="A888" s="103">
        <v>44571</v>
      </c>
      <c r="B888" s="104">
        <v>4670.2903786264269</v>
      </c>
      <c r="C888" s="4">
        <f t="shared" si="13"/>
        <v>-1.4415427502774262E-3</v>
      </c>
      <c r="D888" s="1" t="str">
        <f>IF(COUNTIF(Target1[Target Dates],Benchmark1[[#This Row],[Benchmark '#1 Dates]])=1,"Pass","Fail")</f>
        <v>Pass</v>
      </c>
      <c r="E888" s="6">
        <f>IF(Benchmark1[[#This Row],[Target Date Check]]="Pass",INDEX(Target1[Target Price],MATCH(Benchmark1[[#This Row],[Benchmark '#1 Dates]],Target1[Target Dates],0)),"-")</f>
        <v>31.56</v>
      </c>
      <c r="F888" s="22">
        <f>IF(Benchmark1[[#This Row],[Target Date Check]]="Pass",INDEX(Target1[Target Return],MATCH(Benchmark1[[#This Row],[Benchmark '#1 Dates]],Target1[Target Dates],0)),"-")</f>
        <v>3.1690699045118726E-4</v>
      </c>
      <c r="G888" s="1">
        <f>IFERROR(IF(Benchmark1[[#This Row],[Target Date Check]]="Pass",Benchmark1[[#This Row],[Target Return]]-Benchmark1[[#This Row],[Benchmark '#1 Return]],"-"),"-")</f>
        <v>1.7584497407286135E-3</v>
      </c>
      <c r="H888" s="1" t="str">
        <f>IF(COUNTIF(Comp1[Comparable '#1 Dates],Benchmark1[[#This Row],[Benchmark '#1 Dates]])=1,"Pass","Fail")</f>
        <v>Pass</v>
      </c>
      <c r="I888" s="6">
        <f>IF(Benchmark1[[#This Row],[Comparable '#1 Date Check]]="Pass",INDEX(Comp1[Comparable '#1 Price],MATCH(Benchmark1[[#This Row],[Benchmark '#1 Dates]],Comp1[Comparable '#1 Dates],0)),"-")</f>
        <v>12.06</v>
      </c>
      <c r="J888" s="22">
        <f>IF(Benchmark1[[#This Row],[Comparable '#1 Date Check]]="Pass",INDEX(Comp1[Comparable '#1 Return],MATCH(Benchmark1[[#This Row],[Benchmark '#1 Dates]],Comp1[Comparable '#1 Dates],0)),"-")</f>
        <v>-6.611594332312818E-3</v>
      </c>
      <c r="K888" s="1">
        <f>IFERROR(IF(Benchmark1[[#This Row],[Comparable '#1 Date Check]]="Pass",Benchmark1[[#This Row],[Comparable '#1 Return]]-Benchmark1[[#This Row],[Benchmark '#1 Return]],"-"),"-")</f>
        <v>-5.1700515820353923E-3</v>
      </c>
      <c r="L888" s="1" t="str">
        <f>IF(COUNTIF(Comp2[Comparable '#2 Dates],Benchmark1[[#This Row],[Benchmark '#1 Dates]])=1,"Pass","Fail")</f>
        <v>Pass</v>
      </c>
      <c r="M888" s="6">
        <f>IF(Benchmark1[[#This Row],[Comparable '#2 Date Check]]="Pass",INDEX(Comp2[Comparable '#2 Price],MATCH(Benchmark1[[#This Row],[Benchmark '#1 Dates]],Comp2[Comparable '#2 Dates],0)),"-")</f>
        <v>30.21</v>
      </c>
      <c r="N888" s="22">
        <f>IF(Benchmark1[[#This Row],[Comparable '#2 Date Check]]="Pass",INDEX(Comp2[Comparable '#2 Return],MATCH(Benchmark1[[#This Row],[Benchmark '#1 Dates]],Comp2[Comparable '#2 Dates],0)),"-")</f>
        <v>9.9354205887773562E-4</v>
      </c>
      <c r="O888" s="1">
        <f>IFERROR(IF(Benchmark1[[#This Row],[Comparable '#2 Date Check]]="Pass",Benchmark1[[#This Row],[Comparable '#2 Return]]-Benchmark1[[#This Row],[Benchmark '#1 Return]],"-"),"-")</f>
        <v>2.4350848091551618E-3</v>
      </c>
      <c r="P888" s="1" t="str">
        <f>IF(COUNTIF(Comp3[Comparable '#3 Dates],Benchmark1[[#This Row],[Benchmark '#1 Dates]])=1,"Pass","Fail")</f>
        <v>Pass</v>
      </c>
      <c r="Q888" s="6">
        <f>IF(Benchmark1[[#This Row],[Comparable '#3 Date Check]]="Pass",INDEX(Comp3[Comparable '#3 Price],MATCH(Benchmark1[[#This Row],[Benchmark '#1 Dates]],Comp3[Comparable '#3 Dates],0)),"-")</f>
        <v>60.33</v>
      </c>
      <c r="R888" s="22">
        <f>IF(Benchmark1[[#This Row],[Comparable '#3 Date Check]]="Pass",INDEX(Comp3[Comparable '#3 Return],MATCH(Benchmark1[[#This Row],[Benchmark '#1 Dates]],Comp3[Comparable '#3 Dates],0)),"-")</f>
        <v>2.8924161964332538E-2</v>
      </c>
      <c r="S888" s="1">
        <f>IFERROR(IF(Benchmark1[[#This Row],[Comparable '#3 Date Check]]="Pass",Benchmark1[[#This Row],[Comparable '#3 Return]]-Benchmark1[[#This Row],[Benchmark '#1 Return]],"-"),"-")</f>
        <v>3.0365704714609965E-2</v>
      </c>
    </row>
    <row r="889" spans="1:19">
      <c r="A889" s="103">
        <v>44572</v>
      </c>
      <c r="B889" s="104">
        <v>4713.0673219674927</v>
      </c>
      <c r="C889" s="4">
        <f t="shared" si="13"/>
        <v>9.1176828275131242E-3</v>
      </c>
      <c r="D889" s="1" t="str">
        <f>IF(COUNTIF(Target1[Target Dates],Benchmark1[[#This Row],[Benchmark '#1 Dates]])=1,"Pass","Fail")</f>
        <v>Pass</v>
      </c>
      <c r="E889" s="6">
        <f>IF(Benchmark1[[#This Row],[Target Date Check]]="Pass",INDEX(Target1[Target Price],MATCH(Benchmark1[[#This Row],[Benchmark '#1 Dates]],Target1[Target Dates],0)),"-")</f>
        <v>31.79</v>
      </c>
      <c r="F889" s="22">
        <f>IF(Benchmark1[[#This Row],[Target Date Check]]="Pass",INDEX(Target1[Target Return],MATCH(Benchmark1[[#This Row],[Benchmark '#1 Dates]],Target1[Target Dates],0)),"-")</f>
        <v>7.2612789450377854E-3</v>
      </c>
      <c r="G889" s="1">
        <f>IFERROR(IF(Benchmark1[[#This Row],[Target Date Check]]="Pass",Benchmark1[[#This Row],[Target Return]]-Benchmark1[[#This Row],[Benchmark '#1 Return]],"-"),"-")</f>
        <v>-1.8564038824753389E-3</v>
      </c>
      <c r="H889" s="1" t="str">
        <f>IF(COUNTIF(Comp1[Comparable '#1 Dates],Benchmark1[[#This Row],[Benchmark '#1 Dates]])=1,"Pass","Fail")</f>
        <v>Pass</v>
      </c>
      <c r="I889" s="6">
        <f>IF(Benchmark1[[#This Row],[Comparable '#1 Date Check]]="Pass",INDEX(Comp1[Comparable '#1 Price],MATCH(Benchmark1[[#This Row],[Benchmark '#1 Dates]],Comp1[Comparable '#1 Dates],0)),"-")</f>
        <v>12.1</v>
      </c>
      <c r="J889" s="22">
        <f>IF(Benchmark1[[#This Row],[Comparable '#1 Date Check]]="Pass",INDEX(Comp1[Comparable '#1 Return],MATCH(Benchmark1[[#This Row],[Benchmark '#1 Dates]],Comp1[Comparable '#1 Dates],0)),"-")</f>
        <v>3.3112613036560051E-3</v>
      </c>
      <c r="K889" s="1">
        <f>IFERROR(IF(Benchmark1[[#This Row],[Comparable '#1 Date Check]]="Pass",Benchmark1[[#This Row],[Comparable '#1 Return]]-Benchmark1[[#This Row],[Benchmark '#1 Return]],"-"),"-")</f>
        <v>-5.8064215238571191E-3</v>
      </c>
      <c r="L889" s="1" t="str">
        <f>IF(COUNTIF(Comp2[Comparable '#2 Dates],Benchmark1[[#This Row],[Benchmark '#1 Dates]])=1,"Pass","Fail")</f>
        <v>Pass</v>
      </c>
      <c r="M889" s="6">
        <f>IF(Benchmark1[[#This Row],[Comparable '#2 Date Check]]="Pass",INDEX(Comp2[Comparable '#2 Price],MATCH(Benchmark1[[#This Row],[Benchmark '#1 Dates]],Comp2[Comparable '#2 Dates],0)),"-")</f>
        <v>30.53</v>
      </c>
      <c r="N889" s="22">
        <f>IF(Benchmark1[[#This Row],[Comparable '#2 Date Check]]="Pass",INDEX(Comp2[Comparable '#2 Return],MATCH(Benchmark1[[#This Row],[Benchmark '#1 Dates]],Comp2[Comparable '#2 Dates],0)),"-")</f>
        <v>1.0536811348205834E-2</v>
      </c>
      <c r="O889" s="1">
        <f>IFERROR(IF(Benchmark1[[#This Row],[Comparable '#2 Date Check]]="Pass",Benchmark1[[#This Row],[Comparable '#2 Return]]-Benchmark1[[#This Row],[Benchmark '#1 Return]],"-"),"-")</f>
        <v>1.4191285206927098E-3</v>
      </c>
      <c r="P889" s="1" t="str">
        <f>IF(COUNTIF(Comp3[Comparable '#3 Dates],Benchmark1[[#This Row],[Benchmark '#1 Dates]])=1,"Pass","Fail")</f>
        <v>Pass</v>
      </c>
      <c r="Q889" s="6">
        <f>IF(Benchmark1[[#This Row],[Comparable '#3 Date Check]]="Pass",INDEX(Comp3[Comparable '#3 Price],MATCH(Benchmark1[[#This Row],[Benchmark '#1 Dates]],Comp3[Comparable '#3 Dates],0)),"-")</f>
        <v>60.17</v>
      </c>
      <c r="R889" s="22">
        <f>IF(Benchmark1[[#This Row],[Comparable '#3 Date Check]]="Pass",INDEX(Comp3[Comparable '#3 Return],MATCH(Benchmark1[[#This Row],[Benchmark '#1 Dates]],Comp3[Comparable '#3 Dates],0)),"-")</f>
        <v>-2.6556032204099029E-3</v>
      </c>
      <c r="S889" s="1">
        <f>IFERROR(IF(Benchmark1[[#This Row],[Comparable '#3 Date Check]]="Pass",Benchmark1[[#This Row],[Comparable '#3 Return]]-Benchmark1[[#This Row],[Benchmark '#1 Return]],"-"),"-")</f>
        <v>-1.1773286047923028E-2</v>
      </c>
    </row>
    <row r="890" spans="1:19">
      <c r="A890" s="103">
        <v>44573</v>
      </c>
      <c r="B890" s="104">
        <v>4726.3457228254238</v>
      </c>
      <c r="C890" s="4">
        <f t="shared" si="13"/>
        <v>2.813397306243132E-3</v>
      </c>
      <c r="D890" s="1" t="str">
        <f>IF(COUNTIF(Target1[Target Dates],Benchmark1[[#This Row],[Benchmark '#1 Dates]])=1,"Pass","Fail")</f>
        <v>Pass</v>
      </c>
      <c r="E890" s="6">
        <f>IF(Benchmark1[[#This Row],[Target Date Check]]="Pass",INDEX(Target1[Target Price],MATCH(Benchmark1[[#This Row],[Benchmark '#1 Dates]],Target1[Target Dates],0)),"-")</f>
        <v>31.27</v>
      </c>
      <c r="F890" s="22">
        <f>IF(Benchmark1[[#This Row],[Target Date Check]]="Pass",INDEX(Target1[Target Return],MATCH(Benchmark1[[#This Row],[Benchmark '#1 Dates]],Target1[Target Dates],0)),"-")</f>
        <v>-1.6492603452961368E-2</v>
      </c>
      <c r="G890" s="1">
        <f>IFERROR(IF(Benchmark1[[#This Row],[Target Date Check]]="Pass",Benchmark1[[#This Row],[Target Return]]-Benchmark1[[#This Row],[Benchmark '#1 Return]],"-"),"-")</f>
        <v>-1.9306000759204502E-2</v>
      </c>
      <c r="H890" s="1" t="str">
        <f>IF(COUNTIF(Comp1[Comparable '#1 Dates],Benchmark1[[#This Row],[Benchmark '#1 Dates]])=1,"Pass","Fail")</f>
        <v>Pass</v>
      </c>
      <c r="I890" s="6">
        <f>IF(Benchmark1[[#This Row],[Comparable '#1 Date Check]]="Pass",INDEX(Comp1[Comparable '#1 Price],MATCH(Benchmark1[[#This Row],[Benchmark '#1 Dates]],Comp1[Comparable '#1 Dates],0)),"-")</f>
        <v>12</v>
      </c>
      <c r="J890" s="22">
        <f>IF(Benchmark1[[#This Row],[Comparable '#1 Date Check]]="Pass",INDEX(Comp1[Comparable '#1 Return],MATCH(Benchmark1[[#This Row],[Benchmark '#1 Dates]],Comp1[Comparable '#1 Dates],0)),"-")</f>
        <v>-8.2988028146950658E-3</v>
      </c>
      <c r="K890" s="1">
        <f>IFERROR(IF(Benchmark1[[#This Row],[Comparable '#1 Date Check]]="Pass",Benchmark1[[#This Row],[Comparable '#1 Return]]-Benchmark1[[#This Row],[Benchmark '#1 Return]],"-"),"-")</f>
        <v>-1.1112200120938198E-2</v>
      </c>
      <c r="L890" s="1" t="str">
        <f>IF(COUNTIF(Comp2[Comparable '#2 Dates],Benchmark1[[#This Row],[Benchmark '#1 Dates]])=1,"Pass","Fail")</f>
        <v>Pass</v>
      </c>
      <c r="M890" s="6">
        <f>IF(Benchmark1[[#This Row],[Comparable '#2 Date Check]]="Pass",INDEX(Comp2[Comparable '#2 Price],MATCH(Benchmark1[[#This Row],[Benchmark '#1 Dates]],Comp2[Comparable '#2 Dates],0)),"-")</f>
        <v>29.49</v>
      </c>
      <c r="N890" s="22">
        <f>IF(Benchmark1[[#This Row],[Comparable '#2 Date Check]]="Pass",INDEX(Comp2[Comparable '#2 Return],MATCH(Benchmark1[[#This Row],[Benchmark '#1 Dates]],Comp2[Comparable '#2 Dates],0)),"-")</f>
        <v>-3.4658583919601714E-2</v>
      </c>
      <c r="O890" s="1">
        <f>IFERROR(IF(Benchmark1[[#This Row],[Comparable '#2 Date Check]]="Pass",Benchmark1[[#This Row],[Comparable '#2 Return]]-Benchmark1[[#This Row],[Benchmark '#1 Return]],"-"),"-")</f>
        <v>-3.7471981225844844E-2</v>
      </c>
      <c r="P890" s="1" t="str">
        <f>IF(COUNTIF(Comp3[Comparable '#3 Dates],Benchmark1[[#This Row],[Benchmark '#1 Dates]])=1,"Pass","Fail")</f>
        <v>Pass</v>
      </c>
      <c r="Q890" s="6">
        <f>IF(Benchmark1[[#This Row],[Comparable '#3 Date Check]]="Pass",INDEX(Comp3[Comparable '#3 Price],MATCH(Benchmark1[[#This Row],[Benchmark '#1 Dates]],Comp3[Comparable '#3 Dates],0)),"-")</f>
        <v>58.46</v>
      </c>
      <c r="R890" s="22">
        <f>IF(Benchmark1[[#This Row],[Comparable '#3 Date Check]]="Pass",INDEX(Comp3[Comparable '#3 Return],MATCH(Benchmark1[[#This Row],[Benchmark '#1 Dates]],Comp3[Comparable '#3 Dates],0)),"-")</f>
        <v>-2.883112954916053E-2</v>
      </c>
      <c r="S890" s="1">
        <f>IFERROR(IF(Benchmark1[[#This Row],[Comparable '#3 Date Check]]="Pass",Benchmark1[[#This Row],[Comparable '#3 Return]]-Benchmark1[[#This Row],[Benchmark '#1 Return]],"-"),"-")</f>
        <v>-3.1644526855403664E-2</v>
      </c>
    </row>
    <row r="891" spans="1:19">
      <c r="A891" s="103">
        <v>44574</v>
      </c>
      <c r="B891" s="104">
        <v>4659.0254901973985</v>
      </c>
      <c r="C891" s="4">
        <f t="shared" si="13"/>
        <v>-1.4346025465679499E-2</v>
      </c>
      <c r="D891" s="1" t="str">
        <f>IF(COUNTIF(Target1[Target Dates],Benchmark1[[#This Row],[Benchmark '#1 Dates]])=1,"Pass","Fail")</f>
        <v>Pass</v>
      </c>
      <c r="E891" s="6">
        <f>IF(Benchmark1[[#This Row],[Target Date Check]]="Pass",INDEX(Target1[Target Price],MATCH(Benchmark1[[#This Row],[Benchmark '#1 Dates]],Target1[Target Dates],0)),"-")</f>
        <v>30.17</v>
      </c>
      <c r="F891" s="22">
        <f>IF(Benchmark1[[#This Row],[Target Date Check]]="Pass",INDEX(Target1[Target Return],MATCH(Benchmark1[[#This Row],[Benchmark '#1 Dates]],Target1[Target Dates],0)),"-")</f>
        <v>-3.5811118298780087E-2</v>
      </c>
      <c r="G891" s="1">
        <f>IFERROR(IF(Benchmark1[[#This Row],[Target Date Check]]="Pass",Benchmark1[[#This Row],[Target Return]]-Benchmark1[[#This Row],[Benchmark '#1 Return]],"-"),"-")</f>
        <v>-2.1465092833100587E-2</v>
      </c>
      <c r="H891" s="1" t="str">
        <f>IF(COUNTIF(Comp1[Comparable '#1 Dates],Benchmark1[[#This Row],[Benchmark '#1 Dates]])=1,"Pass","Fail")</f>
        <v>Pass</v>
      </c>
      <c r="I891" s="6">
        <f>IF(Benchmark1[[#This Row],[Comparable '#1 Date Check]]="Pass",INDEX(Comp1[Comparable '#1 Price],MATCH(Benchmark1[[#This Row],[Benchmark '#1 Dates]],Comp1[Comparable '#1 Dates],0)),"-")</f>
        <v>11.85</v>
      </c>
      <c r="J891" s="22">
        <f>IF(Benchmark1[[#This Row],[Comparable '#1 Date Check]]="Pass",INDEX(Comp1[Comparable '#1 Return],MATCH(Benchmark1[[#This Row],[Benchmark '#1 Dates]],Comp1[Comparable '#1 Dates],0)),"-")</f>
        <v>-1.2578782206860185E-2</v>
      </c>
      <c r="K891" s="1">
        <f>IFERROR(IF(Benchmark1[[#This Row],[Comparable '#1 Date Check]]="Pass",Benchmark1[[#This Row],[Comparable '#1 Return]]-Benchmark1[[#This Row],[Benchmark '#1 Return]],"-"),"-")</f>
        <v>1.7672432588193131E-3</v>
      </c>
      <c r="L891" s="1" t="str">
        <f>IF(COUNTIF(Comp2[Comparable '#2 Dates],Benchmark1[[#This Row],[Benchmark '#1 Dates]])=1,"Pass","Fail")</f>
        <v>Pass</v>
      </c>
      <c r="M891" s="6">
        <f>IF(Benchmark1[[#This Row],[Comparable '#2 Date Check]]="Pass",INDEX(Comp2[Comparable '#2 Price],MATCH(Benchmark1[[#This Row],[Benchmark '#1 Dates]],Comp2[Comparable '#2 Dates],0)),"-")</f>
        <v>29.42</v>
      </c>
      <c r="N891" s="22">
        <f>IF(Benchmark1[[#This Row],[Comparable '#2 Date Check]]="Pass",INDEX(Comp2[Comparable '#2 Return],MATCH(Benchmark1[[#This Row],[Benchmark '#1 Dates]],Comp2[Comparable '#2 Dates],0)),"-")</f>
        <v>-2.3765076538933491E-3</v>
      </c>
      <c r="O891" s="1">
        <f>IFERROR(IF(Benchmark1[[#This Row],[Comparable '#2 Date Check]]="Pass",Benchmark1[[#This Row],[Comparable '#2 Return]]-Benchmark1[[#This Row],[Benchmark '#1 Return]],"-"),"-")</f>
        <v>1.1969517811786149E-2</v>
      </c>
      <c r="P891" s="1" t="str">
        <f>IF(COUNTIF(Comp3[Comparable '#3 Dates],Benchmark1[[#This Row],[Benchmark '#1 Dates]])=1,"Pass","Fail")</f>
        <v>Pass</v>
      </c>
      <c r="Q891" s="6">
        <f>IF(Benchmark1[[#This Row],[Comparable '#3 Date Check]]="Pass",INDEX(Comp3[Comparable '#3 Price],MATCH(Benchmark1[[#This Row],[Benchmark '#1 Dates]],Comp3[Comparable '#3 Dates],0)),"-")</f>
        <v>56.72</v>
      </c>
      <c r="R891" s="22">
        <f>IF(Benchmark1[[#This Row],[Comparable '#3 Date Check]]="Pass",INDEX(Comp3[Comparable '#3 Return],MATCH(Benchmark1[[#This Row],[Benchmark '#1 Dates]],Comp3[Comparable '#3 Dates],0)),"-")</f>
        <v>-3.0215877459227887E-2</v>
      </c>
      <c r="S891" s="1">
        <f>IFERROR(IF(Benchmark1[[#This Row],[Comparable '#3 Date Check]]="Pass",Benchmark1[[#This Row],[Comparable '#3 Return]]-Benchmark1[[#This Row],[Benchmark '#1 Return]],"-"),"-")</f>
        <v>-1.5869851993548387E-2</v>
      </c>
    </row>
    <row r="892" spans="1:19">
      <c r="A892" s="103">
        <v>44575</v>
      </c>
      <c r="B892" s="104">
        <v>4662.8541188185927</v>
      </c>
      <c r="C892" s="4">
        <f t="shared" si="13"/>
        <v>8.2142850949710718E-4</v>
      </c>
      <c r="D892" s="1" t="str">
        <f>IF(COUNTIF(Target1[Target Dates],Benchmark1[[#This Row],[Benchmark '#1 Dates]])=1,"Pass","Fail")</f>
        <v>Pass</v>
      </c>
      <c r="E892" s="6">
        <f>IF(Benchmark1[[#This Row],[Target Date Check]]="Pass",INDEX(Target1[Target Price],MATCH(Benchmark1[[#This Row],[Benchmark '#1 Dates]],Target1[Target Dates],0)),"-")</f>
        <v>30.25</v>
      </c>
      <c r="F892" s="22">
        <f>IF(Benchmark1[[#This Row],[Target Date Check]]="Pass",INDEX(Target1[Target Return],MATCH(Benchmark1[[#This Row],[Benchmark '#1 Dates]],Target1[Target Dates],0)),"-")</f>
        <v>2.6481313058806018E-3</v>
      </c>
      <c r="G892" s="1">
        <f>IFERROR(IF(Benchmark1[[#This Row],[Target Date Check]]="Pass",Benchmark1[[#This Row],[Target Return]]-Benchmark1[[#This Row],[Benchmark '#1 Return]],"-"),"-")</f>
        <v>1.8267027963834947E-3</v>
      </c>
      <c r="H892" s="1" t="str">
        <f>IF(COUNTIF(Comp1[Comparable '#1 Dates],Benchmark1[[#This Row],[Benchmark '#1 Dates]])=1,"Pass","Fail")</f>
        <v>Pass</v>
      </c>
      <c r="I892" s="6">
        <f>IF(Benchmark1[[#This Row],[Comparable '#1 Date Check]]="Pass",INDEX(Comp1[Comparable '#1 Price],MATCH(Benchmark1[[#This Row],[Benchmark '#1 Dates]],Comp1[Comparable '#1 Dates],0)),"-")</f>
        <v>11.91</v>
      </c>
      <c r="J892" s="22">
        <f>IF(Benchmark1[[#This Row],[Comparable '#1 Date Check]]="Pass",INDEX(Comp1[Comparable '#1 Return],MATCH(Benchmark1[[#This Row],[Benchmark '#1 Dates]],Comp1[Comparable '#1 Dates],0)),"-")</f>
        <v>5.0505157860685716E-3</v>
      </c>
      <c r="K892" s="1">
        <f>IFERROR(IF(Benchmark1[[#This Row],[Comparable '#1 Date Check]]="Pass",Benchmark1[[#This Row],[Comparable '#1 Return]]-Benchmark1[[#This Row],[Benchmark '#1 Return]],"-"),"-")</f>
        <v>4.2290872765714648E-3</v>
      </c>
      <c r="L892" s="1" t="str">
        <f>IF(COUNTIF(Comp2[Comparable '#2 Dates],Benchmark1[[#This Row],[Benchmark '#1 Dates]])=1,"Pass","Fail")</f>
        <v>Pass</v>
      </c>
      <c r="M892" s="6">
        <f>IF(Benchmark1[[#This Row],[Comparable '#2 Date Check]]="Pass",INDEX(Comp2[Comparable '#2 Price],MATCH(Benchmark1[[#This Row],[Benchmark '#1 Dates]],Comp2[Comparable '#2 Dates],0)),"-")</f>
        <v>29.7</v>
      </c>
      <c r="N892" s="22">
        <f>IF(Benchmark1[[#This Row],[Comparable '#2 Date Check]]="Pass",INDEX(Comp2[Comparable '#2 Return],MATCH(Benchmark1[[#This Row],[Benchmark '#1 Dates]],Comp2[Comparable '#2 Dates],0)),"-")</f>
        <v>9.4723306353624442E-3</v>
      </c>
      <c r="O892" s="1">
        <f>IFERROR(IF(Benchmark1[[#This Row],[Comparable '#2 Date Check]]="Pass",Benchmark1[[#This Row],[Comparable '#2 Return]]-Benchmark1[[#This Row],[Benchmark '#1 Return]],"-"),"-")</f>
        <v>8.6509021258653375E-3</v>
      </c>
      <c r="P892" s="1" t="str">
        <f>IF(COUNTIF(Comp3[Comparable '#3 Dates],Benchmark1[[#This Row],[Benchmark '#1 Dates]])=1,"Pass","Fail")</f>
        <v>Pass</v>
      </c>
      <c r="Q892" s="6">
        <f>IF(Benchmark1[[#This Row],[Comparable '#3 Date Check]]="Pass",INDEX(Comp3[Comparable '#3 Price],MATCH(Benchmark1[[#This Row],[Benchmark '#1 Dates]],Comp3[Comparable '#3 Dates],0)),"-")</f>
        <v>58.02</v>
      </c>
      <c r="R892" s="22">
        <f>IF(Benchmark1[[#This Row],[Comparable '#3 Date Check]]="Pass",INDEX(Comp3[Comparable '#3 Return],MATCH(Benchmark1[[#This Row],[Benchmark '#1 Dates]],Comp3[Comparable '#3 Dates],0)),"-")</f>
        <v>2.2660896469386026E-2</v>
      </c>
      <c r="S892" s="1">
        <f>IFERROR(IF(Benchmark1[[#This Row],[Comparable '#3 Date Check]]="Pass",Benchmark1[[#This Row],[Comparable '#3 Return]]-Benchmark1[[#This Row],[Benchmark '#1 Return]],"-"),"-")</f>
        <v>2.183946795988892E-2</v>
      </c>
    </row>
    <row r="893" spans="1:19">
      <c r="A893" s="103">
        <v>44579</v>
      </c>
      <c r="B893" s="104">
        <v>4577.108400730287</v>
      </c>
      <c r="C893" s="4">
        <f t="shared" si="13"/>
        <v>-1.8560287316530068E-2</v>
      </c>
      <c r="D893" s="1" t="str">
        <f>IF(COUNTIF(Target1[Target Dates],Benchmark1[[#This Row],[Benchmark '#1 Dates]])=1,"Pass","Fail")</f>
        <v>Pass</v>
      </c>
      <c r="E893" s="6">
        <f>IF(Benchmark1[[#This Row],[Target Date Check]]="Pass",INDEX(Target1[Target Price],MATCH(Benchmark1[[#This Row],[Benchmark '#1 Dates]],Target1[Target Dates],0)),"-")</f>
        <v>29.53</v>
      </c>
      <c r="F893" s="22">
        <f>IF(Benchmark1[[#This Row],[Target Date Check]]="Pass",INDEX(Target1[Target Return],MATCH(Benchmark1[[#This Row],[Benchmark '#1 Dates]],Target1[Target Dates],0)),"-")</f>
        <v>-2.408948872101916E-2</v>
      </c>
      <c r="G893" s="1">
        <f>IFERROR(IF(Benchmark1[[#This Row],[Target Date Check]]="Pass",Benchmark1[[#This Row],[Target Return]]-Benchmark1[[#This Row],[Benchmark '#1 Return]],"-"),"-")</f>
        <v>-5.5292014044890925E-3</v>
      </c>
      <c r="H893" s="1" t="str">
        <f>IF(COUNTIF(Comp1[Comparable '#1 Dates],Benchmark1[[#This Row],[Benchmark '#1 Dates]])=1,"Pass","Fail")</f>
        <v>Pass</v>
      </c>
      <c r="I893" s="6">
        <f>IF(Benchmark1[[#This Row],[Comparable '#1 Date Check]]="Pass",INDEX(Comp1[Comparable '#1 Price],MATCH(Benchmark1[[#This Row],[Benchmark '#1 Dates]],Comp1[Comparable '#1 Dates],0)),"-")</f>
        <v>11.76</v>
      </c>
      <c r="J893" s="22">
        <f>IF(Benchmark1[[#This Row],[Comparable '#1 Date Check]]="Pass",INDEX(Comp1[Comparable '#1 Return],MATCH(Benchmark1[[#This Row],[Benchmark '#1 Dates]],Comp1[Comparable '#1 Dates],0)),"-")</f>
        <v>-1.2674440896727937E-2</v>
      </c>
      <c r="K893" s="1">
        <f>IFERROR(IF(Benchmark1[[#This Row],[Comparable '#1 Date Check]]="Pass",Benchmark1[[#This Row],[Comparable '#1 Return]]-Benchmark1[[#This Row],[Benchmark '#1 Return]],"-"),"-")</f>
        <v>5.8858464198021307E-3</v>
      </c>
      <c r="L893" s="1" t="str">
        <f>IF(COUNTIF(Comp2[Comparable '#2 Dates],Benchmark1[[#This Row],[Benchmark '#1 Dates]])=1,"Pass","Fail")</f>
        <v>Pass</v>
      </c>
      <c r="M893" s="6">
        <f>IF(Benchmark1[[#This Row],[Comparable '#2 Date Check]]="Pass",INDEX(Comp2[Comparable '#2 Price],MATCH(Benchmark1[[#This Row],[Benchmark '#1 Dates]],Comp2[Comparable '#2 Dates],0)),"-")</f>
        <v>29.37</v>
      </c>
      <c r="N893" s="22">
        <f>IF(Benchmark1[[#This Row],[Comparable '#2 Date Check]]="Pass",INDEX(Comp2[Comparable '#2 Return],MATCH(Benchmark1[[#This Row],[Benchmark '#1 Dates]],Comp2[Comparable '#2 Dates],0)),"-")</f>
        <v>-1.1173300598125189E-2</v>
      </c>
      <c r="O893" s="1">
        <f>IFERROR(IF(Benchmark1[[#This Row],[Comparable '#2 Date Check]]="Pass",Benchmark1[[#This Row],[Comparable '#2 Return]]-Benchmark1[[#This Row],[Benchmark '#1 Return]],"-"),"-")</f>
        <v>7.3869867184048789E-3</v>
      </c>
      <c r="P893" s="1" t="str">
        <f>IF(COUNTIF(Comp3[Comparable '#3 Dates],Benchmark1[[#This Row],[Benchmark '#1 Dates]])=1,"Pass","Fail")</f>
        <v>Pass</v>
      </c>
      <c r="Q893" s="6">
        <f>IF(Benchmark1[[#This Row],[Comparable '#3 Date Check]]="Pass",INDEX(Comp3[Comparable '#3 Price],MATCH(Benchmark1[[#This Row],[Benchmark '#1 Dates]],Comp3[Comparable '#3 Dates],0)),"-")</f>
        <v>57.96</v>
      </c>
      <c r="R893" s="22">
        <f>IF(Benchmark1[[#This Row],[Comparable '#3 Date Check]]="Pass",INDEX(Comp3[Comparable '#3 Return],MATCH(Benchmark1[[#This Row],[Benchmark '#1 Dates]],Comp3[Comparable '#3 Dates],0)),"-")</f>
        <v>-1.0346612407763304E-3</v>
      </c>
      <c r="S893" s="1">
        <f>IFERROR(IF(Benchmark1[[#This Row],[Comparable '#3 Date Check]]="Pass",Benchmark1[[#This Row],[Comparable '#3 Return]]-Benchmark1[[#This Row],[Benchmark '#1 Return]],"-"),"-")</f>
        <v>1.7525626075753739E-2</v>
      </c>
    </row>
    <row r="894" spans="1:19">
      <c r="A894" s="103">
        <v>44580</v>
      </c>
      <c r="B894" s="104">
        <v>4532.7596234228558</v>
      </c>
      <c r="C894" s="4">
        <f t="shared" si="13"/>
        <v>-9.7365027775894019E-3</v>
      </c>
      <c r="D894" s="1" t="str">
        <f>IF(COUNTIF(Target1[Target Dates],Benchmark1[[#This Row],[Benchmark '#1 Dates]])=1,"Pass","Fail")</f>
        <v>Pass</v>
      </c>
      <c r="E894" s="6">
        <f>IF(Benchmark1[[#This Row],[Target Date Check]]="Pass",INDEX(Target1[Target Price],MATCH(Benchmark1[[#This Row],[Benchmark '#1 Dates]],Target1[Target Dates],0)),"-")</f>
        <v>28.83</v>
      </c>
      <c r="F894" s="22">
        <f>IF(Benchmark1[[#This Row],[Target Date Check]]="Pass",INDEX(Target1[Target Return],MATCH(Benchmark1[[#This Row],[Benchmark '#1 Dates]],Target1[Target Dates],0)),"-")</f>
        <v>-2.399018410552058E-2</v>
      </c>
      <c r="G894" s="1">
        <f>IFERROR(IF(Benchmark1[[#This Row],[Target Date Check]]="Pass",Benchmark1[[#This Row],[Target Return]]-Benchmark1[[#This Row],[Benchmark '#1 Return]],"-"),"-")</f>
        <v>-1.4253681327931178E-2</v>
      </c>
      <c r="H894" s="1" t="str">
        <f>IF(COUNTIF(Comp1[Comparable '#1 Dates],Benchmark1[[#This Row],[Benchmark '#1 Dates]])=1,"Pass","Fail")</f>
        <v>Pass</v>
      </c>
      <c r="I894" s="6">
        <f>IF(Benchmark1[[#This Row],[Comparable '#1 Date Check]]="Pass",INDEX(Comp1[Comparable '#1 Price],MATCH(Benchmark1[[#This Row],[Benchmark '#1 Dates]],Comp1[Comparable '#1 Dates],0)),"-")</f>
        <v>11.78</v>
      </c>
      <c r="J894" s="22">
        <f>IF(Benchmark1[[#This Row],[Comparable '#1 Date Check]]="Pass",INDEX(Comp1[Comparable '#1 Return],MATCH(Benchmark1[[#This Row],[Benchmark '#1 Dates]],Comp1[Comparable '#1 Dates],0)),"-")</f>
        <v>1.6992357529598428E-3</v>
      </c>
      <c r="K894" s="1">
        <f>IFERROR(IF(Benchmark1[[#This Row],[Comparable '#1 Date Check]]="Pass",Benchmark1[[#This Row],[Comparable '#1 Return]]-Benchmark1[[#This Row],[Benchmark '#1 Return]],"-"),"-")</f>
        <v>1.1435738530549244E-2</v>
      </c>
      <c r="L894" s="1" t="str">
        <f>IF(COUNTIF(Comp2[Comparable '#2 Dates],Benchmark1[[#This Row],[Benchmark '#1 Dates]])=1,"Pass","Fail")</f>
        <v>Pass</v>
      </c>
      <c r="M894" s="6">
        <f>IF(Benchmark1[[#This Row],[Comparable '#2 Date Check]]="Pass",INDEX(Comp2[Comparable '#2 Price],MATCH(Benchmark1[[#This Row],[Benchmark '#1 Dates]],Comp2[Comparable '#2 Dates],0)),"-")</f>
        <v>28.58</v>
      </c>
      <c r="N894" s="22">
        <f>IF(Benchmark1[[#This Row],[Comparable '#2 Date Check]]="Pass",INDEX(Comp2[Comparable '#2 Return],MATCH(Benchmark1[[#This Row],[Benchmark '#1 Dates]],Comp2[Comparable '#2 Dates],0)),"-")</f>
        <v>-2.7266572708807446E-2</v>
      </c>
      <c r="O894" s="1">
        <f>IFERROR(IF(Benchmark1[[#This Row],[Comparable '#2 Date Check]]="Pass",Benchmark1[[#This Row],[Comparable '#2 Return]]-Benchmark1[[#This Row],[Benchmark '#1 Return]],"-"),"-")</f>
        <v>-1.7530069931218042E-2</v>
      </c>
      <c r="P894" s="1" t="str">
        <f>IF(COUNTIF(Comp3[Comparable '#3 Dates],Benchmark1[[#This Row],[Benchmark '#1 Dates]])=1,"Pass","Fail")</f>
        <v>Pass</v>
      </c>
      <c r="Q894" s="6">
        <f>IF(Benchmark1[[#This Row],[Comparable '#3 Date Check]]="Pass",INDEX(Comp3[Comparable '#3 Price],MATCH(Benchmark1[[#This Row],[Benchmark '#1 Dates]],Comp3[Comparable '#3 Dates],0)),"-")</f>
        <v>55.27</v>
      </c>
      <c r="R894" s="22">
        <f>IF(Benchmark1[[#This Row],[Comparable '#3 Date Check]]="Pass",INDEX(Comp3[Comparable '#3 Return],MATCH(Benchmark1[[#This Row],[Benchmark '#1 Dates]],Comp3[Comparable '#3 Dates],0)),"-")</f>
        <v>-4.7522851607309978E-2</v>
      </c>
      <c r="S894" s="1">
        <f>IFERROR(IF(Benchmark1[[#This Row],[Comparable '#3 Date Check]]="Pass",Benchmark1[[#This Row],[Comparable '#3 Return]]-Benchmark1[[#This Row],[Benchmark '#1 Return]],"-"),"-")</f>
        <v>-3.7786348829720574E-2</v>
      </c>
    </row>
    <row r="895" spans="1:19">
      <c r="A895" s="103">
        <v>44581</v>
      </c>
      <c r="B895" s="104">
        <v>4482.7276034345314</v>
      </c>
      <c r="C895" s="4">
        <f t="shared" si="13"/>
        <v>-1.1099241197248902E-2</v>
      </c>
      <c r="D895" s="1" t="str">
        <f>IF(COUNTIF(Target1[Target Dates],Benchmark1[[#This Row],[Benchmark '#1 Dates]])=1,"Pass","Fail")</f>
        <v>Pass</v>
      </c>
      <c r="E895" s="6">
        <f>IF(Benchmark1[[#This Row],[Target Date Check]]="Pass",INDEX(Target1[Target Price],MATCH(Benchmark1[[#This Row],[Benchmark '#1 Dates]],Target1[Target Dates],0)),"-")</f>
        <v>27.81</v>
      </c>
      <c r="F895" s="22">
        <f>IF(Benchmark1[[#This Row],[Target Date Check]]="Pass",INDEX(Target1[Target Return],MATCH(Benchmark1[[#This Row],[Benchmark '#1 Dates]],Target1[Target Dates],0)),"-")</f>
        <v>-3.6020843404437335E-2</v>
      </c>
      <c r="G895" s="1">
        <f>IFERROR(IF(Benchmark1[[#This Row],[Target Date Check]]="Pass",Benchmark1[[#This Row],[Target Return]]-Benchmark1[[#This Row],[Benchmark '#1 Return]],"-"),"-")</f>
        <v>-2.4921602207188434E-2</v>
      </c>
      <c r="H895" s="1" t="str">
        <f>IF(COUNTIF(Comp1[Comparable '#1 Dates],Benchmark1[[#This Row],[Benchmark '#1 Dates]])=1,"Pass","Fail")</f>
        <v>Pass</v>
      </c>
      <c r="I895" s="6">
        <f>IF(Benchmark1[[#This Row],[Comparable '#1 Date Check]]="Pass",INDEX(Comp1[Comparable '#1 Price],MATCH(Benchmark1[[#This Row],[Benchmark '#1 Dates]],Comp1[Comparable '#1 Dates],0)),"-")</f>
        <v>11.81</v>
      </c>
      <c r="J895" s="22">
        <f>IF(Benchmark1[[#This Row],[Comparable '#1 Date Check]]="Pass",INDEX(Comp1[Comparable '#1 Return],MATCH(Benchmark1[[#This Row],[Benchmark '#1 Dates]],Comp1[Comparable '#1 Dates],0)),"-")</f>
        <v>2.5434519858303691E-3</v>
      </c>
      <c r="K895" s="1">
        <f>IFERROR(IF(Benchmark1[[#This Row],[Comparable '#1 Date Check]]="Pass",Benchmark1[[#This Row],[Comparable '#1 Return]]-Benchmark1[[#This Row],[Benchmark '#1 Return]],"-"),"-")</f>
        <v>1.3642693183079271E-2</v>
      </c>
      <c r="L895" s="1" t="str">
        <f>IF(COUNTIF(Comp2[Comparable '#2 Dates],Benchmark1[[#This Row],[Benchmark '#1 Dates]])=1,"Pass","Fail")</f>
        <v>Pass</v>
      </c>
      <c r="M895" s="6">
        <f>IF(Benchmark1[[#This Row],[Comparable '#2 Date Check]]="Pass",INDEX(Comp2[Comparable '#2 Price],MATCH(Benchmark1[[#This Row],[Benchmark '#1 Dates]],Comp2[Comparable '#2 Dates],0)),"-")</f>
        <v>28.29</v>
      </c>
      <c r="N895" s="22">
        <f>IF(Benchmark1[[#This Row],[Comparable '#2 Date Check]]="Pass",INDEX(Comp2[Comparable '#2 Return],MATCH(Benchmark1[[#This Row],[Benchmark '#1 Dates]],Comp2[Comparable '#2 Dates],0)),"-")</f>
        <v>-1.0198787188245505E-2</v>
      </c>
      <c r="O895" s="1">
        <f>IFERROR(IF(Benchmark1[[#This Row],[Comparable '#2 Date Check]]="Pass",Benchmark1[[#This Row],[Comparable '#2 Return]]-Benchmark1[[#This Row],[Benchmark '#1 Return]],"-"),"-")</f>
        <v>9.0045400900339717E-4</v>
      </c>
      <c r="P895" s="1" t="str">
        <f>IF(COUNTIF(Comp3[Comparable '#3 Dates],Benchmark1[[#This Row],[Benchmark '#1 Dates]])=1,"Pass","Fail")</f>
        <v>Pass</v>
      </c>
      <c r="Q895" s="6">
        <f>IF(Benchmark1[[#This Row],[Comparable '#3 Date Check]]="Pass",INDEX(Comp3[Comparable '#3 Price],MATCH(Benchmark1[[#This Row],[Benchmark '#1 Dates]],Comp3[Comparable '#3 Dates],0)),"-")</f>
        <v>54.83</v>
      </c>
      <c r="R895" s="22">
        <f>IF(Benchmark1[[#This Row],[Comparable '#3 Date Check]]="Pass",INDEX(Comp3[Comparable '#3 Return],MATCH(Benchmark1[[#This Row],[Benchmark '#1 Dates]],Comp3[Comparable '#3 Dates],0)),"-")</f>
        <v>-7.992776429214565E-3</v>
      </c>
      <c r="S895" s="1">
        <f>IFERROR(IF(Benchmark1[[#This Row],[Comparable '#3 Date Check]]="Pass",Benchmark1[[#This Row],[Comparable '#3 Return]]-Benchmark1[[#This Row],[Benchmark '#1 Return]],"-"),"-")</f>
        <v>3.1064647680343373E-3</v>
      </c>
    </row>
    <row r="896" spans="1:19">
      <c r="A896" s="103">
        <v>44582</v>
      </c>
      <c r="B896" s="104">
        <v>4397.9391745280755</v>
      </c>
      <c r="C896" s="4">
        <f t="shared" si="13"/>
        <v>-1.9095639431777087E-2</v>
      </c>
      <c r="D896" s="1" t="str">
        <f>IF(COUNTIF(Target1[Target Dates],Benchmark1[[#This Row],[Benchmark '#1 Dates]])=1,"Pass","Fail")</f>
        <v>Pass</v>
      </c>
      <c r="E896" s="6">
        <f>IF(Benchmark1[[#This Row],[Target Date Check]]="Pass",INDEX(Target1[Target Price],MATCH(Benchmark1[[#This Row],[Benchmark '#1 Dates]],Target1[Target Dates],0)),"-")</f>
        <v>26.86</v>
      </c>
      <c r="F896" s="22">
        <f>IF(Benchmark1[[#This Row],[Target Date Check]]="Pass",INDEX(Target1[Target Return],MATCH(Benchmark1[[#This Row],[Benchmark '#1 Dates]],Target1[Target Dates],0)),"-")</f>
        <v>-3.4757477150781951E-2</v>
      </c>
      <c r="G896" s="1">
        <f>IFERROR(IF(Benchmark1[[#This Row],[Target Date Check]]="Pass",Benchmark1[[#This Row],[Target Return]]-Benchmark1[[#This Row],[Benchmark '#1 Return]],"-"),"-")</f>
        <v>-1.5661837719004864E-2</v>
      </c>
      <c r="H896" s="1" t="str">
        <f>IF(COUNTIF(Comp1[Comparable '#1 Dates],Benchmark1[[#This Row],[Benchmark '#1 Dates]])=1,"Pass","Fail")</f>
        <v>Pass</v>
      </c>
      <c r="I896" s="6">
        <f>IF(Benchmark1[[#This Row],[Comparable '#1 Date Check]]="Pass",INDEX(Comp1[Comparable '#1 Price],MATCH(Benchmark1[[#This Row],[Benchmark '#1 Dates]],Comp1[Comparable '#1 Dates],0)),"-")</f>
        <v>11.71</v>
      </c>
      <c r="J896" s="22">
        <f>IF(Benchmark1[[#This Row],[Comparable '#1 Date Check]]="Pass",INDEX(Comp1[Comparable '#1 Return],MATCH(Benchmark1[[#This Row],[Benchmark '#1 Dates]],Comp1[Comparable '#1 Dates],0)),"-")</f>
        <v>-8.5034525996448857E-3</v>
      </c>
      <c r="K896" s="1">
        <f>IFERROR(IF(Benchmark1[[#This Row],[Comparable '#1 Date Check]]="Pass",Benchmark1[[#This Row],[Comparable '#1 Return]]-Benchmark1[[#This Row],[Benchmark '#1 Return]],"-"),"-")</f>
        <v>1.0592186832132202E-2</v>
      </c>
      <c r="L896" s="1" t="str">
        <f>IF(COUNTIF(Comp2[Comparable '#2 Dates],Benchmark1[[#This Row],[Benchmark '#1 Dates]])=1,"Pass","Fail")</f>
        <v>Pass</v>
      </c>
      <c r="M896" s="6">
        <f>IF(Benchmark1[[#This Row],[Comparable '#2 Date Check]]="Pass",INDEX(Comp2[Comparable '#2 Price],MATCH(Benchmark1[[#This Row],[Benchmark '#1 Dates]],Comp2[Comparable '#2 Dates],0)),"-")</f>
        <v>27.9</v>
      </c>
      <c r="N896" s="22">
        <f>IF(Benchmark1[[#This Row],[Comparable '#2 Date Check]]="Pass",INDEX(Comp2[Comparable '#2 Return],MATCH(Benchmark1[[#This Row],[Benchmark '#1 Dates]],Comp2[Comparable '#2 Dates],0)),"-")</f>
        <v>-1.3881696486155861E-2</v>
      </c>
      <c r="O896" s="1">
        <f>IFERROR(IF(Benchmark1[[#This Row],[Comparable '#2 Date Check]]="Pass",Benchmark1[[#This Row],[Comparable '#2 Return]]-Benchmark1[[#This Row],[Benchmark '#1 Return]],"-"),"-")</f>
        <v>5.2139429456212263E-3</v>
      </c>
      <c r="P896" s="1" t="str">
        <f>IF(COUNTIF(Comp3[Comparable '#3 Dates],Benchmark1[[#This Row],[Benchmark '#1 Dates]])=1,"Pass","Fail")</f>
        <v>Pass</v>
      </c>
      <c r="Q896" s="6">
        <f>IF(Benchmark1[[#This Row],[Comparable '#3 Date Check]]="Pass",INDEX(Comp3[Comparable '#3 Price],MATCH(Benchmark1[[#This Row],[Benchmark '#1 Dates]],Comp3[Comparable '#3 Dates],0)),"-")</f>
        <v>54.93</v>
      </c>
      <c r="R896" s="22">
        <f>IF(Benchmark1[[#This Row],[Comparable '#3 Date Check]]="Pass",INDEX(Comp3[Comparable '#3 Return],MATCH(Benchmark1[[#This Row],[Benchmark '#1 Dates]],Comp3[Comparable '#3 Dates],0)),"-")</f>
        <v>1.8221579385719637E-3</v>
      </c>
      <c r="S896" s="1">
        <f>IFERROR(IF(Benchmark1[[#This Row],[Comparable '#3 Date Check]]="Pass",Benchmark1[[#This Row],[Comparable '#3 Return]]-Benchmark1[[#This Row],[Benchmark '#1 Return]],"-"),"-")</f>
        <v>2.0917797370349052E-2</v>
      </c>
    </row>
    <row r="897" spans="1:19">
      <c r="A897" s="103">
        <v>44585</v>
      </c>
      <c r="B897" s="104">
        <v>4410.1274259602478</v>
      </c>
      <c r="C897" s="4">
        <f t="shared" si="13"/>
        <v>2.7675220373170988E-3</v>
      </c>
      <c r="D897" s="1" t="str">
        <f>IF(COUNTIF(Target1[Target Dates],Benchmark1[[#This Row],[Benchmark '#1 Dates]])=1,"Pass","Fail")</f>
        <v>Pass</v>
      </c>
      <c r="E897" s="6">
        <f>IF(Benchmark1[[#This Row],[Target Date Check]]="Pass",INDEX(Target1[Target Price],MATCH(Benchmark1[[#This Row],[Benchmark '#1 Dates]],Target1[Target Dates],0)),"-")</f>
        <v>27.56</v>
      </c>
      <c r="F897" s="22">
        <f>IF(Benchmark1[[#This Row],[Target Date Check]]="Pass",INDEX(Target1[Target Return],MATCH(Benchmark1[[#This Row],[Benchmark '#1 Dates]],Target1[Target Dates],0)),"-")</f>
        <v>2.5727255050366236E-2</v>
      </c>
      <c r="G897" s="1">
        <f>IFERROR(IF(Benchmark1[[#This Row],[Target Date Check]]="Pass",Benchmark1[[#This Row],[Target Return]]-Benchmark1[[#This Row],[Benchmark '#1 Return]],"-"),"-")</f>
        <v>2.2959733013049138E-2</v>
      </c>
      <c r="H897" s="1" t="str">
        <f>IF(COUNTIF(Comp1[Comparable '#1 Dates],Benchmark1[[#This Row],[Benchmark '#1 Dates]])=1,"Pass","Fail")</f>
        <v>Pass</v>
      </c>
      <c r="I897" s="6">
        <f>IF(Benchmark1[[#This Row],[Comparable '#1 Date Check]]="Pass",INDEX(Comp1[Comparable '#1 Price],MATCH(Benchmark1[[#This Row],[Benchmark '#1 Dates]],Comp1[Comparable '#1 Dates],0)),"-")</f>
        <v>11.81</v>
      </c>
      <c r="J897" s="22">
        <f>IF(Benchmark1[[#This Row],[Comparable '#1 Date Check]]="Pass",INDEX(Comp1[Comparable '#1 Return],MATCH(Benchmark1[[#This Row],[Benchmark '#1 Dates]],Comp1[Comparable '#1 Dates],0)),"-")</f>
        <v>8.5034525996448892E-3</v>
      </c>
      <c r="K897" s="1">
        <f>IFERROR(IF(Benchmark1[[#This Row],[Comparable '#1 Date Check]]="Pass",Benchmark1[[#This Row],[Comparable '#1 Return]]-Benchmark1[[#This Row],[Benchmark '#1 Return]],"-"),"-")</f>
        <v>5.7359305623277904E-3</v>
      </c>
      <c r="L897" s="1" t="str">
        <f>IF(COUNTIF(Comp2[Comparable '#2 Dates],Benchmark1[[#This Row],[Benchmark '#1 Dates]])=1,"Pass","Fail")</f>
        <v>Pass</v>
      </c>
      <c r="M897" s="6">
        <f>IF(Benchmark1[[#This Row],[Comparable '#2 Date Check]]="Pass",INDEX(Comp2[Comparable '#2 Price],MATCH(Benchmark1[[#This Row],[Benchmark '#1 Dates]],Comp2[Comparable '#2 Dates],0)),"-")</f>
        <v>31.71</v>
      </c>
      <c r="N897" s="22">
        <f>IF(Benchmark1[[#This Row],[Comparable '#2 Date Check]]="Pass",INDEX(Comp2[Comparable '#2 Return],MATCH(Benchmark1[[#This Row],[Benchmark '#1 Dates]],Comp2[Comparable '#2 Dates],0)),"-")</f>
        <v>0.12800539972293615</v>
      </c>
      <c r="O897" s="1">
        <f>IFERROR(IF(Benchmark1[[#This Row],[Comparable '#2 Date Check]]="Pass",Benchmark1[[#This Row],[Comparable '#2 Return]]-Benchmark1[[#This Row],[Benchmark '#1 Return]],"-"),"-")</f>
        <v>0.12523787768561906</v>
      </c>
      <c r="P897" s="1" t="str">
        <f>IF(COUNTIF(Comp3[Comparable '#3 Dates],Benchmark1[[#This Row],[Benchmark '#1 Dates]])=1,"Pass","Fail")</f>
        <v>Pass</v>
      </c>
      <c r="Q897" s="6">
        <f>IF(Benchmark1[[#This Row],[Comparable '#3 Date Check]]="Pass",INDEX(Comp3[Comparable '#3 Price],MATCH(Benchmark1[[#This Row],[Benchmark '#1 Dates]],Comp3[Comparable '#3 Dates],0)),"-")</f>
        <v>56.68</v>
      </c>
      <c r="R897" s="22">
        <f>IF(Benchmark1[[#This Row],[Comparable '#3 Date Check]]="Pass",INDEX(Comp3[Comparable '#3 Return],MATCH(Benchmark1[[#This Row],[Benchmark '#1 Dates]],Comp3[Comparable '#3 Dates],0)),"-")</f>
        <v>3.1361767467950677E-2</v>
      </c>
      <c r="S897" s="1">
        <f>IFERROR(IF(Benchmark1[[#This Row],[Comparable '#3 Date Check]]="Pass",Benchmark1[[#This Row],[Comparable '#3 Return]]-Benchmark1[[#This Row],[Benchmark '#1 Return]],"-"),"-")</f>
        <v>2.8594245430633578E-2</v>
      </c>
    </row>
    <row r="898" spans="1:19">
      <c r="A898" s="103">
        <v>44586</v>
      </c>
      <c r="B898" s="104">
        <v>4356.4538750000002</v>
      </c>
      <c r="C898" s="4">
        <f t="shared" ref="C898:C961" si="14">IFERROR(IF(B898="","-",LN(B898/B897)),"-")</f>
        <v>-1.2245188811402668E-2</v>
      </c>
      <c r="D898" s="1" t="str">
        <f>IF(COUNTIF(Target1[Target Dates],Benchmark1[[#This Row],[Benchmark '#1 Dates]])=1,"Pass","Fail")</f>
        <v>Pass</v>
      </c>
      <c r="E898" s="6">
        <f>IF(Benchmark1[[#This Row],[Target Date Check]]="Pass",INDEX(Target1[Target Price],MATCH(Benchmark1[[#This Row],[Benchmark '#1 Dates]],Target1[Target Dates],0)),"-")</f>
        <v>27</v>
      </c>
      <c r="F898" s="22">
        <f>IF(Benchmark1[[#This Row],[Target Date Check]]="Pass",INDEX(Target1[Target Return],MATCH(Benchmark1[[#This Row],[Benchmark '#1 Dates]],Target1[Target Dates],0)),"-")</f>
        <v>-2.0528580141128707E-2</v>
      </c>
      <c r="G898" s="1">
        <f>IFERROR(IF(Benchmark1[[#This Row],[Target Date Check]]="Pass",Benchmark1[[#This Row],[Target Return]]-Benchmark1[[#This Row],[Benchmark '#1 Return]],"-"),"-")</f>
        <v>-8.2833913297260392E-3</v>
      </c>
      <c r="H898" s="1" t="str">
        <f>IF(COUNTIF(Comp1[Comparable '#1 Dates],Benchmark1[[#This Row],[Benchmark '#1 Dates]])=1,"Pass","Fail")</f>
        <v>Pass</v>
      </c>
      <c r="I898" s="6">
        <f>IF(Benchmark1[[#This Row],[Comparable '#1 Date Check]]="Pass",INDEX(Comp1[Comparable '#1 Price],MATCH(Benchmark1[[#This Row],[Benchmark '#1 Dates]],Comp1[Comparable '#1 Dates],0)),"-")</f>
        <v>11.75</v>
      </c>
      <c r="J898" s="22">
        <f>IF(Benchmark1[[#This Row],[Comparable '#1 Date Check]]="Pass",INDEX(Comp1[Comparable '#1 Return],MATCH(Benchmark1[[#This Row],[Benchmark '#1 Dates]],Comp1[Comparable '#1 Dates],0)),"-")</f>
        <v>-5.0933896191030122E-3</v>
      </c>
      <c r="K898" s="1">
        <f>IFERROR(IF(Benchmark1[[#This Row],[Comparable '#1 Date Check]]="Pass",Benchmark1[[#This Row],[Comparable '#1 Return]]-Benchmark1[[#This Row],[Benchmark '#1 Return]],"-"),"-")</f>
        <v>7.1517991922996557E-3</v>
      </c>
      <c r="L898" s="1" t="str">
        <f>IF(COUNTIF(Comp2[Comparable '#2 Dates],Benchmark1[[#This Row],[Benchmark '#1 Dates]])=1,"Pass","Fail")</f>
        <v>Pass</v>
      </c>
      <c r="M898" s="6">
        <f>IF(Benchmark1[[#This Row],[Comparable '#2 Date Check]]="Pass",INDEX(Comp2[Comparable '#2 Price],MATCH(Benchmark1[[#This Row],[Benchmark '#1 Dates]],Comp2[Comparable '#2 Dates],0)),"-")</f>
        <v>30.5</v>
      </c>
      <c r="N898" s="22">
        <f>IF(Benchmark1[[#This Row],[Comparable '#2 Date Check]]="Pass",INDEX(Comp2[Comparable '#2 Return],MATCH(Benchmark1[[#This Row],[Benchmark '#1 Dates]],Comp2[Comparable '#2 Dates],0)),"-")</f>
        <v>-3.8905404936890008E-2</v>
      </c>
      <c r="O898" s="1">
        <f>IFERROR(IF(Benchmark1[[#This Row],[Comparable '#2 Date Check]]="Pass",Benchmark1[[#This Row],[Comparable '#2 Return]]-Benchmark1[[#This Row],[Benchmark '#1 Return]],"-"),"-")</f>
        <v>-2.666021612548734E-2</v>
      </c>
      <c r="P898" s="1" t="str">
        <f>IF(COUNTIF(Comp3[Comparable '#3 Dates],Benchmark1[[#This Row],[Benchmark '#1 Dates]])=1,"Pass","Fail")</f>
        <v>Pass</v>
      </c>
      <c r="Q898" s="6">
        <f>IF(Benchmark1[[#This Row],[Comparable '#3 Date Check]]="Pass",INDEX(Comp3[Comparable '#3 Price],MATCH(Benchmark1[[#This Row],[Benchmark '#1 Dates]],Comp3[Comparable '#3 Dates],0)),"-")</f>
        <v>56.79</v>
      </c>
      <c r="R898" s="22">
        <f>IF(Benchmark1[[#This Row],[Comparable '#3 Date Check]]="Pass",INDEX(Comp3[Comparable '#3 Return],MATCH(Benchmark1[[#This Row],[Benchmark '#1 Dates]],Comp3[Comparable '#3 Dates],0)),"-")</f>
        <v>1.9388390668614434E-3</v>
      </c>
      <c r="S898" s="1">
        <f>IFERROR(IF(Benchmark1[[#This Row],[Comparable '#3 Date Check]]="Pass",Benchmark1[[#This Row],[Comparable '#3 Return]]-Benchmark1[[#This Row],[Benchmark '#1 Return]],"-"),"-")</f>
        <v>1.4184027878264111E-2</v>
      </c>
    </row>
    <row r="899" spans="1:19">
      <c r="A899" s="103">
        <v>44587</v>
      </c>
      <c r="B899" s="104">
        <v>4349.9286359999996</v>
      </c>
      <c r="C899" s="4">
        <f t="shared" si="14"/>
        <v>-1.4989555566930518E-3</v>
      </c>
      <c r="D899" s="1" t="str">
        <f>IF(COUNTIF(Target1[Target Dates],Benchmark1[[#This Row],[Benchmark '#1 Dates]])=1,"Pass","Fail")</f>
        <v>Pass</v>
      </c>
      <c r="E899" s="6">
        <f>IF(Benchmark1[[#This Row],[Target Date Check]]="Pass",INDEX(Target1[Target Price],MATCH(Benchmark1[[#This Row],[Benchmark '#1 Dates]],Target1[Target Dates],0)),"-")</f>
        <v>33.76</v>
      </c>
      <c r="F899" s="22">
        <f>IF(Benchmark1[[#This Row],[Target Date Check]]="Pass",INDEX(Target1[Target Return],MATCH(Benchmark1[[#This Row],[Benchmark '#1 Dates]],Target1[Target Dates],0)),"-")</f>
        <v>0.22343980372342728</v>
      </c>
      <c r="G899" s="1">
        <f>IFERROR(IF(Benchmark1[[#This Row],[Target Date Check]]="Pass",Benchmark1[[#This Row],[Target Return]]-Benchmark1[[#This Row],[Benchmark '#1 Return]],"-"),"-")</f>
        <v>0.22493875928012033</v>
      </c>
      <c r="H899" s="1" t="str">
        <f>IF(COUNTIF(Comp1[Comparable '#1 Dates],Benchmark1[[#This Row],[Benchmark '#1 Dates]])=1,"Pass","Fail")</f>
        <v>Pass</v>
      </c>
      <c r="I899" s="6">
        <f>IF(Benchmark1[[#This Row],[Comparable '#1 Date Check]]="Pass",INDEX(Comp1[Comparable '#1 Price],MATCH(Benchmark1[[#This Row],[Benchmark '#1 Dates]],Comp1[Comparable '#1 Dates],0)),"-")</f>
        <v>11.79</v>
      </c>
      <c r="J899" s="22">
        <f>IF(Benchmark1[[#This Row],[Comparable '#1 Date Check]]="Pass",INDEX(Comp1[Comparable '#1 Return],MATCH(Benchmark1[[#This Row],[Benchmark '#1 Dates]],Comp1[Comparable '#1 Dates],0)),"-")</f>
        <v>3.3984739591115514E-3</v>
      </c>
      <c r="K899" s="1">
        <f>IFERROR(IF(Benchmark1[[#This Row],[Comparable '#1 Date Check]]="Pass",Benchmark1[[#This Row],[Comparable '#1 Return]]-Benchmark1[[#This Row],[Benchmark '#1 Return]],"-"),"-")</f>
        <v>4.897429515804603E-3</v>
      </c>
      <c r="L899" s="1" t="str">
        <f>IF(COUNTIF(Comp2[Comparable '#2 Dates],Benchmark1[[#This Row],[Benchmark '#1 Dates]])=1,"Pass","Fail")</f>
        <v>Pass</v>
      </c>
      <c r="M899" s="6">
        <f>IF(Benchmark1[[#This Row],[Comparable '#2 Date Check]]="Pass",INDEX(Comp2[Comparable '#2 Price],MATCH(Benchmark1[[#This Row],[Benchmark '#1 Dates]],Comp2[Comparable '#2 Dates],0)),"-")</f>
        <v>29.66</v>
      </c>
      <c r="N899" s="22">
        <f>IF(Benchmark1[[#This Row],[Comparable '#2 Date Check]]="Pass",INDEX(Comp2[Comparable '#2 Return],MATCH(Benchmark1[[#This Row],[Benchmark '#1 Dates]],Comp2[Comparable '#2 Dates],0)),"-")</f>
        <v>-2.7927346903579849E-2</v>
      </c>
      <c r="O899" s="1">
        <f>IFERROR(IF(Benchmark1[[#This Row],[Comparable '#2 Date Check]]="Pass",Benchmark1[[#This Row],[Comparable '#2 Return]]-Benchmark1[[#This Row],[Benchmark '#1 Return]],"-"),"-")</f>
        <v>-2.6428391346886796E-2</v>
      </c>
      <c r="P899" s="1" t="str">
        <f>IF(COUNTIF(Comp3[Comparable '#3 Dates],Benchmark1[[#This Row],[Benchmark '#1 Dates]])=1,"Pass","Fail")</f>
        <v>Pass</v>
      </c>
      <c r="Q899" s="6">
        <f>IF(Benchmark1[[#This Row],[Comparable '#3 Date Check]]="Pass",INDEX(Comp3[Comparable '#3 Price],MATCH(Benchmark1[[#This Row],[Benchmark '#1 Dates]],Comp3[Comparable '#3 Dates],0)),"-")</f>
        <v>56.78</v>
      </c>
      <c r="R899" s="22">
        <f>IF(Benchmark1[[#This Row],[Comparable '#3 Date Check]]="Pass",INDEX(Comp3[Comparable '#3 Return],MATCH(Benchmark1[[#This Row],[Benchmark '#1 Dates]],Comp3[Comparable '#3 Dates],0)),"-")</f>
        <v>-1.761028445160258E-4</v>
      </c>
      <c r="S899" s="1">
        <f>IFERROR(IF(Benchmark1[[#This Row],[Comparable '#3 Date Check]]="Pass",Benchmark1[[#This Row],[Comparable '#3 Return]]-Benchmark1[[#This Row],[Benchmark '#1 Return]],"-"),"-")</f>
        <v>1.3228527121770261E-3</v>
      </c>
    </row>
    <row r="900" spans="1:19">
      <c r="A900" s="103">
        <v>44588</v>
      </c>
      <c r="B900" s="104">
        <v>4326.5136819999998</v>
      </c>
      <c r="C900" s="4">
        <f t="shared" si="14"/>
        <v>-5.3973760176912657E-3</v>
      </c>
      <c r="D900" s="1" t="str">
        <f>IF(COUNTIF(Target1[Target Dates],Benchmark1[[#This Row],[Benchmark '#1 Dates]])=1,"Pass","Fail")</f>
        <v>Pass</v>
      </c>
      <c r="E900" s="6">
        <f>IF(Benchmark1[[#This Row],[Target Date Check]]="Pass",INDEX(Target1[Target Price],MATCH(Benchmark1[[#This Row],[Benchmark '#1 Dates]],Target1[Target Dates],0)),"-")</f>
        <v>33.950000000000003</v>
      </c>
      <c r="F900" s="22">
        <f>IF(Benchmark1[[#This Row],[Target Date Check]]="Pass",INDEX(Target1[Target Return],MATCH(Benchmark1[[#This Row],[Benchmark '#1 Dates]],Target1[Target Dates],0)),"-")</f>
        <v>5.6121842769488468E-3</v>
      </c>
      <c r="G900" s="1">
        <f>IFERROR(IF(Benchmark1[[#This Row],[Target Date Check]]="Pass",Benchmark1[[#This Row],[Target Return]]-Benchmark1[[#This Row],[Benchmark '#1 Return]],"-"),"-")</f>
        <v>1.1009560294640112E-2</v>
      </c>
      <c r="H900" s="1" t="str">
        <f>IF(COUNTIF(Comp1[Comparable '#1 Dates],Benchmark1[[#This Row],[Benchmark '#1 Dates]])=1,"Pass","Fail")</f>
        <v>Pass</v>
      </c>
      <c r="I900" s="6">
        <f>IF(Benchmark1[[#This Row],[Comparable '#1 Date Check]]="Pass",INDEX(Comp1[Comparable '#1 Price],MATCH(Benchmark1[[#This Row],[Benchmark '#1 Dates]],Comp1[Comparable '#1 Dates],0)),"-")</f>
        <v>11.53</v>
      </c>
      <c r="J900" s="22">
        <f>IF(Benchmark1[[#This Row],[Comparable '#1 Date Check]]="Pass",INDEX(Comp1[Comparable '#1 Return],MATCH(Benchmark1[[#This Row],[Benchmark '#1 Dates]],Comp1[Comparable '#1 Dates],0)),"-")</f>
        <v>-2.2299380268311877E-2</v>
      </c>
      <c r="K900" s="1">
        <f>IFERROR(IF(Benchmark1[[#This Row],[Comparable '#1 Date Check]]="Pass",Benchmark1[[#This Row],[Comparable '#1 Return]]-Benchmark1[[#This Row],[Benchmark '#1 Return]],"-"),"-")</f>
        <v>-1.6902004250620613E-2</v>
      </c>
      <c r="L900" s="1" t="str">
        <f>IF(COUNTIF(Comp2[Comparable '#2 Dates],Benchmark1[[#This Row],[Benchmark '#1 Dates]])=1,"Pass","Fail")</f>
        <v>Pass</v>
      </c>
      <c r="M900" s="6">
        <f>IF(Benchmark1[[#This Row],[Comparable '#2 Date Check]]="Pass",INDEX(Comp2[Comparable '#2 Price],MATCH(Benchmark1[[#This Row],[Benchmark '#1 Dates]],Comp2[Comparable '#2 Dates],0)),"-")</f>
        <v>28.55</v>
      </c>
      <c r="N900" s="22">
        <f>IF(Benchmark1[[#This Row],[Comparable '#2 Date Check]]="Pass",INDEX(Comp2[Comparable '#2 Return],MATCH(Benchmark1[[#This Row],[Benchmark '#1 Dates]],Comp2[Comparable '#2 Dates],0)),"-")</f>
        <v>-3.814240060776676E-2</v>
      </c>
      <c r="O900" s="1">
        <f>IFERROR(IF(Benchmark1[[#This Row],[Comparable '#2 Date Check]]="Pass",Benchmark1[[#This Row],[Comparable '#2 Return]]-Benchmark1[[#This Row],[Benchmark '#1 Return]],"-"),"-")</f>
        <v>-3.2745024590075493E-2</v>
      </c>
      <c r="P900" s="1" t="str">
        <f>IF(COUNTIF(Comp3[Comparable '#3 Dates],Benchmark1[[#This Row],[Benchmark '#1 Dates]])=1,"Pass","Fail")</f>
        <v>Pass</v>
      </c>
      <c r="Q900" s="6">
        <f>IF(Benchmark1[[#This Row],[Comparable '#3 Date Check]]="Pass",INDEX(Comp3[Comparable '#3 Price],MATCH(Benchmark1[[#This Row],[Benchmark '#1 Dates]],Comp3[Comparable '#3 Dates],0)),"-")</f>
        <v>57.3</v>
      </c>
      <c r="R900" s="22">
        <f>IF(Benchmark1[[#This Row],[Comparable '#3 Date Check]]="Pass",INDEX(Comp3[Comparable '#3 Return],MATCH(Benchmark1[[#This Row],[Benchmark '#1 Dates]],Comp3[Comparable '#3 Dates],0)),"-")</f>
        <v>9.116472675868733E-3</v>
      </c>
      <c r="S900" s="1">
        <f>IFERROR(IF(Benchmark1[[#This Row],[Comparable '#3 Date Check]]="Pass",Benchmark1[[#This Row],[Comparable '#3 Return]]-Benchmark1[[#This Row],[Benchmark '#1 Return]],"-"),"-")</f>
        <v>1.4513848693559999E-2</v>
      </c>
    </row>
    <row r="901" spans="1:19">
      <c r="A901" s="103">
        <v>44589</v>
      </c>
      <c r="B901" s="104">
        <v>4431.8491190000004</v>
      </c>
      <c r="C901" s="4">
        <f t="shared" si="14"/>
        <v>2.4054841887468717E-2</v>
      </c>
      <c r="D901" s="1" t="str">
        <f>IF(COUNTIF(Target1[Target Dates],Benchmark1[[#This Row],[Benchmark '#1 Dates]])=1,"Pass","Fail")</f>
        <v>Pass</v>
      </c>
      <c r="E901" s="6">
        <f>IF(Benchmark1[[#This Row],[Target Date Check]]="Pass",INDEX(Target1[Target Price],MATCH(Benchmark1[[#This Row],[Benchmark '#1 Dates]],Target1[Target Dates],0)),"-")</f>
        <v>34.44</v>
      </c>
      <c r="F901" s="22">
        <f>IF(Benchmark1[[#This Row],[Target Date Check]]="Pass",INDEX(Target1[Target Return],MATCH(Benchmark1[[#This Row],[Benchmark '#1 Dates]],Target1[Target Dates],0)),"-")</f>
        <v>1.4329825554824868E-2</v>
      </c>
      <c r="G901" s="1">
        <f>IFERROR(IF(Benchmark1[[#This Row],[Target Date Check]]="Pass",Benchmark1[[#This Row],[Target Return]]-Benchmark1[[#This Row],[Benchmark '#1 Return]],"-"),"-")</f>
        <v>-9.7250163326438495E-3</v>
      </c>
      <c r="H901" s="1" t="str">
        <f>IF(COUNTIF(Comp1[Comparable '#1 Dates],Benchmark1[[#This Row],[Benchmark '#1 Dates]])=1,"Pass","Fail")</f>
        <v>Pass</v>
      </c>
      <c r="I901" s="6">
        <f>IF(Benchmark1[[#This Row],[Comparable '#1 Date Check]]="Pass",INDEX(Comp1[Comparable '#1 Price],MATCH(Benchmark1[[#This Row],[Benchmark '#1 Dates]],Comp1[Comparable '#1 Dates],0)),"-")</f>
        <v>12.07</v>
      </c>
      <c r="J901" s="22">
        <f>IF(Benchmark1[[#This Row],[Comparable '#1 Date Check]]="Pass",INDEX(Comp1[Comparable '#1 Return],MATCH(Benchmark1[[#This Row],[Benchmark '#1 Dates]],Comp1[Comparable '#1 Dates],0)),"-")</f>
        <v>4.577070082847251E-2</v>
      </c>
      <c r="K901" s="1">
        <f>IFERROR(IF(Benchmark1[[#This Row],[Comparable '#1 Date Check]]="Pass",Benchmark1[[#This Row],[Comparable '#1 Return]]-Benchmark1[[#This Row],[Benchmark '#1 Return]],"-"),"-")</f>
        <v>2.1715858941003793E-2</v>
      </c>
      <c r="L901" s="1" t="str">
        <f>IF(COUNTIF(Comp2[Comparable '#2 Dates],Benchmark1[[#This Row],[Benchmark '#1 Dates]])=1,"Pass","Fail")</f>
        <v>Pass</v>
      </c>
      <c r="M901" s="6">
        <f>IF(Benchmark1[[#This Row],[Comparable '#2 Date Check]]="Pass",INDEX(Comp2[Comparable '#2 Price],MATCH(Benchmark1[[#This Row],[Benchmark '#1 Dates]],Comp2[Comparable '#2 Dates],0)),"-")</f>
        <v>28.48</v>
      </c>
      <c r="N901" s="22">
        <f>IF(Benchmark1[[#This Row],[Comparable '#2 Date Check]]="Pass",INDEX(Comp2[Comparable '#2 Return],MATCH(Benchmark1[[#This Row],[Benchmark '#1 Dates]],Comp2[Comparable '#2 Dates],0)),"-")</f>
        <v>-2.4548495582441768E-3</v>
      </c>
      <c r="O901" s="1">
        <f>IFERROR(IF(Benchmark1[[#This Row],[Comparable '#2 Date Check]]="Pass",Benchmark1[[#This Row],[Comparable '#2 Return]]-Benchmark1[[#This Row],[Benchmark '#1 Return]],"-"),"-")</f>
        <v>-2.6509691445712892E-2</v>
      </c>
      <c r="P901" s="1" t="str">
        <f>IF(COUNTIF(Comp3[Comparable '#3 Dates],Benchmark1[[#This Row],[Benchmark '#1 Dates]])=1,"Pass","Fail")</f>
        <v>Pass</v>
      </c>
      <c r="Q901" s="6">
        <f>IF(Benchmark1[[#This Row],[Comparable '#3 Date Check]]="Pass",INDEX(Comp3[Comparable '#3 Price],MATCH(Benchmark1[[#This Row],[Benchmark '#1 Dates]],Comp3[Comparable '#3 Dates],0)),"-")</f>
        <v>60.08</v>
      </c>
      <c r="R901" s="22">
        <f>IF(Benchmark1[[#This Row],[Comparable '#3 Date Check]]="Pass",INDEX(Comp3[Comparable '#3 Return],MATCH(Benchmark1[[#This Row],[Benchmark '#1 Dates]],Comp3[Comparable '#3 Dates],0)),"-")</f>
        <v>4.7376383735185448E-2</v>
      </c>
      <c r="S901" s="1">
        <f>IFERROR(IF(Benchmark1[[#This Row],[Comparable '#3 Date Check]]="Pass",Benchmark1[[#This Row],[Comparable '#3 Return]]-Benchmark1[[#This Row],[Benchmark '#1 Return]],"-"),"-")</f>
        <v>2.3321541847716731E-2</v>
      </c>
    </row>
    <row r="902" spans="1:19">
      <c r="A902" s="103">
        <v>44592</v>
      </c>
      <c r="B902" s="104">
        <v>4515.547579</v>
      </c>
      <c r="C902" s="4">
        <f t="shared" si="14"/>
        <v>1.8709554152276122E-2</v>
      </c>
      <c r="D902" s="1" t="str">
        <f>IF(COUNTIF(Target1[Target Dates],Benchmark1[[#This Row],[Benchmark '#1 Dates]])=1,"Pass","Fail")</f>
        <v>Pass</v>
      </c>
      <c r="E902" s="6">
        <f>IF(Benchmark1[[#This Row],[Target Date Check]]="Pass",INDEX(Target1[Target Price],MATCH(Benchmark1[[#This Row],[Benchmark '#1 Dates]],Target1[Target Dates],0)),"-")</f>
        <v>35.07</v>
      </c>
      <c r="F902" s="22">
        <f>IF(Benchmark1[[#This Row],[Target Date Check]]="Pass",INDEX(Target1[Target Return],MATCH(Benchmark1[[#This Row],[Benchmark '#1 Dates]],Target1[Target Dates],0)),"-")</f>
        <v>1.8127384592556701E-2</v>
      </c>
      <c r="G902" s="1">
        <f>IFERROR(IF(Benchmark1[[#This Row],[Target Date Check]]="Pass",Benchmark1[[#This Row],[Target Return]]-Benchmark1[[#This Row],[Benchmark '#1 Return]],"-"),"-")</f>
        <v>-5.8216955971942055E-4</v>
      </c>
      <c r="H902" s="1" t="str">
        <f>IF(COUNTIF(Comp1[Comparable '#1 Dates],Benchmark1[[#This Row],[Benchmark '#1 Dates]])=1,"Pass","Fail")</f>
        <v>Pass</v>
      </c>
      <c r="I902" s="6">
        <f>IF(Benchmark1[[#This Row],[Comparable '#1 Date Check]]="Pass",INDEX(Comp1[Comparable '#1 Price],MATCH(Benchmark1[[#This Row],[Benchmark '#1 Dates]],Comp1[Comparable '#1 Dates],0)),"-")</f>
        <v>12.65</v>
      </c>
      <c r="J902" s="22">
        <f>IF(Benchmark1[[#This Row],[Comparable '#1 Date Check]]="Pass",INDEX(Comp1[Comparable '#1 Return],MATCH(Benchmark1[[#This Row],[Benchmark '#1 Dates]],Comp1[Comparable '#1 Dates],0)),"-")</f>
        <v>4.6934180064089108E-2</v>
      </c>
      <c r="K902" s="1">
        <f>IFERROR(IF(Benchmark1[[#This Row],[Comparable '#1 Date Check]]="Pass",Benchmark1[[#This Row],[Comparable '#1 Return]]-Benchmark1[[#This Row],[Benchmark '#1 Return]],"-"),"-")</f>
        <v>2.8224625911812986E-2</v>
      </c>
      <c r="L902" s="1" t="str">
        <f>IF(COUNTIF(Comp2[Comparable '#2 Dates],Benchmark1[[#This Row],[Benchmark '#1 Dates]])=1,"Pass","Fail")</f>
        <v>Pass</v>
      </c>
      <c r="M902" s="6">
        <f>IF(Benchmark1[[#This Row],[Comparable '#2 Date Check]]="Pass",INDEX(Comp2[Comparable '#2 Price],MATCH(Benchmark1[[#This Row],[Benchmark '#1 Dates]],Comp2[Comparable '#2 Dates],0)),"-")</f>
        <v>29.42</v>
      </c>
      <c r="N902" s="22">
        <f>IF(Benchmark1[[#This Row],[Comparable '#2 Date Check]]="Pass",INDEX(Comp2[Comparable '#2 Return],MATCH(Benchmark1[[#This Row],[Benchmark '#1 Dates]],Comp2[Comparable '#2 Dates],0)),"-")</f>
        <v>3.247262862951656E-2</v>
      </c>
      <c r="O902" s="1">
        <f>IFERROR(IF(Benchmark1[[#This Row],[Comparable '#2 Date Check]]="Pass",Benchmark1[[#This Row],[Comparable '#2 Return]]-Benchmark1[[#This Row],[Benchmark '#1 Return]],"-"),"-")</f>
        <v>1.3763074477240438E-2</v>
      </c>
      <c r="P902" s="1" t="str">
        <f>IF(COUNTIF(Comp3[Comparable '#3 Dates],Benchmark1[[#This Row],[Benchmark '#1 Dates]])=1,"Pass","Fail")</f>
        <v>Pass</v>
      </c>
      <c r="Q902" s="6">
        <f>IF(Benchmark1[[#This Row],[Comparable '#3 Date Check]]="Pass",INDEX(Comp3[Comparable '#3 Price],MATCH(Benchmark1[[#This Row],[Benchmark '#1 Dates]],Comp3[Comparable '#3 Dates],0)),"-")</f>
        <v>59.66</v>
      </c>
      <c r="R902" s="22">
        <f>IF(Benchmark1[[#This Row],[Comparable '#3 Date Check]]="Pass",INDEX(Comp3[Comparable '#3 Return],MATCH(Benchmark1[[#This Row],[Benchmark '#1 Dates]],Comp3[Comparable '#3 Dates],0)),"-")</f>
        <v>-7.0152283692768861E-3</v>
      </c>
      <c r="S902" s="1">
        <f>IFERROR(IF(Benchmark1[[#This Row],[Comparable '#3 Date Check]]="Pass",Benchmark1[[#This Row],[Comparable '#3 Return]]-Benchmark1[[#This Row],[Benchmark '#1 Return]],"-"),"-")</f>
        <v>-2.5724782521553007E-2</v>
      </c>
    </row>
    <row r="903" spans="1:19">
      <c r="A903" s="103">
        <v>44593</v>
      </c>
      <c r="B903" s="104">
        <v>4546.5390260000004</v>
      </c>
      <c r="C903" s="4">
        <f t="shared" si="14"/>
        <v>6.8398304218961134E-3</v>
      </c>
      <c r="D903" s="1" t="str">
        <f>IF(COUNTIF(Target1[Target Dates],Benchmark1[[#This Row],[Benchmark '#1 Dates]])=1,"Pass","Fail")</f>
        <v>Pass</v>
      </c>
      <c r="E903" s="6">
        <f>IF(Benchmark1[[#This Row],[Target Date Check]]="Pass",INDEX(Target1[Target Price],MATCH(Benchmark1[[#This Row],[Benchmark '#1 Dates]],Target1[Target Dates],0)),"-")</f>
        <v>36.06</v>
      </c>
      <c r="F903" s="22">
        <f>IF(Benchmark1[[#This Row],[Target Date Check]]="Pass",INDEX(Target1[Target Return],MATCH(Benchmark1[[#This Row],[Benchmark '#1 Dates]],Target1[Target Dates],0)),"-")</f>
        <v>2.7838153623084432E-2</v>
      </c>
      <c r="G903" s="1">
        <f>IFERROR(IF(Benchmark1[[#This Row],[Target Date Check]]="Pass",Benchmark1[[#This Row],[Target Return]]-Benchmark1[[#This Row],[Benchmark '#1 Return]],"-"),"-")</f>
        <v>2.0998323201188319E-2</v>
      </c>
      <c r="H903" s="1" t="str">
        <f>IF(COUNTIF(Comp1[Comparable '#1 Dates],Benchmark1[[#This Row],[Benchmark '#1 Dates]])=1,"Pass","Fail")</f>
        <v>Pass</v>
      </c>
      <c r="I903" s="6">
        <f>IF(Benchmark1[[#This Row],[Comparable '#1 Date Check]]="Pass",INDEX(Comp1[Comparable '#1 Price],MATCH(Benchmark1[[#This Row],[Benchmark '#1 Dates]],Comp1[Comparable '#1 Dates],0)),"-")</f>
        <v>12.25</v>
      </c>
      <c r="J903" s="22">
        <f>IF(Benchmark1[[#This Row],[Comparable '#1 Date Check]]="Pass",INDEX(Comp1[Comparable '#1 Return],MATCH(Benchmark1[[#This Row],[Benchmark '#1 Dates]],Comp1[Comparable '#1 Dates],0)),"-")</f>
        <v>-3.2131278182793294E-2</v>
      </c>
      <c r="K903" s="1">
        <f>IFERROR(IF(Benchmark1[[#This Row],[Comparable '#1 Date Check]]="Pass",Benchmark1[[#This Row],[Comparable '#1 Return]]-Benchmark1[[#This Row],[Benchmark '#1 Return]],"-"),"-")</f>
        <v>-3.8971108604689407E-2</v>
      </c>
      <c r="L903" s="1" t="str">
        <f>IF(COUNTIF(Comp2[Comparable '#2 Dates],Benchmark1[[#This Row],[Benchmark '#1 Dates]])=1,"Pass","Fail")</f>
        <v>Pass</v>
      </c>
      <c r="M903" s="6">
        <f>IF(Benchmark1[[#This Row],[Comparable '#2 Date Check]]="Pass",INDEX(Comp2[Comparable '#2 Price],MATCH(Benchmark1[[#This Row],[Benchmark '#1 Dates]],Comp2[Comparable '#2 Dates],0)),"-")</f>
        <v>29.37</v>
      </c>
      <c r="N903" s="22">
        <f>IF(Benchmark1[[#This Row],[Comparable '#2 Date Check]]="Pass",INDEX(Comp2[Comparable '#2 Return],MATCH(Benchmark1[[#This Row],[Benchmark '#1 Dates]],Comp2[Comparable '#2 Dates],0)),"-")</f>
        <v>-1.7009699627627641E-3</v>
      </c>
      <c r="O903" s="1">
        <f>IFERROR(IF(Benchmark1[[#This Row],[Comparable '#2 Date Check]]="Pass",Benchmark1[[#This Row],[Comparable '#2 Return]]-Benchmark1[[#This Row],[Benchmark '#1 Return]],"-"),"-")</f>
        <v>-8.5408003846588771E-3</v>
      </c>
      <c r="P903" s="1" t="str">
        <f>IF(COUNTIF(Comp3[Comparable '#3 Dates],Benchmark1[[#This Row],[Benchmark '#1 Dates]])=1,"Pass","Fail")</f>
        <v>Pass</v>
      </c>
      <c r="Q903" s="6">
        <f>IF(Benchmark1[[#This Row],[Comparable '#3 Date Check]]="Pass",INDEX(Comp3[Comparable '#3 Price],MATCH(Benchmark1[[#This Row],[Benchmark '#1 Dates]],Comp3[Comparable '#3 Dates],0)),"-")</f>
        <v>60.28</v>
      </c>
      <c r="R903" s="22">
        <f>IF(Benchmark1[[#This Row],[Comparable '#3 Date Check]]="Pass",INDEX(Comp3[Comparable '#3 Return],MATCH(Benchmark1[[#This Row],[Benchmark '#1 Dates]],Comp3[Comparable '#3 Dates],0)),"-")</f>
        <v>1.0338594671692226E-2</v>
      </c>
      <c r="S903" s="1">
        <f>IFERROR(IF(Benchmark1[[#This Row],[Comparable '#3 Date Check]]="Pass",Benchmark1[[#This Row],[Comparable '#3 Return]]-Benchmark1[[#This Row],[Benchmark '#1 Return]],"-"),"-")</f>
        <v>3.4987642497961123E-3</v>
      </c>
    </row>
    <row r="904" spans="1:19">
      <c r="A904" s="103">
        <v>44594</v>
      </c>
      <c r="B904" s="104">
        <v>4589.3765599999997</v>
      </c>
      <c r="C904" s="4">
        <f t="shared" si="14"/>
        <v>9.3778992465169582E-3</v>
      </c>
      <c r="D904" s="1" t="str">
        <f>IF(COUNTIF(Target1[Target Dates],Benchmark1[[#This Row],[Benchmark '#1 Dates]])=1,"Pass","Fail")</f>
        <v>Pass</v>
      </c>
      <c r="E904" s="6">
        <f>IF(Benchmark1[[#This Row],[Target Date Check]]="Pass",INDEX(Target1[Target Price],MATCH(Benchmark1[[#This Row],[Benchmark '#1 Dates]],Target1[Target Dates],0)),"-")</f>
        <v>36.22</v>
      </c>
      <c r="F904" s="22">
        <f>IF(Benchmark1[[#This Row],[Target Date Check]]="Pass",INDEX(Target1[Target Return],MATCH(Benchmark1[[#This Row],[Benchmark '#1 Dates]],Target1[Target Dates],0)),"-")</f>
        <v>4.4272346800961074E-3</v>
      </c>
      <c r="G904" s="1">
        <f>IFERROR(IF(Benchmark1[[#This Row],[Target Date Check]]="Pass",Benchmark1[[#This Row],[Target Return]]-Benchmark1[[#This Row],[Benchmark '#1 Return]],"-"),"-")</f>
        <v>-4.9506645664208508E-3</v>
      </c>
      <c r="H904" s="1" t="str">
        <f>IF(COUNTIF(Comp1[Comparable '#1 Dates],Benchmark1[[#This Row],[Benchmark '#1 Dates]])=1,"Pass","Fail")</f>
        <v>Pass</v>
      </c>
      <c r="I904" s="6">
        <f>IF(Benchmark1[[#This Row],[Comparable '#1 Date Check]]="Pass",INDEX(Comp1[Comparable '#1 Price],MATCH(Benchmark1[[#This Row],[Benchmark '#1 Dates]],Comp1[Comparable '#1 Dates],0)),"-")</f>
        <v>12.37</v>
      </c>
      <c r="J904" s="22">
        <f>IF(Benchmark1[[#This Row],[Comparable '#1 Date Check]]="Pass",INDEX(Comp1[Comparable '#1 Return],MATCH(Benchmark1[[#This Row],[Benchmark '#1 Dates]],Comp1[Comparable '#1 Dates],0)),"-")</f>
        <v>9.7482494136604363E-3</v>
      </c>
      <c r="K904" s="1">
        <f>IFERROR(IF(Benchmark1[[#This Row],[Comparable '#1 Date Check]]="Pass",Benchmark1[[#This Row],[Comparable '#1 Return]]-Benchmark1[[#This Row],[Benchmark '#1 Return]],"-"),"-")</f>
        <v>3.7035016714347807E-4</v>
      </c>
      <c r="L904" s="1" t="str">
        <f>IF(COUNTIF(Comp2[Comparable '#2 Dates],Benchmark1[[#This Row],[Benchmark '#1 Dates]])=1,"Pass","Fail")</f>
        <v>Pass</v>
      </c>
      <c r="M904" s="6">
        <f>IF(Benchmark1[[#This Row],[Comparable '#2 Date Check]]="Pass",INDEX(Comp2[Comparable '#2 Price],MATCH(Benchmark1[[#This Row],[Benchmark '#1 Dates]],Comp2[Comparable '#2 Dates],0)),"-")</f>
        <v>28.58</v>
      </c>
      <c r="N904" s="22">
        <f>IF(Benchmark1[[#This Row],[Comparable '#2 Date Check]]="Pass",INDEX(Comp2[Comparable '#2 Return],MATCH(Benchmark1[[#This Row],[Benchmark '#1 Dates]],Comp2[Comparable '#2 Dates],0)),"-")</f>
        <v>-2.7266572708807446E-2</v>
      </c>
      <c r="O904" s="1">
        <f>IFERROR(IF(Benchmark1[[#This Row],[Comparable '#2 Date Check]]="Pass",Benchmark1[[#This Row],[Comparable '#2 Return]]-Benchmark1[[#This Row],[Benchmark '#1 Return]],"-"),"-")</f>
        <v>-3.6644471955324401E-2</v>
      </c>
      <c r="P904" s="1" t="str">
        <f>IF(COUNTIF(Comp3[Comparable '#3 Dates],Benchmark1[[#This Row],[Benchmark '#1 Dates]])=1,"Pass","Fail")</f>
        <v>Pass</v>
      </c>
      <c r="Q904" s="6">
        <f>IF(Benchmark1[[#This Row],[Comparable '#3 Date Check]]="Pass",INDEX(Comp3[Comparable '#3 Price],MATCH(Benchmark1[[#This Row],[Benchmark '#1 Dates]],Comp3[Comparable '#3 Dates],0)),"-")</f>
        <v>58.94</v>
      </c>
      <c r="R904" s="22">
        <f>IF(Benchmark1[[#This Row],[Comparable '#3 Date Check]]="Pass",INDEX(Comp3[Comparable '#3 Return],MATCH(Benchmark1[[#This Row],[Benchmark '#1 Dates]],Comp3[Comparable '#3 Dates],0)),"-")</f>
        <v>-2.2480396448746158E-2</v>
      </c>
      <c r="S904" s="1">
        <f>IFERROR(IF(Benchmark1[[#This Row],[Comparable '#3 Date Check]]="Pass",Benchmark1[[#This Row],[Comparable '#3 Return]]-Benchmark1[[#This Row],[Benchmark '#1 Return]],"-"),"-")</f>
        <v>-3.185829569526312E-2</v>
      </c>
    </row>
    <row r="905" spans="1:19">
      <c r="A905" s="103">
        <v>44595</v>
      </c>
      <c r="B905" s="104">
        <v>4477.4419539999999</v>
      </c>
      <c r="C905" s="4">
        <f t="shared" si="14"/>
        <v>-2.4692298201313509E-2</v>
      </c>
      <c r="D905" s="1" t="str">
        <f>IF(COUNTIF(Target1[Target Dates],Benchmark1[[#This Row],[Benchmark '#1 Dates]])=1,"Pass","Fail")</f>
        <v>Pass</v>
      </c>
      <c r="E905" s="6">
        <f>IF(Benchmark1[[#This Row],[Target Date Check]]="Pass",INDEX(Target1[Target Price],MATCH(Benchmark1[[#This Row],[Benchmark '#1 Dates]],Target1[Target Dates],0)),"-")</f>
        <v>35.229999999999997</v>
      </c>
      <c r="F905" s="22">
        <f>IF(Benchmark1[[#This Row],[Target Date Check]]="Pass",INDEX(Target1[Target Return],MATCH(Benchmark1[[#This Row],[Benchmark '#1 Dates]],Target1[Target Dates],0)),"-")</f>
        <v>-2.7713460102121092E-2</v>
      </c>
      <c r="G905" s="1">
        <f>IFERROR(IF(Benchmark1[[#This Row],[Target Date Check]]="Pass",Benchmark1[[#This Row],[Target Return]]-Benchmark1[[#This Row],[Benchmark '#1 Return]],"-"),"-")</f>
        <v>-3.0211619008075827E-3</v>
      </c>
      <c r="H905" s="1" t="str">
        <f>IF(COUNTIF(Comp1[Comparable '#1 Dates],Benchmark1[[#This Row],[Benchmark '#1 Dates]])=1,"Pass","Fail")</f>
        <v>Pass</v>
      </c>
      <c r="I905" s="6">
        <f>IF(Benchmark1[[#This Row],[Comparable '#1 Date Check]]="Pass",INDEX(Comp1[Comparable '#1 Price],MATCH(Benchmark1[[#This Row],[Benchmark '#1 Dates]],Comp1[Comparable '#1 Dates],0)),"-")</f>
        <v>12.25</v>
      </c>
      <c r="J905" s="22">
        <f>IF(Benchmark1[[#This Row],[Comparable '#1 Date Check]]="Pass",INDEX(Comp1[Comparable '#1 Return],MATCH(Benchmark1[[#This Row],[Benchmark '#1 Dates]],Comp1[Comparable '#1 Dates],0)),"-")</f>
        <v>-9.7482494136604779E-3</v>
      </c>
      <c r="K905" s="1">
        <f>IFERROR(IF(Benchmark1[[#This Row],[Comparable '#1 Date Check]]="Pass",Benchmark1[[#This Row],[Comparable '#1 Return]]-Benchmark1[[#This Row],[Benchmark '#1 Return]],"-"),"-")</f>
        <v>1.4944048787653031E-2</v>
      </c>
      <c r="L905" s="1" t="str">
        <f>IF(COUNTIF(Comp2[Comparable '#2 Dates],Benchmark1[[#This Row],[Benchmark '#1 Dates]])=1,"Pass","Fail")</f>
        <v>Pass</v>
      </c>
      <c r="M905" s="6">
        <f>IF(Benchmark1[[#This Row],[Comparable '#2 Date Check]]="Pass",INDEX(Comp2[Comparable '#2 Price],MATCH(Benchmark1[[#This Row],[Benchmark '#1 Dates]],Comp2[Comparable '#2 Dates],0)),"-")</f>
        <v>27.98</v>
      </c>
      <c r="N905" s="22">
        <f>IF(Benchmark1[[#This Row],[Comparable '#2 Date Check]]="Pass",INDEX(Comp2[Comparable '#2 Return],MATCH(Benchmark1[[#This Row],[Benchmark '#1 Dates]],Comp2[Comparable '#2 Dates],0)),"-")</f>
        <v>-2.1217203264386118E-2</v>
      </c>
      <c r="O905" s="1">
        <f>IFERROR(IF(Benchmark1[[#This Row],[Comparable '#2 Date Check]]="Pass",Benchmark1[[#This Row],[Comparable '#2 Return]]-Benchmark1[[#This Row],[Benchmark '#1 Return]],"-"),"-")</f>
        <v>3.4750949369273913E-3</v>
      </c>
      <c r="P905" s="1" t="str">
        <f>IF(COUNTIF(Comp3[Comparable '#3 Dates],Benchmark1[[#This Row],[Benchmark '#1 Dates]])=1,"Pass","Fail")</f>
        <v>Pass</v>
      </c>
      <c r="Q905" s="6">
        <f>IF(Benchmark1[[#This Row],[Comparable '#3 Date Check]]="Pass",INDEX(Comp3[Comparable '#3 Price],MATCH(Benchmark1[[#This Row],[Benchmark '#1 Dates]],Comp3[Comparable '#3 Dates],0)),"-")</f>
        <v>57.91</v>
      </c>
      <c r="R905" s="22">
        <f>IF(Benchmark1[[#This Row],[Comparable '#3 Date Check]]="Pass",INDEX(Comp3[Comparable '#3 Return],MATCH(Benchmark1[[#This Row],[Benchmark '#1 Dates]],Comp3[Comparable '#3 Dates],0)),"-")</f>
        <v>-1.7629896071850275E-2</v>
      </c>
      <c r="S905" s="1">
        <f>IFERROR(IF(Benchmark1[[#This Row],[Comparable '#3 Date Check]]="Pass",Benchmark1[[#This Row],[Comparable '#3 Return]]-Benchmark1[[#This Row],[Benchmark '#1 Return]],"-"),"-")</f>
        <v>7.0624021294632341E-3</v>
      </c>
    </row>
    <row r="906" spans="1:19">
      <c r="A906" s="103">
        <v>44596</v>
      </c>
      <c r="B906" s="104">
        <v>4500.531457</v>
      </c>
      <c r="C906" s="4">
        <f t="shared" si="14"/>
        <v>5.1436004204576278E-3</v>
      </c>
      <c r="D906" s="1" t="str">
        <f>IF(COUNTIF(Target1[Target Dates],Benchmark1[[#This Row],[Benchmark '#1 Dates]])=1,"Pass","Fail")</f>
        <v>Pass</v>
      </c>
      <c r="E906" s="6">
        <f>IF(Benchmark1[[#This Row],[Target Date Check]]="Pass",INDEX(Target1[Target Price],MATCH(Benchmark1[[#This Row],[Benchmark '#1 Dates]],Target1[Target Dates],0)),"-")</f>
        <v>34.99</v>
      </c>
      <c r="F906" s="22">
        <f>IF(Benchmark1[[#This Row],[Target Date Check]]="Pass",INDEX(Target1[Target Return],MATCH(Benchmark1[[#This Row],[Benchmark '#1 Dates]],Target1[Target Dates],0)),"-")</f>
        <v>-6.8356859735495077E-3</v>
      </c>
      <c r="G906" s="1">
        <f>IFERROR(IF(Benchmark1[[#This Row],[Target Date Check]]="Pass",Benchmark1[[#This Row],[Target Return]]-Benchmark1[[#This Row],[Benchmark '#1 Return]],"-"),"-")</f>
        <v>-1.1979286394007135E-2</v>
      </c>
      <c r="H906" s="1" t="str">
        <f>IF(COUNTIF(Comp1[Comparable '#1 Dates],Benchmark1[[#This Row],[Benchmark '#1 Dates]])=1,"Pass","Fail")</f>
        <v>Pass</v>
      </c>
      <c r="I906" s="6">
        <f>IF(Benchmark1[[#This Row],[Comparable '#1 Date Check]]="Pass",INDEX(Comp1[Comparable '#1 Price],MATCH(Benchmark1[[#This Row],[Benchmark '#1 Dates]],Comp1[Comparable '#1 Dates],0)),"-")</f>
        <v>12.55</v>
      </c>
      <c r="J906" s="22">
        <f>IF(Benchmark1[[#This Row],[Comparable '#1 Date Check]]="Pass",INDEX(Comp1[Comparable '#1 Return],MATCH(Benchmark1[[#This Row],[Benchmark '#1 Dates]],Comp1[Comparable '#1 Dates],0)),"-")</f>
        <v>2.4194728587056971E-2</v>
      </c>
      <c r="K906" s="1">
        <f>IFERROR(IF(Benchmark1[[#This Row],[Comparable '#1 Date Check]]="Pass",Benchmark1[[#This Row],[Comparable '#1 Return]]-Benchmark1[[#This Row],[Benchmark '#1 Return]],"-"),"-")</f>
        <v>1.9051128166599342E-2</v>
      </c>
      <c r="L906" s="1" t="str">
        <f>IF(COUNTIF(Comp2[Comparable '#2 Dates],Benchmark1[[#This Row],[Benchmark '#1 Dates]])=1,"Pass","Fail")</f>
        <v>Pass</v>
      </c>
      <c r="M906" s="6">
        <f>IF(Benchmark1[[#This Row],[Comparable '#2 Date Check]]="Pass",INDEX(Comp2[Comparable '#2 Price],MATCH(Benchmark1[[#This Row],[Benchmark '#1 Dates]],Comp2[Comparable '#2 Dates],0)),"-")</f>
        <v>28.22</v>
      </c>
      <c r="N906" s="22">
        <f>IF(Benchmark1[[#This Row],[Comparable '#2 Date Check]]="Pass",INDEX(Comp2[Comparable '#2 Return],MATCH(Benchmark1[[#This Row],[Benchmark '#1 Dates]],Comp2[Comparable '#2 Dates],0)),"-")</f>
        <v>8.5409771873326823E-3</v>
      </c>
      <c r="O906" s="1">
        <f>IFERROR(IF(Benchmark1[[#This Row],[Comparable '#2 Date Check]]="Pass",Benchmark1[[#This Row],[Comparable '#2 Return]]-Benchmark1[[#This Row],[Benchmark '#1 Return]],"-"),"-")</f>
        <v>3.3973767668750545E-3</v>
      </c>
      <c r="P906" s="1" t="str">
        <f>IF(COUNTIF(Comp3[Comparable '#3 Dates],Benchmark1[[#This Row],[Benchmark '#1 Dates]])=1,"Pass","Fail")</f>
        <v>Pass</v>
      </c>
      <c r="Q906" s="6">
        <f>IF(Benchmark1[[#This Row],[Comparable '#3 Date Check]]="Pass",INDEX(Comp3[Comparable '#3 Price],MATCH(Benchmark1[[#This Row],[Benchmark '#1 Dates]],Comp3[Comparable '#3 Dates],0)),"-")</f>
        <v>59.6</v>
      </c>
      <c r="R906" s="22">
        <f>IF(Benchmark1[[#This Row],[Comparable '#3 Date Check]]="Pass",INDEX(Comp3[Comparable '#3 Return],MATCH(Benchmark1[[#This Row],[Benchmark '#1 Dates]],Comp3[Comparable '#3 Dates],0)),"-")</f>
        <v>2.8765492833605823E-2</v>
      </c>
      <c r="S906" s="1">
        <f>IFERROR(IF(Benchmark1[[#This Row],[Comparable '#3 Date Check]]="Pass",Benchmark1[[#This Row],[Comparable '#3 Return]]-Benchmark1[[#This Row],[Benchmark '#1 Return]],"-"),"-")</f>
        <v>2.3621892413148195E-2</v>
      </c>
    </row>
    <row r="907" spans="1:19">
      <c r="A907" s="103">
        <v>44599</v>
      </c>
      <c r="B907" s="104">
        <v>4483.8652929999998</v>
      </c>
      <c r="C907" s="4">
        <f t="shared" si="14"/>
        <v>-3.7100283035734478E-3</v>
      </c>
      <c r="D907" s="1" t="str">
        <f>IF(COUNTIF(Target1[Target Dates],Benchmark1[[#This Row],[Benchmark '#1 Dates]])=1,"Pass","Fail")</f>
        <v>Pass</v>
      </c>
      <c r="E907" s="6">
        <f>IF(Benchmark1[[#This Row],[Target Date Check]]="Pass",INDEX(Target1[Target Price],MATCH(Benchmark1[[#This Row],[Benchmark '#1 Dates]],Target1[Target Dates],0)),"-")</f>
        <v>34.82</v>
      </c>
      <c r="F907" s="22">
        <f>IF(Benchmark1[[#This Row],[Target Date Check]]="Pass",INDEX(Target1[Target Return],MATCH(Benchmark1[[#This Row],[Benchmark '#1 Dates]],Target1[Target Dates],0)),"-")</f>
        <v>-4.8703720395536915E-3</v>
      </c>
      <c r="G907" s="1">
        <f>IFERROR(IF(Benchmark1[[#This Row],[Target Date Check]]="Pass",Benchmark1[[#This Row],[Target Return]]-Benchmark1[[#This Row],[Benchmark '#1 Return]],"-"),"-")</f>
        <v>-1.1603437359802436E-3</v>
      </c>
      <c r="H907" s="1" t="str">
        <f>IF(COUNTIF(Comp1[Comparable '#1 Dates],Benchmark1[[#This Row],[Benchmark '#1 Dates]])=1,"Pass","Fail")</f>
        <v>Pass</v>
      </c>
      <c r="I907" s="6">
        <f>IF(Benchmark1[[#This Row],[Comparable '#1 Date Check]]="Pass",INDEX(Comp1[Comparable '#1 Price],MATCH(Benchmark1[[#This Row],[Benchmark '#1 Dates]],Comp1[Comparable '#1 Dates],0)),"-")</f>
        <v>12.34</v>
      </c>
      <c r="J907" s="22">
        <f>IF(Benchmark1[[#This Row],[Comparable '#1 Date Check]]="Pass",INDEX(Comp1[Comparable '#1 Return],MATCH(Benchmark1[[#This Row],[Benchmark '#1 Dates]],Comp1[Comparable '#1 Dates],0)),"-")</f>
        <v>-1.6874647100551258E-2</v>
      </c>
      <c r="K907" s="1">
        <f>IFERROR(IF(Benchmark1[[#This Row],[Comparable '#1 Date Check]]="Pass",Benchmark1[[#This Row],[Comparable '#1 Return]]-Benchmark1[[#This Row],[Benchmark '#1 Return]],"-"),"-")</f>
        <v>-1.316461879697781E-2</v>
      </c>
      <c r="L907" s="1" t="str">
        <f>IF(COUNTIF(Comp2[Comparable '#2 Dates],Benchmark1[[#This Row],[Benchmark '#1 Dates]])=1,"Pass","Fail")</f>
        <v>Pass</v>
      </c>
      <c r="M907" s="6">
        <f>IF(Benchmark1[[#This Row],[Comparable '#2 Date Check]]="Pass",INDEX(Comp2[Comparable '#2 Price],MATCH(Benchmark1[[#This Row],[Benchmark '#1 Dates]],Comp2[Comparable '#2 Dates],0)),"-")</f>
        <v>28.3</v>
      </c>
      <c r="N907" s="22">
        <f>IF(Benchmark1[[#This Row],[Comparable '#2 Date Check]]="Pass",INDEX(Comp2[Comparable '#2 Return],MATCH(Benchmark1[[#This Row],[Benchmark '#1 Dates]],Comp2[Comparable '#2 Dates],0)),"-")</f>
        <v>2.8308582245241349E-3</v>
      </c>
      <c r="O907" s="1">
        <f>IFERROR(IF(Benchmark1[[#This Row],[Comparable '#2 Date Check]]="Pass",Benchmark1[[#This Row],[Comparable '#2 Return]]-Benchmark1[[#This Row],[Benchmark '#1 Return]],"-"),"-")</f>
        <v>6.5408865280975823E-3</v>
      </c>
      <c r="P907" s="1" t="str">
        <f>IF(COUNTIF(Comp3[Comparable '#3 Dates],Benchmark1[[#This Row],[Benchmark '#1 Dates]])=1,"Pass","Fail")</f>
        <v>Pass</v>
      </c>
      <c r="Q907" s="6">
        <f>IF(Benchmark1[[#This Row],[Comparable '#3 Date Check]]="Pass",INDEX(Comp3[Comparable '#3 Price],MATCH(Benchmark1[[#This Row],[Benchmark '#1 Dates]],Comp3[Comparable '#3 Dates],0)),"-")</f>
        <v>59.75</v>
      </c>
      <c r="R907" s="22">
        <f>IF(Benchmark1[[#This Row],[Comparable '#3 Date Check]]="Pass",INDEX(Comp3[Comparable '#3 Return],MATCH(Benchmark1[[#This Row],[Benchmark '#1 Dates]],Comp3[Comparable '#3 Dates],0)),"-")</f>
        <v>2.5136167403158995E-3</v>
      </c>
      <c r="S907" s="1">
        <f>IFERROR(IF(Benchmark1[[#This Row],[Comparable '#3 Date Check]]="Pass",Benchmark1[[#This Row],[Comparable '#3 Return]]-Benchmark1[[#This Row],[Benchmark '#1 Return]],"-"),"-")</f>
        <v>6.2236450438893469E-3</v>
      </c>
    </row>
    <row r="908" spans="1:19">
      <c r="A908" s="103">
        <v>44600</v>
      </c>
      <c r="B908" s="104">
        <v>4521.5388659999999</v>
      </c>
      <c r="C908" s="4">
        <f t="shared" si="14"/>
        <v>8.3669299266086791E-3</v>
      </c>
      <c r="D908" s="1" t="str">
        <f>IF(COUNTIF(Target1[Target Dates],Benchmark1[[#This Row],[Benchmark '#1 Dates]])=1,"Pass","Fail")</f>
        <v>Pass</v>
      </c>
      <c r="E908" s="6">
        <f>IF(Benchmark1[[#This Row],[Target Date Check]]="Pass",INDEX(Target1[Target Price],MATCH(Benchmark1[[#This Row],[Benchmark '#1 Dates]],Target1[Target Dates],0)),"-")</f>
        <v>36.020000000000003</v>
      </c>
      <c r="F908" s="22">
        <f>IF(Benchmark1[[#This Row],[Target Date Check]]="Pass",INDEX(Target1[Target Return],MATCH(Benchmark1[[#This Row],[Benchmark '#1 Dates]],Target1[Target Dates],0)),"-")</f>
        <v>3.3882405407767158E-2</v>
      </c>
      <c r="G908" s="1">
        <f>IFERROR(IF(Benchmark1[[#This Row],[Target Date Check]]="Pass",Benchmark1[[#This Row],[Target Return]]-Benchmark1[[#This Row],[Benchmark '#1 Return]],"-"),"-")</f>
        <v>2.5515475481158477E-2</v>
      </c>
      <c r="H908" s="1" t="str">
        <f>IF(COUNTIF(Comp1[Comparable '#1 Dates],Benchmark1[[#This Row],[Benchmark '#1 Dates]])=1,"Pass","Fail")</f>
        <v>Pass</v>
      </c>
      <c r="I908" s="6">
        <f>IF(Benchmark1[[#This Row],[Comparable '#1 Date Check]]="Pass",INDEX(Comp1[Comparable '#1 Price],MATCH(Benchmark1[[#This Row],[Benchmark '#1 Dates]],Comp1[Comparable '#1 Dates],0)),"-")</f>
        <v>12.49</v>
      </c>
      <c r="J908" s="22">
        <f>IF(Benchmark1[[#This Row],[Comparable '#1 Date Check]]="Pass",INDEX(Comp1[Comparable '#1 Return],MATCH(Benchmark1[[#This Row],[Benchmark '#1 Dates]],Comp1[Comparable '#1 Dates],0)),"-")</f>
        <v>1.2082305660244579E-2</v>
      </c>
      <c r="K908" s="1">
        <f>IFERROR(IF(Benchmark1[[#This Row],[Comparable '#1 Date Check]]="Pass",Benchmark1[[#This Row],[Comparable '#1 Return]]-Benchmark1[[#This Row],[Benchmark '#1 Return]],"-"),"-")</f>
        <v>3.7153757336359002E-3</v>
      </c>
      <c r="L908" s="1" t="str">
        <f>IF(COUNTIF(Comp2[Comparable '#2 Dates],Benchmark1[[#This Row],[Benchmark '#1 Dates]])=1,"Pass","Fail")</f>
        <v>Pass</v>
      </c>
      <c r="M908" s="6">
        <f>IF(Benchmark1[[#This Row],[Comparable '#2 Date Check]]="Pass",INDEX(Comp2[Comparable '#2 Price],MATCH(Benchmark1[[#This Row],[Benchmark '#1 Dates]],Comp2[Comparable '#2 Dates],0)),"-")</f>
        <v>28.75</v>
      </c>
      <c r="N908" s="22">
        <f>IF(Benchmark1[[#This Row],[Comparable '#2 Date Check]]="Pass",INDEX(Comp2[Comparable '#2 Return],MATCH(Benchmark1[[#This Row],[Benchmark '#1 Dates]],Comp2[Comparable '#2 Dates],0)),"-")</f>
        <v>1.57759625941674E-2</v>
      </c>
      <c r="O908" s="1">
        <f>IFERROR(IF(Benchmark1[[#This Row],[Comparable '#2 Date Check]]="Pass",Benchmark1[[#This Row],[Comparable '#2 Return]]-Benchmark1[[#This Row],[Benchmark '#1 Return]],"-"),"-")</f>
        <v>7.4090326675587213E-3</v>
      </c>
      <c r="P908" s="1" t="str">
        <f>IF(COUNTIF(Comp3[Comparable '#3 Dates],Benchmark1[[#This Row],[Benchmark '#1 Dates]])=1,"Pass","Fail")</f>
        <v>Pass</v>
      </c>
      <c r="Q908" s="6">
        <f>IF(Benchmark1[[#This Row],[Comparable '#3 Date Check]]="Pass",INDEX(Comp3[Comparable '#3 Price],MATCH(Benchmark1[[#This Row],[Benchmark '#1 Dates]],Comp3[Comparable '#3 Dates],0)),"-")</f>
        <v>59.96</v>
      </c>
      <c r="R908" s="22">
        <f>IF(Benchmark1[[#This Row],[Comparable '#3 Date Check]]="Pass",INDEX(Comp3[Comparable '#3 Return],MATCH(Benchmark1[[#This Row],[Benchmark '#1 Dates]],Comp3[Comparable '#3 Dates],0)),"-")</f>
        <v>3.5084824227768958E-3</v>
      </c>
      <c r="S908" s="1">
        <f>IFERROR(IF(Benchmark1[[#This Row],[Comparable '#3 Date Check]]="Pass",Benchmark1[[#This Row],[Comparable '#3 Return]]-Benchmark1[[#This Row],[Benchmark '#1 Return]],"-"),"-")</f>
        <v>-4.8584475038317837E-3</v>
      </c>
    </row>
    <row r="909" spans="1:19">
      <c r="A909" s="103">
        <v>44601</v>
      </c>
      <c r="B909" s="104">
        <v>4587.1788889999998</v>
      </c>
      <c r="C909" s="4">
        <f t="shared" si="14"/>
        <v>1.441282100113392E-2</v>
      </c>
      <c r="D909" s="1" t="str">
        <f>IF(COUNTIF(Target1[Target Dates],Benchmark1[[#This Row],[Benchmark '#1 Dates]])=1,"Pass","Fail")</f>
        <v>Pass</v>
      </c>
      <c r="E909" s="6">
        <f>IF(Benchmark1[[#This Row],[Target Date Check]]="Pass",INDEX(Target1[Target Price],MATCH(Benchmark1[[#This Row],[Benchmark '#1 Dates]],Target1[Target Dates],0)),"-")</f>
        <v>35.51</v>
      </c>
      <c r="F909" s="22">
        <f>IF(Benchmark1[[#This Row],[Target Date Check]]="Pass",INDEX(Target1[Target Return],MATCH(Benchmark1[[#This Row],[Benchmark '#1 Dates]],Target1[Target Dates],0)),"-")</f>
        <v>-1.4259992792813593E-2</v>
      </c>
      <c r="G909" s="1">
        <f>IFERROR(IF(Benchmark1[[#This Row],[Target Date Check]]="Pass",Benchmark1[[#This Row],[Target Return]]-Benchmark1[[#This Row],[Benchmark '#1 Return]],"-"),"-")</f>
        <v>-2.8672813793947514E-2</v>
      </c>
      <c r="H909" s="1" t="str">
        <f>IF(COUNTIF(Comp1[Comparable '#1 Dates],Benchmark1[[#This Row],[Benchmark '#1 Dates]])=1,"Pass","Fail")</f>
        <v>Pass</v>
      </c>
      <c r="I909" s="6">
        <f>IF(Benchmark1[[#This Row],[Comparable '#1 Date Check]]="Pass",INDEX(Comp1[Comparable '#1 Price],MATCH(Benchmark1[[#This Row],[Benchmark '#1 Dates]],Comp1[Comparable '#1 Dates],0)),"-")</f>
        <v>13.03</v>
      </c>
      <c r="J909" s="22">
        <f>IF(Benchmark1[[#This Row],[Comparable '#1 Date Check]]="Pass",INDEX(Comp1[Comparable '#1 Return],MATCH(Benchmark1[[#This Row],[Benchmark '#1 Dates]],Comp1[Comparable '#1 Dates],0)),"-")</f>
        <v>4.2326066999267435E-2</v>
      </c>
      <c r="K909" s="1">
        <f>IFERROR(IF(Benchmark1[[#This Row],[Comparable '#1 Date Check]]="Pass",Benchmark1[[#This Row],[Comparable '#1 Return]]-Benchmark1[[#This Row],[Benchmark '#1 Return]],"-"),"-")</f>
        <v>2.7913245998133517E-2</v>
      </c>
      <c r="L909" s="1" t="str">
        <f>IF(COUNTIF(Comp2[Comparable '#2 Dates],Benchmark1[[#This Row],[Benchmark '#1 Dates]])=1,"Pass","Fail")</f>
        <v>Pass</v>
      </c>
      <c r="M909" s="6">
        <f>IF(Benchmark1[[#This Row],[Comparable '#2 Date Check]]="Pass",INDEX(Comp2[Comparable '#2 Price],MATCH(Benchmark1[[#This Row],[Benchmark '#1 Dates]],Comp2[Comparable '#2 Dates],0)),"-")</f>
        <v>24.7</v>
      </c>
      <c r="N909" s="22">
        <f>IF(Benchmark1[[#This Row],[Comparable '#2 Date Check]]="Pass",INDEX(Comp2[Comparable '#2 Return],MATCH(Benchmark1[[#This Row],[Benchmark '#1 Dates]],Comp2[Comparable '#2 Dates],0)),"-")</f>
        <v>-0.15183452360942801</v>
      </c>
      <c r="O909" s="1">
        <f>IFERROR(IF(Benchmark1[[#This Row],[Comparable '#2 Date Check]]="Pass",Benchmark1[[#This Row],[Comparable '#2 Return]]-Benchmark1[[#This Row],[Benchmark '#1 Return]],"-"),"-")</f>
        <v>-0.16624734461056193</v>
      </c>
      <c r="P909" s="1" t="str">
        <f>IF(COUNTIF(Comp3[Comparable '#3 Dates],Benchmark1[[#This Row],[Benchmark '#1 Dates]])=1,"Pass","Fail")</f>
        <v>Pass</v>
      </c>
      <c r="Q909" s="6">
        <f>IF(Benchmark1[[#This Row],[Comparable '#3 Date Check]]="Pass",INDEX(Comp3[Comparable '#3 Price],MATCH(Benchmark1[[#This Row],[Benchmark '#1 Dates]],Comp3[Comparable '#3 Dates],0)),"-")</f>
        <v>56.86</v>
      </c>
      <c r="R909" s="22">
        <f>IF(Benchmark1[[#This Row],[Comparable '#3 Date Check]]="Pass",INDEX(Comp3[Comparable '#3 Return],MATCH(Benchmark1[[#This Row],[Benchmark '#1 Dates]],Comp3[Comparable '#3 Dates],0)),"-")</f>
        <v>-5.3085567011543218E-2</v>
      </c>
      <c r="S909" s="1">
        <f>IFERROR(IF(Benchmark1[[#This Row],[Comparable '#3 Date Check]]="Pass",Benchmark1[[#This Row],[Comparable '#3 Return]]-Benchmark1[[#This Row],[Benchmark '#1 Return]],"-"),"-")</f>
        <v>-6.7498388012677143E-2</v>
      </c>
    </row>
    <row r="910" spans="1:19">
      <c r="A910" s="103">
        <v>44602</v>
      </c>
      <c r="B910" s="104">
        <v>4504.0847869999998</v>
      </c>
      <c r="C910" s="4">
        <f t="shared" si="14"/>
        <v>-1.8280498499974446E-2</v>
      </c>
      <c r="D910" s="1" t="str">
        <f>IF(COUNTIF(Target1[Target Dates],Benchmark1[[#This Row],[Benchmark '#1 Dates]])=1,"Pass","Fail")</f>
        <v>Pass</v>
      </c>
      <c r="E910" s="6">
        <f>IF(Benchmark1[[#This Row],[Target Date Check]]="Pass",INDEX(Target1[Target Price],MATCH(Benchmark1[[#This Row],[Benchmark '#1 Dates]],Target1[Target Dates],0)),"-")</f>
        <v>34.46</v>
      </c>
      <c r="F910" s="22">
        <f>IF(Benchmark1[[#This Row],[Target Date Check]]="Pass",INDEX(Target1[Target Return],MATCH(Benchmark1[[#This Row],[Benchmark '#1 Dates]],Target1[Target Dates],0)),"-")</f>
        <v>-3.0015115855212826E-2</v>
      </c>
      <c r="G910" s="1">
        <f>IFERROR(IF(Benchmark1[[#This Row],[Target Date Check]]="Pass",Benchmark1[[#This Row],[Target Return]]-Benchmark1[[#This Row],[Benchmark '#1 Return]],"-"),"-")</f>
        <v>-1.173461735523838E-2</v>
      </c>
      <c r="H910" s="1" t="str">
        <f>IF(COUNTIF(Comp1[Comparable '#1 Dates],Benchmark1[[#This Row],[Benchmark '#1 Dates]])=1,"Pass","Fail")</f>
        <v>Pass</v>
      </c>
      <c r="I910" s="6">
        <f>IF(Benchmark1[[#This Row],[Comparable '#1 Date Check]]="Pass",INDEX(Comp1[Comparable '#1 Price],MATCH(Benchmark1[[#This Row],[Benchmark '#1 Dates]],Comp1[Comparable '#1 Dates],0)),"-")</f>
        <v>12.57</v>
      </c>
      <c r="J910" s="22">
        <f>IF(Benchmark1[[#This Row],[Comparable '#1 Date Check]]="Pass",INDEX(Comp1[Comparable '#1 Return],MATCH(Benchmark1[[#This Row],[Benchmark '#1 Dates]],Comp1[Comparable '#1 Dates],0)),"-")</f>
        <v>-3.5941368534597666E-2</v>
      </c>
      <c r="K910" s="1">
        <f>IFERROR(IF(Benchmark1[[#This Row],[Comparable '#1 Date Check]]="Pass",Benchmark1[[#This Row],[Comparable '#1 Return]]-Benchmark1[[#This Row],[Benchmark '#1 Return]],"-"),"-")</f>
        <v>-1.766087003462322E-2</v>
      </c>
      <c r="L910" s="1" t="str">
        <f>IF(COUNTIF(Comp2[Comparable '#2 Dates],Benchmark1[[#This Row],[Benchmark '#1 Dates]])=1,"Pass","Fail")</f>
        <v>Pass</v>
      </c>
      <c r="M910" s="6">
        <f>IF(Benchmark1[[#This Row],[Comparable '#2 Date Check]]="Pass",INDEX(Comp2[Comparable '#2 Price],MATCH(Benchmark1[[#This Row],[Benchmark '#1 Dates]],Comp2[Comparable '#2 Dates],0)),"-")</f>
        <v>22.77</v>
      </c>
      <c r="N910" s="22">
        <f>IF(Benchmark1[[#This Row],[Comparable '#2 Date Check]]="Pass",INDEX(Comp2[Comparable '#2 Return],MATCH(Benchmark1[[#This Row],[Benchmark '#1 Dates]],Comp2[Comparable '#2 Dates],0)),"-")</f>
        <v>-8.1359363558283299E-2</v>
      </c>
      <c r="O910" s="1">
        <f>IFERROR(IF(Benchmark1[[#This Row],[Comparable '#2 Date Check]]="Pass",Benchmark1[[#This Row],[Comparable '#2 Return]]-Benchmark1[[#This Row],[Benchmark '#1 Return]],"-"),"-")</f>
        <v>-6.3078865058308856E-2</v>
      </c>
      <c r="P910" s="1" t="str">
        <f>IF(COUNTIF(Comp3[Comparable '#3 Dates],Benchmark1[[#This Row],[Benchmark '#1 Dates]])=1,"Pass","Fail")</f>
        <v>Pass</v>
      </c>
      <c r="Q910" s="6">
        <f>IF(Benchmark1[[#This Row],[Comparable '#3 Date Check]]="Pass",INDEX(Comp3[Comparable '#3 Price],MATCH(Benchmark1[[#This Row],[Benchmark '#1 Dates]],Comp3[Comparable '#3 Dates],0)),"-")</f>
        <v>52.85</v>
      </c>
      <c r="R910" s="22">
        <f>IF(Benchmark1[[#This Row],[Comparable '#3 Date Check]]="Pass",INDEX(Comp3[Comparable '#3 Return],MATCH(Benchmark1[[#This Row],[Benchmark '#1 Dates]],Comp3[Comparable '#3 Dates],0)),"-")</f>
        <v>-7.3134393906607073E-2</v>
      </c>
      <c r="S910" s="1">
        <f>IFERROR(IF(Benchmark1[[#This Row],[Comparable '#3 Date Check]]="Pass",Benchmark1[[#This Row],[Comparable '#3 Return]]-Benchmark1[[#This Row],[Benchmark '#1 Return]],"-"),"-")</f>
        <v>-5.485389540663263E-2</v>
      </c>
    </row>
    <row r="911" spans="1:19">
      <c r="A911" s="103">
        <v>44603</v>
      </c>
      <c r="B911" s="104">
        <v>4418.6365169999999</v>
      </c>
      <c r="C911" s="4">
        <f t="shared" si="14"/>
        <v>-1.9153547299560116E-2</v>
      </c>
      <c r="D911" s="1" t="str">
        <f>IF(COUNTIF(Target1[Target Dates],Benchmark1[[#This Row],[Benchmark '#1 Dates]])=1,"Pass","Fail")</f>
        <v>Pass</v>
      </c>
      <c r="E911" s="6">
        <f>IF(Benchmark1[[#This Row],[Target Date Check]]="Pass",INDEX(Target1[Target Price],MATCH(Benchmark1[[#This Row],[Benchmark '#1 Dates]],Target1[Target Dates],0)),"-")</f>
        <v>33.840000000000003</v>
      </c>
      <c r="F911" s="22">
        <f>IF(Benchmark1[[#This Row],[Target Date Check]]="Pass",INDEX(Target1[Target Return],MATCH(Benchmark1[[#This Row],[Benchmark '#1 Dates]],Target1[Target Dates],0)),"-")</f>
        <v>-1.8155696361760926E-2</v>
      </c>
      <c r="G911" s="1">
        <f>IFERROR(IF(Benchmark1[[#This Row],[Target Date Check]]="Pass",Benchmark1[[#This Row],[Target Return]]-Benchmark1[[#This Row],[Benchmark '#1 Return]],"-"),"-")</f>
        <v>9.9785093779919051E-4</v>
      </c>
      <c r="H911" s="1" t="str">
        <f>IF(COUNTIF(Comp1[Comparable '#1 Dates],Benchmark1[[#This Row],[Benchmark '#1 Dates]])=1,"Pass","Fail")</f>
        <v>Pass</v>
      </c>
      <c r="I911" s="6">
        <f>IF(Benchmark1[[#This Row],[Comparable '#1 Date Check]]="Pass",INDEX(Comp1[Comparable '#1 Price],MATCH(Benchmark1[[#This Row],[Benchmark '#1 Dates]],Comp1[Comparable '#1 Dates],0)),"-")</f>
        <v>12.27</v>
      </c>
      <c r="J911" s="22">
        <f>IF(Benchmark1[[#This Row],[Comparable '#1 Date Check]]="Pass",INDEX(Comp1[Comparable '#1 Return],MATCH(Benchmark1[[#This Row],[Benchmark '#1 Dates]],Comp1[Comparable '#1 Dates],0)),"-")</f>
        <v>-2.4155763879336038E-2</v>
      </c>
      <c r="K911" s="1">
        <f>IFERROR(IF(Benchmark1[[#This Row],[Comparable '#1 Date Check]]="Pass",Benchmark1[[#This Row],[Comparable '#1 Return]]-Benchmark1[[#This Row],[Benchmark '#1 Return]],"-"),"-")</f>
        <v>-5.002216579775922E-3</v>
      </c>
      <c r="L911" s="1" t="str">
        <f>IF(COUNTIF(Comp2[Comparable '#2 Dates],Benchmark1[[#This Row],[Benchmark '#1 Dates]])=1,"Pass","Fail")</f>
        <v>Pass</v>
      </c>
      <c r="M911" s="6">
        <f>IF(Benchmark1[[#This Row],[Comparable '#2 Date Check]]="Pass",INDEX(Comp2[Comparable '#2 Price],MATCH(Benchmark1[[#This Row],[Benchmark '#1 Dates]],Comp2[Comparable '#2 Dates],0)),"-")</f>
        <v>23.76</v>
      </c>
      <c r="N911" s="22">
        <f>IF(Benchmark1[[#This Row],[Comparable '#2 Date Check]]="Pass",INDEX(Comp2[Comparable '#2 Return],MATCH(Benchmark1[[#This Row],[Benchmark '#1 Dates]],Comp2[Comparable '#2 Dates],0)),"-")</f>
        <v>4.2559614418796111E-2</v>
      </c>
      <c r="O911" s="1">
        <f>IFERROR(IF(Benchmark1[[#This Row],[Comparable '#2 Date Check]]="Pass",Benchmark1[[#This Row],[Comparable '#2 Return]]-Benchmark1[[#This Row],[Benchmark '#1 Return]],"-"),"-")</f>
        <v>6.1713161718356224E-2</v>
      </c>
      <c r="P911" s="1" t="str">
        <f>IF(COUNTIF(Comp3[Comparable '#3 Dates],Benchmark1[[#This Row],[Benchmark '#1 Dates]])=1,"Pass","Fail")</f>
        <v>Pass</v>
      </c>
      <c r="Q911" s="6">
        <f>IF(Benchmark1[[#This Row],[Comparable '#3 Date Check]]="Pass",INDEX(Comp3[Comparable '#3 Price],MATCH(Benchmark1[[#This Row],[Benchmark '#1 Dates]],Comp3[Comparable '#3 Dates],0)),"-")</f>
        <v>54.17</v>
      </c>
      <c r="R911" s="22">
        <f>IF(Benchmark1[[#This Row],[Comparable '#3 Date Check]]="Pass",INDEX(Comp3[Comparable '#3 Return],MATCH(Benchmark1[[#This Row],[Benchmark '#1 Dates]],Comp3[Comparable '#3 Dates],0)),"-")</f>
        <v>2.4669537353560905E-2</v>
      </c>
      <c r="S911" s="1">
        <f>IFERROR(IF(Benchmark1[[#This Row],[Comparable '#3 Date Check]]="Pass",Benchmark1[[#This Row],[Comparable '#3 Return]]-Benchmark1[[#This Row],[Benchmark '#1 Return]],"-"),"-")</f>
        <v>4.3823084653121021E-2</v>
      </c>
    </row>
    <row r="912" spans="1:19">
      <c r="A912" s="103">
        <v>44606</v>
      </c>
      <c r="B912" s="104">
        <v>4401.6669819999997</v>
      </c>
      <c r="C912" s="4">
        <f t="shared" si="14"/>
        <v>-3.8478394625108196E-3</v>
      </c>
      <c r="D912" s="1" t="str">
        <f>IF(COUNTIF(Target1[Target Dates],Benchmark1[[#This Row],[Benchmark '#1 Dates]])=1,"Pass","Fail")</f>
        <v>Pass</v>
      </c>
      <c r="E912" s="6">
        <f>IF(Benchmark1[[#This Row],[Target Date Check]]="Pass",INDEX(Target1[Target Price],MATCH(Benchmark1[[#This Row],[Benchmark '#1 Dates]],Target1[Target Dates],0)),"-")</f>
        <v>33.840000000000003</v>
      </c>
      <c r="F912" s="22">
        <f>IF(Benchmark1[[#This Row],[Target Date Check]]="Pass",INDEX(Target1[Target Return],MATCH(Benchmark1[[#This Row],[Benchmark '#1 Dates]],Target1[Target Dates],0)),"-")</f>
        <v>0</v>
      </c>
      <c r="G912" s="1">
        <f>IFERROR(IF(Benchmark1[[#This Row],[Target Date Check]]="Pass",Benchmark1[[#This Row],[Target Return]]-Benchmark1[[#This Row],[Benchmark '#1 Return]],"-"),"-")</f>
        <v>3.8478394625108196E-3</v>
      </c>
      <c r="H912" s="1" t="str">
        <f>IF(COUNTIF(Comp1[Comparable '#1 Dates],Benchmark1[[#This Row],[Benchmark '#1 Dates]])=1,"Pass","Fail")</f>
        <v>Pass</v>
      </c>
      <c r="I912" s="6">
        <f>IF(Benchmark1[[#This Row],[Comparable '#1 Date Check]]="Pass",INDEX(Comp1[Comparable '#1 Price],MATCH(Benchmark1[[#This Row],[Benchmark '#1 Dates]],Comp1[Comparable '#1 Dates],0)),"-")</f>
        <v>12.49</v>
      </c>
      <c r="J912" s="22">
        <f>IF(Benchmark1[[#This Row],[Comparable '#1 Date Check]]="Pass",INDEX(Comp1[Comparable '#1 Return],MATCH(Benchmark1[[#This Row],[Benchmark '#1 Dates]],Comp1[Comparable '#1 Dates],0)),"-")</f>
        <v>1.777106541466621E-2</v>
      </c>
      <c r="K912" s="1">
        <f>IFERROR(IF(Benchmark1[[#This Row],[Comparable '#1 Date Check]]="Pass",Benchmark1[[#This Row],[Comparable '#1 Return]]-Benchmark1[[#This Row],[Benchmark '#1 Return]],"-"),"-")</f>
        <v>2.161890487717703E-2</v>
      </c>
      <c r="L912" s="1" t="str">
        <f>IF(COUNTIF(Comp2[Comparable '#2 Dates],Benchmark1[[#This Row],[Benchmark '#1 Dates]])=1,"Pass","Fail")</f>
        <v>Pass</v>
      </c>
      <c r="M912" s="6">
        <f>IF(Benchmark1[[#This Row],[Comparable '#2 Date Check]]="Pass",INDEX(Comp2[Comparable '#2 Price],MATCH(Benchmark1[[#This Row],[Benchmark '#1 Dates]],Comp2[Comparable '#2 Dates],0)),"-")</f>
        <v>23.49</v>
      </c>
      <c r="N912" s="22">
        <f>IF(Benchmark1[[#This Row],[Comparable '#2 Date Check]]="Pass",INDEX(Comp2[Comparable '#2 Return],MATCH(Benchmark1[[#This Row],[Benchmark '#1 Dates]],Comp2[Comparable '#2 Dates],0)),"-")</f>
        <v>-1.1428695823622857E-2</v>
      </c>
      <c r="O912" s="1">
        <f>IFERROR(IF(Benchmark1[[#This Row],[Comparable '#2 Date Check]]="Pass",Benchmark1[[#This Row],[Comparable '#2 Return]]-Benchmark1[[#This Row],[Benchmark '#1 Return]],"-"),"-")</f>
        <v>-7.5808563611120365E-3</v>
      </c>
      <c r="P912" s="1" t="str">
        <f>IF(COUNTIF(Comp3[Comparable '#3 Dates],Benchmark1[[#This Row],[Benchmark '#1 Dates]])=1,"Pass","Fail")</f>
        <v>Pass</v>
      </c>
      <c r="Q912" s="6">
        <f>IF(Benchmark1[[#This Row],[Comparable '#3 Date Check]]="Pass",INDEX(Comp3[Comparable '#3 Price],MATCH(Benchmark1[[#This Row],[Benchmark '#1 Dates]],Comp3[Comparable '#3 Dates],0)),"-")</f>
        <v>53.68</v>
      </c>
      <c r="R912" s="22">
        <f>IF(Benchmark1[[#This Row],[Comparable '#3 Date Check]]="Pass",INDEX(Comp3[Comparable '#3 Return],MATCH(Benchmark1[[#This Row],[Benchmark '#1 Dates]],Comp3[Comparable '#3 Dates],0)),"-")</f>
        <v>-9.0867570063811898E-3</v>
      </c>
      <c r="S912" s="1">
        <f>IFERROR(IF(Benchmark1[[#This Row],[Comparable '#3 Date Check]]="Pass",Benchmark1[[#This Row],[Comparable '#3 Return]]-Benchmark1[[#This Row],[Benchmark '#1 Return]],"-"),"-")</f>
        <v>-5.2389175438703698E-3</v>
      </c>
    </row>
    <row r="913" spans="1:19">
      <c r="A913" s="103">
        <v>44607</v>
      </c>
      <c r="B913" s="104">
        <v>4471.0742471555886</v>
      </c>
      <c r="C913" s="4">
        <f t="shared" si="14"/>
        <v>1.5645374780291446E-2</v>
      </c>
      <c r="D913" s="1" t="str">
        <f>IF(COUNTIF(Target1[Target Dates],Benchmark1[[#This Row],[Benchmark '#1 Dates]])=1,"Pass","Fail")</f>
        <v>Pass</v>
      </c>
      <c r="E913" s="6">
        <f>IF(Benchmark1[[#This Row],[Target Date Check]]="Pass",INDEX(Target1[Target Price],MATCH(Benchmark1[[#This Row],[Benchmark '#1 Dates]],Target1[Target Dates],0)),"-")</f>
        <v>34.229999999999997</v>
      </c>
      <c r="F913" s="22">
        <f>IF(Benchmark1[[#This Row],[Target Date Check]]="Pass",INDEX(Target1[Target Return],MATCH(Benchmark1[[#This Row],[Benchmark '#1 Dates]],Target1[Target Dates],0)),"-")</f>
        <v>1.145891780407127E-2</v>
      </c>
      <c r="G913" s="1">
        <f>IFERROR(IF(Benchmark1[[#This Row],[Target Date Check]]="Pass",Benchmark1[[#This Row],[Target Return]]-Benchmark1[[#This Row],[Benchmark '#1 Return]],"-"),"-")</f>
        <v>-4.1864569762201757E-3</v>
      </c>
      <c r="H913" s="1" t="str">
        <f>IF(COUNTIF(Comp1[Comparable '#1 Dates],Benchmark1[[#This Row],[Benchmark '#1 Dates]])=1,"Pass","Fail")</f>
        <v>Pass</v>
      </c>
      <c r="I913" s="6">
        <f>IF(Benchmark1[[#This Row],[Comparable '#1 Date Check]]="Pass",INDEX(Comp1[Comparable '#1 Price],MATCH(Benchmark1[[#This Row],[Benchmark '#1 Dates]],Comp1[Comparable '#1 Dates],0)),"-")</f>
        <v>12.45</v>
      </c>
      <c r="J913" s="22">
        <f>IF(Benchmark1[[#This Row],[Comparable '#1 Date Check]]="Pass",INDEX(Comp1[Comparable '#1 Return],MATCH(Benchmark1[[#This Row],[Benchmark '#1 Dates]],Comp1[Comparable '#1 Dates],0)),"-")</f>
        <v>-3.2077012267697313E-3</v>
      </c>
      <c r="K913" s="1">
        <f>IFERROR(IF(Benchmark1[[#This Row],[Comparable '#1 Date Check]]="Pass",Benchmark1[[#This Row],[Comparable '#1 Return]]-Benchmark1[[#This Row],[Benchmark '#1 Return]],"-"),"-")</f>
        <v>-1.8853076007061178E-2</v>
      </c>
      <c r="L913" s="1" t="str">
        <f>IF(COUNTIF(Comp2[Comparable '#2 Dates],Benchmark1[[#This Row],[Benchmark '#1 Dates]])=1,"Pass","Fail")</f>
        <v>Pass</v>
      </c>
      <c r="M913" s="6">
        <f>IF(Benchmark1[[#This Row],[Comparable '#2 Date Check]]="Pass",INDEX(Comp2[Comparable '#2 Price],MATCH(Benchmark1[[#This Row],[Benchmark '#1 Dates]],Comp2[Comparable '#2 Dates],0)),"-")</f>
        <v>23.69</v>
      </c>
      <c r="N913" s="22">
        <f>IF(Benchmark1[[#This Row],[Comparable '#2 Date Check]]="Pass",INDEX(Comp2[Comparable '#2 Return],MATCH(Benchmark1[[#This Row],[Benchmark '#1 Dates]],Comp2[Comparable '#2 Dates],0)),"-")</f>
        <v>8.4782194998726905E-3</v>
      </c>
      <c r="O913" s="1">
        <f>IFERROR(IF(Benchmark1[[#This Row],[Comparable '#2 Date Check]]="Pass",Benchmark1[[#This Row],[Comparable '#2 Return]]-Benchmark1[[#This Row],[Benchmark '#1 Return]],"-"),"-")</f>
        <v>-7.1671552804187556E-3</v>
      </c>
      <c r="P913" s="1" t="str">
        <f>IF(COUNTIF(Comp3[Comparable '#3 Dates],Benchmark1[[#This Row],[Benchmark '#1 Dates]])=1,"Pass","Fail")</f>
        <v>Pass</v>
      </c>
      <c r="Q913" s="6">
        <f>IF(Benchmark1[[#This Row],[Comparable '#3 Date Check]]="Pass",INDEX(Comp3[Comparable '#3 Price],MATCH(Benchmark1[[#This Row],[Benchmark '#1 Dates]],Comp3[Comparable '#3 Dates],0)),"-")</f>
        <v>54.56</v>
      </c>
      <c r="R913" s="22">
        <f>IF(Benchmark1[[#This Row],[Comparable '#3 Date Check]]="Pass",INDEX(Comp3[Comparable '#3 Return],MATCH(Benchmark1[[#This Row],[Benchmark '#1 Dates]],Comp3[Comparable '#3 Dates],0)),"-")</f>
        <v>1.6260520871780326E-2</v>
      </c>
      <c r="S913" s="1">
        <f>IFERROR(IF(Benchmark1[[#This Row],[Comparable '#3 Date Check]]="Pass",Benchmark1[[#This Row],[Comparable '#3 Return]]-Benchmark1[[#This Row],[Benchmark '#1 Return]],"-"),"-")</f>
        <v>6.1514609148887942E-4</v>
      </c>
    </row>
    <row r="914" spans="1:19">
      <c r="A914" s="103">
        <v>44608</v>
      </c>
      <c r="B914" s="104">
        <v>4475.0110996171024</v>
      </c>
      <c r="C914" s="4">
        <f t="shared" si="14"/>
        <v>8.8012858430124041E-4</v>
      </c>
      <c r="D914" s="1" t="str">
        <f>IF(COUNTIF(Target1[Target Dates],Benchmark1[[#This Row],[Benchmark '#1 Dates]])=1,"Pass","Fail")</f>
        <v>Pass</v>
      </c>
      <c r="E914" s="6">
        <f>IF(Benchmark1[[#This Row],[Target Date Check]]="Pass",INDEX(Target1[Target Price],MATCH(Benchmark1[[#This Row],[Benchmark '#1 Dates]],Target1[Target Dates],0)),"-")</f>
        <v>34.369999999999997</v>
      </c>
      <c r="F914" s="22">
        <f>IF(Benchmark1[[#This Row],[Target Date Check]]="Pass",INDEX(Target1[Target Return],MATCH(Benchmark1[[#This Row],[Benchmark '#1 Dates]],Target1[Target Dates],0)),"-")</f>
        <v>4.0816383196486776E-3</v>
      </c>
      <c r="G914" s="1">
        <f>IFERROR(IF(Benchmark1[[#This Row],[Target Date Check]]="Pass",Benchmark1[[#This Row],[Target Return]]-Benchmark1[[#This Row],[Benchmark '#1 Return]],"-"),"-")</f>
        <v>3.2015097353474374E-3</v>
      </c>
      <c r="H914" s="1" t="str">
        <f>IF(COUNTIF(Comp1[Comparable '#1 Dates],Benchmark1[[#This Row],[Benchmark '#1 Dates]])=1,"Pass","Fail")</f>
        <v>Pass</v>
      </c>
      <c r="I914" s="6">
        <f>IF(Benchmark1[[#This Row],[Comparable '#1 Date Check]]="Pass",INDEX(Comp1[Comparable '#1 Price],MATCH(Benchmark1[[#This Row],[Benchmark '#1 Dates]],Comp1[Comparable '#1 Dates],0)),"-")</f>
        <v>12.57</v>
      </c>
      <c r="J914" s="22">
        <f>IF(Benchmark1[[#This Row],[Comparable '#1 Date Check]]="Pass",INDEX(Comp1[Comparable '#1 Return],MATCH(Benchmark1[[#This Row],[Benchmark '#1 Dates]],Comp1[Comparable '#1 Dates],0)),"-")</f>
        <v>9.5923996914395078E-3</v>
      </c>
      <c r="K914" s="1">
        <f>IFERROR(IF(Benchmark1[[#This Row],[Comparable '#1 Date Check]]="Pass",Benchmark1[[#This Row],[Comparable '#1 Return]]-Benchmark1[[#This Row],[Benchmark '#1 Return]],"-"),"-")</f>
        <v>8.7122711071382676E-3</v>
      </c>
      <c r="L914" s="1" t="str">
        <f>IF(COUNTIF(Comp2[Comparable '#2 Dates],Benchmark1[[#This Row],[Benchmark '#1 Dates]])=1,"Pass","Fail")</f>
        <v>Pass</v>
      </c>
      <c r="M914" s="6">
        <f>IF(Benchmark1[[#This Row],[Comparable '#2 Date Check]]="Pass",INDEX(Comp2[Comparable '#2 Price],MATCH(Benchmark1[[#This Row],[Benchmark '#1 Dates]],Comp2[Comparable '#2 Dates],0)),"-")</f>
        <v>23.1</v>
      </c>
      <c r="N914" s="22">
        <f>IF(Benchmark1[[#This Row],[Comparable '#2 Date Check]]="Pass",INDEX(Comp2[Comparable '#2 Return],MATCH(Benchmark1[[#This Row],[Benchmark '#1 Dates]],Comp2[Comparable '#2 Dates],0)),"-")</f>
        <v>-2.5220400642946256E-2</v>
      </c>
      <c r="O914" s="1">
        <f>IFERROR(IF(Benchmark1[[#This Row],[Comparable '#2 Date Check]]="Pass",Benchmark1[[#This Row],[Comparable '#2 Return]]-Benchmark1[[#This Row],[Benchmark '#1 Return]],"-"),"-")</f>
        <v>-2.6100529227247496E-2</v>
      </c>
      <c r="P914" s="1" t="str">
        <f>IF(COUNTIF(Comp3[Comparable '#3 Dates],Benchmark1[[#This Row],[Benchmark '#1 Dates]])=1,"Pass","Fail")</f>
        <v>Pass</v>
      </c>
      <c r="Q914" s="6">
        <f>IF(Benchmark1[[#This Row],[Comparable '#3 Date Check]]="Pass",INDEX(Comp3[Comparable '#3 Price],MATCH(Benchmark1[[#This Row],[Benchmark '#1 Dates]],Comp3[Comparable '#3 Dates],0)),"-")</f>
        <v>54.58</v>
      </c>
      <c r="R914" s="22">
        <f>IF(Benchmark1[[#This Row],[Comparable '#3 Date Check]]="Pass",INDEX(Comp3[Comparable '#3 Return],MATCH(Benchmark1[[#This Row],[Benchmark '#1 Dates]],Comp3[Comparable '#3 Dates],0)),"-")</f>
        <v>3.6650174498564184E-4</v>
      </c>
      <c r="S914" s="1">
        <f>IFERROR(IF(Benchmark1[[#This Row],[Comparable '#3 Date Check]]="Pass",Benchmark1[[#This Row],[Comparable '#3 Return]]-Benchmark1[[#This Row],[Benchmark '#1 Return]],"-"),"-")</f>
        <v>-5.1362683931559857E-4</v>
      </c>
    </row>
    <row r="915" spans="1:19">
      <c r="A915" s="103">
        <v>44609</v>
      </c>
      <c r="B915" s="104">
        <v>4380.2585625895817</v>
      </c>
      <c r="C915" s="4">
        <f t="shared" si="14"/>
        <v>-2.1401076884405203E-2</v>
      </c>
      <c r="D915" s="1" t="str">
        <f>IF(COUNTIF(Target1[Target Dates],Benchmark1[[#This Row],[Benchmark '#1 Dates]])=1,"Pass","Fail")</f>
        <v>Pass</v>
      </c>
      <c r="E915" s="6">
        <f>IF(Benchmark1[[#This Row],[Target Date Check]]="Pass",INDEX(Target1[Target Price],MATCH(Benchmark1[[#This Row],[Benchmark '#1 Dates]],Target1[Target Dates],0)),"-")</f>
        <v>33.659999999999997</v>
      </c>
      <c r="F915" s="22">
        <f>IF(Benchmark1[[#This Row],[Target Date Check]]="Pass",INDEX(Target1[Target Return],MATCH(Benchmark1[[#This Row],[Benchmark '#1 Dates]],Target1[Target Dates],0)),"-")</f>
        <v>-2.0873902099082561E-2</v>
      </c>
      <c r="G915" s="1">
        <f>IFERROR(IF(Benchmark1[[#This Row],[Target Date Check]]="Pass",Benchmark1[[#This Row],[Target Return]]-Benchmark1[[#This Row],[Benchmark '#1 Return]],"-"),"-")</f>
        <v>5.2717478532264203E-4</v>
      </c>
      <c r="H915" s="1" t="str">
        <f>IF(COUNTIF(Comp1[Comparable '#1 Dates],Benchmark1[[#This Row],[Benchmark '#1 Dates]])=1,"Pass","Fail")</f>
        <v>Pass</v>
      </c>
      <c r="I915" s="6">
        <f>IF(Benchmark1[[#This Row],[Comparable '#1 Date Check]]="Pass",INDEX(Comp1[Comparable '#1 Price],MATCH(Benchmark1[[#This Row],[Benchmark '#1 Dates]],Comp1[Comparable '#1 Dates],0)),"-")</f>
        <v>12.22</v>
      </c>
      <c r="J915" s="22">
        <f>IF(Benchmark1[[#This Row],[Comparable '#1 Date Check]]="Pass",INDEX(Comp1[Comparable '#1 Return],MATCH(Benchmark1[[#This Row],[Benchmark '#1 Dates]],Comp1[Comparable '#1 Dates],0)),"-")</f>
        <v>-2.8239068858706813E-2</v>
      </c>
      <c r="K915" s="1">
        <f>IFERROR(IF(Benchmark1[[#This Row],[Comparable '#1 Date Check]]="Pass",Benchmark1[[#This Row],[Comparable '#1 Return]]-Benchmark1[[#This Row],[Benchmark '#1 Return]],"-"),"-")</f>
        <v>-6.8379919743016097E-3</v>
      </c>
      <c r="L915" s="1" t="str">
        <f>IF(COUNTIF(Comp2[Comparable '#2 Dates],Benchmark1[[#This Row],[Benchmark '#1 Dates]])=1,"Pass","Fail")</f>
        <v>Pass</v>
      </c>
      <c r="M915" s="6">
        <f>IF(Benchmark1[[#This Row],[Comparable '#2 Date Check]]="Pass",INDEX(Comp2[Comparable '#2 Price],MATCH(Benchmark1[[#This Row],[Benchmark '#1 Dates]],Comp2[Comparable '#2 Dates],0)),"-")</f>
        <v>21.1</v>
      </c>
      <c r="N915" s="22">
        <f>IF(Benchmark1[[#This Row],[Comparable '#2 Date Check]]="Pass",INDEX(Comp2[Comparable '#2 Return],MATCH(Benchmark1[[#This Row],[Benchmark '#1 Dates]],Comp2[Comparable '#2 Dates],0)),"-")</f>
        <v>-9.0559577045726994E-2</v>
      </c>
      <c r="O915" s="1">
        <f>IFERROR(IF(Benchmark1[[#This Row],[Comparable '#2 Date Check]]="Pass",Benchmark1[[#This Row],[Comparable '#2 Return]]-Benchmark1[[#This Row],[Benchmark '#1 Return]],"-"),"-")</f>
        <v>-6.9158500161321787E-2</v>
      </c>
      <c r="P915" s="1" t="str">
        <f>IF(COUNTIF(Comp3[Comparable '#3 Dates],Benchmark1[[#This Row],[Benchmark '#1 Dates]])=1,"Pass","Fail")</f>
        <v>Pass</v>
      </c>
      <c r="Q915" s="6">
        <f>IF(Benchmark1[[#This Row],[Comparable '#3 Date Check]]="Pass",INDEX(Comp3[Comparable '#3 Price],MATCH(Benchmark1[[#This Row],[Benchmark '#1 Dates]],Comp3[Comparable '#3 Dates],0)),"-")</f>
        <v>51.24</v>
      </c>
      <c r="R915" s="22">
        <f>IF(Benchmark1[[#This Row],[Comparable '#3 Date Check]]="Pass",INDEX(Comp3[Comparable '#3 Return],MATCH(Benchmark1[[#This Row],[Benchmark '#1 Dates]],Comp3[Comparable '#3 Dates],0)),"-")</f>
        <v>-6.3147038251658863E-2</v>
      </c>
      <c r="S915" s="1">
        <f>IFERROR(IF(Benchmark1[[#This Row],[Comparable '#3 Date Check]]="Pass",Benchmark1[[#This Row],[Comparable '#3 Return]]-Benchmark1[[#This Row],[Benchmark '#1 Return]],"-"),"-")</f>
        <v>-4.1745961367253656E-2</v>
      </c>
    </row>
    <row r="916" spans="1:19">
      <c r="A916" s="103">
        <v>44610</v>
      </c>
      <c r="B916" s="104">
        <v>4348.8691965836761</v>
      </c>
      <c r="C916" s="4">
        <f t="shared" si="14"/>
        <v>-7.1918987025666094E-3</v>
      </c>
      <c r="D916" s="1" t="str">
        <f>IF(COUNTIF(Target1[Target Dates],Benchmark1[[#This Row],[Benchmark '#1 Dates]])=1,"Pass","Fail")</f>
        <v>Pass</v>
      </c>
      <c r="E916" s="6">
        <f>IF(Benchmark1[[#This Row],[Target Date Check]]="Pass",INDEX(Target1[Target Price],MATCH(Benchmark1[[#This Row],[Benchmark '#1 Dates]],Target1[Target Dates],0)),"-")</f>
        <v>33.99</v>
      </c>
      <c r="F916" s="22">
        <f>IF(Benchmark1[[#This Row],[Target Date Check]]="Pass",INDEX(Target1[Target Return],MATCH(Benchmark1[[#This Row],[Benchmark '#1 Dates]],Target1[Target Dates],0)),"-")</f>
        <v>9.7561749453648743E-3</v>
      </c>
      <c r="G916" s="1">
        <f>IFERROR(IF(Benchmark1[[#This Row],[Target Date Check]]="Pass",Benchmark1[[#This Row],[Target Return]]-Benchmark1[[#This Row],[Benchmark '#1 Return]],"-"),"-")</f>
        <v>1.6948073647931484E-2</v>
      </c>
      <c r="H916" s="1" t="str">
        <f>IF(COUNTIF(Comp1[Comparable '#1 Dates],Benchmark1[[#This Row],[Benchmark '#1 Dates]])=1,"Pass","Fail")</f>
        <v>Pass</v>
      </c>
      <c r="I916" s="6">
        <f>IF(Benchmark1[[#This Row],[Comparable '#1 Date Check]]="Pass",INDEX(Comp1[Comparable '#1 Price],MATCH(Benchmark1[[#This Row],[Benchmark '#1 Dates]],Comp1[Comparable '#1 Dates],0)),"-")</f>
        <v>12.04</v>
      </c>
      <c r="J916" s="22">
        <f>IF(Benchmark1[[#This Row],[Comparable '#1 Date Check]]="Pass",INDEX(Comp1[Comparable '#1 Return],MATCH(Benchmark1[[#This Row],[Benchmark '#1 Dates]],Comp1[Comparable '#1 Dates],0)),"-")</f>
        <v>-1.4839513862774446E-2</v>
      </c>
      <c r="K916" s="1">
        <f>IFERROR(IF(Benchmark1[[#This Row],[Comparable '#1 Date Check]]="Pass",Benchmark1[[#This Row],[Comparable '#1 Return]]-Benchmark1[[#This Row],[Benchmark '#1 Return]],"-"),"-")</f>
        <v>-7.6476151602078365E-3</v>
      </c>
      <c r="L916" s="1" t="str">
        <f>IF(COUNTIF(Comp2[Comparable '#2 Dates],Benchmark1[[#This Row],[Benchmark '#1 Dates]])=1,"Pass","Fail")</f>
        <v>Pass</v>
      </c>
      <c r="M916" s="6">
        <f>IF(Benchmark1[[#This Row],[Comparable '#2 Date Check]]="Pass",INDEX(Comp2[Comparable '#2 Price],MATCH(Benchmark1[[#This Row],[Benchmark '#1 Dates]],Comp2[Comparable '#2 Dates],0)),"-")</f>
        <v>20.83</v>
      </c>
      <c r="N916" s="22">
        <f>IF(Benchmark1[[#This Row],[Comparable '#2 Date Check]]="Pass",INDEX(Comp2[Comparable '#2 Return],MATCH(Benchmark1[[#This Row],[Benchmark '#1 Dates]],Comp2[Comparable '#2 Dates],0)),"-")</f>
        <v>-1.2878785209140375E-2</v>
      </c>
      <c r="O916" s="1">
        <f>IFERROR(IF(Benchmark1[[#This Row],[Comparable '#2 Date Check]]="Pass",Benchmark1[[#This Row],[Comparable '#2 Return]]-Benchmark1[[#This Row],[Benchmark '#1 Return]],"-"),"-")</f>
        <v>-5.6868865065737659E-3</v>
      </c>
      <c r="P916" s="1" t="str">
        <f>IF(COUNTIF(Comp3[Comparable '#3 Dates],Benchmark1[[#This Row],[Benchmark '#1 Dates]])=1,"Pass","Fail")</f>
        <v>Pass</v>
      </c>
      <c r="Q916" s="6">
        <f>IF(Benchmark1[[#This Row],[Comparable '#3 Date Check]]="Pass",INDEX(Comp3[Comparable '#3 Price],MATCH(Benchmark1[[#This Row],[Benchmark '#1 Dates]],Comp3[Comparable '#3 Dates],0)),"-")</f>
        <v>51.75</v>
      </c>
      <c r="R916" s="22">
        <f>IF(Benchmark1[[#This Row],[Comparable '#3 Date Check]]="Pass",INDEX(Comp3[Comparable '#3 Return],MATCH(Benchmark1[[#This Row],[Benchmark '#1 Dates]],Comp3[Comparable '#3 Dates],0)),"-")</f>
        <v>9.9039551169450239E-3</v>
      </c>
      <c r="S916" s="1">
        <f>IFERROR(IF(Benchmark1[[#This Row],[Comparable '#3 Date Check]]="Pass",Benchmark1[[#This Row],[Comparable '#3 Return]]-Benchmark1[[#This Row],[Benchmark '#1 Return]],"-"),"-")</f>
        <v>1.7095853819511633E-2</v>
      </c>
    </row>
    <row r="917" spans="1:19">
      <c r="A917" s="103">
        <v>44614</v>
      </c>
      <c r="B917" s="104">
        <v>4304.7576023061083</v>
      </c>
      <c r="C917" s="4">
        <f t="shared" si="14"/>
        <v>-1.0195026288215142E-2</v>
      </c>
      <c r="D917" s="1" t="str">
        <f>IF(COUNTIF(Target1[Target Dates],Benchmark1[[#This Row],[Benchmark '#1 Dates]])=1,"Pass","Fail")</f>
        <v>Pass</v>
      </c>
      <c r="E917" s="6">
        <f>IF(Benchmark1[[#This Row],[Target Date Check]]="Pass",INDEX(Target1[Target Price],MATCH(Benchmark1[[#This Row],[Benchmark '#1 Dates]],Target1[Target Dates],0)),"-")</f>
        <v>33.11</v>
      </c>
      <c r="F917" s="22">
        <f>IF(Benchmark1[[#This Row],[Target Date Check]]="Pass",INDEX(Target1[Target Return],MATCH(Benchmark1[[#This Row],[Benchmark '#1 Dates]],Target1[Target Dates],0)),"-")</f>
        <v>-2.6231012148869758E-2</v>
      </c>
      <c r="G917" s="1">
        <f>IFERROR(IF(Benchmark1[[#This Row],[Target Date Check]]="Pass",Benchmark1[[#This Row],[Target Return]]-Benchmark1[[#This Row],[Benchmark '#1 Return]],"-"),"-")</f>
        <v>-1.6035985860654616E-2</v>
      </c>
      <c r="H917" s="1" t="str">
        <f>IF(COUNTIF(Comp1[Comparable '#1 Dates],Benchmark1[[#This Row],[Benchmark '#1 Dates]])=1,"Pass","Fail")</f>
        <v>Pass</v>
      </c>
      <c r="I917" s="6">
        <f>IF(Benchmark1[[#This Row],[Comparable '#1 Date Check]]="Pass",INDEX(Comp1[Comparable '#1 Price],MATCH(Benchmark1[[#This Row],[Benchmark '#1 Dates]],Comp1[Comparable '#1 Dates],0)),"-")</f>
        <v>11.95</v>
      </c>
      <c r="J917" s="22">
        <f>IF(Benchmark1[[#This Row],[Comparable '#1 Date Check]]="Pass",INDEX(Comp1[Comparable '#1 Return],MATCH(Benchmark1[[#This Row],[Benchmark '#1 Dates]],Comp1[Comparable '#1 Dates],0)),"-")</f>
        <v>-7.5031615031552713E-3</v>
      </c>
      <c r="K917" s="1">
        <f>IFERROR(IF(Benchmark1[[#This Row],[Comparable '#1 Date Check]]="Pass",Benchmark1[[#This Row],[Comparable '#1 Return]]-Benchmark1[[#This Row],[Benchmark '#1 Return]],"-"),"-")</f>
        <v>2.6918647850598708E-3</v>
      </c>
      <c r="L917" s="1" t="str">
        <f>IF(COUNTIF(Comp2[Comparable '#2 Dates],Benchmark1[[#This Row],[Benchmark '#1 Dates]])=1,"Pass","Fail")</f>
        <v>Pass</v>
      </c>
      <c r="M917" s="6">
        <f>IF(Benchmark1[[#This Row],[Comparable '#2 Date Check]]="Pass",INDEX(Comp2[Comparable '#2 Price],MATCH(Benchmark1[[#This Row],[Benchmark '#1 Dates]],Comp2[Comparable '#2 Dates],0)),"-")</f>
        <v>20.43</v>
      </c>
      <c r="N917" s="22">
        <f>IF(Benchmark1[[#This Row],[Comparable '#2 Date Check]]="Pass",INDEX(Comp2[Comparable '#2 Return],MATCH(Benchmark1[[#This Row],[Benchmark '#1 Dates]],Comp2[Comparable '#2 Dates],0)),"-")</f>
        <v>-1.9389846443349863E-2</v>
      </c>
      <c r="O917" s="1">
        <f>IFERROR(IF(Benchmark1[[#This Row],[Comparable '#2 Date Check]]="Pass",Benchmark1[[#This Row],[Comparable '#2 Return]]-Benchmark1[[#This Row],[Benchmark '#1 Return]],"-"),"-")</f>
        <v>-9.1948201551347204E-3</v>
      </c>
      <c r="P917" s="1" t="str">
        <f>IF(COUNTIF(Comp3[Comparable '#3 Dates],Benchmark1[[#This Row],[Benchmark '#1 Dates]])=1,"Pass","Fail")</f>
        <v>Pass</v>
      </c>
      <c r="Q917" s="6">
        <f>IF(Benchmark1[[#This Row],[Comparable '#3 Date Check]]="Pass",INDEX(Comp3[Comparable '#3 Price],MATCH(Benchmark1[[#This Row],[Benchmark '#1 Dates]],Comp3[Comparable '#3 Dates],0)),"-")</f>
        <v>51.67</v>
      </c>
      <c r="R917" s="22">
        <f>IF(Benchmark1[[#This Row],[Comparable '#3 Date Check]]="Pass",INDEX(Comp3[Comparable '#3 Return],MATCH(Benchmark1[[#This Row],[Benchmark '#1 Dates]],Comp3[Comparable '#3 Dates],0)),"-")</f>
        <v>-1.5470898463851833E-3</v>
      </c>
      <c r="S917" s="1">
        <f>IFERROR(IF(Benchmark1[[#This Row],[Comparable '#3 Date Check]]="Pass",Benchmark1[[#This Row],[Comparable '#3 Return]]-Benchmark1[[#This Row],[Benchmark '#1 Return]],"-"),"-")</f>
        <v>8.6479364418299582E-3</v>
      </c>
    </row>
    <row r="918" spans="1:19">
      <c r="A918" s="103">
        <v>44615</v>
      </c>
      <c r="B918" s="104">
        <v>4225.5048810777489</v>
      </c>
      <c r="C918" s="4">
        <f t="shared" si="14"/>
        <v>-1.8582078060216195E-2</v>
      </c>
      <c r="D918" s="1" t="str">
        <f>IF(COUNTIF(Target1[Target Dates],Benchmark1[[#This Row],[Benchmark '#1 Dates]])=1,"Pass","Fail")</f>
        <v>Pass</v>
      </c>
      <c r="E918" s="6">
        <f>IF(Benchmark1[[#This Row],[Target Date Check]]="Pass",INDEX(Target1[Target Price],MATCH(Benchmark1[[#This Row],[Benchmark '#1 Dates]],Target1[Target Dates],0)),"-")</f>
        <v>32.86</v>
      </c>
      <c r="F918" s="22">
        <f>IF(Benchmark1[[#This Row],[Target Date Check]]="Pass",INDEX(Target1[Target Return],MATCH(Benchmark1[[#This Row],[Benchmark '#1 Dates]],Target1[Target Dates],0)),"-")</f>
        <v>-7.5792389500328418E-3</v>
      </c>
      <c r="G918" s="1">
        <f>IFERROR(IF(Benchmark1[[#This Row],[Target Date Check]]="Pass",Benchmark1[[#This Row],[Target Return]]-Benchmark1[[#This Row],[Benchmark '#1 Return]],"-"),"-")</f>
        <v>1.1002839110183352E-2</v>
      </c>
      <c r="H918" s="1" t="str">
        <f>IF(COUNTIF(Comp1[Comparable '#1 Dates],Benchmark1[[#This Row],[Benchmark '#1 Dates]])=1,"Pass","Fail")</f>
        <v>Pass</v>
      </c>
      <c r="I918" s="6">
        <f>IF(Benchmark1[[#This Row],[Comparable '#1 Date Check]]="Pass",INDEX(Comp1[Comparable '#1 Price],MATCH(Benchmark1[[#This Row],[Benchmark '#1 Dates]],Comp1[Comparable '#1 Dates],0)),"-")</f>
        <v>11.92</v>
      </c>
      <c r="J918" s="22">
        <f>IF(Benchmark1[[#This Row],[Comparable '#1 Date Check]]="Pass",INDEX(Comp1[Comparable '#1 Return],MATCH(Benchmark1[[#This Row],[Benchmark '#1 Dates]],Comp1[Comparable '#1 Dates],0)),"-")</f>
        <v>-2.5136167403159008E-3</v>
      </c>
      <c r="K918" s="1">
        <f>IFERROR(IF(Benchmark1[[#This Row],[Comparable '#1 Date Check]]="Pass",Benchmark1[[#This Row],[Comparable '#1 Return]]-Benchmark1[[#This Row],[Benchmark '#1 Return]],"-"),"-")</f>
        <v>1.6068461319900293E-2</v>
      </c>
      <c r="L918" s="1" t="str">
        <f>IF(COUNTIF(Comp2[Comparable '#2 Dates],Benchmark1[[#This Row],[Benchmark '#1 Dates]])=1,"Pass","Fail")</f>
        <v>Pass</v>
      </c>
      <c r="M918" s="6">
        <f>IF(Benchmark1[[#This Row],[Comparable '#2 Date Check]]="Pass",INDEX(Comp2[Comparable '#2 Price],MATCH(Benchmark1[[#This Row],[Benchmark '#1 Dates]],Comp2[Comparable '#2 Dates],0)),"-")</f>
        <v>19.739999999999998</v>
      </c>
      <c r="N918" s="22">
        <f>IF(Benchmark1[[#This Row],[Comparable '#2 Date Check]]="Pass",INDEX(Comp2[Comparable '#2 Return],MATCH(Benchmark1[[#This Row],[Benchmark '#1 Dates]],Comp2[Comparable '#2 Dates],0)),"-")</f>
        <v>-3.4357374824195208E-2</v>
      </c>
      <c r="O918" s="1">
        <f>IFERROR(IF(Benchmark1[[#This Row],[Comparable '#2 Date Check]]="Pass",Benchmark1[[#This Row],[Comparable '#2 Return]]-Benchmark1[[#This Row],[Benchmark '#1 Return]],"-"),"-")</f>
        <v>-1.5775296763979013E-2</v>
      </c>
      <c r="P918" s="1" t="str">
        <f>IF(COUNTIF(Comp3[Comparable '#3 Dates],Benchmark1[[#This Row],[Benchmark '#1 Dates]])=1,"Pass","Fail")</f>
        <v>Pass</v>
      </c>
      <c r="Q918" s="6">
        <f>IF(Benchmark1[[#This Row],[Comparable '#3 Date Check]]="Pass",INDEX(Comp3[Comparable '#3 Price],MATCH(Benchmark1[[#This Row],[Benchmark '#1 Dates]],Comp3[Comparable '#3 Dates],0)),"-")</f>
        <v>49.8</v>
      </c>
      <c r="R918" s="22">
        <f>IF(Benchmark1[[#This Row],[Comparable '#3 Date Check]]="Pass",INDEX(Comp3[Comparable '#3 Return],MATCH(Benchmark1[[#This Row],[Benchmark '#1 Dates]],Comp3[Comparable '#3 Dates],0)),"-")</f>
        <v>-3.6862358268486092E-2</v>
      </c>
      <c r="S918" s="1">
        <f>IFERROR(IF(Benchmark1[[#This Row],[Comparable '#3 Date Check]]="Pass",Benchmark1[[#This Row],[Comparable '#3 Return]]-Benchmark1[[#This Row],[Benchmark '#1 Return]],"-"),"-")</f>
        <v>-1.8280280208269897E-2</v>
      </c>
    </row>
    <row r="919" spans="1:19">
      <c r="A919" s="103">
        <v>44616</v>
      </c>
      <c r="B919" s="104">
        <v>4288.6960129999998</v>
      </c>
      <c r="C919" s="4">
        <f t="shared" si="14"/>
        <v>1.4843974911457936E-2</v>
      </c>
      <c r="D919" s="1" t="str">
        <f>IF(COUNTIF(Target1[Target Dates],Benchmark1[[#This Row],[Benchmark '#1 Dates]])=1,"Pass","Fail")</f>
        <v>Pass</v>
      </c>
      <c r="E919" s="6">
        <f>IF(Benchmark1[[#This Row],[Target Date Check]]="Pass",INDEX(Target1[Target Price],MATCH(Benchmark1[[#This Row],[Benchmark '#1 Dates]],Target1[Target Dates],0)),"-")</f>
        <v>33.380000000000003</v>
      </c>
      <c r="F919" s="22">
        <f>IF(Benchmark1[[#This Row],[Target Date Check]]="Pass",INDEX(Target1[Target Return],MATCH(Benchmark1[[#This Row],[Benchmark '#1 Dates]],Target1[Target Dates],0)),"-")</f>
        <v>1.5700805624567125E-2</v>
      </c>
      <c r="G919" s="1">
        <f>IFERROR(IF(Benchmark1[[#This Row],[Target Date Check]]="Pass",Benchmark1[[#This Row],[Target Return]]-Benchmark1[[#This Row],[Benchmark '#1 Return]],"-"),"-")</f>
        <v>8.5683071310918915E-4</v>
      </c>
      <c r="H919" s="1" t="str">
        <f>IF(COUNTIF(Comp1[Comparable '#1 Dates],Benchmark1[[#This Row],[Benchmark '#1 Dates]])=1,"Pass","Fail")</f>
        <v>Pass</v>
      </c>
      <c r="I919" s="6">
        <f>IF(Benchmark1[[#This Row],[Comparable '#1 Date Check]]="Pass",INDEX(Comp1[Comparable '#1 Price],MATCH(Benchmark1[[#This Row],[Benchmark '#1 Dates]],Comp1[Comparable '#1 Dates],0)),"-")</f>
        <v>11.72</v>
      </c>
      <c r="J919" s="22">
        <f>IF(Benchmark1[[#This Row],[Comparable '#1 Date Check]]="Pass",INDEX(Comp1[Comparable '#1 Return],MATCH(Benchmark1[[#This Row],[Benchmark '#1 Dates]],Comp1[Comparable '#1 Dates],0)),"-")</f>
        <v>-1.6920877488337063E-2</v>
      </c>
      <c r="K919" s="1">
        <f>IFERROR(IF(Benchmark1[[#This Row],[Comparable '#1 Date Check]]="Pass",Benchmark1[[#This Row],[Comparable '#1 Return]]-Benchmark1[[#This Row],[Benchmark '#1 Return]],"-"),"-")</f>
        <v>-3.1764852399794999E-2</v>
      </c>
      <c r="L919" s="1" t="str">
        <f>IF(COUNTIF(Comp2[Comparable '#2 Dates],Benchmark1[[#This Row],[Benchmark '#1 Dates]])=1,"Pass","Fail")</f>
        <v>Pass</v>
      </c>
      <c r="M919" s="6">
        <f>IF(Benchmark1[[#This Row],[Comparable '#2 Date Check]]="Pass",INDEX(Comp2[Comparable '#2 Price],MATCH(Benchmark1[[#This Row],[Benchmark '#1 Dates]],Comp2[Comparable '#2 Dates],0)),"-")</f>
        <v>20.12</v>
      </c>
      <c r="N919" s="22">
        <f>IF(Benchmark1[[#This Row],[Comparable '#2 Date Check]]="Pass",INDEX(Comp2[Comparable '#2 Return],MATCH(Benchmark1[[#This Row],[Benchmark '#1 Dates]],Comp2[Comparable '#2 Dates],0)),"-")</f>
        <v>1.906731122620316E-2</v>
      </c>
      <c r="O919" s="1">
        <f>IFERROR(IF(Benchmark1[[#This Row],[Comparable '#2 Date Check]]="Pass",Benchmark1[[#This Row],[Comparable '#2 Return]]-Benchmark1[[#This Row],[Benchmark '#1 Return]],"-"),"-")</f>
        <v>4.2233363147452241E-3</v>
      </c>
      <c r="P919" s="1" t="str">
        <f>IF(COUNTIF(Comp3[Comparable '#3 Dates],Benchmark1[[#This Row],[Benchmark '#1 Dates]])=1,"Pass","Fail")</f>
        <v>Pass</v>
      </c>
      <c r="Q919" s="6">
        <f>IF(Benchmark1[[#This Row],[Comparable '#3 Date Check]]="Pass",INDEX(Comp3[Comparable '#3 Price],MATCH(Benchmark1[[#This Row],[Benchmark '#1 Dates]],Comp3[Comparable '#3 Dates],0)),"-")</f>
        <v>50.05</v>
      </c>
      <c r="R919" s="22">
        <f>IF(Benchmark1[[#This Row],[Comparable '#3 Date Check]]="Pass",INDEX(Comp3[Comparable '#3 Return],MATCH(Benchmark1[[#This Row],[Benchmark '#1 Dates]],Comp3[Comparable '#3 Dates],0)),"-")</f>
        <v>5.0075217306224133E-3</v>
      </c>
      <c r="S919" s="1">
        <f>IFERROR(IF(Benchmark1[[#This Row],[Comparable '#3 Date Check]]="Pass",Benchmark1[[#This Row],[Comparable '#3 Return]]-Benchmark1[[#This Row],[Benchmark '#1 Return]],"-"),"-")</f>
        <v>-9.8364531808355221E-3</v>
      </c>
    </row>
    <row r="920" spans="1:19">
      <c r="A920" s="103">
        <v>44617</v>
      </c>
      <c r="B920" s="104">
        <v>4384.6544910000002</v>
      </c>
      <c r="C920" s="4">
        <f t="shared" si="14"/>
        <v>2.2128102272078346E-2</v>
      </c>
      <c r="D920" s="1" t="str">
        <f>IF(COUNTIF(Target1[Target Dates],Benchmark1[[#This Row],[Benchmark '#1 Dates]])=1,"Pass","Fail")</f>
        <v>Pass</v>
      </c>
      <c r="E920" s="6">
        <f>IF(Benchmark1[[#This Row],[Target Date Check]]="Pass",INDEX(Target1[Target Price],MATCH(Benchmark1[[#This Row],[Benchmark '#1 Dates]],Target1[Target Dates],0)),"-")</f>
        <v>34.72</v>
      </c>
      <c r="F920" s="22">
        <f>IF(Benchmark1[[#This Row],[Target Date Check]]="Pass",INDEX(Target1[Target Return],MATCH(Benchmark1[[#This Row],[Benchmark '#1 Dates]],Target1[Target Dates],0)),"-")</f>
        <v>3.9358971558460354E-2</v>
      </c>
      <c r="G920" s="1">
        <f>IFERROR(IF(Benchmark1[[#This Row],[Target Date Check]]="Pass",Benchmark1[[#This Row],[Target Return]]-Benchmark1[[#This Row],[Benchmark '#1 Return]],"-"),"-")</f>
        <v>1.7230869286382008E-2</v>
      </c>
      <c r="H920" s="1" t="str">
        <f>IF(COUNTIF(Comp1[Comparable '#1 Dates],Benchmark1[[#This Row],[Benchmark '#1 Dates]])=1,"Pass","Fail")</f>
        <v>Pass</v>
      </c>
      <c r="I920" s="6">
        <f>IF(Benchmark1[[#This Row],[Comparable '#1 Date Check]]="Pass",INDEX(Comp1[Comparable '#1 Price],MATCH(Benchmark1[[#This Row],[Benchmark '#1 Dates]],Comp1[Comparable '#1 Dates],0)),"-")</f>
        <v>11.34</v>
      </c>
      <c r="J920" s="22">
        <f>IF(Benchmark1[[#This Row],[Comparable '#1 Date Check]]="Pass",INDEX(Comp1[Comparable '#1 Return],MATCH(Benchmark1[[#This Row],[Benchmark '#1 Dates]],Comp1[Comparable '#1 Dates],0)),"-")</f>
        <v>-3.2960485849260583E-2</v>
      </c>
      <c r="K920" s="1">
        <f>IFERROR(IF(Benchmark1[[#This Row],[Comparable '#1 Date Check]]="Pass",Benchmark1[[#This Row],[Comparable '#1 Return]]-Benchmark1[[#This Row],[Benchmark '#1 Return]],"-"),"-")</f>
        <v>-5.5088588121338933E-2</v>
      </c>
      <c r="L920" s="1" t="str">
        <f>IF(COUNTIF(Comp2[Comparable '#2 Dates],Benchmark1[[#This Row],[Benchmark '#1 Dates]])=1,"Pass","Fail")</f>
        <v>Pass</v>
      </c>
      <c r="M920" s="6">
        <f>IF(Benchmark1[[#This Row],[Comparable '#2 Date Check]]="Pass",INDEX(Comp2[Comparable '#2 Price],MATCH(Benchmark1[[#This Row],[Benchmark '#1 Dates]],Comp2[Comparable '#2 Dates],0)),"-")</f>
        <v>20.77</v>
      </c>
      <c r="N920" s="22">
        <f>IF(Benchmark1[[#This Row],[Comparable '#2 Date Check]]="Pass",INDEX(Comp2[Comparable '#2 Return],MATCH(Benchmark1[[#This Row],[Benchmark '#1 Dates]],Comp2[Comparable '#2 Dates],0)),"-")</f>
        <v>3.1795292656482316E-2</v>
      </c>
      <c r="O920" s="1">
        <f>IFERROR(IF(Benchmark1[[#This Row],[Comparable '#2 Date Check]]="Pass",Benchmark1[[#This Row],[Comparable '#2 Return]]-Benchmark1[[#This Row],[Benchmark '#1 Return]],"-"),"-")</f>
        <v>9.6671903844039696E-3</v>
      </c>
      <c r="P920" s="1" t="str">
        <f>IF(COUNTIF(Comp3[Comparable '#3 Dates],Benchmark1[[#This Row],[Benchmark '#1 Dates]])=1,"Pass","Fail")</f>
        <v>Pass</v>
      </c>
      <c r="Q920" s="6">
        <f>IF(Benchmark1[[#This Row],[Comparable '#3 Date Check]]="Pass",INDEX(Comp3[Comparable '#3 Price],MATCH(Benchmark1[[#This Row],[Benchmark '#1 Dates]],Comp3[Comparable '#3 Dates],0)),"-")</f>
        <v>60.74</v>
      </c>
      <c r="R920" s="22">
        <f>IF(Benchmark1[[#This Row],[Comparable '#3 Date Check]]="Pass",INDEX(Comp3[Comparable '#3 Return],MATCH(Benchmark1[[#This Row],[Benchmark '#1 Dates]],Comp3[Comparable '#3 Dates],0)),"-")</f>
        <v>0.19357995385637314</v>
      </c>
      <c r="S920" s="1">
        <f>IFERROR(IF(Benchmark1[[#This Row],[Comparable '#3 Date Check]]="Pass",Benchmark1[[#This Row],[Comparable '#3 Return]]-Benchmark1[[#This Row],[Benchmark '#1 Return]],"-"),"-")</f>
        <v>0.1714518515842948</v>
      </c>
    </row>
    <row r="921" spans="1:19">
      <c r="A921" s="103">
        <v>44620</v>
      </c>
      <c r="B921" s="104">
        <v>4373.939148804443</v>
      </c>
      <c r="C921" s="4">
        <f t="shared" si="14"/>
        <v>-2.4468192000264713E-3</v>
      </c>
      <c r="D921" s="1" t="str">
        <f>IF(COUNTIF(Target1[Target Dates],Benchmark1[[#This Row],[Benchmark '#1 Dates]])=1,"Pass","Fail")</f>
        <v>Pass</v>
      </c>
      <c r="E921" s="6">
        <f>IF(Benchmark1[[#This Row],[Target Date Check]]="Pass",INDEX(Target1[Target Price],MATCH(Benchmark1[[#This Row],[Benchmark '#1 Dates]],Target1[Target Dates],0)),"-")</f>
        <v>33.58</v>
      </c>
      <c r="F921" s="22">
        <f>IF(Benchmark1[[#This Row],[Target Date Check]]="Pass",INDEX(Target1[Target Return],MATCH(Benchmark1[[#This Row],[Benchmark '#1 Dates]],Target1[Target Dates],0)),"-")</f>
        <v>-3.3385238142754729E-2</v>
      </c>
      <c r="G921" s="1">
        <f>IFERROR(IF(Benchmark1[[#This Row],[Target Date Check]]="Pass",Benchmark1[[#This Row],[Target Return]]-Benchmark1[[#This Row],[Benchmark '#1 Return]],"-"),"-")</f>
        <v>-3.0938418942728259E-2</v>
      </c>
      <c r="H921" s="1" t="str">
        <f>IF(COUNTIF(Comp1[Comparable '#1 Dates],Benchmark1[[#This Row],[Benchmark '#1 Dates]])=1,"Pass","Fail")</f>
        <v>Pass</v>
      </c>
      <c r="I921" s="6">
        <f>IF(Benchmark1[[#This Row],[Comparable '#1 Date Check]]="Pass",INDEX(Comp1[Comparable '#1 Price],MATCH(Benchmark1[[#This Row],[Benchmark '#1 Dates]],Comp1[Comparable '#1 Dates],0)),"-")</f>
        <v>10.84</v>
      </c>
      <c r="J921" s="22">
        <f>IF(Benchmark1[[#This Row],[Comparable '#1 Date Check]]="Pass",INDEX(Comp1[Comparable '#1 Return],MATCH(Benchmark1[[#This Row],[Benchmark '#1 Dates]],Comp1[Comparable '#1 Dates],0)),"-")</f>
        <v>-4.5093302288105916E-2</v>
      </c>
      <c r="K921" s="1">
        <f>IFERROR(IF(Benchmark1[[#This Row],[Comparable '#1 Date Check]]="Pass",Benchmark1[[#This Row],[Comparable '#1 Return]]-Benchmark1[[#This Row],[Benchmark '#1 Return]],"-"),"-")</f>
        <v>-4.2646483088079445E-2</v>
      </c>
      <c r="L921" s="1" t="str">
        <f>IF(COUNTIF(Comp2[Comparable '#2 Dates],Benchmark1[[#This Row],[Benchmark '#1 Dates]])=1,"Pass","Fail")</f>
        <v>Pass</v>
      </c>
      <c r="M921" s="6">
        <f>IF(Benchmark1[[#This Row],[Comparable '#2 Date Check]]="Pass",INDEX(Comp2[Comparable '#2 Price],MATCH(Benchmark1[[#This Row],[Benchmark '#1 Dates]],Comp2[Comparable '#2 Dates],0)),"-")</f>
        <v>20.78</v>
      </c>
      <c r="N921" s="22">
        <f>IF(Benchmark1[[#This Row],[Comparable '#2 Date Check]]="Pass",INDEX(Comp2[Comparable '#2 Return],MATCH(Benchmark1[[#This Row],[Benchmark '#1 Dates]],Comp2[Comparable '#2 Dates],0)),"-")</f>
        <v>4.8134778306046242E-4</v>
      </c>
      <c r="O921" s="1">
        <f>IFERROR(IF(Benchmark1[[#This Row],[Comparable '#2 Date Check]]="Pass",Benchmark1[[#This Row],[Comparable '#2 Return]]-Benchmark1[[#This Row],[Benchmark '#1 Return]],"-"),"-")</f>
        <v>2.9281669830869337E-3</v>
      </c>
      <c r="P921" s="1" t="str">
        <f>IF(COUNTIF(Comp3[Comparable '#3 Dates],Benchmark1[[#This Row],[Benchmark '#1 Dates]])=1,"Pass","Fail")</f>
        <v>Pass</v>
      </c>
      <c r="Q921" s="6">
        <f>IF(Benchmark1[[#This Row],[Comparable '#3 Date Check]]="Pass",INDEX(Comp3[Comparable '#3 Price],MATCH(Benchmark1[[#This Row],[Benchmark '#1 Dates]],Comp3[Comparable '#3 Dates],0)),"-")</f>
        <v>59.02</v>
      </c>
      <c r="R921" s="22">
        <f>IF(Benchmark1[[#This Row],[Comparable '#3 Date Check]]="Pass",INDEX(Comp3[Comparable '#3 Return],MATCH(Benchmark1[[#This Row],[Benchmark '#1 Dates]],Comp3[Comparable '#3 Dates],0)),"-")</f>
        <v>-2.8726090102809354E-2</v>
      </c>
      <c r="S921" s="1">
        <f>IFERROR(IF(Benchmark1[[#This Row],[Comparable '#3 Date Check]]="Pass",Benchmark1[[#This Row],[Comparable '#3 Return]]-Benchmark1[[#This Row],[Benchmark '#1 Return]],"-"),"-")</f>
        <v>-2.6279270902782884E-2</v>
      </c>
    </row>
    <row r="922" spans="1:19">
      <c r="A922" s="103">
        <v>44621</v>
      </c>
      <c r="B922" s="104">
        <v>4306.2588933857432</v>
      </c>
      <c r="C922" s="4">
        <f t="shared" si="14"/>
        <v>-1.5594489128055262E-2</v>
      </c>
      <c r="D922" s="1" t="str">
        <f>IF(COUNTIF(Target1[Target Dates],Benchmark1[[#This Row],[Benchmark '#1 Dates]])=1,"Pass","Fail")</f>
        <v>Pass</v>
      </c>
      <c r="E922" s="6">
        <f>IF(Benchmark1[[#This Row],[Target Date Check]]="Pass",INDEX(Target1[Target Price],MATCH(Benchmark1[[#This Row],[Benchmark '#1 Dates]],Target1[Target Dates],0)),"-")</f>
        <v>33.619999999999997</v>
      </c>
      <c r="F922" s="22">
        <f>IF(Benchmark1[[#This Row],[Target Date Check]]="Pass",INDEX(Target1[Target Return],MATCH(Benchmark1[[#This Row],[Benchmark '#1 Dates]],Target1[Target Dates],0)),"-")</f>
        <v>1.1904763310748023E-3</v>
      </c>
      <c r="G922" s="1">
        <f>IFERROR(IF(Benchmark1[[#This Row],[Target Date Check]]="Pass",Benchmark1[[#This Row],[Target Return]]-Benchmark1[[#This Row],[Benchmark '#1 Return]],"-"),"-")</f>
        <v>1.6784965459130066E-2</v>
      </c>
      <c r="H922" s="1" t="str">
        <f>IF(COUNTIF(Comp1[Comparable '#1 Dates],Benchmark1[[#This Row],[Benchmark '#1 Dates]])=1,"Pass","Fail")</f>
        <v>Pass</v>
      </c>
      <c r="I922" s="6">
        <f>IF(Benchmark1[[#This Row],[Comparable '#1 Date Check]]="Pass",INDEX(Comp1[Comparable '#1 Price],MATCH(Benchmark1[[#This Row],[Benchmark '#1 Dates]],Comp1[Comparable '#1 Dates],0)),"-")</f>
        <v>11.34</v>
      </c>
      <c r="J922" s="22">
        <f>IF(Benchmark1[[#This Row],[Comparable '#1 Date Check]]="Pass",INDEX(Comp1[Comparable '#1 Return],MATCH(Benchmark1[[#This Row],[Benchmark '#1 Dates]],Comp1[Comparable '#1 Dates],0)),"-")</f>
        <v>4.5093302288105798E-2</v>
      </c>
      <c r="K922" s="1">
        <f>IFERROR(IF(Benchmark1[[#This Row],[Comparable '#1 Date Check]]="Pass",Benchmark1[[#This Row],[Comparable '#1 Return]]-Benchmark1[[#This Row],[Benchmark '#1 Return]],"-"),"-")</f>
        <v>6.0687791416161062E-2</v>
      </c>
      <c r="L922" s="1" t="str">
        <f>IF(COUNTIF(Comp2[Comparable '#2 Dates],Benchmark1[[#This Row],[Benchmark '#1 Dates]])=1,"Pass","Fail")</f>
        <v>Pass</v>
      </c>
      <c r="M922" s="6">
        <f>IF(Benchmark1[[#This Row],[Comparable '#2 Date Check]]="Pass",INDEX(Comp2[Comparable '#2 Price],MATCH(Benchmark1[[#This Row],[Benchmark '#1 Dates]],Comp2[Comparable '#2 Dates],0)),"-")</f>
        <v>22.43</v>
      </c>
      <c r="N922" s="22">
        <f>IF(Benchmark1[[#This Row],[Comparable '#2 Date Check]]="Pass",INDEX(Comp2[Comparable '#2 Return],MATCH(Benchmark1[[#This Row],[Benchmark '#1 Dates]],Comp2[Comparable '#2 Dates],0)),"-")</f>
        <v>7.64083628610355E-2</v>
      </c>
      <c r="O922" s="1">
        <f>IFERROR(IF(Benchmark1[[#This Row],[Comparable '#2 Date Check]]="Pass",Benchmark1[[#This Row],[Comparable '#2 Return]]-Benchmark1[[#This Row],[Benchmark '#1 Return]],"-"),"-")</f>
        <v>9.2002851989090764E-2</v>
      </c>
      <c r="P922" s="1" t="str">
        <f>IF(COUNTIF(Comp3[Comparable '#3 Dates],Benchmark1[[#This Row],[Benchmark '#1 Dates]])=1,"Pass","Fail")</f>
        <v>Pass</v>
      </c>
      <c r="Q922" s="6">
        <f>IF(Benchmark1[[#This Row],[Comparable '#3 Date Check]]="Pass",INDEX(Comp3[Comparable '#3 Price],MATCH(Benchmark1[[#This Row],[Benchmark '#1 Dates]],Comp3[Comparable '#3 Dates],0)),"-")</f>
        <v>58.9</v>
      </c>
      <c r="R922" s="22">
        <f>IF(Benchmark1[[#This Row],[Comparable '#3 Date Check]]="Pass",INDEX(Comp3[Comparable '#3 Return],MATCH(Benchmark1[[#This Row],[Benchmark '#1 Dates]],Comp3[Comparable '#3 Dates],0)),"-")</f>
        <v>-2.0352788572523635E-3</v>
      </c>
      <c r="S922" s="1">
        <f>IFERROR(IF(Benchmark1[[#This Row],[Comparable '#3 Date Check]]="Pass",Benchmark1[[#This Row],[Comparable '#3 Return]]-Benchmark1[[#This Row],[Benchmark '#1 Return]],"-"),"-")</f>
        <v>1.35592102708029E-2</v>
      </c>
    </row>
    <row r="923" spans="1:19">
      <c r="A923" s="103">
        <v>44622</v>
      </c>
      <c r="B923" s="104">
        <v>4386.5440910202788</v>
      </c>
      <c r="C923" s="4">
        <f t="shared" si="14"/>
        <v>1.8472173056965063E-2</v>
      </c>
      <c r="D923" s="1" t="str">
        <f>IF(COUNTIF(Target1[Target Dates],Benchmark1[[#This Row],[Benchmark '#1 Dates]])=1,"Pass","Fail")</f>
        <v>Pass</v>
      </c>
      <c r="E923" s="6">
        <f>IF(Benchmark1[[#This Row],[Target Date Check]]="Pass",INDEX(Target1[Target Price],MATCH(Benchmark1[[#This Row],[Benchmark '#1 Dates]],Target1[Target Dates],0)),"-")</f>
        <v>33.89</v>
      </c>
      <c r="F923" s="22">
        <f>IF(Benchmark1[[#This Row],[Target Date Check]]="Pass",INDEX(Target1[Target Return],MATCH(Benchmark1[[#This Row],[Benchmark '#1 Dates]],Target1[Target Dates],0)),"-")</f>
        <v>7.9988576384905068E-3</v>
      </c>
      <c r="G923" s="1">
        <f>IFERROR(IF(Benchmark1[[#This Row],[Target Date Check]]="Pass",Benchmark1[[#This Row],[Target Return]]-Benchmark1[[#This Row],[Benchmark '#1 Return]],"-"),"-")</f>
        <v>-1.0473315418474556E-2</v>
      </c>
      <c r="H923" s="1" t="str">
        <f>IF(COUNTIF(Comp1[Comparable '#1 Dates],Benchmark1[[#This Row],[Benchmark '#1 Dates]])=1,"Pass","Fail")</f>
        <v>Pass</v>
      </c>
      <c r="I923" s="6">
        <f>IF(Benchmark1[[#This Row],[Comparable '#1 Date Check]]="Pass",INDEX(Comp1[Comparable '#1 Price],MATCH(Benchmark1[[#This Row],[Benchmark '#1 Dates]],Comp1[Comparable '#1 Dates],0)),"-")</f>
        <v>11.34</v>
      </c>
      <c r="J923" s="22">
        <f>IF(Benchmark1[[#This Row],[Comparable '#1 Date Check]]="Pass",INDEX(Comp1[Comparable '#1 Return],MATCH(Benchmark1[[#This Row],[Benchmark '#1 Dates]],Comp1[Comparable '#1 Dates],0)),"-")</f>
        <v>0</v>
      </c>
      <c r="K923" s="1">
        <f>IFERROR(IF(Benchmark1[[#This Row],[Comparable '#1 Date Check]]="Pass",Benchmark1[[#This Row],[Comparable '#1 Return]]-Benchmark1[[#This Row],[Benchmark '#1 Return]],"-"),"-")</f>
        <v>-1.8472173056965063E-2</v>
      </c>
      <c r="L923" s="1" t="str">
        <f>IF(COUNTIF(Comp2[Comparable '#2 Dates],Benchmark1[[#This Row],[Benchmark '#1 Dates]])=1,"Pass","Fail")</f>
        <v>Pass</v>
      </c>
      <c r="M923" s="6">
        <f>IF(Benchmark1[[#This Row],[Comparable '#2 Date Check]]="Pass",INDEX(Comp2[Comparable '#2 Price],MATCH(Benchmark1[[#This Row],[Benchmark '#1 Dates]],Comp2[Comparable '#2 Dates],0)),"-")</f>
        <v>23.09</v>
      </c>
      <c r="N923" s="22">
        <f>IF(Benchmark1[[#This Row],[Comparable '#2 Date Check]]="Pass",INDEX(Comp2[Comparable '#2 Return],MATCH(Benchmark1[[#This Row],[Benchmark '#1 Dates]],Comp2[Comparable '#2 Dates],0)),"-")</f>
        <v>2.9000274834287E-2</v>
      </c>
      <c r="O923" s="1">
        <f>IFERROR(IF(Benchmark1[[#This Row],[Comparable '#2 Date Check]]="Pass",Benchmark1[[#This Row],[Comparable '#2 Return]]-Benchmark1[[#This Row],[Benchmark '#1 Return]],"-"),"-")</f>
        <v>1.0528101777321937E-2</v>
      </c>
      <c r="P923" s="1" t="str">
        <f>IF(COUNTIF(Comp3[Comparable '#3 Dates],Benchmark1[[#This Row],[Benchmark '#1 Dates]])=1,"Pass","Fail")</f>
        <v>Pass</v>
      </c>
      <c r="Q923" s="6">
        <f>IF(Benchmark1[[#This Row],[Comparable '#3 Date Check]]="Pass",INDEX(Comp3[Comparable '#3 Price],MATCH(Benchmark1[[#This Row],[Benchmark '#1 Dates]],Comp3[Comparable '#3 Dates],0)),"-")</f>
        <v>60.45</v>
      </c>
      <c r="R923" s="22">
        <f>IF(Benchmark1[[#This Row],[Comparable '#3 Date Check]]="Pass",INDEX(Comp3[Comparable '#3 Return],MATCH(Benchmark1[[#This Row],[Benchmark '#1 Dates]],Comp3[Comparable '#3 Dates],0)),"-")</f>
        <v>2.5975486403260736E-2</v>
      </c>
      <c r="S923" s="1">
        <f>IFERROR(IF(Benchmark1[[#This Row],[Comparable '#3 Date Check]]="Pass",Benchmark1[[#This Row],[Comparable '#3 Return]]-Benchmark1[[#This Row],[Benchmark '#1 Return]],"-"),"-")</f>
        <v>7.5033133462956737E-3</v>
      </c>
    </row>
    <row r="924" spans="1:19">
      <c r="A924" s="103">
        <v>44623</v>
      </c>
      <c r="B924" s="104">
        <v>4363.486749419817</v>
      </c>
      <c r="C924" s="4">
        <f t="shared" si="14"/>
        <v>-5.2702431316927747E-3</v>
      </c>
      <c r="D924" s="1" t="str">
        <f>IF(COUNTIF(Target1[Target Dates],Benchmark1[[#This Row],[Benchmark '#1 Dates]])=1,"Pass","Fail")</f>
        <v>Pass</v>
      </c>
      <c r="E924" s="6">
        <f>IF(Benchmark1[[#This Row],[Target Date Check]]="Pass",INDEX(Target1[Target Price],MATCH(Benchmark1[[#This Row],[Benchmark '#1 Dates]],Target1[Target Dates],0)),"-")</f>
        <v>33.04</v>
      </c>
      <c r="F924" s="22">
        <f>IF(Benchmark1[[#This Row],[Target Date Check]]="Pass",INDEX(Target1[Target Return],MATCH(Benchmark1[[#This Row],[Benchmark '#1 Dates]],Target1[Target Dates],0)),"-")</f>
        <v>-2.5401036966182663E-2</v>
      </c>
      <c r="G924" s="1">
        <f>IFERROR(IF(Benchmark1[[#This Row],[Target Date Check]]="Pass",Benchmark1[[#This Row],[Target Return]]-Benchmark1[[#This Row],[Benchmark '#1 Return]],"-"),"-")</f>
        <v>-2.0130793834489888E-2</v>
      </c>
      <c r="H924" s="1" t="str">
        <f>IF(COUNTIF(Comp1[Comparable '#1 Dates],Benchmark1[[#This Row],[Benchmark '#1 Dates]])=1,"Pass","Fail")</f>
        <v>Pass</v>
      </c>
      <c r="I924" s="6">
        <f>IF(Benchmark1[[#This Row],[Comparable '#1 Date Check]]="Pass",INDEX(Comp1[Comparable '#1 Price],MATCH(Benchmark1[[#This Row],[Benchmark '#1 Dates]],Comp1[Comparable '#1 Dates],0)),"-")</f>
        <v>11.45</v>
      </c>
      <c r="J924" s="22">
        <f>IF(Benchmark1[[#This Row],[Comparable '#1 Date Check]]="Pass",INDEX(Comp1[Comparable '#1 Return],MATCH(Benchmark1[[#This Row],[Benchmark '#1 Dates]],Comp1[Comparable '#1 Dates],0)),"-")</f>
        <v>9.6534317006425601E-3</v>
      </c>
      <c r="K924" s="1">
        <f>IFERROR(IF(Benchmark1[[#This Row],[Comparable '#1 Date Check]]="Pass",Benchmark1[[#This Row],[Comparable '#1 Return]]-Benchmark1[[#This Row],[Benchmark '#1 Return]],"-"),"-")</f>
        <v>1.4923674832335334E-2</v>
      </c>
      <c r="L924" s="1" t="str">
        <f>IF(COUNTIF(Comp2[Comparable '#2 Dates],Benchmark1[[#This Row],[Benchmark '#1 Dates]])=1,"Pass","Fail")</f>
        <v>Pass</v>
      </c>
      <c r="M924" s="6">
        <f>IF(Benchmark1[[#This Row],[Comparable '#2 Date Check]]="Pass",INDEX(Comp2[Comparable '#2 Price],MATCH(Benchmark1[[#This Row],[Benchmark '#1 Dates]],Comp2[Comparable '#2 Dates],0)),"-")</f>
        <v>22.75</v>
      </c>
      <c r="N924" s="22">
        <f>IF(Benchmark1[[#This Row],[Comparable '#2 Date Check]]="Pass",INDEX(Comp2[Comparable '#2 Return],MATCH(Benchmark1[[#This Row],[Benchmark '#1 Dates]],Comp2[Comparable '#2 Dates],0)),"-")</f>
        <v>-1.483447796944456E-2</v>
      </c>
      <c r="O924" s="1">
        <f>IFERROR(IF(Benchmark1[[#This Row],[Comparable '#2 Date Check]]="Pass",Benchmark1[[#This Row],[Comparable '#2 Return]]-Benchmark1[[#This Row],[Benchmark '#1 Return]],"-"),"-")</f>
        <v>-9.5642348377517859E-3</v>
      </c>
      <c r="P924" s="1" t="str">
        <f>IF(COUNTIF(Comp3[Comparable '#3 Dates],Benchmark1[[#This Row],[Benchmark '#1 Dates]])=1,"Pass","Fail")</f>
        <v>Pass</v>
      </c>
      <c r="Q924" s="6">
        <f>IF(Benchmark1[[#This Row],[Comparable '#3 Date Check]]="Pass",INDEX(Comp3[Comparable '#3 Price],MATCH(Benchmark1[[#This Row],[Benchmark '#1 Dates]],Comp3[Comparable '#3 Dates],0)),"-")</f>
        <v>58.8</v>
      </c>
      <c r="R924" s="22">
        <f>IF(Benchmark1[[#This Row],[Comparable '#3 Date Check]]="Pass",INDEX(Comp3[Comparable '#3 Return],MATCH(Benchmark1[[#This Row],[Benchmark '#1 Dates]],Comp3[Comparable '#3 Dates],0)),"-")</f>
        <v>-2.7674722156220594E-2</v>
      </c>
      <c r="S924" s="1">
        <f>IFERROR(IF(Benchmark1[[#This Row],[Comparable '#3 Date Check]]="Pass",Benchmark1[[#This Row],[Comparable '#3 Return]]-Benchmark1[[#This Row],[Benchmark '#1 Return]],"-"),"-")</f>
        <v>-2.2404479024527819E-2</v>
      </c>
    </row>
    <row r="925" spans="1:19">
      <c r="A925" s="103">
        <v>44624</v>
      </c>
      <c r="B925" s="104">
        <v>4328.8728864579234</v>
      </c>
      <c r="C925" s="4">
        <f t="shared" si="14"/>
        <v>-7.9642461592781596E-3</v>
      </c>
      <c r="D925" s="1" t="str">
        <f>IF(COUNTIF(Target1[Target Dates],Benchmark1[[#This Row],[Benchmark '#1 Dates]])=1,"Pass","Fail")</f>
        <v>Pass</v>
      </c>
      <c r="E925" s="6">
        <f>IF(Benchmark1[[#This Row],[Target Date Check]]="Pass",INDEX(Target1[Target Price],MATCH(Benchmark1[[#This Row],[Benchmark '#1 Dates]],Target1[Target Dates],0)),"-")</f>
        <v>32.39</v>
      </c>
      <c r="F925" s="22">
        <f>IF(Benchmark1[[#This Row],[Target Date Check]]="Pass",INDEX(Target1[Target Return],MATCH(Benchmark1[[#This Row],[Benchmark '#1 Dates]],Target1[Target Dates],0)),"-")</f>
        <v>-1.9869215469539396E-2</v>
      </c>
      <c r="G925" s="1">
        <f>IFERROR(IF(Benchmark1[[#This Row],[Target Date Check]]="Pass",Benchmark1[[#This Row],[Target Return]]-Benchmark1[[#This Row],[Benchmark '#1 Return]],"-"),"-")</f>
        <v>-1.1904969310261236E-2</v>
      </c>
      <c r="H925" s="1" t="str">
        <f>IF(COUNTIF(Comp1[Comparable '#1 Dates],Benchmark1[[#This Row],[Benchmark '#1 Dates]])=1,"Pass","Fail")</f>
        <v>Pass</v>
      </c>
      <c r="I925" s="6">
        <f>IF(Benchmark1[[#This Row],[Comparable '#1 Date Check]]="Pass",INDEX(Comp1[Comparable '#1 Price],MATCH(Benchmark1[[#This Row],[Benchmark '#1 Dates]],Comp1[Comparable '#1 Dates],0)),"-")</f>
        <v>11.36</v>
      </c>
      <c r="J925" s="22">
        <f>IF(Benchmark1[[#This Row],[Comparable '#1 Date Check]]="Pass",INDEX(Comp1[Comparable '#1 Return],MATCH(Benchmark1[[#This Row],[Benchmark '#1 Dates]],Comp1[Comparable '#1 Dates],0)),"-")</f>
        <v>-7.8913167072433149E-3</v>
      </c>
      <c r="K925" s="1">
        <f>IFERROR(IF(Benchmark1[[#This Row],[Comparable '#1 Date Check]]="Pass",Benchmark1[[#This Row],[Comparable '#1 Return]]-Benchmark1[[#This Row],[Benchmark '#1 Return]],"-"),"-")</f>
        <v>7.2929452034844675E-5</v>
      </c>
      <c r="L925" s="1" t="str">
        <f>IF(COUNTIF(Comp2[Comparable '#2 Dates],Benchmark1[[#This Row],[Benchmark '#1 Dates]])=1,"Pass","Fail")</f>
        <v>Pass</v>
      </c>
      <c r="M925" s="6">
        <f>IF(Benchmark1[[#This Row],[Comparable '#2 Date Check]]="Pass",INDEX(Comp2[Comparable '#2 Price],MATCH(Benchmark1[[#This Row],[Benchmark '#1 Dates]],Comp2[Comparable '#2 Dates],0)),"-")</f>
        <v>22.54</v>
      </c>
      <c r="N925" s="22">
        <f>IF(Benchmark1[[#This Row],[Comparable '#2 Date Check]]="Pass",INDEX(Comp2[Comparable '#2 Return],MATCH(Benchmark1[[#This Row],[Benchmark '#1 Dates]],Comp2[Comparable '#2 Dates],0)),"-")</f>
        <v>-9.2736367853292149E-3</v>
      </c>
      <c r="O925" s="1">
        <f>IFERROR(IF(Benchmark1[[#This Row],[Comparable '#2 Date Check]]="Pass",Benchmark1[[#This Row],[Comparable '#2 Return]]-Benchmark1[[#This Row],[Benchmark '#1 Return]],"-"),"-")</f>
        <v>-1.3093906260510553E-3</v>
      </c>
      <c r="P925" s="1" t="str">
        <f>IF(COUNTIF(Comp3[Comparable '#3 Dates],Benchmark1[[#This Row],[Benchmark '#1 Dates]])=1,"Pass","Fail")</f>
        <v>Pass</v>
      </c>
      <c r="Q925" s="6">
        <f>IF(Benchmark1[[#This Row],[Comparable '#3 Date Check]]="Pass",INDEX(Comp3[Comparable '#3 Price],MATCH(Benchmark1[[#This Row],[Benchmark '#1 Dates]],Comp3[Comparable '#3 Dates],0)),"-")</f>
        <v>58.28</v>
      </c>
      <c r="R925" s="22">
        <f>IF(Benchmark1[[#This Row],[Comparable '#3 Date Check]]="Pass",INDEX(Comp3[Comparable '#3 Return],MATCH(Benchmark1[[#This Row],[Benchmark '#1 Dates]],Comp3[Comparable '#3 Dates],0)),"-")</f>
        <v>-8.8828735775770724E-3</v>
      </c>
      <c r="S925" s="1">
        <f>IFERROR(IF(Benchmark1[[#This Row],[Comparable '#3 Date Check]]="Pass",Benchmark1[[#This Row],[Comparable '#3 Return]]-Benchmark1[[#This Row],[Benchmark '#1 Return]],"-"),"-")</f>
        <v>-9.1862741829891285E-4</v>
      </c>
    </row>
    <row r="926" spans="1:19">
      <c r="A926" s="103">
        <v>44627</v>
      </c>
      <c r="B926" s="104">
        <v>4201.0877934588261</v>
      </c>
      <c r="C926" s="4">
        <f t="shared" si="14"/>
        <v>-2.996371457355794E-2</v>
      </c>
      <c r="D926" s="1" t="str">
        <f>IF(COUNTIF(Target1[Target Dates],Benchmark1[[#This Row],[Benchmark '#1 Dates]])=1,"Pass","Fail")</f>
        <v>Pass</v>
      </c>
      <c r="E926" s="6">
        <f>IF(Benchmark1[[#This Row],[Target Date Check]]="Pass",INDEX(Target1[Target Price],MATCH(Benchmark1[[#This Row],[Benchmark '#1 Dates]],Target1[Target Dates],0)),"-")</f>
        <v>31.43</v>
      </c>
      <c r="F926" s="22">
        <f>IF(Benchmark1[[#This Row],[Target Date Check]]="Pass",INDEX(Target1[Target Return],MATCH(Benchmark1[[#This Row],[Benchmark '#1 Dates]],Target1[Target Dates],0)),"-")</f>
        <v>-3.0086882373761774E-2</v>
      </c>
      <c r="G926" s="1">
        <f>IFERROR(IF(Benchmark1[[#This Row],[Target Date Check]]="Pass",Benchmark1[[#This Row],[Target Return]]-Benchmark1[[#This Row],[Benchmark '#1 Return]],"-"),"-")</f>
        <v>-1.2316780020383417E-4</v>
      </c>
      <c r="H926" s="1" t="str">
        <f>IF(COUNTIF(Comp1[Comparable '#1 Dates],Benchmark1[[#This Row],[Benchmark '#1 Dates]])=1,"Pass","Fail")</f>
        <v>Pass</v>
      </c>
      <c r="I926" s="6">
        <f>IF(Benchmark1[[#This Row],[Comparable '#1 Date Check]]="Pass",INDEX(Comp1[Comparable '#1 Price],MATCH(Benchmark1[[#This Row],[Benchmark '#1 Dates]],Comp1[Comparable '#1 Dates],0)),"-")</f>
        <v>11.58</v>
      </c>
      <c r="J926" s="22">
        <f>IF(Benchmark1[[#This Row],[Comparable '#1 Date Check]]="Pass",INDEX(Comp1[Comparable '#1 Return],MATCH(Benchmark1[[#This Row],[Benchmark '#1 Dates]],Comp1[Comparable '#1 Dates],0)),"-")</f>
        <v>1.918105885184403E-2</v>
      </c>
      <c r="K926" s="1">
        <f>IFERROR(IF(Benchmark1[[#This Row],[Comparable '#1 Date Check]]="Pass",Benchmark1[[#This Row],[Comparable '#1 Return]]-Benchmark1[[#This Row],[Benchmark '#1 Return]],"-"),"-")</f>
        <v>4.9144773425401966E-2</v>
      </c>
      <c r="L926" s="1" t="str">
        <f>IF(COUNTIF(Comp2[Comparable '#2 Dates],Benchmark1[[#This Row],[Benchmark '#1 Dates]])=1,"Pass","Fail")</f>
        <v>Pass</v>
      </c>
      <c r="M926" s="6">
        <f>IF(Benchmark1[[#This Row],[Comparable '#2 Date Check]]="Pass",INDEX(Comp2[Comparable '#2 Price],MATCH(Benchmark1[[#This Row],[Benchmark '#1 Dates]],Comp2[Comparable '#2 Dates],0)),"-")</f>
        <v>22.86</v>
      </c>
      <c r="N926" s="22">
        <f>IF(Benchmark1[[#This Row],[Comparable '#2 Date Check]]="Pass",INDEX(Comp2[Comparable '#2 Return],MATCH(Benchmark1[[#This Row],[Benchmark '#1 Dates]],Comp2[Comparable '#2 Dates],0)),"-")</f>
        <v>1.4097149755034476E-2</v>
      </c>
      <c r="O926" s="1">
        <f>IFERROR(IF(Benchmark1[[#This Row],[Comparable '#2 Date Check]]="Pass",Benchmark1[[#This Row],[Comparable '#2 Return]]-Benchmark1[[#This Row],[Benchmark '#1 Return]],"-"),"-")</f>
        <v>4.4060864328592415E-2</v>
      </c>
      <c r="P926" s="1" t="str">
        <f>IF(COUNTIF(Comp3[Comparable '#3 Dates],Benchmark1[[#This Row],[Benchmark '#1 Dates]])=1,"Pass","Fail")</f>
        <v>Pass</v>
      </c>
      <c r="Q926" s="6">
        <f>IF(Benchmark1[[#This Row],[Comparable '#3 Date Check]]="Pass",INDEX(Comp3[Comparable '#3 Price],MATCH(Benchmark1[[#This Row],[Benchmark '#1 Dates]],Comp3[Comparable '#3 Dates],0)),"-")</f>
        <v>57.29</v>
      </c>
      <c r="R926" s="22">
        <f>IF(Benchmark1[[#This Row],[Comparable '#3 Date Check]]="Pass",INDEX(Comp3[Comparable '#3 Return],MATCH(Benchmark1[[#This Row],[Benchmark '#1 Dates]],Comp3[Comparable '#3 Dates],0)),"-")</f>
        <v>-1.7132892906517698E-2</v>
      </c>
      <c r="S926" s="1">
        <f>IFERROR(IF(Benchmark1[[#This Row],[Comparable '#3 Date Check]]="Pass",Benchmark1[[#This Row],[Comparable '#3 Return]]-Benchmark1[[#This Row],[Benchmark '#1 Return]],"-"),"-")</f>
        <v>1.2830821667040242E-2</v>
      </c>
    </row>
    <row r="927" spans="1:19">
      <c r="A927" s="103">
        <v>44628</v>
      </c>
      <c r="B927" s="104">
        <v>4170.7041040876566</v>
      </c>
      <c r="C927" s="4">
        <f t="shared" si="14"/>
        <v>-7.2586187393071039E-3</v>
      </c>
      <c r="D927" s="1" t="str">
        <f>IF(COUNTIF(Target1[Target Dates],Benchmark1[[#This Row],[Benchmark '#1 Dates]])=1,"Pass","Fail")</f>
        <v>Pass</v>
      </c>
      <c r="E927" s="6">
        <f>IF(Benchmark1[[#This Row],[Target Date Check]]="Pass",INDEX(Target1[Target Price],MATCH(Benchmark1[[#This Row],[Benchmark '#1 Dates]],Target1[Target Dates],0)),"-")</f>
        <v>31.86</v>
      </c>
      <c r="F927" s="22">
        <f>IF(Benchmark1[[#This Row],[Target Date Check]]="Pass",INDEX(Target1[Target Return],MATCH(Benchmark1[[#This Row],[Benchmark '#1 Dates]],Target1[Target Dates],0)),"-")</f>
        <v>1.3588453672426247E-2</v>
      </c>
      <c r="G927" s="1">
        <f>IFERROR(IF(Benchmark1[[#This Row],[Target Date Check]]="Pass",Benchmark1[[#This Row],[Target Return]]-Benchmark1[[#This Row],[Benchmark '#1 Return]],"-"),"-")</f>
        <v>2.084707241173335E-2</v>
      </c>
      <c r="H927" s="1" t="str">
        <f>IF(COUNTIF(Comp1[Comparable '#1 Dates],Benchmark1[[#This Row],[Benchmark '#1 Dates]])=1,"Pass","Fail")</f>
        <v>Pass</v>
      </c>
      <c r="I927" s="6">
        <f>IF(Benchmark1[[#This Row],[Comparable '#1 Date Check]]="Pass",INDEX(Comp1[Comparable '#1 Price],MATCH(Benchmark1[[#This Row],[Benchmark '#1 Dates]],Comp1[Comparable '#1 Dates],0)),"-")</f>
        <v>11.77</v>
      </c>
      <c r="J927" s="22">
        <f>IF(Benchmark1[[#This Row],[Comparable '#1 Date Check]]="Pass",INDEX(Comp1[Comparable '#1 Return],MATCH(Benchmark1[[#This Row],[Benchmark '#1 Dates]],Comp1[Comparable '#1 Dates],0)),"-")</f>
        <v>1.6274449127336148E-2</v>
      </c>
      <c r="K927" s="1">
        <f>IFERROR(IF(Benchmark1[[#This Row],[Comparable '#1 Date Check]]="Pass",Benchmark1[[#This Row],[Comparable '#1 Return]]-Benchmark1[[#This Row],[Benchmark '#1 Return]],"-"),"-")</f>
        <v>2.3533067866643251E-2</v>
      </c>
      <c r="L927" s="1" t="str">
        <f>IF(COUNTIF(Comp2[Comparable '#2 Dates],Benchmark1[[#This Row],[Benchmark '#1 Dates]])=1,"Pass","Fail")</f>
        <v>Pass</v>
      </c>
      <c r="M927" s="6">
        <f>IF(Benchmark1[[#This Row],[Comparable '#2 Date Check]]="Pass",INDEX(Comp2[Comparable '#2 Price],MATCH(Benchmark1[[#This Row],[Benchmark '#1 Dates]],Comp2[Comparable '#2 Dates],0)),"-")</f>
        <v>23.39</v>
      </c>
      <c r="N927" s="22">
        <f>IF(Benchmark1[[#This Row],[Comparable '#2 Date Check]]="Pass",INDEX(Comp2[Comparable '#2 Return],MATCH(Benchmark1[[#This Row],[Benchmark '#1 Dates]],Comp2[Comparable '#2 Dates],0)),"-")</f>
        <v>2.2919922229423118E-2</v>
      </c>
      <c r="O927" s="1">
        <f>IFERROR(IF(Benchmark1[[#This Row],[Comparable '#2 Date Check]]="Pass",Benchmark1[[#This Row],[Comparable '#2 Return]]-Benchmark1[[#This Row],[Benchmark '#1 Return]],"-"),"-")</f>
        <v>3.0178540968730221E-2</v>
      </c>
      <c r="P927" s="1" t="str">
        <f>IF(COUNTIF(Comp3[Comparable '#3 Dates],Benchmark1[[#This Row],[Benchmark '#1 Dates]])=1,"Pass","Fail")</f>
        <v>Pass</v>
      </c>
      <c r="Q927" s="6">
        <f>IF(Benchmark1[[#This Row],[Comparable '#3 Date Check]]="Pass",INDEX(Comp3[Comparable '#3 Price],MATCH(Benchmark1[[#This Row],[Benchmark '#1 Dates]],Comp3[Comparable '#3 Dates],0)),"-")</f>
        <v>56.56</v>
      </c>
      <c r="R927" s="22">
        <f>IF(Benchmark1[[#This Row],[Comparable '#3 Date Check]]="Pass",INDEX(Comp3[Comparable '#3 Return],MATCH(Benchmark1[[#This Row],[Benchmark '#1 Dates]],Comp3[Comparable '#3 Dates],0)),"-")</f>
        <v>-1.2824066832169037E-2</v>
      </c>
      <c r="S927" s="1">
        <f>IFERROR(IF(Benchmark1[[#This Row],[Comparable '#3 Date Check]]="Pass",Benchmark1[[#This Row],[Comparable '#3 Return]]-Benchmark1[[#This Row],[Benchmark '#1 Return]],"-"),"-")</f>
        <v>-5.5654480928619332E-3</v>
      </c>
    </row>
    <row r="928" spans="1:19">
      <c r="A928" s="103">
        <v>44629</v>
      </c>
      <c r="B928" s="104">
        <v>4277.8801024977211</v>
      </c>
      <c r="C928" s="4">
        <f t="shared" si="14"/>
        <v>2.5372712277554724E-2</v>
      </c>
      <c r="D928" s="1" t="str">
        <f>IF(COUNTIF(Target1[Target Dates],Benchmark1[[#This Row],[Benchmark '#1 Dates]])=1,"Pass","Fail")</f>
        <v>Pass</v>
      </c>
      <c r="E928" s="6">
        <f>IF(Benchmark1[[#This Row],[Target Date Check]]="Pass",INDEX(Target1[Target Price],MATCH(Benchmark1[[#This Row],[Benchmark '#1 Dates]],Target1[Target Dates],0)),"-")</f>
        <v>32.4</v>
      </c>
      <c r="F928" s="22">
        <f>IF(Benchmark1[[#This Row],[Target Date Check]]="Pass",INDEX(Target1[Target Return],MATCH(Benchmark1[[#This Row],[Benchmark '#1 Dates]],Target1[Target Dates],0)),"-")</f>
        <v>1.6807118316381191E-2</v>
      </c>
      <c r="G928" s="1">
        <f>IFERROR(IF(Benchmark1[[#This Row],[Target Date Check]]="Pass",Benchmark1[[#This Row],[Target Return]]-Benchmark1[[#This Row],[Benchmark '#1 Return]],"-"),"-")</f>
        <v>-8.5655939611735329E-3</v>
      </c>
      <c r="H928" s="1" t="str">
        <f>IF(COUNTIF(Comp1[Comparable '#1 Dates],Benchmark1[[#This Row],[Benchmark '#1 Dates]])=1,"Pass","Fail")</f>
        <v>Pass</v>
      </c>
      <c r="I928" s="6">
        <f>IF(Benchmark1[[#This Row],[Comparable '#1 Date Check]]="Pass",INDEX(Comp1[Comparable '#1 Price],MATCH(Benchmark1[[#This Row],[Benchmark '#1 Dates]],Comp1[Comparable '#1 Dates],0)),"-")</f>
        <v>11.95</v>
      </c>
      <c r="J928" s="22">
        <f>IF(Benchmark1[[#This Row],[Comparable '#1 Date Check]]="Pass",INDEX(Comp1[Comparable '#1 Return],MATCH(Benchmark1[[#This Row],[Benchmark '#1 Dates]],Comp1[Comparable '#1 Dates],0)),"-")</f>
        <v>1.5177357105334207E-2</v>
      </c>
      <c r="K928" s="1">
        <f>IFERROR(IF(Benchmark1[[#This Row],[Comparable '#1 Date Check]]="Pass",Benchmark1[[#This Row],[Comparable '#1 Return]]-Benchmark1[[#This Row],[Benchmark '#1 Return]],"-"),"-")</f>
        <v>-1.0195355172220517E-2</v>
      </c>
      <c r="L928" s="1" t="str">
        <f>IF(COUNTIF(Comp2[Comparable '#2 Dates],Benchmark1[[#This Row],[Benchmark '#1 Dates]])=1,"Pass","Fail")</f>
        <v>Pass</v>
      </c>
      <c r="M928" s="6">
        <f>IF(Benchmark1[[#This Row],[Comparable '#2 Date Check]]="Pass",INDEX(Comp2[Comparable '#2 Price],MATCH(Benchmark1[[#This Row],[Benchmark '#1 Dates]],Comp2[Comparable '#2 Dates],0)),"-")</f>
        <v>23.9</v>
      </c>
      <c r="N928" s="22">
        <f>IF(Benchmark1[[#This Row],[Comparable '#2 Date Check]]="Pass",INDEX(Comp2[Comparable '#2 Return],MATCH(Benchmark1[[#This Row],[Benchmark '#1 Dates]],Comp2[Comparable '#2 Dates],0)),"-")</f>
        <v>2.1569878341377351E-2</v>
      </c>
      <c r="O928" s="1">
        <f>IFERROR(IF(Benchmark1[[#This Row],[Comparable '#2 Date Check]]="Pass",Benchmark1[[#This Row],[Comparable '#2 Return]]-Benchmark1[[#This Row],[Benchmark '#1 Return]],"-"),"-")</f>
        <v>-3.8028339361773737E-3</v>
      </c>
      <c r="P928" s="1" t="str">
        <f>IF(COUNTIF(Comp3[Comparable '#3 Dates],Benchmark1[[#This Row],[Benchmark '#1 Dates]])=1,"Pass","Fail")</f>
        <v>Pass</v>
      </c>
      <c r="Q928" s="6">
        <f>IF(Benchmark1[[#This Row],[Comparable '#3 Date Check]]="Pass",INDEX(Comp3[Comparable '#3 Price],MATCH(Benchmark1[[#This Row],[Benchmark '#1 Dates]],Comp3[Comparable '#3 Dates],0)),"-")</f>
        <v>57.12</v>
      </c>
      <c r="R928" s="22">
        <f>IF(Benchmark1[[#This Row],[Comparable '#3 Date Check]]="Pass",INDEX(Comp3[Comparable '#3 Return],MATCH(Benchmark1[[#This Row],[Benchmark '#1 Dates]],Comp3[Comparable '#3 Dates],0)),"-")</f>
        <v>9.8522964430116395E-3</v>
      </c>
      <c r="S928" s="1">
        <f>IFERROR(IF(Benchmark1[[#This Row],[Comparable '#3 Date Check]]="Pass",Benchmark1[[#This Row],[Comparable '#3 Return]]-Benchmark1[[#This Row],[Benchmark '#1 Return]],"-"),"-")</f>
        <v>-1.5520415834543085E-2</v>
      </c>
    </row>
    <row r="929" spans="1:19">
      <c r="A929" s="103">
        <v>44630</v>
      </c>
      <c r="B929" s="104">
        <v>4259.5249986409226</v>
      </c>
      <c r="C929" s="4">
        <f t="shared" si="14"/>
        <v>-4.2999323378967924E-3</v>
      </c>
      <c r="D929" s="1" t="str">
        <f>IF(COUNTIF(Target1[Target Dates],Benchmark1[[#This Row],[Benchmark '#1 Dates]])=1,"Pass","Fail")</f>
        <v>Pass</v>
      </c>
      <c r="E929" s="6">
        <f>IF(Benchmark1[[#This Row],[Target Date Check]]="Pass",INDEX(Target1[Target Price],MATCH(Benchmark1[[#This Row],[Benchmark '#1 Dates]],Target1[Target Dates],0)),"-")</f>
        <v>32.75</v>
      </c>
      <c r="F929" s="22">
        <f>IF(Benchmark1[[#This Row],[Target Date Check]]="Pass",INDEX(Target1[Target Return],MATCH(Benchmark1[[#This Row],[Benchmark '#1 Dates]],Target1[Target Dates],0)),"-")</f>
        <v>1.0744539282977163E-2</v>
      </c>
      <c r="G929" s="1">
        <f>IFERROR(IF(Benchmark1[[#This Row],[Target Date Check]]="Pass",Benchmark1[[#This Row],[Target Return]]-Benchmark1[[#This Row],[Benchmark '#1 Return]],"-"),"-")</f>
        <v>1.5044471620873957E-2</v>
      </c>
      <c r="H929" s="1" t="str">
        <f>IF(COUNTIF(Comp1[Comparable '#1 Dates],Benchmark1[[#This Row],[Benchmark '#1 Dates]])=1,"Pass","Fail")</f>
        <v>Pass</v>
      </c>
      <c r="I929" s="6">
        <f>IF(Benchmark1[[#This Row],[Comparable '#1 Date Check]]="Pass",INDEX(Comp1[Comparable '#1 Price],MATCH(Benchmark1[[#This Row],[Benchmark '#1 Dates]],Comp1[Comparable '#1 Dates],0)),"-")</f>
        <v>12.16</v>
      </c>
      <c r="J929" s="22">
        <f>IF(Benchmark1[[#This Row],[Comparable '#1 Date Check]]="Pass",INDEX(Comp1[Comparable '#1 Return],MATCH(Benchmark1[[#This Row],[Benchmark '#1 Dates]],Comp1[Comparable '#1 Dates],0)),"-")</f>
        <v>1.7420598160501441E-2</v>
      </c>
      <c r="K929" s="1">
        <f>IFERROR(IF(Benchmark1[[#This Row],[Comparable '#1 Date Check]]="Pass",Benchmark1[[#This Row],[Comparable '#1 Return]]-Benchmark1[[#This Row],[Benchmark '#1 Return]],"-"),"-")</f>
        <v>2.1720530498398234E-2</v>
      </c>
      <c r="L929" s="1" t="str">
        <f>IF(COUNTIF(Comp2[Comparable '#2 Dates],Benchmark1[[#This Row],[Benchmark '#1 Dates]])=1,"Pass","Fail")</f>
        <v>Pass</v>
      </c>
      <c r="M929" s="6">
        <f>IF(Benchmark1[[#This Row],[Comparable '#2 Date Check]]="Pass",INDEX(Comp2[Comparable '#2 Price],MATCH(Benchmark1[[#This Row],[Benchmark '#1 Dates]],Comp2[Comparable '#2 Dates],0)),"-")</f>
        <v>24.01</v>
      </c>
      <c r="N929" s="22">
        <f>IF(Benchmark1[[#This Row],[Comparable '#2 Date Check]]="Pass",INDEX(Comp2[Comparable '#2 Return],MATCH(Benchmark1[[#This Row],[Benchmark '#1 Dates]],Comp2[Comparable '#2 Dates],0)),"-")</f>
        <v>4.5919512956969976E-3</v>
      </c>
      <c r="O929" s="1">
        <f>IFERROR(IF(Benchmark1[[#This Row],[Comparable '#2 Date Check]]="Pass",Benchmark1[[#This Row],[Comparable '#2 Return]]-Benchmark1[[#This Row],[Benchmark '#1 Return]],"-"),"-")</f>
        <v>8.89188363359379E-3</v>
      </c>
      <c r="P929" s="1" t="str">
        <f>IF(COUNTIF(Comp3[Comparable '#3 Dates],Benchmark1[[#This Row],[Benchmark '#1 Dates]])=1,"Pass","Fail")</f>
        <v>Pass</v>
      </c>
      <c r="Q929" s="6">
        <f>IF(Benchmark1[[#This Row],[Comparable '#3 Date Check]]="Pass",INDEX(Comp3[Comparable '#3 Price],MATCH(Benchmark1[[#This Row],[Benchmark '#1 Dates]],Comp3[Comparable '#3 Dates],0)),"-")</f>
        <v>58.53</v>
      </c>
      <c r="R929" s="22">
        <f>IF(Benchmark1[[#This Row],[Comparable '#3 Date Check]]="Pass",INDEX(Comp3[Comparable '#3 Return],MATCH(Benchmark1[[#This Row],[Benchmark '#1 Dates]],Comp3[Comparable '#3 Dates],0)),"-")</f>
        <v>2.4385125271800718E-2</v>
      </c>
      <c r="S929" s="1">
        <f>IFERROR(IF(Benchmark1[[#This Row],[Comparable '#3 Date Check]]="Pass",Benchmark1[[#This Row],[Comparable '#3 Return]]-Benchmark1[[#This Row],[Benchmark '#1 Return]],"-"),"-")</f>
        <v>2.8685057609697511E-2</v>
      </c>
    </row>
    <row r="930" spans="1:19">
      <c r="A930" s="103">
        <v>44631</v>
      </c>
      <c r="B930" s="104">
        <v>4204.3118506172168</v>
      </c>
      <c r="C930" s="4">
        <f t="shared" si="14"/>
        <v>-1.30470216345892E-2</v>
      </c>
      <c r="D930" s="1" t="str">
        <f>IF(COUNTIF(Target1[Target Dates],Benchmark1[[#This Row],[Benchmark '#1 Dates]])=1,"Pass","Fail")</f>
        <v>Pass</v>
      </c>
      <c r="E930" s="6">
        <f>IF(Benchmark1[[#This Row],[Target Date Check]]="Pass",INDEX(Target1[Target Price],MATCH(Benchmark1[[#This Row],[Benchmark '#1 Dates]],Target1[Target Dates],0)),"-")</f>
        <v>32.29</v>
      </c>
      <c r="F930" s="22">
        <f>IF(Benchmark1[[#This Row],[Target Date Check]]="Pass",INDEX(Target1[Target Return],MATCH(Benchmark1[[#This Row],[Benchmark '#1 Dates]],Target1[Target Dates],0)),"-")</f>
        <v>-1.4145377311077161E-2</v>
      </c>
      <c r="G930" s="1">
        <f>IFERROR(IF(Benchmark1[[#This Row],[Target Date Check]]="Pass",Benchmark1[[#This Row],[Target Return]]-Benchmark1[[#This Row],[Benchmark '#1 Return]],"-"),"-")</f>
        <v>-1.0983556764879616E-3</v>
      </c>
      <c r="H930" s="1" t="str">
        <f>IF(COUNTIF(Comp1[Comparable '#1 Dates],Benchmark1[[#This Row],[Benchmark '#1 Dates]])=1,"Pass","Fail")</f>
        <v>Pass</v>
      </c>
      <c r="I930" s="6">
        <f>IF(Benchmark1[[#This Row],[Comparable '#1 Date Check]]="Pass",INDEX(Comp1[Comparable '#1 Price],MATCH(Benchmark1[[#This Row],[Benchmark '#1 Dates]],Comp1[Comparable '#1 Dates],0)),"-")</f>
        <v>12.15</v>
      </c>
      <c r="J930" s="22">
        <f>IF(Benchmark1[[#This Row],[Comparable '#1 Date Check]]="Pass",INDEX(Comp1[Comparable '#1 Return],MATCH(Benchmark1[[#This Row],[Benchmark '#1 Dates]],Comp1[Comparable '#1 Dates],0)),"-")</f>
        <v>-8.2270675146350837E-4</v>
      </c>
      <c r="K930" s="1">
        <f>IFERROR(IF(Benchmark1[[#This Row],[Comparable '#1 Date Check]]="Pass",Benchmark1[[#This Row],[Comparable '#1 Return]]-Benchmark1[[#This Row],[Benchmark '#1 Return]],"-"),"-")</f>
        <v>1.2224314883125691E-2</v>
      </c>
      <c r="L930" s="1" t="str">
        <f>IF(COUNTIF(Comp2[Comparable '#2 Dates],Benchmark1[[#This Row],[Benchmark '#1 Dates]])=1,"Pass","Fail")</f>
        <v>Pass</v>
      </c>
      <c r="M930" s="6">
        <f>IF(Benchmark1[[#This Row],[Comparable '#2 Date Check]]="Pass",INDEX(Comp2[Comparable '#2 Price],MATCH(Benchmark1[[#This Row],[Benchmark '#1 Dates]],Comp2[Comparable '#2 Dates],0)),"-")</f>
        <v>24.15</v>
      </c>
      <c r="N930" s="22">
        <f>IF(Benchmark1[[#This Row],[Comparable '#2 Date Check]]="Pass",INDEX(Comp2[Comparable '#2 Return],MATCH(Benchmark1[[#This Row],[Benchmark '#1 Dates]],Comp2[Comparable '#2 Dates],0)),"-")</f>
        <v>5.8139698654198161E-3</v>
      </c>
      <c r="O930" s="1">
        <f>IFERROR(IF(Benchmark1[[#This Row],[Comparable '#2 Date Check]]="Pass",Benchmark1[[#This Row],[Comparable '#2 Return]]-Benchmark1[[#This Row],[Benchmark '#1 Return]],"-"),"-")</f>
        <v>1.8860991500009014E-2</v>
      </c>
      <c r="P930" s="1" t="str">
        <f>IF(COUNTIF(Comp3[Comparable '#3 Dates],Benchmark1[[#This Row],[Benchmark '#1 Dates]])=1,"Pass","Fail")</f>
        <v>Pass</v>
      </c>
      <c r="Q930" s="6">
        <f>IF(Benchmark1[[#This Row],[Comparable '#3 Date Check]]="Pass",INDEX(Comp3[Comparable '#3 Price],MATCH(Benchmark1[[#This Row],[Benchmark '#1 Dates]],Comp3[Comparable '#3 Dates],0)),"-")</f>
        <v>59.29</v>
      </c>
      <c r="R930" s="22">
        <f>IF(Benchmark1[[#This Row],[Comparable '#3 Date Check]]="Pass",INDEX(Comp3[Comparable '#3 Return],MATCH(Benchmark1[[#This Row],[Benchmark '#1 Dates]],Comp3[Comparable '#3 Dates],0)),"-")</f>
        <v>1.2901214416146833E-2</v>
      </c>
      <c r="S930" s="1">
        <f>IFERROR(IF(Benchmark1[[#This Row],[Comparable '#3 Date Check]]="Pass",Benchmark1[[#This Row],[Comparable '#3 Return]]-Benchmark1[[#This Row],[Benchmark '#1 Return]],"-"),"-")</f>
        <v>2.5948236050736033E-2</v>
      </c>
    </row>
    <row r="931" spans="1:19">
      <c r="A931" s="103">
        <v>44634</v>
      </c>
      <c r="B931" s="104">
        <v>4173.111724638733</v>
      </c>
      <c r="C931" s="4">
        <f t="shared" si="14"/>
        <v>-7.4486552943314075E-3</v>
      </c>
      <c r="D931" s="1" t="str">
        <f>IF(COUNTIF(Target1[Target Dates],Benchmark1[[#This Row],[Benchmark '#1 Dates]])=1,"Pass","Fail")</f>
        <v>Pass</v>
      </c>
      <c r="E931" s="6">
        <f>IF(Benchmark1[[#This Row],[Target Date Check]]="Pass",INDEX(Target1[Target Price],MATCH(Benchmark1[[#This Row],[Benchmark '#1 Dates]],Target1[Target Dates],0)),"-")</f>
        <v>32.01</v>
      </c>
      <c r="F931" s="22">
        <f>IF(Benchmark1[[#This Row],[Target Date Check]]="Pass",INDEX(Target1[Target Return],MATCH(Benchmark1[[#This Row],[Benchmark '#1 Dates]],Target1[Target Dates],0)),"-")</f>
        <v>-8.7092307884122037E-3</v>
      </c>
      <c r="G931" s="1">
        <f>IFERROR(IF(Benchmark1[[#This Row],[Target Date Check]]="Pass",Benchmark1[[#This Row],[Target Return]]-Benchmark1[[#This Row],[Benchmark '#1 Return]],"-"),"-")</f>
        <v>-1.2605754940807961E-3</v>
      </c>
      <c r="H931" s="1" t="str">
        <f>IF(COUNTIF(Comp1[Comparable '#1 Dates],Benchmark1[[#This Row],[Benchmark '#1 Dates]])=1,"Pass","Fail")</f>
        <v>Pass</v>
      </c>
      <c r="I931" s="6">
        <f>IF(Benchmark1[[#This Row],[Comparable '#1 Date Check]]="Pass",INDEX(Comp1[Comparable '#1 Price],MATCH(Benchmark1[[#This Row],[Benchmark '#1 Dates]],Comp1[Comparable '#1 Dates],0)),"-")</f>
        <v>11.98</v>
      </c>
      <c r="J931" s="22">
        <f>IF(Benchmark1[[#This Row],[Comparable '#1 Date Check]]="Pass",INDEX(Comp1[Comparable '#1 Return],MATCH(Benchmark1[[#This Row],[Benchmark '#1 Dates]],Comp1[Comparable '#1 Dates],0)),"-")</f>
        <v>-1.4090577099254131E-2</v>
      </c>
      <c r="K931" s="1">
        <f>IFERROR(IF(Benchmark1[[#This Row],[Comparable '#1 Date Check]]="Pass",Benchmark1[[#This Row],[Comparable '#1 Return]]-Benchmark1[[#This Row],[Benchmark '#1 Return]],"-"),"-")</f>
        <v>-6.6419218049227234E-3</v>
      </c>
      <c r="L931" s="1" t="str">
        <f>IF(COUNTIF(Comp2[Comparable '#2 Dates],Benchmark1[[#This Row],[Benchmark '#1 Dates]])=1,"Pass","Fail")</f>
        <v>Pass</v>
      </c>
      <c r="M931" s="6">
        <f>IF(Benchmark1[[#This Row],[Comparable '#2 Date Check]]="Pass",INDEX(Comp2[Comparable '#2 Price],MATCH(Benchmark1[[#This Row],[Benchmark '#1 Dates]],Comp2[Comparable '#2 Dates],0)),"-")</f>
        <v>25.48</v>
      </c>
      <c r="N931" s="22">
        <f>IF(Benchmark1[[#This Row],[Comparable '#2 Date Check]]="Pass",INDEX(Comp2[Comparable '#2 Return],MATCH(Benchmark1[[#This Row],[Benchmark '#1 Dates]],Comp2[Comparable '#2 Dates],0)),"-")</f>
        <v>5.360945060538088E-2</v>
      </c>
      <c r="O931" s="1">
        <f>IFERROR(IF(Benchmark1[[#This Row],[Comparable '#2 Date Check]]="Pass",Benchmark1[[#This Row],[Comparable '#2 Return]]-Benchmark1[[#This Row],[Benchmark '#1 Return]],"-"),"-")</f>
        <v>6.1058105899712285E-2</v>
      </c>
      <c r="P931" s="1" t="str">
        <f>IF(COUNTIF(Comp3[Comparable '#3 Dates],Benchmark1[[#This Row],[Benchmark '#1 Dates]])=1,"Pass","Fail")</f>
        <v>Pass</v>
      </c>
      <c r="Q931" s="6">
        <f>IF(Benchmark1[[#This Row],[Comparable '#3 Date Check]]="Pass",INDEX(Comp3[Comparable '#3 Price],MATCH(Benchmark1[[#This Row],[Benchmark '#1 Dates]],Comp3[Comparable '#3 Dates],0)),"-")</f>
        <v>58.41</v>
      </c>
      <c r="R931" s="22">
        <f>IF(Benchmark1[[#This Row],[Comparable '#3 Date Check]]="Pass",INDEX(Comp3[Comparable '#3 Return],MATCH(Benchmark1[[#This Row],[Benchmark '#1 Dates]],Comp3[Comparable '#3 Dates],0)),"-")</f>
        <v>-1.4953549667058358E-2</v>
      </c>
      <c r="S931" s="1">
        <f>IFERROR(IF(Benchmark1[[#This Row],[Comparable '#3 Date Check]]="Pass",Benchmark1[[#This Row],[Comparable '#3 Return]]-Benchmark1[[#This Row],[Benchmark '#1 Return]],"-"),"-")</f>
        <v>-7.5048943727269507E-3</v>
      </c>
    </row>
    <row r="932" spans="1:19">
      <c r="A932" s="103">
        <v>44635</v>
      </c>
      <c r="B932" s="104">
        <v>4262.4456062237241</v>
      </c>
      <c r="C932" s="4">
        <f t="shared" si="14"/>
        <v>2.1181107055957066E-2</v>
      </c>
      <c r="D932" s="1" t="str">
        <f>IF(COUNTIF(Target1[Target Dates],Benchmark1[[#This Row],[Benchmark '#1 Dates]])=1,"Pass","Fail")</f>
        <v>Pass</v>
      </c>
      <c r="E932" s="6">
        <f>IF(Benchmark1[[#This Row],[Target Date Check]]="Pass",INDEX(Target1[Target Price],MATCH(Benchmark1[[#This Row],[Benchmark '#1 Dates]],Target1[Target Dates],0)),"-")</f>
        <v>32.53</v>
      </c>
      <c r="F932" s="22">
        <f>IF(Benchmark1[[#This Row],[Target Date Check]]="Pass",INDEX(Target1[Target Return],MATCH(Benchmark1[[#This Row],[Benchmark '#1 Dates]],Target1[Target Dates],0)),"-")</f>
        <v>1.6114386503488461E-2</v>
      </c>
      <c r="G932" s="1">
        <f>IFERROR(IF(Benchmark1[[#This Row],[Target Date Check]]="Pass",Benchmark1[[#This Row],[Target Return]]-Benchmark1[[#This Row],[Benchmark '#1 Return]],"-"),"-")</f>
        <v>-5.0667205524686058E-3</v>
      </c>
      <c r="H932" s="1" t="str">
        <f>IF(COUNTIF(Comp1[Comparable '#1 Dates],Benchmark1[[#This Row],[Benchmark '#1 Dates]])=1,"Pass","Fail")</f>
        <v>Pass</v>
      </c>
      <c r="I932" s="6">
        <f>IF(Benchmark1[[#This Row],[Comparable '#1 Date Check]]="Pass",INDEX(Comp1[Comparable '#1 Price],MATCH(Benchmark1[[#This Row],[Benchmark '#1 Dates]],Comp1[Comparable '#1 Dates],0)),"-")</f>
        <v>12.68</v>
      </c>
      <c r="J932" s="22">
        <f>IF(Benchmark1[[#This Row],[Comparable '#1 Date Check]]="Pass",INDEX(Comp1[Comparable '#1 Return],MATCH(Benchmark1[[#This Row],[Benchmark '#1 Dates]],Comp1[Comparable '#1 Dates],0)),"-")</f>
        <v>5.6787356321776561E-2</v>
      </c>
      <c r="K932" s="1">
        <f>IFERROR(IF(Benchmark1[[#This Row],[Comparable '#1 Date Check]]="Pass",Benchmark1[[#This Row],[Comparable '#1 Return]]-Benchmark1[[#This Row],[Benchmark '#1 Return]],"-"),"-")</f>
        <v>3.5606249265819498E-2</v>
      </c>
      <c r="L932" s="1" t="str">
        <f>IF(COUNTIF(Comp2[Comparable '#2 Dates],Benchmark1[[#This Row],[Benchmark '#1 Dates]])=1,"Pass","Fail")</f>
        <v>Pass</v>
      </c>
      <c r="M932" s="6">
        <f>IF(Benchmark1[[#This Row],[Comparable '#2 Date Check]]="Pass",INDEX(Comp2[Comparable '#2 Price],MATCH(Benchmark1[[#This Row],[Benchmark '#1 Dates]],Comp2[Comparable '#2 Dates],0)),"-")</f>
        <v>26.85</v>
      </c>
      <c r="N932" s="22">
        <f>IF(Benchmark1[[#This Row],[Comparable '#2 Date Check]]="Pass",INDEX(Comp2[Comparable '#2 Return],MATCH(Benchmark1[[#This Row],[Benchmark '#1 Dates]],Comp2[Comparable '#2 Dates],0)),"-")</f>
        <v>5.2371990250911035E-2</v>
      </c>
      <c r="O932" s="1">
        <f>IFERROR(IF(Benchmark1[[#This Row],[Comparable '#2 Date Check]]="Pass",Benchmark1[[#This Row],[Comparable '#2 Return]]-Benchmark1[[#This Row],[Benchmark '#1 Return]],"-"),"-")</f>
        <v>3.1190883194953969E-2</v>
      </c>
      <c r="P932" s="1" t="str">
        <f>IF(COUNTIF(Comp3[Comparable '#3 Dates],Benchmark1[[#This Row],[Benchmark '#1 Dates]])=1,"Pass","Fail")</f>
        <v>Pass</v>
      </c>
      <c r="Q932" s="6">
        <f>IF(Benchmark1[[#This Row],[Comparable '#3 Date Check]]="Pass",INDEX(Comp3[Comparable '#3 Price],MATCH(Benchmark1[[#This Row],[Benchmark '#1 Dates]],Comp3[Comparable '#3 Dates],0)),"-")</f>
        <v>61.47</v>
      </c>
      <c r="R932" s="22">
        <f>IF(Benchmark1[[#This Row],[Comparable '#3 Date Check]]="Pass",INDEX(Comp3[Comparable '#3 Return],MATCH(Benchmark1[[#This Row],[Benchmark '#1 Dates]],Comp3[Comparable '#3 Dates],0)),"-")</f>
        <v>5.1062142866700189E-2</v>
      </c>
      <c r="S932" s="1">
        <f>IFERROR(IF(Benchmark1[[#This Row],[Comparable '#3 Date Check]]="Pass",Benchmark1[[#This Row],[Comparable '#3 Return]]-Benchmark1[[#This Row],[Benchmark '#1 Return]],"-"),"-")</f>
        <v>2.9881035810743122E-2</v>
      </c>
    </row>
    <row r="933" spans="1:19">
      <c r="A933" s="103">
        <v>44636</v>
      </c>
      <c r="B933" s="104">
        <v>4357.8570964115779</v>
      </c>
      <c r="C933" s="4">
        <f t="shared" si="14"/>
        <v>2.2137363365630831E-2</v>
      </c>
      <c r="D933" s="1" t="str">
        <f>IF(COUNTIF(Target1[Target Dates],Benchmark1[[#This Row],[Benchmark '#1 Dates]])=1,"Pass","Fail")</f>
        <v>Pass</v>
      </c>
      <c r="E933" s="6">
        <f>IF(Benchmark1[[#This Row],[Target Date Check]]="Pass",INDEX(Target1[Target Price],MATCH(Benchmark1[[#This Row],[Benchmark '#1 Dates]],Target1[Target Dates],0)),"-")</f>
        <v>33.869999999999997</v>
      </c>
      <c r="F933" s="22">
        <f>IF(Benchmark1[[#This Row],[Target Date Check]]="Pass",INDEX(Target1[Target Return],MATCH(Benchmark1[[#This Row],[Benchmark '#1 Dates]],Target1[Target Dates],0)),"-")</f>
        <v>4.0366926344420247E-2</v>
      </c>
      <c r="G933" s="1">
        <f>IFERROR(IF(Benchmark1[[#This Row],[Target Date Check]]="Pass",Benchmark1[[#This Row],[Target Return]]-Benchmark1[[#This Row],[Benchmark '#1 Return]],"-"),"-")</f>
        <v>1.8229562978789415E-2</v>
      </c>
      <c r="H933" s="1" t="str">
        <f>IF(COUNTIF(Comp1[Comparable '#1 Dates],Benchmark1[[#This Row],[Benchmark '#1 Dates]])=1,"Pass","Fail")</f>
        <v>Pass</v>
      </c>
      <c r="I933" s="6">
        <f>IF(Benchmark1[[#This Row],[Comparable '#1 Date Check]]="Pass",INDEX(Comp1[Comparable '#1 Price],MATCH(Benchmark1[[#This Row],[Benchmark '#1 Dates]],Comp1[Comparable '#1 Dates],0)),"-")</f>
        <v>12.68</v>
      </c>
      <c r="J933" s="22">
        <f>IF(Benchmark1[[#This Row],[Comparable '#1 Date Check]]="Pass",INDEX(Comp1[Comparable '#1 Return],MATCH(Benchmark1[[#This Row],[Benchmark '#1 Dates]],Comp1[Comparable '#1 Dates],0)),"-")</f>
        <v>0</v>
      </c>
      <c r="K933" s="1">
        <f>IFERROR(IF(Benchmark1[[#This Row],[Comparable '#1 Date Check]]="Pass",Benchmark1[[#This Row],[Comparable '#1 Return]]-Benchmark1[[#This Row],[Benchmark '#1 Return]],"-"),"-")</f>
        <v>-2.2137363365630831E-2</v>
      </c>
      <c r="L933" s="1" t="str">
        <f>IF(COUNTIF(Comp2[Comparable '#2 Dates],Benchmark1[[#This Row],[Benchmark '#1 Dates]])=1,"Pass","Fail")</f>
        <v>Pass</v>
      </c>
      <c r="M933" s="6">
        <f>IF(Benchmark1[[#This Row],[Comparable '#2 Date Check]]="Pass",INDEX(Comp2[Comparable '#2 Price],MATCH(Benchmark1[[#This Row],[Benchmark '#1 Dates]],Comp2[Comparable '#2 Dates],0)),"-")</f>
        <v>27.62</v>
      </c>
      <c r="N933" s="22">
        <f>IF(Benchmark1[[#This Row],[Comparable '#2 Date Check]]="Pass",INDEX(Comp2[Comparable '#2 Return],MATCH(Benchmark1[[#This Row],[Benchmark '#1 Dates]],Comp2[Comparable '#2 Dates],0)),"-")</f>
        <v>2.8274327026272281E-2</v>
      </c>
      <c r="O933" s="1">
        <f>IFERROR(IF(Benchmark1[[#This Row],[Comparable '#2 Date Check]]="Pass",Benchmark1[[#This Row],[Comparable '#2 Return]]-Benchmark1[[#This Row],[Benchmark '#1 Return]],"-"),"-")</f>
        <v>6.13696366064145E-3</v>
      </c>
      <c r="P933" s="1" t="str">
        <f>IF(COUNTIF(Comp3[Comparable '#3 Dates],Benchmark1[[#This Row],[Benchmark '#1 Dates]])=1,"Pass","Fail")</f>
        <v>Pass</v>
      </c>
      <c r="Q933" s="6">
        <f>IF(Benchmark1[[#This Row],[Comparable '#3 Date Check]]="Pass",INDEX(Comp3[Comparable '#3 Price],MATCH(Benchmark1[[#This Row],[Benchmark '#1 Dates]],Comp3[Comparable '#3 Dates],0)),"-")</f>
        <v>60.83</v>
      </c>
      <c r="R933" s="22">
        <f>IF(Benchmark1[[#This Row],[Comparable '#3 Date Check]]="Pass",INDEX(Comp3[Comparable '#3 Return],MATCH(Benchmark1[[#This Row],[Benchmark '#1 Dates]],Comp3[Comparable '#3 Dates],0)),"-")</f>
        <v>-1.046616258630414E-2</v>
      </c>
      <c r="S933" s="1">
        <f>IFERROR(IF(Benchmark1[[#This Row],[Comparable '#3 Date Check]]="Pass",Benchmark1[[#This Row],[Comparable '#3 Return]]-Benchmark1[[#This Row],[Benchmark '#1 Return]],"-"),"-")</f>
        <v>-3.260352595193497E-2</v>
      </c>
    </row>
    <row r="934" spans="1:19">
      <c r="A934" s="103">
        <v>44637</v>
      </c>
      <c r="B934" s="104">
        <v>4411.6676159481376</v>
      </c>
      <c r="C934" s="4">
        <f t="shared" si="14"/>
        <v>1.2272317295568521E-2</v>
      </c>
      <c r="D934" s="1" t="str">
        <f>IF(COUNTIF(Target1[Target Dates],Benchmark1[[#This Row],[Benchmark '#1 Dates]])=1,"Pass","Fail")</f>
        <v>Pass</v>
      </c>
      <c r="E934" s="6">
        <f>IF(Benchmark1[[#This Row],[Target Date Check]]="Pass",INDEX(Target1[Target Price],MATCH(Benchmark1[[#This Row],[Benchmark '#1 Dates]],Target1[Target Dates],0)),"-")</f>
        <v>34.450000000000003</v>
      </c>
      <c r="F934" s="22">
        <f>IF(Benchmark1[[#This Row],[Target Date Check]]="Pass",INDEX(Target1[Target Return],MATCH(Benchmark1[[#This Row],[Benchmark '#1 Dates]],Target1[Target Dates],0)),"-")</f>
        <v>1.6979330629987303E-2</v>
      </c>
      <c r="G934" s="1">
        <f>IFERROR(IF(Benchmark1[[#This Row],[Target Date Check]]="Pass",Benchmark1[[#This Row],[Target Return]]-Benchmark1[[#This Row],[Benchmark '#1 Return]],"-"),"-")</f>
        <v>4.7070133344187821E-3</v>
      </c>
      <c r="H934" s="1" t="str">
        <f>IF(COUNTIF(Comp1[Comparable '#1 Dates],Benchmark1[[#This Row],[Benchmark '#1 Dates]])=1,"Pass","Fail")</f>
        <v>Pass</v>
      </c>
      <c r="I934" s="6">
        <f>IF(Benchmark1[[#This Row],[Comparable '#1 Date Check]]="Pass",INDEX(Comp1[Comparable '#1 Price],MATCH(Benchmark1[[#This Row],[Benchmark '#1 Dates]],Comp1[Comparable '#1 Dates],0)),"-")</f>
        <v>12.52</v>
      </c>
      <c r="J934" s="22">
        <f>IF(Benchmark1[[#This Row],[Comparable '#1 Date Check]]="Pass",INDEX(Comp1[Comparable '#1 Return],MATCH(Benchmark1[[#This Row],[Benchmark '#1 Dates]],Comp1[Comparable '#1 Dates],0)),"-")</f>
        <v>-1.2698583337127431E-2</v>
      </c>
      <c r="K934" s="1">
        <f>IFERROR(IF(Benchmark1[[#This Row],[Comparable '#1 Date Check]]="Pass",Benchmark1[[#This Row],[Comparable '#1 Return]]-Benchmark1[[#This Row],[Benchmark '#1 Return]],"-"),"-")</f>
        <v>-2.4970900632695952E-2</v>
      </c>
      <c r="L934" s="1" t="str">
        <f>IF(COUNTIF(Comp2[Comparable '#2 Dates],Benchmark1[[#This Row],[Benchmark '#1 Dates]])=1,"Pass","Fail")</f>
        <v>Pass</v>
      </c>
      <c r="M934" s="6">
        <f>IF(Benchmark1[[#This Row],[Comparable '#2 Date Check]]="Pass",INDEX(Comp2[Comparable '#2 Price],MATCH(Benchmark1[[#This Row],[Benchmark '#1 Dates]],Comp2[Comparable '#2 Dates],0)),"-")</f>
        <v>28.63</v>
      </c>
      <c r="N934" s="22">
        <f>IF(Benchmark1[[#This Row],[Comparable '#2 Date Check]]="Pass",INDEX(Comp2[Comparable '#2 Return],MATCH(Benchmark1[[#This Row],[Benchmark '#1 Dates]],Comp2[Comparable '#2 Dates],0)),"-")</f>
        <v>3.5914971128877468E-2</v>
      </c>
      <c r="O934" s="1">
        <f>IFERROR(IF(Benchmark1[[#This Row],[Comparable '#2 Date Check]]="Pass",Benchmark1[[#This Row],[Comparable '#2 Return]]-Benchmark1[[#This Row],[Benchmark '#1 Return]],"-"),"-")</f>
        <v>2.3642653833308949E-2</v>
      </c>
      <c r="P934" s="1" t="str">
        <f>IF(COUNTIF(Comp3[Comparable '#3 Dates],Benchmark1[[#This Row],[Benchmark '#1 Dates]])=1,"Pass","Fail")</f>
        <v>Pass</v>
      </c>
      <c r="Q934" s="6">
        <f>IF(Benchmark1[[#This Row],[Comparable '#3 Date Check]]="Pass",INDEX(Comp3[Comparable '#3 Price],MATCH(Benchmark1[[#This Row],[Benchmark '#1 Dates]],Comp3[Comparable '#3 Dates],0)),"-")</f>
        <v>61.54</v>
      </c>
      <c r="R934" s="22">
        <f>IF(Benchmark1[[#This Row],[Comparable '#3 Date Check]]="Pass",INDEX(Comp3[Comparable '#3 Return],MATCH(Benchmark1[[#This Row],[Benchmark '#1 Dates]],Comp3[Comparable '#3 Dates],0)),"-")</f>
        <v>1.1604281561281718E-2</v>
      </c>
      <c r="S934" s="1">
        <f>IFERROR(IF(Benchmark1[[#This Row],[Comparable '#3 Date Check]]="Pass",Benchmark1[[#This Row],[Comparable '#3 Return]]-Benchmark1[[#This Row],[Benchmark '#1 Return]],"-"),"-")</f>
        <v>-6.6803573428680235E-4</v>
      </c>
    </row>
    <row r="935" spans="1:19">
      <c r="A935" s="103">
        <v>44638</v>
      </c>
      <c r="B935" s="104">
        <v>4463.1175904830025</v>
      </c>
      <c r="C935" s="4">
        <f t="shared" si="14"/>
        <v>1.1594770970229139E-2</v>
      </c>
      <c r="D935" s="1" t="str">
        <f>IF(COUNTIF(Target1[Target Dates],Benchmark1[[#This Row],[Benchmark '#1 Dates]])=1,"Pass","Fail")</f>
        <v>Pass</v>
      </c>
      <c r="E935" s="6">
        <f>IF(Benchmark1[[#This Row],[Target Date Check]]="Pass",INDEX(Target1[Target Price],MATCH(Benchmark1[[#This Row],[Benchmark '#1 Dates]],Target1[Target Dates],0)),"-")</f>
        <v>34.51</v>
      </c>
      <c r="F935" s="22">
        <f>IF(Benchmark1[[#This Row],[Target Date Check]]="Pass",INDEX(Target1[Target Return],MATCH(Benchmark1[[#This Row],[Benchmark '#1 Dates]],Target1[Target Dates],0)),"-")</f>
        <v>1.7401396502443821E-3</v>
      </c>
      <c r="G935" s="1">
        <f>IFERROR(IF(Benchmark1[[#This Row],[Target Date Check]]="Pass",Benchmark1[[#This Row],[Target Return]]-Benchmark1[[#This Row],[Benchmark '#1 Return]],"-"),"-")</f>
        <v>-9.8546313199847566E-3</v>
      </c>
      <c r="H935" s="1" t="str">
        <f>IF(COUNTIF(Comp1[Comparable '#1 Dates],Benchmark1[[#This Row],[Benchmark '#1 Dates]])=1,"Pass","Fail")</f>
        <v>Pass</v>
      </c>
      <c r="I935" s="6">
        <f>IF(Benchmark1[[#This Row],[Comparable '#1 Date Check]]="Pass",INDEX(Comp1[Comparable '#1 Price],MATCH(Benchmark1[[#This Row],[Benchmark '#1 Dates]],Comp1[Comparable '#1 Dates],0)),"-")</f>
        <v>12.49</v>
      </c>
      <c r="J935" s="22">
        <f>IF(Benchmark1[[#This Row],[Comparable '#1 Date Check]]="Pass",INDEX(Comp1[Comparable '#1 Return],MATCH(Benchmark1[[#This Row],[Benchmark '#1 Dates]],Comp1[Comparable '#1 Dates],0)),"-")</f>
        <v>-2.3990415344661079E-3</v>
      </c>
      <c r="K935" s="1">
        <f>IFERROR(IF(Benchmark1[[#This Row],[Comparable '#1 Date Check]]="Pass",Benchmark1[[#This Row],[Comparable '#1 Return]]-Benchmark1[[#This Row],[Benchmark '#1 Return]],"-"),"-")</f>
        <v>-1.3993812504695247E-2</v>
      </c>
      <c r="L935" s="1" t="str">
        <f>IF(COUNTIF(Comp2[Comparable '#2 Dates],Benchmark1[[#This Row],[Benchmark '#1 Dates]])=1,"Pass","Fail")</f>
        <v>Pass</v>
      </c>
      <c r="M935" s="6">
        <f>IF(Benchmark1[[#This Row],[Comparable '#2 Date Check]]="Pass",INDEX(Comp2[Comparable '#2 Price],MATCH(Benchmark1[[#This Row],[Benchmark '#1 Dates]],Comp2[Comparable '#2 Dates],0)),"-")</f>
        <v>29.25</v>
      </c>
      <c r="N935" s="22">
        <f>IF(Benchmark1[[#This Row],[Comparable '#2 Date Check]]="Pass",INDEX(Comp2[Comparable '#2 Return],MATCH(Benchmark1[[#This Row],[Benchmark '#1 Dates]],Comp2[Comparable '#2 Dates],0)),"-")</f>
        <v>2.1424454567841807E-2</v>
      </c>
      <c r="O935" s="1">
        <f>IFERROR(IF(Benchmark1[[#This Row],[Comparable '#2 Date Check]]="Pass",Benchmark1[[#This Row],[Comparable '#2 Return]]-Benchmark1[[#This Row],[Benchmark '#1 Return]],"-"),"-")</f>
        <v>9.8296835976126682E-3</v>
      </c>
      <c r="P935" s="1" t="str">
        <f>IF(COUNTIF(Comp3[Comparable '#3 Dates],Benchmark1[[#This Row],[Benchmark '#1 Dates]])=1,"Pass","Fail")</f>
        <v>Pass</v>
      </c>
      <c r="Q935" s="6">
        <f>IF(Benchmark1[[#This Row],[Comparable '#3 Date Check]]="Pass",INDEX(Comp3[Comparable '#3 Price],MATCH(Benchmark1[[#This Row],[Benchmark '#1 Dates]],Comp3[Comparable '#3 Dates],0)),"-")</f>
        <v>63.5</v>
      </c>
      <c r="R935" s="22">
        <f>IF(Benchmark1[[#This Row],[Comparable '#3 Date Check]]="Pass",INDEX(Comp3[Comparable '#3 Return],MATCH(Benchmark1[[#This Row],[Benchmark '#1 Dates]],Comp3[Comparable '#3 Dates],0)),"-")</f>
        <v>3.1352536004750291E-2</v>
      </c>
      <c r="S935" s="1">
        <f>IFERROR(IF(Benchmark1[[#This Row],[Comparable '#3 Date Check]]="Pass",Benchmark1[[#This Row],[Comparable '#3 Return]]-Benchmark1[[#This Row],[Benchmark '#1 Return]],"-"),"-")</f>
        <v>1.9757765034521153E-2</v>
      </c>
    </row>
    <row r="936" spans="1:19">
      <c r="A936" s="103">
        <v>44641</v>
      </c>
      <c r="B936" s="104">
        <v>4461.1801366969739</v>
      </c>
      <c r="C936" s="4">
        <f t="shared" si="14"/>
        <v>-4.3419748549315158E-4</v>
      </c>
      <c r="D936" s="1" t="str">
        <f>IF(COUNTIF(Target1[Target Dates],Benchmark1[[#This Row],[Benchmark '#1 Dates]])=1,"Pass","Fail")</f>
        <v>Pass</v>
      </c>
      <c r="E936" s="6">
        <f>IF(Benchmark1[[#This Row],[Target Date Check]]="Pass",INDEX(Target1[Target Price],MATCH(Benchmark1[[#This Row],[Benchmark '#1 Dates]],Target1[Target Dates],0)),"-")</f>
        <v>34.35</v>
      </c>
      <c r="F936" s="22">
        <f>IF(Benchmark1[[#This Row],[Target Date Check]]="Pass",INDEX(Target1[Target Return],MATCH(Benchmark1[[#This Row],[Benchmark '#1 Dates]],Target1[Target Dates],0)),"-")</f>
        <v>-4.6471184415535546E-3</v>
      </c>
      <c r="G936" s="1">
        <f>IFERROR(IF(Benchmark1[[#This Row],[Target Date Check]]="Pass",Benchmark1[[#This Row],[Target Return]]-Benchmark1[[#This Row],[Benchmark '#1 Return]],"-"),"-")</f>
        <v>-4.2129209560604029E-3</v>
      </c>
      <c r="H936" s="1" t="str">
        <f>IF(COUNTIF(Comp1[Comparable '#1 Dates],Benchmark1[[#This Row],[Benchmark '#1 Dates]])=1,"Pass","Fail")</f>
        <v>Pass</v>
      </c>
      <c r="I936" s="6">
        <f>IF(Benchmark1[[#This Row],[Comparable '#1 Date Check]]="Pass",INDEX(Comp1[Comparable '#1 Price],MATCH(Benchmark1[[#This Row],[Benchmark '#1 Dates]],Comp1[Comparable '#1 Dates],0)),"-")</f>
        <v>12.69</v>
      </c>
      <c r="J936" s="22">
        <f>IF(Benchmark1[[#This Row],[Comparable '#1 Date Check]]="Pass",INDEX(Comp1[Comparable '#1 Return],MATCH(Benchmark1[[#This Row],[Benchmark '#1 Dates]],Comp1[Comparable '#1 Dates],0)),"-")</f>
        <v>1.5885957588809878E-2</v>
      </c>
      <c r="K936" s="1">
        <f>IFERROR(IF(Benchmark1[[#This Row],[Comparable '#1 Date Check]]="Pass",Benchmark1[[#This Row],[Comparable '#1 Return]]-Benchmark1[[#This Row],[Benchmark '#1 Return]],"-"),"-")</f>
        <v>1.6320155074303028E-2</v>
      </c>
      <c r="L936" s="1" t="str">
        <f>IF(COUNTIF(Comp2[Comparable '#2 Dates],Benchmark1[[#This Row],[Benchmark '#1 Dates]])=1,"Pass","Fail")</f>
        <v>Pass</v>
      </c>
      <c r="M936" s="6">
        <f>IF(Benchmark1[[#This Row],[Comparable '#2 Date Check]]="Pass",INDEX(Comp2[Comparable '#2 Price],MATCH(Benchmark1[[#This Row],[Benchmark '#1 Dates]],Comp2[Comparable '#2 Dates],0)),"-")</f>
        <v>29.43</v>
      </c>
      <c r="N936" s="22">
        <f>IF(Benchmark1[[#This Row],[Comparable '#2 Date Check]]="Pass",INDEX(Comp2[Comparable '#2 Return],MATCH(Benchmark1[[#This Row],[Benchmark '#1 Dates]],Comp2[Comparable '#2 Dates],0)),"-")</f>
        <v>6.1349885675159293E-3</v>
      </c>
      <c r="O936" s="1">
        <f>IFERROR(IF(Benchmark1[[#This Row],[Comparable '#2 Date Check]]="Pass",Benchmark1[[#This Row],[Comparable '#2 Return]]-Benchmark1[[#This Row],[Benchmark '#1 Return]],"-"),"-")</f>
        <v>6.5691860530090809E-3</v>
      </c>
      <c r="P936" s="1" t="str">
        <f>IF(COUNTIF(Comp3[Comparable '#3 Dates],Benchmark1[[#This Row],[Benchmark '#1 Dates]])=1,"Pass","Fail")</f>
        <v>Pass</v>
      </c>
      <c r="Q936" s="6">
        <f>IF(Benchmark1[[#This Row],[Comparable '#3 Date Check]]="Pass",INDEX(Comp3[Comparable '#3 Price],MATCH(Benchmark1[[#This Row],[Benchmark '#1 Dates]],Comp3[Comparable '#3 Dates],0)),"-")</f>
        <v>65.08</v>
      </c>
      <c r="R936" s="22">
        <f>IF(Benchmark1[[#This Row],[Comparable '#3 Date Check]]="Pass",INDEX(Comp3[Comparable '#3 Return],MATCH(Benchmark1[[#This Row],[Benchmark '#1 Dates]],Comp3[Comparable '#3 Dates],0)),"-")</f>
        <v>2.4577376452191033E-2</v>
      </c>
      <c r="S936" s="1">
        <f>IFERROR(IF(Benchmark1[[#This Row],[Comparable '#3 Date Check]]="Pass",Benchmark1[[#This Row],[Comparable '#3 Return]]-Benchmark1[[#This Row],[Benchmark '#1 Return]],"-"),"-")</f>
        <v>2.5011573937684183E-2</v>
      </c>
    </row>
    <row r="937" spans="1:19">
      <c r="A937" s="103">
        <v>44642</v>
      </c>
      <c r="B937" s="104">
        <v>4511.6061590726531</v>
      </c>
      <c r="C937" s="4">
        <f t="shared" si="14"/>
        <v>1.1239887275499882E-2</v>
      </c>
      <c r="D937" s="1" t="str">
        <f>IF(COUNTIF(Target1[Target Dates],Benchmark1[[#This Row],[Benchmark '#1 Dates]])=1,"Pass","Fail")</f>
        <v>Pass</v>
      </c>
      <c r="E937" s="6">
        <f>IF(Benchmark1[[#This Row],[Target Date Check]]="Pass",INDEX(Target1[Target Price],MATCH(Benchmark1[[#This Row],[Benchmark '#1 Dates]],Target1[Target Dates],0)),"-")</f>
        <v>35.04</v>
      </c>
      <c r="F937" s="22">
        <f>IF(Benchmark1[[#This Row],[Target Date Check]]="Pass",INDEX(Target1[Target Return],MATCH(Benchmark1[[#This Row],[Benchmark '#1 Dates]],Target1[Target Dates],0)),"-")</f>
        <v>1.9888247399832366E-2</v>
      </c>
      <c r="G937" s="1">
        <f>IFERROR(IF(Benchmark1[[#This Row],[Target Date Check]]="Pass",Benchmark1[[#This Row],[Target Return]]-Benchmark1[[#This Row],[Benchmark '#1 Return]],"-"),"-")</f>
        <v>8.6483601243324843E-3</v>
      </c>
      <c r="H937" s="1" t="str">
        <f>IF(COUNTIF(Comp1[Comparable '#1 Dates],Benchmark1[[#This Row],[Benchmark '#1 Dates]])=1,"Pass","Fail")</f>
        <v>Pass</v>
      </c>
      <c r="I937" s="6">
        <f>IF(Benchmark1[[#This Row],[Comparable '#1 Date Check]]="Pass",INDEX(Comp1[Comparable '#1 Price],MATCH(Benchmark1[[#This Row],[Benchmark '#1 Dates]],Comp1[Comparable '#1 Dates],0)),"-")</f>
        <v>12.7</v>
      </c>
      <c r="J937" s="22">
        <f>IF(Benchmark1[[#This Row],[Comparable '#1 Date Check]]="Pass",INDEX(Comp1[Comparable '#1 Return],MATCH(Benchmark1[[#This Row],[Benchmark '#1 Dates]],Comp1[Comparable '#1 Dates],0)),"-")</f>
        <v>7.8771173824918625E-4</v>
      </c>
      <c r="K937" s="1">
        <f>IFERROR(IF(Benchmark1[[#This Row],[Comparable '#1 Date Check]]="Pass",Benchmark1[[#This Row],[Comparable '#1 Return]]-Benchmark1[[#This Row],[Benchmark '#1 Return]],"-"),"-")</f>
        <v>-1.0452175537250696E-2</v>
      </c>
      <c r="L937" s="1" t="str">
        <f>IF(COUNTIF(Comp2[Comparable '#2 Dates],Benchmark1[[#This Row],[Benchmark '#1 Dates]])=1,"Pass","Fail")</f>
        <v>Pass</v>
      </c>
      <c r="M937" s="6">
        <f>IF(Benchmark1[[#This Row],[Comparable '#2 Date Check]]="Pass",INDEX(Comp2[Comparable '#2 Price],MATCH(Benchmark1[[#This Row],[Benchmark '#1 Dates]],Comp2[Comparable '#2 Dates],0)),"-")</f>
        <v>28.85</v>
      </c>
      <c r="N937" s="22">
        <f>IF(Benchmark1[[#This Row],[Comparable '#2 Date Check]]="Pass",INDEX(Comp2[Comparable '#2 Return],MATCH(Benchmark1[[#This Row],[Benchmark '#1 Dates]],Comp2[Comparable '#2 Dates],0)),"-")</f>
        <v>-1.9904569291272822E-2</v>
      </c>
      <c r="O937" s="1">
        <f>IFERROR(IF(Benchmark1[[#This Row],[Comparable '#2 Date Check]]="Pass",Benchmark1[[#This Row],[Comparable '#2 Return]]-Benchmark1[[#This Row],[Benchmark '#1 Return]],"-"),"-")</f>
        <v>-3.1144456566772706E-2</v>
      </c>
      <c r="P937" s="1" t="str">
        <f>IF(COUNTIF(Comp3[Comparable '#3 Dates],Benchmark1[[#This Row],[Benchmark '#1 Dates]])=1,"Pass","Fail")</f>
        <v>Pass</v>
      </c>
      <c r="Q937" s="6">
        <f>IF(Benchmark1[[#This Row],[Comparable '#3 Date Check]]="Pass",INDEX(Comp3[Comparable '#3 Price],MATCH(Benchmark1[[#This Row],[Benchmark '#1 Dates]],Comp3[Comparable '#3 Dates],0)),"-")</f>
        <v>64.22</v>
      </c>
      <c r="R937" s="22">
        <f>IF(Benchmark1[[#This Row],[Comparable '#3 Date Check]]="Pass",INDEX(Comp3[Comparable '#3 Return],MATCH(Benchmark1[[#This Row],[Benchmark '#1 Dates]],Comp3[Comparable '#3 Dates],0)),"-")</f>
        <v>-1.3302593689469214E-2</v>
      </c>
      <c r="S937" s="1">
        <f>IFERROR(IF(Benchmark1[[#This Row],[Comparable '#3 Date Check]]="Pass",Benchmark1[[#This Row],[Comparable '#3 Return]]-Benchmark1[[#This Row],[Benchmark '#1 Return]],"-"),"-")</f>
        <v>-2.4542480964969096E-2</v>
      </c>
    </row>
    <row r="938" spans="1:19">
      <c r="A938" s="103">
        <v>44643</v>
      </c>
      <c r="B938" s="104">
        <v>4456.2360473074687</v>
      </c>
      <c r="C938" s="4">
        <f t="shared" si="14"/>
        <v>-1.2348748809845862E-2</v>
      </c>
      <c r="D938" s="1" t="str">
        <f>IF(COUNTIF(Target1[Target Dates],Benchmark1[[#This Row],[Benchmark '#1 Dates]])=1,"Pass","Fail")</f>
        <v>Pass</v>
      </c>
      <c r="E938" s="6">
        <f>IF(Benchmark1[[#This Row],[Target Date Check]]="Pass",INDEX(Target1[Target Price],MATCH(Benchmark1[[#This Row],[Benchmark '#1 Dates]],Target1[Target Dates],0)),"-")</f>
        <v>34.49</v>
      </c>
      <c r="F938" s="22">
        <f>IF(Benchmark1[[#This Row],[Target Date Check]]="Pass",INDEX(Target1[Target Return],MATCH(Benchmark1[[#This Row],[Benchmark '#1 Dates]],Target1[Target Dates],0)),"-")</f>
        <v>-1.5820839119441113E-2</v>
      </c>
      <c r="G938" s="1">
        <f>IFERROR(IF(Benchmark1[[#This Row],[Target Date Check]]="Pass",Benchmark1[[#This Row],[Target Return]]-Benchmark1[[#This Row],[Benchmark '#1 Return]],"-"),"-")</f>
        <v>-3.4720903095952511E-3</v>
      </c>
      <c r="H938" s="1" t="str">
        <f>IF(COUNTIF(Comp1[Comparable '#1 Dates],Benchmark1[[#This Row],[Benchmark '#1 Dates]])=1,"Pass","Fail")</f>
        <v>Pass</v>
      </c>
      <c r="I938" s="6">
        <f>IF(Benchmark1[[#This Row],[Comparable '#1 Date Check]]="Pass",INDEX(Comp1[Comparable '#1 Price],MATCH(Benchmark1[[#This Row],[Benchmark '#1 Dates]],Comp1[Comparable '#1 Dates],0)),"-")</f>
        <v>12.78</v>
      </c>
      <c r="J938" s="22">
        <f>IF(Benchmark1[[#This Row],[Comparable '#1 Date Check]]="Pass",INDEX(Comp1[Comparable '#1 Return],MATCH(Benchmark1[[#This Row],[Benchmark '#1 Dates]],Comp1[Comparable '#1 Dates],0)),"-")</f>
        <v>6.2794554848431012E-3</v>
      </c>
      <c r="K938" s="1">
        <f>IFERROR(IF(Benchmark1[[#This Row],[Comparable '#1 Date Check]]="Pass",Benchmark1[[#This Row],[Comparable '#1 Return]]-Benchmark1[[#This Row],[Benchmark '#1 Return]],"-"),"-")</f>
        <v>1.8628204294688963E-2</v>
      </c>
      <c r="L938" s="1" t="str">
        <f>IF(COUNTIF(Comp2[Comparable '#2 Dates],Benchmark1[[#This Row],[Benchmark '#1 Dates]])=1,"Pass","Fail")</f>
        <v>Pass</v>
      </c>
      <c r="M938" s="6">
        <f>IF(Benchmark1[[#This Row],[Comparable '#2 Date Check]]="Pass",INDEX(Comp2[Comparable '#2 Price],MATCH(Benchmark1[[#This Row],[Benchmark '#1 Dates]],Comp2[Comparable '#2 Dates],0)),"-")</f>
        <v>28.64</v>
      </c>
      <c r="N938" s="22">
        <f>IF(Benchmark1[[#This Row],[Comparable '#2 Date Check]]="Pass",INDEX(Comp2[Comparable '#2 Return],MATCH(Benchmark1[[#This Row],[Benchmark '#1 Dates]],Comp2[Comparable '#2 Dates],0)),"-")</f>
        <v>-7.3056508616636852E-3</v>
      </c>
      <c r="O938" s="1">
        <f>IFERROR(IF(Benchmark1[[#This Row],[Comparable '#2 Date Check]]="Pass",Benchmark1[[#This Row],[Comparable '#2 Return]]-Benchmark1[[#This Row],[Benchmark '#1 Return]],"-"),"-")</f>
        <v>5.0430979481821767E-3</v>
      </c>
      <c r="P938" s="1" t="str">
        <f>IF(COUNTIF(Comp3[Comparable '#3 Dates],Benchmark1[[#This Row],[Benchmark '#1 Dates]])=1,"Pass","Fail")</f>
        <v>Pass</v>
      </c>
      <c r="Q938" s="6">
        <f>IF(Benchmark1[[#This Row],[Comparable '#3 Date Check]]="Pass",INDEX(Comp3[Comparable '#3 Price],MATCH(Benchmark1[[#This Row],[Benchmark '#1 Dates]],Comp3[Comparable '#3 Dates],0)),"-")</f>
        <v>62.96</v>
      </c>
      <c r="R938" s="22">
        <f>IF(Benchmark1[[#This Row],[Comparable '#3 Date Check]]="Pass",INDEX(Comp3[Comparable '#3 Return],MATCH(Benchmark1[[#This Row],[Benchmark '#1 Dates]],Comp3[Comparable '#3 Dates],0)),"-")</f>
        <v>-1.9815084552220058E-2</v>
      </c>
      <c r="S938" s="1">
        <f>IFERROR(IF(Benchmark1[[#This Row],[Comparable '#3 Date Check]]="Pass",Benchmark1[[#This Row],[Comparable '#3 Return]]-Benchmark1[[#This Row],[Benchmark '#1 Return]],"-"),"-")</f>
        <v>-7.4663357423741961E-3</v>
      </c>
    </row>
    <row r="939" spans="1:19">
      <c r="A939" s="103">
        <v>44644</v>
      </c>
      <c r="B939" s="104">
        <v>4520.1615261505394</v>
      </c>
      <c r="C939" s="4">
        <f t="shared" si="14"/>
        <v>1.4243254943071826E-2</v>
      </c>
      <c r="D939" s="1" t="str">
        <f>IF(COUNTIF(Target1[Target Dates],Benchmark1[[#This Row],[Benchmark '#1 Dates]])=1,"Pass","Fail")</f>
        <v>Pass</v>
      </c>
      <c r="E939" s="6">
        <f>IF(Benchmark1[[#This Row],[Target Date Check]]="Pass",INDEX(Target1[Target Price],MATCH(Benchmark1[[#This Row],[Benchmark '#1 Dates]],Target1[Target Dates],0)),"-")</f>
        <v>35.82</v>
      </c>
      <c r="F939" s="22">
        <f>IF(Benchmark1[[#This Row],[Target Date Check]]="Pass",INDEX(Target1[Target Return],MATCH(Benchmark1[[#This Row],[Benchmark '#1 Dates]],Target1[Target Dates],0)),"-")</f>
        <v>3.7836969683816155E-2</v>
      </c>
      <c r="G939" s="1">
        <f>IFERROR(IF(Benchmark1[[#This Row],[Target Date Check]]="Pass",Benchmark1[[#This Row],[Target Return]]-Benchmark1[[#This Row],[Benchmark '#1 Return]],"-"),"-")</f>
        <v>2.3593714740744329E-2</v>
      </c>
      <c r="H939" s="1" t="str">
        <f>IF(COUNTIF(Comp1[Comparable '#1 Dates],Benchmark1[[#This Row],[Benchmark '#1 Dates]])=1,"Pass","Fail")</f>
        <v>Pass</v>
      </c>
      <c r="I939" s="6">
        <f>IF(Benchmark1[[#This Row],[Comparable '#1 Date Check]]="Pass",INDEX(Comp1[Comparable '#1 Price],MATCH(Benchmark1[[#This Row],[Benchmark '#1 Dates]],Comp1[Comparable '#1 Dates],0)),"-")</f>
        <v>12.98</v>
      </c>
      <c r="J939" s="22">
        <f>IF(Benchmark1[[#This Row],[Comparable '#1 Date Check]]="Pass",INDEX(Comp1[Comparable '#1 Return],MATCH(Benchmark1[[#This Row],[Benchmark '#1 Dates]],Comp1[Comparable '#1 Dates],0)),"-")</f>
        <v>1.5528262326555194E-2</v>
      </c>
      <c r="K939" s="1">
        <f>IFERROR(IF(Benchmark1[[#This Row],[Comparable '#1 Date Check]]="Pass",Benchmark1[[#This Row],[Comparable '#1 Return]]-Benchmark1[[#This Row],[Benchmark '#1 Return]],"-"),"-")</f>
        <v>1.2850073834833678E-3</v>
      </c>
      <c r="L939" s="1" t="str">
        <f>IF(COUNTIF(Comp2[Comparable '#2 Dates],Benchmark1[[#This Row],[Benchmark '#1 Dates]])=1,"Pass","Fail")</f>
        <v>Pass</v>
      </c>
      <c r="M939" s="6">
        <f>IF(Benchmark1[[#This Row],[Comparable '#2 Date Check]]="Pass",INDEX(Comp2[Comparable '#2 Price],MATCH(Benchmark1[[#This Row],[Benchmark '#1 Dates]],Comp2[Comparable '#2 Dates],0)),"-")</f>
        <v>29.85</v>
      </c>
      <c r="N939" s="22">
        <f>IF(Benchmark1[[#This Row],[Comparable '#2 Date Check]]="Pass",INDEX(Comp2[Comparable '#2 Return],MATCH(Benchmark1[[#This Row],[Benchmark '#1 Dates]],Comp2[Comparable '#2 Dates],0)),"-")</f>
        <v>4.138049774616627E-2</v>
      </c>
      <c r="O939" s="1">
        <f>IFERROR(IF(Benchmark1[[#This Row],[Comparable '#2 Date Check]]="Pass",Benchmark1[[#This Row],[Comparable '#2 Return]]-Benchmark1[[#This Row],[Benchmark '#1 Return]],"-"),"-")</f>
        <v>2.7137242803094444E-2</v>
      </c>
      <c r="P939" s="1" t="str">
        <f>IF(COUNTIF(Comp3[Comparable '#3 Dates],Benchmark1[[#This Row],[Benchmark '#1 Dates]])=1,"Pass","Fail")</f>
        <v>Pass</v>
      </c>
      <c r="Q939" s="6">
        <f>IF(Benchmark1[[#This Row],[Comparable '#3 Date Check]]="Pass",INDEX(Comp3[Comparable '#3 Price],MATCH(Benchmark1[[#This Row],[Benchmark '#1 Dates]],Comp3[Comparable '#3 Dates],0)),"-")</f>
        <v>65.540000000000006</v>
      </c>
      <c r="R939" s="22">
        <f>IF(Benchmark1[[#This Row],[Comparable '#3 Date Check]]="Pass",INDEX(Comp3[Comparable '#3 Return],MATCH(Benchmark1[[#This Row],[Benchmark '#1 Dates]],Comp3[Comparable '#3 Dates],0)),"-")</f>
        <v>4.0161039161520931E-2</v>
      </c>
      <c r="S939" s="1">
        <f>IFERROR(IF(Benchmark1[[#This Row],[Comparable '#3 Date Check]]="Pass",Benchmark1[[#This Row],[Comparable '#3 Return]]-Benchmark1[[#This Row],[Benchmark '#1 Return]],"-"),"-")</f>
        <v>2.5917784218449105E-2</v>
      </c>
    </row>
    <row r="940" spans="1:19">
      <c r="A940" s="103">
        <v>44645</v>
      </c>
      <c r="B940" s="104">
        <v>4543.0563787878882</v>
      </c>
      <c r="C940" s="4">
        <f t="shared" si="14"/>
        <v>5.0522676553746634E-3</v>
      </c>
      <c r="D940" s="1" t="str">
        <f>IF(COUNTIF(Target1[Target Dates],Benchmark1[[#This Row],[Benchmark '#1 Dates]])=1,"Pass","Fail")</f>
        <v>Pass</v>
      </c>
      <c r="E940" s="6">
        <f>IF(Benchmark1[[#This Row],[Target Date Check]]="Pass",INDEX(Target1[Target Price],MATCH(Benchmark1[[#This Row],[Benchmark '#1 Dates]],Target1[Target Dates],0)),"-")</f>
        <v>36.68</v>
      </c>
      <c r="F940" s="22">
        <f>IF(Benchmark1[[#This Row],[Target Date Check]]="Pass",INDEX(Target1[Target Return],MATCH(Benchmark1[[#This Row],[Benchmark '#1 Dates]],Target1[Target Dates],0)),"-")</f>
        <v>2.3725250755698351E-2</v>
      </c>
      <c r="G940" s="1">
        <f>IFERROR(IF(Benchmark1[[#This Row],[Target Date Check]]="Pass",Benchmark1[[#This Row],[Target Return]]-Benchmark1[[#This Row],[Benchmark '#1 Return]],"-"),"-")</f>
        <v>1.8672983100323687E-2</v>
      </c>
      <c r="H940" s="1" t="str">
        <f>IF(COUNTIF(Comp1[Comparable '#1 Dates],Benchmark1[[#This Row],[Benchmark '#1 Dates]])=1,"Pass","Fail")</f>
        <v>Pass</v>
      </c>
      <c r="I940" s="6">
        <f>IF(Benchmark1[[#This Row],[Comparable '#1 Date Check]]="Pass",INDEX(Comp1[Comparable '#1 Price],MATCH(Benchmark1[[#This Row],[Benchmark '#1 Dates]],Comp1[Comparable '#1 Dates],0)),"-")</f>
        <v>13.11</v>
      </c>
      <c r="J940" s="22">
        <f>IF(Benchmark1[[#This Row],[Comparable '#1 Date Check]]="Pass",INDEX(Comp1[Comparable '#1 Return],MATCH(Benchmark1[[#This Row],[Benchmark '#1 Dates]],Comp1[Comparable '#1 Dates],0)),"-")</f>
        <v>9.9655864996645513E-3</v>
      </c>
      <c r="K940" s="1">
        <f>IFERROR(IF(Benchmark1[[#This Row],[Comparable '#1 Date Check]]="Pass",Benchmark1[[#This Row],[Comparable '#1 Return]]-Benchmark1[[#This Row],[Benchmark '#1 Return]],"-"),"-")</f>
        <v>4.9133188442898879E-3</v>
      </c>
      <c r="L940" s="1" t="str">
        <f>IF(COUNTIF(Comp2[Comparable '#2 Dates],Benchmark1[[#This Row],[Benchmark '#1 Dates]])=1,"Pass","Fail")</f>
        <v>Pass</v>
      </c>
      <c r="M940" s="6">
        <f>IF(Benchmark1[[#This Row],[Comparable '#2 Date Check]]="Pass",INDEX(Comp2[Comparable '#2 Price],MATCH(Benchmark1[[#This Row],[Benchmark '#1 Dates]],Comp2[Comparable '#2 Dates],0)),"-")</f>
        <v>30.08</v>
      </c>
      <c r="N940" s="22">
        <f>IF(Benchmark1[[#This Row],[Comparable '#2 Date Check]]="Pass",INDEX(Comp2[Comparable '#2 Return],MATCH(Benchmark1[[#This Row],[Benchmark '#1 Dates]],Comp2[Comparable '#2 Dates],0)),"-")</f>
        <v>7.6756592430279637E-3</v>
      </c>
      <c r="O940" s="1">
        <f>IFERROR(IF(Benchmark1[[#This Row],[Comparable '#2 Date Check]]="Pass",Benchmark1[[#This Row],[Comparable '#2 Return]]-Benchmark1[[#This Row],[Benchmark '#1 Return]],"-"),"-")</f>
        <v>2.6233915876533002E-3</v>
      </c>
      <c r="P940" s="1" t="str">
        <f>IF(COUNTIF(Comp3[Comparable '#3 Dates],Benchmark1[[#This Row],[Benchmark '#1 Dates]])=1,"Pass","Fail")</f>
        <v>Pass</v>
      </c>
      <c r="Q940" s="6">
        <f>IF(Benchmark1[[#This Row],[Comparable '#3 Date Check]]="Pass",INDEX(Comp3[Comparable '#3 Price],MATCH(Benchmark1[[#This Row],[Benchmark '#1 Dates]],Comp3[Comparable '#3 Dates],0)),"-")</f>
        <v>67.489999999999995</v>
      </c>
      <c r="R940" s="22">
        <f>IF(Benchmark1[[#This Row],[Comparable '#3 Date Check]]="Pass",INDEX(Comp3[Comparable '#3 Return],MATCH(Benchmark1[[#This Row],[Benchmark '#1 Dates]],Comp3[Comparable '#3 Dates],0)),"-")</f>
        <v>2.9318795484646474E-2</v>
      </c>
      <c r="S940" s="1">
        <f>IFERROR(IF(Benchmark1[[#This Row],[Comparable '#3 Date Check]]="Pass",Benchmark1[[#This Row],[Comparable '#3 Return]]-Benchmark1[[#This Row],[Benchmark '#1 Return]],"-"),"-")</f>
        <v>2.426652782927181E-2</v>
      </c>
    </row>
    <row r="941" spans="1:19">
      <c r="A941" s="103">
        <v>44648</v>
      </c>
      <c r="B941" s="104">
        <v>4575.516324810209</v>
      </c>
      <c r="C941" s="4">
        <f t="shared" si="14"/>
        <v>7.1195535065092493E-3</v>
      </c>
      <c r="D941" s="1" t="str">
        <f>IF(COUNTIF(Target1[Target Dates],Benchmark1[[#This Row],[Benchmark '#1 Dates]])=1,"Pass","Fail")</f>
        <v>Pass</v>
      </c>
      <c r="E941" s="6">
        <f>IF(Benchmark1[[#This Row],[Target Date Check]]="Pass",INDEX(Target1[Target Price],MATCH(Benchmark1[[#This Row],[Benchmark '#1 Dates]],Target1[Target Dates],0)),"-")</f>
        <v>35.700000000000003</v>
      </c>
      <c r="F941" s="22">
        <f>IF(Benchmark1[[#This Row],[Target Date Check]]="Pass",INDEX(Target1[Target Return],MATCH(Benchmark1[[#This Row],[Benchmark '#1 Dates]],Target1[Target Dates],0)),"-")</f>
        <v>-2.7080958602670582E-2</v>
      </c>
      <c r="G941" s="1">
        <f>IFERROR(IF(Benchmark1[[#This Row],[Target Date Check]]="Pass",Benchmark1[[#This Row],[Target Return]]-Benchmark1[[#This Row],[Benchmark '#1 Return]],"-"),"-")</f>
        <v>-3.4200512109179834E-2</v>
      </c>
      <c r="H941" s="1" t="str">
        <f>IF(COUNTIF(Comp1[Comparable '#1 Dates],Benchmark1[[#This Row],[Benchmark '#1 Dates]])=1,"Pass","Fail")</f>
        <v>Pass</v>
      </c>
      <c r="I941" s="6">
        <f>IF(Benchmark1[[#This Row],[Comparable '#1 Date Check]]="Pass",INDEX(Comp1[Comparable '#1 Price],MATCH(Benchmark1[[#This Row],[Benchmark '#1 Dates]],Comp1[Comparable '#1 Dates],0)),"-")</f>
        <v>13.04</v>
      </c>
      <c r="J941" s="22">
        <f>IF(Benchmark1[[#This Row],[Comparable '#1 Date Check]]="Pass",INDEX(Comp1[Comparable '#1 Return],MATCH(Benchmark1[[#This Row],[Benchmark '#1 Dates]],Comp1[Comparable '#1 Dates],0)),"-")</f>
        <v>-5.3537412771015626E-3</v>
      </c>
      <c r="K941" s="1">
        <f>IFERROR(IF(Benchmark1[[#This Row],[Comparable '#1 Date Check]]="Pass",Benchmark1[[#This Row],[Comparable '#1 Return]]-Benchmark1[[#This Row],[Benchmark '#1 Return]],"-"),"-")</f>
        <v>-1.2473294783610811E-2</v>
      </c>
      <c r="L941" s="1" t="str">
        <f>IF(COUNTIF(Comp2[Comparable '#2 Dates],Benchmark1[[#This Row],[Benchmark '#1 Dates]])=1,"Pass","Fail")</f>
        <v>Pass</v>
      </c>
      <c r="M941" s="6">
        <f>IF(Benchmark1[[#This Row],[Comparable '#2 Date Check]]="Pass",INDEX(Comp2[Comparable '#2 Price],MATCH(Benchmark1[[#This Row],[Benchmark '#1 Dates]],Comp2[Comparable '#2 Dates],0)),"-")</f>
        <v>30.07</v>
      </c>
      <c r="N941" s="22">
        <f>IF(Benchmark1[[#This Row],[Comparable '#2 Date Check]]="Pass",INDEX(Comp2[Comparable '#2 Return],MATCH(Benchmark1[[#This Row],[Benchmark '#1 Dates]],Comp2[Comparable '#2 Dates],0)),"-")</f>
        <v>-3.3250208120125951E-4</v>
      </c>
      <c r="O941" s="1">
        <f>IFERROR(IF(Benchmark1[[#This Row],[Comparable '#2 Date Check]]="Pass",Benchmark1[[#This Row],[Comparable '#2 Return]]-Benchmark1[[#This Row],[Benchmark '#1 Return]],"-"),"-")</f>
        <v>-7.4520555877105087E-3</v>
      </c>
      <c r="P941" s="1" t="str">
        <f>IF(COUNTIF(Comp3[Comparable '#3 Dates],Benchmark1[[#This Row],[Benchmark '#1 Dates]])=1,"Pass","Fail")</f>
        <v>Pass</v>
      </c>
      <c r="Q941" s="6">
        <f>IF(Benchmark1[[#This Row],[Comparable '#3 Date Check]]="Pass",INDEX(Comp3[Comparable '#3 Price],MATCH(Benchmark1[[#This Row],[Benchmark '#1 Dates]],Comp3[Comparable '#3 Dates],0)),"-")</f>
        <v>66.66</v>
      </c>
      <c r="R941" s="22">
        <f>IF(Benchmark1[[#This Row],[Comparable '#3 Date Check]]="Pass",INDEX(Comp3[Comparable '#3 Return],MATCH(Benchmark1[[#This Row],[Benchmark '#1 Dates]],Comp3[Comparable '#3 Dates],0)),"-")</f>
        <v>-1.2374365875721417E-2</v>
      </c>
      <c r="S941" s="1">
        <f>IFERROR(IF(Benchmark1[[#This Row],[Comparable '#3 Date Check]]="Pass",Benchmark1[[#This Row],[Comparable '#3 Return]]-Benchmark1[[#This Row],[Benchmark '#1 Return]],"-"),"-")</f>
        <v>-1.9493919382230666E-2</v>
      </c>
    </row>
    <row r="942" spans="1:19">
      <c r="A942" s="103">
        <v>44649</v>
      </c>
      <c r="B942" s="104">
        <v>4631.6048524442067</v>
      </c>
      <c r="C942" s="4">
        <f t="shared" si="14"/>
        <v>1.2183878195961308E-2</v>
      </c>
      <c r="D942" s="1" t="str">
        <f>IF(COUNTIF(Target1[Target Dates],Benchmark1[[#This Row],[Benchmark '#1 Dates]])=1,"Pass","Fail")</f>
        <v>Pass</v>
      </c>
      <c r="E942" s="6">
        <f>IF(Benchmark1[[#This Row],[Target Date Check]]="Pass",INDEX(Target1[Target Price],MATCH(Benchmark1[[#This Row],[Benchmark '#1 Dates]],Target1[Target Dates],0)),"-")</f>
        <v>36.340000000000003</v>
      </c>
      <c r="F942" s="22">
        <f>IF(Benchmark1[[#This Row],[Target Date Check]]="Pass",INDEX(Target1[Target Return],MATCH(Benchmark1[[#This Row],[Benchmark '#1 Dates]],Target1[Target Dates],0)),"-")</f>
        <v>1.776837418243167E-2</v>
      </c>
      <c r="G942" s="1">
        <f>IFERROR(IF(Benchmark1[[#This Row],[Target Date Check]]="Pass",Benchmark1[[#This Row],[Target Return]]-Benchmark1[[#This Row],[Benchmark '#1 Return]],"-"),"-")</f>
        <v>5.5844959864703621E-3</v>
      </c>
      <c r="H942" s="1" t="str">
        <f>IF(COUNTIF(Comp1[Comparable '#1 Dates],Benchmark1[[#This Row],[Benchmark '#1 Dates]])=1,"Pass","Fail")</f>
        <v>Pass</v>
      </c>
      <c r="I942" s="6">
        <f>IF(Benchmark1[[#This Row],[Comparable '#1 Date Check]]="Pass",INDEX(Comp1[Comparable '#1 Price],MATCH(Benchmark1[[#This Row],[Benchmark '#1 Dates]],Comp1[Comparable '#1 Dates],0)),"-")</f>
        <v>12.82</v>
      </c>
      <c r="J942" s="22">
        <f>IF(Benchmark1[[#This Row],[Comparable '#1 Date Check]]="Pass",INDEX(Comp1[Comparable '#1 Return],MATCH(Benchmark1[[#This Row],[Benchmark '#1 Dates]],Comp1[Comparable '#1 Dates],0)),"-")</f>
        <v>-1.7015105005982814E-2</v>
      </c>
      <c r="K942" s="1">
        <f>IFERROR(IF(Benchmark1[[#This Row],[Comparable '#1 Date Check]]="Pass",Benchmark1[[#This Row],[Comparable '#1 Return]]-Benchmark1[[#This Row],[Benchmark '#1 Return]],"-"),"-")</f>
        <v>-2.9198983201944122E-2</v>
      </c>
      <c r="L942" s="1" t="str">
        <f>IF(COUNTIF(Comp2[Comparable '#2 Dates],Benchmark1[[#This Row],[Benchmark '#1 Dates]])=1,"Pass","Fail")</f>
        <v>Pass</v>
      </c>
      <c r="M942" s="6">
        <f>IF(Benchmark1[[#This Row],[Comparable '#2 Date Check]]="Pass",INDEX(Comp2[Comparable '#2 Price],MATCH(Benchmark1[[#This Row],[Benchmark '#1 Dates]],Comp2[Comparable '#2 Dates],0)),"-")</f>
        <v>30.1</v>
      </c>
      <c r="N942" s="22">
        <f>IF(Benchmark1[[#This Row],[Comparable '#2 Date Check]]="Pass",INDEX(Comp2[Comparable '#2 Return],MATCH(Benchmark1[[#This Row],[Benchmark '#1 Dates]],Comp2[Comparable '#2 Dates],0)),"-")</f>
        <v>9.9717475439240551E-4</v>
      </c>
      <c r="O942" s="1">
        <f>IFERROR(IF(Benchmark1[[#This Row],[Comparable '#2 Date Check]]="Pass",Benchmark1[[#This Row],[Comparable '#2 Return]]-Benchmark1[[#This Row],[Benchmark '#1 Return]],"-"),"-")</f>
        <v>-1.1186703441568902E-2</v>
      </c>
      <c r="P942" s="1" t="str">
        <f>IF(COUNTIF(Comp3[Comparable '#3 Dates],Benchmark1[[#This Row],[Benchmark '#1 Dates]])=1,"Pass","Fail")</f>
        <v>Pass</v>
      </c>
      <c r="Q942" s="6">
        <f>IF(Benchmark1[[#This Row],[Comparable '#3 Date Check]]="Pass",INDEX(Comp3[Comparable '#3 Price],MATCH(Benchmark1[[#This Row],[Benchmark '#1 Dates]],Comp3[Comparable '#3 Dates],0)),"-")</f>
        <v>68.400000000000006</v>
      </c>
      <c r="R942" s="22">
        <f>IF(Benchmark1[[#This Row],[Comparable '#3 Date Check]]="Pass",INDEX(Comp3[Comparable '#3 Return],MATCH(Benchmark1[[#This Row],[Benchmark '#1 Dates]],Comp3[Comparable '#3 Dates],0)),"-")</f>
        <v>2.5767751748911272E-2</v>
      </c>
      <c r="S942" s="1">
        <f>IFERROR(IF(Benchmark1[[#This Row],[Comparable '#3 Date Check]]="Pass",Benchmark1[[#This Row],[Comparable '#3 Return]]-Benchmark1[[#This Row],[Benchmark '#1 Return]],"-"),"-")</f>
        <v>1.3583873552949963E-2</v>
      </c>
    </row>
    <row r="943" spans="1:19">
      <c r="A943" s="103">
        <v>44650</v>
      </c>
      <c r="B943" s="104">
        <v>4602.4486121383325</v>
      </c>
      <c r="C943" s="4">
        <f t="shared" si="14"/>
        <v>-6.3149595809515041E-3</v>
      </c>
      <c r="D943" s="1" t="str">
        <f>IF(COUNTIF(Target1[Target Dates],Benchmark1[[#This Row],[Benchmark '#1 Dates]])=1,"Pass","Fail")</f>
        <v>Pass</v>
      </c>
      <c r="E943" s="6">
        <f>IF(Benchmark1[[#This Row],[Target Date Check]]="Pass",INDEX(Target1[Target Price],MATCH(Benchmark1[[#This Row],[Benchmark '#1 Dates]],Target1[Target Dates],0)),"-")</f>
        <v>35.770000000000003</v>
      </c>
      <c r="F943" s="22">
        <f>IF(Benchmark1[[#This Row],[Target Date Check]]="Pass",INDEX(Target1[Target Return],MATCH(Benchmark1[[#This Row],[Benchmark '#1 Dates]],Target1[Target Dates],0)),"-")</f>
        <v>-1.5809509697098795E-2</v>
      </c>
      <c r="G943" s="1">
        <f>IFERROR(IF(Benchmark1[[#This Row],[Target Date Check]]="Pass",Benchmark1[[#This Row],[Target Return]]-Benchmark1[[#This Row],[Benchmark '#1 Return]],"-"),"-")</f>
        <v>-9.4945501161472906E-3</v>
      </c>
      <c r="H943" s="1" t="str">
        <f>IF(COUNTIF(Comp1[Comparable '#1 Dates],Benchmark1[[#This Row],[Benchmark '#1 Dates]])=1,"Pass","Fail")</f>
        <v>Pass</v>
      </c>
      <c r="I943" s="6">
        <f>IF(Benchmark1[[#This Row],[Comparable '#1 Date Check]]="Pass",INDEX(Comp1[Comparable '#1 Price],MATCH(Benchmark1[[#This Row],[Benchmark '#1 Dates]],Comp1[Comparable '#1 Dates],0)),"-")</f>
        <v>12.23</v>
      </c>
      <c r="J943" s="22">
        <f>IF(Benchmark1[[#This Row],[Comparable '#1 Date Check]]="Pass",INDEX(Comp1[Comparable '#1 Return],MATCH(Benchmark1[[#This Row],[Benchmark '#1 Dates]],Comp1[Comparable '#1 Dates],0)),"-")</f>
        <v>-4.7114501793442967E-2</v>
      </c>
      <c r="K943" s="1">
        <f>IFERROR(IF(Benchmark1[[#This Row],[Comparable '#1 Date Check]]="Pass",Benchmark1[[#This Row],[Comparable '#1 Return]]-Benchmark1[[#This Row],[Benchmark '#1 Return]],"-"),"-")</f>
        <v>-4.0799542212491463E-2</v>
      </c>
      <c r="L943" s="1" t="str">
        <f>IF(COUNTIF(Comp2[Comparable '#2 Dates],Benchmark1[[#This Row],[Benchmark '#1 Dates]])=1,"Pass","Fail")</f>
        <v>Pass</v>
      </c>
      <c r="M943" s="6">
        <f>IF(Benchmark1[[#This Row],[Comparable '#2 Date Check]]="Pass",INDEX(Comp2[Comparable '#2 Price],MATCH(Benchmark1[[#This Row],[Benchmark '#1 Dates]],Comp2[Comparable '#2 Dates],0)),"-")</f>
        <v>30.24</v>
      </c>
      <c r="N943" s="22">
        <f>IF(Benchmark1[[#This Row],[Comparable '#2 Date Check]]="Pass",INDEX(Comp2[Comparable '#2 Return],MATCH(Benchmark1[[#This Row],[Benchmark '#1 Dates]],Comp2[Comparable '#2 Dates],0)),"-")</f>
        <v>4.6403795565020797E-3</v>
      </c>
      <c r="O943" s="1">
        <f>IFERROR(IF(Benchmark1[[#This Row],[Comparable '#2 Date Check]]="Pass",Benchmark1[[#This Row],[Comparable '#2 Return]]-Benchmark1[[#This Row],[Benchmark '#1 Return]],"-"),"-")</f>
        <v>1.0955339137453585E-2</v>
      </c>
      <c r="P943" s="1" t="str">
        <f>IF(COUNTIF(Comp3[Comparable '#3 Dates],Benchmark1[[#This Row],[Benchmark '#1 Dates]])=1,"Pass","Fail")</f>
        <v>Pass</v>
      </c>
      <c r="Q943" s="6">
        <f>IF(Benchmark1[[#This Row],[Comparable '#3 Date Check]]="Pass",INDEX(Comp3[Comparable '#3 Price],MATCH(Benchmark1[[#This Row],[Benchmark '#1 Dates]],Comp3[Comparable '#3 Dates],0)),"-")</f>
        <v>67.33</v>
      </c>
      <c r="R943" s="22">
        <f>IF(Benchmark1[[#This Row],[Comparable '#3 Date Check]]="Pass",INDEX(Comp3[Comparable '#3 Return],MATCH(Benchmark1[[#This Row],[Benchmark '#1 Dates]],Comp3[Comparable '#3 Dates],0)),"-")</f>
        <v>-1.5766922071315331E-2</v>
      </c>
      <c r="S943" s="1">
        <f>IFERROR(IF(Benchmark1[[#This Row],[Comparable '#3 Date Check]]="Pass",Benchmark1[[#This Row],[Comparable '#3 Return]]-Benchmark1[[#This Row],[Benchmark '#1 Return]],"-"),"-")</f>
        <v>-9.4519624903638272E-3</v>
      </c>
    </row>
    <row r="944" spans="1:19">
      <c r="A944" s="103">
        <v>44651</v>
      </c>
      <c r="B944" s="104">
        <v>4530.4134516834711</v>
      </c>
      <c r="C944" s="4">
        <f t="shared" si="14"/>
        <v>-1.5775263839117155E-2</v>
      </c>
      <c r="D944" s="1" t="str">
        <f>IF(COUNTIF(Target1[Target Dates],Benchmark1[[#This Row],[Benchmark '#1 Dates]])=1,"Pass","Fail")</f>
        <v>Pass</v>
      </c>
      <c r="E944" s="6">
        <f>IF(Benchmark1[[#This Row],[Target Date Check]]="Pass",INDEX(Target1[Target Price],MATCH(Benchmark1[[#This Row],[Benchmark '#1 Dates]],Target1[Target Dates],0)),"-")</f>
        <v>36.33</v>
      </c>
      <c r="F944" s="22">
        <f>IF(Benchmark1[[#This Row],[Target Date Check]]="Pass",INDEX(Target1[Target Return],MATCH(Benchmark1[[#This Row],[Benchmark '#1 Dates]],Target1[Target Dates],0)),"-")</f>
        <v>1.5534292962183985E-2</v>
      </c>
      <c r="G944" s="1">
        <f>IFERROR(IF(Benchmark1[[#This Row],[Target Date Check]]="Pass",Benchmark1[[#This Row],[Target Return]]-Benchmark1[[#This Row],[Benchmark '#1 Return]],"-"),"-")</f>
        <v>3.1309556801301139E-2</v>
      </c>
      <c r="H944" s="1" t="str">
        <f>IF(COUNTIF(Comp1[Comparable '#1 Dates],Benchmark1[[#This Row],[Benchmark '#1 Dates]])=1,"Pass","Fail")</f>
        <v>Pass</v>
      </c>
      <c r="I944" s="6">
        <f>IF(Benchmark1[[#This Row],[Comparable '#1 Date Check]]="Pass",INDEX(Comp1[Comparable '#1 Price],MATCH(Benchmark1[[#This Row],[Benchmark '#1 Dates]],Comp1[Comparable '#1 Dates],0)),"-")</f>
        <v>11.85</v>
      </c>
      <c r="J944" s="22">
        <f>IF(Benchmark1[[#This Row],[Comparable '#1 Date Check]]="Pass",INDEX(Comp1[Comparable '#1 Return],MATCH(Benchmark1[[#This Row],[Benchmark '#1 Dates]],Comp1[Comparable '#1 Dates],0)),"-")</f>
        <v>-3.1564082117940859E-2</v>
      </c>
      <c r="K944" s="1">
        <f>IFERROR(IF(Benchmark1[[#This Row],[Comparable '#1 Date Check]]="Pass",Benchmark1[[#This Row],[Comparable '#1 Return]]-Benchmark1[[#This Row],[Benchmark '#1 Return]],"-"),"-")</f>
        <v>-1.5788818278823703E-2</v>
      </c>
      <c r="L944" s="1" t="str">
        <f>IF(COUNTIF(Comp2[Comparable '#2 Dates],Benchmark1[[#This Row],[Benchmark '#1 Dates]])=1,"Pass","Fail")</f>
        <v>Pass</v>
      </c>
      <c r="M944" s="6">
        <f>IF(Benchmark1[[#This Row],[Comparable '#2 Date Check]]="Pass",INDEX(Comp2[Comparable '#2 Price],MATCH(Benchmark1[[#This Row],[Benchmark '#1 Dates]],Comp2[Comparable '#2 Dates],0)),"-")</f>
        <v>29.71</v>
      </c>
      <c r="N944" s="22">
        <f>IF(Benchmark1[[#This Row],[Comparable '#2 Date Check]]="Pass",INDEX(Comp2[Comparable '#2 Return],MATCH(Benchmark1[[#This Row],[Benchmark '#1 Dates]],Comp2[Comparable '#2 Dates],0)),"-")</f>
        <v>-1.768186183681595E-2</v>
      </c>
      <c r="O944" s="1">
        <f>IFERROR(IF(Benchmark1[[#This Row],[Comparable '#2 Date Check]]="Pass",Benchmark1[[#This Row],[Comparable '#2 Return]]-Benchmark1[[#This Row],[Benchmark '#1 Return]],"-"),"-")</f>
        <v>-1.9065979976987946E-3</v>
      </c>
      <c r="P944" s="1" t="str">
        <f>IF(COUNTIF(Comp3[Comparable '#3 Dates],Benchmark1[[#This Row],[Benchmark '#1 Dates]])=1,"Pass","Fail")</f>
        <v>Pass</v>
      </c>
      <c r="Q944" s="6">
        <f>IF(Benchmark1[[#This Row],[Comparable '#3 Date Check]]="Pass",INDEX(Comp3[Comparable '#3 Price],MATCH(Benchmark1[[#This Row],[Benchmark '#1 Dates]],Comp3[Comparable '#3 Dates],0)),"-")</f>
        <v>66.38</v>
      </c>
      <c r="R944" s="22">
        <f>IF(Benchmark1[[#This Row],[Comparable '#3 Date Check]]="Pass",INDEX(Comp3[Comparable '#3 Return],MATCH(Benchmark1[[#This Row],[Benchmark '#1 Dates]],Comp3[Comparable '#3 Dates],0)),"-")</f>
        <v>-1.4210096265360992E-2</v>
      </c>
      <c r="S944" s="1">
        <f>IFERROR(IF(Benchmark1[[#This Row],[Comparable '#3 Date Check]]="Pass",Benchmark1[[#This Row],[Comparable '#3 Return]]-Benchmark1[[#This Row],[Benchmark '#1 Return]],"-"),"-")</f>
        <v>1.5651675737561634E-3</v>
      </c>
    </row>
    <row r="945" spans="1:19">
      <c r="A945" s="103">
        <v>44652</v>
      </c>
      <c r="B945" s="104">
        <v>4545.8555373971258</v>
      </c>
      <c r="C945" s="4">
        <f t="shared" si="14"/>
        <v>3.4027419487255889E-3</v>
      </c>
      <c r="D945" s="1" t="str">
        <f>IF(COUNTIF(Target1[Target Dates],Benchmark1[[#This Row],[Benchmark '#1 Dates]])=1,"Pass","Fail")</f>
        <v>Pass</v>
      </c>
      <c r="E945" s="6">
        <f>IF(Benchmark1[[#This Row],[Target Date Check]]="Pass",INDEX(Target1[Target Price],MATCH(Benchmark1[[#This Row],[Benchmark '#1 Dates]],Target1[Target Dates],0)),"-")</f>
        <v>36.81</v>
      </c>
      <c r="F945" s="22">
        <f>IF(Benchmark1[[#This Row],[Target Date Check]]="Pass",INDEX(Target1[Target Return],MATCH(Benchmark1[[#This Row],[Benchmark '#1 Dates]],Target1[Target Dates],0)),"-")</f>
        <v>1.3125701157819336E-2</v>
      </c>
      <c r="G945" s="1">
        <f>IFERROR(IF(Benchmark1[[#This Row],[Target Date Check]]="Pass",Benchmark1[[#This Row],[Target Return]]-Benchmark1[[#This Row],[Benchmark '#1 Return]],"-"),"-")</f>
        <v>9.7229592090937473E-3</v>
      </c>
      <c r="H945" s="1" t="str">
        <f>IF(COUNTIF(Comp1[Comparable '#1 Dates],Benchmark1[[#This Row],[Benchmark '#1 Dates]])=1,"Pass","Fail")</f>
        <v>Pass</v>
      </c>
      <c r="I945" s="6">
        <f>IF(Benchmark1[[#This Row],[Comparable '#1 Date Check]]="Pass",INDEX(Comp1[Comparable '#1 Price],MATCH(Benchmark1[[#This Row],[Benchmark '#1 Dates]],Comp1[Comparable '#1 Dates],0)),"-")</f>
        <v>11.95</v>
      </c>
      <c r="J945" s="22">
        <f>IF(Benchmark1[[#This Row],[Comparable '#1 Date Check]]="Pass",INDEX(Comp1[Comparable '#1 Return],MATCH(Benchmark1[[#This Row],[Benchmark '#1 Dates]],Comp1[Comparable '#1 Dates],0)),"-")</f>
        <v>8.4034107963793792E-3</v>
      </c>
      <c r="K945" s="1">
        <f>IFERROR(IF(Benchmark1[[#This Row],[Comparable '#1 Date Check]]="Pass",Benchmark1[[#This Row],[Comparable '#1 Return]]-Benchmark1[[#This Row],[Benchmark '#1 Return]],"-"),"-")</f>
        <v>5.0006688476537907E-3</v>
      </c>
      <c r="L945" s="1" t="str">
        <f>IF(COUNTIF(Comp2[Comparable '#2 Dates],Benchmark1[[#This Row],[Benchmark '#1 Dates]])=1,"Pass","Fail")</f>
        <v>Pass</v>
      </c>
      <c r="M945" s="6">
        <f>IF(Benchmark1[[#This Row],[Comparable '#2 Date Check]]="Pass",INDEX(Comp2[Comparable '#2 Price],MATCH(Benchmark1[[#This Row],[Benchmark '#1 Dates]],Comp2[Comparable '#2 Dates],0)),"-")</f>
        <v>31</v>
      </c>
      <c r="N945" s="22">
        <f>IF(Benchmark1[[#This Row],[Comparable '#2 Date Check]]="Pass",INDEX(Comp2[Comparable '#2 Return],MATCH(Benchmark1[[#This Row],[Benchmark '#1 Dates]],Comp2[Comparable '#2 Dates],0)),"-")</f>
        <v>4.2503515010629891E-2</v>
      </c>
      <c r="O945" s="1">
        <f>IFERROR(IF(Benchmark1[[#This Row],[Comparable '#2 Date Check]]="Pass",Benchmark1[[#This Row],[Comparable '#2 Return]]-Benchmark1[[#This Row],[Benchmark '#1 Return]],"-"),"-")</f>
        <v>3.91007730619043E-2</v>
      </c>
      <c r="P945" s="1" t="str">
        <f>IF(COUNTIF(Comp3[Comparable '#3 Dates],Benchmark1[[#This Row],[Benchmark '#1 Dates]])=1,"Pass","Fail")</f>
        <v>Pass</v>
      </c>
      <c r="Q945" s="6">
        <f>IF(Benchmark1[[#This Row],[Comparable '#3 Date Check]]="Pass",INDEX(Comp3[Comparable '#3 Price],MATCH(Benchmark1[[#This Row],[Benchmark '#1 Dates]],Comp3[Comparable '#3 Dates],0)),"-")</f>
        <v>67.81</v>
      </c>
      <c r="R945" s="22">
        <f>IF(Benchmark1[[#This Row],[Comparable '#3 Date Check]]="Pass",INDEX(Comp3[Comparable '#3 Return],MATCH(Benchmark1[[#This Row],[Benchmark '#1 Dates]],Comp3[Comparable '#3 Dates],0)),"-")</f>
        <v>2.1313870403922255E-2</v>
      </c>
      <c r="S945" s="1">
        <f>IFERROR(IF(Benchmark1[[#This Row],[Comparable '#3 Date Check]]="Pass",Benchmark1[[#This Row],[Comparable '#3 Return]]-Benchmark1[[#This Row],[Benchmark '#1 Return]],"-"),"-")</f>
        <v>1.7911128455196667E-2</v>
      </c>
    </row>
    <row r="946" spans="1:19">
      <c r="A946" s="103">
        <v>44655</v>
      </c>
      <c r="B946" s="104">
        <v>4582.6360937371956</v>
      </c>
      <c r="C946" s="4">
        <f t="shared" si="14"/>
        <v>8.0584519033507496E-3</v>
      </c>
      <c r="D946" s="1" t="str">
        <f>IF(COUNTIF(Target1[Target Dates],Benchmark1[[#This Row],[Benchmark '#1 Dates]])=1,"Pass","Fail")</f>
        <v>Pass</v>
      </c>
      <c r="E946" s="6">
        <f>IF(Benchmark1[[#This Row],[Target Date Check]]="Pass",INDEX(Target1[Target Price],MATCH(Benchmark1[[#This Row],[Benchmark '#1 Dates]],Target1[Target Dates],0)),"-")</f>
        <v>36.729999999999997</v>
      </c>
      <c r="F946" s="22">
        <f>IF(Benchmark1[[#This Row],[Target Date Check]]="Pass",INDEX(Target1[Target Return],MATCH(Benchmark1[[#This Row],[Benchmark '#1 Dates]],Target1[Target Dates],0)),"-")</f>
        <v>-2.1756875593540136E-3</v>
      </c>
      <c r="G946" s="1">
        <f>IFERROR(IF(Benchmark1[[#This Row],[Target Date Check]]="Pass",Benchmark1[[#This Row],[Target Return]]-Benchmark1[[#This Row],[Benchmark '#1 Return]],"-"),"-")</f>
        <v>-1.0234139462704763E-2</v>
      </c>
      <c r="H946" s="1" t="str">
        <f>IF(COUNTIF(Comp1[Comparable '#1 Dates],Benchmark1[[#This Row],[Benchmark '#1 Dates]])=1,"Pass","Fail")</f>
        <v>Pass</v>
      </c>
      <c r="I946" s="6">
        <f>IF(Benchmark1[[#This Row],[Comparable '#1 Date Check]]="Pass",INDEX(Comp1[Comparable '#1 Price],MATCH(Benchmark1[[#This Row],[Benchmark '#1 Dates]],Comp1[Comparable '#1 Dates],0)),"-")</f>
        <v>11.77</v>
      </c>
      <c r="J946" s="22">
        <f>IF(Benchmark1[[#This Row],[Comparable '#1 Date Check]]="Pass",INDEX(Comp1[Comparable '#1 Return],MATCH(Benchmark1[[#This Row],[Benchmark '#1 Dates]],Comp1[Comparable '#1 Dates],0)),"-")</f>
        <v>-1.5177357105334341E-2</v>
      </c>
      <c r="K946" s="1">
        <f>IFERROR(IF(Benchmark1[[#This Row],[Comparable '#1 Date Check]]="Pass",Benchmark1[[#This Row],[Comparable '#1 Return]]-Benchmark1[[#This Row],[Benchmark '#1 Return]],"-"),"-")</f>
        <v>-2.323580900868509E-2</v>
      </c>
      <c r="L946" s="1" t="str">
        <f>IF(COUNTIF(Comp2[Comparable '#2 Dates],Benchmark1[[#This Row],[Benchmark '#1 Dates]])=1,"Pass","Fail")</f>
        <v>Pass</v>
      </c>
      <c r="M946" s="6">
        <f>IF(Benchmark1[[#This Row],[Comparable '#2 Date Check]]="Pass",INDEX(Comp2[Comparable '#2 Price],MATCH(Benchmark1[[#This Row],[Benchmark '#1 Dates]],Comp2[Comparable '#2 Dates],0)),"-")</f>
        <v>30.35</v>
      </c>
      <c r="N946" s="22">
        <f>IF(Benchmark1[[#This Row],[Comparable '#2 Date Check]]="Pass",INDEX(Comp2[Comparable '#2 Return],MATCH(Benchmark1[[#This Row],[Benchmark '#1 Dates]],Comp2[Comparable '#2 Dates],0)),"-")</f>
        <v>-2.1190686979638891E-2</v>
      </c>
      <c r="O946" s="1">
        <f>IFERROR(IF(Benchmark1[[#This Row],[Comparable '#2 Date Check]]="Pass",Benchmark1[[#This Row],[Comparable '#2 Return]]-Benchmark1[[#This Row],[Benchmark '#1 Return]],"-"),"-")</f>
        <v>-2.9249138882989641E-2</v>
      </c>
      <c r="P946" s="1" t="str">
        <f>IF(COUNTIF(Comp3[Comparable '#3 Dates],Benchmark1[[#This Row],[Benchmark '#1 Dates]])=1,"Pass","Fail")</f>
        <v>Pass</v>
      </c>
      <c r="Q946" s="6">
        <f>IF(Benchmark1[[#This Row],[Comparable '#3 Date Check]]="Pass",INDEX(Comp3[Comparable '#3 Price],MATCH(Benchmark1[[#This Row],[Benchmark '#1 Dates]],Comp3[Comparable '#3 Dates],0)),"-")</f>
        <v>68.709999999999994</v>
      </c>
      <c r="R946" s="22">
        <f>IF(Benchmark1[[#This Row],[Comparable '#3 Date Check]]="Pass",INDEX(Comp3[Comparable '#3 Return],MATCH(Benchmark1[[#This Row],[Benchmark '#1 Dates]],Comp3[Comparable '#3 Dates],0)),"-")</f>
        <v>1.3185072347233713E-2</v>
      </c>
      <c r="S946" s="1">
        <f>IFERROR(IF(Benchmark1[[#This Row],[Comparable '#3 Date Check]]="Pass",Benchmark1[[#This Row],[Comparable '#3 Return]]-Benchmark1[[#This Row],[Benchmark '#1 Return]],"-"),"-")</f>
        <v>5.1266204438829635E-3</v>
      </c>
    </row>
    <row r="947" spans="1:19">
      <c r="A947" s="103">
        <v>44656</v>
      </c>
      <c r="B947" s="104">
        <v>4525.1221104105043</v>
      </c>
      <c r="C947" s="4">
        <f t="shared" si="14"/>
        <v>-1.262983635563549E-2</v>
      </c>
      <c r="D947" s="1" t="str">
        <f>IF(COUNTIF(Target1[Target Dates],Benchmark1[[#This Row],[Benchmark '#1 Dates]])=1,"Pass","Fail")</f>
        <v>Pass</v>
      </c>
      <c r="E947" s="6">
        <f>IF(Benchmark1[[#This Row],[Target Date Check]]="Pass",INDEX(Target1[Target Price],MATCH(Benchmark1[[#This Row],[Benchmark '#1 Dates]],Target1[Target Dates],0)),"-")</f>
        <v>36.03</v>
      </c>
      <c r="F947" s="22">
        <f>IF(Benchmark1[[#This Row],[Target Date Check]]="Pass",INDEX(Target1[Target Return],MATCH(Benchmark1[[#This Row],[Benchmark '#1 Dates]],Target1[Target Dates],0)),"-")</f>
        <v>-1.9241935071573971E-2</v>
      </c>
      <c r="G947" s="1">
        <f>IFERROR(IF(Benchmark1[[#This Row],[Target Date Check]]="Pass",Benchmark1[[#This Row],[Target Return]]-Benchmark1[[#This Row],[Benchmark '#1 Return]],"-"),"-")</f>
        <v>-6.6120987159384807E-3</v>
      </c>
      <c r="H947" s="1" t="str">
        <f>IF(COUNTIF(Comp1[Comparable '#1 Dates],Benchmark1[[#This Row],[Benchmark '#1 Dates]])=1,"Pass","Fail")</f>
        <v>Pass</v>
      </c>
      <c r="I947" s="6">
        <f>IF(Benchmark1[[#This Row],[Comparable '#1 Date Check]]="Pass",INDEX(Comp1[Comparable '#1 Price],MATCH(Benchmark1[[#This Row],[Benchmark '#1 Dates]],Comp1[Comparable '#1 Dates],0)),"-")</f>
        <v>11.55</v>
      </c>
      <c r="J947" s="22">
        <f>IF(Benchmark1[[#This Row],[Comparable '#1 Date Check]]="Pass",INDEX(Comp1[Comparable '#1 Return],MATCH(Benchmark1[[#This Row],[Benchmark '#1 Dates]],Comp1[Comparable '#1 Dates],0)),"-")</f>
        <v>-1.8868484304382691E-2</v>
      </c>
      <c r="K947" s="1">
        <f>IFERROR(IF(Benchmark1[[#This Row],[Comparable '#1 Date Check]]="Pass",Benchmark1[[#This Row],[Comparable '#1 Return]]-Benchmark1[[#This Row],[Benchmark '#1 Return]],"-"),"-")</f>
        <v>-6.2386479487472005E-3</v>
      </c>
      <c r="L947" s="1" t="str">
        <f>IF(COUNTIF(Comp2[Comparable '#2 Dates],Benchmark1[[#This Row],[Benchmark '#1 Dates]])=1,"Pass","Fail")</f>
        <v>Pass</v>
      </c>
      <c r="M947" s="6">
        <f>IF(Benchmark1[[#This Row],[Comparable '#2 Date Check]]="Pass",INDEX(Comp2[Comparable '#2 Price],MATCH(Benchmark1[[#This Row],[Benchmark '#1 Dates]],Comp2[Comparable '#2 Dates],0)),"-")</f>
        <v>29.38</v>
      </c>
      <c r="N947" s="22">
        <f>IF(Benchmark1[[#This Row],[Comparable '#2 Date Check]]="Pass",INDEX(Comp2[Comparable '#2 Return],MATCH(Benchmark1[[#This Row],[Benchmark '#1 Dates]],Comp2[Comparable '#2 Dates],0)),"-")</f>
        <v>-3.2482346759776078E-2</v>
      </c>
      <c r="O947" s="1">
        <f>IFERROR(IF(Benchmark1[[#This Row],[Comparable '#2 Date Check]]="Pass",Benchmark1[[#This Row],[Comparable '#2 Return]]-Benchmark1[[#This Row],[Benchmark '#1 Return]],"-"),"-")</f>
        <v>-1.9852510404140586E-2</v>
      </c>
      <c r="P947" s="1" t="str">
        <f>IF(COUNTIF(Comp3[Comparable '#3 Dates],Benchmark1[[#This Row],[Benchmark '#1 Dates]])=1,"Pass","Fail")</f>
        <v>Pass</v>
      </c>
      <c r="Q947" s="6">
        <f>IF(Benchmark1[[#This Row],[Comparable '#3 Date Check]]="Pass",INDEX(Comp3[Comparable '#3 Price],MATCH(Benchmark1[[#This Row],[Benchmark '#1 Dates]],Comp3[Comparable '#3 Dates],0)),"-")</f>
        <v>68.430000000000007</v>
      </c>
      <c r="R947" s="22">
        <f>IF(Benchmark1[[#This Row],[Comparable '#3 Date Check]]="Pass",INDEX(Comp3[Comparable '#3 Return],MATCH(Benchmark1[[#This Row],[Benchmark '#1 Dates]],Comp3[Comparable '#3 Dates],0)),"-")</f>
        <v>-4.0834240785780646E-3</v>
      </c>
      <c r="S947" s="1">
        <f>IFERROR(IF(Benchmark1[[#This Row],[Comparable '#3 Date Check]]="Pass",Benchmark1[[#This Row],[Comparable '#3 Return]]-Benchmark1[[#This Row],[Benchmark '#1 Return]],"-"),"-")</f>
        <v>8.5464122770574254E-3</v>
      </c>
    </row>
    <row r="948" spans="1:19">
      <c r="A948" s="103">
        <v>44657</v>
      </c>
      <c r="B948" s="104">
        <v>4481.1533357311182</v>
      </c>
      <c r="C948" s="4">
        <f t="shared" si="14"/>
        <v>-9.7641082078064045E-3</v>
      </c>
      <c r="D948" s="1" t="str">
        <f>IF(COUNTIF(Target1[Target Dates],Benchmark1[[#This Row],[Benchmark '#1 Dates]])=1,"Pass","Fail")</f>
        <v>Pass</v>
      </c>
      <c r="E948" s="6">
        <f>IF(Benchmark1[[#This Row],[Target Date Check]]="Pass",INDEX(Target1[Target Price],MATCH(Benchmark1[[#This Row],[Benchmark '#1 Dates]],Target1[Target Dates],0)),"-")</f>
        <v>35.75</v>
      </c>
      <c r="F948" s="22">
        <f>IF(Benchmark1[[#This Row],[Target Date Check]]="Pass",INDEX(Target1[Target Return],MATCH(Benchmark1[[#This Row],[Benchmark '#1 Dates]],Target1[Target Dates],0)),"-")</f>
        <v>-7.8016556199852587E-3</v>
      </c>
      <c r="G948" s="1">
        <f>IFERROR(IF(Benchmark1[[#This Row],[Target Date Check]]="Pass",Benchmark1[[#This Row],[Target Return]]-Benchmark1[[#This Row],[Benchmark '#1 Return]],"-"),"-")</f>
        <v>1.9624525878211459E-3</v>
      </c>
      <c r="H948" s="1" t="str">
        <f>IF(COUNTIF(Comp1[Comparable '#1 Dates],Benchmark1[[#This Row],[Benchmark '#1 Dates]])=1,"Pass","Fail")</f>
        <v>Pass</v>
      </c>
      <c r="I948" s="6">
        <f>IF(Benchmark1[[#This Row],[Comparable '#1 Date Check]]="Pass",INDEX(Comp1[Comparable '#1 Price],MATCH(Benchmark1[[#This Row],[Benchmark '#1 Dates]],Comp1[Comparable '#1 Dates],0)),"-")</f>
        <v>11.36</v>
      </c>
      <c r="J948" s="22">
        <f>IF(Benchmark1[[#This Row],[Comparable '#1 Date Check]]="Pass",INDEX(Comp1[Comparable '#1 Return],MATCH(Benchmark1[[#This Row],[Benchmark '#1 Dates]],Comp1[Comparable '#1 Dates],0)),"-")</f>
        <v>-1.6587023674797412E-2</v>
      </c>
      <c r="K948" s="1">
        <f>IFERROR(IF(Benchmark1[[#This Row],[Comparable '#1 Date Check]]="Pass",Benchmark1[[#This Row],[Comparable '#1 Return]]-Benchmark1[[#This Row],[Benchmark '#1 Return]],"-"),"-")</f>
        <v>-6.8229154669910072E-3</v>
      </c>
      <c r="L948" s="1" t="str">
        <f>IF(COUNTIF(Comp2[Comparable '#2 Dates],Benchmark1[[#This Row],[Benchmark '#1 Dates]])=1,"Pass","Fail")</f>
        <v>Pass</v>
      </c>
      <c r="M948" s="6">
        <f>IF(Benchmark1[[#This Row],[Comparable '#2 Date Check]]="Pass",INDEX(Comp2[Comparable '#2 Price],MATCH(Benchmark1[[#This Row],[Benchmark '#1 Dates]],Comp2[Comparable '#2 Dates],0)),"-")</f>
        <v>29.08</v>
      </c>
      <c r="N948" s="22">
        <f>IF(Benchmark1[[#This Row],[Comparable '#2 Date Check]]="Pass",INDEX(Comp2[Comparable '#2 Return],MATCH(Benchmark1[[#This Row],[Benchmark '#1 Dates]],Comp2[Comparable '#2 Dates],0)),"-")</f>
        <v>-1.026351808041262E-2</v>
      </c>
      <c r="O948" s="1">
        <f>IFERROR(IF(Benchmark1[[#This Row],[Comparable '#2 Date Check]]="Pass",Benchmark1[[#This Row],[Comparable '#2 Return]]-Benchmark1[[#This Row],[Benchmark '#1 Return]],"-"),"-")</f>
        <v>-4.9940987260621572E-4</v>
      </c>
      <c r="P948" s="1" t="str">
        <f>IF(COUNTIF(Comp3[Comparable '#3 Dates],Benchmark1[[#This Row],[Benchmark '#1 Dates]])=1,"Pass","Fail")</f>
        <v>Pass</v>
      </c>
      <c r="Q948" s="6">
        <f>IF(Benchmark1[[#This Row],[Comparable '#3 Date Check]]="Pass",INDEX(Comp3[Comparable '#3 Price],MATCH(Benchmark1[[#This Row],[Benchmark '#1 Dates]],Comp3[Comparable '#3 Dates],0)),"-")</f>
        <v>68.59</v>
      </c>
      <c r="R948" s="22">
        <f>IF(Benchmark1[[#This Row],[Comparable '#3 Date Check]]="Pass",INDEX(Comp3[Comparable '#3 Return],MATCH(Benchmark1[[#This Row],[Benchmark '#1 Dates]],Comp3[Comparable '#3 Dates],0)),"-")</f>
        <v>2.3354265468235437E-3</v>
      </c>
      <c r="S948" s="1">
        <f>IFERROR(IF(Benchmark1[[#This Row],[Comparable '#3 Date Check]]="Pass",Benchmark1[[#This Row],[Comparable '#3 Return]]-Benchmark1[[#This Row],[Benchmark '#1 Return]],"-"),"-")</f>
        <v>1.2099534754629947E-2</v>
      </c>
    </row>
    <row r="949" spans="1:19">
      <c r="A949" s="103">
        <v>44658</v>
      </c>
      <c r="B949" s="104">
        <v>4500.2094227930347</v>
      </c>
      <c r="C949" s="4">
        <f t="shared" si="14"/>
        <v>4.2434797857952861E-3</v>
      </c>
      <c r="D949" s="1" t="str">
        <f>IF(COUNTIF(Target1[Target Dates],Benchmark1[[#This Row],[Benchmark '#1 Dates]])=1,"Pass","Fail")</f>
        <v>Pass</v>
      </c>
      <c r="E949" s="6">
        <f>IF(Benchmark1[[#This Row],[Target Date Check]]="Pass",INDEX(Target1[Target Price],MATCH(Benchmark1[[#This Row],[Benchmark '#1 Dates]],Target1[Target Dates],0)),"-")</f>
        <v>34.9</v>
      </c>
      <c r="F949" s="22">
        <f>IF(Benchmark1[[#This Row],[Target Date Check]]="Pass",INDEX(Target1[Target Return],MATCH(Benchmark1[[#This Row],[Benchmark '#1 Dates]],Target1[Target Dates],0)),"-")</f>
        <v>-2.4063439931635199E-2</v>
      </c>
      <c r="G949" s="1">
        <f>IFERROR(IF(Benchmark1[[#This Row],[Target Date Check]]="Pass",Benchmark1[[#This Row],[Target Return]]-Benchmark1[[#This Row],[Benchmark '#1 Return]],"-"),"-")</f>
        <v>-2.8306919717430483E-2</v>
      </c>
      <c r="H949" s="1" t="str">
        <f>IF(COUNTIF(Comp1[Comparable '#1 Dates],Benchmark1[[#This Row],[Benchmark '#1 Dates]])=1,"Pass","Fail")</f>
        <v>Pass</v>
      </c>
      <c r="I949" s="6">
        <f>IF(Benchmark1[[#This Row],[Comparable '#1 Date Check]]="Pass",INDEX(Comp1[Comparable '#1 Price],MATCH(Benchmark1[[#This Row],[Benchmark '#1 Dates]],Comp1[Comparable '#1 Dates],0)),"-")</f>
        <v>11.45</v>
      </c>
      <c r="J949" s="22">
        <f>IF(Benchmark1[[#This Row],[Comparable '#1 Date Check]]="Pass",INDEX(Comp1[Comparable '#1 Return],MATCH(Benchmark1[[#This Row],[Benchmark '#1 Dates]],Comp1[Comparable '#1 Dates],0)),"-")</f>
        <v>7.8913167072432715E-3</v>
      </c>
      <c r="K949" s="1">
        <f>IFERROR(IF(Benchmark1[[#This Row],[Comparable '#1 Date Check]]="Pass",Benchmark1[[#This Row],[Comparable '#1 Return]]-Benchmark1[[#This Row],[Benchmark '#1 Return]],"-"),"-")</f>
        <v>3.6478369214479854E-3</v>
      </c>
      <c r="L949" s="1" t="str">
        <f>IF(COUNTIF(Comp2[Comparable '#2 Dates],Benchmark1[[#This Row],[Benchmark '#1 Dates]])=1,"Pass","Fail")</f>
        <v>Pass</v>
      </c>
      <c r="M949" s="6">
        <f>IF(Benchmark1[[#This Row],[Comparable '#2 Date Check]]="Pass",INDEX(Comp2[Comparable '#2 Price],MATCH(Benchmark1[[#This Row],[Benchmark '#1 Dates]],Comp2[Comparable '#2 Dates],0)),"-")</f>
        <v>29.04</v>
      </c>
      <c r="N949" s="22">
        <f>IF(Benchmark1[[#This Row],[Comparable '#2 Date Check]]="Pass",INDEX(Comp2[Comparable '#2 Return],MATCH(Benchmark1[[#This Row],[Benchmark '#1 Dates]],Comp2[Comparable '#2 Dates],0)),"-")</f>
        <v>-1.3764627087232365E-3</v>
      </c>
      <c r="O949" s="1">
        <f>IFERROR(IF(Benchmark1[[#This Row],[Comparable '#2 Date Check]]="Pass",Benchmark1[[#This Row],[Comparable '#2 Return]]-Benchmark1[[#This Row],[Benchmark '#1 Return]],"-"),"-")</f>
        <v>-5.6199424945185227E-3</v>
      </c>
      <c r="P949" s="1" t="str">
        <f>IF(COUNTIF(Comp3[Comparable '#3 Dates],Benchmark1[[#This Row],[Benchmark '#1 Dates]])=1,"Pass","Fail")</f>
        <v>Pass</v>
      </c>
      <c r="Q949" s="6">
        <f>IF(Benchmark1[[#This Row],[Comparable '#3 Date Check]]="Pass",INDEX(Comp3[Comparable '#3 Price],MATCH(Benchmark1[[#This Row],[Benchmark '#1 Dates]],Comp3[Comparable '#3 Dates],0)),"-")</f>
        <v>69.650000000000006</v>
      </c>
      <c r="R949" s="22">
        <f>IF(Benchmark1[[#This Row],[Comparable '#3 Date Check]]="Pass",INDEX(Comp3[Comparable '#3 Return],MATCH(Benchmark1[[#This Row],[Benchmark '#1 Dates]],Comp3[Comparable '#3 Dates],0)),"-")</f>
        <v>1.5335948714584791E-2</v>
      </c>
      <c r="S949" s="1">
        <f>IFERROR(IF(Benchmark1[[#This Row],[Comparable '#3 Date Check]]="Pass",Benchmark1[[#This Row],[Comparable '#3 Return]]-Benchmark1[[#This Row],[Benchmark '#1 Return]],"-"),"-")</f>
        <v>1.1092468928789505E-2</v>
      </c>
    </row>
    <row r="950" spans="1:19">
      <c r="A950" s="103">
        <v>44659</v>
      </c>
      <c r="B950" s="104">
        <v>4488.2817514714825</v>
      </c>
      <c r="C950" s="4">
        <f t="shared" si="14"/>
        <v>-2.6539889935932909E-3</v>
      </c>
      <c r="D950" s="1" t="str">
        <f>IF(COUNTIF(Target1[Target Dates],Benchmark1[[#This Row],[Benchmark '#1 Dates]])=1,"Pass","Fail")</f>
        <v>Pass</v>
      </c>
      <c r="E950" s="6">
        <f>IF(Benchmark1[[#This Row],[Target Date Check]]="Pass",INDEX(Target1[Target Price],MATCH(Benchmark1[[#This Row],[Benchmark '#1 Dates]],Target1[Target Dates],0)),"-")</f>
        <v>34.46</v>
      </c>
      <c r="F950" s="22">
        <f>IF(Benchmark1[[#This Row],[Target Date Check]]="Pass",INDEX(Target1[Target Return],MATCH(Benchmark1[[#This Row],[Benchmark '#1 Dates]],Target1[Target Dates],0)),"-")</f>
        <v>-1.2687598108597846E-2</v>
      </c>
      <c r="G950" s="1">
        <f>IFERROR(IF(Benchmark1[[#This Row],[Target Date Check]]="Pass",Benchmark1[[#This Row],[Target Return]]-Benchmark1[[#This Row],[Benchmark '#1 Return]],"-"),"-")</f>
        <v>-1.0033609115004555E-2</v>
      </c>
      <c r="H950" s="1" t="str">
        <f>IF(COUNTIF(Comp1[Comparable '#1 Dates],Benchmark1[[#This Row],[Benchmark '#1 Dates]])=1,"Pass","Fail")</f>
        <v>Pass</v>
      </c>
      <c r="I950" s="6">
        <f>IF(Benchmark1[[#This Row],[Comparable '#1 Date Check]]="Pass",INDEX(Comp1[Comparable '#1 Price],MATCH(Benchmark1[[#This Row],[Benchmark '#1 Dates]],Comp1[Comparable '#1 Dates],0)),"-")</f>
        <v>11.59</v>
      </c>
      <c r="J950" s="22">
        <f>IF(Benchmark1[[#This Row],[Comparable '#1 Date Check]]="Pass",INDEX(Comp1[Comparable '#1 Return],MATCH(Benchmark1[[#This Row],[Benchmark '#1 Dates]],Comp1[Comparable '#1 Dates],0)),"-")</f>
        <v>1.2152927351411758E-2</v>
      </c>
      <c r="K950" s="1">
        <f>IFERROR(IF(Benchmark1[[#This Row],[Comparable '#1 Date Check]]="Pass",Benchmark1[[#This Row],[Comparable '#1 Return]]-Benchmark1[[#This Row],[Benchmark '#1 Return]],"-"),"-")</f>
        <v>1.4806916345005049E-2</v>
      </c>
      <c r="L950" s="1" t="str">
        <f>IF(COUNTIF(Comp2[Comparable '#2 Dates],Benchmark1[[#This Row],[Benchmark '#1 Dates]])=1,"Pass","Fail")</f>
        <v>Pass</v>
      </c>
      <c r="M950" s="6">
        <f>IF(Benchmark1[[#This Row],[Comparable '#2 Date Check]]="Pass",INDEX(Comp2[Comparable '#2 Price],MATCH(Benchmark1[[#This Row],[Benchmark '#1 Dates]],Comp2[Comparable '#2 Dates],0)),"-")</f>
        <v>28.98</v>
      </c>
      <c r="N950" s="22">
        <f>IF(Benchmark1[[#This Row],[Comparable '#2 Date Check]]="Pass",INDEX(Comp2[Comparable '#2 Return],MATCH(Benchmark1[[#This Row],[Benchmark '#1 Dates]],Comp2[Comparable '#2 Dates],0)),"-")</f>
        <v>-2.0682530640589573E-3</v>
      </c>
      <c r="O950" s="1">
        <f>IFERROR(IF(Benchmark1[[#This Row],[Comparable '#2 Date Check]]="Pass",Benchmark1[[#This Row],[Comparable '#2 Return]]-Benchmark1[[#This Row],[Benchmark '#1 Return]],"-"),"-")</f>
        <v>5.8573592953433361E-4</v>
      </c>
      <c r="P950" s="1" t="str">
        <f>IF(COUNTIF(Comp3[Comparable '#3 Dates],Benchmark1[[#This Row],[Benchmark '#1 Dates]])=1,"Pass","Fail")</f>
        <v>Pass</v>
      </c>
      <c r="Q950" s="6">
        <f>IF(Benchmark1[[#This Row],[Comparable '#3 Date Check]]="Pass",INDEX(Comp3[Comparable '#3 Price],MATCH(Benchmark1[[#This Row],[Benchmark '#1 Dates]],Comp3[Comparable '#3 Dates],0)),"-")</f>
        <v>69.790000000000006</v>
      </c>
      <c r="R950" s="22">
        <f>IF(Benchmark1[[#This Row],[Comparable '#3 Date Check]]="Pass",INDEX(Comp3[Comparable '#3 Return],MATCH(Benchmark1[[#This Row],[Benchmark '#1 Dates]],Comp3[Comparable '#3 Dates],0)),"-")</f>
        <v>2.0080328032456131E-3</v>
      </c>
      <c r="S950" s="1">
        <f>IFERROR(IF(Benchmark1[[#This Row],[Comparable '#3 Date Check]]="Pass",Benchmark1[[#This Row],[Comparable '#3 Return]]-Benchmark1[[#This Row],[Benchmark '#1 Return]],"-"),"-")</f>
        <v>4.6620217968389045E-3</v>
      </c>
    </row>
    <row r="951" spans="1:19">
      <c r="A951" s="103">
        <v>44662</v>
      </c>
      <c r="B951" s="104">
        <v>4412.5287787537854</v>
      </c>
      <c r="C951" s="4">
        <f t="shared" si="14"/>
        <v>-1.7022000762933767E-2</v>
      </c>
      <c r="D951" s="1" t="str">
        <f>IF(COUNTIF(Target1[Target Dates],Benchmark1[[#This Row],[Benchmark '#1 Dates]])=1,"Pass","Fail")</f>
        <v>Pass</v>
      </c>
      <c r="E951" s="6">
        <f>IF(Benchmark1[[#This Row],[Target Date Check]]="Pass",INDEX(Target1[Target Price],MATCH(Benchmark1[[#This Row],[Benchmark '#1 Dates]],Target1[Target Dates],0)),"-")</f>
        <v>33.46</v>
      </c>
      <c r="F951" s="22">
        <f>IF(Benchmark1[[#This Row],[Target Date Check]]="Pass",INDEX(Target1[Target Return],MATCH(Benchmark1[[#This Row],[Benchmark '#1 Dates]],Target1[Target Dates],0)),"-")</f>
        <v>-2.9448535541105599E-2</v>
      </c>
      <c r="G951" s="1">
        <f>IFERROR(IF(Benchmark1[[#This Row],[Target Date Check]]="Pass",Benchmark1[[#This Row],[Target Return]]-Benchmark1[[#This Row],[Benchmark '#1 Return]],"-"),"-")</f>
        <v>-1.2426534778171832E-2</v>
      </c>
      <c r="H951" s="1" t="str">
        <f>IF(COUNTIF(Comp1[Comparable '#1 Dates],Benchmark1[[#This Row],[Benchmark '#1 Dates]])=1,"Pass","Fail")</f>
        <v>Pass</v>
      </c>
      <c r="I951" s="6">
        <f>IF(Benchmark1[[#This Row],[Comparable '#1 Date Check]]="Pass",INDEX(Comp1[Comparable '#1 Price],MATCH(Benchmark1[[#This Row],[Benchmark '#1 Dates]],Comp1[Comparable '#1 Dates],0)),"-")</f>
        <v>11.53</v>
      </c>
      <c r="J951" s="22">
        <f>IF(Benchmark1[[#This Row],[Comparable '#1 Date Check]]="Pass",INDEX(Comp1[Comparable '#1 Return],MATCH(Benchmark1[[#This Row],[Benchmark '#1 Dates]],Comp1[Comparable '#1 Dates],0)),"-")</f>
        <v>-5.1903230706927357E-3</v>
      </c>
      <c r="K951" s="1">
        <f>IFERROR(IF(Benchmark1[[#This Row],[Comparable '#1 Date Check]]="Pass",Benchmark1[[#This Row],[Comparable '#1 Return]]-Benchmark1[[#This Row],[Benchmark '#1 Return]],"-"),"-")</f>
        <v>1.1831677692241031E-2</v>
      </c>
      <c r="L951" s="1" t="str">
        <f>IF(COUNTIF(Comp2[Comparable '#2 Dates],Benchmark1[[#This Row],[Benchmark '#1 Dates]])=1,"Pass","Fail")</f>
        <v>Pass</v>
      </c>
      <c r="M951" s="6">
        <f>IF(Benchmark1[[#This Row],[Comparable '#2 Date Check]]="Pass",INDEX(Comp2[Comparable '#2 Price],MATCH(Benchmark1[[#This Row],[Benchmark '#1 Dates]],Comp2[Comparable '#2 Dates],0)),"-")</f>
        <v>28.71</v>
      </c>
      <c r="N951" s="22">
        <f>IF(Benchmark1[[#This Row],[Comparable '#2 Date Check]]="Pass",INDEX(Comp2[Comparable '#2 Return],MATCH(Benchmark1[[#This Row],[Benchmark '#1 Dates]],Comp2[Comparable '#2 Dates],0)),"-")</f>
        <v>-9.360442759563695E-3</v>
      </c>
      <c r="O951" s="1">
        <f>IFERROR(IF(Benchmark1[[#This Row],[Comparable '#2 Date Check]]="Pass",Benchmark1[[#This Row],[Comparable '#2 Return]]-Benchmark1[[#This Row],[Benchmark '#1 Return]],"-"),"-")</f>
        <v>7.6615580033700722E-3</v>
      </c>
      <c r="P951" s="1" t="str">
        <f>IF(COUNTIF(Comp3[Comparable '#3 Dates],Benchmark1[[#This Row],[Benchmark '#1 Dates]])=1,"Pass","Fail")</f>
        <v>Pass</v>
      </c>
      <c r="Q951" s="6">
        <f>IF(Benchmark1[[#This Row],[Comparable '#3 Date Check]]="Pass",INDEX(Comp3[Comparable '#3 Price],MATCH(Benchmark1[[#This Row],[Benchmark '#1 Dates]],Comp3[Comparable '#3 Dates],0)),"-")</f>
        <v>69.11</v>
      </c>
      <c r="R951" s="22">
        <f>IF(Benchmark1[[#This Row],[Comparable '#3 Date Check]]="Pass",INDEX(Comp3[Comparable '#3 Return],MATCH(Benchmark1[[#This Row],[Benchmark '#1 Dates]],Comp3[Comparable '#3 Dates],0)),"-")</f>
        <v>-9.7912949257573777E-3</v>
      </c>
      <c r="S951" s="1">
        <f>IFERROR(IF(Benchmark1[[#This Row],[Comparable '#3 Date Check]]="Pass",Benchmark1[[#This Row],[Comparable '#3 Return]]-Benchmark1[[#This Row],[Benchmark '#1 Return]],"-"),"-")</f>
        <v>7.2307058371763894E-3</v>
      </c>
    </row>
    <row r="952" spans="1:19">
      <c r="A952" s="103">
        <v>44663</v>
      </c>
      <c r="B952" s="104">
        <v>4397.4472362450806</v>
      </c>
      <c r="C952" s="4">
        <f t="shared" si="14"/>
        <v>-3.4237453575855239E-3</v>
      </c>
      <c r="D952" s="1" t="str">
        <f>IF(COUNTIF(Target1[Target Dates],Benchmark1[[#This Row],[Benchmark '#1 Dates]])=1,"Pass","Fail")</f>
        <v>Pass</v>
      </c>
      <c r="E952" s="6">
        <f>IF(Benchmark1[[#This Row],[Target Date Check]]="Pass",INDEX(Target1[Target Price],MATCH(Benchmark1[[#This Row],[Benchmark '#1 Dates]],Target1[Target Dates],0)),"-")</f>
        <v>34.21</v>
      </c>
      <c r="F952" s="22">
        <f>IF(Benchmark1[[#This Row],[Target Date Check]]="Pass",INDEX(Target1[Target Return],MATCH(Benchmark1[[#This Row],[Benchmark '#1 Dates]],Target1[Target Dates],0)),"-")</f>
        <v>2.2167303430835474E-2</v>
      </c>
      <c r="G952" s="1">
        <f>IFERROR(IF(Benchmark1[[#This Row],[Target Date Check]]="Pass",Benchmark1[[#This Row],[Target Return]]-Benchmark1[[#This Row],[Benchmark '#1 Return]],"-"),"-")</f>
        <v>2.5591048788420997E-2</v>
      </c>
      <c r="H952" s="1" t="str">
        <f>IF(COUNTIF(Comp1[Comparable '#1 Dates],Benchmark1[[#This Row],[Benchmark '#1 Dates]])=1,"Pass","Fail")</f>
        <v>Pass</v>
      </c>
      <c r="I952" s="6">
        <f>IF(Benchmark1[[#This Row],[Comparable '#1 Date Check]]="Pass",INDEX(Comp1[Comparable '#1 Price],MATCH(Benchmark1[[#This Row],[Benchmark '#1 Dates]],Comp1[Comparable '#1 Dates],0)),"-")</f>
        <v>11.61</v>
      </c>
      <c r="J952" s="22">
        <f>IF(Benchmark1[[#This Row],[Comparable '#1 Date Check]]="Pass",INDEX(Comp1[Comparable '#1 Return],MATCH(Benchmark1[[#This Row],[Benchmark '#1 Dates]],Comp1[Comparable '#1 Dates],0)),"-")</f>
        <v>6.9144614288324116E-3</v>
      </c>
      <c r="K952" s="1">
        <f>IFERROR(IF(Benchmark1[[#This Row],[Comparable '#1 Date Check]]="Pass",Benchmark1[[#This Row],[Comparable '#1 Return]]-Benchmark1[[#This Row],[Benchmark '#1 Return]],"-"),"-")</f>
        <v>1.0338206786417935E-2</v>
      </c>
      <c r="L952" s="1" t="str">
        <f>IF(COUNTIF(Comp2[Comparable '#2 Dates],Benchmark1[[#This Row],[Benchmark '#1 Dates]])=1,"Pass","Fail")</f>
        <v>Pass</v>
      </c>
      <c r="M952" s="6">
        <f>IF(Benchmark1[[#This Row],[Comparable '#2 Date Check]]="Pass",INDEX(Comp2[Comparable '#2 Price],MATCH(Benchmark1[[#This Row],[Benchmark '#1 Dates]],Comp2[Comparable '#2 Dates],0)),"-")</f>
        <v>29.18</v>
      </c>
      <c r="N952" s="22">
        <f>IF(Benchmark1[[#This Row],[Comparable '#2 Date Check]]="Pass",INDEX(Comp2[Comparable '#2 Return],MATCH(Benchmark1[[#This Row],[Benchmark '#1 Dates]],Comp2[Comparable '#2 Dates],0)),"-")</f>
        <v>1.623804896166688E-2</v>
      </c>
      <c r="O952" s="1">
        <f>IFERROR(IF(Benchmark1[[#This Row],[Comparable '#2 Date Check]]="Pass",Benchmark1[[#This Row],[Comparable '#2 Return]]-Benchmark1[[#This Row],[Benchmark '#1 Return]],"-"),"-")</f>
        <v>1.9661794319252402E-2</v>
      </c>
      <c r="P952" s="1" t="str">
        <f>IF(COUNTIF(Comp3[Comparable '#3 Dates],Benchmark1[[#This Row],[Benchmark '#1 Dates]])=1,"Pass","Fail")</f>
        <v>Pass</v>
      </c>
      <c r="Q952" s="6">
        <f>IF(Benchmark1[[#This Row],[Comparable '#3 Date Check]]="Pass",INDEX(Comp3[Comparable '#3 Price],MATCH(Benchmark1[[#This Row],[Benchmark '#1 Dates]],Comp3[Comparable '#3 Dates],0)),"-")</f>
        <v>69.88</v>
      </c>
      <c r="R952" s="22">
        <f>IF(Benchmark1[[#This Row],[Comparable '#3 Date Check]]="Pass",INDEX(Comp3[Comparable '#3 Return],MATCH(Benchmark1[[#This Row],[Benchmark '#1 Dates]],Comp3[Comparable '#3 Dates],0)),"-")</f>
        <v>1.1080047162552783E-2</v>
      </c>
      <c r="S952" s="1">
        <f>IFERROR(IF(Benchmark1[[#This Row],[Comparable '#3 Date Check]]="Pass",Benchmark1[[#This Row],[Comparable '#3 Return]]-Benchmark1[[#This Row],[Benchmark '#1 Return]],"-"),"-")</f>
        <v>1.4503792520138307E-2</v>
      </c>
    </row>
    <row r="953" spans="1:19">
      <c r="A953" s="103">
        <v>44664</v>
      </c>
      <c r="B953" s="104">
        <v>4446.59179325063</v>
      </c>
      <c r="C953" s="4">
        <f t="shared" si="14"/>
        <v>1.1113714600311157E-2</v>
      </c>
      <c r="D953" s="1" t="str">
        <f>IF(COUNTIF(Target1[Target Dates],Benchmark1[[#This Row],[Benchmark '#1 Dates]])=1,"Pass","Fail")</f>
        <v>Pass</v>
      </c>
      <c r="E953" s="6">
        <f>IF(Benchmark1[[#This Row],[Target Date Check]]="Pass",INDEX(Target1[Target Price],MATCH(Benchmark1[[#This Row],[Benchmark '#1 Dates]],Target1[Target Dates],0)),"-")</f>
        <v>35.090000000000003</v>
      </c>
      <c r="F953" s="22">
        <f>IF(Benchmark1[[#This Row],[Target Date Check]]="Pass",INDEX(Target1[Target Return],MATCH(Benchmark1[[#This Row],[Benchmark '#1 Dates]],Target1[Target Dates],0)),"-")</f>
        <v>2.5398190605610403E-2</v>
      </c>
      <c r="G953" s="1">
        <f>IFERROR(IF(Benchmark1[[#This Row],[Target Date Check]]="Pass",Benchmark1[[#This Row],[Target Return]]-Benchmark1[[#This Row],[Benchmark '#1 Return]],"-"),"-")</f>
        <v>1.4284476005299246E-2</v>
      </c>
      <c r="H953" s="1" t="str">
        <f>IF(COUNTIF(Comp1[Comparable '#1 Dates],Benchmark1[[#This Row],[Benchmark '#1 Dates]])=1,"Pass","Fail")</f>
        <v>Pass</v>
      </c>
      <c r="I953" s="6">
        <f>IF(Benchmark1[[#This Row],[Comparable '#1 Date Check]]="Pass",INDEX(Comp1[Comparable '#1 Price],MATCH(Benchmark1[[#This Row],[Benchmark '#1 Dates]],Comp1[Comparable '#1 Dates],0)),"-")</f>
        <v>11.91</v>
      </c>
      <c r="J953" s="22">
        <f>IF(Benchmark1[[#This Row],[Comparable '#1 Date Check]]="Pass",INDEX(Comp1[Comparable '#1 Return],MATCH(Benchmark1[[#This Row],[Benchmark '#1 Dates]],Comp1[Comparable '#1 Dates],0)),"-")</f>
        <v>2.5511587657408723E-2</v>
      </c>
      <c r="K953" s="1">
        <f>IFERROR(IF(Benchmark1[[#This Row],[Comparable '#1 Date Check]]="Pass",Benchmark1[[#This Row],[Comparable '#1 Return]]-Benchmark1[[#This Row],[Benchmark '#1 Return]],"-"),"-")</f>
        <v>1.4397873057097567E-2</v>
      </c>
      <c r="L953" s="1" t="str">
        <f>IF(COUNTIF(Comp2[Comparable '#2 Dates],Benchmark1[[#This Row],[Benchmark '#1 Dates]])=1,"Pass","Fail")</f>
        <v>Pass</v>
      </c>
      <c r="M953" s="6">
        <f>IF(Benchmark1[[#This Row],[Comparable '#2 Date Check]]="Pass",INDEX(Comp2[Comparable '#2 Price],MATCH(Benchmark1[[#This Row],[Benchmark '#1 Dates]],Comp2[Comparable '#2 Dates],0)),"-")</f>
        <v>29.32</v>
      </c>
      <c r="N953" s="22">
        <f>IF(Benchmark1[[#This Row],[Comparable '#2 Date Check]]="Pass",INDEX(Comp2[Comparable '#2 Return],MATCH(Benchmark1[[#This Row],[Benchmark '#1 Dates]],Comp2[Comparable '#2 Dates],0)),"-")</f>
        <v>4.7863339238111719E-3</v>
      </c>
      <c r="O953" s="1">
        <f>IFERROR(IF(Benchmark1[[#This Row],[Comparable '#2 Date Check]]="Pass",Benchmark1[[#This Row],[Comparable '#2 Return]]-Benchmark1[[#This Row],[Benchmark '#1 Return]],"-"),"-")</f>
        <v>-6.327380676499985E-3</v>
      </c>
      <c r="P953" s="1" t="str">
        <f>IF(COUNTIF(Comp3[Comparable '#3 Dates],Benchmark1[[#This Row],[Benchmark '#1 Dates]])=1,"Pass","Fail")</f>
        <v>Pass</v>
      </c>
      <c r="Q953" s="6">
        <f>IF(Benchmark1[[#This Row],[Comparable '#3 Date Check]]="Pass",INDEX(Comp3[Comparable '#3 Price],MATCH(Benchmark1[[#This Row],[Benchmark '#1 Dates]],Comp3[Comparable '#3 Dates],0)),"-")</f>
        <v>71.64</v>
      </c>
      <c r="R953" s="22">
        <f>IF(Benchmark1[[#This Row],[Comparable '#3 Date Check]]="Pass",INDEX(Comp3[Comparable '#3 Return],MATCH(Benchmark1[[#This Row],[Benchmark '#1 Dates]],Comp3[Comparable '#3 Dates],0)),"-")</f>
        <v>2.487409192665526E-2</v>
      </c>
      <c r="S953" s="1">
        <f>IFERROR(IF(Benchmark1[[#This Row],[Comparable '#3 Date Check]]="Pass",Benchmark1[[#This Row],[Comparable '#3 Return]]-Benchmark1[[#This Row],[Benchmark '#1 Return]],"-"),"-")</f>
        <v>1.3760377326344104E-2</v>
      </c>
    </row>
    <row r="954" spans="1:19">
      <c r="A954" s="103">
        <v>44665</v>
      </c>
      <c r="B954" s="104">
        <v>4392.5876624697485</v>
      </c>
      <c r="C954" s="4">
        <f t="shared" si="14"/>
        <v>-1.221941539136066E-2</v>
      </c>
      <c r="D954" s="1" t="str">
        <f>IF(COUNTIF(Target1[Target Dates],Benchmark1[[#This Row],[Benchmark '#1 Dates]])=1,"Pass","Fail")</f>
        <v>Pass</v>
      </c>
      <c r="E954" s="6">
        <f>IF(Benchmark1[[#This Row],[Target Date Check]]="Pass",INDEX(Target1[Target Price],MATCH(Benchmark1[[#This Row],[Benchmark '#1 Dates]],Target1[Target Dates],0)),"-")</f>
        <v>34.54</v>
      </c>
      <c r="F954" s="22">
        <f>IF(Benchmark1[[#This Row],[Target Date Check]]="Pass",INDEX(Target1[Target Return],MATCH(Benchmark1[[#This Row],[Benchmark '#1 Dates]],Target1[Target Dates],0)),"-")</f>
        <v>-1.5798116876591287E-2</v>
      </c>
      <c r="G954" s="1">
        <f>IFERROR(IF(Benchmark1[[#This Row],[Target Date Check]]="Pass",Benchmark1[[#This Row],[Target Return]]-Benchmark1[[#This Row],[Benchmark '#1 Return]],"-"),"-")</f>
        <v>-3.5787014852306266E-3</v>
      </c>
      <c r="H954" s="1" t="str">
        <f>IF(COUNTIF(Comp1[Comparable '#1 Dates],Benchmark1[[#This Row],[Benchmark '#1 Dates]])=1,"Pass","Fail")</f>
        <v>Pass</v>
      </c>
      <c r="I954" s="6">
        <f>IF(Benchmark1[[#This Row],[Comparable '#1 Date Check]]="Pass",INDEX(Comp1[Comparable '#1 Price],MATCH(Benchmark1[[#This Row],[Benchmark '#1 Dates]],Comp1[Comparable '#1 Dates],0)),"-")</f>
        <v>12.05</v>
      </c>
      <c r="J954" s="22">
        <f>IF(Benchmark1[[#This Row],[Comparable '#1 Date Check]]="Pass",INDEX(Comp1[Comparable '#1 Return],MATCH(Benchmark1[[#This Row],[Benchmark '#1 Dates]],Comp1[Comparable '#1 Dates],0)),"-")</f>
        <v>1.1686276569455263E-2</v>
      </c>
      <c r="K954" s="1">
        <f>IFERROR(IF(Benchmark1[[#This Row],[Comparable '#1 Date Check]]="Pass",Benchmark1[[#This Row],[Comparable '#1 Return]]-Benchmark1[[#This Row],[Benchmark '#1 Return]],"-"),"-")</f>
        <v>2.3905691960815923E-2</v>
      </c>
      <c r="L954" s="1" t="str">
        <f>IF(COUNTIF(Comp2[Comparable '#2 Dates],Benchmark1[[#This Row],[Benchmark '#1 Dates]])=1,"Pass","Fail")</f>
        <v>Pass</v>
      </c>
      <c r="M954" s="6">
        <f>IF(Benchmark1[[#This Row],[Comparable '#2 Date Check]]="Pass",INDEX(Comp2[Comparable '#2 Price],MATCH(Benchmark1[[#This Row],[Benchmark '#1 Dates]],Comp2[Comparable '#2 Dates],0)),"-")</f>
        <v>29.67</v>
      </c>
      <c r="N954" s="22">
        <f>IF(Benchmark1[[#This Row],[Comparable '#2 Date Check]]="Pass",INDEX(Comp2[Comparable '#2 Return],MATCH(Benchmark1[[#This Row],[Benchmark '#1 Dates]],Comp2[Comparable '#2 Dates],0)),"-")</f>
        <v>1.1866557284279848E-2</v>
      </c>
      <c r="O954" s="1">
        <f>IFERROR(IF(Benchmark1[[#This Row],[Comparable '#2 Date Check]]="Pass",Benchmark1[[#This Row],[Comparable '#2 Return]]-Benchmark1[[#This Row],[Benchmark '#1 Return]],"-"),"-")</f>
        <v>2.4085972675640506E-2</v>
      </c>
      <c r="P954" s="1" t="str">
        <f>IF(COUNTIF(Comp3[Comparable '#3 Dates],Benchmark1[[#This Row],[Benchmark '#1 Dates]])=1,"Pass","Fail")</f>
        <v>Pass</v>
      </c>
      <c r="Q954" s="6">
        <f>IF(Benchmark1[[#This Row],[Comparable '#3 Date Check]]="Pass",INDEX(Comp3[Comparable '#3 Price],MATCH(Benchmark1[[#This Row],[Benchmark '#1 Dates]],Comp3[Comparable '#3 Dates],0)),"-")</f>
        <v>72.3</v>
      </c>
      <c r="R954" s="22">
        <f>IF(Benchmark1[[#This Row],[Comparable '#3 Date Check]]="Pass",INDEX(Comp3[Comparable '#3 Return],MATCH(Benchmark1[[#This Row],[Benchmark '#1 Dates]],Comp3[Comparable '#3 Dates],0)),"-")</f>
        <v>9.1705519722078844E-3</v>
      </c>
      <c r="S954" s="1">
        <f>IFERROR(IF(Benchmark1[[#This Row],[Comparable '#3 Date Check]]="Pass",Benchmark1[[#This Row],[Comparable '#3 Return]]-Benchmark1[[#This Row],[Benchmark '#1 Return]],"-"),"-")</f>
        <v>2.1389967363568546E-2</v>
      </c>
    </row>
    <row r="955" spans="1:19">
      <c r="A955" s="103">
        <v>44669</v>
      </c>
      <c r="B955" s="104">
        <v>4391.6903723065407</v>
      </c>
      <c r="C955" s="4">
        <f t="shared" si="14"/>
        <v>-2.0429457327650086E-4</v>
      </c>
      <c r="D955" s="1" t="str">
        <f>IF(COUNTIF(Target1[Target Dates],Benchmark1[[#This Row],[Benchmark '#1 Dates]])=1,"Pass","Fail")</f>
        <v>Pass</v>
      </c>
      <c r="E955" s="6">
        <f>IF(Benchmark1[[#This Row],[Target Date Check]]="Pass",INDEX(Target1[Target Price],MATCH(Benchmark1[[#This Row],[Benchmark '#1 Dates]],Target1[Target Dates],0)),"-")</f>
        <v>34.86</v>
      </c>
      <c r="F955" s="22">
        <f>IF(Benchmark1[[#This Row],[Target Date Check]]="Pass",INDEX(Target1[Target Return],MATCH(Benchmark1[[#This Row],[Benchmark '#1 Dates]],Target1[Target Dates],0)),"-")</f>
        <v>9.2219673733424361E-3</v>
      </c>
      <c r="G955" s="1">
        <f>IFERROR(IF(Benchmark1[[#This Row],[Target Date Check]]="Pass",Benchmark1[[#This Row],[Target Return]]-Benchmark1[[#This Row],[Benchmark '#1 Return]],"-"),"-")</f>
        <v>9.4262619466189378E-3</v>
      </c>
      <c r="H955" s="1" t="str">
        <f>IF(COUNTIF(Comp1[Comparable '#1 Dates],Benchmark1[[#This Row],[Benchmark '#1 Dates]])=1,"Pass","Fail")</f>
        <v>Pass</v>
      </c>
      <c r="I955" s="6">
        <f>IF(Benchmark1[[#This Row],[Comparable '#1 Date Check]]="Pass",INDEX(Comp1[Comparable '#1 Price],MATCH(Benchmark1[[#This Row],[Benchmark '#1 Dates]],Comp1[Comparable '#1 Dates],0)),"-")</f>
        <v>12.06</v>
      </c>
      <c r="J955" s="22">
        <f>IF(Benchmark1[[#This Row],[Comparable '#1 Date Check]]="Pass",INDEX(Comp1[Comparable '#1 Return],MATCH(Benchmark1[[#This Row],[Benchmark '#1 Dates]],Comp1[Comparable '#1 Dates],0)),"-")</f>
        <v>8.2953136237537883E-4</v>
      </c>
      <c r="K955" s="1">
        <f>IFERROR(IF(Benchmark1[[#This Row],[Comparable '#1 Date Check]]="Pass",Benchmark1[[#This Row],[Comparable '#1 Return]]-Benchmark1[[#This Row],[Benchmark '#1 Return]],"-"),"-")</f>
        <v>1.0338259356518797E-3</v>
      </c>
      <c r="L955" s="1" t="str">
        <f>IF(COUNTIF(Comp2[Comparable '#2 Dates],Benchmark1[[#This Row],[Benchmark '#1 Dates]])=1,"Pass","Fail")</f>
        <v>Pass</v>
      </c>
      <c r="M955" s="6">
        <f>IF(Benchmark1[[#This Row],[Comparable '#2 Date Check]]="Pass",INDEX(Comp2[Comparable '#2 Price],MATCH(Benchmark1[[#This Row],[Benchmark '#1 Dates]],Comp2[Comparable '#2 Dates],0)),"-")</f>
        <v>30.25</v>
      </c>
      <c r="N955" s="22">
        <f>IF(Benchmark1[[#This Row],[Comparable '#2 Date Check]]="Pass",INDEX(Comp2[Comparable '#2 Return],MATCH(Benchmark1[[#This Row],[Benchmark '#1 Dates]],Comp2[Comparable '#2 Dates],0)),"-")</f>
        <v>1.9359750174119915E-2</v>
      </c>
      <c r="O955" s="1">
        <f>IFERROR(IF(Benchmark1[[#This Row],[Comparable '#2 Date Check]]="Pass",Benchmark1[[#This Row],[Comparable '#2 Return]]-Benchmark1[[#This Row],[Benchmark '#1 Return]],"-"),"-")</f>
        <v>1.9564044747396415E-2</v>
      </c>
      <c r="P955" s="1" t="str">
        <f>IF(COUNTIF(Comp3[Comparable '#3 Dates],Benchmark1[[#This Row],[Benchmark '#1 Dates]])=1,"Pass","Fail")</f>
        <v>Pass</v>
      </c>
      <c r="Q955" s="6">
        <f>IF(Benchmark1[[#This Row],[Comparable '#3 Date Check]]="Pass",INDEX(Comp3[Comparable '#3 Price],MATCH(Benchmark1[[#This Row],[Benchmark '#1 Dates]],Comp3[Comparable '#3 Dates],0)),"-")</f>
        <v>71.78</v>
      </c>
      <c r="R955" s="22">
        <f>IF(Benchmark1[[#This Row],[Comparable '#3 Date Check]]="Pass",INDEX(Comp3[Comparable '#3 Return],MATCH(Benchmark1[[#This Row],[Benchmark '#1 Dates]],Comp3[Comparable '#3 Dates],0)),"-")</f>
        <v>-7.2182434452577691E-3</v>
      </c>
      <c r="S955" s="1">
        <f>IFERROR(IF(Benchmark1[[#This Row],[Comparable '#3 Date Check]]="Pass",Benchmark1[[#This Row],[Comparable '#3 Return]]-Benchmark1[[#This Row],[Benchmark '#1 Return]],"-"),"-")</f>
        <v>-7.0139488719812683E-3</v>
      </c>
    </row>
    <row r="956" spans="1:19">
      <c r="A956" s="103">
        <v>44670</v>
      </c>
      <c r="B956" s="104">
        <v>4462.2100793619193</v>
      </c>
      <c r="C956" s="4">
        <f t="shared" si="14"/>
        <v>1.5929973171607839E-2</v>
      </c>
      <c r="D956" s="1" t="str">
        <f>IF(COUNTIF(Target1[Target Dates],Benchmark1[[#This Row],[Benchmark '#1 Dates]])=1,"Pass","Fail")</f>
        <v>Pass</v>
      </c>
      <c r="E956" s="6">
        <f>IF(Benchmark1[[#This Row],[Target Date Check]]="Pass",INDEX(Target1[Target Price],MATCH(Benchmark1[[#This Row],[Benchmark '#1 Dates]],Target1[Target Dates],0)),"-")</f>
        <v>35.409999999999997</v>
      </c>
      <c r="F956" s="22">
        <f>IF(Benchmark1[[#This Row],[Target Date Check]]="Pass",INDEX(Target1[Target Return],MATCH(Benchmark1[[#This Row],[Benchmark '#1 Dates]],Target1[Target Dates],0)),"-")</f>
        <v>1.5654226031937321E-2</v>
      </c>
      <c r="G956" s="1">
        <f>IFERROR(IF(Benchmark1[[#This Row],[Target Date Check]]="Pass",Benchmark1[[#This Row],[Target Return]]-Benchmark1[[#This Row],[Benchmark '#1 Return]],"-"),"-")</f>
        <v>-2.75747139670518E-4</v>
      </c>
      <c r="H956" s="1" t="str">
        <f>IF(COUNTIF(Comp1[Comparable '#1 Dates],Benchmark1[[#This Row],[Benchmark '#1 Dates]])=1,"Pass","Fail")</f>
        <v>Pass</v>
      </c>
      <c r="I956" s="6">
        <f>IF(Benchmark1[[#This Row],[Comparable '#1 Date Check]]="Pass",INDEX(Comp1[Comparable '#1 Price],MATCH(Benchmark1[[#This Row],[Benchmark '#1 Dates]],Comp1[Comparable '#1 Dates],0)),"-")</f>
        <v>11.56</v>
      </c>
      <c r="J956" s="22">
        <f>IF(Benchmark1[[#This Row],[Comparable '#1 Date Check]]="Pass",INDEX(Comp1[Comparable '#1 Return],MATCH(Benchmark1[[#This Row],[Benchmark '#1 Dates]],Comp1[Comparable '#1 Dates],0)),"-")</f>
        <v>-4.2343328054808005E-2</v>
      </c>
      <c r="K956" s="1">
        <f>IFERROR(IF(Benchmark1[[#This Row],[Comparable '#1 Date Check]]="Pass",Benchmark1[[#This Row],[Comparable '#1 Return]]-Benchmark1[[#This Row],[Benchmark '#1 Return]],"-"),"-")</f>
        <v>-5.8273301226415844E-2</v>
      </c>
      <c r="L956" s="1" t="str">
        <f>IF(COUNTIF(Comp2[Comparable '#2 Dates],Benchmark1[[#This Row],[Benchmark '#1 Dates]])=1,"Pass","Fail")</f>
        <v>Pass</v>
      </c>
      <c r="M956" s="6">
        <f>IF(Benchmark1[[#This Row],[Comparable '#2 Date Check]]="Pass",INDEX(Comp2[Comparable '#2 Price],MATCH(Benchmark1[[#This Row],[Benchmark '#1 Dates]],Comp2[Comparable '#2 Dates],0)),"-")</f>
        <v>30.62</v>
      </c>
      <c r="N956" s="22">
        <f>IF(Benchmark1[[#This Row],[Comparable '#2 Date Check]]="Pass",INDEX(Comp2[Comparable '#2 Return],MATCH(Benchmark1[[#This Row],[Benchmark '#1 Dates]],Comp2[Comparable '#2 Dates],0)),"-")</f>
        <v>1.2157205752687344E-2</v>
      </c>
      <c r="O956" s="1">
        <f>IFERROR(IF(Benchmark1[[#This Row],[Comparable '#2 Date Check]]="Pass",Benchmark1[[#This Row],[Comparable '#2 Return]]-Benchmark1[[#This Row],[Benchmark '#1 Return]],"-"),"-")</f>
        <v>-3.7727674189204953E-3</v>
      </c>
      <c r="P956" s="1" t="str">
        <f>IF(COUNTIF(Comp3[Comparable '#3 Dates],Benchmark1[[#This Row],[Benchmark '#1 Dates]])=1,"Pass","Fail")</f>
        <v>Pass</v>
      </c>
      <c r="Q956" s="6">
        <f>IF(Benchmark1[[#This Row],[Comparable '#3 Date Check]]="Pass",INDEX(Comp3[Comparable '#3 Price],MATCH(Benchmark1[[#This Row],[Benchmark '#1 Dates]],Comp3[Comparable '#3 Dates],0)),"-")</f>
        <v>72.180000000000007</v>
      </c>
      <c r="R956" s="22">
        <f>IF(Benchmark1[[#This Row],[Comparable '#3 Date Check]]="Pass",INDEX(Comp3[Comparable '#3 Return],MATCH(Benchmark1[[#This Row],[Benchmark '#1 Dates]],Comp3[Comparable '#3 Dates],0)),"-")</f>
        <v>5.5571134951814434E-3</v>
      </c>
      <c r="S956" s="1">
        <f>IFERROR(IF(Benchmark1[[#This Row],[Comparable '#3 Date Check]]="Pass",Benchmark1[[#This Row],[Comparable '#3 Return]]-Benchmark1[[#This Row],[Benchmark '#1 Return]],"-"),"-")</f>
        <v>-1.0372859676426396E-2</v>
      </c>
    </row>
    <row r="957" spans="1:19">
      <c r="A957" s="103">
        <v>44671</v>
      </c>
      <c r="B957" s="104">
        <v>4459.4503345391304</v>
      </c>
      <c r="C957" s="4">
        <f t="shared" si="14"/>
        <v>-6.1866172501063253E-4</v>
      </c>
      <c r="D957" s="1" t="str">
        <f>IF(COUNTIF(Target1[Target Dates],Benchmark1[[#This Row],[Benchmark '#1 Dates]])=1,"Pass","Fail")</f>
        <v>Pass</v>
      </c>
      <c r="E957" s="6">
        <f>IF(Benchmark1[[#This Row],[Target Date Check]]="Pass",INDEX(Target1[Target Price],MATCH(Benchmark1[[#This Row],[Benchmark '#1 Dates]],Target1[Target Dates],0)),"-")</f>
        <v>40.6</v>
      </c>
      <c r="F957" s="22">
        <f>IF(Benchmark1[[#This Row],[Target Date Check]]="Pass",INDEX(Target1[Target Return],MATCH(Benchmark1[[#This Row],[Benchmark '#1 Dates]],Target1[Target Dates],0)),"-")</f>
        <v>0.13677380048387464</v>
      </c>
      <c r="G957" s="1">
        <f>IFERROR(IF(Benchmark1[[#This Row],[Target Date Check]]="Pass",Benchmark1[[#This Row],[Target Return]]-Benchmark1[[#This Row],[Benchmark '#1 Return]],"-"),"-")</f>
        <v>0.13739246220888526</v>
      </c>
      <c r="H957" s="1" t="str">
        <f>IF(COUNTIF(Comp1[Comparable '#1 Dates],Benchmark1[[#This Row],[Benchmark '#1 Dates]])=1,"Pass","Fail")</f>
        <v>Pass</v>
      </c>
      <c r="I957" s="6">
        <f>IF(Benchmark1[[#This Row],[Comparable '#1 Date Check]]="Pass",INDEX(Comp1[Comparable '#1 Price],MATCH(Benchmark1[[#This Row],[Benchmark '#1 Dates]],Comp1[Comparable '#1 Dates],0)),"-")</f>
        <v>11.72</v>
      </c>
      <c r="J957" s="22">
        <f>IF(Benchmark1[[#This Row],[Comparable '#1 Date Check]]="Pass",INDEX(Comp1[Comparable '#1 Return],MATCH(Benchmark1[[#This Row],[Benchmark '#1 Dates]],Comp1[Comparable '#1 Dates],0)),"-")</f>
        <v>1.3745920904635136E-2</v>
      </c>
      <c r="K957" s="1">
        <f>IFERROR(IF(Benchmark1[[#This Row],[Comparable '#1 Date Check]]="Pass",Benchmark1[[#This Row],[Comparable '#1 Return]]-Benchmark1[[#This Row],[Benchmark '#1 Return]],"-"),"-")</f>
        <v>1.4364582629645769E-2</v>
      </c>
      <c r="L957" s="1" t="str">
        <f>IF(COUNTIF(Comp2[Comparable '#2 Dates],Benchmark1[[#This Row],[Benchmark '#1 Dates]])=1,"Pass","Fail")</f>
        <v>Pass</v>
      </c>
      <c r="M957" s="6">
        <f>IF(Benchmark1[[#This Row],[Comparable '#2 Date Check]]="Pass",INDEX(Comp2[Comparable '#2 Price],MATCH(Benchmark1[[#This Row],[Benchmark '#1 Dates]],Comp2[Comparable '#2 Dates],0)),"-")</f>
        <v>30.89</v>
      </c>
      <c r="N957" s="22">
        <f>IF(Benchmark1[[#This Row],[Comparable '#2 Date Check]]="Pass",INDEX(Comp2[Comparable '#2 Return],MATCH(Benchmark1[[#This Row],[Benchmark '#1 Dates]],Comp2[Comparable '#2 Dates],0)),"-")</f>
        <v>8.7791167009525772E-3</v>
      </c>
      <c r="O957" s="1">
        <f>IFERROR(IF(Benchmark1[[#This Row],[Comparable '#2 Date Check]]="Pass",Benchmark1[[#This Row],[Comparable '#2 Return]]-Benchmark1[[#This Row],[Benchmark '#1 Return]],"-"),"-")</f>
        <v>9.3977784259632099E-3</v>
      </c>
      <c r="P957" s="1" t="str">
        <f>IF(COUNTIF(Comp3[Comparable '#3 Dates],Benchmark1[[#This Row],[Benchmark '#1 Dates]])=1,"Pass","Fail")</f>
        <v>Pass</v>
      </c>
      <c r="Q957" s="6">
        <f>IF(Benchmark1[[#This Row],[Comparable '#3 Date Check]]="Pass",INDEX(Comp3[Comparable '#3 Price],MATCH(Benchmark1[[#This Row],[Benchmark '#1 Dates]],Comp3[Comparable '#3 Dates],0)),"-")</f>
        <v>72.459999999999994</v>
      </c>
      <c r="R957" s="22">
        <f>IF(Benchmark1[[#This Row],[Comparable '#3 Date Check]]="Pass",INDEX(Comp3[Comparable '#3 Return],MATCH(Benchmark1[[#This Row],[Benchmark '#1 Dates]],Comp3[Comparable '#3 Dates],0)),"-")</f>
        <v>3.8716862522883981E-3</v>
      </c>
      <c r="S957" s="1">
        <f>IFERROR(IF(Benchmark1[[#This Row],[Comparable '#3 Date Check]]="Pass",Benchmark1[[#This Row],[Comparable '#3 Return]]-Benchmark1[[#This Row],[Benchmark '#1 Return]],"-"),"-")</f>
        <v>4.4903479772990303E-3</v>
      </c>
    </row>
    <row r="958" spans="1:19">
      <c r="A958" s="103">
        <v>44672</v>
      </c>
      <c r="B958" s="104">
        <v>4393.6634751182855</v>
      </c>
      <c r="C958" s="4">
        <f t="shared" si="14"/>
        <v>-1.486213139552889E-2</v>
      </c>
      <c r="D958" s="1" t="str">
        <f>IF(COUNTIF(Target1[Target Dates],Benchmark1[[#This Row],[Benchmark '#1 Dates]])=1,"Pass","Fail")</f>
        <v>Pass</v>
      </c>
      <c r="E958" s="6">
        <f>IF(Benchmark1[[#This Row],[Target Date Check]]="Pass",INDEX(Target1[Target Price],MATCH(Benchmark1[[#This Row],[Benchmark '#1 Dates]],Target1[Target Dates],0)),"-")</f>
        <v>37.21</v>
      </c>
      <c r="F958" s="22">
        <f>IF(Benchmark1[[#This Row],[Target Date Check]]="Pass",INDEX(Target1[Target Return],MATCH(Benchmark1[[#This Row],[Benchmark '#1 Dates]],Target1[Target Dates],0)),"-")</f>
        <v>-8.7190524249155882E-2</v>
      </c>
      <c r="G958" s="1">
        <f>IFERROR(IF(Benchmark1[[#This Row],[Target Date Check]]="Pass",Benchmark1[[#This Row],[Target Return]]-Benchmark1[[#This Row],[Benchmark '#1 Return]],"-"),"-")</f>
        <v>-7.2328392853626994E-2</v>
      </c>
      <c r="H958" s="1" t="str">
        <f>IF(COUNTIF(Comp1[Comparable '#1 Dates],Benchmark1[[#This Row],[Benchmark '#1 Dates]])=1,"Pass","Fail")</f>
        <v>Pass</v>
      </c>
      <c r="I958" s="6">
        <f>IF(Benchmark1[[#This Row],[Comparable '#1 Date Check]]="Pass",INDEX(Comp1[Comparable '#1 Price],MATCH(Benchmark1[[#This Row],[Benchmark '#1 Dates]],Comp1[Comparable '#1 Dates],0)),"-")</f>
        <v>11.6</v>
      </c>
      <c r="J958" s="22">
        <f>IF(Benchmark1[[#This Row],[Comparable '#1 Date Check]]="Pass",INDEX(Comp1[Comparable '#1 Return],MATCH(Benchmark1[[#This Row],[Benchmark '#1 Dates]],Comp1[Comparable '#1 Dates],0)),"-")</f>
        <v>-1.0291686036547636E-2</v>
      </c>
      <c r="K958" s="1">
        <f>IFERROR(IF(Benchmark1[[#This Row],[Comparable '#1 Date Check]]="Pass",Benchmark1[[#This Row],[Comparable '#1 Return]]-Benchmark1[[#This Row],[Benchmark '#1 Return]],"-"),"-")</f>
        <v>4.5704453589812538E-3</v>
      </c>
      <c r="L958" s="1" t="str">
        <f>IF(COUNTIF(Comp2[Comparable '#2 Dates],Benchmark1[[#This Row],[Benchmark '#1 Dates]])=1,"Pass","Fail")</f>
        <v>Pass</v>
      </c>
      <c r="M958" s="6">
        <f>IF(Benchmark1[[#This Row],[Comparable '#2 Date Check]]="Pass",INDEX(Comp2[Comparable '#2 Price],MATCH(Benchmark1[[#This Row],[Benchmark '#1 Dates]],Comp2[Comparable '#2 Dates],0)),"-")</f>
        <v>30.25</v>
      </c>
      <c r="N958" s="22">
        <f>IF(Benchmark1[[#This Row],[Comparable '#2 Date Check]]="Pass",INDEX(Comp2[Comparable '#2 Return],MATCH(Benchmark1[[#This Row],[Benchmark '#1 Dates]],Comp2[Comparable '#2 Dates],0)),"-")</f>
        <v>-2.0936322453639866E-2</v>
      </c>
      <c r="O958" s="1">
        <f>IFERROR(IF(Benchmark1[[#This Row],[Comparable '#2 Date Check]]="Pass",Benchmark1[[#This Row],[Comparable '#2 Return]]-Benchmark1[[#This Row],[Benchmark '#1 Return]],"-"),"-")</f>
        <v>-6.0741910581109757E-3</v>
      </c>
      <c r="P958" s="1" t="str">
        <f>IF(COUNTIF(Comp3[Comparable '#3 Dates],Benchmark1[[#This Row],[Benchmark '#1 Dates]])=1,"Pass","Fail")</f>
        <v>Pass</v>
      </c>
      <c r="Q958" s="6">
        <f>IF(Benchmark1[[#This Row],[Comparable '#3 Date Check]]="Pass",INDEX(Comp3[Comparable '#3 Price],MATCH(Benchmark1[[#This Row],[Benchmark '#1 Dates]],Comp3[Comparable '#3 Dates],0)),"-")</f>
        <v>71.06</v>
      </c>
      <c r="R958" s="22">
        <f>IF(Benchmark1[[#This Row],[Comparable '#3 Date Check]]="Pass",INDEX(Comp3[Comparable '#3 Return],MATCH(Benchmark1[[#This Row],[Benchmark '#1 Dates]],Comp3[Comparable '#3 Dates],0)),"-")</f>
        <v>-1.9510094874049998E-2</v>
      </c>
      <c r="S958" s="1">
        <f>IFERROR(IF(Benchmark1[[#This Row],[Comparable '#3 Date Check]]="Pass",Benchmark1[[#This Row],[Comparable '#3 Return]]-Benchmark1[[#This Row],[Benchmark '#1 Return]],"-"),"-")</f>
        <v>-4.6479634785211079E-3</v>
      </c>
    </row>
    <row r="959" spans="1:19">
      <c r="A959" s="103">
        <v>44673</v>
      </c>
      <c r="B959" s="104">
        <v>4271.775619307291</v>
      </c>
      <c r="C959" s="4">
        <f t="shared" si="14"/>
        <v>-2.8133806956386231E-2</v>
      </c>
      <c r="D959" s="1" t="str">
        <f>IF(COUNTIF(Target1[Target Dates],Benchmark1[[#This Row],[Benchmark '#1 Dates]])=1,"Pass","Fail")</f>
        <v>Pass</v>
      </c>
      <c r="E959" s="6">
        <f>IF(Benchmark1[[#This Row],[Target Date Check]]="Pass",INDEX(Target1[Target Price],MATCH(Benchmark1[[#This Row],[Benchmark '#1 Dates]],Target1[Target Dates],0)),"-")</f>
        <v>36.85</v>
      </c>
      <c r="F959" s="22">
        <f>IF(Benchmark1[[#This Row],[Target Date Check]]="Pass",INDEX(Target1[Target Return],MATCH(Benchmark1[[#This Row],[Benchmark '#1 Dates]],Target1[Target Dates],0)),"-")</f>
        <v>-9.7219237231854615E-3</v>
      </c>
      <c r="G959" s="1">
        <f>IFERROR(IF(Benchmark1[[#This Row],[Target Date Check]]="Pass",Benchmark1[[#This Row],[Target Return]]-Benchmark1[[#This Row],[Benchmark '#1 Return]],"-"),"-")</f>
        <v>1.8411883233200768E-2</v>
      </c>
      <c r="H959" s="1" t="str">
        <f>IF(COUNTIF(Comp1[Comparable '#1 Dates],Benchmark1[[#This Row],[Benchmark '#1 Dates]])=1,"Pass","Fail")</f>
        <v>Pass</v>
      </c>
      <c r="I959" s="6">
        <f>IF(Benchmark1[[#This Row],[Comparable '#1 Date Check]]="Pass",INDEX(Comp1[Comparable '#1 Price],MATCH(Benchmark1[[#This Row],[Benchmark '#1 Dates]],Comp1[Comparable '#1 Dates],0)),"-")</f>
        <v>11.35</v>
      </c>
      <c r="J959" s="22">
        <f>IF(Benchmark1[[#This Row],[Comparable '#1 Date Check]]="Pass",INDEX(Comp1[Comparable '#1 Return],MATCH(Benchmark1[[#This Row],[Benchmark '#1 Dates]],Comp1[Comparable '#1 Dates],0)),"-")</f>
        <v>-2.1787354184907296E-2</v>
      </c>
      <c r="K959" s="1">
        <f>IFERROR(IF(Benchmark1[[#This Row],[Comparable '#1 Date Check]]="Pass",Benchmark1[[#This Row],[Comparable '#1 Return]]-Benchmark1[[#This Row],[Benchmark '#1 Return]],"-"),"-")</f>
        <v>6.3464527714789352E-3</v>
      </c>
      <c r="L959" s="1" t="str">
        <f>IF(COUNTIF(Comp2[Comparable '#2 Dates],Benchmark1[[#This Row],[Benchmark '#1 Dates]])=1,"Pass","Fail")</f>
        <v>Pass</v>
      </c>
      <c r="M959" s="6">
        <f>IF(Benchmark1[[#This Row],[Comparable '#2 Date Check]]="Pass",INDEX(Comp2[Comparable '#2 Price],MATCH(Benchmark1[[#This Row],[Benchmark '#1 Dates]],Comp2[Comparable '#2 Dates],0)),"-")</f>
        <v>29.88</v>
      </c>
      <c r="N959" s="22">
        <f>IF(Benchmark1[[#This Row],[Comparable '#2 Date Check]]="Pass",INDEX(Comp2[Comparable '#2 Return],MATCH(Benchmark1[[#This Row],[Benchmark '#1 Dates]],Comp2[Comparable '#2 Dates],0)),"-")</f>
        <v>-1.2306824212233921E-2</v>
      </c>
      <c r="O959" s="1">
        <f>IFERROR(IF(Benchmark1[[#This Row],[Comparable '#2 Date Check]]="Pass",Benchmark1[[#This Row],[Comparable '#2 Return]]-Benchmark1[[#This Row],[Benchmark '#1 Return]],"-"),"-")</f>
        <v>1.5826982744152313E-2</v>
      </c>
      <c r="P959" s="1" t="str">
        <f>IF(COUNTIF(Comp3[Comparable '#3 Dates],Benchmark1[[#This Row],[Benchmark '#1 Dates]])=1,"Pass","Fail")</f>
        <v>Pass</v>
      </c>
      <c r="Q959" s="6">
        <f>IF(Benchmark1[[#This Row],[Comparable '#3 Date Check]]="Pass",INDEX(Comp3[Comparable '#3 Price],MATCH(Benchmark1[[#This Row],[Benchmark '#1 Dates]],Comp3[Comparable '#3 Dates],0)),"-")</f>
        <v>69.849999999999994</v>
      </c>
      <c r="R959" s="22">
        <f>IF(Benchmark1[[#This Row],[Comparable '#3 Date Check]]="Pass",INDEX(Comp3[Comparable '#3 Return],MATCH(Benchmark1[[#This Row],[Benchmark '#1 Dates]],Comp3[Comparable '#3 Dates],0)),"-")</f>
        <v>-1.7174504889910288E-2</v>
      </c>
      <c r="S959" s="1">
        <f>IFERROR(IF(Benchmark1[[#This Row],[Comparable '#3 Date Check]]="Pass",Benchmark1[[#This Row],[Comparable '#3 Return]]-Benchmark1[[#This Row],[Benchmark '#1 Return]],"-"),"-")</f>
        <v>1.0959302066475943E-2</v>
      </c>
    </row>
    <row r="960" spans="1:19">
      <c r="A960" s="103">
        <v>44676</v>
      </c>
      <c r="B960" s="104">
        <v>4296.1164654669747</v>
      </c>
      <c r="C960" s="4">
        <f t="shared" si="14"/>
        <v>5.681890342117123E-3</v>
      </c>
      <c r="D960" s="1" t="str">
        <f>IF(COUNTIF(Target1[Target Dates],Benchmark1[[#This Row],[Benchmark '#1 Dates]])=1,"Pass","Fail")</f>
        <v>Pass</v>
      </c>
      <c r="E960" s="6">
        <f>IF(Benchmark1[[#This Row],[Target Date Check]]="Pass",INDEX(Target1[Target Price],MATCH(Benchmark1[[#This Row],[Benchmark '#1 Dates]],Target1[Target Dates],0)),"-")</f>
        <v>37.1</v>
      </c>
      <c r="F960" s="22">
        <f>IF(Benchmark1[[#This Row],[Target Date Check]]="Pass",INDEX(Target1[Target Return],MATCH(Benchmark1[[#This Row],[Benchmark '#1 Dates]],Target1[Target Dates],0)),"-")</f>
        <v>6.7613509780439247E-3</v>
      </c>
      <c r="G960" s="1">
        <f>IFERROR(IF(Benchmark1[[#This Row],[Target Date Check]]="Pass",Benchmark1[[#This Row],[Target Return]]-Benchmark1[[#This Row],[Benchmark '#1 Return]],"-"),"-")</f>
        <v>1.0794606359268016E-3</v>
      </c>
      <c r="H960" s="1" t="str">
        <f>IF(COUNTIF(Comp1[Comparable '#1 Dates],Benchmark1[[#This Row],[Benchmark '#1 Dates]])=1,"Pass","Fail")</f>
        <v>Pass</v>
      </c>
      <c r="I960" s="6">
        <f>IF(Benchmark1[[#This Row],[Comparable '#1 Date Check]]="Pass",INDEX(Comp1[Comparable '#1 Price],MATCH(Benchmark1[[#This Row],[Benchmark '#1 Dates]],Comp1[Comparable '#1 Dates],0)),"-")</f>
        <v>11.64</v>
      </c>
      <c r="J960" s="22">
        <f>IF(Benchmark1[[#This Row],[Comparable '#1 Date Check]]="Pass",INDEX(Comp1[Comparable '#1 Return],MATCH(Benchmark1[[#This Row],[Benchmark '#1 Dates]],Comp1[Comparable '#1 Dates],0)),"-")</f>
        <v>2.522969837588019E-2</v>
      </c>
      <c r="K960" s="1">
        <f>IFERROR(IF(Benchmark1[[#This Row],[Comparable '#1 Date Check]]="Pass",Benchmark1[[#This Row],[Comparable '#1 Return]]-Benchmark1[[#This Row],[Benchmark '#1 Return]],"-"),"-")</f>
        <v>1.9547808033763069E-2</v>
      </c>
      <c r="L960" s="1" t="str">
        <f>IF(COUNTIF(Comp2[Comparable '#2 Dates],Benchmark1[[#This Row],[Benchmark '#1 Dates]])=1,"Pass","Fail")</f>
        <v>Pass</v>
      </c>
      <c r="M960" s="6">
        <f>IF(Benchmark1[[#This Row],[Comparable '#2 Date Check]]="Pass",INDEX(Comp2[Comparable '#2 Price],MATCH(Benchmark1[[#This Row],[Benchmark '#1 Dates]],Comp2[Comparable '#2 Dates],0)),"-")</f>
        <v>30.07</v>
      </c>
      <c r="N960" s="22">
        <f>IF(Benchmark1[[#This Row],[Comparable '#2 Date Check]]="Pass",INDEX(Comp2[Comparable '#2 Return],MATCH(Benchmark1[[#This Row],[Benchmark '#1 Dates]],Comp2[Comparable '#2 Dates],0)),"-")</f>
        <v>6.3386367358212216E-3</v>
      </c>
      <c r="O960" s="1">
        <f>IFERROR(IF(Benchmark1[[#This Row],[Comparable '#2 Date Check]]="Pass",Benchmark1[[#This Row],[Comparable '#2 Return]]-Benchmark1[[#This Row],[Benchmark '#1 Return]],"-"),"-")</f>
        <v>6.5674639370409855E-4</v>
      </c>
      <c r="P960" s="1" t="str">
        <f>IF(COUNTIF(Comp3[Comparable '#3 Dates],Benchmark1[[#This Row],[Benchmark '#1 Dates]])=1,"Pass","Fail")</f>
        <v>Pass</v>
      </c>
      <c r="Q960" s="6">
        <f>IF(Benchmark1[[#This Row],[Comparable '#3 Date Check]]="Pass",INDEX(Comp3[Comparable '#3 Price],MATCH(Benchmark1[[#This Row],[Benchmark '#1 Dates]],Comp3[Comparable '#3 Dates],0)),"-")</f>
        <v>71.06</v>
      </c>
      <c r="R960" s="22">
        <f>IF(Benchmark1[[#This Row],[Comparable '#3 Date Check]]="Pass",INDEX(Comp3[Comparable '#3 Return],MATCH(Benchmark1[[#This Row],[Benchmark '#1 Dates]],Comp3[Comparable '#3 Dates],0)),"-")</f>
        <v>1.7174504889910215E-2</v>
      </c>
      <c r="S960" s="1">
        <f>IFERROR(IF(Benchmark1[[#This Row],[Comparable '#3 Date Check]]="Pass",Benchmark1[[#This Row],[Comparable '#3 Return]]-Benchmark1[[#This Row],[Benchmark '#1 Return]],"-"),"-")</f>
        <v>1.1492614547793092E-2</v>
      </c>
    </row>
    <row r="961" spans="1:19">
      <c r="A961" s="103">
        <v>44677</v>
      </c>
      <c r="B961" s="104">
        <v>4175.1972755534534</v>
      </c>
      <c r="C961" s="4">
        <f t="shared" si="14"/>
        <v>-2.8549858234143792E-2</v>
      </c>
      <c r="D961" s="1" t="str">
        <f>IF(COUNTIF(Target1[Target Dates],Benchmark1[[#This Row],[Benchmark '#1 Dates]])=1,"Pass","Fail")</f>
        <v>Pass</v>
      </c>
      <c r="E961" s="6">
        <f>IF(Benchmark1[[#This Row],[Target Date Check]]="Pass",INDEX(Target1[Target Price],MATCH(Benchmark1[[#This Row],[Benchmark '#1 Dates]],Target1[Target Dates],0)),"-")</f>
        <v>36.9</v>
      </c>
      <c r="F961" s="22">
        <f>IF(Benchmark1[[#This Row],[Target Date Check]]="Pass",INDEX(Target1[Target Return],MATCH(Benchmark1[[#This Row],[Benchmark '#1 Dates]],Target1[Target Dates],0)),"-")</f>
        <v>-5.4054185669080469E-3</v>
      </c>
      <c r="G961" s="1">
        <f>IFERROR(IF(Benchmark1[[#This Row],[Target Date Check]]="Pass",Benchmark1[[#This Row],[Target Return]]-Benchmark1[[#This Row],[Benchmark '#1 Return]],"-"),"-")</f>
        <v>2.3144439667235745E-2</v>
      </c>
      <c r="H961" s="1" t="str">
        <f>IF(COUNTIF(Comp1[Comparable '#1 Dates],Benchmark1[[#This Row],[Benchmark '#1 Dates]])=1,"Pass","Fail")</f>
        <v>Pass</v>
      </c>
      <c r="I961" s="6">
        <f>IF(Benchmark1[[#This Row],[Comparable '#1 Date Check]]="Pass",INDEX(Comp1[Comparable '#1 Price],MATCH(Benchmark1[[#This Row],[Benchmark '#1 Dates]],Comp1[Comparable '#1 Dates],0)),"-")</f>
        <v>11.63</v>
      </c>
      <c r="J961" s="22">
        <f>IF(Benchmark1[[#This Row],[Comparable '#1 Date Check]]="Pass",INDEX(Comp1[Comparable '#1 Return],MATCH(Benchmark1[[#This Row],[Benchmark '#1 Dates]],Comp1[Comparable '#1 Dates],0)),"-")</f>
        <v>-8.5947577271870451E-4</v>
      </c>
      <c r="K961" s="1">
        <f>IFERROR(IF(Benchmark1[[#This Row],[Comparable '#1 Date Check]]="Pass",Benchmark1[[#This Row],[Comparable '#1 Return]]-Benchmark1[[#This Row],[Benchmark '#1 Return]],"-"),"-")</f>
        <v>2.7690382461425089E-2</v>
      </c>
      <c r="L961" s="1" t="str">
        <f>IF(COUNTIF(Comp2[Comparable '#2 Dates],Benchmark1[[#This Row],[Benchmark '#1 Dates]])=1,"Pass","Fail")</f>
        <v>Pass</v>
      </c>
      <c r="M961" s="6">
        <f>IF(Benchmark1[[#This Row],[Comparable '#2 Date Check]]="Pass",INDEX(Comp2[Comparable '#2 Price],MATCH(Benchmark1[[#This Row],[Benchmark '#1 Dates]],Comp2[Comparable '#2 Dates],0)),"-")</f>
        <v>30.12</v>
      </c>
      <c r="N961" s="22">
        <f>IF(Benchmark1[[#This Row],[Comparable '#2 Date Check]]="Pass",INDEX(Comp2[Comparable '#2 Return],MATCH(Benchmark1[[#This Row],[Benchmark '#1 Dates]],Comp2[Comparable '#2 Dates],0)),"-")</f>
        <v>1.6614059312552297E-3</v>
      </c>
      <c r="O961" s="1">
        <f>IFERROR(IF(Benchmark1[[#This Row],[Comparable '#2 Date Check]]="Pass",Benchmark1[[#This Row],[Comparable '#2 Return]]-Benchmark1[[#This Row],[Benchmark '#1 Return]],"-"),"-")</f>
        <v>3.0211264165399022E-2</v>
      </c>
      <c r="P961" s="1" t="str">
        <f>IF(COUNTIF(Comp3[Comparable '#3 Dates],Benchmark1[[#This Row],[Benchmark '#1 Dates]])=1,"Pass","Fail")</f>
        <v>Pass</v>
      </c>
      <c r="Q961" s="6">
        <f>IF(Benchmark1[[#This Row],[Comparable '#3 Date Check]]="Pass",INDEX(Comp3[Comparable '#3 Price],MATCH(Benchmark1[[#This Row],[Benchmark '#1 Dates]],Comp3[Comparable '#3 Dates],0)),"-")</f>
        <v>69.98</v>
      </c>
      <c r="R961" s="22">
        <f>IF(Benchmark1[[#This Row],[Comparable '#3 Date Check]]="Pass",INDEX(Comp3[Comparable '#3 Return],MATCH(Benchmark1[[#This Row],[Benchmark '#1 Dates]],Comp3[Comparable '#3 Dates],0)),"-")</f>
        <v>-1.5315103653339072E-2</v>
      </c>
      <c r="S961" s="1">
        <f>IFERROR(IF(Benchmark1[[#This Row],[Comparable '#3 Date Check]]="Pass",Benchmark1[[#This Row],[Comparable '#3 Return]]-Benchmark1[[#This Row],[Benchmark '#1 Return]],"-"),"-")</f>
        <v>1.323475458080472E-2</v>
      </c>
    </row>
    <row r="962" spans="1:19">
      <c r="A962" s="103">
        <v>44678</v>
      </c>
      <c r="B962" s="104">
        <v>4183.9552973967666</v>
      </c>
      <c r="C962" s="4">
        <f t="shared" ref="C962:C1025" si="15">IFERROR(IF(B962="","-",LN(B962/B961)),"-")</f>
        <v>2.0954337108870401E-3</v>
      </c>
      <c r="D962" s="1" t="str">
        <f>IF(COUNTIF(Target1[Target Dates],Benchmark1[[#This Row],[Benchmark '#1 Dates]])=1,"Pass","Fail")</f>
        <v>Pass</v>
      </c>
      <c r="E962" s="6">
        <f>IF(Benchmark1[[#This Row],[Target Date Check]]="Pass",INDEX(Target1[Target Price],MATCH(Benchmark1[[#This Row],[Benchmark '#1 Dates]],Target1[Target Dates],0)),"-")</f>
        <v>37.659999999999997</v>
      </c>
      <c r="F962" s="22">
        <f>IF(Benchmark1[[#This Row],[Target Date Check]]="Pass",INDEX(Target1[Target Return],MATCH(Benchmark1[[#This Row],[Benchmark '#1 Dates]],Target1[Target Dates],0)),"-")</f>
        <v>2.03869721825247E-2</v>
      </c>
      <c r="G962" s="1">
        <f>IFERROR(IF(Benchmark1[[#This Row],[Target Date Check]]="Pass",Benchmark1[[#This Row],[Target Return]]-Benchmark1[[#This Row],[Benchmark '#1 Return]],"-"),"-")</f>
        <v>1.8291538471637659E-2</v>
      </c>
      <c r="H962" s="1" t="str">
        <f>IF(COUNTIF(Comp1[Comparable '#1 Dates],Benchmark1[[#This Row],[Benchmark '#1 Dates]])=1,"Pass","Fail")</f>
        <v>Pass</v>
      </c>
      <c r="I962" s="6">
        <f>IF(Benchmark1[[#This Row],[Comparable '#1 Date Check]]="Pass",INDEX(Comp1[Comparable '#1 Price],MATCH(Benchmark1[[#This Row],[Benchmark '#1 Dates]],Comp1[Comparable '#1 Dates],0)),"-")</f>
        <v>11.68</v>
      </c>
      <c r="J962" s="22">
        <f>IF(Benchmark1[[#This Row],[Comparable '#1 Date Check]]="Pass",INDEX(Comp1[Comparable '#1 Return],MATCH(Benchmark1[[#This Row],[Benchmark '#1 Dates]],Comp1[Comparable '#1 Dates],0)),"-")</f>
        <v>4.2900108695079131E-3</v>
      </c>
      <c r="K962" s="1">
        <f>IFERROR(IF(Benchmark1[[#This Row],[Comparable '#1 Date Check]]="Pass",Benchmark1[[#This Row],[Comparable '#1 Return]]-Benchmark1[[#This Row],[Benchmark '#1 Return]],"-"),"-")</f>
        <v>2.194577158620873E-3</v>
      </c>
      <c r="L962" s="1" t="str">
        <f>IF(COUNTIF(Comp2[Comparable '#2 Dates],Benchmark1[[#This Row],[Benchmark '#1 Dates]])=1,"Pass","Fail")</f>
        <v>Pass</v>
      </c>
      <c r="M962" s="6">
        <f>IF(Benchmark1[[#This Row],[Comparable '#2 Date Check]]="Pass",INDEX(Comp2[Comparable '#2 Price],MATCH(Benchmark1[[#This Row],[Benchmark '#1 Dates]],Comp2[Comparable '#2 Dates],0)),"-")</f>
        <v>29.81</v>
      </c>
      <c r="N962" s="22">
        <f>IF(Benchmark1[[#This Row],[Comparable '#2 Date Check]]="Pass",INDEX(Comp2[Comparable '#2 Return],MATCH(Benchmark1[[#This Row],[Benchmark '#1 Dates]],Comp2[Comparable '#2 Dates],0)),"-")</f>
        <v>-1.0345495241712856E-2</v>
      </c>
      <c r="O962" s="1">
        <f>IFERROR(IF(Benchmark1[[#This Row],[Comparable '#2 Date Check]]="Pass",Benchmark1[[#This Row],[Comparable '#2 Return]]-Benchmark1[[#This Row],[Benchmark '#1 Return]],"-"),"-")</f>
        <v>-1.2440928952599895E-2</v>
      </c>
      <c r="P962" s="1" t="str">
        <f>IF(COUNTIF(Comp3[Comparable '#3 Dates],Benchmark1[[#This Row],[Benchmark '#1 Dates]])=1,"Pass","Fail")</f>
        <v>Pass</v>
      </c>
      <c r="Q962" s="6">
        <f>IF(Benchmark1[[#This Row],[Comparable '#3 Date Check]]="Pass",INDEX(Comp3[Comparable '#3 Price],MATCH(Benchmark1[[#This Row],[Benchmark '#1 Dates]],Comp3[Comparable '#3 Dates],0)),"-")</f>
        <v>69.89</v>
      </c>
      <c r="R962" s="22">
        <f>IF(Benchmark1[[#This Row],[Comparable '#3 Date Check]]="Pass",INDEX(Comp3[Comparable '#3 Return],MATCH(Benchmark1[[#This Row],[Benchmark '#1 Dates]],Comp3[Comparable '#3 Dates],0)),"-")</f>
        <v>-1.2869094505043208E-3</v>
      </c>
      <c r="S962" s="1">
        <f>IFERROR(IF(Benchmark1[[#This Row],[Comparable '#3 Date Check]]="Pass",Benchmark1[[#This Row],[Comparable '#3 Return]]-Benchmark1[[#This Row],[Benchmark '#1 Return]],"-"),"-")</f>
        <v>-3.3823431613913607E-3</v>
      </c>
    </row>
    <row r="963" spans="1:19">
      <c r="A963" s="103">
        <v>44679</v>
      </c>
      <c r="B963" s="104">
        <v>4287.5010631678761</v>
      </c>
      <c r="C963" s="4">
        <f t="shared" si="15"/>
        <v>2.4447017934258981E-2</v>
      </c>
      <c r="D963" s="1" t="str">
        <f>IF(COUNTIF(Target1[Target Dates],Benchmark1[[#This Row],[Benchmark '#1 Dates]])=1,"Pass","Fail")</f>
        <v>Pass</v>
      </c>
      <c r="E963" s="6">
        <f>IF(Benchmark1[[#This Row],[Target Date Check]]="Pass",INDEX(Target1[Target Price],MATCH(Benchmark1[[#This Row],[Benchmark '#1 Dates]],Target1[Target Dates],0)),"-")</f>
        <v>38.96</v>
      </c>
      <c r="F963" s="22">
        <f>IF(Benchmark1[[#This Row],[Target Date Check]]="Pass",INDEX(Target1[Target Return],MATCH(Benchmark1[[#This Row],[Benchmark '#1 Dates]],Target1[Target Dates],0)),"-")</f>
        <v>3.3936955545328093E-2</v>
      </c>
      <c r="G963" s="1">
        <f>IFERROR(IF(Benchmark1[[#This Row],[Target Date Check]]="Pass",Benchmark1[[#This Row],[Target Return]]-Benchmark1[[#This Row],[Benchmark '#1 Return]],"-"),"-")</f>
        <v>9.4899376110691123E-3</v>
      </c>
      <c r="H963" s="1" t="str">
        <f>IF(COUNTIF(Comp1[Comparable '#1 Dates],Benchmark1[[#This Row],[Benchmark '#1 Dates]])=1,"Pass","Fail")</f>
        <v>Pass</v>
      </c>
      <c r="I963" s="6">
        <f>IF(Benchmark1[[#This Row],[Comparable '#1 Date Check]]="Pass",INDEX(Comp1[Comparable '#1 Price],MATCH(Benchmark1[[#This Row],[Benchmark '#1 Dates]],Comp1[Comparable '#1 Dates],0)),"-")</f>
        <v>11.58</v>
      </c>
      <c r="J963" s="22">
        <f>IF(Benchmark1[[#This Row],[Comparable '#1 Date Check]]="Pass",INDEX(Comp1[Comparable '#1 Return],MATCH(Benchmark1[[#This Row],[Benchmark '#1 Dates]],Comp1[Comparable '#1 Dates],0)),"-")</f>
        <v>-8.5985052552317934E-3</v>
      </c>
      <c r="K963" s="1">
        <f>IFERROR(IF(Benchmark1[[#This Row],[Comparable '#1 Date Check]]="Pass",Benchmark1[[#This Row],[Comparable '#1 Return]]-Benchmark1[[#This Row],[Benchmark '#1 Return]],"-"),"-")</f>
        <v>-3.3045523189490777E-2</v>
      </c>
      <c r="L963" s="1" t="str">
        <f>IF(COUNTIF(Comp2[Comparable '#2 Dates],Benchmark1[[#This Row],[Benchmark '#1 Dates]])=1,"Pass","Fail")</f>
        <v>Pass</v>
      </c>
      <c r="M963" s="6">
        <f>IF(Benchmark1[[#This Row],[Comparable '#2 Date Check]]="Pass",INDEX(Comp2[Comparable '#2 Price],MATCH(Benchmark1[[#This Row],[Benchmark '#1 Dates]],Comp2[Comparable '#2 Dates],0)),"-")</f>
        <v>30.13</v>
      </c>
      <c r="N963" s="22">
        <f>IF(Benchmark1[[#This Row],[Comparable '#2 Date Check]]="Pass",INDEX(Comp2[Comparable '#2 Return],MATCH(Benchmark1[[#This Row],[Benchmark '#1 Dates]],Comp2[Comparable '#2 Dates],0)),"-")</f>
        <v>1.0677445452229766E-2</v>
      </c>
      <c r="O963" s="1">
        <f>IFERROR(IF(Benchmark1[[#This Row],[Comparable '#2 Date Check]]="Pass",Benchmark1[[#This Row],[Comparable '#2 Return]]-Benchmark1[[#This Row],[Benchmark '#1 Return]],"-"),"-")</f>
        <v>-1.3769572482029214E-2</v>
      </c>
      <c r="P963" s="1" t="str">
        <f>IF(COUNTIF(Comp3[Comparable '#3 Dates],Benchmark1[[#This Row],[Benchmark '#1 Dates]])=1,"Pass","Fail")</f>
        <v>Pass</v>
      </c>
      <c r="Q963" s="6">
        <f>IF(Benchmark1[[#This Row],[Comparable '#3 Date Check]]="Pass",INDEX(Comp3[Comparable '#3 Price],MATCH(Benchmark1[[#This Row],[Benchmark '#1 Dates]],Comp3[Comparable '#3 Dates],0)),"-")</f>
        <v>66.86</v>
      </c>
      <c r="R963" s="22">
        <f>IF(Benchmark1[[#This Row],[Comparable '#3 Date Check]]="Pass",INDEX(Comp3[Comparable '#3 Return],MATCH(Benchmark1[[#This Row],[Benchmark '#1 Dates]],Comp3[Comparable '#3 Dates],0)),"-")</f>
        <v>-4.4321696497085103E-2</v>
      </c>
      <c r="S963" s="1">
        <f>IFERROR(IF(Benchmark1[[#This Row],[Comparable '#3 Date Check]]="Pass",Benchmark1[[#This Row],[Comparable '#3 Return]]-Benchmark1[[#This Row],[Benchmark '#1 Return]],"-"),"-")</f>
        <v>-6.876871443134408E-2</v>
      </c>
    </row>
    <row r="964" spans="1:19">
      <c r="A964" s="103">
        <v>44680</v>
      </c>
      <c r="B964" s="104">
        <v>4131.9264103775959</v>
      </c>
      <c r="C964" s="4">
        <f t="shared" si="15"/>
        <v>-3.6960319048377925E-2</v>
      </c>
      <c r="D964" s="1" t="str">
        <f>IF(COUNTIF(Target1[Target Dates],Benchmark1[[#This Row],[Benchmark '#1 Dates]])=1,"Pass","Fail")</f>
        <v>Pass</v>
      </c>
      <c r="E964" s="6">
        <f>IF(Benchmark1[[#This Row],[Target Date Check]]="Pass",INDEX(Target1[Target Price],MATCH(Benchmark1[[#This Row],[Benchmark '#1 Dates]],Target1[Target Dates],0)),"-")</f>
        <v>39.299999999999997</v>
      </c>
      <c r="F964" s="22">
        <f>IF(Benchmark1[[#This Row],[Target Date Check]]="Pass",INDEX(Target1[Target Return],MATCH(Benchmark1[[#This Row],[Benchmark '#1 Dates]],Target1[Target Dates],0)),"-")</f>
        <v>8.6890401008811492E-3</v>
      </c>
      <c r="G964" s="1">
        <f>IFERROR(IF(Benchmark1[[#This Row],[Target Date Check]]="Pass",Benchmark1[[#This Row],[Target Return]]-Benchmark1[[#This Row],[Benchmark '#1 Return]],"-"),"-")</f>
        <v>4.5649359149259078E-2</v>
      </c>
      <c r="H964" s="1" t="str">
        <f>IF(COUNTIF(Comp1[Comparable '#1 Dates],Benchmark1[[#This Row],[Benchmark '#1 Dates]])=1,"Pass","Fail")</f>
        <v>Pass</v>
      </c>
      <c r="I964" s="6">
        <f>IF(Benchmark1[[#This Row],[Comparable '#1 Date Check]]="Pass",INDEX(Comp1[Comparable '#1 Price],MATCH(Benchmark1[[#This Row],[Benchmark '#1 Dates]],Comp1[Comparable '#1 Dates],0)),"-")</f>
        <v>11.33</v>
      </c>
      <c r="J964" s="22">
        <f>IF(Benchmark1[[#This Row],[Comparable '#1 Date Check]]="Pass",INDEX(Comp1[Comparable '#1 Return],MATCH(Benchmark1[[#This Row],[Benchmark '#1 Dates]],Comp1[Comparable '#1 Dates],0)),"-")</f>
        <v>-2.1825397104934242E-2</v>
      </c>
      <c r="K964" s="1">
        <f>IFERROR(IF(Benchmark1[[#This Row],[Comparable '#1 Date Check]]="Pass",Benchmark1[[#This Row],[Comparable '#1 Return]]-Benchmark1[[#This Row],[Benchmark '#1 Return]],"-"),"-")</f>
        <v>1.5134921943443683E-2</v>
      </c>
      <c r="L964" s="1" t="str">
        <f>IF(COUNTIF(Comp2[Comparable '#2 Dates],Benchmark1[[#This Row],[Benchmark '#1 Dates]])=1,"Pass","Fail")</f>
        <v>Pass</v>
      </c>
      <c r="M964" s="6">
        <f>IF(Benchmark1[[#This Row],[Comparable '#2 Date Check]]="Pass",INDEX(Comp2[Comparable '#2 Price],MATCH(Benchmark1[[#This Row],[Benchmark '#1 Dates]],Comp2[Comparable '#2 Dates],0)),"-")</f>
        <v>29.31</v>
      </c>
      <c r="N964" s="22">
        <f>IF(Benchmark1[[#This Row],[Comparable '#2 Date Check]]="Pass",INDEX(Comp2[Comparable '#2 Return],MATCH(Benchmark1[[#This Row],[Benchmark '#1 Dates]],Comp2[Comparable '#2 Dates],0)),"-")</f>
        <v>-2.7592598419408816E-2</v>
      </c>
      <c r="O964" s="1">
        <f>IFERROR(IF(Benchmark1[[#This Row],[Comparable '#2 Date Check]]="Pass",Benchmark1[[#This Row],[Comparable '#2 Return]]-Benchmark1[[#This Row],[Benchmark '#1 Return]],"-"),"-")</f>
        <v>9.367720628969109E-3</v>
      </c>
      <c r="P964" s="1" t="str">
        <f>IF(COUNTIF(Comp3[Comparable '#3 Dates],Benchmark1[[#This Row],[Benchmark '#1 Dates]])=1,"Pass","Fail")</f>
        <v>Pass</v>
      </c>
      <c r="Q964" s="6">
        <f>IF(Benchmark1[[#This Row],[Comparable '#3 Date Check]]="Pass",INDEX(Comp3[Comparable '#3 Price],MATCH(Benchmark1[[#This Row],[Benchmark '#1 Dates]],Comp3[Comparable '#3 Dates],0)),"-")</f>
        <v>64.599999999999994</v>
      </c>
      <c r="R964" s="22">
        <f>IF(Benchmark1[[#This Row],[Comparable '#3 Date Check]]="Pass",INDEX(Comp3[Comparable '#3 Return],MATCH(Benchmark1[[#This Row],[Benchmark '#1 Dates]],Comp3[Comparable '#3 Dates],0)),"-")</f>
        <v>-3.4386470203396483E-2</v>
      </c>
      <c r="S964" s="1">
        <f>IFERROR(IF(Benchmark1[[#This Row],[Comparable '#3 Date Check]]="Pass",Benchmark1[[#This Row],[Comparable '#3 Return]]-Benchmark1[[#This Row],[Benchmark '#1 Return]],"-"),"-")</f>
        <v>2.5738488449814426E-3</v>
      </c>
    </row>
    <row r="965" spans="1:19">
      <c r="A965" s="103">
        <v>44683</v>
      </c>
      <c r="B965" s="104">
        <v>4155.377569354705</v>
      </c>
      <c r="C965" s="4">
        <f t="shared" si="15"/>
        <v>5.6595538502159023E-3</v>
      </c>
      <c r="D965" s="1" t="str">
        <f>IF(COUNTIF(Target1[Target Dates],Benchmark1[[#This Row],[Benchmark '#1 Dates]])=1,"Pass","Fail")</f>
        <v>Pass</v>
      </c>
      <c r="E965" s="6">
        <f>IF(Benchmark1[[#This Row],[Target Date Check]]="Pass",INDEX(Target1[Target Price],MATCH(Benchmark1[[#This Row],[Benchmark '#1 Dates]],Target1[Target Dates],0)),"-")</f>
        <v>38.79</v>
      </c>
      <c r="F965" s="22">
        <f>IF(Benchmark1[[#This Row],[Target Date Check]]="Pass",INDEX(Target1[Target Return],MATCH(Benchmark1[[#This Row],[Benchmark '#1 Dates]],Target1[Target Dates],0)),"-")</f>
        <v>-1.3062037423339669E-2</v>
      </c>
      <c r="G965" s="1">
        <f>IFERROR(IF(Benchmark1[[#This Row],[Target Date Check]]="Pass",Benchmark1[[#This Row],[Target Return]]-Benchmark1[[#This Row],[Benchmark '#1 Return]],"-"),"-")</f>
        <v>-1.872159127355557E-2</v>
      </c>
      <c r="H965" s="1" t="str">
        <f>IF(COUNTIF(Comp1[Comparable '#1 Dates],Benchmark1[[#This Row],[Benchmark '#1 Dates]])=1,"Pass","Fail")</f>
        <v>Pass</v>
      </c>
      <c r="I965" s="6">
        <f>IF(Benchmark1[[#This Row],[Comparable '#1 Date Check]]="Pass",INDEX(Comp1[Comparable '#1 Price],MATCH(Benchmark1[[#This Row],[Benchmark '#1 Dates]],Comp1[Comparable '#1 Dates],0)),"-")</f>
        <v>11.32</v>
      </c>
      <c r="J965" s="22">
        <f>IF(Benchmark1[[#This Row],[Comparable '#1 Date Check]]="Pass",INDEX(Comp1[Comparable '#1 Return],MATCH(Benchmark1[[#This Row],[Benchmark '#1 Dates]],Comp1[Comparable '#1 Dates],0)),"-")</f>
        <v>-8.8300226487806081E-4</v>
      </c>
      <c r="K965" s="1">
        <f>IFERROR(IF(Benchmark1[[#This Row],[Comparable '#1 Date Check]]="Pass",Benchmark1[[#This Row],[Comparable '#1 Return]]-Benchmark1[[#This Row],[Benchmark '#1 Return]],"-"),"-")</f>
        <v>-6.5425561150939636E-3</v>
      </c>
      <c r="L965" s="1" t="str">
        <f>IF(COUNTIF(Comp2[Comparable '#2 Dates],Benchmark1[[#This Row],[Benchmark '#1 Dates]])=1,"Pass","Fail")</f>
        <v>Pass</v>
      </c>
      <c r="M965" s="6">
        <f>IF(Benchmark1[[#This Row],[Comparable '#2 Date Check]]="Pass",INDEX(Comp2[Comparable '#2 Price],MATCH(Benchmark1[[#This Row],[Benchmark '#1 Dates]],Comp2[Comparable '#2 Dates],0)),"-")</f>
        <v>29.67</v>
      </c>
      <c r="N965" s="22">
        <f>IF(Benchmark1[[#This Row],[Comparable '#2 Date Check]]="Pass",INDEX(Comp2[Comparable '#2 Return],MATCH(Benchmark1[[#This Row],[Benchmark '#1 Dates]],Comp2[Comparable '#2 Dates],0)),"-")</f>
        <v>1.2207679579929407E-2</v>
      </c>
      <c r="O965" s="1">
        <f>IFERROR(IF(Benchmark1[[#This Row],[Comparable '#2 Date Check]]="Pass",Benchmark1[[#This Row],[Comparable '#2 Return]]-Benchmark1[[#This Row],[Benchmark '#1 Return]],"-"),"-")</f>
        <v>6.548125729713505E-3</v>
      </c>
      <c r="P965" s="1" t="str">
        <f>IF(COUNTIF(Comp3[Comparable '#3 Dates],Benchmark1[[#This Row],[Benchmark '#1 Dates]])=1,"Pass","Fail")</f>
        <v>Pass</v>
      </c>
      <c r="Q965" s="6">
        <f>IF(Benchmark1[[#This Row],[Comparable '#3 Date Check]]="Pass",INDEX(Comp3[Comparable '#3 Price],MATCH(Benchmark1[[#This Row],[Benchmark '#1 Dates]],Comp3[Comparable '#3 Dates],0)),"-")</f>
        <v>66.89</v>
      </c>
      <c r="R965" s="22">
        <f>IF(Benchmark1[[#This Row],[Comparable '#3 Date Check]]="Pass",INDEX(Comp3[Comparable '#3 Return],MATCH(Benchmark1[[#This Row],[Benchmark '#1 Dates]],Comp3[Comparable '#3 Dates],0)),"-")</f>
        <v>3.4835068341760644E-2</v>
      </c>
      <c r="S965" s="1">
        <f>IFERROR(IF(Benchmark1[[#This Row],[Comparable '#3 Date Check]]="Pass",Benchmark1[[#This Row],[Comparable '#3 Return]]-Benchmark1[[#This Row],[Benchmark '#1 Return]],"-"),"-")</f>
        <v>2.9175514491544742E-2</v>
      </c>
    </row>
    <row r="966" spans="1:19">
      <c r="A966" s="103">
        <v>44684</v>
      </c>
      <c r="B966" s="104">
        <v>4175.4757027515761</v>
      </c>
      <c r="C966" s="4">
        <f t="shared" si="15"/>
        <v>4.8249973278323361E-3</v>
      </c>
      <c r="D966" s="1" t="str">
        <f>IF(COUNTIF(Target1[Target Dates],Benchmark1[[#This Row],[Benchmark '#1 Dates]])=1,"Pass","Fail")</f>
        <v>Pass</v>
      </c>
      <c r="E966" s="6">
        <f>IF(Benchmark1[[#This Row],[Target Date Check]]="Pass",INDEX(Target1[Target Price],MATCH(Benchmark1[[#This Row],[Benchmark '#1 Dates]],Target1[Target Dates],0)),"-")</f>
        <v>38.11</v>
      </c>
      <c r="F966" s="22">
        <f>IF(Benchmark1[[#This Row],[Target Date Check]]="Pass",INDEX(Target1[Target Return],MATCH(Benchmark1[[#This Row],[Benchmark '#1 Dates]],Target1[Target Dates],0)),"-")</f>
        <v>-1.7685766566106948E-2</v>
      </c>
      <c r="G966" s="1">
        <f>IFERROR(IF(Benchmark1[[#This Row],[Target Date Check]]="Pass",Benchmark1[[#This Row],[Target Return]]-Benchmark1[[#This Row],[Benchmark '#1 Return]],"-"),"-")</f>
        <v>-2.2510763893939283E-2</v>
      </c>
      <c r="H966" s="1" t="str">
        <f>IF(COUNTIF(Comp1[Comparable '#1 Dates],Benchmark1[[#This Row],[Benchmark '#1 Dates]])=1,"Pass","Fail")</f>
        <v>Pass</v>
      </c>
      <c r="I966" s="6">
        <f>IF(Benchmark1[[#This Row],[Comparable '#1 Date Check]]="Pass",INDEX(Comp1[Comparable '#1 Price],MATCH(Benchmark1[[#This Row],[Benchmark '#1 Dates]],Comp1[Comparable '#1 Dates],0)),"-")</f>
        <v>11.33</v>
      </c>
      <c r="J966" s="22">
        <f>IF(Benchmark1[[#This Row],[Comparable '#1 Date Check]]="Pass",INDEX(Comp1[Comparable '#1 Return],MATCH(Benchmark1[[#This Row],[Benchmark '#1 Dates]],Comp1[Comparable '#1 Dates],0)),"-")</f>
        <v>8.8300226487807762E-4</v>
      </c>
      <c r="K966" s="1">
        <f>IFERROR(IF(Benchmark1[[#This Row],[Comparable '#1 Date Check]]="Pass",Benchmark1[[#This Row],[Comparable '#1 Return]]-Benchmark1[[#This Row],[Benchmark '#1 Return]],"-"),"-")</f>
        <v>-3.9419950629542583E-3</v>
      </c>
      <c r="L966" s="1" t="str">
        <f>IF(COUNTIF(Comp2[Comparable '#2 Dates],Benchmark1[[#This Row],[Benchmark '#1 Dates]])=1,"Pass","Fail")</f>
        <v>Pass</v>
      </c>
      <c r="M966" s="6">
        <f>IF(Benchmark1[[#This Row],[Comparable '#2 Date Check]]="Pass",INDEX(Comp2[Comparable '#2 Price],MATCH(Benchmark1[[#This Row],[Benchmark '#1 Dates]],Comp2[Comparable '#2 Dates],0)),"-")</f>
        <v>28.92</v>
      </c>
      <c r="N966" s="22">
        <f>IF(Benchmark1[[#This Row],[Comparable '#2 Date Check]]="Pass",INDEX(Comp2[Comparable '#2 Return],MATCH(Benchmark1[[#This Row],[Benchmark '#1 Dates]],Comp2[Comparable '#2 Dates],0)),"-")</f>
        <v>-2.5603037012166468E-2</v>
      </c>
      <c r="O966" s="1">
        <f>IFERROR(IF(Benchmark1[[#This Row],[Comparable '#2 Date Check]]="Pass",Benchmark1[[#This Row],[Comparable '#2 Return]]-Benchmark1[[#This Row],[Benchmark '#1 Return]],"-"),"-")</f>
        <v>-3.0428034339998803E-2</v>
      </c>
      <c r="P966" s="1" t="str">
        <f>IF(COUNTIF(Comp3[Comparable '#3 Dates],Benchmark1[[#This Row],[Benchmark '#1 Dates]])=1,"Pass","Fail")</f>
        <v>Pass</v>
      </c>
      <c r="Q966" s="6">
        <f>IF(Benchmark1[[#This Row],[Comparable '#3 Date Check]]="Pass",INDEX(Comp3[Comparable '#3 Price],MATCH(Benchmark1[[#This Row],[Benchmark '#1 Dates]],Comp3[Comparable '#3 Dates],0)),"-")</f>
        <v>64.849999999999994</v>
      </c>
      <c r="R966" s="22">
        <f>IF(Benchmark1[[#This Row],[Comparable '#3 Date Check]]="Pass",INDEX(Comp3[Comparable '#3 Return],MATCH(Benchmark1[[#This Row],[Benchmark '#1 Dates]],Comp3[Comparable '#3 Dates],0)),"-")</f>
        <v>-3.0972568367863825E-2</v>
      </c>
      <c r="S966" s="1">
        <f>IFERROR(IF(Benchmark1[[#This Row],[Comparable '#3 Date Check]]="Pass",Benchmark1[[#This Row],[Comparable '#3 Return]]-Benchmark1[[#This Row],[Benchmark '#1 Return]],"-"),"-")</f>
        <v>-3.5797565695696164E-2</v>
      </c>
    </row>
    <row r="967" spans="1:19">
      <c r="A967" s="103">
        <v>44685</v>
      </c>
      <c r="B967" s="104">
        <v>4300.1737659597384</v>
      </c>
      <c r="C967" s="4">
        <f t="shared" si="15"/>
        <v>2.9427139980456166E-2</v>
      </c>
      <c r="D967" s="1" t="str">
        <f>IF(COUNTIF(Target1[Target Dates],Benchmark1[[#This Row],[Benchmark '#1 Dates]])=1,"Pass","Fail")</f>
        <v>Pass</v>
      </c>
      <c r="E967" s="6">
        <f>IF(Benchmark1[[#This Row],[Target Date Check]]="Pass",INDEX(Target1[Target Price],MATCH(Benchmark1[[#This Row],[Benchmark '#1 Dates]],Target1[Target Dates],0)),"-")</f>
        <v>38.6</v>
      </c>
      <c r="F967" s="22">
        <f>IF(Benchmark1[[#This Row],[Target Date Check]]="Pass",INDEX(Target1[Target Return],MATCH(Benchmark1[[#This Row],[Benchmark '#1 Dates]],Target1[Target Dates],0)),"-")</f>
        <v>1.2775561585016276E-2</v>
      </c>
      <c r="G967" s="1">
        <f>IFERROR(IF(Benchmark1[[#This Row],[Target Date Check]]="Pass",Benchmark1[[#This Row],[Target Return]]-Benchmark1[[#This Row],[Benchmark '#1 Return]],"-"),"-")</f>
        <v>-1.6651578395439889E-2</v>
      </c>
      <c r="H967" s="1" t="str">
        <f>IF(COUNTIF(Comp1[Comparable '#1 Dates],Benchmark1[[#This Row],[Benchmark '#1 Dates]])=1,"Pass","Fail")</f>
        <v>Pass</v>
      </c>
      <c r="I967" s="6">
        <f>IF(Benchmark1[[#This Row],[Comparable '#1 Date Check]]="Pass",INDEX(Comp1[Comparable '#1 Price],MATCH(Benchmark1[[#This Row],[Benchmark '#1 Dates]],Comp1[Comparable '#1 Dates],0)),"-")</f>
        <v>11.36</v>
      </c>
      <c r="J967" s="22">
        <f>IF(Benchmark1[[#This Row],[Comparable '#1 Date Check]]="Pass",INDEX(Comp1[Comparable '#1 Return],MATCH(Benchmark1[[#This Row],[Benchmark '#1 Dates]],Comp1[Comparable '#1 Dates],0)),"-")</f>
        <v>2.644338253090202E-3</v>
      </c>
      <c r="K967" s="1">
        <f>IFERROR(IF(Benchmark1[[#This Row],[Comparable '#1 Date Check]]="Pass",Benchmark1[[#This Row],[Comparable '#1 Return]]-Benchmark1[[#This Row],[Benchmark '#1 Return]],"-"),"-")</f>
        <v>-2.6782801727365965E-2</v>
      </c>
      <c r="L967" s="1" t="str">
        <f>IF(COUNTIF(Comp2[Comparable '#2 Dates],Benchmark1[[#This Row],[Benchmark '#1 Dates]])=1,"Pass","Fail")</f>
        <v>Pass</v>
      </c>
      <c r="M967" s="6">
        <f>IF(Benchmark1[[#This Row],[Comparable '#2 Date Check]]="Pass",INDEX(Comp2[Comparable '#2 Price],MATCH(Benchmark1[[#This Row],[Benchmark '#1 Dates]],Comp2[Comparable '#2 Dates],0)),"-")</f>
        <v>29.02</v>
      </c>
      <c r="N967" s="22">
        <f>IF(Benchmark1[[#This Row],[Comparable '#2 Date Check]]="Pass",INDEX(Comp2[Comparable '#2 Return],MATCH(Benchmark1[[#This Row],[Benchmark '#1 Dates]],Comp2[Comparable '#2 Dates],0)),"-")</f>
        <v>3.4518501654778378E-3</v>
      </c>
      <c r="O967" s="1">
        <f>IFERROR(IF(Benchmark1[[#This Row],[Comparable '#2 Date Check]]="Pass",Benchmark1[[#This Row],[Comparable '#2 Return]]-Benchmark1[[#This Row],[Benchmark '#1 Return]],"-"),"-")</f>
        <v>-2.5975289814978327E-2</v>
      </c>
      <c r="P967" s="1" t="str">
        <f>IF(COUNTIF(Comp3[Comparable '#3 Dates],Benchmark1[[#This Row],[Benchmark '#1 Dates]])=1,"Pass","Fail")</f>
        <v>Pass</v>
      </c>
      <c r="Q967" s="6">
        <f>IF(Benchmark1[[#This Row],[Comparable '#3 Date Check]]="Pass",INDEX(Comp3[Comparable '#3 Price],MATCH(Benchmark1[[#This Row],[Benchmark '#1 Dates]],Comp3[Comparable '#3 Dates],0)),"-")</f>
        <v>65.430000000000007</v>
      </c>
      <c r="R967" s="22">
        <f>IF(Benchmark1[[#This Row],[Comparable '#3 Date Check]]="Pass",INDEX(Comp3[Comparable '#3 Return],MATCH(Benchmark1[[#This Row],[Benchmark '#1 Dates]],Comp3[Comparable '#3 Dates],0)),"-")</f>
        <v>8.9039581191946993E-3</v>
      </c>
      <c r="S967" s="1">
        <f>IFERROR(IF(Benchmark1[[#This Row],[Comparable '#3 Date Check]]="Pass",Benchmark1[[#This Row],[Comparable '#3 Return]]-Benchmark1[[#This Row],[Benchmark '#1 Return]],"-"),"-")</f>
        <v>-2.0523181861261466E-2</v>
      </c>
    </row>
    <row r="968" spans="1:19">
      <c r="A968" s="103">
        <v>44686</v>
      </c>
      <c r="B968" s="104">
        <v>4146.867602436826</v>
      </c>
      <c r="C968" s="4">
        <f t="shared" si="15"/>
        <v>-3.6302177923126747E-2</v>
      </c>
      <c r="D968" s="1" t="str">
        <f>IF(COUNTIF(Target1[Target Dates],Benchmark1[[#This Row],[Benchmark '#1 Dates]])=1,"Pass","Fail")</f>
        <v>Pass</v>
      </c>
      <c r="E968" s="6">
        <f>IF(Benchmark1[[#This Row],[Target Date Check]]="Pass",INDEX(Target1[Target Price],MATCH(Benchmark1[[#This Row],[Benchmark '#1 Dates]],Target1[Target Dates],0)),"-")</f>
        <v>37.61</v>
      </c>
      <c r="F968" s="22">
        <f>IF(Benchmark1[[#This Row],[Target Date Check]]="Pass",INDEX(Target1[Target Return],MATCH(Benchmark1[[#This Row],[Benchmark '#1 Dates]],Target1[Target Dates],0)),"-")</f>
        <v>-2.5982303988540179E-2</v>
      </c>
      <c r="G968" s="1">
        <f>IFERROR(IF(Benchmark1[[#This Row],[Target Date Check]]="Pass",Benchmark1[[#This Row],[Target Return]]-Benchmark1[[#This Row],[Benchmark '#1 Return]],"-"),"-")</f>
        <v>1.0319873934586568E-2</v>
      </c>
      <c r="H968" s="1" t="str">
        <f>IF(COUNTIF(Comp1[Comparable '#1 Dates],Benchmark1[[#This Row],[Benchmark '#1 Dates]])=1,"Pass","Fail")</f>
        <v>Pass</v>
      </c>
      <c r="I968" s="6">
        <f>IF(Benchmark1[[#This Row],[Comparable '#1 Date Check]]="Pass",INDEX(Comp1[Comparable '#1 Price],MATCH(Benchmark1[[#This Row],[Benchmark '#1 Dates]],Comp1[Comparable '#1 Dates],0)),"-")</f>
        <v>11.97</v>
      </c>
      <c r="J968" s="22">
        <f>IF(Benchmark1[[#This Row],[Comparable '#1 Date Check]]="Pass",INDEX(Comp1[Comparable '#1 Return],MATCH(Benchmark1[[#This Row],[Benchmark '#1 Dates]],Comp1[Comparable '#1 Dates],0)),"-")</f>
        <v>5.2305106276876658E-2</v>
      </c>
      <c r="K968" s="1">
        <f>IFERROR(IF(Benchmark1[[#This Row],[Comparable '#1 Date Check]]="Pass",Benchmark1[[#This Row],[Comparable '#1 Return]]-Benchmark1[[#This Row],[Benchmark '#1 Return]],"-"),"-")</f>
        <v>8.8607284200003411E-2</v>
      </c>
      <c r="L968" s="1" t="str">
        <f>IF(COUNTIF(Comp2[Comparable '#2 Dates],Benchmark1[[#This Row],[Benchmark '#1 Dates]])=1,"Pass","Fail")</f>
        <v>Pass</v>
      </c>
      <c r="M968" s="6">
        <f>IF(Benchmark1[[#This Row],[Comparable '#2 Date Check]]="Pass",INDEX(Comp2[Comparable '#2 Price],MATCH(Benchmark1[[#This Row],[Benchmark '#1 Dates]],Comp2[Comparable '#2 Dates],0)),"-")</f>
        <v>28.22</v>
      </c>
      <c r="N968" s="22">
        <f>IF(Benchmark1[[#This Row],[Comparable '#2 Date Check]]="Pass",INDEX(Comp2[Comparable '#2 Return],MATCH(Benchmark1[[#This Row],[Benchmark '#1 Dates]],Comp2[Comparable '#2 Dates],0)),"-")</f>
        <v>-2.7954301031373897E-2</v>
      </c>
      <c r="O968" s="1">
        <f>IFERROR(IF(Benchmark1[[#This Row],[Comparable '#2 Date Check]]="Pass",Benchmark1[[#This Row],[Comparable '#2 Return]]-Benchmark1[[#This Row],[Benchmark '#1 Return]],"-"),"-")</f>
        <v>8.3478768917528492E-3</v>
      </c>
      <c r="P968" s="1" t="str">
        <f>IF(COUNTIF(Comp3[Comparable '#3 Dates],Benchmark1[[#This Row],[Benchmark '#1 Dates]])=1,"Pass","Fail")</f>
        <v>Pass</v>
      </c>
      <c r="Q968" s="6">
        <f>IF(Benchmark1[[#This Row],[Comparable '#3 Date Check]]="Pass",INDEX(Comp3[Comparable '#3 Price],MATCH(Benchmark1[[#This Row],[Benchmark '#1 Dates]],Comp3[Comparable '#3 Dates],0)),"-")</f>
        <v>64.48</v>
      </c>
      <c r="R968" s="22">
        <f>IF(Benchmark1[[#This Row],[Comparable '#3 Date Check]]="Pass",INDEX(Comp3[Comparable '#3 Return],MATCH(Benchmark1[[#This Row],[Benchmark '#1 Dates]],Comp3[Comparable '#3 Dates],0)),"-")</f>
        <v>-1.462577068327461E-2</v>
      </c>
      <c r="S968" s="1">
        <f>IFERROR(IF(Benchmark1[[#This Row],[Comparable '#3 Date Check]]="Pass",Benchmark1[[#This Row],[Comparable '#3 Return]]-Benchmark1[[#This Row],[Benchmark '#1 Return]],"-"),"-")</f>
        <v>2.1676407239852136E-2</v>
      </c>
    </row>
    <row r="969" spans="1:19">
      <c r="A969" s="103">
        <v>44687</v>
      </c>
      <c r="B969" s="104">
        <v>4123.3356501169346</v>
      </c>
      <c r="C969" s="4">
        <f t="shared" si="15"/>
        <v>-5.6907950405541809E-3</v>
      </c>
      <c r="D969" s="1" t="str">
        <f>IF(COUNTIF(Target1[Target Dates],Benchmark1[[#This Row],[Benchmark '#1 Dates]])=1,"Pass","Fail")</f>
        <v>Pass</v>
      </c>
      <c r="E969" s="6">
        <f>IF(Benchmark1[[#This Row],[Target Date Check]]="Pass",INDEX(Target1[Target Price],MATCH(Benchmark1[[#This Row],[Benchmark '#1 Dates]],Target1[Target Dates],0)),"-")</f>
        <v>37.51</v>
      </c>
      <c r="F969" s="22">
        <f>IF(Benchmark1[[#This Row],[Target Date Check]]="Pass",INDEX(Target1[Target Return],MATCH(Benchmark1[[#This Row],[Benchmark '#1 Dates]],Target1[Target Dates],0)),"-")</f>
        <v>-2.6624083884490813E-3</v>
      </c>
      <c r="G969" s="1">
        <f>IFERROR(IF(Benchmark1[[#This Row],[Target Date Check]]="Pass",Benchmark1[[#This Row],[Target Return]]-Benchmark1[[#This Row],[Benchmark '#1 Return]],"-"),"-")</f>
        <v>3.0283866521050996E-3</v>
      </c>
      <c r="H969" s="1" t="str">
        <f>IF(COUNTIF(Comp1[Comparable '#1 Dates],Benchmark1[[#This Row],[Benchmark '#1 Dates]])=1,"Pass","Fail")</f>
        <v>Pass</v>
      </c>
      <c r="I969" s="6">
        <f>IF(Benchmark1[[#This Row],[Comparable '#1 Date Check]]="Pass",INDEX(Comp1[Comparable '#1 Price],MATCH(Benchmark1[[#This Row],[Benchmark '#1 Dates]],Comp1[Comparable '#1 Dates],0)),"-")</f>
        <v>11.69</v>
      </c>
      <c r="J969" s="22">
        <f>IF(Benchmark1[[#This Row],[Comparable '#1 Date Check]]="Pass",INDEX(Comp1[Comparable '#1 Return],MATCH(Benchmark1[[#This Row],[Benchmark '#1 Dates]],Comp1[Comparable '#1 Dates],0)),"-")</f>
        <v>-2.3669744085904849E-2</v>
      </c>
      <c r="K969" s="1">
        <f>IFERROR(IF(Benchmark1[[#This Row],[Comparable '#1 Date Check]]="Pass",Benchmark1[[#This Row],[Comparable '#1 Return]]-Benchmark1[[#This Row],[Benchmark '#1 Return]],"-"),"-")</f>
        <v>-1.7978949045350669E-2</v>
      </c>
      <c r="L969" s="1" t="str">
        <f>IF(COUNTIF(Comp2[Comparable '#2 Dates],Benchmark1[[#This Row],[Benchmark '#1 Dates]])=1,"Pass","Fail")</f>
        <v>Pass</v>
      </c>
      <c r="M969" s="6">
        <f>IF(Benchmark1[[#This Row],[Comparable '#2 Date Check]]="Pass",INDEX(Comp2[Comparable '#2 Price],MATCH(Benchmark1[[#This Row],[Benchmark '#1 Dates]],Comp2[Comparable '#2 Dates],0)),"-")</f>
        <v>30.87</v>
      </c>
      <c r="N969" s="22">
        <f>IF(Benchmark1[[#This Row],[Comparable '#2 Date Check]]="Pass",INDEX(Comp2[Comparable '#2 Return],MATCH(Benchmark1[[#This Row],[Benchmark '#1 Dates]],Comp2[Comparable '#2 Dates],0)),"-")</f>
        <v>8.9753892089400156E-2</v>
      </c>
      <c r="O969" s="1">
        <f>IFERROR(IF(Benchmark1[[#This Row],[Comparable '#2 Date Check]]="Pass",Benchmark1[[#This Row],[Comparable '#2 Return]]-Benchmark1[[#This Row],[Benchmark '#1 Return]],"-"),"-")</f>
        <v>9.5444687129954339E-2</v>
      </c>
      <c r="P969" s="1" t="str">
        <f>IF(COUNTIF(Comp3[Comparable '#3 Dates],Benchmark1[[#This Row],[Benchmark '#1 Dates]])=1,"Pass","Fail")</f>
        <v>Pass</v>
      </c>
      <c r="Q969" s="6">
        <f>IF(Benchmark1[[#This Row],[Comparable '#3 Date Check]]="Pass",INDEX(Comp3[Comparable '#3 Price],MATCH(Benchmark1[[#This Row],[Benchmark '#1 Dates]],Comp3[Comparable '#3 Dates],0)),"-")</f>
        <v>63.51</v>
      </c>
      <c r="R969" s="22">
        <f>IF(Benchmark1[[#This Row],[Comparable '#3 Date Check]]="Pass",INDEX(Comp3[Comparable '#3 Return],MATCH(Benchmark1[[#This Row],[Benchmark '#1 Dates]],Comp3[Comparable '#3 Dates],0)),"-")</f>
        <v>-1.5157724383489467E-2</v>
      </c>
      <c r="S969" s="1">
        <f>IFERROR(IF(Benchmark1[[#This Row],[Comparable '#3 Date Check]]="Pass",Benchmark1[[#This Row],[Comparable '#3 Return]]-Benchmark1[[#This Row],[Benchmark '#1 Return]],"-"),"-")</f>
        <v>-9.4669293429352867E-3</v>
      </c>
    </row>
    <row r="970" spans="1:19">
      <c r="A970" s="103">
        <v>44690</v>
      </c>
      <c r="B970" s="104">
        <v>3991.2373798180088</v>
      </c>
      <c r="C970" s="4">
        <f t="shared" si="15"/>
        <v>-3.25611565280918E-2</v>
      </c>
      <c r="D970" s="1" t="str">
        <f>IF(COUNTIF(Target1[Target Dates],Benchmark1[[#This Row],[Benchmark '#1 Dates]])=1,"Pass","Fail")</f>
        <v>Pass</v>
      </c>
      <c r="E970" s="6">
        <f>IF(Benchmark1[[#This Row],[Target Date Check]]="Pass",INDEX(Target1[Target Price],MATCH(Benchmark1[[#This Row],[Benchmark '#1 Dates]],Target1[Target Dates],0)),"-")</f>
        <v>36.61</v>
      </c>
      <c r="F970" s="22">
        <f>IF(Benchmark1[[#This Row],[Target Date Check]]="Pass",INDEX(Target1[Target Return],MATCH(Benchmark1[[#This Row],[Benchmark '#1 Dates]],Target1[Target Dates],0)),"-")</f>
        <v>-2.4286136961651127E-2</v>
      </c>
      <c r="G970" s="1">
        <f>IFERROR(IF(Benchmark1[[#This Row],[Target Date Check]]="Pass",Benchmark1[[#This Row],[Target Return]]-Benchmark1[[#This Row],[Benchmark '#1 Return]],"-"),"-")</f>
        <v>8.2750195664406737E-3</v>
      </c>
      <c r="H970" s="1" t="str">
        <f>IF(COUNTIF(Comp1[Comparable '#1 Dates],Benchmark1[[#This Row],[Benchmark '#1 Dates]])=1,"Pass","Fail")</f>
        <v>Pass</v>
      </c>
      <c r="I970" s="6">
        <f>IF(Benchmark1[[#This Row],[Comparable '#1 Date Check]]="Pass",INDEX(Comp1[Comparable '#1 Price],MATCH(Benchmark1[[#This Row],[Benchmark '#1 Dates]],Comp1[Comparable '#1 Dates],0)),"-")</f>
        <v>11.48</v>
      </c>
      <c r="J970" s="22">
        <f>IF(Benchmark1[[#This Row],[Comparable '#1 Date Check]]="Pass",INDEX(Comp1[Comparable '#1 Return],MATCH(Benchmark1[[#This Row],[Benchmark '#1 Dates]],Comp1[Comparable '#1 Dates],0)),"-")</f>
        <v>-1.8127384592556604E-2</v>
      </c>
      <c r="K970" s="1">
        <f>IFERROR(IF(Benchmark1[[#This Row],[Comparable '#1 Date Check]]="Pass",Benchmark1[[#This Row],[Comparable '#1 Return]]-Benchmark1[[#This Row],[Benchmark '#1 Return]],"-"),"-")</f>
        <v>1.4433771935535196E-2</v>
      </c>
      <c r="L970" s="1" t="str">
        <f>IF(COUNTIF(Comp2[Comparable '#2 Dates],Benchmark1[[#This Row],[Benchmark '#1 Dates]])=1,"Pass","Fail")</f>
        <v>Pass</v>
      </c>
      <c r="M970" s="6">
        <f>IF(Benchmark1[[#This Row],[Comparable '#2 Date Check]]="Pass",INDEX(Comp2[Comparable '#2 Price],MATCH(Benchmark1[[#This Row],[Benchmark '#1 Dates]],Comp2[Comparable '#2 Dates],0)),"-")</f>
        <v>31.47</v>
      </c>
      <c r="N970" s="22">
        <f>IF(Benchmark1[[#This Row],[Comparable '#2 Date Check]]="Pass",INDEX(Comp2[Comparable '#2 Return],MATCH(Benchmark1[[#This Row],[Benchmark '#1 Dates]],Comp2[Comparable '#2 Dates],0)),"-")</f>
        <v>1.9249872562247559E-2</v>
      </c>
      <c r="O970" s="1">
        <f>IFERROR(IF(Benchmark1[[#This Row],[Comparable '#2 Date Check]]="Pass",Benchmark1[[#This Row],[Comparable '#2 Return]]-Benchmark1[[#This Row],[Benchmark '#1 Return]],"-"),"-")</f>
        <v>5.1811029090339356E-2</v>
      </c>
      <c r="P970" s="1" t="str">
        <f>IF(COUNTIF(Comp3[Comparable '#3 Dates],Benchmark1[[#This Row],[Benchmark '#1 Dates]])=1,"Pass","Fail")</f>
        <v>Pass</v>
      </c>
      <c r="Q970" s="6">
        <f>IF(Benchmark1[[#This Row],[Comparable '#3 Date Check]]="Pass",INDEX(Comp3[Comparable '#3 Price],MATCH(Benchmark1[[#This Row],[Benchmark '#1 Dates]],Comp3[Comparable '#3 Dates],0)),"-")</f>
        <v>63.14</v>
      </c>
      <c r="R970" s="22">
        <f>IF(Benchmark1[[#This Row],[Comparable '#3 Date Check]]="Pass",INDEX(Comp3[Comparable '#3 Return],MATCH(Benchmark1[[#This Row],[Benchmark '#1 Dates]],Comp3[Comparable '#3 Dates],0)),"-")</f>
        <v>-5.8428906850378371E-3</v>
      </c>
      <c r="S970" s="1">
        <f>IFERROR(IF(Benchmark1[[#This Row],[Comparable '#3 Date Check]]="Pass",Benchmark1[[#This Row],[Comparable '#3 Return]]-Benchmark1[[#This Row],[Benchmark '#1 Return]],"-"),"-")</f>
        <v>2.6718265843053965E-2</v>
      </c>
    </row>
    <row r="971" spans="1:19">
      <c r="A971" s="103">
        <v>44691</v>
      </c>
      <c r="B971" s="104">
        <v>4001.0546954261872</v>
      </c>
      <c r="C971" s="4">
        <f t="shared" si="15"/>
        <v>2.4566971410301518E-3</v>
      </c>
      <c r="D971" s="1" t="str">
        <f>IF(COUNTIF(Target1[Target Dates],Benchmark1[[#This Row],[Benchmark '#1 Dates]])=1,"Pass","Fail")</f>
        <v>Pass</v>
      </c>
      <c r="E971" s="6">
        <f>IF(Benchmark1[[#This Row],[Target Date Check]]="Pass",INDEX(Target1[Target Price],MATCH(Benchmark1[[#This Row],[Benchmark '#1 Dates]],Target1[Target Dates],0)),"-")</f>
        <v>36.090000000000003</v>
      </c>
      <c r="F971" s="22">
        <f>IF(Benchmark1[[#This Row],[Target Date Check]]="Pass",INDEX(Target1[Target Return],MATCH(Benchmark1[[#This Row],[Benchmark '#1 Dates]],Target1[Target Dates],0)),"-")</f>
        <v>-1.4305608477447477E-2</v>
      </c>
      <c r="G971" s="1">
        <f>IFERROR(IF(Benchmark1[[#This Row],[Target Date Check]]="Pass",Benchmark1[[#This Row],[Target Return]]-Benchmark1[[#This Row],[Benchmark '#1 Return]],"-"),"-")</f>
        <v>-1.6762305618477628E-2</v>
      </c>
      <c r="H971" s="1" t="str">
        <f>IF(COUNTIF(Comp1[Comparable '#1 Dates],Benchmark1[[#This Row],[Benchmark '#1 Dates]])=1,"Pass","Fail")</f>
        <v>Pass</v>
      </c>
      <c r="I971" s="6">
        <f>IF(Benchmark1[[#This Row],[Comparable '#1 Date Check]]="Pass",INDEX(Comp1[Comparable '#1 Price],MATCH(Benchmark1[[#This Row],[Benchmark '#1 Dates]],Comp1[Comparable '#1 Dates],0)),"-")</f>
        <v>11.49</v>
      </c>
      <c r="J971" s="22">
        <f>IF(Benchmark1[[#This Row],[Comparable '#1 Date Check]]="Pass",INDEX(Comp1[Comparable '#1 Return],MATCH(Benchmark1[[#This Row],[Benchmark '#1 Dates]],Comp1[Comparable '#1 Dates],0)),"-")</f>
        <v>8.7070096924389095E-4</v>
      </c>
      <c r="K971" s="1">
        <f>IFERROR(IF(Benchmark1[[#This Row],[Comparable '#1 Date Check]]="Pass",Benchmark1[[#This Row],[Comparable '#1 Return]]-Benchmark1[[#This Row],[Benchmark '#1 Return]],"-"),"-")</f>
        <v>-1.5859961717862609E-3</v>
      </c>
      <c r="L971" s="1" t="str">
        <f>IF(COUNTIF(Comp2[Comparable '#2 Dates],Benchmark1[[#This Row],[Benchmark '#1 Dates]])=1,"Pass","Fail")</f>
        <v>Pass</v>
      </c>
      <c r="M971" s="6">
        <f>IF(Benchmark1[[#This Row],[Comparable '#2 Date Check]]="Pass",INDEX(Comp2[Comparable '#2 Price],MATCH(Benchmark1[[#This Row],[Benchmark '#1 Dates]],Comp2[Comparable '#2 Dates],0)),"-")</f>
        <v>32.18</v>
      </c>
      <c r="N971" s="22">
        <f>IF(Benchmark1[[#This Row],[Comparable '#2 Date Check]]="Pass",INDEX(Comp2[Comparable '#2 Return],MATCH(Benchmark1[[#This Row],[Benchmark '#1 Dates]],Comp2[Comparable '#2 Dates],0)),"-")</f>
        <v>2.2310430487921654E-2</v>
      </c>
      <c r="O971" s="1">
        <f>IFERROR(IF(Benchmark1[[#This Row],[Comparable '#2 Date Check]]="Pass",Benchmark1[[#This Row],[Comparable '#2 Return]]-Benchmark1[[#This Row],[Benchmark '#1 Return]],"-"),"-")</f>
        <v>1.98537333468915E-2</v>
      </c>
      <c r="P971" s="1" t="str">
        <f>IF(COUNTIF(Comp3[Comparable '#3 Dates],Benchmark1[[#This Row],[Benchmark '#1 Dates]])=1,"Pass","Fail")</f>
        <v>Pass</v>
      </c>
      <c r="Q971" s="6">
        <f>IF(Benchmark1[[#This Row],[Comparable '#3 Date Check]]="Pass",INDEX(Comp3[Comparable '#3 Price],MATCH(Benchmark1[[#This Row],[Benchmark '#1 Dates]],Comp3[Comparable '#3 Dates],0)),"-")</f>
        <v>62.88</v>
      </c>
      <c r="R971" s="22">
        <f>IF(Benchmark1[[#This Row],[Comparable '#3 Date Check]]="Pass",INDEX(Comp3[Comparable '#3 Return],MATCH(Benchmark1[[#This Row],[Benchmark '#1 Dates]],Comp3[Comparable '#3 Dates],0)),"-")</f>
        <v>-4.1263350088944556E-3</v>
      </c>
      <c r="S971" s="1">
        <f>IFERROR(IF(Benchmark1[[#This Row],[Comparable '#3 Date Check]]="Pass",Benchmark1[[#This Row],[Comparable '#3 Return]]-Benchmark1[[#This Row],[Benchmark '#1 Return]],"-"),"-")</f>
        <v>-6.5830321499246074E-3</v>
      </c>
    </row>
    <row r="972" spans="1:19">
      <c r="A972" s="103">
        <v>44692</v>
      </c>
      <c r="B972" s="104">
        <v>3935.184602951826</v>
      </c>
      <c r="C972" s="4">
        <f t="shared" si="15"/>
        <v>-1.6600206376180485E-2</v>
      </c>
      <c r="D972" s="1" t="str">
        <f>IF(COUNTIF(Target1[Target Dates],Benchmark1[[#This Row],[Benchmark '#1 Dates]])=1,"Pass","Fail")</f>
        <v>Pass</v>
      </c>
      <c r="E972" s="6">
        <f>IF(Benchmark1[[#This Row],[Target Date Check]]="Pass",INDEX(Target1[Target Price],MATCH(Benchmark1[[#This Row],[Benchmark '#1 Dates]],Target1[Target Dates],0)),"-")</f>
        <v>35.6</v>
      </c>
      <c r="F972" s="22">
        <f>IF(Benchmark1[[#This Row],[Target Date Check]]="Pass",INDEX(Target1[Target Return],MATCH(Benchmark1[[#This Row],[Benchmark '#1 Dates]],Target1[Target Dates],0)),"-")</f>
        <v>-1.3670180796712495E-2</v>
      </c>
      <c r="G972" s="1">
        <f>IFERROR(IF(Benchmark1[[#This Row],[Target Date Check]]="Pass",Benchmark1[[#This Row],[Target Return]]-Benchmark1[[#This Row],[Benchmark '#1 Return]],"-"),"-")</f>
        <v>2.9300255794679902E-3</v>
      </c>
      <c r="H972" s="1" t="str">
        <f>IF(COUNTIF(Comp1[Comparable '#1 Dates],Benchmark1[[#This Row],[Benchmark '#1 Dates]])=1,"Pass","Fail")</f>
        <v>Pass</v>
      </c>
      <c r="I972" s="6">
        <f>IF(Benchmark1[[#This Row],[Comparable '#1 Date Check]]="Pass",INDEX(Comp1[Comparable '#1 Price],MATCH(Benchmark1[[#This Row],[Benchmark '#1 Dates]],Comp1[Comparable '#1 Dates],0)),"-")</f>
        <v>11.29</v>
      </c>
      <c r="J972" s="22">
        <f>IF(Benchmark1[[#This Row],[Comparable '#1 Date Check]]="Pass",INDEX(Comp1[Comparable '#1 Return],MATCH(Benchmark1[[#This Row],[Benchmark '#1 Dates]],Comp1[Comparable '#1 Dates],0)),"-")</f>
        <v>-1.7559713699093791E-2</v>
      </c>
      <c r="K972" s="1">
        <f>IFERROR(IF(Benchmark1[[#This Row],[Comparable '#1 Date Check]]="Pass",Benchmark1[[#This Row],[Comparable '#1 Return]]-Benchmark1[[#This Row],[Benchmark '#1 Return]],"-"),"-")</f>
        <v>-9.5950732291330554E-4</v>
      </c>
      <c r="L972" s="1" t="str">
        <f>IF(COUNTIF(Comp2[Comparable '#2 Dates],Benchmark1[[#This Row],[Benchmark '#1 Dates]])=1,"Pass","Fail")</f>
        <v>Pass</v>
      </c>
      <c r="M972" s="6">
        <f>IF(Benchmark1[[#This Row],[Comparable '#2 Date Check]]="Pass",INDEX(Comp2[Comparable '#2 Price],MATCH(Benchmark1[[#This Row],[Benchmark '#1 Dates]],Comp2[Comparable '#2 Dates],0)),"-")</f>
        <v>30.74</v>
      </c>
      <c r="N972" s="22">
        <f>IF(Benchmark1[[#This Row],[Comparable '#2 Date Check]]="Pass",INDEX(Comp2[Comparable '#2 Return],MATCH(Benchmark1[[#This Row],[Benchmark '#1 Dates]],Comp2[Comparable '#2 Dates],0)),"-")</f>
        <v>-4.5780403453787387E-2</v>
      </c>
      <c r="O972" s="1">
        <f>IFERROR(IF(Benchmark1[[#This Row],[Comparable '#2 Date Check]]="Pass",Benchmark1[[#This Row],[Comparable '#2 Return]]-Benchmark1[[#This Row],[Benchmark '#1 Return]],"-"),"-")</f>
        <v>-2.9180197077606902E-2</v>
      </c>
      <c r="P972" s="1" t="str">
        <f>IF(COUNTIF(Comp3[Comparable '#3 Dates],Benchmark1[[#This Row],[Benchmark '#1 Dates]])=1,"Pass","Fail")</f>
        <v>Pass</v>
      </c>
      <c r="Q972" s="6">
        <f>IF(Benchmark1[[#This Row],[Comparable '#3 Date Check]]="Pass",INDEX(Comp3[Comparable '#3 Price],MATCH(Benchmark1[[#This Row],[Benchmark '#1 Dates]],Comp3[Comparable '#3 Dates],0)),"-")</f>
        <v>61.69</v>
      </c>
      <c r="R972" s="22">
        <f>IF(Benchmark1[[#This Row],[Comparable '#3 Date Check]]="Pass",INDEX(Comp3[Comparable '#3 Return],MATCH(Benchmark1[[#This Row],[Benchmark '#1 Dates]],Comp3[Comparable '#3 Dates],0)),"-")</f>
        <v>-1.9106304899403896E-2</v>
      </c>
      <c r="S972" s="1">
        <f>IFERROR(IF(Benchmark1[[#This Row],[Comparable '#3 Date Check]]="Pass",Benchmark1[[#This Row],[Comparable '#3 Return]]-Benchmark1[[#This Row],[Benchmark '#1 Return]],"-"),"-")</f>
        <v>-2.5060985232234108E-3</v>
      </c>
    </row>
    <row r="973" spans="1:19">
      <c r="A973" s="103">
        <v>44693</v>
      </c>
      <c r="B973" s="104">
        <v>3930.0819031463775</v>
      </c>
      <c r="C973" s="4">
        <f t="shared" si="15"/>
        <v>-1.297527685143695E-3</v>
      </c>
      <c r="D973" s="1" t="str">
        <f>IF(COUNTIF(Target1[Target Dates],Benchmark1[[#This Row],[Benchmark '#1 Dates]])=1,"Pass","Fail")</f>
        <v>Pass</v>
      </c>
      <c r="E973" s="6">
        <f>IF(Benchmark1[[#This Row],[Target Date Check]]="Pass",INDEX(Target1[Target Price],MATCH(Benchmark1[[#This Row],[Benchmark '#1 Dates]],Target1[Target Dates],0)),"-")</f>
        <v>36.15</v>
      </c>
      <c r="F973" s="22">
        <f>IF(Benchmark1[[#This Row],[Target Date Check]]="Pass",INDEX(Target1[Target Return],MATCH(Benchmark1[[#This Row],[Benchmark '#1 Dates]],Target1[Target Dates],0)),"-")</f>
        <v>1.533131074678893E-2</v>
      </c>
      <c r="G973" s="1">
        <f>IFERROR(IF(Benchmark1[[#This Row],[Target Date Check]]="Pass",Benchmark1[[#This Row],[Target Return]]-Benchmark1[[#This Row],[Benchmark '#1 Return]],"-"),"-")</f>
        <v>1.6628838431932625E-2</v>
      </c>
      <c r="H973" s="1" t="str">
        <f>IF(COUNTIF(Comp1[Comparable '#1 Dates],Benchmark1[[#This Row],[Benchmark '#1 Dates]])=1,"Pass","Fail")</f>
        <v>Pass</v>
      </c>
      <c r="I973" s="6">
        <f>IF(Benchmark1[[#This Row],[Comparable '#1 Date Check]]="Pass",INDEX(Comp1[Comparable '#1 Price],MATCH(Benchmark1[[#This Row],[Benchmark '#1 Dates]],Comp1[Comparable '#1 Dates],0)),"-")</f>
        <v>11.51</v>
      </c>
      <c r="J973" s="22">
        <f>IF(Benchmark1[[#This Row],[Comparable '#1 Date Check]]="Pass",INDEX(Comp1[Comparable '#1 Return],MATCH(Benchmark1[[#This Row],[Benchmark '#1 Dates]],Comp1[Comparable '#1 Dates],0)),"-")</f>
        <v>1.9298844572220589E-2</v>
      </c>
      <c r="K973" s="1">
        <f>IFERROR(IF(Benchmark1[[#This Row],[Comparable '#1 Date Check]]="Pass",Benchmark1[[#This Row],[Comparable '#1 Return]]-Benchmark1[[#This Row],[Benchmark '#1 Return]],"-"),"-")</f>
        <v>2.0596372257364284E-2</v>
      </c>
      <c r="L973" s="1" t="str">
        <f>IF(COUNTIF(Comp2[Comparable '#2 Dates],Benchmark1[[#This Row],[Benchmark '#1 Dates]])=1,"Pass","Fail")</f>
        <v>Pass</v>
      </c>
      <c r="M973" s="6">
        <f>IF(Benchmark1[[#This Row],[Comparable '#2 Date Check]]="Pass",INDEX(Comp2[Comparable '#2 Price],MATCH(Benchmark1[[#This Row],[Benchmark '#1 Dates]],Comp2[Comparable '#2 Dates],0)),"-")</f>
        <v>30.79</v>
      </c>
      <c r="N973" s="22">
        <f>IF(Benchmark1[[#This Row],[Comparable '#2 Date Check]]="Pass",INDEX(Comp2[Comparable '#2 Return],MATCH(Benchmark1[[#This Row],[Benchmark '#1 Dates]],Comp2[Comparable '#2 Dates],0)),"-")</f>
        <v>1.6252238259592748E-3</v>
      </c>
      <c r="O973" s="1">
        <f>IFERROR(IF(Benchmark1[[#This Row],[Comparable '#2 Date Check]]="Pass",Benchmark1[[#This Row],[Comparable '#2 Return]]-Benchmark1[[#This Row],[Benchmark '#1 Return]],"-"),"-")</f>
        <v>2.9227515111029698E-3</v>
      </c>
      <c r="P973" s="1" t="str">
        <f>IF(COUNTIF(Comp3[Comparable '#3 Dates],Benchmark1[[#This Row],[Benchmark '#1 Dates]])=1,"Pass","Fail")</f>
        <v>Pass</v>
      </c>
      <c r="Q973" s="6">
        <f>IF(Benchmark1[[#This Row],[Comparable '#3 Date Check]]="Pass",INDEX(Comp3[Comparable '#3 Price],MATCH(Benchmark1[[#This Row],[Benchmark '#1 Dates]],Comp3[Comparable '#3 Dates],0)),"-")</f>
        <v>62.35</v>
      </c>
      <c r="R973" s="22">
        <f>IF(Benchmark1[[#This Row],[Comparable '#3 Date Check]]="Pass",INDEX(Comp3[Comparable '#3 Return],MATCH(Benchmark1[[#This Row],[Benchmark '#1 Dates]],Comp3[Comparable '#3 Dates],0)),"-")</f>
        <v>1.0641828904498146E-2</v>
      </c>
      <c r="S973" s="1">
        <f>IFERROR(IF(Benchmark1[[#This Row],[Comparable '#3 Date Check]]="Pass",Benchmark1[[#This Row],[Comparable '#3 Return]]-Benchmark1[[#This Row],[Benchmark '#1 Return]],"-"),"-")</f>
        <v>1.193935658964184E-2</v>
      </c>
    </row>
    <row r="974" spans="1:19">
      <c r="A974" s="103">
        <v>44694</v>
      </c>
      <c r="B974" s="104">
        <v>4023.8912701704794</v>
      </c>
      <c r="C974" s="4">
        <f t="shared" si="15"/>
        <v>2.3589145937743087E-2</v>
      </c>
      <c r="D974" s="1" t="str">
        <f>IF(COUNTIF(Target1[Target Dates],Benchmark1[[#This Row],[Benchmark '#1 Dates]])=1,"Pass","Fail")</f>
        <v>Pass</v>
      </c>
      <c r="E974" s="6">
        <f>IF(Benchmark1[[#This Row],[Target Date Check]]="Pass",INDEX(Target1[Target Price],MATCH(Benchmark1[[#This Row],[Benchmark '#1 Dates]],Target1[Target Dates],0)),"-")</f>
        <v>36.58</v>
      </c>
      <c r="F974" s="22">
        <f>IF(Benchmark1[[#This Row],[Target Date Check]]="Pass",INDEX(Target1[Target Return],MATCH(Benchmark1[[#This Row],[Benchmark '#1 Dates]],Target1[Target Dates],0)),"-")</f>
        <v>1.1824694357945902E-2</v>
      </c>
      <c r="G974" s="1">
        <f>IFERROR(IF(Benchmark1[[#This Row],[Target Date Check]]="Pass",Benchmark1[[#This Row],[Target Return]]-Benchmark1[[#This Row],[Benchmark '#1 Return]],"-"),"-")</f>
        <v>-1.1764451579797185E-2</v>
      </c>
      <c r="H974" s="1" t="str">
        <f>IF(COUNTIF(Comp1[Comparable '#1 Dates],Benchmark1[[#This Row],[Benchmark '#1 Dates]])=1,"Pass","Fail")</f>
        <v>Pass</v>
      </c>
      <c r="I974" s="6">
        <f>IF(Benchmark1[[#This Row],[Comparable '#1 Date Check]]="Pass",INDEX(Comp1[Comparable '#1 Price],MATCH(Benchmark1[[#This Row],[Benchmark '#1 Dates]],Comp1[Comparable '#1 Dates],0)),"-")</f>
        <v>11.49</v>
      </c>
      <c r="J974" s="22">
        <f>IF(Benchmark1[[#This Row],[Comparable '#1 Date Check]]="Pass",INDEX(Comp1[Comparable '#1 Return],MATCH(Benchmark1[[#This Row],[Benchmark '#1 Dates]],Comp1[Comparable '#1 Dates],0)),"-")</f>
        <v>-1.7391308731268757E-3</v>
      </c>
      <c r="K974" s="1">
        <f>IFERROR(IF(Benchmark1[[#This Row],[Comparable '#1 Date Check]]="Pass",Benchmark1[[#This Row],[Comparable '#1 Return]]-Benchmark1[[#This Row],[Benchmark '#1 Return]],"-"),"-")</f>
        <v>-2.5328276810869962E-2</v>
      </c>
      <c r="L974" s="1" t="str">
        <f>IF(COUNTIF(Comp2[Comparable '#2 Dates],Benchmark1[[#This Row],[Benchmark '#1 Dates]])=1,"Pass","Fail")</f>
        <v>Pass</v>
      </c>
      <c r="M974" s="6">
        <f>IF(Benchmark1[[#This Row],[Comparable '#2 Date Check]]="Pass",INDEX(Comp2[Comparable '#2 Price],MATCH(Benchmark1[[#This Row],[Benchmark '#1 Dates]],Comp2[Comparable '#2 Dates],0)),"-")</f>
        <v>30.43</v>
      </c>
      <c r="N974" s="22">
        <f>IF(Benchmark1[[#This Row],[Comparable '#2 Date Check]]="Pass",INDEX(Comp2[Comparable '#2 Return],MATCH(Benchmark1[[#This Row],[Benchmark '#1 Dates]],Comp2[Comparable '#2 Dates],0)),"-")</f>
        <v>-1.1760998027529303E-2</v>
      </c>
      <c r="O974" s="1">
        <f>IFERROR(IF(Benchmark1[[#This Row],[Comparable '#2 Date Check]]="Pass",Benchmark1[[#This Row],[Comparable '#2 Return]]-Benchmark1[[#This Row],[Benchmark '#1 Return]],"-"),"-")</f>
        <v>-3.535014396527239E-2</v>
      </c>
      <c r="P974" s="1" t="str">
        <f>IF(COUNTIF(Comp3[Comparable '#3 Dates],Benchmark1[[#This Row],[Benchmark '#1 Dates]])=1,"Pass","Fail")</f>
        <v>Pass</v>
      </c>
      <c r="Q974" s="6">
        <f>IF(Benchmark1[[#This Row],[Comparable '#3 Date Check]]="Pass",INDEX(Comp3[Comparable '#3 Price],MATCH(Benchmark1[[#This Row],[Benchmark '#1 Dates]],Comp3[Comparable '#3 Dates],0)),"-")</f>
        <v>62.5</v>
      </c>
      <c r="R974" s="22">
        <f>IF(Benchmark1[[#This Row],[Comparable '#3 Date Check]]="Pass",INDEX(Comp3[Comparable '#3 Return],MATCH(Benchmark1[[#This Row],[Benchmark '#1 Dates]],Comp3[Comparable '#3 Dates],0)),"-")</f>
        <v>2.4028846163103158E-3</v>
      </c>
      <c r="S974" s="1">
        <f>IFERROR(IF(Benchmark1[[#This Row],[Comparable '#3 Date Check]]="Pass",Benchmark1[[#This Row],[Comparable '#3 Return]]-Benchmark1[[#This Row],[Benchmark '#1 Return]],"-"),"-")</f>
        <v>-2.1186261321432771E-2</v>
      </c>
    </row>
    <row r="975" spans="1:19">
      <c r="A975" s="103">
        <v>44697</v>
      </c>
      <c r="B975" s="104">
        <v>4008.0104829289094</v>
      </c>
      <c r="C975" s="4">
        <f t="shared" si="15"/>
        <v>-3.9544328166461811E-3</v>
      </c>
      <c r="D975" s="1" t="str">
        <f>IF(COUNTIF(Target1[Target Dates],Benchmark1[[#This Row],[Benchmark '#1 Dates]])=1,"Pass","Fail")</f>
        <v>Pass</v>
      </c>
      <c r="E975" s="6">
        <f>IF(Benchmark1[[#This Row],[Target Date Check]]="Pass",INDEX(Target1[Target Price],MATCH(Benchmark1[[#This Row],[Benchmark '#1 Dates]],Target1[Target Dates],0)),"-")</f>
        <v>37.119999999999997</v>
      </c>
      <c r="F975" s="22">
        <f>IF(Benchmark1[[#This Row],[Target Date Check]]="Pass",INDEX(Target1[Target Return],MATCH(Benchmark1[[#This Row],[Benchmark '#1 Dates]],Target1[Target Dates],0)),"-")</f>
        <v>1.4654264955280077E-2</v>
      </c>
      <c r="G975" s="1">
        <f>IFERROR(IF(Benchmark1[[#This Row],[Target Date Check]]="Pass",Benchmark1[[#This Row],[Target Return]]-Benchmark1[[#This Row],[Benchmark '#1 Return]],"-"),"-")</f>
        <v>1.8608697771926259E-2</v>
      </c>
      <c r="H975" s="1" t="str">
        <f>IF(COUNTIF(Comp1[Comparable '#1 Dates],Benchmark1[[#This Row],[Benchmark '#1 Dates]])=1,"Pass","Fail")</f>
        <v>Pass</v>
      </c>
      <c r="I975" s="6">
        <f>IF(Benchmark1[[#This Row],[Comparable '#1 Date Check]]="Pass",INDEX(Comp1[Comparable '#1 Price],MATCH(Benchmark1[[#This Row],[Benchmark '#1 Dates]],Comp1[Comparable '#1 Dates],0)),"-")</f>
        <v>11.69</v>
      </c>
      <c r="J975" s="22">
        <f>IF(Benchmark1[[#This Row],[Comparable '#1 Date Check]]="Pass",INDEX(Comp1[Comparable '#1 Return],MATCH(Benchmark1[[#This Row],[Benchmark '#1 Dates]],Comp1[Comparable '#1 Dates],0)),"-")</f>
        <v>1.7256683623312744E-2</v>
      </c>
      <c r="K975" s="1">
        <f>IFERROR(IF(Benchmark1[[#This Row],[Comparable '#1 Date Check]]="Pass",Benchmark1[[#This Row],[Comparable '#1 Return]]-Benchmark1[[#This Row],[Benchmark '#1 Return]],"-"),"-")</f>
        <v>2.1211116439958926E-2</v>
      </c>
      <c r="L975" s="1" t="str">
        <f>IF(COUNTIF(Comp2[Comparable '#2 Dates],Benchmark1[[#This Row],[Benchmark '#1 Dates]])=1,"Pass","Fail")</f>
        <v>Pass</v>
      </c>
      <c r="M975" s="6">
        <f>IF(Benchmark1[[#This Row],[Comparable '#2 Date Check]]="Pass",INDEX(Comp2[Comparable '#2 Price],MATCH(Benchmark1[[#This Row],[Benchmark '#1 Dates]],Comp2[Comparable '#2 Dates],0)),"-")</f>
        <v>30.39</v>
      </c>
      <c r="N975" s="22">
        <f>IF(Benchmark1[[#This Row],[Comparable '#2 Date Check]]="Pass",INDEX(Comp2[Comparable '#2 Return],MATCH(Benchmark1[[#This Row],[Benchmark '#1 Dates]],Comp2[Comparable '#2 Dates],0)),"-")</f>
        <v>-1.3153569801779377E-3</v>
      </c>
      <c r="O975" s="1">
        <f>IFERROR(IF(Benchmark1[[#This Row],[Comparable '#2 Date Check]]="Pass",Benchmark1[[#This Row],[Comparable '#2 Return]]-Benchmark1[[#This Row],[Benchmark '#1 Return]],"-"),"-")</f>
        <v>2.6390758364682435E-3</v>
      </c>
      <c r="P975" s="1" t="str">
        <f>IF(COUNTIF(Comp3[Comparable '#3 Dates],Benchmark1[[#This Row],[Benchmark '#1 Dates]])=1,"Pass","Fail")</f>
        <v>Pass</v>
      </c>
      <c r="Q975" s="6">
        <f>IF(Benchmark1[[#This Row],[Comparable '#3 Date Check]]="Pass",INDEX(Comp3[Comparable '#3 Price],MATCH(Benchmark1[[#This Row],[Benchmark '#1 Dates]],Comp3[Comparable '#3 Dates],0)),"-")</f>
        <v>63.43</v>
      </c>
      <c r="R975" s="22">
        <f>IF(Benchmark1[[#This Row],[Comparable '#3 Date Check]]="Pass",INDEX(Comp3[Comparable '#3 Return],MATCH(Benchmark1[[#This Row],[Benchmark '#1 Dates]],Comp3[Comparable '#3 Dates],0)),"-")</f>
        <v>1.477037890344996E-2</v>
      </c>
      <c r="S975" s="1">
        <f>IFERROR(IF(Benchmark1[[#This Row],[Comparable '#3 Date Check]]="Pass",Benchmark1[[#This Row],[Comparable '#3 Return]]-Benchmark1[[#This Row],[Benchmark '#1 Return]],"-"),"-")</f>
        <v>1.872481172009614E-2</v>
      </c>
    </row>
    <row r="976" spans="1:19">
      <c r="A976" s="103">
        <v>44698</v>
      </c>
      <c r="B976" s="104">
        <v>4088.8504116241534</v>
      </c>
      <c r="C976" s="4">
        <f t="shared" si="15"/>
        <v>1.9968878313406796E-2</v>
      </c>
      <c r="D976" s="1" t="str">
        <f>IF(COUNTIF(Target1[Target Dates],Benchmark1[[#This Row],[Benchmark '#1 Dates]])=1,"Pass","Fail")</f>
        <v>Pass</v>
      </c>
      <c r="E976" s="6">
        <f>IF(Benchmark1[[#This Row],[Target Date Check]]="Pass",INDEX(Target1[Target Price],MATCH(Benchmark1[[#This Row],[Benchmark '#1 Dates]],Target1[Target Dates],0)),"-")</f>
        <v>38.229999999999997</v>
      </c>
      <c r="F976" s="22">
        <f>IF(Benchmark1[[#This Row],[Target Date Check]]="Pass",INDEX(Target1[Target Return],MATCH(Benchmark1[[#This Row],[Benchmark '#1 Dates]],Target1[Target Dates],0)),"-")</f>
        <v>2.9464639790321517E-2</v>
      </c>
      <c r="G976" s="1">
        <f>IFERROR(IF(Benchmark1[[#This Row],[Target Date Check]]="Pass",Benchmark1[[#This Row],[Target Return]]-Benchmark1[[#This Row],[Benchmark '#1 Return]],"-"),"-")</f>
        <v>9.4957614769147214E-3</v>
      </c>
      <c r="H976" s="1" t="str">
        <f>IF(COUNTIF(Comp1[Comparable '#1 Dates],Benchmark1[[#This Row],[Benchmark '#1 Dates]])=1,"Pass","Fail")</f>
        <v>Pass</v>
      </c>
      <c r="I976" s="6">
        <f>IF(Benchmark1[[#This Row],[Comparable '#1 Date Check]]="Pass",INDEX(Comp1[Comparable '#1 Price],MATCH(Benchmark1[[#This Row],[Benchmark '#1 Dates]],Comp1[Comparable '#1 Dates],0)),"-")</f>
        <v>12.19</v>
      </c>
      <c r="J976" s="22">
        <f>IF(Benchmark1[[#This Row],[Comparable '#1 Date Check]]="Pass",INDEX(Comp1[Comparable '#1 Return],MATCH(Benchmark1[[#This Row],[Benchmark '#1 Dates]],Comp1[Comparable '#1 Dates],0)),"-")</f>
        <v>4.1882168009203191E-2</v>
      </c>
      <c r="K976" s="1">
        <f>IFERROR(IF(Benchmark1[[#This Row],[Comparable '#1 Date Check]]="Pass",Benchmark1[[#This Row],[Comparable '#1 Return]]-Benchmark1[[#This Row],[Benchmark '#1 Return]],"-"),"-")</f>
        <v>2.1913289695796395E-2</v>
      </c>
      <c r="L976" s="1" t="str">
        <f>IF(COUNTIF(Comp2[Comparable '#2 Dates],Benchmark1[[#This Row],[Benchmark '#1 Dates]])=1,"Pass","Fail")</f>
        <v>Pass</v>
      </c>
      <c r="M976" s="6">
        <f>IF(Benchmark1[[#This Row],[Comparable '#2 Date Check]]="Pass",INDEX(Comp2[Comparable '#2 Price],MATCH(Benchmark1[[#This Row],[Benchmark '#1 Dates]],Comp2[Comparable '#2 Dates],0)),"-")</f>
        <v>31.17</v>
      </c>
      <c r="N976" s="22">
        <f>IF(Benchmark1[[#This Row],[Comparable '#2 Date Check]]="Pass",INDEX(Comp2[Comparable '#2 Return],MATCH(Benchmark1[[#This Row],[Benchmark '#1 Dates]],Comp2[Comparable '#2 Dates],0)),"-")</f>
        <v>2.534248685054415E-2</v>
      </c>
      <c r="O976" s="1">
        <f>IFERROR(IF(Benchmark1[[#This Row],[Comparable '#2 Date Check]]="Pass",Benchmark1[[#This Row],[Comparable '#2 Return]]-Benchmark1[[#This Row],[Benchmark '#1 Return]],"-"),"-")</f>
        <v>5.3736085371373539E-3</v>
      </c>
      <c r="P976" s="1" t="str">
        <f>IF(COUNTIF(Comp3[Comparable '#3 Dates],Benchmark1[[#This Row],[Benchmark '#1 Dates]])=1,"Pass","Fail")</f>
        <v>Pass</v>
      </c>
      <c r="Q976" s="6">
        <f>IF(Benchmark1[[#This Row],[Comparable '#3 Date Check]]="Pass",INDEX(Comp3[Comparable '#3 Price],MATCH(Benchmark1[[#This Row],[Benchmark '#1 Dates]],Comp3[Comparable '#3 Dates],0)),"-")</f>
        <v>64.87</v>
      </c>
      <c r="R976" s="22">
        <f>IF(Benchmark1[[#This Row],[Comparable '#3 Date Check]]="Pass",INDEX(Comp3[Comparable '#3 Return],MATCH(Benchmark1[[#This Row],[Benchmark '#1 Dates]],Comp3[Comparable '#3 Dates],0)),"-")</f>
        <v>2.2448331579158237E-2</v>
      </c>
      <c r="S976" s="1">
        <f>IFERROR(IF(Benchmark1[[#This Row],[Comparable '#3 Date Check]]="Pass",Benchmark1[[#This Row],[Comparable '#3 Return]]-Benchmark1[[#This Row],[Benchmark '#1 Return]],"-"),"-")</f>
        <v>2.4794532657514412E-3</v>
      </c>
    </row>
    <row r="977" spans="1:19">
      <c r="A977" s="103">
        <v>44699</v>
      </c>
      <c r="B977" s="104">
        <v>3923.6797644470157</v>
      </c>
      <c r="C977" s="4">
        <f t="shared" si="15"/>
        <v>-4.1233928689032862E-2</v>
      </c>
      <c r="D977" s="1" t="str">
        <f>IF(COUNTIF(Target1[Target Dates],Benchmark1[[#This Row],[Benchmark '#1 Dates]])=1,"Pass","Fail")</f>
        <v>Pass</v>
      </c>
      <c r="E977" s="6">
        <f>IF(Benchmark1[[#This Row],[Target Date Check]]="Pass",INDEX(Target1[Target Price],MATCH(Benchmark1[[#This Row],[Benchmark '#1 Dates]],Target1[Target Dates],0)),"-")</f>
        <v>37.21</v>
      </c>
      <c r="F977" s="22">
        <f>IF(Benchmark1[[#This Row],[Target Date Check]]="Pass",INDEX(Target1[Target Return],MATCH(Benchmark1[[#This Row],[Benchmark '#1 Dates]],Target1[Target Dates],0)),"-")</f>
        <v>-2.704300534979022E-2</v>
      </c>
      <c r="G977" s="1">
        <f>IFERROR(IF(Benchmark1[[#This Row],[Target Date Check]]="Pass",Benchmark1[[#This Row],[Target Return]]-Benchmark1[[#This Row],[Benchmark '#1 Return]],"-"),"-")</f>
        <v>1.4190923339242642E-2</v>
      </c>
      <c r="H977" s="1" t="str">
        <f>IF(COUNTIF(Comp1[Comparable '#1 Dates],Benchmark1[[#This Row],[Benchmark '#1 Dates]])=1,"Pass","Fail")</f>
        <v>Pass</v>
      </c>
      <c r="I977" s="6">
        <f>IF(Benchmark1[[#This Row],[Comparable '#1 Date Check]]="Pass",INDEX(Comp1[Comparable '#1 Price],MATCH(Benchmark1[[#This Row],[Benchmark '#1 Dates]],Comp1[Comparable '#1 Dates],0)),"-")</f>
        <v>12.14</v>
      </c>
      <c r="J977" s="22">
        <f>IF(Benchmark1[[#This Row],[Comparable '#1 Date Check]]="Pass",INDEX(Comp1[Comparable '#1 Return],MATCH(Benchmark1[[#This Row],[Benchmark '#1 Dates]],Comp1[Comparable '#1 Dates],0)),"-")</f>
        <v>-4.1101578618278753E-3</v>
      </c>
      <c r="K977" s="1">
        <f>IFERROR(IF(Benchmark1[[#This Row],[Comparable '#1 Date Check]]="Pass",Benchmark1[[#This Row],[Comparable '#1 Return]]-Benchmark1[[#This Row],[Benchmark '#1 Return]],"-"),"-")</f>
        <v>3.7123770827204985E-2</v>
      </c>
      <c r="L977" s="1" t="str">
        <f>IF(COUNTIF(Comp2[Comparable '#2 Dates],Benchmark1[[#This Row],[Benchmark '#1 Dates]])=1,"Pass","Fail")</f>
        <v>Pass</v>
      </c>
      <c r="M977" s="6">
        <f>IF(Benchmark1[[#This Row],[Comparable '#2 Date Check]]="Pass",INDEX(Comp2[Comparable '#2 Price],MATCH(Benchmark1[[#This Row],[Benchmark '#1 Dates]],Comp2[Comparable '#2 Dates],0)),"-")</f>
        <v>31.7</v>
      </c>
      <c r="N977" s="22">
        <f>IF(Benchmark1[[#This Row],[Comparable '#2 Date Check]]="Pass",INDEX(Comp2[Comparable '#2 Return],MATCH(Benchmark1[[#This Row],[Benchmark '#1 Dates]],Comp2[Comparable '#2 Dates],0)),"-")</f>
        <v>1.6860587103989116E-2</v>
      </c>
      <c r="O977" s="1">
        <f>IFERROR(IF(Benchmark1[[#This Row],[Comparable '#2 Date Check]]="Pass",Benchmark1[[#This Row],[Comparable '#2 Return]]-Benchmark1[[#This Row],[Benchmark '#1 Return]],"-"),"-")</f>
        <v>5.8094515793021981E-2</v>
      </c>
      <c r="P977" s="1" t="str">
        <f>IF(COUNTIF(Comp3[Comparable '#3 Dates],Benchmark1[[#This Row],[Benchmark '#1 Dates]])=1,"Pass","Fail")</f>
        <v>Pass</v>
      </c>
      <c r="Q977" s="6">
        <f>IF(Benchmark1[[#This Row],[Comparable '#3 Date Check]]="Pass",INDEX(Comp3[Comparable '#3 Price],MATCH(Benchmark1[[#This Row],[Benchmark '#1 Dates]],Comp3[Comparable '#3 Dates],0)),"-")</f>
        <v>64.45</v>
      </c>
      <c r="R977" s="22">
        <f>IF(Benchmark1[[#This Row],[Comparable '#3 Date Check]]="Pass",INDEX(Comp3[Comparable '#3 Return],MATCH(Benchmark1[[#This Row],[Benchmark '#1 Dates]],Comp3[Comparable '#3 Dates],0)),"-")</f>
        <v>-6.4955378397676799E-3</v>
      </c>
      <c r="S977" s="1">
        <f>IFERROR(IF(Benchmark1[[#This Row],[Comparable '#3 Date Check]]="Pass",Benchmark1[[#This Row],[Comparable '#3 Return]]-Benchmark1[[#This Row],[Benchmark '#1 Return]],"-"),"-")</f>
        <v>3.473839084926518E-2</v>
      </c>
    </row>
    <row r="978" spans="1:19">
      <c r="A978" s="103">
        <v>44700</v>
      </c>
      <c r="B978" s="104">
        <v>3900.7869390362944</v>
      </c>
      <c r="C978" s="4">
        <f t="shared" si="15"/>
        <v>-5.8516168837586847E-3</v>
      </c>
      <c r="D978" s="1" t="str">
        <f>IF(COUNTIF(Target1[Target Dates],Benchmark1[[#This Row],[Benchmark '#1 Dates]])=1,"Pass","Fail")</f>
        <v>Pass</v>
      </c>
      <c r="E978" s="6">
        <f>IF(Benchmark1[[#This Row],[Target Date Check]]="Pass",INDEX(Target1[Target Price],MATCH(Benchmark1[[#This Row],[Benchmark '#1 Dates]],Target1[Target Dates],0)),"-")</f>
        <v>36.29</v>
      </c>
      <c r="F978" s="22">
        <f>IF(Benchmark1[[#This Row],[Target Date Check]]="Pass",INDEX(Target1[Target Return],MATCH(Benchmark1[[#This Row],[Benchmark '#1 Dates]],Target1[Target Dates],0)),"-")</f>
        <v>-2.5035321133552155E-2</v>
      </c>
      <c r="G978" s="1">
        <f>IFERROR(IF(Benchmark1[[#This Row],[Target Date Check]]="Pass",Benchmark1[[#This Row],[Target Return]]-Benchmark1[[#This Row],[Benchmark '#1 Return]],"-"),"-")</f>
        <v>-1.918370424979347E-2</v>
      </c>
      <c r="H978" s="1" t="str">
        <f>IF(COUNTIF(Comp1[Comparable '#1 Dates],Benchmark1[[#This Row],[Benchmark '#1 Dates]])=1,"Pass","Fail")</f>
        <v>Pass</v>
      </c>
      <c r="I978" s="6">
        <f>IF(Benchmark1[[#This Row],[Comparable '#1 Date Check]]="Pass",INDEX(Comp1[Comparable '#1 Price],MATCH(Benchmark1[[#This Row],[Benchmark '#1 Dates]],Comp1[Comparable '#1 Dates],0)),"-")</f>
        <v>12.4</v>
      </c>
      <c r="J978" s="22">
        <f>IF(Benchmark1[[#This Row],[Comparable '#1 Date Check]]="Pass",INDEX(Comp1[Comparable '#1 Return],MATCH(Benchmark1[[#This Row],[Benchmark '#1 Dates]],Comp1[Comparable '#1 Dates],0)),"-")</f>
        <v>2.1190686979639054E-2</v>
      </c>
      <c r="K978" s="1">
        <f>IFERROR(IF(Benchmark1[[#This Row],[Comparable '#1 Date Check]]="Pass",Benchmark1[[#This Row],[Comparable '#1 Return]]-Benchmark1[[#This Row],[Benchmark '#1 Return]],"-"),"-")</f>
        <v>2.7042303863397739E-2</v>
      </c>
      <c r="L978" s="1" t="str">
        <f>IF(COUNTIF(Comp2[Comparable '#2 Dates],Benchmark1[[#This Row],[Benchmark '#1 Dates]])=1,"Pass","Fail")</f>
        <v>Pass</v>
      </c>
      <c r="M978" s="6">
        <f>IF(Benchmark1[[#This Row],[Comparable '#2 Date Check]]="Pass",INDEX(Comp2[Comparable '#2 Price],MATCH(Benchmark1[[#This Row],[Benchmark '#1 Dates]],Comp2[Comparable '#2 Dates],0)),"-")</f>
        <v>31.99</v>
      </c>
      <c r="N978" s="22">
        <f>IF(Benchmark1[[#This Row],[Comparable '#2 Date Check]]="Pass",INDEX(Comp2[Comparable '#2 Return],MATCH(Benchmark1[[#This Row],[Benchmark '#1 Dates]],Comp2[Comparable '#2 Dates],0)),"-")</f>
        <v>9.106673078191737E-3</v>
      </c>
      <c r="O978" s="1">
        <f>IFERROR(IF(Benchmark1[[#This Row],[Comparable '#2 Date Check]]="Pass",Benchmark1[[#This Row],[Comparable '#2 Return]]-Benchmark1[[#This Row],[Benchmark '#1 Return]],"-"),"-")</f>
        <v>1.4958289961950422E-2</v>
      </c>
      <c r="P978" s="1" t="str">
        <f>IF(COUNTIF(Comp3[Comparable '#3 Dates],Benchmark1[[#This Row],[Benchmark '#1 Dates]])=1,"Pass","Fail")</f>
        <v>Pass</v>
      </c>
      <c r="Q978" s="6">
        <f>IF(Benchmark1[[#This Row],[Comparable '#3 Date Check]]="Pass",INDEX(Comp3[Comparable '#3 Price],MATCH(Benchmark1[[#This Row],[Benchmark '#1 Dates]],Comp3[Comparable '#3 Dates],0)),"-")</f>
        <v>63.44</v>
      </c>
      <c r="R978" s="22">
        <f>IF(Benchmark1[[#This Row],[Comparable '#3 Date Check]]="Pass",INDEX(Comp3[Comparable '#3 Return],MATCH(Benchmark1[[#This Row],[Benchmark '#1 Dates]],Comp3[Comparable '#3 Dates],0)),"-")</f>
        <v>-1.5795152058603899E-2</v>
      </c>
      <c r="S978" s="1">
        <f>IFERROR(IF(Benchmark1[[#This Row],[Comparable '#3 Date Check]]="Pass",Benchmark1[[#This Row],[Comparable '#3 Return]]-Benchmark1[[#This Row],[Benchmark '#1 Return]],"-"),"-")</f>
        <v>-9.9435351748452146E-3</v>
      </c>
    </row>
    <row r="979" spans="1:19">
      <c r="A979" s="103">
        <v>44701</v>
      </c>
      <c r="B979" s="104">
        <v>3901.3605760322725</v>
      </c>
      <c r="C979" s="4">
        <f t="shared" si="15"/>
        <v>1.4704592444683885E-4</v>
      </c>
      <c r="D979" s="1" t="str">
        <f>IF(COUNTIF(Target1[Target Dates],Benchmark1[[#This Row],[Benchmark '#1 Dates]])=1,"Pass","Fail")</f>
        <v>Pass</v>
      </c>
      <c r="E979" s="6">
        <f>IF(Benchmark1[[#This Row],[Target Date Check]]="Pass",INDEX(Target1[Target Price],MATCH(Benchmark1[[#This Row],[Benchmark '#1 Dates]],Target1[Target Dates],0)),"-")</f>
        <v>36.950000000000003</v>
      </c>
      <c r="F979" s="22">
        <f>IF(Benchmark1[[#This Row],[Target Date Check]]="Pass",INDEX(Target1[Target Return],MATCH(Benchmark1[[#This Row],[Benchmark '#1 Dates]],Target1[Target Dates],0)),"-")</f>
        <v>1.8023426169231863E-2</v>
      </c>
      <c r="G979" s="1">
        <f>IFERROR(IF(Benchmark1[[#This Row],[Target Date Check]]="Pass",Benchmark1[[#This Row],[Target Return]]-Benchmark1[[#This Row],[Benchmark '#1 Return]],"-"),"-")</f>
        <v>1.7876380244785023E-2</v>
      </c>
      <c r="H979" s="1" t="str">
        <f>IF(COUNTIF(Comp1[Comparable '#1 Dates],Benchmark1[[#This Row],[Benchmark '#1 Dates]])=1,"Pass","Fail")</f>
        <v>Pass</v>
      </c>
      <c r="I979" s="6">
        <f>IF(Benchmark1[[#This Row],[Comparable '#1 Date Check]]="Pass",INDEX(Comp1[Comparable '#1 Price],MATCH(Benchmark1[[#This Row],[Benchmark '#1 Dates]],Comp1[Comparable '#1 Dates],0)),"-")</f>
        <v>12.54</v>
      </c>
      <c r="J979" s="22">
        <f>IF(Benchmark1[[#This Row],[Comparable '#1 Date Check]]="Pass",INDEX(Comp1[Comparable '#1 Return],MATCH(Benchmark1[[#This Row],[Benchmark '#1 Dates]],Comp1[Comparable '#1 Dates],0)),"-")</f>
        <v>1.1227062593783402E-2</v>
      </c>
      <c r="K979" s="1">
        <f>IFERROR(IF(Benchmark1[[#This Row],[Comparable '#1 Date Check]]="Pass",Benchmark1[[#This Row],[Comparable '#1 Return]]-Benchmark1[[#This Row],[Benchmark '#1 Return]],"-"),"-")</f>
        <v>1.1080016669336563E-2</v>
      </c>
      <c r="L979" s="1" t="str">
        <f>IF(COUNTIF(Comp2[Comparable '#2 Dates],Benchmark1[[#This Row],[Benchmark '#1 Dates]])=1,"Pass","Fail")</f>
        <v>Pass</v>
      </c>
      <c r="M979" s="6">
        <f>IF(Benchmark1[[#This Row],[Comparable '#2 Date Check]]="Pass",INDEX(Comp2[Comparable '#2 Price],MATCH(Benchmark1[[#This Row],[Benchmark '#1 Dates]],Comp2[Comparable '#2 Dates],0)),"-")</f>
        <v>31.85</v>
      </c>
      <c r="N979" s="22">
        <f>IF(Benchmark1[[#This Row],[Comparable '#2 Date Check]]="Pass",INDEX(Comp2[Comparable '#2 Return],MATCH(Benchmark1[[#This Row],[Benchmark '#1 Dates]],Comp2[Comparable '#2 Dates],0)),"-")</f>
        <v>-4.3859719432542167E-3</v>
      </c>
      <c r="O979" s="1">
        <f>IFERROR(IF(Benchmark1[[#This Row],[Comparable '#2 Date Check]]="Pass",Benchmark1[[#This Row],[Comparable '#2 Return]]-Benchmark1[[#This Row],[Benchmark '#1 Return]],"-"),"-")</f>
        <v>-4.5330178677010554E-3</v>
      </c>
      <c r="P979" s="1" t="str">
        <f>IF(COUNTIF(Comp3[Comparable '#3 Dates],Benchmark1[[#This Row],[Benchmark '#1 Dates]])=1,"Pass","Fail")</f>
        <v>Pass</v>
      </c>
      <c r="Q979" s="6">
        <f>IF(Benchmark1[[#This Row],[Comparable '#3 Date Check]]="Pass",INDEX(Comp3[Comparable '#3 Price],MATCH(Benchmark1[[#This Row],[Benchmark '#1 Dates]],Comp3[Comparable '#3 Dates],0)),"-")</f>
        <v>64.13</v>
      </c>
      <c r="R979" s="22">
        <f>IF(Benchmark1[[#This Row],[Comparable '#3 Date Check]]="Pass",INDEX(Comp3[Comparable '#3 Return],MATCH(Benchmark1[[#This Row],[Benchmark '#1 Dates]],Comp3[Comparable '#3 Dates],0)),"-")</f>
        <v>1.0817695834179011E-2</v>
      </c>
      <c r="S979" s="1">
        <f>IFERROR(IF(Benchmark1[[#This Row],[Comparable '#3 Date Check]]="Pass",Benchmark1[[#This Row],[Comparable '#3 Return]]-Benchmark1[[#This Row],[Benchmark '#1 Return]],"-"),"-")</f>
        <v>1.0670649909732172E-2</v>
      </c>
    </row>
    <row r="980" spans="1:19">
      <c r="A980" s="103">
        <v>44704</v>
      </c>
      <c r="B980" s="104">
        <v>3973.7515834195033</v>
      </c>
      <c r="C980" s="4">
        <f t="shared" si="15"/>
        <v>1.8385273767199995E-2</v>
      </c>
      <c r="D980" s="1" t="str">
        <f>IF(COUNTIF(Target1[Target Dates],Benchmark1[[#This Row],[Benchmark '#1 Dates]])=1,"Pass","Fail")</f>
        <v>Pass</v>
      </c>
      <c r="E980" s="6">
        <f>IF(Benchmark1[[#This Row],[Target Date Check]]="Pass",INDEX(Target1[Target Price],MATCH(Benchmark1[[#This Row],[Benchmark '#1 Dates]],Target1[Target Dates],0)),"-")</f>
        <v>36.89</v>
      </c>
      <c r="F980" s="22">
        <f>IF(Benchmark1[[#This Row],[Target Date Check]]="Pass",INDEX(Target1[Target Return],MATCH(Benchmark1[[#This Row],[Benchmark '#1 Dates]],Target1[Target Dates],0)),"-")</f>
        <v>-1.6251357856265376E-3</v>
      </c>
      <c r="G980" s="1">
        <f>IFERROR(IF(Benchmark1[[#This Row],[Target Date Check]]="Pass",Benchmark1[[#This Row],[Target Return]]-Benchmark1[[#This Row],[Benchmark '#1 Return]],"-"),"-")</f>
        <v>-2.0010409552826534E-2</v>
      </c>
      <c r="H980" s="1" t="str">
        <f>IF(COUNTIF(Comp1[Comparable '#1 Dates],Benchmark1[[#This Row],[Benchmark '#1 Dates]])=1,"Pass","Fail")</f>
        <v>Pass</v>
      </c>
      <c r="I980" s="6">
        <f>IF(Benchmark1[[#This Row],[Comparable '#1 Date Check]]="Pass",INDEX(Comp1[Comparable '#1 Price],MATCH(Benchmark1[[#This Row],[Benchmark '#1 Dates]],Comp1[Comparable '#1 Dates],0)),"-")</f>
        <v>12.57</v>
      </c>
      <c r="J980" s="22">
        <f>IF(Benchmark1[[#This Row],[Comparable '#1 Date Check]]="Pass",INDEX(Comp1[Comparable '#1 Return],MATCH(Benchmark1[[#This Row],[Benchmark '#1 Dates]],Comp1[Comparable '#1 Dates],0)),"-")</f>
        <v>2.3894873973814854E-3</v>
      </c>
      <c r="K980" s="1">
        <f>IFERROR(IF(Benchmark1[[#This Row],[Comparable '#1 Date Check]]="Pass",Benchmark1[[#This Row],[Comparable '#1 Return]]-Benchmark1[[#This Row],[Benchmark '#1 Return]],"-"),"-")</f>
        <v>-1.5995786369818511E-2</v>
      </c>
      <c r="L980" s="1" t="str">
        <f>IF(COUNTIF(Comp2[Comparable '#2 Dates],Benchmark1[[#This Row],[Benchmark '#1 Dates]])=1,"Pass","Fail")</f>
        <v>Pass</v>
      </c>
      <c r="M980" s="6">
        <f>IF(Benchmark1[[#This Row],[Comparable '#2 Date Check]]="Pass",INDEX(Comp2[Comparable '#2 Price],MATCH(Benchmark1[[#This Row],[Benchmark '#1 Dates]],Comp2[Comparable '#2 Dates],0)),"-")</f>
        <v>31.6</v>
      </c>
      <c r="N980" s="22">
        <f>IF(Benchmark1[[#This Row],[Comparable '#2 Date Check]]="Pass",INDEX(Comp2[Comparable '#2 Return],MATCH(Benchmark1[[#This Row],[Benchmark '#1 Dates]],Comp2[Comparable '#2 Dates],0)),"-")</f>
        <v>-7.8802614253059757E-3</v>
      </c>
      <c r="O980" s="1">
        <f>IFERROR(IF(Benchmark1[[#This Row],[Comparable '#2 Date Check]]="Pass",Benchmark1[[#This Row],[Comparable '#2 Return]]-Benchmark1[[#This Row],[Benchmark '#1 Return]],"-"),"-")</f>
        <v>-2.6265535192505969E-2</v>
      </c>
      <c r="P980" s="1" t="str">
        <f>IF(COUNTIF(Comp3[Comparable '#3 Dates],Benchmark1[[#This Row],[Benchmark '#1 Dates]])=1,"Pass","Fail")</f>
        <v>Pass</v>
      </c>
      <c r="Q980" s="6">
        <f>IF(Benchmark1[[#This Row],[Comparable '#3 Date Check]]="Pass",INDEX(Comp3[Comparable '#3 Price],MATCH(Benchmark1[[#This Row],[Benchmark '#1 Dates]],Comp3[Comparable '#3 Dates],0)),"-")</f>
        <v>63.04</v>
      </c>
      <c r="R980" s="22">
        <f>IF(Benchmark1[[#This Row],[Comparable '#3 Date Check]]="Pass",INDEX(Comp3[Comparable '#3 Return],MATCH(Benchmark1[[#This Row],[Benchmark '#1 Dates]],Comp3[Comparable '#3 Dates],0)),"-")</f>
        <v>-1.7142827611147802E-2</v>
      </c>
      <c r="S980" s="1">
        <f>IFERROR(IF(Benchmark1[[#This Row],[Comparable '#3 Date Check]]="Pass",Benchmark1[[#This Row],[Comparable '#3 Return]]-Benchmark1[[#This Row],[Benchmark '#1 Return]],"-"),"-")</f>
        <v>-3.5528101378347797E-2</v>
      </c>
    </row>
    <row r="981" spans="1:19">
      <c r="A981" s="103">
        <v>44705</v>
      </c>
      <c r="B981" s="104">
        <v>3941.4769431888917</v>
      </c>
      <c r="C981" s="4">
        <f t="shared" si="15"/>
        <v>-8.1551199673646282E-3</v>
      </c>
      <c r="D981" s="1" t="str">
        <f>IF(COUNTIF(Target1[Target Dates],Benchmark1[[#This Row],[Benchmark '#1 Dates]])=1,"Pass","Fail")</f>
        <v>Pass</v>
      </c>
      <c r="E981" s="6">
        <f>IF(Benchmark1[[#This Row],[Target Date Check]]="Pass",INDEX(Target1[Target Price],MATCH(Benchmark1[[#This Row],[Benchmark '#1 Dates]],Target1[Target Dates],0)),"-")</f>
        <v>37.25</v>
      </c>
      <c r="F981" s="22">
        <f>IF(Benchmark1[[#This Row],[Target Date Check]]="Pass",INDEX(Target1[Target Return],MATCH(Benchmark1[[#This Row],[Benchmark '#1 Dates]],Target1[Target Dates],0)),"-")</f>
        <v>9.7114332169841392E-3</v>
      </c>
      <c r="G981" s="1">
        <f>IFERROR(IF(Benchmark1[[#This Row],[Target Date Check]]="Pass",Benchmark1[[#This Row],[Target Return]]-Benchmark1[[#This Row],[Benchmark '#1 Return]],"-"),"-")</f>
        <v>1.7866553184348766E-2</v>
      </c>
      <c r="H981" s="1" t="str">
        <f>IF(COUNTIF(Comp1[Comparable '#1 Dates],Benchmark1[[#This Row],[Benchmark '#1 Dates]])=1,"Pass","Fail")</f>
        <v>Pass</v>
      </c>
      <c r="I981" s="6">
        <f>IF(Benchmark1[[#This Row],[Comparable '#1 Date Check]]="Pass",INDEX(Comp1[Comparable '#1 Price],MATCH(Benchmark1[[#This Row],[Benchmark '#1 Dates]],Comp1[Comparable '#1 Dates],0)),"-")</f>
        <v>12.59</v>
      </c>
      <c r="J981" s="22">
        <f>IF(Benchmark1[[#This Row],[Comparable '#1 Date Check]]="Pass",INDEX(Comp1[Comparable '#1 Return],MATCH(Benchmark1[[#This Row],[Benchmark '#1 Dates]],Comp1[Comparable '#1 Dates],0)),"-")</f>
        <v>1.5898254540997771E-3</v>
      </c>
      <c r="K981" s="1">
        <f>IFERROR(IF(Benchmark1[[#This Row],[Comparable '#1 Date Check]]="Pass",Benchmark1[[#This Row],[Comparable '#1 Return]]-Benchmark1[[#This Row],[Benchmark '#1 Return]],"-"),"-")</f>
        <v>9.7449454214644047E-3</v>
      </c>
      <c r="L981" s="1" t="str">
        <f>IF(COUNTIF(Comp2[Comparable '#2 Dates],Benchmark1[[#This Row],[Benchmark '#1 Dates]])=1,"Pass","Fail")</f>
        <v>Pass</v>
      </c>
      <c r="M981" s="6">
        <f>IF(Benchmark1[[#This Row],[Comparable '#2 Date Check]]="Pass",INDEX(Comp2[Comparable '#2 Price],MATCH(Benchmark1[[#This Row],[Benchmark '#1 Dates]],Comp2[Comparable '#2 Dates],0)),"-")</f>
        <v>31.48</v>
      </c>
      <c r="N981" s="22">
        <f>IF(Benchmark1[[#This Row],[Comparable '#2 Date Check]]="Pass",INDEX(Comp2[Comparable '#2 Return],MATCH(Benchmark1[[#This Row],[Benchmark '#1 Dates]],Comp2[Comparable '#2 Dates],0)),"-")</f>
        <v>-3.8046970436639714E-3</v>
      </c>
      <c r="O981" s="1">
        <f>IFERROR(IF(Benchmark1[[#This Row],[Comparable '#2 Date Check]]="Pass",Benchmark1[[#This Row],[Comparable '#2 Return]]-Benchmark1[[#This Row],[Benchmark '#1 Return]],"-"),"-")</f>
        <v>4.3504229237006573E-3</v>
      </c>
      <c r="P981" s="1" t="str">
        <f>IF(COUNTIF(Comp3[Comparable '#3 Dates],Benchmark1[[#This Row],[Benchmark '#1 Dates]])=1,"Pass","Fail")</f>
        <v>Pass</v>
      </c>
      <c r="Q981" s="6">
        <f>IF(Benchmark1[[#This Row],[Comparable '#3 Date Check]]="Pass",INDEX(Comp3[Comparable '#3 Price],MATCH(Benchmark1[[#This Row],[Benchmark '#1 Dates]],Comp3[Comparable '#3 Dates],0)),"-")</f>
        <v>64.349999999999994</v>
      </c>
      <c r="R981" s="22">
        <f>IF(Benchmark1[[#This Row],[Comparable '#3 Date Check]]="Pass",INDEX(Comp3[Comparable '#3 Return],MATCH(Benchmark1[[#This Row],[Benchmark '#1 Dates]],Comp3[Comparable '#3 Dates],0)),"-")</f>
        <v>2.0567488492511946E-2</v>
      </c>
      <c r="S981" s="1">
        <f>IFERROR(IF(Benchmark1[[#This Row],[Comparable '#3 Date Check]]="Pass",Benchmark1[[#This Row],[Comparable '#3 Return]]-Benchmark1[[#This Row],[Benchmark '#1 Return]],"-"),"-")</f>
        <v>2.8722608459876574E-2</v>
      </c>
    </row>
    <row r="982" spans="1:19">
      <c r="A982" s="103">
        <v>44706</v>
      </c>
      <c r="B982" s="104">
        <v>3978.7326814543867</v>
      </c>
      <c r="C982" s="4">
        <f t="shared" si="15"/>
        <v>9.4078350989835312E-3</v>
      </c>
      <c r="D982" s="1" t="str">
        <f>IF(COUNTIF(Target1[Target Dates],Benchmark1[[#This Row],[Benchmark '#1 Dates]])=1,"Pass","Fail")</f>
        <v>Pass</v>
      </c>
      <c r="E982" s="6">
        <f>IF(Benchmark1[[#This Row],[Target Date Check]]="Pass",INDEX(Target1[Target Price],MATCH(Benchmark1[[#This Row],[Benchmark '#1 Dates]],Target1[Target Dates],0)),"-")</f>
        <v>39.67</v>
      </c>
      <c r="F982" s="22">
        <f>IF(Benchmark1[[#This Row],[Target Date Check]]="Pass",INDEX(Target1[Target Return],MATCH(Benchmark1[[#This Row],[Benchmark '#1 Dates]],Target1[Target Dates],0)),"-")</f>
        <v>6.294328970067023E-2</v>
      </c>
      <c r="G982" s="1">
        <f>IFERROR(IF(Benchmark1[[#This Row],[Target Date Check]]="Pass",Benchmark1[[#This Row],[Target Return]]-Benchmark1[[#This Row],[Benchmark '#1 Return]],"-"),"-")</f>
        <v>5.3535454601686697E-2</v>
      </c>
      <c r="H982" s="1" t="str">
        <f>IF(COUNTIF(Comp1[Comparable '#1 Dates],Benchmark1[[#This Row],[Benchmark '#1 Dates]])=1,"Pass","Fail")</f>
        <v>Pass</v>
      </c>
      <c r="I982" s="6">
        <f>IF(Benchmark1[[#This Row],[Comparable '#1 Date Check]]="Pass",INDEX(Comp1[Comparable '#1 Price],MATCH(Benchmark1[[#This Row],[Benchmark '#1 Dates]],Comp1[Comparable '#1 Dates],0)),"-")</f>
        <v>12.94</v>
      </c>
      <c r="J982" s="22">
        <f>IF(Benchmark1[[#This Row],[Comparable '#1 Date Check]]="Pass",INDEX(Comp1[Comparable '#1 Return],MATCH(Benchmark1[[#This Row],[Benchmark '#1 Dates]],Comp1[Comparable '#1 Dates],0)),"-")</f>
        <v>2.7420441016498587E-2</v>
      </c>
      <c r="K982" s="1">
        <f>IFERROR(IF(Benchmark1[[#This Row],[Comparable '#1 Date Check]]="Pass",Benchmark1[[#This Row],[Comparable '#1 Return]]-Benchmark1[[#This Row],[Benchmark '#1 Return]],"-"),"-")</f>
        <v>1.8012605917515058E-2</v>
      </c>
      <c r="L982" s="1" t="str">
        <f>IF(COUNTIF(Comp2[Comparable '#2 Dates],Benchmark1[[#This Row],[Benchmark '#1 Dates]])=1,"Pass","Fail")</f>
        <v>Pass</v>
      </c>
      <c r="M982" s="6">
        <f>IF(Benchmark1[[#This Row],[Comparable '#2 Date Check]]="Pass",INDEX(Comp2[Comparable '#2 Price],MATCH(Benchmark1[[#This Row],[Benchmark '#1 Dates]],Comp2[Comparable '#2 Dates],0)),"-")</f>
        <v>31.88</v>
      </c>
      <c r="N982" s="22">
        <f>IF(Benchmark1[[#This Row],[Comparable '#2 Date Check]]="Pass",INDEX(Comp2[Comparable '#2 Return],MATCH(Benchmark1[[#This Row],[Benchmark '#1 Dates]],Comp2[Comparable '#2 Dates],0)),"-")</f>
        <v>1.2626430372811755E-2</v>
      </c>
      <c r="O982" s="1">
        <f>IFERROR(IF(Benchmark1[[#This Row],[Comparable '#2 Date Check]]="Pass",Benchmark1[[#This Row],[Comparable '#2 Return]]-Benchmark1[[#This Row],[Benchmark '#1 Return]],"-"),"-")</f>
        <v>3.2185952738282234E-3</v>
      </c>
      <c r="P982" s="1" t="str">
        <f>IF(COUNTIF(Comp3[Comparable '#3 Dates],Benchmark1[[#This Row],[Benchmark '#1 Dates]])=1,"Pass","Fail")</f>
        <v>Pass</v>
      </c>
      <c r="Q982" s="6">
        <f>IF(Benchmark1[[#This Row],[Comparable '#3 Date Check]]="Pass",INDEX(Comp3[Comparable '#3 Price],MATCH(Benchmark1[[#This Row],[Benchmark '#1 Dates]],Comp3[Comparable '#3 Dates],0)),"-")</f>
        <v>65.790000000000006</v>
      </c>
      <c r="R982" s="22">
        <f>IF(Benchmark1[[#This Row],[Comparable '#3 Date Check]]="Pass",INDEX(Comp3[Comparable '#3 Return],MATCH(Benchmark1[[#This Row],[Benchmark '#1 Dates]],Comp3[Comparable '#3 Dates],0)),"-")</f>
        <v>2.2130917055771106E-2</v>
      </c>
      <c r="S982" s="1">
        <f>IFERROR(IF(Benchmark1[[#This Row],[Comparable '#3 Date Check]]="Pass",Benchmark1[[#This Row],[Comparable '#3 Return]]-Benchmark1[[#This Row],[Benchmark '#1 Return]],"-"),"-")</f>
        <v>1.2723081956787575E-2</v>
      </c>
    </row>
    <row r="983" spans="1:19">
      <c r="A983" s="103">
        <v>44707</v>
      </c>
      <c r="B983" s="104">
        <v>4057.8407802230849</v>
      </c>
      <c r="C983" s="4">
        <f t="shared" si="15"/>
        <v>1.9687657767709942E-2</v>
      </c>
      <c r="D983" s="1" t="str">
        <f>IF(COUNTIF(Target1[Target Dates],Benchmark1[[#This Row],[Benchmark '#1 Dates]])=1,"Pass","Fail")</f>
        <v>Pass</v>
      </c>
      <c r="E983" s="6">
        <f>IF(Benchmark1[[#This Row],[Target Date Check]]="Pass",INDEX(Target1[Target Price],MATCH(Benchmark1[[#This Row],[Benchmark '#1 Dates]],Target1[Target Dates],0)),"-")</f>
        <v>38.99</v>
      </c>
      <c r="F983" s="22">
        <f>IF(Benchmark1[[#This Row],[Target Date Check]]="Pass",INDEX(Target1[Target Return],MATCH(Benchmark1[[#This Row],[Benchmark '#1 Dates]],Target1[Target Dates],0)),"-")</f>
        <v>-1.7290031531732836E-2</v>
      </c>
      <c r="G983" s="1">
        <f>IFERROR(IF(Benchmark1[[#This Row],[Target Date Check]]="Pass",Benchmark1[[#This Row],[Target Return]]-Benchmark1[[#This Row],[Benchmark '#1 Return]],"-"),"-")</f>
        <v>-3.6977689299442777E-2</v>
      </c>
      <c r="H983" s="1" t="str">
        <f>IF(COUNTIF(Comp1[Comparable '#1 Dates],Benchmark1[[#This Row],[Benchmark '#1 Dates]])=1,"Pass","Fail")</f>
        <v>Pass</v>
      </c>
      <c r="I983" s="6">
        <f>IF(Benchmark1[[#This Row],[Comparable '#1 Date Check]]="Pass",INDEX(Comp1[Comparable '#1 Price],MATCH(Benchmark1[[#This Row],[Benchmark '#1 Dates]],Comp1[Comparable '#1 Dates],0)),"-")</f>
        <v>13.02</v>
      </c>
      <c r="J983" s="22">
        <f>IF(Benchmark1[[#This Row],[Comparable '#1 Date Check]]="Pass",INDEX(Comp1[Comparable '#1 Return],MATCH(Benchmark1[[#This Row],[Benchmark '#1 Dates]],Comp1[Comparable '#1 Dates],0)),"-")</f>
        <v>6.1633477076687678E-3</v>
      </c>
      <c r="K983" s="1">
        <f>IFERROR(IF(Benchmark1[[#This Row],[Comparable '#1 Date Check]]="Pass",Benchmark1[[#This Row],[Comparable '#1 Return]]-Benchmark1[[#This Row],[Benchmark '#1 Return]],"-"),"-")</f>
        <v>-1.3524310060041175E-2</v>
      </c>
      <c r="L983" s="1" t="str">
        <f>IF(COUNTIF(Comp2[Comparable '#2 Dates],Benchmark1[[#This Row],[Benchmark '#1 Dates]])=1,"Pass","Fail")</f>
        <v>Pass</v>
      </c>
      <c r="M983" s="6">
        <f>IF(Benchmark1[[#This Row],[Comparable '#2 Date Check]]="Pass",INDEX(Comp2[Comparable '#2 Price],MATCH(Benchmark1[[#This Row],[Benchmark '#1 Dates]],Comp2[Comparable '#2 Dates],0)),"-")</f>
        <v>31.64</v>
      </c>
      <c r="N983" s="22">
        <f>IF(Benchmark1[[#This Row],[Comparable '#2 Date Check]]="Pass",INDEX(Comp2[Comparable '#2 Return],MATCH(Benchmark1[[#This Row],[Benchmark '#1 Dates]],Comp2[Comparable '#2 Dates],0)),"-")</f>
        <v>-7.5567110225611151E-3</v>
      </c>
      <c r="O983" s="1">
        <f>IFERROR(IF(Benchmark1[[#This Row],[Comparable '#2 Date Check]]="Pass",Benchmark1[[#This Row],[Comparable '#2 Return]]-Benchmark1[[#This Row],[Benchmark '#1 Return]],"-"),"-")</f>
        <v>-2.7244368790271055E-2</v>
      </c>
      <c r="P983" s="1" t="str">
        <f>IF(COUNTIF(Comp3[Comparable '#3 Dates],Benchmark1[[#This Row],[Benchmark '#1 Dates]])=1,"Pass","Fail")</f>
        <v>Pass</v>
      </c>
      <c r="Q983" s="6">
        <f>IF(Benchmark1[[#This Row],[Comparable '#3 Date Check]]="Pass",INDEX(Comp3[Comparable '#3 Price],MATCH(Benchmark1[[#This Row],[Benchmark '#1 Dates]],Comp3[Comparable '#3 Dates],0)),"-")</f>
        <v>65.31</v>
      </c>
      <c r="R983" s="22">
        <f>IF(Benchmark1[[#This Row],[Comparable '#3 Date Check]]="Pass",INDEX(Comp3[Comparable '#3 Return],MATCH(Benchmark1[[#This Row],[Benchmark '#1 Dates]],Comp3[Comparable '#3 Dates],0)),"-")</f>
        <v>-7.3226871833408673E-3</v>
      </c>
      <c r="S983" s="1">
        <f>IFERROR(IF(Benchmark1[[#This Row],[Comparable '#3 Date Check]]="Pass",Benchmark1[[#This Row],[Comparable '#3 Return]]-Benchmark1[[#This Row],[Benchmark '#1 Return]],"-"),"-")</f>
        <v>-2.701034495105081E-2</v>
      </c>
    </row>
    <row r="984" spans="1:19">
      <c r="A984" s="103">
        <v>44708</v>
      </c>
      <c r="B984" s="104">
        <v>4158.2383612575923</v>
      </c>
      <c r="C984" s="4">
        <f t="shared" si="15"/>
        <v>2.4440509120570136E-2</v>
      </c>
      <c r="D984" s="1" t="str">
        <f>IF(COUNTIF(Target1[Target Dates],Benchmark1[[#This Row],[Benchmark '#1 Dates]])=1,"Pass","Fail")</f>
        <v>Pass</v>
      </c>
      <c r="E984" s="6">
        <f>IF(Benchmark1[[#This Row],[Target Date Check]]="Pass",INDEX(Target1[Target Price],MATCH(Benchmark1[[#This Row],[Benchmark '#1 Dates]],Target1[Target Dates],0)),"-")</f>
        <v>39.5</v>
      </c>
      <c r="F984" s="22">
        <f>IF(Benchmark1[[#This Row],[Target Date Check]]="Pass",INDEX(Target1[Target Return],MATCH(Benchmark1[[#This Row],[Benchmark '#1 Dates]],Target1[Target Dates],0)),"-")</f>
        <v>1.2995468912570146E-2</v>
      </c>
      <c r="G984" s="1">
        <f>IFERROR(IF(Benchmark1[[#This Row],[Target Date Check]]="Pass",Benchmark1[[#This Row],[Target Return]]-Benchmark1[[#This Row],[Benchmark '#1 Return]],"-"),"-")</f>
        <v>-1.1445040207999991E-2</v>
      </c>
      <c r="H984" s="1" t="str">
        <f>IF(COUNTIF(Comp1[Comparable '#1 Dates],Benchmark1[[#This Row],[Benchmark '#1 Dates]])=1,"Pass","Fail")</f>
        <v>Pass</v>
      </c>
      <c r="I984" s="6">
        <f>IF(Benchmark1[[#This Row],[Comparable '#1 Date Check]]="Pass",INDEX(Comp1[Comparable '#1 Price],MATCH(Benchmark1[[#This Row],[Benchmark '#1 Dates]],Comp1[Comparable '#1 Dates],0)),"-")</f>
        <v>13.32</v>
      </c>
      <c r="J984" s="22">
        <f>IF(Benchmark1[[#This Row],[Comparable '#1 Date Check]]="Pass",INDEX(Comp1[Comparable '#1 Return],MATCH(Benchmark1[[#This Row],[Benchmark '#1 Dates]],Comp1[Comparable '#1 Dates],0)),"-")</f>
        <v>2.2780028331819906E-2</v>
      </c>
      <c r="K984" s="1">
        <f>IFERROR(IF(Benchmark1[[#This Row],[Comparable '#1 Date Check]]="Pass",Benchmark1[[#This Row],[Comparable '#1 Return]]-Benchmark1[[#This Row],[Benchmark '#1 Return]],"-"),"-")</f>
        <v>-1.6604807887502307E-3</v>
      </c>
      <c r="L984" s="1" t="str">
        <f>IF(COUNTIF(Comp2[Comparable '#2 Dates],Benchmark1[[#This Row],[Benchmark '#1 Dates]])=1,"Pass","Fail")</f>
        <v>Pass</v>
      </c>
      <c r="M984" s="6">
        <f>IF(Benchmark1[[#This Row],[Comparable '#2 Date Check]]="Pass",INDEX(Comp2[Comparable '#2 Price],MATCH(Benchmark1[[#This Row],[Benchmark '#1 Dates]],Comp2[Comparable '#2 Dates],0)),"-")</f>
        <v>32.619999999999997</v>
      </c>
      <c r="N984" s="22">
        <f>IF(Benchmark1[[#This Row],[Comparable '#2 Date Check]]="Pass",INDEX(Comp2[Comparable '#2 Return],MATCH(Benchmark1[[#This Row],[Benchmark '#1 Dates]],Comp2[Comparable '#2 Dates],0)),"-")</f>
        <v>3.0503454293414625E-2</v>
      </c>
      <c r="O984" s="1">
        <f>IFERROR(IF(Benchmark1[[#This Row],[Comparable '#2 Date Check]]="Pass",Benchmark1[[#This Row],[Comparable '#2 Return]]-Benchmark1[[#This Row],[Benchmark '#1 Return]],"-"),"-")</f>
        <v>6.0629451728444889E-3</v>
      </c>
      <c r="P984" s="1" t="str">
        <f>IF(COUNTIF(Comp3[Comparable '#3 Dates],Benchmark1[[#This Row],[Benchmark '#1 Dates]])=1,"Pass","Fail")</f>
        <v>Pass</v>
      </c>
      <c r="Q984" s="6">
        <f>IF(Benchmark1[[#This Row],[Comparable '#3 Date Check]]="Pass",INDEX(Comp3[Comparable '#3 Price],MATCH(Benchmark1[[#This Row],[Benchmark '#1 Dates]],Comp3[Comparable '#3 Dates],0)),"-")</f>
        <v>66.959999999999994</v>
      </c>
      <c r="R984" s="22">
        <f>IF(Benchmark1[[#This Row],[Comparable '#3 Date Check]]="Pass",INDEX(Comp3[Comparable '#3 Return],MATCH(Benchmark1[[#This Row],[Benchmark '#1 Dates]],Comp3[Comparable '#3 Dates],0)),"-")</f>
        <v>2.4950262266653932E-2</v>
      </c>
      <c r="S984" s="1">
        <f>IFERROR(IF(Benchmark1[[#This Row],[Comparable '#3 Date Check]]="Pass",Benchmark1[[#This Row],[Comparable '#3 Return]]-Benchmark1[[#This Row],[Benchmark '#1 Return]],"-"),"-")</f>
        <v>5.0975314608379604E-4</v>
      </c>
    </row>
    <row r="985" spans="1:19">
      <c r="A985" s="103">
        <v>44712</v>
      </c>
      <c r="B985" s="104">
        <v>4132.147781961894</v>
      </c>
      <c r="C985" s="4">
        <f t="shared" si="15"/>
        <v>-6.2941978770662856E-3</v>
      </c>
      <c r="D985" s="1" t="str">
        <f>IF(COUNTIF(Target1[Target Dates],Benchmark1[[#This Row],[Benchmark '#1 Dates]])=1,"Pass","Fail")</f>
        <v>Pass</v>
      </c>
      <c r="E985" s="6">
        <f>IF(Benchmark1[[#This Row],[Target Date Check]]="Pass",INDEX(Target1[Target Price],MATCH(Benchmark1[[#This Row],[Benchmark '#1 Dates]],Target1[Target Dates],0)),"-")</f>
        <v>39.11</v>
      </c>
      <c r="F985" s="22">
        <f>IF(Benchmark1[[#This Row],[Target Date Check]]="Pass",INDEX(Target1[Target Return],MATCH(Benchmark1[[#This Row],[Benchmark '#1 Dates]],Target1[Target Dates],0)),"-")</f>
        <v>-9.9224831396533975E-3</v>
      </c>
      <c r="G985" s="1">
        <f>IFERROR(IF(Benchmark1[[#This Row],[Target Date Check]]="Pass",Benchmark1[[#This Row],[Target Return]]-Benchmark1[[#This Row],[Benchmark '#1 Return]],"-"),"-")</f>
        <v>-3.628285262587112E-3</v>
      </c>
      <c r="H985" s="1" t="str">
        <f>IF(COUNTIF(Comp1[Comparable '#1 Dates],Benchmark1[[#This Row],[Benchmark '#1 Dates]])=1,"Pass","Fail")</f>
        <v>Pass</v>
      </c>
      <c r="I985" s="6">
        <f>IF(Benchmark1[[#This Row],[Comparable '#1 Date Check]]="Pass",INDEX(Comp1[Comparable '#1 Price],MATCH(Benchmark1[[#This Row],[Benchmark '#1 Dates]],Comp1[Comparable '#1 Dates],0)),"-")</f>
        <v>12.73</v>
      </c>
      <c r="J985" s="22">
        <f>IF(Benchmark1[[#This Row],[Comparable '#1 Date Check]]="Pass",INDEX(Comp1[Comparable '#1 Return],MATCH(Benchmark1[[#This Row],[Benchmark '#1 Dates]],Comp1[Comparable '#1 Dates],0)),"-")</f>
        <v>-4.5305252542927957E-2</v>
      </c>
      <c r="K985" s="1">
        <f>IFERROR(IF(Benchmark1[[#This Row],[Comparable '#1 Date Check]]="Pass",Benchmark1[[#This Row],[Comparable '#1 Return]]-Benchmark1[[#This Row],[Benchmark '#1 Return]],"-"),"-")</f>
        <v>-3.9011054665861675E-2</v>
      </c>
      <c r="L985" s="1" t="str">
        <f>IF(COUNTIF(Comp2[Comparable '#2 Dates],Benchmark1[[#This Row],[Benchmark '#1 Dates]])=1,"Pass","Fail")</f>
        <v>Pass</v>
      </c>
      <c r="M985" s="6">
        <f>IF(Benchmark1[[#This Row],[Comparable '#2 Date Check]]="Pass",INDEX(Comp2[Comparable '#2 Price],MATCH(Benchmark1[[#This Row],[Benchmark '#1 Dates]],Comp2[Comparable '#2 Dates],0)),"-")</f>
        <v>32.619999999999997</v>
      </c>
      <c r="N985" s="22">
        <f>IF(Benchmark1[[#This Row],[Comparable '#2 Date Check]]="Pass",INDEX(Comp2[Comparable '#2 Return],MATCH(Benchmark1[[#This Row],[Benchmark '#1 Dates]],Comp2[Comparable '#2 Dates],0)),"-")</f>
        <v>0</v>
      </c>
      <c r="O985" s="1">
        <f>IFERROR(IF(Benchmark1[[#This Row],[Comparable '#2 Date Check]]="Pass",Benchmark1[[#This Row],[Comparable '#2 Return]]-Benchmark1[[#This Row],[Benchmark '#1 Return]],"-"),"-")</f>
        <v>6.2941978770662856E-3</v>
      </c>
      <c r="P985" s="1" t="str">
        <f>IF(COUNTIF(Comp3[Comparable '#3 Dates],Benchmark1[[#This Row],[Benchmark '#1 Dates]])=1,"Pass","Fail")</f>
        <v>Pass</v>
      </c>
      <c r="Q985" s="6">
        <f>IF(Benchmark1[[#This Row],[Comparable '#3 Date Check]]="Pass",INDEX(Comp3[Comparable '#3 Price],MATCH(Benchmark1[[#This Row],[Benchmark '#1 Dates]],Comp3[Comparable '#3 Dates],0)),"-")</f>
        <v>65.819999999999993</v>
      </c>
      <c r="R985" s="22">
        <f>IF(Benchmark1[[#This Row],[Comparable '#3 Date Check]]="Pass",INDEX(Comp3[Comparable '#3 Return],MATCH(Benchmark1[[#This Row],[Benchmark '#1 Dates]],Comp3[Comparable '#3 Dates],0)),"-")</f>
        <v>-1.7171682666026023E-2</v>
      </c>
      <c r="S985" s="1">
        <f>IFERROR(IF(Benchmark1[[#This Row],[Comparable '#3 Date Check]]="Pass",Benchmark1[[#This Row],[Comparable '#3 Return]]-Benchmark1[[#This Row],[Benchmark '#1 Return]],"-"),"-")</f>
        <v>-1.0877484788959738E-2</v>
      </c>
    </row>
    <row r="986" spans="1:19">
      <c r="A986" s="103">
        <v>44713</v>
      </c>
      <c r="B986" s="104">
        <v>4101.2298115746498</v>
      </c>
      <c r="C986" s="4">
        <f t="shared" si="15"/>
        <v>-7.5104330798232855E-3</v>
      </c>
      <c r="D986" s="1" t="str">
        <f>IF(COUNTIF(Target1[Target Dates],Benchmark1[[#This Row],[Benchmark '#1 Dates]])=1,"Pass","Fail")</f>
        <v>Pass</v>
      </c>
      <c r="E986" s="6">
        <f>IF(Benchmark1[[#This Row],[Target Date Check]]="Pass",INDEX(Target1[Target Price],MATCH(Benchmark1[[#This Row],[Benchmark '#1 Dates]],Target1[Target Dates],0)),"-")</f>
        <v>39.270000000000003</v>
      </c>
      <c r="F986" s="22">
        <f>IF(Benchmark1[[#This Row],[Target Date Check]]="Pass",INDEX(Target1[Target Return],MATCH(Benchmark1[[#This Row],[Benchmark '#1 Dates]],Target1[Target Dates],0)),"-")</f>
        <v>4.0826798224955193E-3</v>
      </c>
      <c r="G986" s="1">
        <f>IFERROR(IF(Benchmark1[[#This Row],[Target Date Check]]="Pass",Benchmark1[[#This Row],[Target Return]]-Benchmark1[[#This Row],[Benchmark '#1 Return]],"-"),"-")</f>
        <v>1.1593112902318806E-2</v>
      </c>
      <c r="H986" s="1" t="str">
        <f>IF(COUNTIF(Comp1[Comparable '#1 Dates],Benchmark1[[#This Row],[Benchmark '#1 Dates]])=1,"Pass","Fail")</f>
        <v>Pass</v>
      </c>
      <c r="I986" s="6">
        <f>IF(Benchmark1[[#This Row],[Comparable '#1 Date Check]]="Pass",INDEX(Comp1[Comparable '#1 Price],MATCH(Benchmark1[[#This Row],[Benchmark '#1 Dates]],Comp1[Comparable '#1 Dates],0)),"-")</f>
        <v>12.82</v>
      </c>
      <c r="J986" s="22">
        <f>IF(Benchmark1[[#This Row],[Comparable '#1 Date Check]]="Pass",INDEX(Comp1[Comparable '#1 Return],MATCH(Benchmark1[[#This Row],[Benchmark '#1 Dates]],Comp1[Comparable '#1 Dates],0)),"-")</f>
        <v>7.0450389232088384E-3</v>
      </c>
      <c r="K986" s="1">
        <f>IFERROR(IF(Benchmark1[[#This Row],[Comparable '#1 Date Check]]="Pass",Benchmark1[[#This Row],[Comparable '#1 Return]]-Benchmark1[[#This Row],[Benchmark '#1 Return]],"-"),"-")</f>
        <v>1.4555472003032123E-2</v>
      </c>
      <c r="L986" s="1" t="str">
        <f>IF(COUNTIF(Comp2[Comparable '#2 Dates],Benchmark1[[#This Row],[Benchmark '#1 Dates]])=1,"Pass","Fail")</f>
        <v>Pass</v>
      </c>
      <c r="M986" s="6">
        <f>IF(Benchmark1[[#This Row],[Comparable '#2 Date Check]]="Pass",INDEX(Comp2[Comparable '#2 Price],MATCH(Benchmark1[[#This Row],[Benchmark '#1 Dates]],Comp2[Comparable '#2 Dates],0)),"-")</f>
        <v>33.1</v>
      </c>
      <c r="N986" s="22">
        <f>IF(Benchmark1[[#This Row],[Comparable '#2 Date Check]]="Pass",INDEX(Comp2[Comparable '#2 Return],MATCH(Benchmark1[[#This Row],[Benchmark '#1 Dates]],Comp2[Comparable '#2 Dates],0)),"-")</f>
        <v>1.4607685190149605E-2</v>
      </c>
      <c r="O986" s="1">
        <f>IFERROR(IF(Benchmark1[[#This Row],[Comparable '#2 Date Check]]="Pass",Benchmark1[[#This Row],[Comparable '#2 Return]]-Benchmark1[[#This Row],[Benchmark '#1 Return]],"-"),"-")</f>
        <v>2.211811826997289E-2</v>
      </c>
      <c r="P986" s="1" t="str">
        <f>IF(COUNTIF(Comp3[Comparable '#3 Dates],Benchmark1[[#This Row],[Benchmark '#1 Dates]])=1,"Pass","Fail")</f>
        <v>Pass</v>
      </c>
      <c r="Q986" s="6">
        <f>IF(Benchmark1[[#This Row],[Comparable '#3 Date Check]]="Pass",INDEX(Comp3[Comparable '#3 Price],MATCH(Benchmark1[[#This Row],[Benchmark '#1 Dates]],Comp3[Comparable '#3 Dates],0)),"-")</f>
        <v>65.150000000000006</v>
      </c>
      <c r="R986" s="22">
        <f>IF(Benchmark1[[#This Row],[Comparable '#3 Date Check]]="Pass",INDEX(Comp3[Comparable '#3 Return],MATCH(Benchmark1[[#This Row],[Benchmark '#1 Dates]],Comp3[Comparable '#3 Dates],0)),"-")</f>
        <v>-1.0231439944339586E-2</v>
      </c>
      <c r="S986" s="1">
        <f>IFERROR(IF(Benchmark1[[#This Row],[Comparable '#3 Date Check]]="Pass",Benchmark1[[#This Row],[Comparable '#3 Return]]-Benchmark1[[#This Row],[Benchmark '#1 Return]],"-"),"-")</f>
        <v>-2.7210068645163003E-3</v>
      </c>
    </row>
    <row r="987" spans="1:19">
      <c r="A987" s="103">
        <v>44714</v>
      </c>
      <c r="B987" s="104">
        <v>4176.8179429148613</v>
      </c>
      <c r="C987" s="4">
        <f t="shared" si="15"/>
        <v>1.8262816181393349E-2</v>
      </c>
      <c r="D987" s="1" t="str">
        <f>IF(COUNTIF(Target1[Target Dates],Benchmark1[[#This Row],[Benchmark '#1 Dates]])=1,"Pass","Fail")</f>
        <v>Pass</v>
      </c>
      <c r="E987" s="6">
        <f>IF(Benchmark1[[#This Row],[Target Date Check]]="Pass",INDEX(Target1[Target Price],MATCH(Benchmark1[[#This Row],[Benchmark '#1 Dates]],Target1[Target Dates],0)),"-")</f>
        <v>39.79</v>
      </c>
      <c r="F987" s="22">
        <f>IF(Benchmark1[[#This Row],[Target Date Check]]="Pass",INDEX(Target1[Target Return],MATCH(Benchmark1[[#This Row],[Benchmark '#1 Dates]],Target1[Target Dates],0)),"-")</f>
        <v>1.3154755848918872E-2</v>
      </c>
      <c r="G987" s="1">
        <f>IFERROR(IF(Benchmark1[[#This Row],[Target Date Check]]="Pass",Benchmark1[[#This Row],[Target Return]]-Benchmark1[[#This Row],[Benchmark '#1 Return]],"-"),"-")</f>
        <v>-5.1080603324744778E-3</v>
      </c>
      <c r="H987" s="1" t="str">
        <f>IF(COUNTIF(Comp1[Comparable '#1 Dates],Benchmark1[[#This Row],[Benchmark '#1 Dates]])=1,"Pass","Fail")</f>
        <v>Pass</v>
      </c>
      <c r="I987" s="6">
        <f>IF(Benchmark1[[#This Row],[Comparable '#1 Date Check]]="Pass",INDEX(Comp1[Comparable '#1 Price],MATCH(Benchmark1[[#This Row],[Benchmark '#1 Dates]],Comp1[Comparable '#1 Dates],0)),"-")</f>
        <v>13.14</v>
      </c>
      <c r="J987" s="22">
        <f>IF(Benchmark1[[#This Row],[Comparable '#1 Date Check]]="Pass",INDEX(Comp1[Comparable '#1 Return],MATCH(Benchmark1[[#This Row],[Benchmark '#1 Dates]],Comp1[Comparable '#1 Dates],0)),"-")</f>
        <v>2.465456156394058E-2</v>
      </c>
      <c r="K987" s="1">
        <f>IFERROR(IF(Benchmark1[[#This Row],[Comparable '#1 Date Check]]="Pass",Benchmark1[[#This Row],[Comparable '#1 Return]]-Benchmark1[[#This Row],[Benchmark '#1 Return]],"-"),"-")</f>
        <v>6.3917453825472308E-3</v>
      </c>
      <c r="L987" s="1" t="str">
        <f>IF(COUNTIF(Comp2[Comparable '#2 Dates],Benchmark1[[#This Row],[Benchmark '#1 Dates]])=1,"Pass","Fail")</f>
        <v>Pass</v>
      </c>
      <c r="M987" s="6">
        <f>IF(Benchmark1[[#This Row],[Comparable '#2 Date Check]]="Pass",INDEX(Comp2[Comparable '#2 Price],MATCH(Benchmark1[[#This Row],[Benchmark '#1 Dates]],Comp2[Comparable '#2 Dates],0)),"-")</f>
        <v>33.61</v>
      </c>
      <c r="N987" s="22">
        <f>IF(Benchmark1[[#This Row],[Comparable '#2 Date Check]]="Pass",INDEX(Comp2[Comparable '#2 Return],MATCH(Benchmark1[[#This Row],[Benchmark '#1 Dates]],Comp2[Comparable '#2 Dates],0)),"-")</f>
        <v>1.5290359353996984E-2</v>
      </c>
      <c r="O987" s="1">
        <f>IFERROR(IF(Benchmark1[[#This Row],[Comparable '#2 Date Check]]="Pass",Benchmark1[[#This Row],[Comparable '#2 Return]]-Benchmark1[[#This Row],[Benchmark '#1 Return]],"-"),"-")</f>
        <v>-2.972456827396365E-3</v>
      </c>
      <c r="P987" s="1" t="str">
        <f>IF(COUNTIF(Comp3[Comparable '#3 Dates],Benchmark1[[#This Row],[Benchmark '#1 Dates]])=1,"Pass","Fail")</f>
        <v>Pass</v>
      </c>
      <c r="Q987" s="6">
        <f>IF(Benchmark1[[#This Row],[Comparable '#3 Date Check]]="Pass",INDEX(Comp3[Comparable '#3 Price],MATCH(Benchmark1[[#This Row],[Benchmark '#1 Dates]],Comp3[Comparable '#3 Dates],0)),"-")</f>
        <v>65.680000000000007</v>
      </c>
      <c r="R987" s="22">
        <f>IF(Benchmark1[[#This Row],[Comparable '#3 Date Check]]="Pass",INDEX(Comp3[Comparable '#3 Return],MATCH(Benchmark1[[#This Row],[Benchmark '#1 Dates]],Comp3[Comparable '#3 Dates],0)),"-")</f>
        <v>8.1021615733185767E-3</v>
      </c>
      <c r="S987" s="1">
        <f>IFERROR(IF(Benchmark1[[#This Row],[Comparable '#3 Date Check]]="Pass",Benchmark1[[#This Row],[Comparable '#3 Return]]-Benchmark1[[#This Row],[Benchmark '#1 Return]],"-"),"-")</f>
        <v>-1.0160654608074773E-2</v>
      </c>
    </row>
    <row r="988" spans="1:19">
      <c r="A988" s="103">
        <v>44715</v>
      </c>
      <c r="B988" s="104">
        <v>4108.5354080760853</v>
      </c>
      <c r="C988" s="4">
        <f t="shared" si="15"/>
        <v>-1.648308235604758E-2</v>
      </c>
      <c r="D988" s="1" t="str">
        <f>IF(COUNTIF(Target1[Target Dates],Benchmark1[[#This Row],[Benchmark '#1 Dates]])=1,"Pass","Fail")</f>
        <v>Pass</v>
      </c>
      <c r="E988" s="6">
        <f>IF(Benchmark1[[#This Row],[Target Date Check]]="Pass",INDEX(Target1[Target Price],MATCH(Benchmark1[[#This Row],[Benchmark '#1 Dates]],Target1[Target Dates],0)),"-")</f>
        <v>39.85</v>
      </c>
      <c r="F988" s="22">
        <f>IF(Benchmark1[[#This Row],[Target Date Check]]="Pass",INDEX(Target1[Target Return],MATCH(Benchmark1[[#This Row],[Benchmark '#1 Dates]],Target1[Target Dates],0)),"-")</f>
        <v>1.5067807973867995E-3</v>
      </c>
      <c r="G988" s="1">
        <f>IFERROR(IF(Benchmark1[[#This Row],[Target Date Check]]="Pass",Benchmark1[[#This Row],[Target Return]]-Benchmark1[[#This Row],[Benchmark '#1 Return]],"-"),"-")</f>
        <v>1.7989863153434378E-2</v>
      </c>
      <c r="H988" s="1" t="str">
        <f>IF(COUNTIF(Comp1[Comparable '#1 Dates],Benchmark1[[#This Row],[Benchmark '#1 Dates]])=1,"Pass","Fail")</f>
        <v>Pass</v>
      </c>
      <c r="I988" s="6">
        <f>IF(Benchmark1[[#This Row],[Comparable '#1 Date Check]]="Pass",INDEX(Comp1[Comparable '#1 Price],MATCH(Benchmark1[[#This Row],[Benchmark '#1 Dates]],Comp1[Comparable '#1 Dates],0)),"-")</f>
        <v>13.15</v>
      </c>
      <c r="J988" s="22">
        <f>IF(Benchmark1[[#This Row],[Comparable '#1 Date Check]]="Pass",INDEX(Comp1[Comparable '#1 Return],MATCH(Benchmark1[[#This Row],[Benchmark '#1 Dates]],Comp1[Comparable '#1 Dates],0)),"-")</f>
        <v>7.6074556730913203E-4</v>
      </c>
      <c r="K988" s="1">
        <f>IFERROR(IF(Benchmark1[[#This Row],[Comparable '#1 Date Check]]="Pass",Benchmark1[[#This Row],[Comparable '#1 Return]]-Benchmark1[[#This Row],[Benchmark '#1 Return]],"-"),"-")</f>
        <v>1.724382792335671E-2</v>
      </c>
      <c r="L988" s="1" t="str">
        <f>IF(COUNTIF(Comp2[Comparable '#2 Dates],Benchmark1[[#This Row],[Benchmark '#1 Dates]])=1,"Pass","Fail")</f>
        <v>Pass</v>
      </c>
      <c r="M988" s="6">
        <f>IF(Benchmark1[[#This Row],[Comparable '#2 Date Check]]="Pass",INDEX(Comp2[Comparable '#2 Price],MATCH(Benchmark1[[#This Row],[Benchmark '#1 Dates]],Comp2[Comparable '#2 Dates],0)),"-")</f>
        <v>34.090000000000003</v>
      </c>
      <c r="N988" s="22">
        <f>IF(Benchmark1[[#This Row],[Comparable '#2 Date Check]]="Pass",INDEX(Comp2[Comparable '#2 Return],MATCH(Benchmark1[[#This Row],[Benchmark '#1 Dates]],Comp2[Comparable '#2 Dates],0)),"-")</f>
        <v>1.4180444412797607E-2</v>
      </c>
      <c r="O988" s="1">
        <f>IFERROR(IF(Benchmark1[[#This Row],[Comparable '#2 Date Check]]="Pass",Benchmark1[[#This Row],[Comparable '#2 Return]]-Benchmark1[[#This Row],[Benchmark '#1 Return]],"-"),"-")</f>
        <v>3.0663526768845185E-2</v>
      </c>
      <c r="P988" s="1" t="str">
        <f>IF(COUNTIF(Comp3[Comparable '#3 Dates],Benchmark1[[#This Row],[Benchmark '#1 Dates]])=1,"Pass","Fail")</f>
        <v>Pass</v>
      </c>
      <c r="Q988" s="6">
        <f>IF(Benchmark1[[#This Row],[Comparable '#3 Date Check]]="Pass",INDEX(Comp3[Comparable '#3 Price],MATCH(Benchmark1[[#This Row],[Benchmark '#1 Dates]],Comp3[Comparable '#3 Dates],0)),"-")</f>
        <v>65.5</v>
      </c>
      <c r="R988" s="22">
        <f>IF(Benchmark1[[#This Row],[Comparable '#3 Date Check]]="Pass",INDEX(Comp3[Comparable '#3 Return],MATCH(Benchmark1[[#This Row],[Benchmark '#1 Dates]],Comp3[Comparable '#3 Dates],0)),"-")</f>
        <v>-2.7443225029666154E-3</v>
      </c>
      <c r="S988" s="1">
        <f>IFERROR(IF(Benchmark1[[#This Row],[Comparable '#3 Date Check]]="Pass",Benchmark1[[#This Row],[Comparable '#3 Return]]-Benchmark1[[#This Row],[Benchmark '#1 Return]],"-"),"-")</f>
        <v>1.3738759853080965E-2</v>
      </c>
    </row>
    <row r="989" spans="1:19">
      <c r="A989" s="103">
        <v>44718</v>
      </c>
      <c r="B989" s="104">
        <v>4121.4294309363313</v>
      </c>
      <c r="C989" s="4">
        <f t="shared" si="15"/>
        <v>3.1334358438650832E-3</v>
      </c>
      <c r="D989" s="1" t="str">
        <f>IF(COUNTIF(Target1[Target Dates],Benchmark1[[#This Row],[Benchmark '#1 Dates]])=1,"Pass","Fail")</f>
        <v>Pass</v>
      </c>
      <c r="E989" s="6">
        <f>IF(Benchmark1[[#This Row],[Target Date Check]]="Pass",INDEX(Target1[Target Price],MATCH(Benchmark1[[#This Row],[Benchmark '#1 Dates]],Target1[Target Dates],0)),"-")</f>
        <v>40.14</v>
      </c>
      <c r="F989" s="22">
        <f>IF(Benchmark1[[#This Row],[Target Date Check]]="Pass",INDEX(Target1[Target Return],MATCH(Benchmark1[[#This Row],[Benchmark '#1 Dates]],Target1[Target Dates],0)),"-")</f>
        <v>7.2509381319679515E-3</v>
      </c>
      <c r="G989" s="1">
        <f>IFERROR(IF(Benchmark1[[#This Row],[Target Date Check]]="Pass",Benchmark1[[#This Row],[Target Return]]-Benchmark1[[#This Row],[Benchmark '#1 Return]],"-"),"-")</f>
        <v>4.1175022881028683E-3</v>
      </c>
      <c r="H989" s="1" t="str">
        <f>IF(COUNTIF(Comp1[Comparable '#1 Dates],Benchmark1[[#This Row],[Benchmark '#1 Dates]])=1,"Pass","Fail")</f>
        <v>Pass</v>
      </c>
      <c r="I989" s="6">
        <f>IF(Benchmark1[[#This Row],[Comparable '#1 Date Check]]="Pass",INDEX(Comp1[Comparable '#1 Price],MATCH(Benchmark1[[#This Row],[Benchmark '#1 Dates]],Comp1[Comparable '#1 Dates],0)),"-")</f>
        <v>12.97</v>
      </c>
      <c r="J989" s="22">
        <f>IF(Benchmark1[[#This Row],[Comparable '#1 Date Check]]="Pass",INDEX(Comp1[Comparable '#1 Return],MATCH(Benchmark1[[#This Row],[Benchmark '#1 Dates]],Comp1[Comparable '#1 Dates],0)),"-")</f>
        <v>-1.3782760295421073E-2</v>
      </c>
      <c r="K989" s="1">
        <f>IFERROR(IF(Benchmark1[[#This Row],[Comparable '#1 Date Check]]="Pass",Benchmark1[[#This Row],[Comparable '#1 Return]]-Benchmark1[[#This Row],[Benchmark '#1 Return]],"-"),"-")</f>
        <v>-1.6916196139286157E-2</v>
      </c>
      <c r="L989" s="1" t="str">
        <f>IF(COUNTIF(Comp2[Comparable '#2 Dates],Benchmark1[[#This Row],[Benchmark '#1 Dates]])=1,"Pass","Fail")</f>
        <v>Pass</v>
      </c>
      <c r="M989" s="6">
        <f>IF(Benchmark1[[#This Row],[Comparable '#2 Date Check]]="Pass",INDEX(Comp2[Comparable '#2 Price],MATCH(Benchmark1[[#This Row],[Benchmark '#1 Dates]],Comp2[Comparable '#2 Dates],0)),"-")</f>
        <v>34.58</v>
      </c>
      <c r="N989" s="22">
        <f>IF(Benchmark1[[#This Row],[Comparable '#2 Date Check]]="Pass",INDEX(Comp2[Comparable '#2 Return],MATCH(Benchmark1[[#This Row],[Benchmark '#1 Dates]],Comp2[Comparable '#2 Dates],0)),"-")</f>
        <v>1.4271394105332541E-2</v>
      </c>
      <c r="O989" s="1">
        <f>IFERROR(IF(Benchmark1[[#This Row],[Comparable '#2 Date Check]]="Pass",Benchmark1[[#This Row],[Comparable '#2 Return]]-Benchmark1[[#This Row],[Benchmark '#1 Return]],"-"),"-")</f>
        <v>1.1137958261467459E-2</v>
      </c>
      <c r="P989" s="1" t="str">
        <f>IF(COUNTIF(Comp3[Comparable '#3 Dates],Benchmark1[[#This Row],[Benchmark '#1 Dates]])=1,"Pass","Fail")</f>
        <v>Pass</v>
      </c>
      <c r="Q989" s="6">
        <f>IF(Benchmark1[[#This Row],[Comparable '#3 Date Check]]="Pass",INDEX(Comp3[Comparable '#3 Price],MATCH(Benchmark1[[#This Row],[Benchmark '#1 Dates]],Comp3[Comparable '#3 Dates],0)),"-")</f>
        <v>66.17</v>
      </c>
      <c r="R989" s="22">
        <f>IF(Benchmark1[[#This Row],[Comparable '#3 Date Check]]="Pass",INDEX(Comp3[Comparable '#3 Return],MATCH(Benchmark1[[#This Row],[Benchmark '#1 Dates]],Comp3[Comparable '#3 Dates],0)),"-")</f>
        <v>1.0177045382761896E-2</v>
      </c>
      <c r="S989" s="1">
        <f>IFERROR(IF(Benchmark1[[#This Row],[Comparable '#3 Date Check]]="Pass",Benchmark1[[#This Row],[Comparable '#3 Return]]-Benchmark1[[#This Row],[Benchmark '#1 Return]],"-"),"-")</f>
        <v>7.0436095388968127E-3</v>
      </c>
    </row>
    <row r="990" spans="1:19">
      <c r="A990" s="103">
        <v>44719</v>
      </c>
      <c r="B990" s="104">
        <v>4160.6833266315625</v>
      </c>
      <c r="C990" s="4">
        <f t="shared" si="15"/>
        <v>9.479269548436366E-3</v>
      </c>
      <c r="D990" s="1" t="str">
        <f>IF(COUNTIF(Target1[Target Dates],Benchmark1[[#This Row],[Benchmark '#1 Dates]])=1,"Pass","Fail")</f>
        <v>Pass</v>
      </c>
      <c r="E990" s="6">
        <f>IF(Benchmark1[[#This Row],[Target Date Check]]="Pass",INDEX(Target1[Target Price],MATCH(Benchmark1[[#This Row],[Benchmark '#1 Dates]],Target1[Target Dates],0)),"-")</f>
        <v>40.450000000000003</v>
      </c>
      <c r="F990" s="22">
        <f>IF(Benchmark1[[#This Row],[Target Date Check]]="Pass",INDEX(Target1[Target Return],MATCH(Benchmark1[[#This Row],[Benchmark '#1 Dates]],Target1[Target Dates],0)),"-")</f>
        <v>7.6933001363085739E-3</v>
      </c>
      <c r="G990" s="1">
        <f>IFERROR(IF(Benchmark1[[#This Row],[Target Date Check]]="Pass",Benchmark1[[#This Row],[Target Return]]-Benchmark1[[#This Row],[Benchmark '#1 Return]],"-"),"-")</f>
        <v>-1.7859694121277921E-3</v>
      </c>
      <c r="H990" s="1" t="str">
        <f>IF(COUNTIF(Comp1[Comparable '#1 Dates],Benchmark1[[#This Row],[Benchmark '#1 Dates]])=1,"Pass","Fail")</f>
        <v>Pass</v>
      </c>
      <c r="I990" s="6">
        <f>IF(Benchmark1[[#This Row],[Comparable '#1 Date Check]]="Pass",INDEX(Comp1[Comparable '#1 Price],MATCH(Benchmark1[[#This Row],[Benchmark '#1 Dates]],Comp1[Comparable '#1 Dates],0)),"-")</f>
        <v>12.98</v>
      </c>
      <c r="J990" s="22">
        <f>IF(Benchmark1[[#This Row],[Comparable '#1 Date Check]]="Pass",INDEX(Comp1[Comparable '#1 Return],MATCH(Benchmark1[[#This Row],[Benchmark '#1 Dates]],Comp1[Comparable '#1 Dates],0)),"-")</f>
        <v>7.707129475913023E-4</v>
      </c>
      <c r="K990" s="1">
        <f>IFERROR(IF(Benchmark1[[#This Row],[Comparable '#1 Date Check]]="Pass",Benchmark1[[#This Row],[Comparable '#1 Return]]-Benchmark1[[#This Row],[Benchmark '#1 Return]],"-"),"-")</f>
        <v>-8.7085566008450639E-3</v>
      </c>
      <c r="L990" s="1" t="str">
        <f>IF(COUNTIF(Comp2[Comparable '#2 Dates],Benchmark1[[#This Row],[Benchmark '#1 Dates]])=1,"Pass","Fail")</f>
        <v>Pass</v>
      </c>
      <c r="M990" s="6">
        <f>IF(Benchmark1[[#This Row],[Comparable '#2 Date Check]]="Pass",INDEX(Comp2[Comparable '#2 Price],MATCH(Benchmark1[[#This Row],[Benchmark '#1 Dates]],Comp2[Comparable '#2 Dates],0)),"-")</f>
        <v>35.35</v>
      </c>
      <c r="N990" s="22">
        <f>IF(Benchmark1[[#This Row],[Comparable '#2 Date Check]]="Pass",INDEX(Comp2[Comparable '#2 Return],MATCH(Benchmark1[[#This Row],[Benchmark '#1 Dates]],Comp2[Comparable '#2 Dates],0)),"-")</f>
        <v>2.2022912087437473E-2</v>
      </c>
      <c r="O990" s="1">
        <f>IFERROR(IF(Benchmark1[[#This Row],[Comparable '#2 Date Check]]="Pass",Benchmark1[[#This Row],[Comparable '#2 Return]]-Benchmark1[[#This Row],[Benchmark '#1 Return]],"-"),"-")</f>
        <v>1.2543642539001107E-2</v>
      </c>
      <c r="P990" s="1" t="str">
        <f>IF(COUNTIF(Comp3[Comparable '#3 Dates],Benchmark1[[#This Row],[Benchmark '#1 Dates]])=1,"Pass","Fail")</f>
        <v>Pass</v>
      </c>
      <c r="Q990" s="6">
        <f>IF(Benchmark1[[#This Row],[Comparable '#3 Date Check]]="Pass",INDEX(Comp3[Comparable '#3 Price],MATCH(Benchmark1[[#This Row],[Benchmark '#1 Dates]],Comp3[Comparable '#3 Dates],0)),"-")</f>
        <v>66.010000000000005</v>
      </c>
      <c r="R990" s="22">
        <f>IF(Benchmark1[[#This Row],[Comparable '#3 Date Check]]="Pass",INDEX(Comp3[Comparable '#3 Return],MATCH(Benchmark1[[#This Row],[Benchmark '#1 Dates]],Comp3[Comparable '#3 Dates],0)),"-")</f>
        <v>-2.4209423232886495E-3</v>
      </c>
      <c r="S990" s="1">
        <f>IFERROR(IF(Benchmark1[[#This Row],[Comparable '#3 Date Check]]="Pass",Benchmark1[[#This Row],[Comparable '#3 Return]]-Benchmark1[[#This Row],[Benchmark '#1 Return]],"-"),"-")</f>
        <v>-1.1900211871725016E-2</v>
      </c>
    </row>
    <row r="991" spans="1:19">
      <c r="A991" s="103">
        <v>44720</v>
      </c>
      <c r="B991" s="104">
        <v>4115.7724708524056</v>
      </c>
      <c r="C991" s="4">
        <f t="shared" si="15"/>
        <v>-1.0852784739812079E-2</v>
      </c>
      <c r="D991" s="1" t="str">
        <f>IF(COUNTIF(Target1[Target Dates],Benchmark1[[#This Row],[Benchmark '#1 Dates]])=1,"Pass","Fail")</f>
        <v>Pass</v>
      </c>
      <c r="E991" s="6">
        <f>IF(Benchmark1[[#This Row],[Target Date Check]]="Pass",INDEX(Target1[Target Price],MATCH(Benchmark1[[#This Row],[Benchmark '#1 Dates]],Target1[Target Dates],0)),"-")</f>
        <v>37.479999999999997</v>
      </c>
      <c r="F991" s="22">
        <f>IF(Benchmark1[[#This Row],[Target Date Check]]="Pass",INDEX(Target1[Target Return],MATCH(Benchmark1[[#This Row],[Benchmark '#1 Dates]],Target1[Target Dates],0)),"-")</f>
        <v>-7.6259186134279441E-2</v>
      </c>
      <c r="G991" s="1">
        <f>IFERROR(IF(Benchmark1[[#This Row],[Target Date Check]]="Pass",Benchmark1[[#This Row],[Target Return]]-Benchmark1[[#This Row],[Benchmark '#1 Return]],"-"),"-")</f>
        <v>-6.5406401394467364E-2</v>
      </c>
      <c r="H991" s="1" t="str">
        <f>IF(COUNTIF(Comp1[Comparable '#1 Dates],Benchmark1[[#This Row],[Benchmark '#1 Dates]])=1,"Pass","Fail")</f>
        <v>Pass</v>
      </c>
      <c r="I991" s="6">
        <f>IF(Benchmark1[[#This Row],[Comparable '#1 Date Check]]="Pass",INDEX(Comp1[Comparable '#1 Price],MATCH(Benchmark1[[#This Row],[Benchmark '#1 Dates]],Comp1[Comparable '#1 Dates],0)),"-")</f>
        <v>12.43</v>
      </c>
      <c r="J991" s="22">
        <f>IF(Benchmark1[[#This Row],[Comparable '#1 Date Check]]="Pass",INDEX(Comp1[Comparable '#1 Return],MATCH(Benchmark1[[#This Row],[Benchmark '#1 Dates]],Comp1[Comparable '#1 Dates],0)),"-")</f>
        <v>-4.3296805753324188E-2</v>
      </c>
      <c r="K991" s="1">
        <f>IFERROR(IF(Benchmark1[[#This Row],[Comparable '#1 Date Check]]="Pass",Benchmark1[[#This Row],[Comparable '#1 Return]]-Benchmark1[[#This Row],[Benchmark '#1 Return]],"-"),"-")</f>
        <v>-3.2444021013512112E-2</v>
      </c>
      <c r="L991" s="1" t="str">
        <f>IF(COUNTIF(Comp2[Comparable '#2 Dates],Benchmark1[[#This Row],[Benchmark '#1 Dates]])=1,"Pass","Fail")</f>
        <v>Pass</v>
      </c>
      <c r="M991" s="6">
        <f>IF(Benchmark1[[#This Row],[Comparable '#2 Date Check]]="Pass",INDEX(Comp2[Comparable '#2 Price],MATCH(Benchmark1[[#This Row],[Benchmark '#1 Dates]],Comp2[Comparable '#2 Dates],0)),"-")</f>
        <v>33.99</v>
      </c>
      <c r="N991" s="22">
        <f>IF(Benchmark1[[#This Row],[Comparable '#2 Date Check]]="Pass",INDEX(Comp2[Comparable '#2 Return],MATCH(Benchmark1[[#This Row],[Benchmark '#1 Dates]],Comp2[Comparable '#2 Dates],0)),"-")</f>
        <v>-3.9232028634557145E-2</v>
      </c>
      <c r="O991" s="1">
        <f>IFERROR(IF(Benchmark1[[#This Row],[Comparable '#2 Date Check]]="Pass",Benchmark1[[#This Row],[Comparable '#2 Return]]-Benchmark1[[#This Row],[Benchmark '#1 Return]],"-"),"-")</f>
        <v>-2.8379243894745068E-2</v>
      </c>
      <c r="P991" s="1" t="str">
        <f>IF(COUNTIF(Comp3[Comparable '#3 Dates],Benchmark1[[#This Row],[Benchmark '#1 Dates]])=1,"Pass","Fail")</f>
        <v>Pass</v>
      </c>
      <c r="Q991" s="6">
        <f>IF(Benchmark1[[#This Row],[Comparable '#3 Date Check]]="Pass",INDEX(Comp3[Comparable '#3 Price],MATCH(Benchmark1[[#This Row],[Benchmark '#1 Dates]],Comp3[Comparable '#3 Dates],0)),"-")</f>
        <v>65.61</v>
      </c>
      <c r="R991" s="22">
        <f>IF(Benchmark1[[#This Row],[Comparable '#3 Date Check]]="Pass",INDEX(Comp3[Comparable '#3 Return],MATCH(Benchmark1[[#This Row],[Benchmark '#1 Dates]],Comp3[Comparable '#3 Dates],0)),"-")</f>
        <v>-6.0781223438933834E-3</v>
      </c>
      <c r="S991" s="1">
        <f>IFERROR(IF(Benchmark1[[#This Row],[Comparable '#3 Date Check]]="Pass",Benchmark1[[#This Row],[Comparable '#3 Return]]-Benchmark1[[#This Row],[Benchmark '#1 Return]],"-"),"-")</f>
        <v>4.7746623959186952E-3</v>
      </c>
    </row>
    <row r="992" spans="1:19">
      <c r="A992" s="103">
        <v>44721</v>
      </c>
      <c r="B992" s="104">
        <v>4017.8184945811513</v>
      </c>
      <c r="C992" s="4">
        <f t="shared" si="15"/>
        <v>-2.4087444956936932E-2</v>
      </c>
      <c r="D992" s="1" t="str">
        <f>IF(COUNTIF(Target1[Target Dates],Benchmark1[[#This Row],[Benchmark '#1 Dates]])=1,"Pass","Fail")</f>
        <v>Pass</v>
      </c>
      <c r="E992" s="6">
        <f>IF(Benchmark1[[#This Row],[Target Date Check]]="Pass",INDEX(Target1[Target Price],MATCH(Benchmark1[[#This Row],[Benchmark '#1 Dates]],Target1[Target Dates],0)),"-")</f>
        <v>36.53</v>
      </c>
      <c r="F992" s="22">
        <f>IF(Benchmark1[[#This Row],[Target Date Check]]="Pass",INDEX(Target1[Target Return],MATCH(Benchmark1[[#This Row],[Benchmark '#1 Dates]],Target1[Target Dates],0)),"-")</f>
        <v>-2.5673616563030185E-2</v>
      </c>
      <c r="G992" s="1">
        <f>IFERROR(IF(Benchmark1[[#This Row],[Target Date Check]]="Pass",Benchmark1[[#This Row],[Target Return]]-Benchmark1[[#This Row],[Benchmark '#1 Return]],"-"),"-")</f>
        <v>-1.5861716060932528E-3</v>
      </c>
      <c r="H992" s="1" t="str">
        <f>IF(COUNTIF(Comp1[Comparable '#1 Dates],Benchmark1[[#This Row],[Benchmark '#1 Dates]])=1,"Pass","Fail")</f>
        <v>Pass</v>
      </c>
      <c r="I992" s="6">
        <f>IF(Benchmark1[[#This Row],[Comparable '#1 Date Check]]="Pass",INDEX(Comp1[Comparable '#1 Price],MATCH(Benchmark1[[#This Row],[Benchmark '#1 Dates]],Comp1[Comparable '#1 Dates],0)),"-")</f>
        <v>12.28</v>
      </c>
      <c r="J992" s="22">
        <f>IF(Benchmark1[[#This Row],[Comparable '#1 Date Check]]="Pass",INDEX(Comp1[Comparable '#1 Return],MATCH(Benchmark1[[#This Row],[Benchmark '#1 Dates]],Comp1[Comparable '#1 Dates],0)),"-")</f>
        <v>-1.2140982803623359E-2</v>
      </c>
      <c r="K992" s="1">
        <f>IFERROR(IF(Benchmark1[[#This Row],[Comparable '#1 Date Check]]="Pass",Benchmark1[[#This Row],[Comparable '#1 Return]]-Benchmark1[[#This Row],[Benchmark '#1 Return]],"-"),"-")</f>
        <v>1.1946462153313573E-2</v>
      </c>
      <c r="L992" s="1" t="str">
        <f>IF(COUNTIF(Comp2[Comparable '#2 Dates],Benchmark1[[#This Row],[Benchmark '#1 Dates]])=1,"Pass","Fail")</f>
        <v>Pass</v>
      </c>
      <c r="M992" s="6">
        <f>IF(Benchmark1[[#This Row],[Comparable '#2 Date Check]]="Pass",INDEX(Comp2[Comparable '#2 Price],MATCH(Benchmark1[[#This Row],[Benchmark '#1 Dates]],Comp2[Comparable '#2 Dates],0)),"-")</f>
        <v>33.29</v>
      </c>
      <c r="N992" s="22">
        <f>IF(Benchmark1[[#This Row],[Comparable '#2 Date Check]]="Pass",INDEX(Comp2[Comparable '#2 Return],MATCH(Benchmark1[[#This Row],[Benchmark '#1 Dates]],Comp2[Comparable '#2 Dates],0)),"-")</f>
        <v>-2.0809312121091154E-2</v>
      </c>
      <c r="O992" s="1">
        <f>IFERROR(IF(Benchmark1[[#This Row],[Comparable '#2 Date Check]]="Pass",Benchmark1[[#This Row],[Comparable '#2 Return]]-Benchmark1[[#This Row],[Benchmark '#1 Return]],"-"),"-")</f>
        <v>3.2781328358457776E-3</v>
      </c>
      <c r="P992" s="1" t="str">
        <f>IF(COUNTIF(Comp3[Comparable '#3 Dates],Benchmark1[[#This Row],[Benchmark '#1 Dates]])=1,"Pass","Fail")</f>
        <v>Pass</v>
      </c>
      <c r="Q992" s="6">
        <f>IF(Benchmark1[[#This Row],[Comparable '#3 Date Check]]="Pass",INDEX(Comp3[Comparable '#3 Price],MATCH(Benchmark1[[#This Row],[Benchmark '#1 Dates]],Comp3[Comparable '#3 Dates],0)),"-")</f>
        <v>64.56</v>
      </c>
      <c r="R992" s="22">
        <f>IF(Benchmark1[[#This Row],[Comparable '#3 Date Check]]="Pass",INDEX(Comp3[Comparable '#3 Return],MATCH(Benchmark1[[#This Row],[Benchmark '#1 Dates]],Comp3[Comparable '#3 Dates],0)),"-")</f>
        <v>-1.6133099395092707E-2</v>
      </c>
      <c r="S992" s="1">
        <f>IFERROR(IF(Benchmark1[[#This Row],[Comparable '#3 Date Check]]="Pass",Benchmark1[[#This Row],[Comparable '#3 Return]]-Benchmark1[[#This Row],[Benchmark '#1 Return]],"-"),"-")</f>
        <v>7.9543455618442255E-3</v>
      </c>
    </row>
    <row r="993" spans="1:19">
      <c r="A993" s="103">
        <v>44722</v>
      </c>
      <c r="B993" s="104">
        <v>3900.8644757811867</v>
      </c>
      <c r="C993" s="4">
        <f t="shared" si="15"/>
        <v>-2.9540903267271833E-2</v>
      </c>
      <c r="D993" s="1" t="str">
        <f>IF(COUNTIF(Target1[Target Dates],Benchmark1[[#This Row],[Benchmark '#1 Dates]])=1,"Pass","Fail")</f>
        <v>Pass</v>
      </c>
      <c r="E993" s="6">
        <f>IF(Benchmark1[[#This Row],[Target Date Check]]="Pass",INDEX(Target1[Target Price],MATCH(Benchmark1[[#This Row],[Benchmark '#1 Dates]],Target1[Target Dates],0)),"-")</f>
        <v>35.5</v>
      </c>
      <c r="F993" s="22">
        <f>IF(Benchmark1[[#This Row],[Target Date Check]]="Pass",INDEX(Target1[Target Return],MATCH(Benchmark1[[#This Row],[Benchmark '#1 Dates]],Target1[Target Dates],0)),"-")</f>
        <v>-2.860114432582106E-2</v>
      </c>
      <c r="G993" s="1">
        <f>IFERROR(IF(Benchmark1[[#This Row],[Target Date Check]]="Pass",Benchmark1[[#This Row],[Target Return]]-Benchmark1[[#This Row],[Benchmark '#1 Return]],"-"),"-")</f>
        <v>9.3975894145077385E-4</v>
      </c>
      <c r="H993" s="1" t="str">
        <f>IF(COUNTIF(Comp1[Comparable '#1 Dates],Benchmark1[[#This Row],[Benchmark '#1 Dates]])=1,"Pass","Fail")</f>
        <v>Pass</v>
      </c>
      <c r="I993" s="6">
        <f>IF(Benchmark1[[#This Row],[Comparable '#1 Date Check]]="Pass",INDEX(Comp1[Comparable '#1 Price],MATCH(Benchmark1[[#This Row],[Benchmark '#1 Dates]],Comp1[Comparable '#1 Dates],0)),"-")</f>
        <v>12</v>
      </c>
      <c r="J993" s="22">
        <f>IF(Benchmark1[[#This Row],[Comparable '#1 Date Check]]="Pass",INDEX(Comp1[Comparable '#1 Return],MATCH(Benchmark1[[#This Row],[Benchmark '#1 Dates]],Comp1[Comparable '#1 Dates],0)),"-")</f>
        <v>-2.306527293099599E-2</v>
      </c>
      <c r="K993" s="1">
        <f>IFERROR(IF(Benchmark1[[#This Row],[Comparable '#1 Date Check]]="Pass",Benchmark1[[#This Row],[Comparable '#1 Return]]-Benchmark1[[#This Row],[Benchmark '#1 Return]],"-"),"-")</f>
        <v>6.4756303362758436E-3</v>
      </c>
      <c r="L993" s="1" t="str">
        <f>IF(COUNTIF(Comp2[Comparable '#2 Dates],Benchmark1[[#This Row],[Benchmark '#1 Dates]])=1,"Pass","Fail")</f>
        <v>Pass</v>
      </c>
      <c r="M993" s="6">
        <f>IF(Benchmark1[[#This Row],[Comparable '#2 Date Check]]="Pass",INDEX(Comp2[Comparable '#2 Price],MATCH(Benchmark1[[#This Row],[Benchmark '#1 Dates]],Comp2[Comparable '#2 Dates],0)),"-")</f>
        <v>32</v>
      </c>
      <c r="N993" s="22">
        <f>IF(Benchmark1[[#This Row],[Comparable '#2 Date Check]]="Pass",INDEX(Comp2[Comparable '#2 Return],MATCH(Benchmark1[[#This Row],[Benchmark '#1 Dates]],Comp2[Comparable '#2 Dates],0)),"-")</f>
        <v>-3.9521148787206986E-2</v>
      </c>
      <c r="O993" s="1">
        <f>IFERROR(IF(Benchmark1[[#This Row],[Comparable '#2 Date Check]]="Pass",Benchmark1[[#This Row],[Comparable '#2 Return]]-Benchmark1[[#This Row],[Benchmark '#1 Return]],"-"),"-")</f>
        <v>-9.9802455199351527E-3</v>
      </c>
      <c r="P993" s="1" t="str">
        <f>IF(COUNTIF(Comp3[Comparable '#3 Dates],Benchmark1[[#This Row],[Benchmark '#1 Dates]])=1,"Pass","Fail")</f>
        <v>Pass</v>
      </c>
      <c r="Q993" s="6">
        <f>IF(Benchmark1[[#This Row],[Comparable '#3 Date Check]]="Pass",INDEX(Comp3[Comparable '#3 Price],MATCH(Benchmark1[[#This Row],[Benchmark '#1 Dates]],Comp3[Comparable '#3 Dates],0)),"-")</f>
        <v>63.39</v>
      </c>
      <c r="R993" s="22">
        <f>IF(Benchmark1[[#This Row],[Comparable '#3 Date Check]]="Pass",INDEX(Comp3[Comparable '#3 Return],MATCH(Benchmark1[[#This Row],[Benchmark '#1 Dates]],Comp3[Comparable '#3 Dates],0)),"-")</f>
        <v>-1.828890366561841E-2</v>
      </c>
      <c r="S993" s="1">
        <f>IFERROR(IF(Benchmark1[[#This Row],[Comparable '#3 Date Check]]="Pass",Benchmark1[[#This Row],[Comparable '#3 Return]]-Benchmark1[[#This Row],[Benchmark '#1 Return]],"-"),"-")</f>
        <v>1.1251999601653424E-2</v>
      </c>
    </row>
    <row r="994" spans="1:19">
      <c r="A994" s="103">
        <v>44725</v>
      </c>
      <c r="B994" s="104">
        <v>3749.627286894216</v>
      </c>
      <c r="C994" s="4">
        <f t="shared" si="15"/>
        <v>-3.9541744148018351E-2</v>
      </c>
      <c r="D994" s="1" t="str">
        <f>IF(COUNTIF(Target1[Target Dates],Benchmark1[[#This Row],[Benchmark '#1 Dates]])=1,"Pass","Fail")</f>
        <v>Pass</v>
      </c>
      <c r="E994" s="6">
        <f>IF(Benchmark1[[#This Row],[Target Date Check]]="Pass",INDEX(Target1[Target Price],MATCH(Benchmark1[[#This Row],[Benchmark '#1 Dates]],Target1[Target Dates],0)),"-")</f>
        <v>33.729999999999997</v>
      </c>
      <c r="F994" s="22">
        <f>IF(Benchmark1[[#This Row],[Target Date Check]]="Pass",INDEX(Target1[Target Return],MATCH(Benchmark1[[#This Row],[Benchmark '#1 Dates]],Target1[Target Dates],0)),"-")</f>
        <v>-5.1145047407811374E-2</v>
      </c>
      <c r="G994" s="1">
        <f>IFERROR(IF(Benchmark1[[#This Row],[Target Date Check]]="Pass",Benchmark1[[#This Row],[Target Return]]-Benchmark1[[#This Row],[Benchmark '#1 Return]],"-"),"-")</f>
        <v>-1.1603303259793023E-2</v>
      </c>
      <c r="H994" s="1" t="str">
        <f>IF(COUNTIF(Comp1[Comparable '#1 Dates],Benchmark1[[#This Row],[Benchmark '#1 Dates]])=1,"Pass","Fail")</f>
        <v>Pass</v>
      </c>
      <c r="I994" s="6">
        <f>IF(Benchmark1[[#This Row],[Comparable '#1 Date Check]]="Pass",INDEX(Comp1[Comparable '#1 Price],MATCH(Benchmark1[[#This Row],[Benchmark '#1 Dates]],Comp1[Comparable '#1 Dates],0)),"-")</f>
        <v>11.57</v>
      </c>
      <c r="J994" s="22">
        <f>IF(Benchmark1[[#This Row],[Comparable '#1 Date Check]]="Pass",INDEX(Comp1[Comparable '#1 Return],MATCH(Benchmark1[[#This Row],[Benchmark '#1 Dates]],Comp1[Comparable '#1 Dates],0)),"-")</f>
        <v>-3.6491108582415041E-2</v>
      </c>
      <c r="K994" s="1">
        <f>IFERROR(IF(Benchmark1[[#This Row],[Comparable '#1 Date Check]]="Pass",Benchmark1[[#This Row],[Comparable '#1 Return]]-Benchmark1[[#This Row],[Benchmark '#1 Return]],"-"),"-")</f>
        <v>3.0506355656033102E-3</v>
      </c>
      <c r="L994" s="1" t="str">
        <f>IF(COUNTIF(Comp2[Comparable '#2 Dates],Benchmark1[[#This Row],[Benchmark '#1 Dates]])=1,"Pass","Fail")</f>
        <v>Pass</v>
      </c>
      <c r="M994" s="6">
        <f>IF(Benchmark1[[#This Row],[Comparable '#2 Date Check]]="Pass",INDEX(Comp2[Comparable '#2 Price],MATCH(Benchmark1[[#This Row],[Benchmark '#1 Dates]],Comp2[Comparable '#2 Dates],0)),"-")</f>
        <v>31.3</v>
      </c>
      <c r="N994" s="22">
        <f>IF(Benchmark1[[#This Row],[Comparable '#2 Date Check]]="Pass",INDEX(Comp2[Comparable '#2 Return],MATCH(Benchmark1[[#This Row],[Benchmark '#1 Dates]],Comp2[Comparable '#2 Dates],0)),"-")</f>
        <v>-2.2117805253618991E-2</v>
      </c>
      <c r="O994" s="1">
        <f>IFERROR(IF(Benchmark1[[#This Row],[Comparable '#2 Date Check]]="Pass",Benchmark1[[#This Row],[Comparable '#2 Return]]-Benchmark1[[#This Row],[Benchmark '#1 Return]],"-"),"-")</f>
        <v>1.742393889439936E-2</v>
      </c>
      <c r="P994" s="1" t="str">
        <f>IF(COUNTIF(Comp3[Comparable '#3 Dates],Benchmark1[[#This Row],[Benchmark '#1 Dates]])=1,"Pass","Fail")</f>
        <v>Pass</v>
      </c>
      <c r="Q994" s="6">
        <f>IF(Benchmark1[[#This Row],[Comparable '#3 Date Check]]="Pass",INDEX(Comp3[Comparable '#3 Price],MATCH(Benchmark1[[#This Row],[Benchmark '#1 Dates]],Comp3[Comparable '#3 Dates],0)),"-")</f>
        <v>61.42</v>
      </c>
      <c r="R994" s="22">
        <f>IF(Benchmark1[[#This Row],[Comparable '#3 Date Check]]="Pass",INDEX(Comp3[Comparable '#3 Return],MATCH(Benchmark1[[#This Row],[Benchmark '#1 Dates]],Comp3[Comparable '#3 Dates],0)),"-")</f>
        <v>-3.1570605283398723E-2</v>
      </c>
      <c r="S994" s="1">
        <f>IFERROR(IF(Benchmark1[[#This Row],[Comparable '#3 Date Check]]="Pass",Benchmark1[[#This Row],[Comparable '#3 Return]]-Benchmark1[[#This Row],[Benchmark '#1 Return]],"-"),"-")</f>
        <v>7.9711388646196285E-3</v>
      </c>
    </row>
    <row r="995" spans="1:19">
      <c r="A995" s="103">
        <v>44726</v>
      </c>
      <c r="B995" s="104">
        <v>3735.4831339193861</v>
      </c>
      <c r="C995" s="4">
        <f t="shared" si="15"/>
        <v>-3.7792815375274091E-3</v>
      </c>
      <c r="D995" s="1" t="str">
        <f>IF(COUNTIF(Target1[Target Dates],Benchmark1[[#This Row],[Benchmark '#1 Dates]])=1,"Pass","Fail")</f>
        <v>Pass</v>
      </c>
      <c r="E995" s="6">
        <f>IF(Benchmark1[[#This Row],[Target Date Check]]="Pass",INDEX(Target1[Target Price],MATCH(Benchmark1[[#This Row],[Benchmark '#1 Dates]],Target1[Target Dates],0)),"-")</f>
        <v>34.6</v>
      </c>
      <c r="F995" s="22">
        <f>IF(Benchmark1[[#This Row],[Target Date Check]]="Pass",INDEX(Target1[Target Return],MATCH(Benchmark1[[#This Row],[Benchmark '#1 Dates]],Target1[Target Dates],0)),"-")</f>
        <v>2.5466032990119861E-2</v>
      </c>
      <c r="G995" s="1">
        <f>IFERROR(IF(Benchmark1[[#This Row],[Target Date Check]]="Pass",Benchmark1[[#This Row],[Target Return]]-Benchmark1[[#This Row],[Benchmark '#1 Return]],"-"),"-")</f>
        <v>2.9245314527647271E-2</v>
      </c>
      <c r="H995" s="1" t="str">
        <f>IF(COUNTIF(Comp1[Comparable '#1 Dates],Benchmark1[[#This Row],[Benchmark '#1 Dates]])=1,"Pass","Fail")</f>
        <v>Pass</v>
      </c>
      <c r="I995" s="6">
        <f>IF(Benchmark1[[#This Row],[Comparable '#1 Date Check]]="Pass",INDEX(Comp1[Comparable '#1 Price],MATCH(Benchmark1[[#This Row],[Benchmark '#1 Dates]],Comp1[Comparable '#1 Dates],0)),"-")</f>
        <v>11.39</v>
      </c>
      <c r="J995" s="22">
        <f>IF(Benchmark1[[#This Row],[Comparable '#1 Date Check]]="Pass",INDEX(Comp1[Comparable '#1 Return],MATCH(Benchmark1[[#This Row],[Benchmark '#1 Dates]],Comp1[Comparable '#1 Dates],0)),"-")</f>
        <v>-1.5679763746494404E-2</v>
      </c>
      <c r="K995" s="1">
        <f>IFERROR(IF(Benchmark1[[#This Row],[Comparable '#1 Date Check]]="Pass",Benchmark1[[#This Row],[Comparable '#1 Return]]-Benchmark1[[#This Row],[Benchmark '#1 Return]],"-"),"-")</f>
        <v>-1.1900482208966995E-2</v>
      </c>
      <c r="L995" s="1" t="str">
        <f>IF(COUNTIF(Comp2[Comparable '#2 Dates],Benchmark1[[#This Row],[Benchmark '#1 Dates]])=1,"Pass","Fail")</f>
        <v>Pass</v>
      </c>
      <c r="M995" s="6">
        <f>IF(Benchmark1[[#This Row],[Comparable '#2 Date Check]]="Pass",INDEX(Comp2[Comparable '#2 Price],MATCH(Benchmark1[[#This Row],[Benchmark '#1 Dates]],Comp2[Comparable '#2 Dates],0)),"-")</f>
        <v>31.69</v>
      </c>
      <c r="N995" s="22">
        <f>IF(Benchmark1[[#This Row],[Comparable '#2 Date Check]]="Pass",INDEX(Comp2[Comparable '#2 Return],MATCH(Benchmark1[[#This Row],[Benchmark '#1 Dates]],Comp2[Comparable '#2 Dates],0)),"-")</f>
        <v>1.2383076156721929E-2</v>
      </c>
      <c r="O995" s="1">
        <f>IFERROR(IF(Benchmark1[[#This Row],[Comparable '#2 Date Check]]="Pass",Benchmark1[[#This Row],[Comparable '#2 Return]]-Benchmark1[[#This Row],[Benchmark '#1 Return]],"-"),"-")</f>
        <v>1.6162357694249337E-2</v>
      </c>
      <c r="P995" s="1" t="str">
        <f>IF(COUNTIF(Comp3[Comparable '#3 Dates],Benchmark1[[#This Row],[Benchmark '#1 Dates]])=1,"Pass","Fail")</f>
        <v>Pass</v>
      </c>
      <c r="Q995" s="6">
        <f>IF(Benchmark1[[#This Row],[Comparable '#3 Date Check]]="Pass",INDEX(Comp3[Comparable '#3 Price],MATCH(Benchmark1[[#This Row],[Benchmark '#1 Dates]],Comp3[Comparable '#3 Dates],0)),"-")</f>
        <v>61.53</v>
      </c>
      <c r="R995" s="22">
        <f>IF(Benchmark1[[#This Row],[Comparable '#3 Date Check]]="Pass",INDEX(Comp3[Comparable '#3 Return],MATCH(Benchmark1[[#This Row],[Benchmark '#1 Dates]],Comp3[Comparable '#3 Dates],0)),"-")</f>
        <v>1.7893457397225696E-3</v>
      </c>
      <c r="S995" s="1">
        <f>IFERROR(IF(Benchmark1[[#This Row],[Comparable '#3 Date Check]]="Pass",Benchmark1[[#This Row],[Comparable '#3 Return]]-Benchmark1[[#This Row],[Benchmark '#1 Return]],"-"),"-")</f>
        <v>5.5686272772499787E-3</v>
      </c>
    </row>
    <row r="996" spans="1:19">
      <c r="A996" s="103">
        <v>44727</v>
      </c>
      <c r="B996" s="104">
        <v>3789.986324563632</v>
      </c>
      <c r="C996" s="4">
        <f t="shared" si="15"/>
        <v>1.4485247449548691E-2</v>
      </c>
      <c r="D996" s="1" t="str">
        <f>IF(COUNTIF(Target1[Target Dates],Benchmark1[[#This Row],[Benchmark '#1 Dates]])=1,"Pass","Fail")</f>
        <v>Pass</v>
      </c>
      <c r="E996" s="6">
        <f>IF(Benchmark1[[#This Row],[Target Date Check]]="Pass",INDEX(Target1[Target Price],MATCH(Benchmark1[[#This Row],[Benchmark '#1 Dates]],Target1[Target Dates],0)),"-")</f>
        <v>34.58</v>
      </c>
      <c r="F996" s="22">
        <f>IF(Benchmark1[[#This Row],[Target Date Check]]="Pass",INDEX(Target1[Target Return],MATCH(Benchmark1[[#This Row],[Benchmark '#1 Dates]],Target1[Target Dates],0)),"-")</f>
        <v>-5.7820180853426838E-4</v>
      </c>
      <c r="G996" s="1">
        <f>IFERROR(IF(Benchmark1[[#This Row],[Target Date Check]]="Pass",Benchmark1[[#This Row],[Target Return]]-Benchmark1[[#This Row],[Benchmark '#1 Return]],"-"),"-")</f>
        <v>-1.5063449258082959E-2</v>
      </c>
      <c r="H996" s="1" t="str">
        <f>IF(COUNTIF(Comp1[Comparable '#1 Dates],Benchmark1[[#This Row],[Benchmark '#1 Dates]])=1,"Pass","Fail")</f>
        <v>Pass</v>
      </c>
      <c r="I996" s="6">
        <f>IF(Benchmark1[[#This Row],[Comparable '#1 Date Check]]="Pass",INDEX(Comp1[Comparable '#1 Price],MATCH(Benchmark1[[#This Row],[Benchmark '#1 Dates]],Comp1[Comparable '#1 Dates],0)),"-")</f>
        <v>11.41</v>
      </c>
      <c r="J996" s="22">
        <f>IF(Benchmark1[[#This Row],[Comparable '#1 Date Check]]="Pass",INDEX(Comp1[Comparable '#1 Return],MATCH(Benchmark1[[#This Row],[Benchmark '#1 Dates]],Comp1[Comparable '#1 Dates],0)),"-")</f>
        <v>1.7543864148933739E-3</v>
      </c>
      <c r="K996" s="1">
        <f>IFERROR(IF(Benchmark1[[#This Row],[Comparable '#1 Date Check]]="Pass",Benchmark1[[#This Row],[Comparable '#1 Return]]-Benchmark1[[#This Row],[Benchmark '#1 Return]],"-"),"-")</f>
        <v>-1.2730861034655318E-2</v>
      </c>
      <c r="L996" s="1" t="str">
        <f>IF(COUNTIF(Comp2[Comparable '#2 Dates],Benchmark1[[#This Row],[Benchmark '#1 Dates]])=1,"Pass","Fail")</f>
        <v>Pass</v>
      </c>
      <c r="M996" s="6">
        <f>IF(Benchmark1[[#This Row],[Comparable '#2 Date Check]]="Pass",INDEX(Comp2[Comparable '#2 Price],MATCH(Benchmark1[[#This Row],[Benchmark '#1 Dates]],Comp2[Comparable '#2 Dates],0)),"-")</f>
        <v>31.79</v>
      </c>
      <c r="N996" s="22">
        <f>IF(Benchmark1[[#This Row],[Comparable '#2 Date Check]]="Pass",INDEX(Comp2[Comparable '#2 Return],MATCH(Benchmark1[[#This Row],[Benchmark '#1 Dates]],Comp2[Comparable '#2 Dates],0)),"-")</f>
        <v>3.1506012198818721E-3</v>
      </c>
      <c r="O996" s="1">
        <f>IFERROR(IF(Benchmark1[[#This Row],[Comparable '#2 Date Check]]="Pass",Benchmark1[[#This Row],[Comparable '#2 Return]]-Benchmark1[[#This Row],[Benchmark '#1 Return]],"-"),"-")</f>
        <v>-1.1334646229666819E-2</v>
      </c>
      <c r="P996" s="1" t="str">
        <f>IF(COUNTIF(Comp3[Comparable '#3 Dates],Benchmark1[[#This Row],[Benchmark '#1 Dates]])=1,"Pass","Fail")</f>
        <v>Pass</v>
      </c>
      <c r="Q996" s="6">
        <f>IF(Benchmark1[[#This Row],[Comparable '#3 Date Check]]="Pass",INDEX(Comp3[Comparable '#3 Price],MATCH(Benchmark1[[#This Row],[Benchmark '#1 Dates]],Comp3[Comparable '#3 Dates],0)),"-")</f>
        <v>61.71</v>
      </c>
      <c r="R996" s="22">
        <f>IF(Benchmark1[[#This Row],[Comparable '#3 Date Check]]="Pass",INDEX(Comp3[Comparable '#3 Return],MATCH(Benchmark1[[#This Row],[Benchmark '#1 Dates]],Comp3[Comparable '#3 Dates],0)),"-")</f>
        <v>2.9211315805766323E-3</v>
      </c>
      <c r="S996" s="1">
        <f>IFERROR(IF(Benchmark1[[#This Row],[Comparable '#3 Date Check]]="Pass",Benchmark1[[#This Row],[Comparable '#3 Return]]-Benchmark1[[#This Row],[Benchmark '#1 Return]],"-"),"-")</f>
        <v>-1.1564115868972059E-2</v>
      </c>
    </row>
    <row r="997" spans="1:19">
      <c r="A997" s="103">
        <v>44728</v>
      </c>
      <c r="B997" s="104">
        <v>3666.7675019230014</v>
      </c>
      <c r="C997" s="4">
        <f t="shared" si="15"/>
        <v>-3.3051926516685613E-2</v>
      </c>
      <c r="D997" s="1" t="str">
        <f>IF(COUNTIF(Target1[Target Dates],Benchmark1[[#This Row],[Benchmark '#1 Dates]])=1,"Pass","Fail")</f>
        <v>Pass</v>
      </c>
      <c r="E997" s="6">
        <f>IF(Benchmark1[[#This Row],[Target Date Check]]="Pass",INDEX(Target1[Target Price],MATCH(Benchmark1[[#This Row],[Benchmark '#1 Dates]],Target1[Target Dates],0)),"-")</f>
        <v>33.78</v>
      </c>
      <c r="F997" s="22">
        <f>IF(Benchmark1[[#This Row],[Target Date Check]]="Pass",INDEX(Target1[Target Return],MATCH(Benchmark1[[#This Row],[Benchmark '#1 Dates]],Target1[Target Dates],0)),"-")</f>
        <v>-2.3406568875490391E-2</v>
      </c>
      <c r="G997" s="1">
        <f>IFERROR(IF(Benchmark1[[#This Row],[Target Date Check]]="Pass",Benchmark1[[#This Row],[Target Return]]-Benchmark1[[#This Row],[Benchmark '#1 Return]],"-"),"-")</f>
        <v>9.6453576411952222E-3</v>
      </c>
      <c r="H997" s="1" t="str">
        <f>IF(COUNTIF(Comp1[Comparable '#1 Dates],Benchmark1[[#This Row],[Benchmark '#1 Dates]])=1,"Pass","Fail")</f>
        <v>Pass</v>
      </c>
      <c r="I997" s="6">
        <f>IF(Benchmark1[[#This Row],[Comparable '#1 Date Check]]="Pass",INDEX(Comp1[Comparable '#1 Price],MATCH(Benchmark1[[#This Row],[Benchmark '#1 Dates]],Comp1[Comparable '#1 Dates],0)),"-")</f>
        <v>11.13</v>
      </c>
      <c r="J997" s="22">
        <f>IF(Benchmark1[[#This Row],[Comparable '#1 Date Check]]="Pass",INDEX(Comp1[Comparable '#1 Return],MATCH(Benchmark1[[#This Row],[Benchmark '#1 Dates]],Comp1[Comparable '#1 Dates],0)),"-")</f>
        <v>-2.4845998586530776E-2</v>
      </c>
      <c r="K997" s="1">
        <f>IFERROR(IF(Benchmark1[[#This Row],[Comparable '#1 Date Check]]="Pass",Benchmark1[[#This Row],[Comparable '#1 Return]]-Benchmark1[[#This Row],[Benchmark '#1 Return]],"-"),"-")</f>
        <v>8.2059279301548368E-3</v>
      </c>
      <c r="L997" s="1" t="str">
        <f>IF(COUNTIF(Comp2[Comparable '#2 Dates],Benchmark1[[#This Row],[Benchmark '#1 Dates]])=1,"Pass","Fail")</f>
        <v>Pass</v>
      </c>
      <c r="M997" s="6">
        <f>IF(Benchmark1[[#This Row],[Comparable '#2 Date Check]]="Pass",INDEX(Comp2[Comparable '#2 Price],MATCH(Benchmark1[[#This Row],[Benchmark '#1 Dates]],Comp2[Comparable '#2 Dates],0)),"-")</f>
        <v>31.12</v>
      </c>
      <c r="N997" s="22">
        <f>IF(Benchmark1[[#This Row],[Comparable '#2 Date Check]]="Pass",INDEX(Comp2[Comparable '#2 Return],MATCH(Benchmark1[[#This Row],[Benchmark '#1 Dates]],Comp2[Comparable '#2 Dates],0)),"-")</f>
        <v>-2.1301075612520464E-2</v>
      </c>
      <c r="O997" s="1">
        <f>IFERROR(IF(Benchmark1[[#This Row],[Comparable '#2 Date Check]]="Pass",Benchmark1[[#This Row],[Comparable '#2 Return]]-Benchmark1[[#This Row],[Benchmark '#1 Return]],"-"),"-")</f>
        <v>1.1750850904165149E-2</v>
      </c>
      <c r="P997" s="1" t="str">
        <f>IF(COUNTIF(Comp3[Comparable '#3 Dates],Benchmark1[[#This Row],[Benchmark '#1 Dates]])=1,"Pass","Fail")</f>
        <v>Pass</v>
      </c>
      <c r="Q997" s="6">
        <f>IF(Benchmark1[[#This Row],[Comparable '#3 Date Check]]="Pass",INDEX(Comp3[Comparable '#3 Price],MATCH(Benchmark1[[#This Row],[Benchmark '#1 Dates]],Comp3[Comparable '#3 Dates],0)),"-")</f>
        <v>60</v>
      </c>
      <c r="R997" s="22">
        <f>IF(Benchmark1[[#This Row],[Comparable '#3 Date Check]]="Pass",INDEX(Comp3[Comparable '#3 Return],MATCH(Benchmark1[[#This Row],[Benchmark '#1 Dates]],Comp3[Comparable '#3 Dates],0)),"-")</f>
        <v>-2.8101430110874785E-2</v>
      </c>
      <c r="S997" s="1">
        <f>IFERROR(IF(Benchmark1[[#This Row],[Comparable '#3 Date Check]]="Pass",Benchmark1[[#This Row],[Comparable '#3 Return]]-Benchmark1[[#This Row],[Benchmark '#1 Return]],"-"),"-")</f>
        <v>4.9504964058108281E-3</v>
      </c>
    </row>
    <row r="998" spans="1:19">
      <c r="A998" s="103">
        <v>44729</v>
      </c>
      <c r="B998" s="104">
        <v>3674.8413600450049</v>
      </c>
      <c r="C998" s="4">
        <f t="shared" si="15"/>
        <v>2.1994801217880338E-3</v>
      </c>
      <c r="D998" s="1" t="str">
        <f>IF(COUNTIF(Target1[Target Dates],Benchmark1[[#This Row],[Benchmark '#1 Dates]])=1,"Pass","Fail")</f>
        <v>Pass</v>
      </c>
      <c r="E998" s="6">
        <f>IF(Benchmark1[[#This Row],[Target Date Check]]="Pass",INDEX(Target1[Target Price],MATCH(Benchmark1[[#This Row],[Benchmark '#1 Dates]],Target1[Target Dates],0)),"-")</f>
        <v>35.18</v>
      </c>
      <c r="F998" s="22">
        <f>IF(Benchmark1[[#This Row],[Target Date Check]]="Pass",INDEX(Target1[Target Return],MATCH(Benchmark1[[#This Row],[Benchmark '#1 Dates]],Target1[Target Dates],0)),"-")</f>
        <v>4.0608827929758014E-2</v>
      </c>
      <c r="G998" s="1">
        <f>IFERROR(IF(Benchmark1[[#This Row],[Target Date Check]]="Pass",Benchmark1[[#This Row],[Target Return]]-Benchmark1[[#This Row],[Benchmark '#1 Return]],"-"),"-")</f>
        <v>3.8409347807969979E-2</v>
      </c>
      <c r="H998" s="1" t="str">
        <f>IF(COUNTIF(Comp1[Comparable '#1 Dates],Benchmark1[[#This Row],[Benchmark '#1 Dates]])=1,"Pass","Fail")</f>
        <v>Pass</v>
      </c>
      <c r="I998" s="6">
        <f>IF(Benchmark1[[#This Row],[Comparable '#1 Date Check]]="Pass",INDEX(Comp1[Comparable '#1 Price],MATCH(Benchmark1[[#This Row],[Benchmark '#1 Dates]],Comp1[Comparable '#1 Dates],0)),"-")</f>
        <v>11.4</v>
      </c>
      <c r="J998" s="22">
        <f>IF(Benchmark1[[#This Row],[Comparable '#1 Date Check]]="Pass",INDEX(Comp1[Comparable '#1 Return],MATCH(Benchmark1[[#This Row],[Benchmark '#1 Dates]],Comp1[Comparable '#1 Dates],0)),"-")</f>
        <v>2.3969190112996187E-2</v>
      </c>
      <c r="K998" s="1">
        <f>IFERROR(IF(Benchmark1[[#This Row],[Comparable '#1 Date Check]]="Pass",Benchmark1[[#This Row],[Comparable '#1 Return]]-Benchmark1[[#This Row],[Benchmark '#1 Return]],"-"),"-")</f>
        <v>2.1769709991208152E-2</v>
      </c>
      <c r="L998" s="1" t="str">
        <f>IF(COUNTIF(Comp2[Comparable '#2 Dates],Benchmark1[[#This Row],[Benchmark '#1 Dates]])=1,"Pass","Fail")</f>
        <v>Pass</v>
      </c>
      <c r="M998" s="6">
        <f>IF(Benchmark1[[#This Row],[Comparable '#2 Date Check]]="Pass",INDEX(Comp2[Comparable '#2 Price],MATCH(Benchmark1[[#This Row],[Benchmark '#1 Dates]],Comp2[Comparable '#2 Dates],0)),"-")</f>
        <v>31.74</v>
      </c>
      <c r="N998" s="22">
        <f>IF(Benchmark1[[#This Row],[Comparable '#2 Date Check]]="Pass",INDEX(Comp2[Comparable '#2 Return],MATCH(Benchmark1[[#This Row],[Benchmark '#1 Dates]],Comp2[Comparable '#2 Dates],0)),"-")</f>
        <v>1.9727015788072056E-2</v>
      </c>
      <c r="O998" s="1">
        <f>IFERROR(IF(Benchmark1[[#This Row],[Comparable '#2 Date Check]]="Pass",Benchmark1[[#This Row],[Comparable '#2 Return]]-Benchmark1[[#This Row],[Benchmark '#1 Return]],"-"),"-")</f>
        <v>1.7527535666284021E-2</v>
      </c>
      <c r="P998" s="1" t="str">
        <f>IF(COUNTIF(Comp3[Comparable '#3 Dates],Benchmark1[[#This Row],[Benchmark '#1 Dates]])=1,"Pass","Fail")</f>
        <v>Pass</v>
      </c>
      <c r="Q998" s="6">
        <f>IF(Benchmark1[[#This Row],[Comparable '#3 Date Check]]="Pass",INDEX(Comp3[Comparable '#3 Price],MATCH(Benchmark1[[#This Row],[Benchmark '#1 Dates]],Comp3[Comparable '#3 Dates],0)),"-")</f>
        <v>60.35</v>
      </c>
      <c r="R998" s="22">
        <f>IF(Benchmark1[[#This Row],[Comparable '#3 Date Check]]="Pass",INDEX(Comp3[Comparable '#3 Return],MATCH(Benchmark1[[#This Row],[Benchmark '#1 Dates]],Comp3[Comparable '#3 Dates],0)),"-")</f>
        <v>5.8163853214398473E-3</v>
      </c>
      <c r="S998" s="1">
        <f>IFERROR(IF(Benchmark1[[#This Row],[Comparable '#3 Date Check]]="Pass",Benchmark1[[#This Row],[Comparable '#3 Return]]-Benchmark1[[#This Row],[Benchmark '#1 Return]],"-"),"-")</f>
        <v>3.6169051996518134E-3</v>
      </c>
    </row>
    <row r="999" spans="1:19">
      <c r="A999" s="103">
        <v>44733</v>
      </c>
      <c r="B999" s="104">
        <v>3764.7879707581974</v>
      </c>
      <c r="C999" s="4">
        <f t="shared" si="15"/>
        <v>2.4181579400010905E-2</v>
      </c>
      <c r="D999" s="1" t="str">
        <f>IF(COUNTIF(Target1[Target Dates],Benchmark1[[#This Row],[Benchmark '#1 Dates]])=1,"Pass","Fail")</f>
        <v>Pass</v>
      </c>
      <c r="E999" s="6">
        <f>IF(Benchmark1[[#This Row],[Target Date Check]]="Pass",INDEX(Target1[Target Price],MATCH(Benchmark1[[#This Row],[Benchmark '#1 Dates]],Target1[Target Dates],0)),"-")</f>
        <v>35.119999999999997</v>
      </c>
      <c r="F999" s="22">
        <f>IF(Benchmark1[[#This Row],[Target Date Check]]="Pass",INDEX(Target1[Target Return],MATCH(Benchmark1[[#This Row],[Benchmark '#1 Dates]],Target1[Target Dates],0)),"-")</f>
        <v>-1.7069705424962614E-3</v>
      </c>
      <c r="G999" s="1">
        <f>IFERROR(IF(Benchmark1[[#This Row],[Target Date Check]]="Pass",Benchmark1[[#This Row],[Target Return]]-Benchmark1[[#This Row],[Benchmark '#1 Return]],"-"),"-")</f>
        <v>-2.5888549942507166E-2</v>
      </c>
      <c r="H999" s="1" t="str">
        <f>IF(COUNTIF(Comp1[Comparable '#1 Dates],Benchmark1[[#This Row],[Benchmark '#1 Dates]])=1,"Pass","Fail")</f>
        <v>Pass</v>
      </c>
      <c r="I999" s="6">
        <f>IF(Benchmark1[[#This Row],[Comparable '#1 Date Check]]="Pass",INDEX(Comp1[Comparable '#1 Price],MATCH(Benchmark1[[#This Row],[Benchmark '#1 Dates]],Comp1[Comparable '#1 Dates],0)),"-")</f>
        <v>11.45</v>
      </c>
      <c r="J999" s="22">
        <f>IF(Benchmark1[[#This Row],[Comparable '#1 Date Check]]="Pass",INDEX(Comp1[Comparable '#1 Return],MATCH(Benchmark1[[#This Row],[Benchmark '#1 Dates]],Comp1[Comparable '#1 Dates],0)),"-")</f>
        <v>4.3763745997987815E-3</v>
      </c>
      <c r="K999" s="1">
        <f>IFERROR(IF(Benchmark1[[#This Row],[Comparable '#1 Date Check]]="Pass",Benchmark1[[#This Row],[Comparable '#1 Return]]-Benchmark1[[#This Row],[Benchmark '#1 Return]],"-"),"-")</f>
        <v>-1.9805204800212122E-2</v>
      </c>
      <c r="L999" s="1" t="str">
        <f>IF(COUNTIF(Comp2[Comparable '#2 Dates],Benchmark1[[#This Row],[Benchmark '#1 Dates]])=1,"Pass","Fail")</f>
        <v>Pass</v>
      </c>
      <c r="M999" s="6">
        <f>IF(Benchmark1[[#This Row],[Comparable '#2 Date Check]]="Pass",INDEX(Comp2[Comparable '#2 Price],MATCH(Benchmark1[[#This Row],[Benchmark '#1 Dates]],Comp2[Comparable '#2 Dates],0)),"-")</f>
        <v>32.03</v>
      </c>
      <c r="N999" s="22">
        <f>IF(Benchmark1[[#This Row],[Comparable '#2 Date Check]]="Pass",INDEX(Comp2[Comparable '#2 Return],MATCH(Benchmark1[[#This Row],[Benchmark '#1 Dates]],Comp2[Comparable '#2 Dates],0)),"-")</f>
        <v>9.0952485228038109E-3</v>
      </c>
      <c r="O999" s="1">
        <f>IFERROR(IF(Benchmark1[[#This Row],[Comparable '#2 Date Check]]="Pass",Benchmark1[[#This Row],[Comparable '#2 Return]]-Benchmark1[[#This Row],[Benchmark '#1 Return]],"-"),"-")</f>
        <v>-1.5086330877207094E-2</v>
      </c>
      <c r="P999" s="1" t="str">
        <f>IF(COUNTIF(Comp3[Comparable '#3 Dates],Benchmark1[[#This Row],[Benchmark '#1 Dates]])=1,"Pass","Fail")</f>
        <v>Pass</v>
      </c>
      <c r="Q999" s="6">
        <f>IF(Benchmark1[[#This Row],[Comparable '#3 Date Check]]="Pass",INDEX(Comp3[Comparable '#3 Price],MATCH(Benchmark1[[#This Row],[Benchmark '#1 Dates]],Comp3[Comparable '#3 Dates],0)),"-")</f>
        <v>60.73</v>
      </c>
      <c r="R999" s="22">
        <f>IF(Benchmark1[[#This Row],[Comparable '#3 Date Check]]="Pass",INDEX(Comp3[Comparable '#3 Return],MATCH(Benchmark1[[#This Row],[Benchmark '#1 Dates]],Comp3[Comparable '#3 Dates],0)),"-")</f>
        <v>6.276862365943498E-3</v>
      </c>
      <c r="S999" s="1">
        <f>IFERROR(IF(Benchmark1[[#This Row],[Comparable '#3 Date Check]]="Pass",Benchmark1[[#This Row],[Comparable '#3 Return]]-Benchmark1[[#This Row],[Benchmark '#1 Return]],"-"),"-")</f>
        <v>-1.7904717034067406E-2</v>
      </c>
    </row>
    <row r="1000" spans="1:19">
      <c r="A1000" s="103">
        <v>44734</v>
      </c>
      <c r="B1000" s="104">
        <v>3759.8931124549781</v>
      </c>
      <c r="C1000" s="4">
        <f t="shared" si="15"/>
        <v>-1.3010143392188781E-3</v>
      </c>
      <c r="D1000" s="1" t="str">
        <f>IF(COUNTIF(Target1[Target Dates],Benchmark1[[#This Row],[Benchmark '#1 Dates]])=1,"Pass","Fail")</f>
        <v>Pass</v>
      </c>
      <c r="E1000" s="6">
        <f>IF(Benchmark1[[#This Row],[Target Date Check]]="Pass",INDEX(Target1[Target Price],MATCH(Benchmark1[[#This Row],[Benchmark '#1 Dates]],Target1[Target Dates],0)),"-")</f>
        <v>35.24</v>
      </c>
      <c r="F1000" s="22">
        <f>IF(Benchmark1[[#This Row],[Target Date Check]]="Pass",INDEX(Target1[Target Return],MATCH(Benchmark1[[#This Row],[Benchmark '#1 Dates]],Target1[Target Dates],0)),"-")</f>
        <v>3.4110323010629008E-3</v>
      </c>
      <c r="G1000" s="1">
        <f>IFERROR(IF(Benchmark1[[#This Row],[Target Date Check]]="Pass",Benchmark1[[#This Row],[Target Return]]-Benchmark1[[#This Row],[Benchmark '#1 Return]],"-"),"-")</f>
        <v>4.7120466402817791E-3</v>
      </c>
      <c r="H1000" s="1" t="str">
        <f>IF(COUNTIF(Comp1[Comparable '#1 Dates],Benchmark1[[#This Row],[Benchmark '#1 Dates]])=1,"Pass","Fail")</f>
        <v>Pass</v>
      </c>
      <c r="I1000" s="6">
        <f>IF(Benchmark1[[#This Row],[Comparable '#1 Date Check]]="Pass",INDEX(Comp1[Comparable '#1 Price],MATCH(Benchmark1[[#This Row],[Benchmark '#1 Dates]],Comp1[Comparable '#1 Dates],0)),"-")</f>
        <v>10.8</v>
      </c>
      <c r="J1000" s="22">
        <f>IF(Benchmark1[[#This Row],[Comparable '#1 Date Check]]="Pass",INDEX(Comp1[Comparable '#1 Return],MATCH(Benchmark1[[#This Row],[Benchmark '#1 Dates]],Comp1[Comparable '#1 Dates],0)),"-")</f>
        <v>-5.8443595870074548E-2</v>
      </c>
      <c r="K1000" s="1">
        <f>IFERROR(IF(Benchmark1[[#This Row],[Comparable '#1 Date Check]]="Pass",Benchmark1[[#This Row],[Comparable '#1 Return]]-Benchmark1[[#This Row],[Benchmark '#1 Return]],"-"),"-")</f>
        <v>-5.714258153085567E-2</v>
      </c>
      <c r="L1000" s="1" t="str">
        <f>IF(COUNTIF(Comp2[Comparable '#2 Dates],Benchmark1[[#This Row],[Benchmark '#1 Dates]])=1,"Pass","Fail")</f>
        <v>Pass</v>
      </c>
      <c r="M1000" s="6">
        <f>IF(Benchmark1[[#This Row],[Comparable '#2 Date Check]]="Pass",INDEX(Comp2[Comparable '#2 Price],MATCH(Benchmark1[[#This Row],[Benchmark '#1 Dates]],Comp2[Comparable '#2 Dates],0)),"-")</f>
        <v>32.81</v>
      </c>
      <c r="N1000" s="22">
        <f>IF(Benchmark1[[#This Row],[Comparable '#2 Date Check]]="Pass",INDEX(Comp2[Comparable '#2 Return],MATCH(Benchmark1[[#This Row],[Benchmark '#1 Dates]],Comp2[Comparable '#2 Dates],0)),"-")</f>
        <v>2.4060383351943476E-2</v>
      </c>
      <c r="O1000" s="1">
        <f>IFERROR(IF(Benchmark1[[#This Row],[Comparable '#2 Date Check]]="Pass",Benchmark1[[#This Row],[Comparable '#2 Return]]-Benchmark1[[#This Row],[Benchmark '#1 Return]],"-"),"-")</f>
        <v>2.5361397691162354E-2</v>
      </c>
      <c r="P1000" s="1" t="str">
        <f>IF(COUNTIF(Comp3[Comparable '#3 Dates],Benchmark1[[#This Row],[Benchmark '#1 Dates]])=1,"Pass","Fail")</f>
        <v>Pass</v>
      </c>
      <c r="Q1000" s="6">
        <f>IF(Benchmark1[[#This Row],[Comparable '#3 Date Check]]="Pass",INDEX(Comp3[Comparable '#3 Price],MATCH(Benchmark1[[#This Row],[Benchmark '#1 Dates]],Comp3[Comparable '#3 Dates],0)),"-")</f>
        <v>61.87</v>
      </c>
      <c r="R1000" s="22">
        <f>IF(Benchmark1[[#This Row],[Comparable '#3 Date Check]]="Pass",INDEX(Comp3[Comparable '#3 Return],MATCH(Benchmark1[[#This Row],[Benchmark '#1 Dates]],Comp3[Comparable '#3 Dates],0)),"-")</f>
        <v>1.8597599633413536E-2</v>
      </c>
      <c r="S1000" s="1">
        <f>IFERROR(IF(Benchmark1[[#This Row],[Comparable '#3 Date Check]]="Pass",Benchmark1[[#This Row],[Comparable '#3 Return]]-Benchmark1[[#This Row],[Benchmark '#1 Return]],"-"),"-")</f>
        <v>1.9898613972632415E-2</v>
      </c>
    </row>
    <row r="1001" spans="1:19">
      <c r="A1001" s="103">
        <v>44735</v>
      </c>
      <c r="B1001" s="104">
        <v>3795.7274057260584</v>
      </c>
      <c r="C1001" s="4">
        <f t="shared" si="15"/>
        <v>9.4855377842941145E-3</v>
      </c>
      <c r="D1001" s="1" t="str">
        <f>IF(COUNTIF(Target1[Target Dates],Benchmark1[[#This Row],[Benchmark '#1 Dates]])=1,"Pass","Fail")</f>
        <v>Pass</v>
      </c>
      <c r="E1001" s="6">
        <f>IF(Benchmark1[[#This Row],[Target Date Check]]="Pass",INDEX(Target1[Target Price],MATCH(Benchmark1[[#This Row],[Benchmark '#1 Dates]],Target1[Target Dates],0)),"-")</f>
        <v>34.5</v>
      </c>
      <c r="F1001" s="22">
        <f>IF(Benchmark1[[#This Row],[Target Date Check]]="Pass",INDEX(Target1[Target Return],MATCH(Benchmark1[[#This Row],[Benchmark '#1 Dates]],Target1[Target Dates],0)),"-")</f>
        <v>-2.1222477030664755E-2</v>
      </c>
      <c r="G1001" s="1">
        <f>IFERROR(IF(Benchmark1[[#This Row],[Target Date Check]]="Pass",Benchmark1[[#This Row],[Target Return]]-Benchmark1[[#This Row],[Benchmark '#1 Return]],"-"),"-")</f>
        <v>-3.070801481495887E-2</v>
      </c>
      <c r="H1001" s="1" t="str">
        <f>IF(COUNTIF(Comp1[Comparable '#1 Dates],Benchmark1[[#This Row],[Benchmark '#1 Dates]])=1,"Pass","Fail")</f>
        <v>Pass</v>
      </c>
      <c r="I1001" s="6">
        <f>IF(Benchmark1[[#This Row],[Comparable '#1 Date Check]]="Pass",INDEX(Comp1[Comparable '#1 Price],MATCH(Benchmark1[[#This Row],[Benchmark '#1 Dates]],Comp1[Comparable '#1 Dates],0)),"-")</f>
        <v>10.95</v>
      </c>
      <c r="J1001" s="22">
        <f>IF(Benchmark1[[#This Row],[Comparable '#1 Date Check]]="Pass",INDEX(Comp1[Comparable '#1 Return],MATCH(Benchmark1[[#This Row],[Benchmark '#1 Dates]],Comp1[Comparable '#1 Dates],0)),"-")</f>
        <v>1.3793322132335769E-2</v>
      </c>
      <c r="K1001" s="1">
        <f>IFERROR(IF(Benchmark1[[#This Row],[Comparable '#1 Date Check]]="Pass",Benchmark1[[#This Row],[Comparable '#1 Return]]-Benchmark1[[#This Row],[Benchmark '#1 Return]],"-"),"-")</f>
        <v>4.3077843480416548E-3</v>
      </c>
      <c r="L1001" s="1" t="str">
        <f>IF(COUNTIF(Comp2[Comparable '#2 Dates],Benchmark1[[#This Row],[Benchmark '#1 Dates]])=1,"Pass","Fail")</f>
        <v>Pass</v>
      </c>
      <c r="M1001" s="6">
        <f>IF(Benchmark1[[#This Row],[Comparable '#2 Date Check]]="Pass",INDEX(Comp2[Comparable '#2 Price],MATCH(Benchmark1[[#This Row],[Benchmark '#1 Dates]],Comp2[Comparable '#2 Dates],0)),"-")</f>
        <v>33.700000000000003</v>
      </c>
      <c r="N1001" s="22">
        <f>IF(Benchmark1[[#This Row],[Comparable '#2 Date Check]]="Pass",INDEX(Comp2[Comparable '#2 Return],MATCH(Benchmark1[[#This Row],[Benchmark '#1 Dates]],Comp2[Comparable '#2 Dates],0)),"-")</f>
        <v>2.6764490385305744E-2</v>
      </c>
      <c r="O1001" s="1">
        <f>IFERROR(IF(Benchmark1[[#This Row],[Comparable '#2 Date Check]]="Pass",Benchmark1[[#This Row],[Comparable '#2 Return]]-Benchmark1[[#This Row],[Benchmark '#1 Return]],"-"),"-")</f>
        <v>1.727895260101163E-2</v>
      </c>
      <c r="P1001" s="1" t="str">
        <f>IF(COUNTIF(Comp3[Comparable '#3 Dates],Benchmark1[[#This Row],[Benchmark '#1 Dates]])=1,"Pass","Fail")</f>
        <v>Pass</v>
      </c>
      <c r="Q1001" s="6">
        <f>IF(Benchmark1[[#This Row],[Comparable '#3 Date Check]]="Pass",INDEX(Comp3[Comparable '#3 Price],MATCH(Benchmark1[[#This Row],[Benchmark '#1 Dates]],Comp3[Comparable '#3 Dates],0)),"-")</f>
        <v>65.78</v>
      </c>
      <c r="R1001" s="22">
        <f>IF(Benchmark1[[#This Row],[Comparable '#3 Date Check]]="Pass",INDEX(Comp3[Comparable '#3 Return],MATCH(Benchmark1[[#This Row],[Benchmark '#1 Dates]],Comp3[Comparable '#3 Dates],0)),"-")</f>
        <v>6.1280431218013569E-2</v>
      </c>
      <c r="S1001" s="1">
        <f>IFERROR(IF(Benchmark1[[#This Row],[Comparable '#3 Date Check]]="Pass",Benchmark1[[#This Row],[Comparable '#3 Return]]-Benchmark1[[#This Row],[Benchmark '#1 Return]],"-"),"-")</f>
        <v>5.1794893433719458E-2</v>
      </c>
    </row>
    <row r="1002" spans="1:19">
      <c r="A1002" s="103">
        <v>44736</v>
      </c>
      <c r="B1002" s="104">
        <v>3911.7438513628986</v>
      </c>
      <c r="C1002" s="4">
        <f t="shared" si="15"/>
        <v>3.0107205117386446E-2</v>
      </c>
      <c r="D1002" s="1" t="str">
        <f>IF(COUNTIF(Target1[Target Dates],Benchmark1[[#This Row],[Benchmark '#1 Dates]])=1,"Pass","Fail")</f>
        <v>Pass</v>
      </c>
      <c r="E1002" s="6">
        <f>IF(Benchmark1[[#This Row],[Target Date Check]]="Pass",INDEX(Target1[Target Price],MATCH(Benchmark1[[#This Row],[Benchmark '#1 Dates]],Target1[Target Dates],0)),"-")</f>
        <v>36.99</v>
      </c>
      <c r="F1002" s="22">
        <f>IF(Benchmark1[[#This Row],[Target Date Check]]="Pass",INDEX(Target1[Target Return],MATCH(Benchmark1[[#This Row],[Benchmark '#1 Dates]],Target1[Target Dates],0)),"-")</f>
        <v>6.9688281807048696E-2</v>
      </c>
      <c r="G1002" s="1">
        <f>IFERROR(IF(Benchmark1[[#This Row],[Target Date Check]]="Pass",Benchmark1[[#This Row],[Target Return]]-Benchmark1[[#This Row],[Benchmark '#1 Return]],"-"),"-")</f>
        <v>3.9581076689662251E-2</v>
      </c>
      <c r="H1002" s="1" t="str">
        <f>IF(COUNTIF(Comp1[Comparable '#1 Dates],Benchmark1[[#This Row],[Benchmark '#1 Dates]])=1,"Pass","Fail")</f>
        <v>Pass</v>
      </c>
      <c r="I1002" s="6">
        <f>IF(Benchmark1[[#This Row],[Comparable '#1 Date Check]]="Pass",INDEX(Comp1[Comparable '#1 Price],MATCH(Benchmark1[[#This Row],[Benchmark '#1 Dates]],Comp1[Comparable '#1 Dates],0)),"-")</f>
        <v>11.35</v>
      </c>
      <c r="J1002" s="22">
        <f>IF(Benchmark1[[#This Row],[Comparable '#1 Date Check]]="Pass",INDEX(Comp1[Comparable '#1 Return],MATCH(Benchmark1[[#This Row],[Benchmark '#1 Dates]],Comp1[Comparable '#1 Dates],0)),"-")</f>
        <v>3.5878287664901851E-2</v>
      </c>
      <c r="K1002" s="1">
        <f>IFERROR(IF(Benchmark1[[#This Row],[Comparable '#1 Date Check]]="Pass",Benchmark1[[#This Row],[Comparable '#1 Return]]-Benchmark1[[#This Row],[Benchmark '#1 Return]],"-"),"-")</f>
        <v>5.7710825475154048E-3</v>
      </c>
      <c r="L1002" s="1" t="str">
        <f>IF(COUNTIF(Comp2[Comparable '#2 Dates],Benchmark1[[#This Row],[Benchmark '#1 Dates]])=1,"Pass","Fail")</f>
        <v>Pass</v>
      </c>
      <c r="M1002" s="6">
        <f>IF(Benchmark1[[#This Row],[Comparable '#2 Date Check]]="Pass",INDEX(Comp2[Comparable '#2 Price],MATCH(Benchmark1[[#This Row],[Benchmark '#1 Dates]],Comp2[Comparable '#2 Dates],0)),"-")</f>
        <v>36.64</v>
      </c>
      <c r="N1002" s="22">
        <f>IF(Benchmark1[[#This Row],[Comparable '#2 Date Check]]="Pass",INDEX(Comp2[Comparable '#2 Return],MATCH(Benchmark1[[#This Row],[Benchmark '#1 Dates]],Comp2[Comparable '#2 Dates],0)),"-")</f>
        <v>8.3642702447613321E-2</v>
      </c>
      <c r="O1002" s="1">
        <f>IFERROR(IF(Benchmark1[[#This Row],[Comparable '#2 Date Check]]="Pass",Benchmark1[[#This Row],[Comparable '#2 Return]]-Benchmark1[[#This Row],[Benchmark '#1 Return]],"-"),"-")</f>
        <v>5.3535497330226875E-2</v>
      </c>
      <c r="P1002" s="1" t="str">
        <f>IF(COUNTIF(Comp3[Comparable '#3 Dates],Benchmark1[[#This Row],[Benchmark '#1 Dates]])=1,"Pass","Fail")</f>
        <v>Pass</v>
      </c>
      <c r="Q1002" s="6">
        <f>IF(Benchmark1[[#This Row],[Comparable '#3 Date Check]]="Pass",INDEX(Comp3[Comparable '#3 Price],MATCH(Benchmark1[[#This Row],[Benchmark '#1 Dates]],Comp3[Comparable '#3 Dates],0)),"-")</f>
        <v>71.290000000000006</v>
      </c>
      <c r="R1002" s="22">
        <f>IF(Benchmark1[[#This Row],[Comparable '#3 Date Check]]="Pass",INDEX(Comp3[Comparable '#3 Return],MATCH(Benchmark1[[#This Row],[Benchmark '#1 Dates]],Comp3[Comparable '#3 Dates],0)),"-")</f>
        <v>8.0440224368626176E-2</v>
      </c>
      <c r="S1002" s="1">
        <f>IFERROR(IF(Benchmark1[[#This Row],[Comparable '#3 Date Check]]="Pass",Benchmark1[[#This Row],[Comparable '#3 Return]]-Benchmark1[[#This Row],[Benchmark '#1 Return]],"-"),"-")</f>
        <v>5.033301925123973E-2</v>
      </c>
    </row>
    <row r="1003" spans="1:19">
      <c r="A1003" s="103">
        <v>44739</v>
      </c>
      <c r="B1003" s="104">
        <v>3900.1141309921077</v>
      </c>
      <c r="C1003" s="4">
        <f t="shared" si="15"/>
        <v>-2.9774552964856138E-3</v>
      </c>
      <c r="D1003" s="1" t="str">
        <f>IF(COUNTIF(Target1[Target Dates],Benchmark1[[#This Row],[Benchmark '#1 Dates]])=1,"Pass","Fail")</f>
        <v>Pass</v>
      </c>
      <c r="E1003" s="6">
        <f>IF(Benchmark1[[#This Row],[Target Date Check]]="Pass",INDEX(Target1[Target Price],MATCH(Benchmark1[[#This Row],[Benchmark '#1 Dates]],Target1[Target Dates],0)),"-")</f>
        <v>37.61</v>
      </c>
      <c r="F1003" s="22">
        <f>IF(Benchmark1[[#This Row],[Target Date Check]]="Pass",INDEX(Target1[Target Return],MATCH(Benchmark1[[#This Row],[Benchmark '#1 Dates]],Target1[Target Dates],0)),"-")</f>
        <v>1.6622366637882333E-2</v>
      </c>
      <c r="G1003" s="1">
        <f>IFERROR(IF(Benchmark1[[#This Row],[Target Date Check]]="Pass",Benchmark1[[#This Row],[Target Return]]-Benchmark1[[#This Row],[Benchmark '#1 Return]],"-"),"-")</f>
        <v>1.9599821934367948E-2</v>
      </c>
      <c r="H1003" s="1" t="str">
        <f>IF(COUNTIF(Comp1[Comparable '#1 Dates],Benchmark1[[#This Row],[Benchmark '#1 Dates]])=1,"Pass","Fail")</f>
        <v>Pass</v>
      </c>
      <c r="I1003" s="6">
        <f>IF(Benchmark1[[#This Row],[Comparable '#1 Date Check]]="Pass",INDEX(Comp1[Comparable '#1 Price],MATCH(Benchmark1[[#This Row],[Benchmark '#1 Dates]],Comp1[Comparable '#1 Dates],0)),"-")</f>
        <v>11.47</v>
      </c>
      <c r="J1003" s="22">
        <f>IF(Benchmark1[[#This Row],[Comparable '#1 Date Check]]="Pass",INDEX(Comp1[Comparable '#1 Return],MATCH(Benchmark1[[#This Row],[Benchmark '#1 Dates]],Comp1[Comparable '#1 Dates],0)),"-")</f>
        <v>1.0517187213867678E-2</v>
      </c>
      <c r="K1003" s="1">
        <f>IFERROR(IF(Benchmark1[[#This Row],[Comparable '#1 Date Check]]="Pass",Benchmark1[[#This Row],[Comparable '#1 Return]]-Benchmark1[[#This Row],[Benchmark '#1 Return]],"-"),"-")</f>
        <v>1.3494642510353292E-2</v>
      </c>
      <c r="L1003" s="1" t="str">
        <f>IF(COUNTIF(Comp2[Comparable '#2 Dates],Benchmark1[[#This Row],[Benchmark '#1 Dates]])=1,"Pass","Fail")</f>
        <v>Pass</v>
      </c>
      <c r="M1003" s="6">
        <f>IF(Benchmark1[[#This Row],[Comparable '#2 Date Check]]="Pass",INDEX(Comp2[Comparable '#2 Price],MATCH(Benchmark1[[#This Row],[Benchmark '#1 Dates]],Comp2[Comparable '#2 Dates],0)),"-")</f>
        <v>36.380000000000003</v>
      </c>
      <c r="N1003" s="22">
        <f>IF(Benchmark1[[#This Row],[Comparable '#2 Date Check]]="Pass",INDEX(Comp2[Comparable '#2 Return],MATCH(Benchmark1[[#This Row],[Benchmark '#1 Dates]],Comp2[Comparable '#2 Dates],0)),"-")</f>
        <v>-7.1213667159532703E-3</v>
      </c>
      <c r="O1003" s="1">
        <f>IFERROR(IF(Benchmark1[[#This Row],[Comparable '#2 Date Check]]="Pass",Benchmark1[[#This Row],[Comparable '#2 Return]]-Benchmark1[[#This Row],[Benchmark '#1 Return]],"-"),"-")</f>
        <v>-4.1439114194676569E-3</v>
      </c>
      <c r="P1003" s="1" t="str">
        <f>IF(COUNTIF(Comp3[Comparable '#3 Dates],Benchmark1[[#This Row],[Benchmark '#1 Dates]])=1,"Pass","Fail")</f>
        <v>Pass</v>
      </c>
      <c r="Q1003" s="6">
        <f>IF(Benchmark1[[#This Row],[Comparable '#3 Date Check]]="Pass",INDEX(Comp3[Comparable '#3 Price],MATCH(Benchmark1[[#This Row],[Benchmark '#1 Dates]],Comp3[Comparable '#3 Dates],0)),"-")</f>
        <v>72.62</v>
      </c>
      <c r="R1003" s="22">
        <f>IF(Benchmark1[[#This Row],[Comparable '#3 Date Check]]="Pass",INDEX(Comp3[Comparable '#3 Return],MATCH(Benchmark1[[#This Row],[Benchmark '#1 Dates]],Comp3[Comparable '#3 Dates],0)),"-")</f>
        <v>1.8484300856652588E-2</v>
      </c>
      <c r="S1003" s="1">
        <f>IFERROR(IF(Benchmark1[[#This Row],[Comparable '#3 Date Check]]="Pass",Benchmark1[[#This Row],[Comparable '#3 Return]]-Benchmark1[[#This Row],[Benchmark '#1 Return]],"-"),"-")</f>
        <v>2.1461756153138202E-2</v>
      </c>
    </row>
    <row r="1004" spans="1:19">
      <c r="A1004" s="103">
        <v>44740</v>
      </c>
      <c r="B1004" s="104">
        <v>3821.5458593609428</v>
      </c>
      <c r="C1004" s="4">
        <f t="shared" si="15"/>
        <v>-2.0350801079432587E-2</v>
      </c>
      <c r="D1004" s="1" t="str">
        <f>IF(COUNTIF(Target1[Target Dates],Benchmark1[[#This Row],[Benchmark '#1 Dates]])=1,"Pass","Fail")</f>
        <v>Pass</v>
      </c>
      <c r="E1004" s="6">
        <f>IF(Benchmark1[[#This Row],[Target Date Check]]="Pass",INDEX(Target1[Target Price],MATCH(Benchmark1[[#This Row],[Benchmark '#1 Dates]],Target1[Target Dates],0)),"-")</f>
        <v>37.770000000000003</v>
      </c>
      <c r="F1004" s="22">
        <f>IF(Benchmark1[[#This Row],[Target Date Check]]="Pass",INDEX(Target1[Target Return],MATCH(Benchmark1[[#This Row],[Benchmark '#1 Dates]],Target1[Target Dates],0)),"-")</f>
        <v>4.2451642421206378E-3</v>
      </c>
      <c r="G1004" s="1">
        <f>IFERROR(IF(Benchmark1[[#This Row],[Target Date Check]]="Pass",Benchmark1[[#This Row],[Target Return]]-Benchmark1[[#This Row],[Benchmark '#1 Return]],"-"),"-")</f>
        <v>2.4595965321553226E-2</v>
      </c>
      <c r="H1004" s="1" t="str">
        <f>IF(COUNTIF(Comp1[Comparable '#1 Dates],Benchmark1[[#This Row],[Benchmark '#1 Dates]])=1,"Pass","Fail")</f>
        <v>Pass</v>
      </c>
      <c r="I1004" s="6">
        <f>IF(Benchmark1[[#This Row],[Comparable '#1 Date Check]]="Pass",INDEX(Comp1[Comparable '#1 Price],MATCH(Benchmark1[[#This Row],[Benchmark '#1 Dates]],Comp1[Comparable '#1 Dates],0)),"-")</f>
        <v>11.33</v>
      </c>
      <c r="J1004" s="22">
        <f>IF(Benchmark1[[#This Row],[Comparable '#1 Date Check]]="Pass",INDEX(Comp1[Comparable '#1 Return],MATCH(Benchmark1[[#This Row],[Benchmark '#1 Dates]],Comp1[Comparable '#1 Dates],0)),"-")</f>
        <v>-1.2280856101364397E-2</v>
      </c>
      <c r="K1004" s="1">
        <f>IFERROR(IF(Benchmark1[[#This Row],[Comparable '#1 Date Check]]="Pass",Benchmark1[[#This Row],[Comparable '#1 Return]]-Benchmark1[[#This Row],[Benchmark '#1 Return]],"-"),"-")</f>
        <v>8.0699449780681897E-3</v>
      </c>
      <c r="L1004" s="1" t="str">
        <f>IF(COUNTIF(Comp2[Comparable '#2 Dates],Benchmark1[[#This Row],[Benchmark '#1 Dates]])=1,"Pass","Fail")</f>
        <v>Pass</v>
      </c>
      <c r="M1004" s="6">
        <f>IF(Benchmark1[[#This Row],[Comparable '#2 Date Check]]="Pass",INDEX(Comp2[Comparable '#2 Price],MATCH(Benchmark1[[#This Row],[Benchmark '#1 Dates]],Comp2[Comparable '#2 Dates],0)),"-")</f>
        <v>35.32</v>
      </c>
      <c r="N1004" s="22">
        <f>IF(Benchmark1[[#This Row],[Comparable '#2 Date Check]]="Pass",INDEX(Comp2[Comparable '#2 Return],MATCH(Benchmark1[[#This Row],[Benchmark '#1 Dates]],Comp2[Comparable '#2 Dates],0)),"-")</f>
        <v>-2.9569797354217029E-2</v>
      </c>
      <c r="O1004" s="1">
        <f>IFERROR(IF(Benchmark1[[#This Row],[Comparable '#2 Date Check]]="Pass",Benchmark1[[#This Row],[Comparable '#2 Return]]-Benchmark1[[#This Row],[Benchmark '#1 Return]],"-"),"-")</f>
        <v>-9.2189962747844419E-3</v>
      </c>
      <c r="P1004" s="1" t="str">
        <f>IF(COUNTIF(Comp3[Comparable '#3 Dates],Benchmark1[[#This Row],[Benchmark '#1 Dates]])=1,"Pass","Fail")</f>
        <v>Pass</v>
      </c>
      <c r="Q1004" s="6">
        <f>IF(Benchmark1[[#This Row],[Comparable '#3 Date Check]]="Pass",INDEX(Comp3[Comparable '#3 Price],MATCH(Benchmark1[[#This Row],[Benchmark '#1 Dates]],Comp3[Comparable '#3 Dates],0)),"-")</f>
        <v>70.52</v>
      </c>
      <c r="R1004" s="22">
        <f>IF(Benchmark1[[#This Row],[Comparable '#3 Date Check]]="Pass",INDEX(Comp3[Comparable '#3 Return],MATCH(Benchmark1[[#This Row],[Benchmark '#1 Dates]],Comp3[Comparable '#3 Dates],0)),"-")</f>
        <v>-2.9344008456520406E-2</v>
      </c>
      <c r="S1004" s="1">
        <f>IFERROR(IF(Benchmark1[[#This Row],[Comparable '#3 Date Check]]="Pass",Benchmark1[[#This Row],[Comparable '#3 Return]]-Benchmark1[[#This Row],[Benchmark '#1 Return]],"-"),"-")</f>
        <v>-8.9932073770878189E-3</v>
      </c>
    </row>
    <row r="1005" spans="1:19">
      <c r="A1005" s="103">
        <v>44741</v>
      </c>
      <c r="B1005" s="104">
        <v>3818.8327193578002</v>
      </c>
      <c r="C1005" s="4">
        <f t="shared" si="15"/>
        <v>-7.1021091147021155E-4</v>
      </c>
      <c r="D1005" s="1" t="str">
        <f>IF(COUNTIF(Target1[Target Dates],Benchmark1[[#This Row],[Benchmark '#1 Dates]])=1,"Pass","Fail")</f>
        <v>Pass</v>
      </c>
      <c r="E1005" s="6">
        <f>IF(Benchmark1[[#This Row],[Target Date Check]]="Pass",INDEX(Target1[Target Price],MATCH(Benchmark1[[#This Row],[Benchmark '#1 Dates]],Target1[Target Dates],0)),"-")</f>
        <v>41.31</v>
      </c>
      <c r="F1005" s="22">
        <f>IF(Benchmark1[[#This Row],[Target Date Check]]="Pass",INDEX(Target1[Target Return],MATCH(Benchmark1[[#This Row],[Benchmark '#1 Dates]],Target1[Target Dates],0)),"-")</f>
        <v>8.958946468430766E-2</v>
      </c>
      <c r="G1005" s="1">
        <f>IFERROR(IF(Benchmark1[[#This Row],[Target Date Check]]="Pass",Benchmark1[[#This Row],[Target Return]]-Benchmark1[[#This Row],[Benchmark '#1 Return]],"-"),"-")</f>
        <v>9.0299675595777867E-2</v>
      </c>
      <c r="H1005" s="1" t="str">
        <f>IF(COUNTIF(Comp1[Comparable '#1 Dates],Benchmark1[[#This Row],[Benchmark '#1 Dates]])=1,"Pass","Fail")</f>
        <v>Pass</v>
      </c>
      <c r="I1005" s="6">
        <f>IF(Benchmark1[[#This Row],[Comparable '#1 Date Check]]="Pass",INDEX(Comp1[Comparable '#1 Price],MATCH(Benchmark1[[#This Row],[Benchmark '#1 Dates]],Comp1[Comparable '#1 Dates],0)),"-")</f>
        <v>11.25</v>
      </c>
      <c r="J1005" s="22">
        <f>IF(Benchmark1[[#This Row],[Comparable '#1 Date Check]]="Pass",INDEX(Comp1[Comparable '#1 Return],MATCH(Benchmark1[[#This Row],[Benchmark '#1 Dates]],Comp1[Comparable '#1 Dates],0)),"-")</f>
        <v>-7.0859463894858352E-3</v>
      </c>
      <c r="K1005" s="1">
        <f>IFERROR(IF(Benchmark1[[#This Row],[Comparable '#1 Date Check]]="Pass",Benchmark1[[#This Row],[Comparable '#1 Return]]-Benchmark1[[#This Row],[Benchmark '#1 Return]],"-"),"-")</f>
        <v>-6.375735478015624E-3</v>
      </c>
      <c r="L1005" s="1" t="str">
        <f>IF(COUNTIF(Comp2[Comparable '#2 Dates],Benchmark1[[#This Row],[Benchmark '#1 Dates]])=1,"Pass","Fail")</f>
        <v>Pass</v>
      </c>
      <c r="M1005" s="6">
        <f>IF(Benchmark1[[#This Row],[Comparable '#2 Date Check]]="Pass",INDEX(Comp2[Comparable '#2 Price],MATCH(Benchmark1[[#This Row],[Benchmark '#1 Dates]],Comp2[Comparable '#2 Dates],0)),"-")</f>
        <v>35.659999999999997</v>
      </c>
      <c r="N1005" s="22">
        <f>IF(Benchmark1[[#This Row],[Comparable '#2 Date Check]]="Pass",INDEX(Comp2[Comparable '#2 Return],MATCH(Benchmark1[[#This Row],[Benchmark '#1 Dates]],Comp2[Comparable '#2 Dates],0)),"-")</f>
        <v>9.5802366992350906E-3</v>
      </c>
      <c r="O1005" s="1">
        <f>IFERROR(IF(Benchmark1[[#This Row],[Comparable '#2 Date Check]]="Pass",Benchmark1[[#This Row],[Comparable '#2 Return]]-Benchmark1[[#This Row],[Benchmark '#1 Return]],"-"),"-")</f>
        <v>1.0290447610705302E-2</v>
      </c>
      <c r="P1005" s="1" t="str">
        <f>IF(COUNTIF(Comp3[Comparable '#3 Dates],Benchmark1[[#This Row],[Benchmark '#1 Dates]])=1,"Pass","Fail")</f>
        <v>Pass</v>
      </c>
      <c r="Q1005" s="6">
        <f>IF(Benchmark1[[#This Row],[Comparable '#3 Date Check]]="Pass",INDEX(Comp3[Comparable '#3 Price],MATCH(Benchmark1[[#This Row],[Benchmark '#1 Dates]],Comp3[Comparable '#3 Dates],0)),"-")</f>
        <v>68.03</v>
      </c>
      <c r="R1005" s="22">
        <f>IF(Benchmark1[[#This Row],[Comparable '#3 Date Check]]="Pass",INDEX(Comp3[Comparable '#3 Return],MATCH(Benchmark1[[#This Row],[Benchmark '#1 Dates]],Comp3[Comparable '#3 Dates],0)),"-")</f>
        <v>-3.5947573172700011E-2</v>
      </c>
      <c r="S1005" s="1">
        <f>IFERROR(IF(Benchmark1[[#This Row],[Comparable '#3 Date Check]]="Pass",Benchmark1[[#This Row],[Comparable '#3 Return]]-Benchmark1[[#This Row],[Benchmark '#1 Return]],"-"),"-")</f>
        <v>-3.5237362261229796E-2</v>
      </c>
    </row>
    <row r="1006" spans="1:19">
      <c r="A1006" s="103">
        <v>44742</v>
      </c>
      <c r="B1006" s="104">
        <v>3785.3848459311389</v>
      </c>
      <c r="C1006" s="4">
        <f t="shared" si="15"/>
        <v>-8.7972467527220183E-3</v>
      </c>
      <c r="D1006" s="1" t="str">
        <f>IF(COUNTIF(Target1[Target Dates],Benchmark1[[#This Row],[Benchmark '#1 Dates]])=1,"Pass","Fail")</f>
        <v>Pass</v>
      </c>
      <c r="E1006" s="6">
        <f>IF(Benchmark1[[#This Row],[Target Date Check]]="Pass",INDEX(Target1[Target Price],MATCH(Benchmark1[[#This Row],[Benchmark '#1 Dates]],Target1[Target Dates],0)),"-")</f>
        <v>40.79</v>
      </c>
      <c r="F1006" s="22">
        <f>IF(Benchmark1[[#This Row],[Target Date Check]]="Pass",INDEX(Target1[Target Return],MATCH(Benchmark1[[#This Row],[Benchmark '#1 Dates]],Target1[Target Dates],0)),"-")</f>
        <v>-1.2667648079206105E-2</v>
      </c>
      <c r="G1006" s="1">
        <f>IFERROR(IF(Benchmark1[[#This Row],[Target Date Check]]="Pass",Benchmark1[[#This Row],[Target Return]]-Benchmark1[[#This Row],[Benchmark '#1 Return]],"-"),"-")</f>
        <v>-3.870401326484087E-3</v>
      </c>
      <c r="H1006" s="1" t="str">
        <f>IF(COUNTIF(Comp1[Comparable '#1 Dates],Benchmark1[[#This Row],[Benchmark '#1 Dates]])=1,"Pass","Fail")</f>
        <v>Pass</v>
      </c>
      <c r="I1006" s="6">
        <f>IF(Benchmark1[[#This Row],[Comparable '#1 Date Check]]="Pass",INDEX(Comp1[Comparable '#1 Price],MATCH(Benchmark1[[#This Row],[Benchmark '#1 Dates]],Comp1[Comparable '#1 Dates],0)),"-")</f>
        <v>11.57</v>
      </c>
      <c r="J1006" s="22">
        <f>IF(Benchmark1[[#This Row],[Comparable '#1 Date Check]]="Pass",INDEX(Comp1[Comparable '#1 Return],MATCH(Benchmark1[[#This Row],[Benchmark '#1 Dates]],Comp1[Comparable '#1 Dates],0)),"-")</f>
        <v>2.8047412555156116E-2</v>
      </c>
      <c r="K1006" s="1">
        <f>IFERROR(IF(Benchmark1[[#This Row],[Comparable '#1 Date Check]]="Pass",Benchmark1[[#This Row],[Comparable '#1 Return]]-Benchmark1[[#This Row],[Benchmark '#1 Return]],"-"),"-")</f>
        <v>3.6844659307878135E-2</v>
      </c>
      <c r="L1006" s="1" t="str">
        <f>IF(COUNTIF(Comp2[Comparable '#2 Dates],Benchmark1[[#This Row],[Benchmark '#1 Dates]])=1,"Pass","Fail")</f>
        <v>Pass</v>
      </c>
      <c r="M1006" s="6">
        <f>IF(Benchmark1[[#This Row],[Comparable '#2 Date Check]]="Pass",INDEX(Comp2[Comparable '#2 Price],MATCH(Benchmark1[[#This Row],[Benchmark '#1 Dates]],Comp2[Comparable '#2 Dates],0)),"-")</f>
        <v>35.97</v>
      </c>
      <c r="N1006" s="22">
        <f>IF(Benchmark1[[#This Row],[Comparable '#2 Date Check]]="Pass",INDEX(Comp2[Comparable '#2 Return],MATCH(Benchmark1[[#This Row],[Benchmark '#1 Dates]],Comp2[Comparable '#2 Dates],0)),"-")</f>
        <v>8.6556452725383461E-3</v>
      </c>
      <c r="O1006" s="1">
        <f>IFERROR(IF(Benchmark1[[#This Row],[Comparable '#2 Date Check]]="Pass",Benchmark1[[#This Row],[Comparable '#2 Return]]-Benchmark1[[#This Row],[Benchmark '#1 Return]],"-"),"-")</f>
        <v>1.7452892025260364E-2</v>
      </c>
      <c r="P1006" s="1" t="str">
        <f>IF(COUNTIF(Comp3[Comparable '#3 Dates],Benchmark1[[#This Row],[Benchmark '#1 Dates]])=1,"Pass","Fail")</f>
        <v>Pass</v>
      </c>
      <c r="Q1006" s="6">
        <f>IF(Benchmark1[[#This Row],[Comparable '#3 Date Check]]="Pass",INDEX(Comp3[Comparable '#3 Price],MATCH(Benchmark1[[#This Row],[Benchmark '#1 Dates]],Comp3[Comparable '#3 Dates],0)),"-")</f>
        <v>70.58</v>
      </c>
      <c r="R1006" s="22">
        <f>IF(Benchmark1[[#This Row],[Comparable '#3 Date Check]]="Pass",INDEX(Comp3[Comparable '#3 Return],MATCH(Benchmark1[[#This Row],[Benchmark '#1 Dates]],Comp3[Comparable '#3 Dates],0)),"-")</f>
        <v>3.6798033890154555E-2</v>
      </c>
      <c r="S1006" s="1">
        <f>IFERROR(IF(Benchmark1[[#This Row],[Comparable '#3 Date Check]]="Pass",Benchmark1[[#This Row],[Comparable '#3 Return]]-Benchmark1[[#This Row],[Benchmark '#1 Return]],"-"),"-")</f>
        <v>4.5595280642876573E-2</v>
      </c>
    </row>
    <row r="1007" spans="1:19">
      <c r="A1007" s="103">
        <v>44743</v>
      </c>
      <c r="B1007" s="104">
        <v>3825.3261053668025</v>
      </c>
      <c r="C1007" s="4">
        <f t="shared" si="15"/>
        <v>1.049616162869968E-2</v>
      </c>
      <c r="D1007" s="1" t="str">
        <f>IF(COUNTIF(Target1[Target Dates],Benchmark1[[#This Row],[Benchmark '#1 Dates]])=1,"Pass","Fail")</f>
        <v>Pass</v>
      </c>
      <c r="E1007" s="6">
        <f>IF(Benchmark1[[#This Row],[Target Date Check]]="Pass",INDEX(Target1[Target Price],MATCH(Benchmark1[[#This Row],[Benchmark '#1 Dates]],Target1[Target Dates],0)),"-")</f>
        <v>41.32</v>
      </c>
      <c r="F1007" s="22">
        <f>IF(Benchmark1[[#This Row],[Target Date Check]]="Pass",INDEX(Target1[Target Return],MATCH(Benchmark1[[#This Row],[Benchmark '#1 Dates]],Target1[Target Dates],0)),"-")</f>
        <v>1.2909690921970817E-2</v>
      </c>
      <c r="G1007" s="1">
        <f>IFERROR(IF(Benchmark1[[#This Row],[Target Date Check]]="Pass",Benchmark1[[#This Row],[Target Return]]-Benchmark1[[#This Row],[Benchmark '#1 Return]],"-"),"-")</f>
        <v>2.4135292932711376E-3</v>
      </c>
      <c r="H1007" s="1" t="str">
        <f>IF(COUNTIF(Comp1[Comparable '#1 Dates],Benchmark1[[#This Row],[Benchmark '#1 Dates]])=1,"Pass","Fail")</f>
        <v>Pass</v>
      </c>
      <c r="I1007" s="6">
        <f>IF(Benchmark1[[#This Row],[Comparable '#1 Date Check]]="Pass",INDEX(Comp1[Comparable '#1 Price],MATCH(Benchmark1[[#This Row],[Benchmark '#1 Dates]],Comp1[Comparable '#1 Dates],0)),"-")</f>
        <v>11.72</v>
      </c>
      <c r="J1007" s="22">
        <f>IF(Benchmark1[[#This Row],[Comparable '#1 Date Check]]="Pass",INDEX(Comp1[Comparable '#1 Return],MATCH(Benchmark1[[#This Row],[Benchmark '#1 Dates]],Comp1[Comparable '#1 Dates],0)),"-")</f>
        <v>1.2881242943281399E-2</v>
      </c>
      <c r="K1007" s="1">
        <f>IFERROR(IF(Benchmark1[[#This Row],[Comparable '#1 Date Check]]="Pass",Benchmark1[[#This Row],[Comparable '#1 Return]]-Benchmark1[[#This Row],[Benchmark '#1 Return]],"-"),"-")</f>
        <v>2.385081314581719E-3</v>
      </c>
      <c r="L1007" s="1" t="str">
        <f>IF(COUNTIF(Comp2[Comparable '#2 Dates],Benchmark1[[#This Row],[Benchmark '#1 Dates]])=1,"Pass","Fail")</f>
        <v>Pass</v>
      </c>
      <c r="M1007" s="6">
        <f>IF(Benchmark1[[#This Row],[Comparable '#2 Date Check]]="Pass",INDEX(Comp2[Comparable '#2 Price],MATCH(Benchmark1[[#This Row],[Benchmark '#1 Dates]],Comp2[Comparable '#2 Dates],0)),"-")</f>
        <v>36.520000000000003</v>
      </c>
      <c r="N1007" s="22">
        <f>IF(Benchmark1[[#This Row],[Comparable '#2 Date Check]]="Pass",INDEX(Comp2[Comparable '#2 Return],MATCH(Benchmark1[[#This Row],[Benchmark '#1 Dates]],Comp2[Comparable '#2 Dates],0)),"-")</f>
        <v>1.5174798019235353E-2</v>
      </c>
      <c r="O1007" s="1">
        <f>IFERROR(IF(Benchmark1[[#This Row],[Comparable '#2 Date Check]]="Pass",Benchmark1[[#This Row],[Comparable '#2 Return]]-Benchmark1[[#This Row],[Benchmark '#1 Return]],"-"),"-")</f>
        <v>4.6786363905356732E-3</v>
      </c>
      <c r="P1007" s="1" t="str">
        <f>IF(COUNTIF(Comp3[Comparable '#3 Dates],Benchmark1[[#This Row],[Benchmark '#1 Dates]])=1,"Pass","Fail")</f>
        <v>Pass</v>
      </c>
      <c r="Q1007" s="6">
        <f>IF(Benchmark1[[#This Row],[Comparable '#3 Date Check]]="Pass",INDEX(Comp3[Comparable '#3 Price],MATCH(Benchmark1[[#This Row],[Benchmark '#1 Dates]],Comp3[Comparable '#3 Dates],0)),"-")</f>
        <v>69.709999999999994</v>
      </c>
      <c r="R1007" s="22">
        <f>IF(Benchmark1[[#This Row],[Comparable '#3 Date Check]]="Pass",INDEX(Comp3[Comparable '#3 Return],MATCH(Benchmark1[[#This Row],[Benchmark '#1 Dates]],Comp3[Comparable '#3 Dates],0)),"-")</f>
        <v>-1.2403038748816696E-2</v>
      </c>
      <c r="S1007" s="1">
        <f>IFERROR(IF(Benchmark1[[#This Row],[Comparable '#3 Date Check]]="Pass",Benchmark1[[#This Row],[Comparable '#3 Return]]-Benchmark1[[#This Row],[Benchmark '#1 Return]],"-"),"-")</f>
        <v>-2.2899200377516374E-2</v>
      </c>
    </row>
    <row r="1008" spans="1:19">
      <c r="A1008" s="103">
        <v>44747</v>
      </c>
      <c r="B1008" s="104">
        <v>3831.3904015683293</v>
      </c>
      <c r="C1008" s="4">
        <f t="shared" si="15"/>
        <v>1.5840464941022259E-3</v>
      </c>
      <c r="D1008" s="1" t="str">
        <f>IF(COUNTIF(Target1[Target Dates],Benchmark1[[#This Row],[Benchmark '#1 Dates]])=1,"Pass","Fail")</f>
        <v>Pass</v>
      </c>
      <c r="E1008" s="6">
        <f>IF(Benchmark1[[#This Row],[Target Date Check]]="Pass",INDEX(Target1[Target Price],MATCH(Benchmark1[[#This Row],[Benchmark '#1 Dates]],Target1[Target Dates],0)),"-")</f>
        <v>40.28</v>
      </c>
      <c r="F1008" s="22">
        <f>IF(Benchmark1[[#This Row],[Target Date Check]]="Pass",INDEX(Target1[Target Return],MATCH(Benchmark1[[#This Row],[Benchmark '#1 Dates]],Target1[Target Dates],0)),"-")</f>
        <v>-2.5491576401076233E-2</v>
      </c>
      <c r="G1008" s="1">
        <f>IFERROR(IF(Benchmark1[[#This Row],[Target Date Check]]="Pass",Benchmark1[[#This Row],[Target Return]]-Benchmark1[[#This Row],[Benchmark '#1 Return]],"-"),"-")</f>
        <v>-2.707562289517846E-2</v>
      </c>
      <c r="H1008" s="1" t="str">
        <f>IF(COUNTIF(Comp1[Comparable '#1 Dates],Benchmark1[[#This Row],[Benchmark '#1 Dates]])=1,"Pass","Fail")</f>
        <v>Pass</v>
      </c>
      <c r="I1008" s="6">
        <f>IF(Benchmark1[[#This Row],[Comparable '#1 Date Check]]="Pass",INDEX(Comp1[Comparable '#1 Price],MATCH(Benchmark1[[#This Row],[Benchmark '#1 Dates]],Comp1[Comparable '#1 Dates],0)),"-")</f>
        <v>11.34</v>
      </c>
      <c r="J1008" s="22">
        <f>IF(Benchmark1[[#This Row],[Comparable '#1 Date Check]]="Pass",INDEX(Comp1[Comparable '#1 Return],MATCH(Benchmark1[[#This Row],[Benchmark '#1 Dates]],Comp1[Comparable '#1 Dates],0)),"-")</f>
        <v>-3.2960485849260583E-2</v>
      </c>
      <c r="K1008" s="1">
        <f>IFERROR(IF(Benchmark1[[#This Row],[Comparable '#1 Date Check]]="Pass",Benchmark1[[#This Row],[Comparable '#1 Return]]-Benchmark1[[#This Row],[Benchmark '#1 Return]],"-"),"-")</f>
        <v>-3.4544532343362806E-2</v>
      </c>
      <c r="L1008" s="1" t="str">
        <f>IF(COUNTIF(Comp2[Comparable '#2 Dates],Benchmark1[[#This Row],[Benchmark '#1 Dates]])=1,"Pass","Fail")</f>
        <v>Pass</v>
      </c>
      <c r="M1008" s="6">
        <f>IF(Benchmark1[[#This Row],[Comparable '#2 Date Check]]="Pass",INDEX(Comp2[Comparable '#2 Price],MATCH(Benchmark1[[#This Row],[Benchmark '#1 Dates]],Comp2[Comparable '#2 Dates],0)),"-")</f>
        <v>37.450000000000003</v>
      </c>
      <c r="N1008" s="22">
        <f>IF(Benchmark1[[#This Row],[Comparable '#2 Date Check]]="Pass",INDEX(Comp2[Comparable '#2 Return],MATCH(Benchmark1[[#This Row],[Benchmark '#1 Dates]],Comp2[Comparable '#2 Dates],0)),"-")</f>
        <v>2.514665423646072E-2</v>
      </c>
      <c r="O1008" s="1">
        <f>IFERROR(IF(Benchmark1[[#This Row],[Comparable '#2 Date Check]]="Pass",Benchmark1[[#This Row],[Comparable '#2 Return]]-Benchmark1[[#This Row],[Benchmark '#1 Return]],"-"),"-")</f>
        <v>2.3562607742358493E-2</v>
      </c>
      <c r="P1008" s="1" t="str">
        <f>IF(COUNTIF(Comp3[Comparable '#3 Dates],Benchmark1[[#This Row],[Benchmark '#1 Dates]])=1,"Pass","Fail")</f>
        <v>Pass</v>
      </c>
      <c r="Q1008" s="6">
        <f>IF(Benchmark1[[#This Row],[Comparable '#3 Date Check]]="Pass",INDEX(Comp3[Comparable '#3 Price],MATCH(Benchmark1[[#This Row],[Benchmark '#1 Dates]],Comp3[Comparable '#3 Dates],0)),"-")</f>
        <v>68.900000000000006</v>
      </c>
      <c r="R1008" s="22">
        <f>IF(Benchmark1[[#This Row],[Comparable '#3 Date Check]]="Pass",INDEX(Comp3[Comparable '#3 Return],MATCH(Benchmark1[[#This Row],[Benchmark '#1 Dates]],Comp3[Comparable '#3 Dates],0)),"-")</f>
        <v>-1.1687601478694243E-2</v>
      </c>
      <c r="S1008" s="1">
        <f>IFERROR(IF(Benchmark1[[#This Row],[Comparable '#3 Date Check]]="Pass",Benchmark1[[#This Row],[Comparable '#3 Return]]-Benchmark1[[#This Row],[Benchmark '#1 Return]],"-"),"-")</f>
        <v>-1.3271647972796469E-2</v>
      </c>
    </row>
    <row r="1009" spans="1:19">
      <c r="A1009" s="103">
        <v>44748</v>
      </c>
      <c r="B1009" s="104">
        <v>3845.0812232795524</v>
      </c>
      <c r="C1009" s="4">
        <f t="shared" si="15"/>
        <v>3.5669606809555186E-3</v>
      </c>
      <c r="D1009" s="1" t="str">
        <f>IF(COUNTIF(Target1[Target Dates],Benchmark1[[#This Row],[Benchmark '#1 Dates]])=1,"Pass","Fail")</f>
        <v>Pass</v>
      </c>
      <c r="E1009" s="6">
        <f>IF(Benchmark1[[#This Row],[Target Date Check]]="Pass",INDEX(Target1[Target Price],MATCH(Benchmark1[[#This Row],[Benchmark '#1 Dates]],Target1[Target Dates],0)),"-")</f>
        <v>41.2</v>
      </c>
      <c r="F1009" s="22">
        <f>IF(Benchmark1[[#This Row],[Target Date Check]]="Pass",INDEX(Target1[Target Return],MATCH(Benchmark1[[#This Row],[Benchmark '#1 Dates]],Target1[Target Dates],0)),"-")</f>
        <v>2.2583188505119201E-2</v>
      </c>
      <c r="G1009" s="1">
        <f>IFERROR(IF(Benchmark1[[#This Row],[Target Date Check]]="Pass",Benchmark1[[#This Row],[Target Return]]-Benchmark1[[#This Row],[Benchmark '#1 Return]],"-"),"-")</f>
        <v>1.9016227824163682E-2</v>
      </c>
      <c r="H1009" s="1" t="str">
        <f>IF(COUNTIF(Comp1[Comparable '#1 Dates],Benchmark1[[#This Row],[Benchmark '#1 Dates]])=1,"Pass","Fail")</f>
        <v>Pass</v>
      </c>
      <c r="I1009" s="6">
        <f>IF(Benchmark1[[#This Row],[Comparable '#1 Date Check]]="Pass",INDEX(Comp1[Comparable '#1 Price],MATCH(Benchmark1[[#This Row],[Benchmark '#1 Dates]],Comp1[Comparable '#1 Dates],0)),"-")</f>
        <v>11.33</v>
      </c>
      <c r="J1009" s="22">
        <f>IF(Benchmark1[[#This Row],[Comparable '#1 Date Check]]="Pass",INDEX(Comp1[Comparable '#1 Return],MATCH(Benchmark1[[#This Row],[Benchmark '#1 Dates]],Comp1[Comparable '#1 Dates],0)),"-")</f>
        <v>-8.8222325969103746E-4</v>
      </c>
      <c r="K1009" s="1">
        <f>IFERROR(IF(Benchmark1[[#This Row],[Comparable '#1 Date Check]]="Pass",Benchmark1[[#This Row],[Comparable '#1 Return]]-Benchmark1[[#This Row],[Benchmark '#1 Return]],"-"),"-")</f>
        <v>-4.4491839406465561E-3</v>
      </c>
      <c r="L1009" s="1" t="str">
        <f>IF(COUNTIF(Comp2[Comparable '#2 Dates],Benchmark1[[#This Row],[Benchmark '#1 Dates]])=1,"Pass","Fail")</f>
        <v>Pass</v>
      </c>
      <c r="M1009" s="6">
        <f>IF(Benchmark1[[#This Row],[Comparable '#2 Date Check]]="Pass",INDEX(Comp2[Comparable '#2 Price],MATCH(Benchmark1[[#This Row],[Benchmark '#1 Dates]],Comp2[Comparable '#2 Dates],0)),"-")</f>
        <v>36.83</v>
      </c>
      <c r="N1009" s="22">
        <f>IF(Benchmark1[[#This Row],[Comparable '#2 Date Check]]="Pass",INDEX(Comp2[Comparable '#2 Return],MATCH(Benchmark1[[#This Row],[Benchmark '#1 Dates]],Comp2[Comparable '#2 Dates],0)),"-")</f>
        <v>-1.669397950625464E-2</v>
      </c>
      <c r="O1009" s="1">
        <f>IFERROR(IF(Benchmark1[[#This Row],[Comparable '#2 Date Check]]="Pass",Benchmark1[[#This Row],[Comparable '#2 Return]]-Benchmark1[[#This Row],[Benchmark '#1 Return]],"-"),"-")</f>
        <v>-2.0260940187210159E-2</v>
      </c>
      <c r="P1009" s="1" t="str">
        <f>IF(COUNTIF(Comp3[Comparable '#3 Dates],Benchmark1[[#This Row],[Benchmark '#1 Dates]])=1,"Pass","Fail")</f>
        <v>Pass</v>
      </c>
      <c r="Q1009" s="6">
        <f>IF(Benchmark1[[#This Row],[Comparable '#3 Date Check]]="Pass",INDEX(Comp3[Comparable '#3 Price],MATCH(Benchmark1[[#This Row],[Benchmark '#1 Dates]],Comp3[Comparable '#3 Dates],0)),"-")</f>
        <v>67.599999999999994</v>
      </c>
      <c r="R1009" s="22">
        <f>IF(Benchmark1[[#This Row],[Comparable '#3 Date Check]]="Pass",INDEX(Comp3[Comparable '#3 Return],MATCH(Benchmark1[[#This Row],[Benchmark '#1 Dates]],Comp3[Comparable '#3 Dates],0)),"-")</f>
        <v>-1.9048194970694703E-2</v>
      </c>
      <c r="S1009" s="1">
        <f>IFERROR(IF(Benchmark1[[#This Row],[Comparable '#3 Date Check]]="Pass",Benchmark1[[#This Row],[Comparable '#3 Return]]-Benchmark1[[#This Row],[Benchmark '#1 Return]],"-"),"-")</f>
        <v>-2.2615155651650221E-2</v>
      </c>
    </row>
    <row r="1010" spans="1:19">
      <c r="A1010" s="103">
        <v>44749</v>
      </c>
      <c r="B1010" s="104">
        <v>3902.6224949550219</v>
      </c>
      <c r="C1010" s="4">
        <f t="shared" si="15"/>
        <v>1.4854034632113362E-2</v>
      </c>
      <c r="D1010" s="1" t="str">
        <f>IF(COUNTIF(Target1[Target Dates],Benchmark1[[#This Row],[Benchmark '#1 Dates]])=1,"Pass","Fail")</f>
        <v>Pass</v>
      </c>
      <c r="E1010" s="6">
        <f>IF(Benchmark1[[#This Row],[Target Date Check]]="Pass",INDEX(Target1[Target Price],MATCH(Benchmark1[[#This Row],[Benchmark '#1 Dates]],Target1[Target Dates],0)),"-")</f>
        <v>41.34</v>
      </c>
      <c r="F1010" s="22">
        <f>IF(Benchmark1[[#This Row],[Target Date Check]]="Pass",INDEX(Target1[Target Return],MATCH(Benchmark1[[#This Row],[Benchmark '#1 Dates]],Target1[Target Dates],0)),"-")</f>
        <v>3.3922978981414296E-3</v>
      </c>
      <c r="G1010" s="1">
        <f>IFERROR(IF(Benchmark1[[#This Row],[Target Date Check]]="Pass",Benchmark1[[#This Row],[Target Return]]-Benchmark1[[#This Row],[Benchmark '#1 Return]],"-"),"-")</f>
        <v>-1.1461736733971932E-2</v>
      </c>
      <c r="H1010" s="1" t="str">
        <f>IF(COUNTIF(Comp1[Comparable '#1 Dates],Benchmark1[[#This Row],[Benchmark '#1 Dates]])=1,"Pass","Fail")</f>
        <v>Pass</v>
      </c>
      <c r="I1010" s="6">
        <f>IF(Benchmark1[[#This Row],[Comparable '#1 Date Check]]="Pass",INDEX(Comp1[Comparable '#1 Price],MATCH(Benchmark1[[#This Row],[Benchmark '#1 Dates]],Comp1[Comparable '#1 Dates],0)),"-")</f>
        <v>11.37</v>
      </c>
      <c r="J1010" s="22">
        <f>IF(Benchmark1[[#This Row],[Comparable '#1 Date Check]]="Pass",INDEX(Comp1[Comparable '#1 Return],MATCH(Benchmark1[[#This Row],[Benchmark '#1 Dates]],Comp1[Comparable '#1 Dates],0)),"-")</f>
        <v>3.5242327225296828E-3</v>
      </c>
      <c r="K1010" s="1">
        <f>IFERROR(IF(Benchmark1[[#This Row],[Comparable '#1 Date Check]]="Pass",Benchmark1[[#This Row],[Comparable '#1 Return]]-Benchmark1[[#This Row],[Benchmark '#1 Return]],"-"),"-")</f>
        <v>-1.132980190958368E-2</v>
      </c>
      <c r="L1010" s="1" t="str">
        <f>IF(COUNTIF(Comp2[Comparable '#2 Dates],Benchmark1[[#This Row],[Benchmark '#1 Dates]])=1,"Pass","Fail")</f>
        <v>Pass</v>
      </c>
      <c r="M1010" s="6">
        <f>IF(Benchmark1[[#This Row],[Comparable '#2 Date Check]]="Pass",INDEX(Comp2[Comparable '#2 Price],MATCH(Benchmark1[[#This Row],[Benchmark '#1 Dates]],Comp2[Comparable '#2 Dates],0)),"-")</f>
        <v>36.94</v>
      </c>
      <c r="N1010" s="22">
        <f>IF(Benchmark1[[#This Row],[Comparable '#2 Date Check]]="Pass",INDEX(Comp2[Comparable '#2 Return],MATCH(Benchmark1[[#This Row],[Benchmark '#1 Dates]],Comp2[Comparable '#2 Dates],0)),"-")</f>
        <v>2.9822443141198736E-3</v>
      </c>
      <c r="O1010" s="1">
        <f>IFERROR(IF(Benchmark1[[#This Row],[Comparable '#2 Date Check]]="Pass",Benchmark1[[#This Row],[Comparable '#2 Return]]-Benchmark1[[#This Row],[Benchmark '#1 Return]],"-"),"-")</f>
        <v>-1.1871790317993489E-2</v>
      </c>
      <c r="P1010" s="1" t="str">
        <f>IF(COUNTIF(Comp3[Comparable '#3 Dates],Benchmark1[[#This Row],[Benchmark '#1 Dates]])=1,"Pass","Fail")</f>
        <v>Pass</v>
      </c>
      <c r="Q1010" s="6">
        <f>IF(Benchmark1[[#This Row],[Comparable '#3 Date Check]]="Pass",INDEX(Comp3[Comparable '#3 Price],MATCH(Benchmark1[[#This Row],[Benchmark '#1 Dates]],Comp3[Comparable '#3 Dates],0)),"-")</f>
        <v>66.67</v>
      </c>
      <c r="R1010" s="22">
        <f>IF(Benchmark1[[#This Row],[Comparable '#3 Date Check]]="Pass",INDEX(Comp3[Comparable '#3 Return],MATCH(Benchmark1[[#This Row],[Benchmark '#1 Dates]],Comp3[Comparable '#3 Dates],0)),"-")</f>
        <v>-1.3852906418949698E-2</v>
      </c>
      <c r="S1010" s="1">
        <f>IFERROR(IF(Benchmark1[[#This Row],[Comparable '#3 Date Check]]="Pass",Benchmark1[[#This Row],[Comparable '#3 Return]]-Benchmark1[[#This Row],[Benchmark '#1 Return]],"-"),"-")</f>
        <v>-2.870694105106306E-2</v>
      </c>
    </row>
    <row r="1011" spans="1:19">
      <c r="A1011" s="103">
        <v>44750</v>
      </c>
      <c r="B1011" s="104">
        <v>3899.3771475952271</v>
      </c>
      <c r="C1011" s="4">
        <f t="shared" si="15"/>
        <v>-8.319271201376612E-4</v>
      </c>
      <c r="D1011" s="1" t="str">
        <f>IF(COUNTIF(Target1[Target Dates],Benchmark1[[#This Row],[Benchmark '#1 Dates]])=1,"Pass","Fail")</f>
        <v>Pass</v>
      </c>
      <c r="E1011" s="6">
        <f>IF(Benchmark1[[#This Row],[Target Date Check]]="Pass",INDEX(Target1[Target Price],MATCH(Benchmark1[[#This Row],[Benchmark '#1 Dates]],Target1[Target Dates],0)),"-")</f>
        <v>41.68</v>
      </c>
      <c r="F1011" s="22">
        <f>IF(Benchmark1[[#This Row],[Target Date Check]]="Pass",INDEX(Target1[Target Return],MATCH(Benchmark1[[#This Row],[Benchmark '#1 Dates]],Target1[Target Dates],0)),"-")</f>
        <v>8.1908431914891541E-3</v>
      </c>
      <c r="G1011" s="1">
        <f>IFERROR(IF(Benchmark1[[#This Row],[Target Date Check]]="Pass",Benchmark1[[#This Row],[Target Return]]-Benchmark1[[#This Row],[Benchmark '#1 Return]],"-"),"-")</f>
        <v>9.0227703116268158E-3</v>
      </c>
      <c r="H1011" s="1" t="str">
        <f>IF(COUNTIF(Comp1[Comparable '#1 Dates],Benchmark1[[#This Row],[Benchmark '#1 Dates]])=1,"Pass","Fail")</f>
        <v>Pass</v>
      </c>
      <c r="I1011" s="6">
        <f>IF(Benchmark1[[#This Row],[Comparable '#1 Date Check]]="Pass",INDEX(Comp1[Comparable '#1 Price],MATCH(Benchmark1[[#This Row],[Benchmark '#1 Dates]],Comp1[Comparable '#1 Dates],0)),"-")</f>
        <v>11.47</v>
      </c>
      <c r="J1011" s="22">
        <f>IF(Benchmark1[[#This Row],[Comparable '#1 Date Check]]="Pass",INDEX(Comp1[Comparable '#1 Return],MATCH(Benchmark1[[#This Row],[Benchmark '#1 Dates]],Comp1[Comparable '#1 Dates],0)),"-")</f>
        <v>8.7566233788347742E-3</v>
      </c>
      <c r="K1011" s="1">
        <f>IFERROR(IF(Benchmark1[[#This Row],[Comparable '#1 Date Check]]="Pass",Benchmark1[[#This Row],[Comparable '#1 Return]]-Benchmark1[[#This Row],[Benchmark '#1 Return]],"-"),"-")</f>
        <v>9.5885504989724358E-3</v>
      </c>
      <c r="L1011" s="1" t="str">
        <f>IF(COUNTIF(Comp2[Comparable '#2 Dates],Benchmark1[[#This Row],[Benchmark '#1 Dates]])=1,"Pass","Fail")</f>
        <v>Pass</v>
      </c>
      <c r="M1011" s="6">
        <f>IF(Benchmark1[[#This Row],[Comparable '#2 Date Check]]="Pass",INDEX(Comp2[Comparable '#2 Price],MATCH(Benchmark1[[#This Row],[Benchmark '#1 Dates]],Comp2[Comparable '#2 Dates],0)),"-")</f>
        <v>38.119999999999997</v>
      </c>
      <c r="N1011" s="22">
        <f>IF(Benchmark1[[#This Row],[Comparable '#2 Date Check]]="Pass",INDEX(Comp2[Comparable '#2 Return],MATCH(Benchmark1[[#This Row],[Benchmark '#1 Dates]],Comp2[Comparable '#2 Dates],0)),"-")</f>
        <v>3.1444104014907479E-2</v>
      </c>
      <c r="O1011" s="1">
        <f>IFERROR(IF(Benchmark1[[#This Row],[Comparable '#2 Date Check]]="Pass",Benchmark1[[#This Row],[Comparable '#2 Return]]-Benchmark1[[#This Row],[Benchmark '#1 Return]],"-"),"-")</f>
        <v>3.2276031135045138E-2</v>
      </c>
      <c r="P1011" s="1" t="str">
        <f>IF(COUNTIF(Comp3[Comparable '#3 Dates],Benchmark1[[#This Row],[Benchmark '#1 Dates]])=1,"Pass","Fail")</f>
        <v>Pass</v>
      </c>
      <c r="Q1011" s="6">
        <f>IF(Benchmark1[[#This Row],[Comparable '#3 Date Check]]="Pass",INDEX(Comp3[Comparable '#3 Price],MATCH(Benchmark1[[#This Row],[Benchmark '#1 Dates]],Comp3[Comparable '#3 Dates],0)),"-")</f>
        <v>67.33</v>
      </c>
      <c r="R1011" s="22">
        <f>IF(Benchmark1[[#This Row],[Comparable '#3 Date Check]]="Pass",INDEX(Comp3[Comparable '#3 Return],MATCH(Benchmark1[[#This Row],[Benchmark '#1 Dates]],Comp3[Comparable '#3 Dates],0)),"-")</f>
        <v>9.8508259272208909E-3</v>
      </c>
      <c r="S1011" s="1">
        <f>IFERROR(IF(Benchmark1[[#This Row],[Comparable '#3 Date Check]]="Pass",Benchmark1[[#This Row],[Comparable '#3 Return]]-Benchmark1[[#This Row],[Benchmark '#1 Return]],"-"),"-")</f>
        <v>1.0682753047358553E-2</v>
      </c>
    </row>
    <row r="1012" spans="1:19">
      <c r="A1012" s="103">
        <v>44753</v>
      </c>
      <c r="B1012" s="104">
        <v>3854.4332632525488</v>
      </c>
      <c r="C1012" s="4">
        <f t="shared" si="15"/>
        <v>-1.1592851852169862E-2</v>
      </c>
      <c r="D1012" s="1" t="str">
        <f>IF(COUNTIF(Target1[Target Dates],Benchmark1[[#This Row],[Benchmark '#1 Dates]])=1,"Pass","Fail")</f>
        <v>Pass</v>
      </c>
      <c r="E1012" s="6">
        <f>IF(Benchmark1[[#This Row],[Target Date Check]]="Pass",INDEX(Target1[Target Price],MATCH(Benchmark1[[#This Row],[Benchmark '#1 Dates]],Target1[Target Dates],0)),"-")</f>
        <v>40.89</v>
      </c>
      <c r="F1012" s="22">
        <f>IF(Benchmark1[[#This Row],[Target Date Check]]="Pass",INDEX(Target1[Target Return],MATCH(Benchmark1[[#This Row],[Benchmark '#1 Dates]],Target1[Target Dates],0)),"-")</f>
        <v>-1.9135863068560539E-2</v>
      </c>
      <c r="G1012" s="1">
        <f>IFERROR(IF(Benchmark1[[#This Row],[Target Date Check]]="Pass",Benchmark1[[#This Row],[Target Return]]-Benchmark1[[#This Row],[Benchmark '#1 Return]],"-"),"-")</f>
        <v>-7.5430112163906767E-3</v>
      </c>
      <c r="H1012" s="1" t="str">
        <f>IF(COUNTIF(Comp1[Comparable '#1 Dates],Benchmark1[[#This Row],[Benchmark '#1 Dates]])=1,"Pass","Fail")</f>
        <v>Pass</v>
      </c>
      <c r="I1012" s="6">
        <f>IF(Benchmark1[[#This Row],[Comparable '#1 Date Check]]="Pass",INDEX(Comp1[Comparable '#1 Price],MATCH(Benchmark1[[#This Row],[Benchmark '#1 Dates]],Comp1[Comparable '#1 Dates],0)),"-")</f>
        <v>11.42</v>
      </c>
      <c r="J1012" s="22">
        <f>IF(Benchmark1[[#This Row],[Comparable '#1 Date Check]]="Pass",INDEX(Comp1[Comparable '#1 Return],MATCH(Benchmark1[[#This Row],[Benchmark '#1 Dates]],Comp1[Comparable '#1 Dates],0)),"-")</f>
        <v>-4.36872691341526E-3</v>
      </c>
      <c r="K1012" s="1">
        <f>IFERROR(IF(Benchmark1[[#This Row],[Comparable '#1 Date Check]]="Pass",Benchmark1[[#This Row],[Comparable '#1 Return]]-Benchmark1[[#This Row],[Benchmark '#1 Return]],"-"),"-")</f>
        <v>7.224124938754602E-3</v>
      </c>
      <c r="L1012" s="1" t="str">
        <f>IF(COUNTIF(Comp2[Comparable '#2 Dates],Benchmark1[[#This Row],[Benchmark '#1 Dates]])=1,"Pass","Fail")</f>
        <v>Pass</v>
      </c>
      <c r="M1012" s="6">
        <f>IF(Benchmark1[[#This Row],[Comparable '#2 Date Check]]="Pass",INDEX(Comp2[Comparable '#2 Price],MATCH(Benchmark1[[#This Row],[Benchmark '#1 Dates]],Comp2[Comparable '#2 Dates],0)),"-")</f>
        <v>36.93</v>
      </c>
      <c r="N1012" s="22">
        <f>IF(Benchmark1[[#This Row],[Comparable '#2 Date Check]]="Pass",INDEX(Comp2[Comparable '#2 Return],MATCH(Benchmark1[[#This Row],[Benchmark '#1 Dates]],Comp2[Comparable '#2 Dates],0)),"-")</f>
        <v>-3.1714849921529509E-2</v>
      </c>
      <c r="O1012" s="1">
        <f>IFERROR(IF(Benchmark1[[#This Row],[Comparable '#2 Date Check]]="Pass",Benchmark1[[#This Row],[Comparable '#2 Return]]-Benchmark1[[#This Row],[Benchmark '#1 Return]],"-"),"-")</f>
        <v>-2.0121998069359645E-2</v>
      </c>
      <c r="P1012" s="1" t="str">
        <f>IF(COUNTIF(Comp3[Comparable '#3 Dates],Benchmark1[[#This Row],[Benchmark '#1 Dates]])=1,"Pass","Fail")</f>
        <v>Pass</v>
      </c>
      <c r="Q1012" s="6">
        <f>IF(Benchmark1[[#This Row],[Comparable '#3 Date Check]]="Pass",INDEX(Comp3[Comparable '#3 Price],MATCH(Benchmark1[[#This Row],[Benchmark '#1 Dates]],Comp3[Comparable '#3 Dates],0)),"-")</f>
        <v>66.459999999999994</v>
      </c>
      <c r="R1012" s="22">
        <f>IF(Benchmark1[[#This Row],[Comparable '#3 Date Check]]="Pass",INDEX(Comp3[Comparable '#3 Return],MATCH(Benchmark1[[#This Row],[Benchmark '#1 Dates]],Comp3[Comparable '#3 Dates],0)),"-")</f>
        <v>-1.3005639630741316E-2</v>
      </c>
      <c r="S1012" s="1">
        <f>IFERROR(IF(Benchmark1[[#This Row],[Comparable '#3 Date Check]]="Pass",Benchmark1[[#This Row],[Comparable '#3 Return]]-Benchmark1[[#This Row],[Benchmark '#1 Return]],"-"),"-")</f>
        <v>-1.4127877785714543E-3</v>
      </c>
    </row>
    <row r="1013" spans="1:19">
      <c r="A1013" s="103">
        <v>44754</v>
      </c>
      <c r="B1013" s="104">
        <v>3818.7977833251871</v>
      </c>
      <c r="C1013" s="4">
        <f t="shared" si="15"/>
        <v>-9.2883261064335681E-3</v>
      </c>
      <c r="D1013" s="1" t="str">
        <f>IF(COUNTIF(Target1[Target Dates],Benchmark1[[#This Row],[Benchmark '#1 Dates]])=1,"Pass","Fail")</f>
        <v>Pass</v>
      </c>
      <c r="E1013" s="6">
        <f>IF(Benchmark1[[#This Row],[Target Date Check]]="Pass",INDEX(Target1[Target Price],MATCH(Benchmark1[[#This Row],[Benchmark '#1 Dates]],Target1[Target Dates],0)),"-")</f>
        <v>40.880000000000003</v>
      </c>
      <c r="F1013" s="22">
        <f>IF(Benchmark1[[#This Row],[Target Date Check]]="Pass",INDEX(Target1[Target Return],MATCH(Benchmark1[[#This Row],[Benchmark '#1 Dates]],Target1[Target Dates],0)),"-")</f>
        <v>-2.4458848110185525E-4</v>
      </c>
      <c r="G1013" s="1">
        <f>IFERROR(IF(Benchmark1[[#This Row],[Target Date Check]]="Pass",Benchmark1[[#This Row],[Target Return]]-Benchmark1[[#This Row],[Benchmark '#1 Return]],"-"),"-")</f>
        <v>9.0437376253317131E-3</v>
      </c>
      <c r="H1013" s="1" t="str">
        <f>IF(COUNTIF(Comp1[Comparable '#1 Dates],Benchmark1[[#This Row],[Benchmark '#1 Dates]])=1,"Pass","Fail")</f>
        <v>Pass</v>
      </c>
      <c r="I1013" s="6">
        <f>IF(Benchmark1[[#This Row],[Comparable '#1 Date Check]]="Pass",INDEX(Comp1[Comparable '#1 Price],MATCH(Benchmark1[[#This Row],[Benchmark '#1 Dates]],Comp1[Comparable '#1 Dates],0)),"-")</f>
        <v>11.15</v>
      </c>
      <c r="J1013" s="22">
        <f>IF(Benchmark1[[#This Row],[Comparable '#1 Date Check]]="Pass",INDEX(Comp1[Comparable '#1 Return],MATCH(Benchmark1[[#This Row],[Benchmark '#1 Dates]],Comp1[Comparable '#1 Dates],0)),"-")</f>
        <v>-2.392670632173639E-2</v>
      </c>
      <c r="K1013" s="1">
        <f>IFERROR(IF(Benchmark1[[#This Row],[Comparable '#1 Date Check]]="Pass",Benchmark1[[#This Row],[Comparable '#1 Return]]-Benchmark1[[#This Row],[Benchmark '#1 Return]],"-"),"-")</f>
        <v>-1.4638380215302822E-2</v>
      </c>
      <c r="L1013" s="1" t="str">
        <f>IF(COUNTIF(Comp2[Comparable '#2 Dates],Benchmark1[[#This Row],[Benchmark '#1 Dates]])=1,"Pass","Fail")</f>
        <v>Pass</v>
      </c>
      <c r="M1013" s="6">
        <f>IF(Benchmark1[[#This Row],[Comparable '#2 Date Check]]="Pass",INDEX(Comp2[Comparable '#2 Price],MATCH(Benchmark1[[#This Row],[Benchmark '#1 Dates]],Comp2[Comparable '#2 Dates],0)),"-")</f>
        <v>37</v>
      </c>
      <c r="N1013" s="22">
        <f>IF(Benchmark1[[#This Row],[Comparable '#2 Date Check]]="Pass",INDEX(Comp2[Comparable '#2 Return],MATCH(Benchmark1[[#This Row],[Benchmark '#1 Dates]],Comp2[Comparable '#2 Dates],0)),"-")</f>
        <v>1.8936837797526268E-3</v>
      </c>
      <c r="O1013" s="1">
        <f>IFERROR(IF(Benchmark1[[#This Row],[Comparable '#2 Date Check]]="Pass",Benchmark1[[#This Row],[Comparable '#2 Return]]-Benchmark1[[#This Row],[Benchmark '#1 Return]],"-"),"-")</f>
        <v>1.1182009886186195E-2</v>
      </c>
      <c r="P1013" s="1" t="str">
        <f>IF(COUNTIF(Comp3[Comparable '#3 Dates],Benchmark1[[#This Row],[Benchmark '#1 Dates]])=1,"Pass","Fail")</f>
        <v>Pass</v>
      </c>
      <c r="Q1013" s="6">
        <f>IF(Benchmark1[[#This Row],[Comparable '#3 Date Check]]="Pass",INDEX(Comp3[Comparable '#3 Price],MATCH(Benchmark1[[#This Row],[Benchmark '#1 Dates]],Comp3[Comparable '#3 Dates],0)),"-")</f>
        <v>66.66</v>
      </c>
      <c r="R1013" s="22">
        <f>IF(Benchmark1[[#This Row],[Comparable '#3 Date Check]]="Pass",INDEX(Comp3[Comparable '#3 Return],MATCH(Benchmark1[[#This Row],[Benchmark '#1 Dates]],Comp3[Comparable '#3 Dates],0)),"-")</f>
        <v>3.0048099531453775E-3</v>
      </c>
      <c r="S1013" s="1">
        <f>IFERROR(IF(Benchmark1[[#This Row],[Comparable '#3 Date Check]]="Pass",Benchmark1[[#This Row],[Comparable '#3 Return]]-Benchmark1[[#This Row],[Benchmark '#1 Return]],"-"),"-")</f>
        <v>1.2293136059578946E-2</v>
      </c>
    </row>
    <row r="1014" spans="1:19">
      <c r="A1014" s="103">
        <v>44755</v>
      </c>
      <c r="B1014" s="104">
        <v>3801.780627493245</v>
      </c>
      <c r="C1014" s="4">
        <f t="shared" si="15"/>
        <v>-4.4661135153112883E-3</v>
      </c>
      <c r="D1014" s="1" t="str">
        <f>IF(COUNTIF(Target1[Target Dates],Benchmark1[[#This Row],[Benchmark '#1 Dates]])=1,"Pass","Fail")</f>
        <v>Pass</v>
      </c>
      <c r="E1014" s="6">
        <f>IF(Benchmark1[[#This Row],[Target Date Check]]="Pass",INDEX(Target1[Target Price],MATCH(Benchmark1[[#This Row],[Benchmark '#1 Dates]],Target1[Target Dates],0)),"-")</f>
        <v>40.520000000000003</v>
      </c>
      <c r="F1014" s="22">
        <f>IF(Benchmark1[[#This Row],[Target Date Check]]="Pass",INDEX(Target1[Target Return],MATCH(Benchmark1[[#This Row],[Benchmark '#1 Dates]],Target1[Target Dates],0)),"-")</f>
        <v>-8.8452665149663344E-3</v>
      </c>
      <c r="G1014" s="1">
        <f>IFERROR(IF(Benchmark1[[#This Row],[Target Date Check]]="Pass",Benchmark1[[#This Row],[Target Return]]-Benchmark1[[#This Row],[Benchmark '#1 Return]],"-"),"-")</f>
        <v>-4.3791529996550461E-3</v>
      </c>
      <c r="H1014" s="1" t="str">
        <f>IF(COUNTIF(Comp1[Comparable '#1 Dates],Benchmark1[[#This Row],[Benchmark '#1 Dates]])=1,"Pass","Fail")</f>
        <v>Pass</v>
      </c>
      <c r="I1014" s="6">
        <f>IF(Benchmark1[[#This Row],[Comparable '#1 Date Check]]="Pass",INDEX(Comp1[Comparable '#1 Price],MATCH(Benchmark1[[#This Row],[Benchmark '#1 Dates]],Comp1[Comparable '#1 Dates],0)),"-")</f>
        <v>11.32</v>
      </c>
      <c r="J1014" s="22">
        <f>IF(Benchmark1[[#This Row],[Comparable '#1 Date Check]]="Pass",INDEX(Comp1[Comparable '#1 Return],MATCH(Benchmark1[[#This Row],[Benchmark '#1 Dates]],Comp1[Comparable '#1 Dates],0)),"-")</f>
        <v>1.513157486890911E-2</v>
      </c>
      <c r="K1014" s="1">
        <f>IFERROR(IF(Benchmark1[[#This Row],[Comparable '#1 Date Check]]="Pass",Benchmark1[[#This Row],[Comparable '#1 Return]]-Benchmark1[[#This Row],[Benchmark '#1 Return]],"-"),"-")</f>
        <v>1.9597688384220397E-2</v>
      </c>
      <c r="L1014" s="1" t="str">
        <f>IF(COUNTIF(Comp2[Comparable '#2 Dates],Benchmark1[[#This Row],[Benchmark '#1 Dates]])=1,"Pass","Fail")</f>
        <v>Pass</v>
      </c>
      <c r="M1014" s="6">
        <f>IF(Benchmark1[[#This Row],[Comparable '#2 Date Check]]="Pass",INDEX(Comp2[Comparable '#2 Price],MATCH(Benchmark1[[#This Row],[Benchmark '#1 Dates]],Comp2[Comparable '#2 Dates],0)),"-")</f>
        <v>37.68</v>
      </c>
      <c r="N1014" s="22">
        <f>IF(Benchmark1[[#This Row],[Comparable '#2 Date Check]]="Pass",INDEX(Comp2[Comparable '#2 Return],MATCH(Benchmark1[[#This Row],[Benchmark '#1 Dates]],Comp2[Comparable '#2 Dates],0)),"-")</f>
        <v>1.82115370639379E-2</v>
      </c>
      <c r="O1014" s="1">
        <f>IFERROR(IF(Benchmark1[[#This Row],[Comparable '#2 Date Check]]="Pass",Benchmark1[[#This Row],[Comparable '#2 Return]]-Benchmark1[[#This Row],[Benchmark '#1 Return]],"-"),"-")</f>
        <v>2.2677650579249187E-2</v>
      </c>
      <c r="P1014" s="1" t="str">
        <f>IF(COUNTIF(Comp3[Comparable '#3 Dates],Benchmark1[[#This Row],[Benchmark '#1 Dates]])=1,"Pass","Fail")</f>
        <v>Pass</v>
      </c>
      <c r="Q1014" s="6">
        <f>IF(Benchmark1[[#This Row],[Comparable '#3 Date Check]]="Pass",INDEX(Comp3[Comparable '#3 Price],MATCH(Benchmark1[[#This Row],[Benchmark '#1 Dates]],Comp3[Comparable '#3 Dates],0)),"-")</f>
        <v>66.709999999999994</v>
      </c>
      <c r="R1014" s="22">
        <f>IF(Benchmark1[[#This Row],[Comparable '#3 Date Check]]="Pass",INDEX(Comp3[Comparable '#3 Return],MATCH(Benchmark1[[#This Row],[Benchmark '#1 Dates]],Comp3[Comparable '#3 Dates],0)),"-")</f>
        <v>7.4979384183035511E-4</v>
      </c>
      <c r="S1014" s="1">
        <f>IFERROR(IF(Benchmark1[[#This Row],[Comparable '#3 Date Check]]="Pass",Benchmark1[[#This Row],[Comparable '#3 Return]]-Benchmark1[[#This Row],[Benchmark '#1 Return]],"-"),"-")</f>
        <v>5.2159073571416432E-3</v>
      </c>
    </row>
    <row r="1015" spans="1:19">
      <c r="A1015" s="103">
        <v>44756</v>
      </c>
      <c r="B1015" s="104">
        <v>3790.3773822417015</v>
      </c>
      <c r="C1015" s="4">
        <f t="shared" si="15"/>
        <v>-3.0039558744495098E-3</v>
      </c>
      <c r="D1015" s="1" t="str">
        <f>IF(COUNTIF(Target1[Target Dates],Benchmark1[[#This Row],[Benchmark '#1 Dates]])=1,"Pass","Fail")</f>
        <v>Pass</v>
      </c>
      <c r="E1015" s="6">
        <f>IF(Benchmark1[[#This Row],[Target Date Check]]="Pass",INDEX(Target1[Target Price],MATCH(Benchmark1[[#This Row],[Benchmark '#1 Dates]],Target1[Target Dates],0)),"-")</f>
        <v>40.299999999999997</v>
      </c>
      <c r="F1015" s="22">
        <f>IF(Benchmark1[[#This Row],[Target Date Check]]="Pass",INDEX(Target1[Target Return],MATCH(Benchmark1[[#This Row],[Benchmark '#1 Dates]],Target1[Target Dates],0)),"-")</f>
        <v>-5.4442104278455226E-3</v>
      </c>
      <c r="G1015" s="1">
        <f>IFERROR(IF(Benchmark1[[#This Row],[Target Date Check]]="Pass",Benchmark1[[#This Row],[Target Return]]-Benchmark1[[#This Row],[Benchmark '#1 Return]],"-"),"-")</f>
        <v>-2.4402545533960128E-3</v>
      </c>
      <c r="H1015" s="1" t="str">
        <f>IF(COUNTIF(Comp1[Comparable '#1 Dates],Benchmark1[[#This Row],[Benchmark '#1 Dates]])=1,"Pass","Fail")</f>
        <v>Pass</v>
      </c>
      <c r="I1015" s="6">
        <f>IF(Benchmark1[[#This Row],[Comparable '#1 Date Check]]="Pass",INDEX(Comp1[Comparable '#1 Price],MATCH(Benchmark1[[#This Row],[Benchmark '#1 Dates]],Comp1[Comparable '#1 Dates],0)),"-")</f>
        <v>11.04</v>
      </c>
      <c r="J1015" s="22">
        <f>IF(Benchmark1[[#This Row],[Comparable '#1 Date Check]]="Pass",INDEX(Comp1[Comparable '#1 Return],MATCH(Benchmark1[[#This Row],[Benchmark '#1 Dates]],Comp1[Comparable '#1 Dates],0)),"-")</f>
        <v>-2.5046031926087689E-2</v>
      </c>
      <c r="K1015" s="1">
        <f>IFERROR(IF(Benchmark1[[#This Row],[Comparable '#1 Date Check]]="Pass",Benchmark1[[#This Row],[Comparable '#1 Return]]-Benchmark1[[#This Row],[Benchmark '#1 Return]],"-"),"-")</f>
        <v>-2.2042076051638181E-2</v>
      </c>
      <c r="L1015" s="1" t="str">
        <f>IF(COUNTIF(Comp2[Comparable '#2 Dates],Benchmark1[[#This Row],[Benchmark '#1 Dates]])=1,"Pass","Fail")</f>
        <v>Pass</v>
      </c>
      <c r="M1015" s="6">
        <f>IF(Benchmark1[[#This Row],[Comparable '#2 Date Check]]="Pass",INDEX(Comp2[Comparable '#2 Price],MATCH(Benchmark1[[#This Row],[Benchmark '#1 Dates]],Comp2[Comparable '#2 Dates],0)),"-")</f>
        <v>37.22</v>
      </c>
      <c r="N1015" s="22">
        <f>IF(Benchmark1[[#This Row],[Comparable '#2 Date Check]]="Pass",INDEX(Comp2[Comparable '#2 Return],MATCH(Benchmark1[[#This Row],[Benchmark '#1 Dates]],Comp2[Comparable '#2 Dates],0)),"-")</f>
        <v>-1.2283198494057663E-2</v>
      </c>
      <c r="O1015" s="1">
        <f>IFERROR(IF(Benchmark1[[#This Row],[Comparable '#2 Date Check]]="Pass",Benchmark1[[#This Row],[Comparable '#2 Return]]-Benchmark1[[#This Row],[Benchmark '#1 Return]],"-"),"-")</f>
        <v>-9.279242619608153E-3</v>
      </c>
      <c r="P1015" s="1" t="str">
        <f>IF(COUNTIF(Comp3[Comparable '#3 Dates],Benchmark1[[#This Row],[Benchmark '#1 Dates]])=1,"Pass","Fail")</f>
        <v>Pass</v>
      </c>
      <c r="Q1015" s="6">
        <f>IF(Benchmark1[[#This Row],[Comparable '#3 Date Check]]="Pass",INDEX(Comp3[Comparable '#3 Price],MATCH(Benchmark1[[#This Row],[Benchmark '#1 Dates]],Comp3[Comparable '#3 Dates],0)),"-")</f>
        <v>66.62</v>
      </c>
      <c r="R1015" s="22">
        <f>IF(Benchmark1[[#This Row],[Comparable '#3 Date Check]]="Pass",INDEX(Comp3[Comparable '#3 Return],MATCH(Benchmark1[[#This Row],[Benchmark '#1 Dates]],Comp3[Comparable '#3 Dates],0)),"-")</f>
        <v>-1.3500339558903012E-3</v>
      </c>
      <c r="S1015" s="1">
        <f>IFERROR(IF(Benchmark1[[#This Row],[Comparable '#3 Date Check]]="Pass",Benchmark1[[#This Row],[Comparable '#3 Return]]-Benchmark1[[#This Row],[Benchmark '#1 Return]],"-"),"-")</f>
        <v>1.6539219185592086E-3</v>
      </c>
    </row>
    <row r="1016" spans="1:19">
      <c r="A1016" s="103">
        <v>44757</v>
      </c>
      <c r="B1016" s="104">
        <v>3863.1628271239765</v>
      </c>
      <c r="C1016" s="4">
        <f t="shared" si="15"/>
        <v>1.9020645941073024E-2</v>
      </c>
      <c r="D1016" s="1" t="str">
        <f>IF(COUNTIF(Target1[Target Dates],Benchmark1[[#This Row],[Benchmark '#1 Dates]])=1,"Pass","Fail")</f>
        <v>Pass</v>
      </c>
      <c r="E1016" s="6">
        <f>IF(Benchmark1[[#This Row],[Target Date Check]]="Pass",INDEX(Target1[Target Price],MATCH(Benchmark1[[#This Row],[Benchmark '#1 Dates]],Target1[Target Dates],0)),"-")</f>
        <v>41.76</v>
      </c>
      <c r="F1016" s="22">
        <f>IF(Benchmark1[[#This Row],[Target Date Check]]="Pass",INDEX(Target1[Target Return],MATCH(Benchmark1[[#This Row],[Benchmark '#1 Dates]],Target1[Target Dates],0)),"-")</f>
        <v>3.5587474621745947E-2</v>
      </c>
      <c r="G1016" s="1">
        <f>IFERROR(IF(Benchmark1[[#This Row],[Target Date Check]]="Pass",Benchmark1[[#This Row],[Target Return]]-Benchmark1[[#This Row],[Benchmark '#1 Return]],"-"),"-")</f>
        <v>1.6566828680672923E-2</v>
      </c>
      <c r="H1016" s="1" t="str">
        <f>IF(COUNTIF(Comp1[Comparable '#1 Dates],Benchmark1[[#This Row],[Benchmark '#1 Dates]])=1,"Pass","Fail")</f>
        <v>Pass</v>
      </c>
      <c r="I1016" s="6">
        <f>IF(Benchmark1[[#This Row],[Comparable '#1 Date Check]]="Pass",INDEX(Comp1[Comparable '#1 Price],MATCH(Benchmark1[[#This Row],[Benchmark '#1 Dates]],Comp1[Comparable '#1 Dates],0)),"-")</f>
        <v>11.42</v>
      </c>
      <c r="J1016" s="22">
        <f>IF(Benchmark1[[#This Row],[Comparable '#1 Date Check]]="Pass",INDEX(Comp1[Comparable '#1 Return],MATCH(Benchmark1[[#This Row],[Benchmark '#1 Dates]],Comp1[Comparable '#1 Dates],0)),"-")</f>
        <v>3.3841163378914949E-2</v>
      </c>
      <c r="K1016" s="1">
        <f>IFERROR(IF(Benchmark1[[#This Row],[Comparable '#1 Date Check]]="Pass",Benchmark1[[#This Row],[Comparable '#1 Return]]-Benchmark1[[#This Row],[Benchmark '#1 Return]],"-"),"-")</f>
        <v>1.4820517437841924E-2</v>
      </c>
      <c r="L1016" s="1" t="str">
        <f>IF(COUNTIF(Comp2[Comparable '#2 Dates],Benchmark1[[#This Row],[Benchmark '#1 Dates]])=1,"Pass","Fail")</f>
        <v>Pass</v>
      </c>
      <c r="M1016" s="6">
        <f>IF(Benchmark1[[#This Row],[Comparable '#2 Date Check]]="Pass",INDEX(Comp2[Comparable '#2 Price],MATCH(Benchmark1[[#This Row],[Benchmark '#1 Dates]],Comp2[Comparable '#2 Dates],0)),"-")</f>
        <v>38.6</v>
      </c>
      <c r="N1016" s="22">
        <f>IF(Benchmark1[[#This Row],[Comparable '#2 Date Check]]="Pass",INDEX(Comp2[Comparable '#2 Return],MATCH(Benchmark1[[#This Row],[Benchmark '#1 Dates]],Comp2[Comparable '#2 Dates],0)),"-")</f>
        <v>3.6406025256680442E-2</v>
      </c>
      <c r="O1016" s="1">
        <f>IFERROR(IF(Benchmark1[[#This Row],[Comparable '#2 Date Check]]="Pass",Benchmark1[[#This Row],[Comparable '#2 Return]]-Benchmark1[[#This Row],[Benchmark '#1 Return]],"-"),"-")</f>
        <v>1.7385379315607418E-2</v>
      </c>
      <c r="P1016" s="1" t="str">
        <f>IF(COUNTIF(Comp3[Comparable '#3 Dates],Benchmark1[[#This Row],[Benchmark '#1 Dates]])=1,"Pass","Fail")</f>
        <v>Pass</v>
      </c>
      <c r="Q1016" s="6">
        <f>IF(Benchmark1[[#This Row],[Comparable '#3 Date Check]]="Pass",INDEX(Comp3[Comparable '#3 Price],MATCH(Benchmark1[[#This Row],[Benchmark '#1 Dates]],Comp3[Comparable '#3 Dates],0)),"-")</f>
        <v>68.430000000000007</v>
      </c>
      <c r="R1016" s="22">
        <f>IF(Benchmark1[[#This Row],[Comparable '#3 Date Check]]="Pass",INDEX(Comp3[Comparable '#3 Return],MATCH(Benchmark1[[#This Row],[Benchmark '#1 Dates]],Comp3[Comparable '#3 Dates],0)),"-")</f>
        <v>2.6806492198872822E-2</v>
      </c>
      <c r="S1016" s="1">
        <f>IFERROR(IF(Benchmark1[[#This Row],[Comparable '#3 Date Check]]="Pass",Benchmark1[[#This Row],[Comparable '#3 Return]]-Benchmark1[[#This Row],[Benchmark '#1 Return]],"-"),"-")</f>
        <v>7.7858462577997979E-3</v>
      </c>
    </row>
    <row r="1017" spans="1:19">
      <c r="A1017" s="103">
        <v>44760</v>
      </c>
      <c r="B1017" s="104">
        <v>3830.852851462731</v>
      </c>
      <c r="C1017" s="4">
        <f t="shared" si="15"/>
        <v>-8.3987782032571984E-3</v>
      </c>
      <c r="D1017" s="1" t="str">
        <f>IF(COUNTIF(Target1[Target Dates],Benchmark1[[#This Row],[Benchmark '#1 Dates]])=1,"Pass","Fail")</f>
        <v>Pass</v>
      </c>
      <c r="E1017" s="6">
        <f>IF(Benchmark1[[#This Row],[Target Date Check]]="Pass",INDEX(Target1[Target Price],MATCH(Benchmark1[[#This Row],[Benchmark '#1 Dates]],Target1[Target Dates],0)),"-")</f>
        <v>41.97</v>
      </c>
      <c r="F1017" s="22">
        <f>IF(Benchmark1[[#This Row],[Target Date Check]]="Pass",INDEX(Target1[Target Return],MATCH(Benchmark1[[#This Row],[Benchmark '#1 Dates]],Target1[Target Dates],0)),"-")</f>
        <v>5.0161337711161786E-3</v>
      </c>
      <c r="G1017" s="1">
        <f>IFERROR(IF(Benchmark1[[#This Row],[Target Date Check]]="Pass",Benchmark1[[#This Row],[Target Return]]-Benchmark1[[#This Row],[Benchmark '#1 Return]],"-"),"-")</f>
        <v>1.3414911974373377E-2</v>
      </c>
      <c r="H1017" s="1" t="str">
        <f>IF(COUNTIF(Comp1[Comparable '#1 Dates],Benchmark1[[#This Row],[Benchmark '#1 Dates]])=1,"Pass","Fail")</f>
        <v>Pass</v>
      </c>
      <c r="I1017" s="6">
        <f>IF(Benchmark1[[#This Row],[Comparable '#1 Date Check]]="Pass",INDEX(Comp1[Comparable '#1 Price],MATCH(Benchmark1[[#This Row],[Benchmark '#1 Dates]],Comp1[Comparable '#1 Dates],0)),"-")</f>
        <v>11.5</v>
      </c>
      <c r="J1017" s="22">
        <f>IF(Benchmark1[[#This Row],[Comparable '#1 Date Check]]="Pass",INDEX(Comp1[Comparable '#1 Return],MATCH(Benchmark1[[#This Row],[Benchmark '#1 Dates]],Comp1[Comparable '#1 Dates],0)),"-")</f>
        <v>6.9808311413401408E-3</v>
      </c>
      <c r="K1017" s="1">
        <f>IFERROR(IF(Benchmark1[[#This Row],[Comparable '#1 Date Check]]="Pass",Benchmark1[[#This Row],[Comparable '#1 Return]]-Benchmark1[[#This Row],[Benchmark '#1 Return]],"-"),"-")</f>
        <v>1.5379609344597339E-2</v>
      </c>
      <c r="L1017" s="1" t="str">
        <f>IF(COUNTIF(Comp2[Comparable '#2 Dates],Benchmark1[[#This Row],[Benchmark '#1 Dates]])=1,"Pass","Fail")</f>
        <v>Pass</v>
      </c>
      <c r="M1017" s="6">
        <f>IF(Benchmark1[[#This Row],[Comparable '#2 Date Check]]="Pass",INDEX(Comp2[Comparable '#2 Price],MATCH(Benchmark1[[#This Row],[Benchmark '#1 Dates]],Comp2[Comparable '#2 Dates],0)),"-")</f>
        <v>38.770000000000003</v>
      </c>
      <c r="N1017" s="22">
        <f>IF(Benchmark1[[#This Row],[Comparable '#2 Date Check]]="Pass",INDEX(Comp2[Comparable '#2 Return],MATCH(Benchmark1[[#This Row],[Benchmark '#1 Dates]],Comp2[Comparable '#2 Dates],0)),"-")</f>
        <v>4.3944752120527297E-3</v>
      </c>
      <c r="O1017" s="1">
        <f>IFERROR(IF(Benchmark1[[#This Row],[Comparable '#2 Date Check]]="Pass",Benchmark1[[#This Row],[Comparable '#2 Return]]-Benchmark1[[#This Row],[Benchmark '#1 Return]],"-"),"-")</f>
        <v>1.2793253415309928E-2</v>
      </c>
      <c r="P1017" s="1" t="str">
        <f>IF(COUNTIF(Comp3[Comparable '#3 Dates],Benchmark1[[#This Row],[Benchmark '#1 Dates]])=1,"Pass","Fail")</f>
        <v>Pass</v>
      </c>
      <c r="Q1017" s="6">
        <f>IF(Benchmark1[[#This Row],[Comparable '#3 Date Check]]="Pass",INDEX(Comp3[Comparable '#3 Price],MATCH(Benchmark1[[#This Row],[Benchmark '#1 Dates]],Comp3[Comparable '#3 Dates],0)),"-")</f>
        <v>68.03</v>
      </c>
      <c r="R1017" s="22">
        <f>IF(Benchmark1[[#This Row],[Comparable '#3 Date Check]]="Pass",INDEX(Comp3[Comparable '#3 Return],MATCH(Benchmark1[[#This Row],[Benchmark '#1 Dates]],Comp3[Comparable '#3 Dates],0)),"-")</f>
        <v>-5.8625406074369942E-3</v>
      </c>
      <c r="S1017" s="1">
        <f>IFERROR(IF(Benchmark1[[#This Row],[Comparable '#3 Date Check]]="Pass",Benchmark1[[#This Row],[Comparable '#3 Return]]-Benchmark1[[#This Row],[Benchmark '#1 Return]],"-"),"-")</f>
        <v>2.5362375958202042E-3</v>
      </c>
    </row>
    <row r="1018" spans="1:19">
      <c r="A1018" s="103">
        <v>44761</v>
      </c>
      <c r="B1018" s="104">
        <v>3936.6895298549639</v>
      </c>
      <c r="C1018" s="4">
        <f t="shared" si="15"/>
        <v>2.7252694251544037E-2</v>
      </c>
      <c r="D1018" s="1" t="str">
        <f>IF(COUNTIF(Target1[Target Dates],Benchmark1[[#This Row],[Benchmark '#1 Dates]])=1,"Pass","Fail")</f>
        <v>Pass</v>
      </c>
      <c r="E1018" s="6">
        <f>IF(Benchmark1[[#This Row],[Target Date Check]]="Pass",INDEX(Target1[Target Price],MATCH(Benchmark1[[#This Row],[Benchmark '#1 Dates]],Target1[Target Dates],0)),"-")</f>
        <v>43.16</v>
      </c>
      <c r="F1018" s="22">
        <f>IF(Benchmark1[[#This Row],[Target Date Check]]="Pass",INDEX(Target1[Target Return],MATCH(Benchmark1[[#This Row],[Benchmark '#1 Dates]],Target1[Target Dates],0)),"-")</f>
        <v>2.7959063044434348E-2</v>
      </c>
      <c r="G1018" s="1">
        <f>IFERROR(IF(Benchmark1[[#This Row],[Target Date Check]]="Pass",Benchmark1[[#This Row],[Target Return]]-Benchmark1[[#This Row],[Benchmark '#1 Return]],"-"),"-")</f>
        <v>7.0636879289031132E-4</v>
      </c>
      <c r="H1018" s="1" t="str">
        <f>IF(COUNTIF(Comp1[Comparable '#1 Dates],Benchmark1[[#This Row],[Benchmark '#1 Dates]])=1,"Pass","Fail")</f>
        <v>Pass</v>
      </c>
      <c r="I1018" s="6">
        <f>IF(Benchmark1[[#This Row],[Comparable '#1 Date Check]]="Pass",INDEX(Comp1[Comparable '#1 Price],MATCH(Benchmark1[[#This Row],[Benchmark '#1 Dates]],Comp1[Comparable '#1 Dates],0)),"-")</f>
        <v>11.81</v>
      </c>
      <c r="J1018" s="22">
        <f>IF(Benchmark1[[#This Row],[Comparable '#1 Date Check]]="Pass",INDEX(Comp1[Comparable '#1 Return],MATCH(Benchmark1[[#This Row],[Benchmark '#1 Dates]],Comp1[Comparable '#1 Dates],0)),"-")</f>
        <v>2.6599594840066663E-2</v>
      </c>
      <c r="K1018" s="1">
        <f>IFERROR(IF(Benchmark1[[#This Row],[Comparable '#1 Date Check]]="Pass",Benchmark1[[#This Row],[Comparable '#1 Return]]-Benchmark1[[#This Row],[Benchmark '#1 Return]],"-"),"-")</f>
        <v>-6.5309941147737374E-4</v>
      </c>
      <c r="L1018" s="1" t="str">
        <f>IF(COUNTIF(Comp2[Comparable '#2 Dates],Benchmark1[[#This Row],[Benchmark '#1 Dates]])=1,"Pass","Fail")</f>
        <v>Pass</v>
      </c>
      <c r="M1018" s="6">
        <f>IF(Benchmark1[[#This Row],[Comparable '#2 Date Check]]="Pass",INDEX(Comp2[Comparable '#2 Price],MATCH(Benchmark1[[#This Row],[Benchmark '#1 Dates]],Comp2[Comparable '#2 Dates],0)),"-")</f>
        <v>39.630000000000003</v>
      </c>
      <c r="N1018" s="22">
        <f>IF(Benchmark1[[#This Row],[Comparable '#2 Date Check]]="Pass",INDEX(Comp2[Comparable '#2 Return],MATCH(Benchmark1[[#This Row],[Benchmark '#1 Dates]],Comp2[Comparable '#2 Dates],0)),"-")</f>
        <v>2.193965551950576E-2</v>
      </c>
      <c r="O1018" s="1">
        <f>IFERROR(IF(Benchmark1[[#This Row],[Comparable '#2 Date Check]]="Pass",Benchmark1[[#This Row],[Comparable '#2 Return]]-Benchmark1[[#This Row],[Benchmark '#1 Return]],"-"),"-")</f>
        <v>-5.3130387320382763E-3</v>
      </c>
      <c r="P1018" s="1" t="str">
        <f>IF(COUNTIF(Comp3[Comparable '#3 Dates],Benchmark1[[#This Row],[Benchmark '#1 Dates]])=1,"Pass","Fail")</f>
        <v>Pass</v>
      </c>
      <c r="Q1018" s="6">
        <f>IF(Benchmark1[[#This Row],[Comparable '#3 Date Check]]="Pass",INDEX(Comp3[Comparable '#3 Price],MATCH(Benchmark1[[#This Row],[Benchmark '#1 Dates]],Comp3[Comparable '#3 Dates],0)),"-")</f>
        <v>69.099999999999994</v>
      </c>
      <c r="R1018" s="22">
        <f>IF(Benchmark1[[#This Row],[Comparable '#3 Date Check]]="Pass",INDEX(Comp3[Comparable '#3 Return],MATCH(Benchmark1[[#This Row],[Benchmark '#1 Dates]],Comp3[Comparable '#3 Dates],0)),"-")</f>
        <v>1.560594641665464E-2</v>
      </c>
      <c r="S1018" s="1">
        <f>IFERROR(IF(Benchmark1[[#This Row],[Comparable '#3 Date Check]]="Pass",Benchmark1[[#This Row],[Comparable '#3 Return]]-Benchmark1[[#This Row],[Benchmark '#1 Return]],"-"),"-")</f>
        <v>-1.1646747834889396E-2</v>
      </c>
    </row>
    <row r="1019" spans="1:19">
      <c r="A1019" s="103">
        <v>44762</v>
      </c>
      <c r="B1019" s="104">
        <v>3959.8987202278408</v>
      </c>
      <c r="C1019" s="4">
        <f t="shared" si="15"/>
        <v>5.8782999618228037E-3</v>
      </c>
      <c r="D1019" s="1" t="str">
        <f>IF(COUNTIF(Target1[Target Dates],Benchmark1[[#This Row],[Benchmark '#1 Dates]])=1,"Pass","Fail")</f>
        <v>Pass</v>
      </c>
      <c r="E1019" s="6">
        <f>IF(Benchmark1[[#This Row],[Target Date Check]]="Pass",INDEX(Target1[Target Price],MATCH(Benchmark1[[#This Row],[Benchmark '#1 Dates]],Target1[Target Dates],0)),"-")</f>
        <v>44.17</v>
      </c>
      <c r="F1019" s="22">
        <f>IF(Benchmark1[[#This Row],[Target Date Check]]="Pass",INDEX(Target1[Target Return],MATCH(Benchmark1[[#This Row],[Benchmark '#1 Dates]],Target1[Target Dates],0)),"-")</f>
        <v>2.3131685218501303E-2</v>
      </c>
      <c r="G1019" s="1">
        <f>IFERROR(IF(Benchmark1[[#This Row],[Target Date Check]]="Pass",Benchmark1[[#This Row],[Target Return]]-Benchmark1[[#This Row],[Benchmark '#1 Return]],"-"),"-")</f>
        <v>1.7253385256678501E-2</v>
      </c>
      <c r="H1019" s="1" t="str">
        <f>IF(COUNTIF(Comp1[Comparable '#1 Dates],Benchmark1[[#This Row],[Benchmark '#1 Dates]])=1,"Pass","Fail")</f>
        <v>Pass</v>
      </c>
      <c r="I1019" s="6">
        <f>IF(Benchmark1[[#This Row],[Comparable '#1 Date Check]]="Pass",INDEX(Comp1[Comparable '#1 Price],MATCH(Benchmark1[[#This Row],[Benchmark '#1 Dates]],Comp1[Comparable '#1 Dates],0)),"-")</f>
        <v>11.83</v>
      </c>
      <c r="J1019" s="22">
        <f>IF(Benchmark1[[#This Row],[Comparable '#1 Date Check]]="Pass",INDEX(Comp1[Comparable '#1 Return],MATCH(Benchmark1[[#This Row],[Benchmark '#1 Dates]],Comp1[Comparable '#1 Dates],0)),"-")</f>
        <v>1.6920477810245234E-3</v>
      </c>
      <c r="K1019" s="1">
        <f>IFERROR(IF(Benchmark1[[#This Row],[Comparable '#1 Date Check]]="Pass",Benchmark1[[#This Row],[Comparable '#1 Return]]-Benchmark1[[#This Row],[Benchmark '#1 Return]],"-"),"-")</f>
        <v>-4.1862521807982805E-3</v>
      </c>
      <c r="L1019" s="1" t="str">
        <f>IF(COUNTIF(Comp2[Comparable '#2 Dates],Benchmark1[[#This Row],[Benchmark '#1 Dates]])=1,"Pass","Fail")</f>
        <v>Pass</v>
      </c>
      <c r="M1019" s="6">
        <f>IF(Benchmark1[[#This Row],[Comparable '#2 Date Check]]="Pass",INDEX(Comp2[Comparable '#2 Price],MATCH(Benchmark1[[#This Row],[Benchmark '#1 Dates]],Comp2[Comparable '#2 Dates],0)),"-")</f>
        <v>39.65</v>
      </c>
      <c r="N1019" s="22">
        <f>IF(Benchmark1[[#This Row],[Comparable '#2 Date Check]]="Pass",INDEX(Comp2[Comparable '#2 Return],MATCH(Benchmark1[[#This Row],[Benchmark '#1 Dates]],Comp2[Comparable '#2 Dates],0)),"-")</f>
        <v>5.0454087851321567E-4</v>
      </c>
      <c r="O1019" s="1">
        <f>IFERROR(IF(Benchmark1[[#This Row],[Comparable '#2 Date Check]]="Pass",Benchmark1[[#This Row],[Comparable '#2 Return]]-Benchmark1[[#This Row],[Benchmark '#1 Return]],"-"),"-")</f>
        <v>-5.373759083309588E-3</v>
      </c>
      <c r="P1019" s="1" t="str">
        <f>IF(COUNTIF(Comp3[Comparable '#3 Dates],Benchmark1[[#This Row],[Benchmark '#1 Dates]])=1,"Pass","Fail")</f>
        <v>Pass</v>
      </c>
      <c r="Q1019" s="6">
        <f>IF(Benchmark1[[#This Row],[Comparable '#3 Date Check]]="Pass",INDEX(Comp3[Comparable '#3 Price],MATCH(Benchmark1[[#This Row],[Benchmark '#1 Dates]],Comp3[Comparable '#3 Dates],0)),"-")</f>
        <v>71.040000000000006</v>
      </c>
      <c r="R1019" s="22">
        <f>IF(Benchmark1[[#This Row],[Comparable '#3 Date Check]]="Pass",INDEX(Comp3[Comparable '#3 Return],MATCH(Benchmark1[[#This Row],[Benchmark '#1 Dates]],Comp3[Comparable '#3 Dates],0)),"-")</f>
        <v>2.7688367910290689E-2</v>
      </c>
      <c r="S1019" s="1">
        <f>IFERROR(IF(Benchmark1[[#This Row],[Comparable '#3 Date Check]]="Pass",Benchmark1[[#This Row],[Comparable '#3 Return]]-Benchmark1[[#This Row],[Benchmark '#1 Return]],"-"),"-")</f>
        <v>2.1810067948467883E-2</v>
      </c>
    </row>
    <row r="1020" spans="1:19">
      <c r="A1020" s="103">
        <v>44763</v>
      </c>
      <c r="B1020" s="104">
        <v>3998.9514198399525</v>
      </c>
      <c r="C1020" s="4">
        <f t="shared" si="15"/>
        <v>9.8137324745764393E-3</v>
      </c>
      <c r="D1020" s="1" t="str">
        <f>IF(COUNTIF(Target1[Target Dates],Benchmark1[[#This Row],[Benchmark '#1 Dates]])=1,"Pass","Fail")</f>
        <v>Pass</v>
      </c>
      <c r="E1020" s="6">
        <f>IF(Benchmark1[[#This Row],[Target Date Check]]="Pass",INDEX(Target1[Target Price],MATCH(Benchmark1[[#This Row],[Benchmark '#1 Dates]],Target1[Target Dates],0)),"-")</f>
        <v>43.67</v>
      </c>
      <c r="F1020" s="22">
        <f>IF(Benchmark1[[#This Row],[Target Date Check]]="Pass",INDEX(Target1[Target Return],MATCH(Benchmark1[[#This Row],[Benchmark '#1 Dates]],Target1[Target Dates],0)),"-")</f>
        <v>-1.1384458110965516E-2</v>
      </c>
      <c r="G1020" s="1">
        <f>IFERROR(IF(Benchmark1[[#This Row],[Target Date Check]]="Pass",Benchmark1[[#This Row],[Target Return]]-Benchmark1[[#This Row],[Benchmark '#1 Return]],"-"),"-")</f>
        <v>-2.1198190585541954E-2</v>
      </c>
      <c r="H1020" s="1" t="str">
        <f>IF(COUNTIF(Comp1[Comparable '#1 Dates],Benchmark1[[#This Row],[Benchmark '#1 Dates]])=1,"Pass","Fail")</f>
        <v>Pass</v>
      </c>
      <c r="I1020" s="6">
        <f>IF(Benchmark1[[#This Row],[Comparable '#1 Date Check]]="Pass",INDEX(Comp1[Comparable '#1 Price],MATCH(Benchmark1[[#This Row],[Benchmark '#1 Dates]],Comp1[Comparable '#1 Dates],0)),"-")</f>
        <v>11.75</v>
      </c>
      <c r="J1020" s="22">
        <f>IF(Benchmark1[[#This Row],[Comparable '#1 Date Check]]="Pass",INDEX(Comp1[Comparable '#1 Return],MATCH(Benchmark1[[#This Row],[Benchmark '#1 Dates]],Comp1[Comparable '#1 Dates],0)),"-")</f>
        <v>-6.7854374001274599E-3</v>
      </c>
      <c r="K1020" s="1">
        <f>IFERROR(IF(Benchmark1[[#This Row],[Comparable '#1 Date Check]]="Pass",Benchmark1[[#This Row],[Comparable '#1 Return]]-Benchmark1[[#This Row],[Benchmark '#1 Return]],"-"),"-")</f>
        <v>-1.65991698747039E-2</v>
      </c>
      <c r="L1020" s="1" t="str">
        <f>IF(COUNTIF(Comp2[Comparable '#2 Dates],Benchmark1[[#This Row],[Benchmark '#1 Dates]])=1,"Pass","Fail")</f>
        <v>Pass</v>
      </c>
      <c r="M1020" s="6">
        <f>IF(Benchmark1[[#This Row],[Comparable '#2 Date Check]]="Pass",INDEX(Comp2[Comparable '#2 Price],MATCH(Benchmark1[[#This Row],[Benchmark '#1 Dates]],Comp2[Comparable '#2 Dates],0)),"-")</f>
        <v>39.08</v>
      </c>
      <c r="N1020" s="22">
        <f>IF(Benchmark1[[#This Row],[Comparable '#2 Date Check]]="Pass",INDEX(Comp2[Comparable '#2 Return],MATCH(Benchmark1[[#This Row],[Benchmark '#1 Dates]],Comp2[Comparable '#2 Dates],0)),"-")</f>
        <v>-1.4480120906274983E-2</v>
      </c>
      <c r="O1020" s="1">
        <f>IFERROR(IF(Benchmark1[[#This Row],[Comparable '#2 Date Check]]="Pass",Benchmark1[[#This Row],[Comparable '#2 Return]]-Benchmark1[[#This Row],[Benchmark '#1 Return]],"-"),"-")</f>
        <v>-2.4293853380851424E-2</v>
      </c>
      <c r="P1020" s="1" t="str">
        <f>IF(COUNTIF(Comp3[Comparable '#3 Dates],Benchmark1[[#This Row],[Benchmark '#1 Dates]])=1,"Pass","Fail")</f>
        <v>Pass</v>
      </c>
      <c r="Q1020" s="6">
        <f>IF(Benchmark1[[#This Row],[Comparable '#3 Date Check]]="Pass",INDEX(Comp3[Comparable '#3 Price],MATCH(Benchmark1[[#This Row],[Benchmark '#1 Dates]],Comp3[Comparable '#3 Dates],0)),"-")</f>
        <v>70.36</v>
      </c>
      <c r="R1020" s="22">
        <f>IF(Benchmark1[[#This Row],[Comparable '#3 Date Check]]="Pass",INDEX(Comp3[Comparable '#3 Return],MATCH(Benchmark1[[#This Row],[Benchmark '#1 Dates]],Comp3[Comparable '#3 Dates],0)),"-")</f>
        <v>-9.6181788145572444E-3</v>
      </c>
      <c r="S1020" s="1">
        <f>IFERROR(IF(Benchmark1[[#This Row],[Comparable '#3 Date Check]]="Pass",Benchmark1[[#This Row],[Comparable '#3 Return]]-Benchmark1[[#This Row],[Benchmark '#1 Return]],"-"),"-")</f>
        <v>-1.9431911289133685E-2</v>
      </c>
    </row>
    <row r="1021" spans="1:19">
      <c r="A1021" s="103">
        <v>44764</v>
      </c>
      <c r="B1021" s="104">
        <v>3961.634881243232</v>
      </c>
      <c r="C1021" s="4">
        <f t="shared" si="15"/>
        <v>-9.3753928472932076E-3</v>
      </c>
      <c r="D1021" s="1" t="str">
        <f>IF(COUNTIF(Target1[Target Dates],Benchmark1[[#This Row],[Benchmark '#1 Dates]])=1,"Pass","Fail")</f>
        <v>Pass</v>
      </c>
      <c r="E1021" s="6">
        <f>IF(Benchmark1[[#This Row],[Target Date Check]]="Pass",INDEX(Target1[Target Price],MATCH(Benchmark1[[#This Row],[Benchmark '#1 Dates]],Target1[Target Dates],0)),"-")</f>
        <v>42.16</v>
      </c>
      <c r="F1021" s="22">
        <f>IF(Benchmark1[[#This Row],[Target Date Check]]="Pass",INDEX(Target1[Target Return],MATCH(Benchmark1[[#This Row],[Benchmark '#1 Dates]],Target1[Target Dates],0)),"-")</f>
        <v>-3.51894632643628E-2</v>
      </c>
      <c r="G1021" s="1">
        <f>IFERROR(IF(Benchmark1[[#This Row],[Target Date Check]]="Pass",Benchmark1[[#This Row],[Target Return]]-Benchmark1[[#This Row],[Benchmark '#1 Return]],"-"),"-")</f>
        <v>-2.5814070417069592E-2</v>
      </c>
      <c r="H1021" s="1" t="str">
        <f>IF(COUNTIF(Comp1[Comparable '#1 Dates],Benchmark1[[#This Row],[Benchmark '#1 Dates]])=1,"Pass","Fail")</f>
        <v>Pass</v>
      </c>
      <c r="I1021" s="6">
        <f>IF(Benchmark1[[#This Row],[Comparable '#1 Date Check]]="Pass",INDEX(Comp1[Comparable '#1 Price],MATCH(Benchmark1[[#This Row],[Benchmark '#1 Dates]],Comp1[Comparable '#1 Dates],0)),"-")</f>
        <v>11.63</v>
      </c>
      <c r="J1021" s="22">
        <f>IF(Benchmark1[[#This Row],[Comparable '#1 Date Check]]="Pass",INDEX(Comp1[Comparable '#1 Return],MATCH(Benchmark1[[#This Row],[Benchmark '#1 Dates]],Comp1[Comparable '#1 Dates],0)),"-")</f>
        <v>-1.0265274059594792E-2</v>
      </c>
      <c r="K1021" s="1">
        <f>IFERROR(IF(Benchmark1[[#This Row],[Comparable '#1 Date Check]]="Pass",Benchmark1[[#This Row],[Comparable '#1 Return]]-Benchmark1[[#This Row],[Benchmark '#1 Return]],"-"),"-")</f>
        <v>-8.8988121230158465E-4</v>
      </c>
      <c r="L1021" s="1" t="str">
        <f>IF(COUNTIF(Comp2[Comparable '#2 Dates],Benchmark1[[#This Row],[Benchmark '#1 Dates]])=1,"Pass","Fail")</f>
        <v>Pass</v>
      </c>
      <c r="M1021" s="6">
        <f>IF(Benchmark1[[#This Row],[Comparable '#2 Date Check]]="Pass",INDEX(Comp2[Comparable '#2 Price],MATCH(Benchmark1[[#This Row],[Benchmark '#1 Dates]],Comp2[Comparable '#2 Dates],0)),"-")</f>
        <v>39.11</v>
      </c>
      <c r="N1021" s="22">
        <f>IF(Benchmark1[[#This Row],[Comparable '#2 Date Check]]="Pass",INDEX(Comp2[Comparable '#2 Return],MATCH(Benchmark1[[#This Row],[Benchmark '#1 Dates]],Comp2[Comparable '#2 Dates],0)),"-")</f>
        <v>7.6736159284067915E-4</v>
      </c>
      <c r="O1021" s="1">
        <f>IFERROR(IF(Benchmark1[[#This Row],[Comparable '#2 Date Check]]="Pass",Benchmark1[[#This Row],[Comparable '#2 Return]]-Benchmark1[[#This Row],[Benchmark '#1 Return]],"-"),"-")</f>
        <v>1.0142754440133886E-2</v>
      </c>
      <c r="P1021" s="1" t="str">
        <f>IF(COUNTIF(Comp3[Comparable '#3 Dates],Benchmark1[[#This Row],[Benchmark '#1 Dates]])=1,"Pass","Fail")</f>
        <v>Pass</v>
      </c>
      <c r="Q1021" s="6">
        <f>IF(Benchmark1[[#This Row],[Comparable '#3 Date Check]]="Pass",INDEX(Comp3[Comparable '#3 Price],MATCH(Benchmark1[[#This Row],[Benchmark '#1 Dates]],Comp3[Comparable '#3 Dates],0)),"-")</f>
        <v>69.709999999999994</v>
      </c>
      <c r="R1021" s="22">
        <f>IF(Benchmark1[[#This Row],[Comparable '#3 Date Check]]="Pass",INDEX(Comp3[Comparable '#3 Return],MATCH(Benchmark1[[#This Row],[Benchmark '#1 Dates]],Comp3[Comparable '#3 Dates],0)),"-")</f>
        <v>-9.2811403710501457E-3</v>
      </c>
      <c r="S1021" s="1">
        <f>IFERROR(IF(Benchmark1[[#This Row],[Comparable '#3 Date Check]]="Pass",Benchmark1[[#This Row],[Comparable '#3 Return]]-Benchmark1[[#This Row],[Benchmark '#1 Return]],"-"),"-")</f>
        <v>9.4252476243061878E-5</v>
      </c>
    </row>
    <row r="1022" spans="1:19">
      <c r="A1022" s="103">
        <v>44767</v>
      </c>
      <c r="B1022" s="104">
        <v>3966.8449838417555</v>
      </c>
      <c r="C1022" s="4">
        <f t="shared" si="15"/>
        <v>1.3142754820950819E-3</v>
      </c>
      <c r="D1022" s="1" t="str">
        <f>IF(COUNTIF(Target1[Target Dates],Benchmark1[[#This Row],[Benchmark '#1 Dates]])=1,"Pass","Fail")</f>
        <v>Pass</v>
      </c>
      <c r="E1022" s="6">
        <f>IF(Benchmark1[[#This Row],[Target Date Check]]="Pass",INDEX(Target1[Target Price],MATCH(Benchmark1[[#This Row],[Benchmark '#1 Dates]],Target1[Target Dates],0)),"-")</f>
        <v>43.01</v>
      </c>
      <c r="F1022" s="22">
        <f>IF(Benchmark1[[#This Row],[Target Date Check]]="Pass",INDEX(Target1[Target Return],MATCH(Benchmark1[[#This Row],[Benchmark '#1 Dates]],Target1[Target Dates],0)),"-")</f>
        <v>1.9960742562538152E-2</v>
      </c>
      <c r="G1022" s="1">
        <f>IFERROR(IF(Benchmark1[[#This Row],[Target Date Check]]="Pass",Benchmark1[[#This Row],[Target Return]]-Benchmark1[[#This Row],[Benchmark '#1 Return]],"-"),"-")</f>
        <v>1.8646467080443069E-2</v>
      </c>
      <c r="H1022" s="1" t="str">
        <f>IF(COUNTIF(Comp1[Comparable '#1 Dates],Benchmark1[[#This Row],[Benchmark '#1 Dates]])=1,"Pass","Fail")</f>
        <v>Pass</v>
      </c>
      <c r="I1022" s="6">
        <f>IF(Benchmark1[[#This Row],[Comparable '#1 Date Check]]="Pass",INDEX(Comp1[Comparable '#1 Price],MATCH(Benchmark1[[#This Row],[Benchmark '#1 Dates]],Comp1[Comparable '#1 Dates],0)),"-")</f>
        <v>11.71</v>
      </c>
      <c r="J1022" s="22">
        <f>IF(Benchmark1[[#This Row],[Comparable '#1 Date Check]]="Pass",INDEX(Comp1[Comparable '#1 Return],MATCH(Benchmark1[[#This Row],[Benchmark '#1 Dates]],Comp1[Comparable '#1 Dates],0)),"-")</f>
        <v>6.8552110790528718E-3</v>
      </c>
      <c r="K1022" s="1">
        <f>IFERROR(IF(Benchmark1[[#This Row],[Comparable '#1 Date Check]]="Pass",Benchmark1[[#This Row],[Comparable '#1 Return]]-Benchmark1[[#This Row],[Benchmark '#1 Return]],"-"),"-")</f>
        <v>5.5409355969577899E-3</v>
      </c>
      <c r="L1022" s="1" t="str">
        <f>IF(COUNTIF(Comp2[Comparable '#2 Dates],Benchmark1[[#This Row],[Benchmark '#1 Dates]])=1,"Pass","Fail")</f>
        <v>Pass</v>
      </c>
      <c r="M1022" s="6">
        <f>IF(Benchmark1[[#This Row],[Comparable '#2 Date Check]]="Pass",INDEX(Comp2[Comparable '#2 Price],MATCH(Benchmark1[[#This Row],[Benchmark '#1 Dates]],Comp2[Comparable '#2 Dates],0)),"-")</f>
        <v>39.19</v>
      </c>
      <c r="N1022" s="22">
        <f>IF(Benchmark1[[#This Row],[Comparable '#2 Date Check]]="Pass",INDEX(Comp2[Comparable '#2 Return],MATCH(Benchmark1[[#This Row],[Benchmark '#1 Dates]],Comp2[Comparable '#2 Dates],0)),"-")</f>
        <v>2.0434234441172386E-3</v>
      </c>
      <c r="O1022" s="1">
        <f>IFERROR(IF(Benchmark1[[#This Row],[Comparable '#2 Date Check]]="Pass",Benchmark1[[#This Row],[Comparable '#2 Return]]-Benchmark1[[#This Row],[Benchmark '#1 Return]],"-"),"-")</f>
        <v>7.2914796202215668E-4</v>
      </c>
      <c r="P1022" s="1" t="str">
        <f>IF(COUNTIF(Comp3[Comparable '#3 Dates],Benchmark1[[#This Row],[Benchmark '#1 Dates]])=1,"Pass","Fail")</f>
        <v>Pass</v>
      </c>
      <c r="Q1022" s="6">
        <f>IF(Benchmark1[[#This Row],[Comparable '#3 Date Check]]="Pass",INDEX(Comp3[Comparable '#3 Price],MATCH(Benchmark1[[#This Row],[Benchmark '#1 Dates]],Comp3[Comparable '#3 Dates],0)),"-")</f>
        <v>69.260000000000005</v>
      </c>
      <c r="R1022" s="22">
        <f>IF(Benchmark1[[#This Row],[Comparable '#3 Date Check]]="Pass",INDEX(Comp3[Comparable '#3 Return],MATCH(Benchmark1[[#This Row],[Benchmark '#1 Dates]],Comp3[Comparable '#3 Dates],0)),"-")</f>
        <v>-6.4762405240312761E-3</v>
      </c>
      <c r="S1022" s="1">
        <f>IFERROR(IF(Benchmark1[[#This Row],[Comparable '#3 Date Check]]="Pass",Benchmark1[[#This Row],[Comparable '#3 Return]]-Benchmark1[[#This Row],[Benchmark '#1 Return]],"-"),"-")</f>
        <v>-7.790516006126358E-3</v>
      </c>
    </row>
    <row r="1023" spans="1:19">
      <c r="A1023" s="103">
        <v>44768</v>
      </c>
      <c r="B1023" s="104">
        <v>3921.0496114977204</v>
      </c>
      <c r="C1023" s="4">
        <f t="shared" si="15"/>
        <v>-1.1611688351944633E-2</v>
      </c>
      <c r="D1023" s="1" t="str">
        <f>IF(COUNTIF(Target1[Target Dates],Benchmark1[[#This Row],[Benchmark '#1 Dates]])=1,"Pass","Fail")</f>
        <v>Pass</v>
      </c>
      <c r="E1023" s="6">
        <f>IF(Benchmark1[[#This Row],[Target Date Check]]="Pass",INDEX(Target1[Target Price],MATCH(Benchmark1[[#This Row],[Benchmark '#1 Dates]],Target1[Target Dates],0)),"-")</f>
        <v>42.8</v>
      </c>
      <c r="F1023" s="22">
        <f>IF(Benchmark1[[#This Row],[Target Date Check]]="Pass",INDEX(Target1[Target Return],MATCH(Benchmark1[[#This Row],[Benchmark '#1 Dates]],Target1[Target Dates],0)),"-")</f>
        <v>-4.8945442078938825E-3</v>
      </c>
      <c r="G1023" s="1">
        <f>IFERROR(IF(Benchmark1[[#This Row],[Target Date Check]]="Pass",Benchmark1[[#This Row],[Target Return]]-Benchmark1[[#This Row],[Benchmark '#1 Return]],"-"),"-")</f>
        <v>6.7171441440507509E-3</v>
      </c>
      <c r="H1023" s="1" t="str">
        <f>IF(COUNTIF(Comp1[Comparable '#1 Dates],Benchmark1[[#This Row],[Benchmark '#1 Dates]])=1,"Pass","Fail")</f>
        <v>Pass</v>
      </c>
      <c r="I1023" s="6">
        <f>IF(Benchmark1[[#This Row],[Comparable '#1 Date Check]]="Pass",INDEX(Comp1[Comparable '#1 Price],MATCH(Benchmark1[[#This Row],[Benchmark '#1 Dates]],Comp1[Comparable '#1 Dates],0)),"-")</f>
        <v>11.7</v>
      </c>
      <c r="J1023" s="22">
        <f>IF(Benchmark1[[#This Row],[Comparable '#1 Date Check]]="Pass",INDEX(Comp1[Comparable '#1 Return],MATCH(Benchmark1[[#This Row],[Benchmark '#1 Dates]],Comp1[Comparable '#1 Dates],0)),"-")</f>
        <v>-8.5433580591564261E-4</v>
      </c>
      <c r="K1023" s="1">
        <f>IFERROR(IF(Benchmark1[[#This Row],[Comparable '#1 Date Check]]="Pass",Benchmark1[[#This Row],[Comparable '#1 Return]]-Benchmark1[[#This Row],[Benchmark '#1 Return]],"-"),"-")</f>
        <v>1.0757352546028991E-2</v>
      </c>
      <c r="L1023" s="1" t="str">
        <f>IF(COUNTIF(Comp2[Comparable '#2 Dates],Benchmark1[[#This Row],[Benchmark '#1 Dates]])=1,"Pass","Fail")</f>
        <v>Pass</v>
      </c>
      <c r="M1023" s="6">
        <f>IF(Benchmark1[[#This Row],[Comparable '#2 Date Check]]="Pass",INDEX(Comp2[Comparable '#2 Price],MATCH(Benchmark1[[#This Row],[Benchmark '#1 Dates]],Comp2[Comparable '#2 Dates],0)),"-")</f>
        <v>39.76</v>
      </c>
      <c r="N1023" s="22">
        <f>IF(Benchmark1[[#This Row],[Comparable '#2 Date Check]]="Pass",INDEX(Comp2[Comparable '#2 Return],MATCH(Benchmark1[[#This Row],[Benchmark '#1 Dates]],Comp2[Comparable '#2 Dates],0)),"-")</f>
        <v>1.4439769576833171E-2</v>
      </c>
      <c r="O1023" s="1">
        <f>IFERROR(IF(Benchmark1[[#This Row],[Comparable '#2 Date Check]]="Pass",Benchmark1[[#This Row],[Comparable '#2 Return]]-Benchmark1[[#This Row],[Benchmark '#1 Return]],"-"),"-")</f>
        <v>2.6051457928777805E-2</v>
      </c>
      <c r="P1023" s="1" t="str">
        <f>IF(COUNTIF(Comp3[Comparable '#3 Dates],Benchmark1[[#This Row],[Benchmark '#1 Dates]])=1,"Pass","Fail")</f>
        <v>Pass</v>
      </c>
      <c r="Q1023" s="6">
        <f>IF(Benchmark1[[#This Row],[Comparable '#3 Date Check]]="Pass",INDEX(Comp3[Comparable '#3 Price],MATCH(Benchmark1[[#This Row],[Benchmark '#1 Dates]],Comp3[Comparable '#3 Dates],0)),"-")</f>
        <v>69.97</v>
      </c>
      <c r="R1023" s="22">
        <f>IF(Benchmark1[[#This Row],[Comparable '#3 Date Check]]="Pass",INDEX(Comp3[Comparable '#3 Return],MATCH(Benchmark1[[#This Row],[Benchmark '#1 Dates]],Comp3[Comparable '#3 Dates],0)),"-")</f>
        <v>1.019903978352933E-2</v>
      </c>
      <c r="S1023" s="1">
        <f>IFERROR(IF(Benchmark1[[#This Row],[Comparable '#3 Date Check]]="Pass",Benchmark1[[#This Row],[Comparable '#3 Return]]-Benchmark1[[#This Row],[Benchmark '#1 Return]],"-"),"-")</f>
        <v>2.1810728135473963E-2</v>
      </c>
    </row>
    <row r="1024" spans="1:19">
      <c r="A1024" s="103">
        <v>44769</v>
      </c>
      <c r="B1024" s="104">
        <v>4023.612423220356</v>
      </c>
      <c r="C1024" s="4">
        <f t="shared" si="15"/>
        <v>2.5820735864878687E-2</v>
      </c>
      <c r="D1024" s="1" t="str">
        <f>IF(COUNTIF(Target1[Target Dates],Benchmark1[[#This Row],[Benchmark '#1 Dates]])=1,"Pass","Fail")</f>
        <v>Pass</v>
      </c>
      <c r="E1024" s="6">
        <f>IF(Benchmark1[[#This Row],[Target Date Check]]="Pass",INDEX(Target1[Target Price],MATCH(Benchmark1[[#This Row],[Benchmark '#1 Dates]],Target1[Target Dates],0)),"-")</f>
        <v>43.3</v>
      </c>
      <c r="F1024" s="22">
        <f>IF(Benchmark1[[#This Row],[Target Date Check]]="Pass",INDEX(Target1[Target Return],MATCH(Benchmark1[[#This Row],[Benchmark '#1 Dates]],Target1[Target Dates],0)),"-")</f>
        <v>1.1614532420693083E-2</v>
      </c>
      <c r="G1024" s="1">
        <f>IFERROR(IF(Benchmark1[[#This Row],[Target Date Check]]="Pass",Benchmark1[[#This Row],[Target Return]]-Benchmark1[[#This Row],[Benchmark '#1 Return]],"-"),"-")</f>
        <v>-1.4206203444185604E-2</v>
      </c>
      <c r="H1024" s="1" t="str">
        <f>IF(COUNTIF(Comp1[Comparable '#1 Dates],Benchmark1[[#This Row],[Benchmark '#1 Dates]])=1,"Pass","Fail")</f>
        <v>Pass</v>
      </c>
      <c r="I1024" s="6">
        <f>IF(Benchmark1[[#This Row],[Comparable '#1 Date Check]]="Pass",INDEX(Comp1[Comparable '#1 Price],MATCH(Benchmark1[[#This Row],[Benchmark '#1 Dates]],Comp1[Comparable '#1 Dates],0)),"-")</f>
        <v>11.79</v>
      </c>
      <c r="J1024" s="22">
        <f>IF(Benchmark1[[#This Row],[Comparable '#1 Date Check]]="Pass",INDEX(Comp1[Comparable '#1 Return],MATCH(Benchmark1[[#This Row],[Benchmark '#1 Dates]],Comp1[Comparable '#1 Dates],0)),"-")</f>
        <v>7.6628727455690972E-3</v>
      </c>
      <c r="K1024" s="1">
        <f>IFERROR(IF(Benchmark1[[#This Row],[Comparable '#1 Date Check]]="Pass",Benchmark1[[#This Row],[Comparable '#1 Return]]-Benchmark1[[#This Row],[Benchmark '#1 Return]],"-"),"-")</f>
        <v>-1.815786311930959E-2</v>
      </c>
      <c r="L1024" s="1" t="str">
        <f>IF(COUNTIF(Comp2[Comparable '#2 Dates],Benchmark1[[#This Row],[Benchmark '#1 Dates]])=1,"Pass","Fail")</f>
        <v>Pass</v>
      </c>
      <c r="M1024" s="6">
        <f>IF(Benchmark1[[#This Row],[Comparable '#2 Date Check]]="Pass",INDEX(Comp2[Comparable '#2 Price],MATCH(Benchmark1[[#This Row],[Benchmark '#1 Dates]],Comp2[Comparable '#2 Dates],0)),"-")</f>
        <v>40.22</v>
      </c>
      <c r="N1024" s="22">
        <f>IF(Benchmark1[[#This Row],[Comparable '#2 Date Check]]="Pass",INDEX(Comp2[Comparable '#2 Return],MATCH(Benchmark1[[#This Row],[Benchmark '#1 Dates]],Comp2[Comparable '#2 Dates],0)),"-")</f>
        <v>1.150300255613264E-2</v>
      </c>
      <c r="O1024" s="1">
        <f>IFERROR(IF(Benchmark1[[#This Row],[Comparable '#2 Date Check]]="Pass",Benchmark1[[#This Row],[Comparable '#2 Return]]-Benchmark1[[#This Row],[Benchmark '#1 Return]],"-"),"-")</f>
        <v>-1.4317733308746047E-2</v>
      </c>
      <c r="P1024" s="1" t="str">
        <f>IF(COUNTIF(Comp3[Comparable '#3 Dates],Benchmark1[[#This Row],[Benchmark '#1 Dates]])=1,"Pass","Fail")</f>
        <v>Pass</v>
      </c>
      <c r="Q1024" s="6">
        <f>IF(Benchmark1[[#This Row],[Comparable '#3 Date Check]]="Pass",INDEX(Comp3[Comparable '#3 Price],MATCH(Benchmark1[[#This Row],[Benchmark '#1 Dates]],Comp3[Comparable '#3 Dates],0)),"-")</f>
        <v>72.31</v>
      </c>
      <c r="R1024" s="22">
        <f>IF(Benchmark1[[#This Row],[Comparable '#3 Date Check]]="Pass",INDEX(Comp3[Comparable '#3 Return],MATCH(Benchmark1[[#This Row],[Benchmark '#1 Dates]],Comp3[Comparable '#3 Dates],0)),"-")</f>
        <v>3.28958534290551E-2</v>
      </c>
      <c r="S1024" s="1">
        <f>IFERROR(IF(Benchmark1[[#This Row],[Comparable '#3 Date Check]]="Pass",Benchmark1[[#This Row],[Comparable '#3 Return]]-Benchmark1[[#This Row],[Benchmark '#1 Return]],"-"),"-")</f>
        <v>7.0751175641764127E-3</v>
      </c>
    </row>
    <row r="1025" spans="1:19">
      <c r="A1025" s="103">
        <v>44770</v>
      </c>
      <c r="B1025" s="104">
        <v>4072.4343002547321</v>
      </c>
      <c r="C1025" s="4">
        <f t="shared" si="15"/>
        <v>1.2060816968199165E-2</v>
      </c>
      <c r="D1025" s="1" t="str">
        <f>IF(COUNTIF(Target1[Target Dates],Benchmark1[[#This Row],[Benchmark '#1 Dates]])=1,"Pass","Fail")</f>
        <v>Pass</v>
      </c>
      <c r="E1025" s="6">
        <f>IF(Benchmark1[[#This Row],[Target Date Check]]="Pass",INDEX(Target1[Target Price],MATCH(Benchmark1[[#This Row],[Benchmark '#1 Dates]],Target1[Target Dates],0)),"-")</f>
        <v>44.08</v>
      </c>
      <c r="F1025" s="22">
        <f>IF(Benchmark1[[#This Row],[Target Date Check]]="Pass",INDEX(Target1[Target Return],MATCH(Benchmark1[[#This Row],[Benchmark '#1 Dates]],Target1[Target Dates],0)),"-")</f>
        <v>1.7853529836214962E-2</v>
      </c>
      <c r="G1025" s="1">
        <f>IFERROR(IF(Benchmark1[[#This Row],[Target Date Check]]="Pass",Benchmark1[[#This Row],[Target Return]]-Benchmark1[[#This Row],[Benchmark '#1 Return]],"-"),"-")</f>
        <v>5.7927128680157966E-3</v>
      </c>
      <c r="H1025" s="1" t="str">
        <f>IF(COUNTIF(Comp1[Comparable '#1 Dates],Benchmark1[[#This Row],[Benchmark '#1 Dates]])=1,"Pass","Fail")</f>
        <v>Pass</v>
      </c>
      <c r="I1025" s="6">
        <f>IF(Benchmark1[[#This Row],[Comparable '#1 Date Check]]="Pass",INDEX(Comp1[Comparable '#1 Price],MATCH(Benchmark1[[#This Row],[Benchmark '#1 Dates]],Comp1[Comparable '#1 Dates],0)),"-")</f>
        <v>11.95</v>
      </c>
      <c r="J1025" s="22">
        <f>IF(Benchmark1[[#This Row],[Comparable '#1 Date Check]]="Pass",INDEX(Comp1[Comparable '#1 Return],MATCH(Benchmark1[[#This Row],[Benchmark '#1 Dates]],Comp1[Comparable '#1 Dates],0)),"-")</f>
        <v>1.3479563828240235E-2</v>
      </c>
      <c r="K1025" s="1">
        <f>IFERROR(IF(Benchmark1[[#This Row],[Comparable '#1 Date Check]]="Pass",Benchmark1[[#This Row],[Comparable '#1 Return]]-Benchmark1[[#This Row],[Benchmark '#1 Return]],"-"),"-")</f>
        <v>1.4187468600410699E-3</v>
      </c>
      <c r="L1025" s="1" t="str">
        <f>IF(COUNTIF(Comp2[Comparable '#2 Dates],Benchmark1[[#This Row],[Benchmark '#1 Dates]])=1,"Pass","Fail")</f>
        <v>Pass</v>
      </c>
      <c r="M1025" s="6">
        <f>IF(Benchmark1[[#This Row],[Comparable '#2 Date Check]]="Pass",INDEX(Comp2[Comparable '#2 Price],MATCH(Benchmark1[[#This Row],[Benchmark '#1 Dates]],Comp2[Comparable '#2 Dates],0)),"-")</f>
        <v>39.76</v>
      </c>
      <c r="N1025" s="22">
        <f>IF(Benchmark1[[#This Row],[Comparable '#2 Date Check]]="Pass",INDEX(Comp2[Comparable '#2 Return],MATCH(Benchmark1[[#This Row],[Benchmark '#1 Dates]],Comp2[Comparable '#2 Dates],0)),"-")</f>
        <v>-1.1503002556132689E-2</v>
      </c>
      <c r="O1025" s="1">
        <f>IFERROR(IF(Benchmark1[[#This Row],[Comparable '#2 Date Check]]="Pass",Benchmark1[[#This Row],[Comparable '#2 Return]]-Benchmark1[[#This Row],[Benchmark '#1 Return]],"-"),"-")</f>
        <v>-2.3563819524331855E-2</v>
      </c>
      <c r="P1025" s="1" t="str">
        <f>IF(COUNTIF(Comp3[Comparable '#3 Dates],Benchmark1[[#This Row],[Benchmark '#1 Dates]])=1,"Pass","Fail")</f>
        <v>Pass</v>
      </c>
      <c r="Q1025" s="6">
        <f>IF(Benchmark1[[#This Row],[Comparable '#3 Date Check]]="Pass",INDEX(Comp3[Comparable '#3 Price],MATCH(Benchmark1[[#This Row],[Benchmark '#1 Dates]],Comp3[Comparable '#3 Dates],0)),"-")</f>
        <v>73.319999999999993</v>
      </c>
      <c r="R1025" s="22">
        <f>IF(Benchmark1[[#This Row],[Comparable '#3 Date Check]]="Pass",INDEX(Comp3[Comparable '#3 Return],MATCH(Benchmark1[[#This Row],[Benchmark '#1 Dates]],Comp3[Comparable '#3 Dates],0)),"-")</f>
        <v>1.3870990784643709E-2</v>
      </c>
      <c r="S1025" s="1">
        <f>IFERROR(IF(Benchmark1[[#This Row],[Comparable '#3 Date Check]]="Pass",Benchmark1[[#This Row],[Comparable '#3 Return]]-Benchmark1[[#This Row],[Benchmark '#1 Return]],"-"),"-")</f>
        <v>1.8101738164445439E-3</v>
      </c>
    </row>
    <row r="1026" spans="1:19">
      <c r="A1026" s="103">
        <v>44771</v>
      </c>
      <c r="B1026" s="104">
        <v>4130.2857738191597</v>
      </c>
      <c r="C1026" s="4">
        <f t="shared" ref="C1026:C1089" si="16">IFERROR(IF(B1026="","-",LN(B1026/B1025)),"-")</f>
        <v>1.4105670378643187E-2</v>
      </c>
      <c r="D1026" s="1" t="str">
        <f>IF(COUNTIF(Target1[Target Dates],Benchmark1[[#This Row],[Benchmark '#1 Dates]])=1,"Pass","Fail")</f>
        <v>Pass</v>
      </c>
      <c r="E1026" s="6">
        <f>IF(Benchmark1[[#This Row],[Target Date Check]]="Pass",INDEX(Target1[Target Price],MATCH(Benchmark1[[#This Row],[Benchmark '#1 Dates]],Target1[Target Dates],0)),"-")</f>
        <v>44.68</v>
      </c>
      <c r="F1026" s="22">
        <f>IF(Benchmark1[[#This Row],[Target Date Check]]="Pass",INDEX(Target1[Target Return],MATCH(Benchmark1[[#This Row],[Benchmark '#1 Dates]],Target1[Target Dates],0)),"-")</f>
        <v>1.3519809356341037E-2</v>
      </c>
      <c r="G1026" s="1">
        <f>IFERROR(IF(Benchmark1[[#This Row],[Target Date Check]]="Pass",Benchmark1[[#This Row],[Target Return]]-Benchmark1[[#This Row],[Benchmark '#1 Return]],"-"),"-")</f>
        <v>-5.8586102230214973E-4</v>
      </c>
      <c r="H1026" s="1" t="str">
        <f>IF(COUNTIF(Comp1[Comparable '#1 Dates],Benchmark1[[#This Row],[Benchmark '#1 Dates]])=1,"Pass","Fail")</f>
        <v>Pass</v>
      </c>
      <c r="I1026" s="6">
        <f>IF(Benchmark1[[#This Row],[Comparable '#1 Date Check]]="Pass",INDEX(Comp1[Comparable '#1 Price],MATCH(Benchmark1[[#This Row],[Benchmark '#1 Dates]],Comp1[Comparable '#1 Dates],0)),"-")</f>
        <v>11.84</v>
      </c>
      <c r="J1026" s="22">
        <f>IF(Benchmark1[[#This Row],[Comparable '#1 Date Check]]="Pass",INDEX(Comp1[Comparable '#1 Return],MATCH(Benchmark1[[#This Row],[Benchmark '#1 Dates]],Comp1[Comparable '#1 Dates],0)),"-")</f>
        <v>-9.247648921659973E-3</v>
      </c>
      <c r="K1026" s="1">
        <f>IFERROR(IF(Benchmark1[[#This Row],[Comparable '#1 Date Check]]="Pass",Benchmark1[[#This Row],[Comparable '#1 Return]]-Benchmark1[[#This Row],[Benchmark '#1 Return]],"-"),"-")</f>
        <v>-2.3353319300303162E-2</v>
      </c>
      <c r="L1026" s="1" t="str">
        <f>IF(COUNTIF(Comp2[Comparable '#2 Dates],Benchmark1[[#This Row],[Benchmark '#1 Dates]])=1,"Pass","Fail")</f>
        <v>Pass</v>
      </c>
      <c r="M1026" s="6">
        <f>IF(Benchmark1[[#This Row],[Comparable '#2 Date Check]]="Pass",INDEX(Comp2[Comparable '#2 Price],MATCH(Benchmark1[[#This Row],[Benchmark '#1 Dates]],Comp2[Comparable '#2 Dates],0)),"-")</f>
        <v>40.1</v>
      </c>
      <c r="N1026" s="22">
        <f>IF(Benchmark1[[#This Row],[Comparable '#2 Date Check]]="Pass",INDEX(Comp2[Comparable '#2 Return],MATCH(Benchmark1[[#This Row],[Benchmark '#1 Dates]],Comp2[Comparable '#2 Dates],0)),"-")</f>
        <v>8.5149525241504081E-3</v>
      </c>
      <c r="O1026" s="1">
        <f>IFERROR(IF(Benchmark1[[#This Row],[Comparable '#2 Date Check]]="Pass",Benchmark1[[#This Row],[Comparable '#2 Return]]-Benchmark1[[#This Row],[Benchmark '#1 Return]],"-"),"-")</f>
        <v>-5.5907178544927789E-3</v>
      </c>
      <c r="P1026" s="1" t="str">
        <f>IF(COUNTIF(Comp3[Comparable '#3 Dates],Benchmark1[[#This Row],[Benchmark '#1 Dates]])=1,"Pass","Fail")</f>
        <v>Pass</v>
      </c>
      <c r="Q1026" s="6">
        <f>IF(Benchmark1[[#This Row],[Comparable '#3 Date Check]]="Pass",INDEX(Comp3[Comparable '#3 Price],MATCH(Benchmark1[[#This Row],[Benchmark '#1 Dates]],Comp3[Comparable '#3 Dates],0)),"-")</f>
        <v>71.83</v>
      </c>
      <c r="R1026" s="22">
        <f>IF(Benchmark1[[#This Row],[Comparable '#3 Date Check]]="Pass",INDEX(Comp3[Comparable '#3 Return],MATCH(Benchmark1[[#This Row],[Benchmark '#1 Dates]],Comp3[Comparable '#3 Dates],0)),"-")</f>
        <v>-2.0531206884794012E-2</v>
      </c>
      <c r="S1026" s="1">
        <f>IFERROR(IF(Benchmark1[[#This Row],[Comparable '#3 Date Check]]="Pass",Benchmark1[[#This Row],[Comparable '#3 Return]]-Benchmark1[[#This Row],[Benchmark '#1 Return]],"-"),"-")</f>
        <v>-3.4636877263437199E-2</v>
      </c>
    </row>
    <row r="1027" spans="1:19">
      <c r="A1027" s="103">
        <v>44774</v>
      </c>
      <c r="B1027" s="104">
        <v>4118.6295656862612</v>
      </c>
      <c r="C1027" s="4">
        <f t="shared" si="16"/>
        <v>-2.8261208683309424E-3</v>
      </c>
      <c r="D1027" s="1" t="str">
        <f>IF(COUNTIF(Target1[Target Dates],Benchmark1[[#This Row],[Benchmark '#1 Dates]])=1,"Pass","Fail")</f>
        <v>Pass</v>
      </c>
      <c r="E1027" s="6">
        <f>IF(Benchmark1[[#This Row],[Target Date Check]]="Pass",INDEX(Target1[Target Price],MATCH(Benchmark1[[#This Row],[Benchmark '#1 Dates]],Target1[Target Dates],0)),"-")</f>
        <v>44.29</v>
      </c>
      <c r="F1027" s="22">
        <f>IF(Benchmark1[[#This Row],[Target Date Check]]="Pass",INDEX(Target1[Target Return],MATCH(Benchmark1[[#This Row],[Benchmark '#1 Dates]],Target1[Target Dates],0)),"-")</f>
        <v>-8.7670562658931535E-3</v>
      </c>
      <c r="G1027" s="1">
        <f>IFERROR(IF(Benchmark1[[#This Row],[Target Date Check]]="Pass",Benchmark1[[#This Row],[Target Return]]-Benchmark1[[#This Row],[Benchmark '#1 Return]],"-"),"-")</f>
        <v>-5.9409353975622111E-3</v>
      </c>
      <c r="H1027" s="1" t="str">
        <f>IF(COUNTIF(Comp1[Comparable '#1 Dates],Benchmark1[[#This Row],[Benchmark '#1 Dates]])=1,"Pass","Fail")</f>
        <v>Pass</v>
      </c>
      <c r="I1027" s="6">
        <f>IF(Benchmark1[[#This Row],[Comparable '#1 Date Check]]="Pass",INDEX(Comp1[Comparable '#1 Price],MATCH(Benchmark1[[#This Row],[Benchmark '#1 Dates]],Comp1[Comparable '#1 Dates],0)),"-")</f>
        <v>11.56</v>
      </c>
      <c r="J1027" s="22">
        <f>IF(Benchmark1[[#This Row],[Comparable '#1 Date Check]]="Pass",INDEX(Comp1[Comparable '#1 Return],MATCH(Benchmark1[[#This Row],[Benchmark '#1 Dates]],Comp1[Comparable '#1 Dates],0)),"-")</f>
        <v>-2.3932766211628136E-2</v>
      </c>
      <c r="K1027" s="1">
        <f>IFERROR(IF(Benchmark1[[#This Row],[Comparable '#1 Date Check]]="Pass",Benchmark1[[#This Row],[Comparable '#1 Return]]-Benchmark1[[#This Row],[Benchmark '#1 Return]],"-"),"-")</f>
        <v>-2.1106645343297193E-2</v>
      </c>
      <c r="L1027" s="1" t="str">
        <f>IF(COUNTIF(Comp2[Comparable '#2 Dates],Benchmark1[[#This Row],[Benchmark '#1 Dates]])=1,"Pass","Fail")</f>
        <v>Pass</v>
      </c>
      <c r="M1027" s="6">
        <f>IF(Benchmark1[[#This Row],[Comparable '#2 Date Check]]="Pass",INDEX(Comp2[Comparable '#2 Price],MATCH(Benchmark1[[#This Row],[Benchmark '#1 Dates]],Comp2[Comparable '#2 Dates],0)),"-")</f>
        <v>39.94</v>
      </c>
      <c r="N1027" s="22">
        <f>IF(Benchmark1[[#This Row],[Comparable '#2 Date Check]]="Pass",INDEX(Comp2[Comparable '#2 Return],MATCH(Benchmark1[[#This Row],[Benchmark '#1 Dates]],Comp2[Comparable '#2 Dates],0)),"-")</f>
        <v>-3.9980063248544742E-3</v>
      </c>
      <c r="O1027" s="1">
        <f>IFERROR(IF(Benchmark1[[#This Row],[Comparable '#2 Date Check]]="Pass",Benchmark1[[#This Row],[Comparable '#2 Return]]-Benchmark1[[#This Row],[Benchmark '#1 Return]],"-"),"-")</f>
        <v>-1.1718854565235318E-3</v>
      </c>
      <c r="P1027" s="1" t="str">
        <f>IF(COUNTIF(Comp3[Comparable '#3 Dates],Benchmark1[[#This Row],[Benchmark '#1 Dates]])=1,"Pass","Fail")</f>
        <v>Pass</v>
      </c>
      <c r="Q1027" s="6">
        <f>IF(Benchmark1[[#This Row],[Comparable '#3 Date Check]]="Pass",INDEX(Comp3[Comparable '#3 Price],MATCH(Benchmark1[[#This Row],[Benchmark '#1 Dates]],Comp3[Comparable '#3 Dates],0)),"-")</f>
        <v>72.17</v>
      </c>
      <c r="R1027" s="22">
        <f>IF(Benchmark1[[#This Row],[Comparable '#3 Date Check]]="Pass",INDEX(Comp3[Comparable '#3 Return],MATCH(Benchmark1[[#This Row],[Benchmark '#1 Dates]],Comp3[Comparable '#3 Dates],0)),"-")</f>
        <v>4.7222309974717085E-3</v>
      </c>
      <c r="S1027" s="1">
        <f>IFERROR(IF(Benchmark1[[#This Row],[Comparable '#3 Date Check]]="Pass",Benchmark1[[#This Row],[Comparable '#3 Return]]-Benchmark1[[#This Row],[Benchmark '#1 Return]],"-"),"-")</f>
        <v>7.5483518658026509E-3</v>
      </c>
    </row>
    <row r="1028" spans="1:19">
      <c r="A1028" s="103">
        <v>44775</v>
      </c>
      <c r="B1028" s="104">
        <v>4091.1851031993083</v>
      </c>
      <c r="C1028" s="4">
        <f t="shared" si="16"/>
        <v>-6.6857939731936895E-3</v>
      </c>
      <c r="D1028" s="1" t="str">
        <f>IF(COUNTIF(Target1[Target Dates],Benchmark1[[#This Row],[Benchmark '#1 Dates]])=1,"Pass","Fail")</f>
        <v>Pass</v>
      </c>
      <c r="E1028" s="6">
        <f>IF(Benchmark1[[#This Row],[Target Date Check]]="Pass",INDEX(Target1[Target Price],MATCH(Benchmark1[[#This Row],[Benchmark '#1 Dates]],Target1[Target Dates],0)),"-")</f>
        <v>44.19</v>
      </c>
      <c r="F1028" s="22">
        <f>IF(Benchmark1[[#This Row],[Target Date Check]]="Pass",INDEX(Target1[Target Return],MATCH(Benchmark1[[#This Row],[Benchmark '#1 Dates]],Target1[Target Dates],0)),"-")</f>
        <v>-2.2603987924583145E-3</v>
      </c>
      <c r="G1028" s="1">
        <f>IFERROR(IF(Benchmark1[[#This Row],[Target Date Check]]="Pass",Benchmark1[[#This Row],[Target Return]]-Benchmark1[[#This Row],[Benchmark '#1 Return]],"-"),"-")</f>
        <v>4.425395180735375E-3</v>
      </c>
      <c r="H1028" s="1" t="str">
        <f>IF(COUNTIF(Comp1[Comparable '#1 Dates],Benchmark1[[#This Row],[Benchmark '#1 Dates]])=1,"Pass","Fail")</f>
        <v>Pass</v>
      </c>
      <c r="I1028" s="6">
        <f>IF(Benchmark1[[#This Row],[Comparable '#1 Date Check]]="Pass",INDEX(Comp1[Comparable '#1 Price],MATCH(Benchmark1[[#This Row],[Benchmark '#1 Dates]],Comp1[Comparable '#1 Dates],0)),"-")</f>
        <v>11.51</v>
      </c>
      <c r="J1028" s="22">
        <f>IF(Benchmark1[[#This Row],[Comparable '#1 Date Check]]="Pass",INDEX(Comp1[Comparable '#1 Return],MATCH(Benchmark1[[#This Row],[Benchmark '#1 Dates]],Comp1[Comparable '#1 Dates],0)),"-")</f>
        <v>-4.3346405104401466E-3</v>
      </c>
      <c r="K1028" s="1">
        <f>IFERROR(IF(Benchmark1[[#This Row],[Comparable '#1 Date Check]]="Pass",Benchmark1[[#This Row],[Comparable '#1 Return]]-Benchmark1[[#This Row],[Benchmark '#1 Return]],"-"),"-")</f>
        <v>2.3511534627535429E-3</v>
      </c>
      <c r="L1028" s="1" t="str">
        <f>IF(COUNTIF(Comp2[Comparable '#2 Dates],Benchmark1[[#This Row],[Benchmark '#1 Dates]])=1,"Pass","Fail")</f>
        <v>Pass</v>
      </c>
      <c r="M1028" s="6">
        <f>IF(Benchmark1[[#This Row],[Comparable '#2 Date Check]]="Pass",INDEX(Comp2[Comparable '#2 Price],MATCH(Benchmark1[[#This Row],[Benchmark '#1 Dates]],Comp2[Comparable '#2 Dates],0)),"-")</f>
        <v>39.869999999999997</v>
      </c>
      <c r="N1028" s="22">
        <f>IF(Benchmark1[[#This Row],[Comparable '#2 Date Check]]="Pass",INDEX(Comp2[Comparable '#2 Return],MATCH(Benchmark1[[#This Row],[Benchmark '#1 Dates]],Comp2[Comparable '#2 Dates],0)),"-")</f>
        <v>-1.7541665944054837E-3</v>
      </c>
      <c r="O1028" s="1">
        <f>IFERROR(IF(Benchmark1[[#This Row],[Comparable '#2 Date Check]]="Pass",Benchmark1[[#This Row],[Comparable '#2 Return]]-Benchmark1[[#This Row],[Benchmark '#1 Return]],"-"),"-")</f>
        <v>4.9316273787882057E-3</v>
      </c>
      <c r="P1028" s="1" t="str">
        <f>IF(COUNTIF(Comp3[Comparable '#3 Dates],Benchmark1[[#This Row],[Benchmark '#1 Dates]])=1,"Pass","Fail")</f>
        <v>Pass</v>
      </c>
      <c r="Q1028" s="6">
        <f>IF(Benchmark1[[#This Row],[Comparable '#3 Date Check]]="Pass",INDEX(Comp3[Comparable '#3 Price],MATCH(Benchmark1[[#This Row],[Benchmark '#1 Dates]],Comp3[Comparable '#3 Dates],0)),"-")</f>
        <v>71.239999999999995</v>
      </c>
      <c r="R1028" s="22">
        <f>IF(Benchmark1[[#This Row],[Comparable '#3 Date Check]]="Pass",INDEX(Comp3[Comparable '#3 Return],MATCH(Benchmark1[[#This Row],[Benchmark '#1 Dates]],Comp3[Comparable '#3 Dates],0)),"-")</f>
        <v>-1.2969988662721079E-2</v>
      </c>
      <c r="S1028" s="1">
        <f>IFERROR(IF(Benchmark1[[#This Row],[Comparable '#3 Date Check]]="Pass",Benchmark1[[#This Row],[Comparable '#3 Return]]-Benchmark1[[#This Row],[Benchmark '#1 Return]],"-"),"-")</f>
        <v>-6.2841946895273899E-3</v>
      </c>
    </row>
    <row r="1029" spans="1:19">
      <c r="A1029" s="103">
        <v>44776</v>
      </c>
      <c r="B1029" s="104">
        <v>4155.1727360073291</v>
      </c>
      <c r="C1029" s="4">
        <f t="shared" si="16"/>
        <v>1.5519316122649564E-2</v>
      </c>
      <c r="D1029" s="1" t="str">
        <f>IF(COUNTIF(Target1[Target Dates],Benchmark1[[#This Row],[Benchmark '#1 Dates]])=1,"Pass","Fail")</f>
        <v>Pass</v>
      </c>
      <c r="E1029" s="6">
        <f>IF(Benchmark1[[#This Row],[Target Date Check]]="Pass",INDEX(Target1[Target Price],MATCH(Benchmark1[[#This Row],[Benchmark '#1 Dates]],Target1[Target Dates],0)),"-")</f>
        <v>44.04</v>
      </c>
      <c r="F1029" s="22">
        <f>IF(Benchmark1[[#This Row],[Target Date Check]]="Pass",INDEX(Target1[Target Return],MATCH(Benchmark1[[#This Row],[Benchmark '#1 Dates]],Target1[Target Dates],0)),"-")</f>
        <v>-3.4002072881693965E-3</v>
      </c>
      <c r="G1029" s="1">
        <f>IFERROR(IF(Benchmark1[[#This Row],[Target Date Check]]="Pass",Benchmark1[[#This Row],[Target Return]]-Benchmark1[[#This Row],[Benchmark '#1 Return]],"-"),"-")</f>
        <v>-1.8919523410818959E-2</v>
      </c>
      <c r="H1029" s="1" t="str">
        <f>IF(COUNTIF(Comp1[Comparable '#1 Dates],Benchmark1[[#This Row],[Benchmark '#1 Dates]])=1,"Pass","Fail")</f>
        <v>Pass</v>
      </c>
      <c r="I1029" s="6">
        <f>IF(Benchmark1[[#This Row],[Comparable '#1 Date Check]]="Pass",INDEX(Comp1[Comparable '#1 Price],MATCH(Benchmark1[[#This Row],[Benchmark '#1 Dates]],Comp1[Comparable '#1 Dates],0)),"-")</f>
        <v>11.52</v>
      </c>
      <c r="J1029" s="22">
        <f>IF(Benchmark1[[#This Row],[Comparable '#1 Date Check]]="Pass",INDEX(Comp1[Comparable '#1 Return],MATCH(Benchmark1[[#This Row],[Benchmark '#1 Dates]],Comp1[Comparable '#1 Dates],0)),"-")</f>
        <v>8.6843253395397244E-4</v>
      </c>
      <c r="K1029" s="1">
        <f>IFERROR(IF(Benchmark1[[#This Row],[Comparable '#1 Date Check]]="Pass",Benchmark1[[#This Row],[Comparable '#1 Return]]-Benchmark1[[#This Row],[Benchmark '#1 Return]],"-"),"-")</f>
        <v>-1.4650883588695592E-2</v>
      </c>
      <c r="L1029" s="1" t="str">
        <f>IF(COUNTIF(Comp2[Comparable '#2 Dates],Benchmark1[[#This Row],[Benchmark '#1 Dates]])=1,"Pass","Fail")</f>
        <v>Pass</v>
      </c>
      <c r="M1029" s="6">
        <f>IF(Benchmark1[[#This Row],[Comparable '#2 Date Check]]="Pass",INDEX(Comp2[Comparable '#2 Price],MATCH(Benchmark1[[#This Row],[Benchmark '#1 Dates]],Comp2[Comparable '#2 Dates],0)),"-")</f>
        <v>39.909999999999997</v>
      </c>
      <c r="N1029" s="22">
        <f>IF(Benchmark1[[#This Row],[Comparable '#2 Date Check]]="Pass",INDEX(Comp2[Comparable '#2 Return],MATCH(Benchmark1[[#This Row],[Benchmark '#1 Dates]],Comp2[Comparable '#2 Dates],0)),"-")</f>
        <v>1.0027576673789279E-3</v>
      </c>
      <c r="O1029" s="1">
        <f>IFERROR(IF(Benchmark1[[#This Row],[Comparable '#2 Date Check]]="Pass",Benchmark1[[#This Row],[Comparable '#2 Return]]-Benchmark1[[#This Row],[Benchmark '#1 Return]],"-"),"-")</f>
        <v>-1.4516558455270636E-2</v>
      </c>
      <c r="P1029" s="1" t="str">
        <f>IF(COUNTIF(Comp3[Comparable '#3 Dates],Benchmark1[[#This Row],[Benchmark '#1 Dates]])=1,"Pass","Fail")</f>
        <v>Pass</v>
      </c>
      <c r="Q1029" s="6">
        <f>IF(Benchmark1[[#This Row],[Comparable '#3 Date Check]]="Pass",INDEX(Comp3[Comparable '#3 Price],MATCH(Benchmark1[[#This Row],[Benchmark '#1 Dates]],Comp3[Comparable '#3 Dates],0)),"-")</f>
        <v>71.569999999999993</v>
      </c>
      <c r="R1029" s="22">
        <f>IF(Benchmark1[[#This Row],[Comparable '#3 Date Check]]="Pass",INDEX(Comp3[Comparable '#3 Return],MATCH(Benchmark1[[#This Row],[Benchmark '#1 Dates]],Comp3[Comparable '#3 Dates],0)),"-")</f>
        <v>4.6215333290451771E-3</v>
      </c>
      <c r="S1029" s="1">
        <f>IFERROR(IF(Benchmark1[[#This Row],[Comparable '#3 Date Check]]="Pass",Benchmark1[[#This Row],[Comparable '#3 Return]]-Benchmark1[[#This Row],[Benchmark '#1 Return]],"-"),"-")</f>
        <v>-1.0897782793604387E-2</v>
      </c>
    </row>
    <row r="1030" spans="1:19">
      <c r="A1030" s="103">
        <v>44777</v>
      </c>
      <c r="B1030" s="104">
        <v>4151.9441839875662</v>
      </c>
      <c r="C1030" s="4">
        <f t="shared" si="16"/>
        <v>-7.7729787925514583E-4</v>
      </c>
      <c r="D1030" s="1" t="str">
        <f>IF(COUNTIF(Target1[Target Dates],Benchmark1[[#This Row],[Benchmark '#1 Dates]])=1,"Pass","Fail")</f>
        <v>Pass</v>
      </c>
      <c r="E1030" s="6">
        <f>IF(Benchmark1[[#This Row],[Target Date Check]]="Pass",INDEX(Target1[Target Price],MATCH(Benchmark1[[#This Row],[Benchmark '#1 Dates]],Target1[Target Dates],0)),"-")</f>
        <v>43.73</v>
      </c>
      <c r="F1030" s="22">
        <f>IF(Benchmark1[[#This Row],[Target Date Check]]="Pass",INDEX(Target1[Target Return],MATCH(Benchmark1[[#This Row],[Benchmark '#1 Dates]],Target1[Target Dates],0)),"-")</f>
        <v>-7.0639464296500063E-3</v>
      </c>
      <c r="G1030" s="1">
        <f>IFERROR(IF(Benchmark1[[#This Row],[Target Date Check]]="Pass",Benchmark1[[#This Row],[Target Return]]-Benchmark1[[#This Row],[Benchmark '#1 Return]],"-"),"-")</f>
        <v>-6.2866485503948605E-3</v>
      </c>
      <c r="H1030" s="1" t="str">
        <f>IF(COUNTIF(Comp1[Comparable '#1 Dates],Benchmark1[[#This Row],[Benchmark '#1 Dates]])=1,"Pass","Fail")</f>
        <v>Pass</v>
      </c>
      <c r="I1030" s="6">
        <f>IF(Benchmark1[[#This Row],[Comparable '#1 Date Check]]="Pass",INDEX(Comp1[Comparable '#1 Price],MATCH(Benchmark1[[#This Row],[Benchmark '#1 Dates]],Comp1[Comparable '#1 Dates],0)),"-")</f>
        <v>11.9</v>
      </c>
      <c r="J1030" s="22">
        <f>IF(Benchmark1[[#This Row],[Comparable '#1 Date Check]]="Pass",INDEX(Comp1[Comparable '#1 Return],MATCH(Benchmark1[[#This Row],[Benchmark '#1 Dates]],Comp1[Comparable '#1 Dates],0)),"-")</f>
        <v>3.2453744849738571E-2</v>
      </c>
      <c r="K1030" s="1">
        <f>IFERROR(IF(Benchmark1[[#This Row],[Comparable '#1 Date Check]]="Pass",Benchmark1[[#This Row],[Comparable '#1 Return]]-Benchmark1[[#This Row],[Benchmark '#1 Return]],"-"),"-")</f>
        <v>3.3231042728993715E-2</v>
      </c>
      <c r="L1030" s="1" t="str">
        <f>IF(COUNTIF(Comp2[Comparable '#2 Dates],Benchmark1[[#This Row],[Benchmark '#1 Dates]])=1,"Pass","Fail")</f>
        <v>Pass</v>
      </c>
      <c r="M1030" s="6">
        <f>IF(Benchmark1[[#This Row],[Comparable '#2 Date Check]]="Pass",INDEX(Comp2[Comparable '#2 Price],MATCH(Benchmark1[[#This Row],[Benchmark '#1 Dates]],Comp2[Comparable '#2 Dates],0)),"-")</f>
        <v>39.22</v>
      </c>
      <c r="N1030" s="22">
        <f>IF(Benchmark1[[#This Row],[Comparable '#2 Date Check]]="Pass",INDEX(Comp2[Comparable '#2 Return],MATCH(Benchmark1[[#This Row],[Benchmark '#1 Dates]],Comp2[Comparable '#2 Dates],0)),"-")</f>
        <v>-1.7440098292442266E-2</v>
      </c>
      <c r="O1030" s="1">
        <f>IFERROR(IF(Benchmark1[[#This Row],[Comparable '#2 Date Check]]="Pass",Benchmark1[[#This Row],[Comparable '#2 Return]]-Benchmark1[[#This Row],[Benchmark '#1 Return]],"-"),"-")</f>
        <v>-1.6662800413187122E-2</v>
      </c>
      <c r="P1030" s="1" t="str">
        <f>IF(COUNTIF(Comp3[Comparable '#3 Dates],Benchmark1[[#This Row],[Benchmark '#1 Dates]])=1,"Pass","Fail")</f>
        <v>Pass</v>
      </c>
      <c r="Q1030" s="6">
        <f>IF(Benchmark1[[#This Row],[Comparable '#3 Date Check]]="Pass",INDEX(Comp3[Comparable '#3 Price],MATCH(Benchmark1[[#This Row],[Benchmark '#1 Dates]],Comp3[Comparable '#3 Dates],0)),"-")</f>
        <v>70.900000000000006</v>
      </c>
      <c r="R1030" s="22">
        <f>IF(Benchmark1[[#This Row],[Comparable '#3 Date Check]]="Pass",INDEX(Comp3[Comparable '#3 Return],MATCH(Benchmark1[[#This Row],[Benchmark '#1 Dates]],Comp3[Comparable '#3 Dates],0)),"-")</f>
        <v>-9.4055582124241872E-3</v>
      </c>
      <c r="S1030" s="1">
        <f>IFERROR(IF(Benchmark1[[#This Row],[Comparable '#3 Date Check]]="Pass",Benchmark1[[#This Row],[Comparable '#3 Return]]-Benchmark1[[#This Row],[Benchmark '#1 Return]],"-"),"-")</f>
        <v>-8.6282603331690414E-3</v>
      </c>
    </row>
    <row r="1031" spans="1:19">
      <c r="A1031" s="103">
        <v>44778</v>
      </c>
      <c r="B1031" s="104">
        <v>4145.1890774285639</v>
      </c>
      <c r="C1031" s="4">
        <f t="shared" si="16"/>
        <v>-1.6282992784828073E-3</v>
      </c>
      <c r="D1031" s="1" t="str">
        <f>IF(COUNTIF(Target1[Target Dates],Benchmark1[[#This Row],[Benchmark '#1 Dates]])=1,"Pass","Fail")</f>
        <v>Pass</v>
      </c>
      <c r="E1031" s="6">
        <f>IF(Benchmark1[[#This Row],[Target Date Check]]="Pass",INDEX(Target1[Target Price],MATCH(Benchmark1[[#This Row],[Benchmark '#1 Dates]],Target1[Target Dates],0)),"-")</f>
        <v>43.46</v>
      </c>
      <c r="F1031" s="22">
        <f>IF(Benchmark1[[#This Row],[Target Date Check]]="Pass",INDEX(Target1[Target Return],MATCH(Benchmark1[[#This Row],[Benchmark '#1 Dates]],Target1[Target Dates],0)),"-")</f>
        <v>-6.1933905965455343E-3</v>
      </c>
      <c r="G1031" s="1">
        <f>IFERROR(IF(Benchmark1[[#This Row],[Target Date Check]]="Pass",Benchmark1[[#This Row],[Target Return]]-Benchmark1[[#This Row],[Benchmark '#1 Return]],"-"),"-")</f>
        <v>-4.5650913180627275E-3</v>
      </c>
      <c r="H1031" s="1" t="str">
        <f>IF(COUNTIF(Comp1[Comparable '#1 Dates],Benchmark1[[#This Row],[Benchmark '#1 Dates]])=1,"Pass","Fail")</f>
        <v>Pass</v>
      </c>
      <c r="I1031" s="6">
        <f>IF(Benchmark1[[#This Row],[Comparable '#1 Date Check]]="Pass",INDEX(Comp1[Comparable '#1 Price],MATCH(Benchmark1[[#This Row],[Benchmark '#1 Dates]],Comp1[Comparable '#1 Dates],0)),"-")</f>
        <v>11.18</v>
      </c>
      <c r="J1031" s="22">
        <f>IF(Benchmark1[[#This Row],[Comparable '#1 Date Check]]="Pass",INDEX(Comp1[Comparable '#1 Return],MATCH(Benchmark1[[#This Row],[Benchmark '#1 Dates]],Comp1[Comparable '#1 Dates],0)),"-")</f>
        <v>-6.2411932390530611E-2</v>
      </c>
      <c r="K1031" s="1">
        <f>IFERROR(IF(Benchmark1[[#This Row],[Comparable '#1 Date Check]]="Pass",Benchmark1[[#This Row],[Comparable '#1 Return]]-Benchmark1[[#This Row],[Benchmark '#1 Return]],"-"),"-")</f>
        <v>-6.0783633112047805E-2</v>
      </c>
      <c r="L1031" s="1" t="str">
        <f>IF(COUNTIF(Comp2[Comparable '#2 Dates],Benchmark1[[#This Row],[Benchmark '#1 Dates]])=1,"Pass","Fail")</f>
        <v>Pass</v>
      </c>
      <c r="M1031" s="6">
        <f>IF(Benchmark1[[#This Row],[Comparable '#2 Date Check]]="Pass",INDEX(Comp2[Comparable '#2 Price],MATCH(Benchmark1[[#This Row],[Benchmark '#1 Dates]],Comp2[Comparable '#2 Dates],0)),"-")</f>
        <v>38.26</v>
      </c>
      <c r="N1031" s="22">
        <f>IF(Benchmark1[[#This Row],[Comparable '#2 Date Check]]="Pass",INDEX(Comp2[Comparable '#2 Return],MATCH(Benchmark1[[#This Row],[Benchmark '#1 Dates]],Comp2[Comparable '#2 Dates],0)),"-")</f>
        <v>-2.4781856756093477E-2</v>
      </c>
      <c r="O1031" s="1">
        <f>IFERROR(IF(Benchmark1[[#This Row],[Comparable '#2 Date Check]]="Pass",Benchmark1[[#This Row],[Comparable '#2 Return]]-Benchmark1[[#This Row],[Benchmark '#1 Return]],"-"),"-")</f>
        <v>-2.3153557477610671E-2</v>
      </c>
      <c r="P1031" s="1" t="str">
        <f>IF(COUNTIF(Comp3[Comparable '#3 Dates],Benchmark1[[#This Row],[Benchmark '#1 Dates]])=1,"Pass","Fail")</f>
        <v>Pass</v>
      </c>
      <c r="Q1031" s="6">
        <f>IF(Benchmark1[[#This Row],[Comparable '#3 Date Check]]="Pass",INDEX(Comp3[Comparable '#3 Price],MATCH(Benchmark1[[#This Row],[Benchmark '#1 Dates]],Comp3[Comparable '#3 Dates],0)),"-")</f>
        <v>69.900000000000006</v>
      </c>
      <c r="R1031" s="22">
        <f>IF(Benchmark1[[#This Row],[Comparable '#3 Date Check]]="Pass",INDEX(Comp3[Comparable '#3 Return],MATCH(Benchmark1[[#This Row],[Benchmark '#1 Dates]],Comp3[Comparable '#3 Dates],0)),"-")</f>
        <v>-1.420478429831722E-2</v>
      </c>
      <c r="S1031" s="1">
        <f>IFERROR(IF(Benchmark1[[#This Row],[Comparable '#3 Date Check]]="Pass",Benchmark1[[#This Row],[Comparable '#3 Return]]-Benchmark1[[#This Row],[Benchmark '#1 Return]],"-"),"-")</f>
        <v>-1.2576485019834412E-2</v>
      </c>
    </row>
    <row r="1032" spans="1:19">
      <c r="A1032" s="103">
        <v>44781</v>
      </c>
      <c r="B1032" s="104">
        <v>4140.0583506285775</v>
      </c>
      <c r="C1032" s="4">
        <f t="shared" si="16"/>
        <v>-1.2385212391996113E-3</v>
      </c>
      <c r="D1032" s="1" t="str">
        <f>IF(COUNTIF(Target1[Target Dates],Benchmark1[[#This Row],[Benchmark '#1 Dates]])=1,"Pass","Fail")</f>
        <v>Pass</v>
      </c>
      <c r="E1032" s="6">
        <f>IF(Benchmark1[[#This Row],[Target Date Check]]="Pass",INDEX(Target1[Target Price],MATCH(Benchmark1[[#This Row],[Benchmark '#1 Dates]],Target1[Target Dates],0)),"-")</f>
        <v>42.76</v>
      </c>
      <c r="F1032" s="22">
        <f>IF(Benchmark1[[#This Row],[Target Date Check]]="Pass",INDEX(Target1[Target Return],MATCH(Benchmark1[[#This Row],[Benchmark '#1 Dates]],Target1[Target Dates],0)),"-")</f>
        <v>-1.6237888671439198E-2</v>
      </c>
      <c r="G1032" s="1">
        <f>IFERROR(IF(Benchmark1[[#This Row],[Target Date Check]]="Pass",Benchmark1[[#This Row],[Target Return]]-Benchmark1[[#This Row],[Benchmark '#1 Return]],"-"),"-")</f>
        <v>-1.4999367432239587E-2</v>
      </c>
      <c r="H1032" s="1" t="str">
        <f>IF(COUNTIF(Comp1[Comparable '#1 Dates],Benchmark1[[#This Row],[Benchmark '#1 Dates]])=1,"Pass","Fail")</f>
        <v>Pass</v>
      </c>
      <c r="I1032" s="6">
        <f>IF(Benchmark1[[#This Row],[Comparable '#1 Date Check]]="Pass",INDEX(Comp1[Comparable '#1 Price],MATCH(Benchmark1[[#This Row],[Benchmark '#1 Dates]],Comp1[Comparable '#1 Dates],0)),"-")</f>
        <v>11.18</v>
      </c>
      <c r="J1032" s="22">
        <f>IF(Benchmark1[[#This Row],[Comparable '#1 Date Check]]="Pass",INDEX(Comp1[Comparable '#1 Return],MATCH(Benchmark1[[#This Row],[Benchmark '#1 Dates]],Comp1[Comparable '#1 Dates],0)),"-")</f>
        <v>0</v>
      </c>
      <c r="K1032" s="1">
        <f>IFERROR(IF(Benchmark1[[#This Row],[Comparable '#1 Date Check]]="Pass",Benchmark1[[#This Row],[Comparable '#1 Return]]-Benchmark1[[#This Row],[Benchmark '#1 Return]],"-"),"-")</f>
        <v>1.2385212391996113E-3</v>
      </c>
      <c r="L1032" s="1" t="str">
        <f>IF(COUNTIF(Comp2[Comparable '#2 Dates],Benchmark1[[#This Row],[Benchmark '#1 Dates]])=1,"Pass","Fail")</f>
        <v>Pass</v>
      </c>
      <c r="M1032" s="6">
        <f>IF(Benchmark1[[#This Row],[Comparable '#2 Date Check]]="Pass",INDEX(Comp2[Comparable '#2 Price],MATCH(Benchmark1[[#This Row],[Benchmark '#1 Dates]],Comp2[Comparable '#2 Dates],0)),"-")</f>
        <v>38.5</v>
      </c>
      <c r="N1032" s="22">
        <f>IF(Benchmark1[[#This Row],[Comparable '#2 Date Check]]="Pass",INDEX(Comp2[Comparable '#2 Return],MATCH(Benchmark1[[#This Row],[Benchmark '#1 Dates]],Comp2[Comparable '#2 Dates],0)),"-")</f>
        <v>6.2532772816316943E-3</v>
      </c>
      <c r="O1032" s="1">
        <f>IFERROR(IF(Benchmark1[[#This Row],[Comparable '#2 Date Check]]="Pass",Benchmark1[[#This Row],[Comparable '#2 Return]]-Benchmark1[[#This Row],[Benchmark '#1 Return]],"-"),"-")</f>
        <v>7.4917985208313061E-3</v>
      </c>
      <c r="P1032" s="1" t="str">
        <f>IF(COUNTIF(Comp3[Comparable '#3 Dates],Benchmark1[[#This Row],[Benchmark '#1 Dates]])=1,"Pass","Fail")</f>
        <v>Pass</v>
      </c>
      <c r="Q1032" s="6">
        <f>IF(Benchmark1[[#This Row],[Comparable '#3 Date Check]]="Pass",INDEX(Comp3[Comparable '#3 Price],MATCH(Benchmark1[[#This Row],[Benchmark '#1 Dates]],Comp3[Comparable '#3 Dates],0)),"-")</f>
        <v>70.260000000000005</v>
      </c>
      <c r="R1032" s="22">
        <f>IF(Benchmark1[[#This Row],[Comparable '#3 Date Check]]="Pass",INDEX(Comp3[Comparable '#3 Return],MATCH(Benchmark1[[#This Row],[Benchmark '#1 Dates]],Comp3[Comparable '#3 Dates],0)),"-")</f>
        <v>5.1369975979163283E-3</v>
      </c>
      <c r="S1032" s="1">
        <f>IFERROR(IF(Benchmark1[[#This Row],[Comparable '#3 Date Check]]="Pass",Benchmark1[[#This Row],[Comparable '#3 Return]]-Benchmark1[[#This Row],[Benchmark '#1 Return]],"-"),"-")</f>
        <v>6.3755188371159392E-3</v>
      </c>
    </row>
    <row r="1033" spans="1:19">
      <c r="A1033" s="103">
        <v>44782</v>
      </c>
      <c r="B1033" s="104">
        <v>4122.4658668531965</v>
      </c>
      <c r="C1033" s="4">
        <f t="shared" si="16"/>
        <v>-4.258386395555272E-3</v>
      </c>
      <c r="D1033" s="1" t="str">
        <f>IF(COUNTIF(Target1[Target Dates],Benchmark1[[#This Row],[Benchmark '#1 Dates]])=1,"Pass","Fail")</f>
        <v>Pass</v>
      </c>
      <c r="E1033" s="6">
        <f>IF(Benchmark1[[#This Row],[Target Date Check]]="Pass",INDEX(Target1[Target Price],MATCH(Benchmark1[[#This Row],[Benchmark '#1 Dates]],Target1[Target Dates],0)),"-")</f>
        <v>42.68</v>
      </c>
      <c r="F1033" s="22">
        <f>IF(Benchmark1[[#This Row],[Target Date Check]]="Pass",INDEX(Target1[Target Return],MATCH(Benchmark1[[#This Row],[Benchmark '#1 Dates]],Target1[Target Dates],0)),"-")</f>
        <v>-1.8726597232917772E-3</v>
      </c>
      <c r="G1033" s="1">
        <f>IFERROR(IF(Benchmark1[[#This Row],[Target Date Check]]="Pass",Benchmark1[[#This Row],[Target Return]]-Benchmark1[[#This Row],[Benchmark '#1 Return]],"-"),"-")</f>
        <v>2.3857266722634948E-3</v>
      </c>
      <c r="H1033" s="1" t="str">
        <f>IF(COUNTIF(Comp1[Comparable '#1 Dates],Benchmark1[[#This Row],[Benchmark '#1 Dates]])=1,"Pass","Fail")</f>
        <v>Pass</v>
      </c>
      <c r="I1033" s="6">
        <f>IF(Benchmark1[[#This Row],[Comparable '#1 Date Check]]="Pass",INDEX(Comp1[Comparable '#1 Price],MATCH(Benchmark1[[#This Row],[Benchmark '#1 Dates]],Comp1[Comparable '#1 Dates],0)),"-")</f>
        <v>11.23</v>
      </c>
      <c r="J1033" s="22">
        <f>IF(Benchmark1[[#This Row],[Comparable '#1 Date Check]]="Pass",INDEX(Comp1[Comparable '#1 Return],MATCH(Benchmark1[[#This Row],[Benchmark '#1 Dates]],Comp1[Comparable '#1 Dates],0)),"-")</f>
        <v>4.4623010233986859E-3</v>
      </c>
      <c r="K1033" s="1">
        <f>IFERROR(IF(Benchmark1[[#This Row],[Comparable '#1 Date Check]]="Pass",Benchmark1[[#This Row],[Comparable '#1 Return]]-Benchmark1[[#This Row],[Benchmark '#1 Return]],"-"),"-")</f>
        <v>8.7206874189539579E-3</v>
      </c>
      <c r="L1033" s="1" t="str">
        <f>IF(COUNTIF(Comp2[Comparable '#2 Dates],Benchmark1[[#This Row],[Benchmark '#1 Dates]])=1,"Pass","Fail")</f>
        <v>Pass</v>
      </c>
      <c r="M1033" s="6">
        <f>IF(Benchmark1[[#This Row],[Comparable '#2 Date Check]]="Pass",INDEX(Comp2[Comparable '#2 Price],MATCH(Benchmark1[[#This Row],[Benchmark '#1 Dates]],Comp2[Comparable '#2 Dates],0)),"-")</f>
        <v>39.04</v>
      </c>
      <c r="N1033" s="22">
        <f>IF(Benchmark1[[#This Row],[Comparable '#2 Date Check]]="Pass",INDEX(Comp2[Comparable '#2 Return],MATCH(Benchmark1[[#This Row],[Benchmark '#1 Dates]],Comp2[Comparable '#2 Dates],0)),"-")</f>
        <v>1.3928520251153225E-2</v>
      </c>
      <c r="O1033" s="1">
        <f>IFERROR(IF(Benchmark1[[#This Row],[Comparable '#2 Date Check]]="Pass",Benchmark1[[#This Row],[Comparable '#2 Return]]-Benchmark1[[#This Row],[Benchmark '#1 Return]],"-"),"-")</f>
        <v>1.8186906646708495E-2</v>
      </c>
      <c r="P1033" s="1" t="str">
        <f>IF(COUNTIF(Comp3[Comparable '#3 Dates],Benchmark1[[#This Row],[Benchmark '#1 Dates]])=1,"Pass","Fail")</f>
        <v>Pass</v>
      </c>
      <c r="Q1033" s="6">
        <f>IF(Benchmark1[[#This Row],[Comparable '#3 Date Check]]="Pass",INDEX(Comp3[Comparable '#3 Price],MATCH(Benchmark1[[#This Row],[Benchmark '#1 Dates]],Comp3[Comparable '#3 Dates],0)),"-")</f>
        <v>69.83</v>
      </c>
      <c r="R1033" s="22">
        <f>IF(Benchmark1[[#This Row],[Comparable '#3 Date Check]]="Pass",INDEX(Comp3[Comparable '#3 Return],MATCH(Benchmark1[[#This Row],[Benchmark '#1 Dates]],Comp3[Comparable '#3 Dates],0)),"-")</f>
        <v>-6.1389299797371989E-3</v>
      </c>
      <c r="S1033" s="1">
        <f>IFERROR(IF(Benchmark1[[#This Row],[Comparable '#3 Date Check]]="Pass",Benchmark1[[#This Row],[Comparable '#3 Return]]-Benchmark1[[#This Row],[Benchmark '#1 Return]],"-"),"-")</f>
        <v>-1.8805435841819269E-3</v>
      </c>
    </row>
    <row r="1034" spans="1:19">
      <c r="A1034" s="103">
        <v>44783</v>
      </c>
      <c r="B1034" s="104">
        <v>4210.2405133818593</v>
      </c>
      <c r="C1034" s="4">
        <f t="shared" si="16"/>
        <v>2.1068279434739989E-2</v>
      </c>
      <c r="D1034" s="1" t="str">
        <f>IF(COUNTIF(Target1[Target Dates],Benchmark1[[#This Row],[Benchmark '#1 Dates]])=1,"Pass","Fail")</f>
        <v>Pass</v>
      </c>
      <c r="E1034" s="6">
        <f>IF(Benchmark1[[#This Row],[Target Date Check]]="Pass",INDEX(Target1[Target Price],MATCH(Benchmark1[[#This Row],[Benchmark '#1 Dates]],Target1[Target Dates],0)),"-")</f>
        <v>37.32</v>
      </c>
      <c r="F1034" s="22">
        <f>IF(Benchmark1[[#This Row],[Target Date Check]]="Pass",INDEX(Target1[Target Return],MATCH(Benchmark1[[#This Row],[Benchmark '#1 Dates]],Target1[Target Dates],0)),"-")</f>
        <v>-0.13420105045440953</v>
      </c>
      <c r="G1034" s="1">
        <f>IFERROR(IF(Benchmark1[[#This Row],[Target Date Check]]="Pass",Benchmark1[[#This Row],[Target Return]]-Benchmark1[[#This Row],[Benchmark '#1 Return]],"-"),"-")</f>
        <v>-0.15526932988914952</v>
      </c>
      <c r="H1034" s="1" t="str">
        <f>IF(COUNTIF(Comp1[Comparable '#1 Dates],Benchmark1[[#This Row],[Benchmark '#1 Dates]])=1,"Pass","Fail")</f>
        <v>Pass</v>
      </c>
      <c r="I1034" s="6">
        <f>IF(Benchmark1[[#This Row],[Comparable '#1 Date Check]]="Pass",INDEX(Comp1[Comparable '#1 Price],MATCH(Benchmark1[[#This Row],[Benchmark '#1 Dates]],Comp1[Comparable '#1 Dates],0)),"-")</f>
        <v>11.4</v>
      </c>
      <c r="J1034" s="22">
        <f>IF(Benchmark1[[#This Row],[Comparable '#1 Date Check]]="Pass",INDEX(Comp1[Comparable '#1 Return],MATCH(Benchmark1[[#This Row],[Benchmark '#1 Dates]],Comp1[Comparable '#1 Dates],0)),"-")</f>
        <v>1.5024586650097902E-2</v>
      </c>
      <c r="K1034" s="1">
        <f>IFERROR(IF(Benchmark1[[#This Row],[Comparable '#1 Date Check]]="Pass",Benchmark1[[#This Row],[Comparable '#1 Return]]-Benchmark1[[#This Row],[Benchmark '#1 Return]],"-"),"-")</f>
        <v>-6.0436927846420872E-3</v>
      </c>
      <c r="L1034" s="1" t="str">
        <f>IF(COUNTIF(Comp2[Comparable '#2 Dates],Benchmark1[[#This Row],[Benchmark '#1 Dates]])=1,"Pass","Fail")</f>
        <v>Pass</v>
      </c>
      <c r="M1034" s="6">
        <f>IF(Benchmark1[[#This Row],[Comparable '#2 Date Check]]="Pass",INDEX(Comp2[Comparable '#2 Price],MATCH(Benchmark1[[#This Row],[Benchmark '#1 Dates]],Comp2[Comparable '#2 Dates],0)),"-")</f>
        <v>38.76</v>
      </c>
      <c r="N1034" s="22">
        <f>IF(Benchmark1[[#This Row],[Comparable '#2 Date Check]]="Pass",INDEX(Comp2[Comparable '#2 Return],MATCH(Benchmark1[[#This Row],[Benchmark '#1 Dates]],Comp2[Comparable '#2 Dates],0)),"-")</f>
        <v>-7.1979745223262771E-3</v>
      </c>
      <c r="O1034" s="1">
        <f>IFERROR(IF(Benchmark1[[#This Row],[Comparable '#2 Date Check]]="Pass",Benchmark1[[#This Row],[Comparable '#2 Return]]-Benchmark1[[#This Row],[Benchmark '#1 Return]],"-"),"-")</f>
        <v>-2.8266253957066265E-2</v>
      </c>
      <c r="P1034" s="1" t="str">
        <f>IF(COUNTIF(Comp3[Comparable '#3 Dates],Benchmark1[[#This Row],[Benchmark '#1 Dates]])=1,"Pass","Fail")</f>
        <v>Pass</v>
      </c>
      <c r="Q1034" s="6">
        <f>IF(Benchmark1[[#This Row],[Comparable '#3 Date Check]]="Pass",INDEX(Comp3[Comparable '#3 Price],MATCH(Benchmark1[[#This Row],[Benchmark '#1 Dates]],Comp3[Comparable '#3 Dates],0)),"-")</f>
        <v>69.63</v>
      </c>
      <c r="R1034" s="22">
        <f>IF(Benchmark1[[#This Row],[Comparable '#3 Date Check]]="Pass",INDEX(Comp3[Comparable '#3 Return],MATCH(Benchmark1[[#This Row],[Benchmark '#1 Dates]],Comp3[Comparable '#3 Dates],0)),"-")</f>
        <v>-2.8682079034885594E-3</v>
      </c>
      <c r="S1034" s="1">
        <f>IFERROR(IF(Benchmark1[[#This Row],[Comparable '#3 Date Check]]="Pass",Benchmark1[[#This Row],[Comparable '#3 Return]]-Benchmark1[[#This Row],[Benchmark '#1 Return]],"-"),"-")</f>
        <v>-2.3936487338228549E-2</v>
      </c>
    </row>
    <row r="1035" spans="1:19">
      <c r="A1035" s="103">
        <v>44784</v>
      </c>
      <c r="B1035" s="104">
        <v>4207.2744321082801</v>
      </c>
      <c r="C1035" s="4">
        <f t="shared" si="16"/>
        <v>-7.0474039322718685E-4</v>
      </c>
      <c r="D1035" s="1" t="str">
        <f>IF(COUNTIF(Target1[Target Dates],Benchmark1[[#This Row],[Benchmark '#1 Dates]])=1,"Pass","Fail")</f>
        <v>Pass</v>
      </c>
      <c r="E1035" s="6">
        <f>IF(Benchmark1[[#This Row],[Target Date Check]]="Pass",INDEX(Target1[Target Price],MATCH(Benchmark1[[#This Row],[Benchmark '#1 Dates]],Target1[Target Dates],0)),"-")</f>
        <v>36.32</v>
      </c>
      <c r="F1035" s="22">
        <f>IF(Benchmark1[[#This Row],[Target Date Check]]="Pass",INDEX(Target1[Target Return],MATCH(Benchmark1[[#This Row],[Benchmark '#1 Dates]],Target1[Target Dates],0)),"-")</f>
        <v>-2.716082224605056E-2</v>
      </c>
      <c r="G1035" s="1">
        <f>IFERROR(IF(Benchmark1[[#This Row],[Target Date Check]]="Pass",Benchmark1[[#This Row],[Target Return]]-Benchmark1[[#This Row],[Benchmark '#1 Return]],"-"),"-")</f>
        <v>-2.6456081852823374E-2</v>
      </c>
      <c r="H1035" s="1" t="str">
        <f>IF(COUNTIF(Comp1[Comparable '#1 Dates],Benchmark1[[#This Row],[Benchmark '#1 Dates]])=1,"Pass","Fail")</f>
        <v>Pass</v>
      </c>
      <c r="I1035" s="6">
        <f>IF(Benchmark1[[#This Row],[Comparable '#1 Date Check]]="Pass",INDEX(Comp1[Comparable '#1 Price],MATCH(Benchmark1[[#This Row],[Benchmark '#1 Dates]],Comp1[Comparable '#1 Dates],0)),"-")</f>
        <v>11.26</v>
      </c>
      <c r="J1035" s="22">
        <f>IF(Benchmark1[[#This Row],[Comparable '#1 Date Check]]="Pass",INDEX(Comp1[Comparable '#1 Return],MATCH(Benchmark1[[#This Row],[Benchmark '#1 Dates]],Comp1[Comparable '#1 Dates],0)),"-")</f>
        <v>-1.2356732688905492E-2</v>
      </c>
      <c r="K1035" s="1">
        <f>IFERROR(IF(Benchmark1[[#This Row],[Comparable '#1 Date Check]]="Pass",Benchmark1[[#This Row],[Comparable '#1 Return]]-Benchmark1[[#This Row],[Benchmark '#1 Return]],"-"),"-")</f>
        <v>-1.1651992295678305E-2</v>
      </c>
      <c r="L1035" s="1" t="str">
        <f>IF(COUNTIF(Comp2[Comparable '#2 Dates],Benchmark1[[#This Row],[Benchmark '#1 Dates]])=1,"Pass","Fail")</f>
        <v>Pass</v>
      </c>
      <c r="M1035" s="6">
        <f>IF(Benchmark1[[#This Row],[Comparable '#2 Date Check]]="Pass",INDEX(Comp2[Comparable '#2 Price],MATCH(Benchmark1[[#This Row],[Benchmark '#1 Dates]],Comp2[Comparable '#2 Dates],0)),"-")</f>
        <v>37.74</v>
      </c>
      <c r="N1035" s="22">
        <f>IF(Benchmark1[[#This Row],[Comparable '#2 Date Check]]="Pass",INDEX(Comp2[Comparable '#2 Return],MATCH(Benchmark1[[#This Row],[Benchmark '#1 Dates]],Comp2[Comparable '#2 Dates],0)),"-")</f>
        <v>-2.666824708216118E-2</v>
      </c>
      <c r="O1035" s="1">
        <f>IFERROR(IF(Benchmark1[[#This Row],[Comparable '#2 Date Check]]="Pass",Benchmark1[[#This Row],[Comparable '#2 Return]]-Benchmark1[[#This Row],[Benchmark '#1 Return]],"-"),"-")</f>
        <v>-2.5963506688933994E-2</v>
      </c>
      <c r="P1035" s="1" t="str">
        <f>IF(COUNTIF(Comp3[Comparable '#3 Dates],Benchmark1[[#This Row],[Benchmark '#1 Dates]])=1,"Pass","Fail")</f>
        <v>Pass</v>
      </c>
      <c r="Q1035" s="6">
        <f>IF(Benchmark1[[#This Row],[Comparable '#3 Date Check]]="Pass",INDEX(Comp3[Comparable '#3 Price],MATCH(Benchmark1[[#This Row],[Benchmark '#1 Dates]],Comp3[Comparable '#3 Dates],0)),"-")</f>
        <v>67.81</v>
      </c>
      <c r="R1035" s="22">
        <f>IF(Benchmark1[[#This Row],[Comparable '#3 Date Check]]="Pass",INDEX(Comp3[Comparable '#3 Return],MATCH(Benchmark1[[#This Row],[Benchmark '#1 Dates]],Comp3[Comparable '#3 Dates],0)),"-")</f>
        <v>-2.6485832258704566E-2</v>
      </c>
      <c r="S1035" s="1">
        <f>IFERROR(IF(Benchmark1[[#This Row],[Comparable '#3 Date Check]]="Pass",Benchmark1[[#This Row],[Comparable '#3 Return]]-Benchmark1[[#This Row],[Benchmark '#1 Return]],"-"),"-")</f>
        <v>-2.578109186547738E-2</v>
      </c>
    </row>
    <row r="1036" spans="1:19">
      <c r="A1036" s="103">
        <v>44785</v>
      </c>
      <c r="B1036" s="104">
        <v>4280.1505280132142</v>
      </c>
      <c r="C1036" s="4">
        <f t="shared" si="16"/>
        <v>1.7173144333212497E-2</v>
      </c>
      <c r="D1036" s="1" t="str">
        <f>IF(COUNTIF(Target1[Target Dates],Benchmark1[[#This Row],[Benchmark '#1 Dates]])=1,"Pass","Fail")</f>
        <v>Pass</v>
      </c>
      <c r="E1036" s="6">
        <f>IF(Benchmark1[[#This Row],[Target Date Check]]="Pass",INDEX(Target1[Target Price],MATCH(Benchmark1[[#This Row],[Benchmark '#1 Dates]],Target1[Target Dates],0)),"-")</f>
        <v>35.96</v>
      </c>
      <c r="F1036" s="22">
        <f>IF(Benchmark1[[#This Row],[Target Date Check]]="Pass",INDEX(Target1[Target Return],MATCH(Benchmark1[[#This Row],[Benchmark '#1 Dates]],Target1[Target Dates],0)),"-")</f>
        <v>-9.9613441296730419E-3</v>
      </c>
      <c r="G1036" s="1">
        <f>IFERROR(IF(Benchmark1[[#This Row],[Target Date Check]]="Pass",Benchmark1[[#This Row],[Target Return]]-Benchmark1[[#This Row],[Benchmark '#1 Return]],"-"),"-")</f>
        <v>-2.7134488462885541E-2</v>
      </c>
      <c r="H1036" s="1" t="str">
        <f>IF(COUNTIF(Comp1[Comparable '#1 Dates],Benchmark1[[#This Row],[Benchmark '#1 Dates]])=1,"Pass","Fail")</f>
        <v>Pass</v>
      </c>
      <c r="I1036" s="6">
        <f>IF(Benchmark1[[#This Row],[Comparable '#1 Date Check]]="Pass",INDEX(Comp1[Comparable '#1 Price],MATCH(Benchmark1[[#This Row],[Benchmark '#1 Dates]],Comp1[Comparable '#1 Dates],0)),"-")</f>
        <v>11.35</v>
      </c>
      <c r="J1036" s="22">
        <f>IF(Benchmark1[[#This Row],[Comparable '#1 Date Check]]="Pass",INDEX(Comp1[Comparable '#1 Return],MATCH(Benchmark1[[#This Row],[Benchmark '#1 Dates]],Comp1[Comparable '#1 Dates],0)),"-")</f>
        <v>7.9611212158674192E-3</v>
      </c>
      <c r="K1036" s="1">
        <f>IFERROR(IF(Benchmark1[[#This Row],[Comparable '#1 Date Check]]="Pass",Benchmark1[[#This Row],[Comparable '#1 Return]]-Benchmark1[[#This Row],[Benchmark '#1 Return]],"-"),"-")</f>
        <v>-9.2120231173450778E-3</v>
      </c>
      <c r="L1036" s="1" t="str">
        <f>IF(COUNTIF(Comp2[Comparable '#2 Dates],Benchmark1[[#This Row],[Benchmark '#1 Dates]])=1,"Pass","Fail")</f>
        <v>Pass</v>
      </c>
      <c r="M1036" s="6">
        <f>IF(Benchmark1[[#This Row],[Comparable '#2 Date Check]]="Pass",INDEX(Comp2[Comparable '#2 Price],MATCH(Benchmark1[[#This Row],[Benchmark '#1 Dates]],Comp2[Comparable '#2 Dates],0)),"-")</f>
        <v>37.57</v>
      </c>
      <c r="N1036" s="22">
        <f>IF(Benchmark1[[#This Row],[Comparable '#2 Date Check]]="Pass",INDEX(Comp2[Comparable '#2 Return],MATCH(Benchmark1[[#This Row],[Benchmark '#1 Dates]],Comp2[Comparable '#2 Dates],0)),"-")</f>
        <v>-4.5146803545266945E-3</v>
      </c>
      <c r="O1036" s="1">
        <f>IFERROR(IF(Benchmark1[[#This Row],[Comparable '#2 Date Check]]="Pass",Benchmark1[[#This Row],[Comparable '#2 Return]]-Benchmark1[[#This Row],[Benchmark '#1 Return]],"-"),"-")</f>
        <v>-2.1687824687739193E-2</v>
      </c>
      <c r="P1036" s="1" t="str">
        <f>IF(COUNTIF(Comp3[Comparable '#3 Dates],Benchmark1[[#This Row],[Benchmark '#1 Dates]])=1,"Pass","Fail")</f>
        <v>Pass</v>
      </c>
      <c r="Q1036" s="6">
        <f>IF(Benchmark1[[#This Row],[Comparable '#3 Date Check]]="Pass",INDEX(Comp3[Comparable '#3 Price],MATCH(Benchmark1[[#This Row],[Benchmark '#1 Dates]],Comp3[Comparable '#3 Dates],0)),"-")</f>
        <v>69.55</v>
      </c>
      <c r="R1036" s="22">
        <f>IF(Benchmark1[[#This Row],[Comparable '#3 Date Check]]="Pass",INDEX(Comp3[Comparable '#3 Return],MATCH(Benchmark1[[#This Row],[Benchmark '#1 Dates]],Comp3[Comparable '#3 Dates],0)),"-")</f>
        <v>2.5336241673701118E-2</v>
      </c>
      <c r="S1036" s="1">
        <f>IFERROR(IF(Benchmark1[[#This Row],[Comparable '#3 Date Check]]="Pass",Benchmark1[[#This Row],[Comparable '#3 Return]]-Benchmark1[[#This Row],[Benchmark '#1 Return]],"-"),"-")</f>
        <v>8.163097340488621E-3</v>
      </c>
    </row>
    <row r="1037" spans="1:19">
      <c r="A1037" s="103">
        <v>44788</v>
      </c>
      <c r="B1037" s="104">
        <v>4297.143480558223</v>
      </c>
      <c r="C1037" s="4">
        <f t="shared" si="16"/>
        <v>3.962316031232007E-3</v>
      </c>
      <c r="D1037" s="1" t="str">
        <f>IF(COUNTIF(Target1[Target Dates],Benchmark1[[#This Row],[Benchmark '#1 Dates]])=1,"Pass","Fail")</f>
        <v>Pass</v>
      </c>
      <c r="E1037" s="6">
        <f>IF(Benchmark1[[#This Row],[Target Date Check]]="Pass",INDEX(Target1[Target Price],MATCH(Benchmark1[[#This Row],[Benchmark '#1 Dates]],Target1[Target Dates],0)),"-")</f>
        <v>35.93</v>
      </c>
      <c r="F1037" s="22">
        <f>IF(Benchmark1[[#This Row],[Target Date Check]]="Pass",INDEX(Target1[Target Return],MATCH(Benchmark1[[#This Row],[Benchmark '#1 Dates]],Target1[Target Dates],0)),"-")</f>
        <v>-8.3460847799222623E-4</v>
      </c>
      <c r="G1037" s="1">
        <f>IFERROR(IF(Benchmark1[[#This Row],[Target Date Check]]="Pass",Benchmark1[[#This Row],[Target Return]]-Benchmark1[[#This Row],[Benchmark '#1 Return]],"-"),"-")</f>
        <v>-4.7969245092242332E-3</v>
      </c>
      <c r="H1037" s="1" t="str">
        <f>IF(COUNTIF(Comp1[Comparable '#1 Dates],Benchmark1[[#This Row],[Benchmark '#1 Dates]])=1,"Pass","Fail")</f>
        <v>Pass</v>
      </c>
      <c r="I1037" s="6">
        <f>IF(Benchmark1[[#This Row],[Comparable '#1 Date Check]]="Pass",INDEX(Comp1[Comparable '#1 Price],MATCH(Benchmark1[[#This Row],[Benchmark '#1 Dates]],Comp1[Comparable '#1 Dates],0)),"-")</f>
        <v>11.54</v>
      </c>
      <c r="J1037" s="22">
        <f>IF(Benchmark1[[#This Row],[Comparable '#1 Date Check]]="Pass",INDEX(Comp1[Comparable '#1 Return],MATCH(Benchmark1[[#This Row],[Benchmark '#1 Dates]],Comp1[Comparable '#1 Dates],0)),"-")</f>
        <v>1.6601517152541861E-2</v>
      </c>
      <c r="K1037" s="1">
        <f>IFERROR(IF(Benchmark1[[#This Row],[Comparable '#1 Date Check]]="Pass",Benchmark1[[#This Row],[Comparable '#1 Return]]-Benchmark1[[#This Row],[Benchmark '#1 Return]],"-"),"-")</f>
        <v>1.2639201121309854E-2</v>
      </c>
      <c r="L1037" s="1" t="str">
        <f>IF(COUNTIF(Comp2[Comparable '#2 Dates],Benchmark1[[#This Row],[Benchmark '#1 Dates]])=1,"Pass","Fail")</f>
        <v>Pass</v>
      </c>
      <c r="M1037" s="6">
        <f>IF(Benchmark1[[#This Row],[Comparable '#2 Date Check]]="Pass",INDEX(Comp2[Comparable '#2 Price],MATCH(Benchmark1[[#This Row],[Benchmark '#1 Dates]],Comp2[Comparable '#2 Dates],0)),"-")</f>
        <v>37.950000000000003</v>
      </c>
      <c r="N1037" s="22">
        <f>IF(Benchmark1[[#This Row],[Comparable '#2 Date Check]]="Pass",INDEX(Comp2[Comparable '#2 Return],MATCH(Benchmark1[[#This Row],[Benchmark '#1 Dates]],Comp2[Comparable '#2 Dates],0)),"-")</f>
        <v>1.0063644255761523E-2</v>
      </c>
      <c r="O1037" s="1">
        <f>IFERROR(IF(Benchmark1[[#This Row],[Comparable '#2 Date Check]]="Pass",Benchmark1[[#This Row],[Comparable '#2 Return]]-Benchmark1[[#This Row],[Benchmark '#1 Return]],"-"),"-")</f>
        <v>6.1013282245295161E-3</v>
      </c>
      <c r="P1037" s="1" t="str">
        <f>IF(COUNTIF(Comp3[Comparable '#3 Dates],Benchmark1[[#This Row],[Benchmark '#1 Dates]])=1,"Pass","Fail")</f>
        <v>Pass</v>
      </c>
      <c r="Q1037" s="6">
        <f>IF(Benchmark1[[#This Row],[Comparable '#3 Date Check]]="Pass",INDEX(Comp3[Comparable '#3 Price],MATCH(Benchmark1[[#This Row],[Benchmark '#1 Dates]],Comp3[Comparable '#3 Dates],0)),"-")</f>
        <v>70.900000000000006</v>
      </c>
      <c r="R1037" s="22">
        <f>IF(Benchmark1[[#This Row],[Comparable '#3 Date Check]]="Pass",INDEX(Comp3[Comparable '#3 Return],MATCH(Benchmark1[[#This Row],[Benchmark '#1 Dates]],Comp3[Comparable '#3 Dates],0)),"-")</f>
        <v>1.9224515168630028E-2</v>
      </c>
      <c r="S1037" s="1">
        <f>IFERROR(IF(Benchmark1[[#This Row],[Comparable '#3 Date Check]]="Pass",Benchmark1[[#This Row],[Comparable '#3 Return]]-Benchmark1[[#This Row],[Benchmark '#1 Return]],"-"),"-")</f>
        <v>1.5262199137398021E-2</v>
      </c>
    </row>
    <row r="1038" spans="1:19">
      <c r="A1038" s="103">
        <v>44789</v>
      </c>
      <c r="B1038" s="104">
        <v>4305.1993239252233</v>
      </c>
      <c r="C1038" s="4">
        <f t="shared" si="16"/>
        <v>1.8729422681770548E-3</v>
      </c>
      <c r="D1038" s="1" t="str">
        <f>IF(COUNTIF(Target1[Target Dates],Benchmark1[[#This Row],[Benchmark '#1 Dates]])=1,"Pass","Fail")</f>
        <v>Pass</v>
      </c>
      <c r="E1038" s="6">
        <f>IF(Benchmark1[[#This Row],[Target Date Check]]="Pass",INDEX(Target1[Target Price],MATCH(Benchmark1[[#This Row],[Benchmark '#1 Dates]],Target1[Target Dates],0)),"-")</f>
        <v>35.76</v>
      </c>
      <c r="F1038" s="22">
        <f>IF(Benchmark1[[#This Row],[Target Date Check]]="Pass",INDEX(Target1[Target Return],MATCH(Benchmark1[[#This Row],[Benchmark '#1 Dates]],Target1[Target Dates],0)),"-")</f>
        <v>-4.7426508201140437E-3</v>
      </c>
      <c r="G1038" s="1">
        <f>IFERROR(IF(Benchmark1[[#This Row],[Target Date Check]]="Pass",Benchmark1[[#This Row],[Target Return]]-Benchmark1[[#This Row],[Benchmark '#1 Return]],"-"),"-")</f>
        <v>-6.6155930882910987E-3</v>
      </c>
      <c r="H1038" s="1" t="str">
        <f>IF(COUNTIF(Comp1[Comparable '#1 Dates],Benchmark1[[#This Row],[Benchmark '#1 Dates]])=1,"Pass","Fail")</f>
        <v>Pass</v>
      </c>
      <c r="I1038" s="6">
        <f>IF(Benchmark1[[#This Row],[Comparable '#1 Date Check]]="Pass",INDEX(Comp1[Comparable '#1 Price],MATCH(Benchmark1[[#This Row],[Benchmark '#1 Dates]],Comp1[Comparable '#1 Dates],0)),"-")</f>
        <v>11.47</v>
      </c>
      <c r="J1038" s="22">
        <f>IF(Benchmark1[[#This Row],[Comparable '#1 Date Check]]="Pass",INDEX(Comp1[Comparable '#1 Return],MATCH(Benchmark1[[#This Row],[Benchmark '#1 Dates]],Comp1[Comparable '#1 Dates],0)),"-")</f>
        <v>-6.0843299386740173E-3</v>
      </c>
      <c r="K1038" s="1">
        <f>IFERROR(IF(Benchmark1[[#This Row],[Comparable '#1 Date Check]]="Pass",Benchmark1[[#This Row],[Comparable '#1 Return]]-Benchmark1[[#This Row],[Benchmark '#1 Return]],"-"),"-")</f>
        <v>-7.9572722068510723E-3</v>
      </c>
      <c r="L1038" s="1" t="str">
        <f>IF(COUNTIF(Comp2[Comparable '#2 Dates],Benchmark1[[#This Row],[Benchmark '#1 Dates]])=1,"Pass","Fail")</f>
        <v>Pass</v>
      </c>
      <c r="M1038" s="6">
        <f>IF(Benchmark1[[#This Row],[Comparable '#2 Date Check]]="Pass",INDEX(Comp2[Comparable '#2 Price],MATCH(Benchmark1[[#This Row],[Benchmark '#1 Dates]],Comp2[Comparable '#2 Dates],0)),"-")</f>
        <v>37.74</v>
      </c>
      <c r="N1038" s="22">
        <f>IF(Benchmark1[[#This Row],[Comparable '#2 Date Check]]="Pass",INDEX(Comp2[Comparable '#2 Return],MATCH(Benchmark1[[#This Row],[Benchmark '#1 Dates]],Comp2[Comparable '#2 Dates],0)),"-")</f>
        <v>-5.5489639012347436E-3</v>
      </c>
      <c r="O1038" s="1">
        <f>IFERROR(IF(Benchmark1[[#This Row],[Comparable '#2 Date Check]]="Pass",Benchmark1[[#This Row],[Comparable '#2 Return]]-Benchmark1[[#This Row],[Benchmark '#1 Return]],"-"),"-")</f>
        <v>-7.4219061694117986E-3</v>
      </c>
      <c r="P1038" s="1" t="str">
        <f>IF(COUNTIF(Comp3[Comparable '#3 Dates],Benchmark1[[#This Row],[Benchmark '#1 Dates]])=1,"Pass","Fail")</f>
        <v>Pass</v>
      </c>
      <c r="Q1038" s="6">
        <f>IF(Benchmark1[[#This Row],[Comparable '#3 Date Check]]="Pass",INDEX(Comp3[Comparable '#3 Price],MATCH(Benchmark1[[#This Row],[Benchmark '#1 Dates]],Comp3[Comparable '#3 Dates],0)),"-")</f>
        <v>70.87</v>
      </c>
      <c r="R1038" s="22">
        <f>IF(Benchmark1[[#This Row],[Comparable '#3 Date Check]]="Pass",INDEX(Comp3[Comparable '#3 Return],MATCH(Benchmark1[[#This Row],[Benchmark '#1 Dates]],Comp3[Comparable '#3 Dates],0)),"-")</f>
        <v>-4.232207159172256E-4</v>
      </c>
      <c r="S1038" s="1">
        <f>IFERROR(IF(Benchmark1[[#This Row],[Comparable '#3 Date Check]]="Pass",Benchmark1[[#This Row],[Comparable '#3 Return]]-Benchmark1[[#This Row],[Benchmark '#1 Return]],"-"),"-")</f>
        <v>-2.2961629840942805E-3</v>
      </c>
    </row>
    <row r="1039" spans="1:19">
      <c r="A1039" s="103">
        <v>44790</v>
      </c>
      <c r="B1039" s="104">
        <v>4274.0386528275403</v>
      </c>
      <c r="C1039" s="4">
        <f t="shared" si="16"/>
        <v>-7.2642368025709388E-3</v>
      </c>
      <c r="D1039" s="1" t="str">
        <f>IF(COUNTIF(Target1[Target Dates],Benchmark1[[#This Row],[Benchmark '#1 Dates]])=1,"Pass","Fail")</f>
        <v>Pass</v>
      </c>
      <c r="E1039" s="6">
        <f>IF(Benchmark1[[#This Row],[Target Date Check]]="Pass",INDEX(Target1[Target Price],MATCH(Benchmark1[[#This Row],[Benchmark '#1 Dates]],Target1[Target Dates],0)),"-")</f>
        <v>35.15</v>
      </c>
      <c r="F1039" s="22">
        <f>IF(Benchmark1[[#This Row],[Target Date Check]]="Pass",INDEX(Target1[Target Return],MATCH(Benchmark1[[#This Row],[Benchmark '#1 Dates]],Target1[Target Dates],0)),"-")</f>
        <v>-1.7205332048639516E-2</v>
      </c>
      <c r="G1039" s="1">
        <f>IFERROR(IF(Benchmark1[[#This Row],[Target Date Check]]="Pass",Benchmark1[[#This Row],[Target Return]]-Benchmark1[[#This Row],[Benchmark '#1 Return]],"-"),"-")</f>
        <v>-9.9410952460685775E-3</v>
      </c>
      <c r="H1039" s="1" t="str">
        <f>IF(COUNTIF(Comp1[Comparable '#1 Dates],Benchmark1[[#This Row],[Benchmark '#1 Dates]])=1,"Pass","Fail")</f>
        <v>Pass</v>
      </c>
      <c r="I1039" s="6">
        <f>IF(Benchmark1[[#This Row],[Comparable '#1 Date Check]]="Pass",INDEX(Comp1[Comparable '#1 Price],MATCH(Benchmark1[[#This Row],[Benchmark '#1 Dates]],Comp1[Comparable '#1 Dates],0)),"-")</f>
        <v>11.36</v>
      </c>
      <c r="J1039" s="22">
        <f>IF(Benchmark1[[#This Row],[Comparable '#1 Date Check]]="Pass",INDEX(Comp1[Comparable '#1 Return],MATCH(Benchmark1[[#This Row],[Benchmark '#1 Dates]],Comp1[Comparable '#1 Dates],0)),"-")</f>
        <v>-9.636517848274153E-3</v>
      </c>
      <c r="K1039" s="1">
        <f>IFERROR(IF(Benchmark1[[#This Row],[Comparable '#1 Date Check]]="Pass",Benchmark1[[#This Row],[Comparable '#1 Return]]-Benchmark1[[#This Row],[Benchmark '#1 Return]],"-"),"-")</f>
        <v>-2.3722810457032142E-3</v>
      </c>
      <c r="L1039" s="1" t="str">
        <f>IF(COUNTIF(Comp2[Comparable '#2 Dates],Benchmark1[[#This Row],[Benchmark '#1 Dates]])=1,"Pass","Fail")</f>
        <v>Pass</v>
      </c>
      <c r="M1039" s="6">
        <f>IF(Benchmark1[[#This Row],[Comparable '#2 Date Check]]="Pass",INDEX(Comp2[Comparable '#2 Price],MATCH(Benchmark1[[#This Row],[Benchmark '#1 Dates]],Comp2[Comparable '#2 Dates],0)),"-")</f>
        <v>38.14</v>
      </c>
      <c r="N1039" s="22">
        <f>IF(Benchmark1[[#This Row],[Comparable '#2 Date Check]]="Pass",INDEX(Comp2[Comparable '#2 Return],MATCH(Benchmark1[[#This Row],[Benchmark '#1 Dates]],Comp2[Comparable '#2 Dates],0)),"-")</f>
        <v>1.0543060231868873E-2</v>
      </c>
      <c r="O1039" s="1">
        <f>IFERROR(IF(Benchmark1[[#This Row],[Comparable '#2 Date Check]]="Pass",Benchmark1[[#This Row],[Comparable '#2 Return]]-Benchmark1[[#This Row],[Benchmark '#1 Return]],"-"),"-")</f>
        <v>1.7807297034439812E-2</v>
      </c>
      <c r="P1039" s="1" t="str">
        <f>IF(COUNTIF(Comp3[Comparable '#3 Dates],Benchmark1[[#This Row],[Benchmark '#1 Dates]])=1,"Pass","Fail")</f>
        <v>Pass</v>
      </c>
      <c r="Q1039" s="6">
        <f>IF(Benchmark1[[#This Row],[Comparable '#3 Date Check]]="Pass",INDEX(Comp3[Comparable '#3 Price],MATCH(Benchmark1[[#This Row],[Benchmark '#1 Dates]],Comp3[Comparable '#3 Dates],0)),"-")</f>
        <v>70.27</v>
      </c>
      <c r="R1039" s="22">
        <f>IF(Benchmark1[[#This Row],[Comparable '#3 Date Check]]="Pass",INDEX(Comp3[Comparable '#3 Return],MATCH(Benchmark1[[#This Row],[Benchmark '#1 Dates]],Comp3[Comparable '#3 Dates],0)),"-")</f>
        <v>-8.5022476180583815E-3</v>
      </c>
      <c r="S1039" s="1">
        <f>IFERROR(IF(Benchmark1[[#This Row],[Comparable '#3 Date Check]]="Pass",Benchmark1[[#This Row],[Comparable '#3 Return]]-Benchmark1[[#This Row],[Benchmark '#1 Return]],"-"),"-")</f>
        <v>-1.2380108154874427E-3</v>
      </c>
    </row>
    <row r="1040" spans="1:19">
      <c r="A1040" s="103">
        <v>44791</v>
      </c>
      <c r="B1040" s="104">
        <v>4283.7428219612693</v>
      </c>
      <c r="C1040" s="4">
        <f t="shared" si="16"/>
        <v>2.2679179929348671E-3</v>
      </c>
      <c r="D1040" s="1" t="str">
        <f>IF(COUNTIF(Target1[Target Dates],Benchmark1[[#This Row],[Benchmark '#1 Dates]])=1,"Pass","Fail")</f>
        <v>Pass</v>
      </c>
      <c r="E1040" s="6">
        <f>IF(Benchmark1[[#This Row],[Target Date Check]]="Pass",INDEX(Target1[Target Price],MATCH(Benchmark1[[#This Row],[Benchmark '#1 Dates]],Target1[Target Dates],0)),"-")</f>
        <v>35.76</v>
      </c>
      <c r="F1040" s="22">
        <f>IF(Benchmark1[[#This Row],[Target Date Check]]="Pass",INDEX(Target1[Target Return],MATCH(Benchmark1[[#This Row],[Benchmark '#1 Dates]],Target1[Target Dates],0)),"-")</f>
        <v>1.7205332048639412E-2</v>
      </c>
      <c r="G1040" s="1">
        <f>IFERROR(IF(Benchmark1[[#This Row],[Target Date Check]]="Pass",Benchmark1[[#This Row],[Target Return]]-Benchmark1[[#This Row],[Benchmark '#1 Return]],"-"),"-")</f>
        <v>1.4937414055704545E-2</v>
      </c>
      <c r="H1040" s="1" t="str">
        <f>IF(COUNTIF(Comp1[Comparable '#1 Dates],Benchmark1[[#This Row],[Benchmark '#1 Dates]])=1,"Pass","Fail")</f>
        <v>Pass</v>
      </c>
      <c r="I1040" s="6">
        <f>IF(Benchmark1[[#This Row],[Comparable '#1 Date Check]]="Pass",INDEX(Comp1[Comparable '#1 Price],MATCH(Benchmark1[[#This Row],[Benchmark '#1 Dates]],Comp1[Comparable '#1 Dates],0)),"-")</f>
        <v>11.36</v>
      </c>
      <c r="J1040" s="22">
        <f>IF(Benchmark1[[#This Row],[Comparable '#1 Date Check]]="Pass",INDEX(Comp1[Comparable '#1 Return],MATCH(Benchmark1[[#This Row],[Benchmark '#1 Dates]],Comp1[Comparable '#1 Dates],0)),"-")</f>
        <v>0</v>
      </c>
      <c r="K1040" s="1">
        <f>IFERROR(IF(Benchmark1[[#This Row],[Comparable '#1 Date Check]]="Pass",Benchmark1[[#This Row],[Comparable '#1 Return]]-Benchmark1[[#This Row],[Benchmark '#1 Return]],"-"),"-")</f>
        <v>-2.2679179929348671E-3</v>
      </c>
      <c r="L1040" s="1" t="str">
        <f>IF(COUNTIF(Comp2[Comparable '#2 Dates],Benchmark1[[#This Row],[Benchmark '#1 Dates]])=1,"Pass","Fail")</f>
        <v>Pass</v>
      </c>
      <c r="M1040" s="6">
        <f>IF(Benchmark1[[#This Row],[Comparable '#2 Date Check]]="Pass",INDEX(Comp2[Comparable '#2 Price],MATCH(Benchmark1[[#This Row],[Benchmark '#1 Dates]],Comp2[Comparable '#2 Dates],0)),"-")</f>
        <v>38.35</v>
      </c>
      <c r="N1040" s="22">
        <f>IF(Benchmark1[[#This Row],[Comparable '#2 Date Check]]="Pass",INDEX(Comp2[Comparable '#2 Return],MATCH(Benchmark1[[#This Row],[Benchmark '#1 Dates]],Comp2[Comparable '#2 Dates],0)),"-")</f>
        <v>5.4909276409922849E-3</v>
      </c>
      <c r="O1040" s="1">
        <f>IFERROR(IF(Benchmark1[[#This Row],[Comparable '#2 Date Check]]="Pass",Benchmark1[[#This Row],[Comparable '#2 Return]]-Benchmark1[[#This Row],[Benchmark '#1 Return]],"-"),"-")</f>
        <v>3.2230096480574178E-3</v>
      </c>
      <c r="P1040" s="1" t="str">
        <f>IF(COUNTIF(Comp3[Comparable '#3 Dates],Benchmark1[[#This Row],[Benchmark '#1 Dates]])=1,"Pass","Fail")</f>
        <v>Pass</v>
      </c>
      <c r="Q1040" s="6">
        <f>IF(Benchmark1[[#This Row],[Comparable '#3 Date Check]]="Pass",INDEX(Comp3[Comparable '#3 Price],MATCH(Benchmark1[[#This Row],[Benchmark '#1 Dates]],Comp3[Comparable '#3 Dates],0)),"-")</f>
        <v>70.88</v>
      </c>
      <c r="R1040" s="22">
        <f>IF(Benchmark1[[#This Row],[Comparable '#3 Date Check]]="Pass",INDEX(Comp3[Comparable '#3 Return],MATCH(Benchmark1[[#This Row],[Benchmark '#1 Dates]],Comp3[Comparable '#3 Dates],0)),"-")</f>
        <v>8.6433410927192564E-3</v>
      </c>
      <c r="S1040" s="1">
        <f>IFERROR(IF(Benchmark1[[#This Row],[Comparable '#3 Date Check]]="Pass",Benchmark1[[#This Row],[Comparable '#3 Return]]-Benchmark1[[#This Row],[Benchmark '#1 Return]],"-"),"-")</f>
        <v>6.3754230997843889E-3</v>
      </c>
    </row>
    <row r="1041" spans="1:19">
      <c r="A1041" s="103">
        <v>44792</v>
      </c>
      <c r="B1041" s="104">
        <v>4228.4784881953246</v>
      </c>
      <c r="C1041" s="4">
        <f t="shared" si="16"/>
        <v>-1.2984885671411529E-2</v>
      </c>
      <c r="D1041" s="1" t="str">
        <f>IF(COUNTIF(Target1[Target Dates],Benchmark1[[#This Row],[Benchmark '#1 Dates]])=1,"Pass","Fail")</f>
        <v>Pass</v>
      </c>
      <c r="E1041" s="6">
        <f>IF(Benchmark1[[#This Row],[Target Date Check]]="Pass",INDEX(Target1[Target Price],MATCH(Benchmark1[[#This Row],[Benchmark '#1 Dates]],Target1[Target Dates],0)),"-")</f>
        <v>36.39</v>
      </c>
      <c r="F1041" s="22">
        <f>IF(Benchmark1[[#This Row],[Target Date Check]]="Pass",INDEX(Target1[Target Return],MATCH(Benchmark1[[#This Row],[Benchmark '#1 Dates]],Target1[Target Dates],0)),"-")</f>
        <v>1.7464061318755213E-2</v>
      </c>
      <c r="G1041" s="1">
        <f>IFERROR(IF(Benchmark1[[#This Row],[Target Date Check]]="Pass",Benchmark1[[#This Row],[Target Return]]-Benchmark1[[#This Row],[Benchmark '#1 Return]],"-"),"-")</f>
        <v>3.0448946990166741E-2</v>
      </c>
      <c r="H1041" s="1" t="str">
        <f>IF(COUNTIF(Comp1[Comparable '#1 Dates],Benchmark1[[#This Row],[Benchmark '#1 Dates]])=1,"Pass","Fail")</f>
        <v>Pass</v>
      </c>
      <c r="I1041" s="6">
        <f>IF(Benchmark1[[#This Row],[Comparable '#1 Date Check]]="Pass",INDEX(Comp1[Comparable '#1 Price],MATCH(Benchmark1[[#This Row],[Benchmark '#1 Dates]],Comp1[Comparable '#1 Dates],0)),"-")</f>
        <v>11.41</v>
      </c>
      <c r="J1041" s="22">
        <f>IF(Benchmark1[[#This Row],[Comparable '#1 Date Check]]="Pass",INDEX(Comp1[Comparable '#1 Return],MATCH(Benchmark1[[#This Row],[Benchmark '#1 Dates]],Comp1[Comparable '#1 Dates],0)),"-")</f>
        <v>4.3917505809790017E-3</v>
      </c>
      <c r="K1041" s="1">
        <f>IFERROR(IF(Benchmark1[[#This Row],[Comparable '#1 Date Check]]="Pass",Benchmark1[[#This Row],[Comparable '#1 Return]]-Benchmark1[[#This Row],[Benchmark '#1 Return]],"-"),"-")</f>
        <v>1.7376636252390529E-2</v>
      </c>
      <c r="L1041" s="1" t="str">
        <f>IF(COUNTIF(Comp2[Comparable '#2 Dates],Benchmark1[[#This Row],[Benchmark '#1 Dates]])=1,"Pass","Fail")</f>
        <v>Pass</v>
      </c>
      <c r="M1041" s="6">
        <f>IF(Benchmark1[[#This Row],[Comparable '#2 Date Check]]="Pass",INDEX(Comp2[Comparable '#2 Price],MATCH(Benchmark1[[#This Row],[Benchmark '#1 Dates]],Comp2[Comparable '#2 Dates],0)),"-")</f>
        <v>39.409999999999997</v>
      </c>
      <c r="N1041" s="22">
        <f>IF(Benchmark1[[#This Row],[Comparable '#2 Date Check]]="Pass",INDEX(Comp2[Comparable '#2 Return],MATCH(Benchmark1[[#This Row],[Benchmark '#1 Dates]],Comp2[Comparable '#2 Dates],0)),"-")</f>
        <v>2.7265063393647E-2</v>
      </c>
      <c r="O1041" s="1">
        <f>IFERROR(IF(Benchmark1[[#This Row],[Comparable '#2 Date Check]]="Pass",Benchmark1[[#This Row],[Comparable '#2 Return]]-Benchmark1[[#This Row],[Benchmark '#1 Return]],"-"),"-")</f>
        <v>4.0249949065058528E-2</v>
      </c>
      <c r="P1041" s="1" t="str">
        <f>IF(COUNTIF(Comp3[Comparable '#3 Dates],Benchmark1[[#This Row],[Benchmark '#1 Dates]])=1,"Pass","Fail")</f>
        <v>Pass</v>
      </c>
      <c r="Q1041" s="6">
        <f>IF(Benchmark1[[#This Row],[Comparable '#3 Date Check]]="Pass",INDEX(Comp3[Comparable '#3 Price],MATCH(Benchmark1[[#This Row],[Benchmark '#1 Dates]],Comp3[Comparable '#3 Dates],0)),"-")</f>
        <v>71.02</v>
      </c>
      <c r="R1041" s="22">
        <f>IF(Benchmark1[[#This Row],[Comparable '#3 Date Check]]="Pass",INDEX(Comp3[Comparable '#3 Return],MATCH(Benchmark1[[#This Row],[Benchmark '#1 Dates]],Comp3[Comparable '#3 Dates],0)),"-")</f>
        <v>1.9732212181162705E-3</v>
      </c>
      <c r="S1041" s="1">
        <f>IFERROR(IF(Benchmark1[[#This Row],[Comparable '#3 Date Check]]="Pass",Benchmark1[[#This Row],[Comparable '#3 Return]]-Benchmark1[[#This Row],[Benchmark '#1 Return]],"-"),"-")</f>
        <v>1.4958106889527799E-2</v>
      </c>
    </row>
    <row r="1042" spans="1:19">
      <c r="A1042" s="103">
        <v>44795</v>
      </c>
      <c r="B1042" s="104">
        <v>4137.9853737404128</v>
      </c>
      <c r="C1042" s="4">
        <f t="shared" si="16"/>
        <v>-2.1633188193544279E-2</v>
      </c>
      <c r="D1042" s="1" t="str">
        <f>IF(COUNTIF(Target1[Target Dates],Benchmark1[[#This Row],[Benchmark '#1 Dates]])=1,"Pass","Fail")</f>
        <v>Pass</v>
      </c>
      <c r="E1042" s="6">
        <f>IF(Benchmark1[[#This Row],[Target Date Check]]="Pass",INDEX(Target1[Target Price],MATCH(Benchmark1[[#This Row],[Benchmark '#1 Dates]],Target1[Target Dates],0)),"-")</f>
        <v>36.11</v>
      </c>
      <c r="F1042" s="22">
        <f>IF(Benchmark1[[#This Row],[Target Date Check]]="Pass",INDEX(Target1[Target Return],MATCH(Benchmark1[[#This Row],[Benchmark '#1 Dates]],Target1[Target Dates],0)),"-")</f>
        <v>-7.7241763347021307E-3</v>
      </c>
      <c r="G1042" s="1">
        <f>IFERROR(IF(Benchmark1[[#This Row],[Target Date Check]]="Pass",Benchmark1[[#This Row],[Target Return]]-Benchmark1[[#This Row],[Benchmark '#1 Return]],"-"),"-")</f>
        <v>1.3909011858842149E-2</v>
      </c>
      <c r="H1042" s="1" t="str">
        <f>IF(COUNTIF(Comp1[Comparable '#1 Dates],Benchmark1[[#This Row],[Benchmark '#1 Dates]])=1,"Pass","Fail")</f>
        <v>Pass</v>
      </c>
      <c r="I1042" s="6">
        <f>IF(Benchmark1[[#This Row],[Comparable '#1 Date Check]]="Pass",INDEX(Comp1[Comparable '#1 Price],MATCH(Benchmark1[[#This Row],[Benchmark '#1 Dates]],Comp1[Comparable '#1 Dates],0)),"-")</f>
        <v>11.33</v>
      </c>
      <c r="J1042" s="22">
        <f>IF(Benchmark1[[#This Row],[Comparable '#1 Date Check]]="Pass",INDEX(Comp1[Comparable '#1 Return],MATCH(Benchmark1[[#This Row],[Benchmark '#1 Dates]],Comp1[Comparable '#1 Dates],0)),"-")</f>
        <v>-7.0360888340693312E-3</v>
      </c>
      <c r="K1042" s="1">
        <f>IFERROR(IF(Benchmark1[[#This Row],[Comparable '#1 Date Check]]="Pass",Benchmark1[[#This Row],[Comparable '#1 Return]]-Benchmark1[[#This Row],[Benchmark '#1 Return]],"-"),"-")</f>
        <v>1.4597099359474949E-2</v>
      </c>
      <c r="L1042" s="1" t="str">
        <f>IF(COUNTIF(Comp2[Comparable '#2 Dates],Benchmark1[[#This Row],[Benchmark '#1 Dates]])=1,"Pass","Fail")</f>
        <v>Pass</v>
      </c>
      <c r="M1042" s="6">
        <f>IF(Benchmark1[[#This Row],[Comparable '#2 Date Check]]="Pass",INDEX(Comp2[Comparable '#2 Price],MATCH(Benchmark1[[#This Row],[Benchmark '#1 Dates]],Comp2[Comparable '#2 Dates],0)),"-")</f>
        <v>38.89</v>
      </c>
      <c r="N1042" s="22">
        <f>IF(Benchmark1[[#This Row],[Comparable '#2 Date Check]]="Pass",INDEX(Comp2[Comparable '#2 Return],MATCH(Benchmark1[[#This Row],[Benchmark '#1 Dates]],Comp2[Comparable '#2 Dates],0)),"-")</f>
        <v>-1.3282443039256261E-2</v>
      </c>
      <c r="O1042" s="1">
        <f>IFERROR(IF(Benchmark1[[#This Row],[Comparable '#2 Date Check]]="Pass",Benchmark1[[#This Row],[Comparable '#2 Return]]-Benchmark1[[#This Row],[Benchmark '#1 Return]],"-"),"-")</f>
        <v>8.3507451542880178E-3</v>
      </c>
      <c r="P1042" s="1" t="str">
        <f>IF(COUNTIF(Comp3[Comparable '#3 Dates],Benchmark1[[#This Row],[Benchmark '#1 Dates]])=1,"Pass","Fail")</f>
        <v>Pass</v>
      </c>
      <c r="Q1042" s="6">
        <f>IF(Benchmark1[[#This Row],[Comparable '#3 Date Check]]="Pass",INDEX(Comp3[Comparable '#3 Price],MATCH(Benchmark1[[#This Row],[Benchmark '#1 Dates]],Comp3[Comparable '#3 Dates],0)),"-")</f>
        <v>69</v>
      </c>
      <c r="R1042" s="22">
        <f>IF(Benchmark1[[#This Row],[Comparable '#3 Date Check]]="Pass",INDEX(Comp3[Comparable '#3 Return],MATCH(Benchmark1[[#This Row],[Benchmark '#1 Dates]],Comp3[Comparable '#3 Dates],0)),"-")</f>
        <v>-2.8855022917682445E-2</v>
      </c>
      <c r="S1042" s="1">
        <f>IFERROR(IF(Benchmark1[[#This Row],[Comparable '#3 Date Check]]="Pass",Benchmark1[[#This Row],[Comparable '#3 Return]]-Benchmark1[[#This Row],[Benchmark '#1 Return]],"-"),"-")</f>
        <v>-7.221834724138166E-3</v>
      </c>
    </row>
    <row r="1043" spans="1:19">
      <c r="A1043" s="103">
        <v>44796</v>
      </c>
      <c r="B1043" s="104">
        <v>4128.7286113989658</v>
      </c>
      <c r="C1043" s="4">
        <f t="shared" si="16"/>
        <v>-2.2395273931129361E-3</v>
      </c>
      <c r="D1043" s="1" t="str">
        <f>IF(COUNTIF(Target1[Target Dates],Benchmark1[[#This Row],[Benchmark '#1 Dates]])=1,"Pass","Fail")</f>
        <v>Pass</v>
      </c>
      <c r="E1043" s="6">
        <f>IF(Benchmark1[[#This Row],[Target Date Check]]="Pass",INDEX(Target1[Target Price],MATCH(Benchmark1[[#This Row],[Benchmark '#1 Dates]],Target1[Target Dates],0)),"-")</f>
        <v>35.86</v>
      </c>
      <c r="F1043" s="22">
        <f>IF(Benchmark1[[#This Row],[Target Date Check]]="Pass",INDEX(Target1[Target Return],MATCH(Benchmark1[[#This Row],[Benchmark '#1 Dates]],Target1[Target Dates],0)),"-")</f>
        <v>-6.9473671123795686E-3</v>
      </c>
      <c r="G1043" s="1">
        <f>IFERROR(IF(Benchmark1[[#This Row],[Target Date Check]]="Pass",Benchmark1[[#This Row],[Target Return]]-Benchmark1[[#This Row],[Benchmark '#1 Return]],"-"),"-")</f>
        <v>-4.7078397192666325E-3</v>
      </c>
      <c r="H1043" s="1" t="str">
        <f>IF(COUNTIF(Comp1[Comparable '#1 Dates],Benchmark1[[#This Row],[Benchmark '#1 Dates]])=1,"Pass","Fail")</f>
        <v>Pass</v>
      </c>
      <c r="I1043" s="6">
        <f>IF(Benchmark1[[#This Row],[Comparable '#1 Date Check]]="Pass",INDEX(Comp1[Comparable '#1 Price],MATCH(Benchmark1[[#This Row],[Benchmark '#1 Dates]],Comp1[Comparable '#1 Dates],0)),"-")</f>
        <v>11.25</v>
      </c>
      <c r="J1043" s="22">
        <f>IF(Benchmark1[[#This Row],[Comparable '#1 Date Check]]="Pass",INDEX(Comp1[Comparable '#1 Return],MATCH(Benchmark1[[#This Row],[Benchmark '#1 Dates]],Comp1[Comparable '#1 Dates],0)),"-")</f>
        <v>-7.0859463894858352E-3</v>
      </c>
      <c r="K1043" s="1">
        <f>IFERROR(IF(Benchmark1[[#This Row],[Comparable '#1 Date Check]]="Pass",Benchmark1[[#This Row],[Comparable '#1 Return]]-Benchmark1[[#This Row],[Benchmark '#1 Return]],"-"),"-")</f>
        <v>-4.846418996372899E-3</v>
      </c>
      <c r="L1043" s="1" t="str">
        <f>IF(COUNTIF(Comp2[Comparable '#2 Dates],Benchmark1[[#This Row],[Benchmark '#1 Dates]])=1,"Pass","Fail")</f>
        <v>Pass</v>
      </c>
      <c r="M1043" s="6">
        <f>IF(Benchmark1[[#This Row],[Comparable '#2 Date Check]]="Pass",INDEX(Comp2[Comparable '#2 Price],MATCH(Benchmark1[[#This Row],[Benchmark '#1 Dates]],Comp2[Comparable '#2 Dates],0)),"-")</f>
        <v>39.21</v>
      </c>
      <c r="N1043" s="22">
        <f>IF(Benchmark1[[#This Row],[Comparable '#2 Date Check]]="Pass",INDEX(Comp2[Comparable '#2 Return],MATCH(Benchmark1[[#This Row],[Benchmark '#1 Dates]],Comp2[Comparable '#2 Dates],0)),"-")</f>
        <v>8.1946681365843294E-3</v>
      </c>
      <c r="O1043" s="1">
        <f>IFERROR(IF(Benchmark1[[#This Row],[Comparable '#2 Date Check]]="Pass",Benchmark1[[#This Row],[Comparable '#2 Return]]-Benchmark1[[#This Row],[Benchmark '#1 Return]],"-"),"-")</f>
        <v>1.0434195529697265E-2</v>
      </c>
      <c r="P1043" s="1" t="str">
        <f>IF(COUNTIF(Comp3[Comparable '#3 Dates],Benchmark1[[#This Row],[Benchmark '#1 Dates]])=1,"Pass","Fail")</f>
        <v>Pass</v>
      </c>
      <c r="Q1043" s="6">
        <f>IF(Benchmark1[[#This Row],[Comparable '#3 Date Check]]="Pass",INDEX(Comp3[Comparable '#3 Price],MATCH(Benchmark1[[#This Row],[Benchmark '#1 Dates]],Comp3[Comparable '#3 Dates],0)),"-")</f>
        <v>68.58</v>
      </c>
      <c r="R1043" s="22">
        <f>IF(Benchmark1[[#This Row],[Comparable '#3 Date Check]]="Pass",INDEX(Comp3[Comparable '#3 Return],MATCH(Benchmark1[[#This Row],[Benchmark '#1 Dates]],Comp3[Comparable '#3 Dates],0)),"-")</f>
        <v>-6.1055575624851472E-3</v>
      </c>
      <c r="S1043" s="1">
        <f>IFERROR(IF(Benchmark1[[#This Row],[Comparable '#3 Date Check]]="Pass",Benchmark1[[#This Row],[Comparable '#3 Return]]-Benchmark1[[#This Row],[Benchmark '#1 Return]],"-"),"-")</f>
        <v>-3.866030169372211E-3</v>
      </c>
    </row>
    <row r="1044" spans="1:19">
      <c r="A1044" s="103">
        <v>44797</v>
      </c>
      <c r="B1044" s="104">
        <v>4140.7684307530653</v>
      </c>
      <c r="C1044" s="4">
        <f t="shared" si="16"/>
        <v>2.911864603087534E-3</v>
      </c>
      <c r="D1044" s="1" t="str">
        <f>IF(COUNTIF(Target1[Target Dates],Benchmark1[[#This Row],[Benchmark '#1 Dates]])=1,"Pass","Fail")</f>
        <v>Pass</v>
      </c>
      <c r="E1044" s="6">
        <f>IF(Benchmark1[[#This Row],[Target Date Check]]="Pass",INDEX(Target1[Target Price],MATCH(Benchmark1[[#This Row],[Benchmark '#1 Dates]],Target1[Target Dates],0)),"-")</f>
        <v>35.520000000000003</v>
      </c>
      <c r="F1044" s="22">
        <f>IF(Benchmark1[[#This Row],[Target Date Check]]="Pass",INDEX(Target1[Target Return],MATCH(Benchmark1[[#This Row],[Benchmark '#1 Dates]],Target1[Target Dates],0)),"-")</f>
        <v>-9.5265500530174498E-3</v>
      </c>
      <c r="G1044" s="1">
        <f>IFERROR(IF(Benchmark1[[#This Row],[Target Date Check]]="Pass",Benchmark1[[#This Row],[Target Return]]-Benchmark1[[#This Row],[Benchmark '#1 Return]],"-"),"-")</f>
        <v>-1.2438414656104985E-2</v>
      </c>
      <c r="H1044" s="1" t="str">
        <f>IF(COUNTIF(Comp1[Comparable '#1 Dates],Benchmark1[[#This Row],[Benchmark '#1 Dates]])=1,"Pass","Fail")</f>
        <v>Pass</v>
      </c>
      <c r="I1044" s="6">
        <f>IF(Benchmark1[[#This Row],[Comparable '#1 Date Check]]="Pass",INDEX(Comp1[Comparable '#1 Price],MATCH(Benchmark1[[#This Row],[Benchmark '#1 Dates]],Comp1[Comparable '#1 Dates],0)),"-")</f>
        <v>11.13</v>
      </c>
      <c r="J1044" s="22">
        <f>IF(Benchmark1[[#This Row],[Comparable '#1 Date Check]]="Pass",INDEX(Comp1[Comparable '#1 Return],MATCH(Benchmark1[[#This Row],[Benchmark '#1 Dates]],Comp1[Comparable '#1 Dates],0)),"-")</f>
        <v>-1.0723963362975611E-2</v>
      </c>
      <c r="K1044" s="1">
        <f>IFERROR(IF(Benchmark1[[#This Row],[Comparable '#1 Date Check]]="Pass",Benchmark1[[#This Row],[Comparable '#1 Return]]-Benchmark1[[#This Row],[Benchmark '#1 Return]],"-"),"-")</f>
        <v>-1.3635827966063146E-2</v>
      </c>
      <c r="L1044" s="1" t="str">
        <f>IF(COUNTIF(Comp2[Comparable '#2 Dates],Benchmark1[[#This Row],[Benchmark '#1 Dates]])=1,"Pass","Fail")</f>
        <v>Pass</v>
      </c>
      <c r="M1044" s="6">
        <f>IF(Benchmark1[[#This Row],[Comparable '#2 Date Check]]="Pass",INDEX(Comp2[Comparable '#2 Price],MATCH(Benchmark1[[#This Row],[Benchmark '#1 Dates]],Comp2[Comparable '#2 Dates],0)),"-")</f>
        <v>39.74</v>
      </c>
      <c r="N1044" s="22">
        <f>IF(Benchmark1[[#This Row],[Comparable '#2 Date Check]]="Pass",INDEX(Comp2[Comparable '#2 Return],MATCH(Benchmark1[[#This Row],[Benchmark '#1 Dates]],Comp2[Comparable '#2 Dates],0)),"-")</f>
        <v>1.3426420819430653E-2</v>
      </c>
      <c r="O1044" s="1">
        <f>IFERROR(IF(Benchmark1[[#This Row],[Comparable '#2 Date Check]]="Pass",Benchmark1[[#This Row],[Comparable '#2 Return]]-Benchmark1[[#This Row],[Benchmark '#1 Return]],"-"),"-")</f>
        <v>1.0514556216343118E-2</v>
      </c>
      <c r="P1044" s="1" t="str">
        <f>IF(COUNTIF(Comp3[Comparable '#3 Dates],Benchmark1[[#This Row],[Benchmark '#1 Dates]])=1,"Pass","Fail")</f>
        <v>Pass</v>
      </c>
      <c r="Q1044" s="6">
        <f>IF(Benchmark1[[#This Row],[Comparable '#3 Date Check]]="Pass",INDEX(Comp3[Comparable '#3 Price],MATCH(Benchmark1[[#This Row],[Benchmark '#1 Dates]],Comp3[Comparable '#3 Dates],0)),"-")</f>
        <v>67.8</v>
      </c>
      <c r="R1044" s="22">
        <f>IF(Benchmark1[[#This Row],[Comparable '#3 Date Check]]="Pass",INDEX(Comp3[Comparable '#3 Return],MATCH(Benchmark1[[#This Row],[Benchmark '#1 Dates]],Comp3[Comparable '#3 Dates],0)),"-")</f>
        <v>-1.143875208842437E-2</v>
      </c>
      <c r="S1044" s="1">
        <f>IFERROR(IF(Benchmark1[[#This Row],[Comparable '#3 Date Check]]="Pass",Benchmark1[[#This Row],[Comparable '#3 Return]]-Benchmark1[[#This Row],[Benchmark '#1 Return]],"-"),"-")</f>
        <v>-1.4350616691511903E-2</v>
      </c>
    </row>
    <row r="1045" spans="1:19">
      <c r="A1045" s="103">
        <v>44798</v>
      </c>
      <c r="B1045" s="104">
        <v>4199.1195870115635</v>
      </c>
      <c r="C1045" s="4">
        <f t="shared" si="16"/>
        <v>1.3993499268837806E-2</v>
      </c>
      <c r="D1045" s="1" t="str">
        <f>IF(COUNTIF(Target1[Target Dates],Benchmark1[[#This Row],[Benchmark '#1 Dates]])=1,"Pass","Fail")</f>
        <v>Pass</v>
      </c>
      <c r="E1045" s="6">
        <f>IF(Benchmark1[[#This Row],[Target Date Check]]="Pass",INDEX(Target1[Target Price],MATCH(Benchmark1[[#This Row],[Benchmark '#1 Dates]],Target1[Target Dates],0)),"-")</f>
        <v>37.82</v>
      </c>
      <c r="F1045" s="22">
        <f>IF(Benchmark1[[#This Row],[Target Date Check]]="Pass",INDEX(Target1[Target Return],MATCH(Benchmark1[[#This Row],[Benchmark '#1 Dates]],Target1[Target Dates],0)),"-")</f>
        <v>6.274214510634199E-2</v>
      </c>
      <c r="G1045" s="1">
        <f>IFERROR(IF(Benchmark1[[#This Row],[Target Date Check]]="Pass",Benchmark1[[#This Row],[Target Return]]-Benchmark1[[#This Row],[Benchmark '#1 Return]],"-"),"-")</f>
        <v>4.8748645837504184E-2</v>
      </c>
      <c r="H1045" s="1" t="str">
        <f>IF(COUNTIF(Comp1[Comparable '#1 Dates],Benchmark1[[#This Row],[Benchmark '#1 Dates]])=1,"Pass","Fail")</f>
        <v>Pass</v>
      </c>
      <c r="I1045" s="6">
        <f>IF(Benchmark1[[#This Row],[Comparable '#1 Date Check]]="Pass",INDEX(Comp1[Comparable '#1 Price],MATCH(Benchmark1[[#This Row],[Benchmark '#1 Dates]],Comp1[Comparable '#1 Dates],0)),"-")</f>
        <v>11.18</v>
      </c>
      <c r="J1045" s="22">
        <f>IF(Benchmark1[[#This Row],[Comparable '#1 Date Check]]="Pass",INDEX(Comp1[Comparable '#1 Return],MATCH(Benchmark1[[#This Row],[Benchmark '#1 Dates]],Comp1[Comparable '#1 Dates],0)),"-")</f>
        <v>4.4823024394996056E-3</v>
      </c>
      <c r="K1045" s="1">
        <f>IFERROR(IF(Benchmark1[[#This Row],[Comparable '#1 Date Check]]="Pass",Benchmark1[[#This Row],[Comparable '#1 Return]]-Benchmark1[[#This Row],[Benchmark '#1 Return]],"-"),"-")</f>
        <v>-9.5111968293382001E-3</v>
      </c>
      <c r="L1045" s="1" t="str">
        <f>IF(COUNTIF(Comp2[Comparable '#2 Dates],Benchmark1[[#This Row],[Benchmark '#1 Dates]])=1,"Pass","Fail")</f>
        <v>Pass</v>
      </c>
      <c r="M1045" s="6">
        <f>IF(Benchmark1[[#This Row],[Comparable '#2 Date Check]]="Pass",INDEX(Comp2[Comparable '#2 Price],MATCH(Benchmark1[[#This Row],[Benchmark '#1 Dates]],Comp2[Comparable '#2 Dates],0)),"-")</f>
        <v>41.12</v>
      </c>
      <c r="N1045" s="22">
        <f>IF(Benchmark1[[#This Row],[Comparable '#2 Date Check]]="Pass",INDEX(Comp2[Comparable '#2 Return],MATCH(Benchmark1[[#This Row],[Benchmark '#1 Dates]],Comp2[Comparable '#2 Dates],0)),"-")</f>
        <v>3.4136384023238847E-2</v>
      </c>
      <c r="O1045" s="1">
        <f>IFERROR(IF(Benchmark1[[#This Row],[Comparable '#2 Date Check]]="Pass",Benchmark1[[#This Row],[Comparable '#2 Return]]-Benchmark1[[#This Row],[Benchmark '#1 Return]],"-"),"-")</f>
        <v>2.0142884754401041E-2</v>
      </c>
      <c r="P1045" s="1" t="str">
        <f>IF(COUNTIF(Comp3[Comparable '#3 Dates],Benchmark1[[#This Row],[Benchmark '#1 Dates]])=1,"Pass","Fail")</f>
        <v>Pass</v>
      </c>
      <c r="Q1045" s="6">
        <f>IF(Benchmark1[[#This Row],[Comparable '#3 Date Check]]="Pass",INDEX(Comp3[Comparable '#3 Price],MATCH(Benchmark1[[#This Row],[Benchmark '#1 Dates]],Comp3[Comparable '#3 Dates],0)),"-")</f>
        <v>69.38</v>
      </c>
      <c r="R1045" s="22">
        <f>IF(Benchmark1[[#This Row],[Comparable '#3 Date Check]]="Pass",INDEX(Comp3[Comparable '#3 Return],MATCH(Benchmark1[[#This Row],[Benchmark '#1 Dates]],Comp3[Comparable '#3 Dates],0)),"-")</f>
        <v>2.3036446595253664E-2</v>
      </c>
      <c r="S1045" s="1">
        <f>IFERROR(IF(Benchmark1[[#This Row],[Comparable '#3 Date Check]]="Pass",Benchmark1[[#This Row],[Comparable '#3 Return]]-Benchmark1[[#This Row],[Benchmark '#1 Return]],"-"),"-")</f>
        <v>9.0429473264158587E-3</v>
      </c>
    </row>
    <row r="1046" spans="1:19">
      <c r="A1046" s="103">
        <v>44799</v>
      </c>
      <c r="B1046" s="104">
        <v>4057.663071086215</v>
      </c>
      <c r="C1046" s="4">
        <f t="shared" si="16"/>
        <v>-3.4267671536683246E-2</v>
      </c>
      <c r="D1046" s="1" t="str">
        <f>IF(COUNTIF(Target1[Target Dates],Benchmark1[[#This Row],[Benchmark '#1 Dates]])=1,"Pass","Fail")</f>
        <v>Pass</v>
      </c>
      <c r="E1046" s="6">
        <f>IF(Benchmark1[[#This Row],[Target Date Check]]="Pass",INDEX(Target1[Target Price],MATCH(Benchmark1[[#This Row],[Benchmark '#1 Dates]],Target1[Target Dates],0)),"-")</f>
        <v>37.83</v>
      </c>
      <c r="F1046" s="22">
        <f>IF(Benchmark1[[#This Row],[Target Date Check]]="Pass",INDEX(Target1[Target Return],MATCH(Benchmark1[[#This Row],[Benchmark '#1 Dates]],Target1[Target Dates],0)),"-")</f>
        <v>2.6437541462647797E-4</v>
      </c>
      <c r="G1046" s="1">
        <f>IFERROR(IF(Benchmark1[[#This Row],[Target Date Check]]="Pass",Benchmark1[[#This Row],[Target Return]]-Benchmark1[[#This Row],[Benchmark '#1 Return]],"-"),"-")</f>
        <v>3.4532046951309722E-2</v>
      </c>
      <c r="H1046" s="1" t="str">
        <f>IF(COUNTIF(Comp1[Comparable '#1 Dates],Benchmark1[[#This Row],[Benchmark '#1 Dates]])=1,"Pass","Fail")</f>
        <v>Pass</v>
      </c>
      <c r="I1046" s="6">
        <f>IF(Benchmark1[[#This Row],[Comparable '#1 Date Check]]="Pass",INDEX(Comp1[Comparable '#1 Price],MATCH(Benchmark1[[#This Row],[Benchmark '#1 Dates]],Comp1[Comparable '#1 Dates],0)),"-")</f>
        <v>10.83</v>
      </c>
      <c r="J1046" s="22">
        <f>IF(Benchmark1[[#This Row],[Comparable '#1 Date Check]]="Pass",INDEX(Comp1[Comparable '#1 Return],MATCH(Benchmark1[[#This Row],[Benchmark '#1 Dates]],Comp1[Comparable '#1 Dates],0)),"-")</f>
        <v>-3.1806406714053784E-2</v>
      </c>
      <c r="K1046" s="1">
        <f>IFERROR(IF(Benchmark1[[#This Row],[Comparable '#1 Date Check]]="Pass",Benchmark1[[#This Row],[Comparable '#1 Return]]-Benchmark1[[#This Row],[Benchmark '#1 Return]],"-"),"-")</f>
        <v>2.4612648226294623E-3</v>
      </c>
      <c r="L1046" s="1" t="str">
        <f>IF(COUNTIF(Comp2[Comparable '#2 Dates],Benchmark1[[#This Row],[Benchmark '#1 Dates]])=1,"Pass","Fail")</f>
        <v>Pass</v>
      </c>
      <c r="M1046" s="6">
        <f>IF(Benchmark1[[#This Row],[Comparable '#2 Date Check]]="Pass",INDEX(Comp2[Comparable '#2 Price],MATCH(Benchmark1[[#This Row],[Benchmark '#1 Dates]],Comp2[Comparable '#2 Dates],0)),"-")</f>
        <v>39.75</v>
      </c>
      <c r="N1046" s="22">
        <f>IF(Benchmark1[[#This Row],[Comparable '#2 Date Check]]="Pass",INDEX(Comp2[Comparable '#2 Return],MATCH(Benchmark1[[#This Row],[Benchmark '#1 Dates]],Comp2[Comparable '#2 Dates],0)),"-")</f>
        <v>-3.3884780046568752E-2</v>
      </c>
      <c r="O1046" s="1">
        <f>IFERROR(IF(Benchmark1[[#This Row],[Comparable '#2 Date Check]]="Pass",Benchmark1[[#This Row],[Comparable '#2 Return]]-Benchmark1[[#This Row],[Benchmark '#1 Return]],"-"),"-")</f>
        <v>3.8289149011449392E-4</v>
      </c>
      <c r="P1046" s="1" t="str">
        <f>IF(COUNTIF(Comp3[Comparable '#3 Dates],Benchmark1[[#This Row],[Benchmark '#1 Dates]])=1,"Pass","Fail")</f>
        <v>Pass</v>
      </c>
      <c r="Q1046" s="6">
        <f>IF(Benchmark1[[#This Row],[Comparable '#3 Date Check]]="Pass",INDEX(Comp3[Comparable '#3 Price],MATCH(Benchmark1[[#This Row],[Benchmark '#1 Dates]],Comp3[Comparable '#3 Dates],0)),"-")</f>
        <v>67.709999999999994</v>
      </c>
      <c r="R1046" s="22">
        <f>IF(Benchmark1[[#This Row],[Comparable '#3 Date Check]]="Pass",INDEX(Comp3[Comparable '#3 Return],MATCH(Benchmark1[[#This Row],[Benchmark '#1 Dates]],Comp3[Comparable '#3 Dates],0)),"-")</f>
        <v>-2.4364762044049651E-2</v>
      </c>
      <c r="S1046" s="1">
        <f>IFERROR(IF(Benchmark1[[#This Row],[Comparable '#3 Date Check]]="Pass",Benchmark1[[#This Row],[Comparable '#3 Return]]-Benchmark1[[#This Row],[Benchmark '#1 Return]],"-"),"-")</f>
        <v>9.902909492633595E-3</v>
      </c>
    </row>
    <row r="1047" spans="1:19">
      <c r="A1047" s="103">
        <v>44802</v>
      </c>
      <c r="B1047" s="104">
        <v>4030.6129959749987</v>
      </c>
      <c r="C1047" s="4">
        <f t="shared" si="16"/>
        <v>-6.6887370650470365E-3</v>
      </c>
      <c r="D1047" s="1" t="str">
        <f>IF(COUNTIF(Target1[Target Dates],Benchmark1[[#This Row],[Benchmark '#1 Dates]])=1,"Pass","Fail")</f>
        <v>Pass</v>
      </c>
      <c r="E1047" s="6">
        <f>IF(Benchmark1[[#This Row],[Target Date Check]]="Pass",INDEX(Target1[Target Price],MATCH(Benchmark1[[#This Row],[Benchmark '#1 Dates]],Target1[Target Dates],0)),"-")</f>
        <v>38.130000000000003</v>
      </c>
      <c r="F1047" s="22">
        <f>IF(Benchmark1[[#This Row],[Target Date Check]]="Pass",INDEX(Target1[Target Return],MATCH(Benchmark1[[#This Row],[Benchmark '#1 Dates]],Target1[Target Dates],0)),"-")</f>
        <v>7.8989352245346835E-3</v>
      </c>
      <c r="G1047" s="1">
        <f>IFERROR(IF(Benchmark1[[#This Row],[Target Date Check]]="Pass",Benchmark1[[#This Row],[Target Return]]-Benchmark1[[#This Row],[Benchmark '#1 Return]],"-"),"-")</f>
        <v>1.4587672289581719E-2</v>
      </c>
      <c r="H1047" s="1" t="str">
        <f>IF(COUNTIF(Comp1[Comparable '#1 Dates],Benchmark1[[#This Row],[Benchmark '#1 Dates]])=1,"Pass","Fail")</f>
        <v>Pass</v>
      </c>
      <c r="I1047" s="6">
        <f>IF(Benchmark1[[#This Row],[Comparable '#1 Date Check]]="Pass",INDEX(Comp1[Comparable '#1 Price],MATCH(Benchmark1[[#This Row],[Benchmark '#1 Dates]],Comp1[Comparable '#1 Dates],0)),"-")</f>
        <v>11</v>
      </c>
      <c r="J1047" s="22">
        <f>IF(Benchmark1[[#This Row],[Comparable '#1 Date Check]]="Pass",INDEX(Comp1[Comparable '#1 Return],MATCH(Benchmark1[[#This Row],[Benchmark '#1 Dates]],Comp1[Comparable '#1 Dates],0)),"-")</f>
        <v>1.5575211785471372E-2</v>
      </c>
      <c r="K1047" s="1">
        <f>IFERROR(IF(Benchmark1[[#This Row],[Comparable '#1 Date Check]]="Pass",Benchmark1[[#This Row],[Comparable '#1 Return]]-Benchmark1[[#This Row],[Benchmark '#1 Return]],"-"),"-")</f>
        <v>2.2263948850518408E-2</v>
      </c>
      <c r="L1047" s="1" t="str">
        <f>IF(COUNTIF(Comp2[Comparable '#2 Dates],Benchmark1[[#This Row],[Benchmark '#1 Dates]])=1,"Pass","Fail")</f>
        <v>Pass</v>
      </c>
      <c r="M1047" s="6">
        <f>IF(Benchmark1[[#This Row],[Comparable '#2 Date Check]]="Pass",INDEX(Comp2[Comparable '#2 Price],MATCH(Benchmark1[[#This Row],[Benchmark '#1 Dates]],Comp2[Comparable '#2 Dates],0)),"-")</f>
        <v>38.630000000000003</v>
      </c>
      <c r="N1047" s="22">
        <f>IF(Benchmark1[[#This Row],[Comparable '#2 Date Check]]="Pass",INDEX(Comp2[Comparable '#2 Return],MATCH(Benchmark1[[#This Row],[Benchmark '#1 Dates]],Comp2[Comparable '#2 Dates],0)),"-")</f>
        <v>-2.8580664422150872E-2</v>
      </c>
      <c r="O1047" s="1">
        <f>IFERROR(IF(Benchmark1[[#This Row],[Comparable '#2 Date Check]]="Pass",Benchmark1[[#This Row],[Comparable '#2 Return]]-Benchmark1[[#This Row],[Benchmark '#1 Return]],"-"),"-")</f>
        <v>-2.1891927357103835E-2</v>
      </c>
      <c r="P1047" s="1" t="str">
        <f>IF(COUNTIF(Comp3[Comparable '#3 Dates],Benchmark1[[#This Row],[Benchmark '#1 Dates]])=1,"Pass","Fail")</f>
        <v>Pass</v>
      </c>
      <c r="Q1047" s="6">
        <f>IF(Benchmark1[[#This Row],[Comparable '#3 Date Check]]="Pass",INDEX(Comp3[Comparable '#3 Price],MATCH(Benchmark1[[#This Row],[Benchmark '#1 Dates]],Comp3[Comparable '#3 Dates],0)),"-")</f>
        <v>66.569999999999993</v>
      </c>
      <c r="R1047" s="22">
        <f>IF(Benchmark1[[#This Row],[Comparable '#3 Date Check]]="Pass",INDEX(Comp3[Comparable '#3 Return],MATCH(Benchmark1[[#This Row],[Benchmark '#1 Dates]],Comp3[Comparable '#3 Dates],0)),"-")</f>
        <v>-1.6979853884941807E-2</v>
      </c>
      <c r="S1047" s="1">
        <f>IFERROR(IF(Benchmark1[[#This Row],[Comparable '#3 Date Check]]="Pass",Benchmark1[[#This Row],[Comparable '#3 Return]]-Benchmark1[[#This Row],[Benchmark '#1 Return]],"-"),"-")</f>
        <v>-1.029111681989477E-2</v>
      </c>
    </row>
    <row r="1048" spans="1:19">
      <c r="A1048" s="103">
        <v>44803</v>
      </c>
      <c r="B1048" s="104">
        <v>3986.1618834882397</v>
      </c>
      <c r="C1048" s="4">
        <f t="shared" si="16"/>
        <v>-1.1089638590158504E-2</v>
      </c>
      <c r="D1048" s="1" t="str">
        <f>IF(COUNTIF(Target1[Target Dates],Benchmark1[[#This Row],[Benchmark '#1 Dates]])=1,"Pass","Fail")</f>
        <v>Pass</v>
      </c>
      <c r="E1048" s="6">
        <f>IF(Benchmark1[[#This Row],[Target Date Check]]="Pass",INDEX(Target1[Target Price],MATCH(Benchmark1[[#This Row],[Benchmark '#1 Dates]],Target1[Target Dates],0)),"-")</f>
        <v>38.06</v>
      </c>
      <c r="F1048" s="22">
        <f>IF(Benchmark1[[#This Row],[Target Date Check]]="Pass",INDEX(Target1[Target Return],MATCH(Benchmark1[[#This Row],[Benchmark '#1 Dates]],Target1[Target Dates],0)),"-")</f>
        <v>-1.8375120014689364E-3</v>
      </c>
      <c r="G1048" s="1">
        <f>IFERROR(IF(Benchmark1[[#This Row],[Target Date Check]]="Pass",Benchmark1[[#This Row],[Target Return]]-Benchmark1[[#This Row],[Benchmark '#1 Return]],"-"),"-")</f>
        <v>9.2521265886895687E-3</v>
      </c>
      <c r="H1048" s="1" t="str">
        <f>IF(COUNTIF(Comp1[Comparable '#1 Dates],Benchmark1[[#This Row],[Benchmark '#1 Dates]])=1,"Pass","Fail")</f>
        <v>Pass</v>
      </c>
      <c r="I1048" s="6">
        <f>IF(Benchmark1[[#This Row],[Comparable '#1 Date Check]]="Pass",INDEX(Comp1[Comparable '#1 Price],MATCH(Benchmark1[[#This Row],[Benchmark '#1 Dates]],Comp1[Comparable '#1 Dates],0)),"-")</f>
        <v>11.01</v>
      </c>
      <c r="J1048" s="22">
        <f>IF(Benchmark1[[#This Row],[Comparable '#1 Date Check]]="Pass",INDEX(Comp1[Comparable '#1 Return],MATCH(Benchmark1[[#This Row],[Benchmark '#1 Dates]],Comp1[Comparable '#1 Dates],0)),"-")</f>
        <v>9.0867793621811225E-4</v>
      </c>
      <c r="K1048" s="1">
        <f>IFERROR(IF(Benchmark1[[#This Row],[Comparable '#1 Date Check]]="Pass",Benchmark1[[#This Row],[Comparable '#1 Return]]-Benchmark1[[#This Row],[Benchmark '#1 Return]],"-"),"-")</f>
        <v>1.1998316526376616E-2</v>
      </c>
      <c r="L1048" s="1" t="str">
        <f>IF(COUNTIF(Comp2[Comparable '#2 Dates],Benchmark1[[#This Row],[Benchmark '#1 Dates]])=1,"Pass","Fail")</f>
        <v>Pass</v>
      </c>
      <c r="M1048" s="6">
        <f>IF(Benchmark1[[#This Row],[Comparable '#2 Date Check]]="Pass",INDEX(Comp2[Comparable '#2 Price],MATCH(Benchmark1[[#This Row],[Benchmark '#1 Dates]],Comp2[Comparable '#2 Dates],0)),"-")</f>
        <v>38.159999999999997</v>
      </c>
      <c r="N1048" s="22">
        <f>IF(Benchmark1[[#This Row],[Comparable '#2 Date Check]]="Pass",INDEX(Comp2[Comparable '#2 Return],MATCH(Benchmark1[[#This Row],[Benchmark '#1 Dates]],Comp2[Comparable '#2 Dates],0)),"-")</f>
        <v>-1.2241330098104318E-2</v>
      </c>
      <c r="O1048" s="1">
        <f>IFERROR(IF(Benchmark1[[#This Row],[Comparable '#2 Date Check]]="Pass",Benchmark1[[#This Row],[Comparable '#2 Return]]-Benchmark1[[#This Row],[Benchmark '#1 Return]],"-"),"-")</f>
        <v>-1.1516915079458137E-3</v>
      </c>
      <c r="P1048" s="1" t="str">
        <f>IF(COUNTIF(Comp3[Comparable '#3 Dates],Benchmark1[[#This Row],[Benchmark '#1 Dates]])=1,"Pass","Fail")</f>
        <v>Pass</v>
      </c>
      <c r="Q1048" s="6">
        <f>IF(Benchmark1[[#This Row],[Comparable '#3 Date Check]]="Pass",INDEX(Comp3[Comparable '#3 Price],MATCH(Benchmark1[[#This Row],[Benchmark '#1 Dates]],Comp3[Comparable '#3 Dates],0)),"-")</f>
        <v>65.400000000000006</v>
      </c>
      <c r="R1048" s="22">
        <f>IF(Benchmark1[[#This Row],[Comparable '#3 Date Check]]="Pass",INDEX(Comp3[Comparable '#3 Return],MATCH(Benchmark1[[#This Row],[Benchmark '#1 Dates]],Comp3[Comparable '#3 Dates],0)),"-")</f>
        <v>-1.7731767149458986E-2</v>
      </c>
      <c r="S1048" s="1">
        <f>IFERROR(IF(Benchmark1[[#This Row],[Comparable '#3 Date Check]]="Pass",Benchmark1[[#This Row],[Comparable '#3 Return]]-Benchmark1[[#This Row],[Benchmark '#1 Return]],"-"),"-")</f>
        <v>-6.6421285593004815E-3</v>
      </c>
    </row>
    <row r="1049" spans="1:19">
      <c r="A1049" s="103">
        <v>44804</v>
      </c>
      <c r="B1049" s="104">
        <v>3954.9990010277679</v>
      </c>
      <c r="C1049" s="4">
        <f t="shared" si="16"/>
        <v>-7.848485348588197E-3</v>
      </c>
      <c r="D1049" s="1" t="str">
        <f>IF(COUNTIF(Target1[Target Dates],Benchmark1[[#This Row],[Benchmark '#1 Dates]])=1,"Pass","Fail")</f>
        <v>Pass</v>
      </c>
      <c r="E1049" s="6">
        <f>IF(Benchmark1[[#This Row],[Target Date Check]]="Pass",INDEX(Target1[Target Price],MATCH(Benchmark1[[#This Row],[Benchmark '#1 Dates]],Target1[Target Dates],0)),"-")</f>
        <v>38.14</v>
      </c>
      <c r="F1049" s="22">
        <f>IF(Benchmark1[[#This Row],[Target Date Check]]="Pass",INDEX(Target1[Target Return],MATCH(Benchmark1[[#This Row],[Benchmark '#1 Dates]],Target1[Target Dates],0)),"-")</f>
        <v>2.0997383042694736E-3</v>
      </c>
      <c r="G1049" s="1">
        <f>IFERROR(IF(Benchmark1[[#This Row],[Target Date Check]]="Pass",Benchmark1[[#This Row],[Target Return]]-Benchmark1[[#This Row],[Benchmark '#1 Return]],"-"),"-")</f>
        <v>9.9482236528576698E-3</v>
      </c>
      <c r="H1049" s="1" t="str">
        <f>IF(COUNTIF(Comp1[Comparable '#1 Dates],Benchmark1[[#This Row],[Benchmark '#1 Dates]])=1,"Pass","Fail")</f>
        <v>Pass</v>
      </c>
      <c r="I1049" s="6">
        <f>IF(Benchmark1[[#This Row],[Comparable '#1 Date Check]]="Pass",INDEX(Comp1[Comparable '#1 Price],MATCH(Benchmark1[[#This Row],[Benchmark '#1 Dates]],Comp1[Comparable '#1 Dates],0)),"-")</f>
        <v>11.02</v>
      </c>
      <c r="J1049" s="22">
        <f>IF(Benchmark1[[#This Row],[Comparable '#1 Date Check]]="Pass",INDEX(Comp1[Comparable '#1 Return],MATCH(Benchmark1[[#This Row],[Benchmark '#1 Dates]],Comp1[Comparable '#1 Dates],0)),"-")</f>
        <v>9.0785299017973606E-4</v>
      </c>
      <c r="K1049" s="1">
        <f>IFERROR(IF(Benchmark1[[#This Row],[Comparable '#1 Date Check]]="Pass",Benchmark1[[#This Row],[Comparable '#1 Return]]-Benchmark1[[#This Row],[Benchmark '#1 Return]],"-"),"-")</f>
        <v>8.7563383387679328E-3</v>
      </c>
      <c r="L1049" s="1" t="str">
        <f>IF(COUNTIF(Comp2[Comparable '#2 Dates],Benchmark1[[#This Row],[Benchmark '#1 Dates]])=1,"Pass","Fail")</f>
        <v>Pass</v>
      </c>
      <c r="M1049" s="6">
        <f>IF(Benchmark1[[#This Row],[Comparable '#2 Date Check]]="Pass",INDEX(Comp2[Comparable '#2 Price],MATCH(Benchmark1[[#This Row],[Benchmark '#1 Dates]],Comp2[Comparable '#2 Dates],0)),"-")</f>
        <v>37.69</v>
      </c>
      <c r="N1049" s="22">
        <f>IF(Benchmark1[[#This Row],[Comparable '#2 Date Check]]="Pass",INDEX(Comp2[Comparable '#2 Return],MATCH(Benchmark1[[#This Row],[Benchmark '#1 Dates]],Comp2[Comparable '#2 Dates],0)),"-")</f>
        <v>-1.2393039301041721E-2</v>
      </c>
      <c r="O1049" s="1">
        <f>IFERROR(IF(Benchmark1[[#This Row],[Comparable '#2 Date Check]]="Pass",Benchmark1[[#This Row],[Comparable '#2 Return]]-Benchmark1[[#This Row],[Benchmark '#1 Return]],"-"),"-")</f>
        <v>-4.5445539524535238E-3</v>
      </c>
      <c r="P1049" s="1" t="str">
        <f>IF(COUNTIF(Comp3[Comparable '#3 Dates],Benchmark1[[#This Row],[Benchmark '#1 Dates]])=1,"Pass","Fail")</f>
        <v>Pass</v>
      </c>
      <c r="Q1049" s="6">
        <f>IF(Benchmark1[[#This Row],[Comparable '#3 Date Check]]="Pass",INDEX(Comp3[Comparable '#3 Price],MATCH(Benchmark1[[#This Row],[Benchmark '#1 Dates]],Comp3[Comparable '#3 Dates],0)),"-")</f>
        <v>64.7</v>
      </c>
      <c r="R1049" s="22">
        <f>IF(Benchmark1[[#This Row],[Comparable '#3 Date Check]]="Pass",INDEX(Comp3[Comparable '#3 Return],MATCH(Benchmark1[[#This Row],[Benchmark '#1 Dates]],Comp3[Comparable '#3 Dates],0)),"-")</f>
        <v>-1.0761056956298146E-2</v>
      </c>
      <c r="S1049" s="1">
        <f>IFERROR(IF(Benchmark1[[#This Row],[Comparable '#3 Date Check]]="Pass",Benchmark1[[#This Row],[Comparable '#3 Return]]-Benchmark1[[#This Row],[Benchmark '#1 Return]],"-"),"-")</f>
        <v>-2.9125716077099493E-3</v>
      </c>
    </row>
    <row r="1050" spans="1:19">
      <c r="A1050" s="103">
        <v>44805</v>
      </c>
      <c r="B1050" s="104">
        <v>3966.8502615699213</v>
      </c>
      <c r="C1050" s="4">
        <f t="shared" si="16"/>
        <v>2.9920461727247446E-3</v>
      </c>
      <c r="D1050" s="1" t="str">
        <f>IF(COUNTIF(Target1[Target Dates],Benchmark1[[#This Row],[Benchmark '#1 Dates]])=1,"Pass","Fail")</f>
        <v>Pass</v>
      </c>
      <c r="E1050" s="6">
        <f>IF(Benchmark1[[#This Row],[Target Date Check]]="Pass",INDEX(Target1[Target Price],MATCH(Benchmark1[[#This Row],[Benchmark '#1 Dates]],Target1[Target Dates],0)),"-")</f>
        <v>38.04</v>
      </c>
      <c r="F1050" s="22">
        <f>IF(Benchmark1[[#This Row],[Target Date Check]]="Pass",INDEX(Target1[Target Return],MATCH(Benchmark1[[#This Row],[Benchmark '#1 Dates]],Target1[Target Dates],0)),"-")</f>
        <v>-2.6253624950834989E-3</v>
      </c>
      <c r="G1050" s="1">
        <f>IFERROR(IF(Benchmark1[[#This Row],[Target Date Check]]="Pass",Benchmark1[[#This Row],[Target Return]]-Benchmark1[[#This Row],[Benchmark '#1 Return]],"-"),"-")</f>
        <v>-5.6174086678082435E-3</v>
      </c>
      <c r="H1050" s="1" t="str">
        <f>IF(COUNTIF(Comp1[Comparable '#1 Dates],Benchmark1[[#This Row],[Benchmark '#1 Dates]])=1,"Pass","Fail")</f>
        <v>Pass</v>
      </c>
      <c r="I1050" s="6">
        <f>IF(Benchmark1[[#This Row],[Comparable '#1 Date Check]]="Pass",INDEX(Comp1[Comparable '#1 Price],MATCH(Benchmark1[[#This Row],[Benchmark '#1 Dates]],Comp1[Comparable '#1 Dates],0)),"-")</f>
        <v>11.04</v>
      </c>
      <c r="J1050" s="22">
        <f>IF(Benchmark1[[#This Row],[Comparable '#1 Date Check]]="Pass",INDEX(Comp1[Comparable '#1 Return],MATCH(Benchmark1[[#This Row],[Benchmark '#1 Dates]],Comp1[Comparable '#1 Dates],0)),"-")</f>
        <v>1.8132371241807218E-3</v>
      </c>
      <c r="K1050" s="1">
        <f>IFERROR(IF(Benchmark1[[#This Row],[Comparable '#1 Date Check]]="Pass",Benchmark1[[#This Row],[Comparable '#1 Return]]-Benchmark1[[#This Row],[Benchmark '#1 Return]],"-"),"-")</f>
        <v>-1.1788090485440228E-3</v>
      </c>
      <c r="L1050" s="1" t="str">
        <f>IF(COUNTIF(Comp2[Comparable '#2 Dates],Benchmark1[[#This Row],[Benchmark '#1 Dates]])=1,"Pass","Fail")</f>
        <v>Pass</v>
      </c>
      <c r="M1050" s="6">
        <f>IF(Benchmark1[[#This Row],[Comparable '#2 Date Check]]="Pass",INDEX(Comp2[Comparable '#2 Price],MATCH(Benchmark1[[#This Row],[Benchmark '#1 Dates]],Comp2[Comparable '#2 Dates],0)),"-")</f>
        <v>38.03</v>
      </c>
      <c r="N1050" s="22">
        <f>IF(Benchmark1[[#This Row],[Comparable '#2 Date Check]]="Pass",INDEX(Comp2[Comparable '#2 Return],MATCH(Benchmark1[[#This Row],[Benchmark '#1 Dates]],Comp2[Comparable '#2 Dates],0)),"-")</f>
        <v>8.980514661124402E-3</v>
      </c>
      <c r="O1050" s="1">
        <f>IFERROR(IF(Benchmark1[[#This Row],[Comparable '#2 Date Check]]="Pass",Benchmark1[[#This Row],[Comparable '#2 Return]]-Benchmark1[[#This Row],[Benchmark '#1 Return]],"-"),"-")</f>
        <v>5.9884684883996578E-3</v>
      </c>
      <c r="P1050" s="1" t="str">
        <f>IF(COUNTIF(Comp3[Comparable '#3 Dates],Benchmark1[[#This Row],[Benchmark '#1 Dates]])=1,"Pass","Fail")</f>
        <v>Pass</v>
      </c>
      <c r="Q1050" s="6">
        <f>IF(Benchmark1[[#This Row],[Comparable '#3 Date Check]]="Pass",INDEX(Comp3[Comparable '#3 Price],MATCH(Benchmark1[[#This Row],[Benchmark '#1 Dates]],Comp3[Comparable '#3 Dates],0)),"-")</f>
        <v>62.98</v>
      </c>
      <c r="R1050" s="22">
        <f>IF(Benchmark1[[#This Row],[Comparable '#3 Date Check]]="Pass",INDEX(Comp3[Comparable '#3 Return],MATCH(Benchmark1[[#This Row],[Benchmark '#1 Dates]],Comp3[Comparable '#3 Dates],0)),"-")</f>
        <v>-2.6943985833976329E-2</v>
      </c>
      <c r="S1050" s="1">
        <f>IFERROR(IF(Benchmark1[[#This Row],[Comparable '#3 Date Check]]="Pass",Benchmark1[[#This Row],[Comparable '#3 Return]]-Benchmark1[[#This Row],[Benchmark '#1 Return]],"-"),"-")</f>
        <v>-2.9936032006701075E-2</v>
      </c>
    </row>
    <row r="1051" spans="1:19">
      <c r="A1051" s="103">
        <v>44806</v>
      </c>
      <c r="B1051" s="104">
        <v>3924.2595803319591</v>
      </c>
      <c r="C1051" s="4">
        <f t="shared" si="16"/>
        <v>-1.0794703322075353E-2</v>
      </c>
      <c r="D1051" s="1" t="str">
        <f>IF(COUNTIF(Target1[Target Dates],Benchmark1[[#This Row],[Benchmark '#1 Dates]])=1,"Pass","Fail")</f>
        <v>Pass</v>
      </c>
      <c r="E1051" s="6">
        <f>IF(Benchmark1[[#This Row],[Target Date Check]]="Pass",INDEX(Target1[Target Price],MATCH(Benchmark1[[#This Row],[Benchmark '#1 Dates]],Target1[Target Dates],0)),"-")</f>
        <v>38.06</v>
      </c>
      <c r="F1051" s="22">
        <f>IF(Benchmark1[[#This Row],[Target Date Check]]="Pass",INDEX(Target1[Target Return],MATCH(Benchmark1[[#This Row],[Benchmark '#1 Dates]],Target1[Target Dates],0)),"-")</f>
        <v>5.2562419081387277E-4</v>
      </c>
      <c r="G1051" s="1">
        <f>IFERROR(IF(Benchmark1[[#This Row],[Target Date Check]]="Pass",Benchmark1[[#This Row],[Target Return]]-Benchmark1[[#This Row],[Benchmark '#1 Return]],"-"),"-")</f>
        <v>1.1320327512889226E-2</v>
      </c>
      <c r="H1051" s="1" t="str">
        <f>IF(COUNTIF(Comp1[Comparable '#1 Dates],Benchmark1[[#This Row],[Benchmark '#1 Dates]])=1,"Pass","Fail")</f>
        <v>Pass</v>
      </c>
      <c r="I1051" s="6">
        <f>IF(Benchmark1[[#This Row],[Comparable '#1 Date Check]]="Pass",INDEX(Comp1[Comparable '#1 Price],MATCH(Benchmark1[[#This Row],[Benchmark '#1 Dates]],Comp1[Comparable '#1 Dates],0)),"-")</f>
        <v>10.93</v>
      </c>
      <c r="J1051" s="22">
        <f>IF(Benchmark1[[#This Row],[Comparable '#1 Date Check]]="Pass",INDEX(Comp1[Comparable '#1 Return],MATCH(Benchmark1[[#This Row],[Benchmark '#1 Dates]],Comp1[Comparable '#1 Dates],0)),"-")</f>
        <v>-1.0013738660502048E-2</v>
      </c>
      <c r="K1051" s="1">
        <f>IFERROR(IF(Benchmark1[[#This Row],[Comparable '#1 Date Check]]="Pass",Benchmark1[[#This Row],[Comparable '#1 Return]]-Benchmark1[[#This Row],[Benchmark '#1 Return]],"-"),"-")</f>
        <v>7.8096466157330513E-4</v>
      </c>
      <c r="L1051" s="1" t="str">
        <f>IF(COUNTIF(Comp2[Comparable '#2 Dates],Benchmark1[[#This Row],[Benchmark '#1 Dates]])=1,"Pass","Fail")</f>
        <v>Pass</v>
      </c>
      <c r="M1051" s="6">
        <f>IF(Benchmark1[[#This Row],[Comparable '#2 Date Check]]="Pass",INDEX(Comp2[Comparable '#2 Price],MATCH(Benchmark1[[#This Row],[Benchmark '#1 Dates]],Comp2[Comparable '#2 Dates],0)),"-")</f>
        <v>36.9</v>
      </c>
      <c r="N1051" s="22">
        <f>IF(Benchmark1[[#This Row],[Comparable '#2 Date Check]]="Pass",INDEX(Comp2[Comparable '#2 Return],MATCH(Benchmark1[[#This Row],[Benchmark '#1 Dates]],Comp2[Comparable '#2 Dates],0)),"-")</f>
        <v>-3.0163770893686812E-2</v>
      </c>
      <c r="O1051" s="1">
        <f>IFERROR(IF(Benchmark1[[#This Row],[Comparable '#2 Date Check]]="Pass",Benchmark1[[#This Row],[Comparable '#2 Return]]-Benchmark1[[#This Row],[Benchmark '#1 Return]],"-"),"-")</f>
        <v>-1.9369067571611456E-2</v>
      </c>
      <c r="P1051" s="1" t="str">
        <f>IF(COUNTIF(Comp3[Comparable '#3 Dates],Benchmark1[[#This Row],[Benchmark '#1 Dates]])=1,"Pass","Fail")</f>
        <v>Pass</v>
      </c>
      <c r="Q1051" s="6">
        <f>IF(Benchmark1[[#This Row],[Comparable '#3 Date Check]]="Pass",INDEX(Comp3[Comparable '#3 Price],MATCH(Benchmark1[[#This Row],[Benchmark '#1 Dates]],Comp3[Comparable '#3 Dates],0)),"-")</f>
        <v>62.59</v>
      </c>
      <c r="R1051" s="22">
        <f>IF(Benchmark1[[#This Row],[Comparable '#3 Date Check]]="Pass",INDEX(Comp3[Comparable '#3 Return],MATCH(Benchmark1[[#This Row],[Benchmark '#1 Dates]],Comp3[Comparable '#3 Dates],0)),"-")</f>
        <v>-6.2116947362684258E-3</v>
      </c>
      <c r="S1051" s="1">
        <f>IFERROR(IF(Benchmark1[[#This Row],[Comparable '#3 Date Check]]="Pass",Benchmark1[[#This Row],[Comparable '#3 Return]]-Benchmark1[[#This Row],[Benchmark '#1 Return]],"-"),"-")</f>
        <v>4.5830085858069277E-3</v>
      </c>
    </row>
    <row r="1052" spans="1:19">
      <c r="A1052" s="103">
        <v>44810</v>
      </c>
      <c r="B1052" s="104">
        <v>3908.1899878542313</v>
      </c>
      <c r="C1052" s="4">
        <f t="shared" si="16"/>
        <v>-4.1033433756259815E-3</v>
      </c>
      <c r="D1052" s="1" t="str">
        <f>IF(COUNTIF(Target1[Target Dates],Benchmark1[[#This Row],[Benchmark '#1 Dates]])=1,"Pass","Fail")</f>
        <v>Pass</v>
      </c>
      <c r="E1052" s="6">
        <f>IF(Benchmark1[[#This Row],[Target Date Check]]="Pass",INDEX(Target1[Target Price],MATCH(Benchmark1[[#This Row],[Benchmark '#1 Dates]],Target1[Target Dates],0)),"-")</f>
        <v>38.770000000000003</v>
      </c>
      <c r="F1052" s="22">
        <f>IF(Benchmark1[[#This Row],[Target Date Check]]="Pass",INDEX(Target1[Target Return],MATCH(Benchmark1[[#This Row],[Benchmark '#1 Dates]],Target1[Target Dates],0)),"-")</f>
        <v>1.8482889814834366E-2</v>
      </c>
      <c r="G1052" s="1">
        <f>IFERROR(IF(Benchmark1[[#This Row],[Target Date Check]]="Pass",Benchmark1[[#This Row],[Target Return]]-Benchmark1[[#This Row],[Benchmark '#1 Return]],"-"),"-")</f>
        <v>2.2586233190460346E-2</v>
      </c>
      <c r="H1052" s="1" t="str">
        <f>IF(COUNTIF(Comp1[Comparable '#1 Dates],Benchmark1[[#This Row],[Benchmark '#1 Dates]])=1,"Pass","Fail")</f>
        <v>Pass</v>
      </c>
      <c r="I1052" s="6">
        <f>IF(Benchmark1[[#This Row],[Comparable '#1 Date Check]]="Pass",INDEX(Comp1[Comparable '#1 Price],MATCH(Benchmark1[[#This Row],[Benchmark '#1 Dates]],Comp1[Comparable '#1 Dates],0)),"-")</f>
        <v>10.98</v>
      </c>
      <c r="J1052" s="22">
        <f>IF(Benchmark1[[#This Row],[Comparable '#1 Date Check]]="Pass",INDEX(Comp1[Comparable '#1 Return],MATCH(Benchmark1[[#This Row],[Benchmark '#1 Dates]],Comp1[Comparable '#1 Dates],0)),"-")</f>
        <v>4.5641338929373531E-3</v>
      </c>
      <c r="K1052" s="1">
        <f>IFERROR(IF(Benchmark1[[#This Row],[Comparable '#1 Date Check]]="Pass",Benchmark1[[#This Row],[Comparable '#1 Return]]-Benchmark1[[#This Row],[Benchmark '#1 Return]],"-"),"-")</f>
        <v>8.6674772685633346E-3</v>
      </c>
      <c r="L1052" s="1" t="str">
        <f>IF(COUNTIF(Comp2[Comparable '#2 Dates],Benchmark1[[#This Row],[Benchmark '#1 Dates]])=1,"Pass","Fail")</f>
        <v>Pass</v>
      </c>
      <c r="M1052" s="6">
        <f>IF(Benchmark1[[#This Row],[Comparable '#2 Date Check]]="Pass",INDEX(Comp2[Comparable '#2 Price],MATCH(Benchmark1[[#This Row],[Benchmark '#1 Dates]],Comp2[Comparable '#2 Dates],0)),"-")</f>
        <v>37.19</v>
      </c>
      <c r="N1052" s="22">
        <f>IF(Benchmark1[[#This Row],[Comparable '#2 Date Check]]="Pass",INDEX(Comp2[Comparable '#2 Return],MATCH(Benchmark1[[#This Row],[Benchmark '#1 Dates]],Comp2[Comparable '#2 Dates],0)),"-")</f>
        <v>7.8283568904972036E-3</v>
      </c>
      <c r="O1052" s="1">
        <f>IFERROR(IF(Benchmark1[[#This Row],[Comparable '#2 Date Check]]="Pass",Benchmark1[[#This Row],[Comparable '#2 Return]]-Benchmark1[[#This Row],[Benchmark '#1 Return]],"-"),"-")</f>
        <v>1.1931700266123186E-2</v>
      </c>
      <c r="P1052" s="1" t="str">
        <f>IF(COUNTIF(Comp3[Comparable '#3 Dates],Benchmark1[[#This Row],[Benchmark '#1 Dates]])=1,"Pass","Fail")</f>
        <v>Pass</v>
      </c>
      <c r="Q1052" s="6">
        <f>IF(Benchmark1[[#This Row],[Comparable '#3 Date Check]]="Pass",INDEX(Comp3[Comparable '#3 Price],MATCH(Benchmark1[[#This Row],[Benchmark '#1 Dates]],Comp3[Comparable '#3 Dates],0)),"-")</f>
        <v>62.38</v>
      </c>
      <c r="R1052" s="22">
        <f>IF(Benchmark1[[#This Row],[Comparable '#3 Date Check]]="Pass",INDEX(Comp3[Comparable '#3 Return],MATCH(Benchmark1[[#This Row],[Benchmark '#1 Dates]],Comp3[Comparable '#3 Dates],0)),"-")</f>
        <v>-3.3608097569529523E-3</v>
      </c>
      <c r="S1052" s="1">
        <f>IFERROR(IF(Benchmark1[[#This Row],[Comparable '#3 Date Check]]="Pass",Benchmark1[[#This Row],[Comparable '#3 Return]]-Benchmark1[[#This Row],[Benchmark '#1 Return]],"-"),"-")</f>
        <v>7.4253361867302912E-4</v>
      </c>
    </row>
    <row r="1053" spans="1:19">
      <c r="A1053" s="103">
        <v>44811</v>
      </c>
      <c r="B1053" s="104">
        <v>3979.8748964627321</v>
      </c>
      <c r="C1053" s="4">
        <f t="shared" si="16"/>
        <v>1.817603764277936E-2</v>
      </c>
      <c r="D1053" s="1" t="str">
        <f>IF(COUNTIF(Target1[Target Dates],Benchmark1[[#This Row],[Benchmark '#1 Dates]])=1,"Pass","Fail")</f>
        <v>Pass</v>
      </c>
      <c r="E1053" s="6">
        <f>IF(Benchmark1[[#This Row],[Target Date Check]]="Pass",INDEX(Target1[Target Price],MATCH(Benchmark1[[#This Row],[Benchmark '#1 Dates]],Target1[Target Dates],0)),"-")</f>
        <v>38.42</v>
      </c>
      <c r="F1053" s="22">
        <f>IF(Benchmark1[[#This Row],[Target Date Check]]="Pass",INDEX(Target1[Target Return],MATCH(Benchmark1[[#This Row],[Benchmark '#1 Dates]],Target1[Target Dates],0)),"-")</f>
        <v>-9.0685943424271952E-3</v>
      </c>
      <c r="G1053" s="1">
        <f>IFERROR(IF(Benchmark1[[#This Row],[Target Date Check]]="Pass",Benchmark1[[#This Row],[Target Return]]-Benchmark1[[#This Row],[Benchmark '#1 Return]],"-"),"-")</f>
        <v>-2.7244631985206554E-2</v>
      </c>
      <c r="H1053" s="1" t="str">
        <f>IF(COUNTIF(Comp1[Comparable '#1 Dates],Benchmark1[[#This Row],[Benchmark '#1 Dates]])=1,"Pass","Fail")</f>
        <v>Pass</v>
      </c>
      <c r="I1053" s="6">
        <f>IF(Benchmark1[[#This Row],[Comparable '#1 Date Check]]="Pass",INDEX(Comp1[Comparable '#1 Price],MATCH(Benchmark1[[#This Row],[Benchmark '#1 Dates]],Comp1[Comparable '#1 Dates],0)),"-")</f>
        <v>11.1</v>
      </c>
      <c r="J1053" s="22">
        <f>IF(Benchmark1[[#This Row],[Comparable '#1 Date Check]]="Pass",INDEX(Comp1[Comparable '#1 Return],MATCH(Benchmark1[[#This Row],[Benchmark '#1 Dates]],Comp1[Comparable '#1 Dates],0)),"-")</f>
        <v>1.0869672236903891E-2</v>
      </c>
      <c r="K1053" s="1">
        <f>IFERROR(IF(Benchmark1[[#This Row],[Comparable '#1 Date Check]]="Pass",Benchmark1[[#This Row],[Comparable '#1 Return]]-Benchmark1[[#This Row],[Benchmark '#1 Return]],"-"),"-")</f>
        <v>-7.3063654058754691E-3</v>
      </c>
      <c r="L1053" s="1" t="str">
        <f>IF(COUNTIF(Comp2[Comparable '#2 Dates],Benchmark1[[#This Row],[Benchmark '#1 Dates]])=1,"Pass","Fail")</f>
        <v>Pass</v>
      </c>
      <c r="M1053" s="6">
        <f>IF(Benchmark1[[#This Row],[Comparable '#2 Date Check]]="Pass",INDEX(Comp2[Comparable '#2 Price],MATCH(Benchmark1[[#This Row],[Benchmark '#1 Dates]],Comp2[Comparable '#2 Dates],0)),"-")</f>
        <v>37.97</v>
      </c>
      <c r="N1053" s="22">
        <f>IF(Benchmark1[[#This Row],[Comparable '#2 Date Check]]="Pass",INDEX(Comp2[Comparable '#2 Return],MATCH(Benchmark1[[#This Row],[Benchmark '#1 Dates]],Comp2[Comparable '#2 Dates],0)),"-")</f>
        <v>2.0756466306732221E-2</v>
      </c>
      <c r="O1053" s="1">
        <f>IFERROR(IF(Benchmark1[[#This Row],[Comparable '#2 Date Check]]="Pass",Benchmark1[[#This Row],[Comparable '#2 Return]]-Benchmark1[[#This Row],[Benchmark '#1 Return]],"-"),"-")</f>
        <v>2.5804286639528606E-3</v>
      </c>
      <c r="P1053" s="1" t="str">
        <f>IF(COUNTIF(Comp3[Comparable '#3 Dates],Benchmark1[[#This Row],[Benchmark '#1 Dates]])=1,"Pass","Fail")</f>
        <v>Pass</v>
      </c>
      <c r="Q1053" s="6">
        <f>IF(Benchmark1[[#This Row],[Comparable '#3 Date Check]]="Pass",INDEX(Comp3[Comparable '#3 Price],MATCH(Benchmark1[[#This Row],[Benchmark '#1 Dates]],Comp3[Comparable '#3 Dates],0)),"-")</f>
        <v>63.22</v>
      </c>
      <c r="R1053" s="22">
        <f>IF(Benchmark1[[#This Row],[Comparable '#3 Date Check]]="Pass",INDEX(Comp3[Comparable '#3 Return],MATCH(Benchmark1[[#This Row],[Benchmark '#1 Dates]],Comp3[Comparable '#3 Dates],0)),"-")</f>
        <v>1.3375995607814386E-2</v>
      </c>
      <c r="S1053" s="1">
        <f>IFERROR(IF(Benchmark1[[#This Row],[Comparable '#3 Date Check]]="Pass",Benchmark1[[#This Row],[Comparable '#3 Return]]-Benchmark1[[#This Row],[Benchmark '#1 Return]],"-"),"-")</f>
        <v>-4.8000420349649745E-3</v>
      </c>
    </row>
    <row r="1054" spans="1:19">
      <c r="A1054" s="103">
        <v>44812</v>
      </c>
      <c r="B1054" s="104">
        <v>4006.1791171570976</v>
      </c>
      <c r="C1054" s="4">
        <f t="shared" si="16"/>
        <v>6.5875627122550968E-3</v>
      </c>
      <c r="D1054" s="1" t="str">
        <f>IF(COUNTIF(Target1[Target Dates],Benchmark1[[#This Row],[Benchmark '#1 Dates]])=1,"Pass","Fail")</f>
        <v>Pass</v>
      </c>
      <c r="E1054" s="6">
        <f>IF(Benchmark1[[#This Row],[Target Date Check]]="Pass",INDEX(Target1[Target Price],MATCH(Benchmark1[[#This Row],[Benchmark '#1 Dates]],Target1[Target Dates],0)),"-")</f>
        <v>39.15</v>
      </c>
      <c r="F1054" s="22">
        <f>IF(Benchmark1[[#This Row],[Target Date Check]]="Pass",INDEX(Target1[Target Return],MATCH(Benchmark1[[#This Row],[Benchmark '#1 Dates]],Target1[Target Dates],0)),"-")</f>
        <v>1.882226509640136E-2</v>
      </c>
      <c r="G1054" s="1">
        <f>IFERROR(IF(Benchmark1[[#This Row],[Target Date Check]]="Pass",Benchmark1[[#This Row],[Target Return]]-Benchmark1[[#This Row],[Benchmark '#1 Return]],"-"),"-")</f>
        <v>1.2234702384146263E-2</v>
      </c>
      <c r="H1054" s="1" t="str">
        <f>IF(COUNTIF(Comp1[Comparable '#1 Dates],Benchmark1[[#This Row],[Benchmark '#1 Dates]])=1,"Pass","Fail")</f>
        <v>Pass</v>
      </c>
      <c r="I1054" s="6">
        <f>IF(Benchmark1[[#This Row],[Comparable '#1 Date Check]]="Pass",INDEX(Comp1[Comparable '#1 Price],MATCH(Benchmark1[[#This Row],[Benchmark '#1 Dates]],Comp1[Comparable '#1 Dates],0)),"-")</f>
        <v>11.04</v>
      </c>
      <c r="J1054" s="22">
        <f>IF(Benchmark1[[#This Row],[Comparable '#1 Date Check]]="Pass",INDEX(Comp1[Comparable '#1 Return],MATCH(Benchmark1[[#This Row],[Benchmark '#1 Dates]],Comp1[Comparable '#1 Dates],0)),"-")</f>
        <v>-5.4200674693392556E-3</v>
      </c>
      <c r="K1054" s="1">
        <f>IFERROR(IF(Benchmark1[[#This Row],[Comparable '#1 Date Check]]="Pass",Benchmark1[[#This Row],[Comparable '#1 Return]]-Benchmark1[[#This Row],[Benchmark '#1 Return]],"-"),"-")</f>
        <v>-1.2007630181594352E-2</v>
      </c>
      <c r="L1054" s="1" t="str">
        <f>IF(COUNTIF(Comp2[Comparable '#2 Dates],Benchmark1[[#This Row],[Benchmark '#1 Dates]])=1,"Pass","Fail")</f>
        <v>Pass</v>
      </c>
      <c r="M1054" s="6">
        <f>IF(Benchmark1[[#This Row],[Comparable '#2 Date Check]]="Pass",INDEX(Comp2[Comparable '#2 Price],MATCH(Benchmark1[[#This Row],[Benchmark '#1 Dates]],Comp2[Comparable '#2 Dates],0)),"-")</f>
        <v>37.54</v>
      </c>
      <c r="N1054" s="22">
        <f>IF(Benchmark1[[#This Row],[Comparable '#2 Date Check]]="Pass",INDEX(Comp2[Comparable '#2 Return],MATCH(Benchmark1[[#This Row],[Benchmark '#1 Dates]],Comp2[Comparable '#2 Dates],0)),"-")</f>
        <v>-1.1389343085348225E-2</v>
      </c>
      <c r="O1054" s="1">
        <f>IFERROR(IF(Benchmark1[[#This Row],[Comparable '#2 Date Check]]="Pass",Benchmark1[[#This Row],[Comparable '#2 Return]]-Benchmark1[[#This Row],[Benchmark '#1 Return]],"-"),"-")</f>
        <v>-1.7976905797603322E-2</v>
      </c>
      <c r="P1054" s="1" t="str">
        <f>IF(COUNTIF(Comp3[Comparable '#3 Dates],Benchmark1[[#This Row],[Benchmark '#1 Dates]])=1,"Pass","Fail")</f>
        <v>Pass</v>
      </c>
      <c r="Q1054" s="6">
        <f>IF(Benchmark1[[#This Row],[Comparable '#3 Date Check]]="Pass",INDEX(Comp3[Comparable '#3 Price],MATCH(Benchmark1[[#This Row],[Benchmark '#1 Dates]],Comp3[Comparable '#3 Dates],0)),"-")</f>
        <v>63.31</v>
      </c>
      <c r="R1054" s="22">
        <f>IF(Benchmark1[[#This Row],[Comparable '#3 Date Check]]="Pass",INDEX(Comp3[Comparable '#3 Return],MATCH(Benchmark1[[#This Row],[Benchmark '#1 Dates]],Comp3[Comparable '#3 Dates],0)),"-")</f>
        <v>1.4225877685634469E-3</v>
      </c>
      <c r="S1054" s="1">
        <f>IFERROR(IF(Benchmark1[[#This Row],[Comparable '#3 Date Check]]="Pass",Benchmark1[[#This Row],[Comparable '#3 Return]]-Benchmark1[[#This Row],[Benchmark '#1 Return]],"-"),"-")</f>
        <v>-5.1649749436916501E-3</v>
      </c>
    </row>
    <row r="1055" spans="1:19">
      <c r="A1055" s="103">
        <v>44813</v>
      </c>
      <c r="B1055" s="104">
        <v>4067.3623245957529</v>
      </c>
      <c r="C1055" s="4">
        <f t="shared" si="16"/>
        <v>1.5156763401599127E-2</v>
      </c>
      <c r="D1055" s="1" t="str">
        <f>IF(COUNTIF(Target1[Target Dates],Benchmark1[[#This Row],[Benchmark '#1 Dates]])=1,"Pass","Fail")</f>
        <v>Pass</v>
      </c>
      <c r="E1055" s="6">
        <f>IF(Benchmark1[[#This Row],[Target Date Check]]="Pass",INDEX(Target1[Target Price],MATCH(Benchmark1[[#This Row],[Benchmark '#1 Dates]],Target1[Target Dates],0)),"-")</f>
        <v>39.21</v>
      </c>
      <c r="F1055" s="22">
        <f>IF(Benchmark1[[#This Row],[Target Date Check]]="Pass",INDEX(Target1[Target Return],MATCH(Benchmark1[[#This Row],[Benchmark '#1 Dates]],Target1[Target Dates],0)),"-")</f>
        <v>1.5313938674282647E-3</v>
      </c>
      <c r="G1055" s="1">
        <f>IFERROR(IF(Benchmark1[[#This Row],[Target Date Check]]="Pass",Benchmark1[[#This Row],[Target Return]]-Benchmark1[[#This Row],[Benchmark '#1 Return]],"-"),"-")</f>
        <v>-1.3625369534170862E-2</v>
      </c>
      <c r="H1055" s="1" t="str">
        <f>IF(COUNTIF(Comp1[Comparable '#1 Dates],Benchmark1[[#This Row],[Benchmark '#1 Dates]])=1,"Pass","Fail")</f>
        <v>Pass</v>
      </c>
      <c r="I1055" s="6">
        <f>IF(Benchmark1[[#This Row],[Comparable '#1 Date Check]]="Pass",INDEX(Comp1[Comparable '#1 Price],MATCH(Benchmark1[[#This Row],[Benchmark '#1 Dates]],Comp1[Comparable '#1 Dates],0)),"-")</f>
        <v>11.15</v>
      </c>
      <c r="J1055" s="22">
        <f>IF(Benchmark1[[#This Row],[Comparable '#1 Date Check]]="Pass",INDEX(Comp1[Comparable '#1 Return],MATCH(Benchmark1[[#This Row],[Benchmark '#1 Dates]],Comp1[Comparable '#1 Dates],0)),"-")</f>
        <v>9.9144570571786123E-3</v>
      </c>
      <c r="K1055" s="1">
        <f>IFERROR(IF(Benchmark1[[#This Row],[Comparable '#1 Date Check]]="Pass",Benchmark1[[#This Row],[Comparable '#1 Return]]-Benchmark1[[#This Row],[Benchmark '#1 Return]],"-"),"-")</f>
        <v>-5.2423063444205151E-3</v>
      </c>
      <c r="L1055" s="1" t="str">
        <f>IF(COUNTIF(Comp2[Comparable '#2 Dates],Benchmark1[[#This Row],[Benchmark '#1 Dates]])=1,"Pass","Fail")</f>
        <v>Pass</v>
      </c>
      <c r="M1055" s="6">
        <f>IF(Benchmark1[[#This Row],[Comparable '#2 Date Check]]="Pass",INDEX(Comp2[Comparable '#2 Price],MATCH(Benchmark1[[#This Row],[Benchmark '#1 Dates]],Comp2[Comparable '#2 Dates],0)),"-")</f>
        <v>37.659999999999997</v>
      </c>
      <c r="N1055" s="22">
        <f>IF(Benchmark1[[#This Row],[Comparable '#2 Date Check]]="Pass",INDEX(Comp2[Comparable '#2 Return],MATCH(Benchmark1[[#This Row],[Benchmark '#1 Dates]],Comp2[Comparable '#2 Dates],0)),"-")</f>
        <v>3.191492070643431E-3</v>
      </c>
      <c r="O1055" s="1">
        <f>IFERROR(IF(Benchmark1[[#This Row],[Comparable '#2 Date Check]]="Pass",Benchmark1[[#This Row],[Comparable '#2 Return]]-Benchmark1[[#This Row],[Benchmark '#1 Return]],"-"),"-")</f>
        <v>-1.1965271330955696E-2</v>
      </c>
      <c r="P1055" s="1" t="str">
        <f>IF(COUNTIF(Comp3[Comparable '#3 Dates],Benchmark1[[#This Row],[Benchmark '#1 Dates]])=1,"Pass","Fail")</f>
        <v>Pass</v>
      </c>
      <c r="Q1055" s="6">
        <f>IF(Benchmark1[[#This Row],[Comparable '#3 Date Check]]="Pass",INDEX(Comp3[Comparable '#3 Price],MATCH(Benchmark1[[#This Row],[Benchmark '#1 Dates]],Comp3[Comparable '#3 Dates],0)),"-")</f>
        <v>64.39</v>
      </c>
      <c r="R1055" s="22">
        <f>IF(Benchmark1[[#This Row],[Comparable '#3 Date Check]]="Pass",INDEX(Comp3[Comparable '#3 Return],MATCH(Benchmark1[[#This Row],[Benchmark '#1 Dates]],Comp3[Comparable '#3 Dates],0)),"-")</f>
        <v>1.6915046994056989E-2</v>
      </c>
      <c r="S1055" s="1">
        <f>IFERROR(IF(Benchmark1[[#This Row],[Comparable '#3 Date Check]]="Pass",Benchmark1[[#This Row],[Comparable '#3 Return]]-Benchmark1[[#This Row],[Benchmark '#1 Return]],"-"),"-")</f>
        <v>1.7582835924578617E-3</v>
      </c>
    </row>
    <row r="1056" spans="1:19">
      <c r="A1056" s="103">
        <v>44816</v>
      </c>
      <c r="B1056" s="104">
        <v>4110.4080598157179</v>
      </c>
      <c r="C1056" s="4">
        <f t="shared" si="16"/>
        <v>1.0527596339839343E-2</v>
      </c>
      <c r="D1056" s="1" t="str">
        <f>IF(COUNTIF(Target1[Target Dates],Benchmark1[[#This Row],[Benchmark '#1 Dates]])=1,"Pass","Fail")</f>
        <v>Pass</v>
      </c>
      <c r="E1056" s="6">
        <f>IF(Benchmark1[[#This Row],[Target Date Check]]="Pass",INDEX(Target1[Target Price],MATCH(Benchmark1[[#This Row],[Benchmark '#1 Dates]],Target1[Target Dates],0)),"-")</f>
        <v>39.659999999999997</v>
      </c>
      <c r="F1056" s="22">
        <f>IF(Benchmark1[[#This Row],[Target Date Check]]="Pass",INDEX(Target1[Target Return],MATCH(Benchmark1[[#This Row],[Benchmark '#1 Dates]],Target1[Target Dates],0)),"-")</f>
        <v>1.1411306787409451E-2</v>
      </c>
      <c r="G1056" s="1">
        <f>IFERROR(IF(Benchmark1[[#This Row],[Target Date Check]]="Pass",Benchmark1[[#This Row],[Target Return]]-Benchmark1[[#This Row],[Benchmark '#1 Return]],"-"),"-")</f>
        <v>8.837104475701088E-4</v>
      </c>
      <c r="H1056" s="1" t="str">
        <f>IF(COUNTIF(Comp1[Comparable '#1 Dates],Benchmark1[[#This Row],[Benchmark '#1 Dates]])=1,"Pass","Fail")</f>
        <v>Pass</v>
      </c>
      <c r="I1056" s="6">
        <f>IF(Benchmark1[[#This Row],[Comparable '#1 Date Check]]="Pass",INDEX(Comp1[Comparable '#1 Price],MATCH(Benchmark1[[#This Row],[Benchmark '#1 Dates]],Comp1[Comparable '#1 Dates],0)),"-")</f>
        <v>11.55</v>
      </c>
      <c r="J1056" s="22">
        <f>IF(Benchmark1[[#This Row],[Comparable '#1 Date Check]]="Pass",INDEX(Comp1[Comparable '#1 Return],MATCH(Benchmark1[[#This Row],[Benchmark '#1 Dates]],Comp1[Comparable '#1 Dates],0)),"-")</f>
        <v>3.5245939061674884E-2</v>
      </c>
      <c r="K1056" s="1">
        <f>IFERROR(IF(Benchmark1[[#This Row],[Comparable '#1 Date Check]]="Pass",Benchmark1[[#This Row],[Comparable '#1 Return]]-Benchmark1[[#This Row],[Benchmark '#1 Return]],"-"),"-")</f>
        <v>2.471834272183554E-2</v>
      </c>
      <c r="L1056" s="1" t="str">
        <f>IF(COUNTIF(Comp2[Comparable '#2 Dates],Benchmark1[[#This Row],[Benchmark '#1 Dates]])=1,"Pass","Fail")</f>
        <v>Pass</v>
      </c>
      <c r="M1056" s="6">
        <f>IF(Benchmark1[[#This Row],[Comparable '#2 Date Check]]="Pass",INDEX(Comp2[Comparable '#2 Price],MATCH(Benchmark1[[#This Row],[Benchmark '#1 Dates]],Comp2[Comparable '#2 Dates],0)),"-")</f>
        <v>39.340000000000003</v>
      </c>
      <c r="N1056" s="22">
        <f>IF(Benchmark1[[#This Row],[Comparable '#2 Date Check]]="Pass",INDEX(Comp2[Comparable '#2 Return],MATCH(Benchmark1[[#This Row],[Benchmark '#1 Dates]],Comp2[Comparable '#2 Dates],0)),"-")</f>
        <v>4.3643289731906794E-2</v>
      </c>
      <c r="O1056" s="1">
        <f>IFERROR(IF(Benchmark1[[#This Row],[Comparable '#2 Date Check]]="Pass",Benchmark1[[#This Row],[Comparable '#2 Return]]-Benchmark1[[#This Row],[Benchmark '#1 Return]],"-"),"-")</f>
        <v>3.311569339206745E-2</v>
      </c>
      <c r="P1056" s="1" t="str">
        <f>IF(COUNTIF(Comp3[Comparable '#3 Dates],Benchmark1[[#This Row],[Benchmark '#1 Dates]])=1,"Pass","Fail")</f>
        <v>Pass</v>
      </c>
      <c r="Q1056" s="6">
        <f>IF(Benchmark1[[#This Row],[Comparable '#3 Date Check]]="Pass",INDEX(Comp3[Comparable '#3 Price],MATCH(Benchmark1[[#This Row],[Benchmark '#1 Dates]],Comp3[Comparable '#3 Dates],0)),"-")</f>
        <v>65.930000000000007</v>
      </c>
      <c r="R1056" s="22">
        <f>IF(Benchmark1[[#This Row],[Comparable '#3 Date Check]]="Pass",INDEX(Comp3[Comparable '#3 Return],MATCH(Benchmark1[[#This Row],[Benchmark '#1 Dates]],Comp3[Comparable '#3 Dates],0)),"-")</f>
        <v>2.3635231575116159E-2</v>
      </c>
      <c r="S1056" s="1">
        <f>IFERROR(IF(Benchmark1[[#This Row],[Comparable '#3 Date Check]]="Pass",Benchmark1[[#This Row],[Comparable '#3 Return]]-Benchmark1[[#This Row],[Benchmark '#1 Return]],"-"),"-")</f>
        <v>1.3107635235276817E-2</v>
      </c>
    </row>
    <row r="1057" spans="1:19">
      <c r="A1057" s="103">
        <v>44817</v>
      </c>
      <c r="B1057" s="104">
        <v>3932.6932999388068</v>
      </c>
      <c r="C1057" s="4">
        <f t="shared" si="16"/>
        <v>-4.4197798997870789E-2</v>
      </c>
      <c r="D1057" s="1" t="str">
        <f>IF(COUNTIF(Target1[Target Dates],Benchmark1[[#This Row],[Benchmark '#1 Dates]])=1,"Pass","Fail")</f>
        <v>Pass</v>
      </c>
      <c r="E1057" s="6">
        <f>IF(Benchmark1[[#This Row],[Target Date Check]]="Pass",INDEX(Target1[Target Price],MATCH(Benchmark1[[#This Row],[Benchmark '#1 Dates]],Target1[Target Dates],0)),"-")</f>
        <v>39.57</v>
      </c>
      <c r="F1057" s="22">
        <f>IF(Benchmark1[[#This Row],[Target Date Check]]="Pass",INDEX(Target1[Target Return],MATCH(Benchmark1[[#This Row],[Benchmark '#1 Dates]],Target1[Target Dates],0)),"-")</f>
        <v>-2.2718676943169077E-3</v>
      </c>
      <c r="G1057" s="1">
        <f>IFERROR(IF(Benchmark1[[#This Row],[Target Date Check]]="Pass",Benchmark1[[#This Row],[Target Return]]-Benchmark1[[#This Row],[Benchmark '#1 Return]],"-"),"-")</f>
        <v>4.1925931303553883E-2</v>
      </c>
      <c r="H1057" s="1" t="str">
        <f>IF(COUNTIF(Comp1[Comparable '#1 Dates],Benchmark1[[#This Row],[Benchmark '#1 Dates]])=1,"Pass","Fail")</f>
        <v>Pass</v>
      </c>
      <c r="I1057" s="6">
        <f>IF(Benchmark1[[#This Row],[Comparable '#1 Date Check]]="Pass",INDEX(Comp1[Comparable '#1 Price],MATCH(Benchmark1[[#This Row],[Benchmark '#1 Dates]],Comp1[Comparable '#1 Dates],0)),"-")</f>
        <v>11.4</v>
      </c>
      <c r="J1057" s="22">
        <f>IF(Benchmark1[[#This Row],[Comparable '#1 Date Check]]="Pass",INDEX(Comp1[Comparable '#1 Return],MATCH(Benchmark1[[#This Row],[Benchmark '#1 Dates]],Comp1[Comparable '#1 Dates],0)),"-")</f>
        <v>-1.3072081567352775E-2</v>
      </c>
      <c r="K1057" s="1">
        <f>IFERROR(IF(Benchmark1[[#This Row],[Comparable '#1 Date Check]]="Pass",Benchmark1[[#This Row],[Comparable '#1 Return]]-Benchmark1[[#This Row],[Benchmark '#1 Return]],"-"),"-")</f>
        <v>3.1125717430518014E-2</v>
      </c>
      <c r="L1057" s="1" t="str">
        <f>IF(COUNTIF(Comp2[Comparable '#2 Dates],Benchmark1[[#This Row],[Benchmark '#1 Dates]])=1,"Pass","Fail")</f>
        <v>Pass</v>
      </c>
      <c r="M1057" s="6">
        <f>IF(Benchmark1[[#This Row],[Comparable '#2 Date Check]]="Pass",INDEX(Comp2[Comparable '#2 Price],MATCH(Benchmark1[[#This Row],[Benchmark '#1 Dates]],Comp2[Comparable '#2 Dates],0)),"-")</f>
        <v>37.770000000000003</v>
      </c>
      <c r="N1057" s="22">
        <f>IF(Benchmark1[[#This Row],[Comparable '#2 Date Check]]="Pass",INDEX(Comp2[Comparable '#2 Return],MATCH(Benchmark1[[#This Row],[Benchmark '#1 Dates]],Comp2[Comparable '#2 Dates],0)),"-")</f>
        <v>-4.0726676236547542E-2</v>
      </c>
      <c r="O1057" s="1">
        <f>IFERROR(IF(Benchmark1[[#This Row],[Comparable '#2 Date Check]]="Pass",Benchmark1[[#This Row],[Comparable '#2 Return]]-Benchmark1[[#This Row],[Benchmark '#1 Return]],"-"),"-")</f>
        <v>3.4711227613232476E-3</v>
      </c>
      <c r="P1057" s="1" t="str">
        <f>IF(COUNTIF(Comp3[Comparable '#3 Dates],Benchmark1[[#This Row],[Benchmark '#1 Dates]])=1,"Pass","Fail")</f>
        <v>Pass</v>
      </c>
      <c r="Q1057" s="6">
        <f>IF(Benchmark1[[#This Row],[Comparable '#3 Date Check]]="Pass",INDEX(Comp3[Comparable '#3 Price],MATCH(Benchmark1[[#This Row],[Benchmark '#1 Dates]],Comp3[Comparable '#3 Dates],0)),"-")</f>
        <v>64.02</v>
      </c>
      <c r="R1057" s="22">
        <f>IF(Benchmark1[[#This Row],[Comparable '#3 Date Check]]="Pass",INDEX(Comp3[Comparable '#3 Return],MATCH(Benchmark1[[#This Row],[Benchmark '#1 Dates]],Comp3[Comparable '#3 Dates],0)),"-")</f>
        <v>-2.9398038583491423E-2</v>
      </c>
      <c r="S1057" s="1">
        <f>IFERROR(IF(Benchmark1[[#This Row],[Comparable '#3 Date Check]]="Pass",Benchmark1[[#This Row],[Comparable '#3 Return]]-Benchmark1[[#This Row],[Benchmark '#1 Return]],"-"),"-")</f>
        <v>1.4799760414379366E-2</v>
      </c>
    </row>
    <row r="1058" spans="1:19">
      <c r="A1058" s="103">
        <v>44818</v>
      </c>
      <c r="B1058" s="104">
        <v>3946.0123815156257</v>
      </c>
      <c r="C1058" s="4">
        <f t="shared" si="16"/>
        <v>3.3810361252998591E-3</v>
      </c>
      <c r="D1058" s="1" t="str">
        <f>IF(COUNTIF(Target1[Target Dates],Benchmark1[[#This Row],[Benchmark '#1 Dates]])=1,"Pass","Fail")</f>
        <v>Pass</v>
      </c>
      <c r="E1058" s="6">
        <f>IF(Benchmark1[[#This Row],[Target Date Check]]="Pass",INDEX(Target1[Target Price],MATCH(Benchmark1[[#This Row],[Benchmark '#1 Dates]],Target1[Target Dates],0)),"-")</f>
        <v>39.96</v>
      </c>
      <c r="F1058" s="22">
        <f>IF(Benchmark1[[#This Row],[Target Date Check]]="Pass",INDEX(Target1[Target Return],MATCH(Benchmark1[[#This Row],[Benchmark '#1 Dates]],Target1[Target Dates],0)),"-")</f>
        <v>9.8076983830198139E-3</v>
      </c>
      <c r="G1058" s="1">
        <f>IFERROR(IF(Benchmark1[[#This Row],[Target Date Check]]="Pass",Benchmark1[[#This Row],[Target Return]]-Benchmark1[[#This Row],[Benchmark '#1 Return]],"-"),"-")</f>
        <v>6.4266622577199544E-3</v>
      </c>
      <c r="H1058" s="1" t="str">
        <f>IF(COUNTIF(Comp1[Comparable '#1 Dates],Benchmark1[[#This Row],[Benchmark '#1 Dates]])=1,"Pass","Fail")</f>
        <v>Pass</v>
      </c>
      <c r="I1058" s="6">
        <f>IF(Benchmark1[[#This Row],[Comparable '#1 Date Check]]="Pass",INDEX(Comp1[Comparable '#1 Price],MATCH(Benchmark1[[#This Row],[Benchmark '#1 Dates]],Comp1[Comparable '#1 Dates],0)),"-")</f>
        <v>11.28</v>
      </c>
      <c r="J1058" s="22">
        <f>IF(Benchmark1[[#This Row],[Comparable '#1 Date Check]]="Pass",INDEX(Comp1[Comparable '#1 Return],MATCH(Benchmark1[[#This Row],[Benchmark '#1 Dates]],Comp1[Comparable '#1 Dates],0)),"-")</f>
        <v>-1.0582109330536972E-2</v>
      </c>
      <c r="K1058" s="1">
        <f>IFERROR(IF(Benchmark1[[#This Row],[Comparable '#1 Date Check]]="Pass",Benchmark1[[#This Row],[Comparable '#1 Return]]-Benchmark1[[#This Row],[Benchmark '#1 Return]],"-"),"-")</f>
        <v>-1.3963145455836832E-2</v>
      </c>
      <c r="L1058" s="1" t="str">
        <f>IF(COUNTIF(Comp2[Comparable '#2 Dates],Benchmark1[[#This Row],[Benchmark '#1 Dates]])=1,"Pass","Fail")</f>
        <v>Pass</v>
      </c>
      <c r="M1058" s="6">
        <f>IF(Benchmark1[[#This Row],[Comparable '#2 Date Check]]="Pass",INDEX(Comp2[Comparable '#2 Price],MATCH(Benchmark1[[#This Row],[Benchmark '#1 Dates]],Comp2[Comparable '#2 Dates],0)),"-")</f>
        <v>38.15</v>
      </c>
      <c r="N1058" s="22">
        <f>IF(Benchmark1[[#This Row],[Comparable '#2 Date Check]]="Pass",INDEX(Comp2[Comparable '#2 Return],MATCH(Benchmark1[[#This Row],[Benchmark '#1 Dates]],Comp2[Comparable '#2 Dates],0)),"-")</f>
        <v>1.0010621006100491E-2</v>
      </c>
      <c r="O1058" s="1">
        <f>IFERROR(IF(Benchmark1[[#This Row],[Comparable '#2 Date Check]]="Pass",Benchmark1[[#This Row],[Comparable '#2 Return]]-Benchmark1[[#This Row],[Benchmark '#1 Return]],"-"),"-")</f>
        <v>6.6295848808006312E-3</v>
      </c>
      <c r="P1058" s="1" t="str">
        <f>IF(COUNTIF(Comp3[Comparable '#3 Dates],Benchmark1[[#This Row],[Benchmark '#1 Dates]])=1,"Pass","Fail")</f>
        <v>Pass</v>
      </c>
      <c r="Q1058" s="6">
        <f>IF(Benchmark1[[#This Row],[Comparable '#3 Date Check]]="Pass",INDEX(Comp3[Comparable '#3 Price],MATCH(Benchmark1[[#This Row],[Benchmark '#1 Dates]],Comp3[Comparable '#3 Dates],0)),"-")</f>
        <v>64.11</v>
      </c>
      <c r="R1058" s="22">
        <f>IF(Benchmark1[[#This Row],[Comparable '#3 Date Check]]="Pass",INDEX(Comp3[Comparable '#3 Return],MATCH(Benchmark1[[#This Row],[Benchmark '#1 Dates]],Comp3[Comparable '#3 Dates],0)),"-")</f>
        <v>1.4048234574489797E-3</v>
      </c>
      <c r="S1058" s="1">
        <f>IFERROR(IF(Benchmark1[[#This Row],[Comparable '#3 Date Check]]="Pass",Benchmark1[[#This Row],[Comparable '#3 Return]]-Benchmark1[[#This Row],[Benchmark '#1 Return]],"-"),"-")</f>
        <v>-1.9762126678508794E-3</v>
      </c>
    </row>
    <row r="1059" spans="1:19">
      <c r="A1059" s="103">
        <v>44819</v>
      </c>
      <c r="B1059" s="104">
        <v>3901.3528349124945</v>
      </c>
      <c r="C1059" s="4">
        <f t="shared" si="16"/>
        <v>-1.1382171600698168E-2</v>
      </c>
      <c r="D1059" s="1" t="str">
        <f>IF(COUNTIF(Target1[Target Dates],Benchmark1[[#This Row],[Benchmark '#1 Dates]])=1,"Pass","Fail")</f>
        <v>Pass</v>
      </c>
      <c r="E1059" s="6">
        <f>IF(Benchmark1[[#This Row],[Target Date Check]]="Pass",INDEX(Target1[Target Price],MATCH(Benchmark1[[#This Row],[Benchmark '#1 Dates]],Target1[Target Dates],0)),"-")</f>
        <v>39.81</v>
      </c>
      <c r="F1059" s="22">
        <f>IF(Benchmark1[[#This Row],[Target Date Check]]="Pass",INDEX(Target1[Target Return],MATCH(Benchmark1[[#This Row],[Benchmark '#1 Dates]],Target1[Target Dates],0)),"-")</f>
        <v>-3.7608167681269355E-3</v>
      </c>
      <c r="G1059" s="1">
        <f>IFERROR(IF(Benchmark1[[#This Row],[Target Date Check]]="Pass",Benchmark1[[#This Row],[Target Return]]-Benchmark1[[#This Row],[Benchmark '#1 Return]],"-"),"-")</f>
        <v>7.6213548325712328E-3</v>
      </c>
      <c r="H1059" s="1" t="str">
        <f>IF(COUNTIF(Comp1[Comparable '#1 Dates],Benchmark1[[#This Row],[Benchmark '#1 Dates]])=1,"Pass","Fail")</f>
        <v>Pass</v>
      </c>
      <c r="I1059" s="6">
        <f>IF(Benchmark1[[#This Row],[Comparable '#1 Date Check]]="Pass",INDEX(Comp1[Comparable '#1 Price],MATCH(Benchmark1[[#This Row],[Benchmark '#1 Dates]],Comp1[Comparable '#1 Dates],0)),"-")</f>
        <v>11.57</v>
      </c>
      <c r="J1059" s="22">
        <f>IF(Benchmark1[[#This Row],[Comparable '#1 Date Check]]="Pass",INDEX(Comp1[Comparable '#1 Return],MATCH(Benchmark1[[#This Row],[Benchmark '#1 Dates]],Comp1[Comparable '#1 Dates],0)),"-")</f>
        <v>2.5384295135672443E-2</v>
      </c>
      <c r="K1059" s="1">
        <f>IFERROR(IF(Benchmark1[[#This Row],[Comparable '#1 Date Check]]="Pass",Benchmark1[[#This Row],[Comparable '#1 Return]]-Benchmark1[[#This Row],[Benchmark '#1 Return]],"-"),"-")</f>
        <v>3.6766466736370615E-2</v>
      </c>
      <c r="L1059" s="1" t="str">
        <f>IF(COUNTIF(Comp2[Comparable '#2 Dates],Benchmark1[[#This Row],[Benchmark '#1 Dates]])=1,"Pass","Fail")</f>
        <v>Pass</v>
      </c>
      <c r="M1059" s="6">
        <f>IF(Benchmark1[[#This Row],[Comparable '#2 Date Check]]="Pass",INDEX(Comp2[Comparable '#2 Price],MATCH(Benchmark1[[#This Row],[Benchmark '#1 Dates]],Comp2[Comparable '#2 Dates],0)),"-")</f>
        <v>38.35</v>
      </c>
      <c r="N1059" s="22">
        <f>IF(Benchmark1[[#This Row],[Comparable '#2 Date Check]]="Pass",INDEX(Comp2[Comparable '#2 Return],MATCH(Benchmark1[[#This Row],[Benchmark '#1 Dates]],Comp2[Comparable '#2 Dates],0)),"-")</f>
        <v>5.2287700827992759E-3</v>
      </c>
      <c r="O1059" s="1">
        <f>IFERROR(IF(Benchmark1[[#This Row],[Comparable '#2 Date Check]]="Pass",Benchmark1[[#This Row],[Comparable '#2 Return]]-Benchmark1[[#This Row],[Benchmark '#1 Return]],"-"),"-")</f>
        <v>1.6610941683497443E-2</v>
      </c>
      <c r="P1059" s="1" t="str">
        <f>IF(COUNTIF(Comp3[Comparable '#3 Dates],Benchmark1[[#This Row],[Benchmark '#1 Dates]])=1,"Pass","Fail")</f>
        <v>Pass</v>
      </c>
      <c r="Q1059" s="6">
        <f>IF(Benchmark1[[#This Row],[Comparable '#3 Date Check]]="Pass",INDEX(Comp3[Comparable '#3 Price],MATCH(Benchmark1[[#This Row],[Benchmark '#1 Dates]],Comp3[Comparable '#3 Dates],0)),"-")</f>
        <v>65.180000000000007</v>
      </c>
      <c r="R1059" s="22">
        <f>IF(Benchmark1[[#This Row],[Comparable '#3 Date Check]]="Pass",INDEX(Comp3[Comparable '#3 Return],MATCH(Benchmark1[[#This Row],[Benchmark '#1 Dates]],Comp3[Comparable '#3 Dates],0)),"-")</f>
        <v>1.6552315410249586E-2</v>
      </c>
      <c r="S1059" s="1">
        <f>IFERROR(IF(Benchmark1[[#This Row],[Comparable '#3 Date Check]]="Pass",Benchmark1[[#This Row],[Comparable '#3 Return]]-Benchmark1[[#This Row],[Benchmark '#1 Return]],"-"),"-")</f>
        <v>2.7934487010947754E-2</v>
      </c>
    </row>
    <row r="1060" spans="1:19">
      <c r="A1060" s="103">
        <v>44820</v>
      </c>
      <c r="B1060" s="104">
        <v>3873.3342727398626</v>
      </c>
      <c r="C1060" s="4">
        <f t="shared" si="16"/>
        <v>-7.2076684457450541E-3</v>
      </c>
      <c r="D1060" s="1" t="str">
        <f>IF(COUNTIF(Target1[Target Dates],Benchmark1[[#This Row],[Benchmark '#1 Dates]])=1,"Pass","Fail")</f>
        <v>Pass</v>
      </c>
      <c r="E1060" s="6">
        <f>IF(Benchmark1[[#This Row],[Target Date Check]]="Pass",INDEX(Target1[Target Price],MATCH(Benchmark1[[#This Row],[Benchmark '#1 Dates]],Target1[Target Dates],0)),"-")</f>
        <v>40.11</v>
      </c>
      <c r="F1060" s="22">
        <f>IF(Benchmark1[[#This Row],[Target Date Check]]="Pass",INDEX(Target1[Target Return],MATCH(Benchmark1[[#This Row],[Benchmark '#1 Dates]],Target1[Target Dates],0)),"-")</f>
        <v>7.5075427697356336E-3</v>
      </c>
      <c r="G1060" s="1">
        <f>IFERROR(IF(Benchmark1[[#This Row],[Target Date Check]]="Pass",Benchmark1[[#This Row],[Target Return]]-Benchmark1[[#This Row],[Benchmark '#1 Return]],"-"),"-")</f>
        <v>1.4715211215480688E-2</v>
      </c>
      <c r="H1060" s="1" t="str">
        <f>IF(COUNTIF(Comp1[Comparable '#1 Dates],Benchmark1[[#This Row],[Benchmark '#1 Dates]])=1,"Pass","Fail")</f>
        <v>Pass</v>
      </c>
      <c r="I1060" s="6">
        <f>IF(Benchmark1[[#This Row],[Comparable '#1 Date Check]]="Pass",INDEX(Comp1[Comparable '#1 Price],MATCH(Benchmark1[[#This Row],[Benchmark '#1 Dates]],Comp1[Comparable '#1 Dates],0)),"-")</f>
        <v>11.51</v>
      </c>
      <c r="J1060" s="22">
        <f>IF(Benchmark1[[#This Row],[Comparable '#1 Date Check]]="Pass",INDEX(Comp1[Comparable '#1 Return],MATCH(Benchmark1[[#This Row],[Benchmark '#1 Dates]],Comp1[Comparable '#1 Dates],0)),"-")</f>
        <v>-5.199318471793995E-3</v>
      </c>
      <c r="K1060" s="1">
        <f>IFERROR(IF(Benchmark1[[#This Row],[Comparable '#1 Date Check]]="Pass",Benchmark1[[#This Row],[Comparable '#1 Return]]-Benchmark1[[#This Row],[Benchmark '#1 Return]],"-"),"-")</f>
        <v>2.0083499739510591E-3</v>
      </c>
      <c r="L1060" s="1" t="str">
        <f>IF(COUNTIF(Comp2[Comparable '#2 Dates],Benchmark1[[#This Row],[Benchmark '#1 Dates]])=1,"Pass","Fail")</f>
        <v>Pass</v>
      </c>
      <c r="M1060" s="6">
        <f>IF(Benchmark1[[#This Row],[Comparable '#2 Date Check]]="Pass",INDEX(Comp2[Comparable '#2 Price],MATCH(Benchmark1[[#This Row],[Benchmark '#1 Dates]],Comp2[Comparable '#2 Dates],0)),"-")</f>
        <v>37.270000000000003</v>
      </c>
      <c r="N1060" s="22">
        <f>IF(Benchmark1[[#This Row],[Comparable '#2 Date Check]]="Pass",INDEX(Comp2[Comparable '#2 Return],MATCH(Benchmark1[[#This Row],[Benchmark '#1 Dates]],Comp2[Comparable '#2 Dates],0)),"-")</f>
        <v>-2.8565814322098093E-2</v>
      </c>
      <c r="O1060" s="1">
        <f>IFERROR(IF(Benchmark1[[#This Row],[Comparable '#2 Date Check]]="Pass",Benchmark1[[#This Row],[Comparable '#2 Return]]-Benchmark1[[#This Row],[Benchmark '#1 Return]],"-"),"-")</f>
        <v>-2.1358145876353041E-2</v>
      </c>
      <c r="P1060" s="1" t="str">
        <f>IF(COUNTIF(Comp3[Comparable '#3 Dates],Benchmark1[[#This Row],[Benchmark '#1 Dates]])=1,"Pass","Fail")</f>
        <v>Pass</v>
      </c>
      <c r="Q1060" s="6">
        <f>IF(Benchmark1[[#This Row],[Comparable '#3 Date Check]]="Pass",INDEX(Comp3[Comparable '#3 Price],MATCH(Benchmark1[[#This Row],[Benchmark '#1 Dates]],Comp3[Comparable '#3 Dates],0)),"-")</f>
        <v>63.54</v>
      </c>
      <c r="R1060" s="22">
        <f>IF(Benchmark1[[#This Row],[Comparable '#3 Date Check]]="Pass",INDEX(Comp3[Comparable '#3 Return],MATCH(Benchmark1[[#This Row],[Benchmark '#1 Dates]],Comp3[Comparable '#3 Dates],0)),"-")</f>
        <v>-2.5483044568045485E-2</v>
      </c>
      <c r="S1060" s="1">
        <f>IFERROR(IF(Benchmark1[[#This Row],[Comparable '#3 Date Check]]="Pass",Benchmark1[[#This Row],[Comparable '#3 Return]]-Benchmark1[[#This Row],[Benchmark '#1 Return]],"-"),"-")</f>
        <v>-1.827537612230043E-2</v>
      </c>
    </row>
    <row r="1061" spans="1:19">
      <c r="A1061" s="103">
        <v>44823</v>
      </c>
      <c r="B1061" s="104">
        <v>3899.8859416362156</v>
      </c>
      <c r="C1061" s="4">
        <f t="shared" si="16"/>
        <v>6.8316016862000782E-3</v>
      </c>
      <c r="D1061" s="1" t="str">
        <f>IF(COUNTIF(Target1[Target Dates],Benchmark1[[#This Row],[Benchmark '#1 Dates]])=1,"Pass","Fail")</f>
        <v>Pass</v>
      </c>
      <c r="E1061" s="6">
        <f>IF(Benchmark1[[#This Row],[Target Date Check]]="Pass",INDEX(Target1[Target Price],MATCH(Benchmark1[[#This Row],[Benchmark '#1 Dates]],Target1[Target Dates],0)),"-")</f>
        <v>40.340000000000003</v>
      </c>
      <c r="F1061" s="22">
        <f>IF(Benchmark1[[#This Row],[Target Date Check]]="Pass",INDEX(Target1[Target Return],MATCH(Benchmark1[[#This Row],[Benchmark '#1 Dates]],Target1[Target Dates],0)),"-")</f>
        <v>5.7178527441042208E-3</v>
      </c>
      <c r="G1061" s="1">
        <f>IFERROR(IF(Benchmark1[[#This Row],[Target Date Check]]="Pass",Benchmark1[[#This Row],[Target Return]]-Benchmark1[[#This Row],[Benchmark '#1 Return]],"-"),"-")</f>
        <v>-1.1137489420958574E-3</v>
      </c>
      <c r="H1061" s="1" t="str">
        <f>IF(COUNTIF(Comp1[Comparable '#1 Dates],Benchmark1[[#This Row],[Benchmark '#1 Dates]])=1,"Pass","Fail")</f>
        <v>Pass</v>
      </c>
      <c r="I1061" s="6">
        <f>IF(Benchmark1[[#This Row],[Comparable '#1 Date Check]]="Pass",INDEX(Comp1[Comparable '#1 Price],MATCH(Benchmark1[[#This Row],[Benchmark '#1 Dates]],Comp1[Comparable '#1 Dates],0)),"-")</f>
        <v>11.66</v>
      </c>
      <c r="J1061" s="22">
        <f>IF(Benchmark1[[#This Row],[Comparable '#1 Date Check]]="Pass",INDEX(Comp1[Comparable '#1 Return],MATCH(Benchmark1[[#This Row],[Benchmark '#1 Dates]],Comp1[Comparable '#1 Dates],0)),"-")</f>
        <v>1.2947958188555169E-2</v>
      </c>
      <c r="K1061" s="1">
        <f>IFERROR(IF(Benchmark1[[#This Row],[Comparable '#1 Date Check]]="Pass",Benchmark1[[#This Row],[Comparable '#1 Return]]-Benchmark1[[#This Row],[Benchmark '#1 Return]],"-"),"-")</f>
        <v>6.1163565023550906E-3</v>
      </c>
      <c r="L1061" s="1" t="str">
        <f>IF(COUNTIF(Comp2[Comparable '#2 Dates],Benchmark1[[#This Row],[Benchmark '#1 Dates]])=1,"Pass","Fail")</f>
        <v>Pass</v>
      </c>
      <c r="M1061" s="6">
        <f>IF(Benchmark1[[#This Row],[Comparable '#2 Date Check]]="Pass",INDEX(Comp2[Comparable '#2 Price],MATCH(Benchmark1[[#This Row],[Benchmark '#1 Dates]],Comp2[Comparable '#2 Dates],0)),"-")</f>
        <v>37.18</v>
      </c>
      <c r="N1061" s="22">
        <f>IF(Benchmark1[[#This Row],[Comparable '#2 Date Check]]="Pass",INDEX(Comp2[Comparable '#2 Return],MATCH(Benchmark1[[#This Row],[Benchmark '#1 Dates]],Comp2[Comparable '#2 Dates],0)),"-")</f>
        <v>-2.4177311978691904E-3</v>
      </c>
      <c r="O1061" s="1">
        <f>IFERROR(IF(Benchmark1[[#This Row],[Comparable '#2 Date Check]]="Pass",Benchmark1[[#This Row],[Comparable '#2 Return]]-Benchmark1[[#This Row],[Benchmark '#1 Return]],"-"),"-")</f>
        <v>-9.2493328840692682E-3</v>
      </c>
      <c r="P1061" s="1" t="str">
        <f>IF(COUNTIF(Comp3[Comparable '#3 Dates],Benchmark1[[#This Row],[Benchmark '#1 Dates]])=1,"Pass","Fail")</f>
        <v>Pass</v>
      </c>
      <c r="Q1061" s="6">
        <f>IF(Benchmark1[[#This Row],[Comparable '#3 Date Check]]="Pass",INDEX(Comp3[Comparable '#3 Price],MATCH(Benchmark1[[#This Row],[Benchmark '#1 Dates]],Comp3[Comparable '#3 Dates],0)),"-")</f>
        <v>63.67</v>
      </c>
      <c r="R1061" s="22">
        <f>IF(Benchmark1[[#This Row],[Comparable '#3 Date Check]]="Pass",INDEX(Comp3[Comparable '#3 Return],MATCH(Benchmark1[[#This Row],[Benchmark '#1 Dates]],Comp3[Comparable '#3 Dates],0)),"-")</f>
        <v>2.0438651875639372E-3</v>
      </c>
      <c r="S1061" s="1">
        <f>IFERROR(IF(Benchmark1[[#This Row],[Comparable '#3 Date Check]]="Pass",Benchmark1[[#This Row],[Comparable '#3 Return]]-Benchmark1[[#This Row],[Benchmark '#1 Return]],"-"),"-")</f>
        <v>-4.787736498636141E-3</v>
      </c>
    </row>
    <row r="1062" spans="1:19">
      <c r="A1062" s="103">
        <v>44824</v>
      </c>
      <c r="B1062" s="104">
        <v>3855.9343211645441</v>
      </c>
      <c r="C1062" s="4">
        <f t="shared" si="16"/>
        <v>-1.1333963263406797E-2</v>
      </c>
      <c r="D1062" s="1" t="str">
        <f>IF(COUNTIF(Target1[Target Dates],Benchmark1[[#This Row],[Benchmark '#1 Dates]])=1,"Pass","Fail")</f>
        <v>Pass</v>
      </c>
      <c r="E1062" s="6">
        <f>IF(Benchmark1[[#This Row],[Target Date Check]]="Pass",INDEX(Target1[Target Price],MATCH(Benchmark1[[#This Row],[Benchmark '#1 Dates]],Target1[Target Dates],0)),"-")</f>
        <v>41.17</v>
      </c>
      <c r="F1062" s="22">
        <f>IF(Benchmark1[[#This Row],[Target Date Check]]="Pass",INDEX(Target1[Target Return],MATCH(Benchmark1[[#This Row],[Benchmark '#1 Dates]],Target1[Target Dates],0)),"-")</f>
        <v>2.0366303255747564E-2</v>
      </c>
      <c r="G1062" s="1">
        <f>IFERROR(IF(Benchmark1[[#This Row],[Target Date Check]]="Pass",Benchmark1[[#This Row],[Target Return]]-Benchmark1[[#This Row],[Benchmark '#1 Return]],"-"),"-")</f>
        <v>3.1700266519154363E-2</v>
      </c>
      <c r="H1062" s="1" t="str">
        <f>IF(COUNTIF(Comp1[Comparable '#1 Dates],Benchmark1[[#This Row],[Benchmark '#1 Dates]])=1,"Pass","Fail")</f>
        <v>Pass</v>
      </c>
      <c r="I1062" s="6">
        <f>IF(Benchmark1[[#This Row],[Comparable '#1 Date Check]]="Pass",INDEX(Comp1[Comparable '#1 Price],MATCH(Benchmark1[[#This Row],[Benchmark '#1 Dates]],Comp1[Comparable '#1 Dates],0)),"-")</f>
        <v>11.93</v>
      </c>
      <c r="J1062" s="22">
        <f>IF(Benchmark1[[#This Row],[Comparable '#1 Date Check]]="Pass",INDEX(Comp1[Comparable '#1 Return],MATCH(Benchmark1[[#This Row],[Benchmark '#1 Dates]],Comp1[Comparable '#1 Dates],0)),"-")</f>
        <v>2.2892055187478333E-2</v>
      </c>
      <c r="K1062" s="1">
        <f>IFERROR(IF(Benchmark1[[#This Row],[Comparable '#1 Date Check]]="Pass",Benchmark1[[#This Row],[Comparable '#1 Return]]-Benchmark1[[#This Row],[Benchmark '#1 Return]],"-"),"-")</f>
        <v>3.4226018450885132E-2</v>
      </c>
      <c r="L1062" s="1" t="str">
        <f>IF(COUNTIF(Comp2[Comparable '#2 Dates],Benchmark1[[#This Row],[Benchmark '#1 Dates]])=1,"Pass","Fail")</f>
        <v>Pass</v>
      </c>
      <c r="M1062" s="6">
        <f>IF(Benchmark1[[#This Row],[Comparable '#2 Date Check]]="Pass",INDEX(Comp2[Comparable '#2 Price],MATCH(Benchmark1[[#This Row],[Benchmark '#1 Dates]],Comp2[Comparable '#2 Dates],0)),"-")</f>
        <v>37.229999999999997</v>
      </c>
      <c r="N1062" s="22">
        <f>IF(Benchmark1[[#This Row],[Comparable '#2 Date Check]]="Pass",INDEX(Comp2[Comparable '#2 Return],MATCH(Benchmark1[[#This Row],[Benchmark '#1 Dates]],Comp2[Comparable '#2 Dates],0)),"-")</f>
        <v>1.3439055913274914E-3</v>
      </c>
      <c r="O1062" s="1">
        <f>IFERROR(IF(Benchmark1[[#This Row],[Comparable '#2 Date Check]]="Pass",Benchmark1[[#This Row],[Comparable '#2 Return]]-Benchmark1[[#This Row],[Benchmark '#1 Return]],"-"),"-")</f>
        <v>1.2677868854734289E-2</v>
      </c>
      <c r="P1062" s="1" t="str">
        <f>IF(COUNTIF(Comp3[Comparable '#3 Dates],Benchmark1[[#This Row],[Benchmark '#1 Dates]])=1,"Pass","Fail")</f>
        <v>Pass</v>
      </c>
      <c r="Q1062" s="6">
        <f>IF(Benchmark1[[#This Row],[Comparable '#3 Date Check]]="Pass",INDEX(Comp3[Comparable '#3 Price],MATCH(Benchmark1[[#This Row],[Benchmark '#1 Dates]],Comp3[Comparable '#3 Dates],0)),"-")</f>
        <v>63.5</v>
      </c>
      <c r="R1062" s="22">
        <f>IF(Benchmark1[[#This Row],[Comparable '#3 Date Check]]="Pass",INDEX(Comp3[Comparable '#3 Return],MATCH(Benchmark1[[#This Row],[Benchmark '#1 Dates]],Comp3[Comparable '#3 Dates],0)),"-")</f>
        <v>-2.6735881302880687E-3</v>
      </c>
      <c r="S1062" s="1">
        <f>IFERROR(IF(Benchmark1[[#This Row],[Comparable '#3 Date Check]]="Pass",Benchmark1[[#This Row],[Comparable '#3 Return]]-Benchmark1[[#This Row],[Benchmark '#1 Return]],"-"),"-")</f>
        <v>8.6603751331187293E-3</v>
      </c>
    </row>
    <row r="1063" spans="1:19">
      <c r="A1063" s="103">
        <v>44825</v>
      </c>
      <c r="B1063" s="104">
        <v>3789.9327410795063</v>
      </c>
      <c r="C1063" s="4">
        <f t="shared" si="16"/>
        <v>-1.7265071190376752E-2</v>
      </c>
      <c r="D1063" s="1" t="str">
        <f>IF(COUNTIF(Target1[Target Dates],Benchmark1[[#This Row],[Benchmark '#1 Dates]])=1,"Pass","Fail")</f>
        <v>Pass</v>
      </c>
      <c r="E1063" s="6">
        <f>IF(Benchmark1[[#This Row],[Target Date Check]]="Pass",INDEX(Target1[Target Price],MATCH(Benchmark1[[#This Row],[Benchmark '#1 Dates]],Target1[Target Dates],0)),"-")</f>
        <v>41.05</v>
      </c>
      <c r="F1063" s="22">
        <f>IF(Benchmark1[[#This Row],[Target Date Check]]="Pass",INDEX(Target1[Target Return],MATCH(Benchmark1[[#This Row],[Benchmark '#1 Dates]],Target1[Target Dates],0)),"-")</f>
        <v>-2.9189998833762474E-3</v>
      </c>
      <c r="G1063" s="1">
        <f>IFERROR(IF(Benchmark1[[#This Row],[Target Date Check]]="Pass",Benchmark1[[#This Row],[Target Return]]-Benchmark1[[#This Row],[Benchmark '#1 Return]],"-"),"-")</f>
        <v>1.4346071307000505E-2</v>
      </c>
      <c r="H1063" s="1" t="str">
        <f>IF(COUNTIF(Comp1[Comparable '#1 Dates],Benchmark1[[#This Row],[Benchmark '#1 Dates]])=1,"Pass","Fail")</f>
        <v>Pass</v>
      </c>
      <c r="I1063" s="6">
        <f>IF(Benchmark1[[#This Row],[Comparable '#1 Date Check]]="Pass",INDEX(Comp1[Comparable '#1 Price],MATCH(Benchmark1[[#This Row],[Benchmark '#1 Dates]],Comp1[Comparable '#1 Dates],0)),"-")</f>
        <v>11.86</v>
      </c>
      <c r="J1063" s="22">
        <f>IF(Benchmark1[[#This Row],[Comparable '#1 Date Check]]="Pass",INDEX(Comp1[Comparable '#1 Return],MATCH(Benchmark1[[#This Row],[Benchmark '#1 Dates]],Comp1[Comparable '#1 Dates],0)),"-")</f>
        <v>-5.8848425402453471E-3</v>
      </c>
      <c r="K1063" s="1">
        <f>IFERROR(IF(Benchmark1[[#This Row],[Comparable '#1 Date Check]]="Pass",Benchmark1[[#This Row],[Comparable '#1 Return]]-Benchmark1[[#This Row],[Benchmark '#1 Return]],"-"),"-")</f>
        <v>1.1380228650131406E-2</v>
      </c>
      <c r="L1063" s="1" t="str">
        <f>IF(COUNTIF(Comp2[Comparable '#2 Dates],Benchmark1[[#This Row],[Benchmark '#1 Dates]])=1,"Pass","Fail")</f>
        <v>Pass</v>
      </c>
      <c r="M1063" s="6">
        <f>IF(Benchmark1[[#This Row],[Comparable '#2 Date Check]]="Pass",INDEX(Comp2[Comparable '#2 Price],MATCH(Benchmark1[[#This Row],[Benchmark '#1 Dates]],Comp2[Comparable '#2 Dates],0)),"-")</f>
        <v>36.869999999999997</v>
      </c>
      <c r="N1063" s="22">
        <f>IF(Benchmark1[[#This Row],[Comparable '#2 Date Check]]="Pass",INDEX(Comp2[Comparable '#2 Return],MATCH(Benchmark1[[#This Row],[Benchmark '#1 Dates]],Comp2[Comparable '#2 Dates],0)),"-")</f>
        <v>-9.7166756385724268E-3</v>
      </c>
      <c r="O1063" s="1">
        <f>IFERROR(IF(Benchmark1[[#This Row],[Comparable '#2 Date Check]]="Pass",Benchmark1[[#This Row],[Comparable '#2 Return]]-Benchmark1[[#This Row],[Benchmark '#1 Return]],"-"),"-")</f>
        <v>7.5483955518043256E-3</v>
      </c>
      <c r="P1063" s="1" t="str">
        <f>IF(COUNTIF(Comp3[Comparable '#3 Dates],Benchmark1[[#This Row],[Benchmark '#1 Dates]])=1,"Pass","Fail")</f>
        <v>Pass</v>
      </c>
      <c r="Q1063" s="6">
        <f>IF(Benchmark1[[#This Row],[Comparable '#3 Date Check]]="Pass",INDEX(Comp3[Comparable '#3 Price],MATCH(Benchmark1[[#This Row],[Benchmark '#1 Dates]],Comp3[Comparable '#3 Dates],0)),"-")</f>
        <v>63.1</v>
      </c>
      <c r="R1063" s="22">
        <f>IF(Benchmark1[[#This Row],[Comparable '#3 Date Check]]="Pass",INDEX(Comp3[Comparable '#3 Return],MATCH(Benchmark1[[#This Row],[Benchmark '#1 Dates]],Comp3[Comparable '#3 Dates],0)),"-")</f>
        <v>-6.3191363514784344E-3</v>
      </c>
      <c r="S1063" s="1">
        <f>IFERROR(IF(Benchmark1[[#This Row],[Comparable '#3 Date Check]]="Pass",Benchmark1[[#This Row],[Comparable '#3 Return]]-Benchmark1[[#This Row],[Benchmark '#1 Return]],"-"),"-")</f>
        <v>1.0945934838898318E-2</v>
      </c>
    </row>
    <row r="1064" spans="1:19">
      <c r="A1064" s="103">
        <v>44826</v>
      </c>
      <c r="B1064" s="104">
        <v>3757.9911780916636</v>
      </c>
      <c r="C1064" s="4">
        <f t="shared" si="16"/>
        <v>-8.4637190322182348E-3</v>
      </c>
      <c r="D1064" s="1" t="str">
        <f>IF(COUNTIF(Target1[Target Dates],Benchmark1[[#This Row],[Benchmark '#1 Dates]])=1,"Pass","Fail")</f>
        <v>Pass</v>
      </c>
      <c r="E1064" s="6">
        <f>IF(Benchmark1[[#This Row],[Target Date Check]]="Pass",INDEX(Target1[Target Price],MATCH(Benchmark1[[#This Row],[Benchmark '#1 Dates]],Target1[Target Dates],0)),"-")</f>
        <v>40.729999999999997</v>
      </c>
      <c r="F1064" s="22">
        <f>IF(Benchmark1[[#This Row],[Target Date Check]]="Pass",INDEX(Target1[Target Return],MATCH(Benchmark1[[#This Row],[Benchmark '#1 Dates]],Target1[Target Dates],0)),"-")</f>
        <v>-7.8259142381160544E-3</v>
      </c>
      <c r="G1064" s="1">
        <f>IFERROR(IF(Benchmark1[[#This Row],[Target Date Check]]="Pass",Benchmark1[[#This Row],[Target Return]]-Benchmark1[[#This Row],[Benchmark '#1 Return]],"-"),"-")</f>
        <v>6.3780479410218034E-4</v>
      </c>
      <c r="H1064" s="1" t="str">
        <f>IF(COUNTIF(Comp1[Comparable '#1 Dates],Benchmark1[[#This Row],[Benchmark '#1 Dates]])=1,"Pass","Fail")</f>
        <v>Pass</v>
      </c>
      <c r="I1064" s="6">
        <f>IF(Benchmark1[[#This Row],[Comparable '#1 Date Check]]="Pass",INDEX(Comp1[Comparable '#1 Price],MATCH(Benchmark1[[#This Row],[Benchmark '#1 Dates]],Comp1[Comparable '#1 Dates],0)),"-")</f>
        <v>11.55</v>
      </c>
      <c r="J1064" s="22">
        <f>IF(Benchmark1[[#This Row],[Comparable '#1 Date Check]]="Pass",INDEX(Comp1[Comparable '#1 Return],MATCH(Benchmark1[[#This Row],[Benchmark '#1 Dates]],Comp1[Comparable '#1 Dates],0)),"-")</f>
        <v>-2.6485956601776717E-2</v>
      </c>
      <c r="K1064" s="1">
        <f>IFERROR(IF(Benchmark1[[#This Row],[Comparable '#1 Date Check]]="Pass",Benchmark1[[#This Row],[Comparable '#1 Return]]-Benchmark1[[#This Row],[Benchmark '#1 Return]],"-"),"-")</f>
        <v>-1.802223756955848E-2</v>
      </c>
      <c r="L1064" s="1" t="str">
        <f>IF(COUNTIF(Comp2[Comparable '#2 Dates],Benchmark1[[#This Row],[Benchmark '#1 Dates]])=1,"Pass","Fail")</f>
        <v>Pass</v>
      </c>
      <c r="M1064" s="6">
        <f>IF(Benchmark1[[#This Row],[Comparable '#2 Date Check]]="Pass",INDEX(Comp2[Comparable '#2 Price],MATCH(Benchmark1[[#This Row],[Benchmark '#1 Dates]],Comp2[Comparable '#2 Dates],0)),"-")</f>
        <v>35.96</v>
      </c>
      <c r="N1064" s="22">
        <f>IF(Benchmark1[[#This Row],[Comparable '#2 Date Check]]="Pass",INDEX(Comp2[Comparable '#2 Return],MATCH(Benchmark1[[#This Row],[Benchmark '#1 Dates]],Comp2[Comparable '#2 Dates],0)),"-")</f>
        <v>-2.4991002642633531E-2</v>
      </c>
      <c r="O1064" s="1">
        <f>IFERROR(IF(Benchmark1[[#This Row],[Comparable '#2 Date Check]]="Pass",Benchmark1[[#This Row],[Comparable '#2 Return]]-Benchmark1[[#This Row],[Benchmark '#1 Return]],"-"),"-")</f>
        <v>-1.6527283610415298E-2</v>
      </c>
      <c r="P1064" s="1" t="str">
        <f>IF(COUNTIF(Comp3[Comparable '#3 Dates],Benchmark1[[#This Row],[Benchmark '#1 Dates]])=1,"Pass","Fail")</f>
        <v>Pass</v>
      </c>
      <c r="Q1064" s="6">
        <f>IF(Benchmark1[[#This Row],[Comparable '#3 Date Check]]="Pass",INDEX(Comp3[Comparable '#3 Price],MATCH(Benchmark1[[#This Row],[Benchmark '#1 Dates]],Comp3[Comparable '#3 Dates],0)),"-")</f>
        <v>62.21</v>
      </c>
      <c r="R1064" s="22">
        <f>IF(Benchmark1[[#This Row],[Comparable '#3 Date Check]]="Pass",INDEX(Comp3[Comparable '#3 Return],MATCH(Benchmark1[[#This Row],[Benchmark '#1 Dates]],Comp3[Comparable '#3 Dates],0)),"-")</f>
        <v>-1.4205011020239064E-2</v>
      </c>
      <c r="S1064" s="1">
        <f>IFERROR(IF(Benchmark1[[#This Row],[Comparable '#3 Date Check]]="Pass",Benchmark1[[#This Row],[Comparable '#3 Return]]-Benchmark1[[#This Row],[Benchmark '#1 Return]],"-"),"-")</f>
        <v>-5.7412919880208291E-3</v>
      </c>
    </row>
    <row r="1065" spans="1:19">
      <c r="A1065" s="103">
        <v>44827</v>
      </c>
      <c r="B1065" s="104">
        <v>3693.2335292453031</v>
      </c>
      <c r="C1065" s="4">
        <f t="shared" si="16"/>
        <v>-1.7382183969241058E-2</v>
      </c>
      <c r="D1065" s="1" t="str">
        <f>IF(COUNTIF(Target1[Target Dates],Benchmark1[[#This Row],[Benchmark '#1 Dates]])=1,"Pass","Fail")</f>
        <v>Pass</v>
      </c>
      <c r="E1065" s="6">
        <f>IF(Benchmark1[[#This Row],[Target Date Check]]="Pass",INDEX(Target1[Target Price],MATCH(Benchmark1[[#This Row],[Benchmark '#1 Dates]],Target1[Target Dates],0)),"-")</f>
        <v>41.01</v>
      </c>
      <c r="F1065" s="22">
        <f>IF(Benchmark1[[#This Row],[Target Date Check]]="Pass",INDEX(Target1[Target Return],MATCH(Benchmark1[[#This Row],[Benchmark '#1 Dates]],Target1[Target Dates],0)),"-")</f>
        <v>6.8510177436467935E-3</v>
      </c>
      <c r="G1065" s="1">
        <f>IFERROR(IF(Benchmark1[[#This Row],[Target Date Check]]="Pass",Benchmark1[[#This Row],[Target Return]]-Benchmark1[[#This Row],[Benchmark '#1 Return]],"-"),"-")</f>
        <v>2.4233201712887852E-2</v>
      </c>
      <c r="H1065" s="1" t="str">
        <f>IF(COUNTIF(Comp1[Comparable '#1 Dates],Benchmark1[[#This Row],[Benchmark '#1 Dates]])=1,"Pass","Fail")</f>
        <v>Pass</v>
      </c>
      <c r="I1065" s="6">
        <f>IF(Benchmark1[[#This Row],[Comparable '#1 Date Check]]="Pass",INDEX(Comp1[Comparable '#1 Price],MATCH(Benchmark1[[#This Row],[Benchmark '#1 Dates]],Comp1[Comparable '#1 Dates],0)),"-")</f>
        <v>11.28</v>
      </c>
      <c r="J1065" s="22">
        <f>IF(Benchmark1[[#This Row],[Comparable '#1 Date Check]]="Pass",INDEX(Comp1[Comparable '#1 Return],MATCH(Benchmark1[[#This Row],[Benchmark '#1 Dates]],Comp1[Comparable '#1 Dates],0)),"-")</f>
        <v>-2.365419089788983E-2</v>
      </c>
      <c r="K1065" s="1">
        <f>IFERROR(IF(Benchmark1[[#This Row],[Comparable '#1 Date Check]]="Pass",Benchmark1[[#This Row],[Comparable '#1 Return]]-Benchmark1[[#This Row],[Benchmark '#1 Return]],"-"),"-")</f>
        <v>-6.2720069286487726E-3</v>
      </c>
      <c r="L1065" s="1" t="str">
        <f>IF(COUNTIF(Comp2[Comparable '#2 Dates],Benchmark1[[#This Row],[Benchmark '#1 Dates]])=1,"Pass","Fail")</f>
        <v>Pass</v>
      </c>
      <c r="M1065" s="6">
        <f>IF(Benchmark1[[#This Row],[Comparable '#2 Date Check]]="Pass",INDEX(Comp2[Comparable '#2 Price],MATCH(Benchmark1[[#This Row],[Benchmark '#1 Dates]],Comp2[Comparable '#2 Dates],0)),"-")</f>
        <v>35.47</v>
      </c>
      <c r="N1065" s="22">
        <f>IF(Benchmark1[[#This Row],[Comparable '#2 Date Check]]="Pass",INDEX(Comp2[Comparable '#2 Return],MATCH(Benchmark1[[#This Row],[Benchmark '#1 Dates]],Comp2[Comparable '#2 Dates],0)),"-")</f>
        <v>-1.3719940817889076E-2</v>
      </c>
      <c r="O1065" s="1">
        <f>IFERROR(IF(Benchmark1[[#This Row],[Comparable '#2 Date Check]]="Pass",Benchmark1[[#This Row],[Comparable '#2 Return]]-Benchmark1[[#This Row],[Benchmark '#1 Return]],"-"),"-")</f>
        <v>3.6622431513519821E-3</v>
      </c>
      <c r="P1065" s="1" t="str">
        <f>IF(COUNTIF(Comp3[Comparable '#3 Dates],Benchmark1[[#This Row],[Benchmark '#1 Dates]])=1,"Pass","Fail")</f>
        <v>Pass</v>
      </c>
      <c r="Q1065" s="6">
        <f>IF(Benchmark1[[#This Row],[Comparable '#3 Date Check]]="Pass",INDEX(Comp3[Comparable '#3 Price],MATCH(Benchmark1[[#This Row],[Benchmark '#1 Dates]],Comp3[Comparable '#3 Dates],0)),"-")</f>
        <v>62.29</v>
      </c>
      <c r="R1065" s="22">
        <f>IF(Benchmark1[[#This Row],[Comparable '#3 Date Check]]="Pass",INDEX(Comp3[Comparable '#3 Return],MATCH(Benchmark1[[#This Row],[Benchmark '#1 Dates]],Comp3[Comparable '#3 Dates],0)),"-")</f>
        <v>1.2851407391258124E-3</v>
      </c>
      <c r="S1065" s="1">
        <f>IFERROR(IF(Benchmark1[[#This Row],[Comparable '#3 Date Check]]="Pass",Benchmark1[[#This Row],[Comparable '#3 Return]]-Benchmark1[[#This Row],[Benchmark '#1 Return]],"-"),"-")</f>
        <v>1.8667324708366871E-2</v>
      </c>
    </row>
    <row r="1066" spans="1:19">
      <c r="A1066" s="103">
        <v>44830</v>
      </c>
      <c r="B1066" s="104">
        <v>3655.0422149248907</v>
      </c>
      <c r="C1066" s="4">
        <f t="shared" si="16"/>
        <v>-1.0394726472296367E-2</v>
      </c>
      <c r="D1066" s="1" t="str">
        <f>IF(COUNTIF(Target1[Target Dates],Benchmark1[[#This Row],[Benchmark '#1 Dates]])=1,"Pass","Fail")</f>
        <v>Pass</v>
      </c>
      <c r="E1066" s="6">
        <f>IF(Benchmark1[[#This Row],[Target Date Check]]="Pass",INDEX(Target1[Target Price],MATCH(Benchmark1[[#This Row],[Benchmark '#1 Dates]],Target1[Target Dates],0)),"-")</f>
        <v>40.770000000000003</v>
      </c>
      <c r="F1066" s="22">
        <f>IF(Benchmark1[[#This Row],[Target Date Check]]="Pass",INDEX(Target1[Target Return],MATCH(Benchmark1[[#This Row],[Benchmark '#1 Dates]],Target1[Target Dates],0)),"-")</f>
        <v>-5.8694225728057325E-3</v>
      </c>
      <c r="G1066" s="1">
        <f>IFERROR(IF(Benchmark1[[#This Row],[Target Date Check]]="Pass",Benchmark1[[#This Row],[Target Return]]-Benchmark1[[#This Row],[Benchmark '#1 Return]],"-"),"-")</f>
        <v>4.5253038994906344E-3</v>
      </c>
      <c r="H1066" s="1" t="str">
        <f>IF(COUNTIF(Comp1[Comparable '#1 Dates],Benchmark1[[#This Row],[Benchmark '#1 Dates]])=1,"Pass","Fail")</f>
        <v>Pass</v>
      </c>
      <c r="I1066" s="6">
        <f>IF(Benchmark1[[#This Row],[Comparable '#1 Date Check]]="Pass",INDEX(Comp1[Comparable '#1 Price],MATCH(Benchmark1[[#This Row],[Benchmark '#1 Dates]],Comp1[Comparable '#1 Dates],0)),"-")</f>
        <v>11</v>
      </c>
      <c r="J1066" s="22">
        <f>IF(Benchmark1[[#This Row],[Comparable '#1 Date Check]]="Pass",INDEX(Comp1[Comparable '#1 Return],MATCH(Benchmark1[[#This Row],[Benchmark '#1 Dates]],Comp1[Comparable '#1 Dates],0)),"-")</f>
        <v>-2.5135973271542274E-2</v>
      </c>
      <c r="K1066" s="1">
        <f>IFERROR(IF(Benchmark1[[#This Row],[Comparable '#1 Date Check]]="Pass",Benchmark1[[#This Row],[Comparable '#1 Return]]-Benchmark1[[#This Row],[Benchmark '#1 Return]],"-"),"-")</f>
        <v>-1.4741246799245907E-2</v>
      </c>
      <c r="L1066" s="1" t="str">
        <f>IF(COUNTIF(Comp2[Comparable '#2 Dates],Benchmark1[[#This Row],[Benchmark '#1 Dates]])=1,"Pass","Fail")</f>
        <v>Pass</v>
      </c>
      <c r="M1066" s="6">
        <f>IF(Benchmark1[[#This Row],[Comparable '#2 Date Check]]="Pass",INDEX(Comp2[Comparable '#2 Price],MATCH(Benchmark1[[#This Row],[Benchmark '#1 Dates]],Comp2[Comparable '#2 Dates],0)),"-")</f>
        <v>35.33</v>
      </c>
      <c r="N1066" s="22">
        <f>IF(Benchmark1[[#This Row],[Comparable '#2 Date Check]]="Pass",INDEX(Comp2[Comparable '#2 Return],MATCH(Benchmark1[[#This Row],[Benchmark '#1 Dates]],Comp2[Comparable '#2 Dates],0)),"-")</f>
        <v>-3.9548074144766104E-3</v>
      </c>
      <c r="O1066" s="1">
        <f>IFERROR(IF(Benchmark1[[#This Row],[Comparable '#2 Date Check]]="Pass",Benchmark1[[#This Row],[Comparable '#2 Return]]-Benchmark1[[#This Row],[Benchmark '#1 Return]],"-"),"-")</f>
        <v>6.4399190578197565E-3</v>
      </c>
      <c r="P1066" s="1" t="str">
        <f>IF(COUNTIF(Comp3[Comparable '#3 Dates],Benchmark1[[#This Row],[Benchmark '#1 Dates]])=1,"Pass","Fail")</f>
        <v>Pass</v>
      </c>
      <c r="Q1066" s="6">
        <f>IF(Benchmark1[[#This Row],[Comparable '#3 Date Check]]="Pass",INDEX(Comp3[Comparable '#3 Price],MATCH(Benchmark1[[#This Row],[Benchmark '#1 Dates]],Comp3[Comparable '#3 Dates],0)),"-")</f>
        <v>61.37</v>
      </c>
      <c r="R1066" s="22">
        <f>IF(Benchmark1[[#This Row],[Comparable '#3 Date Check]]="Pass",INDEX(Comp3[Comparable '#3 Return],MATCH(Benchmark1[[#This Row],[Benchmark '#1 Dates]],Comp3[Comparable '#3 Dates],0)),"-")</f>
        <v>-1.4879782865048584E-2</v>
      </c>
      <c r="S1066" s="1">
        <f>IFERROR(IF(Benchmark1[[#This Row],[Comparable '#3 Date Check]]="Pass",Benchmark1[[#This Row],[Comparable '#3 Return]]-Benchmark1[[#This Row],[Benchmark '#1 Return]],"-"),"-")</f>
        <v>-4.4850563927522173E-3</v>
      </c>
    </row>
    <row r="1067" spans="1:19">
      <c r="A1067" s="103">
        <v>44831</v>
      </c>
      <c r="B1067" s="104">
        <v>3647.2899286920447</v>
      </c>
      <c r="C1067" s="4">
        <f t="shared" si="16"/>
        <v>-2.1232365202625393E-3</v>
      </c>
      <c r="D1067" s="1" t="str">
        <f>IF(COUNTIF(Target1[Target Dates],Benchmark1[[#This Row],[Benchmark '#1 Dates]])=1,"Pass","Fail")</f>
        <v>Pass</v>
      </c>
      <c r="E1067" s="6">
        <f>IF(Benchmark1[[#This Row],[Target Date Check]]="Pass",INDEX(Target1[Target Price],MATCH(Benchmark1[[#This Row],[Benchmark '#1 Dates]],Target1[Target Dates],0)),"-")</f>
        <v>41.67</v>
      </c>
      <c r="F1067" s="22">
        <f>IF(Benchmark1[[#This Row],[Target Date Check]]="Pass",INDEX(Target1[Target Return],MATCH(Benchmark1[[#This Row],[Benchmark '#1 Dates]],Target1[Target Dates],0)),"-")</f>
        <v>2.1834928603199948E-2</v>
      </c>
      <c r="G1067" s="1">
        <f>IFERROR(IF(Benchmark1[[#This Row],[Target Date Check]]="Pass",Benchmark1[[#This Row],[Target Return]]-Benchmark1[[#This Row],[Benchmark '#1 Return]],"-"),"-")</f>
        <v>2.3958165123462487E-2</v>
      </c>
      <c r="H1067" s="1" t="str">
        <f>IF(COUNTIF(Comp1[Comparable '#1 Dates],Benchmark1[[#This Row],[Benchmark '#1 Dates]])=1,"Pass","Fail")</f>
        <v>Pass</v>
      </c>
      <c r="I1067" s="6">
        <f>IF(Benchmark1[[#This Row],[Comparable '#1 Date Check]]="Pass",INDEX(Comp1[Comparable '#1 Price],MATCH(Benchmark1[[#This Row],[Benchmark '#1 Dates]],Comp1[Comparable '#1 Dates],0)),"-")</f>
        <v>10.02</v>
      </c>
      <c r="J1067" s="22">
        <f>IF(Benchmark1[[#This Row],[Comparable '#1 Date Check]]="Pass",INDEX(Comp1[Comparable '#1 Return],MATCH(Benchmark1[[#This Row],[Benchmark '#1 Dates]],Comp1[Comparable '#1 Dates],0)),"-")</f>
        <v>-9.3312177141651825E-2</v>
      </c>
      <c r="K1067" s="1">
        <f>IFERROR(IF(Benchmark1[[#This Row],[Comparable '#1 Date Check]]="Pass",Benchmark1[[#This Row],[Comparable '#1 Return]]-Benchmark1[[#This Row],[Benchmark '#1 Return]],"-"),"-")</f>
        <v>-9.1188940621389283E-2</v>
      </c>
      <c r="L1067" s="1" t="str">
        <f>IF(COUNTIF(Comp2[Comparable '#2 Dates],Benchmark1[[#This Row],[Benchmark '#1 Dates]])=1,"Pass","Fail")</f>
        <v>Pass</v>
      </c>
      <c r="M1067" s="6">
        <f>IF(Benchmark1[[#This Row],[Comparable '#2 Date Check]]="Pass",INDEX(Comp2[Comparable '#2 Price],MATCH(Benchmark1[[#This Row],[Benchmark '#1 Dates]],Comp2[Comparable '#2 Dates],0)),"-")</f>
        <v>35.47</v>
      </c>
      <c r="N1067" s="22">
        <f>IF(Benchmark1[[#This Row],[Comparable '#2 Date Check]]="Pass",INDEX(Comp2[Comparable '#2 Return],MATCH(Benchmark1[[#This Row],[Benchmark '#1 Dates]],Comp2[Comparable '#2 Dates],0)),"-")</f>
        <v>3.9548074144765966E-3</v>
      </c>
      <c r="O1067" s="1">
        <f>IFERROR(IF(Benchmark1[[#This Row],[Comparable '#2 Date Check]]="Pass",Benchmark1[[#This Row],[Comparable '#2 Return]]-Benchmark1[[#This Row],[Benchmark '#1 Return]],"-"),"-")</f>
        <v>6.0780439347391359E-3</v>
      </c>
      <c r="P1067" s="1" t="str">
        <f>IF(COUNTIF(Comp3[Comparable '#3 Dates],Benchmark1[[#This Row],[Benchmark '#1 Dates]])=1,"Pass","Fail")</f>
        <v>Pass</v>
      </c>
      <c r="Q1067" s="6">
        <f>IF(Benchmark1[[#This Row],[Comparable '#3 Date Check]]="Pass",INDEX(Comp3[Comparable '#3 Price],MATCH(Benchmark1[[#This Row],[Benchmark '#1 Dates]],Comp3[Comparable '#3 Dates],0)),"-")</f>
        <v>61.88</v>
      </c>
      <c r="R1067" s="22">
        <f>IF(Benchmark1[[#This Row],[Comparable '#3 Date Check]]="Pass",INDEX(Comp3[Comparable '#3 Return],MATCH(Benchmark1[[#This Row],[Benchmark '#1 Dates]],Comp3[Comparable '#3 Dates],0)),"-")</f>
        <v>8.2759093038598814E-3</v>
      </c>
      <c r="S1067" s="1">
        <f>IFERROR(IF(Benchmark1[[#This Row],[Comparable '#3 Date Check]]="Pass",Benchmark1[[#This Row],[Comparable '#3 Return]]-Benchmark1[[#This Row],[Benchmark '#1 Return]],"-"),"-")</f>
        <v>1.0399145824122422E-2</v>
      </c>
    </row>
    <row r="1068" spans="1:19">
      <c r="A1068" s="103">
        <v>44832</v>
      </c>
      <c r="B1068" s="104">
        <v>3719.0387297190073</v>
      </c>
      <c r="C1068" s="4">
        <f t="shared" si="16"/>
        <v>1.9480822377130218E-2</v>
      </c>
      <c r="D1068" s="1" t="str">
        <f>IF(COUNTIF(Target1[Target Dates],Benchmark1[[#This Row],[Benchmark '#1 Dates]])=1,"Pass","Fail")</f>
        <v>Pass</v>
      </c>
      <c r="E1068" s="6">
        <f>IF(Benchmark1[[#This Row],[Target Date Check]]="Pass",INDEX(Target1[Target Price],MATCH(Benchmark1[[#This Row],[Benchmark '#1 Dates]],Target1[Target Dates],0)),"-")</f>
        <v>42.5</v>
      </c>
      <c r="F1068" s="22">
        <f>IF(Benchmark1[[#This Row],[Target Date Check]]="Pass",INDEX(Target1[Target Return],MATCH(Benchmark1[[#This Row],[Benchmark '#1 Dates]],Target1[Target Dates],0)),"-")</f>
        <v>1.9722630496009037E-2</v>
      </c>
      <c r="G1068" s="1">
        <f>IFERROR(IF(Benchmark1[[#This Row],[Target Date Check]]="Pass",Benchmark1[[#This Row],[Target Return]]-Benchmark1[[#This Row],[Benchmark '#1 Return]],"-"),"-")</f>
        <v>2.4180811887881959E-4</v>
      </c>
      <c r="H1068" s="1" t="str">
        <f>IF(COUNTIF(Comp1[Comparable '#1 Dates],Benchmark1[[#This Row],[Benchmark '#1 Dates]])=1,"Pass","Fail")</f>
        <v>Pass</v>
      </c>
      <c r="I1068" s="6">
        <f>IF(Benchmark1[[#This Row],[Comparable '#1 Date Check]]="Pass",INDEX(Comp1[Comparable '#1 Price],MATCH(Benchmark1[[#This Row],[Benchmark '#1 Dates]],Comp1[Comparable '#1 Dates],0)),"-")</f>
        <v>10.43</v>
      </c>
      <c r="J1068" s="22">
        <f>IF(Benchmark1[[#This Row],[Comparable '#1 Date Check]]="Pass",INDEX(Comp1[Comparable '#1 Return],MATCH(Benchmark1[[#This Row],[Benchmark '#1 Dates]],Comp1[Comparable '#1 Dates],0)),"-")</f>
        <v>4.0103173355962418E-2</v>
      </c>
      <c r="K1068" s="1">
        <f>IFERROR(IF(Benchmark1[[#This Row],[Comparable '#1 Date Check]]="Pass",Benchmark1[[#This Row],[Comparable '#1 Return]]-Benchmark1[[#This Row],[Benchmark '#1 Return]],"-"),"-")</f>
        <v>2.06223509788322E-2</v>
      </c>
      <c r="L1068" s="1" t="str">
        <f>IF(COUNTIF(Comp2[Comparable '#2 Dates],Benchmark1[[#This Row],[Benchmark '#1 Dates]])=1,"Pass","Fail")</f>
        <v>Pass</v>
      </c>
      <c r="M1068" s="6">
        <f>IF(Benchmark1[[#This Row],[Comparable '#2 Date Check]]="Pass",INDEX(Comp2[Comparable '#2 Price],MATCH(Benchmark1[[#This Row],[Benchmark '#1 Dates]],Comp2[Comparable '#2 Dates],0)),"-")</f>
        <v>37.619999999999997</v>
      </c>
      <c r="N1068" s="22">
        <f>IF(Benchmark1[[#This Row],[Comparable '#2 Date Check]]="Pass",INDEX(Comp2[Comparable '#2 Return],MATCH(Benchmark1[[#This Row],[Benchmark '#1 Dates]],Comp2[Comparable '#2 Dates],0)),"-")</f>
        <v>5.8848555087353774E-2</v>
      </c>
      <c r="O1068" s="1">
        <f>IFERROR(IF(Benchmark1[[#This Row],[Comparable '#2 Date Check]]="Pass",Benchmark1[[#This Row],[Comparable '#2 Return]]-Benchmark1[[#This Row],[Benchmark '#1 Return]],"-"),"-")</f>
        <v>3.9367732710223556E-2</v>
      </c>
      <c r="P1068" s="1" t="str">
        <f>IF(COUNTIF(Comp3[Comparable '#3 Dates],Benchmark1[[#This Row],[Benchmark '#1 Dates]])=1,"Pass","Fail")</f>
        <v>Pass</v>
      </c>
      <c r="Q1068" s="6">
        <f>IF(Benchmark1[[#This Row],[Comparable '#3 Date Check]]="Pass",INDEX(Comp3[Comparable '#3 Price],MATCH(Benchmark1[[#This Row],[Benchmark '#1 Dates]],Comp3[Comparable '#3 Dates],0)),"-")</f>
        <v>63.71</v>
      </c>
      <c r="R1068" s="22">
        <f>IF(Benchmark1[[#This Row],[Comparable '#3 Date Check]]="Pass",INDEX(Comp3[Comparable '#3 Return],MATCH(Benchmark1[[#This Row],[Benchmark '#1 Dates]],Comp3[Comparable '#3 Dates],0)),"-")</f>
        <v>2.9144510423531347E-2</v>
      </c>
      <c r="S1068" s="1">
        <f>IFERROR(IF(Benchmark1[[#This Row],[Comparable '#3 Date Check]]="Pass",Benchmark1[[#This Row],[Comparable '#3 Return]]-Benchmark1[[#This Row],[Benchmark '#1 Return]],"-"),"-")</f>
        <v>9.6636880464011296E-3</v>
      </c>
    </row>
    <row r="1069" spans="1:19">
      <c r="A1069" s="103">
        <v>44833</v>
      </c>
      <c r="B1069" s="104">
        <v>3640.4681396687083</v>
      </c>
      <c r="C1069" s="4">
        <f t="shared" si="16"/>
        <v>-2.1352945724746854E-2</v>
      </c>
      <c r="D1069" s="1" t="str">
        <f>IF(COUNTIF(Target1[Target Dates],Benchmark1[[#This Row],[Benchmark '#1 Dates]])=1,"Pass","Fail")</f>
        <v>Pass</v>
      </c>
      <c r="E1069" s="6">
        <f>IF(Benchmark1[[#This Row],[Target Date Check]]="Pass",INDEX(Target1[Target Price],MATCH(Benchmark1[[#This Row],[Benchmark '#1 Dates]],Target1[Target Dates],0)),"-")</f>
        <v>42.37</v>
      </c>
      <c r="F1069" s="22">
        <f>IF(Benchmark1[[#This Row],[Target Date Check]]="Pass",INDEX(Target1[Target Return],MATCH(Benchmark1[[#This Row],[Benchmark '#1 Dates]],Target1[Target Dates],0)),"-")</f>
        <v>-3.0635112919033106E-3</v>
      </c>
      <c r="G1069" s="1">
        <f>IFERROR(IF(Benchmark1[[#This Row],[Target Date Check]]="Pass",Benchmark1[[#This Row],[Target Return]]-Benchmark1[[#This Row],[Benchmark '#1 Return]],"-"),"-")</f>
        <v>1.8289434432843543E-2</v>
      </c>
      <c r="H1069" s="1" t="str">
        <f>IF(COUNTIF(Comp1[Comparable '#1 Dates],Benchmark1[[#This Row],[Benchmark '#1 Dates]])=1,"Pass","Fail")</f>
        <v>Pass</v>
      </c>
      <c r="I1069" s="6">
        <f>IF(Benchmark1[[#This Row],[Comparable '#1 Date Check]]="Pass",INDEX(Comp1[Comparable '#1 Price],MATCH(Benchmark1[[#This Row],[Benchmark '#1 Dates]],Comp1[Comparable '#1 Dates],0)),"-")</f>
        <v>10.62</v>
      </c>
      <c r="J1069" s="22">
        <f>IF(Benchmark1[[#This Row],[Comparable '#1 Date Check]]="Pass",INDEX(Comp1[Comparable '#1 Return],MATCH(Benchmark1[[#This Row],[Benchmark '#1 Dates]],Comp1[Comparable '#1 Dates],0)),"-")</f>
        <v>1.8052746801111748E-2</v>
      </c>
      <c r="K1069" s="1">
        <f>IFERROR(IF(Benchmark1[[#This Row],[Comparable '#1 Date Check]]="Pass",Benchmark1[[#This Row],[Comparable '#1 Return]]-Benchmark1[[#This Row],[Benchmark '#1 Return]],"-"),"-")</f>
        <v>3.9405692525858599E-2</v>
      </c>
      <c r="L1069" s="1" t="str">
        <f>IF(COUNTIF(Comp2[Comparable '#2 Dates],Benchmark1[[#This Row],[Benchmark '#1 Dates]])=1,"Pass","Fail")</f>
        <v>Pass</v>
      </c>
      <c r="M1069" s="6">
        <f>IF(Benchmark1[[#This Row],[Comparable '#2 Date Check]]="Pass",INDEX(Comp2[Comparable '#2 Price],MATCH(Benchmark1[[#This Row],[Benchmark '#1 Dates]],Comp2[Comparable '#2 Dates],0)),"-")</f>
        <v>37.020000000000003</v>
      </c>
      <c r="N1069" s="22">
        <f>IF(Benchmark1[[#This Row],[Comparable '#2 Date Check]]="Pass",INDEX(Comp2[Comparable '#2 Return],MATCH(Benchmark1[[#This Row],[Benchmark '#1 Dates]],Comp2[Comparable '#2 Dates],0)),"-")</f>
        <v>-1.6077516727532777E-2</v>
      </c>
      <c r="O1069" s="1">
        <f>IFERROR(IF(Benchmark1[[#This Row],[Comparable '#2 Date Check]]="Pass",Benchmark1[[#This Row],[Comparable '#2 Return]]-Benchmark1[[#This Row],[Benchmark '#1 Return]],"-"),"-")</f>
        <v>5.2754289972140773E-3</v>
      </c>
      <c r="P1069" s="1" t="str">
        <f>IF(COUNTIF(Comp3[Comparable '#3 Dates],Benchmark1[[#This Row],[Benchmark '#1 Dates]])=1,"Pass","Fail")</f>
        <v>Pass</v>
      </c>
      <c r="Q1069" s="6">
        <f>IF(Benchmark1[[#This Row],[Comparable '#3 Date Check]]="Pass",INDEX(Comp3[Comparable '#3 Price],MATCH(Benchmark1[[#This Row],[Benchmark '#1 Dates]],Comp3[Comparable '#3 Dates],0)),"-")</f>
        <v>62.88</v>
      </c>
      <c r="R1069" s="22">
        <f>IF(Benchmark1[[#This Row],[Comparable '#3 Date Check]]="Pass",INDEX(Comp3[Comparable '#3 Return],MATCH(Benchmark1[[#This Row],[Benchmark '#1 Dates]],Comp3[Comparable '#3 Dates],0)),"-")</f>
        <v>-1.3113388007445728E-2</v>
      </c>
      <c r="S1069" s="1">
        <f>IFERROR(IF(Benchmark1[[#This Row],[Comparable '#3 Date Check]]="Pass",Benchmark1[[#This Row],[Comparable '#3 Return]]-Benchmark1[[#This Row],[Benchmark '#1 Return]],"-"),"-")</f>
        <v>8.2395577173011263E-3</v>
      </c>
    </row>
    <row r="1070" spans="1:19">
      <c r="A1070" s="103">
        <v>44834</v>
      </c>
      <c r="B1070" s="104">
        <v>3585.6241035486769</v>
      </c>
      <c r="C1070" s="4">
        <f t="shared" si="16"/>
        <v>-1.5179736816817096E-2</v>
      </c>
      <c r="D1070" s="1" t="str">
        <f>IF(COUNTIF(Target1[Target Dates],Benchmark1[[#This Row],[Benchmark '#1 Dates]])=1,"Pass","Fail")</f>
        <v>Pass</v>
      </c>
      <c r="E1070" s="6">
        <f>IF(Benchmark1[[#This Row],[Target Date Check]]="Pass",INDEX(Target1[Target Price],MATCH(Benchmark1[[#This Row],[Benchmark '#1 Dates]],Target1[Target Dates],0)),"-")</f>
        <v>42.03</v>
      </c>
      <c r="F1070" s="22">
        <f>IF(Benchmark1[[#This Row],[Target Date Check]]="Pass",INDEX(Target1[Target Return],MATCH(Benchmark1[[#This Row],[Benchmark '#1 Dates]],Target1[Target Dates],0)),"-")</f>
        <v>-8.0569156214424006E-3</v>
      </c>
      <c r="G1070" s="1">
        <f>IFERROR(IF(Benchmark1[[#This Row],[Target Date Check]]="Pass",Benchmark1[[#This Row],[Target Return]]-Benchmark1[[#This Row],[Benchmark '#1 Return]],"-"),"-")</f>
        <v>7.1228211953746953E-3</v>
      </c>
      <c r="H1070" s="1" t="str">
        <f>IF(COUNTIF(Comp1[Comparable '#1 Dates],Benchmark1[[#This Row],[Benchmark '#1 Dates]])=1,"Pass","Fail")</f>
        <v>Pass</v>
      </c>
      <c r="I1070" s="6">
        <f>IF(Benchmark1[[#This Row],[Comparable '#1 Date Check]]="Pass",INDEX(Comp1[Comparable '#1 Price],MATCH(Benchmark1[[#This Row],[Benchmark '#1 Dates]],Comp1[Comparable '#1 Dates],0)),"-")</f>
        <v>10.55</v>
      </c>
      <c r="J1070" s="22">
        <f>IF(Benchmark1[[#This Row],[Comparable '#1 Date Check]]="Pass",INDEX(Comp1[Comparable '#1 Return],MATCH(Benchmark1[[#This Row],[Benchmark '#1 Dates]],Comp1[Comparable '#1 Dates],0)),"-")</f>
        <v>-6.6131558917171184E-3</v>
      </c>
      <c r="K1070" s="1">
        <f>IFERROR(IF(Benchmark1[[#This Row],[Comparable '#1 Date Check]]="Pass",Benchmark1[[#This Row],[Comparable '#1 Return]]-Benchmark1[[#This Row],[Benchmark '#1 Return]],"-"),"-")</f>
        <v>8.5665809250999765E-3</v>
      </c>
      <c r="L1070" s="1" t="str">
        <f>IF(COUNTIF(Comp2[Comparable '#2 Dates],Benchmark1[[#This Row],[Benchmark '#1 Dates]])=1,"Pass","Fail")</f>
        <v>Pass</v>
      </c>
      <c r="M1070" s="6">
        <f>IF(Benchmark1[[#This Row],[Comparable '#2 Date Check]]="Pass",INDEX(Comp2[Comparable '#2 Price],MATCH(Benchmark1[[#This Row],[Benchmark '#1 Dates]],Comp2[Comparable '#2 Dates],0)),"-")</f>
        <v>36.450000000000003</v>
      </c>
      <c r="N1070" s="22">
        <f>IF(Benchmark1[[#This Row],[Comparable '#2 Date Check]]="Pass",INDEX(Comp2[Comparable '#2 Return],MATCH(Benchmark1[[#This Row],[Benchmark '#1 Dates]],Comp2[Comparable '#2 Dates],0)),"-")</f>
        <v>-1.5516848690684244E-2</v>
      </c>
      <c r="O1070" s="1">
        <f>IFERROR(IF(Benchmark1[[#This Row],[Comparable '#2 Date Check]]="Pass",Benchmark1[[#This Row],[Comparable '#2 Return]]-Benchmark1[[#This Row],[Benchmark '#1 Return]],"-"),"-")</f>
        <v>-3.371118738671481E-4</v>
      </c>
      <c r="P1070" s="1" t="str">
        <f>IF(COUNTIF(Comp3[Comparable '#3 Dates],Benchmark1[[#This Row],[Benchmark '#1 Dates]])=1,"Pass","Fail")</f>
        <v>Pass</v>
      </c>
      <c r="Q1070" s="6">
        <f>IF(Benchmark1[[#This Row],[Comparable '#3 Date Check]]="Pass",INDEX(Comp3[Comparable '#3 Price],MATCH(Benchmark1[[#This Row],[Benchmark '#1 Dates]],Comp3[Comparable '#3 Dates],0)),"-")</f>
        <v>61.41</v>
      </c>
      <c r="R1070" s="22">
        <f>IF(Benchmark1[[#This Row],[Comparable '#3 Date Check]]="Pass",INDEX(Comp3[Comparable '#3 Return],MATCH(Benchmark1[[#This Row],[Benchmark '#1 Dates]],Comp3[Comparable '#3 Dates],0)),"-")</f>
        <v>-2.3655459779643371E-2</v>
      </c>
      <c r="S1070" s="1">
        <f>IFERROR(IF(Benchmark1[[#This Row],[Comparable '#3 Date Check]]="Pass",Benchmark1[[#This Row],[Comparable '#3 Return]]-Benchmark1[[#This Row],[Benchmark '#1 Return]],"-"),"-")</f>
        <v>-8.4757229628262751E-3</v>
      </c>
    </row>
    <row r="1071" spans="1:19">
      <c r="A1071" s="103">
        <v>44837</v>
      </c>
      <c r="B1071" s="104">
        <v>3678.428813425257</v>
      </c>
      <c r="C1071" s="4">
        <f t="shared" si="16"/>
        <v>2.5553161775542111E-2</v>
      </c>
      <c r="D1071" s="1" t="str">
        <f>IF(COUNTIF(Target1[Target Dates],Benchmark1[[#This Row],[Benchmark '#1 Dates]])=1,"Pass","Fail")</f>
        <v>Pass</v>
      </c>
      <c r="E1071" s="6">
        <f>IF(Benchmark1[[#This Row],[Target Date Check]]="Pass",INDEX(Target1[Target Price],MATCH(Benchmark1[[#This Row],[Benchmark '#1 Dates]],Target1[Target Dates],0)),"-")</f>
        <v>41.23</v>
      </c>
      <c r="F1071" s="22">
        <f>IF(Benchmark1[[#This Row],[Target Date Check]]="Pass",INDEX(Target1[Target Return],MATCH(Benchmark1[[#This Row],[Benchmark '#1 Dates]],Target1[Target Dates],0)),"-")</f>
        <v>-1.9217502298216817E-2</v>
      </c>
      <c r="G1071" s="1">
        <f>IFERROR(IF(Benchmark1[[#This Row],[Target Date Check]]="Pass",Benchmark1[[#This Row],[Target Return]]-Benchmark1[[#This Row],[Benchmark '#1 Return]],"-"),"-")</f>
        <v>-4.4770664073758931E-2</v>
      </c>
      <c r="H1071" s="1" t="str">
        <f>IF(COUNTIF(Comp1[Comparable '#1 Dates],Benchmark1[[#This Row],[Benchmark '#1 Dates]])=1,"Pass","Fail")</f>
        <v>Pass</v>
      </c>
      <c r="I1071" s="6">
        <f>IF(Benchmark1[[#This Row],[Comparable '#1 Date Check]]="Pass",INDEX(Comp1[Comparable '#1 Price],MATCH(Benchmark1[[#This Row],[Benchmark '#1 Dates]],Comp1[Comparable '#1 Dates],0)),"-")</f>
        <v>10.55</v>
      </c>
      <c r="J1071" s="22">
        <f>IF(Benchmark1[[#This Row],[Comparable '#1 Date Check]]="Pass",INDEX(Comp1[Comparable '#1 Return],MATCH(Benchmark1[[#This Row],[Benchmark '#1 Dates]],Comp1[Comparable '#1 Dates],0)),"-")</f>
        <v>0</v>
      </c>
      <c r="K1071" s="1">
        <f>IFERROR(IF(Benchmark1[[#This Row],[Comparable '#1 Date Check]]="Pass",Benchmark1[[#This Row],[Comparable '#1 Return]]-Benchmark1[[#This Row],[Benchmark '#1 Return]],"-"),"-")</f>
        <v>-2.5553161775542111E-2</v>
      </c>
      <c r="L1071" s="1" t="str">
        <f>IF(COUNTIF(Comp2[Comparable '#2 Dates],Benchmark1[[#This Row],[Benchmark '#1 Dates]])=1,"Pass","Fail")</f>
        <v>Pass</v>
      </c>
      <c r="M1071" s="6">
        <f>IF(Benchmark1[[#This Row],[Comparable '#2 Date Check]]="Pass",INDEX(Comp2[Comparable '#2 Price],MATCH(Benchmark1[[#This Row],[Benchmark '#1 Dates]],Comp2[Comparable '#2 Dates],0)),"-")</f>
        <v>36.380000000000003</v>
      </c>
      <c r="N1071" s="22">
        <f>IF(Benchmark1[[#This Row],[Comparable '#2 Date Check]]="Pass",INDEX(Comp2[Comparable '#2 Return],MATCH(Benchmark1[[#This Row],[Benchmark '#1 Dates]],Comp2[Comparable '#2 Dates],0)),"-")</f>
        <v>-1.9222853646909215E-3</v>
      </c>
      <c r="O1071" s="1">
        <f>IFERROR(IF(Benchmark1[[#This Row],[Comparable '#2 Date Check]]="Pass",Benchmark1[[#This Row],[Comparable '#2 Return]]-Benchmark1[[#This Row],[Benchmark '#1 Return]],"-"),"-")</f>
        <v>-2.7475447140233034E-2</v>
      </c>
      <c r="P1071" s="1" t="str">
        <f>IF(COUNTIF(Comp3[Comparable '#3 Dates],Benchmark1[[#This Row],[Benchmark '#1 Dates]])=1,"Pass","Fail")</f>
        <v>Pass</v>
      </c>
      <c r="Q1071" s="6">
        <f>IF(Benchmark1[[#This Row],[Comparable '#3 Date Check]]="Pass",INDEX(Comp3[Comparable '#3 Price],MATCH(Benchmark1[[#This Row],[Benchmark '#1 Dates]],Comp3[Comparable '#3 Dates],0)),"-")</f>
        <v>61.86</v>
      </c>
      <c r="R1071" s="22">
        <f>IF(Benchmark1[[#This Row],[Comparable '#3 Date Check]]="Pass",INDEX(Comp3[Comparable '#3 Return],MATCH(Benchmark1[[#This Row],[Benchmark '#1 Dates]],Comp3[Comparable '#3 Dates],0)),"-")</f>
        <v>7.3010789156157333E-3</v>
      </c>
      <c r="S1071" s="1">
        <f>IFERROR(IF(Benchmark1[[#This Row],[Comparable '#3 Date Check]]="Pass",Benchmark1[[#This Row],[Comparable '#3 Return]]-Benchmark1[[#This Row],[Benchmark '#1 Return]],"-"),"-")</f>
        <v>-1.8252082859926376E-2</v>
      </c>
    </row>
    <row r="1072" spans="1:19">
      <c r="A1072" s="103">
        <v>44838</v>
      </c>
      <c r="B1072" s="104">
        <v>3790.9288567759131</v>
      </c>
      <c r="C1072" s="4">
        <f t="shared" si="16"/>
        <v>3.0125361873480506E-2</v>
      </c>
      <c r="D1072" s="1" t="str">
        <f>IF(COUNTIF(Target1[Target Dates],Benchmark1[[#This Row],[Benchmark '#1 Dates]])=1,"Pass","Fail")</f>
        <v>Pass</v>
      </c>
      <c r="E1072" s="6">
        <f>IF(Benchmark1[[#This Row],[Target Date Check]]="Pass",INDEX(Target1[Target Price],MATCH(Benchmark1[[#This Row],[Benchmark '#1 Dates]],Target1[Target Dates],0)),"-")</f>
        <v>43.74</v>
      </c>
      <c r="F1072" s="22">
        <f>IF(Benchmark1[[#This Row],[Target Date Check]]="Pass",INDEX(Target1[Target Return],MATCH(Benchmark1[[#This Row],[Benchmark '#1 Dates]],Target1[Target Dates],0)),"-")</f>
        <v>5.9096868529813336E-2</v>
      </c>
      <c r="G1072" s="1">
        <f>IFERROR(IF(Benchmark1[[#This Row],[Target Date Check]]="Pass",Benchmark1[[#This Row],[Target Return]]-Benchmark1[[#This Row],[Benchmark '#1 Return]],"-"),"-")</f>
        <v>2.8971506656332829E-2</v>
      </c>
      <c r="H1072" s="1" t="str">
        <f>IF(COUNTIF(Comp1[Comparable '#1 Dates],Benchmark1[[#This Row],[Benchmark '#1 Dates]])=1,"Pass","Fail")</f>
        <v>Pass</v>
      </c>
      <c r="I1072" s="6">
        <f>IF(Benchmark1[[#This Row],[Comparable '#1 Date Check]]="Pass",INDEX(Comp1[Comparable '#1 Price],MATCH(Benchmark1[[#This Row],[Benchmark '#1 Dates]],Comp1[Comparable '#1 Dates],0)),"-")</f>
        <v>11.01</v>
      </c>
      <c r="J1072" s="22">
        <f>IF(Benchmark1[[#This Row],[Comparable '#1 Date Check]]="Pass",INDEX(Comp1[Comparable '#1 Return],MATCH(Benchmark1[[#This Row],[Benchmark '#1 Dates]],Comp1[Comparable '#1 Dates],0)),"-")</f>
        <v>4.26780908125131E-2</v>
      </c>
      <c r="K1072" s="1">
        <f>IFERROR(IF(Benchmark1[[#This Row],[Comparable '#1 Date Check]]="Pass",Benchmark1[[#This Row],[Comparable '#1 Return]]-Benchmark1[[#This Row],[Benchmark '#1 Return]],"-"),"-")</f>
        <v>1.2552728939032594E-2</v>
      </c>
      <c r="L1072" s="1" t="str">
        <f>IF(COUNTIF(Comp2[Comparable '#2 Dates],Benchmark1[[#This Row],[Benchmark '#1 Dates]])=1,"Pass","Fail")</f>
        <v>Pass</v>
      </c>
      <c r="M1072" s="6">
        <f>IF(Benchmark1[[#This Row],[Comparable '#2 Date Check]]="Pass",INDEX(Comp2[Comparable '#2 Price],MATCH(Benchmark1[[#This Row],[Benchmark '#1 Dates]],Comp2[Comparable '#2 Dates],0)),"-")</f>
        <v>37.75</v>
      </c>
      <c r="N1072" s="22">
        <f>IF(Benchmark1[[#This Row],[Comparable '#2 Date Check]]="Pass",INDEX(Comp2[Comparable '#2 Return],MATCH(Benchmark1[[#This Row],[Benchmark '#1 Dates]],Comp2[Comparable '#2 Dates],0)),"-")</f>
        <v>3.6966302605057434E-2</v>
      </c>
      <c r="O1072" s="1">
        <f>IFERROR(IF(Benchmark1[[#This Row],[Comparable '#2 Date Check]]="Pass",Benchmark1[[#This Row],[Comparable '#2 Return]]-Benchmark1[[#This Row],[Benchmark '#1 Return]],"-"),"-")</f>
        <v>6.8409407315769277E-3</v>
      </c>
      <c r="P1072" s="1" t="str">
        <f>IF(COUNTIF(Comp3[Comparable '#3 Dates],Benchmark1[[#This Row],[Benchmark '#1 Dates]])=1,"Pass","Fail")</f>
        <v>Pass</v>
      </c>
      <c r="Q1072" s="6">
        <f>IF(Benchmark1[[#This Row],[Comparable '#3 Date Check]]="Pass",INDEX(Comp3[Comparable '#3 Price],MATCH(Benchmark1[[#This Row],[Benchmark '#1 Dates]],Comp3[Comparable '#3 Dates],0)),"-")</f>
        <v>63.02</v>
      </c>
      <c r="R1072" s="22">
        <f>IF(Benchmark1[[#This Row],[Comparable '#3 Date Check]]="Pass",INDEX(Comp3[Comparable '#3 Return],MATCH(Benchmark1[[#This Row],[Benchmark '#1 Dates]],Comp3[Comparable '#3 Dates],0)),"-")</f>
        <v>1.8578369072205062E-2</v>
      </c>
      <c r="S1072" s="1">
        <f>IFERROR(IF(Benchmark1[[#This Row],[Comparable '#3 Date Check]]="Pass",Benchmark1[[#This Row],[Comparable '#3 Return]]-Benchmark1[[#This Row],[Benchmark '#1 Return]],"-"),"-")</f>
        <v>-1.1546992801275444E-2</v>
      </c>
    </row>
    <row r="1073" spans="1:19">
      <c r="A1073" s="103">
        <v>44839</v>
      </c>
      <c r="B1073" s="104">
        <v>3783.2813813250527</v>
      </c>
      <c r="C1073" s="4">
        <f t="shared" si="16"/>
        <v>-2.0193466537555167E-3</v>
      </c>
      <c r="D1073" s="1" t="str">
        <f>IF(COUNTIF(Target1[Target Dates],Benchmark1[[#This Row],[Benchmark '#1 Dates]])=1,"Pass","Fail")</f>
        <v>Pass</v>
      </c>
      <c r="E1073" s="6">
        <f>IF(Benchmark1[[#This Row],[Target Date Check]]="Pass",INDEX(Target1[Target Price],MATCH(Benchmark1[[#This Row],[Benchmark '#1 Dates]],Target1[Target Dates],0)),"-")</f>
        <v>43.79</v>
      </c>
      <c r="F1073" s="22">
        <f>IF(Benchmark1[[#This Row],[Target Date Check]]="Pass",INDEX(Target1[Target Return],MATCH(Benchmark1[[#This Row],[Benchmark '#1 Dates]],Target1[Target Dates],0)),"-")</f>
        <v>1.1424655646850969E-3</v>
      </c>
      <c r="G1073" s="1">
        <f>IFERROR(IF(Benchmark1[[#This Row],[Target Date Check]]="Pass",Benchmark1[[#This Row],[Target Return]]-Benchmark1[[#This Row],[Benchmark '#1 Return]],"-"),"-")</f>
        <v>3.1618122184406136E-3</v>
      </c>
      <c r="H1073" s="1" t="str">
        <f>IF(COUNTIF(Comp1[Comparable '#1 Dates],Benchmark1[[#This Row],[Benchmark '#1 Dates]])=1,"Pass","Fail")</f>
        <v>Pass</v>
      </c>
      <c r="I1073" s="6">
        <f>IF(Benchmark1[[#This Row],[Comparable '#1 Date Check]]="Pass",INDEX(Comp1[Comparable '#1 Price],MATCH(Benchmark1[[#This Row],[Benchmark '#1 Dates]],Comp1[Comparable '#1 Dates],0)),"-")</f>
        <v>11.05</v>
      </c>
      <c r="J1073" s="22">
        <f>IF(Benchmark1[[#This Row],[Comparable '#1 Date Check]]="Pass",INDEX(Comp1[Comparable '#1 Return],MATCH(Benchmark1[[#This Row],[Benchmark '#1 Dates]],Comp1[Comparable '#1 Dates],0)),"-")</f>
        <v>3.6264772291732814E-3</v>
      </c>
      <c r="K1073" s="1">
        <f>IFERROR(IF(Benchmark1[[#This Row],[Comparable '#1 Date Check]]="Pass",Benchmark1[[#This Row],[Comparable '#1 Return]]-Benchmark1[[#This Row],[Benchmark '#1 Return]],"-"),"-")</f>
        <v>5.6458238829287981E-3</v>
      </c>
      <c r="L1073" s="1" t="str">
        <f>IF(COUNTIF(Comp2[Comparable '#2 Dates],Benchmark1[[#This Row],[Benchmark '#1 Dates]])=1,"Pass","Fail")</f>
        <v>Pass</v>
      </c>
      <c r="M1073" s="6">
        <f>IF(Benchmark1[[#This Row],[Comparable '#2 Date Check]]="Pass",INDEX(Comp2[Comparable '#2 Price],MATCH(Benchmark1[[#This Row],[Benchmark '#1 Dates]],Comp2[Comparable '#2 Dates],0)),"-")</f>
        <v>37.159999999999997</v>
      </c>
      <c r="N1073" s="22">
        <f>IF(Benchmark1[[#This Row],[Comparable '#2 Date Check]]="Pass",INDEX(Comp2[Comparable '#2 Return],MATCH(Benchmark1[[#This Row],[Benchmark '#1 Dates]],Comp2[Comparable '#2 Dates],0)),"-")</f>
        <v>-1.5752561749396057E-2</v>
      </c>
      <c r="O1073" s="1">
        <f>IFERROR(IF(Benchmark1[[#This Row],[Comparable '#2 Date Check]]="Pass",Benchmark1[[#This Row],[Comparable '#2 Return]]-Benchmark1[[#This Row],[Benchmark '#1 Return]],"-"),"-")</f>
        <v>-1.3733215095640541E-2</v>
      </c>
      <c r="P1073" s="1" t="str">
        <f>IF(COUNTIF(Comp3[Comparable '#3 Dates],Benchmark1[[#This Row],[Benchmark '#1 Dates]])=1,"Pass","Fail")</f>
        <v>Pass</v>
      </c>
      <c r="Q1073" s="6">
        <f>IF(Benchmark1[[#This Row],[Comparable '#3 Date Check]]="Pass",INDEX(Comp3[Comparable '#3 Price],MATCH(Benchmark1[[#This Row],[Benchmark '#1 Dates]],Comp3[Comparable '#3 Dates],0)),"-")</f>
        <v>62.22</v>
      </c>
      <c r="R1073" s="22">
        <f>IF(Benchmark1[[#This Row],[Comparable '#3 Date Check]]="Pass",INDEX(Comp3[Comparable '#3 Return],MATCH(Benchmark1[[#This Row],[Benchmark '#1 Dates]],Comp3[Comparable '#3 Dates],0)),"-")</f>
        <v>-1.2775644859637605E-2</v>
      </c>
      <c r="S1073" s="1">
        <f>IFERROR(IF(Benchmark1[[#This Row],[Comparable '#3 Date Check]]="Pass",Benchmark1[[#This Row],[Comparable '#3 Return]]-Benchmark1[[#This Row],[Benchmark '#1 Return]],"-"),"-")</f>
        <v>-1.0756298205882088E-2</v>
      </c>
    </row>
    <row r="1074" spans="1:19">
      <c r="A1074" s="103">
        <v>44840</v>
      </c>
      <c r="B1074" s="104">
        <v>3744.5198322677147</v>
      </c>
      <c r="C1074" s="4">
        <f t="shared" si="16"/>
        <v>-1.0298330290667519E-2</v>
      </c>
      <c r="D1074" s="1" t="str">
        <f>IF(COUNTIF(Target1[Target Dates],Benchmark1[[#This Row],[Benchmark '#1 Dates]])=1,"Pass","Fail")</f>
        <v>Pass</v>
      </c>
      <c r="E1074" s="6">
        <f>IF(Benchmark1[[#This Row],[Target Date Check]]="Pass",INDEX(Target1[Target Price],MATCH(Benchmark1[[#This Row],[Benchmark '#1 Dates]],Target1[Target Dates],0)),"-")</f>
        <v>44.76</v>
      </c>
      <c r="F1074" s="22">
        <f>IF(Benchmark1[[#This Row],[Target Date Check]]="Pass",INDEX(Target1[Target Return],MATCH(Benchmark1[[#This Row],[Benchmark '#1 Dates]],Target1[Target Dates],0)),"-")</f>
        <v>2.1909402630417577E-2</v>
      </c>
      <c r="G1074" s="1">
        <f>IFERROR(IF(Benchmark1[[#This Row],[Target Date Check]]="Pass",Benchmark1[[#This Row],[Target Return]]-Benchmark1[[#This Row],[Benchmark '#1 Return]],"-"),"-")</f>
        <v>3.22077329210851E-2</v>
      </c>
      <c r="H1074" s="1" t="str">
        <f>IF(COUNTIF(Comp1[Comparable '#1 Dates],Benchmark1[[#This Row],[Benchmark '#1 Dates]])=1,"Pass","Fail")</f>
        <v>Pass</v>
      </c>
      <c r="I1074" s="6">
        <f>IF(Benchmark1[[#This Row],[Comparable '#1 Date Check]]="Pass",INDEX(Comp1[Comparable '#1 Price],MATCH(Benchmark1[[#This Row],[Benchmark '#1 Dates]],Comp1[Comparable '#1 Dates],0)),"-")</f>
        <v>11.35</v>
      </c>
      <c r="J1074" s="22">
        <f>IF(Benchmark1[[#This Row],[Comparable '#1 Date Check]]="Pass",INDEX(Comp1[Comparable '#1 Return],MATCH(Benchmark1[[#This Row],[Benchmark '#1 Dates]],Comp1[Comparable '#1 Dates],0)),"-")</f>
        <v>2.6787315963649763E-2</v>
      </c>
      <c r="K1074" s="1">
        <f>IFERROR(IF(Benchmark1[[#This Row],[Comparable '#1 Date Check]]="Pass",Benchmark1[[#This Row],[Comparable '#1 Return]]-Benchmark1[[#This Row],[Benchmark '#1 Return]],"-"),"-")</f>
        <v>3.7085646254317282E-2</v>
      </c>
      <c r="L1074" s="1" t="str">
        <f>IF(COUNTIF(Comp2[Comparable '#2 Dates],Benchmark1[[#This Row],[Benchmark '#1 Dates]])=1,"Pass","Fail")</f>
        <v>Pass</v>
      </c>
      <c r="M1074" s="6">
        <f>IF(Benchmark1[[#This Row],[Comparable '#2 Date Check]]="Pass",INDEX(Comp2[Comparable '#2 Price],MATCH(Benchmark1[[#This Row],[Benchmark '#1 Dates]],Comp2[Comparable '#2 Dates],0)),"-")</f>
        <v>37.479999999999997</v>
      </c>
      <c r="N1074" s="22">
        <f>IF(Benchmark1[[#This Row],[Comparable '#2 Date Check]]="Pass",INDEX(Comp2[Comparable '#2 Return],MATCH(Benchmark1[[#This Row],[Benchmark '#1 Dates]],Comp2[Comparable '#2 Dates],0)),"-")</f>
        <v>8.5745434245837176E-3</v>
      </c>
      <c r="O1074" s="1">
        <f>IFERROR(IF(Benchmark1[[#This Row],[Comparable '#2 Date Check]]="Pass",Benchmark1[[#This Row],[Comparable '#2 Return]]-Benchmark1[[#This Row],[Benchmark '#1 Return]],"-"),"-")</f>
        <v>1.8872873715251239E-2</v>
      </c>
      <c r="P1074" s="1" t="str">
        <f>IF(COUNTIF(Comp3[Comparable '#3 Dates],Benchmark1[[#This Row],[Benchmark '#1 Dates]])=1,"Pass","Fail")</f>
        <v>Pass</v>
      </c>
      <c r="Q1074" s="6">
        <f>IF(Benchmark1[[#This Row],[Comparable '#3 Date Check]]="Pass",INDEX(Comp3[Comparable '#3 Price],MATCH(Benchmark1[[#This Row],[Benchmark '#1 Dates]],Comp3[Comparable '#3 Dates],0)),"-")</f>
        <v>62.65</v>
      </c>
      <c r="R1074" s="22">
        <f>IF(Benchmark1[[#This Row],[Comparable '#3 Date Check]]="Pass",INDEX(Comp3[Comparable '#3 Return],MATCH(Benchmark1[[#This Row],[Benchmark '#1 Dates]],Comp3[Comparable '#3 Dates],0)),"-")</f>
        <v>6.8871898725864121E-3</v>
      </c>
      <c r="S1074" s="1">
        <f>IFERROR(IF(Benchmark1[[#This Row],[Comparable '#3 Date Check]]="Pass",Benchmark1[[#This Row],[Comparable '#3 Return]]-Benchmark1[[#This Row],[Benchmark '#1 Return]],"-"),"-")</f>
        <v>1.718552016325393E-2</v>
      </c>
    </row>
    <row r="1075" spans="1:19">
      <c r="A1075" s="103">
        <v>44841</v>
      </c>
      <c r="B1075" s="104">
        <v>3639.660025761827</v>
      </c>
      <c r="C1075" s="4">
        <f t="shared" si="16"/>
        <v>-2.8403115295334926E-2</v>
      </c>
      <c r="D1075" s="1" t="str">
        <f>IF(COUNTIF(Target1[Target Dates],Benchmark1[[#This Row],[Benchmark '#1 Dates]])=1,"Pass","Fail")</f>
        <v>Pass</v>
      </c>
      <c r="E1075" s="6">
        <f>IF(Benchmark1[[#This Row],[Target Date Check]]="Pass",INDEX(Target1[Target Price],MATCH(Benchmark1[[#This Row],[Benchmark '#1 Dates]],Target1[Target Dates],0)),"-")</f>
        <v>43.81</v>
      </c>
      <c r="F1075" s="22">
        <f>IF(Benchmark1[[#This Row],[Target Date Check]]="Pass",INDEX(Target1[Target Return],MATCH(Benchmark1[[#This Row],[Benchmark '#1 Dates]],Target1[Target Dates],0)),"-")</f>
        <v>-2.1452781617917312E-2</v>
      </c>
      <c r="G1075" s="1">
        <f>IFERROR(IF(Benchmark1[[#This Row],[Target Date Check]]="Pass",Benchmark1[[#This Row],[Target Return]]-Benchmark1[[#This Row],[Benchmark '#1 Return]],"-"),"-")</f>
        <v>6.9503336774176146E-3</v>
      </c>
      <c r="H1075" s="1" t="str">
        <f>IF(COUNTIF(Comp1[Comparable '#1 Dates],Benchmark1[[#This Row],[Benchmark '#1 Dates]])=1,"Pass","Fail")</f>
        <v>Pass</v>
      </c>
      <c r="I1075" s="6">
        <f>IF(Benchmark1[[#This Row],[Comparable '#1 Date Check]]="Pass",INDEX(Comp1[Comparable '#1 Price],MATCH(Benchmark1[[#This Row],[Benchmark '#1 Dates]],Comp1[Comparable '#1 Dates],0)),"-")</f>
        <v>10.6</v>
      </c>
      <c r="J1075" s="22">
        <f>IF(Benchmark1[[#This Row],[Comparable '#1 Date Check]]="Pass",INDEX(Comp1[Comparable '#1 Return],MATCH(Benchmark1[[#This Row],[Benchmark '#1 Dates]],Comp1[Comparable '#1 Dates],0)),"-")</f>
        <v>-6.8363742809390171E-2</v>
      </c>
      <c r="K1075" s="1">
        <f>IFERROR(IF(Benchmark1[[#This Row],[Comparable '#1 Date Check]]="Pass",Benchmark1[[#This Row],[Comparable '#1 Return]]-Benchmark1[[#This Row],[Benchmark '#1 Return]],"-"),"-")</f>
        <v>-3.9960627514055241E-2</v>
      </c>
      <c r="L1075" s="1" t="str">
        <f>IF(COUNTIF(Comp2[Comparable '#2 Dates],Benchmark1[[#This Row],[Benchmark '#1 Dates]])=1,"Pass","Fail")</f>
        <v>Pass</v>
      </c>
      <c r="M1075" s="6">
        <f>IF(Benchmark1[[#This Row],[Comparable '#2 Date Check]]="Pass",INDEX(Comp2[Comparable '#2 Price],MATCH(Benchmark1[[#This Row],[Benchmark '#1 Dates]],Comp2[Comparable '#2 Dates],0)),"-")</f>
        <v>36.74</v>
      </c>
      <c r="N1075" s="22">
        <f>IF(Benchmark1[[#This Row],[Comparable '#2 Date Check]]="Pass",INDEX(Comp2[Comparable '#2 Return],MATCH(Benchmark1[[#This Row],[Benchmark '#1 Dates]],Comp2[Comparable '#2 Dates],0)),"-")</f>
        <v>-1.9941377583241656E-2</v>
      </c>
      <c r="O1075" s="1">
        <f>IFERROR(IF(Benchmark1[[#This Row],[Comparable '#2 Date Check]]="Pass",Benchmark1[[#This Row],[Comparable '#2 Return]]-Benchmark1[[#This Row],[Benchmark '#1 Return]],"-"),"-")</f>
        <v>8.4617377120932702E-3</v>
      </c>
      <c r="P1075" s="1" t="str">
        <f>IF(COUNTIF(Comp3[Comparable '#3 Dates],Benchmark1[[#This Row],[Benchmark '#1 Dates]])=1,"Pass","Fail")</f>
        <v>Pass</v>
      </c>
      <c r="Q1075" s="6">
        <f>IF(Benchmark1[[#This Row],[Comparable '#3 Date Check]]="Pass",INDEX(Comp3[Comparable '#3 Price],MATCH(Benchmark1[[#This Row],[Benchmark '#1 Dates]],Comp3[Comparable '#3 Dates],0)),"-")</f>
        <v>61.3</v>
      </c>
      <c r="R1075" s="22">
        <f>IF(Benchmark1[[#This Row],[Comparable '#3 Date Check]]="Pass",INDEX(Comp3[Comparable '#3 Return],MATCH(Benchmark1[[#This Row],[Benchmark '#1 Dates]],Comp3[Comparable '#3 Dates],0)),"-")</f>
        <v>-2.1783838399911562E-2</v>
      </c>
      <c r="S1075" s="1">
        <f>IFERROR(IF(Benchmark1[[#This Row],[Comparable '#3 Date Check]]="Pass",Benchmark1[[#This Row],[Comparable '#3 Return]]-Benchmark1[[#This Row],[Benchmark '#1 Return]],"-"),"-")</f>
        <v>6.6192768954233643E-3</v>
      </c>
    </row>
    <row r="1076" spans="1:19">
      <c r="A1076" s="103">
        <v>44844</v>
      </c>
      <c r="B1076" s="104">
        <v>3612.3874883174126</v>
      </c>
      <c r="C1076" s="4">
        <f t="shared" si="16"/>
        <v>-7.5213699195759119E-3</v>
      </c>
      <c r="D1076" s="1" t="str">
        <f>IF(COUNTIF(Target1[Target Dates],Benchmark1[[#This Row],[Benchmark '#1 Dates]])=1,"Pass","Fail")</f>
        <v>Pass</v>
      </c>
      <c r="E1076" s="6">
        <f>IF(Benchmark1[[#This Row],[Target Date Check]]="Pass",INDEX(Target1[Target Price],MATCH(Benchmark1[[#This Row],[Benchmark '#1 Dates]],Target1[Target Dates],0)),"-")</f>
        <v>44.29</v>
      </c>
      <c r="F1076" s="22">
        <f>IF(Benchmark1[[#This Row],[Target Date Check]]="Pass",INDEX(Target1[Target Return],MATCH(Benchmark1[[#This Row],[Benchmark '#1 Dates]],Target1[Target Dates],0)),"-")</f>
        <v>1.0896816109299719E-2</v>
      </c>
      <c r="G1076" s="1">
        <f>IFERROR(IF(Benchmark1[[#This Row],[Target Date Check]]="Pass",Benchmark1[[#This Row],[Target Return]]-Benchmark1[[#This Row],[Benchmark '#1 Return]],"-"),"-")</f>
        <v>1.8418186028875631E-2</v>
      </c>
      <c r="H1076" s="1" t="str">
        <f>IF(COUNTIF(Comp1[Comparable '#1 Dates],Benchmark1[[#This Row],[Benchmark '#1 Dates]])=1,"Pass","Fail")</f>
        <v>Pass</v>
      </c>
      <c r="I1076" s="6">
        <f>IF(Benchmark1[[#This Row],[Comparable '#1 Date Check]]="Pass",INDEX(Comp1[Comparable '#1 Price],MATCH(Benchmark1[[#This Row],[Benchmark '#1 Dates]],Comp1[Comparable '#1 Dates],0)),"-")</f>
        <v>10.7</v>
      </c>
      <c r="J1076" s="22">
        <f>IF(Benchmark1[[#This Row],[Comparable '#1 Date Check]]="Pass",INDEX(Comp1[Comparable '#1 Return],MATCH(Benchmark1[[#This Row],[Benchmark '#1 Dates]],Comp1[Comparable '#1 Dates],0)),"-")</f>
        <v>9.3897403498389171E-3</v>
      </c>
      <c r="K1076" s="1">
        <f>IFERROR(IF(Benchmark1[[#This Row],[Comparable '#1 Date Check]]="Pass",Benchmark1[[#This Row],[Comparable '#1 Return]]-Benchmark1[[#This Row],[Benchmark '#1 Return]],"-"),"-")</f>
        <v>1.6911110269414831E-2</v>
      </c>
      <c r="L1076" s="1" t="str">
        <f>IF(COUNTIF(Comp2[Comparable '#2 Dates],Benchmark1[[#This Row],[Benchmark '#1 Dates]])=1,"Pass","Fail")</f>
        <v>Pass</v>
      </c>
      <c r="M1076" s="6">
        <f>IF(Benchmark1[[#This Row],[Comparable '#2 Date Check]]="Pass",INDEX(Comp2[Comparable '#2 Price],MATCH(Benchmark1[[#This Row],[Benchmark '#1 Dates]],Comp2[Comparable '#2 Dates],0)),"-")</f>
        <v>37.33</v>
      </c>
      <c r="N1076" s="22">
        <f>IF(Benchmark1[[#This Row],[Comparable '#2 Date Check]]="Pass",INDEX(Comp2[Comparable '#2 Return],MATCH(Benchmark1[[#This Row],[Benchmark '#1 Dates]],Comp2[Comparable '#2 Dates],0)),"-")</f>
        <v>1.5931213139512714E-2</v>
      </c>
      <c r="O1076" s="1">
        <f>IFERROR(IF(Benchmark1[[#This Row],[Comparable '#2 Date Check]]="Pass",Benchmark1[[#This Row],[Comparable '#2 Return]]-Benchmark1[[#This Row],[Benchmark '#1 Return]],"-"),"-")</f>
        <v>2.3452583059088625E-2</v>
      </c>
      <c r="P1076" s="1" t="str">
        <f>IF(COUNTIF(Comp3[Comparable '#3 Dates],Benchmark1[[#This Row],[Benchmark '#1 Dates]])=1,"Pass","Fail")</f>
        <v>Pass</v>
      </c>
      <c r="Q1076" s="6">
        <f>IF(Benchmark1[[#This Row],[Comparable '#3 Date Check]]="Pass",INDEX(Comp3[Comparable '#3 Price],MATCH(Benchmark1[[#This Row],[Benchmark '#1 Dates]],Comp3[Comparable '#3 Dates],0)),"-")</f>
        <v>61.25</v>
      </c>
      <c r="R1076" s="22">
        <f>IF(Benchmark1[[#This Row],[Comparable '#3 Date Check]]="Pass",INDEX(Comp3[Comparable '#3 Return],MATCH(Benchmark1[[#This Row],[Benchmark '#1 Dates]],Comp3[Comparable '#3 Dates],0)),"-")</f>
        <v>-8.1599351732930254E-4</v>
      </c>
      <c r="S1076" s="1">
        <f>IFERROR(IF(Benchmark1[[#This Row],[Comparable '#3 Date Check]]="Pass",Benchmark1[[#This Row],[Comparable '#3 Return]]-Benchmark1[[#This Row],[Benchmark '#1 Return]],"-"),"-")</f>
        <v>6.7053764022466092E-3</v>
      </c>
    </row>
    <row r="1077" spans="1:19">
      <c r="A1077" s="103">
        <v>44845</v>
      </c>
      <c r="B1077" s="104">
        <v>3588.8419077585972</v>
      </c>
      <c r="C1077" s="4">
        <f t="shared" si="16"/>
        <v>-6.5393457617968914E-3</v>
      </c>
      <c r="D1077" s="1" t="str">
        <f>IF(COUNTIF(Target1[Target Dates],Benchmark1[[#This Row],[Benchmark '#1 Dates]])=1,"Pass","Fail")</f>
        <v>Pass</v>
      </c>
      <c r="E1077" s="6">
        <f>IF(Benchmark1[[#This Row],[Target Date Check]]="Pass",INDEX(Target1[Target Price],MATCH(Benchmark1[[#This Row],[Benchmark '#1 Dates]],Target1[Target Dates],0)),"-")</f>
        <v>44.26</v>
      </c>
      <c r="F1077" s="22">
        <f>IF(Benchmark1[[#This Row],[Target Date Check]]="Pass",INDEX(Target1[Target Return],MATCH(Benchmark1[[#This Row],[Benchmark '#1 Dates]],Target1[Target Dates],0)),"-")</f>
        <v>-6.7758331220322881E-4</v>
      </c>
      <c r="G1077" s="1">
        <f>IFERROR(IF(Benchmark1[[#This Row],[Target Date Check]]="Pass",Benchmark1[[#This Row],[Target Return]]-Benchmark1[[#This Row],[Benchmark '#1 Return]],"-"),"-")</f>
        <v>5.8617624495936622E-3</v>
      </c>
      <c r="H1077" s="1" t="str">
        <f>IF(COUNTIF(Comp1[Comparable '#1 Dates],Benchmark1[[#This Row],[Benchmark '#1 Dates]])=1,"Pass","Fail")</f>
        <v>Pass</v>
      </c>
      <c r="I1077" s="6">
        <f>IF(Benchmark1[[#This Row],[Comparable '#1 Date Check]]="Pass",INDEX(Comp1[Comparable '#1 Price],MATCH(Benchmark1[[#This Row],[Benchmark '#1 Dates]],Comp1[Comparable '#1 Dates],0)),"-")</f>
        <v>10.58</v>
      </c>
      <c r="J1077" s="22">
        <f>IF(Benchmark1[[#This Row],[Comparable '#1 Date Check]]="Pass",INDEX(Comp1[Comparable '#1 Return],MATCH(Benchmark1[[#This Row],[Benchmark '#1 Dates]],Comp1[Comparable '#1 Dates],0)),"-")</f>
        <v>-1.1278315037707078E-2</v>
      </c>
      <c r="K1077" s="1">
        <f>IFERROR(IF(Benchmark1[[#This Row],[Comparable '#1 Date Check]]="Pass",Benchmark1[[#This Row],[Comparable '#1 Return]]-Benchmark1[[#This Row],[Benchmark '#1 Return]],"-"),"-")</f>
        <v>-4.7389692759101862E-3</v>
      </c>
      <c r="L1077" s="1" t="str">
        <f>IF(COUNTIF(Comp2[Comparable '#2 Dates],Benchmark1[[#This Row],[Benchmark '#1 Dates]])=1,"Pass","Fail")</f>
        <v>Pass</v>
      </c>
      <c r="M1077" s="6">
        <f>IF(Benchmark1[[#This Row],[Comparable '#2 Date Check]]="Pass",INDEX(Comp2[Comparable '#2 Price],MATCH(Benchmark1[[#This Row],[Benchmark '#1 Dates]],Comp2[Comparable '#2 Dates],0)),"-")</f>
        <v>37.35</v>
      </c>
      <c r="N1077" s="22">
        <f>IF(Benchmark1[[#This Row],[Comparable '#2 Date Check]]="Pass",INDEX(Comp2[Comparable '#2 Return],MATCH(Benchmark1[[#This Row],[Benchmark '#1 Dates]],Comp2[Comparable '#2 Dates],0)),"-")</f>
        <v>5.3561865233382646E-4</v>
      </c>
      <c r="O1077" s="1">
        <f>IFERROR(IF(Benchmark1[[#This Row],[Comparable '#2 Date Check]]="Pass",Benchmark1[[#This Row],[Comparable '#2 Return]]-Benchmark1[[#This Row],[Benchmark '#1 Return]],"-"),"-")</f>
        <v>7.074964414130718E-3</v>
      </c>
      <c r="P1077" s="1" t="str">
        <f>IF(COUNTIF(Comp3[Comparable '#3 Dates],Benchmark1[[#This Row],[Benchmark '#1 Dates]])=1,"Pass","Fail")</f>
        <v>Pass</v>
      </c>
      <c r="Q1077" s="6">
        <f>IF(Benchmark1[[#This Row],[Comparable '#3 Date Check]]="Pass",INDEX(Comp3[Comparable '#3 Price],MATCH(Benchmark1[[#This Row],[Benchmark '#1 Dates]],Comp3[Comparable '#3 Dates],0)),"-")</f>
        <v>62.26</v>
      </c>
      <c r="R1077" s="22">
        <f>IF(Benchmark1[[#This Row],[Comparable '#3 Date Check]]="Pass",INDEX(Comp3[Comparable '#3 Return],MATCH(Benchmark1[[#This Row],[Benchmark '#1 Dates]],Comp3[Comparable '#3 Dates],0)),"-")</f>
        <v>1.6355315588625807E-2</v>
      </c>
      <c r="S1077" s="1">
        <f>IFERROR(IF(Benchmark1[[#This Row],[Comparable '#3 Date Check]]="Pass",Benchmark1[[#This Row],[Comparable '#3 Return]]-Benchmark1[[#This Row],[Benchmark '#1 Return]],"-"),"-")</f>
        <v>2.2894661350422698E-2</v>
      </c>
    </row>
    <row r="1078" spans="1:19">
      <c r="A1078" s="103">
        <v>44846</v>
      </c>
      <c r="B1078" s="104">
        <v>3577.0316544881807</v>
      </c>
      <c r="C1078" s="4">
        <f t="shared" si="16"/>
        <v>-3.2962524000178192E-3</v>
      </c>
      <c r="D1078" s="1" t="str">
        <f>IF(COUNTIF(Target1[Target Dates],Benchmark1[[#This Row],[Benchmark '#1 Dates]])=1,"Pass","Fail")</f>
        <v>Pass</v>
      </c>
      <c r="E1078" s="6">
        <f>IF(Benchmark1[[#This Row],[Target Date Check]]="Pass",INDEX(Target1[Target Price],MATCH(Benchmark1[[#This Row],[Benchmark '#1 Dates]],Target1[Target Dates],0)),"-")</f>
        <v>45.16</v>
      </c>
      <c r="F1078" s="22">
        <f>IF(Benchmark1[[#This Row],[Target Date Check]]="Pass",INDEX(Target1[Target Return],MATCH(Benchmark1[[#This Row],[Benchmark '#1 Dates]],Target1[Target Dates],0)),"-")</f>
        <v>2.0130404658557668E-2</v>
      </c>
      <c r="G1078" s="1">
        <f>IFERROR(IF(Benchmark1[[#This Row],[Target Date Check]]="Pass",Benchmark1[[#This Row],[Target Return]]-Benchmark1[[#This Row],[Benchmark '#1 Return]],"-"),"-")</f>
        <v>2.3426657058575488E-2</v>
      </c>
      <c r="H1078" s="1" t="str">
        <f>IF(COUNTIF(Comp1[Comparable '#1 Dates],Benchmark1[[#This Row],[Benchmark '#1 Dates]])=1,"Pass","Fail")</f>
        <v>Pass</v>
      </c>
      <c r="I1078" s="6">
        <f>IF(Benchmark1[[#This Row],[Comparable '#1 Date Check]]="Pass",INDEX(Comp1[Comparable '#1 Price],MATCH(Benchmark1[[#This Row],[Benchmark '#1 Dates]],Comp1[Comparable '#1 Dates],0)),"-")</f>
        <v>10.82</v>
      </c>
      <c r="J1078" s="22">
        <f>IF(Benchmark1[[#This Row],[Comparable '#1 Date Check]]="Pass",INDEX(Comp1[Comparable '#1 Return],MATCH(Benchmark1[[#This Row],[Benchmark '#1 Dates]],Comp1[Comparable '#1 Dates],0)),"-")</f>
        <v>2.2430846988182134E-2</v>
      </c>
      <c r="K1078" s="1">
        <f>IFERROR(IF(Benchmark1[[#This Row],[Comparable '#1 Date Check]]="Pass",Benchmark1[[#This Row],[Comparable '#1 Return]]-Benchmark1[[#This Row],[Benchmark '#1 Return]],"-"),"-")</f>
        <v>2.5727099388199955E-2</v>
      </c>
      <c r="L1078" s="1" t="str">
        <f>IF(COUNTIF(Comp2[Comparable '#2 Dates],Benchmark1[[#This Row],[Benchmark '#1 Dates]])=1,"Pass","Fail")</f>
        <v>Pass</v>
      </c>
      <c r="M1078" s="6">
        <f>IF(Benchmark1[[#This Row],[Comparable '#2 Date Check]]="Pass",INDEX(Comp2[Comparable '#2 Price],MATCH(Benchmark1[[#This Row],[Benchmark '#1 Dates]],Comp2[Comparable '#2 Dates],0)),"-")</f>
        <v>38.200000000000003</v>
      </c>
      <c r="N1078" s="22">
        <f>IF(Benchmark1[[#This Row],[Comparable '#2 Date Check]]="Pass",INDEX(Comp2[Comparable '#2 Return],MATCH(Benchmark1[[#This Row],[Benchmark '#1 Dates]],Comp2[Comparable '#2 Dates],0)),"-")</f>
        <v>2.2502604033703244E-2</v>
      </c>
      <c r="O1078" s="1">
        <f>IFERROR(IF(Benchmark1[[#This Row],[Comparable '#2 Date Check]]="Pass",Benchmark1[[#This Row],[Comparable '#2 Return]]-Benchmark1[[#This Row],[Benchmark '#1 Return]],"-"),"-")</f>
        <v>2.5798856433721064E-2</v>
      </c>
      <c r="P1078" s="1" t="str">
        <f>IF(COUNTIF(Comp3[Comparable '#3 Dates],Benchmark1[[#This Row],[Benchmark '#1 Dates]])=1,"Pass","Fail")</f>
        <v>Pass</v>
      </c>
      <c r="Q1078" s="6">
        <f>IF(Benchmark1[[#This Row],[Comparable '#3 Date Check]]="Pass",INDEX(Comp3[Comparable '#3 Price],MATCH(Benchmark1[[#This Row],[Benchmark '#1 Dates]],Comp3[Comparable '#3 Dates],0)),"-")</f>
        <v>63.32</v>
      </c>
      <c r="R1078" s="22">
        <f>IF(Benchmark1[[#This Row],[Comparable '#3 Date Check]]="Pass",INDEX(Comp3[Comparable '#3 Return],MATCH(Benchmark1[[#This Row],[Benchmark '#1 Dates]],Comp3[Comparable '#3 Dates],0)),"-")</f>
        <v>1.6882069999349367E-2</v>
      </c>
      <c r="S1078" s="1">
        <f>IFERROR(IF(Benchmark1[[#This Row],[Comparable '#3 Date Check]]="Pass",Benchmark1[[#This Row],[Comparable '#3 Return]]-Benchmark1[[#This Row],[Benchmark '#1 Return]],"-"),"-")</f>
        <v>2.0178322399367187E-2</v>
      </c>
    </row>
    <row r="1079" spans="1:19">
      <c r="A1079" s="103">
        <v>44847</v>
      </c>
      <c r="B1079" s="104">
        <v>3669.9056651606438</v>
      </c>
      <c r="C1079" s="4">
        <f t="shared" si="16"/>
        <v>2.5632647730945812E-2</v>
      </c>
      <c r="D1079" s="1" t="str">
        <f>IF(COUNTIF(Target1[Target Dates],Benchmark1[[#This Row],[Benchmark '#1 Dates]])=1,"Pass","Fail")</f>
        <v>Pass</v>
      </c>
      <c r="E1079" s="6">
        <f>IF(Benchmark1[[#This Row],[Target Date Check]]="Pass",INDEX(Target1[Target Price],MATCH(Benchmark1[[#This Row],[Benchmark '#1 Dates]],Target1[Target Dates],0)),"-")</f>
        <v>45.21</v>
      </c>
      <c r="F1079" s="22">
        <f>IF(Benchmark1[[#This Row],[Target Date Check]]="Pass",INDEX(Target1[Target Return],MATCH(Benchmark1[[#This Row],[Benchmark '#1 Dates]],Target1[Target Dates],0)),"-")</f>
        <v>1.1065620250526385E-3</v>
      </c>
      <c r="G1079" s="1">
        <f>IFERROR(IF(Benchmark1[[#This Row],[Target Date Check]]="Pass",Benchmark1[[#This Row],[Target Return]]-Benchmark1[[#This Row],[Benchmark '#1 Return]],"-"),"-")</f>
        <v>-2.4526085705893173E-2</v>
      </c>
      <c r="H1079" s="1" t="str">
        <f>IF(COUNTIF(Comp1[Comparable '#1 Dates],Benchmark1[[#This Row],[Benchmark '#1 Dates]])=1,"Pass","Fail")</f>
        <v>Pass</v>
      </c>
      <c r="I1079" s="6">
        <f>IF(Benchmark1[[#This Row],[Comparable '#1 Date Check]]="Pass",INDEX(Comp1[Comparable '#1 Price],MATCH(Benchmark1[[#This Row],[Benchmark '#1 Dates]],Comp1[Comparable '#1 Dates],0)),"-")</f>
        <v>10.86</v>
      </c>
      <c r="J1079" s="22">
        <f>IF(Benchmark1[[#This Row],[Comparable '#1 Date Check]]="Pass",INDEX(Comp1[Comparable '#1 Return],MATCH(Benchmark1[[#This Row],[Benchmark '#1 Dates]],Comp1[Comparable '#1 Dates],0)),"-")</f>
        <v>3.690041087453742E-3</v>
      </c>
      <c r="K1079" s="1">
        <f>IFERROR(IF(Benchmark1[[#This Row],[Comparable '#1 Date Check]]="Pass",Benchmark1[[#This Row],[Comparable '#1 Return]]-Benchmark1[[#This Row],[Benchmark '#1 Return]],"-"),"-")</f>
        <v>-2.1942606643492069E-2</v>
      </c>
      <c r="L1079" s="1" t="str">
        <f>IF(COUNTIF(Comp2[Comparable '#2 Dates],Benchmark1[[#This Row],[Benchmark '#1 Dates]])=1,"Pass","Fail")</f>
        <v>Pass</v>
      </c>
      <c r="M1079" s="6">
        <f>IF(Benchmark1[[#This Row],[Comparable '#2 Date Check]]="Pass",INDEX(Comp2[Comparable '#2 Price],MATCH(Benchmark1[[#This Row],[Benchmark '#1 Dates]],Comp2[Comparable '#2 Dates],0)),"-")</f>
        <v>37.99</v>
      </c>
      <c r="N1079" s="22">
        <f>IF(Benchmark1[[#This Row],[Comparable '#2 Date Check]]="Pass",INDEX(Comp2[Comparable '#2 Return],MATCH(Benchmark1[[#This Row],[Benchmark '#1 Dates]],Comp2[Comparable '#2 Dates],0)),"-")</f>
        <v>-5.5125484129953202E-3</v>
      </c>
      <c r="O1079" s="1">
        <f>IFERROR(IF(Benchmark1[[#This Row],[Comparable '#2 Date Check]]="Pass",Benchmark1[[#This Row],[Comparable '#2 Return]]-Benchmark1[[#This Row],[Benchmark '#1 Return]],"-"),"-")</f>
        <v>-3.1145196143941133E-2</v>
      </c>
      <c r="P1079" s="1" t="str">
        <f>IF(COUNTIF(Comp3[Comparable '#3 Dates],Benchmark1[[#This Row],[Benchmark '#1 Dates]])=1,"Pass","Fail")</f>
        <v>Pass</v>
      </c>
      <c r="Q1079" s="6">
        <f>IF(Benchmark1[[#This Row],[Comparable '#3 Date Check]]="Pass",INDEX(Comp3[Comparable '#3 Price],MATCH(Benchmark1[[#This Row],[Benchmark '#1 Dates]],Comp3[Comparable '#3 Dates],0)),"-")</f>
        <v>63.86</v>
      </c>
      <c r="R1079" s="22">
        <f>IF(Benchmark1[[#This Row],[Comparable '#3 Date Check]]="Pass",INDEX(Comp3[Comparable '#3 Return],MATCH(Benchmark1[[#This Row],[Benchmark '#1 Dates]],Comp3[Comparable '#3 Dates],0)),"-")</f>
        <v>8.4919522738245989E-3</v>
      </c>
      <c r="S1079" s="1">
        <f>IFERROR(IF(Benchmark1[[#This Row],[Comparable '#3 Date Check]]="Pass",Benchmark1[[#This Row],[Comparable '#3 Return]]-Benchmark1[[#This Row],[Benchmark '#1 Return]],"-"),"-")</f>
        <v>-1.7140695457121213E-2</v>
      </c>
    </row>
    <row r="1080" spans="1:19">
      <c r="A1080" s="103">
        <v>44848</v>
      </c>
      <c r="B1080" s="104">
        <v>3583.0691149647137</v>
      </c>
      <c r="C1080" s="4">
        <f t="shared" si="16"/>
        <v>-2.3946229591924058E-2</v>
      </c>
      <c r="D1080" s="1" t="str">
        <f>IF(COUNTIF(Target1[Target Dates],Benchmark1[[#This Row],[Benchmark '#1 Dates]])=1,"Pass","Fail")</f>
        <v>Pass</v>
      </c>
      <c r="E1080" s="6">
        <f>IF(Benchmark1[[#This Row],[Target Date Check]]="Pass",INDEX(Target1[Target Price],MATCH(Benchmark1[[#This Row],[Benchmark '#1 Dates]],Target1[Target Dates],0)),"-")</f>
        <v>44.57</v>
      </c>
      <c r="F1080" s="22">
        <f>IF(Benchmark1[[#This Row],[Target Date Check]]="Pass",INDEX(Target1[Target Return],MATCH(Benchmark1[[#This Row],[Benchmark '#1 Dates]],Target1[Target Dates],0)),"-")</f>
        <v>-1.4257314348049353E-2</v>
      </c>
      <c r="G1080" s="1">
        <f>IFERROR(IF(Benchmark1[[#This Row],[Target Date Check]]="Pass",Benchmark1[[#This Row],[Target Return]]-Benchmark1[[#This Row],[Benchmark '#1 Return]],"-"),"-")</f>
        <v>9.6889152438747045E-3</v>
      </c>
      <c r="H1080" s="1" t="str">
        <f>IF(COUNTIF(Comp1[Comparable '#1 Dates],Benchmark1[[#This Row],[Benchmark '#1 Dates]])=1,"Pass","Fail")</f>
        <v>Pass</v>
      </c>
      <c r="I1080" s="6">
        <f>IF(Benchmark1[[#This Row],[Comparable '#1 Date Check]]="Pass",INDEX(Comp1[Comparable '#1 Price],MATCH(Benchmark1[[#This Row],[Benchmark '#1 Dates]],Comp1[Comparable '#1 Dates],0)),"-")</f>
        <v>10.4</v>
      </c>
      <c r="J1080" s="22">
        <f>IF(Benchmark1[[#This Row],[Comparable '#1 Date Check]]="Pass",INDEX(Comp1[Comparable '#1 Return],MATCH(Benchmark1[[#This Row],[Benchmark '#1 Dates]],Comp1[Comparable '#1 Dates],0)),"-")</f>
        <v>-4.3280508358462283E-2</v>
      </c>
      <c r="K1080" s="1">
        <f>IFERROR(IF(Benchmark1[[#This Row],[Comparable '#1 Date Check]]="Pass",Benchmark1[[#This Row],[Comparable '#1 Return]]-Benchmark1[[#This Row],[Benchmark '#1 Return]],"-"),"-")</f>
        <v>-1.9334278766538225E-2</v>
      </c>
      <c r="L1080" s="1" t="str">
        <f>IF(COUNTIF(Comp2[Comparable '#2 Dates],Benchmark1[[#This Row],[Benchmark '#1 Dates]])=1,"Pass","Fail")</f>
        <v>Pass</v>
      </c>
      <c r="M1080" s="6">
        <f>IF(Benchmark1[[#This Row],[Comparable '#2 Date Check]]="Pass",INDEX(Comp2[Comparable '#2 Price],MATCH(Benchmark1[[#This Row],[Benchmark '#1 Dates]],Comp2[Comparable '#2 Dates],0)),"-")</f>
        <v>36.32</v>
      </c>
      <c r="N1080" s="22">
        <f>IF(Benchmark1[[#This Row],[Comparable '#2 Date Check]]="Pass",INDEX(Comp2[Comparable '#2 Return],MATCH(Benchmark1[[#This Row],[Benchmark '#1 Dates]],Comp2[Comparable '#2 Dates],0)),"-")</f>
        <v>-4.4954413466441683E-2</v>
      </c>
      <c r="O1080" s="1">
        <f>IFERROR(IF(Benchmark1[[#This Row],[Comparable '#2 Date Check]]="Pass",Benchmark1[[#This Row],[Comparable '#2 Return]]-Benchmark1[[#This Row],[Benchmark '#1 Return]],"-"),"-")</f>
        <v>-2.1008183874517625E-2</v>
      </c>
      <c r="P1080" s="1" t="str">
        <f>IF(COUNTIF(Comp3[Comparable '#3 Dates],Benchmark1[[#This Row],[Benchmark '#1 Dates]])=1,"Pass","Fail")</f>
        <v>Pass</v>
      </c>
      <c r="Q1080" s="6">
        <f>IF(Benchmark1[[#This Row],[Comparable '#3 Date Check]]="Pass",INDEX(Comp3[Comparable '#3 Price],MATCH(Benchmark1[[#This Row],[Benchmark '#1 Dates]],Comp3[Comparable '#3 Dates],0)),"-")</f>
        <v>62.85</v>
      </c>
      <c r="R1080" s="22">
        <f>IF(Benchmark1[[#This Row],[Comparable '#3 Date Check]]="Pass",INDEX(Comp3[Comparable '#3 Return],MATCH(Benchmark1[[#This Row],[Benchmark '#1 Dates]],Comp3[Comparable '#3 Dates],0)),"-")</f>
        <v>-1.5942252250379471E-2</v>
      </c>
      <c r="S1080" s="1">
        <f>IFERROR(IF(Benchmark1[[#This Row],[Comparable '#3 Date Check]]="Pass",Benchmark1[[#This Row],[Comparable '#3 Return]]-Benchmark1[[#This Row],[Benchmark '#1 Return]],"-"),"-")</f>
        <v>8.0039773415445867E-3</v>
      </c>
    </row>
    <row r="1081" spans="1:19">
      <c r="A1081" s="103">
        <v>44851</v>
      </c>
      <c r="B1081" s="104">
        <v>3677.953796821575</v>
      </c>
      <c r="C1081" s="4">
        <f t="shared" si="16"/>
        <v>2.6136836236210367E-2</v>
      </c>
      <c r="D1081" s="1" t="str">
        <f>IF(COUNTIF(Target1[Target Dates],Benchmark1[[#This Row],[Benchmark '#1 Dates]])=1,"Pass","Fail")</f>
        <v>Pass</v>
      </c>
      <c r="E1081" s="6">
        <f>IF(Benchmark1[[#This Row],[Target Date Check]]="Pass",INDEX(Target1[Target Price],MATCH(Benchmark1[[#This Row],[Benchmark '#1 Dates]],Target1[Target Dates],0)),"-")</f>
        <v>45.52</v>
      </c>
      <c r="F1081" s="22">
        <f>IF(Benchmark1[[#This Row],[Target Date Check]]="Pass",INDEX(Target1[Target Return],MATCH(Benchmark1[[#This Row],[Benchmark '#1 Dates]],Target1[Target Dates],0)),"-")</f>
        <v>2.1090802859611138E-2</v>
      </c>
      <c r="G1081" s="1">
        <f>IFERROR(IF(Benchmark1[[#This Row],[Target Date Check]]="Pass",Benchmark1[[#This Row],[Target Return]]-Benchmark1[[#This Row],[Benchmark '#1 Return]],"-"),"-")</f>
        <v>-5.0460333765992293E-3</v>
      </c>
      <c r="H1081" s="1" t="str">
        <f>IF(COUNTIF(Comp1[Comparable '#1 Dates],Benchmark1[[#This Row],[Benchmark '#1 Dates]])=1,"Pass","Fail")</f>
        <v>Pass</v>
      </c>
      <c r="I1081" s="6">
        <f>IF(Benchmark1[[#This Row],[Comparable '#1 Date Check]]="Pass",INDEX(Comp1[Comparable '#1 Price],MATCH(Benchmark1[[#This Row],[Benchmark '#1 Dates]],Comp1[Comparable '#1 Dates],0)),"-")</f>
        <v>10.79</v>
      </c>
      <c r="J1081" s="22">
        <f>IF(Benchmark1[[#This Row],[Comparable '#1 Date Check]]="Pass",INDEX(Comp1[Comparable '#1 Return],MATCH(Benchmark1[[#This Row],[Benchmark '#1 Dates]],Comp1[Comparable '#1 Dates],0)),"-")</f>
        <v>3.6813973122716184E-2</v>
      </c>
      <c r="K1081" s="1">
        <f>IFERROR(IF(Benchmark1[[#This Row],[Comparable '#1 Date Check]]="Pass",Benchmark1[[#This Row],[Comparable '#1 Return]]-Benchmark1[[#This Row],[Benchmark '#1 Return]],"-"),"-")</f>
        <v>1.0677136886505817E-2</v>
      </c>
      <c r="L1081" s="1" t="str">
        <f>IF(COUNTIF(Comp2[Comparable '#2 Dates],Benchmark1[[#This Row],[Benchmark '#1 Dates]])=1,"Pass","Fail")</f>
        <v>Pass</v>
      </c>
      <c r="M1081" s="6">
        <f>IF(Benchmark1[[#This Row],[Comparable '#2 Date Check]]="Pass",INDEX(Comp2[Comparable '#2 Price],MATCH(Benchmark1[[#This Row],[Benchmark '#1 Dates]],Comp2[Comparable '#2 Dates],0)),"-")</f>
        <v>37.22</v>
      </c>
      <c r="N1081" s="22">
        <f>IF(Benchmark1[[#This Row],[Comparable '#2 Date Check]]="Pass",INDEX(Comp2[Comparable '#2 Return],MATCH(Benchmark1[[#This Row],[Benchmark '#1 Dates]],Comp2[Comparable '#2 Dates],0)),"-")</f>
        <v>2.4477697481012205E-2</v>
      </c>
      <c r="O1081" s="1">
        <f>IFERROR(IF(Benchmark1[[#This Row],[Comparable '#2 Date Check]]="Pass",Benchmark1[[#This Row],[Comparable '#2 Return]]-Benchmark1[[#This Row],[Benchmark '#1 Return]],"-"),"-")</f>
        <v>-1.6591387551981619E-3</v>
      </c>
      <c r="P1081" s="1" t="str">
        <f>IF(COUNTIF(Comp3[Comparable '#3 Dates],Benchmark1[[#This Row],[Benchmark '#1 Dates]])=1,"Pass","Fail")</f>
        <v>Pass</v>
      </c>
      <c r="Q1081" s="6">
        <f>IF(Benchmark1[[#This Row],[Comparable '#3 Date Check]]="Pass",INDEX(Comp3[Comparable '#3 Price],MATCH(Benchmark1[[#This Row],[Benchmark '#1 Dates]],Comp3[Comparable '#3 Dates],0)),"-")</f>
        <v>64.08</v>
      </c>
      <c r="R1081" s="22">
        <f>IF(Benchmark1[[#This Row],[Comparable '#3 Date Check]]="Pass",INDEX(Comp3[Comparable '#3 Return],MATCH(Benchmark1[[#This Row],[Benchmark '#1 Dates]],Comp3[Comparable '#3 Dates],0)),"-")</f>
        <v>1.9381367723847295E-2</v>
      </c>
      <c r="S1081" s="1">
        <f>IFERROR(IF(Benchmark1[[#This Row],[Comparable '#3 Date Check]]="Pass",Benchmark1[[#This Row],[Comparable '#3 Return]]-Benchmark1[[#This Row],[Benchmark '#1 Return]],"-"),"-")</f>
        <v>-6.7554685123630727E-3</v>
      </c>
    </row>
    <row r="1082" spans="1:19">
      <c r="A1082" s="103">
        <v>44852</v>
      </c>
      <c r="B1082" s="104">
        <v>3719.9827158019798</v>
      </c>
      <c r="C1082" s="4">
        <f t="shared" si="16"/>
        <v>1.1362457919967891E-2</v>
      </c>
      <c r="D1082" s="1" t="str">
        <f>IF(COUNTIF(Target1[Target Dates],Benchmark1[[#This Row],[Benchmark '#1 Dates]])=1,"Pass","Fail")</f>
        <v>Pass</v>
      </c>
      <c r="E1082" s="6">
        <f>IF(Benchmark1[[#This Row],[Target Date Check]]="Pass",INDEX(Target1[Target Price],MATCH(Benchmark1[[#This Row],[Benchmark '#1 Dates]],Target1[Target Dates],0)),"-")</f>
        <v>46.14</v>
      </c>
      <c r="F1082" s="22">
        <f>IF(Benchmark1[[#This Row],[Target Date Check]]="Pass",INDEX(Target1[Target Return],MATCH(Benchmark1[[#This Row],[Benchmark '#1 Dates]],Target1[Target Dates],0)),"-")</f>
        <v>1.3528462927532002E-2</v>
      </c>
      <c r="G1082" s="1">
        <f>IFERROR(IF(Benchmark1[[#This Row],[Target Date Check]]="Pass",Benchmark1[[#This Row],[Target Return]]-Benchmark1[[#This Row],[Benchmark '#1 Return]],"-"),"-")</f>
        <v>2.1660050075641112E-3</v>
      </c>
      <c r="H1082" s="1" t="str">
        <f>IF(COUNTIF(Comp1[Comparable '#1 Dates],Benchmark1[[#This Row],[Benchmark '#1 Dates]])=1,"Pass","Fail")</f>
        <v>Pass</v>
      </c>
      <c r="I1082" s="6">
        <f>IF(Benchmark1[[#This Row],[Comparable '#1 Date Check]]="Pass",INDEX(Comp1[Comparable '#1 Price],MATCH(Benchmark1[[#This Row],[Benchmark '#1 Dates]],Comp1[Comparable '#1 Dates],0)),"-")</f>
        <v>10.97</v>
      </c>
      <c r="J1082" s="22">
        <f>IF(Benchmark1[[#This Row],[Comparable '#1 Date Check]]="Pass",INDEX(Comp1[Comparable '#1 Return],MATCH(Benchmark1[[#This Row],[Benchmark '#1 Dates]],Comp1[Comparable '#1 Dates],0)),"-")</f>
        <v>1.6544495017095671E-2</v>
      </c>
      <c r="K1082" s="1">
        <f>IFERROR(IF(Benchmark1[[#This Row],[Comparable '#1 Date Check]]="Pass",Benchmark1[[#This Row],[Comparable '#1 Return]]-Benchmark1[[#This Row],[Benchmark '#1 Return]],"-"),"-")</f>
        <v>5.1820370971277802E-3</v>
      </c>
      <c r="L1082" s="1" t="str">
        <f>IF(COUNTIF(Comp2[Comparable '#2 Dates],Benchmark1[[#This Row],[Benchmark '#1 Dates]])=1,"Pass","Fail")</f>
        <v>Pass</v>
      </c>
      <c r="M1082" s="6">
        <f>IF(Benchmark1[[#This Row],[Comparable '#2 Date Check]]="Pass",INDEX(Comp2[Comparable '#2 Price],MATCH(Benchmark1[[#This Row],[Benchmark '#1 Dates]],Comp2[Comparable '#2 Dates],0)),"-")</f>
        <v>38.659999999999997</v>
      </c>
      <c r="N1082" s="22">
        <f>IF(Benchmark1[[#This Row],[Comparable '#2 Date Check]]="Pass",INDEX(Comp2[Comparable '#2 Return],MATCH(Benchmark1[[#This Row],[Benchmark '#1 Dates]],Comp2[Comparable '#2 Dates],0)),"-")</f>
        <v>3.7959222566080135E-2</v>
      </c>
      <c r="O1082" s="1">
        <f>IFERROR(IF(Benchmark1[[#This Row],[Comparable '#2 Date Check]]="Pass",Benchmark1[[#This Row],[Comparable '#2 Return]]-Benchmark1[[#This Row],[Benchmark '#1 Return]],"-"),"-")</f>
        <v>2.6596764646112242E-2</v>
      </c>
      <c r="P1082" s="1" t="str">
        <f>IF(COUNTIF(Comp3[Comparable '#3 Dates],Benchmark1[[#This Row],[Benchmark '#1 Dates]])=1,"Pass","Fail")</f>
        <v>Pass</v>
      </c>
      <c r="Q1082" s="6">
        <f>IF(Benchmark1[[#This Row],[Comparable '#3 Date Check]]="Pass",INDEX(Comp3[Comparable '#3 Price],MATCH(Benchmark1[[#This Row],[Benchmark '#1 Dates]],Comp3[Comparable '#3 Dates],0)),"-")</f>
        <v>65.25</v>
      </c>
      <c r="R1082" s="22">
        <f>IF(Benchmark1[[#This Row],[Comparable '#3 Date Check]]="Pass",INDEX(Comp3[Comparable '#3 Return],MATCH(Benchmark1[[#This Row],[Benchmark '#1 Dates]],Comp3[Comparable '#3 Dates],0)),"-")</f>
        <v>1.8093743442699081E-2</v>
      </c>
      <c r="S1082" s="1">
        <f>IFERROR(IF(Benchmark1[[#This Row],[Comparable '#3 Date Check]]="Pass",Benchmark1[[#This Row],[Comparable '#3 Return]]-Benchmark1[[#This Row],[Benchmark '#1 Return]],"-"),"-")</f>
        <v>6.73128552273119E-3</v>
      </c>
    </row>
    <row r="1083" spans="1:19">
      <c r="A1083" s="103">
        <v>44853</v>
      </c>
      <c r="B1083" s="104">
        <v>3695.1551365692476</v>
      </c>
      <c r="C1083" s="4">
        <f t="shared" si="16"/>
        <v>-6.6964829259586068E-3</v>
      </c>
      <c r="D1083" s="1" t="str">
        <f>IF(COUNTIF(Target1[Target Dates],Benchmark1[[#This Row],[Benchmark '#1 Dates]])=1,"Pass","Fail")</f>
        <v>Pass</v>
      </c>
      <c r="E1083" s="6">
        <f>IF(Benchmark1[[#This Row],[Target Date Check]]="Pass",INDEX(Target1[Target Price],MATCH(Benchmark1[[#This Row],[Benchmark '#1 Dates]],Target1[Target Dates],0)),"-")</f>
        <v>46.48</v>
      </c>
      <c r="F1083" s="22">
        <f>IF(Benchmark1[[#This Row],[Target Date Check]]="Pass",INDEX(Target1[Target Return],MATCH(Benchmark1[[#This Row],[Benchmark '#1 Dates]],Target1[Target Dates],0)),"-")</f>
        <v>7.3418597980480201E-3</v>
      </c>
      <c r="G1083" s="1">
        <f>IFERROR(IF(Benchmark1[[#This Row],[Target Date Check]]="Pass",Benchmark1[[#This Row],[Target Return]]-Benchmark1[[#This Row],[Benchmark '#1 Return]],"-"),"-")</f>
        <v>1.4038342724006628E-2</v>
      </c>
      <c r="H1083" s="1" t="str">
        <f>IF(COUNTIF(Comp1[Comparable '#1 Dates],Benchmark1[[#This Row],[Benchmark '#1 Dates]])=1,"Pass","Fail")</f>
        <v>Pass</v>
      </c>
      <c r="I1083" s="6">
        <f>IF(Benchmark1[[#This Row],[Comparable '#1 Date Check]]="Pass",INDEX(Comp1[Comparable '#1 Price],MATCH(Benchmark1[[#This Row],[Benchmark '#1 Dates]],Comp1[Comparable '#1 Dates],0)),"-")</f>
        <v>10.81</v>
      </c>
      <c r="J1083" s="22">
        <f>IF(Benchmark1[[#This Row],[Comparable '#1 Date Check]]="Pass",INDEX(Comp1[Comparable '#1 Return],MATCH(Benchmark1[[#This Row],[Benchmark '#1 Dates]],Comp1[Comparable '#1 Dates],0)),"-")</f>
        <v>-1.4692642636022034E-2</v>
      </c>
      <c r="K1083" s="1">
        <f>IFERROR(IF(Benchmark1[[#This Row],[Comparable '#1 Date Check]]="Pass",Benchmark1[[#This Row],[Comparable '#1 Return]]-Benchmark1[[#This Row],[Benchmark '#1 Return]],"-"),"-")</f>
        <v>-7.9961597100634274E-3</v>
      </c>
      <c r="L1083" s="1" t="str">
        <f>IF(COUNTIF(Comp2[Comparable '#2 Dates],Benchmark1[[#This Row],[Benchmark '#1 Dates]])=1,"Pass","Fail")</f>
        <v>Pass</v>
      </c>
      <c r="M1083" s="6">
        <f>IF(Benchmark1[[#This Row],[Comparable '#2 Date Check]]="Pass",INDEX(Comp2[Comparable '#2 Price],MATCH(Benchmark1[[#This Row],[Benchmark '#1 Dates]],Comp2[Comparable '#2 Dates],0)),"-")</f>
        <v>37.909999999999997</v>
      </c>
      <c r="N1083" s="22">
        <f>IF(Benchmark1[[#This Row],[Comparable '#2 Date Check]]="Pass",INDEX(Comp2[Comparable '#2 Return],MATCH(Benchmark1[[#This Row],[Benchmark '#1 Dates]],Comp2[Comparable '#2 Dates],0)),"-")</f>
        <v>-1.9590544251941403E-2</v>
      </c>
      <c r="O1083" s="1">
        <f>IFERROR(IF(Benchmark1[[#This Row],[Comparable '#2 Date Check]]="Pass",Benchmark1[[#This Row],[Comparable '#2 Return]]-Benchmark1[[#This Row],[Benchmark '#1 Return]],"-"),"-")</f>
        <v>-1.2894061325982796E-2</v>
      </c>
      <c r="P1083" s="1" t="str">
        <f>IF(COUNTIF(Comp3[Comparable '#3 Dates],Benchmark1[[#This Row],[Benchmark '#1 Dates]])=1,"Pass","Fail")</f>
        <v>Pass</v>
      </c>
      <c r="Q1083" s="6">
        <f>IF(Benchmark1[[#This Row],[Comparable '#3 Date Check]]="Pass",INDEX(Comp3[Comparable '#3 Price],MATCH(Benchmark1[[#This Row],[Benchmark '#1 Dates]],Comp3[Comparable '#3 Dates],0)),"-")</f>
        <v>64.42</v>
      </c>
      <c r="R1083" s="22">
        <f>IF(Benchmark1[[#This Row],[Comparable '#3 Date Check]]="Pass",INDEX(Comp3[Comparable '#3 Return],MATCH(Benchmark1[[#This Row],[Benchmark '#1 Dates]],Comp3[Comparable '#3 Dates],0)),"-")</f>
        <v>-1.2801902299750003E-2</v>
      </c>
      <c r="S1083" s="1">
        <f>IFERROR(IF(Benchmark1[[#This Row],[Comparable '#3 Date Check]]="Pass",Benchmark1[[#This Row],[Comparable '#3 Return]]-Benchmark1[[#This Row],[Benchmark '#1 Return]],"-"),"-")</f>
        <v>-6.1054193737913962E-3</v>
      </c>
    </row>
    <row r="1084" spans="1:19">
      <c r="A1084" s="103">
        <v>44854</v>
      </c>
      <c r="B1084" s="104">
        <v>3665.7802998334355</v>
      </c>
      <c r="C1084" s="4">
        <f t="shared" si="16"/>
        <v>-7.9813205602697126E-3</v>
      </c>
      <c r="D1084" s="1" t="str">
        <f>IF(COUNTIF(Target1[Target Dates],Benchmark1[[#This Row],[Benchmark '#1 Dates]])=1,"Pass","Fail")</f>
        <v>Pass</v>
      </c>
      <c r="E1084" s="6">
        <f>IF(Benchmark1[[#This Row],[Target Date Check]]="Pass",INDEX(Target1[Target Price],MATCH(Benchmark1[[#This Row],[Benchmark '#1 Dates]],Target1[Target Dates],0)),"-")</f>
        <v>46.43</v>
      </c>
      <c r="F1084" s="22">
        <f>IF(Benchmark1[[#This Row],[Target Date Check]]="Pass",INDEX(Target1[Target Return],MATCH(Benchmark1[[#This Row],[Benchmark '#1 Dates]],Target1[Target Dates],0)),"-")</f>
        <v>-1.0763105118253354E-3</v>
      </c>
      <c r="G1084" s="1">
        <f>IFERROR(IF(Benchmark1[[#This Row],[Target Date Check]]="Pass",Benchmark1[[#This Row],[Target Return]]-Benchmark1[[#This Row],[Benchmark '#1 Return]],"-"),"-")</f>
        <v>6.9050100484443775E-3</v>
      </c>
      <c r="H1084" s="1" t="str">
        <f>IF(COUNTIF(Comp1[Comparable '#1 Dates],Benchmark1[[#This Row],[Benchmark '#1 Dates]])=1,"Pass","Fail")</f>
        <v>Pass</v>
      </c>
      <c r="I1084" s="6">
        <f>IF(Benchmark1[[#This Row],[Comparable '#1 Date Check]]="Pass",INDEX(Comp1[Comparable '#1 Price],MATCH(Benchmark1[[#This Row],[Benchmark '#1 Dates]],Comp1[Comparable '#1 Dates],0)),"-")</f>
        <v>10.73</v>
      </c>
      <c r="J1084" s="22">
        <f>IF(Benchmark1[[#This Row],[Comparable '#1 Date Check]]="Pass",INDEX(Comp1[Comparable '#1 Return],MATCH(Benchmark1[[#This Row],[Benchmark '#1 Dates]],Comp1[Comparable '#1 Dates],0)),"-")</f>
        <v>-7.4280750085098605E-3</v>
      </c>
      <c r="K1084" s="1">
        <f>IFERROR(IF(Benchmark1[[#This Row],[Comparable '#1 Date Check]]="Pass",Benchmark1[[#This Row],[Comparable '#1 Return]]-Benchmark1[[#This Row],[Benchmark '#1 Return]],"-"),"-")</f>
        <v>5.5324555175985217E-4</v>
      </c>
      <c r="L1084" s="1" t="str">
        <f>IF(COUNTIF(Comp2[Comparable '#2 Dates],Benchmark1[[#This Row],[Benchmark '#1 Dates]])=1,"Pass","Fail")</f>
        <v>Pass</v>
      </c>
      <c r="M1084" s="6">
        <f>IF(Benchmark1[[#This Row],[Comparable '#2 Date Check]]="Pass",INDEX(Comp2[Comparable '#2 Price],MATCH(Benchmark1[[#This Row],[Benchmark '#1 Dates]],Comp2[Comparable '#2 Dates],0)),"-")</f>
        <v>37.880000000000003</v>
      </c>
      <c r="N1084" s="22">
        <f>IF(Benchmark1[[#This Row],[Comparable '#2 Date Check]]="Pass",INDEX(Comp2[Comparable '#2 Return],MATCH(Benchmark1[[#This Row],[Benchmark '#1 Dates]],Comp2[Comparable '#2 Dates],0)),"-")</f>
        <v>-7.9166121036585422E-4</v>
      </c>
      <c r="O1084" s="1">
        <f>IFERROR(IF(Benchmark1[[#This Row],[Comparable '#2 Date Check]]="Pass",Benchmark1[[#This Row],[Comparable '#2 Return]]-Benchmark1[[#This Row],[Benchmark '#1 Return]],"-"),"-")</f>
        <v>7.1896593499038586E-3</v>
      </c>
      <c r="P1084" s="1" t="str">
        <f>IF(COUNTIF(Comp3[Comparable '#3 Dates],Benchmark1[[#This Row],[Benchmark '#1 Dates]])=1,"Pass","Fail")</f>
        <v>Pass</v>
      </c>
      <c r="Q1084" s="6">
        <f>IF(Benchmark1[[#This Row],[Comparable '#3 Date Check]]="Pass",INDEX(Comp3[Comparable '#3 Price],MATCH(Benchmark1[[#This Row],[Benchmark '#1 Dates]],Comp3[Comparable '#3 Dates],0)),"-")</f>
        <v>63.94</v>
      </c>
      <c r="R1084" s="22">
        <f>IF(Benchmark1[[#This Row],[Comparable '#3 Date Check]]="Pass",INDEX(Comp3[Comparable '#3 Return],MATCH(Benchmark1[[#This Row],[Benchmark '#1 Dates]],Comp3[Comparable '#3 Dates],0)),"-")</f>
        <v>-7.4790002713574248E-3</v>
      </c>
      <c r="S1084" s="1">
        <f>IFERROR(IF(Benchmark1[[#This Row],[Comparable '#3 Date Check]]="Pass",Benchmark1[[#This Row],[Comparable '#3 Return]]-Benchmark1[[#This Row],[Benchmark '#1 Return]],"-"),"-")</f>
        <v>5.0232028891228787E-4</v>
      </c>
    </row>
    <row r="1085" spans="1:19">
      <c r="A1085" s="103">
        <v>44855</v>
      </c>
      <c r="B1085" s="104">
        <v>3752.7478530252743</v>
      </c>
      <c r="C1085" s="4">
        <f t="shared" si="16"/>
        <v>2.3447113952693967E-2</v>
      </c>
      <c r="D1085" s="1" t="str">
        <f>IF(COUNTIF(Target1[Target Dates],Benchmark1[[#This Row],[Benchmark '#1 Dates]])=1,"Pass","Fail")</f>
        <v>Pass</v>
      </c>
      <c r="E1085" s="6">
        <f>IF(Benchmark1[[#This Row],[Target Date Check]]="Pass",INDEX(Target1[Target Price],MATCH(Benchmark1[[#This Row],[Benchmark '#1 Dates]],Target1[Target Dates],0)),"-")</f>
        <v>46.56</v>
      </c>
      <c r="F1085" s="22">
        <f>IF(Benchmark1[[#This Row],[Target Date Check]]="Pass",INDEX(Target1[Target Return],MATCH(Benchmark1[[#This Row],[Benchmark '#1 Dates]],Target1[Target Dates],0)),"-")</f>
        <v>2.7960013913520161E-3</v>
      </c>
      <c r="G1085" s="1">
        <f>IFERROR(IF(Benchmark1[[#This Row],[Target Date Check]]="Pass",Benchmark1[[#This Row],[Target Return]]-Benchmark1[[#This Row],[Benchmark '#1 Return]],"-"),"-")</f>
        <v>-2.0651112561341951E-2</v>
      </c>
      <c r="H1085" s="1" t="str">
        <f>IF(COUNTIF(Comp1[Comparable '#1 Dates],Benchmark1[[#This Row],[Benchmark '#1 Dates]])=1,"Pass","Fail")</f>
        <v>Pass</v>
      </c>
      <c r="I1085" s="6">
        <f>IF(Benchmark1[[#This Row],[Comparable '#1 Date Check]]="Pass",INDEX(Comp1[Comparable '#1 Price],MATCH(Benchmark1[[#This Row],[Benchmark '#1 Dates]],Comp1[Comparable '#1 Dates],0)),"-")</f>
        <v>10.94</v>
      </c>
      <c r="J1085" s="22">
        <f>IF(Benchmark1[[#This Row],[Comparable '#1 Date Check]]="Pass",INDEX(Comp1[Comparable '#1 Return],MATCH(Benchmark1[[#This Row],[Benchmark '#1 Dates]],Comp1[Comparable '#1 Dates],0)),"-")</f>
        <v>1.9382240351227872E-2</v>
      </c>
      <c r="K1085" s="1">
        <f>IFERROR(IF(Benchmark1[[#This Row],[Comparable '#1 Date Check]]="Pass",Benchmark1[[#This Row],[Comparable '#1 Return]]-Benchmark1[[#This Row],[Benchmark '#1 Return]],"-"),"-")</f>
        <v>-4.0648736014660958E-3</v>
      </c>
      <c r="L1085" s="1" t="str">
        <f>IF(COUNTIF(Comp2[Comparable '#2 Dates],Benchmark1[[#This Row],[Benchmark '#1 Dates]])=1,"Pass","Fail")</f>
        <v>Pass</v>
      </c>
      <c r="M1085" s="6">
        <f>IF(Benchmark1[[#This Row],[Comparable '#2 Date Check]]="Pass",INDEX(Comp2[Comparable '#2 Price],MATCH(Benchmark1[[#This Row],[Benchmark '#1 Dates]],Comp2[Comparable '#2 Dates],0)),"-")</f>
        <v>38.14</v>
      </c>
      <c r="N1085" s="22">
        <f>IF(Benchmark1[[#This Row],[Comparable '#2 Date Check]]="Pass",INDEX(Comp2[Comparable '#2 Return],MATCH(Benchmark1[[#This Row],[Benchmark '#1 Dates]],Comp2[Comparable '#2 Dates],0)),"-")</f>
        <v>6.8403318543953512E-3</v>
      </c>
      <c r="O1085" s="1">
        <f>IFERROR(IF(Benchmark1[[#This Row],[Comparable '#2 Date Check]]="Pass",Benchmark1[[#This Row],[Comparable '#2 Return]]-Benchmark1[[#This Row],[Benchmark '#1 Return]],"-"),"-")</f>
        <v>-1.6606782098298616E-2</v>
      </c>
      <c r="P1085" s="1" t="str">
        <f>IF(COUNTIF(Comp3[Comparable '#3 Dates],Benchmark1[[#This Row],[Benchmark '#1 Dates]])=1,"Pass","Fail")</f>
        <v>Pass</v>
      </c>
      <c r="Q1085" s="6">
        <f>IF(Benchmark1[[#This Row],[Comparable '#3 Date Check]]="Pass",INDEX(Comp3[Comparable '#3 Price],MATCH(Benchmark1[[#This Row],[Benchmark '#1 Dates]],Comp3[Comparable '#3 Dates],0)),"-")</f>
        <v>64.34</v>
      </c>
      <c r="R1085" s="22">
        <f>IF(Benchmark1[[#This Row],[Comparable '#3 Date Check]]="Pass",INDEX(Comp3[Comparable '#3 Return],MATCH(Benchmark1[[#This Row],[Benchmark '#1 Dates]],Comp3[Comparable '#3 Dates],0)),"-")</f>
        <v>6.2363781791850235E-3</v>
      </c>
      <c r="S1085" s="1">
        <f>IFERROR(IF(Benchmark1[[#This Row],[Comparable '#3 Date Check]]="Pass",Benchmark1[[#This Row],[Comparable '#3 Return]]-Benchmark1[[#This Row],[Benchmark '#1 Return]],"-"),"-")</f>
        <v>-1.7210735773508942E-2</v>
      </c>
    </row>
    <row r="1086" spans="1:19">
      <c r="A1086" s="103">
        <v>44858</v>
      </c>
      <c r="B1086" s="104">
        <v>3797.3377710074901</v>
      </c>
      <c r="C1086" s="4">
        <f t="shared" si="16"/>
        <v>1.1811902178970117E-2</v>
      </c>
      <c r="D1086" s="1" t="str">
        <f>IF(COUNTIF(Target1[Target Dates],Benchmark1[[#This Row],[Benchmark '#1 Dates]])=1,"Pass","Fail")</f>
        <v>Pass</v>
      </c>
      <c r="E1086" s="6">
        <f>IF(Benchmark1[[#This Row],[Target Date Check]]="Pass",INDEX(Target1[Target Price],MATCH(Benchmark1[[#This Row],[Benchmark '#1 Dates]],Target1[Target Dates],0)),"-")</f>
        <v>46.33</v>
      </c>
      <c r="F1086" s="22">
        <f>IF(Benchmark1[[#This Row],[Target Date Check]]="Pass",INDEX(Target1[Target Return],MATCH(Benchmark1[[#This Row],[Benchmark '#1 Dates]],Target1[Target Dates],0)),"-")</f>
        <v>-4.9521039946254725E-3</v>
      </c>
      <c r="G1086" s="1">
        <f>IFERROR(IF(Benchmark1[[#This Row],[Target Date Check]]="Pass",Benchmark1[[#This Row],[Target Return]]-Benchmark1[[#This Row],[Benchmark '#1 Return]],"-"),"-")</f>
        <v>-1.6764006173595591E-2</v>
      </c>
      <c r="H1086" s="1" t="str">
        <f>IF(COUNTIF(Comp1[Comparable '#1 Dates],Benchmark1[[#This Row],[Benchmark '#1 Dates]])=1,"Pass","Fail")</f>
        <v>Pass</v>
      </c>
      <c r="I1086" s="6">
        <f>IF(Benchmark1[[#This Row],[Comparable '#1 Date Check]]="Pass",INDEX(Comp1[Comparable '#1 Price],MATCH(Benchmark1[[#This Row],[Benchmark '#1 Dates]],Comp1[Comparable '#1 Dates],0)),"-")</f>
        <v>11</v>
      </c>
      <c r="J1086" s="22">
        <f>IF(Benchmark1[[#This Row],[Comparable '#1 Date Check]]="Pass",INDEX(Comp1[Comparable '#1 Return],MATCH(Benchmark1[[#This Row],[Benchmark '#1 Dates]],Comp1[Comparable '#1 Dates],0)),"-")</f>
        <v>5.4694758045354761E-3</v>
      </c>
      <c r="K1086" s="1">
        <f>IFERROR(IF(Benchmark1[[#This Row],[Comparable '#1 Date Check]]="Pass",Benchmark1[[#This Row],[Comparable '#1 Return]]-Benchmark1[[#This Row],[Benchmark '#1 Return]],"-"),"-")</f>
        <v>-6.3424263744346412E-3</v>
      </c>
      <c r="L1086" s="1" t="str">
        <f>IF(COUNTIF(Comp2[Comparable '#2 Dates],Benchmark1[[#This Row],[Benchmark '#1 Dates]])=1,"Pass","Fail")</f>
        <v>Pass</v>
      </c>
      <c r="M1086" s="6">
        <f>IF(Benchmark1[[#This Row],[Comparable '#2 Date Check]]="Pass",INDEX(Comp2[Comparable '#2 Price],MATCH(Benchmark1[[#This Row],[Benchmark '#1 Dates]],Comp2[Comparable '#2 Dates],0)),"-")</f>
        <v>38.590000000000003</v>
      </c>
      <c r="N1086" s="22">
        <f>IF(Benchmark1[[#This Row],[Comparable '#2 Date Check]]="Pass",INDEX(Comp2[Comparable '#2 Return],MATCH(Benchmark1[[#This Row],[Benchmark '#1 Dates]],Comp2[Comparable '#2 Dates],0)),"-")</f>
        <v>1.1729575377254373E-2</v>
      </c>
      <c r="O1086" s="1">
        <f>IFERROR(IF(Benchmark1[[#This Row],[Comparable '#2 Date Check]]="Pass",Benchmark1[[#This Row],[Comparable '#2 Return]]-Benchmark1[[#This Row],[Benchmark '#1 Return]],"-"),"-")</f>
        <v>-8.232680171574476E-5</v>
      </c>
      <c r="P1086" s="1" t="str">
        <f>IF(COUNTIF(Comp3[Comparable '#3 Dates],Benchmark1[[#This Row],[Benchmark '#1 Dates]])=1,"Pass","Fail")</f>
        <v>Pass</v>
      </c>
      <c r="Q1086" s="6">
        <f>IF(Benchmark1[[#This Row],[Comparable '#3 Date Check]]="Pass",INDEX(Comp3[Comparable '#3 Price],MATCH(Benchmark1[[#This Row],[Benchmark '#1 Dates]],Comp3[Comparable '#3 Dates],0)),"-")</f>
        <v>64.88</v>
      </c>
      <c r="R1086" s="22">
        <f>IF(Benchmark1[[#This Row],[Comparable '#3 Date Check]]="Pass",INDEX(Comp3[Comparable '#3 Return],MATCH(Benchmark1[[#This Row],[Benchmark '#1 Dates]],Comp3[Comparable '#3 Dates],0)),"-")</f>
        <v>8.3578879962770136E-3</v>
      </c>
      <c r="S1086" s="1">
        <f>IFERROR(IF(Benchmark1[[#This Row],[Comparable '#3 Date Check]]="Pass",Benchmark1[[#This Row],[Comparable '#3 Return]]-Benchmark1[[#This Row],[Benchmark '#1 Return]],"-"),"-")</f>
        <v>-3.4540141826931037E-3</v>
      </c>
    </row>
    <row r="1087" spans="1:19">
      <c r="A1087" s="103">
        <v>44859</v>
      </c>
      <c r="B1087" s="104">
        <v>3859.113515011592</v>
      </c>
      <c r="C1087" s="4">
        <f t="shared" si="16"/>
        <v>1.6137263147670316E-2</v>
      </c>
      <c r="D1087" s="1" t="str">
        <f>IF(COUNTIF(Target1[Target Dates],Benchmark1[[#This Row],[Benchmark '#1 Dates]])=1,"Pass","Fail")</f>
        <v>Pass</v>
      </c>
      <c r="E1087" s="6">
        <f>IF(Benchmark1[[#This Row],[Target Date Check]]="Pass",INDEX(Target1[Target Price],MATCH(Benchmark1[[#This Row],[Benchmark '#1 Dates]],Target1[Target Dates],0)),"-")</f>
        <v>46.51</v>
      </c>
      <c r="F1087" s="22">
        <f>IF(Benchmark1[[#This Row],[Target Date Check]]="Pass",INDEX(Target1[Target Return],MATCH(Benchmark1[[#This Row],[Benchmark '#1 Dates]],Target1[Target Dates],0)),"-")</f>
        <v>3.8776438074485881E-3</v>
      </c>
      <c r="G1087" s="1">
        <f>IFERROR(IF(Benchmark1[[#This Row],[Target Date Check]]="Pass",Benchmark1[[#This Row],[Target Return]]-Benchmark1[[#This Row],[Benchmark '#1 Return]],"-"),"-")</f>
        <v>-1.2259619340221729E-2</v>
      </c>
      <c r="H1087" s="1" t="str">
        <f>IF(COUNTIF(Comp1[Comparable '#1 Dates],Benchmark1[[#This Row],[Benchmark '#1 Dates]])=1,"Pass","Fail")</f>
        <v>Pass</v>
      </c>
      <c r="I1087" s="6">
        <f>IF(Benchmark1[[#This Row],[Comparable '#1 Date Check]]="Pass",INDEX(Comp1[Comparable '#1 Price],MATCH(Benchmark1[[#This Row],[Benchmark '#1 Dates]],Comp1[Comparable '#1 Dates],0)),"-")</f>
        <v>12.29</v>
      </c>
      <c r="J1087" s="22">
        <f>IF(Benchmark1[[#This Row],[Comparable '#1 Date Check]]="Pass",INDEX(Comp1[Comparable '#1 Return],MATCH(Benchmark1[[#This Row],[Benchmark '#1 Dates]],Comp1[Comparable '#1 Dates],0)),"-")</f>
        <v>0.11089065077957284</v>
      </c>
      <c r="K1087" s="1">
        <f>IFERROR(IF(Benchmark1[[#This Row],[Comparable '#1 Date Check]]="Pass",Benchmark1[[#This Row],[Comparable '#1 Return]]-Benchmark1[[#This Row],[Benchmark '#1 Return]],"-"),"-")</f>
        <v>9.4753387631902525E-2</v>
      </c>
      <c r="L1087" s="1" t="str">
        <f>IF(COUNTIF(Comp2[Comparable '#2 Dates],Benchmark1[[#This Row],[Benchmark '#1 Dates]])=1,"Pass","Fail")</f>
        <v>Pass</v>
      </c>
      <c r="M1087" s="6">
        <f>IF(Benchmark1[[#This Row],[Comparable '#2 Date Check]]="Pass",INDEX(Comp2[Comparable '#2 Price],MATCH(Benchmark1[[#This Row],[Benchmark '#1 Dates]],Comp2[Comparable '#2 Dates],0)),"-")</f>
        <v>40.93</v>
      </c>
      <c r="N1087" s="22">
        <f>IF(Benchmark1[[#This Row],[Comparable '#2 Date Check]]="Pass",INDEX(Comp2[Comparable '#2 Return],MATCH(Benchmark1[[#This Row],[Benchmark '#1 Dates]],Comp2[Comparable '#2 Dates],0)),"-")</f>
        <v>5.8870114954784065E-2</v>
      </c>
      <c r="O1087" s="1">
        <f>IFERROR(IF(Benchmark1[[#This Row],[Comparable '#2 Date Check]]="Pass",Benchmark1[[#This Row],[Comparable '#2 Return]]-Benchmark1[[#This Row],[Benchmark '#1 Return]],"-"),"-")</f>
        <v>4.2732851807113753E-2</v>
      </c>
      <c r="P1087" s="1" t="str">
        <f>IF(COUNTIF(Comp3[Comparable '#3 Dates],Benchmark1[[#This Row],[Benchmark '#1 Dates]])=1,"Pass","Fail")</f>
        <v>Pass</v>
      </c>
      <c r="Q1087" s="6">
        <f>IF(Benchmark1[[#This Row],[Comparable '#3 Date Check]]="Pass",INDEX(Comp3[Comparable '#3 Price],MATCH(Benchmark1[[#This Row],[Benchmark '#1 Dates]],Comp3[Comparable '#3 Dates],0)),"-")</f>
        <v>66.78</v>
      </c>
      <c r="R1087" s="22">
        <f>IF(Benchmark1[[#This Row],[Comparable '#3 Date Check]]="Pass",INDEX(Comp3[Comparable '#3 Return],MATCH(Benchmark1[[#This Row],[Benchmark '#1 Dates]],Comp3[Comparable '#3 Dates],0)),"-")</f>
        <v>2.8864224708350972E-2</v>
      </c>
      <c r="S1087" s="1">
        <f>IFERROR(IF(Benchmark1[[#This Row],[Comparable '#3 Date Check]]="Pass",Benchmark1[[#This Row],[Comparable '#3 Return]]-Benchmark1[[#This Row],[Benchmark '#1 Return]],"-"),"-")</f>
        <v>1.2726961560680657E-2</v>
      </c>
    </row>
    <row r="1088" spans="1:19">
      <c r="A1088" s="103">
        <v>44860</v>
      </c>
      <c r="B1088" s="104">
        <v>3830.5958603836057</v>
      </c>
      <c r="C1088" s="4">
        <f t="shared" si="16"/>
        <v>-7.4171295622311208E-3</v>
      </c>
      <c r="D1088" s="1" t="str">
        <f>IF(COUNTIF(Target1[Target Dates],Benchmark1[[#This Row],[Benchmark '#1 Dates]])=1,"Pass","Fail")</f>
        <v>Pass</v>
      </c>
      <c r="E1088" s="6">
        <f>IF(Benchmark1[[#This Row],[Target Date Check]]="Pass",INDEX(Target1[Target Price],MATCH(Benchmark1[[#This Row],[Benchmark '#1 Dates]],Target1[Target Dates],0)),"-")</f>
        <v>32.86</v>
      </c>
      <c r="F1088" s="22">
        <f>IF(Benchmark1[[#This Row],[Target Date Check]]="Pass",INDEX(Target1[Target Return],MATCH(Benchmark1[[#This Row],[Benchmark '#1 Dates]],Target1[Target Dates],0)),"-")</f>
        <v>-0.34741123062688362</v>
      </c>
      <c r="G1088" s="1">
        <f>IFERROR(IF(Benchmark1[[#This Row],[Target Date Check]]="Pass",Benchmark1[[#This Row],[Target Return]]-Benchmark1[[#This Row],[Benchmark '#1 Return]],"-"),"-")</f>
        <v>-0.3399941010646525</v>
      </c>
      <c r="H1088" s="1" t="str">
        <f>IF(COUNTIF(Comp1[Comparable '#1 Dates],Benchmark1[[#This Row],[Benchmark '#1 Dates]])=1,"Pass","Fail")</f>
        <v>Pass</v>
      </c>
      <c r="I1088" s="6">
        <f>IF(Benchmark1[[#This Row],[Comparable '#1 Date Check]]="Pass",INDEX(Comp1[Comparable '#1 Price],MATCH(Benchmark1[[#This Row],[Benchmark '#1 Dates]],Comp1[Comparable '#1 Dates],0)),"-")</f>
        <v>12.5</v>
      </c>
      <c r="J1088" s="22">
        <f>IF(Benchmark1[[#This Row],[Comparable '#1 Date Check]]="Pass",INDEX(Comp1[Comparable '#1 Return],MATCH(Benchmark1[[#This Row],[Benchmark '#1 Dates]],Comp1[Comparable '#1 Dates],0)),"-")</f>
        <v>1.6942720730312135E-2</v>
      </c>
      <c r="K1088" s="1">
        <f>IFERROR(IF(Benchmark1[[#This Row],[Comparable '#1 Date Check]]="Pass",Benchmark1[[#This Row],[Comparable '#1 Return]]-Benchmark1[[#This Row],[Benchmark '#1 Return]],"-"),"-")</f>
        <v>2.4359850292543256E-2</v>
      </c>
      <c r="L1088" s="1" t="str">
        <f>IF(COUNTIF(Comp2[Comparable '#2 Dates],Benchmark1[[#This Row],[Benchmark '#1 Dates]])=1,"Pass","Fail")</f>
        <v>Pass</v>
      </c>
      <c r="M1088" s="6">
        <f>IF(Benchmark1[[#This Row],[Comparable '#2 Date Check]]="Pass",INDEX(Comp2[Comparable '#2 Price],MATCH(Benchmark1[[#This Row],[Benchmark '#1 Dates]],Comp2[Comparable '#2 Dates],0)),"-")</f>
        <v>40.47</v>
      </c>
      <c r="N1088" s="22">
        <f>IF(Benchmark1[[#This Row],[Comparable '#2 Date Check]]="Pass",INDEX(Comp2[Comparable '#2 Return],MATCH(Benchmark1[[#This Row],[Benchmark '#1 Dates]],Comp2[Comparable '#2 Dates],0)),"-")</f>
        <v>-1.1302331616537415E-2</v>
      </c>
      <c r="O1088" s="1">
        <f>IFERROR(IF(Benchmark1[[#This Row],[Comparable '#2 Date Check]]="Pass",Benchmark1[[#This Row],[Comparable '#2 Return]]-Benchmark1[[#This Row],[Benchmark '#1 Return]],"-"),"-")</f>
        <v>-3.8852020543062946E-3</v>
      </c>
      <c r="P1088" s="1" t="str">
        <f>IF(COUNTIF(Comp3[Comparable '#3 Dates],Benchmark1[[#This Row],[Benchmark '#1 Dates]])=1,"Pass","Fail")</f>
        <v>Pass</v>
      </c>
      <c r="Q1088" s="6">
        <f>IF(Benchmark1[[#This Row],[Comparable '#3 Date Check]]="Pass",INDEX(Comp3[Comparable '#3 Price],MATCH(Benchmark1[[#This Row],[Benchmark '#1 Dates]],Comp3[Comparable '#3 Dates],0)),"-")</f>
        <v>66.42</v>
      </c>
      <c r="R1088" s="22">
        <f>IF(Benchmark1[[#This Row],[Comparable '#3 Date Check]]="Pass",INDEX(Comp3[Comparable '#3 Return],MATCH(Benchmark1[[#This Row],[Benchmark '#1 Dates]],Comp3[Comparable '#3 Dates],0)),"-")</f>
        <v>-5.405418566907935E-3</v>
      </c>
      <c r="S1088" s="1">
        <f>IFERROR(IF(Benchmark1[[#This Row],[Comparable '#3 Date Check]]="Pass",Benchmark1[[#This Row],[Comparable '#3 Return]]-Benchmark1[[#This Row],[Benchmark '#1 Return]],"-"),"-")</f>
        <v>2.0117109953231857E-3</v>
      </c>
    </row>
    <row r="1089" spans="1:19">
      <c r="A1089" s="103">
        <v>44861</v>
      </c>
      <c r="B1089" s="104">
        <v>3807.2981172469817</v>
      </c>
      <c r="C1089" s="4">
        <f t="shared" si="16"/>
        <v>-6.100586224715045E-3</v>
      </c>
      <c r="D1089" s="1" t="str">
        <f>IF(COUNTIF(Target1[Target Dates],Benchmark1[[#This Row],[Benchmark '#1 Dates]])=1,"Pass","Fail")</f>
        <v>Pass</v>
      </c>
      <c r="E1089" s="6">
        <f>IF(Benchmark1[[#This Row],[Target Date Check]]="Pass",INDEX(Target1[Target Price],MATCH(Benchmark1[[#This Row],[Benchmark '#1 Dates]],Target1[Target Dates],0)),"-")</f>
        <v>32.520000000000003</v>
      </c>
      <c r="F1089" s="22">
        <f>IF(Benchmark1[[#This Row],[Target Date Check]]="Pass",INDEX(Target1[Target Return],MATCH(Benchmark1[[#This Row],[Benchmark '#1 Dates]],Target1[Target Dates],0)),"-")</f>
        <v>-1.0400827929512068E-2</v>
      </c>
      <c r="G1089" s="1">
        <f>IFERROR(IF(Benchmark1[[#This Row],[Target Date Check]]="Pass",Benchmark1[[#This Row],[Target Return]]-Benchmark1[[#This Row],[Benchmark '#1 Return]],"-"),"-")</f>
        <v>-4.3002417047970226E-3</v>
      </c>
      <c r="H1089" s="1" t="str">
        <f>IF(COUNTIF(Comp1[Comparable '#1 Dates],Benchmark1[[#This Row],[Benchmark '#1 Dates]])=1,"Pass","Fail")</f>
        <v>Pass</v>
      </c>
      <c r="I1089" s="6">
        <f>IF(Benchmark1[[#This Row],[Comparable '#1 Date Check]]="Pass",INDEX(Comp1[Comparable '#1 Price],MATCH(Benchmark1[[#This Row],[Benchmark '#1 Dates]],Comp1[Comparable '#1 Dates],0)),"-")</f>
        <v>12.75</v>
      </c>
      <c r="J1089" s="22">
        <f>IF(Benchmark1[[#This Row],[Comparable '#1 Date Check]]="Pass",INDEX(Comp1[Comparable '#1 Return],MATCH(Benchmark1[[#This Row],[Benchmark '#1 Dates]],Comp1[Comparable '#1 Dates],0)),"-")</f>
        <v>1.980262729617973E-2</v>
      </c>
      <c r="K1089" s="1">
        <f>IFERROR(IF(Benchmark1[[#This Row],[Comparable '#1 Date Check]]="Pass",Benchmark1[[#This Row],[Comparable '#1 Return]]-Benchmark1[[#This Row],[Benchmark '#1 Return]],"-"),"-")</f>
        <v>2.5903213520894773E-2</v>
      </c>
      <c r="L1089" s="1" t="str">
        <f>IF(COUNTIF(Comp2[Comparable '#2 Dates],Benchmark1[[#This Row],[Benchmark '#1 Dates]])=1,"Pass","Fail")</f>
        <v>Pass</v>
      </c>
      <c r="M1089" s="6">
        <f>IF(Benchmark1[[#This Row],[Comparable '#2 Date Check]]="Pass",INDEX(Comp2[Comparable '#2 Price],MATCH(Benchmark1[[#This Row],[Benchmark '#1 Dates]],Comp2[Comparable '#2 Dates],0)),"-")</f>
        <v>40.56</v>
      </c>
      <c r="N1089" s="22">
        <f>IF(Benchmark1[[#This Row],[Comparable '#2 Date Check]]="Pass",INDEX(Comp2[Comparable '#2 Return],MATCH(Benchmark1[[#This Row],[Benchmark '#1 Dates]],Comp2[Comparable '#2 Dates],0)),"-")</f>
        <v>2.2214003951535979E-3</v>
      </c>
      <c r="O1089" s="1">
        <f>IFERROR(IF(Benchmark1[[#This Row],[Comparable '#2 Date Check]]="Pass",Benchmark1[[#This Row],[Comparable '#2 Return]]-Benchmark1[[#This Row],[Benchmark '#1 Return]],"-"),"-")</f>
        <v>8.3219866198686425E-3</v>
      </c>
      <c r="P1089" s="1" t="str">
        <f>IF(COUNTIF(Comp3[Comparable '#3 Dates],Benchmark1[[#This Row],[Benchmark '#1 Dates]])=1,"Pass","Fail")</f>
        <v>Pass</v>
      </c>
      <c r="Q1089" s="6">
        <f>IF(Benchmark1[[#This Row],[Comparable '#3 Date Check]]="Pass",INDEX(Comp3[Comparable '#3 Price],MATCH(Benchmark1[[#This Row],[Benchmark '#1 Dates]],Comp3[Comparable '#3 Dates],0)),"-")</f>
        <v>66.41</v>
      </c>
      <c r="R1089" s="22">
        <f>IF(Benchmark1[[#This Row],[Comparable '#3 Date Check]]="Pass",INDEX(Comp3[Comparable '#3 Return],MATCH(Benchmark1[[#This Row],[Benchmark '#1 Dates]],Comp3[Comparable '#3 Dates],0)),"-")</f>
        <v>-1.5056839597824725E-4</v>
      </c>
      <c r="S1089" s="1">
        <f>IFERROR(IF(Benchmark1[[#This Row],[Comparable '#3 Date Check]]="Pass",Benchmark1[[#This Row],[Comparable '#3 Return]]-Benchmark1[[#This Row],[Benchmark '#1 Return]],"-"),"-")</f>
        <v>5.9500178287367981E-3</v>
      </c>
    </row>
    <row r="1090" spans="1:19">
      <c r="A1090" s="103">
        <v>44862</v>
      </c>
      <c r="B1090" s="104">
        <v>3901.0637968564815</v>
      </c>
      <c r="C1090" s="4">
        <f t="shared" ref="C1090:C1153" si="17">IFERROR(IF(B1090="","-",LN(B1090/B1089)),"-")</f>
        <v>2.4329502375165662E-2</v>
      </c>
      <c r="D1090" s="1" t="str">
        <f>IF(COUNTIF(Target1[Target Dates],Benchmark1[[#This Row],[Benchmark '#1 Dates]])=1,"Pass","Fail")</f>
        <v>Pass</v>
      </c>
      <c r="E1090" s="6">
        <f>IF(Benchmark1[[#This Row],[Target Date Check]]="Pass",INDEX(Target1[Target Price],MATCH(Benchmark1[[#This Row],[Benchmark '#1 Dates]],Target1[Target Dates],0)),"-")</f>
        <v>33.159999999999997</v>
      </c>
      <c r="F1090" s="22">
        <f>IF(Benchmark1[[#This Row],[Target Date Check]]="Pass",INDEX(Target1[Target Return],MATCH(Benchmark1[[#This Row],[Benchmark '#1 Dates]],Target1[Target Dates],0)),"-")</f>
        <v>1.948904558748412E-2</v>
      </c>
      <c r="G1090" s="1">
        <f>IFERROR(IF(Benchmark1[[#This Row],[Target Date Check]]="Pass",Benchmark1[[#This Row],[Target Return]]-Benchmark1[[#This Row],[Benchmark '#1 Return]],"-"),"-")</f>
        <v>-4.8404567876815414E-3</v>
      </c>
      <c r="H1090" s="1" t="str">
        <f>IF(COUNTIF(Comp1[Comparable '#1 Dates],Benchmark1[[#This Row],[Benchmark '#1 Dates]])=1,"Pass","Fail")</f>
        <v>Pass</v>
      </c>
      <c r="I1090" s="6">
        <f>IF(Benchmark1[[#This Row],[Comparable '#1 Date Check]]="Pass",INDEX(Comp1[Comparable '#1 Price],MATCH(Benchmark1[[#This Row],[Benchmark '#1 Dates]],Comp1[Comparable '#1 Dates],0)),"-")</f>
        <v>12.78</v>
      </c>
      <c r="J1090" s="22">
        <f>IF(Benchmark1[[#This Row],[Comparable '#1 Date Check]]="Pass",INDEX(Comp1[Comparable '#1 Return],MATCH(Benchmark1[[#This Row],[Benchmark '#1 Dates]],Comp1[Comparable '#1 Dates],0)),"-")</f>
        <v>2.3501773449534514E-3</v>
      </c>
      <c r="K1090" s="1">
        <f>IFERROR(IF(Benchmark1[[#This Row],[Comparable '#1 Date Check]]="Pass",Benchmark1[[#This Row],[Comparable '#1 Return]]-Benchmark1[[#This Row],[Benchmark '#1 Return]],"-"),"-")</f>
        <v>-2.1979325030212209E-2</v>
      </c>
      <c r="L1090" s="1" t="str">
        <f>IF(COUNTIF(Comp2[Comparable '#2 Dates],Benchmark1[[#This Row],[Benchmark '#1 Dates]])=1,"Pass","Fail")</f>
        <v>Pass</v>
      </c>
      <c r="M1090" s="6">
        <f>IF(Benchmark1[[#This Row],[Comparable '#2 Date Check]]="Pass",INDEX(Comp2[Comparable '#2 Price],MATCH(Benchmark1[[#This Row],[Benchmark '#1 Dates]],Comp2[Comparable '#2 Dates],0)),"-")</f>
        <v>41.81</v>
      </c>
      <c r="N1090" s="22">
        <f>IF(Benchmark1[[#This Row],[Comparable '#2 Date Check]]="Pass",INDEX(Comp2[Comparable '#2 Return],MATCH(Benchmark1[[#This Row],[Benchmark '#1 Dates]],Comp2[Comparable '#2 Dates],0)),"-")</f>
        <v>3.0353186085545832E-2</v>
      </c>
      <c r="O1090" s="1">
        <f>IFERROR(IF(Benchmark1[[#This Row],[Comparable '#2 Date Check]]="Pass",Benchmark1[[#This Row],[Comparable '#2 Return]]-Benchmark1[[#This Row],[Benchmark '#1 Return]],"-"),"-")</f>
        <v>6.0236837103801698E-3</v>
      </c>
      <c r="P1090" s="1" t="str">
        <f>IF(COUNTIF(Comp3[Comparable '#3 Dates],Benchmark1[[#This Row],[Benchmark '#1 Dates]])=1,"Pass","Fail")</f>
        <v>Pass</v>
      </c>
      <c r="Q1090" s="6">
        <f>IF(Benchmark1[[#This Row],[Comparable '#3 Date Check]]="Pass",INDEX(Comp3[Comparable '#3 Price],MATCH(Benchmark1[[#This Row],[Benchmark '#1 Dates]],Comp3[Comparable '#3 Dates],0)),"-")</f>
        <v>69.900000000000006</v>
      </c>
      <c r="R1090" s="22">
        <f>IF(Benchmark1[[#This Row],[Comparable '#3 Date Check]]="Pass",INDEX(Comp3[Comparable '#3 Return],MATCH(Benchmark1[[#This Row],[Benchmark '#1 Dates]],Comp3[Comparable '#3 Dates],0)),"-")</f>
        <v>5.1218001687142384E-2</v>
      </c>
      <c r="S1090" s="1">
        <f>IFERROR(IF(Benchmark1[[#This Row],[Comparable '#3 Date Check]]="Pass",Benchmark1[[#This Row],[Comparable '#3 Return]]-Benchmark1[[#This Row],[Benchmark '#1 Return]],"-"),"-")</f>
        <v>2.6888499311976722E-2</v>
      </c>
    </row>
    <row r="1091" spans="1:19">
      <c r="A1091" s="103">
        <v>44865</v>
      </c>
      <c r="B1091" s="104">
        <v>3871.9772214167351</v>
      </c>
      <c r="C1091" s="4">
        <f t="shared" si="17"/>
        <v>-7.4839978673405414E-3</v>
      </c>
      <c r="D1091" s="1" t="str">
        <f>IF(COUNTIF(Target1[Target Dates],Benchmark1[[#This Row],[Benchmark '#1 Dates]])=1,"Pass","Fail")</f>
        <v>Pass</v>
      </c>
      <c r="E1091" s="6">
        <f>IF(Benchmark1[[#This Row],[Target Date Check]]="Pass",INDEX(Target1[Target Price],MATCH(Benchmark1[[#This Row],[Benchmark '#1 Dates]],Target1[Target Dates],0)),"-")</f>
        <v>33.51</v>
      </c>
      <c r="F1091" s="22">
        <f>IF(Benchmark1[[#This Row],[Target Date Check]]="Pass",INDEX(Target1[Target Return],MATCH(Benchmark1[[#This Row],[Benchmark '#1 Dates]],Target1[Target Dates],0)),"-")</f>
        <v>1.0499571482124801E-2</v>
      </c>
      <c r="G1091" s="1">
        <f>IFERROR(IF(Benchmark1[[#This Row],[Target Date Check]]="Pass",Benchmark1[[#This Row],[Target Return]]-Benchmark1[[#This Row],[Benchmark '#1 Return]],"-"),"-")</f>
        <v>1.7983569349465343E-2</v>
      </c>
      <c r="H1091" s="1" t="str">
        <f>IF(COUNTIF(Comp1[Comparable '#1 Dates],Benchmark1[[#This Row],[Benchmark '#1 Dates]])=1,"Pass","Fail")</f>
        <v>Pass</v>
      </c>
      <c r="I1091" s="6">
        <f>IF(Benchmark1[[#This Row],[Comparable '#1 Date Check]]="Pass",INDEX(Comp1[Comparable '#1 Price],MATCH(Benchmark1[[#This Row],[Benchmark '#1 Dates]],Comp1[Comparable '#1 Dates],0)),"-")</f>
        <v>12.64</v>
      </c>
      <c r="J1091" s="22">
        <f>IF(Benchmark1[[#This Row],[Comparable '#1 Date Check]]="Pass",INDEX(Comp1[Comparable '#1 Return],MATCH(Benchmark1[[#This Row],[Benchmark '#1 Dates]],Comp1[Comparable '#1 Dates],0)),"-")</f>
        <v>-1.1015060230677318E-2</v>
      </c>
      <c r="K1091" s="1">
        <f>IFERROR(IF(Benchmark1[[#This Row],[Comparable '#1 Date Check]]="Pass",Benchmark1[[#This Row],[Comparable '#1 Return]]-Benchmark1[[#This Row],[Benchmark '#1 Return]],"-"),"-")</f>
        <v>-3.5310623633367762E-3</v>
      </c>
      <c r="L1091" s="1" t="str">
        <f>IF(COUNTIF(Comp2[Comparable '#2 Dates],Benchmark1[[#This Row],[Benchmark '#1 Dates]])=1,"Pass","Fail")</f>
        <v>Pass</v>
      </c>
      <c r="M1091" s="6">
        <f>IF(Benchmark1[[#This Row],[Comparable '#2 Date Check]]="Pass",INDEX(Comp2[Comparable '#2 Price],MATCH(Benchmark1[[#This Row],[Benchmark '#1 Dates]],Comp2[Comparable '#2 Dates],0)),"-")</f>
        <v>41.7</v>
      </c>
      <c r="N1091" s="22">
        <f>IF(Benchmark1[[#This Row],[Comparable '#2 Date Check]]="Pass",INDEX(Comp2[Comparable '#2 Return],MATCH(Benchmark1[[#This Row],[Benchmark '#1 Dates]],Comp2[Comparable '#2 Dates],0)),"-")</f>
        <v>-2.6344165637179114E-3</v>
      </c>
      <c r="O1091" s="1">
        <f>IFERROR(IF(Benchmark1[[#This Row],[Comparable '#2 Date Check]]="Pass",Benchmark1[[#This Row],[Comparable '#2 Return]]-Benchmark1[[#This Row],[Benchmark '#1 Return]],"-"),"-")</f>
        <v>4.84958130362263E-3</v>
      </c>
      <c r="P1091" s="1" t="str">
        <f>IF(COUNTIF(Comp3[Comparable '#3 Dates],Benchmark1[[#This Row],[Benchmark '#1 Dates]])=1,"Pass","Fail")</f>
        <v>Pass</v>
      </c>
      <c r="Q1091" s="6">
        <f>IF(Benchmark1[[#This Row],[Comparable '#3 Date Check]]="Pass",INDEX(Comp3[Comparable '#3 Price],MATCH(Benchmark1[[#This Row],[Benchmark '#1 Dates]],Comp3[Comparable '#3 Dates],0)),"-")</f>
        <v>69</v>
      </c>
      <c r="R1091" s="22">
        <f>IF(Benchmark1[[#This Row],[Comparable '#3 Date Check]]="Pass",INDEX(Comp3[Comparable '#3 Return],MATCH(Benchmark1[[#This Row],[Benchmark '#1 Dates]],Comp3[Comparable '#3 Dates],0)),"-")</f>
        <v>-1.2959144642505228E-2</v>
      </c>
      <c r="S1091" s="1">
        <f>IFERROR(IF(Benchmark1[[#This Row],[Comparable '#3 Date Check]]="Pass",Benchmark1[[#This Row],[Comparable '#3 Return]]-Benchmark1[[#This Row],[Benchmark '#1 Return]],"-"),"-")</f>
        <v>-5.475146775164687E-3</v>
      </c>
    </row>
    <row r="1092" spans="1:19">
      <c r="A1092" s="103">
        <v>44866</v>
      </c>
      <c r="B1092" s="104">
        <v>3856.1017855109062</v>
      </c>
      <c r="C1092" s="4">
        <f t="shared" si="17"/>
        <v>-4.1085134411495477E-3</v>
      </c>
      <c r="D1092" s="1" t="str">
        <f>IF(COUNTIF(Target1[Target Dates],Benchmark1[[#This Row],[Benchmark '#1 Dates]])=1,"Pass","Fail")</f>
        <v>Pass</v>
      </c>
      <c r="E1092" s="6">
        <f>IF(Benchmark1[[#This Row],[Target Date Check]]="Pass",INDEX(Target1[Target Price],MATCH(Benchmark1[[#This Row],[Benchmark '#1 Dates]],Target1[Target Dates],0)),"-")</f>
        <v>33.92</v>
      </c>
      <c r="F1092" s="22">
        <f>IF(Benchmark1[[#This Row],[Target Date Check]]="Pass",INDEX(Target1[Target Return],MATCH(Benchmark1[[#This Row],[Benchmark '#1 Dates]],Target1[Target Dates],0)),"-")</f>
        <v>1.21609091744835E-2</v>
      </c>
      <c r="G1092" s="1">
        <f>IFERROR(IF(Benchmark1[[#This Row],[Target Date Check]]="Pass",Benchmark1[[#This Row],[Target Return]]-Benchmark1[[#This Row],[Benchmark '#1 Return]],"-"),"-")</f>
        <v>1.6269422615633047E-2</v>
      </c>
      <c r="H1092" s="1" t="str">
        <f>IF(COUNTIF(Comp1[Comparable '#1 Dates],Benchmark1[[#This Row],[Benchmark '#1 Dates]])=1,"Pass","Fail")</f>
        <v>Pass</v>
      </c>
      <c r="I1092" s="6">
        <f>IF(Benchmark1[[#This Row],[Comparable '#1 Date Check]]="Pass",INDEX(Comp1[Comparable '#1 Price],MATCH(Benchmark1[[#This Row],[Benchmark '#1 Dates]],Comp1[Comparable '#1 Dates],0)),"-")</f>
        <v>12.65</v>
      </c>
      <c r="J1092" s="22">
        <f>IF(Benchmark1[[#This Row],[Comparable '#1 Date Check]]="Pass",INDEX(Comp1[Comparable '#1 Return],MATCH(Benchmark1[[#This Row],[Benchmark '#1 Dates]],Comp1[Comparable '#1 Dates],0)),"-")</f>
        <v>7.9082645481777091E-4</v>
      </c>
      <c r="K1092" s="1">
        <f>IFERROR(IF(Benchmark1[[#This Row],[Comparable '#1 Date Check]]="Pass",Benchmark1[[#This Row],[Comparable '#1 Return]]-Benchmark1[[#This Row],[Benchmark '#1 Return]],"-"),"-")</f>
        <v>4.8993398959673185E-3</v>
      </c>
      <c r="L1092" s="1" t="str">
        <f>IF(COUNTIF(Comp2[Comparable '#2 Dates],Benchmark1[[#This Row],[Benchmark '#1 Dates]])=1,"Pass","Fail")</f>
        <v>Pass</v>
      </c>
      <c r="M1092" s="6">
        <f>IF(Benchmark1[[#This Row],[Comparable '#2 Date Check]]="Pass",INDEX(Comp2[Comparable '#2 Price],MATCH(Benchmark1[[#This Row],[Benchmark '#1 Dates]],Comp2[Comparable '#2 Dates],0)),"-")</f>
        <v>41.66</v>
      </c>
      <c r="N1092" s="22">
        <f>IF(Benchmark1[[#This Row],[Comparable '#2 Date Check]]="Pass",INDEX(Comp2[Comparable '#2 Return],MATCH(Benchmark1[[#This Row],[Benchmark '#1 Dates]],Comp2[Comparable '#2 Dates],0)),"-")</f>
        <v>-9.5969297193002339E-4</v>
      </c>
      <c r="O1092" s="1">
        <f>IFERROR(IF(Benchmark1[[#This Row],[Comparable '#2 Date Check]]="Pass",Benchmark1[[#This Row],[Comparable '#2 Return]]-Benchmark1[[#This Row],[Benchmark '#1 Return]],"-"),"-")</f>
        <v>3.1488204692195244E-3</v>
      </c>
      <c r="P1092" s="1" t="str">
        <f>IF(COUNTIF(Comp3[Comparable '#3 Dates],Benchmark1[[#This Row],[Benchmark '#1 Dates]])=1,"Pass","Fail")</f>
        <v>Pass</v>
      </c>
      <c r="Q1092" s="6">
        <f>IF(Benchmark1[[#This Row],[Comparable '#3 Date Check]]="Pass",INDEX(Comp3[Comparable '#3 Price],MATCH(Benchmark1[[#This Row],[Benchmark '#1 Dates]],Comp3[Comparable '#3 Dates],0)),"-")</f>
        <v>68.739999999999995</v>
      </c>
      <c r="R1092" s="22">
        <f>IF(Benchmark1[[#This Row],[Comparable '#3 Date Check]]="Pass",INDEX(Comp3[Comparable '#3 Return],MATCH(Benchmark1[[#This Row],[Benchmark '#1 Dates]],Comp3[Comparable '#3 Dates],0)),"-")</f>
        <v>-3.7752331755716538E-3</v>
      </c>
      <c r="S1092" s="1">
        <f>IFERROR(IF(Benchmark1[[#This Row],[Comparable '#3 Date Check]]="Pass",Benchmark1[[#This Row],[Comparable '#3 Return]]-Benchmark1[[#This Row],[Benchmark '#1 Return]],"-"),"-")</f>
        <v>3.3328026557789391E-4</v>
      </c>
    </row>
    <row r="1093" spans="1:19">
      <c r="A1093" s="103">
        <v>44867</v>
      </c>
      <c r="B1093" s="104">
        <v>3759.6904650255528</v>
      </c>
      <c r="C1093" s="4">
        <f t="shared" si="17"/>
        <v>-2.5320142175739958E-2</v>
      </c>
      <c r="D1093" s="1" t="str">
        <f>IF(COUNTIF(Target1[Target Dates],Benchmark1[[#This Row],[Benchmark '#1 Dates]])=1,"Pass","Fail")</f>
        <v>Pass</v>
      </c>
      <c r="E1093" s="6">
        <f>IF(Benchmark1[[#This Row],[Target Date Check]]="Pass",INDEX(Target1[Target Price],MATCH(Benchmark1[[#This Row],[Benchmark '#1 Dates]],Target1[Target Dates],0)),"-")</f>
        <v>33.72</v>
      </c>
      <c r="F1093" s="22">
        <f>IF(Benchmark1[[#This Row],[Target Date Check]]="Pass",INDEX(Target1[Target Return],MATCH(Benchmark1[[#This Row],[Benchmark '#1 Dates]],Target1[Target Dates],0)),"-")</f>
        <v>-5.9136777900477399E-3</v>
      </c>
      <c r="G1093" s="1">
        <f>IFERROR(IF(Benchmark1[[#This Row],[Target Date Check]]="Pass",Benchmark1[[#This Row],[Target Return]]-Benchmark1[[#This Row],[Benchmark '#1 Return]],"-"),"-")</f>
        <v>1.9406464385692219E-2</v>
      </c>
      <c r="H1093" s="1" t="str">
        <f>IF(COUNTIF(Comp1[Comparable '#1 Dates],Benchmark1[[#This Row],[Benchmark '#1 Dates]])=1,"Pass","Fail")</f>
        <v>Pass</v>
      </c>
      <c r="I1093" s="6">
        <f>IF(Benchmark1[[#This Row],[Comparable '#1 Date Check]]="Pass",INDEX(Comp1[Comparable '#1 Price],MATCH(Benchmark1[[#This Row],[Benchmark '#1 Dates]],Comp1[Comparable '#1 Dates],0)),"-")</f>
        <v>11.96</v>
      </c>
      <c r="J1093" s="22">
        <f>IF(Benchmark1[[#This Row],[Comparable '#1 Date Check]]="Pass",INDEX(Comp1[Comparable '#1 Return],MATCH(Benchmark1[[#This Row],[Benchmark '#1 Dates]],Comp1[Comparable '#1 Dates],0)),"-")</f>
        <v>-5.6089466651043467E-2</v>
      </c>
      <c r="K1093" s="1">
        <f>IFERROR(IF(Benchmark1[[#This Row],[Comparable '#1 Date Check]]="Pass",Benchmark1[[#This Row],[Comparable '#1 Return]]-Benchmark1[[#This Row],[Benchmark '#1 Return]],"-"),"-")</f>
        <v>-3.0769324475303509E-2</v>
      </c>
      <c r="L1093" s="1" t="str">
        <f>IF(COUNTIF(Comp2[Comparable '#2 Dates],Benchmark1[[#This Row],[Benchmark '#1 Dates]])=1,"Pass","Fail")</f>
        <v>Pass</v>
      </c>
      <c r="M1093" s="6">
        <f>IF(Benchmark1[[#This Row],[Comparable '#2 Date Check]]="Pass",INDEX(Comp2[Comparable '#2 Price],MATCH(Benchmark1[[#This Row],[Benchmark '#1 Dates]],Comp2[Comparable '#2 Dates],0)),"-")</f>
        <v>41.29</v>
      </c>
      <c r="N1093" s="22">
        <f>IF(Benchmark1[[#This Row],[Comparable '#2 Date Check]]="Pass",INDEX(Comp2[Comparable '#2 Return],MATCH(Benchmark1[[#This Row],[Benchmark '#1 Dates]],Comp2[Comparable '#2 Dates],0)),"-")</f>
        <v>-8.9210959348270235E-3</v>
      </c>
      <c r="O1093" s="1">
        <f>IFERROR(IF(Benchmark1[[#This Row],[Comparable '#2 Date Check]]="Pass",Benchmark1[[#This Row],[Comparable '#2 Return]]-Benchmark1[[#This Row],[Benchmark '#1 Return]],"-"),"-")</f>
        <v>1.6399046240912936E-2</v>
      </c>
      <c r="P1093" s="1" t="str">
        <f>IF(COUNTIF(Comp3[Comparable '#3 Dates],Benchmark1[[#This Row],[Benchmark '#1 Dates]])=1,"Pass","Fail")</f>
        <v>Pass</v>
      </c>
      <c r="Q1093" s="6">
        <f>IF(Benchmark1[[#This Row],[Comparable '#3 Date Check]]="Pass",INDEX(Comp3[Comparable '#3 Price],MATCH(Benchmark1[[#This Row],[Benchmark '#1 Dates]],Comp3[Comparable '#3 Dates],0)),"-")</f>
        <v>67.34</v>
      </c>
      <c r="R1093" s="22">
        <f>IF(Benchmark1[[#This Row],[Comparable '#3 Date Check]]="Pass",INDEX(Comp3[Comparable '#3 Return],MATCH(Benchmark1[[#This Row],[Benchmark '#1 Dates]],Comp3[Comparable '#3 Dates],0)),"-")</f>
        <v>-2.0576857688759276E-2</v>
      </c>
      <c r="S1093" s="1">
        <f>IFERROR(IF(Benchmark1[[#This Row],[Comparable '#3 Date Check]]="Pass",Benchmark1[[#This Row],[Comparable '#3 Return]]-Benchmark1[[#This Row],[Benchmark '#1 Return]],"-"),"-")</f>
        <v>4.7432844869806819E-3</v>
      </c>
    </row>
    <row r="1094" spans="1:19">
      <c r="A1094" s="103">
        <v>44868</v>
      </c>
      <c r="B1094" s="104">
        <v>3719.8932846455536</v>
      </c>
      <c r="C1094" s="4">
        <f t="shared" si="17"/>
        <v>-1.0641649931227033E-2</v>
      </c>
      <c r="D1094" s="1" t="str">
        <f>IF(COUNTIF(Target1[Target Dates],Benchmark1[[#This Row],[Benchmark '#1 Dates]])=1,"Pass","Fail")</f>
        <v>Pass</v>
      </c>
      <c r="E1094" s="6">
        <f>IF(Benchmark1[[#This Row],[Target Date Check]]="Pass",INDEX(Target1[Target Price],MATCH(Benchmark1[[#This Row],[Benchmark '#1 Dates]],Target1[Target Dates],0)),"-")</f>
        <v>34.11</v>
      </c>
      <c r="F1094" s="22">
        <f>IF(Benchmark1[[#This Row],[Target Date Check]]="Pass",INDEX(Target1[Target Return],MATCH(Benchmark1[[#This Row],[Benchmark '#1 Dates]],Target1[Target Dates],0)),"-")</f>
        <v>1.1499463296899645E-2</v>
      </c>
      <c r="G1094" s="1">
        <f>IFERROR(IF(Benchmark1[[#This Row],[Target Date Check]]="Pass",Benchmark1[[#This Row],[Target Return]]-Benchmark1[[#This Row],[Benchmark '#1 Return]],"-"),"-")</f>
        <v>2.2141113228126678E-2</v>
      </c>
      <c r="H1094" s="1" t="str">
        <f>IF(COUNTIF(Comp1[Comparable '#1 Dates],Benchmark1[[#This Row],[Benchmark '#1 Dates]])=1,"Pass","Fail")</f>
        <v>Pass</v>
      </c>
      <c r="I1094" s="6">
        <f>IF(Benchmark1[[#This Row],[Comparable '#1 Date Check]]="Pass",INDEX(Comp1[Comparable '#1 Price],MATCH(Benchmark1[[#This Row],[Benchmark '#1 Dates]],Comp1[Comparable '#1 Dates],0)),"-")</f>
        <v>12.494999999999999</v>
      </c>
      <c r="J1094" s="22">
        <f>IF(Benchmark1[[#This Row],[Comparable '#1 Date Check]]="Pass",INDEX(Comp1[Comparable '#1 Return],MATCH(Benchmark1[[#This Row],[Benchmark '#1 Dates]],Comp1[Comparable '#1 Dates],0)),"-")</f>
        <v>4.3760815764429868E-2</v>
      </c>
      <c r="K1094" s="1">
        <f>IFERROR(IF(Benchmark1[[#This Row],[Comparable '#1 Date Check]]="Pass",Benchmark1[[#This Row],[Comparable '#1 Return]]-Benchmark1[[#This Row],[Benchmark '#1 Return]],"-"),"-")</f>
        <v>5.4402465695656904E-2</v>
      </c>
      <c r="L1094" s="1" t="str">
        <f>IF(COUNTIF(Comp2[Comparable '#2 Dates],Benchmark1[[#This Row],[Benchmark '#1 Dates]])=1,"Pass","Fail")</f>
        <v>Pass</v>
      </c>
      <c r="M1094" s="6">
        <f>IF(Benchmark1[[#This Row],[Comparable '#2 Date Check]]="Pass",INDEX(Comp2[Comparable '#2 Price],MATCH(Benchmark1[[#This Row],[Benchmark '#1 Dates]],Comp2[Comparable '#2 Dates],0)),"-")</f>
        <v>41.86</v>
      </c>
      <c r="N1094" s="22">
        <f>IF(Benchmark1[[#This Row],[Comparable '#2 Date Check]]="Pass",INDEX(Comp2[Comparable '#2 Return],MATCH(Benchmark1[[#This Row],[Benchmark '#1 Dates]],Comp2[Comparable '#2 Dates],0)),"-")</f>
        <v>1.371037711985473E-2</v>
      </c>
      <c r="O1094" s="1">
        <f>IFERROR(IF(Benchmark1[[#This Row],[Comparable '#2 Date Check]]="Pass",Benchmark1[[#This Row],[Comparable '#2 Return]]-Benchmark1[[#This Row],[Benchmark '#1 Return]],"-"),"-")</f>
        <v>2.4352027051081762E-2</v>
      </c>
      <c r="P1094" s="1" t="str">
        <f>IF(COUNTIF(Comp3[Comparable '#3 Dates],Benchmark1[[#This Row],[Benchmark '#1 Dates]])=1,"Pass","Fail")</f>
        <v>Pass</v>
      </c>
      <c r="Q1094" s="6">
        <f>IF(Benchmark1[[#This Row],[Comparable '#3 Date Check]]="Pass",INDEX(Comp3[Comparable '#3 Price],MATCH(Benchmark1[[#This Row],[Benchmark '#1 Dates]],Comp3[Comparable '#3 Dates],0)),"-")</f>
        <v>73.319999999999993</v>
      </c>
      <c r="R1094" s="22">
        <f>IF(Benchmark1[[#This Row],[Comparable '#3 Date Check]]="Pass",INDEX(Comp3[Comparable '#3 Return],MATCH(Benchmark1[[#This Row],[Benchmark '#1 Dates]],Comp3[Comparable '#3 Dates],0)),"-")</f>
        <v>8.507900923857567E-2</v>
      </c>
      <c r="S1094" s="1">
        <f>IFERROR(IF(Benchmark1[[#This Row],[Comparable '#3 Date Check]]="Pass",Benchmark1[[#This Row],[Comparable '#3 Return]]-Benchmark1[[#This Row],[Benchmark '#1 Return]],"-"),"-")</f>
        <v>9.5720659169802699E-2</v>
      </c>
    </row>
    <row r="1095" spans="1:19">
      <c r="A1095" s="103">
        <v>44869</v>
      </c>
      <c r="B1095" s="104">
        <v>3770.5464379255754</v>
      </c>
      <c r="C1095" s="4">
        <f t="shared" si="17"/>
        <v>1.3524953753087248E-2</v>
      </c>
      <c r="D1095" s="1" t="str">
        <f>IF(COUNTIF(Target1[Target Dates],Benchmark1[[#This Row],[Benchmark '#1 Dates]])=1,"Pass","Fail")</f>
        <v>Pass</v>
      </c>
      <c r="E1095" s="6">
        <f>IF(Benchmark1[[#This Row],[Target Date Check]]="Pass",INDEX(Target1[Target Price],MATCH(Benchmark1[[#This Row],[Benchmark '#1 Dates]],Target1[Target Dates],0)),"-")</f>
        <v>34.01</v>
      </c>
      <c r="F1095" s="22">
        <f>IF(Benchmark1[[#This Row],[Target Date Check]]="Pass",INDEX(Target1[Target Return],MATCH(Benchmark1[[#This Row],[Benchmark '#1 Dates]],Target1[Target Dates],0)),"-")</f>
        <v>-2.935997411450353E-3</v>
      </c>
      <c r="G1095" s="1">
        <f>IFERROR(IF(Benchmark1[[#This Row],[Target Date Check]]="Pass",Benchmark1[[#This Row],[Target Return]]-Benchmark1[[#This Row],[Benchmark '#1 Return]],"-"),"-")</f>
        <v>-1.64609511645376E-2</v>
      </c>
      <c r="H1095" s="1" t="str">
        <f>IF(COUNTIF(Comp1[Comparable '#1 Dates],Benchmark1[[#This Row],[Benchmark '#1 Dates]])=1,"Pass","Fail")</f>
        <v>Pass</v>
      </c>
      <c r="I1095" s="6">
        <f>IF(Benchmark1[[#This Row],[Comparable '#1 Date Check]]="Pass",INDEX(Comp1[Comparable '#1 Price],MATCH(Benchmark1[[#This Row],[Benchmark '#1 Dates]],Comp1[Comparable '#1 Dates],0)),"-")</f>
        <v>12.22</v>
      </c>
      <c r="J1095" s="22">
        <f>IF(Benchmark1[[#This Row],[Comparable '#1 Date Check]]="Pass",INDEX(Comp1[Comparable '#1 Return],MATCH(Benchmark1[[#This Row],[Benchmark '#1 Dates]],Comp1[Comparable '#1 Dates],0)),"-")</f>
        <v>-2.2254610543466311E-2</v>
      </c>
      <c r="K1095" s="1">
        <f>IFERROR(IF(Benchmark1[[#This Row],[Comparable '#1 Date Check]]="Pass",Benchmark1[[#This Row],[Comparable '#1 Return]]-Benchmark1[[#This Row],[Benchmark '#1 Return]],"-"),"-")</f>
        <v>-3.5779564296553559E-2</v>
      </c>
      <c r="L1095" s="1" t="str">
        <f>IF(COUNTIF(Comp2[Comparable '#2 Dates],Benchmark1[[#This Row],[Benchmark '#1 Dates]])=1,"Pass","Fail")</f>
        <v>Pass</v>
      </c>
      <c r="M1095" s="6">
        <f>IF(Benchmark1[[#This Row],[Comparable '#2 Date Check]]="Pass",INDEX(Comp2[Comparable '#2 Price],MATCH(Benchmark1[[#This Row],[Benchmark '#1 Dates]],Comp2[Comparable '#2 Dates],0)),"-")</f>
        <v>42.27</v>
      </c>
      <c r="N1095" s="22">
        <f>IF(Benchmark1[[#This Row],[Comparable '#2 Date Check]]="Pass",INDEX(Comp2[Comparable '#2 Return],MATCH(Benchmark1[[#This Row],[Benchmark '#1 Dates]],Comp2[Comparable '#2 Dates],0)),"-")</f>
        <v>9.7468975608450328E-3</v>
      </c>
      <c r="O1095" s="1">
        <f>IFERROR(IF(Benchmark1[[#This Row],[Comparable '#2 Date Check]]="Pass",Benchmark1[[#This Row],[Comparable '#2 Return]]-Benchmark1[[#This Row],[Benchmark '#1 Return]],"-"),"-")</f>
        <v>-3.7780561922422153E-3</v>
      </c>
      <c r="P1095" s="1" t="str">
        <f>IF(COUNTIF(Comp3[Comparable '#3 Dates],Benchmark1[[#This Row],[Benchmark '#1 Dates]])=1,"Pass","Fail")</f>
        <v>Pass</v>
      </c>
      <c r="Q1095" s="6">
        <f>IF(Benchmark1[[#This Row],[Comparable '#3 Date Check]]="Pass",INDEX(Comp3[Comparable '#3 Price],MATCH(Benchmark1[[#This Row],[Benchmark '#1 Dates]],Comp3[Comparable '#3 Dates],0)),"-")</f>
        <v>75.34</v>
      </c>
      <c r="R1095" s="22">
        <f>IF(Benchmark1[[#This Row],[Comparable '#3 Date Check]]="Pass",INDEX(Comp3[Comparable '#3 Return],MATCH(Benchmark1[[#This Row],[Benchmark '#1 Dates]],Comp3[Comparable '#3 Dates],0)),"-")</f>
        <v>2.7177779292390961E-2</v>
      </c>
      <c r="S1095" s="1">
        <f>IFERROR(IF(Benchmark1[[#This Row],[Comparable '#3 Date Check]]="Pass",Benchmark1[[#This Row],[Comparable '#3 Return]]-Benchmark1[[#This Row],[Benchmark '#1 Return]],"-"),"-")</f>
        <v>1.3652825539303713E-2</v>
      </c>
    </row>
    <row r="1096" spans="1:19">
      <c r="A1096" s="103">
        <v>44872</v>
      </c>
      <c r="B1096" s="104">
        <v>3806.8049828608769</v>
      </c>
      <c r="C1096" s="4">
        <f t="shared" si="17"/>
        <v>9.5703154486382249E-3</v>
      </c>
      <c r="D1096" s="1" t="str">
        <f>IF(COUNTIF(Target1[Target Dates],Benchmark1[[#This Row],[Benchmark '#1 Dates]])=1,"Pass","Fail")</f>
        <v>Pass</v>
      </c>
      <c r="E1096" s="6">
        <f>IF(Benchmark1[[#This Row],[Target Date Check]]="Pass",INDEX(Target1[Target Price],MATCH(Benchmark1[[#This Row],[Benchmark '#1 Dates]],Target1[Target Dates],0)),"-")</f>
        <v>34.46</v>
      </c>
      <c r="F1096" s="22">
        <f>IF(Benchmark1[[#This Row],[Target Date Check]]="Pass",INDEX(Target1[Target Return],MATCH(Benchmark1[[#This Row],[Benchmark '#1 Dates]],Target1[Target Dates],0)),"-")</f>
        <v>1.3144632080679602E-2</v>
      </c>
      <c r="G1096" s="1">
        <f>IFERROR(IF(Benchmark1[[#This Row],[Target Date Check]]="Pass",Benchmark1[[#This Row],[Target Return]]-Benchmark1[[#This Row],[Benchmark '#1 Return]],"-"),"-")</f>
        <v>3.5743166320413768E-3</v>
      </c>
      <c r="H1096" s="1" t="str">
        <f>IF(COUNTIF(Comp1[Comparable '#1 Dates],Benchmark1[[#This Row],[Benchmark '#1 Dates]])=1,"Pass","Fail")</f>
        <v>Pass</v>
      </c>
      <c r="I1096" s="6">
        <f>IF(Benchmark1[[#This Row],[Comparable '#1 Date Check]]="Pass",INDEX(Comp1[Comparable '#1 Price],MATCH(Benchmark1[[#This Row],[Benchmark '#1 Dates]],Comp1[Comparable '#1 Dates],0)),"-")</f>
        <v>12.2</v>
      </c>
      <c r="J1096" s="22">
        <f>IF(Benchmark1[[#This Row],[Comparable '#1 Date Check]]="Pass",INDEX(Comp1[Comparable '#1 Return],MATCH(Benchmark1[[#This Row],[Benchmark '#1 Dates]],Comp1[Comparable '#1 Dates],0)),"-")</f>
        <v>-1.6380020042384695E-3</v>
      </c>
      <c r="K1096" s="1">
        <f>IFERROR(IF(Benchmark1[[#This Row],[Comparable '#1 Date Check]]="Pass",Benchmark1[[#This Row],[Comparable '#1 Return]]-Benchmark1[[#This Row],[Benchmark '#1 Return]],"-"),"-")</f>
        <v>-1.1208317452876695E-2</v>
      </c>
      <c r="L1096" s="1" t="str">
        <f>IF(COUNTIF(Comp2[Comparable '#2 Dates],Benchmark1[[#This Row],[Benchmark '#1 Dates]])=1,"Pass","Fail")</f>
        <v>Pass</v>
      </c>
      <c r="M1096" s="6">
        <f>IF(Benchmark1[[#This Row],[Comparable '#2 Date Check]]="Pass",INDEX(Comp2[Comparable '#2 Price],MATCH(Benchmark1[[#This Row],[Benchmark '#1 Dates]],Comp2[Comparable '#2 Dates],0)),"-")</f>
        <v>43</v>
      </c>
      <c r="N1096" s="22">
        <f>IF(Benchmark1[[#This Row],[Comparable '#2 Date Check]]="Pass",INDEX(Comp2[Comparable '#2 Return],MATCH(Benchmark1[[#This Row],[Benchmark '#1 Dates]],Comp2[Comparable '#2 Dates],0)),"-")</f>
        <v>1.7122501114863905E-2</v>
      </c>
      <c r="O1096" s="1">
        <f>IFERROR(IF(Benchmark1[[#This Row],[Comparable '#2 Date Check]]="Pass",Benchmark1[[#This Row],[Comparable '#2 Return]]-Benchmark1[[#This Row],[Benchmark '#1 Return]],"-"),"-")</f>
        <v>7.55218566622568E-3</v>
      </c>
      <c r="P1096" s="1" t="str">
        <f>IF(COUNTIF(Comp3[Comparable '#3 Dates],Benchmark1[[#This Row],[Benchmark '#1 Dates]])=1,"Pass","Fail")</f>
        <v>Pass</v>
      </c>
      <c r="Q1096" s="6">
        <f>IF(Benchmark1[[#This Row],[Comparable '#3 Date Check]]="Pass",INDEX(Comp3[Comparable '#3 Price],MATCH(Benchmark1[[#This Row],[Benchmark '#1 Dates]],Comp3[Comparable '#3 Dates],0)),"-")</f>
        <v>78.05</v>
      </c>
      <c r="R1096" s="22">
        <f>IF(Benchmark1[[#This Row],[Comparable '#3 Date Check]]="Pass",INDEX(Comp3[Comparable '#3 Return],MATCH(Benchmark1[[#This Row],[Benchmark '#1 Dates]],Comp3[Comparable '#3 Dates],0)),"-")</f>
        <v>3.5338444697545913E-2</v>
      </c>
      <c r="S1096" s="1">
        <f>IFERROR(IF(Benchmark1[[#This Row],[Comparable '#3 Date Check]]="Pass",Benchmark1[[#This Row],[Comparable '#3 Return]]-Benchmark1[[#This Row],[Benchmark '#1 Return]],"-"),"-")</f>
        <v>2.5768129248907687E-2</v>
      </c>
    </row>
    <row r="1097" spans="1:19">
      <c r="A1097" s="103">
        <v>44873</v>
      </c>
      <c r="B1097" s="104">
        <v>3828.1080680288478</v>
      </c>
      <c r="C1097" s="4">
        <f t="shared" si="17"/>
        <v>5.5804539776834004E-3</v>
      </c>
      <c r="D1097" s="1" t="str">
        <f>IF(COUNTIF(Target1[Target Dates],Benchmark1[[#This Row],[Benchmark '#1 Dates]])=1,"Pass","Fail")</f>
        <v>Pass</v>
      </c>
      <c r="E1097" s="6">
        <f>IF(Benchmark1[[#This Row],[Target Date Check]]="Pass",INDEX(Target1[Target Price],MATCH(Benchmark1[[#This Row],[Benchmark '#1 Dates]],Target1[Target Dates],0)),"-")</f>
        <v>34</v>
      </c>
      <c r="F1097" s="22">
        <f>IF(Benchmark1[[#This Row],[Target Date Check]]="Pass",INDEX(Target1[Target Return],MATCH(Benchmark1[[#This Row],[Benchmark '#1 Dates]],Target1[Target Dates],0)),"-")</f>
        <v>-1.3438706483622213E-2</v>
      </c>
      <c r="G1097" s="1">
        <f>IFERROR(IF(Benchmark1[[#This Row],[Target Date Check]]="Pass",Benchmark1[[#This Row],[Target Return]]-Benchmark1[[#This Row],[Benchmark '#1 Return]],"-"),"-")</f>
        <v>-1.9019160461305612E-2</v>
      </c>
      <c r="H1097" s="1" t="str">
        <f>IF(COUNTIF(Comp1[Comparable '#1 Dates],Benchmark1[[#This Row],[Benchmark '#1 Dates]])=1,"Pass","Fail")</f>
        <v>Pass</v>
      </c>
      <c r="I1097" s="6">
        <f>IF(Benchmark1[[#This Row],[Comparable '#1 Date Check]]="Pass",INDEX(Comp1[Comparable '#1 Price],MATCH(Benchmark1[[#This Row],[Benchmark '#1 Dates]],Comp1[Comparable '#1 Dates],0)),"-")</f>
        <v>11.8</v>
      </c>
      <c r="J1097" s="22">
        <f>IF(Benchmark1[[#This Row],[Comparable '#1 Date Check]]="Pass",INDEX(Comp1[Comparable '#1 Return],MATCH(Benchmark1[[#This Row],[Benchmark '#1 Dates]],Comp1[Comparable '#1 Dates],0)),"-")</f>
        <v>-3.3336420267591718E-2</v>
      </c>
      <c r="K1097" s="1">
        <f>IFERROR(IF(Benchmark1[[#This Row],[Comparable '#1 Date Check]]="Pass",Benchmark1[[#This Row],[Comparable '#1 Return]]-Benchmark1[[#This Row],[Benchmark '#1 Return]],"-"),"-")</f>
        <v>-3.8916874245275117E-2</v>
      </c>
      <c r="L1097" s="1" t="str">
        <f>IF(COUNTIF(Comp2[Comparable '#2 Dates],Benchmark1[[#This Row],[Benchmark '#1 Dates]])=1,"Pass","Fail")</f>
        <v>Pass</v>
      </c>
      <c r="M1097" s="6">
        <f>IF(Benchmark1[[#This Row],[Comparable '#2 Date Check]]="Pass",INDEX(Comp2[Comparable '#2 Price],MATCH(Benchmark1[[#This Row],[Benchmark '#1 Dates]],Comp2[Comparable '#2 Dates],0)),"-")</f>
        <v>44.12</v>
      </c>
      <c r="N1097" s="22">
        <f>IF(Benchmark1[[#This Row],[Comparable '#2 Date Check]]="Pass",INDEX(Comp2[Comparable '#2 Return],MATCH(Benchmark1[[#This Row],[Benchmark '#1 Dates]],Comp2[Comparable '#2 Dates],0)),"-")</f>
        <v>2.5713078691739263E-2</v>
      </c>
      <c r="O1097" s="1">
        <f>IFERROR(IF(Benchmark1[[#This Row],[Comparable '#2 Date Check]]="Pass",Benchmark1[[#This Row],[Comparable '#2 Return]]-Benchmark1[[#This Row],[Benchmark '#1 Return]],"-"),"-")</f>
        <v>2.0132624714055865E-2</v>
      </c>
      <c r="P1097" s="1" t="str">
        <f>IF(COUNTIF(Comp3[Comparable '#3 Dates],Benchmark1[[#This Row],[Benchmark '#1 Dates]])=1,"Pass","Fail")</f>
        <v>Pass</v>
      </c>
      <c r="Q1097" s="6">
        <f>IF(Benchmark1[[#This Row],[Comparable '#3 Date Check]]="Pass",INDEX(Comp3[Comparable '#3 Price],MATCH(Benchmark1[[#This Row],[Benchmark '#1 Dates]],Comp3[Comparable '#3 Dates],0)),"-")</f>
        <v>78.84</v>
      </c>
      <c r="R1097" s="22">
        <f>IF(Benchmark1[[#This Row],[Comparable '#3 Date Check]]="Pass",INDEX(Comp3[Comparable '#3 Return],MATCH(Benchmark1[[#This Row],[Benchmark '#1 Dates]],Comp3[Comparable '#3 Dates],0)),"-")</f>
        <v>1.0070835323078557E-2</v>
      </c>
      <c r="S1097" s="1">
        <f>IFERROR(IF(Benchmark1[[#This Row],[Comparable '#3 Date Check]]="Pass",Benchmark1[[#This Row],[Comparable '#3 Return]]-Benchmark1[[#This Row],[Benchmark '#1 Return]],"-"),"-")</f>
        <v>4.4903813453951568E-3</v>
      </c>
    </row>
    <row r="1098" spans="1:19">
      <c r="A1098" s="103">
        <v>44874</v>
      </c>
      <c r="B1098" s="104">
        <v>3748.5725513956818</v>
      </c>
      <c r="C1098" s="4">
        <f t="shared" si="17"/>
        <v>-2.099558957530883E-2</v>
      </c>
      <c r="D1098" s="1" t="str">
        <f>IF(COUNTIF(Target1[Target Dates],Benchmark1[[#This Row],[Benchmark '#1 Dates]])=1,"Pass","Fail")</f>
        <v>Pass</v>
      </c>
      <c r="E1098" s="6">
        <f>IF(Benchmark1[[#This Row],[Target Date Check]]="Pass",INDEX(Target1[Target Price],MATCH(Benchmark1[[#This Row],[Benchmark '#1 Dates]],Target1[Target Dates],0)),"-")</f>
        <v>33.32</v>
      </c>
      <c r="F1098" s="22">
        <f>IF(Benchmark1[[#This Row],[Target Date Check]]="Pass",INDEX(Target1[Target Return],MATCH(Benchmark1[[#This Row],[Benchmark '#1 Dates]],Target1[Target Dates],0)),"-")</f>
        <v>-2.0202707317519466E-2</v>
      </c>
      <c r="G1098" s="1">
        <f>IFERROR(IF(Benchmark1[[#This Row],[Target Date Check]]="Pass",Benchmark1[[#This Row],[Target Return]]-Benchmark1[[#This Row],[Benchmark '#1 Return]],"-"),"-")</f>
        <v>7.9288225778936447E-4</v>
      </c>
      <c r="H1098" s="1" t="str">
        <f>IF(COUNTIF(Comp1[Comparable '#1 Dates],Benchmark1[[#This Row],[Benchmark '#1 Dates]])=1,"Pass","Fail")</f>
        <v>Pass</v>
      </c>
      <c r="I1098" s="6">
        <f>IF(Benchmark1[[#This Row],[Comparable '#1 Date Check]]="Pass",INDEX(Comp1[Comparable '#1 Price],MATCH(Benchmark1[[#This Row],[Benchmark '#1 Dates]],Comp1[Comparable '#1 Dates],0)),"-")</f>
        <v>12.2</v>
      </c>
      <c r="J1098" s="22">
        <f>IF(Benchmark1[[#This Row],[Comparable '#1 Date Check]]="Pass",INDEX(Comp1[Comparable '#1 Return],MATCH(Benchmark1[[#This Row],[Benchmark '#1 Dates]],Comp1[Comparable '#1 Dates],0)),"-")</f>
        <v>3.3336420267591711E-2</v>
      </c>
      <c r="K1098" s="1">
        <f>IFERROR(IF(Benchmark1[[#This Row],[Comparable '#1 Date Check]]="Pass",Benchmark1[[#This Row],[Comparable '#1 Return]]-Benchmark1[[#This Row],[Benchmark '#1 Return]],"-"),"-")</f>
        <v>5.4332009842900542E-2</v>
      </c>
      <c r="L1098" s="1" t="str">
        <f>IF(COUNTIF(Comp2[Comparable '#2 Dates],Benchmark1[[#This Row],[Benchmark '#1 Dates]])=1,"Pass","Fail")</f>
        <v>Pass</v>
      </c>
      <c r="M1098" s="6">
        <f>IF(Benchmark1[[#This Row],[Comparable '#2 Date Check]]="Pass",INDEX(Comp2[Comparable '#2 Price],MATCH(Benchmark1[[#This Row],[Benchmark '#1 Dates]],Comp2[Comparable '#2 Dates],0)),"-")</f>
        <v>42.69</v>
      </c>
      <c r="N1098" s="22">
        <f>IF(Benchmark1[[#This Row],[Comparable '#2 Date Check]]="Pass",INDEX(Comp2[Comparable '#2 Return],MATCH(Benchmark1[[#This Row],[Benchmark '#1 Dates]],Comp2[Comparable '#2 Dates],0)),"-")</f>
        <v>-3.2948493615430972E-2</v>
      </c>
      <c r="O1098" s="1">
        <f>IFERROR(IF(Benchmark1[[#This Row],[Comparable '#2 Date Check]]="Pass",Benchmark1[[#This Row],[Comparable '#2 Return]]-Benchmark1[[#This Row],[Benchmark '#1 Return]],"-"),"-")</f>
        <v>-1.1952904040122142E-2</v>
      </c>
      <c r="P1098" s="1" t="str">
        <f>IF(COUNTIF(Comp3[Comparable '#3 Dates],Benchmark1[[#This Row],[Benchmark '#1 Dates]])=1,"Pass","Fail")</f>
        <v>Pass</v>
      </c>
      <c r="Q1098" s="6">
        <f>IF(Benchmark1[[#This Row],[Comparable '#3 Date Check]]="Pass",INDEX(Comp3[Comparable '#3 Price],MATCH(Benchmark1[[#This Row],[Benchmark '#1 Dates]],Comp3[Comparable '#3 Dates],0)),"-")</f>
        <v>78.56</v>
      </c>
      <c r="R1098" s="22">
        <f>IF(Benchmark1[[#This Row],[Comparable '#3 Date Check]]="Pass",INDEX(Comp3[Comparable '#3 Return],MATCH(Benchmark1[[#This Row],[Benchmark '#1 Dates]],Comp3[Comparable '#3 Dates],0)),"-")</f>
        <v>-3.5578182383090612E-3</v>
      </c>
      <c r="S1098" s="1">
        <f>IFERROR(IF(Benchmark1[[#This Row],[Comparable '#3 Date Check]]="Pass",Benchmark1[[#This Row],[Comparable '#3 Return]]-Benchmark1[[#This Row],[Benchmark '#1 Return]],"-"),"-")</f>
        <v>1.743777133699977E-2</v>
      </c>
    </row>
    <row r="1099" spans="1:19">
      <c r="A1099" s="103">
        <v>44875</v>
      </c>
      <c r="B1099" s="104">
        <v>3956.3702671507272</v>
      </c>
      <c r="C1099" s="4">
        <f t="shared" si="17"/>
        <v>5.3951891173666139E-2</v>
      </c>
      <c r="D1099" s="1" t="str">
        <f>IF(COUNTIF(Target1[Target Dates],Benchmark1[[#This Row],[Benchmark '#1 Dates]])=1,"Pass","Fail")</f>
        <v>Pass</v>
      </c>
      <c r="E1099" s="6">
        <f>IF(Benchmark1[[#This Row],[Target Date Check]]="Pass",INDEX(Target1[Target Price],MATCH(Benchmark1[[#This Row],[Benchmark '#1 Dates]],Target1[Target Dates],0)),"-")</f>
        <v>34.32</v>
      </c>
      <c r="F1099" s="22">
        <f>IF(Benchmark1[[#This Row],[Target Date Check]]="Pass",INDEX(Target1[Target Return],MATCH(Benchmark1[[#This Row],[Benchmark '#1 Dates]],Target1[Target Dates],0)),"-")</f>
        <v>2.9570457321119611E-2</v>
      </c>
      <c r="G1099" s="1">
        <f>IFERROR(IF(Benchmark1[[#This Row],[Target Date Check]]="Pass",Benchmark1[[#This Row],[Target Return]]-Benchmark1[[#This Row],[Benchmark '#1 Return]],"-"),"-")</f>
        <v>-2.4381433852546527E-2</v>
      </c>
      <c r="H1099" s="1" t="str">
        <f>IF(COUNTIF(Comp1[Comparable '#1 Dates],Benchmark1[[#This Row],[Benchmark '#1 Dates]])=1,"Pass","Fail")</f>
        <v>Pass</v>
      </c>
      <c r="I1099" s="6">
        <f>IF(Benchmark1[[#This Row],[Comparable '#1 Date Check]]="Pass",INDEX(Comp1[Comparable '#1 Price],MATCH(Benchmark1[[#This Row],[Benchmark '#1 Dates]],Comp1[Comparable '#1 Dates],0)),"-")</f>
        <v>12.31</v>
      </c>
      <c r="J1099" s="22">
        <f>IF(Benchmark1[[#This Row],[Comparable '#1 Date Check]]="Pass",INDEX(Comp1[Comparable '#1 Return],MATCH(Benchmark1[[#This Row],[Benchmark '#1 Dates]],Comp1[Comparable '#1 Dates],0)),"-")</f>
        <v>8.9759884571513765E-3</v>
      </c>
      <c r="K1099" s="1">
        <f>IFERROR(IF(Benchmark1[[#This Row],[Comparable '#1 Date Check]]="Pass",Benchmark1[[#This Row],[Comparable '#1 Return]]-Benchmark1[[#This Row],[Benchmark '#1 Return]],"-"),"-")</f>
        <v>-4.4975902716514762E-2</v>
      </c>
      <c r="L1099" s="1" t="str">
        <f>IF(COUNTIF(Comp2[Comparable '#2 Dates],Benchmark1[[#This Row],[Benchmark '#1 Dates]])=1,"Pass","Fail")</f>
        <v>Pass</v>
      </c>
      <c r="M1099" s="6">
        <f>IF(Benchmark1[[#This Row],[Comparable '#2 Date Check]]="Pass",INDEX(Comp2[Comparable '#2 Price],MATCH(Benchmark1[[#This Row],[Benchmark '#1 Dates]],Comp2[Comparable '#2 Dates],0)),"-")</f>
        <v>42.91</v>
      </c>
      <c r="N1099" s="22">
        <f>IF(Benchmark1[[#This Row],[Comparable '#2 Date Check]]="Pass",INDEX(Comp2[Comparable '#2 Return],MATCH(Benchmark1[[#This Row],[Benchmark '#1 Dates]],Comp2[Comparable '#2 Dates],0)),"-")</f>
        <v>5.1401982335625394E-3</v>
      </c>
      <c r="O1099" s="1">
        <f>IFERROR(IF(Benchmark1[[#This Row],[Comparable '#2 Date Check]]="Pass",Benchmark1[[#This Row],[Comparable '#2 Return]]-Benchmark1[[#This Row],[Benchmark '#1 Return]],"-"),"-")</f>
        <v>-4.8811692940103596E-2</v>
      </c>
      <c r="P1099" s="1" t="str">
        <f>IF(COUNTIF(Comp3[Comparable '#3 Dates],Benchmark1[[#This Row],[Benchmark '#1 Dates]])=1,"Pass","Fail")</f>
        <v>Pass</v>
      </c>
      <c r="Q1099" s="6">
        <f>IF(Benchmark1[[#This Row],[Comparable '#3 Date Check]]="Pass",INDEX(Comp3[Comparable '#3 Price],MATCH(Benchmark1[[#This Row],[Benchmark '#1 Dates]],Comp3[Comparable '#3 Dates],0)),"-")</f>
        <v>79.14</v>
      </c>
      <c r="R1099" s="22">
        <f>IF(Benchmark1[[#This Row],[Comparable '#3 Date Check]]="Pass",INDEX(Comp3[Comparable '#3 Return],MATCH(Benchmark1[[#This Row],[Benchmark '#1 Dates]],Comp3[Comparable '#3 Dates],0)),"-")</f>
        <v>7.3557719110677756E-3</v>
      </c>
      <c r="S1099" s="1">
        <f>IFERROR(IF(Benchmark1[[#This Row],[Comparable '#3 Date Check]]="Pass",Benchmark1[[#This Row],[Comparable '#3 Return]]-Benchmark1[[#This Row],[Benchmark '#1 Return]],"-"),"-")</f>
        <v>-4.6596119262598365E-2</v>
      </c>
    </row>
    <row r="1100" spans="1:19">
      <c r="A1100" s="103">
        <v>44876</v>
      </c>
      <c r="B1100" s="104">
        <v>3992.9277391924084</v>
      </c>
      <c r="C1100" s="4">
        <f t="shared" si="17"/>
        <v>9.1977253178058983E-3</v>
      </c>
      <c r="D1100" s="1" t="str">
        <f>IF(COUNTIF(Target1[Target Dates],Benchmark1[[#This Row],[Benchmark '#1 Dates]])=1,"Pass","Fail")</f>
        <v>Pass</v>
      </c>
      <c r="E1100" s="6">
        <f>IF(Benchmark1[[#This Row],[Target Date Check]]="Pass",INDEX(Target1[Target Price],MATCH(Benchmark1[[#This Row],[Benchmark '#1 Dates]],Target1[Target Dates],0)),"-")</f>
        <v>34</v>
      </c>
      <c r="F1100" s="22">
        <f>IF(Benchmark1[[#This Row],[Target Date Check]]="Pass",INDEX(Target1[Target Return],MATCH(Benchmark1[[#This Row],[Benchmark '#1 Dates]],Target1[Target Dates],0)),"-")</f>
        <v>-9.3677500036001594E-3</v>
      </c>
      <c r="G1100" s="1">
        <f>IFERROR(IF(Benchmark1[[#This Row],[Target Date Check]]="Pass",Benchmark1[[#This Row],[Target Return]]-Benchmark1[[#This Row],[Benchmark '#1 Return]],"-"),"-")</f>
        <v>-1.8565475321406059E-2</v>
      </c>
      <c r="H1100" s="1" t="str">
        <f>IF(COUNTIF(Comp1[Comparable '#1 Dates],Benchmark1[[#This Row],[Benchmark '#1 Dates]])=1,"Pass","Fail")</f>
        <v>Pass</v>
      </c>
      <c r="I1100" s="6">
        <f>IF(Benchmark1[[#This Row],[Comparable '#1 Date Check]]="Pass",INDEX(Comp1[Comparable '#1 Price],MATCH(Benchmark1[[#This Row],[Benchmark '#1 Dates]],Comp1[Comparable '#1 Dates],0)),"-")</f>
        <v>12.06</v>
      </c>
      <c r="J1100" s="22">
        <f>IF(Benchmark1[[#This Row],[Comparable '#1 Date Check]]="Pass",INDEX(Comp1[Comparable '#1 Return],MATCH(Benchmark1[[#This Row],[Benchmark '#1 Dates]],Comp1[Comparable '#1 Dates],0)),"-")</f>
        <v>-2.0517748897322757E-2</v>
      </c>
      <c r="K1100" s="1">
        <f>IFERROR(IF(Benchmark1[[#This Row],[Comparable '#1 Date Check]]="Pass",Benchmark1[[#This Row],[Comparable '#1 Return]]-Benchmark1[[#This Row],[Benchmark '#1 Return]],"-"),"-")</f>
        <v>-2.9715474215128657E-2</v>
      </c>
      <c r="L1100" s="1" t="str">
        <f>IF(COUNTIF(Comp2[Comparable '#2 Dates],Benchmark1[[#This Row],[Benchmark '#1 Dates]])=1,"Pass","Fail")</f>
        <v>Pass</v>
      </c>
      <c r="M1100" s="6">
        <f>IF(Benchmark1[[#This Row],[Comparable '#2 Date Check]]="Pass",INDEX(Comp2[Comparable '#2 Price],MATCH(Benchmark1[[#This Row],[Benchmark '#1 Dates]],Comp2[Comparable '#2 Dates],0)),"-")</f>
        <v>40.549999999999997</v>
      </c>
      <c r="N1100" s="22">
        <f>IF(Benchmark1[[#This Row],[Comparable '#2 Date Check]]="Pass",INDEX(Comp2[Comparable '#2 Return],MATCH(Benchmark1[[#This Row],[Benchmark '#1 Dates]],Comp2[Comparable '#2 Dates],0)),"-")</f>
        <v>-5.6569118442011387E-2</v>
      </c>
      <c r="O1100" s="1">
        <f>IFERROR(IF(Benchmark1[[#This Row],[Comparable '#2 Date Check]]="Pass",Benchmark1[[#This Row],[Comparable '#2 Return]]-Benchmark1[[#This Row],[Benchmark '#1 Return]],"-"),"-")</f>
        <v>-6.5766843759817284E-2</v>
      </c>
      <c r="P1100" s="1" t="str">
        <f>IF(COUNTIF(Comp3[Comparable '#3 Dates],Benchmark1[[#This Row],[Benchmark '#1 Dates]])=1,"Pass","Fail")</f>
        <v>Pass</v>
      </c>
      <c r="Q1100" s="6">
        <f>IF(Benchmark1[[#This Row],[Comparable '#3 Date Check]]="Pass",INDEX(Comp3[Comparable '#3 Price],MATCH(Benchmark1[[#This Row],[Benchmark '#1 Dates]],Comp3[Comparable '#3 Dates],0)),"-")</f>
        <v>78.349999999999994</v>
      </c>
      <c r="R1100" s="22">
        <f>IF(Benchmark1[[#This Row],[Comparable '#3 Date Check]]="Pass",INDEX(Comp3[Comparable '#3 Return],MATCH(Benchmark1[[#This Row],[Benchmark '#1 Dates]],Comp3[Comparable '#3 Dates],0)),"-")</f>
        <v>-1.0032467155248526E-2</v>
      </c>
      <c r="S1100" s="1">
        <f>IFERROR(IF(Benchmark1[[#This Row],[Comparable '#3 Date Check]]="Pass",Benchmark1[[#This Row],[Comparable '#3 Return]]-Benchmark1[[#This Row],[Benchmark '#1 Return]],"-"),"-")</f>
        <v>-1.9230192473054422E-2</v>
      </c>
    </row>
    <row r="1101" spans="1:19">
      <c r="A1101" s="103">
        <v>44879</v>
      </c>
      <c r="B1101" s="104">
        <v>3957.2530065549076</v>
      </c>
      <c r="C1101" s="4">
        <f t="shared" si="17"/>
        <v>-8.9746317038414455E-3</v>
      </c>
      <c r="D1101" s="1" t="str">
        <f>IF(COUNTIF(Target1[Target Dates],Benchmark1[[#This Row],[Benchmark '#1 Dates]])=1,"Pass","Fail")</f>
        <v>Pass</v>
      </c>
      <c r="E1101" s="6">
        <f>IF(Benchmark1[[#This Row],[Target Date Check]]="Pass",INDEX(Target1[Target Price],MATCH(Benchmark1[[#This Row],[Benchmark '#1 Dates]],Target1[Target Dates],0)),"-")</f>
        <v>35.049999999999997</v>
      </c>
      <c r="F1101" s="22">
        <f>IF(Benchmark1[[#This Row],[Target Date Check]]="Pass",INDEX(Target1[Target Return],MATCH(Benchmark1[[#This Row],[Benchmark '#1 Dates]],Target1[Target Dates],0)),"-")</f>
        <v>3.0415088864437601E-2</v>
      </c>
      <c r="G1101" s="1">
        <f>IFERROR(IF(Benchmark1[[#This Row],[Target Date Check]]="Pass",Benchmark1[[#This Row],[Target Return]]-Benchmark1[[#This Row],[Benchmark '#1 Return]],"-"),"-")</f>
        <v>3.9389720568279045E-2</v>
      </c>
      <c r="H1101" s="1" t="str">
        <f>IF(COUNTIF(Comp1[Comparable '#1 Dates],Benchmark1[[#This Row],[Benchmark '#1 Dates]])=1,"Pass","Fail")</f>
        <v>Pass</v>
      </c>
      <c r="I1101" s="6">
        <f>IF(Benchmark1[[#This Row],[Comparable '#1 Date Check]]="Pass",INDEX(Comp1[Comparable '#1 Price],MATCH(Benchmark1[[#This Row],[Benchmark '#1 Dates]],Comp1[Comparable '#1 Dates],0)),"-")</f>
        <v>12.11</v>
      </c>
      <c r="J1101" s="22">
        <f>IF(Benchmark1[[#This Row],[Comparable '#1 Date Check]]="Pass",INDEX(Comp1[Comparable '#1 Return],MATCH(Benchmark1[[#This Row],[Benchmark '#1 Dates]],Comp1[Comparable '#1 Dates],0)),"-")</f>
        <v>4.1373662659614265E-3</v>
      </c>
      <c r="K1101" s="1">
        <f>IFERROR(IF(Benchmark1[[#This Row],[Comparable '#1 Date Check]]="Pass",Benchmark1[[#This Row],[Comparable '#1 Return]]-Benchmark1[[#This Row],[Benchmark '#1 Return]],"-"),"-")</f>
        <v>1.3111997969802872E-2</v>
      </c>
      <c r="L1101" s="1" t="str">
        <f>IF(COUNTIF(Comp2[Comparable '#2 Dates],Benchmark1[[#This Row],[Benchmark '#1 Dates]])=1,"Pass","Fail")</f>
        <v>Pass</v>
      </c>
      <c r="M1101" s="6">
        <f>IF(Benchmark1[[#This Row],[Comparable '#2 Date Check]]="Pass",INDEX(Comp2[Comparable '#2 Price],MATCH(Benchmark1[[#This Row],[Benchmark '#1 Dates]],Comp2[Comparable '#2 Dates],0)),"-")</f>
        <v>39.72</v>
      </c>
      <c r="N1101" s="22">
        <f>IF(Benchmark1[[#This Row],[Comparable '#2 Date Check]]="Pass",INDEX(Comp2[Comparable '#2 Return],MATCH(Benchmark1[[#This Row],[Benchmark '#1 Dates]],Comp2[Comparable '#2 Dates],0)),"-")</f>
        <v>-2.0680941384450081E-2</v>
      </c>
      <c r="O1101" s="1">
        <f>IFERROR(IF(Benchmark1[[#This Row],[Comparable '#2 Date Check]]="Pass",Benchmark1[[#This Row],[Comparable '#2 Return]]-Benchmark1[[#This Row],[Benchmark '#1 Return]],"-"),"-")</f>
        <v>-1.1706309680608635E-2</v>
      </c>
      <c r="P1101" s="1" t="str">
        <f>IF(COUNTIF(Comp3[Comparable '#3 Dates],Benchmark1[[#This Row],[Benchmark '#1 Dates]])=1,"Pass","Fail")</f>
        <v>Pass</v>
      </c>
      <c r="Q1101" s="6">
        <f>IF(Benchmark1[[#This Row],[Comparable '#3 Date Check]]="Pass",INDEX(Comp3[Comparable '#3 Price],MATCH(Benchmark1[[#This Row],[Benchmark '#1 Dates]],Comp3[Comparable '#3 Dates],0)),"-")</f>
        <v>77.67</v>
      </c>
      <c r="R1101" s="22">
        <f>IF(Benchmark1[[#This Row],[Comparable '#3 Date Check]]="Pass",INDEX(Comp3[Comparable '#3 Return],MATCH(Benchmark1[[#This Row],[Benchmark '#1 Dates]],Comp3[Comparable '#3 Dates],0)),"-")</f>
        <v>-8.7168863704737646E-3</v>
      </c>
      <c r="S1101" s="1">
        <f>IFERROR(IF(Benchmark1[[#This Row],[Comparable '#3 Date Check]]="Pass",Benchmark1[[#This Row],[Comparable '#3 Return]]-Benchmark1[[#This Row],[Benchmark '#1 Return]],"-"),"-")</f>
        <v>2.5774533336768088E-4</v>
      </c>
    </row>
    <row r="1102" spans="1:19">
      <c r="A1102" s="103">
        <v>44880</v>
      </c>
      <c r="B1102" s="104">
        <v>3991.7333296654119</v>
      </c>
      <c r="C1102" s="4">
        <f t="shared" si="17"/>
        <v>8.675455689830424E-3</v>
      </c>
      <c r="D1102" s="1" t="str">
        <f>IF(COUNTIF(Target1[Target Dates],Benchmark1[[#This Row],[Benchmark '#1 Dates]])=1,"Pass","Fail")</f>
        <v>Pass</v>
      </c>
      <c r="E1102" s="6">
        <f>IF(Benchmark1[[#This Row],[Target Date Check]]="Pass",INDEX(Target1[Target Price],MATCH(Benchmark1[[#This Row],[Benchmark '#1 Dates]],Target1[Target Dates],0)),"-")</f>
        <v>35.79</v>
      </c>
      <c r="F1102" s="22">
        <f>IF(Benchmark1[[#This Row],[Target Date Check]]="Pass",INDEX(Target1[Target Return],MATCH(Benchmark1[[#This Row],[Benchmark '#1 Dates]],Target1[Target Dates],0)),"-")</f>
        <v>2.0892911297335493E-2</v>
      </c>
      <c r="G1102" s="1">
        <f>IFERROR(IF(Benchmark1[[#This Row],[Target Date Check]]="Pass",Benchmark1[[#This Row],[Target Return]]-Benchmark1[[#This Row],[Benchmark '#1 Return]],"-"),"-")</f>
        <v>1.2217455607505069E-2</v>
      </c>
      <c r="H1102" s="1" t="str">
        <f>IF(COUNTIF(Comp1[Comparable '#1 Dates],Benchmark1[[#This Row],[Benchmark '#1 Dates]])=1,"Pass","Fail")</f>
        <v>Pass</v>
      </c>
      <c r="I1102" s="6">
        <f>IF(Benchmark1[[#This Row],[Comparable '#1 Date Check]]="Pass",INDEX(Comp1[Comparable '#1 Price],MATCH(Benchmark1[[#This Row],[Benchmark '#1 Dates]],Comp1[Comparable '#1 Dates],0)),"-")</f>
        <v>12.15</v>
      </c>
      <c r="J1102" s="22">
        <f>IF(Benchmark1[[#This Row],[Comparable '#1 Date Check]]="Pass",INDEX(Comp1[Comparable '#1 Return],MATCH(Benchmark1[[#This Row],[Benchmark '#1 Dates]],Comp1[Comparable '#1 Dates],0)),"-")</f>
        <v>3.2976122215566729E-3</v>
      </c>
      <c r="K1102" s="1">
        <f>IFERROR(IF(Benchmark1[[#This Row],[Comparable '#1 Date Check]]="Pass",Benchmark1[[#This Row],[Comparable '#1 Return]]-Benchmark1[[#This Row],[Benchmark '#1 Return]],"-"),"-")</f>
        <v>-5.3778434682737516E-3</v>
      </c>
      <c r="L1102" s="1" t="str">
        <f>IF(COUNTIF(Comp2[Comparable '#2 Dates],Benchmark1[[#This Row],[Benchmark '#1 Dates]])=1,"Pass","Fail")</f>
        <v>Pass</v>
      </c>
      <c r="M1102" s="6">
        <f>IF(Benchmark1[[#This Row],[Comparable '#2 Date Check]]="Pass",INDEX(Comp2[Comparable '#2 Price],MATCH(Benchmark1[[#This Row],[Benchmark '#1 Dates]],Comp2[Comparable '#2 Dates],0)),"-")</f>
        <v>39.729999999999997</v>
      </c>
      <c r="N1102" s="22">
        <f>IF(Benchmark1[[#This Row],[Comparable '#2 Date Check]]="Pass",INDEX(Comp2[Comparable '#2 Return],MATCH(Benchmark1[[#This Row],[Benchmark '#1 Dates]],Comp2[Comparable '#2 Dates],0)),"-")</f>
        <v>2.5173064953573865E-4</v>
      </c>
      <c r="O1102" s="1">
        <f>IFERROR(IF(Benchmark1[[#This Row],[Comparable '#2 Date Check]]="Pass",Benchmark1[[#This Row],[Comparable '#2 Return]]-Benchmark1[[#This Row],[Benchmark '#1 Return]],"-"),"-")</f>
        <v>-8.423725040294686E-3</v>
      </c>
      <c r="P1102" s="1" t="str">
        <f>IF(COUNTIF(Comp3[Comparable '#3 Dates],Benchmark1[[#This Row],[Benchmark '#1 Dates]])=1,"Pass","Fail")</f>
        <v>Pass</v>
      </c>
      <c r="Q1102" s="6">
        <f>IF(Benchmark1[[#This Row],[Comparable '#3 Date Check]]="Pass",INDEX(Comp3[Comparable '#3 Price],MATCH(Benchmark1[[#This Row],[Benchmark '#1 Dates]],Comp3[Comparable '#3 Dates],0)),"-")</f>
        <v>79.09</v>
      </c>
      <c r="R1102" s="22">
        <f>IF(Benchmark1[[#This Row],[Comparable '#3 Date Check]]="Pass",INDEX(Comp3[Comparable '#3 Return],MATCH(Benchmark1[[#This Row],[Benchmark '#1 Dates]],Comp3[Comparable '#3 Dates],0)),"-")</f>
        <v>1.811736209977001E-2</v>
      </c>
      <c r="S1102" s="1">
        <f>IFERROR(IF(Benchmark1[[#This Row],[Comparable '#3 Date Check]]="Pass",Benchmark1[[#This Row],[Comparable '#3 Return]]-Benchmark1[[#This Row],[Benchmark '#1 Return]],"-"),"-")</f>
        <v>9.4419064099395857E-3</v>
      </c>
    </row>
    <row r="1103" spans="1:19">
      <c r="A1103" s="103">
        <v>44881</v>
      </c>
      <c r="B1103" s="104">
        <v>3958.7933880616406</v>
      </c>
      <c r="C1103" s="4">
        <f t="shared" si="17"/>
        <v>-8.2862761804170272E-3</v>
      </c>
      <c r="D1103" s="1" t="str">
        <f>IF(COUNTIF(Target1[Target Dates],Benchmark1[[#This Row],[Benchmark '#1 Dates]])=1,"Pass","Fail")</f>
        <v>Pass</v>
      </c>
      <c r="E1103" s="6">
        <f>IF(Benchmark1[[#This Row],[Target Date Check]]="Pass",INDEX(Target1[Target Price],MATCH(Benchmark1[[#This Row],[Benchmark '#1 Dates]],Target1[Target Dates],0)),"-")</f>
        <v>35.11</v>
      </c>
      <c r="F1103" s="22">
        <f>IF(Benchmark1[[#This Row],[Target Date Check]]="Pass",INDEX(Target1[Target Return],MATCH(Benchmark1[[#This Row],[Benchmark '#1 Dates]],Target1[Target Dates],0)),"-")</f>
        <v>-1.9182534597593559E-2</v>
      </c>
      <c r="G1103" s="1">
        <f>IFERROR(IF(Benchmark1[[#This Row],[Target Date Check]]="Pass",Benchmark1[[#This Row],[Target Return]]-Benchmark1[[#This Row],[Benchmark '#1 Return]],"-"),"-")</f>
        <v>-1.0896258417176532E-2</v>
      </c>
      <c r="H1103" s="1" t="str">
        <f>IF(COUNTIF(Comp1[Comparable '#1 Dates],Benchmark1[[#This Row],[Benchmark '#1 Dates]])=1,"Pass","Fail")</f>
        <v>Pass</v>
      </c>
      <c r="I1103" s="6">
        <f>IF(Benchmark1[[#This Row],[Comparable '#1 Date Check]]="Pass",INDEX(Comp1[Comparable '#1 Price],MATCH(Benchmark1[[#This Row],[Benchmark '#1 Dates]],Comp1[Comparable '#1 Dates],0)),"-")</f>
        <v>10.78</v>
      </c>
      <c r="J1103" s="22">
        <f>IF(Benchmark1[[#This Row],[Comparable '#1 Date Check]]="Pass",INDEX(Comp1[Comparable '#1 Return],MATCH(Benchmark1[[#This Row],[Benchmark '#1 Dates]],Comp1[Comparable '#1 Dates],0)),"-")</f>
        <v>-0.11963660430570644</v>
      </c>
      <c r="K1103" s="1">
        <f>IFERROR(IF(Benchmark1[[#This Row],[Comparable '#1 Date Check]]="Pass",Benchmark1[[#This Row],[Comparable '#1 Return]]-Benchmark1[[#This Row],[Benchmark '#1 Return]],"-"),"-")</f>
        <v>-0.11135032812528942</v>
      </c>
      <c r="L1103" s="1" t="str">
        <f>IF(COUNTIF(Comp2[Comparable '#2 Dates],Benchmark1[[#This Row],[Benchmark '#1 Dates]])=1,"Pass","Fail")</f>
        <v>Pass</v>
      </c>
      <c r="M1103" s="6">
        <f>IF(Benchmark1[[#This Row],[Comparable '#2 Date Check]]="Pass",INDEX(Comp2[Comparable '#2 Price],MATCH(Benchmark1[[#This Row],[Benchmark '#1 Dates]],Comp2[Comparable '#2 Dates],0)),"-")</f>
        <v>40.85</v>
      </c>
      <c r="N1103" s="22">
        <f>IF(Benchmark1[[#This Row],[Comparable '#2 Date Check]]="Pass",INDEX(Comp2[Comparable '#2 Return],MATCH(Benchmark1[[#This Row],[Benchmark '#1 Dates]],Comp2[Comparable '#2 Dates],0)),"-")</f>
        <v>2.7800251479504497E-2</v>
      </c>
      <c r="O1103" s="1">
        <f>IFERROR(IF(Benchmark1[[#This Row],[Comparable '#2 Date Check]]="Pass",Benchmark1[[#This Row],[Comparable '#2 Return]]-Benchmark1[[#This Row],[Benchmark '#1 Return]],"-"),"-")</f>
        <v>3.6086527659921527E-2</v>
      </c>
      <c r="P1103" s="1" t="str">
        <f>IF(COUNTIF(Comp3[Comparable '#3 Dates],Benchmark1[[#This Row],[Benchmark '#1 Dates]])=1,"Pass","Fail")</f>
        <v>Pass</v>
      </c>
      <c r="Q1103" s="6">
        <f>IF(Benchmark1[[#This Row],[Comparable '#3 Date Check]]="Pass",INDEX(Comp3[Comparable '#3 Price],MATCH(Benchmark1[[#This Row],[Benchmark '#1 Dates]],Comp3[Comparable '#3 Dates],0)),"-")</f>
        <v>79.47</v>
      </c>
      <c r="R1103" s="22">
        <f>IF(Benchmark1[[#This Row],[Comparable '#3 Date Check]]="Pass",INDEX(Comp3[Comparable '#3 Return],MATCH(Benchmark1[[#This Row],[Benchmark '#1 Dates]],Comp3[Comparable '#3 Dates],0)),"-")</f>
        <v>4.7931474207621528E-3</v>
      </c>
      <c r="S1103" s="1">
        <f>IFERROR(IF(Benchmark1[[#This Row],[Comparable '#3 Date Check]]="Pass",Benchmark1[[#This Row],[Comparable '#3 Return]]-Benchmark1[[#This Row],[Benchmark '#1 Return]],"-"),"-")</f>
        <v>1.3079423601179179E-2</v>
      </c>
    </row>
    <row r="1104" spans="1:19">
      <c r="A1104" s="103">
        <v>44882</v>
      </c>
      <c r="B1104" s="104">
        <v>3946.5579845787529</v>
      </c>
      <c r="C1104" s="4">
        <f t="shared" si="17"/>
        <v>-3.0954761340964889E-3</v>
      </c>
      <c r="D1104" s="1" t="str">
        <f>IF(COUNTIF(Target1[Target Dates],Benchmark1[[#This Row],[Benchmark '#1 Dates]])=1,"Pass","Fail")</f>
        <v>Pass</v>
      </c>
      <c r="E1104" s="6">
        <f>IF(Benchmark1[[#This Row],[Target Date Check]]="Pass",INDEX(Target1[Target Price],MATCH(Benchmark1[[#This Row],[Benchmark '#1 Dates]],Target1[Target Dates],0)),"-")</f>
        <v>35.18</v>
      </c>
      <c r="F1104" s="22">
        <f>IF(Benchmark1[[#This Row],[Target Date Check]]="Pass",INDEX(Target1[Target Return],MATCH(Benchmark1[[#This Row],[Benchmark '#1 Dates]],Target1[Target Dates],0)),"-")</f>
        <v>1.9917491290711814E-3</v>
      </c>
      <c r="G1104" s="1">
        <f>IFERROR(IF(Benchmark1[[#This Row],[Target Date Check]]="Pass",Benchmark1[[#This Row],[Target Return]]-Benchmark1[[#This Row],[Benchmark '#1 Return]],"-"),"-")</f>
        <v>5.0872252631676707E-3</v>
      </c>
      <c r="H1104" s="1" t="str">
        <f>IF(COUNTIF(Comp1[Comparable '#1 Dates],Benchmark1[[#This Row],[Benchmark '#1 Dates]])=1,"Pass","Fail")</f>
        <v>Pass</v>
      </c>
      <c r="I1104" s="6">
        <f>IF(Benchmark1[[#This Row],[Comparable '#1 Date Check]]="Pass",INDEX(Comp1[Comparable '#1 Price],MATCH(Benchmark1[[#This Row],[Benchmark '#1 Dates]],Comp1[Comparable '#1 Dates],0)),"-")</f>
        <v>10.050000000000001</v>
      </c>
      <c r="J1104" s="22">
        <f>IF(Benchmark1[[#This Row],[Comparable '#1 Date Check]]="Pass",INDEX(Comp1[Comparable '#1 Return],MATCH(Benchmark1[[#This Row],[Benchmark '#1 Dates]],Comp1[Comparable '#1 Dates],0)),"-")</f>
        <v>-7.0119930975766229E-2</v>
      </c>
      <c r="K1104" s="1">
        <f>IFERROR(IF(Benchmark1[[#This Row],[Comparable '#1 Date Check]]="Pass",Benchmark1[[#This Row],[Comparable '#1 Return]]-Benchmark1[[#This Row],[Benchmark '#1 Return]],"-"),"-")</f>
        <v>-6.7024454841669745E-2</v>
      </c>
      <c r="L1104" s="1" t="str">
        <f>IF(COUNTIF(Comp2[Comparable '#2 Dates],Benchmark1[[#This Row],[Benchmark '#1 Dates]])=1,"Pass","Fail")</f>
        <v>Pass</v>
      </c>
      <c r="M1104" s="6">
        <f>IF(Benchmark1[[#This Row],[Comparable '#2 Date Check]]="Pass",INDEX(Comp2[Comparable '#2 Price],MATCH(Benchmark1[[#This Row],[Benchmark '#1 Dates]],Comp2[Comparable '#2 Dates],0)),"-")</f>
        <v>40.53</v>
      </c>
      <c r="N1104" s="22">
        <f>IF(Benchmark1[[#This Row],[Comparable '#2 Date Check]]="Pass",INDEX(Comp2[Comparable '#2 Return],MATCH(Benchmark1[[#This Row],[Benchmark '#1 Dates]],Comp2[Comparable '#2 Dates],0)),"-")</f>
        <v>-7.8643806657946978E-3</v>
      </c>
      <c r="O1104" s="1">
        <f>IFERROR(IF(Benchmark1[[#This Row],[Comparable '#2 Date Check]]="Pass",Benchmark1[[#This Row],[Comparable '#2 Return]]-Benchmark1[[#This Row],[Benchmark '#1 Return]],"-"),"-")</f>
        <v>-4.7689045316982089E-3</v>
      </c>
      <c r="P1104" s="1" t="str">
        <f>IF(COUNTIF(Comp3[Comparable '#3 Dates],Benchmark1[[#This Row],[Benchmark '#1 Dates]])=1,"Pass","Fail")</f>
        <v>Pass</v>
      </c>
      <c r="Q1104" s="6">
        <f>IF(Benchmark1[[#This Row],[Comparable '#3 Date Check]]="Pass",INDEX(Comp3[Comparable '#3 Price],MATCH(Benchmark1[[#This Row],[Benchmark '#1 Dates]],Comp3[Comparable '#3 Dates],0)),"-")</f>
        <v>79.650000000000006</v>
      </c>
      <c r="R1104" s="22">
        <f>IF(Benchmark1[[#This Row],[Comparable '#3 Date Check]]="Pass",INDEX(Comp3[Comparable '#3 Return],MATCH(Benchmark1[[#This Row],[Benchmark '#1 Dates]],Comp3[Comparable '#3 Dates],0)),"-")</f>
        <v>2.2624444039695433E-3</v>
      </c>
      <c r="S1104" s="1">
        <f>IFERROR(IF(Benchmark1[[#This Row],[Comparable '#3 Date Check]]="Pass",Benchmark1[[#This Row],[Comparable '#3 Return]]-Benchmark1[[#This Row],[Benchmark '#1 Return]],"-"),"-")</f>
        <v>5.3579205380660322E-3</v>
      </c>
    </row>
    <row r="1105" spans="1:19">
      <c r="A1105" s="103">
        <v>44883</v>
      </c>
      <c r="B1105" s="104">
        <v>3965.3393006892484</v>
      </c>
      <c r="C1105" s="4">
        <f t="shared" si="17"/>
        <v>4.7476226525087683E-3</v>
      </c>
      <c r="D1105" s="1" t="str">
        <f>IF(COUNTIF(Target1[Target Dates],Benchmark1[[#This Row],[Benchmark '#1 Dates]])=1,"Pass","Fail")</f>
        <v>Pass</v>
      </c>
      <c r="E1105" s="6">
        <f>IF(Benchmark1[[#This Row],[Target Date Check]]="Pass",INDEX(Target1[Target Price],MATCH(Benchmark1[[#This Row],[Benchmark '#1 Dates]],Target1[Target Dates],0)),"-")</f>
        <v>35.65</v>
      </c>
      <c r="F1105" s="22">
        <f>IF(Benchmark1[[#This Row],[Target Date Check]]="Pass",INDEX(Target1[Target Return],MATCH(Benchmark1[[#This Row],[Benchmark '#1 Dates]],Target1[Target Dates],0)),"-")</f>
        <v>1.3271407550892697E-2</v>
      </c>
      <c r="G1105" s="1">
        <f>IFERROR(IF(Benchmark1[[#This Row],[Target Date Check]]="Pass",Benchmark1[[#This Row],[Target Return]]-Benchmark1[[#This Row],[Benchmark '#1 Return]],"-"),"-")</f>
        <v>8.5237848983839293E-3</v>
      </c>
      <c r="H1105" s="1" t="str">
        <f>IF(COUNTIF(Comp1[Comparable '#1 Dates],Benchmark1[[#This Row],[Benchmark '#1 Dates]])=1,"Pass","Fail")</f>
        <v>Pass</v>
      </c>
      <c r="I1105" s="6">
        <f>IF(Benchmark1[[#This Row],[Comparable '#1 Date Check]]="Pass",INDEX(Comp1[Comparable '#1 Price],MATCH(Benchmark1[[#This Row],[Benchmark '#1 Dates]],Comp1[Comparable '#1 Dates],0)),"-")</f>
        <v>10.210000000000001</v>
      </c>
      <c r="J1105" s="22">
        <f>IF(Benchmark1[[#This Row],[Comparable '#1 Date Check]]="Pass",INDEX(Comp1[Comparable '#1 Return],MATCH(Benchmark1[[#This Row],[Benchmark '#1 Dates]],Comp1[Comparable '#1 Dates],0)),"-")</f>
        <v>1.5794997671489446E-2</v>
      </c>
      <c r="K1105" s="1">
        <f>IFERROR(IF(Benchmark1[[#This Row],[Comparable '#1 Date Check]]="Pass",Benchmark1[[#This Row],[Comparable '#1 Return]]-Benchmark1[[#This Row],[Benchmark '#1 Return]],"-"),"-")</f>
        <v>1.1047375018980676E-2</v>
      </c>
      <c r="L1105" s="1" t="str">
        <f>IF(COUNTIF(Comp2[Comparable '#2 Dates],Benchmark1[[#This Row],[Benchmark '#1 Dates]])=1,"Pass","Fail")</f>
        <v>Pass</v>
      </c>
      <c r="M1105" s="6">
        <f>IF(Benchmark1[[#This Row],[Comparable '#2 Date Check]]="Pass",INDEX(Comp2[Comparable '#2 Price],MATCH(Benchmark1[[#This Row],[Benchmark '#1 Dates]],Comp2[Comparable '#2 Dates],0)),"-")</f>
        <v>40.83</v>
      </c>
      <c r="N1105" s="22">
        <f>IF(Benchmark1[[#This Row],[Comparable '#2 Date Check]]="Pass",INDEX(Comp2[Comparable '#2 Return],MATCH(Benchmark1[[#This Row],[Benchmark '#1 Dates]],Comp2[Comparable '#2 Dates],0)),"-")</f>
        <v>7.3746646912671463E-3</v>
      </c>
      <c r="O1105" s="1">
        <f>IFERROR(IF(Benchmark1[[#This Row],[Comparable '#2 Date Check]]="Pass",Benchmark1[[#This Row],[Comparable '#2 Return]]-Benchmark1[[#This Row],[Benchmark '#1 Return]],"-"),"-")</f>
        <v>2.627042038758378E-3</v>
      </c>
      <c r="P1105" s="1" t="str">
        <f>IF(COUNTIF(Comp3[Comparable '#3 Dates],Benchmark1[[#This Row],[Benchmark '#1 Dates]])=1,"Pass","Fail")</f>
        <v>Pass</v>
      </c>
      <c r="Q1105" s="6">
        <f>IF(Benchmark1[[#This Row],[Comparable '#3 Date Check]]="Pass",INDEX(Comp3[Comparable '#3 Price],MATCH(Benchmark1[[#This Row],[Benchmark '#1 Dates]],Comp3[Comparable '#3 Dates],0)),"-")</f>
        <v>79.819999999999993</v>
      </c>
      <c r="R1105" s="22">
        <f>IF(Benchmark1[[#This Row],[Comparable '#3 Date Check]]="Pass",INDEX(Comp3[Comparable '#3 Return],MATCH(Benchmark1[[#This Row],[Benchmark '#1 Dates]],Comp3[Comparable '#3 Dates],0)),"-")</f>
        <v>2.1320632645302332E-3</v>
      </c>
      <c r="S1105" s="1">
        <f>IFERROR(IF(Benchmark1[[#This Row],[Comparable '#3 Date Check]]="Pass",Benchmark1[[#This Row],[Comparable '#3 Return]]-Benchmark1[[#This Row],[Benchmark '#1 Return]],"-"),"-")</f>
        <v>-2.6155593879785351E-3</v>
      </c>
    </row>
    <row r="1106" spans="1:19">
      <c r="A1106" s="103">
        <v>44886</v>
      </c>
      <c r="B1106" s="104">
        <v>3949.9371759409064</v>
      </c>
      <c r="C1106" s="4">
        <f t="shared" si="17"/>
        <v>-3.891751408434738E-3</v>
      </c>
      <c r="D1106" s="1" t="str">
        <f>IF(COUNTIF(Target1[Target Dates],Benchmark1[[#This Row],[Benchmark '#1 Dates]])=1,"Pass","Fail")</f>
        <v>Pass</v>
      </c>
      <c r="E1106" s="6">
        <f>IF(Benchmark1[[#This Row],[Target Date Check]]="Pass",INDEX(Target1[Target Price],MATCH(Benchmark1[[#This Row],[Benchmark '#1 Dates]],Target1[Target Dates],0)),"-")</f>
        <v>35.89</v>
      </c>
      <c r="F1106" s="22">
        <f>IF(Benchmark1[[#This Row],[Target Date Check]]="Pass",INDEX(Target1[Target Return],MATCH(Benchmark1[[#This Row],[Benchmark '#1 Dates]],Target1[Target Dates],0)),"-")</f>
        <v>6.7095582992110873E-3</v>
      </c>
      <c r="G1106" s="1">
        <f>IFERROR(IF(Benchmark1[[#This Row],[Target Date Check]]="Pass",Benchmark1[[#This Row],[Target Return]]-Benchmark1[[#This Row],[Benchmark '#1 Return]],"-"),"-")</f>
        <v>1.0601309707645825E-2</v>
      </c>
      <c r="H1106" s="1" t="str">
        <f>IF(COUNTIF(Comp1[Comparable '#1 Dates],Benchmark1[[#This Row],[Benchmark '#1 Dates]])=1,"Pass","Fail")</f>
        <v>Pass</v>
      </c>
      <c r="I1106" s="6">
        <f>IF(Benchmark1[[#This Row],[Comparable '#1 Date Check]]="Pass",INDEX(Comp1[Comparable '#1 Price],MATCH(Benchmark1[[#This Row],[Benchmark '#1 Dates]],Comp1[Comparable '#1 Dates],0)),"-")</f>
        <v>10.46</v>
      </c>
      <c r="J1106" s="22">
        <f>IF(Benchmark1[[#This Row],[Comparable '#1 Date Check]]="Pass",INDEX(Comp1[Comparable '#1 Return],MATCH(Benchmark1[[#This Row],[Benchmark '#1 Dates]],Comp1[Comparable '#1 Dates],0)),"-")</f>
        <v>2.4190826460202697E-2</v>
      </c>
      <c r="K1106" s="1">
        <f>IFERROR(IF(Benchmark1[[#This Row],[Comparable '#1 Date Check]]="Pass",Benchmark1[[#This Row],[Comparable '#1 Return]]-Benchmark1[[#This Row],[Benchmark '#1 Return]],"-"),"-")</f>
        <v>2.8082577868637437E-2</v>
      </c>
      <c r="L1106" s="1" t="str">
        <f>IF(COUNTIF(Comp2[Comparable '#2 Dates],Benchmark1[[#This Row],[Benchmark '#1 Dates]])=1,"Pass","Fail")</f>
        <v>Pass</v>
      </c>
      <c r="M1106" s="6">
        <f>IF(Benchmark1[[#This Row],[Comparable '#2 Date Check]]="Pass",INDEX(Comp2[Comparable '#2 Price],MATCH(Benchmark1[[#This Row],[Benchmark '#1 Dates]],Comp2[Comparable '#2 Dates],0)),"-")</f>
        <v>40.39</v>
      </c>
      <c r="N1106" s="22">
        <f>IF(Benchmark1[[#This Row],[Comparable '#2 Date Check]]="Pass",INDEX(Comp2[Comparable '#2 Return],MATCH(Benchmark1[[#This Row],[Benchmark '#1 Dates]],Comp2[Comparable '#2 Dates],0)),"-")</f>
        <v>-1.0834875756162885E-2</v>
      </c>
      <c r="O1106" s="1">
        <f>IFERROR(IF(Benchmark1[[#This Row],[Comparable '#2 Date Check]]="Pass",Benchmark1[[#This Row],[Comparable '#2 Return]]-Benchmark1[[#This Row],[Benchmark '#1 Return]],"-"),"-")</f>
        <v>-6.9431243477281468E-3</v>
      </c>
      <c r="P1106" s="1" t="str">
        <f>IF(COUNTIF(Comp3[Comparable '#3 Dates],Benchmark1[[#This Row],[Benchmark '#1 Dates]])=1,"Pass","Fail")</f>
        <v>Pass</v>
      </c>
      <c r="Q1106" s="6">
        <f>IF(Benchmark1[[#This Row],[Comparable '#3 Date Check]]="Pass",INDEX(Comp3[Comparable '#3 Price],MATCH(Benchmark1[[#This Row],[Benchmark '#1 Dates]],Comp3[Comparable '#3 Dates],0)),"-")</f>
        <v>80.39</v>
      </c>
      <c r="R1106" s="22">
        <f>IF(Benchmark1[[#This Row],[Comparable '#3 Date Check]]="Pass",INDEX(Comp3[Comparable '#3 Return],MATCH(Benchmark1[[#This Row],[Benchmark '#1 Dates]],Comp3[Comparable '#3 Dates],0)),"-")</f>
        <v>7.1156907192817861E-3</v>
      </c>
      <c r="S1106" s="1">
        <f>IFERROR(IF(Benchmark1[[#This Row],[Comparable '#3 Date Check]]="Pass",Benchmark1[[#This Row],[Comparable '#3 Return]]-Benchmark1[[#This Row],[Benchmark '#1 Return]],"-"),"-")</f>
        <v>1.1007442127716524E-2</v>
      </c>
    </row>
    <row r="1107" spans="1:19">
      <c r="A1107" s="103">
        <v>44887</v>
      </c>
      <c r="B1107" s="104">
        <v>4003.5784370086831</v>
      </c>
      <c r="C1107" s="4">
        <f t="shared" si="17"/>
        <v>1.3488896486243466E-2</v>
      </c>
      <c r="D1107" s="1" t="str">
        <f>IF(COUNTIF(Target1[Target Dates],Benchmark1[[#This Row],[Benchmark '#1 Dates]])=1,"Pass","Fail")</f>
        <v>Pass</v>
      </c>
      <c r="E1107" s="6">
        <f>IF(Benchmark1[[#This Row],[Target Date Check]]="Pass",INDEX(Target1[Target Price],MATCH(Benchmark1[[#This Row],[Benchmark '#1 Dates]],Target1[Target Dates],0)),"-")</f>
        <v>35.659999999999997</v>
      </c>
      <c r="F1107" s="22">
        <f>IF(Benchmark1[[#This Row],[Target Date Check]]="Pass",INDEX(Target1[Target Return],MATCH(Benchmark1[[#This Row],[Benchmark '#1 Dates]],Target1[Target Dates],0)),"-")</f>
        <v>-6.4290927245216796E-3</v>
      </c>
      <c r="G1107" s="1">
        <f>IFERROR(IF(Benchmark1[[#This Row],[Target Date Check]]="Pass",Benchmark1[[#This Row],[Target Return]]-Benchmark1[[#This Row],[Benchmark '#1 Return]],"-"),"-")</f>
        <v>-1.9917989210765145E-2</v>
      </c>
      <c r="H1107" s="1" t="str">
        <f>IF(COUNTIF(Comp1[Comparable '#1 Dates],Benchmark1[[#This Row],[Benchmark '#1 Dates]])=1,"Pass","Fail")</f>
        <v>Pass</v>
      </c>
      <c r="I1107" s="6">
        <f>IF(Benchmark1[[#This Row],[Comparable '#1 Date Check]]="Pass",INDEX(Comp1[Comparable '#1 Price],MATCH(Benchmark1[[#This Row],[Benchmark '#1 Dates]],Comp1[Comparable '#1 Dates],0)),"-")</f>
        <v>10.49</v>
      </c>
      <c r="J1107" s="22">
        <f>IF(Benchmark1[[#This Row],[Comparable '#1 Date Check]]="Pass",INDEX(Comp1[Comparable '#1 Return],MATCH(Benchmark1[[#This Row],[Benchmark '#1 Dates]],Comp1[Comparable '#1 Dates],0)),"-")</f>
        <v>2.8639637714289396E-3</v>
      </c>
      <c r="K1107" s="1">
        <f>IFERROR(IF(Benchmark1[[#This Row],[Comparable '#1 Date Check]]="Pass",Benchmark1[[#This Row],[Comparable '#1 Return]]-Benchmark1[[#This Row],[Benchmark '#1 Return]],"-"),"-")</f>
        <v>-1.0624932714814527E-2</v>
      </c>
      <c r="L1107" s="1" t="str">
        <f>IF(COUNTIF(Comp2[Comparable '#2 Dates],Benchmark1[[#This Row],[Benchmark '#1 Dates]])=1,"Pass","Fail")</f>
        <v>Pass</v>
      </c>
      <c r="M1107" s="6">
        <f>IF(Benchmark1[[#This Row],[Comparable '#2 Date Check]]="Pass",INDEX(Comp2[Comparable '#2 Price],MATCH(Benchmark1[[#This Row],[Benchmark '#1 Dates]],Comp2[Comparable '#2 Dates],0)),"-")</f>
        <v>40.92</v>
      </c>
      <c r="N1107" s="22">
        <f>IF(Benchmark1[[#This Row],[Comparable '#2 Date Check]]="Pass",INDEX(Comp2[Comparable '#2 Return],MATCH(Benchmark1[[#This Row],[Benchmark '#1 Dates]],Comp2[Comparable '#2 Dates],0)),"-")</f>
        <v>1.3036711508104312E-2</v>
      </c>
      <c r="O1107" s="1">
        <f>IFERROR(IF(Benchmark1[[#This Row],[Comparable '#2 Date Check]]="Pass",Benchmark1[[#This Row],[Comparable '#2 Return]]-Benchmark1[[#This Row],[Benchmark '#1 Return]],"-"),"-")</f>
        <v>-4.5218497813915431E-4</v>
      </c>
      <c r="P1107" s="1" t="str">
        <f>IF(COUNTIF(Comp3[Comparable '#3 Dates],Benchmark1[[#This Row],[Benchmark '#1 Dates]])=1,"Pass","Fail")</f>
        <v>Pass</v>
      </c>
      <c r="Q1107" s="6">
        <f>IF(Benchmark1[[#This Row],[Comparable '#3 Date Check]]="Pass",INDEX(Comp3[Comparable '#3 Price],MATCH(Benchmark1[[#This Row],[Benchmark '#1 Dates]],Comp3[Comparable '#3 Dates],0)),"-")</f>
        <v>81.650000000000006</v>
      </c>
      <c r="R1107" s="22">
        <f>IF(Benchmark1[[#This Row],[Comparable '#3 Date Check]]="Pass",INDEX(Comp3[Comparable '#3 Return],MATCH(Benchmark1[[#This Row],[Benchmark '#1 Dates]],Comp3[Comparable '#3 Dates],0)),"-")</f>
        <v>1.5552029076604744E-2</v>
      </c>
      <c r="S1107" s="1">
        <f>IFERROR(IF(Benchmark1[[#This Row],[Comparable '#3 Date Check]]="Pass",Benchmark1[[#This Row],[Comparable '#3 Return]]-Benchmark1[[#This Row],[Benchmark '#1 Return]],"-"),"-")</f>
        <v>2.0631325903612777E-3</v>
      </c>
    </row>
    <row r="1108" spans="1:19">
      <c r="A1108" s="103">
        <v>44888</v>
      </c>
      <c r="B1108" s="104">
        <v>4027.262183168365</v>
      </c>
      <c r="C1108" s="4">
        <f t="shared" si="17"/>
        <v>5.8982156266898875E-3</v>
      </c>
      <c r="D1108" s="1" t="str">
        <f>IF(COUNTIF(Target1[Target Dates],Benchmark1[[#This Row],[Benchmark '#1 Dates]])=1,"Pass","Fail")</f>
        <v>Pass</v>
      </c>
      <c r="E1108" s="6">
        <f>IF(Benchmark1[[#This Row],[Target Date Check]]="Pass",INDEX(Target1[Target Price],MATCH(Benchmark1[[#This Row],[Benchmark '#1 Dates]],Target1[Target Dates],0)),"-")</f>
        <v>35.659999999999997</v>
      </c>
      <c r="F1108" s="22">
        <f>IF(Benchmark1[[#This Row],[Target Date Check]]="Pass",INDEX(Target1[Target Return],MATCH(Benchmark1[[#This Row],[Benchmark '#1 Dates]],Target1[Target Dates],0)),"-")</f>
        <v>0</v>
      </c>
      <c r="G1108" s="1">
        <f>IFERROR(IF(Benchmark1[[#This Row],[Target Date Check]]="Pass",Benchmark1[[#This Row],[Target Return]]-Benchmark1[[#This Row],[Benchmark '#1 Return]],"-"),"-")</f>
        <v>-5.8982156266898875E-3</v>
      </c>
      <c r="H1108" s="1" t="str">
        <f>IF(COUNTIF(Comp1[Comparable '#1 Dates],Benchmark1[[#This Row],[Benchmark '#1 Dates]])=1,"Pass","Fail")</f>
        <v>Pass</v>
      </c>
      <c r="I1108" s="6">
        <f>IF(Benchmark1[[#This Row],[Comparable '#1 Date Check]]="Pass",INDEX(Comp1[Comparable '#1 Price],MATCH(Benchmark1[[#This Row],[Benchmark '#1 Dates]],Comp1[Comparable '#1 Dates],0)),"-")</f>
        <v>10.199999999999999</v>
      </c>
      <c r="J1108" s="22">
        <f>IF(Benchmark1[[#This Row],[Comparable '#1 Date Check]]="Pass",INDEX(Comp1[Comparable '#1 Return],MATCH(Benchmark1[[#This Row],[Benchmark '#1 Dates]],Comp1[Comparable '#1 Dates],0)),"-")</f>
        <v>-2.803470211798053E-2</v>
      </c>
      <c r="K1108" s="1">
        <f>IFERROR(IF(Benchmark1[[#This Row],[Comparable '#1 Date Check]]="Pass",Benchmark1[[#This Row],[Comparable '#1 Return]]-Benchmark1[[#This Row],[Benchmark '#1 Return]],"-"),"-")</f>
        <v>-3.3932917744670416E-2</v>
      </c>
      <c r="L1108" s="1" t="str">
        <f>IF(COUNTIF(Comp2[Comparable '#2 Dates],Benchmark1[[#This Row],[Benchmark '#1 Dates]])=1,"Pass","Fail")</f>
        <v>Pass</v>
      </c>
      <c r="M1108" s="6">
        <f>IF(Benchmark1[[#This Row],[Comparable '#2 Date Check]]="Pass",INDEX(Comp2[Comparable '#2 Price],MATCH(Benchmark1[[#This Row],[Benchmark '#1 Dates]],Comp2[Comparable '#2 Dates],0)),"-")</f>
        <v>40.47</v>
      </c>
      <c r="N1108" s="22">
        <f>IF(Benchmark1[[#This Row],[Comparable '#2 Date Check]]="Pass",INDEX(Comp2[Comparable '#2 Return],MATCH(Benchmark1[[#This Row],[Benchmark '#1 Dates]],Comp2[Comparable '#2 Dates],0)),"-")</f>
        <v>-1.105798219565163E-2</v>
      </c>
      <c r="O1108" s="1">
        <f>IFERROR(IF(Benchmark1[[#This Row],[Comparable '#2 Date Check]]="Pass",Benchmark1[[#This Row],[Comparable '#2 Return]]-Benchmark1[[#This Row],[Benchmark '#1 Return]],"-"),"-")</f>
        <v>-1.6956197822341517E-2</v>
      </c>
      <c r="P1108" s="1" t="str">
        <f>IF(COUNTIF(Comp3[Comparable '#3 Dates],Benchmark1[[#This Row],[Benchmark '#1 Dates]])=1,"Pass","Fail")</f>
        <v>Pass</v>
      </c>
      <c r="Q1108" s="6">
        <f>IF(Benchmark1[[#This Row],[Comparable '#3 Date Check]]="Pass",INDEX(Comp3[Comparable '#3 Price],MATCH(Benchmark1[[#This Row],[Benchmark '#1 Dates]],Comp3[Comparable '#3 Dates],0)),"-")</f>
        <v>81.12</v>
      </c>
      <c r="R1108" s="22">
        <f>IF(Benchmark1[[#This Row],[Comparable '#3 Date Check]]="Pass",INDEX(Comp3[Comparable '#3 Return],MATCH(Benchmark1[[#This Row],[Benchmark '#1 Dates]],Comp3[Comparable '#3 Dates],0)),"-")</f>
        <v>-6.5122795736010522E-3</v>
      </c>
      <c r="S1108" s="1">
        <f>IFERROR(IF(Benchmark1[[#This Row],[Comparable '#3 Date Check]]="Pass",Benchmark1[[#This Row],[Comparable '#3 Return]]-Benchmark1[[#This Row],[Benchmark '#1 Return]],"-"),"-")</f>
        <v>-1.2410495200290941E-2</v>
      </c>
    </row>
    <row r="1109" spans="1:19">
      <c r="A1109" s="103">
        <v>44890</v>
      </c>
      <c r="B1109" s="104">
        <v>4026.1154984907525</v>
      </c>
      <c r="C1109" s="4">
        <f t="shared" si="17"/>
        <v>-2.8477111857626102E-4</v>
      </c>
      <c r="D1109" s="1" t="str">
        <f>IF(COUNTIF(Target1[Target Dates],Benchmark1[[#This Row],[Benchmark '#1 Dates]])=1,"Pass","Fail")</f>
        <v>Pass</v>
      </c>
      <c r="E1109" s="6">
        <f>IF(Benchmark1[[#This Row],[Target Date Check]]="Pass",INDEX(Target1[Target Price],MATCH(Benchmark1[[#This Row],[Benchmark '#1 Dates]],Target1[Target Dates],0)),"-")</f>
        <v>35.69</v>
      </c>
      <c r="F1109" s="22">
        <f>IF(Benchmark1[[#This Row],[Target Date Check]]="Pass",INDEX(Target1[Target Return],MATCH(Benchmark1[[#This Row],[Benchmark '#1 Dates]],Target1[Target Dates],0)),"-")</f>
        <v>8.4092506707466328E-4</v>
      </c>
      <c r="G1109" s="1">
        <f>IFERROR(IF(Benchmark1[[#This Row],[Target Date Check]]="Pass",Benchmark1[[#This Row],[Target Return]]-Benchmark1[[#This Row],[Benchmark '#1 Return]],"-"),"-")</f>
        <v>1.1256961856509244E-3</v>
      </c>
      <c r="H1109" s="1" t="str">
        <f>IF(COUNTIF(Comp1[Comparable '#1 Dates],Benchmark1[[#This Row],[Benchmark '#1 Dates]])=1,"Pass","Fail")</f>
        <v>Pass</v>
      </c>
      <c r="I1109" s="6">
        <f>IF(Benchmark1[[#This Row],[Comparable '#1 Date Check]]="Pass",INDEX(Comp1[Comparable '#1 Price],MATCH(Benchmark1[[#This Row],[Benchmark '#1 Dates]],Comp1[Comparable '#1 Dates],0)),"-")</f>
        <v>10.31</v>
      </c>
      <c r="J1109" s="22">
        <f>IF(Benchmark1[[#This Row],[Comparable '#1 Date Check]]="Pass",INDEX(Comp1[Comparable '#1 Return],MATCH(Benchmark1[[#This Row],[Benchmark '#1 Dates]],Comp1[Comparable '#1 Dates],0)),"-")</f>
        <v>1.0726577738643342E-2</v>
      </c>
      <c r="K1109" s="1">
        <f>IFERROR(IF(Benchmark1[[#This Row],[Comparable '#1 Date Check]]="Pass",Benchmark1[[#This Row],[Comparable '#1 Return]]-Benchmark1[[#This Row],[Benchmark '#1 Return]],"-"),"-")</f>
        <v>1.1011348857219603E-2</v>
      </c>
      <c r="L1109" s="1" t="str">
        <f>IF(COUNTIF(Comp2[Comparable '#2 Dates],Benchmark1[[#This Row],[Benchmark '#1 Dates]])=1,"Pass","Fail")</f>
        <v>Pass</v>
      </c>
      <c r="M1109" s="6">
        <f>IF(Benchmark1[[#This Row],[Comparable '#2 Date Check]]="Pass",INDEX(Comp2[Comparable '#2 Price],MATCH(Benchmark1[[#This Row],[Benchmark '#1 Dates]],Comp2[Comparable '#2 Dates],0)),"-")</f>
        <v>40.340000000000003</v>
      </c>
      <c r="N1109" s="22">
        <f>IF(Benchmark1[[#This Row],[Comparable '#2 Date Check]]="Pass",INDEX(Comp2[Comparable '#2 Return],MATCH(Benchmark1[[#This Row],[Benchmark '#1 Dates]],Comp2[Comparable '#2 Dates],0)),"-")</f>
        <v>-3.2174263617084321E-3</v>
      </c>
      <c r="O1109" s="1">
        <f>IFERROR(IF(Benchmark1[[#This Row],[Comparable '#2 Date Check]]="Pass",Benchmark1[[#This Row],[Comparable '#2 Return]]-Benchmark1[[#This Row],[Benchmark '#1 Return]],"-"),"-")</f>
        <v>-2.9326552431321712E-3</v>
      </c>
      <c r="P1109" s="1" t="str">
        <f>IF(COUNTIF(Comp3[Comparable '#3 Dates],Benchmark1[[#This Row],[Benchmark '#1 Dates]])=1,"Pass","Fail")</f>
        <v>Pass</v>
      </c>
      <c r="Q1109" s="6">
        <f>IF(Benchmark1[[#This Row],[Comparable '#3 Date Check]]="Pass",INDEX(Comp3[Comparable '#3 Price],MATCH(Benchmark1[[#This Row],[Benchmark '#1 Dates]],Comp3[Comparable '#3 Dates],0)),"-")</f>
        <v>80.64</v>
      </c>
      <c r="R1109" s="22">
        <f>IF(Benchmark1[[#This Row],[Comparable '#3 Date Check]]="Pass",INDEX(Comp3[Comparable '#3 Return],MATCH(Benchmark1[[#This Row],[Benchmark '#1 Dates]],Comp3[Comparable '#3 Dates],0)),"-")</f>
        <v>-5.9347355198145777E-3</v>
      </c>
      <c r="S1109" s="1">
        <f>IFERROR(IF(Benchmark1[[#This Row],[Comparable '#3 Date Check]]="Pass",Benchmark1[[#This Row],[Comparable '#3 Return]]-Benchmark1[[#This Row],[Benchmark '#1 Return]],"-"),"-")</f>
        <v>-5.6499644012383164E-3</v>
      </c>
    </row>
    <row r="1110" spans="1:19">
      <c r="A1110" s="103">
        <v>44893</v>
      </c>
      <c r="B1110" s="104">
        <v>3963.9418533013509</v>
      </c>
      <c r="C1110" s="4">
        <f t="shared" si="17"/>
        <v>-1.5563067288560745E-2</v>
      </c>
      <c r="D1110" s="1" t="str">
        <f>IF(COUNTIF(Target1[Target Dates],Benchmark1[[#This Row],[Benchmark '#1 Dates]])=1,"Pass","Fail")</f>
        <v>Pass</v>
      </c>
      <c r="E1110" s="6">
        <f>IF(Benchmark1[[#This Row],[Target Date Check]]="Pass",INDEX(Target1[Target Price],MATCH(Benchmark1[[#This Row],[Benchmark '#1 Dates]],Target1[Target Dates],0)),"-")</f>
        <v>35.97</v>
      </c>
      <c r="F1110" s="22">
        <f>IF(Benchmark1[[#This Row],[Target Date Check]]="Pass",INDEX(Target1[Target Return],MATCH(Benchmark1[[#This Row],[Benchmark '#1 Dates]],Target1[Target Dates],0)),"-")</f>
        <v>7.8147202054635583E-3</v>
      </c>
      <c r="G1110" s="1">
        <f>IFERROR(IF(Benchmark1[[#This Row],[Target Date Check]]="Pass",Benchmark1[[#This Row],[Target Return]]-Benchmark1[[#This Row],[Benchmark '#1 Return]],"-"),"-")</f>
        <v>2.3377787494024305E-2</v>
      </c>
      <c r="H1110" s="1" t="str">
        <f>IF(COUNTIF(Comp1[Comparable '#1 Dates],Benchmark1[[#This Row],[Benchmark '#1 Dates]])=1,"Pass","Fail")</f>
        <v>Pass</v>
      </c>
      <c r="I1110" s="6">
        <f>IF(Benchmark1[[#This Row],[Comparable '#1 Date Check]]="Pass",INDEX(Comp1[Comparable '#1 Price],MATCH(Benchmark1[[#This Row],[Benchmark '#1 Dates]],Comp1[Comparable '#1 Dates],0)),"-")</f>
        <v>10.26</v>
      </c>
      <c r="J1110" s="22">
        <f>IF(Benchmark1[[#This Row],[Comparable '#1 Date Check]]="Pass",INDEX(Comp1[Comparable '#1 Return],MATCH(Benchmark1[[#This Row],[Benchmark '#1 Dates]],Comp1[Comparable '#1 Dates],0)),"-")</f>
        <v>-4.8614582862452002E-3</v>
      </c>
      <c r="K1110" s="1">
        <f>IFERROR(IF(Benchmark1[[#This Row],[Comparable '#1 Date Check]]="Pass",Benchmark1[[#This Row],[Comparable '#1 Return]]-Benchmark1[[#This Row],[Benchmark '#1 Return]],"-"),"-")</f>
        <v>1.0701609002315544E-2</v>
      </c>
      <c r="L1110" s="1" t="str">
        <f>IF(COUNTIF(Comp2[Comparable '#2 Dates],Benchmark1[[#This Row],[Benchmark '#1 Dates]])=1,"Pass","Fail")</f>
        <v>Pass</v>
      </c>
      <c r="M1110" s="6">
        <f>IF(Benchmark1[[#This Row],[Comparable '#2 Date Check]]="Pass",INDEX(Comp2[Comparable '#2 Price],MATCH(Benchmark1[[#This Row],[Benchmark '#1 Dates]],Comp2[Comparable '#2 Dates],0)),"-")</f>
        <v>40.68</v>
      </c>
      <c r="N1110" s="22">
        <f>IF(Benchmark1[[#This Row],[Comparable '#2 Date Check]]="Pass",INDEX(Comp2[Comparable '#2 Return],MATCH(Benchmark1[[#This Row],[Benchmark '#1 Dates]],Comp2[Comparable '#2 Dates],0)),"-")</f>
        <v>8.3930386542934391E-3</v>
      </c>
      <c r="O1110" s="1">
        <f>IFERROR(IF(Benchmark1[[#This Row],[Comparable '#2 Date Check]]="Pass",Benchmark1[[#This Row],[Comparable '#2 Return]]-Benchmark1[[#This Row],[Benchmark '#1 Return]],"-"),"-")</f>
        <v>2.3956105942854182E-2</v>
      </c>
      <c r="P1110" s="1" t="str">
        <f>IF(COUNTIF(Comp3[Comparable '#3 Dates],Benchmark1[[#This Row],[Benchmark '#1 Dates]])=1,"Pass","Fail")</f>
        <v>Pass</v>
      </c>
      <c r="Q1110" s="6">
        <f>IF(Benchmark1[[#This Row],[Comparable '#3 Date Check]]="Pass",INDEX(Comp3[Comparable '#3 Price],MATCH(Benchmark1[[#This Row],[Benchmark '#1 Dates]],Comp3[Comparable '#3 Dates],0)),"-")</f>
        <v>79.959999999999994</v>
      </c>
      <c r="R1110" s="22">
        <f>IF(Benchmark1[[#This Row],[Comparable '#3 Date Check]]="Pass",INDEX(Comp3[Comparable '#3 Return],MATCH(Benchmark1[[#This Row],[Benchmark '#1 Dates]],Comp3[Comparable '#3 Dates],0)),"-")</f>
        <v>-8.468294690859253E-3</v>
      </c>
      <c r="S1110" s="1">
        <f>IFERROR(IF(Benchmark1[[#This Row],[Comparable '#3 Date Check]]="Pass",Benchmark1[[#This Row],[Comparable '#3 Return]]-Benchmark1[[#This Row],[Benchmark '#1 Return]],"-"),"-")</f>
        <v>7.0947725977014917E-3</v>
      </c>
    </row>
    <row r="1111" spans="1:19">
      <c r="A1111" s="103">
        <v>44894</v>
      </c>
      <c r="B1111" s="104">
        <v>3957.6258930807489</v>
      </c>
      <c r="C1111" s="4">
        <f t="shared" si="17"/>
        <v>-1.5946241353176865E-3</v>
      </c>
      <c r="D1111" s="1" t="str">
        <f>IF(COUNTIF(Target1[Target Dates],Benchmark1[[#This Row],[Benchmark '#1 Dates]])=1,"Pass","Fail")</f>
        <v>Pass</v>
      </c>
      <c r="E1111" s="6">
        <f>IF(Benchmark1[[#This Row],[Target Date Check]]="Pass",INDEX(Target1[Target Price],MATCH(Benchmark1[[#This Row],[Benchmark '#1 Dates]],Target1[Target Dates],0)),"-")</f>
        <v>35.799999999999997</v>
      </c>
      <c r="F1111" s="22">
        <f>IF(Benchmark1[[#This Row],[Target Date Check]]="Pass",INDEX(Target1[Target Return],MATCH(Benchmark1[[#This Row],[Benchmark '#1 Dates]],Target1[Target Dates],0)),"-")</f>
        <v>-4.7373643008780256E-3</v>
      </c>
      <c r="G1111" s="1">
        <f>IFERROR(IF(Benchmark1[[#This Row],[Target Date Check]]="Pass",Benchmark1[[#This Row],[Target Return]]-Benchmark1[[#This Row],[Benchmark '#1 Return]],"-"),"-")</f>
        <v>-3.1427401655603391E-3</v>
      </c>
      <c r="H1111" s="1" t="str">
        <f>IF(COUNTIF(Comp1[Comparable '#1 Dates],Benchmark1[[#This Row],[Benchmark '#1 Dates]])=1,"Pass","Fail")</f>
        <v>Pass</v>
      </c>
      <c r="I1111" s="6">
        <f>IF(Benchmark1[[#This Row],[Comparable '#1 Date Check]]="Pass",INDEX(Comp1[Comparable '#1 Price],MATCH(Benchmark1[[#This Row],[Benchmark '#1 Dates]],Comp1[Comparable '#1 Dates],0)),"-")</f>
        <v>10.220000000000001</v>
      </c>
      <c r="J1111" s="22">
        <f>IF(Benchmark1[[#This Row],[Comparable '#1 Date Check]]="Pass",INDEX(Comp1[Comparable '#1 Return],MATCH(Benchmark1[[#This Row],[Benchmark '#1 Dates]],Comp1[Comparable '#1 Dates],0)),"-")</f>
        <v>-3.9062549670649885E-3</v>
      </c>
      <c r="K1111" s="1">
        <f>IFERROR(IF(Benchmark1[[#This Row],[Comparable '#1 Date Check]]="Pass",Benchmark1[[#This Row],[Comparable '#1 Return]]-Benchmark1[[#This Row],[Benchmark '#1 Return]],"-"),"-")</f>
        <v>-2.311630831747302E-3</v>
      </c>
      <c r="L1111" s="1" t="str">
        <f>IF(COUNTIF(Comp2[Comparable '#2 Dates],Benchmark1[[#This Row],[Benchmark '#1 Dates]])=1,"Pass","Fail")</f>
        <v>Pass</v>
      </c>
      <c r="M1111" s="6">
        <f>IF(Benchmark1[[#This Row],[Comparable '#2 Date Check]]="Pass",INDEX(Comp2[Comparable '#2 Price],MATCH(Benchmark1[[#This Row],[Benchmark '#1 Dates]],Comp2[Comparable '#2 Dates],0)),"-")</f>
        <v>40.71</v>
      </c>
      <c r="N1111" s="22">
        <f>IF(Benchmark1[[#This Row],[Comparable '#2 Date Check]]="Pass",INDEX(Comp2[Comparable '#2 Return],MATCH(Benchmark1[[#This Row],[Benchmark '#1 Dates]],Comp2[Comparable '#2 Dates],0)),"-")</f>
        <v>7.3719133452835618E-4</v>
      </c>
      <c r="O1111" s="1">
        <f>IFERROR(IF(Benchmark1[[#This Row],[Comparable '#2 Date Check]]="Pass",Benchmark1[[#This Row],[Comparable '#2 Return]]-Benchmark1[[#This Row],[Benchmark '#1 Return]],"-"),"-")</f>
        <v>2.3318154698460428E-3</v>
      </c>
      <c r="P1111" s="1" t="str">
        <f>IF(COUNTIF(Comp3[Comparable '#3 Dates],Benchmark1[[#This Row],[Benchmark '#1 Dates]])=1,"Pass","Fail")</f>
        <v>Pass</v>
      </c>
      <c r="Q1111" s="6">
        <f>IF(Benchmark1[[#This Row],[Comparable '#3 Date Check]]="Pass",INDEX(Comp3[Comparable '#3 Price],MATCH(Benchmark1[[#This Row],[Benchmark '#1 Dates]],Comp3[Comparable '#3 Dates],0)),"-")</f>
        <v>80.3</v>
      </c>
      <c r="R1111" s="22">
        <f>IF(Benchmark1[[#This Row],[Comparable '#3 Date Check]]="Pass",INDEX(Comp3[Comparable '#3 Return],MATCH(Benchmark1[[#This Row],[Benchmark '#1 Dates]],Comp3[Comparable '#3 Dates],0)),"-")</f>
        <v>4.2431113205166505E-3</v>
      </c>
      <c r="S1111" s="1">
        <f>IFERROR(IF(Benchmark1[[#This Row],[Comparable '#3 Date Check]]="Pass",Benchmark1[[#This Row],[Comparable '#3 Return]]-Benchmark1[[#This Row],[Benchmark '#1 Return]],"-"),"-")</f>
        <v>5.8377354558343374E-3</v>
      </c>
    </row>
    <row r="1112" spans="1:19">
      <c r="A1112" s="103">
        <v>44895</v>
      </c>
      <c r="B1112" s="104">
        <v>4080.1065521792448</v>
      </c>
      <c r="C1112" s="4">
        <f t="shared" si="17"/>
        <v>3.0478780273328447E-2</v>
      </c>
      <c r="D1112" s="1" t="str">
        <f>IF(COUNTIF(Target1[Target Dates],Benchmark1[[#This Row],[Benchmark '#1 Dates]])=1,"Pass","Fail")</f>
        <v>Pass</v>
      </c>
      <c r="E1112" s="6">
        <f>IF(Benchmark1[[#This Row],[Target Date Check]]="Pass",INDEX(Target1[Target Price],MATCH(Benchmark1[[#This Row],[Benchmark '#1 Dates]],Target1[Target Dates],0)),"-")</f>
        <v>35.409999999999997</v>
      </c>
      <c r="F1112" s="22">
        <f>IF(Benchmark1[[#This Row],[Target Date Check]]="Pass",INDEX(Target1[Target Return],MATCH(Benchmark1[[#This Row],[Benchmark '#1 Dates]],Target1[Target Dates],0)),"-")</f>
        <v>-1.0953627282842287E-2</v>
      </c>
      <c r="G1112" s="1">
        <f>IFERROR(IF(Benchmark1[[#This Row],[Target Date Check]]="Pass",Benchmark1[[#This Row],[Target Return]]-Benchmark1[[#This Row],[Benchmark '#1 Return]],"-"),"-")</f>
        <v>-4.1432407556170732E-2</v>
      </c>
      <c r="H1112" s="1" t="str">
        <f>IF(COUNTIF(Comp1[Comparable '#1 Dates],Benchmark1[[#This Row],[Benchmark '#1 Dates]])=1,"Pass","Fail")</f>
        <v>Pass</v>
      </c>
      <c r="I1112" s="6">
        <f>IF(Benchmark1[[#This Row],[Comparable '#1 Date Check]]="Pass",INDEX(Comp1[Comparable '#1 Price],MATCH(Benchmark1[[#This Row],[Benchmark '#1 Dates]],Comp1[Comparable '#1 Dates],0)),"-")</f>
        <v>10.48</v>
      </c>
      <c r="J1112" s="22">
        <f>IF(Benchmark1[[#This Row],[Comparable '#1 Date Check]]="Pass",INDEX(Comp1[Comparable '#1 Return],MATCH(Benchmark1[[#This Row],[Benchmark '#1 Dates]],Comp1[Comparable '#1 Dates],0)),"-")</f>
        <v>2.5122094117337672E-2</v>
      </c>
      <c r="K1112" s="1">
        <f>IFERROR(IF(Benchmark1[[#This Row],[Comparable '#1 Date Check]]="Pass",Benchmark1[[#This Row],[Comparable '#1 Return]]-Benchmark1[[#This Row],[Benchmark '#1 Return]],"-"),"-")</f>
        <v>-5.3566861559907752E-3</v>
      </c>
      <c r="L1112" s="1" t="str">
        <f>IF(COUNTIF(Comp2[Comparable '#2 Dates],Benchmark1[[#This Row],[Benchmark '#1 Dates]])=1,"Pass","Fail")</f>
        <v>Pass</v>
      </c>
      <c r="M1112" s="6">
        <f>IF(Benchmark1[[#This Row],[Comparable '#2 Date Check]]="Pass",INDEX(Comp2[Comparable '#2 Price],MATCH(Benchmark1[[#This Row],[Benchmark '#1 Dates]],Comp2[Comparable '#2 Dates],0)),"-")</f>
        <v>41.6</v>
      </c>
      <c r="N1112" s="22">
        <f>IF(Benchmark1[[#This Row],[Comparable '#2 Date Check]]="Pass",INDEX(Comp2[Comparable '#2 Return],MATCH(Benchmark1[[#This Row],[Benchmark '#1 Dates]],Comp2[Comparable '#2 Dates],0)),"-")</f>
        <v>2.1626404752330092E-2</v>
      </c>
      <c r="O1112" s="1">
        <f>IFERROR(IF(Benchmark1[[#This Row],[Comparable '#2 Date Check]]="Pass",Benchmark1[[#This Row],[Comparable '#2 Return]]-Benchmark1[[#This Row],[Benchmark '#1 Return]],"-"),"-")</f>
        <v>-8.8523755209983547E-3</v>
      </c>
      <c r="P1112" s="1" t="str">
        <f>IF(COUNTIF(Comp3[Comparable '#3 Dates],Benchmark1[[#This Row],[Benchmark '#1 Dates]])=1,"Pass","Fail")</f>
        <v>Pass</v>
      </c>
      <c r="Q1112" s="6">
        <f>IF(Benchmark1[[#This Row],[Comparable '#3 Date Check]]="Pass",INDEX(Comp3[Comparable '#3 Price],MATCH(Benchmark1[[#This Row],[Benchmark '#1 Dates]],Comp3[Comparable '#3 Dates],0)),"-")</f>
        <v>81.8</v>
      </c>
      <c r="R1112" s="22">
        <f>IF(Benchmark1[[#This Row],[Comparable '#3 Date Check]]="Pass",INDEX(Comp3[Comparable '#3 Return],MATCH(Benchmark1[[#This Row],[Benchmark '#1 Dates]],Comp3[Comparable '#3 Dates],0)),"-")</f>
        <v>1.8507622655985455E-2</v>
      </c>
      <c r="S1112" s="1">
        <f>IFERROR(IF(Benchmark1[[#This Row],[Comparable '#3 Date Check]]="Pass",Benchmark1[[#This Row],[Comparable '#3 Return]]-Benchmark1[[#This Row],[Benchmark '#1 Return]],"-"),"-")</f>
        <v>-1.1971157617342992E-2</v>
      </c>
    </row>
    <row r="1113" spans="1:19">
      <c r="A1113" s="103">
        <v>44896</v>
      </c>
      <c r="B1113" s="104">
        <v>4076.5664727357375</v>
      </c>
      <c r="C1113" s="4">
        <f t="shared" si="17"/>
        <v>-8.6802049192594448E-4</v>
      </c>
      <c r="D1113" s="1" t="str">
        <f>IF(COUNTIF(Target1[Target Dates],Benchmark1[[#This Row],[Benchmark '#1 Dates]])=1,"Pass","Fail")</f>
        <v>Pass</v>
      </c>
      <c r="E1113" s="6">
        <f>IF(Benchmark1[[#This Row],[Target Date Check]]="Pass",INDEX(Target1[Target Price],MATCH(Benchmark1[[#This Row],[Benchmark '#1 Dates]],Target1[Target Dates],0)),"-")</f>
        <v>34.56</v>
      </c>
      <c r="F1113" s="22">
        <f>IF(Benchmark1[[#This Row],[Target Date Check]]="Pass",INDEX(Target1[Target Return],MATCH(Benchmark1[[#This Row],[Benchmark '#1 Dates]],Target1[Target Dates],0)),"-")</f>
        <v>-2.4297322187957378E-2</v>
      </c>
      <c r="G1113" s="1">
        <f>IFERROR(IF(Benchmark1[[#This Row],[Target Date Check]]="Pass",Benchmark1[[#This Row],[Target Return]]-Benchmark1[[#This Row],[Benchmark '#1 Return]],"-"),"-")</f>
        <v>-2.3429301696031433E-2</v>
      </c>
      <c r="H1113" s="1" t="str">
        <f>IF(COUNTIF(Comp1[Comparable '#1 Dates],Benchmark1[[#This Row],[Benchmark '#1 Dates]])=1,"Pass","Fail")</f>
        <v>Pass</v>
      </c>
      <c r="I1113" s="6">
        <f>IF(Benchmark1[[#This Row],[Comparable '#1 Date Check]]="Pass",INDEX(Comp1[Comparable '#1 Price],MATCH(Benchmark1[[#This Row],[Benchmark '#1 Dates]],Comp1[Comparable '#1 Dates],0)),"-")</f>
        <v>10.3</v>
      </c>
      <c r="J1113" s="22">
        <f>IF(Benchmark1[[#This Row],[Comparable '#1 Date Check]]="Pass",INDEX(Comp1[Comparable '#1 Return],MATCH(Benchmark1[[#This Row],[Benchmark '#1 Dates]],Comp1[Comparable '#1 Dates],0)),"-")</f>
        <v>-1.7324783657306018E-2</v>
      </c>
      <c r="K1113" s="1">
        <f>IFERROR(IF(Benchmark1[[#This Row],[Comparable '#1 Date Check]]="Pass",Benchmark1[[#This Row],[Comparable '#1 Return]]-Benchmark1[[#This Row],[Benchmark '#1 Return]],"-"),"-")</f>
        <v>-1.6456763165380073E-2</v>
      </c>
      <c r="L1113" s="1" t="str">
        <f>IF(COUNTIF(Comp2[Comparable '#2 Dates],Benchmark1[[#This Row],[Benchmark '#1 Dates]])=1,"Pass","Fail")</f>
        <v>Pass</v>
      </c>
      <c r="M1113" s="6">
        <f>IF(Benchmark1[[#This Row],[Comparable '#2 Date Check]]="Pass",INDEX(Comp2[Comparable '#2 Price],MATCH(Benchmark1[[#This Row],[Benchmark '#1 Dates]],Comp2[Comparable '#2 Dates],0)),"-")</f>
        <v>41.24</v>
      </c>
      <c r="N1113" s="22">
        <f>IF(Benchmark1[[#This Row],[Comparable '#2 Date Check]]="Pass",INDEX(Comp2[Comparable '#2 Return],MATCH(Benchmark1[[#This Row],[Benchmark '#1 Dates]],Comp2[Comparable '#2 Dates],0)),"-")</f>
        <v>-8.6915081184583912E-3</v>
      </c>
      <c r="O1113" s="1">
        <f>IFERROR(IF(Benchmark1[[#This Row],[Comparable '#2 Date Check]]="Pass",Benchmark1[[#This Row],[Comparable '#2 Return]]-Benchmark1[[#This Row],[Benchmark '#1 Return]],"-"),"-")</f>
        <v>-7.8234876265324462E-3</v>
      </c>
      <c r="P1113" s="1" t="str">
        <f>IF(COUNTIF(Comp3[Comparable '#3 Dates],Benchmark1[[#This Row],[Benchmark '#1 Dates]])=1,"Pass","Fail")</f>
        <v>Pass</v>
      </c>
      <c r="Q1113" s="6">
        <f>IF(Benchmark1[[#This Row],[Comparable '#3 Date Check]]="Pass",INDEX(Comp3[Comparable '#3 Price],MATCH(Benchmark1[[#This Row],[Benchmark '#1 Dates]],Comp3[Comparable '#3 Dates],0)),"-")</f>
        <v>80.53</v>
      </c>
      <c r="R1113" s="22">
        <f>IF(Benchmark1[[#This Row],[Comparable '#3 Date Check]]="Pass",INDEX(Comp3[Comparable '#3 Return],MATCH(Benchmark1[[#This Row],[Benchmark '#1 Dates]],Comp3[Comparable '#3 Dates],0)),"-")</f>
        <v>-1.5647457801247742E-2</v>
      </c>
      <c r="S1113" s="1">
        <f>IFERROR(IF(Benchmark1[[#This Row],[Comparable '#3 Date Check]]="Pass",Benchmark1[[#This Row],[Comparable '#3 Return]]-Benchmark1[[#This Row],[Benchmark '#1 Return]],"-"),"-")</f>
        <v>-1.4779437309321797E-2</v>
      </c>
    </row>
    <row r="1114" spans="1:19">
      <c r="A1114" s="103">
        <v>44897</v>
      </c>
      <c r="B1114" s="104">
        <v>4071.7000333752153</v>
      </c>
      <c r="C1114" s="4">
        <f t="shared" si="17"/>
        <v>-1.1944724526322082E-3</v>
      </c>
      <c r="D1114" s="1" t="str">
        <f>IF(COUNTIF(Target1[Target Dates],Benchmark1[[#This Row],[Benchmark '#1 Dates]])=1,"Pass","Fail")</f>
        <v>Pass</v>
      </c>
      <c r="E1114" s="6">
        <f>IF(Benchmark1[[#This Row],[Target Date Check]]="Pass",INDEX(Target1[Target Price],MATCH(Benchmark1[[#This Row],[Benchmark '#1 Dates]],Target1[Target Dates],0)),"-")</f>
        <v>34.409999999999997</v>
      </c>
      <c r="F1114" s="22">
        <f>IF(Benchmark1[[#This Row],[Target Date Check]]="Pass",INDEX(Target1[Target Return],MATCH(Benchmark1[[#This Row],[Benchmark '#1 Dates]],Target1[Target Dates],0)),"-")</f>
        <v>-4.3497241264659819E-3</v>
      </c>
      <c r="G1114" s="1">
        <f>IFERROR(IF(Benchmark1[[#This Row],[Target Date Check]]="Pass",Benchmark1[[#This Row],[Target Return]]-Benchmark1[[#This Row],[Benchmark '#1 Return]],"-"),"-")</f>
        <v>-3.1552516738337739E-3</v>
      </c>
      <c r="H1114" s="1" t="str">
        <f>IF(COUNTIF(Comp1[Comparable '#1 Dates],Benchmark1[[#This Row],[Benchmark '#1 Dates]])=1,"Pass","Fail")</f>
        <v>Pass</v>
      </c>
      <c r="I1114" s="6">
        <f>IF(Benchmark1[[#This Row],[Comparable '#1 Date Check]]="Pass",INDEX(Comp1[Comparable '#1 Price],MATCH(Benchmark1[[#This Row],[Benchmark '#1 Dates]],Comp1[Comparable '#1 Dates],0)),"-")</f>
        <v>10.23</v>
      </c>
      <c r="J1114" s="22">
        <f>IF(Benchmark1[[#This Row],[Comparable '#1 Date Check]]="Pass",INDEX(Comp1[Comparable '#1 Return],MATCH(Benchmark1[[#This Row],[Benchmark '#1 Dates]],Comp1[Comparable '#1 Dates],0)),"-")</f>
        <v>-6.8193152720549483E-3</v>
      </c>
      <c r="K1114" s="1">
        <f>IFERROR(IF(Benchmark1[[#This Row],[Comparable '#1 Date Check]]="Pass",Benchmark1[[#This Row],[Comparable '#1 Return]]-Benchmark1[[#This Row],[Benchmark '#1 Return]],"-"),"-")</f>
        <v>-5.6248428194227403E-3</v>
      </c>
      <c r="L1114" s="1" t="str">
        <f>IF(COUNTIF(Comp2[Comparable '#2 Dates],Benchmark1[[#This Row],[Benchmark '#1 Dates]])=1,"Pass","Fail")</f>
        <v>Pass</v>
      </c>
      <c r="M1114" s="6">
        <f>IF(Benchmark1[[#This Row],[Comparable '#2 Date Check]]="Pass",INDEX(Comp2[Comparable '#2 Price],MATCH(Benchmark1[[#This Row],[Benchmark '#1 Dates]],Comp2[Comparable '#2 Dates],0)),"-")</f>
        <v>40.43</v>
      </c>
      <c r="N1114" s="22">
        <f>IF(Benchmark1[[#This Row],[Comparable '#2 Date Check]]="Pass",INDEX(Comp2[Comparable '#2 Return],MATCH(Benchmark1[[#This Row],[Benchmark '#1 Dates]],Comp2[Comparable '#2 Dates],0)),"-")</f>
        <v>-1.9836575496079773E-2</v>
      </c>
      <c r="O1114" s="1">
        <f>IFERROR(IF(Benchmark1[[#This Row],[Comparable '#2 Date Check]]="Pass",Benchmark1[[#This Row],[Comparable '#2 Return]]-Benchmark1[[#This Row],[Benchmark '#1 Return]],"-"),"-")</f>
        <v>-1.8642103043447565E-2</v>
      </c>
      <c r="P1114" s="1" t="str">
        <f>IF(COUNTIF(Comp3[Comparable '#3 Dates],Benchmark1[[#This Row],[Benchmark '#1 Dates]])=1,"Pass","Fail")</f>
        <v>Pass</v>
      </c>
      <c r="Q1114" s="6">
        <f>IF(Benchmark1[[#This Row],[Comparable '#3 Date Check]]="Pass",INDEX(Comp3[Comparable '#3 Price],MATCH(Benchmark1[[#This Row],[Benchmark '#1 Dates]],Comp3[Comparable '#3 Dates],0)),"-")</f>
        <v>81.14</v>
      </c>
      <c r="R1114" s="22">
        <f>IF(Benchmark1[[#This Row],[Comparable '#3 Date Check]]="Pass",INDEX(Comp3[Comparable '#3 Return],MATCH(Benchmark1[[#This Row],[Benchmark '#1 Dates]],Comp3[Comparable '#3 Dates],0)),"-")</f>
        <v>7.5462719708476421E-3</v>
      </c>
      <c r="S1114" s="1">
        <f>IFERROR(IF(Benchmark1[[#This Row],[Comparable '#3 Date Check]]="Pass",Benchmark1[[#This Row],[Comparable '#3 Return]]-Benchmark1[[#This Row],[Benchmark '#1 Return]],"-"),"-")</f>
        <v>8.7407444234798501E-3</v>
      </c>
    </row>
    <row r="1115" spans="1:19">
      <c r="A1115" s="103">
        <v>44900</v>
      </c>
      <c r="B1115" s="104">
        <v>3998.8400916432724</v>
      </c>
      <c r="C1115" s="4">
        <f t="shared" si="17"/>
        <v>-1.8056268881486478E-2</v>
      </c>
      <c r="D1115" s="1" t="str">
        <f>IF(COUNTIF(Target1[Target Dates],Benchmark1[[#This Row],[Benchmark '#1 Dates]])=1,"Pass","Fail")</f>
        <v>Pass</v>
      </c>
      <c r="E1115" s="6">
        <f>IF(Benchmark1[[#This Row],[Target Date Check]]="Pass",INDEX(Target1[Target Price],MATCH(Benchmark1[[#This Row],[Benchmark '#1 Dates]],Target1[Target Dates],0)),"-")</f>
        <v>33.22</v>
      </c>
      <c r="F1115" s="22">
        <f>IF(Benchmark1[[#This Row],[Target Date Check]]="Pass",INDEX(Target1[Target Return],MATCH(Benchmark1[[#This Row],[Benchmark '#1 Dates]],Target1[Target Dates],0)),"-")</f>
        <v>-3.5195115624240131E-2</v>
      </c>
      <c r="G1115" s="1">
        <f>IFERROR(IF(Benchmark1[[#This Row],[Target Date Check]]="Pass",Benchmark1[[#This Row],[Target Return]]-Benchmark1[[#This Row],[Benchmark '#1 Return]],"-"),"-")</f>
        <v>-1.7138846742753653E-2</v>
      </c>
      <c r="H1115" s="1" t="str">
        <f>IF(COUNTIF(Comp1[Comparable '#1 Dates],Benchmark1[[#This Row],[Benchmark '#1 Dates]])=1,"Pass","Fail")</f>
        <v>Pass</v>
      </c>
      <c r="I1115" s="6">
        <f>IF(Benchmark1[[#This Row],[Comparable '#1 Date Check]]="Pass",INDEX(Comp1[Comparable '#1 Price],MATCH(Benchmark1[[#This Row],[Benchmark '#1 Dates]],Comp1[Comparable '#1 Dates],0)),"-")</f>
        <v>10.15</v>
      </c>
      <c r="J1115" s="22">
        <f>IF(Benchmark1[[#This Row],[Comparable '#1 Date Check]]="Pass",INDEX(Comp1[Comparable '#1 Return],MATCH(Benchmark1[[#This Row],[Benchmark '#1 Dates]],Comp1[Comparable '#1 Dates],0)),"-")</f>
        <v>-7.8508744757387668E-3</v>
      </c>
      <c r="K1115" s="1">
        <f>IFERROR(IF(Benchmark1[[#This Row],[Comparable '#1 Date Check]]="Pass",Benchmark1[[#This Row],[Comparable '#1 Return]]-Benchmark1[[#This Row],[Benchmark '#1 Return]],"-"),"-")</f>
        <v>1.0205394405747711E-2</v>
      </c>
      <c r="L1115" s="1" t="str">
        <f>IF(COUNTIF(Comp2[Comparable '#2 Dates],Benchmark1[[#This Row],[Benchmark '#1 Dates]])=1,"Pass","Fail")</f>
        <v>Pass</v>
      </c>
      <c r="M1115" s="6">
        <f>IF(Benchmark1[[#This Row],[Comparable '#2 Date Check]]="Pass",INDEX(Comp2[Comparable '#2 Price],MATCH(Benchmark1[[#This Row],[Benchmark '#1 Dates]],Comp2[Comparable '#2 Dates],0)),"-")</f>
        <v>39.46</v>
      </c>
      <c r="N1115" s="22">
        <f>IF(Benchmark1[[#This Row],[Comparable '#2 Date Check]]="Pass",INDEX(Comp2[Comparable '#2 Return],MATCH(Benchmark1[[#This Row],[Benchmark '#1 Dates]],Comp2[Comparable '#2 Dates],0)),"-")</f>
        <v>-2.4284583058210223E-2</v>
      </c>
      <c r="O1115" s="1">
        <f>IFERROR(IF(Benchmark1[[#This Row],[Comparable '#2 Date Check]]="Pass",Benchmark1[[#This Row],[Comparable '#2 Return]]-Benchmark1[[#This Row],[Benchmark '#1 Return]],"-"),"-")</f>
        <v>-6.2283141767237454E-3</v>
      </c>
      <c r="P1115" s="1" t="str">
        <f>IF(COUNTIF(Comp3[Comparable '#3 Dates],Benchmark1[[#This Row],[Benchmark '#1 Dates]])=1,"Pass","Fail")</f>
        <v>Pass</v>
      </c>
      <c r="Q1115" s="6">
        <f>IF(Benchmark1[[#This Row],[Comparable '#3 Date Check]]="Pass",INDEX(Comp3[Comparable '#3 Price],MATCH(Benchmark1[[#This Row],[Benchmark '#1 Dates]],Comp3[Comparable '#3 Dates],0)),"-")</f>
        <v>79.680000000000007</v>
      </c>
      <c r="R1115" s="22">
        <f>IF(Benchmark1[[#This Row],[Comparable '#3 Date Check]]="Pass",INDEX(Comp3[Comparable '#3 Return],MATCH(Benchmark1[[#This Row],[Benchmark '#1 Dates]],Comp3[Comparable '#3 Dates],0)),"-")</f>
        <v>-1.8157444501958317E-2</v>
      </c>
      <c r="S1115" s="1">
        <f>IFERROR(IF(Benchmark1[[#This Row],[Comparable '#3 Date Check]]="Pass",Benchmark1[[#This Row],[Comparable '#3 Return]]-Benchmark1[[#This Row],[Benchmark '#1 Return]],"-"),"-")</f>
        <v>-1.0117562047183906E-4</v>
      </c>
    </row>
    <row r="1116" spans="1:19">
      <c r="A1116" s="103">
        <v>44901</v>
      </c>
      <c r="B1116" s="104">
        <v>3941.2600138811986</v>
      </c>
      <c r="C1116" s="4">
        <f t="shared" si="17"/>
        <v>-1.4503869317192117E-2</v>
      </c>
      <c r="D1116" s="1" t="str">
        <f>IF(COUNTIF(Target1[Target Dates],Benchmark1[[#This Row],[Benchmark '#1 Dates]])=1,"Pass","Fail")</f>
        <v>Pass</v>
      </c>
      <c r="E1116" s="6">
        <f>IF(Benchmark1[[#This Row],[Target Date Check]]="Pass",INDEX(Target1[Target Price],MATCH(Benchmark1[[#This Row],[Benchmark '#1 Dates]],Target1[Target Dates],0)),"-")</f>
        <v>33.4</v>
      </c>
      <c r="F1116" s="22">
        <f>IF(Benchmark1[[#This Row],[Target Date Check]]="Pass",INDEX(Target1[Target Return],MATCH(Benchmark1[[#This Row],[Benchmark '#1 Dates]],Target1[Target Dates],0)),"-")</f>
        <v>5.4037957975058056E-3</v>
      </c>
      <c r="G1116" s="1">
        <f>IFERROR(IF(Benchmark1[[#This Row],[Target Date Check]]="Pass",Benchmark1[[#This Row],[Target Return]]-Benchmark1[[#This Row],[Benchmark '#1 Return]],"-"),"-")</f>
        <v>1.9907665114697923E-2</v>
      </c>
      <c r="H1116" s="1" t="str">
        <f>IF(COUNTIF(Comp1[Comparable '#1 Dates],Benchmark1[[#This Row],[Benchmark '#1 Dates]])=1,"Pass","Fail")</f>
        <v>Pass</v>
      </c>
      <c r="I1116" s="6">
        <f>IF(Benchmark1[[#This Row],[Comparable '#1 Date Check]]="Pass",INDEX(Comp1[Comparable '#1 Price],MATCH(Benchmark1[[#This Row],[Benchmark '#1 Dates]],Comp1[Comparable '#1 Dates],0)),"-")</f>
        <v>10.16</v>
      </c>
      <c r="J1116" s="22">
        <f>IF(Benchmark1[[#This Row],[Comparable '#1 Date Check]]="Pass",INDEX(Comp1[Comparable '#1 Return],MATCH(Benchmark1[[#This Row],[Benchmark '#1 Dates]],Comp1[Comparable '#1 Dates],0)),"-")</f>
        <v>9.8473666253955983E-4</v>
      </c>
      <c r="K1116" s="1">
        <f>IFERROR(IF(Benchmark1[[#This Row],[Comparable '#1 Date Check]]="Pass",Benchmark1[[#This Row],[Comparable '#1 Return]]-Benchmark1[[#This Row],[Benchmark '#1 Return]],"-"),"-")</f>
        <v>1.5488605979731677E-2</v>
      </c>
      <c r="L1116" s="1" t="str">
        <f>IF(COUNTIF(Comp2[Comparable '#2 Dates],Benchmark1[[#This Row],[Benchmark '#1 Dates]])=1,"Pass","Fail")</f>
        <v>Pass</v>
      </c>
      <c r="M1116" s="6">
        <f>IF(Benchmark1[[#This Row],[Comparable '#2 Date Check]]="Pass",INDEX(Comp2[Comparable '#2 Price],MATCH(Benchmark1[[#This Row],[Benchmark '#1 Dates]],Comp2[Comparable '#2 Dates],0)),"-")</f>
        <v>39.47</v>
      </c>
      <c r="N1116" s="22">
        <f>IF(Benchmark1[[#This Row],[Comparable '#2 Date Check]]="Pass",INDEX(Comp2[Comparable '#2 Return],MATCH(Benchmark1[[#This Row],[Benchmark '#1 Dates]],Comp2[Comparable '#2 Dates],0)),"-")</f>
        <v>2.5338908028632221E-4</v>
      </c>
      <c r="O1116" s="1">
        <f>IFERROR(IF(Benchmark1[[#This Row],[Comparable '#2 Date Check]]="Pass",Benchmark1[[#This Row],[Comparable '#2 Return]]-Benchmark1[[#This Row],[Benchmark '#1 Return]],"-"),"-")</f>
        <v>1.475725839747844E-2</v>
      </c>
      <c r="P1116" s="1" t="str">
        <f>IF(COUNTIF(Comp3[Comparable '#3 Dates],Benchmark1[[#This Row],[Benchmark '#1 Dates]])=1,"Pass","Fail")</f>
        <v>Pass</v>
      </c>
      <c r="Q1116" s="6">
        <f>IF(Benchmark1[[#This Row],[Comparable '#3 Date Check]]="Pass",INDEX(Comp3[Comparable '#3 Price],MATCH(Benchmark1[[#This Row],[Benchmark '#1 Dates]],Comp3[Comparable '#3 Dates],0)),"-")</f>
        <v>79.41</v>
      </c>
      <c r="R1116" s="22">
        <f>IF(Benchmark1[[#This Row],[Comparable '#3 Date Check]]="Pass",INDEX(Comp3[Comparable '#3 Return],MATCH(Benchmark1[[#This Row],[Benchmark '#1 Dates]],Comp3[Comparable '#3 Dates],0)),"-")</f>
        <v>-3.3943083692232999E-3</v>
      </c>
      <c r="S1116" s="1">
        <f>IFERROR(IF(Benchmark1[[#This Row],[Comparable '#3 Date Check]]="Pass",Benchmark1[[#This Row],[Comparable '#3 Return]]-Benchmark1[[#This Row],[Benchmark '#1 Return]],"-"),"-")</f>
        <v>1.1109560947968817E-2</v>
      </c>
    </row>
    <row r="1117" spans="1:19">
      <c r="A1117" s="103">
        <v>44902</v>
      </c>
      <c r="B1117" s="104">
        <v>3933.9239147076951</v>
      </c>
      <c r="C1117" s="4">
        <f t="shared" si="17"/>
        <v>-1.8630933225341889E-3</v>
      </c>
      <c r="D1117" s="1" t="str">
        <f>IF(COUNTIF(Target1[Target Dates],Benchmark1[[#This Row],[Benchmark '#1 Dates]])=1,"Pass","Fail")</f>
        <v>Pass</v>
      </c>
      <c r="E1117" s="6">
        <f>IF(Benchmark1[[#This Row],[Target Date Check]]="Pass",INDEX(Target1[Target Price],MATCH(Benchmark1[[#This Row],[Benchmark '#1 Dates]],Target1[Target Dates],0)),"-")</f>
        <v>33.049999999999997</v>
      </c>
      <c r="F1117" s="22">
        <f>IF(Benchmark1[[#This Row],[Target Date Check]]="Pass",INDEX(Target1[Target Return],MATCH(Benchmark1[[#This Row],[Benchmark '#1 Dates]],Target1[Target Dates],0)),"-")</f>
        <v>-1.053433368495944E-2</v>
      </c>
      <c r="G1117" s="1">
        <f>IFERROR(IF(Benchmark1[[#This Row],[Target Date Check]]="Pass",Benchmark1[[#This Row],[Target Return]]-Benchmark1[[#This Row],[Benchmark '#1 Return]],"-"),"-")</f>
        <v>-8.6712403624252515E-3</v>
      </c>
      <c r="H1117" s="1" t="str">
        <f>IF(COUNTIF(Comp1[Comparable '#1 Dates],Benchmark1[[#This Row],[Benchmark '#1 Dates]])=1,"Pass","Fail")</f>
        <v>Pass</v>
      </c>
      <c r="I1117" s="6">
        <f>IF(Benchmark1[[#This Row],[Comparable '#1 Date Check]]="Pass",INDEX(Comp1[Comparable '#1 Price],MATCH(Benchmark1[[#This Row],[Benchmark '#1 Dates]],Comp1[Comparable '#1 Dates],0)),"-")</f>
        <v>10.08</v>
      </c>
      <c r="J1117" s="22">
        <f>IF(Benchmark1[[#This Row],[Comparable '#1 Date Check]]="Pass",INDEX(Comp1[Comparable '#1 Return],MATCH(Benchmark1[[#This Row],[Benchmark '#1 Dates]],Comp1[Comparable '#1 Dates],0)),"-")</f>
        <v>-7.9051795071132611E-3</v>
      </c>
      <c r="K1117" s="1">
        <f>IFERROR(IF(Benchmark1[[#This Row],[Comparable '#1 Date Check]]="Pass",Benchmark1[[#This Row],[Comparable '#1 Return]]-Benchmark1[[#This Row],[Benchmark '#1 Return]],"-"),"-")</f>
        <v>-6.042086184579072E-3</v>
      </c>
      <c r="L1117" s="1" t="str">
        <f>IF(COUNTIF(Comp2[Comparable '#2 Dates],Benchmark1[[#This Row],[Benchmark '#1 Dates]])=1,"Pass","Fail")</f>
        <v>Pass</v>
      </c>
      <c r="M1117" s="6">
        <f>IF(Benchmark1[[#This Row],[Comparable '#2 Date Check]]="Pass",INDEX(Comp2[Comparable '#2 Price],MATCH(Benchmark1[[#This Row],[Benchmark '#1 Dates]],Comp2[Comparable '#2 Dates],0)),"-")</f>
        <v>38.950000000000003</v>
      </c>
      <c r="N1117" s="22">
        <f>IF(Benchmark1[[#This Row],[Comparable '#2 Date Check]]="Pass",INDEX(Comp2[Comparable '#2 Return],MATCH(Benchmark1[[#This Row],[Benchmark '#1 Dates]],Comp2[Comparable '#2 Dates],0)),"-")</f>
        <v>-1.3262117357998326E-2</v>
      </c>
      <c r="O1117" s="1">
        <f>IFERROR(IF(Benchmark1[[#This Row],[Comparable '#2 Date Check]]="Pass",Benchmark1[[#This Row],[Comparable '#2 Return]]-Benchmark1[[#This Row],[Benchmark '#1 Return]],"-"),"-")</f>
        <v>-1.1399024035464137E-2</v>
      </c>
      <c r="P1117" s="1" t="str">
        <f>IF(COUNTIF(Comp3[Comparable '#3 Dates],Benchmark1[[#This Row],[Benchmark '#1 Dates]])=1,"Pass","Fail")</f>
        <v>Pass</v>
      </c>
      <c r="Q1117" s="6">
        <f>IF(Benchmark1[[#This Row],[Comparable '#3 Date Check]]="Pass",INDEX(Comp3[Comparable '#3 Price],MATCH(Benchmark1[[#This Row],[Benchmark '#1 Dates]],Comp3[Comparable '#3 Dates],0)),"-")</f>
        <v>79.400000000000006</v>
      </c>
      <c r="R1117" s="22">
        <f>IF(Benchmark1[[#This Row],[Comparable '#3 Date Check]]="Pass",INDEX(Comp3[Comparable '#3 Return],MATCH(Benchmark1[[#This Row],[Benchmark '#1 Dates]],Comp3[Comparable '#3 Dates],0)),"-")</f>
        <v>-1.259366540294483E-4</v>
      </c>
      <c r="S1117" s="1">
        <f>IFERROR(IF(Benchmark1[[#This Row],[Comparable '#3 Date Check]]="Pass",Benchmark1[[#This Row],[Comparable '#3 Return]]-Benchmark1[[#This Row],[Benchmark '#1 Return]],"-"),"-")</f>
        <v>1.7371566685047406E-3</v>
      </c>
    </row>
    <row r="1118" spans="1:19">
      <c r="A1118" s="103">
        <v>44903</v>
      </c>
      <c r="B1118" s="104">
        <v>3963.5117178411274</v>
      </c>
      <c r="C1118" s="4">
        <f t="shared" si="17"/>
        <v>7.4930503889831688E-3</v>
      </c>
      <c r="D1118" s="1" t="str">
        <f>IF(COUNTIF(Target1[Target Dates],Benchmark1[[#This Row],[Benchmark '#1 Dates]])=1,"Pass","Fail")</f>
        <v>Pass</v>
      </c>
      <c r="E1118" s="6">
        <f>IF(Benchmark1[[#This Row],[Target Date Check]]="Pass",INDEX(Target1[Target Price],MATCH(Benchmark1[[#This Row],[Benchmark '#1 Dates]],Target1[Target Dates],0)),"-")</f>
        <v>32.94</v>
      </c>
      <c r="F1118" s="22">
        <f>IF(Benchmark1[[#This Row],[Target Date Check]]="Pass",INDEX(Target1[Target Return],MATCH(Benchmark1[[#This Row],[Benchmark '#1 Dates]],Target1[Target Dates],0)),"-")</f>
        <v>-3.3338415482010606E-3</v>
      </c>
      <c r="G1118" s="1">
        <f>IFERROR(IF(Benchmark1[[#This Row],[Target Date Check]]="Pass",Benchmark1[[#This Row],[Target Return]]-Benchmark1[[#This Row],[Benchmark '#1 Return]],"-"),"-")</f>
        <v>-1.0826891937184229E-2</v>
      </c>
      <c r="H1118" s="1" t="str">
        <f>IF(COUNTIF(Comp1[Comparable '#1 Dates],Benchmark1[[#This Row],[Benchmark '#1 Dates]])=1,"Pass","Fail")</f>
        <v>Pass</v>
      </c>
      <c r="I1118" s="6">
        <f>IF(Benchmark1[[#This Row],[Comparable '#1 Date Check]]="Pass",INDEX(Comp1[Comparable '#1 Price],MATCH(Benchmark1[[#This Row],[Benchmark '#1 Dates]],Comp1[Comparable '#1 Dates],0)),"-")</f>
        <v>9.75</v>
      </c>
      <c r="J1118" s="22">
        <f>IF(Benchmark1[[#This Row],[Comparable '#1 Date Check]]="Pass",INDEX(Comp1[Comparable '#1 Return],MATCH(Benchmark1[[#This Row],[Benchmark '#1 Dates]],Comp1[Comparable '#1 Dates],0)),"-")</f>
        <v>-3.3285977633466746E-2</v>
      </c>
      <c r="K1118" s="1">
        <f>IFERROR(IF(Benchmark1[[#This Row],[Comparable '#1 Date Check]]="Pass",Benchmark1[[#This Row],[Comparable '#1 Return]]-Benchmark1[[#This Row],[Benchmark '#1 Return]],"-"),"-")</f>
        <v>-4.0779028022449912E-2</v>
      </c>
      <c r="L1118" s="1" t="str">
        <f>IF(COUNTIF(Comp2[Comparable '#2 Dates],Benchmark1[[#This Row],[Benchmark '#1 Dates]])=1,"Pass","Fail")</f>
        <v>Pass</v>
      </c>
      <c r="M1118" s="6">
        <f>IF(Benchmark1[[#This Row],[Comparable '#2 Date Check]]="Pass",INDEX(Comp2[Comparable '#2 Price],MATCH(Benchmark1[[#This Row],[Benchmark '#1 Dates]],Comp2[Comparable '#2 Dates],0)),"-")</f>
        <v>38.74</v>
      </c>
      <c r="N1118" s="22">
        <f>IF(Benchmark1[[#This Row],[Comparable '#2 Date Check]]="Pass",INDEX(Comp2[Comparable '#2 Return],MATCH(Benchmark1[[#This Row],[Benchmark '#1 Dates]],Comp2[Comparable '#2 Dates],0)),"-")</f>
        <v>-5.4061143379075093E-3</v>
      </c>
      <c r="O1118" s="1">
        <f>IFERROR(IF(Benchmark1[[#This Row],[Comparable '#2 Date Check]]="Pass",Benchmark1[[#This Row],[Comparable '#2 Return]]-Benchmark1[[#This Row],[Benchmark '#1 Return]],"-"),"-")</f>
        <v>-1.2899164726890677E-2</v>
      </c>
      <c r="P1118" s="1" t="str">
        <f>IF(COUNTIF(Comp3[Comparable '#3 Dates],Benchmark1[[#This Row],[Benchmark '#1 Dates]])=1,"Pass","Fail")</f>
        <v>Pass</v>
      </c>
      <c r="Q1118" s="6">
        <f>IF(Benchmark1[[#This Row],[Comparable '#3 Date Check]]="Pass",INDEX(Comp3[Comparable '#3 Price],MATCH(Benchmark1[[#This Row],[Benchmark '#1 Dates]],Comp3[Comparable '#3 Dates],0)),"-")</f>
        <v>79.510000000000005</v>
      </c>
      <c r="R1118" s="22">
        <f>IF(Benchmark1[[#This Row],[Comparable '#3 Date Check]]="Pass",INDEX(Comp3[Comparable '#3 Return],MATCH(Benchmark1[[#This Row],[Benchmark '#1 Dates]],Comp3[Comparable '#3 Dates],0)),"-")</f>
        <v>1.3844316603019852E-3</v>
      </c>
      <c r="S1118" s="1">
        <f>IFERROR(IF(Benchmark1[[#This Row],[Comparable '#3 Date Check]]="Pass",Benchmark1[[#This Row],[Comparable '#3 Return]]-Benchmark1[[#This Row],[Benchmark '#1 Return]],"-"),"-")</f>
        <v>-6.1086187286811837E-3</v>
      </c>
    </row>
    <row r="1119" spans="1:19">
      <c r="A1119" s="103">
        <v>44904</v>
      </c>
      <c r="B1119" s="104">
        <v>3934.3764762243432</v>
      </c>
      <c r="C1119" s="4">
        <f t="shared" si="17"/>
        <v>-7.3780162660691271E-3</v>
      </c>
      <c r="D1119" s="1" t="str">
        <f>IF(COUNTIF(Target1[Target Dates],Benchmark1[[#This Row],[Benchmark '#1 Dates]])=1,"Pass","Fail")</f>
        <v>Pass</v>
      </c>
      <c r="E1119" s="6">
        <f>IF(Benchmark1[[#This Row],[Target Date Check]]="Pass",INDEX(Target1[Target Price],MATCH(Benchmark1[[#This Row],[Benchmark '#1 Dates]],Target1[Target Dates],0)),"-")</f>
        <v>32.409999999999997</v>
      </c>
      <c r="F1119" s="22">
        <f>IF(Benchmark1[[#This Row],[Target Date Check]]="Pass",INDEX(Target1[Target Return],MATCH(Benchmark1[[#This Row],[Benchmark '#1 Dates]],Target1[Target Dates],0)),"-")</f>
        <v>-1.6220707596038247E-2</v>
      </c>
      <c r="G1119" s="1">
        <f>IFERROR(IF(Benchmark1[[#This Row],[Target Date Check]]="Pass",Benchmark1[[#This Row],[Target Return]]-Benchmark1[[#This Row],[Benchmark '#1 Return]],"-"),"-")</f>
        <v>-8.8426913299691212E-3</v>
      </c>
      <c r="H1119" s="1" t="str">
        <f>IF(COUNTIF(Comp1[Comparable '#1 Dates],Benchmark1[[#This Row],[Benchmark '#1 Dates]])=1,"Pass","Fail")</f>
        <v>Pass</v>
      </c>
      <c r="I1119" s="6">
        <f>IF(Benchmark1[[#This Row],[Comparable '#1 Date Check]]="Pass",INDEX(Comp1[Comparable '#1 Price],MATCH(Benchmark1[[#This Row],[Benchmark '#1 Dates]],Comp1[Comparable '#1 Dates],0)),"-")</f>
        <v>9.9</v>
      </c>
      <c r="J1119" s="22">
        <f>IF(Benchmark1[[#This Row],[Comparable '#1 Date Check]]="Pass",INDEX(Comp1[Comparable '#1 Return],MATCH(Benchmark1[[#This Row],[Benchmark '#1 Dates]],Comp1[Comparable '#1 Dates],0)),"-")</f>
        <v>1.5267472130788381E-2</v>
      </c>
      <c r="K1119" s="1">
        <f>IFERROR(IF(Benchmark1[[#This Row],[Comparable '#1 Date Check]]="Pass",Benchmark1[[#This Row],[Comparable '#1 Return]]-Benchmark1[[#This Row],[Benchmark '#1 Return]],"-"),"-")</f>
        <v>2.2645488396857507E-2</v>
      </c>
      <c r="L1119" s="1" t="str">
        <f>IF(COUNTIF(Comp2[Comparable '#2 Dates],Benchmark1[[#This Row],[Benchmark '#1 Dates]])=1,"Pass","Fail")</f>
        <v>Pass</v>
      </c>
      <c r="M1119" s="6">
        <f>IF(Benchmark1[[#This Row],[Comparable '#2 Date Check]]="Pass",INDEX(Comp2[Comparable '#2 Price],MATCH(Benchmark1[[#This Row],[Benchmark '#1 Dates]],Comp2[Comparable '#2 Dates],0)),"-")</f>
        <v>37.58</v>
      </c>
      <c r="N1119" s="22">
        <f>IF(Benchmark1[[#This Row],[Comparable '#2 Date Check]]="Pass",INDEX(Comp2[Comparable '#2 Return],MATCH(Benchmark1[[#This Row],[Benchmark '#1 Dates]],Comp2[Comparable '#2 Dates],0)),"-")</f>
        <v>-3.0400663993530693E-2</v>
      </c>
      <c r="O1119" s="1">
        <f>IFERROR(IF(Benchmark1[[#This Row],[Comparable '#2 Date Check]]="Pass",Benchmark1[[#This Row],[Comparable '#2 Return]]-Benchmark1[[#This Row],[Benchmark '#1 Return]],"-"),"-")</f>
        <v>-2.3022647727461567E-2</v>
      </c>
      <c r="P1119" s="1" t="str">
        <f>IF(COUNTIF(Comp3[Comparable '#3 Dates],Benchmark1[[#This Row],[Benchmark '#1 Dates]])=1,"Pass","Fail")</f>
        <v>Pass</v>
      </c>
      <c r="Q1119" s="6">
        <f>IF(Benchmark1[[#This Row],[Comparable '#3 Date Check]]="Pass",INDEX(Comp3[Comparable '#3 Price],MATCH(Benchmark1[[#This Row],[Benchmark '#1 Dates]],Comp3[Comparable '#3 Dates],0)),"-")</f>
        <v>79.36</v>
      </c>
      <c r="R1119" s="22">
        <f>IF(Benchmark1[[#This Row],[Comparable '#3 Date Check]]="Pass",INDEX(Comp3[Comparable '#3 Return],MATCH(Benchmark1[[#This Row],[Benchmark '#1 Dates]],Comp3[Comparable '#3 Dates],0)),"-")</f>
        <v>-1.8883369367748656E-3</v>
      </c>
      <c r="S1119" s="1">
        <f>IFERROR(IF(Benchmark1[[#This Row],[Comparable '#3 Date Check]]="Pass",Benchmark1[[#This Row],[Comparable '#3 Return]]-Benchmark1[[#This Row],[Benchmark '#1 Return]],"-"),"-")</f>
        <v>5.489679329294261E-3</v>
      </c>
    </row>
    <row r="1120" spans="1:19">
      <c r="A1120" s="103">
        <v>44907</v>
      </c>
      <c r="B1120" s="104">
        <v>3990.5574799946876</v>
      </c>
      <c r="C1120" s="4">
        <f t="shared" si="17"/>
        <v>1.4178526976443744E-2</v>
      </c>
      <c r="D1120" s="1" t="str">
        <f>IF(COUNTIF(Target1[Target Dates],Benchmark1[[#This Row],[Benchmark '#1 Dates]])=1,"Pass","Fail")</f>
        <v>Pass</v>
      </c>
      <c r="E1120" s="6">
        <f>IF(Benchmark1[[#This Row],[Target Date Check]]="Pass",INDEX(Target1[Target Price],MATCH(Benchmark1[[#This Row],[Benchmark '#1 Dates]],Target1[Target Dates],0)),"-")</f>
        <v>32.56</v>
      </c>
      <c r="F1120" s="22">
        <f>IF(Benchmark1[[#This Row],[Target Date Check]]="Pass",INDEX(Target1[Target Return],MATCH(Benchmark1[[#This Row],[Benchmark '#1 Dates]],Target1[Target Dates],0)),"-")</f>
        <v>4.6175239808837702E-3</v>
      </c>
      <c r="G1120" s="1">
        <f>IFERROR(IF(Benchmark1[[#This Row],[Target Date Check]]="Pass",Benchmark1[[#This Row],[Target Return]]-Benchmark1[[#This Row],[Benchmark '#1 Return]],"-"),"-")</f>
        <v>-9.5610029955599737E-3</v>
      </c>
      <c r="H1120" s="1" t="str">
        <f>IF(COUNTIF(Comp1[Comparable '#1 Dates],Benchmark1[[#This Row],[Benchmark '#1 Dates]])=1,"Pass","Fail")</f>
        <v>Pass</v>
      </c>
      <c r="I1120" s="6">
        <f>IF(Benchmark1[[#This Row],[Comparable '#1 Date Check]]="Pass",INDEX(Comp1[Comparable '#1 Price],MATCH(Benchmark1[[#This Row],[Benchmark '#1 Dates]],Comp1[Comparable '#1 Dates],0)),"-")</f>
        <v>10</v>
      </c>
      <c r="J1120" s="22">
        <f>IF(Benchmark1[[#This Row],[Comparable '#1 Date Check]]="Pass",INDEX(Comp1[Comparable '#1 Return],MATCH(Benchmark1[[#This Row],[Benchmark '#1 Dates]],Comp1[Comparable '#1 Dates],0)),"-")</f>
        <v>1.0050335853501506E-2</v>
      </c>
      <c r="K1120" s="1">
        <f>IFERROR(IF(Benchmark1[[#This Row],[Comparable '#1 Date Check]]="Pass",Benchmark1[[#This Row],[Comparable '#1 Return]]-Benchmark1[[#This Row],[Benchmark '#1 Return]],"-"),"-")</f>
        <v>-4.1281911229422378E-3</v>
      </c>
      <c r="L1120" s="1" t="str">
        <f>IF(COUNTIF(Comp2[Comparable '#2 Dates],Benchmark1[[#This Row],[Benchmark '#1 Dates]])=1,"Pass","Fail")</f>
        <v>Pass</v>
      </c>
      <c r="M1120" s="6">
        <f>IF(Benchmark1[[#This Row],[Comparable '#2 Date Check]]="Pass",INDEX(Comp2[Comparable '#2 Price],MATCH(Benchmark1[[#This Row],[Benchmark '#1 Dates]],Comp2[Comparable '#2 Dates],0)),"-")</f>
        <v>37.53</v>
      </c>
      <c r="N1120" s="22">
        <f>IF(Benchmark1[[#This Row],[Comparable '#2 Date Check]]="Pass",INDEX(Comp2[Comparable '#2 Return],MATCH(Benchmark1[[#This Row],[Benchmark '#1 Dates]],Comp2[Comparable '#2 Dates],0)),"-")</f>
        <v>-1.331380838389768E-3</v>
      </c>
      <c r="O1120" s="1">
        <f>IFERROR(IF(Benchmark1[[#This Row],[Comparable '#2 Date Check]]="Pass",Benchmark1[[#This Row],[Comparable '#2 Return]]-Benchmark1[[#This Row],[Benchmark '#1 Return]],"-"),"-")</f>
        <v>-1.5509907814833511E-2</v>
      </c>
      <c r="P1120" s="1" t="str">
        <f>IF(COUNTIF(Comp3[Comparable '#3 Dates],Benchmark1[[#This Row],[Benchmark '#1 Dates]])=1,"Pass","Fail")</f>
        <v>Pass</v>
      </c>
      <c r="Q1120" s="6">
        <f>IF(Benchmark1[[#This Row],[Comparable '#3 Date Check]]="Pass",INDEX(Comp3[Comparable '#3 Price],MATCH(Benchmark1[[#This Row],[Benchmark '#1 Dates]],Comp3[Comparable '#3 Dates],0)),"-")</f>
        <v>78.92</v>
      </c>
      <c r="R1120" s="22">
        <f>IF(Benchmark1[[#This Row],[Comparable '#3 Date Check]]="Pass",INDEX(Comp3[Comparable '#3 Return],MATCH(Benchmark1[[#This Row],[Benchmark '#1 Dates]],Comp3[Comparable '#3 Dates],0)),"-")</f>
        <v>-5.5597818222027093E-3</v>
      </c>
      <c r="S1120" s="1">
        <f>IFERROR(IF(Benchmark1[[#This Row],[Comparable '#3 Date Check]]="Pass",Benchmark1[[#This Row],[Comparable '#3 Return]]-Benchmark1[[#This Row],[Benchmark '#1 Return]],"-"),"-")</f>
        <v>-1.9738308798646454E-2</v>
      </c>
    </row>
    <row r="1121" spans="1:19">
      <c r="A1121" s="103">
        <v>44908</v>
      </c>
      <c r="B1121" s="104">
        <v>4019.6543678052012</v>
      </c>
      <c r="C1121" s="4">
        <f t="shared" si="17"/>
        <v>7.2649803378315274E-3</v>
      </c>
      <c r="D1121" s="1" t="str">
        <f>IF(COUNTIF(Target1[Target Dates],Benchmark1[[#This Row],[Benchmark '#1 Dates]])=1,"Pass","Fail")</f>
        <v>Pass</v>
      </c>
      <c r="E1121" s="6">
        <f>IF(Benchmark1[[#This Row],[Target Date Check]]="Pass",INDEX(Target1[Target Price],MATCH(Benchmark1[[#This Row],[Benchmark '#1 Dates]],Target1[Target Dates],0)),"-")</f>
        <v>32.299999999999997</v>
      </c>
      <c r="F1121" s="22">
        <f>IF(Benchmark1[[#This Row],[Target Date Check]]="Pass",INDEX(Target1[Target Return],MATCH(Benchmark1[[#This Row],[Benchmark '#1 Dates]],Target1[Target Dates],0)),"-")</f>
        <v>-8.0173109057288857E-3</v>
      </c>
      <c r="G1121" s="1">
        <f>IFERROR(IF(Benchmark1[[#This Row],[Target Date Check]]="Pass",Benchmark1[[#This Row],[Target Return]]-Benchmark1[[#This Row],[Benchmark '#1 Return]],"-"),"-")</f>
        <v>-1.5282291243560413E-2</v>
      </c>
      <c r="H1121" s="1" t="str">
        <f>IF(COUNTIF(Comp1[Comparable '#1 Dates],Benchmark1[[#This Row],[Benchmark '#1 Dates]])=1,"Pass","Fail")</f>
        <v>Pass</v>
      </c>
      <c r="I1121" s="6">
        <f>IF(Benchmark1[[#This Row],[Comparable '#1 Date Check]]="Pass",INDEX(Comp1[Comparable '#1 Price],MATCH(Benchmark1[[#This Row],[Benchmark '#1 Dates]],Comp1[Comparable '#1 Dates],0)),"-")</f>
        <v>10.119999999999999</v>
      </c>
      <c r="J1121" s="22">
        <f>IF(Benchmark1[[#This Row],[Comparable '#1 Date Check]]="Pass",INDEX(Comp1[Comparable '#1 Return],MATCH(Benchmark1[[#This Row],[Benchmark '#1 Dates]],Comp1[Comparable '#1 Dates],0)),"-")</f>
        <v>1.1928570865273812E-2</v>
      </c>
      <c r="K1121" s="1">
        <f>IFERROR(IF(Benchmark1[[#This Row],[Comparable '#1 Date Check]]="Pass",Benchmark1[[#This Row],[Comparable '#1 Return]]-Benchmark1[[#This Row],[Benchmark '#1 Return]],"-"),"-")</f>
        <v>4.6635905274422847E-3</v>
      </c>
      <c r="L1121" s="1" t="str">
        <f>IF(COUNTIF(Comp2[Comparable '#2 Dates],Benchmark1[[#This Row],[Benchmark '#1 Dates]])=1,"Pass","Fail")</f>
        <v>Pass</v>
      </c>
      <c r="M1121" s="6">
        <f>IF(Benchmark1[[#This Row],[Comparable '#2 Date Check]]="Pass",INDEX(Comp2[Comparable '#2 Price],MATCH(Benchmark1[[#This Row],[Benchmark '#1 Dates]],Comp2[Comparable '#2 Dates],0)),"-")</f>
        <v>37.020000000000003</v>
      </c>
      <c r="N1121" s="22">
        <f>IF(Benchmark1[[#This Row],[Comparable '#2 Date Check]]="Pass",INDEX(Comp2[Comparable '#2 Return],MATCH(Benchmark1[[#This Row],[Benchmark '#1 Dates]],Comp2[Comparable '#2 Dates],0)),"-")</f>
        <v>-1.3682306001577969E-2</v>
      </c>
      <c r="O1121" s="1">
        <f>IFERROR(IF(Benchmark1[[#This Row],[Comparable '#2 Date Check]]="Pass",Benchmark1[[#This Row],[Comparable '#2 Return]]-Benchmark1[[#This Row],[Benchmark '#1 Return]],"-"),"-")</f>
        <v>-2.0947286339409496E-2</v>
      </c>
      <c r="P1121" s="1" t="str">
        <f>IF(COUNTIF(Comp3[Comparable '#3 Dates],Benchmark1[[#This Row],[Benchmark '#1 Dates]])=1,"Pass","Fail")</f>
        <v>Pass</v>
      </c>
      <c r="Q1121" s="6">
        <f>IF(Benchmark1[[#This Row],[Comparable '#3 Date Check]]="Pass",INDEX(Comp3[Comparable '#3 Price],MATCH(Benchmark1[[#This Row],[Benchmark '#1 Dates]],Comp3[Comparable '#3 Dates],0)),"-")</f>
        <v>79.62</v>
      </c>
      <c r="R1121" s="22">
        <f>IF(Benchmark1[[#This Row],[Comparable '#3 Date Check]]="Pass",INDEX(Comp3[Comparable '#3 Return],MATCH(Benchmark1[[#This Row],[Benchmark '#1 Dates]],Comp3[Comparable '#3 Dates],0)),"-")</f>
        <v>8.8306364177564937E-3</v>
      </c>
      <c r="S1121" s="1">
        <f>IFERROR(IF(Benchmark1[[#This Row],[Comparable '#3 Date Check]]="Pass",Benchmark1[[#This Row],[Comparable '#3 Return]]-Benchmark1[[#This Row],[Benchmark '#1 Return]],"-"),"-")</f>
        <v>1.5656560799249663E-3</v>
      </c>
    </row>
    <row r="1122" spans="1:19">
      <c r="A1122" s="103">
        <v>44909</v>
      </c>
      <c r="B1122" s="104">
        <v>3995.3187257297986</v>
      </c>
      <c r="C1122" s="4">
        <f t="shared" si="17"/>
        <v>-6.0725635818969659E-3</v>
      </c>
      <c r="D1122" s="1" t="str">
        <f>IF(COUNTIF(Target1[Target Dates],Benchmark1[[#This Row],[Benchmark '#1 Dates]])=1,"Pass","Fail")</f>
        <v>Pass</v>
      </c>
      <c r="E1122" s="6">
        <f>IF(Benchmark1[[#This Row],[Target Date Check]]="Pass",INDEX(Target1[Target Price],MATCH(Benchmark1[[#This Row],[Benchmark '#1 Dates]],Target1[Target Dates],0)),"-")</f>
        <v>32.36</v>
      </c>
      <c r="F1122" s="22">
        <f>IF(Benchmark1[[#This Row],[Target Date Check]]="Pass",INDEX(Target1[Target Return],MATCH(Benchmark1[[#This Row],[Benchmark '#1 Dates]],Target1[Target Dates],0)),"-")</f>
        <v>1.8558619616801941E-3</v>
      </c>
      <c r="G1122" s="1">
        <f>IFERROR(IF(Benchmark1[[#This Row],[Target Date Check]]="Pass",Benchmark1[[#This Row],[Target Return]]-Benchmark1[[#This Row],[Benchmark '#1 Return]],"-"),"-")</f>
        <v>7.9284255435771601E-3</v>
      </c>
      <c r="H1122" s="1" t="str">
        <f>IF(COUNTIF(Comp1[Comparable '#1 Dates],Benchmark1[[#This Row],[Benchmark '#1 Dates]])=1,"Pass","Fail")</f>
        <v>Pass</v>
      </c>
      <c r="I1122" s="6">
        <f>IF(Benchmark1[[#This Row],[Comparable '#1 Date Check]]="Pass",INDEX(Comp1[Comparable '#1 Price],MATCH(Benchmark1[[#This Row],[Benchmark '#1 Dates]],Comp1[Comparable '#1 Dates],0)),"-")</f>
        <v>10</v>
      </c>
      <c r="J1122" s="22">
        <f>IF(Benchmark1[[#This Row],[Comparable '#1 Date Check]]="Pass",INDEX(Comp1[Comparable '#1 Return],MATCH(Benchmark1[[#This Row],[Benchmark '#1 Dates]],Comp1[Comparable '#1 Dates],0)),"-")</f>
        <v>-1.1928570865273732E-2</v>
      </c>
      <c r="K1122" s="1">
        <f>IFERROR(IF(Benchmark1[[#This Row],[Comparable '#1 Date Check]]="Pass",Benchmark1[[#This Row],[Comparable '#1 Return]]-Benchmark1[[#This Row],[Benchmark '#1 Return]],"-"),"-")</f>
        <v>-5.8560072833767664E-3</v>
      </c>
      <c r="L1122" s="1" t="str">
        <f>IF(COUNTIF(Comp2[Comparable '#2 Dates],Benchmark1[[#This Row],[Benchmark '#1 Dates]])=1,"Pass","Fail")</f>
        <v>Pass</v>
      </c>
      <c r="M1122" s="6">
        <f>IF(Benchmark1[[#This Row],[Comparable '#2 Date Check]]="Pass",INDEX(Comp2[Comparable '#2 Price],MATCH(Benchmark1[[#This Row],[Benchmark '#1 Dates]],Comp2[Comparable '#2 Dates],0)),"-")</f>
        <v>36.82</v>
      </c>
      <c r="N1122" s="22">
        <f>IF(Benchmark1[[#This Row],[Comparable '#2 Date Check]]="Pass",INDEX(Comp2[Comparable '#2 Return],MATCH(Benchmark1[[#This Row],[Benchmark '#1 Dates]],Comp2[Comparable '#2 Dates],0)),"-")</f>
        <v>-5.4171313404196737E-3</v>
      </c>
      <c r="O1122" s="1">
        <f>IFERROR(IF(Benchmark1[[#This Row],[Comparable '#2 Date Check]]="Pass",Benchmark1[[#This Row],[Comparable '#2 Return]]-Benchmark1[[#This Row],[Benchmark '#1 Return]],"-"),"-")</f>
        <v>6.5543224147729222E-4</v>
      </c>
      <c r="P1122" s="1" t="str">
        <f>IF(COUNTIF(Comp3[Comparable '#3 Dates],Benchmark1[[#This Row],[Benchmark '#1 Dates]])=1,"Pass","Fail")</f>
        <v>Pass</v>
      </c>
      <c r="Q1122" s="6">
        <f>IF(Benchmark1[[#This Row],[Comparable '#3 Date Check]]="Pass",INDEX(Comp3[Comparable '#3 Price],MATCH(Benchmark1[[#This Row],[Benchmark '#1 Dates]],Comp3[Comparable '#3 Dates],0)),"-")</f>
        <v>81.069999999999993</v>
      </c>
      <c r="R1122" s="22">
        <f>IF(Benchmark1[[#This Row],[Comparable '#3 Date Check]]="Pass",INDEX(Comp3[Comparable '#3 Return],MATCH(Benchmark1[[#This Row],[Benchmark '#1 Dates]],Comp3[Comparable '#3 Dates],0)),"-")</f>
        <v>1.8047661427444482E-2</v>
      </c>
      <c r="S1122" s="1">
        <f>IFERROR(IF(Benchmark1[[#This Row],[Comparable '#3 Date Check]]="Pass",Benchmark1[[#This Row],[Comparable '#3 Return]]-Benchmark1[[#This Row],[Benchmark '#1 Return]],"-"),"-")</f>
        <v>2.4120225009341446E-2</v>
      </c>
    </row>
    <row r="1123" spans="1:19">
      <c r="A1123" s="103">
        <v>44910</v>
      </c>
      <c r="B1123" s="104">
        <v>3895.7533479027056</v>
      </c>
      <c r="C1123" s="4">
        <f t="shared" si="17"/>
        <v>-2.5236282478483765E-2</v>
      </c>
      <c r="D1123" s="1" t="str">
        <f>IF(COUNTIF(Target1[Target Dates],Benchmark1[[#This Row],[Benchmark '#1 Dates]])=1,"Pass","Fail")</f>
        <v>Pass</v>
      </c>
      <c r="E1123" s="6">
        <f>IF(Benchmark1[[#This Row],[Target Date Check]]="Pass",INDEX(Target1[Target Price],MATCH(Benchmark1[[#This Row],[Benchmark '#1 Dates]],Target1[Target Dates],0)),"-")</f>
        <v>32.93</v>
      </c>
      <c r="F1123" s="22">
        <f>IF(Benchmark1[[#This Row],[Target Date Check]]="Pass",INDEX(Target1[Target Return],MATCH(Benchmark1[[#This Row],[Benchmark '#1 Dates]],Target1[Target Dates],0)),"-")</f>
        <v>1.7461004197982046E-2</v>
      </c>
      <c r="G1123" s="1">
        <f>IFERROR(IF(Benchmark1[[#This Row],[Target Date Check]]="Pass",Benchmark1[[#This Row],[Target Return]]-Benchmark1[[#This Row],[Benchmark '#1 Return]],"-"),"-")</f>
        <v>4.2697286676465815E-2</v>
      </c>
      <c r="H1123" s="1" t="str">
        <f>IF(COUNTIF(Comp1[Comparable '#1 Dates],Benchmark1[[#This Row],[Benchmark '#1 Dates]])=1,"Pass","Fail")</f>
        <v>Pass</v>
      </c>
      <c r="I1123" s="6">
        <f>IF(Benchmark1[[#This Row],[Comparable '#1 Date Check]]="Pass",INDEX(Comp1[Comparable '#1 Price],MATCH(Benchmark1[[#This Row],[Benchmark '#1 Dates]],Comp1[Comparable '#1 Dates],0)),"-")</f>
        <v>9.94</v>
      </c>
      <c r="J1123" s="22">
        <f>IF(Benchmark1[[#This Row],[Comparable '#1 Date Check]]="Pass",INDEX(Comp1[Comparable '#1 Return],MATCH(Benchmark1[[#This Row],[Benchmark '#1 Dates]],Comp1[Comparable '#1 Dates],0)),"-")</f>
        <v>-6.0180723255630212E-3</v>
      </c>
      <c r="K1123" s="1">
        <f>IFERROR(IF(Benchmark1[[#This Row],[Comparable '#1 Date Check]]="Pass",Benchmark1[[#This Row],[Comparable '#1 Return]]-Benchmark1[[#This Row],[Benchmark '#1 Return]],"-"),"-")</f>
        <v>1.9218210152920745E-2</v>
      </c>
      <c r="L1123" s="1" t="str">
        <f>IF(COUNTIF(Comp2[Comparable '#2 Dates],Benchmark1[[#This Row],[Benchmark '#1 Dates]])=1,"Pass","Fail")</f>
        <v>Pass</v>
      </c>
      <c r="M1123" s="6">
        <f>IF(Benchmark1[[#This Row],[Comparable '#2 Date Check]]="Pass",INDEX(Comp2[Comparable '#2 Price],MATCH(Benchmark1[[#This Row],[Benchmark '#1 Dates]],Comp2[Comparable '#2 Dates],0)),"-")</f>
        <v>37.08</v>
      </c>
      <c r="N1123" s="22">
        <f>IF(Benchmark1[[#This Row],[Comparable '#2 Date Check]]="Pass",INDEX(Comp2[Comparable '#2 Return],MATCH(Benchmark1[[#This Row],[Benchmark '#1 Dates]],Comp2[Comparable '#2 Dates],0)),"-")</f>
        <v>7.0365648927224623E-3</v>
      </c>
      <c r="O1123" s="1">
        <f>IFERROR(IF(Benchmark1[[#This Row],[Comparable '#2 Date Check]]="Pass",Benchmark1[[#This Row],[Comparable '#2 Return]]-Benchmark1[[#This Row],[Benchmark '#1 Return]],"-"),"-")</f>
        <v>3.2272847371206226E-2</v>
      </c>
      <c r="P1123" s="1" t="str">
        <f>IF(COUNTIF(Comp3[Comparable '#3 Dates],Benchmark1[[#This Row],[Benchmark '#1 Dates]])=1,"Pass","Fail")</f>
        <v>Pass</v>
      </c>
      <c r="Q1123" s="6">
        <f>IF(Benchmark1[[#This Row],[Comparable '#3 Date Check]]="Pass",INDEX(Comp3[Comparable '#3 Price],MATCH(Benchmark1[[#This Row],[Benchmark '#1 Dates]],Comp3[Comparable '#3 Dates],0)),"-")</f>
        <v>80.180000000000007</v>
      </c>
      <c r="R1123" s="22">
        <f>IF(Benchmark1[[#This Row],[Comparable '#3 Date Check]]="Pass",INDEX(Comp3[Comparable '#3 Return],MATCH(Benchmark1[[#This Row],[Benchmark '#1 Dates]],Comp3[Comparable '#3 Dates],0)),"-")</f>
        <v>-1.103887178525473E-2</v>
      </c>
      <c r="S1123" s="1">
        <f>IFERROR(IF(Benchmark1[[#This Row],[Comparable '#3 Date Check]]="Pass",Benchmark1[[#This Row],[Comparable '#3 Return]]-Benchmark1[[#This Row],[Benchmark '#1 Return]],"-"),"-")</f>
        <v>1.4197410693229036E-2</v>
      </c>
    </row>
    <row r="1124" spans="1:19">
      <c r="A1124" s="103">
        <v>44911</v>
      </c>
      <c r="B1124" s="104">
        <v>3852.3635929905481</v>
      </c>
      <c r="C1124" s="4">
        <f t="shared" si="17"/>
        <v>-1.1200194531275206E-2</v>
      </c>
      <c r="D1124" s="1" t="str">
        <f>IF(COUNTIF(Target1[Target Dates],Benchmark1[[#This Row],[Benchmark '#1 Dates]])=1,"Pass","Fail")</f>
        <v>Pass</v>
      </c>
      <c r="E1124" s="6">
        <f>IF(Benchmark1[[#This Row],[Target Date Check]]="Pass",INDEX(Target1[Target Price],MATCH(Benchmark1[[#This Row],[Benchmark '#1 Dates]],Target1[Target Dates],0)),"-")</f>
        <v>32.65</v>
      </c>
      <c r="F1124" s="22">
        <f>IF(Benchmark1[[#This Row],[Target Date Check]]="Pass",INDEX(Target1[Target Return],MATCH(Benchmark1[[#This Row],[Benchmark '#1 Dates]],Target1[Target Dates],0)),"-")</f>
        <v>-8.5392406658328281E-3</v>
      </c>
      <c r="G1124" s="1">
        <f>IFERROR(IF(Benchmark1[[#This Row],[Target Date Check]]="Pass",Benchmark1[[#This Row],[Target Return]]-Benchmark1[[#This Row],[Benchmark '#1 Return]],"-"),"-")</f>
        <v>2.6609538654423781E-3</v>
      </c>
      <c r="H1124" s="1" t="str">
        <f>IF(COUNTIF(Comp1[Comparable '#1 Dates],Benchmark1[[#This Row],[Benchmark '#1 Dates]])=1,"Pass","Fail")</f>
        <v>Pass</v>
      </c>
      <c r="I1124" s="6">
        <f>IF(Benchmark1[[#This Row],[Comparable '#1 Date Check]]="Pass",INDEX(Comp1[Comparable '#1 Price],MATCH(Benchmark1[[#This Row],[Benchmark '#1 Dates]],Comp1[Comparable '#1 Dates],0)),"-")</f>
        <v>9.49</v>
      </c>
      <c r="J1124" s="22">
        <f>IF(Benchmark1[[#This Row],[Comparable '#1 Date Check]]="Pass",INDEX(Comp1[Comparable '#1 Return],MATCH(Benchmark1[[#This Row],[Benchmark '#1 Dates]],Comp1[Comparable '#1 Dates],0)),"-")</f>
        <v>-4.6328408046646077E-2</v>
      </c>
      <c r="K1124" s="1">
        <f>IFERROR(IF(Benchmark1[[#This Row],[Comparable '#1 Date Check]]="Pass",Benchmark1[[#This Row],[Comparable '#1 Return]]-Benchmark1[[#This Row],[Benchmark '#1 Return]],"-"),"-")</f>
        <v>-3.5128213515370869E-2</v>
      </c>
      <c r="L1124" s="1" t="str">
        <f>IF(COUNTIF(Comp2[Comparable '#2 Dates],Benchmark1[[#This Row],[Benchmark '#1 Dates]])=1,"Pass","Fail")</f>
        <v>Pass</v>
      </c>
      <c r="M1124" s="6">
        <f>IF(Benchmark1[[#This Row],[Comparable '#2 Date Check]]="Pass",INDEX(Comp2[Comparable '#2 Price],MATCH(Benchmark1[[#This Row],[Benchmark '#1 Dates]],Comp2[Comparable '#2 Dates],0)),"-")</f>
        <v>36.01</v>
      </c>
      <c r="N1124" s="22">
        <f>IF(Benchmark1[[#This Row],[Comparable '#2 Date Check]]="Pass",INDEX(Comp2[Comparable '#2 Return],MATCH(Benchmark1[[#This Row],[Benchmark '#1 Dates]],Comp2[Comparable '#2 Dates],0)),"-")</f>
        <v>-2.9281063036870576E-2</v>
      </c>
      <c r="O1124" s="1">
        <f>IFERROR(IF(Benchmark1[[#This Row],[Comparable '#2 Date Check]]="Pass",Benchmark1[[#This Row],[Comparable '#2 Return]]-Benchmark1[[#This Row],[Benchmark '#1 Return]],"-"),"-")</f>
        <v>-1.8080868505595371E-2</v>
      </c>
      <c r="P1124" s="1" t="str">
        <f>IF(COUNTIF(Comp3[Comparable '#3 Dates],Benchmark1[[#This Row],[Benchmark '#1 Dates]])=1,"Pass","Fail")</f>
        <v>Pass</v>
      </c>
      <c r="Q1124" s="6">
        <f>IF(Benchmark1[[#This Row],[Comparable '#3 Date Check]]="Pass",INDEX(Comp3[Comparable '#3 Price],MATCH(Benchmark1[[#This Row],[Benchmark '#1 Dates]],Comp3[Comparable '#3 Dates],0)),"-")</f>
        <v>80.02</v>
      </c>
      <c r="R1124" s="22">
        <f>IF(Benchmark1[[#This Row],[Comparable '#3 Date Check]]="Pass",INDEX(Comp3[Comparable '#3 Return],MATCH(Benchmark1[[#This Row],[Benchmark '#1 Dates]],Comp3[Comparable '#3 Dates],0)),"-")</f>
        <v>-1.997503785272095E-3</v>
      </c>
      <c r="S1124" s="1">
        <f>IFERROR(IF(Benchmark1[[#This Row],[Comparable '#3 Date Check]]="Pass",Benchmark1[[#This Row],[Comparable '#3 Return]]-Benchmark1[[#This Row],[Benchmark '#1 Return]],"-"),"-")</f>
        <v>9.2026907460031112E-3</v>
      </c>
    </row>
    <row r="1125" spans="1:19">
      <c r="A1125" s="103">
        <v>44914</v>
      </c>
      <c r="B1125" s="104">
        <v>3817.6581590770543</v>
      </c>
      <c r="C1125" s="4">
        <f t="shared" si="17"/>
        <v>-9.0496929189430898E-3</v>
      </c>
      <c r="D1125" s="1" t="str">
        <f>IF(COUNTIF(Target1[Target Dates],Benchmark1[[#This Row],[Benchmark '#1 Dates]])=1,"Pass","Fail")</f>
        <v>Pass</v>
      </c>
      <c r="E1125" s="6">
        <f>IF(Benchmark1[[#This Row],[Target Date Check]]="Pass",INDEX(Target1[Target Price],MATCH(Benchmark1[[#This Row],[Benchmark '#1 Dates]],Target1[Target Dates],0)),"-")</f>
        <v>31.47</v>
      </c>
      <c r="F1125" s="22">
        <f>IF(Benchmark1[[#This Row],[Target Date Check]]="Pass",INDEX(Target1[Target Return],MATCH(Benchmark1[[#This Row],[Benchmark '#1 Dates]],Target1[Target Dates],0)),"-")</f>
        <v>-3.6810144646124594E-2</v>
      </c>
      <c r="G1125" s="1">
        <f>IFERROR(IF(Benchmark1[[#This Row],[Target Date Check]]="Pass",Benchmark1[[#This Row],[Target Return]]-Benchmark1[[#This Row],[Benchmark '#1 Return]],"-"),"-")</f>
        <v>-2.7760451727181504E-2</v>
      </c>
      <c r="H1125" s="1" t="str">
        <f>IF(COUNTIF(Comp1[Comparable '#1 Dates],Benchmark1[[#This Row],[Benchmark '#1 Dates]])=1,"Pass","Fail")</f>
        <v>Pass</v>
      </c>
      <c r="I1125" s="6">
        <f>IF(Benchmark1[[#This Row],[Comparable '#1 Date Check]]="Pass",INDEX(Comp1[Comparable '#1 Price],MATCH(Benchmark1[[#This Row],[Benchmark '#1 Dates]],Comp1[Comparable '#1 Dates],0)),"-")</f>
        <v>9.33</v>
      </c>
      <c r="J1125" s="22">
        <f>IF(Benchmark1[[#This Row],[Comparable '#1 Date Check]]="Pass",INDEX(Comp1[Comparable '#1 Return],MATCH(Benchmark1[[#This Row],[Benchmark '#1 Dates]],Comp1[Comparable '#1 Dates],0)),"-")</f>
        <v>-1.7003597762584057E-2</v>
      </c>
      <c r="K1125" s="1">
        <f>IFERROR(IF(Benchmark1[[#This Row],[Comparable '#1 Date Check]]="Pass",Benchmark1[[#This Row],[Comparable '#1 Return]]-Benchmark1[[#This Row],[Benchmark '#1 Return]],"-"),"-")</f>
        <v>-7.9539048436409673E-3</v>
      </c>
      <c r="L1125" s="1" t="str">
        <f>IF(COUNTIF(Comp2[Comparable '#2 Dates],Benchmark1[[#This Row],[Benchmark '#1 Dates]])=1,"Pass","Fail")</f>
        <v>Pass</v>
      </c>
      <c r="M1125" s="6">
        <f>IF(Benchmark1[[#This Row],[Comparable '#2 Date Check]]="Pass",INDEX(Comp2[Comparable '#2 Price],MATCH(Benchmark1[[#This Row],[Benchmark '#1 Dates]],Comp2[Comparable '#2 Dates],0)),"-")</f>
        <v>36.11</v>
      </c>
      <c r="N1125" s="22">
        <f>IF(Benchmark1[[#This Row],[Comparable '#2 Date Check]]="Pass",INDEX(Comp2[Comparable '#2 Return],MATCH(Benchmark1[[#This Row],[Benchmark '#1 Dates]],Comp2[Comparable '#2 Dates],0)),"-")</f>
        <v>2.7731576285824665E-3</v>
      </c>
      <c r="O1125" s="1">
        <f>IFERROR(IF(Benchmark1[[#This Row],[Comparable '#2 Date Check]]="Pass",Benchmark1[[#This Row],[Comparable '#2 Return]]-Benchmark1[[#This Row],[Benchmark '#1 Return]],"-"),"-")</f>
        <v>1.1822850547525555E-2</v>
      </c>
      <c r="P1125" s="1" t="str">
        <f>IF(COUNTIF(Comp3[Comparable '#3 Dates],Benchmark1[[#This Row],[Benchmark '#1 Dates]])=1,"Pass","Fail")</f>
        <v>Pass</v>
      </c>
      <c r="Q1125" s="6">
        <f>IF(Benchmark1[[#This Row],[Comparable '#3 Date Check]]="Pass",INDEX(Comp3[Comparable '#3 Price],MATCH(Benchmark1[[#This Row],[Benchmark '#1 Dates]],Comp3[Comparable '#3 Dates],0)),"-")</f>
        <v>78.290000000000006</v>
      </c>
      <c r="R1125" s="22">
        <f>IF(Benchmark1[[#This Row],[Comparable '#3 Date Check]]="Pass",INDEX(Comp3[Comparable '#3 Return],MATCH(Benchmark1[[#This Row],[Benchmark '#1 Dates]],Comp3[Comparable '#3 Dates],0)),"-")</f>
        <v>-2.1856722509266027E-2</v>
      </c>
      <c r="S1125" s="1">
        <f>IFERROR(IF(Benchmark1[[#This Row],[Comparable '#3 Date Check]]="Pass",Benchmark1[[#This Row],[Comparable '#3 Return]]-Benchmark1[[#This Row],[Benchmark '#1 Return]],"-"),"-")</f>
        <v>-1.2807029590322937E-2</v>
      </c>
    </row>
    <row r="1126" spans="1:19">
      <c r="A1126" s="103">
        <v>44915</v>
      </c>
      <c r="B1126" s="104">
        <v>3821.6193592648065</v>
      </c>
      <c r="C1126" s="4">
        <f t="shared" si="17"/>
        <v>1.0370615632860447E-3</v>
      </c>
      <c r="D1126" s="1" t="str">
        <f>IF(COUNTIF(Target1[Target Dates],Benchmark1[[#This Row],[Benchmark '#1 Dates]])=1,"Pass","Fail")</f>
        <v>Pass</v>
      </c>
      <c r="E1126" s="6">
        <f>IF(Benchmark1[[#This Row],[Target Date Check]]="Pass",INDEX(Target1[Target Price],MATCH(Benchmark1[[#This Row],[Benchmark '#1 Dates]],Target1[Target Dates],0)),"-")</f>
        <v>31.78</v>
      </c>
      <c r="F1126" s="22">
        <f>IF(Benchmark1[[#This Row],[Target Date Check]]="Pass",INDEX(Target1[Target Return],MATCH(Benchmark1[[#This Row],[Benchmark '#1 Dates]],Target1[Target Dates],0)),"-")</f>
        <v>9.8024500322545852E-3</v>
      </c>
      <c r="G1126" s="1">
        <f>IFERROR(IF(Benchmark1[[#This Row],[Target Date Check]]="Pass",Benchmark1[[#This Row],[Target Return]]-Benchmark1[[#This Row],[Benchmark '#1 Return]],"-"),"-")</f>
        <v>8.76538846896854E-3</v>
      </c>
      <c r="H1126" s="1" t="str">
        <f>IF(COUNTIF(Comp1[Comparable '#1 Dates],Benchmark1[[#This Row],[Benchmark '#1 Dates]])=1,"Pass","Fail")</f>
        <v>Pass</v>
      </c>
      <c r="I1126" s="6">
        <f>IF(Benchmark1[[#This Row],[Comparable '#1 Date Check]]="Pass",INDEX(Comp1[Comparable '#1 Price],MATCH(Benchmark1[[#This Row],[Benchmark '#1 Dates]],Comp1[Comparable '#1 Dates],0)),"-")</f>
        <v>9.41</v>
      </c>
      <c r="J1126" s="22">
        <f>IF(Benchmark1[[#This Row],[Comparable '#1 Date Check]]="Pass",INDEX(Comp1[Comparable '#1 Return],MATCH(Benchmark1[[#This Row],[Benchmark '#1 Dates]],Comp1[Comparable '#1 Dates],0)),"-")</f>
        <v>8.5379387380358704E-3</v>
      </c>
      <c r="K1126" s="1">
        <f>IFERROR(IF(Benchmark1[[#This Row],[Comparable '#1 Date Check]]="Pass",Benchmark1[[#This Row],[Comparable '#1 Return]]-Benchmark1[[#This Row],[Benchmark '#1 Return]],"-"),"-")</f>
        <v>7.5008771747498253E-3</v>
      </c>
      <c r="L1126" s="1" t="str">
        <f>IF(COUNTIF(Comp2[Comparable '#2 Dates],Benchmark1[[#This Row],[Benchmark '#1 Dates]])=1,"Pass","Fail")</f>
        <v>Pass</v>
      </c>
      <c r="M1126" s="6">
        <f>IF(Benchmark1[[#This Row],[Comparable '#2 Date Check]]="Pass",INDEX(Comp2[Comparable '#2 Price],MATCH(Benchmark1[[#This Row],[Benchmark '#1 Dates]],Comp2[Comparable '#2 Dates],0)),"-")</f>
        <v>36.340000000000003</v>
      </c>
      <c r="N1126" s="22">
        <f>IF(Benchmark1[[#This Row],[Comparable '#2 Date Check]]="Pass",INDEX(Comp2[Comparable '#2 Return],MATCH(Benchmark1[[#This Row],[Benchmark '#1 Dates]],Comp2[Comparable '#2 Dates],0)),"-")</f>
        <v>6.3492276786589657E-3</v>
      </c>
      <c r="O1126" s="1">
        <f>IFERROR(IF(Benchmark1[[#This Row],[Comparable '#2 Date Check]]="Pass",Benchmark1[[#This Row],[Comparable '#2 Return]]-Benchmark1[[#This Row],[Benchmark '#1 Return]],"-"),"-")</f>
        <v>5.3121661153729214E-3</v>
      </c>
      <c r="P1126" s="1" t="str">
        <f>IF(COUNTIF(Comp3[Comparable '#3 Dates],Benchmark1[[#This Row],[Benchmark '#1 Dates]])=1,"Pass","Fail")</f>
        <v>Pass</v>
      </c>
      <c r="Q1126" s="6">
        <f>IF(Benchmark1[[#This Row],[Comparable '#3 Date Check]]="Pass",INDEX(Comp3[Comparable '#3 Price],MATCH(Benchmark1[[#This Row],[Benchmark '#1 Dates]],Comp3[Comparable '#3 Dates],0)),"-")</f>
        <v>79.959999999999994</v>
      </c>
      <c r="R1126" s="22">
        <f>IF(Benchmark1[[#This Row],[Comparable '#3 Date Check]]="Pass",INDEX(Comp3[Comparable '#3 Return],MATCH(Benchmark1[[#This Row],[Benchmark '#1 Dates]],Comp3[Comparable '#3 Dates],0)),"-")</f>
        <v>2.1106628712376351E-2</v>
      </c>
      <c r="S1126" s="1">
        <f>IFERROR(IF(Benchmark1[[#This Row],[Comparable '#3 Date Check]]="Pass",Benchmark1[[#This Row],[Comparable '#3 Return]]-Benchmark1[[#This Row],[Benchmark '#1 Return]],"-"),"-")</f>
        <v>2.0069567149090306E-2</v>
      </c>
    </row>
    <row r="1127" spans="1:19">
      <c r="A1127" s="103">
        <v>44916</v>
      </c>
      <c r="B1127" s="104">
        <v>3878.4399740296781</v>
      </c>
      <c r="C1127" s="4">
        <f t="shared" si="17"/>
        <v>1.4758755405525651E-2</v>
      </c>
      <c r="D1127" s="1" t="str">
        <f>IF(COUNTIF(Target1[Target Dates],Benchmark1[[#This Row],[Benchmark '#1 Dates]])=1,"Pass","Fail")</f>
        <v>Pass</v>
      </c>
      <c r="E1127" s="6">
        <f>IF(Benchmark1[[#This Row],[Target Date Check]]="Pass",INDEX(Target1[Target Price],MATCH(Benchmark1[[#This Row],[Benchmark '#1 Dates]],Target1[Target Dates],0)),"-")</f>
        <v>32.5</v>
      </c>
      <c r="F1127" s="22">
        <f>IF(Benchmark1[[#This Row],[Target Date Check]]="Pass",INDEX(Target1[Target Return],MATCH(Benchmark1[[#This Row],[Benchmark '#1 Dates]],Target1[Target Dates],0)),"-")</f>
        <v>2.2402928227121741E-2</v>
      </c>
      <c r="G1127" s="1">
        <f>IFERROR(IF(Benchmark1[[#This Row],[Target Date Check]]="Pass",Benchmark1[[#This Row],[Target Return]]-Benchmark1[[#This Row],[Benchmark '#1 Return]],"-"),"-")</f>
        <v>7.6441728215960892E-3</v>
      </c>
      <c r="H1127" s="1" t="str">
        <f>IF(COUNTIF(Comp1[Comparable '#1 Dates],Benchmark1[[#This Row],[Benchmark '#1 Dates]])=1,"Pass","Fail")</f>
        <v>Pass</v>
      </c>
      <c r="I1127" s="6">
        <f>IF(Benchmark1[[#This Row],[Comparable '#1 Date Check]]="Pass",INDEX(Comp1[Comparable '#1 Price],MATCH(Benchmark1[[#This Row],[Benchmark '#1 Dates]],Comp1[Comparable '#1 Dates],0)),"-")</f>
        <v>9.68</v>
      </c>
      <c r="J1127" s="22">
        <f>IF(Benchmark1[[#This Row],[Comparable '#1 Date Check]]="Pass",INDEX(Comp1[Comparable '#1 Return],MATCH(Benchmark1[[#This Row],[Benchmark '#1 Dates]],Comp1[Comparable '#1 Dates],0)),"-")</f>
        <v>2.8288947691197251E-2</v>
      </c>
      <c r="K1127" s="1">
        <f>IFERROR(IF(Benchmark1[[#This Row],[Comparable '#1 Date Check]]="Pass",Benchmark1[[#This Row],[Comparable '#1 Return]]-Benchmark1[[#This Row],[Benchmark '#1 Return]],"-"),"-")</f>
        <v>1.3530192285671599E-2</v>
      </c>
      <c r="L1127" s="1" t="str">
        <f>IF(COUNTIF(Comp2[Comparable '#2 Dates],Benchmark1[[#This Row],[Benchmark '#1 Dates]])=1,"Pass","Fail")</f>
        <v>Pass</v>
      </c>
      <c r="M1127" s="6">
        <f>IF(Benchmark1[[#This Row],[Comparable '#2 Date Check]]="Pass",INDEX(Comp2[Comparable '#2 Price],MATCH(Benchmark1[[#This Row],[Benchmark '#1 Dates]],Comp2[Comparable '#2 Dates],0)),"-")</f>
        <v>37.299999999999997</v>
      </c>
      <c r="N1127" s="22">
        <f>IF(Benchmark1[[#This Row],[Comparable '#2 Date Check]]="Pass",INDEX(Comp2[Comparable '#2 Return],MATCH(Benchmark1[[#This Row],[Benchmark '#1 Dates]],Comp2[Comparable '#2 Dates],0)),"-")</f>
        <v>2.6074263681744557E-2</v>
      </c>
      <c r="O1127" s="1">
        <f>IFERROR(IF(Benchmark1[[#This Row],[Comparable '#2 Date Check]]="Pass",Benchmark1[[#This Row],[Comparable '#2 Return]]-Benchmark1[[#This Row],[Benchmark '#1 Return]],"-"),"-")</f>
        <v>1.1315508276218906E-2</v>
      </c>
      <c r="P1127" s="1" t="str">
        <f>IF(COUNTIF(Comp3[Comparable '#3 Dates],Benchmark1[[#This Row],[Benchmark '#1 Dates]])=1,"Pass","Fail")</f>
        <v>Pass</v>
      </c>
      <c r="Q1127" s="6">
        <f>IF(Benchmark1[[#This Row],[Comparable '#3 Date Check]]="Pass",INDEX(Comp3[Comparable '#3 Price],MATCH(Benchmark1[[#This Row],[Benchmark '#1 Dates]],Comp3[Comparable '#3 Dates],0)),"-")</f>
        <v>80.91</v>
      </c>
      <c r="R1127" s="22">
        <f>IF(Benchmark1[[#This Row],[Comparable '#3 Date Check]]="Pass",INDEX(Comp3[Comparable '#3 Return],MATCH(Benchmark1[[#This Row],[Benchmark '#1 Dates]],Comp3[Comparable '#3 Dates],0)),"-")</f>
        <v>1.1810916187548991E-2</v>
      </c>
      <c r="S1127" s="1">
        <f>IFERROR(IF(Benchmark1[[#This Row],[Comparable '#3 Date Check]]="Pass",Benchmark1[[#This Row],[Comparable '#3 Return]]-Benchmark1[[#This Row],[Benchmark '#1 Return]],"-"),"-")</f>
        <v>-2.94783921797666E-3</v>
      </c>
    </row>
    <row r="1128" spans="1:19">
      <c r="A1128" s="103">
        <v>44917</v>
      </c>
      <c r="B1128" s="104">
        <v>3822.3866848093699</v>
      </c>
      <c r="C1128" s="4">
        <f t="shared" si="17"/>
        <v>-1.4557990114991615E-2</v>
      </c>
      <c r="D1128" s="1" t="str">
        <f>IF(COUNTIF(Target1[Target Dates],Benchmark1[[#This Row],[Benchmark '#1 Dates]])=1,"Pass","Fail")</f>
        <v>Pass</v>
      </c>
      <c r="E1128" s="6">
        <f>IF(Benchmark1[[#This Row],[Target Date Check]]="Pass",INDEX(Target1[Target Price],MATCH(Benchmark1[[#This Row],[Benchmark '#1 Dates]],Target1[Target Dates],0)),"-")</f>
        <v>32.130000000000003</v>
      </c>
      <c r="F1128" s="22">
        <f>IF(Benchmark1[[#This Row],[Target Date Check]]="Pass",INDEX(Target1[Target Return],MATCH(Benchmark1[[#This Row],[Benchmark '#1 Dates]],Target1[Target Dates],0)),"-")</f>
        <v>-1.1449916207924651E-2</v>
      </c>
      <c r="G1128" s="1">
        <f>IFERROR(IF(Benchmark1[[#This Row],[Target Date Check]]="Pass",Benchmark1[[#This Row],[Target Return]]-Benchmark1[[#This Row],[Benchmark '#1 Return]],"-"),"-")</f>
        <v>3.1080739070669643E-3</v>
      </c>
      <c r="H1128" s="1" t="str">
        <f>IF(COUNTIF(Comp1[Comparable '#1 Dates],Benchmark1[[#This Row],[Benchmark '#1 Dates]])=1,"Pass","Fail")</f>
        <v>Pass</v>
      </c>
      <c r="I1128" s="6">
        <f>IF(Benchmark1[[#This Row],[Comparable '#1 Date Check]]="Pass",INDEX(Comp1[Comparable '#1 Price],MATCH(Benchmark1[[#This Row],[Benchmark '#1 Dates]],Comp1[Comparable '#1 Dates],0)),"-")</f>
        <v>9.69</v>
      </c>
      <c r="J1128" s="22">
        <f>IF(Benchmark1[[#This Row],[Comparable '#1 Date Check]]="Pass",INDEX(Comp1[Comparable '#1 Return],MATCH(Benchmark1[[#This Row],[Benchmark '#1 Dates]],Comp1[Comparable '#1 Dates],0)),"-")</f>
        <v>1.032524614189184E-3</v>
      </c>
      <c r="K1128" s="1">
        <f>IFERROR(IF(Benchmark1[[#This Row],[Comparable '#1 Date Check]]="Pass",Benchmark1[[#This Row],[Comparable '#1 Return]]-Benchmark1[[#This Row],[Benchmark '#1 Return]],"-"),"-")</f>
        <v>1.5590514729180799E-2</v>
      </c>
      <c r="L1128" s="1" t="str">
        <f>IF(COUNTIF(Comp2[Comparable '#2 Dates],Benchmark1[[#This Row],[Benchmark '#1 Dates]])=1,"Pass","Fail")</f>
        <v>Pass</v>
      </c>
      <c r="M1128" s="6">
        <f>IF(Benchmark1[[#This Row],[Comparable '#2 Date Check]]="Pass",INDEX(Comp2[Comparable '#2 Price],MATCH(Benchmark1[[#This Row],[Benchmark '#1 Dates]],Comp2[Comparable '#2 Dates],0)),"-")</f>
        <v>37</v>
      </c>
      <c r="N1128" s="22">
        <f>IF(Benchmark1[[#This Row],[Comparable '#2 Date Check]]="Pass",INDEX(Comp2[Comparable '#2 Return],MATCH(Benchmark1[[#This Row],[Benchmark '#1 Dates]],Comp2[Comparable '#2 Dates],0)),"-")</f>
        <v>-8.0754140055453068E-3</v>
      </c>
      <c r="O1128" s="1">
        <f>IFERROR(IF(Benchmark1[[#This Row],[Comparable '#2 Date Check]]="Pass",Benchmark1[[#This Row],[Comparable '#2 Return]]-Benchmark1[[#This Row],[Benchmark '#1 Return]],"-"),"-")</f>
        <v>6.4825761094463082E-3</v>
      </c>
      <c r="P1128" s="1" t="str">
        <f>IF(COUNTIF(Comp3[Comparable '#3 Dates],Benchmark1[[#This Row],[Benchmark '#1 Dates]])=1,"Pass","Fail")</f>
        <v>Pass</v>
      </c>
      <c r="Q1128" s="6">
        <f>IF(Benchmark1[[#This Row],[Comparable '#3 Date Check]]="Pass",INDEX(Comp3[Comparable '#3 Price],MATCH(Benchmark1[[#This Row],[Benchmark '#1 Dates]],Comp3[Comparable '#3 Dates],0)),"-")</f>
        <v>81.349999999999994</v>
      </c>
      <c r="R1128" s="22">
        <f>IF(Benchmark1[[#This Row],[Comparable '#3 Date Check]]="Pass",INDEX(Comp3[Comparable '#3 Return],MATCH(Benchmark1[[#This Row],[Benchmark '#1 Dates]],Comp3[Comparable '#3 Dates],0)),"-")</f>
        <v>5.4234078452984847E-3</v>
      </c>
      <c r="S1128" s="1">
        <f>IFERROR(IF(Benchmark1[[#This Row],[Comparable '#3 Date Check]]="Pass",Benchmark1[[#This Row],[Comparable '#3 Return]]-Benchmark1[[#This Row],[Benchmark '#1 Return]],"-"),"-")</f>
        <v>1.9981397960290099E-2</v>
      </c>
    </row>
    <row r="1129" spans="1:19">
      <c r="A1129" s="103">
        <v>44918</v>
      </c>
      <c r="B1129" s="104">
        <v>3844.8150293664498</v>
      </c>
      <c r="C1129" s="4">
        <f t="shared" si="17"/>
        <v>5.850480883769371E-3</v>
      </c>
      <c r="D1129" s="1" t="str">
        <f>IF(COUNTIF(Target1[Target Dates],Benchmark1[[#This Row],[Benchmark '#1 Dates]])=1,"Pass","Fail")</f>
        <v>Pass</v>
      </c>
      <c r="E1129" s="6">
        <f>IF(Benchmark1[[#This Row],[Target Date Check]]="Pass",INDEX(Target1[Target Price],MATCH(Benchmark1[[#This Row],[Benchmark '#1 Dates]],Target1[Target Dates],0)),"-")</f>
        <v>32.25</v>
      </c>
      <c r="F1129" s="22">
        <f>IF(Benchmark1[[#This Row],[Target Date Check]]="Pass",INDEX(Target1[Target Return],MATCH(Benchmark1[[#This Row],[Benchmark '#1 Dates]],Target1[Target Dates],0)),"-")</f>
        <v>3.7278701140143911E-3</v>
      </c>
      <c r="G1129" s="1">
        <f>IFERROR(IF(Benchmark1[[#This Row],[Target Date Check]]="Pass",Benchmark1[[#This Row],[Target Return]]-Benchmark1[[#This Row],[Benchmark '#1 Return]],"-"),"-")</f>
        <v>-2.1226107697549798E-3</v>
      </c>
      <c r="H1129" s="1" t="str">
        <f>IF(COUNTIF(Comp1[Comparable '#1 Dates],Benchmark1[[#This Row],[Benchmark '#1 Dates]])=1,"Pass","Fail")</f>
        <v>Pass</v>
      </c>
      <c r="I1129" s="6">
        <f>IF(Benchmark1[[#This Row],[Comparable '#1 Date Check]]="Pass",INDEX(Comp1[Comparable '#1 Price],MATCH(Benchmark1[[#This Row],[Benchmark '#1 Dates]],Comp1[Comparable '#1 Dates],0)),"-")</f>
        <v>9.68</v>
      </c>
      <c r="J1129" s="22">
        <f>IF(Benchmark1[[#This Row],[Comparable '#1 Date Check]]="Pass",INDEX(Comp1[Comparable '#1 Return],MATCH(Benchmark1[[#This Row],[Benchmark '#1 Dates]],Comp1[Comparable '#1 Dates],0)),"-")</f>
        <v>-1.032524614189153E-3</v>
      </c>
      <c r="K1129" s="1">
        <f>IFERROR(IF(Benchmark1[[#This Row],[Comparable '#1 Date Check]]="Pass",Benchmark1[[#This Row],[Comparable '#1 Return]]-Benchmark1[[#This Row],[Benchmark '#1 Return]],"-"),"-")</f>
        <v>-6.8830054979585244E-3</v>
      </c>
      <c r="L1129" s="1" t="str">
        <f>IF(COUNTIF(Comp2[Comparable '#2 Dates],Benchmark1[[#This Row],[Benchmark '#1 Dates]])=1,"Pass","Fail")</f>
        <v>Pass</v>
      </c>
      <c r="M1129" s="6">
        <f>IF(Benchmark1[[#This Row],[Comparable '#2 Date Check]]="Pass",INDEX(Comp2[Comparable '#2 Price],MATCH(Benchmark1[[#This Row],[Benchmark '#1 Dates]],Comp2[Comparable '#2 Dates],0)),"-")</f>
        <v>36.17</v>
      </c>
      <c r="N1129" s="22">
        <f>IF(Benchmark1[[#This Row],[Comparable '#2 Date Check]]="Pass",INDEX(Comp2[Comparable '#2 Return],MATCH(Benchmark1[[#This Row],[Benchmark '#1 Dates]],Comp2[Comparable '#2 Dates],0)),"-")</f>
        <v>-2.2687866680217859E-2</v>
      </c>
      <c r="O1129" s="1">
        <f>IFERROR(IF(Benchmark1[[#This Row],[Comparable '#2 Date Check]]="Pass",Benchmark1[[#This Row],[Comparable '#2 Return]]-Benchmark1[[#This Row],[Benchmark '#1 Return]],"-"),"-")</f>
        <v>-2.8538347563987231E-2</v>
      </c>
      <c r="P1129" s="1" t="str">
        <f>IF(COUNTIF(Comp3[Comparable '#3 Dates],Benchmark1[[#This Row],[Benchmark '#1 Dates]])=1,"Pass","Fail")</f>
        <v>Pass</v>
      </c>
      <c r="Q1129" s="6">
        <f>IF(Benchmark1[[#This Row],[Comparable '#3 Date Check]]="Pass",INDEX(Comp3[Comparable '#3 Price],MATCH(Benchmark1[[#This Row],[Benchmark '#1 Dates]],Comp3[Comparable '#3 Dates],0)),"-")</f>
        <v>81.45</v>
      </c>
      <c r="R1129" s="22">
        <f>IF(Benchmark1[[#This Row],[Comparable '#3 Date Check]]="Pass",INDEX(Comp3[Comparable '#3 Return],MATCH(Benchmark1[[#This Row],[Benchmark '#1 Dates]],Comp3[Comparable '#3 Dates],0)),"-")</f>
        <v>1.2285013830075462E-3</v>
      </c>
      <c r="S1129" s="1">
        <f>IFERROR(IF(Benchmark1[[#This Row],[Comparable '#3 Date Check]]="Pass",Benchmark1[[#This Row],[Comparable '#3 Return]]-Benchmark1[[#This Row],[Benchmark '#1 Return]],"-"),"-")</f>
        <v>-4.6219795007618244E-3</v>
      </c>
    </row>
    <row r="1130" spans="1:19">
      <c r="A1130" s="103">
        <v>44922</v>
      </c>
      <c r="B1130" s="104">
        <v>3829.2492500246763</v>
      </c>
      <c r="C1130" s="4">
        <f t="shared" si="17"/>
        <v>-4.0567292955330696E-3</v>
      </c>
      <c r="D1130" s="1" t="str">
        <f>IF(COUNTIF(Target1[Target Dates],Benchmark1[[#This Row],[Benchmark '#1 Dates]])=1,"Pass","Fail")</f>
        <v>Pass</v>
      </c>
      <c r="E1130" s="6">
        <f>IF(Benchmark1[[#This Row],[Target Date Check]]="Pass",INDEX(Target1[Target Price],MATCH(Benchmark1[[#This Row],[Benchmark '#1 Dates]],Target1[Target Dates],0)),"-")</f>
        <v>32</v>
      </c>
      <c r="F1130" s="22">
        <f>IF(Benchmark1[[#This Row],[Target Date Check]]="Pass",INDEX(Target1[Target Return],MATCH(Benchmark1[[#This Row],[Benchmark '#1 Dates]],Target1[Target Dates],0)),"-")</f>
        <v>-7.7821404420549628E-3</v>
      </c>
      <c r="G1130" s="1">
        <f>IFERROR(IF(Benchmark1[[#This Row],[Target Date Check]]="Pass",Benchmark1[[#This Row],[Target Return]]-Benchmark1[[#This Row],[Benchmark '#1 Return]],"-"),"-")</f>
        <v>-3.7254111465218932E-3</v>
      </c>
      <c r="H1130" s="1" t="str">
        <f>IF(COUNTIF(Comp1[Comparable '#1 Dates],Benchmark1[[#This Row],[Benchmark '#1 Dates]])=1,"Pass","Fail")</f>
        <v>Pass</v>
      </c>
      <c r="I1130" s="6">
        <f>IF(Benchmark1[[#This Row],[Comparable '#1 Date Check]]="Pass",INDEX(Comp1[Comparable '#1 Price],MATCH(Benchmark1[[#This Row],[Benchmark '#1 Dates]],Comp1[Comparable '#1 Dates],0)),"-")</f>
        <v>9.7799999999999994</v>
      </c>
      <c r="J1130" s="22">
        <f>IF(Benchmark1[[#This Row],[Comparable '#1 Date Check]]="Pass",INDEX(Comp1[Comparable '#1 Return],MATCH(Benchmark1[[#This Row],[Benchmark '#1 Dates]],Comp1[Comparable '#1 Dates],0)),"-")</f>
        <v>1.027758275824023E-2</v>
      </c>
      <c r="K1130" s="1">
        <f>IFERROR(IF(Benchmark1[[#This Row],[Comparable '#1 Date Check]]="Pass",Benchmark1[[#This Row],[Comparable '#1 Return]]-Benchmark1[[#This Row],[Benchmark '#1 Return]],"-"),"-")</f>
        <v>1.43343120537733E-2</v>
      </c>
      <c r="L1130" s="1" t="str">
        <f>IF(COUNTIF(Comp2[Comparable '#2 Dates],Benchmark1[[#This Row],[Benchmark '#1 Dates]])=1,"Pass","Fail")</f>
        <v>Pass</v>
      </c>
      <c r="M1130" s="6">
        <f>IF(Benchmark1[[#This Row],[Comparable '#2 Date Check]]="Pass",INDEX(Comp2[Comparable '#2 Price],MATCH(Benchmark1[[#This Row],[Benchmark '#1 Dates]],Comp2[Comparable '#2 Dates],0)),"-")</f>
        <v>36.130000000000003</v>
      </c>
      <c r="N1130" s="22">
        <f>IF(Benchmark1[[#This Row],[Comparable '#2 Date Check]]="Pass",INDEX(Comp2[Comparable '#2 Return],MATCH(Benchmark1[[#This Row],[Benchmark '#1 Dates]],Comp2[Comparable '#2 Dates],0)),"-")</f>
        <v>-1.1065008044577258E-3</v>
      </c>
      <c r="O1130" s="1">
        <f>IFERROR(IF(Benchmark1[[#This Row],[Comparable '#2 Date Check]]="Pass",Benchmark1[[#This Row],[Comparable '#2 Return]]-Benchmark1[[#This Row],[Benchmark '#1 Return]],"-"),"-")</f>
        <v>2.9502284910753436E-3</v>
      </c>
      <c r="P1130" s="1" t="str">
        <f>IF(COUNTIF(Comp3[Comparable '#3 Dates],Benchmark1[[#This Row],[Benchmark '#1 Dates]])=1,"Pass","Fail")</f>
        <v>Pass</v>
      </c>
      <c r="Q1130" s="6">
        <f>IF(Benchmark1[[#This Row],[Comparable '#3 Date Check]]="Pass",INDEX(Comp3[Comparable '#3 Price],MATCH(Benchmark1[[#This Row],[Benchmark '#1 Dates]],Comp3[Comparable '#3 Dates],0)),"-")</f>
        <v>81.25</v>
      </c>
      <c r="R1130" s="22">
        <f>IF(Benchmark1[[#This Row],[Comparable '#3 Date Check]]="Pass",INDEX(Comp3[Comparable '#3 Return],MATCH(Benchmark1[[#This Row],[Benchmark '#1 Dates]],Comp3[Comparable '#3 Dates],0)),"-")</f>
        <v>-2.4585138382072634E-3</v>
      </c>
      <c r="S1130" s="1">
        <f>IFERROR(IF(Benchmark1[[#This Row],[Comparable '#3 Date Check]]="Pass",Benchmark1[[#This Row],[Comparable '#3 Return]]-Benchmark1[[#This Row],[Benchmark '#1 Return]],"-"),"-")</f>
        <v>1.5982154573258062E-3</v>
      </c>
    </row>
    <row r="1131" spans="1:19">
      <c r="A1131" s="103">
        <v>44923</v>
      </c>
      <c r="B1131" s="104">
        <v>3783.2219151495019</v>
      </c>
      <c r="C1131" s="4">
        <f t="shared" si="17"/>
        <v>-1.209276062271294E-2</v>
      </c>
      <c r="D1131" s="1" t="str">
        <f>IF(COUNTIF(Target1[Target Dates],Benchmark1[[#This Row],[Benchmark '#1 Dates]])=1,"Pass","Fail")</f>
        <v>Pass</v>
      </c>
      <c r="E1131" s="6">
        <f>IF(Benchmark1[[#This Row],[Target Date Check]]="Pass",INDEX(Target1[Target Price],MATCH(Benchmark1[[#This Row],[Benchmark '#1 Dates]],Target1[Target Dates],0)),"-")</f>
        <v>31.75</v>
      </c>
      <c r="F1131" s="22">
        <f>IF(Benchmark1[[#This Row],[Target Date Check]]="Pass",INDEX(Target1[Target Return],MATCH(Benchmark1[[#This Row],[Benchmark '#1 Dates]],Target1[Target Dates],0)),"-")</f>
        <v>-7.8431774610258926E-3</v>
      </c>
      <c r="G1131" s="1">
        <f>IFERROR(IF(Benchmark1[[#This Row],[Target Date Check]]="Pass",Benchmark1[[#This Row],[Target Return]]-Benchmark1[[#This Row],[Benchmark '#1 Return]],"-"),"-")</f>
        <v>4.2495831616870469E-3</v>
      </c>
      <c r="H1131" s="1" t="str">
        <f>IF(COUNTIF(Comp1[Comparable '#1 Dates],Benchmark1[[#This Row],[Benchmark '#1 Dates]])=1,"Pass","Fail")</f>
        <v>Pass</v>
      </c>
      <c r="I1131" s="6">
        <f>IF(Benchmark1[[#This Row],[Comparable '#1 Date Check]]="Pass",INDEX(Comp1[Comparable '#1 Price],MATCH(Benchmark1[[#This Row],[Benchmark '#1 Dates]],Comp1[Comparable '#1 Dates],0)),"-")</f>
        <v>9.67</v>
      </c>
      <c r="J1131" s="22">
        <f>IF(Benchmark1[[#This Row],[Comparable '#1 Date Check]]="Pass",INDEX(Comp1[Comparable '#1 Return],MATCH(Benchmark1[[#This Row],[Benchmark '#1 Dates]],Comp1[Comparable '#1 Dates],0)),"-")</f>
        <v>-1.1311174581522906E-2</v>
      </c>
      <c r="K1131" s="1">
        <f>IFERROR(IF(Benchmark1[[#This Row],[Comparable '#1 Date Check]]="Pass",Benchmark1[[#This Row],[Comparable '#1 Return]]-Benchmark1[[#This Row],[Benchmark '#1 Return]],"-"),"-")</f>
        <v>7.8158604119003307E-4</v>
      </c>
      <c r="L1131" s="1" t="str">
        <f>IF(COUNTIF(Comp2[Comparable '#2 Dates],Benchmark1[[#This Row],[Benchmark '#1 Dates]])=1,"Pass","Fail")</f>
        <v>Pass</v>
      </c>
      <c r="M1131" s="6">
        <f>IF(Benchmark1[[#This Row],[Comparable '#2 Date Check]]="Pass",INDEX(Comp2[Comparable '#2 Price],MATCH(Benchmark1[[#This Row],[Benchmark '#1 Dates]],Comp2[Comparable '#2 Dates],0)),"-")</f>
        <v>35.65</v>
      </c>
      <c r="N1131" s="22">
        <f>IF(Benchmark1[[#This Row],[Comparable '#2 Date Check]]="Pass",INDEX(Comp2[Comparable '#2 Return],MATCH(Benchmark1[[#This Row],[Benchmark '#1 Dates]],Comp2[Comparable '#2 Dates],0)),"-")</f>
        <v>-1.3374398299244014E-2</v>
      </c>
      <c r="O1131" s="1">
        <f>IFERROR(IF(Benchmark1[[#This Row],[Comparable '#2 Date Check]]="Pass",Benchmark1[[#This Row],[Comparable '#2 Return]]-Benchmark1[[#This Row],[Benchmark '#1 Return]],"-"),"-")</f>
        <v>-1.2816376765310746E-3</v>
      </c>
      <c r="P1131" s="1" t="str">
        <f>IF(COUNTIF(Comp3[Comparable '#3 Dates],Benchmark1[[#This Row],[Benchmark '#1 Dates]])=1,"Pass","Fail")</f>
        <v>Pass</v>
      </c>
      <c r="Q1131" s="6">
        <f>IF(Benchmark1[[#This Row],[Comparable '#3 Date Check]]="Pass",INDEX(Comp3[Comparable '#3 Price],MATCH(Benchmark1[[#This Row],[Benchmark '#1 Dates]],Comp3[Comparable '#3 Dates],0)),"-")</f>
        <v>80.150000000000006</v>
      </c>
      <c r="R1131" s="22">
        <f>IF(Benchmark1[[#This Row],[Comparable '#3 Date Check]]="Pass",INDEX(Comp3[Comparable '#3 Return],MATCH(Benchmark1[[#This Row],[Benchmark '#1 Dates]],Comp3[Comparable '#3 Dates],0)),"-")</f>
        <v>-1.3630942154284866E-2</v>
      </c>
      <c r="S1131" s="1">
        <f>IFERROR(IF(Benchmark1[[#This Row],[Comparable '#3 Date Check]]="Pass",Benchmark1[[#This Row],[Comparable '#3 Return]]-Benchmark1[[#This Row],[Benchmark '#1 Return]],"-"),"-")</f>
        <v>-1.5381815315719267E-3</v>
      </c>
    </row>
    <row r="1132" spans="1:19">
      <c r="A1132" s="103">
        <v>44924</v>
      </c>
      <c r="B1132" s="104">
        <v>3849.2832290479087</v>
      </c>
      <c r="C1132" s="4">
        <f t="shared" si="17"/>
        <v>1.7310951608410972E-2</v>
      </c>
      <c r="D1132" s="1" t="str">
        <f>IF(COUNTIF(Target1[Target Dates],Benchmark1[[#This Row],[Benchmark '#1 Dates]])=1,"Pass","Fail")</f>
        <v>Pass</v>
      </c>
      <c r="E1132" s="6">
        <f>IF(Benchmark1[[#This Row],[Target Date Check]]="Pass",INDEX(Target1[Target Price],MATCH(Benchmark1[[#This Row],[Benchmark '#1 Dates]],Target1[Target Dates],0)),"-")</f>
        <v>31.36</v>
      </c>
      <c r="F1132" s="22">
        <f>IF(Benchmark1[[#This Row],[Target Date Check]]="Pass",INDEX(Target1[Target Return],MATCH(Benchmark1[[#This Row],[Benchmark '#1 Dates]],Target1[Target Dates],0)),"-")</f>
        <v>-1.2359529856493615E-2</v>
      </c>
      <c r="G1132" s="1">
        <f>IFERROR(IF(Benchmark1[[#This Row],[Target Date Check]]="Pass",Benchmark1[[#This Row],[Target Return]]-Benchmark1[[#This Row],[Benchmark '#1 Return]],"-"),"-")</f>
        <v>-2.9670481464904586E-2</v>
      </c>
      <c r="H1132" s="1" t="str">
        <f>IF(COUNTIF(Comp1[Comparable '#1 Dates],Benchmark1[[#This Row],[Benchmark '#1 Dates]])=1,"Pass","Fail")</f>
        <v>Pass</v>
      </c>
      <c r="I1132" s="6">
        <f>IF(Benchmark1[[#This Row],[Comparable '#1 Date Check]]="Pass",INDEX(Comp1[Comparable '#1 Price],MATCH(Benchmark1[[#This Row],[Benchmark '#1 Dates]],Comp1[Comparable '#1 Dates],0)),"-")</f>
        <v>9.7899999999999991</v>
      </c>
      <c r="J1132" s="22">
        <f>IF(Benchmark1[[#This Row],[Comparable '#1 Date Check]]="Pass",INDEX(Comp1[Comparable '#1 Return],MATCH(Benchmark1[[#This Row],[Benchmark '#1 Dates]],Comp1[Comparable '#1 Dates],0)),"-")</f>
        <v>1.2333147077216073E-2</v>
      </c>
      <c r="K1132" s="1">
        <f>IFERROR(IF(Benchmark1[[#This Row],[Comparable '#1 Date Check]]="Pass",Benchmark1[[#This Row],[Comparable '#1 Return]]-Benchmark1[[#This Row],[Benchmark '#1 Return]],"-"),"-")</f>
        <v>-4.9778045311948994E-3</v>
      </c>
      <c r="L1132" s="1" t="str">
        <f>IF(COUNTIF(Comp2[Comparable '#2 Dates],Benchmark1[[#This Row],[Benchmark '#1 Dates]])=1,"Pass","Fail")</f>
        <v>Pass</v>
      </c>
      <c r="M1132" s="6">
        <f>IF(Benchmark1[[#This Row],[Comparable '#2 Date Check]]="Pass",INDEX(Comp2[Comparable '#2 Price],MATCH(Benchmark1[[#This Row],[Benchmark '#1 Dates]],Comp2[Comparable '#2 Dates],0)),"-")</f>
        <v>35.58</v>
      </c>
      <c r="N1132" s="22">
        <f>IF(Benchmark1[[#This Row],[Comparable '#2 Date Check]]="Pass",INDEX(Comp2[Comparable '#2 Return],MATCH(Benchmark1[[#This Row],[Benchmark '#1 Dates]],Comp2[Comparable '#2 Dates],0)),"-")</f>
        <v>-1.9654646226158969E-3</v>
      </c>
      <c r="O1132" s="1">
        <f>IFERROR(IF(Benchmark1[[#This Row],[Comparable '#2 Date Check]]="Pass",Benchmark1[[#This Row],[Comparable '#2 Return]]-Benchmark1[[#This Row],[Benchmark '#1 Return]],"-"),"-")</f>
        <v>-1.9276416231026869E-2</v>
      </c>
      <c r="P1132" s="1" t="str">
        <f>IF(COUNTIF(Comp3[Comparable '#3 Dates],Benchmark1[[#This Row],[Benchmark '#1 Dates]])=1,"Pass","Fail")</f>
        <v>Pass</v>
      </c>
      <c r="Q1132" s="6">
        <f>IF(Benchmark1[[#This Row],[Comparable '#3 Date Check]]="Pass",INDEX(Comp3[Comparable '#3 Price],MATCH(Benchmark1[[#This Row],[Benchmark '#1 Dates]],Comp3[Comparable '#3 Dates],0)),"-")</f>
        <v>80.91</v>
      </c>
      <c r="R1132" s="22">
        <f>IF(Benchmark1[[#This Row],[Comparable '#3 Date Check]]="Pass",INDEX(Comp3[Comparable '#3 Return],MATCH(Benchmark1[[#This Row],[Benchmark '#1 Dates]],Comp3[Comparable '#3 Dates],0)),"-")</f>
        <v>9.4375467641861239E-3</v>
      </c>
      <c r="S1132" s="1">
        <f>IFERROR(IF(Benchmark1[[#This Row],[Comparable '#3 Date Check]]="Pass",Benchmark1[[#This Row],[Comparable '#3 Return]]-Benchmark1[[#This Row],[Benchmark '#1 Return]],"-"),"-")</f>
        <v>-7.8734048442248485E-3</v>
      </c>
    </row>
    <row r="1133" spans="1:19">
      <c r="A1133" s="103">
        <v>44925</v>
      </c>
      <c r="B1133" s="104">
        <v>3839.4965866768143</v>
      </c>
      <c r="C1133" s="4">
        <f t="shared" si="17"/>
        <v>-2.5456959077768135E-3</v>
      </c>
      <c r="D1133" s="1" t="str">
        <f>IF(COUNTIF(Target1[Target Dates],Benchmark1[[#This Row],[Benchmark '#1 Dates]])=1,"Pass","Fail")</f>
        <v>Pass</v>
      </c>
      <c r="E1133" s="6">
        <f>IF(Benchmark1[[#This Row],[Target Date Check]]="Pass",INDEX(Target1[Target Price],MATCH(Benchmark1[[#This Row],[Benchmark '#1 Dates]],Target1[Target Dates],0)),"-")</f>
        <v>31.28</v>
      </c>
      <c r="F1133" s="22">
        <f>IF(Benchmark1[[#This Row],[Target Date Check]]="Pass",INDEX(Target1[Target Return],MATCH(Benchmark1[[#This Row],[Benchmark '#1 Dates]],Target1[Target Dates],0)),"-")</f>
        <v>-2.5542798050967423E-3</v>
      </c>
      <c r="G1133" s="1">
        <f>IFERROR(IF(Benchmark1[[#This Row],[Target Date Check]]="Pass",Benchmark1[[#This Row],[Target Return]]-Benchmark1[[#This Row],[Benchmark '#1 Return]],"-"),"-")</f>
        <v>-8.5838973199288057E-6</v>
      </c>
      <c r="H1133" s="1" t="str">
        <f>IF(COUNTIF(Comp1[Comparable '#1 Dates],Benchmark1[[#This Row],[Benchmark '#1 Dates]])=1,"Pass","Fail")</f>
        <v>Pass</v>
      </c>
      <c r="I1133" s="6">
        <f>IF(Benchmark1[[#This Row],[Comparable '#1 Date Check]]="Pass",INDEX(Comp1[Comparable '#1 Price],MATCH(Benchmark1[[#This Row],[Benchmark '#1 Dates]],Comp1[Comparable '#1 Dates],0)),"-")</f>
        <v>9.6199999999999992</v>
      </c>
      <c r="J1133" s="22">
        <f>IF(Benchmark1[[#This Row],[Comparable '#1 Date Check]]="Pass",INDEX(Comp1[Comparable '#1 Return],MATCH(Benchmark1[[#This Row],[Benchmark '#1 Dates]],Comp1[Comparable '#1 Dates],0)),"-")</f>
        <v>-1.7517191864803893E-2</v>
      </c>
      <c r="K1133" s="1">
        <f>IFERROR(IF(Benchmark1[[#This Row],[Comparable '#1 Date Check]]="Pass",Benchmark1[[#This Row],[Comparable '#1 Return]]-Benchmark1[[#This Row],[Benchmark '#1 Return]],"-"),"-")</f>
        <v>-1.497149595702708E-2</v>
      </c>
      <c r="L1133" s="1" t="str">
        <f>IF(COUNTIF(Comp2[Comparable '#2 Dates],Benchmark1[[#This Row],[Benchmark '#1 Dates]])=1,"Pass","Fail")</f>
        <v>Pass</v>
      </c>
      <c r="M1133" s="6">
        <f>IF(Benchmark1[[#This Row],[Comparable '#2 Date Check]]="Pass",INDEX(Comp2[Comparable '#2 Price],MATCH(Benchmark1[[#This Row],[Benchmark '#1 Dates]],Comp2[Comparable '#2 Dates],0)),"-")</f>
        <v>35.5</v>
      </c>
      <c r="N1133" s="22">
        <f>IF(Benchmark1[[#This Row],[Comparable '#2 Date Check]]="Pass",INDEX(Comp2[Comparable '#2 Return],MATCH(Benchmark1[[#This Row],[Benchmark '#1 Dates]],Comp2[Comparable '#2 Dates],0)),"-")</f>
        <v>-2.2509857563189337E-3</v>
      </c>
      <c r="O1133" s="1">
        <f>IFERROR(IF(Benchmark1[[#This Row],[Comparable '#2 Date Check]]="Pass",Benchmark1[[#This Row],[Comparable '#2 Return]]-Benchmark1[[#This Row],[Benchmark '#1 Return]],"-"),"-")</f>
        <v>2.9471015145787977E-4</v>
      </c>
      <c r="P1133" s="1" t="str">
        <f>IF(COUNTIF(Comp3[Comparable '#3 Dates],Benchmark1[[#This Row],[Benchmark '#1 Dates]])=1,"Pass","Fail")</f>
        <v>Pass</v>
      </c>
      <c r="Q1133" s="6">
        <f>IF(Benchmark1[[#This Row],[Comparable '#3 Date Check]]="Pass",INDEX(Comp3[Comparable '#3 Price],MATCH(Benchmark1[[#This Row],[Benchmark '#1 Dates]],Comp3[Comparable '#3 Dates],0)),"-")</f>
        <v>78.319999999999993</v>
      </c>
      <c r="R1133" s="22">
        <f>IF(Benchmark1[[#This Row],[Comparable '#3 Date Check]]="Pass",INDEX(Comp3[Comparable '#3 Return],MATCH(Benchmark1[[#This Row],[Benchmark '#1 Dates]],Comp3[Comparable '#3 Dates],0)),"-")</f>
        <v>-3.2534427597493434E-2</v>
      </c>
      <c r="S1133" s="1">
        <f>IFERROR(IF(Benchmark1[[#This Row],[Comparable '#3 Date Check]]="Pass",Benchmark1[[#This Row],[Comparable '#3 Return]]-Benchmark1[[#This Row],[Benchmark '#1 Return]],"-"),"-")</f>
        <v>-2.9988731689716622E-2</v>
      </c>
    </row>
    <row r="1134" spans="1:19">
      <c r="A1134" s="103">
        <v>44929</v>
      </c>
      <c r="B1134" s="104">
        <v>3824.1381803481845</v>
      </c>
      <c r="C1134" s="4">
        <f t="shared" si="17"/>
        <v>-4.0081312214729171E-3</v>
      </c>
      <c r="D1134" s="1" t="str">
        <f>IF(COUNTIF(Target1[Target Dates],Benchmark1[[#This Row],[Benchmark '#1 Dates]])=1,"Pass","Fail")</f>
        <v>Pass</v>
      </c>
      <c r="E1134" s="6">
        <f>IF(Benchmark1[[#This Row],[Target Date Check]]="Pass",INDEX(Target1[Target Price],MATCH(Benchmark1[[#This Row],[Benchmark '#1 Dates]],Target1[Target Dates],0)),"-")</f>
        <v>33.11</v>
      </c>
      <c r="F1134" s="22">
        <f>IF(Benchmark1[[#This Row],[Target Date Check]]="Pass",INDEX(Target1[Target Return],MATCH(Benchmark1[[#This Row],[Benchmark '#1 Dates]],Target1[Target Dates],0)),"-")</f>
        <v>5.6856435882044538E-2</v>
      </c>
      <c r="G1134" s="1">
        <f>IFERROR(IF(Benchmark1[[#This Row],[Target Date Check]]="Pass",Benchmark1[[#This Row],[Target Return]]-Benchmark1[[#This Row],[Benchmark '#1 Return]],"-"),"-")</f>
        <v>6.0864567103517453E-2</v>
      </c>
      <c r="H1134" s="1" t="str">
        <f>IF(COUNTIF(Comp1[Comparable '#1 Dates],Benchmark1[[#This Row],[Benchmark '#1 Dates]])=1,"Pass","Fail")</f>
        <v>Pass</v>
      </c>
      <c r="I1134" s="6">
        <f>IF(Benchmark1[[#This Row],[Comparable '#1 Date Check]]="Pass",INDEX(Comp1[Comparable '#1 Price],MATCH(Benchmark1[[#This Row],[Benchmark '#1 Dates]],Comp1[Comparable '#1 Dates],0)),"-")</f>
        <v>9.83</v>
      </c>
      <c r="J1134" s="22">
        <f>IF(Benchmark1[[#This Row],[Comparable '#1 Date Check]]="Pass",INDEX(Comp1[Comparable '#1 Return],MATCH(Benchmark1[[#This Row],[Benchmark '#1 Dates]],Comp1[Comparable '#1 Dates],0)),"-")</f>
        <v>2.1594669481460146E-2</v>
      </c>
      <c r="K1134" s="1">
        <f>IFERROR(IF(Benchmark1[[#This Row],[Comparable '#1 Date Check]]="Pass",Benchmark1[[#This Row],[Comparable '#1 Return]]-Benchmark1[[#This Row],[Benchmark '#1 Return]],"-"),"-")</f>
        <v>2.5602800702933064E-2</v>
      </c>
      <c r="L1134" s="1" t="str">
        <f>IF(COUNTIF(Comp2[Comparable '#2 Dates],Benchmark1[[#This Row],[Benchmark '#1 Dates]])=1,"Pass","Fail")</f>
        <v>Pass</v>
      </c>
      <c r="M1134" s="6">
        <f>IF(Benchmark1[[#This Row],[Comparable '#2 Date Check]]="Pass",INDEX(Comp2[Comparable '#2 Price],MATCH(Benchmark1[[#This Row],[Benchmark '#1 Dates]],Comp2[Comparable '#2 Dates],0)),"-")</f>
        <v>35.61</v>
      </c>
      <c r="N1134" s="22">
        <f>IF(Benchmark1[[#This Row],[Comparable '#2 Date Check]]="Pass",INDEX(Comp2[Comparable '#2 Return],MATCH(Benchmark1[[#This Row],[Benchmark '#1 Dates]],Comp2[Comparable '#2 Dates],0)),"-")</f>
        <v>3.0938008083162888E-3</v>
      </c>
      <c r="O1134" s="1">
        <f>IFERROR(IF(Benchmark1[[#This Row],[Comparable '#2 Date Check]]="Pass",Benchmark1[[#This Row],[Comparable '#2 Return]]-Benchmark1[[#This Row],[Benchmark '#1 Return]],"-"),"-")</f>
        <v>7.1019320297892059E-3</v>
      </c>
      <c r="P1134" s="1" t="str">
        <f>IF(COUNTIF(Comp3[Comparable '#3 Dates],Benchmark1[[#This Row],[Benchmark '#1 Dates]])=1,"Pass","Fail")</f>
        <v>Pass</v>
      </c>
      <c r="Q1134" s="6">
        <f>IF(Benchmark1[[#This Row],[Comparable '#3 Date Check]]="Pass",INDEX(Comp3[Comparable '#3 Price],MATCH(Benchmark1[[#This Row],[Benchmark '#1 Dates]],Comp3[Comparable '#3 Dates],0)),"-")</f>
        <v>79.34</v>
      </c>
      <c r="R1134" s="22">
        <f>IF(Benchmark1[[#This Row],[Comparable '#3 Date Check]]="Pass",INDEX(Comp3[Comparable '#3 Return],MATCH(Benchmark1[[#This Row],[Benchmark '#1 Dates]],Comp3[Comparable '#3 Dates],0)),"-")</f>
        <v>1.2939416863929304E-2</v>
      </c>
      <c r="S1134" s="1">
        <f>IFERROR(IF(Benchmark1[[#This Row],[Comparable '#3 Date Check]]="Pass",Benchmark1[[#This Row],[Comparable '#3 Return]]-Benchmark1[[#This Row],[Benchmark '#1 Return]],"-"),"-")</f>
        <v>1.694754808540222E-2</v>
      </c>
    </row>
    <row r="1135" spans="1:19">
      <c r="A1135" s="103">
        <v>44930</v>
      </c>
      <c r="B1135" s="104">
        <v>3852.9656081349972</v>
      </c>
      <c r="C1135" s="4">
        <f t="shared" si="17"/>
        <v>7.5100100429654915E-3</v>
      </c>
      <c r="D1135" s="1" t="str">
        <f>IF(COUNTIF(Target1[Target Dates],Benchmark1[[#This Row],[Benchmark '#1 Dates]])=1,"Pass","Fail")</f>
        <v>Pass</v>
      </c>
      <c r="E1135" s="6">
        <f>IF(Benchmark1[[#This Row],[Target Date Check]]="Pass",INDEX(Target1[Target Price],MATCH(Benchmark1[[#This Row],[Benchmark '#1 Dates]],Target1[Target Dates],0)),"-")</f>
        <v>32.29</v>
      </c>
      <c r="F1135" s="22">
        <f>IF(Benchmark1[[#This Row],[Target Date Check]]="Pass",INDEX(Target1[Target Return],MATCH(Benchmark1[[#This Row],[Benchmark '#1 Dates]],Target1[Target Dates],0)),"-")</f>
        <v>-2.5077766788971067E-2</v>
      </c>
      <c r="G1135" s="1">
        <f>IFERROR(IF(Benchmark1[[#This Row],[Target Date Check]]="Pass",Benchmark1[[#This Row],[Target Return]]-Benchmark1[[#This Row],[Benchmark '#1 Return]],"-"),"-")</f>
        <v>-3.258777683193656E-2</v>
      </c>
      <c r="H1135" s="1" t="str">
        <f>IF(COUNTIF(Comp1[Comparable '#1 Dates],Benchmark1[[#This Row],[Benchmark '#1 Dates]])=1,"Pass","Fail")</f>
        <v>Pass</v>
      </c>
      <c r="I1135" s="6">
        <f>IF(Benchmark1[[#This Row],[Comparable '#1 Date Check]]="Pass",INDEX(Comp1[Comparable '#1 Price],MATCH(Benchmark1[[#This Row],[Benchmark '#1 Dates]],Comp1[Comparable '#1 Dates],0)),"-")</f>
        <v>9.8000000000000007</v>
      </c>
      <c r="J1135" s="22">
        <f>IF(Benchmark1[[#This Row],[Comparable '#1 Date Check]]="Pass",INDEX(Comp1[Comparable '#1 Return],MATCH(Benchmark1[[#This Row],[Benchmark '#1 Dates]],Comp1[Comparable '#1 Dates],0)),"-")</f>
        <v>-3.0565484825488781E-3</v>
      </c>
      <c r="K1135" s="1">
        <f>IFERROR(IF(Benchmark1[[#This Row],[Comparable '#1 Date Check]]="Pass",Benchmark1[[#This Row],[Comparable '#1 Return]]-Benchmark1[[#This Row],[Benchmark '#1 Return]],"-"),"-")</f>
        <v>-1.056655852551437E-2</v>
      </c>
      <c r="L1135" s="1" t="str">
        <f>IF(COUNTIF(Comp2[Comparable '#2 Dates],Benchmark1[[#This Row],[Benchmark '#1 Dates]])=1,"Pass","Fail")</f>
        <v>Pass</v>
      </c>
      <c r="M1135" s="6">
        <f>IF(Benchmark1[[#This Row],[Comparable '#2 Date Check]]="Pass",INDEX(Comp2[Comparable '#2 Price],MATCH(Benchmark1[[#This Row],[Benchmark '#1 Dates]],Comp2[Comparable '#2 Dates],0)),"-")</f>
        <v>36.06</v>
      </c>
      <c r="N1135" s="22">
        <f>IF(Benchmark1[[#This Row],[Comparable '#2 Date Check]]="Pass",INDEX(Comp2[Comparable '#2 Return],MATCH(Benchmark1[[#This Row],[Benchmark '#1 Dates]],Comp2[Comparable '#2 Dates],0)),"-")</f>
        <v>1.2557720485484966E-2</v>
      </c>
      <c r="O1135" s="1">
        <f>IFERROR(IF(Benchmark1[[#This Row],[Comparable '#2 Date Check]]="Pass",Benchmark1[[#This Row],[Comparable '#2 Return]]-Benchmark1[[#This Row],[Benchmark '#1 Return]],"-"),"-")</f>
        <v>5.0477104425194746E-3</v>
      </c>
      <c r="P1135" s="1" t="str">
        <f>IF(COUNTIF(Comp3[Comparable '#3 Dates],Benchmark1[[#This Row],[Benchmark '#1 Dates]])=1,"Pass","Fail")</f>
        <v>Pass</v>
      </c>
      <c r="Q1135" s="6">
        <f>IF(Benchmark1[[#This Row],[Comparable '#3 Date Check]]="Pass",INDEX(Comp3[Comparable '#3 Price],MATCH(Benchmark1[[#This Row],[Benchmark '#1 Dates]],Comp3[Comparable '#3 Dates],0)),"-")</f>
        <v>79.819999999999993</v>
      </c>
      <c r="R1135" s="22">
        <f>IF(Benchmark1[[#This Row],[Comparable '#3 Date Check]]="Pass",INDEX(Comp3[Comparable '#3 Return],MATCH(Benchmark1[[#This Row],[Benchmark '#1 Dates]],Comp3[Comparable '#3 Dates],0)),"-")</f>
        <v>6.0316845344035386E-3</v>
      </c>
      <c r="S1135" s="1">
        <f>IFERROR(IF(Benchmark1[[#This Row],[Comparable '#3 Date Check]]="Pass",Benchmark1[[#This Row],[Comparable '#3 Return]]-Benchmark1[[#This Row],[Benchmark '#1 Return]],"-"),"-")</f>
        <v>-1.4783255085619529E-3</v>
      </c>
    </row>
    <row r="1136" spans="1:19">
      <c r="A1136" s="103">
        <v>44931</v>
      </c>
      <c r="B1136" s="104">
        <v>3808.1029065783637</v>
      </c>
      <c r="C1136" s="4">
        <f t="shared" si="17"/>
        <v>-1.1711999257238955E-2</v>
      </c>
      <c r="D1136" s="1" t="str">
        <f>IF(COUNTIF(Target1[Target Dates],Benchmark1[[#This Row],[Benchmark '#1 Dates]])=1,"Pass","Fail")</f>
        <v>Pass</v>
      </c>
      <c r="E1136" s="6">
        <f>IF(Benchmark1[[#This Row],[Target Date Check]]="Pass",INDEX(Target1[Target Price],MATCH(Benchmark1[[#This Row],[Benchmark '#1 Dates]],Target1[Target Dates],0)),"-")</f>
        <v>32.909999999999997</v>
      </c>
      <c r="F1136" s="22">
        <f>IF(Benchmark1[[#This Row],[Target Date Check]]="Pass",INDEX(Target1[Target Return],MATCH(Benchmark1[[#This Row],[Benchmark '#1 Dates]],Target1[Target Dates],0)),"-")</f>
        <v>1.9018978185064702E-2</v>
      </c>
      <c r="G1136" s="1">
        <f>IFERROR(IF(Benchmark1[[#This Row],[Target Date Check]]="Pass",Benchmark1[[#This Row],[Target Return]]-Benchmark1[[#This Row],[Benchmark '#1 Return]],"-"),"-")</f>
        <v>3.0730977442303659E-2</v>
      </c>
      <c r="H1136" s="1" t="str">
        <f>IF(COUNTIF(Comp1[Comparable '#1 Dates],Benchmark1[[#This Row],[Benchmark '#1 Dates]])=1,"Pass","Fail")</f>
        <v>Pass</v>
      </c>
      <c r="I1136" s="6">
        <f>IF(Benchmark1[[#This Row],[Comparable '#1 Date Check]]="Pass",INDEX(Comp1[Comparable '#1 Price],MATCH(Benchmark1[[#This Row],[Benchmark '#1 Dates]],Comp1[Comparable '#1 Dates],0)),"-")</f>
        <v>9.76</v>
      </c>
      <c r="J1136" s="22">
        <f>IF(Benchmark1[[#This Row],[Comparable '#1 Date Check]]="Pass",INDEX(Comp1[Comparable '#1 Return],MATCH(Benchmark1[[#This Row],[Benchmark '#1 Dates]],Comp1[Comparable '#1 Dates],0)),"-")</f>
        <v>-4.0899852515251661E-3</v>
      </c>
      <c r="K1136" s="1">
        <f>IFERROR(IF(Benchmark1[[#This Row],[Comparable '#1 Date Check]]="Pass",Benchmark1[[#This Row],[Comparable '#1 Return]]-Benchmark1[[#This Row],[Benchmark '#1 Return]],"-"),"-")</f>
        <v>7.6220140057137887E-3</v>
      </c>
      <c r="L1136" s="1" t="str">
        <f>IF(COUNTIF(Comp2[Comparable '#2 Dates],Benchmark1[[#This Row],[Benchmark '#1 Dates]])=1,"Pass","Fail")</f>
        <v>Pass</v>
      </c>
      <c r="M1136" s="6">
        <f>IF(Benchmark1[[#This Row],[Comparable '#2 Date Check]]="Pass",INDEX(Comp2[Comparable '#2 Price],MATCH(Benchmark1[[#This Row],[Benchmark '#1 Dates]],Comp2[Comparable '#2 Dates],0)),"-")</f>
        <v>36.39</v>
      </c>
      <c r="N1136" s="22">
        <f>IF(Benchmark1[[#This Row],[Comparable '#2 Date Check]]="Pass",INDEX(Comp2[Comparable '#2 Return],MATCH(Benchmark1[[#This Row],[Benchmark '#1 Dates]],Comp2[Comparable '#2 Dates],0)),"-")</f>
        <v>9.1097938488972335E-3</v>
      </c>
      <c r="O1136" s="1">
        <f>IFERROR(IF(Benchmark1[[#This Row],[Comparable '#2 Date Check]]="Pass",Benchmark1[[#This Row],[Comparable '#2 Return]]-Benchmark1[[#This Row],[Benchmark '#1 Return]],"-"),"-")</f>
        <v>2.0821793106136188E-2</v>
      </c>
      <c r="P1136" s="1" t="str">
        <f>IF(COUNTIF(Comp3[Comparable '#3 Dates],Benchmark1[[#This Row],[Benchmark '#1 Dates]])=1,"Pass","Fail")</f>
        <v>Pass</v>
      </c>
      <c r="Q1136" s="6">
        <f>IF(Benchmark1[[#This Row],[Comparable '#3 Date Check]]="Pass",INDEX(Comp3[Comparable '#3 Price],MATCH(Benchmark1[[#This Row],[Benchmark '#1 Dates]],Comp3[Comparable '#3 Dates],0)),"-")</f>
        <v>80.959999999999994</v>
      </c>
      <c r="R1136" s="22">
        <f>IF(Benchmark1[[#This Row],[Comparable '#3 Date Check]]="Pass",INDEX(Comp3[Comparable '#3 Return],MATCH(Benchmark1[[#This Row],[Benchmark '#1 Dates]],Comp3[Comparable '#3 Dates],0)),"-")</f>
        <v>1.4181105918567673E-2</v>
      </c>
      <c r="S1136" s="1">
        <f>IFERROR(IF(Benchmark1[[#This Row],[Comparable '#3 Date Check]]="Pass",Benchmark1[[#This Row],[Comparable '#3 Return]]-Benchmark1[[#This Row],[Benchmark '#1 Return]],"-"),"-")</f>
        <v>2.5893105175806626E-2</v>
      </c>
    </row>
    <row r="1137" spans="1:19">
      <c r="A1137" s="103">
        <v>44932</v>
      </c>
      <c r="B1137" s="104">
        <v>3895.0755677924735</v>
      </c>
      <c r="C1137" s="4">
        <f t="shared" si="17"/>
        <v>2.2581940014609073E-2</v>
      </c>
      <c r="D1137" s="1" t="str">
        <f>IF(COUNTIF(Target1[Target Dates],Benchmark1[[#This Row],[Benchmark '#1 Dates]])=1,"Pass","Fail")</f>
        <v>Pass</v>
      </c>
      <c r="E1137" s="6">
        <f>IF(Benchmark1[[#This Row],[Target Date Check]]="Pass",INDEX(Target1[Target Price],MATCH(Benchmark1[[#This Row],[Benchmark '#1 Dates]],Target1[Target Dates],0)),"-")</f>
        <v>32.29</v>
      </c>
      <c r="F1137" s="22">
        <f>IF(Benchmark1[[#This Row],[Target Date Check]]="Pass",INDEX(Target1[Target Return],MATCH(Benchmark1[[#This Row],[Benchmark '#1 Dates]],Target1[Target Dates],0)),"-")</f>
        <v>-1.9018978185064619E-2</v>
      </c>
      <c r="G1137" s="1">
        <f>IFERROR(IF(Benchmark1[[#This Row],[Target Date Check]]="Pass",Benchmark1[[#This Row],[Target Return]]-Benchmark1[[#This Row],[Benchmark '#1 Return]],"-"),"-")</f>
        <v>-4.1600918199673695E-2</v>
      </c>
      <c r="H1137" s="1" t="str">
        <f>IF(COUNTIF(Comp1[Comparable '#1 Dates],Benchmark1[[#This Row],[Benchmark '#1 Dates]])=1,"Pass","Fail")</f>
        <v>Pass</v>
      </c>
      <c r="I1137" s="6">
        <f>IF(Benchmark1[[#This Row],[Comparable '#1 Date Check]]="Pass",INDEX(Comp1[Comparable '#1 Price],MATCH(Benchmark1[[#This Row],[Benchmark '#1 Dates]],Comp1[Comparable '#1 Dates],0)),"-")</f>
        <v>9.75</v>
      </c>
      <c r="J1137" s="22">
        <f>IF(Benchmark1[[#This Row],[Comparable '#1 Date Check]]="Pass",INDEX(Comp1[Comparable '#1 Return],MATCH(Benchmark1[[#This Row],[Benchmark '#1 Dates]],Comp1[Comparable '#1 Dates],0)),"-")</f>
        <v>-1.025115415245297E-3</v>
      </c>
      <c r="K1137" s="1">
        <f>IFERROR(IF(Benchmark1[[#This Row],[Comparable '#1 Date Check]]="Pass",Benchmark1[[#This Row],[Comparable '#1 Return]]-Benchmark1[[#This Row],[Benchmark '#1 Return]],"-"),"-")</f>
        <v>-2.3607055429854369E-2</v>
      </c>
      <c r="L1137" s="1" t="str">
        <f>IF(COUNTIF(Comp2[Comparable '#2 Dates],Benchmark1[[#This Row],[Benchmark '#1 Dates]])=1,"Pass","Fail")</f>
        <v>Pass</v>
      </c>
      <c r="M1137" s="6">
        <f>IF(Benchmark1[[#This Row],[Comparable '#2 Date Check]]="Pass",INDEX(Comp2[Comparable '#2 Price],MATCH(Benchmark1[[#This Row],[Benchmark '#1 Dates]],Comp2[Comparable '#2 Dates],0)),"-")</f>
        <v>37.369999999999997</v>
      </c>
      <c r="N1137" s="22">
        <f>IF(Benchmark1[[#This Row],[Comparable '#2 Date Check]]="Pass",INDEX(Comp2[Comparable '#2 Return],MATCH(Benchmark1[[#This Row],[Benchmark '#1 Dates]],Comp2[Comparable '#2 Dates],0)),"-")</f>
        <v>2.6574231873323941E-2</v>
      </c>
      <c r="O1137" s="1">
        <f>IFERROR(IF(Benchmark1[[#This Row],[Comparable '#2 Date Check]]="Pass",Benchmark1[[#This Row],[Comparable '#2 Return]]-Benchmark1[[#This Row],[Benchmark '#1 Return]],"-"),"-")</f>
        <v>3.9922918587148686E-3</v>
      </c>
      <c r="P1137" s="1" t="str">
        <f>IF(COUNTIF(Comp3[Comparable '#3 Dates],Benchmark1[[#This Row],[Benchmark '#1 Dates]])=1,"Pass","Fail")</f>
        <v>Pass</v>
      </c>
      <c r="Q1137" s="6">
        <f>IF(Benchmark1[[#This Row],[Comparable '#3 Date Check]]="Pass",INDEX(Comp3[Comparable '#3 Price],MATCH(Benchmark1[[#This Row],[Benchmark '#1 Dates]],Comp3[Comparable '#3 Dates],0)),"-")</f>
        <v>85.17</v>
      </c>
      <c r="R1137" s="22">
        <f>IF(Benchmark1[[#This Row],[Comparable '#3 Date Check]]="Pass",INDEX(Comp3[Comparable '#3 Return],MATCH(Benchmark1[[#This Row],[Benchmark '#1 Dates]],Comp3[Comparable '#3 Dates],0)),"-")</f>
        <v>5.0694053613834299E-2</v>
      </c>
      <c r="S1137" s="1">
        <f>IFERROR(IF(Benchmark1[[#This Row],[Comparable '#3 Date Check]]="Pass",Benchmark1[[#This Row],[Comparable '#3 Return]]-Benchmark1[[#This Row],[Benchmark '#1 Return]],"-"),"-")</f>
        <v>2.8112113599225226E-2</v>
      </c>
    </row>
    <row r="1138" spans="1:19">
      <c r="A1138" s="103">
        <v>44935</v>
      </c>
      <c r="B1138" s="104">
        <v>3892.0910245052592</v>
      </c>
      <c r="C1138" s="4">
        <f t="shared" si="17"/>
        <v>-7.6652872337446855E-4</v>
      </c>
      <c r="D1138" s="1" t="str">
        <f>IF(COUNTIF(Target1[Target Dates],Benchmark1[[#This Row],[Benchmark '#1 Dates]])=1,"Pass","Fail")</f>
        <v>Pass</v>
      </c>
      <c r="E1138" s="6">
        <f>IF(Benchmark1[[#This Row],[Target Date Check]]="Pass",INDEX(Target1[Target Price],MATCH(Benchmark1[[#This Row],[Benchmark '#1 Dates]],Target1[Target Dates],0)),"-")</f>
        <v>32.72</v>
      </c>
      <c r="F1138" s="22">
        <f>IF(Benchmark1[[#This Row],[Target Date Check]]="Pass",INDEX(Target1[Target Return],MATCH(Benchmark1[[#This Row],[Benchmark '#1 Dates]],Target1[Target Dates],0)),"-")</f>
        <v>1.3228926964362344E-2</v>
      </c>
      <c r="G1138" s="1">
        <f>IFERROR(IF(Benchmark1[[#This Row],[Target Date Check]]="Pass",Benchmark1[[#This Row],[Target Return]]-Benchmark1[[#This Row],[Benchmark '#1 Return]],"-"),"-")</f>
        <v>1.3995455687736812E-2</v>
      </c>
      <c r="H1138" s="1" t="str">
        <f>IF(COUNTIF(Comp1[Comparable '#1 Dates],Benchmark1[[#This Row],[Benchmark '#1 Dates]])=1,"Pass","Fail")</f>
        <v>Pass</v>
      </c>
      <c r="I1138" s="6">
        <f>IF(Benchmark1[[#This Row],[Comparable '#1 Date Check]]="Pass",INDEX(Comp1[Comparable '#1 Price],MATCH(Benchmark1[[#This Row],[Benchmark '#1 Dates]],Comp1[Comparable '#1 Dates],0)),"-")</f>
        <v>9.61</v>
      </c>
      <c r="J1138" s="22">
        <f>IF(Benchmark1[[#This Row],[Comparable '#1 Date Check]]="Pass",INDEX(Comp1[Comparable '#1 Return],MATCH(Benchmark1[[#This Row],[Benchmark '#1 Dates]],Comp1[Comparable '#1 Dates],0)),"-")</f>
        <v>-1.44630620275547E-2</v>
      </c>
      <c r="K1138" s="1">
        <f>IFERROR(IF(Benchmark1[[#This Row],[Comparable '#1 Date Check]]="Pass",Benchmark1[[#This Row],[Comparable '#1 Return]]-Benchmark1[[#This Row],[Benchmark '#1 Return]],"-"),"-")</f>
        <v>-1.3696533304180232E-2</v>
      </c>
      <c r="L1138" s="1" t="str">
        <f>IF(COUNTIF(Comp2[Comparable '#2 Dates],Benchmark1[[#This Row],[Benchmark '#1 Dates]])=1,"Pass","Fail")</f>
        <v>Pass</v>
      </c>
      <c r="M1138" s="6">
        <f>IF(Benchmark1[[#This Row],[Comparable '#2 Date Check]]="Pass",INDEX(Comp2[Comparable '#2 Price],MATCH(Benchmark1[[#This Row],[Benchmark '#1 Dates]],Comp2[Comparable '#2 Dates],0)),"-")</f>
        <v>36.06</v>
      </c>
      <c r="N1138" s="22">
        <f>IF(Benchmark1[[#This Row],[Comparable '#2 Date Check]]="Pass",INDEX(Comp2[Comparable '#2 Return],MATCH(Benchmark1[[#This Row],[Benchmark '#1 Dates]],Comp2[Comparable '#2 Dates],0)),"-")</f>
        <v>-3.5684025722221166E-2</v>
      </c>
      <c r="O1138" s="1">
        <f>IFERROR(IF(Benchmark1[[#This Row],[Comparable '#2 Date Check]]="Pass",Benchmark1[[#This Row],[Comparable '#2 Return]]-Benchmark1[[#This Row],[Benchmark '#1 Return]],"-"),"-")</f>
        <v>-3.4917496998846699E-2</v>
      </c>
      <c r="P1138" s="1" t="str">
        <f>IF(COUNTIF(Comp3[Comparable '#3 Dates],Benchmark1[[#This Row],[Benchmark '#1 Dates]])=1,"Pass","Fail")</f>
        <v>Pass</v>
      </c>
      <c r="Q1138" s="6">
        <f>IF(Benchmark1[[#This Row],[Comparable '#3 Date Check]]="Pass",INDEX(Comp3[Comparable '#3 Price],MATCH(Benchmark1[[#This Row],[Benchmark '#1 Dates]],Comp3[Comparable '#3 Dates],0)),"-")</f>
        <v>84.88</v>
      </c>
      <c r="R1138" s="22">
        <f>IF(Benchmark1[[#This Row],[Comparable '#3 Date Check]]="Pass",INDEX(Comp3[Comparable '#3 Return],MATCH(Benchmark1[[#This Row],[Benchmark '#1 Dates]],Comp3[Comparable '#3 Dates],0)),"-")</f>
        <v>-3.4107648472619257E-3</v>
      </c>
      <c r="S1138" s="1">
        <f>IFERROR(IF(Benchmark1[[#This Row],[Comparable '#3 Date Check]]="Pass",Benchmark1[[#This Row],[Comparable '#3 Return]]-Benchmark1[[#This Row],[Benchmark '#1 Return]],"-"),"-")</f>
        <v>-2.644236123887457E-3</v>
      </c>
    </row>
    <row r="1139" spans="1:19">
      <c r="A1139" s="103">
        <v>44936</v>
      </c>
      <c r="B1139" s="104">
        <v>3919.2534498738009</v>
      </c>
      <c r="C1139" s="4">
        <f t="shared" si="17"/>
        <v>6.9546375628235313E-3</v>
      </c>
      <c r="D1139" s="1" t="str">
        <f>IF(COUNTIF(Target1[Target Dates],Benchmark1[[#This Row],[Benchmark '#1 Dates]])=1,"Pass","Fail")</f>
        <v>Pass</v>
      </c>
      <c r="E1139" s="6">
        <f>IF(Benchmark1[[#This Row],[Target Date Check]]="Pass",INDEX(Target1[Target Price],MATCH(Benchmark1[[#This Row],[Benchmark '#1 Dates]],Target1[Target Dates],0)),"-")</f>
        <v>32.869999999999997</v>
      </c>
      <c r="F1139" s="22">
        <f>IF(Benchmark1[[#This Row],[Target Date Check]]="Pass",INDEX(Target1[Target Return],MATCH(Benchmark1[[#This Row],[Benchmark '#1 Dates]],Target1[Target Dates],0)),"-")</f>
        <v>4.5738759415817195E-3</v>
      </c>
      <c r="G1139" s="1">
        <f>IFERROR(IF(Benchmark1[[#This Row],[Target Date Check]]="Pass",Benchmark1[[#This Row],[Target Return]]-Benchmark1[[#This Row],[Benchmark '#1 Return]],"-"),"-")</f>
        <v>-2.3807616212418118E-3</v>
      </c>
      <c r="H1139" s="1" t="str">
        <f>IF(COUNTIF(Comp1[Comparable '#1 Dates],Benchmark1[[#This Row],[Benchmark '#1 Dates]])=1,"Pass","Fail")</f>
        <v>Pass</v>
      </c>
      <c r="I1139" s="6">
        <f>IF(Benchmark1[[#This Row],[Comparable '#1 Date Check]]="Pass",INDEX(Comp1[Comparable '#1 Price],MATCH(Benchmark1[[#This Row],[Benchmark '#1 Dates]],Comp1[Comparable '#1 Dates],0)),"-")</f>
        <v>9.9</v>
      </c>
      <c r="J1139" s="22">
        <f>IF(Benchmark1[[#This Row],[Comparable '#1 Date Check]]="Pass",INDEX(Comp1[Comparable '#1 Return],MATCH(Benchmark1[[#This Row],[Benchmark '#1 Dates]],Comp1[Comparable '#1 Dates],0)),"-")</f>
        <v>2.9730534158343216E-2</v>
      </c>
      <c r="K1139" s="1">
        <f>IFERROR(IF(Benchmark1[[#This Row],[Comparable '#1 Date Check]]="Pass",Benchmark1[[#This Row],[Comparable '#1 Return]]-Benchmark1[[#This Row],[Benchmark '#1 Return]],"-"),"-")</f>
        <v>2.2775896595519686E-2</v>
      </c>
      <c r="L1139" s="1" t="str">
        <f>IF(COUNTIF(Comp2[Comparable '#2 Dates],Benchmark1[[#This Row],[Benchmark '#1 Dates]])=1,"Pass","Fail")</f>
        <v>Pass</v>
      </c>
      <c r="M1139" s="6">
        <f>IF(Benchmark1[[#This Row],[Comparable '#2 Date Check]]="Pass",INDEX(Comp2[Comparable '#2 Price],MATCH(Benchmark1[[#This Row],[Benchmark '#1 Dates]],Comp2[Comparable '#2 Dates],0)),"-")</f>
        <v>37</v>
      </c>
      <c r="N1139" s="22">
        <f>IF(Benchmark1[[#This Row],[Comparable '#2 Date Check]]="Pass",INDEX(Comp2[Comparable '#2 Return],MATCH(Benchmark1[[#This Row],[Benchmark '#1 Dates]],Comp2[Comparable '#2 Dates],0)),"-")</f>
        <v>2.5733694869053209E-2</v>
      </c>
      <c r="O1139" s="1">
        <f>IFERROR(IF(Benchmark1[[#This Row],[Comparable '#2 Date Check]]="Pass",Benchmark1[[#This Row],[Comparable '#2 Return]]-Benchmark1[[#This Row],[Benchmark '#1 Return]],"-"),"-")</f>
        <v>1.8779057306229679E-2</v>
      </c>
      <c r="P1139" s="1" t="str">
        <f>IF(COUNTIF(Comp3[Comparable '#3 Dates],Benchmark1[[#This Row],[Benchmark '#1 Dates]])=1,"Pass","Fail")</f>
        <v>Pass</v>
      </c>
      <c r="Q1139" s="6">
        <f>IF(Benchmark1[[#This Row],[Comparable '#3 Date Check]]="Pass",INDEX(Comp3[Comparable '#3 Price],MATCH(Benchmark1[[#This Row],[Benchmark '#1 Dates]],Comp3[Comparable '#3 Dates],0)),"-")</f>
        <v>86.7</v>
      </c>
      <c r="R1139" s="22">
        <f>IF(Benchmark1[[#This Row],[Comparable '#3 Date Check]]="Pass",INDEX(Comp3[Comparable '#3 Return],MATCH(Benchmark1[[#This Row],[Benchmark '#1 Dates]],Comp3[Comparable '#3 Dates],0)),"-")</f>
        <v>2.1215389480768568E-2</v>
      </c>
      <c r="S1139" s="1">
        <f>IFERROR(IF(Benchmark1[[#This Row],[Comparable '#3 Date Check]]="Pass",Benchmark1[[#This Row],[Comparable '#3 Return]]-Benchmark1[[#This Row],[Benchmark '#1 Return]],"-"),"-")</f>
        <v>1.4260751917945038E-2</v>
      </c>
    </row>
    <row r="1140" spans="1:19">
      <c r="A1140" s="103">
        <v>44937</v>
      </c>
      <c r="B1140" s="104">
        <v>3969.6141064685935</v>
      </c>
      <c r="C1140" s="4">
        <f t="shared" si="17"/>
        <v>1.2767698369405315E-2</v>
      </c>
      <c r="D1140" s="1" t="str">
        <f>IF(COUNTIF(Target1[Target Dates],Benchmark1[[#This Row],[Benchmark '#1 Dates]])=1,"Pass","Fail")</f>
        <v>Pass</v>
      </c>
      <c r="E1140" s="6">
        <f>IF(Benchmark1[[#This Row],[Target Date Check]]="Pass",INDEX(Target1[Target Price],MATCH(Benchmark1[[#This Row],[Benchmark '#1 Dates]],Target1[Target Dates],0)),"-")</f>
        <v>33.03</v>
      </c>
      <c r="F1140" s="22">
        <f>IF(Benchmark1[[#This Row],[Target Date Check]]="Pass",INDEX(Target1[Target Return],MATCH(Benchmark1[[#This Row],[Benchmark '#1 Dates]],Target1[Target Dates],0)),"-")</f>
        <v>4.855851726570431E-3</v>
      </c>
      <c r="G1140" s="1">
        <f>IFERROR(IF(Benchmark1[[#This Row],[Target Date Check]]="Pass",Benchmark1[[#This Row],[Target Return]]-Benchmark1[[#This Row],[Benchmark '#1 Return]],"-"),"-")</f>
        <v>-7.9118466428348827E-3</v>
      </c>
      <c r="H1140" s="1" t="str">
        <f>IF(COUNTIF(Comp1[Comparable '#1 Dates],Benchmark1[[#This Row],[Benchmark '#1 Dates]])=1,"Pass","Fail")</f>
        <v>Pass</v>
      </c>
      <c r="I1140" s="6">
        <f>IF(Benchmark1[[#This Row],[Comparable '#1 Date Check]]="Pass",INDEX(Comp1[Comparable '#1 Price],MATCH(Benchmark1[[#This Row],[Benchmark '#1 Dates]],Comp1[Comparable '#1 Dates],0)),"-")</f>
        <v>9.81</v>
      </c>
      <c r="J1140" s="22">
        <f>IF(Benchmark1[[#This Row],[Comparable '#1 Date Check]]="Pass",INDEX(Comp1[Comparable '#1 Return],MATCH(Benchmark1[[#This Row],[Benchmark '#1 Dates]],Comp1[Comparable '#1 Dates],0)),"-")</f>
        <v>-9.1324835632724741E-3</v>
      </c>
      <c r="K1140" s="1">
        <f>IFERROR(IF(Benchmark1[[#This Row],[Comparable '#1 Date Check]]="Pass",Benchmark1[[#This Row],[Comparable '#1 Return]]-Benchmark1[[#This Row],[Benchmark '#1 Return]],"-"),"-")</f>
        <v>-2.1900181932677787E-2</v>
      </c>
      <c r="L1140" s="1" t="str">
        <f>IF(COUNTIF(Comp2[Comparable '#2 Dates],Benchmark1[[#This Row],[Benchmark '#1 Dates]])=1,"Pass","Fail")</f>
        <v>Pass</v>
      </c>
      <c r="M1140" s="6">
        <f>IF(Benchmark1[[#This Row],[Comparable '#2 Date Check]]="Pass",INDEX(Comp2[Comparable '#2 Price],MATCH(Benchmark1[[#This Row],[Benchmark '#1 Dates]],Comp2[Comparable '#2 Dates],0)),"-")</f>
        <v>36.89</v>
      </c>
      <c r="N1140" s="22">
        <f>IF(Benchmark1[[#This Row],[Comparable '#2 Date Check]]="Pass",INDEX(Comp2[Comparable '#2 Return],MATCH(Benchmark1[[#This Row],[Benchmark '#1 Dates]],Comp2[Comparable '#2 Dates],0)),"-")</f>
        <v>-2.9774010356401507E-3</v>
      </c>
      <c r="O1140" s="1">
        <f>IFERROR(IF(Benchmark1[[#This Row],[Comparable '#2 Date Check]]="Pass",Benchmark1[[#This Row],[Comparable '#2 Return]]-Benchmark1[[#This Row],[Benchmark '#1 Return]],"-"),"-")</f>
        <v>-1.5745099405045464E-2</v>
      </c>
      <c r="P1140" s="1" t="str">
        <f>IF(COUNTIF(Comp3[Comparable '#3 Dates],Benchmark1[[#This Row],[Benchmark '#1 Dates]])=1,"Pass","Fail")</f>
        <v>Pass</v>
      </c>
      <c r="Q1140" s="6">
        <f>IF(Benchmark1[[#This Row],[Comparable '#3 Date Check]]="Pass",INDEX(Comp3[Comparable '#3 Price],MATCH(Benchmark1[[#This Row],[Benchmark '#1 Dates]],Comp3[Comparable '#3 Dates],0)),"-")</f>
        <v>86.81</v>
      </c>
      <c r="R1140" s="22">
        <f>IF(Benchmark1[[#This Row],[Comparable '#3 Date Check]]="Pass",INDEX(Comp3[Comparable '#3 Return],MATCH(Benchmark1[[#This Row],[Benchmark '#1 Dates]],Comp3[Comparable '#3 Dates],0)),"-")</f>
        <v>1.2679386172204236E-3</v>
      </c>
      <c r="S1140" s="1">
        <f>IFERROR(IF(Benchmark1[[#This Row],[Comparable '#3 Date Check]]="Pass",Benchmark1[[#This Row],[Comparable '#3 Return]]-Benchmark1[[#This Row],[Benchmark '#1 Return]],"-"),"-")</f>
        <v>-1.1499759752184891E-2</v>
      </c>
    </row>
    <row r="1141" spans="1:19">
      <c r="A1141" s="103">
        <v>44938</v>
      </c>
      <c r="B1141" s="104">
        <v>3983.166533448295</v>
      </c>
      <c r="C1141" s="4">
        <f t="shared" si="17"/>
        <v>3.4082268107426409E-3</v>
      </c>
      <c r="D1141" s="1" t="str">
        <f>IF(COUNTIF(Target1[Target Dates],Benchmark1[[#This Row],[Benchmark '#1 Dates]])=1,"Pass","Fail")</f>
        <v>Pass</v>
      </c>
      <c r="E1141" s="6">
        <f>IF(Benchmark1[[#This Row],[Target Date Check]]="Pass",INDEX(Target1[Target Price],MATCH(Benchmark1[[#This Row],[Benchmark '#1 Dates]],Target1[Target Dates],0)),"-")</f>
        <v>33.04</v>
      </c>
      <c r="F1141" s="22">
        <f>IF(Benchmark1[[#This Row],[Target Date Check]]="Pass",INDEX(Target1[Target Return],MATCH(Benchmark1[[#This Row],[Benchmark '#1 Dates]],Target1[Target Dates],0)),"-")</f>
        <v>3.0270925007899703E-4</v>
      </c>
      <c r="G1141" s="1">
        <f>IFERROR(IF(Benchmark1[[#This Row],[Target Date Check]]="Pass",Benchmark1[[#This Row],[Target Return]]-Benchmark1[[#This Row],[Benchmark '#1 Return]],"-"),"-")</f>
        <v>-3.1055175606636439E-3</v>
      </c>
      <c r="H1141" s="1" t="str">
        <f>IF(COUNTIF(Comp1[Comparable '#1 Dates],Benchmark1[[#This Row],[Benchmark '#1 Dates]])=1,"Pass","Fail")</f>
        <v>Pass</v>
      </c>
      <c r="I1141" s="6">
        <f>IF(Benchmark1[[#This Row],[Comparable '#1 Date Check]]="Pass",INDEX(Comp1[Comparable '#1 Price],MATCH(Benchmark1[[#This Row],[Benchmark '#1 Dates]],Comp1[Comparable '#1 Dates],0)),"-")</f>
        <v>9.94</v>
      </c>
      <c r="J1141" s="22">
        <f>IF(Benchmark1[[#This Row],[Comparable '#1 Date Check]]="Pass",INDEX(Comp1[Comparable '#1 Return],MATCH(Benchmark1[[#This Row],[Benchmark '#1 Dates]],Comp1[Comparable '#1 Dates],0)),"-")</f>
        <v>1.3164747091210851E-2</v>
      </c>
      <c r="K1141" s="1">
        <f>IFERROR(IF(Benchmark1[[#This Row],[Comparable '#1 Date Check]]="Pass",Benchmark1[[#This Row],[Comparable '#1 Return]]-Benchmark1[[#This Row],[Benchmark '#1 Return]],"-"),"-")</f>
        <v>9.7565202804682088E-3</v>
      </c>
      <c r="L1141" s="1" t="str">
        <f>IF(COUNTIF(Comp2[Comparable '#2 Dates],Benchmark1[[#This Row],[Benchmark '#1 Dates]])=1,"Pass","Fail")</f>
        <v>Pass</v>
      </c>
      <c r="M1141" s="6">
        <f>IF(Benchmark1[[#This Row],[Comparable '#2 Date Check]]="Pass",INDEX(Comp2[Comparable '#2 Price],MATCH(Benchmark1[[#This Row],[Benchmark '#1 Dates]],Comp2[Comparable '#2 Dates],0)),"-")</f>
        <v>36.97</v>
      </c>
      <c r="N1141" s="22">
        <f>IF(Benchmark1[[#This Row],[Comparable '#2 Date Check]]="Pass",INDEX(Comp2[Comparable '#2 Return],MATCH(Benchmark1[[#This Row],[Benchmark '#1 Dates]],Comp2[Comparable '#2 Dates],0)),"-")</f>
        <v>2.1662613399561817E-3</v>
      </c>
      <c r="O1141" s="1">
        <f>IFERROR(IF(Benchmark1[[#This Row],[Comparable '#2 Date Check]]="Pass",Benchmark1[[#This Row],[Comparable '#2 Return]]-Benchmark1[[#This Row],[Benchmark '#1 Return]],"-"),"-")</f>
        <v>-1.2419654707864591E-3</v>
      </c>
      <c r="P1141" s="1" t="str">
        <f>IF(COUNTIF(Comp3[Comparable '#3 Dates],Benchmark1[[#This Row],[Benchmark '#1 Dates]])=1,"Pass","Fail")</f>
        <v>Pass</v>
      </c>
      <c r="Q1141" s="6">
        <f>IF(Benchmark1[[#This Row],[Comparable '#3 Date Check]]="Pass",INDEX(Comp3[Comparable '#3 Price],MATCH(Benchmark1[[#This Row],[Benchmark '#1 Dates]],Comp3[Comparable '#3 Dates],0)),"-")</f>
        <v>87.67</v>
      </c>
      <c r="R1141" s="22">
        <f>IF(Benchmark1[[#This Row],[Comparable '#3 Date Check]]="Pass",INDEX(Comp3[Comparable '#3 Return],MATCH(Benchmark1[[#This Row],[Benchmark '#1 Dates]],Comp3[Comparable '#3 Dates],0)),"-")</f>
        <v>9.8579431967775015E-3</v>
      </c>
      <c r="S1141" s="1">
        <f>IFERROR(IF(Benchmark1[[#This Row],[Comparable '#3 Date Check]]="Pass",Benchmark1[[#This Row],[Comparable '#3 Return]]-Benchmark1[[#This Row],[Benchmark '#1 Return]],"-"),"-")</f>
        <v>6.4497163860348606E-3</v>
      </c>
    </row>
    <row r="1142" spans="1:19">
      <c r="A1142" s="103">
        <v>44939</v>
      </c>
      <c r="B1142" s="104">
        <v>3999.0908359644432</v>
      </c>
      <c r="C1142" s="4">
        <f t="shared" si="17"/>
        <v>3.989929891961369E-3</v>
      </c>
      <c r="D1142" s="1" t="str">
        <f>IF(COUNTIF(Target1[Target Dates],Benchmark1[[#This Row],[Benchmark '#1 Dates]])=1,"Pass","Fail")</f>
        <v>Pass</v>
      </c>
      <c r="E1142" s="6">
        <f>IF(Benchmark1[[#This Row],[Target Date Check]]="Pass",INDEX(Target1[Target Price],MATCH(Benchmark1[[#This Row],[Benchmark '#1 Dates]],Target1[Target Dates],0)),"-")</f>
        <v>33.06</v>
      </c>
      <c r="F1142" s="22">
        <f>IF(Benchmark1[[#This Row],[Target Date Check]]="Pass",INDEX(Target1[Target Return],MATCH(Benchmark1[[#This Row],[Benchmark '#1 Dates]],Target1[Target Dates],0)),"-")</f>
        <v>6.0514374010086584E-4</v>
      </c>
      <c r="G1142" s="1">
        <f>IFERROR(IF(Benchmark1[[#This Row],[Target Date Check]]="Pass",Benchmark1[[#This Row],[Target Return]]-Benchmark1[[#This Row],[Benchmark '#1 Return]],"-"),"-")</f>
        <v>-3.3847861518605032E-3</v>
      </c>
      <c r="H1142" s="1" t="str">
        <f>IF(COUNTIF(Comp1[Comparable '#1 Dates],Benchmark1[[#This Row],[Benchmark '#1 Dates]])=1,"Pass","Fail")</f>
        <v>Pass</v>
      </c>
      <c r="I1142" s="6">
        <f>IF(Benchmark1[[#This Row],[Comparable '#1 Date Check]]="Pass",INDEX(Comp1[Comparable '#1 Price],MATCH(Benchmark1[[#This Row],[Benchmark '#1 Dates]],Comp1[Comparable '#1 Dates],0)),"-")</f>
        <v>10.06</v>
      </c>
      <c r="J1142" s="22">
        <f>IF(Benchmark1[[#This Row],[Comparable '#1 Date Check]]="Pass",INDEX(Comp1[Comparable '#1 Return],MATCH(Benchmark1[[#This Row],[Benchmark '#1 Dates]],Comp1[Comparable '#1 Dates],0)),"-")</f>
        <v>1.2000144003110558E-2</v>
      </c>
      <c r="K1142" s="1">
        <f>IFERROR(IF(Benchmark1[[#This Row],[Comparable '#1 Date Check]]="Pass",Benchmark1[[#This Row],[Comparable '#1 Return]]-Benchmark1[[#This Row],[Benchmark '#1 Return]],"-"),"-")</f>
        <v>8.0102141111491887E-3</v>
      </c>
      <c r="L1142" s="1" t="str">
        <f>IF(COUNTIF(Comp2[Comparable '#2 Dates],Benchmark1[[#This Row],[Benchmark '#1 Dates]])=1,"Pass","Fail")</f>
        <v>Pass</v>
      </c>
      <c r="M1142" s="6">
        <f>IF(Benchmark1[[#This Row],[Comparable '#2 Date Check]]="Pass",INDEX(Comp2[Comparable '#2 Price],MATCH(Benchmark1[[#This Row],[Benchmark '#1 Dates]],Comp2[Comparable '#2 Dates],0)),"-")</f>
        <v>37.32</v>
      </c>
      <c r="N1142" s="22">
        <f>IF(Benchmark1[[#This Row],[Comparable '#2 Date Check]]="Pass",INDEX(Comp2[Comparable '#2 Return],MATCH(Benchmark1[[#This Row],[Benchmark '#1 Dates]],Comp2[Comparable '#2 Dates],0)),"-")</f>
        <v>9.4226030306025343E-3</v>
      </c>
      <c r="O1142" s="1">
        <f>IFERROR(IF(Benchmark1[[#This Row],[Comparable '#2 Date Check]]="Pass",Benchmark1[[#This Row],[Comparable '#2 Return]]-Benchmark1[[#This Row],[Benchmark '#1 Return]],"-"),"-")</f>
        <v>5.4326731386411652E-3</v>
      </c>
      <c r="P1142" s="1" t="str">
        <f>IF(COUNTIF(Comp3[Comparable '#3 Dates],Benchmark1[[#This Row],[Benchmark '#1 Dates]])=1,"Pass","Fail")</f>
        <v>Pass</v>
      </c>
      <c r="Q1142" s="6">
        <f>IF(Benchmark1[[#This Row],[Comparable '#3 Date Check]]="Pass",INDEX(Comp3[Comparable '#3 Price],MATCH(Benchmark1[[#This Row],[Benchmark '#1 Dates]],Comp3[Comparable '#3 Dates],0)),"-")</f>
        <v>89.7</v>
      </c>
      <c r="R1142" s="22">
        <f>IF(Benchmark1[[#This Row],[Comparable '#3 Date Check]]="Pass",INDEX(Comp3[Comparable '#3 Return],MATCH(Benchmark1[[#This Row],[Benchmark '#1 Dates]],Comp3[Comparable '#3 Dates],0)),"-")</f>
        <v>2.2891003464256151E-2</v>
      </c>
      <c r="S1142" s="1">
        <f>IFERROR(IF(Benchmark1[[#This Row],[Comparable '#3 Date Check]]="Pass",Benchmark1[[#This Row],[Comparable '#3 Return]]-Benchmark1[[#This Row],[Benchmark '#1 Return]],"-"),"-")</f>
        <v>1.8901073572294782E-2</v>
      </c>
    </row>
    <row r="1143" spans="1:19">
      <c r="A1143" s="103">
        <v>44943</v>
      </c>
      <c r="B1143" s="104">
        <v>3990.9701347463615</v>
      </c>
      <c r="C1143" s="4">
        <f t="shared" si="17"/>
        <v>-2.0327013883856102E-3</v>
      </c>
      <c r="D1143" s="1" t="str">
        <f>IF(COUNTIF(Target1[Target Dates],Benchmark1[[#This Row],[Benchmark '#1 Dates]])=1,"Pass","Fail")</f>
        <v>Pass</v>
      </c>
      <c r="E1143" s="6">
        <f>IF(Benchmark1[[#This Row],[Target Date Check]]="Pass",INDEX(Target1[Target Price],MATCH(Benchmark1[[#This Row],[Benchmark '#1 Dates]],Target1[Target Dates],0)),"-")</f>
        <v>32.049999999999997</v>
      </c>
      <c r="F1143" s="22">
        <f>IF(Benchmark1[[#This Row],[Target Date Check]]="Pass",INDEX(Target1[Target Return],MATCH(Benchmark1[[#This Row],[Benchmark '#1 Dates]],Target1[Target Dates],0)),"-")</f>
        <v>-3.1026909026199218E-2</v>
      </c>
      <c r="G1143" s="1">
        <f>IFERROR(IF(Benchmark1[[#This Row],[Target Date Check]]="Pass",Benchmark1[[#This Row],[Target Return]]-Benchmark1[[#This Row],[Benchmark '#1 Return]],"-"),"-")</f>
        <v>-2.8994207637813608E-2</v>
      </c>
      <c r="H1143" s="1" t="str">
        <f>IF(COUNTIF(Comp1[Comparable '#1 Dates],Benchmark1[[#This Row],[Benchmark '#1 Dates]])=1,"Pass","Fail")</f>
        <v>Pass</v>
      </c>
      <c r="I1143" s="6">
        <f>IF(Benchmark1[[#This Row],[Comparable '#1 Date Check]]="Pass",INDEX(Comp1[Comparable '#1 Price],MATCH(Benchmark1[[#This Row],[Benchmark '#1 Dates]],Comp1[Comparable '#1 Dates],0)),"-")</f>
        <v>10.31</v>
      </c>
      <c r="J1143" s="22">
        <f>IF(Benchmark1[[#This Row],[Comparable '#1 Date Check]]="Pass",INDEX(Comp1[Comparable '#1 Return],MATCH(Benchmark1[[#This Row],[Benchmark '#1 Dates]],Comp1[Comparable '#1 Dates],0)),"-")</f>
        <v>2.4547133357275448E-2</v>
      </c>
      <c r="K1143" s="1">
        <f>IFERROR(IF(Benchmark1[[#This Row],[Comparable '#1 Date Check]]="Pass",Benchmark1[[#This Row],[Comparable '#1 Return]]-Benchmark1[[#This Row],[Benchmark '#1 Return]],"-"),"-")</f>
        <v>2.6579834745661057E-2</v>
      </c>
      <c r="L1143" s="1" t="str">
        <f>IF(COUNTIF(Comp2[Comparable '#2 Dates],Benchmark1[[#This Row],[Benchmark '#1 Dates]])=1,"Pass","Fail")</f>
        <v>Pass</v>
      </c>
      <c r="M1143" s="6">
        <f>IF(Benchmark1[[#This Row],[Comparable '#2 Date Check]]="Pass",INDEX(Comp2[Comparable '#2 Price],MATCH(Benchmark1[[#This Row],[Benchmark '#1 Dates]],Comp2[Comparable '#2 Dates],0)),"-")</f>
        <v>36.92</v>
      </c>
      <c r="N1143" s="22">
        <f>IF(Benchmark1[[#This Row],[Comparable '#2 Date Check]]="Pass",INDEX(Comp2[Comparable '#2 Return],MATCH(Benchmark1[[#This Row],[Benchmark '#1 Dates]],Comp2[Comparable '#2 Dates],0)),"-")</f>
        <v>-1.0775966344491635E-2</v>
      </c>
      <c r="O1143" s="1">
        <f>IFERROR(IF(Benchmark1[[#This Row],[Comparable '#2 Date Check]]="Pass",Benchmark1[[#This Row],[Comparable '#2 Return]]-Benchmark1[[#This Row],[Benchmark '#1 Return]],"-"),"-")</f>
        <v>-8.7432649561060248E-3</v>
      </c>
      <c r="P1143" s="1" t="str">
        <f>IF(COUNTIF(Comp3[Comparable '#3 Dates],Benchmark1[[#This Row],[Benchmark '#1 Dates]])=1,"Pass","Fail")</f>
        <v>Pass</v>
      </c>
      <c r="Q1143" s="6">
        <f>IF(Benchmark1[[#This Row],[Comparable '#3 Date Check]]="Pass",INDEX(Comp3[Comparable '#3 Price],MATCH(Benchmark1[[#This Row],[Benchmark '#1 Dates]],Comp3[Comparable '#3 Dates],0)),"-")</f>
        <v>87.78</v>
      </c>
      <c r="R1143" s="22">
        <f>IF(Benchmark1[[#This Row],[Comparable '#3 Date Check]]="Pass",INDEX(Comp3[Comparable '#3 Return],MATCH(Benchmark1[[#This Row],[Benchmark '#1 Dates]],Comp3[Comparable '#3 Dates],0)),"-")</f>
        <v>-2.1637084804662522E-2</v>
      </c>
      <c r="S1143" s="1">
        <f>IFERROR(IF(Benchmark1[[#This Row],[Comparable '#3 Date Check]]="Pass",Benchmark1[[#This Row],[Comparable '#3 Return]]-Benchmark1[[#This Row],[Benchmark '#1 Return]],"-"),"-")</f>
        <v>-1.9604383416276912E-2</v>
      </c>
    </row>
    <row r="1144" spans="1:19">
      <c r="A1144" s="103">
        <v>44944</v>
      </c>
      <c r="B1144" s="104">
        <v>3928.8623475970403</v>
      </c>
      <c r="C1144" s="4">
        <f t="shared" si="17"/>
        <v>-1.568443789699973E-2</v>
      </c>
      <c r="D1144" s="1" t="str">
        <f>IF(COUNTIF(Target1[Target Dates],Benchmark1[[#This Row],[Benchmark '#1 Dates]])=1,"Pass","Fail")</f>
        <v>Pass</v>
      </c>
      <c r="E1144" s="6">
        <f>IF(Benchmark1[[#This Row],[Target Date Check]]="Pass",INDEX(Target1[Target Price],MATCH(Benchmark1[[#This Row],[Benchmark '#1 Dates]],Target1[Target Dates],0)),"-")</f>
        <v>31.77</v>
      </c>
      <c r="F1144" s="22">
        <f>IF(Benchmark1[[#This Row],[Target Date Check]]="Pass",INDEX(Target1[Target Return],MATCH(Benchmark1[[#This Row],[Benchmark '#1 Dates]],Target1[Target Dates],0)),"-")</f>
        <v>-8.7747350852541584E-3</v>
      </c>
      <c r="G1144" s="1">
        <f>IFERROR(IF(Benchmark1[[#This Row],[Target Date Check]]="Pass",Benchmark1[[#This Row],[Target Return]]-Benchmark1[[#This Row],[Benchmark '#1 Return]],"-"),"-")</f>
        <v>6.909702811745572E-3</v>
      </c>
      <c r="H1144" s="1" t="str">
        <f>IF(COUNTIF(Comp1[Comparable '#1 Dates],Benchmark1[[#This Row],[Benchmark '#1 Dates]])=1,"Pass","Fail")</f>
        <v>Pass</v>
      </c>
      <c r="I1144" s="6">
        <f>IF(Benchmark1[[#This Row],[Comparable '#1 Date Check]]="Pass",INDEX(Comp1[Comparable '#1 Price],MATCH(Benchmark1[[#This Row],[Benchmark '#1 Dates]],Comp1[Comparable '#1 Dates],0)),"-")</f>
        <v>10.39</v>
      </c>
      <c r="J1144" s="22">
        <f>IF(Benchmark1[[#This Row],[Comparable '#1 Date Check]]="Pass",INDEX(Comp1[Comparable '#1 Return],MATCH(Benchmark1[[#This Row],[Benchmark '#1 Dates]],Comp1[Comparable '#1 Dates],0)),"-")</f>
        <v>7.7295070822673909E-3</v>
      </c>
      <c r="K1144" s="1">
        <f>IFERROR(IF(Benchmark1[[#This Row],[Comparable '#1 Date Check]]="Pass",Benchmark1[[#This Row],[Comparable '#1 Return]]-Benchmark1[[#This Row],[Benchmark '#1 Return]],"-"),"-")</f>
        <v>2.3413944979267121E-2</v>
      </c>
      <c r="L1144" s="1" t="str">
        <f>IF(COUNTIF(Comp2[Comparable '#2 Dates],Benchmark1[[#This Row],[Benchmark '#1 Dates]])=1,"Pass","Fail")</f>
        <v>Pass</v>
      </c>
      <c r="M1144" s="6">
        <f>IF(Benchmark1[[#This Row],[Comparable '#2 Date Check]]="Pass",INDEX(Comp2[Comparable '#2 Price],MATCH(Benchmark1[[#This Row],[Benchmark '#1 Dates]],Comp2[Comparable '#2 Dates],0)),"-")</f>
        <v>36.43</v>
      </c>
      <c r="N1144" s="22">
        <f>IF(Benchmark1[[#This Row],[Comparable '#2 Date Check]]="Pass",INDEX(Comp2[Comparable '#2 Return],MATCH(Benchmark1[[#This Row],[Benchmark '#1 Dates]],Comp2[Comparable '#2 Dates],0)),"-")</f>
        <v>-1.3360798614179039E-2</v>
      </c>
      <c r="O1144" s="1">
        <f>IFERROR(IF(Benchmark1[[#This Row],[Comparable '#2 Date Check]]="Pass",Benchmark1[[#This Row],[Comparable '#2 Return]]-Benchmark1[[#This Row],[Benchmark '#1 Return]],"-"),"-")</f>
        <v>2.3236392828206911E-3</v>
      </c>
      <c r="P1144" s="1" t="str">
        <f>IF(COUNTIF(Comp3[Comparable '#3 Dates],Benchmark1[[#This Row],[Benchmark '#1 Dates]])=1,"Pass","Fail")</f>
        <v>Pass</v>
      </c>
      <c r="Q1144" s="6">
        <f>IF(Benchmark1[[#This Row],[Comparable '#3 Date Check]]="Pass",INDEX(Comp3[Comparable '#3 Price],MATCH(Benchmark1[[#This Row],[Benchmark '#1 Dates]],Comp3[Comparable '#3 Dates],0)),"-")</f>
        <v>86.87</v>
      </c>
      <c r="R1144" s="22">
        <f>IF(Benchmark1[[#This Row],[Comparable '#3 Date Check]]="Pass",INDEX(Comp3[Comparable '#3 Return],MATCH(Benchmark1[[#This Row],[Benchmark '#1 Dates]],Comp3[Comparable '#3 Dates],0)),"-")</f>
        <v>-1.0420935988258757E-2</v>
      </c>
      <c r="S1144" s="1">
        <f>IFERROR(IF(Benchmark1[[#This Row],[Comparable '#3 Date Check]]="Pass",Benchmark1[[#This Row],[Comparable '#3 Return]]-Benchmark1[[#This Row],[Benchmark '#1 Return]],"-"),"-")</f>
        <v>5.2635019087409734E-3</v>
      </c>
    </row>
    <row r="1145" spans="1:19">
      <c r="A1145" s="103">
        <v>44945</v>
      </c>
      <c r="B1145" s="104">
        <v>3898.8547632359746</v>
      </c>
      <c r="C1145" s="4">
        <f t="shared" si="17"/>
        <v>-7.667045431549906E-3</v>
      </c>
      <c r="D1145" s="1" t="str">
        <f>IF(COUNTIF(Target1[Target Dates],Benchmark1[[#This Row],[Benchmark '#1 Dates]])=1,"Pass","Fail")</f>
        <v>Pass</v>
      </c>
      <c r="E1145" s="6">
        <f>IF(Benchmark1[[#This Row],[Target Date Check]]="Pass",INDEX(Target1[Target Price],MATCH(Benchmark1[[#This Row],[Benchmark '#1 Dates]],Target1[Target Dates],0)),"-")</f>
        <v>31.85</v>
      </c>
      <c r="F1145" s="22">
        <f>IF(Benchmark1[[#This Row],[Target Date Check]]="Pass",INDEX(Target1[Target Return],MATCH(Benchmark1[[#This Row],[Benchmark '#1 Dates]],Target1[Target Dates],0)),"-")</f>
        <v>2.5149337367477379E-3</v>
      </c>
      <c r="G1145" s="1">
        <f>IFERROR(IF(Benchmark1[[#This Row],[Target Date Check]]="Pass",Benchmark1[[#This Row],[Target Return]]-Benchmark1[[#This Row],[Benchmark '#1 Return]],"-"),"-")</f>
        <v>1.0181979168297644E-2</v>
      </c>
      <c r="H1145" s="1" t="str">
        <f>IF(COUNTIF(Comp1[Comparable '#1 Dates],Benchmark1[[#This Row],[Benchmark '#1 Dates]])=1,"Pass","Fail")</f>
        <v>Pass</v>
      </c>
      <c r="I1145" s="6">
        <f>IF(Benchmark1[[#This Row],[Comparable '#1 Date Check]]="Pass",INDEX(Comp1[Comparable '#1 Price],MATCH(Benchmark1[[#This Row],[Benchmark '#1 Dates]],Comp1[Comparable '#1 Dates],0)),"-")</f>
        <v>10.3</v>
      </c>
      <c r="J1145" s="22">
        <f>IF(Benchmark1[[#This Row],[Comparable '#1 Date Check]]="Pass",INDEX(Comp1[Comparable '#1 Return],MATCH(Benchmark1[[#This Row],[Benchmark '#1 Dates]],Comp1[Comparable '#1 Dates],0)),"-")</f>
        <v>-8.6999098755459053E-3</v>
      </c>
      <c r="K1145" s="1">
        <f>IFERROR(IF(Benchmark1[[#This Row],[Comparable '#1 Date Check]]="Pass",Benchmark1[[#This Row],[Comparable '#1 Return]]-Benchmark1[[#This Row],[Benchmark '#1 Return]],"-"),"-")</f>
        <v>-1.0328644439959993E-3</v>
      </c>
      <c r="L1145" s="1" t="str">
        <f>IF(COUNTIF(Comp2[Comparable '#2 Dates],Benchmark1[[#This Row],[Benchmark '#1 Dates]])=1,"Pass","Fail")</f>
        <v>Pass</v>
      </c>
      <c r="M1145" s="6">
        <f>IF(Benchmark1[[#This Row],[Comparable '#2 Date Check]]="Pass",INDEX(Comp2[Comparable '#2 Price],MATCH(Benchmark1[[#This Row],[Benchmark '#1 Dates]],Comp2[Comparable '#2 Dates],0)),"-")</f>
        <v>36.69</v>
      </c>
      <c r="N1145" s="22">
        <f>IF(Benchmark1[[#This Row],[Comparable '#2 Date Check]]="Pass",INDEX(Comp2[Comparable '#2 Return],MATCH(Benchmark1[[#This Row],[Benchmark '#1 Dates]],Comp2[Comparable '#2 Dates],0)),"-")</f>
        <v>7.1116273467182328E-3</v>
      </c>
      <c r="O1145" s="1">
        <f>IFERROR(IF(Benchmark1[[#This Row],[Comparable '#2 Date Check]]="Pass",Benchmark1[[#This Row],[Comparable '#2 Return]]-Benchmark1[[#This Row],[Benchmark '#1 Return]],"-"),"-")</f>
        <v>1.4778672778268139E-2</v>
      </c>
      <c r="P1145" s="1" t="str">
        <f>IF(COUNTIF(Comp3[Comparable '#3 Dates],Benchmark1[[#This Row],[Benchmark '#1 Dates]])=1,"Pass","Fail")</f>
        <v>Pass</v>
      </c>
      <c r="Q1145" s="6">
        <f>IF(Benchmark1[[#This Row],[Comparable '#3 Date Check]]="Pass",INDEX(Comp3[Comparable '#3 Price],MATCH(Benchmark1[[#This Row],[Benchmark '#1 Dates]],Comp3[Comparable '#3 Dates],0)),"-")</f>
        <v>86.7</v>
      </c>
      <c r="R1145" s="22">
        <f>IF(Benchmark1[[#This Row],[Comparable '#3 Date Check]]="Pass",INDEX(Comp3[Comparable '#3 Return],MATCH(Benchmark1[[#This Row],[Benchmark '#1 Dates]],Comp3[Comparable '#3 Dates],0)),"-")</f>
        <v>-1.958864485333034E-3</v>
      </c>
      <c r="S1145" s="1">
        <f>IFERROR(IF(Benchmark1[[#This Row],[Comparable '#3 Date Check]]="Pass",Benchmark1[[#This Row],[Comparable '#3 Return]]-Benchmark1[[#This Row],[Benchmark '#1 Return]],"-"),"-")</f>
        <v>5.7081809462168724E-3</v>
      </c>
    </row>
    <row r="1146" spans="1:19">
      <c r="A1146" s="103">
        <v>44946</v>
      </c>
      <c r="B1146" s="104">
        <v>3972.6104528429223</v>
      </c>
      <c r="C1146" s="4">
        <f t="shared" si="17"/>
        <v>1.8740563848394745E-2</v>
      </c>
      <c r="D1146" s="1" t="str">
        <f>IF(COUNTIF(Target1[Target Dates],Benchmark1[[#This Row],[Benchmark '#1 Dates]])=1,"Pass","Fail")</f>
        <v>Pass</v>
      </c>
      <c r="E1146" s="6">
        <f>IF(Benchmark1[[#This Row],[Target Date Check]]="Pass",INDEX(Target1[Target Price],MATCH(Benchmark1[[#This Row],[Benchmark '#1 Dates]],Target1[Target Dates],0)),"-")</f>
        <v>32.08</v>
      </c>
      <c r="F1146" s="22">
        <f>IF(Benchmark1[[#This Row],[Target Date Check]]="Pass",INDEX(Target1[Target Return],MATCH(Benchmark1[[#This Row],[Benchmark '#1 Dates]],Target1[Target Dates],0)),"-")</f>
        <v>7.1954009801412418E-3</v>
      </c>
      <c r="G1146" s="1">
        <f>IFERROR(IF(Benchmark1[[#This Row],[Target Date Check]]="Pass",Benchmark1[[#This Row],[Target Return]]-Benchmark1[[#This Row],[Benchmark '#1 Return]],"-"),"-")</f>
        <v>-1.1545162868253503E-2</v>
      </c>
      <c r="H1146" s="1" t="str">
        <f>IF(COUNTIF(Comp1[Comparable '#1 Dates],Benchmark1[[#This Row],[Benchmark '#1 Dates]])=1,"Pass","Fail")</f>
        <v>Pass</v>
      </c>
      <c r="I1146" s="6">
        <f>IF(Benchmark1[[#This Row],[Comparable '#1 Date Check]]="Pass",INDEX(Comp1[Comparable '#1 Price],MATCH(Benchmark1[[#This Row],[Benchmark '#1 Dates]],Comp1[Comparable '#1 Dates],0)),"-")</f>
        <v>10.7</v>
      </c>
      <c r="J1146" s="22">
        <f>IF(Benchmark1[[#This Row],[Comparable '#1 Date Check]]="Pass",INDEX(Comp1[Comparable '#1 Return],MATCH(Benchmark1[[#This Row],[Benchmark '#1 Dates]],Comp1[Comparable '#1 Dates],0)),"-")</f>
        <v>3.8099846232270175E-2</v>
      </c>
      <c r="K1146" s="1">
        <f>IFERROR(IF(Benchmark1[[#This Row],[Comparable '#1 Date Check]]="Pass",Benchmark1[[#This Row],[Comparable '#1 Return]]-Benchmark1[[#This Row],[Benchmark '#1 Return]],"-"),"-")</f>
        <v>1.935928238387543E-2</v>
      </c>
      <c r="L1146" s="1" t="str">
        <f>IF(COUNTIF(Comp2[Comparable '#2 Dates],Benchmark1[[#This Row],[Benchmark '#1 Dates]])=1,"Pass","Fail")</f>
        <v>Pass</v>
      </c>
      <c r="M1146" s="6">
        <f>IF(Benchmark1[[#This Row],[Comparable '#2 Date Check]]="Pass",INDEX(Comp2[Comparable '#2 Price],MATCH(Benchmark1[[#This Row],[Benchmark '#1 Dates]],Comp2[Comparable '#2 Dates],0)),"-")</f>
        <v>37.659999999999997</v>
      </c>
      <c r="N1146" s="22">
        <f>IF(Benchmark1[[#This Row],[Comparable '#2 Date Check]]="Pass",INDEX(Comp2[Comparable '#2 Return],MATCH(Benchmark1[[#This Row],[Benchmark '#1 Dates]],Comp2[Comparable '#2 Dates],0)),"-")</f>
        <v>2.6094284861815545E-2</v>
      </c>
      <c r="O1146" s="1">
        <f>IFERROR(IF(Benchmark1[[#This Row],[Comparable '#2 Date Check]]="Pass",Benchmark1[[#This Row],[Comparable '#2 Return]]-Benchmark1[[#This Row],[Benchmark '#1 Return]],"-"),"-")</f>
        <v>7.3537210134207998E-3</v>
      </c>
      <c r="P1146" s="1" t="str">
        <f>IF(COUNTIF(Comp3[Comparable '#3 Dates],Benchmark1[[#This Row],[Benchmark '#1 Dates]])=1,"Pass","Fail")</f>
        <v>Pass</v>
      </c>
      <c r="Q1146" s="6">
        <f>IF(Benchmark1[[#This Row],[Comparable '#3 Date Check]]="Pass",INDEX(Comp3[Comparable '#3 Price],MATCH(Benchmark1[[#This Row],[Benchmark '#1 Dates]],Comp3[Comparable '#3 Dates],0)),"-")</f>
        <v>89.04</v>
      </c>
      <c r="R1146" s="22">
        <f>IF(Benchmark1[[#This Row],[Comparable '#3 Date Check]]="Pass",INDEX(Comp3[Comparable '#3 Return],MATCH(Benchmark1[[#This Row],[Benchmark '#1 Dates]],Comp3[Comparable '#3 Dates],0)),"-")</f>
        <v>2.6631823180793192E-2</v>
      </c>
      <c r="S1146" s="1">
        <f>IFERROR(IF(Benchmark1[[#This Row],[Comparable '#3 Date Check]]="Pass",Benchmark1[[#This Row],[Comparable '#3 Return]]-Benchmark1[[#This Row],[Benchmark '#1 Return]],"-"),"-")</f>
        <v>7.8912593323984467E-3</v>
      </c>
    </row>
    <row r="1147" spans="1:19">
      <c r="A1147" s="103">
        <v>44949</v>
      </c>
      <c r="B1147" s="104">
        <v>4019.8141011368875</v>
      </c>
      <c r="C1147" s="4">
        <f t="shared" si="17"/>
        <v>1.1812234655434555E-2</v>
      </c>
      <c r="D1147" s="1" t="str">
        <f>IF(COUNTIF(Target1[Target Dates],Benchmark1[[#This Row],[Benchmark '#1 Dates]])=1,"Pass","Fail")</f>
        <v>Pass</v>
      </c>
      <c r="E1147" s="6">
        <f>IF(Benchmark1[[#This Row],[Target Date Check]]="Pass",INDEX(Target1[Target Price],MATCH(Benchmark1[[#This Row],[Benchmark '#1 Dates]],Target1[Target Dates],0)),"-")</f>
        <v>32.54</v>
      </c>
      <c r="F1147" s="22">
        <f>IF(Benchmark1[[#This Row],[Target Date Check]]="Pass",INDEX(Target1[Target Return],MATCH(Benchmark1[[#This Row],[Benchmark '#1 Dates]],Target1[Target Dates],0)),"-")</f>
        <v>1.4237318792577962E-2</v>
      </c>
      <c r="G1147" s="1">
        <f>IFERROR(IF(Benchmark1[[#This Row],[Target Date Check]]="Pass",Benchmark1[[#This Row],[Target Return]]-Benchmark1[[#This Row],[Benchmark '#1 Return]],"-"),"-")</f>
        <v>2.425084137143407E-3</v>
      </c>
      <c r="H1147" s="1" t="str">
        <f>IF(COUNTIF(Comp1[Comparable '#1 Dates],Benchmark1[[#This Row],[Benchmark '#1 Dates]])=1,"Pass","Fail")</f>
        <v>Pass</v>
      </c>
      <c r="I1147" s="6">
        <f>IF(Benchmark1[[#This Row],[Comparable '#1 Date Check]]="Pass",INDEX(Comp1[Comparable '#1 Price],MATCH(Benchmark1[[#This Row],[Benchmark '#1 Dates]],Comp1[Comparable '#1 Dates],0)),"-")</f>
        <v>10.62</v>
      </c>
      <c r="J1147" s="22">
        <f>IF(Benchmark1[[#This Row],[Comparable '#1 Date Check]]="Pass",INDEX(Comp1[Comparable '#1 Return],MATCH(Benchmark1[[#This Row],[Benchmark '#1 Dates]],Comp1[Comparable '#1 Dates],0)),"-")</f>
        <v>-7.5047256540676927E-3</v>
      </c>
      <c r="K1147" s="1">
        <f>IFERROR(IF(Benchmark1[[#This Row],[Comparable '#1 Date Check]]="Pass",Benchmark1[[#This Row],[Comparable '#1 Return]]-Benchmark1[[#This Row],[Benchmark '#1 Return]],"-"),"-")</f>
        <v>-1.9316960309502248E-2</v>
      </c>
      <c r="L1147" s="1" t="str">
        <f>IF(COUNTIF(Comp2[Comparable '#2 Dates],Benchmark1[[#This Row],[Benchmark '#1 Dates]])=1,"Pass","Fail")</f>
        <v>Pass</v>
      </c>
      <c r="M1147" s="6">
        <f>IF(Benchmark1[[#This Row],[Comparable '#2 Date Check]]="Pass",INDEX(Comp2[Comparable '#2 Price],MATCH(Benchmark1[[#This Row],[Benchmark '#1 Dates]],Comp2[Comparable '#2 Dates],0)),"-")</f>
        <v>38.090000000000003</v>
      </c>
      <c r="N1147" s="22">
        <f>IF(Benchmark1[[#This Row],[Comparable '#2 Date Check]]="Pass",INDEX(Comp2[Comparable '#2 Return],MATCH(Benchmark1[[#This Row],[Benchmark '#1 Dates]],Comp2[Comparable '#2 Dates],0)),"-")</f>
        <v>1.135325726150649E-2</v>
      </c>
      <c r="O1147" s="1">
        <f>IFERROR(IF(Benchmark1[[#This Row],[Comparable '#2 Date Check]]="Pass",Benchmark1[[#This Row],[Comparable '#2 Return]]-Benchmark1[[#This Row],[Benchmark '#1 Return]],"-"),"-")</f>
        <v>-4.5897739392806482E-4</v>
      </c>
      <c r="P1147" s="1" t="str">
        <f>IF(COUNTIF(Comp3[Comparable '#3 Dates],Benchmark1[[#This Row],[Benchmark '#1 Dates]])=1,"Pass","Fail")</f>
        <v>Pass</v>
      </c>
      <c r="Q1147" s="6">
        <f>IF(Benchmark1[[#This Row],[Comparable '#3 Date Check]]="Pass",INDEX(Comp3[Comparable '#3 Price],MATCH(Benchmark1[[#This Row],[Benchmark '#1 Dates]],Comp3[Comparable '#3 Dates],0)),"-")</f>
        <v>89.73</v>
      </c>
      <c r="R1147" s="22">
        <f>IF(Benchmark1[[#This Row],[Comparable '#3 Date Check]]="Pass",INDEX(Comp3[Comparable '#3 Return],MATCH(Benchmark1[[#This Row],[Benchmark '#1 Dates]],Comp3[Comparable '#3 Dates],0)),"-")</f>
        <v>7.7194543426769647E-3</v>
      </c>
      <c r="S1147" s="1">
        <f>IFERROR(IF(Benchmark1[[#This Row],[Comparable '#3 Date Check]]="Pass",Benchmark1[[#This Row],[Comparable '#3 Return]]-Benchmark1[[#This Row],[Benchmark '#1 Return]],"-"),"-")</f>
        <v>-4.0927803127575905E-3</v>
      </c>
    </row>
    <row r="1148" spans="1:19">
      <c r="A1148" s="103">
        <v>44950</v>
      </c>
      <c r="B1148" s="104">
        <v>4016.949713481702</v>
      </c>
      <c r="C1148" s="4">
        <f t="shared" si="17"/>
        <v>-7.1282119085341043E-4</v>
      </c>
      <c r="D1148" s="1" t="str">
        <f>IF(COUNTIF(Target1[Target Dates],Benchmark1[[#This Row],[Benchmark '#1 Dates]])=1,"Pass","Fail")</f>
        <v>Pass</v>
      </c>
      <c r="E1148" s="6">
        <f>IF(Benchmark1[[#This Row],[Target Date Check]]="Pass",INDEX(Target1[Target Price],MATCH(Benchmark1[[#This Row],[Benchmark '#1 Dates]],Target1[Target Dates],0)),"-")</f>
        <v>32</v>
      </c>
      <c r="F1148" s="22">
        <f>IF(Benchmark1[[#This Row],[Target Date Check]]="Pass",INDEX(Target1[Target Return],MATCH(Benchmark1[[#This Row],[Benchmark '#1 Dates]],Target1[Target Dates],0)),"-")</f>
        <v>-1.6734198991165211E-2</v>
      </c>
      <c r="G1148" s="1">
        <f>IFERROR(IF(Benchmark1[[#This Row],[Target Date Check]]="Pass",Benchmark1[[#This Row],[Target Return]]-Benchmark1[[#This Row],[Benchmark '#1 Return]],"-"),"-")</f>
        <v>-1.6021377800311799E-2</v>
      </c>
      <c r="H1148" s="1" t="str">
        <f>IF(COUNTIF(Comp1[Comparable '#1 Dates],Benchmark1[[#This Row],[Benchmark '#1 Dates]])=1,"Pass","Fail")</f>
        <v>Pass</v>
      </c>
      <c r="I1148" s="6">
        <f>IF(Benchmark1[[#This Row],[Comparable '#1 Date Check]]="Pass",INDEX(Comp1[Comparable '#1 Price],MATCH(Benchmark1[[#This Row],[Benchmark '#1 Dates]],Comp1[Comparable '#1 Dates],0)),"-")</f>
        <v>10.84</v>
      </c>
      <c r="J1148" s="22">
        <f>IF(Benchmark1[[#This Row],[Comparable '#1 Date Check]]="Pass",INDEX(Comp1[Comparable '#1 Return],MATCH(Benchmark1[[#This Row],[Benchmark '#1 Dates]],Comp1[Comparable '#1 Dates],0)),"-")</f>
        <v>2.0503980197707369E-2</v>
      </c>
      <c r="K1148" s="1">
        <f>IFERROR(IF(Benchmark1[[#This Row],[Comparable '#1 Date Check]]="Pass",Benchmark1[[#This Row],[Comparable '#1 Return]]-Benchmark1[[#This Row],[Benchmark '#1 Return]],"-"),"-")</f>
        <v>2.1216801388560781E-2</v>
      </c>
      <c r="L1148" s="1" t="str">
        <f>IF(COUNTIF(Comp2[Comparable '#2 Dates],Benchmark1[[#This Row],[Benchmark '#1 Dates]])=1,"Pass","Fail")</f>
        <v>Pass</v>
      </c>
      <c r="M1148" s="6">
        <f>IF(Benchmark1[[#This Row],[Comparable '#2 Date Check]]="Pass",INDEX(Comp2[Comparable '#2 Price],MATCH(Benchmark1[[#This Row],[Benchmark '#1 Dates]],Comp2[Comparable '#2 Dates],0)),"-")</f>
        <v>38.46</v>
      </c>
      <c r="N1148" s="22">
        <f>IF(Benchmark1[[#This Row],[Comparable '#2 Date Check]]="Pass",INDEX(Comp2[Comparable '#2 Return],MATCH(Benchmark1[[#This Row],[Benchmark '#1 Dates]],Comp2[Comparable '#2 Dates],0)),"-")</f>
        <v>9.6669596701210395E-3</v>
      </c>
      <c r="O1148" s="1">
        <f>IFERROR(IF(Benchmark1[[#This Row],[Comparable '#2 Date Check]]="Pass",Benchmark1[[#This Row],[Comparable '#2 Return]]-Benchmark1[[#This Row],[Benchmark '#1 Return]],"-"),"-")</f>
        <v>1.037978086097445E-2</v>
      </c>
      <c r="P1148" s="1" t="str">
        <f>IF(COUNTIF(Comp3[Comparable '#3 Dates],Benchmark1[[#This Row],[Benchmark '#1 Dates]])=1,"Pass","Fail")</f>
        <v>Pass</v>
      </c>
      <c r="Q1148" s="6">
        <f>IF(Benchmark1[[#This Row],[Comparable '#3 Date Check]]="Pass",INDEX(Comp3[Comparable '#3 Price],MATCH(Benchmark1[[#This Row],[Benchmark '#1 Dates]],Comp3[Comparable '#3 Dates],0)),"-")</f>
        <v>91.35</v>
      </c>
      <c r="R1148" s="22">
        <f>IF(Benchmark1[[#This Row],[Comparable '#3 Date Check]]="Pass",INDEX(Comp3[Comparable '#3 Return],MATCH(Benchmark1[[#This Row],[Benchmark '#1 Dates]],Comp3[Comparable '#3 Dates],0)),"-")</f>
        <v>1.7893121514049377E-2</v>
      </c>
      <c r="S1148" s="1">
        <f>IFERROR(IF(Benchmark1[[#This Row],[Comparable '#3 Date Check]]="Pass",Benchmark1[[#This Row],[Comparable '#3 Return]]-Benchmark1[[#This Row],[Benchmark '#1 Return]],"-"),"-")</f>
        <v>1.8605942704902789E-2</v>
      </c>
    </row>
    <row r="1149" spans="1:19">
      <c r="A1149" s="103">
        <v>44951</v>
      </c>
      <c r="B1149" s="104">
        <v>4016.2192406515992</v>
      </c>
      <c r="C1149" s="4">
        <f t="shared" si="17"/>
        <v>-1.8186417745895959E-4</v>
      </c>
      <c r="D1149" s="1" t="str">
        <f>IF(COUNTIF(Target1[Target Dates],Benchmark1[[#This Row],[Benchmark '#1 Dates]])=1,"Pass","Fail")</f>
        <v>Pass</v>
      </c>
      <c r="E1149" s="6">
        <f>IF(Benchmark1[[#This Row],[Target Date Check]]="Pass",INDEX(Target1[Target Price],MATCH(Benchmark1[[#This Row],[Benchmark '#1 Dates]],Target1[Target Dates],0)),"-")</f>
        <v>40.86</v>
      </c>
      <c r="F1149" s="22">
        <f>IF(Benchmark1[[#This Row],[Target Date Check]]="Pass",INDEX(Target1[Target Return],MATCH(Benchmark1[[#This Row],[Benchmark '#1 Dates]],Target1[Target Dates],0)),"-")</f>
        <v>0.24441568658974944</v>
      </c>
      <c r="G1149" s="1">
        <f>IFERROR(IF(Benchmark1[[#This Row],[Target Date Check]]="Pass",Benchmark1[[#This Row],[Target Return]]-Benchmark1[[#This Row],[Benchmark '#1 Return]],"-"),"-")</f>
        <v>0.2445975507672084</v>
      </c>
      <c r="H1149" s="1" t="str">
        <f>IF(COUNTIF(Comp1[Comparable '#1 Dates],Benchmark1[[#This Row],[Benchmark '#1 Dates]])=1,"Pass","Fail")</f>
        <v>Pass</v>
      </c>
      <c r="I1149" s="6">
        <f>IF(Benchmark1[[#This Row],[Comparable '#1 Date Check]]="Pass",INDEX(Comp1[Comparable '#1 Price],MATCH(Benchmark1[[#This Row],[Benchmark '#1 Dates]],Comp1[Comparable '#1 Dates],0)),"-")</f>
        <v>10.98</v>
      </c>
      <c r="J1149" s="22">
        <f>IF(Benchmark1[[#This Row],[Comparable '#1 Date Check]]="Pass",INDEX(Comp1[Comparable '#1 Return],MATCH(Benchmark1[[#This Row],[Benchmark '#1 Dates]],Comp1[Comparable '#1 Dates],0)),"-")</f>
        <v>1.2832440069884578E-2</v>
      </c>
      <c r="K1149" s="1">
        <f>IFERROR(IF(Benchmark1[[#This Row],[Comparable '#1 Date Check]]="Pass",Benchmark1[[#This Row],[Comparable '#1 Return]]-Benchmark1[[#This Row],[Benchmark '#1 Return]],"-"),"-")</f>
        <v>1.3014304247343537E-2</v>
      </c>
      <c r="L1149" s="1" t="str">
        <f>IF(COUNTIF(Comp2[Comparable '#2 Dates],Benchmark1[[#This Row],[Benchmark '#1 Dates]])=1,"Pass","Fail")</f>
        <v>Pass</v>
      </c>
      <c r="M1149" s="6">
        <f>IF(Benchmark1[[#This Row],[Comparable '#2 Date Check]]="Pass",INDEX(Comp2[Comparable '#2 Price],MATCH(Benchmark1[[#This Row],[Benchmark '#1 Dates]],Comp2[Comparable '#2 Dates],0)),"-")</f>
        <v>38.64</v>
      </c>
      <c r="N1149" s="22">
        <f>IF(Benchmark1[[#This Row],[Comparable '#2 Date Check]]="Pass",INDEX(Comp2[Comparable '#2 Return],MATCH(Benchmark1[[#This Row],[Benchmark '#1 Dates]],Comp2[Comparable '#2 Dates],0)),"-")</f>
        <v>4.6692691836834714E-3</v>
      </c>
      <c r="O1149" s="1">
        <f>IFERROR(IF(Benchmark1[[#This Row],[Comparable '#2 Date Check]]="Pass",Benchmark1[[#This Row],[Comparable '#2 Return]]-Benchmark1[[#This Row],[Benchmark '#1 Return]],"-"),"-")</f>
        <v>4.8511333611424307E-3</v>
      </c>
      <c r="P1149" s="1" t="str">
        <f>IF(COUNTIF(Comp3[Comparable '#3 Dates],Benchmark1[[#This Row],[Benchmark '#1 Dates]])=1,"Pass","Fail")</f>
        <v>Pass</v>
      </c>
      <c r="Q1149" s="6">
        <f>IF(Benchmark1[[#This Row],[Comparable '#3 Date Check]]="Pass",INDEX(Comp3[Comparable '#3 Price],MATCH(Benchmark1[[#This Row],[Benchmark '#1 Dates]],Comp3[Comparable '#3 Dates],0)),"-")</f>
        <v>92.94</v>
      </c>
      <c r="R1149" s="22">
        <f>IF(Benchmark1[[#This Row],[Comparable '#3 Date Check]]="Pass",INDEX(Comp3[Comparable '#3 Return],MATCH(Benchmark1[[#This Row],[Benchmark '#1 Dates]],Comp3[Comparable '#3 Dates],0)),"-")</f>
        <v>1.7255840832816588E-2</v>
      </c>
      <c r="S1149" s="1">
        <f>IFERROR(IF(Benchmark1[[#This Row],[Comparable '#3 Date Check]]="Pass",Benchmark1[[#This Row],[Comparable '#3 Return]]-Benchmark1[[#This Row],[Benchmark '#1 Return]],"-"),"-")</f>
        <v>1.7437705010275549E-2</v>
      </c>
    </row>
    <row r="1150" spans="1:19">
      <c r="A1150" s="103">
        <v>44952</v>
      </c>
      <c r="B1150" s="104">
        <v>4060.427350841624</v>
      </c>
      <c r="C1150" s="4">
        <f t="shared" si="17"/>
        <v>1.0947254207238587E-2</v>
      </c>
      <c r="D1150" s="1" t="str">
        <f>IF(COUNTIF(Target1[Target Dates],Benchmark1[[#This Row],[Benchmark '#1 Dates]])=1,"Pass","Fail")</f>
        <v>Pass</v>
      </c>
      <c r="E1150" s="6">
        <f>IF(Benchmark1[[#This Row],[Target Date Check]]="Pass",INDEX(Target1[Target Price],MATCH(Benchmark1[[#This Row],[Benchmark '#1 Dates]],Target1[Target Dates],0)),"-")</f>
        <v>40.11</v>
      </c>
      <c r="F1150" s="22">
        <f>IF(Benchmark1[[#This Row],[Target Date Check]]="Pass",INDEX(Target1[Target Return],MATCH(Benchmark1[[#This Row],[Benchmark '#1 Dates]],Target1[Target Dates],0)),"-")</f>
        <v>-1.8525909607514528E-2</v>
      </c>
      <c r="G1150" s="1">
        <f>IFERROR(IF(Benchmark1[[#This Row],[Target Date Check]]="Pass",Benchmark1[[#This Row],[Target Return]]-Benchmark1[[#This Row],[Benchmark '#1 Return]],"-"),"-")</f>
        <v>-2.9473163814753116E-2</v>
      </c>
      <c r="H1150" s="1" t="str">
        <f>IF(COUNTIF(Comp1[Comparable '#1 Dates],Benchmark1[[#This Row],[Benchmark '#1 Dates]])=1,"Pass","Fail")</f>
        <v>Pass</v>
      </c>
      <c r="I1150" s="6">
        <f>IF(Benchmark1[[#This Row],[Comparable '#1 Date Check]]="Pass",INDEX(Comp1[Comparable '#1 Price],MATCH(Benchmark1[[#This Row],[Benchmark '#1 Dates]],Comp1[Comparable '#1 Dates],0)),"-")</f>
        <v>11</v>
      </c>
      <c r="J1150" s="22">
        <f>IF(Benchmark1[[#This Row],[Comparable '#1 Date Check]]="Pass",INDEX(Comp1[Comparable '#1 Return],MATCH(Benchmark1[[#This Row],[Benchmark '#1 Dates]],Comp1[Comparable '#1 Dates],0)),"-")</f>
        <v>1.8198367169858993E-3</v>
      </c>
      <c r="K1150" s="1">
        <f>IFERROR(IF(Benchmark1[[#This Row],[Comparable '#1 Date Check]]="Pass",Benchmark1[[#This Row],[Comparable '#1 Return]]-Benchmark1[[#This Row],[Benchmark '#1 Return]],"-"),"-")</f>
        <v>-9.1274174902526879E-3</v>
      </c>
      <c r="L1150" s="1" t="str">
        <f>IF(COUNTIF(Comp2[Comparable '#2 Dates],Benchmark1[[#This Row],[Benchmark '#1 Dates]])=1,"Pass","Fail")</f>
        <v>Pass</v>
      </c>
      <c r="M1150" s="6">
        <f>IF(Benchmark1[[#This Row],[Comparable '#2 Date Check]]="Pass",INDEX(Comp2[Comparable '#2 Price],MATCH(Benchmark1[[#This Row],[Benchmark '#1 Dates]],Comp2[Comparable '#2 Dates],0)),"-")</f>
        <v>38.79</v>
      </c>
      <c r="N1150" s="22">
        <f>IF(Benchmark1[[#This Row],[Comparable '#2 Date Check]]="Pass",INDEX(Comp2[Comparable '#2 Return],MATCH(Benchmark1[[#This Row],[Benchmark '#1 Dates]],Comp2[Comparable '#2 Dates],0)),"-")</f>
        <v>3.8744721075584933E-3</v>
      </c>
      <c r="O1150" s="1">
        <f>IFERROR(IF(Benchmark1[[#This Row],[Comparable '#2 Date Check]]="Pass",Benchmark1[[#This Row],[Comparable '#2 Return]]-Benchmark1[[#This Row],[Benchmark '#1 Return]],"-"),"-")</f>
        <v>-7.0727820996800937E-3</v>
      </c>
      <c r="P1150" s="1" t="str">
        <f>IF(COUNTIF(Comp3[Comparable '#3 Dates],Benchmark1[[#This Row],[Benchmark '#1 Dates]])=1,"Pass","Fail")</f>
        <v>Pass</v>
      </c>
      <c r="Q1150" s="6">
        <f>IF(Benchmark1[[#This Row],[Comparable '#3 Date Check]]="Pass",INDEX(Comp3[Comparable '#3 Price],MATCH(Benchmark1[[#This Row],[Benchmark '#1 Dates]],Comp3[Comparable '#3 Dates],0)),"-")</f>
        <v>92.93</v>
      </c>
      <c r="R1150" s="22">
        <f>IF(Benchmark1[[#This Row],[Comparable '#3 Date Check]]="Pass",INDEX(Comp3[Comparable '#3 Return],MATCH(Benchmark1[[#This Row],[Benchmark '#1 Dates]],Comp3[Comparable '#3 Dates],0)),"-")</f>
        <v>-1.0760208758416559E-4</v>
      </c>
      <c r="S1150" s="1">
        <f>IFERROR(IF(Benchmark1[[#This Row],[Comparable '#3 Date Check]]="Pass",Benchmark1[[#This Row],[Comparable '#3 Return]]-Benchmark1[[#This Row],[Benchmark '#1 Return]],"-"),"-")</f>
        <v>-1.1054856294822753E-2</v>
      </c>
    </row>
    <row r="1151" spans="1:19">
      <c r="A1151" s="103">
        <v>44953</v>
      </c>
      <c r="B1151" s="104">
        <v>4070.5582920533743</v>
      </c>
      <c r="C1151" s="4">
        <f t="shared" si="17"/>
        <v>2.4919356395980093E-3</v>
      </c>
      <c r="D1151" s="1" t="str">
        <f>IF(COUNTIF(Target1[Target Dates],Benchmark1[[#This Row],[Benchmark '#1 Dates]])=1,"Pass","Fail")</f>
        <v>Pass</v>
      </c>
      <c r="E1151" s="6">
        <f>IF(Benchmark1[[#This Row],[Target Date Check]]="Pass",INDEX(Target1[Target Price],MATCH(Benchmark1[[#This Row],[Benchmark '#1 Dates]],Target1[Target Dates],0)),"-")</f>
        <v>41</v>
      </c>
      <c r="F1151" s="22">
        <f>IF(Benchmark1[[#This Row],[Target Date Check]]="Pass",INDEX(Target1[Target Return],MATCH(Benchmark1[[#This Row],[Benchmark '#1 Dates]],Target1[Target Dates],0)),"-")</f>
        <v>2.194638692234625E-2</v>
      </c>
      <c r="G1151" s="1">
        <f>IFERROR(IF(Benchmark1[[#This Row],[Target Date Check]]="Pass",Benchmark1[[#This Row],[Target Return]]-Benchmark1[[#This Row],[Benchmark '#1 Return]],"-"),"-")</f>
        <v>1.9454451282748239E-2</v>
      </c>
      <c r="H1151" s="1" t="str">
        <f>IF(COUNTIF(Comp1[Comparable '#1 Dates],Benchmark1[[#This Row],[Benchmark '#1 Dates]])=1,"Pass","Fail")</f>
        <v>Pass</v>
      </c>
      <c r="I1151" s="6">
        <f>IF(Benchmark1[[#This Row],[Comparable '#1 Date Check]]="Pass",INDEX(Comp1[Comparable '#1 Price],MATCH(Benchmark1[[#This Row],[Benchmark '#1 Dates]],Comp1[Comparable '#1 Dates],0)),"-")</f>
        <v>11</v>
      </c>
      <c r="J1151" s="22">
        <f>IF(Benchmark1[[#This Row],[Comparable '#1 Date Check]]="Pass",INDEX(Comp1[Comparable '#1 Return],MATCH(Benchmark1[[#This Row],[Benchmark '#1 Dates]],Comp1[Comparable '#1 Dates],0)),"-")</f>
        <v>0</v>
      </c>
      <c r="K1151" s="1">
        <f>IFERROR(IF(Benchmark1[[#This Row],[Comparable '#1 Date Check]]="Pass",Benchmark1[[#This Row],[Comparable '#1 Return]]-Benchmark1[[#This Row],[Benchmark '#1 Return]],"-"),"-")</f>
        <v>-2.4919356395980093E-3</v>
      </c>
      <c r="L1151" s="1" t="str">
        <f>IF(COUNTIF(Comp2[Comparable '#2 Dates],Benchmark1[[#This Row],[Benchmark '#1 Dates]])=1,"Pass","Fail")</f>
        <v>Pass</v>
      </c>
      <c r="M1151" s="6">
        <f>IF(Benchmark1[[#This Row],[Comparable '#2 Date Check]]="Pass",INDEX(Comp2[Comparable '#2 Price],MATCH(Benchmark1[[#This Row],[Benchmark '#1 Dates]],Comp2[Comparable '#2 Dates],0)),"-")</f>
        <v>38.25</v>
      </c>
      <c r="N1151" s="22">
        <f>IF(Benchmark1[[#This Row],[Comparable '#2 Date Check]]="Pass",INDEX(Comp2[Comparable '#2 Return],MATCH(Benchmark1[[#This Row],[Benchmark '#1 Dates]],Comp2[Comparable '#2 Dates],0)),"-")</f>
        <v>-1.4018921179330929E-2</v>
      </c>
      <c r="O1151" s="1">
        <f>IFERROR(IF(Benchmark1[[#This Row],[Comparable '#2 Date Check]]="Pass",Benchmark1[[#This Row],[Comparable '#2 Return]]-Benchmark1[[#This Row],[Benchmark '#1 Return]],"-"),"-")</f>
        <v>-1.6510856818928939E-2</v>
      </c>
      <c r="P1151" s="1" t="str">
        <f>IF(COUNTIF(Comp3[Comparable '#3 Dates],Benchmark1[[#This Row],[Benchmark '#1 Dates]])=1,"Pass","Fail")</f>
        <v>Pass</v>
      </c>
      <c r="Q1151" s="6">
        <f>IF(Benchmark1[[#This Row],[Comparable '#3 Date Check]]="Pass",INDEX(Comp3[Comparable '#3 Price],MATCH(Benchmark1[[#This Row],[Benchmark '#1 Dates]],Comp3[Comparable '#3 Dates],0)),"-")</f>
        <v>92.81</v>
      </c>
      <c r="R1151" s="22">
        <f>IF(Benchmark1[[#This Row],[Comparable '#3 Date Check]]="Pass",INDEX(Comp3[Comparable '#3 Return],MATCH(Benchmark1[[#This Row],[Benchmark '#1 Dates]],Comp3[Comparable '#3 Dates],0)),"-")</f>
        <v>-1.292128961946553E-3</v>
      </c>
      <c r="S1151" s="1">
        <f>IFERROR(IF(Benchmark1[[#This Row],[Comparable '#3 Date Check]]="Pass",Benchmark1[[#This Row],[Comparable '#3 Return]]-Benchmark1[[#This Row],[Benchmark '#1 Return]],"-"),"-")</f>
        <v>-3.7840646015445626E-3</v>
      </c>
    </row>
    <row r="1152" spans="1:19">
      <c r="A1152" s="103">
        <v>44956</v>
      </c>
      <c r="B1152" s="104">
        <v>4017.7725695795034</v>
      </c>
      <c r="C1152" s="4">
        <f t="shared" si="17"/>
        <v>-1.3052500643274947E-2</v>
      </c>
      <c r="D1152" s="1" t="str">
        <f>IF(COUNTIF(Target1[Target Dates],Benchmark1[[#This Row],[Benchmark '#1 Dates]])=1,"Pass","Fail")</f>
        <v>Pass</v>
      </c>
      <c r="E1152" s="6">
        <f>IF(Benchmark1[[#This Row],[Target Date Check]]="Pass",INDEX(Target1[Target Price],MATCH(Benchmark1[[#This Row],[Benchmark '#1 Dates]],Target1[Target Dates],0)),"-")</f>
        <v>41.65</v>
      </c>
      <c r="F1152" s="22">
        <f>IF(Benchmark1[[#This Row],[Target Date Check]]="Pass",INDEX(Target1[Target Return],MATCH(Benchmark1[[#This Row],[Benchmark '#1 Dates]],Target1[Target Dates],0)),"-")</f>
        <v>1.5729301908543908E-2</v>
      </c>
      <c r="G1152" s="1">
        <f>IFERROR(IF(Benchmark1[[#This Row],[Target Date Check]]="Pass",Benchmark1[[#This Row],[Target Return]]-Benchmark1[[#This Row],[Benchmark '#1 Return]],"-"),"-")</f>
        <v>2.8781802551818857E-2</v>
      </c>
      <c r="H1152" s="1" t="str">
        <f>IF(COUNTIF(Comp1[Comparable '#1 Dates],Benchmark1[[#This Row],[Benchmark '#1 Dates]])=1,"Pass","Fail")</f>
        <v>Pass</v>
      </c>
      <c r="I1152" s="6">
        <f>IF(Benchmark1[[#This Row],[Comparable '#1 Date Check]]="Pass",INDEX(Comp1[Comparable '#1 Price],MATCH(Benchmark1[[#This Row],[Benchmark '#1 Dates]],Comp1[Comparable '#1 Dates],0)),"-")</f>
        <v>10.92</v>
      </c>
      <c r="J1152" s="22">
        <f>IF(Benchmark1[[#This Row],[Comparable '#1 Date Check]]="Pass",INDEX(Comp1[Comparable '#1 Return],MATCH(Benchmark1[[#This Row],[Benchmark '#1 Dates]],Comp1[Comparable '#1 Dates],0)),"-")</f>
        <v>-7.2993024816116079E-3</v>
      </c>
      <c r="K1152" s="1">
        <f>IFERROR(IF(Benchmark1[[#This Row],[Comparable '#1 Date Check]]="Pass",Benchmark1[[#This Row],[Comparable '#1 Return]]-Benchmark1[[#This Row],[Benchmark '#1 Return]],"-"),"-")</f>
        <v>5.7531981616633391E-3</v>
      </c>
      <c r="L1152" s="1" t="str">
        <f>IF(COUNTIF(Comp2[Comparable '#2 Dates],Benchmark1[[#This Row],[Benchmark '#1 Dates]])=1,"Pass","Fail")</f>
        <v>Pass</v>
      </c>
      <c r="M1152" s="6">
        <f>IF(Benchmark1[[#This Row],[Comparable '#2 Date Check]]="Pass",INDEX(Comp2[Comparable '#2 Price],MATCH(Benchmark1[[#This Row],[Benchmark '#1 Dates]],Comp2[Comparable '#2 Dates],0)),"-")</f>
        <v>37.619999999999997</v>
      </c>
      <c r="N1152" s="22">
        <f>IF(Benchmark1[[#This Row],[Comparable '#2 Date Check]]="Pass",INDEX(Comp2[Comparable '#2 Return],MATCH(Benchmark1[[#This Row],[Benchmark '#1 Dates]],Comp2[Comparable '#2 Dates],0)),"-")</f>
        <v>-1.6607736399660636E-2</v>
      </c>
      <c r="O1152" s="1">
        <f>IFERROR(IF(Benchmark1[[#This Row],[Comparable '#2 Date Check]]="Pass",Benchmark1[[#This Row],[Comparable '#2 Return]]-Benchmark1[[#This Row],[Benchmark '#1 Return]],"-"),"-")</f>
        <v>-3.5552357563856888E-3</v>
      </c>
      <c r="P1152" s="1" t="str">
        <f>IF(COUNTIF(Comp3[Comparable '#3 Dates],Benchmark1[[#This Row],[Benchmark '#1 Dates]])=1,"Pass","Fail")</f>
        <v>Pass</v>
      </c>
      <c r="Q1152" s="6">
        <f>IF(Benchmark1[[#This Row],[Comparable '#3 Date Check]]="Pass",INDEX(Comp3[Comparable '#3 Price],MATCH(Benchmark1[[#This Row],[Benchmark '#1 Dates]],Comp3[Comparable '#3 Dates],0)),"-")</f>
        <v>92.79</v>
      </c>
      <c r="R1152" s="22">
        <f>IF(Benchmark1[[#This Row],[Comparable '#3 Date Check]]="Pass",INDEX(Comp3[Comparable '#3 Return],MATCH(Benchmark1[[#This Row],[Benchmark '#1 Dates]],Comp3[Comparable '#3 Dates],0)),"-")</f>
        <v>-2.155172422135078E-4</v>
      </c>
      <c r="S1152" s="1">
        <f>IFERROR(IF(Benchmark1[[#This Row],[Comparable '#3 Date Check]]="Pass",Benchmark1[[#This Row],[Comparable '#3 Return]]-Benchmark1[[#This Row],[Benchmark '#1 Return]],"-"),"-")</f>
        <v>1.2836983401061439E-2</v>
      </c>
    </row>
    <row r="1153" spans="1:19">
      <c r="A1153" s="103">
        <v>44957</v>
      </c>
      <c r="B1153" s="104">
        <v>4076.6038194027756</v>
      </c>
      <c r="C1153" s="4">
        <f t="shared" si="17"/>
        <v>1.4536582677313795E-2</v>
      </c>
      <c r="D1153" s="1" t="str">
        <f>IF(COUNTIF(Target1[Target Dates],Benchmark1[[#This Row],[Benchmark '#1 Dates]])=1,"Pass","Fail")</f>
        <v>Pass</v>
      </c>
      <c r="E1153" s="6">
        <f>IF(Benchmark1[[#This Row],[Target Date Check]]="Pass",INDEX(Target1[Target Price],MATCH(Benchmark1[[#This Row],[Benchmark '#1 Dates]],Target1[Target Dates],0)),"-")</f>
        <v>42.93</v>
      </c>
      <c r="F1153" s="22">
        <f>IF(Benchmark1[[#This Row],[Target Date Check]]="Pass",INDEX(Target1[Target Return],MATCH(Benchmark1[[#This Row],[Benchmark '#1 Dates]],Target1[Target Dates],0)),"-")</f>
        <v>3.0269513623617614E-2</v>
      </c>
      <c r="G1153" s="1">
        <f>IFERROR(IF(Benchmark1[[#This Row],[Target Date Check]]="Pass",Benchmark1[[#This Row],[Target Return]]-Benchmark1[[#This Row],[Benchmark '#1 Return]],"-"),"-")</f>
        <v>1.5732930946303819E-2</v>
      </c>
      <c r="H1153" s="1" t="str">
        <f>IF(COUNTIF(Comp1[Comparable '#1 Dates],Benchmark1[[#This Row],[Benchmark '#1 Dates]])=1,"Pass","Fail")</f>
        <v>Pass</v>
      </c>
      <c r="I1153" s="6">
        <f>IF(Benchmark1[[#This Row],[Comparable '#1 Date Check]]="Pass",INDEX(Comp1[Comparable '#1 Price],MATCH(Benchmark1[[#This Row],[Benchmark '#1 Dates]],Comp1[Comparable '#1 Dates],0)),"-")</f>
        <v>10.98</v>
      </c>
      <c r="J1153" s="22">
        <f>IF(Benchmark1[[#This Row],[Comparable '#1 Date Check]]="Pass",INDEX(Comp1[Comparable '#1 Return],MATCH(Benchmark1[[#This Row],[Benchmark '#1 Dates]],Comp1[Comparable '#1 Dates],0)),"-")</f>
        <v>5.4794657646255705E-3</v>
      </c>
      <c r="K1153" s="1">
        <f>IFERROR(IF(Benchmark1[[#This Row],[Comparable '#1 Date Check]]="Pass",Benchmark1[[#This Row],[Comparable '#1 Return]]-Benchmark1[[#This Row],[Benchmark '#1 Return]],"-"),"-")</f>
        <v>-9.0571169126882241E-3</v>
      </c>
      <c r="L1153" s="1" t="str">
        <f>IF(COUNTIF(Comp2[Comparable '#2 Dates],Benchmark1[[#This Row],[Benchmark '#1 Dates]])=1,"Pass","Fail")</f>
        <v>Pass</v>
      </c>
      <c r="M1153" s="6">
        <f>IF(Benchmark1[[#This Row],[Comparable '#2 Date Check]]="Pass",INDEX(Comp2[Comparable '#2 Price],MATCH(Benchmark1[[#This Row],[Benchmark '#1 Dates]],Comp2[Comparable '#2 Dates],0)),"-")</f>
        <v>38.18</v>
      </c>
      <c r="N1153" s="22">
        <f>IF(Benchmark1[[#This Row],[Comparable '#2 Date Check]]="Pass",INDEX(Comp2[Comparable '#2 Return],MATCH(Benchmark1[[#This Row],[Benchmark '#1 Dates]],Comp2[Comparable '#2 Dates],0)),"-")</f>
        <v>1.4775994424717206E-2</v>
      </c>
      <c r="O1153" s="1">
        <f>IFERROR(IF(Benchmark1[[#This Row],[Comparable '#2 Date Check]]="Pass",Benchmark1[[#This Row],[Comparable '#2 Return]]-Benchmark1[[#This Row],[Benchmark '#1 Return]],"-"),"-")</f>
        <v>2.3941174740341187E-4</v>
      </c>
      <c r="P1153" s="1" t="str">
        <f>IF(COUNTIF(Comp3[Comparable '#3 Dates],Benchmark1[[#This Row],[Benchmark '#1 Dates]])=1,"Pass","Fail")</f>
        <v>Pass</v>
      </c>
      <c r="Q1153" s="6">
        <f>IF(Benchmark1[[#This Row],[Comparable '#3 Date Check]]="Pass",INDEX(Comp3[Comparable '#3 Price],MATCH(Benchmark1[[#This Row],[Benchmark '#1 Dates]],Comp3[Comparable '#3 Dates],0)),"-")</f>
        <v>93.35</v>
      </c>
      <c r="R1153" s="22">
        <f>IF(Benchmark1[[#This Row],[Comparable '#3 Date Check]]="Pass",INDEX(Comp3[Comparable '#3 Return],MATCH(Benchmark1[[#This Row],[Benchmark '#1 Dates]],Comp3[Comparable '#3 Dates],0)),"-")</f>
        <v>6.0169946226435716E-3</v>
      </c>
      <c r="S1153" s="1">
        <f>IFERROR(IF(Benchmark1[[#This Row],[Comparable '#3 Date Check]]="Pass",Benchmark1[[#This Row],[Comparable '#3 Return]]-Benchmark1[[#This Row],[Benchmark '#1 Return]],"-"),"-")</f>
        <v>-8.519588054670223E-3</v>
      </c>
    </row>
    <row r="1154" spans="1:19">
      <c r="A1154" s="103">
        <v>44958</v>
      </c>
      <c r="B1154" s="104">
        <v>4119.2104044318203</v>
      </c>
      <c r="C1154" s="4">
        <f t="shared" ref="C1154:C1217" si="18">IFERROR(IF(B1154="","-",LN(B1154/B1153)),"-")</f>
        <v>1.0397251008645182E-2</v>
      </c>
      <c r="D1154" s="1" t="str">
        <f>IF(COUNTIF(Target1[Target Dates],Benchmark1[[#This Row],[Benchmark '#1 Dates]])=1,"Pass","Fail")</f>
        <v>Pass</v>
      </c>
      <c r="E1154" s="6">
        <f>IF(Benchmark1[[#This Row],[Target Date Check]]="Pass",INDEX(Target1[Target Price],MATCH(Benchmark1[[#This Row],[Benchmark '#1 Dates]],Target1[Target Dates],0)),"-")</f>
        <v>43.25</v>
      </c>
      <c r="F1154" s="22">
        <f>IF(Benchmark1[[#This Row],[Target Date Check]]="Pass",INDEX(Target1[Target Return],MATCH(Benchmark1[[#This Row],[Benchmark '#1 Dates]],Target1[Target Dates],0)),"-")</f>
        <v>7.4263511414190296E-3</v>
      </c>
      <c r="G1154" s="1">
        <f>IFERROR(IF(Benchmark1[[#This Row],[Target Date Check]]="Pass",Benchmark1[[#This Row],[Target Return]]-Benchmark1[[#This Row],[Benchmark '#1 Return]],"-"),"-")</f>
        <v>-2.9708998672261519E-3</v>
      </c>
      <c r="H1154" s="1" t="str">
        <f>IF(COUNTIF(Comp1[Comparable '#1 Dates],Benchmark1[[#This Row],[Benchmark '#1 Dates]])=1,"Pass","Fail")</f>
        <v>Pass</v>
      </c>
      <c r="I1154" s="6">
        <f>IF(Benchmark1[[#This Row],[Comparable '#1 Date Check]]="Pass",INDEX(Comp1[Comparable '#1 Price],MATCH(Benchmark1[[#This Row],[Benchmark '#1 Dates]],Comp1[Comparable '#1 Dates],0)),"-")</f>
        <v>11.28</v>
      </c>
      <c r="J1154" s="22">
        <f>IF(Benchmark1[[#This Row],[Comparable '#1 Date Check]]="Pass",INDEX(Comp1[Comparable '#1 Return],MATCH(Benchmark1[[#This Row],[Benchmark '#1 Dates]],Comp1[Comparable '#1 Dates],0)),"-")</f>
        <v>2.695580998852808E-2</v>
      </c>
      <c r="K1154" s="1">
        <f>IFERROR(IF(Benchmark1[[#This Row],[Comparable '#1 Date Check]]="Pass",Benchmark1[[#This Row],[Comparable '#1 Return]]-Benchmark1[[#This Row],[Benchmark '#1 Return]],"-"),"-")</f>
        <v>1.6558558979882898E-2</v>
      </c>
      <c r="L1154" s="1" t="str">
        <f>IF(COUNTIF(Comp2[Comparable '#2 Dates],Benchmark1[[#This Row],[Benchmark '#1 Dates]])=1,"Pass","Fail")</f>
        <v>Pass</v>
      </c>
      <c r="M1154" s="6">
        <f>IF(Benchmark1[[#This Row],[Comparable '#2 Date Check]]="Pass",INDEX(Comp2[Comparable '#2 Price],MATCH(Benchmark1[[#This Row],[Benchmark '#1 Dates]],Comp2[Comparable '#2 Dates],0)),"-")</f>
        <v>38.54</v>
      </c>
      <c r="N1154" s="22">
        <f>IF(Benchmark1[[#This Row],[Comparable '#2 Date Check]]="Pass",INDEX(Comp2[Comparable '#2 Return],MATCH(Benchmark1[[#This Row],[Benchmark '#1 Dates]],Comp2[Comparable '#2 Dates],0)),"-")</f>
        <v>9.3848446886187018E-3</v>
      </c>
      <c r="O1154" s="1">
        <f>IFERROR(IF(Benchmark1[[#This Row],[Comparable '#2 Date Check]]="Pass",Benchmark1[[#This Row],[Comparable '#2 Return]]-Benchmark1[[#This Row],[Benchmark '#1 Return]],"-"),"-")</f>
        <v>-1.0124063200264797E-3</v>
      </c>
      <c r="P1154" s="1" t="str">
        <f>IF(COUNTIF(Comp3[Comparable '#3 Dates],Benchmark1[[#This Row],[Benchmark '#1 Dates]])=1,"Pass","Fail")</f>
        <v>Pass</v>
      </c>
      <c r="Q1154" s="6">
        <f>IF(Benchmark1[[#This Row],[Comparable '#3 Date Check]]="Pass",INDEX(Comp3[Comparable '#3 Price],MATCH(Benchmark1[[#This Row],[Benchmark '#1 Dates]],Comp3[Comparable '#3 Dates],0)),"-")</f>
        <v>94.16</v>
      </c>
      <c r="R1154" s="22">
        <f>IF(Benchmark1[[#This Row],[Comparable '#3 Date Check]]="Pass",INDEX(Comp3[Comparable '#3 Return],MATCH(Benchmark1[[#This Row],[Benchmark '#1 Dates]],Comp3[Comparable '#3 Dates],0)),"-")</f>
        <v>8.6395929642896756E-3</v>
      </c>
      <c r="S1154" s="1">
        <f>IFERROR(IF(Benchmark1[[#This Row],[Comparable '#3 Date Check]]="Pass",Benchmark1[[#This Row],[Comparable '#3 Return]]-Benchmark1[[#This Row],[Benchmark '#1 Return]],"-"),"-")</f>
        <v>-1.7576580443555059E-3</v>
      </c>
    </row>
    <row r="1155" spans="1:19">
      <c r="A1155" s="103">
        <v>44959</v>
      </c>
      <c r="B1155" s="104">
        <v>4179.7555910057936</v>
      </c>
      <c r="C1155" s="4">
        <f t="shared" si="18"/>
        <v>1.459127819133295E-2</v>
      </c>
      <c r="D1155" s="1" t="str">
        <f>IF(COUNTIF(Target1[Target Dates],Benchmark1[[#This Row],[Benchmark '#1 Dates]])=1,"Pass","Fail")</f>
        <v>Pass</v>
      </c>
      <c r="E1155" s="6">
        <f>IF(Benchmark1[[#This Row],[Target Date Check]]="Pass",INDEX(Target1[Target Price],MATCH(Benchmark1[[#This Row],[Benchmark '#1 Dates]],Target1[Target Dates],0)),"-")</f>
        <v>42.55</v>
      </c>
      <c r="F1155" s="22">
        <f>IF(Benchmark1[[#This Row],[Target Date Check]]="Pass",INDEX(Target1[Target Return],MATCH(Benchmark1[[#This Row],[Benchmark '#1 Dates]],Target1[Target Dates],0)),"-")</f>
        <v>-1.6317378358505292E-2</v>
      </c>
      <c r="G1155" s="1">
        <f>IFERROR(IF(Benchmark1[[#This Row],[Target Date Check]]="Pass",Benchmark1[[#This Row],[Target Return]]-Benchmark1[[#This Row],[Benchmark '#1 Return]],"-"),"-")</f>
        <v>-3.0908656549838244E-2</v>
      </c>
      <c r="H1155" s="1" t="str">
        <f>IF(COUNTIF(Comp1[Comparable '#1 Dates],Benchmark1[[#This Row],[Benchmark '#1 Dates]])=1,"Pass","Fail")</f>
        <v>Pass</v>
      </c>
      <c r="I1155" s="6">
        <f>IF(Benchmark1[[#This Row],[Comparable '#1 Date Check]]="Pass",INDEX(Comp1[Comparable '#1 Price],MATCH(Benchmark1[[#This Row],[Benchmark '#1 Dates]],Comp1[Comparable '#1 Dates],0)),"-")</f>
        <v>11.18</v>
      </c>
      <c r="J1155" s="22">
        <f>IF(Benchmark1[[#This Row],[Comparable '#1 Date Check]]="Pass",INDEX(Comp1[Comparable '#1 Return],MATCH(Benchmark1[[#This Row],[Benchmark '#1 Dates]],Comp1[Comparable '#1 Dates],0)),"-")</f>
        <v>-8.9047783429597217E-3</v>
      </c>
      <c r="K1155" s="1">
        <f>IFERROR(IF(Benchmark1[[#This Row],[Comparable '#1 Date Check]]="Pass",Benchmark1[[#This Row],[Comparable '#1 Return]]-Benchmark1[[#This Row],[Benchmark '#1 Return]],"-"),"-")</f>
        <v>-2.3496056534292674E-2</v>
      </c>
      <c r="L1155" s="1" t="str">
        <f>IF(COUNTIF(Comp2[Comparable '#2 Dates],Benchmark1[[#This Row],[Benchmark '#1 Dates]])=1,"Pass","Fail")</f>
        <v>Pass</v>
      </c>
      <c r="M1155" s="6">
        <f>IF(Benchmark1[[#This Row],[Comparable '#2 Date Check]]="Pass",INDEX(Comp2[Comparable '#2 Price],MATCH(Benchmark1[[#This Row],[Benchmark '#1 Dates]],Comp2[Comparable '#2 Dates],0)),"-")</f>
        <v>38.64</v>
      </c>
      <c r="N1155" s="22">
        <f>IF(Benchmark1[[#This Row],[Comparable '#2 Date Check]]="Pass",INDEX(Comp2[Comparable '#2 Return],MATCH(Benchmark1[[#This Row],[Benchmark '#1 Dates]],Comp2[Comparable '#2 Dates],0)),"-")</f>
        <v>2.5913463580968894E-3</v>
      </c>
      <c r="O1155" s="1">
        <f>IFERROR(IF(Benchmark1[[#This Row],[Comparable '#2 Date Check]]="Pass",Benchmark1[[#This Row],[Comparable '#2 Return]]-Benchmark1[[#This Row],[Benchmark '#1 Return]],"-"),"-")</f>
        <v>-1.1999931833236062E-2</v>
      </c>
      <c r="P1155" s="1" t="str">
        <f>IF(COUNTIF(Comp3[Comparable '#3 Dates],Benchmark1[[#This Row],[Benchmark '#1 Dates]])=1,"Pass","Fail")</f>
        <v>Pass</v>
      </c>
      <c r="Q1155" s="6">
        <f>IF(Benchmark1[[#This Row],[Comparable '#3 Date Check]]="Pass",INDEX(Comp3[Comparable '#3 Price],MATCH(Benchmark1[[#This Row],[Benchmark '#1 Dates]],Comp3[Comparable '#3 Dates],0)),"-")</f>
        <v>96.07</v>
      </c>
      <c r="R1155" s="22">
        <f>IF(Benchmark1[[#This Row],[Comparable '#3 Date Check]]="Pass",INDEX(Comp3[Comparable '#3 Return],MATCH(Benchmark1[[#This Row],[Benchmark '#1 Dates]],Comp3[Comparable '#3 Dates],0)),"-")</f>
        <v>2.0081629469625731E-2</v>
      </c>
      <c r="S1155" s="1">
        <f>IFERROR(IF(Benchmark1[[#This Row],[Comparable '#3 Date Check]]="Pass",Benchmark1[[#This Row],[Comparable '#3 Return]]-Benchmark1[[#This Row],[Benchmark '#1 Return]],"-"),"-")</f>
        <v>5.4903512782927804E-3</v>
      </c>
    </row>
    <row r="1156" spans="1:19">
      <c r="A1156" s="103">
        <v>44960</v>
      </c>
      <c r="B1156" s="104">
        <v>4136.4816001271984</v>
      </c>
      <c r="C1156" s="4">
        <f t="shared" si="18"/>
        <v>-1.0407202311967498E-2</v>
      </c>
      <c r="D1156" s="1" t="str">
        <f>IF(COUNTIF(Target1[Target Dates],Benchmark1[[#This Row],[Benchmark '#1 Dates]])=1,"Pass","Fail")</f>
        <v>Pass</v>
      </c>
      <c r="E1156" s="6">
        <f>IF(Benchmark1[[#This Row],[Target Date Check]]="Pass",INDEX(Target1[Target Price],MATCH(Benchmark1[[#This Row],[Benchmark '#1 Dates]],Target1[Target Dates],0)),"-")</f>
        <v>42.85</v>
      </c>
      <c r="F1156" s="22">
        <f>IF(Benchmark1[[#This Row],[Target Date Check]]="Pass",INDEX(Target1[Target Return],MATCH(Benchmark1[[#This Row],[Benchmark '#1 Dates]],Target1[Target Dates],0)),"-")</f>
        <v>7.0257900244058225E-3</v>
      </c>
      <c r="G1156" s="1">
        <f>IFERROR(IF(Benchmark1[[#This Row],[Target Date Check]]="Pass",Benchmark1[[#This Row],[Target Return]]-Benchmark1[[#This Row],[Benchmark '#1 Return]],"-"),"-")</f>
        <v>1.7432992336373319E-2</v>
      </c>
      <c r="H1156" s="1" t="str">
        <f>IF(COUNTIF(Comp1[Comparable '#1 Dates],Benchmark1[[#This Row],[Benchmark '#1 Dates]])=1,"Pass","Fail")</f>
        <v>Pass</v>
      </c>
      <c r="I1156" s="6">
        <f>IF(Benchmark1[[#This Row],[Comparable '#1 Date Check]]="Pass",INDEX(Comp1[Comparable '#1 Price],MATCH(Benchmark1[[#This Row],[Benchmark '#1 Dates]],Comp1[Comparable '#1 Dates],0)),"-")</f>
        <v>11.24</v>
      </c>
      <c r="J1156" s="22">
        <f>IF(Benchmark1[[#This Row],[Comparable '#1 Date Check]]="Pass",INDEX(Comp1[Comparable '#1 Return],MATCH(Benchmark1[[#This Row],[Benchmark '#1 Dates]],Comp1[Comparable '#1 Dates],0)),"-")</f>
        <v>5.3523767385920606E-3</v>
      </c>
      <c r="K1156" s="1">
        <f>IFERROR(IF(Benchmark1[[#This Row],[Comparable '#1 Date Check]]="Pass",Benchmark1[[#This Row],[Comparable '#1 Return]]-Benchmark1[[#This Row],[Benchmark '#1 Return]],"-"),"-")</f>
        <v>1.5759579050559559E-2</v>
      </c>
      <c r="L1156" s="1" t="str">
        <f>IF(COUNTIF(Comp2[Comparable '#2 Dates],Benchmark1[[#This Row],[Benchmark '#1 Dates]])=1,"Pass","Fail")</f>
        <v>Pass</v>
      </c>
      <c r="M1156" s="6">
        <f>IF(Benchmark1[[#This Row],[Comparable '#2 Date Check]]="Pass",INDEX(Comp2[Comparable '#2 Price],MATCH(Benchmark1[[#This Row],[Benchmark '#1 Dates]],Comp2[Comparable '#2 Dates],0)),"-")</f>
        <v>43.83</v>
      </c>
      <c r="N1156" s="22">
        <f>IF(Benchmark1[[#This Row],[Comparable '#2 Date Check]]="Pass",INDEX(Comp2[Comparable '#2 Return],MATCH(Benchmark1[[#This Row],[Benchmark '#1 Dates]],Comp2[Comparable '#2 Dates],0)),"-")</f>
        <v>0.12603050508640043</v>
      </c>
      <c r="O1156" s="1">
        <f>IFERROR(IF(Benchmark1[[#This Row],[Comparable '#2 Date Check]]="Pass",Benchmark1[[#This Row],[Comparable '#2 Return]]-Benchmark1[[#This Row],[Benchmark '#1 Return]],"-"),"-")</f>
        <v>0.13643770739836791</v>
      </c>
      <c r="P1156" s="1" t="str">
        <f>IF(COUNTIF(Comp3[Comparable '#3 Dates],Benchmark1[[#This Row],[Benchmark '#1 Dates]])=1,"Pass","Fail")</f>
        <v>Pass</v>
      </c>
      <c r="Q1156" s="6">
        <f>IF(Benchmark1[[#This Row],[Comparable '#3 Date Check]]="Pass",INDEX(Comp3[Comparable '#3 Price],MATCH(Benchmark1[[#This Row],[Benchmark '#1 Dates]],Comp3[Comparable '#3 Dates],0)),"-")</f>
        <v>97.8</v>
      </c>
      <c r="R1156" s="22">
        <f>IF(Benchmark1[[#This Row],[Comparable '#3 Date Check]]="Pass",INDEX(Comp3[Comparable '#3 Return],MATCH(Benchmark1[[#This Row],[Benchmark '#1 Dates]],Comp3[Comparable '#3 Dates],0)),"-")</f>
        <v>1.7847484619124589E-2</v>
      </c>
      <c r="S1156" s="1">
        <f>IFERROR(IF(Benchmark1[[#This Row],[Comparable '#3 Date Check]]="Pass",Benchmark1[[#This Row],[Comparable '#3 Return]]-Benchmark1[[#This Row],[Benchmark '#1 Return]],"-"),"-")</f>
        <v>2.8254686931092086E-2</v>
      </c>
    </row>
    <row r="1157" spans="1:19">
      <c r="A1157" s="103">
        <v>44963</v>
      </c>
      <c r="B1157" s="104">
        <v>4111.0808819294953</v>
      </c>
      <c r="C1157" s="4">
        <f t="shared" si="18"/>
        <v>-6.1595892271588768E-3</v>
      </c>
      <c r="D1157" s="1" t="str">
        <f>IF(COUNTIF(Target1[Target Dates],Benchmark1[[#This Row],[Benchmark '#1 Dates]])=1,"Pass","Fail")</f>
        <v>Pass</v>
      </c>
      <c r="E1157" s="6">
        <f>IF(Benchmark1[[#This Row],[Target Date Check]]="Pass",INDEX(Target1[Target Price],MATCH(Benchmark1[[#This Row],[Benchmark '#1 Dates]],Target1[Target Dates],0)),"-")</f>
        <v>41.73</v>
      </c>
      <c r="F1157" s="22">
        <f>IF(Benchmark1[[#This Row],[Target Date Check]]="Pass",INDEX(Target1[Target Return],MATCH(Benchmark1[[#This Row],[Benchmark '#1 Dates]],Target1[Target Dates],0)),"-")</f>
        <v>-2.6485350440327644E-2</v>
      </c>
      <c r="G1157" s="1">
        <f>IFERROR(IF(Benchmark1[[#This Row],[Target Date Check]]="Pass",Benchmark1[[#This Row],[Target Return]]-Benchmark1[[#This Row],[Benchmark '#1 Return]],"-"),"-")</f>
        <v>-2.0325761213168765E-2</v>
      </c>
      <c r="H1157" s="1" t="str">
        <f>IF(COUNTIF(Comp1[Comparable '#1 Dates],Benchmark1[[#This Row],[Benchmark '#1 Dates]])=1,"Pass","Fail")</f>
        <v>Pass</v>
      </c>
      <c r="I1157" s="6">
        <f>IF(Benchmark1[[#This Row],[Comparable '#1 Date Check]]="Pass",INDEX(Comp1[Comparable '#1 Price],MATCH(Benchmark1[[#This Row],[Benchmark '#1 Dates]],Comp1[Comparable '#1 Dates],0)),"-")</f>
        <v>10.68</v>
      </c>
      <c r="J1157" s="22">
        <f>IF(Benchmark1[[#This Row],[Comparable '#1 Date Check]]="Pass",INDEX(Comp1[Comparable '#1 Return],MATCH(Benchmark1[[#This Row],[Benchmark '#1 Dates]],Comp1[Comparable '#1 Dates],0)),"-")</f>
        <v>-5.1106010933496301E-2</v>
      </c>
      <c r="K1157" s="1">
        <f>IFERROR(IF(Benchmark1[[#This Row],[Comparable '#1 Date Check]]="Pass",Benchmark1[[#This Row],[Comparable '#1 Return]]-Benchmark1[[#This Row],[Benchmark '#1 Return]],"-"),"-")</f>
        <v>-4.4946421706337426E-2</v>
      </c>
      <c r="L1157" s="1" t="str">
        <f>IF(COUNTIF(Comp2[Comparable '#2 Dates],Benchmark1[[#This Row],[Benchmark '#1 Dates]])=1,"Pass","Fail")</f>
        <v>Pass</v>
      </c>
      <c r="M1157" s="6">
        <f>IF(Benchmark1[[#This Row],[Comparable '#2 Date Check]]="Pass",INDEX(Comp2[Comparable '#2 Price],MATCH(Benchmark1[[#This Row],[Benchmark '#1 Dates]],Comp2[Comparable '#2 Dates],0)),"-")</f>
        <v>40.72</v>
      </c>
      <c r="N1157" s="22">
        <f>IF(Benchmark1[[#This Row],[Comparable '#2 Date Check]]="Pass",INDEX(Comp2[Comparable '#2 Return],MATCH(Benchmark1[[#This Row],[Benchmark '#1 Dates]],Comp2[Comparable '#2 Dates],0)),"-")</f>
        <v>-7.3599142188450442E-2</v>
      </c>
      <c r="O1157" s="1">
        <f>IFERROR(IF(Benchmark1[[#This Row],[Comparable '#2 Date Check]]="Pass",Benchmark1[[#This Row],[Comparable '#2 Return]]-Benchmark1[[#This Row],[Benchmark '#1 Return]],"-"),"-")</f>
        <v>-6.743955296129156E-2</v>
      </c>
      <c r="P1157" s="1" t="str">
        <f>IF(COUNTIF(Comp3[Comparable '#3 Dates],Benchmark1[[#This Row],[Benchmark '#1 Dates]])=1,"Pass","Fail")</f>
        <v>Pass</v>
      </c>
      <c r="Q1157" s="6">
        <f>IF(Benchmark1[[#This Row],[Comparable '#3 Date Check]]="Pass",INDEX(Comp3[Comparable '#3 Price],MATCH(Benchmark1[[#This Row],[Benchmark '#1 Dates]],Comp3[Comparable '#3 Dates],0)),"-")</f>
        <v>93.82</v>
      </c>
      <c r="R1157" s="22">
        <f>IF(Benchmark1[[#This Row],[Comparable '#3 Date Check]]="Pass",INDEX(Comp3[Comparable '#3 Return],MATCH(Benchmark1[[#This Row],[Benchmark '#1 Dates]],Comp3[Comparable '#3 Dates],0)),"-")</f>
        <v>-4.1546524140459742E-2</v>
      </c>
      <c r="S1157" s="1">
        <f>IFERROR(IF(Benchmark1[[#This Row],[Comparable '#3 Date Check]]="Pass",Benchmark1[[#This Row],[Comparable '#3 Return]]-Benchmark1[[#This Row],[Benchmark '#1 Return]],"-"),"-")</f>
        <v>-3.5386934913300867E-2</v>
      </c>
    </row>
    <row r="1158" spans="1:19">
      <c r="A1158" s="103">
        <v>44964</v>
      </c>
      <c r="B1158" s="104">
        <v>4163.9995513087861</v>
      </c>
      <c r="C1158" s="4">
        <f t="shared" si="18"/>
        <v>1.2790060761067657E-2</v>
      </c>
      <c r="D1158" s="1" t="str">
        <f>IF(COUNTIF(Target1[Target Dates],Benchmark1[[#This Row],[Benchmark '#1 Dates]])=1,"Pass","Fail")</f>
        <v>Pass</v>
      </c>
      <c r="E1158" s="6">
        <f>IF(Benchmark1[[#This Row],[Target Date Check]]="Pass",INDEX(Target1[Target Price],MATCH(Benchmark1[[#This Row],[Benchmark '#1 Dates]],Target1[Target Dates],0)),"-")</f>
        <v>41.8</v>
      </c>
      <c r="F1158" s="22">
        <f>IF(Benchmark1[[#This Row],[Target Date Check]]="Pass",INDEX(Target1[Target Return],MATCH(Benchmark1[[#This Row],[Benchmark '#1 Dates]],Target1[Target Dates],0)),"-")</f>
        <v>1.6760449272494736E-3</v>
      </c>
      <c r="G1158" s="1">
        <f>IFERROR(IF(Benchmark1[[#This Row],[Target Date Check]]="Pass",Benchmark1[[#This Row],[Target Return]]-Benchmark1[[#This Row],[Benchmark '#1 Return]],"-"),"-")</f>
        <v>-1.1114015833818184E-2</v>
      </c>
      <c r="H1158" s="1" t="str">
        <f>IF(COUNTIF(Comp1[Comparable '#1 Dates],Benchmark1[[#This Row],[Benchmark '#1 Dates]])=1,"Pass","Fail")</f>
        <v>Pass</v>
      </c>
      <c r="I1158" s="6">
        <f>IF(Benchmark1[[#This Row],[Comparable '#1 Date Check]]="Pass",INDEX(Comp1[Comparable '#1 Price],MATCH(Benchmark1[[#This Row],[Benchmark '#1 Dates]],Comp1[Comparable '#1 Dates],0)),"-")</f>
        <v>10.66</v>
      </c>
      <c r="J1158" s="22">
        <f>IF(Benchmark1[[#This Row],[Comparable '#1 Date Check]]="Pass",INDEX(Comp1[Comparable '#1 Return],MATCH(Benchmark1[[#This Row],[Benchmark '#1 Dates]],Comp1[Comparable '#1 Dates],0)),"-")</f>
        <v>-1.8744147943503039E-3</v>
      </c>
      <c r="K1158" s="1">
        <f>IFERROR(IF(Benchmark1[[#This Row],[Comparable '#1 Date Check]]="Pass",Benchmark1[[#This Row],[Comparable '#1 Return]]-Benchmark1[[#This Row],[Benchmark '#1 Return]],"-"),"-")</f>
        <v>-1.4664475555417961E-2</v>
      </c>
      <c r="L1158" s="1" t="str">
        <f>IF(COUNTIF(Comp2[Comparable '#2 Dates],Benchmark1[[#This Row],[Benchmark '#1 Dates]])=1,"Pass","Fail")</f>
        <v>Pass</v>
      </c>
      <c r="M1158" s="6">
        <f>IF(Benchmark1[[#This Row],[Comparable '#2 Date Check]]="Pass",INDEX(Comp2[Comparable '#2 Price],MATCH(Benchmark1[[#This Row],[Benchmark '#1 Dates]],Comp2[Comparable '#2 Dates],0)),"-")</f>
        <v>39.729999999999997</v>
      </c>
      <c r="N1158" s="22">
        <f>IF(Benchmark1[[#This Row],[Comparable '#2 Date Check]]="Pass",INDEX(Comp2[Comparable '#2 Return],MATCH(Benchmark1[[#This Row],[Benchmark '#1 Dates]],Comp2[Comparable '#2 Dates],0)),"-")</f>
        <v>-2.4612802415759794E-2</v>
      </c>
      <c r="O1158" s="1">
        <f>IFERROR(IF(Benchmark1[[#This Row],[Comparable '#2 Date Check]]="Pass",Benchmark1[[#This Row],[Comparable '#2 Return]]-Benchmark1[[#This Row],[Benchmark '#1 Return]],"-"),"-")</f>
        <v>-3.740286317682745E-2</v>
      </c>
      <c r="P1158" s="1" t="str">
        <f>IF(COUNTIF(Comp3[Comparable '#3 Dates],Benchmark1[[#This Row],[Benchmark '#1 Dates]])=1,"Pass","Fail")</f>
        <v>Pass</v>
      </c>
      <c r="Q1158" s="6">
        <f>IF(Benchmark1[[#This Row],[Comparable '#3 Date Check]]="Pass",INDEX(Comp3[Comparable '#3 Price],MATCH(Benchmark1[[#This Row],[Benchmark '#1 Dates]],Comp3[Comparable '#3 Dates],0)),"-")</f>
        <v>93.26</v>
      </c>
      <c r="R1158" s="22">
        <f>IF(Benchmark1[[#This Row],[Comparable '#3 Date Check]]="Pass",INDEX(Comp3[Comparable '#3 Return],MATCH(Benchmark1[[#This Row],[Benchmark '#1 Dates]],Comp3[Comparable '#3 Dates],0)),"-")</f>
        <v>-5.9867615201369901E-3</v>
      </c>
      <c r="S1158" s="1">
        <f>IFERROR(IF(Benchmark1[[#This Row],[Comparable '#3 Date Check]]="Pass",Benchmark1[[#This Row],[Comparable '#3 Return]]-Benchmark1[[#This Row],[Benchmark '#1 Return]],"-"),"-")</f>
        <v>-1.8776822281204648E-2</v>
      </c>
    </row>
    <row r="1159" spans="1:19">
      <c r="A1159" s="103">
        <v>44965</v>
      </c>
      <c r="B1159" s="104">
        <v>4117.8648048639816</v>
      </c>
      <c r="C1159" s="4">
        <f t="shared" si="18"/>
        <v>-1.1141265221626988E-2</v>
      </c>
      <c r="D1159" s="1" t="str">
        <f>IF(COUNTIF(Target1[Target Dates],Benchmark1[[#This Row],[Benchmark '#1 Dates]])=1,"Pass","Fail")</f>
        <v>Pass</v>
      </c>
      <c r="E1159" s="6">
        <f>IF(Benchmark1[[#This Row],[Target Date Check]]="Pass",INDEX(Target1[Target Price],MATCH(Benchmark1[[#This Row],[Benchmark '#1 Dates]],Target1[Target Dates],0)),"-")</f>
        <v>40.74</v>
      </c>
      <c r="F1159" s="22">
        <f>IF(Benchmark1[[#This Row],[Target Date Check]]="Pass",INDEX(Target1[Target Return],MATCH(Benchmark1[[#This Row],[Benchmark '#1 Dates]],Target1[Target Dates],0)),"-")</f>
        <v>-2.5685928732050743E-2</v>
      </c>
      <c r="G1159" s="1">
        <f>IFERROR(IF(Benchmark1[[#This Row],[Target Date Check]]="Pass",Benchmark1[[#This Row],[Target Return]]-Benchmark1[[#This Row],[Benchmark '#1 Return]],"-"),"-")</f>
        <v>-1.4544663510423755E-2</v>
      </c>
      <c r="H1159" s="1" t="str">
        <f>IF(COUNTIF(Comp1[Comparable '#1 Dates],Benchmark1[[#This Row],[Benchmark '#1 Dates]])=1,"Pass","Fail")</f>
        <v>Pass</v>
      </c>
      <c r="I1159" s="6">
        <f>IF(Benchmark1[[#This Row],[Comparable '#1 Date Check]]="Pass",INDEX(Comp1[Comparable '#1 Price],MATCH(Benchmark1[[#This Row],[Benchmark '#1 Dates]],Comp1[Comparable '#1 Dates],0)),"-")</f>
        <v>10.46</v>
      </c>
      <c r="J1159" s="22">
        <f>IF(Benchmark1[[#This Row],[Comparable '#1 Date Check]]="Pass",INDEX(Comp1[Comparable '#1 Return],MATCH(Benchmark1[[#This Row],[Benchmark '#1 Dates]],Comp1[Comparable '#1 Dates],0)),"-")</f>
        <v>-1.8939960100921614E-2</v>
      </c>
      <c r="K1159" s="1">
        <f>IFERROR(IF(Benchmark1[[#This Row],[Comparable '#1 Date Check]]="Pass",Benchmark1[[#This Row],[Comparable '#1 Return]]-Benchmark1[[#This Row],[Benchmark '#1 Return]],"-"),"-")</f>
        <v>-7.7986948792946251E-3</v>
      </c>
      <c r="L1159" s="1" t="str">
        <f>IF(COUNTIF(Comp2[Comparable '#2 Dates],Benchmark1[[#This Row],[Benchmark '#1 Dates]])=1,"Pass","Fail")</f>
        <v>Pass</v>
      </c>
      <c r="M1159" s="6">
        <f>IF(Benchmark1[[#This Row],[Comparable '#2 Date Check]]="Pass",INDEX(Comp2[Comparable '#2 Price],MATCH(Benchmark1[[#This Row],[Benchmark '#1 Dates]],Comp2[Comparable '#2 Dates],0)),"-")</f>
        <v>38.799999999999997</v>
      </c>
      <c r="N1159" s="22">
        <f>IF(Benchmark1[[#This Row],[Comparable '#2 Date Check]]="Pass",INDEX(Comp2[Comparable '#2 Return],MATCH(Benchmark1[[#This Row],[Benchmark '#1 Dates]],Comp2[Comparable '#2 Dates],0)),"-")</f>
        <v>-2.3686323197279788E-2</v>
      </c>
      <c r="O1159" s="1">
        <f>IFERROR(IF(Benchmark1[[#This Row],[Comparable '#2 Date Check]]="Pass",Benchmark1[[#This Row],[Comparable '#2 Return]]-Benchmark1[[#This Row],[Benchmark '#1 Return]],"-"),"-")</f>
        <v>-1.25450579756528E-2</v>
      </c>
      <c r="P1159" s="1" t="str">
        <f>IF(COUNTIF(Comp3[Comparable '#3 Dates],Benchmark1[[#This Row],[Benchmark '#1 Dates]])=1,"Pass","Fail")</f>
        <v>Pass</v>
      </c>
      <c r="Q1159" s="6">
        <f>IF(Benchmark1[[#This Row],[Comparable '#3 Date Check]]="Pass",INDEX(Comp3[Comparable '#3 Price],MATCH(Benchmark1[[#This Row],[Benchmark '#1 Dates]],Comp3[Comparable '#3 Dates],0)),"-")</f>
        <v>92.52</v>
      </c>
      <c r="R1159" s="22">
        <f>IF(Benchmark1[[#This Row],[Comparable '#3 Date Check]]="Pass",INDEX(Comp3[Comparable '#3 Return],MATCH(Benchmark1[[#This Row],[Benchmark '#1 Dates]],Comp3[Comparable '#3 Dates],0)),"-")</f>
        <v>-7.9664540169364223E-3</v>
      </c>
      <c r="S1159" s="1">
        <f>IFERROR(IF(Benchmark1[[#This Row],[Comparable '#3 Date Check]]="Pass",Benchmark1[[#This Row],[Comparable '#3 Return]]-Benchmark1[[#This Row],[Benchmark '#1 Return]],"-"),"-")</f>
        <v>3.1748112046905662E-3</v>
      </c>
    </row>
    <row r="1160" spans="1:19">
      <c r="A1160" s="103">
        <v>44966</v>
      </c>
      <c r="B1160" s="104">
        <v>4081.5046151226115</v>
      </c>
      <c r="C1160" s="4">
        <f t="shared" si="18"/>
        <v>-8.8690791258119687E-3</v>
      </c>
      <c r="D1160" s="1" t="str">
        <f>IF(COUNTIF(Target1[Target Dates],Benchmark1[[#This Row],[Benchmark '#1 Dates]])=1,"Pass","Fail")</f>
        <v>Pass</v>
      </c>
      <c r="E1160" s="6">
        <f>IF(Benchmark1[[#This Row],[Target Date Check]]="Pass",INDEX(Target1[Target Price],MATCH(Benchmark1[[#This Row],[Benchmark '#1 Dates]],Target1[Target Dates],0)),"-")</f>
        <v>41.39</v>
      </c>
      <c r="F1160" s="22">
        <f>IF(Benchmark1[[#This Row],[Target Date Check]]="Pass",INDEX(Target1[Target Return],MATCH(Benchmark1[[#This Row],[Benchmark '#1 Dates]],Target1[Target Dates],0)),"-")</f>
        <v>1.582889496198122E-2</v>
      </c>
      <c r="G1160" s="1">
        <f>IFERROR(IF(Benchmark1[[#This Row],[Target Date Check]]="Pass",Benchmark1[[#This Row],[Target Return]]-Benchmark1[[#This Row],[Benchmark '#1 Return]],"-"),"-")</f>
        <v>2.4697974087793187E-2</v>
      </c>
      <c r="H1160" s="1" t="str">
        <f>IF(COUNTIF(Comp1[Comparable '#1 Dates],Benchmark1[[#This Row],[Benchmark '#1 Dates]])=1,"Pass","Fail")</f>
        <v>Pass</v>
      </c>
      <c r="I1160" s="6">
        <f>IF(Benchmark1[[#This Row],[Comparable '#1 Date Check]]="Pass",INDEX(Comp1[Comparable '#1 Price],MATCH(Benchmark1[[#This Row],[Benchmark '#1 Dates]],Comp1[Comparable '#1 Dates],0)),"-")</f>
        <v>10.53</v>
      </c>
      <c r="J1160" s="22">
        <f>IF(Benchmark1[[#This Row],[Comparable '#1 Date Check]]="Pass",INDEX(Comp1[Comparable '#1 Return],MATCH(Benchmark1[[#This Row],[Benchmark '#1 Dates]],Comp1[Comparable '#1 Dates],0)),"-")</f>
        <v>6.6698675091072324E-3</v>
      </c>
      <c r="K1160" s="1">
        <f>IFERROR(IF(Benchmark1[[#This Row],[Comparable '#1 Date Check]]="Pass",Benchmark1[[#This Row],[Comparable '#1 Return]]-Benchmark1[[#This Row],[Benchmark '#1 Return]],"-"),"-")</f>
        <v>1.5538946634919202E-2</v>
      </c>
      <c r="L1160" s="1" t="str">
        <f>IF(COUNTIF(Comp2[Comparable '#2 Dates],Benchmark1[[#This Row],[Benchmark '#1 Dates]])=1,"Pass","Fail")</f>
        <v>Pass</v>
      </c>
      <c r="M1160" s="6">
        <f>IF(Benchmark1[[#This Row],[Comparable '#2 Date Check]]="Pass",INDEX(Comp2[Comparable '#2 Price],MATCH(Benchmark1[[#This Row],[Benchmark '#1 Dates]],Comp2[Comparable '#2 Dates],0)),"-")</f>
        <v>39.369999999999997</v>
      </c>
      <c r="N1160" s="22">
        <f>IF(Benchmark1[[#This Row],[Comparable '#2 Date Check]]="Pass",INDEX(Comp2[Comparable '#2 Return],MATCH(Benchmark1[[#This Row],[Benchmark '#1 Dates]],Comp2[Comparable '#2 Dates],0)),"-")</f>
        <v>1.4583858326418342E-2</v>
      </c>
      <c r="O1160" s="1">
        <f>IFERROR(IF(Benchmark1[[#This Row],[Comparable '#2 Date Check]]="Pass",Benchmark1[[#This Row],[Comparable '#2 Return]]-Benchmark1[[#This Row],[Benchmark '#1 Return]],"-"),"-")</f>
        <v>2.3452937452230309E-2</v>
      </c>
      <c r="P1160" s="1" t="str">
        <f>IF(COUNTIF(Comp3[Comparable '#3 Dates],Benchmark1[[#This Row],[Benchmark '#1 Dates]])=1,"Pass","Fail")</f>
        <v>Pass</v>
      </c>
      <c r="Q1160" s="6">
        <f>IF(Benchmark1[[#This Row],[Comparable '#3 Date Check]]="Pass",INDEX(Comp3[Comparable '#3 Price],MATCH(Benchmark1[[#This Row],[Benchmark '#1 Dates]],Comp3[Comparable '#3 Dates],0)),"-")</f>
        <v>93.19</v>
      </c>
      <c r="R1160" s="22">
        <f>IF(Benchmark1[[#This Row],[Comparable '#3 Date Check]]="Pass",INDEX(Comp3[Comparable '#3 Return],MATCH(Benchmark1[[#This Row],[Benchmark '#1 Dates]],Comp3[Comparable '#3 Dates],0)),"-")</f>
        <v>7.2155824343256621E-3</v>
      </c>
      <c r="S1160" s="1">
        <f>IFERROR(IF(Benchmark1[[#This Row],[Comparable '#3 Date Check]]="Pass",Benchmark1[[#This Row],[Comparable '#3 Return]]-Benchmark1[[#This Row],[Benchmark '#1 Return]],"-"),"-")</f>
        <v>1.6084661560137631E-2</v>
      </c>
    </row>
    <row r="1161" spans="1:19">
      <c r="A1161" s="103">
        <v>44967</v>
      </c>
      <c r="B1161" s="104">
        <v>4090.4619649279175</v>
      </c>
      <c r="C1161" s="4">
        <f t="shared" si="18"/>
        <v>2.1922148860585356E-3</v>
      </c>
      <c r="D1161" s="1" t="str">
        <f>IF(COUNTIF(Target1[Target Dates],Benchmark1[[#This Row],[Benchmark '#1 Dates]])=1,"Pass","Fail")</f>
        <v>Pass</v>
      </c>
      <c r="E1161" s="6">
        <f>IF(Benchmark1[[#This Row],[Target Date Check]]="Pass",INDEX(Target1[Target Price],MATCH(Benchmark1[[#This Row],[Benchmark '#1 Dates]],Target1[Target Dates],0)),"-")</f>
        <v>41.6</v>
      </c>
      <c r="F1161" s="22">
        <f>IF(Benchmark1[[#This Row],[Target Date Check]]="Pass",INDEX(Target1[Target Return],MATCH(Benchmark1[[#This Row],[Benchmark '#1 Dates]],Target1[Target Dates],0)),"-")</f>
        <v>5.0608615065765748E-3</v>
      </c>
      <c r="G1161" s="1">
        <f>IFERROR(IF(Benchmark1[[#This Row],[Target Date Check]]="Pass",Benchmark1[[#This Row],[Target Return]]-Benchmark1[[#This Row],[Benchmark '#1 Return]],"-"),"-")</f>
        <v>2.8686466205180392E-3</v>
      </c>
      <c r="H1161" s="1" t="str">
        <f>IF(COUNTIF(Comp1[Comparable '#1 Dates],Benchmark1[[#This Row],[Benchmark '#1 Dates]])=1,"Pass","Fail")</f>
        <v>Pass</v>
      </c>
      <c r="I1161" s="6">
        <f>IF(Benchmark1[[#This Row],[Comparable '#1 Date Check]]="Pass",INDEX(Comp1[Comparable '#1 Price],MATCH(Benchmark1[[#This Row],[Benchmark '#1 Dates]],Comp1[Comparable '#1 Dates],0)),"-")</f>
        <v>10.53</v>
      </c>
      <c r="J1161" s="22">
        <f>IF(Benchmark1[[#This Row],[Comparable '#1 Date Check]]="Pass",INDEX(Comp1[Comparable '#1 Return],MATCH(Benchmark1[[#This Row],[Benchmark '#1 Dates]],Comp1[Comparable '#1 Dates],0)),"-")</f>
        <v>0</v>
      </c>
      <c r="K1161" s="1">
        <f>IFERROR(IF(Benchmark1[[#This Row],[Comparable '#1 Date Check]]="Pass",Benchmark1[[#This Row],[Comparable '#1 Return]]-Benchmark1[[#This Row],[Benchmark '#1 Return]],"-"),"-")</f>
        <v>-2.1922148860585356E-3</v>
      </c>
      <c r="L1161" s="1" t="str">
        <f>IF(COUNTIF(Comp2[Comparable '#2 Dates],Benchmark1[[#This Row],[Benchmark '#1 Dates]])=1,"Pass","Fail")</f>
        <v>Pass</v>
      </c>
      <c r="M1161" s="6">
        <f>IF(Benchmark1[[#This Row],[Comparable '#2 Date Check]]="Pass",INDEX(Comp2[Comparable '#2 Price],MATCH(Benchmark1[[#This Row],[Benchmark '#1 Dates]],Comp2[Comparable '#2 Dates],0)),"-")</f>
        <v>40.11</v>
      </c>
      <c r="N1161" s="22">
        <f>IF(Benchmark1[[#This Row],[Comparable '#2 Date Check]]="Pass",INDEX(Comp2[Comparable '#2 Return],MATCH(Benchmark1[[#This Row],[Benchmark '#1 Dates]],Comp2[Comparable '#2 Dates],0)),"-")</f>
        <v>1.8621574826315431E-2</v>
      </c>
      <c r="O1161" s="1">
        <f>IFERROR(IF(Benchmark1[[#This Row],[Comparable '#2 Date Check]]="Pass",Benchmark1[[#This Row],[Comparable '#2 Return]]-Benchmark1[[#This Row],[Benchmark '#1 Return]],"-"),"-")</f>
        <v>1.6429359940256894E-2</v>
      </c>
      <c r="P1161" s="1" t="str">
        <f>IF(COUNTIF(Comp3[Comparable '#3 Dates],Benchmark1[[#This Row],[Benchmark '#1 Dates]])=1,"Pass","Fail")</f>
        <v>Pass</v>
      </c>
      <c r="Q1161" s="6">
        <f>IF(Benchmark1[[#This Row],[Comparable '#3 Date Check]]="Pass",INDEX(Comp3[Comparable '#3 Price],MATCH(Benchmark1[[#This Row],[Benchmark '#1 Dates]],Comp3[Comparable '#3 Dates],0)),"-")</f>
        <v>93</v>
      </c>
      <c r="R1161" s="22">
        <f>IF(Benchmark1[[#This Row],[Comparable '#3 Date Check]]="Pass",INDEX(Comp3[Comparable '#3 Return],MATCH(Benchmark1[[#This Row],[Benchmark '#1 Dates]],Comp3[Comparable '#3 Dates],0)),"-")</f>
        <v>-2.0409266443081266E-3</v>
      </c>
      <c r="S1161" s="1">
        <f>IFERROR(IF(Benchmark1[[#This Row],[Comparable '#3 Date Check]]="Pass",Benchmark1[[#This Row],[Comparable '#3 Return]]-Benchmark1[[#This Row],[Benchmark '#1 Return]],"-"),"-")</f>
        <v>-4.2331415303666622E-3</v>
      </c>
    </row>
    <row r="1162" spans="1:19">
      <c r="A1162" s="103">
        <v>44970</v>
      </c>
      <c r="B1162" s="104">
        <v>4137.2870504955754</v>
      </c>
      <c r="C1162" s="4">
        <f t="shared" si="18"/>
        <v>1.1382357683999415E-2</v>
      </c>
      <c r="D1162" s="1" t="str">
        <f>IF(COUNTIF(Target1[Target Dates],Benchmark1[[#This Row],[Benchmark '#1 Dates]])=1,"Pass","Fail")</f>
        <v>Pass</v>
      </c>
      <c r="E1162" s="6">
        <f>IF(Benchmark1[[#This Row],[Target Date Check]]="Pass",INDEX(Target1[Target Price],MATCH(Benchmark1[[#This Row],[Benchmark '#1 Dates]],Target1[Target Dates],0)),"-")</f>
        <v>42.66</v>
      </c>
      <c r="F1162" s="22">
        <f>IF(Benchmark1[[#This Row],[Target Date Check]]="Pass",INDEX(Target1[Target Return],MATCH(Benchmark1[[#This Row],[Benchmark '#1 Dates]],Target1[Target Dates],0)),"-")</f>
        <v>2.5161545775986713E-2</v>
      </c>
      <c r="G1162" s="1">
        <f>IFERROR(IF(Benchmark1[[#This Row],[Target Date Check]]="Pass",Benchmark1[[#This Row],[Target Return]]-Benchmark1[[#This Row],[Benchmark '#1 Return]],"-"),"-")</f>
        <v>1.3779188091987297E-2</v>
      </c>
      <c r="H1162" s="1" t="str">
        <f>IF(COUNTIF(Comp1[Comparable '#1 Dates],Benchmark1[[#This Row],[Benchmark '#1 Dates]])=1,"Pass","Fail")</f>
        <v>Pass</v>
      </c>
      <c r="I1162" s="6">
        <f>IF(Benchmark1[[#This Row],[Comparable '#1 Date Check]]="Pass",INDEX(Comp1[Comparable '#1 Price],MATCH(Benchmark1[[#This Row],[Benchmark '#1 Dates]],Comp1[Comparable '#1 Dates],0)),"-")</f>
        <v>10.69</v>
      </c>
      <c r="J1162" s="22">
        <f>IF(Benchmark1[[#This Row],[Comparable '#1 Date Check]]="Pass",INDEX(Comp1[Comparable '#1 Return],MATCH(Benchmark1[[#This Row],[Benchmark '#1 Dates]],Comp1[Comparable '#1 Dates],0)),"-")</f>
        <v>1.5080398891069841E-2</v>
      </c>
      <c r="K1162" s="1">
        <f>IFERROR(IF(Benchmark1[[#This Row],[Comparable '#1 Date Check]]="Pass",Benchmark1[[#This Row],[Comparable '#1 Return]]-Benchmark1[[#This Row],[Benchmark '#1 Return]],"-"),"-")</f>
        <v>3.6980412070704259E-3</v>
      </c>
      <c r="L1162" s="1" t="str">
        <f>IF(COUNTIF(Comp2[Comparable '#2 Dates],Benchmark1[[#This Row],[Benchmark '#1 Dates]])=1,"Pass","Fail")</f>
        <v>Pass</v>
      </c>
      <c r="M1162" s="6">
        <f>IF(Benchmark1[[#This Row],[Comparable '#2 Date Check]]="Pass",INDEX(Comp2[Comparable '#2 Price],MATCH(Benchmark1[[#This Row],[Benchmark '#1 Dates]],Comp2[Comparable '#2 Dates],0)),"-")</f>
        <v>41.27</v>
      </c>
      <c r="N1162" s="22">
        <f>IF(Benchmark1[[#This Row],[Comparable '#2 Date Check]]="Pass",INDEX(Comp2[Comparable '#2 Return],MATCH(Benchmark1[[#This Row],[Benchmark '#1 Dates]],Comp2[Comparable '#2 Dates],0)),"-")</f>
        <v>2.8510163982529018E-2</v>
      </c>
      <c r="O1162" s="1">
        <f>IFERROR(IF(Benchmark1[[#This Row],[Comparable '#2 Date Check]]="Pass",Benchmark1[[#This Row],[Comparable '#2 Return]]-Benchmark1[[#This Row],[Benchmark '#1 Return]],"-"),"-")</f>
        <v>1.7127806298529603E-2</v>
      </c>
      <c r="P1162" s="1" t="str">
        <f>IF(COUNTIF(Comp3[Comparable '#3 Dates],Benchmark1[[#This Row],[Benchmark '#1 Dates]])=1,"Pass","Fail")</f>
        <v>Pass</v>
      </c>
      <c r="Q1162" s="6">
        <f>IF(Benchmark1[[#This Row],[Comparable '#3 Date Check]]="Pass",INDEX(Comp3[Comparable '#3 Price],MATCH(Benchmark1[[#This Row],[Benchmark '#1 Dates]],Comp3[Comparable '#3 Dates],0)),"-")</f>
        <v>94.4</v>
      </c>
      <c r="R1162" s="22">
        <f>IF(Benchmark1[[#This Row],[Comparable '#3 Date Check]]="Pass",INDEX(Comp3[Comparable '#3 Return],MATCH(Benchmark1[[#This Row],[Benchmark '#1 Dates]],Comp3[Comparable '#3 Dates],0)),"-")</f>
        <v>1.4941579998199141E-2</v>
      </c>
      <c r="S1162" s="1">
        <f>IFERROR(IF(Benchmark1[[#This Row],[Comparable '#3 Date Check]]="Pass",Benchmark1[[#This Row],[Comparable '#3 Return]]-Benchmark1[[#This Row],[Benchmark '#1 Return]],"-"),"-")</f>
        <v>3.559222314199726E-3</v>
      </c>
    </row>
    <row r="1163" spans="1:19">
      <c r="A1163" s="103">
        <v>44971</v>
      </c>
      <c r="B1163" s="104">
        <v>4136.1330035046758</v>
      </c>
      <c r="C1163" s="4">
        <f t="shared" si="18"/>
        <v>-2.7897701092216998E-4</v>
      </c>
      <c r="D1163" s="1" t="str">
        <f>IF(COUNTIF(Target1[Target Dates],Benchmark1[[#This Row],[Benchmark '#1 Dates]])=1,"Pass","Fail")</f>
        <v>Pass</v>
      </c>
      <c r="E1163" s="6">
        <f>IF(Benchmark1[[#This Row],[Target Date Check]]="Pass",INDEX(Target1[Target Price],MATCH(Benchmark1[[#This Row],[Benchmark '#1 Dates]],Target1[Target Dates],0)),"-")</f>
        <v>42.86</v>
      </c>
      <c r="F1163" s="22">
        <f>IF(Benchmark1[[#This Row],[Target Date Check]]="Pass",INDEX(Target1[Target Return],MATCH(Benchmark1[[#This Row],[Benchmark '#1 Dates]],Target1[Target Dates],0)),"-")</f>
        <v>4.6772770022264175E-3</v>
      </c>
      <c r="G1163" s="1">
        <f>IFERROR(IF(Benchmark1[[#This Row],[Target Date Check]]="Pass",Benchmark1[[#This Row],[Target Return]]-Benchmark1[[#This Row],[Benchmark '#1 Return]],"-"),"-")</f>
        <v>4.9562540131485875E-3</v>
      </c>
      <c r="H1163" s="1" t="str">
        <f>IF(COUNTIF(Comp1[Comparable '#1 Dates],Benchmark1[[#This Row],[Benchmark '#1 Dates]])=1,"Pass","Fail")</f>
        <v>Pass</v>
      </c>
      <c r="I1163" s="6">
        <f>IF(Benchmark1[[#This Row],[Comparable '#1 Date Check]]="Pass",INDEX(Comp1[Comparable '#1 Price],MATCH(Benchmark1[[#This Row],[Benchmark '#1 Dates]],Comp1[Comparable '#1 Dates],0)),"-")</f>
        <v>10.57</v>
      </c>
      <c r="J1163" s="22">
        <f>IF(Benchmark1[[#This Row],[Comparable '#1 Date Check]]="Pass",INDEX(Comp1[Comparable '#1 Return],MATCH(Benchmark1[[#This Row],[Benchmark '#1 Dates]],Comp1[Comparable '#1 Dates],0)),"-")</f>
        <v>-1.1288925154807544E-2</v>
      </c>
      <c r="K1163" s="1">
        <f>IFERROR(IF(Benchmark1[[#This Row],[Comparable '#1 Date Check]]="Pass",Benchmark1[[#This Row],[Comparable '#1 Return]]-Benchmark1[[#This Row],[Benchmark '#1 Return]],"-"),"-")</f>
        <v>-1.1009948143885374E-2</v>
      </c>
      <c r="L1163" s="1" t="str">
        <f>IF(COUNTIF(Comp2[Comparable '#2 Dates],Benchmark1[[#This Row],[Benchmark '#1 Dates]])=1,"Pass","Fail")</f>
        <v>Pass</v>
      </c>
      <c r="M1163" s="6">
        <f>IF(Benchmark1[[#This Row],[Comparable '#2 Date Check]]="Pass",INDEX(Comp2[Comparable '#2 Price],MATCH(Benchmark1[[#This Row],[Benchmark '#1 Dates]],Comp2[Comparable '#2 Dates],0)),"-")</f>
        <v>40.18</v>
      </c>
      <c r="N1163" s="22">
        <f>IF(Benchmark1[[#This Row],[Comparable '#2 Date Check]]="Pass",INDEX(Comp2[Comparable '#2 Return],MATCH(Benchmark1[[#This Row],[Benchmark '#1 Dates]],Comp2[Comparable '#2 Dates],0)),"-")</f>
        <v>-2.6766484377702147E-2</v>
      </c>
      <c r="O1163" s="1">
        <f>IFERROR(IF(Benchmark1[[#This Row],[Comparable '#2 Date Check]]="Pass",Benchmark1[[#This Row],[Comparable '#2 Return]]-Benchmark1[[#This Row],[Benchmark '#1 Return]],"-"),"-")</f>
        <v>-2.6487507366779978E-2</v>
      </c>
      <c r="P1163" s="1" t="str">
        <f>IF(COUNTIF(Comp3[Comparable '#3 Dates],Benchmark1[[#This Row],[Benchmark '#1 Dates]])=1,"Pass","Fail")</f>
        <v>Pass</v>
      </c>
      <c r="Q1163" s="6">
        <f>IF(Benchmark1[[#This Row],[Comparable '#3 Date Check]]="Pass",INDEX(Comp3[Comparable '#3 Price],MATCH(Benchmark1[[#This Row],[Benchmark '#1 Dates]],Comp3[Comparable '#3 Dates],0)),"-")</f>
        <v>92.76</v>
      </c>
      <c r="R1163" s="22">
        <f>IF(Benchmark1[[#This Row],[Comparable '#3 Date Check]]="Pass",INDEX(Comp3[Comparable '#3 Return],MATCH(Benchmark1[[#This Row],[Benchmark '#1 Dates]],Comp3[Comparable '#3 Dates],0)),"-")</f>
        <v>-1.7525560764124076E-2</v>
      </c>
      <c r="S1163" s="1">
        <f>IFERROR(IF(Benchmark1[[#This Row],[Comparable '#3 Date Check]]="Pass",Benchmark1[[#This Row],[Comparable '#3 Return]]-Benchmark1[[#This Row],[Benchmark '#1 Return]],"-"),"-")</f>
        <v>-1.7246583753201906E-2</v>
      </c>
    </row>
    <row r="1164" spans="1:19">
      <c r="A1164" s="103">
        <v>44972</v>
      </c>
      <c r="B1164" s="104">
        <v>4147.6029285534723</v>
      </c>
      <c r="C1164" s="4">
        <f t="shared" si="18"/>
        <v>2.7692655760510722E-3</v>
      </c>
      <c r="D1164" s="1" t="str">
        <f>IF(COUNTIF(Target1[Target Dates],Benchmark1[[#This Row],[Benchmark '#1 Dates]])=1,"Pass","Fail")</f>
        <v>Pass</v>
      </c>
      <c r="E1164" s="6">
        <f>IF(Benchmark1[[#This Row],[Target Date Check]]="Pass",INDEX(Target1[Target Price],MATCH(Benchmark1[[#This Row],[Benchmark '#1 Dates]],Target1[Target Dates],0)),"-")</f>
        <v>43.4</v>
      </c>
      <c r="F1164" s="22">
        <f>IF(Benchmark1[[#This Row],[Target Date Check]]="Pass",INDEX(Target1[Target Return],MATCH(Benchmark1[[#This Row],[Benchmark '#1 Dates]],Target1[Target Dates],0)),"-")</f>
        <v>1.2520451060928212E-2</v>
      </c>
      <c r="G1164" s="1">
        <f>IFERROR(IF(Benchmark1[[#This Row],[Target Date Check]]="Pass",Benchmark1[[#This Row],[Target Return]]-Benchmark1[[#This Row],[Benchmark '#1 Return]],"-"),"-")</f>
        <v>9.7511854848771409E-3</v>
      </c>
      <c r="H1164" s="1" t="str">
        <f>IF(COUNTIF(Comp1[Comparable '#1 Dates],Benchmark1[[#This Row],[Benchmark '#1 Dates]])=1,"Pass","Fail")</f>
        <v>Pass</v>
      </c>
      <c r="I1164" s="6">
        <f>IF(Benchmark1[[#This Row],[Comparable '#1 Date Check]]="Pass",INDEX(Comp1[Comparable '#1 Price],MATCH(Benchmark1[[#This Row],[Benchmark '#1 Dates]],Comp1[Comparable '#1 Dates],0)),"-")</f>
        <v>10.64</v>
      </c>
      <c r="J1164" s="22">
        <f>IF(Benchmark1[[#This Row],[Comparable '#1 Date Check]]="Pass",INDEX(Comp1[Comparable '#1 Return],MATCH(Benchmark1[[#This Row],[Benchmark '#1 Dates]],Comp1[Comparable '#1 Dates],0)),"-")</f>
        <v>6.6006840313520927E-3</v>
      </c>
      <c r="K1164" s="1">
        <f>IFERROR(IF(Benchmark1[[#This Row],[Comparable '#1 Date Check]]="Pass",Benchmark1[[#This Row],[Comparable '#1 Return]]-Benchmark1[[#This Row],[Benchmark '#1 Return]],"-"),"-")</f>
        <v>3.8314184553010205E-3</v>
      </c>
      <c r="L1164" s="1" t="str">
        <f>IF(COUNTIF(Comp2[Comparable '#2 Dates],Benchmark1[[#This Row],[Benchmark '#1 Dates]])=1,"Pass","Fail")</f>
        <v>Pass</v>
      </c>
      <c r="M1164" s="6">
        <f>IF(Benchmark1[[#This Row],[Comparable '#2 Date Check]]="Pass",INDEX(Comp2[Comparable '#2 Price],MATCH(Benchmark1[[#This Row],[Benchmark '#1 Dates]],Comp2[Comparable '#2 Dates],0)),"-")</f>
        <v>40.43</v>
      </c>
      <c r="N1164" s="22">
        <f>IF(Benchmark1[[#This Row],[Comparable '#2 Date Check]]="Pass",INDEX(Comp2[Comparable '#2 Return],MATCH(Benchmark1[[#This Row],[Benchmark '#1 Dates]],Comp2[Comparable '#2 Dates],0)),"-")</f>
        <v>6.2027242658910485E-3</v>
      </c>
      <c r="O1164" s="1">
        <f>IFERROR(IF(Benchmark1[[#This Row],[Comparable '#2 Date Check]]="Pass",Benchmark1[[#This Row],[Comparable '#2 Return]]-Benchmark1[[#This Row],[Benchmark '#1 Return]],"-"),"-")</f>
        <v>3.4334586898399763E-3</v>
      </c>
      <c r="P1164" s="1" t="str">
        <f>IF(COUNTIF(Comp3[Comparable '#3 Dates],Benchmark1[[#This Row],[Benchmark '#1 Dates]])=1,"Pass","Fail")</f>
        <v>Pass</v>
      </c>
      <c r="Q1164" s="6">
        <f>IF(Benchmark1[[#This Row],[Comparable '#3 Date Check]]="Pass",INDEX(Comp3[Comparable '#3 Price],MATCH(Benchmark1[[#This Row],[Benchmark '#1 Dates]],Comp3[Comparable '#3 Dates],0)),"-")</f>
        <v>93.25</v>
      </c>
      <c r="R1164" s="22">
        <f>IF(Benchmark1[[#This Row],[Comparable '#3 Date Check]]="Pass",INDEX(Comp3[Comparable '#3 Return],MATCH(Benchmark1[[#This Row],[Benchmark '#1 Dates]],Comp3[Comparable '#3 Dates],0)),"-")</f>
        <v>5.2685461365939417E-3</v>
      </c>
      <c r="S1164" s="1">
        <f>IFERROR(IF(Benchmark1[[#This Row],[Comparable '#3 Date Check]]="Pass",Benchmark1[[#This Row],[Comparable '#3 Return]]-Benchmark1[[#This Row],[Benchmark '#1 Return]],"-"),"-")</f>
        <v>2.4992805605428695E-3</v>
      </c>
    </row>
    <row r="1165" spans="1:19">
      <c r="A1165" s="103">
        <v>44973</v>
      </c>
      <c r="B1165" s="104">
        <v>4090.409027250992</v>
      </c>
      <c r="C1165" s="4">
        <f t="shared" si="18"/>
        <v>-1.3885588068398279E-2</v>
      </c>
      <c r="D1165" s="1" t="str">
        <f>IF(COUNTIF(Target1[Target Dates],Benchmark1[[#This Row],[Benchmark '#1 Dates]])=1,"Pass","Fail")</f>
        <v>Pass</v>
      </c>
      <c r="E1165" s="6">
        <f>IF(Benchmark1[[#This Row],[Target Date Check]]="Pass",INDEX(Target1[Target Price],MATCH(Benchmark1[[#This Row],[Benchmark '#1 Dates]],Target1[Target Dates],0)),"-")</f>
        <v>43.82</v>
      </c>
      <c r="F1165" s="22">
        <f>IF(Benchmark1[[#This Row],[Target Date Check]]="Pass",INDEX(Target1[Target Return],MATCH(Benchmark1[[#This Row],[Benchmark '#1 Dates]],Target1[Target Dates],0)),"-")</f>
        <v>9.6308930609613659E-3</v>
      </c>
      <c r="G1165" s="1">
        <f>IFERROR(IF(Benchmark1[[#This Row],[Target Date Check]]="Pass",Benchmark1[[#This Row],[Target Return]]-Benchmark1[[#This Row],[Benchmark '#1 Return]],"-"),"-")</f>
        <v>2.3516481129359647E-2</v>
      </c>
      <c r="H1165" s="1" t="str">
        <f>IF(COUNTIF(Comp1[Comparable '#1 Dates],Benchmark1[[#This Row],[Benchmark '#1 Dates]])=1,"Pass","Fail")</f>
        <v>Pass</v>
      </c>
      <c r="I1165" s="6">
        <f>IF(Benchmark1[[#This Row],[Comparable '#1 Date Check]]="Pass",INDEX(Comp1[Comparable '#1 Price],MATCH(Benchmark1[[#This Row],[Benchmark '#1 Dates]],Comp1[Comparable '#1 Dates],0)),"-")</f>
        <v>10.69</v>
      </c>
      <c r="J1165" s="22">
        <f>IF(Benchmark1[[#This Row],[Comparable '#1 Date Check]]="Pass",INDEX(Comp1[Comparable '#1 Return],MATCH(Benchmark1[[#This Row],[Benchmark '#1 Dates]],Comp1[Comparable '#1 Dates],0)),"-")</f>
        <v>4.6882411234555384E-3</v>
      </c>
      <c r="K1165" s="1">
        <f>IFERROR(IF(Benchmark1[[#This Row],[Comparable '#1 Date Check]]="Pass",Benchmark1[[#This Row],[Comparable '#1 Return]]-Benchmark1[[#This Row],[Benchmark '#1 Return]],"-"),"-")</f>
        <v>1.8573829191853818E-2</v>
      </c>
      <c r="L1165" s="1" t="str">
        <f>IF(COUNTIF(Comp2[Comparable '#2 Dates],Benchmark1[[#This Row],[Benchmark '#1 Dates]])=1,"Pass","Fail")</f>
        <v>Pass</v>
      </c>
      <c r="M1165" s="6">
        <f>IF(Benchmark1[[#This Row],[Comparable '#2 Date Check]]="Pass",INDEX(Comp2[Comparable '#2 Price],MATCH(Benchmark1[[#This Row],[Benchmark '#1 Dates]],Comp2[Comparable '#2 Dates],0)),"-")</f>
        <v>40.71</v>
      </c>
      <c r="N1165" s="22">
        <f>IF(Benchmark1[[#This Row],[Comparable '#2 Date Check]]="Pass",INDEX(Comp2[Comparable '#2 Return],MATCH(Benchmark1[[#This Row],[Benchmark '#1 Dates]],Comp2[Comparable '#2 Dates],0)),"-")</f>
        <v>6.901678862208013E-3</v>
      </c>
      <c r="O1165" s="1">
        <f>IFERROR(IF(Benchmark1[[#This Row],[Comparable '#2 Date Check]]="Pass",Benchmark1[[#This Row],[Comparable '#2 Return]]-Benchmark1[[#This Row],[Benchmark '#1 Return]],"-"),"-")</f>
        <v>2.0787266930606292E-2</v>
      </c>
      <c r="P1165" s="1" t="str">
        <f>IF(COUNTIF(Comp3[Comparable '#3 Dates],Benchmark1[[#This Row],[Benchmark '#1 Dates]])=1,"Pass","Fail")</f>
        <v>Pass</v>
      </c>
      <c r="Q1165" s="6">
        <f>IF(Benchmark1[[#This Row],[Comparable '#3 Date Check]]="Pass",INDEX(Comp3[Comparable '#3 Price],MATCH(Benchmark1[[#This Row],[Benchmark '#1 Dates]],Comp3[Comparable '#3 Dates],0)),"-")</f>
        <v>93.46</v>
      </c>
      <c r="R1165" s="22">
        <f>IF(Benchmark1[[#This Row],[Comparable '#3 Date Check]]="Pass",INDEX(Comp3[Comparable '#3 Return],MATCH(Benchmark1[[#This Row],[Benchmark '#1 Dates]],Comp3[Comparable '#3 Dates],0)),"-")</f>
        <v>2.2494787483552086E-3</v>
      </c>
      <c r="S1165" s="1">
        <f>IFERROR(IF(Benchmark1[[#This Row],[Comparable '#3 Date Check]]="Pass",Benchmark1[[#This Row],[Comparable '#3 Return]]-Benchmark1[[#This Row],[Benchmark '#1 Return]],"-"),"-")</f>
        <v>1.6135066816753488E-2</v>
      </c>
    </row>
    <row r="1166" spans="1:19">
      <c r="A1166" s="103">
        <v>44974</v>
      </c>
      <c r="B1166" s="104">
        <v>4079.0946622549477</v>
      </c>
      <c r="C1166" s="4">
        <f t="shared" si="18"/>
        <v>-2.7699044299539042E-3</v>
      </c>
      <c r="D1166" s="1" t="str">
        <f>IF(COUNTIF(Target1[Target Dates],Benchmark1[[#This Row],[Benchmark '#1 Dates]])=1,"Pass","Fail")</f>
        <v>Pass</v>
      </c>
      <c r="E1166" s="6">
        <f>IF(Benchmark1[[#This Row],[Target Date Check]]="Pass",INDEX(Target1[Target Price],MATCH(Benchmark1[[#This Row],[Benchmark '#1 Dates]],Target1[Target Dates],0)),"-")</f>
        <v>43.89</v>
      </c>
      <c r="F1166" s="22">
        <f>IF(Benchmark1[[#This Row],[Target Date Check]]="Pass",INDEX(Target1[Target Return],MATCH(Benchmark1[[#This Row],[Benchmark '#1 Dates]],Target1[Target Dates],0)),"-")</f>
        <v>1.5961695328221347E-3</v>
      </c>
      <c r="G1166" s="1">
        <f>IFERROR(IF(Benchmark1[[#This Row],[Target Date Check]]="Pass",Benchmark1[[#This Row],[Target Return]]-Benchmark1[[#This Row],[Benchmark '#1 Return]],"-"),"-")</f>
        <v>4.3660739627760393E-3</v>
      </c>
      <c r="H1166" s="1" t="str">
        <f>IF(COUNTIF(Comp1[Comparable '#1 Dates],Benchmark1[[#This Row],[Benchmark '#1 Dates]])=1,"Pass","Fail")</f>
        <v>Pass</v>
      </c>
      <c r="I1166" s="6">
        <f>IF(Benchmark1[[#This Row],[Comparable '#1 Date Check]]="Pass",INDEX(Comp1[Comparable '#1 Price],MATCH(Benchmark1[[#This Row],[Benchmark '#1 Dates]],Comp1[Comparable '#1 Dates],0)),"-")</f>
        <v>10.76</v>
      </c>
      <c r="J1166" s="22">
        <f>IF(Benchmark1[[#This Row],[Comparable '#1 Date Check]]="Pass",INDEX(Comp1[Comparable '#1 Return],MATCH(Benchmark1[[#This Row],[Benchmark '#1 Dates]],Comp1[Comparable '#1 Dates],0)),"-")</f>
        <v>6.5268296966846011E-3</v>
      </c>
      <c r="K1166" s="1">
        <f>IFERROR(IF(Benchmark1[[#This Row],[Comparable '#1 Date Check]]="Pass",Benchmark1[[#This Row],[Comparable '#1 Return]]-Benchmark1[[#This Row],[Benchmark '#1 Return]],"-"),"-")</f>
        <v>9.2967341266385062E-3</v>
      </c>
      <c r="L1166" s="1" t="str">
        <f>IF(COUNTIF(Comp2[Comparable '#2 Dates],Benchmark1[[#This Row],[Benchmark '#1 Dates]])=1,"Pass","Fail")</f>
        <v>Pass</v>
      </c>
      <c r="M1166" s="6">
        <f>IF(Benchmark1[[#This Row],[Comparable '#2 Date Check]]="Pass",INDEX(Comp2[Comparable '#2 Price],MATCH(Benchmark1[[#This Row],[Benchmark '#1 Dates]],Comp2[Comparable '#2 Dates],0)),"-")</f>
        <v>40.96</v>
      </c>
      <c r="N1166" s="22">
        <f>IF(Benchmark1[[#This Row],[Comparable '#2 Date Check]]="Pass",INDEX(Comp2[Comparable '#2 Return],MATCH(Benchmark1[[#This Row],[Benchmark '#1 Dates]],Comp2[Comparable '#2 Dates],0)),"-")</f>
        <v>6.1222182163648284E-3</v>
      </c>
      <c r="O1166" s="1">
        <f>IFERROR(IF(Benchmark1[[#This Row],[Comparable '#2 Date Check]]="Pass",Benchmark1[[#This Row],[Comparable '#2 Return]]-Benchmark1[[#This Row],[Benchmark '#1 Return]],"-"),"-")</f>
        <v>8.8921226463187335E-3</v>
      </c>
      <c r="P1166" s="1" t="str">
        <f>IF(COUNTIF(Comp3[Comparable '#3 Dates],Benchmark1[[#This Row],[Benchmark '#1 Dates]])=1,"Pass","Fail")</f>
        <v>Pass</v>
      </c>
      <c r="Q1166" s="6">
        <f>IF(Benchmark1[[#This Row],[Comparable '#3 Date Check]]="Pass",INDEX(Comp3[Comparable '#3 Price],MATCH(Benchmark1[[#This Row],[Benchmark '#1 Dates]],Comp3[Comparable '#3 Dates],0)),"-")</f>
        <v>94.17</v>
      </c>
      <c r="R1166" s="22">
        <f>IF(Benchmark1[[#This Row],[Comparable '#3 Date Check]]="Pass",INDEX(Comp3[Comparable '#3 Return],MATCH(Benchmark1[[#This Row],[Benchmark '#1 Dates]],Comp3[Comparable '#3 Dates],0)),"-")</f>
        <v>7.5681222496918358E-3</v>
      </c>
      <c r="S1166" s="1">
        <f>IFERROR(IF(Benchmark1[[#This Row],[Comparable '#3 Date Check]]="Pass",Benchmark1[[#This Row],[Comparable '#3 Return]]-Benchmark1[[#This Row],[Benchmark '#1 Return]],"-"),"-")</f>
        <v>1.0338026679645739E-2</v>
      </c>
    </row>
    <row r="1167" spans="1:19">
      <c r="A1167" s="103">
        <v>44978</v>
      </c>
      <c r="B1167" s="104">
        <v>3997.3367941856468</v>
      </c>
      <c r="C1167" s="4">
        <f t="shared" si="18"/>
        <v>-2.0246729365173851E-2</v>
      </c>
      <c r="D1167" s="1" t="str">
        <f>IF(COUNTIF(Target1[Target Dates],Benchmark1[[#This Row],[Benchmark '#1 Dates]])=1,"Pass","Fail")</f>
        <v>Pass</v>
      </c>
      <c r="E1167" s="6">
        <f>IF(Benchmark1[[#This Row],[Target Date Check]]="Pass",INDEX(Target1[Target Price],MATCH(Benchmark1[[#This Row],[Benchmark '#1 Dates]],Target1[Target Dates],0)),"-")</f>
        <v>43.33</v>
      </c>
      <c r="F1167" s="22">
        <f>IF(Benchmark1[[#This Row],[Target Date Check]]="Pass",INDEX(Target1[Target Return],MATCH(Benchmark1[[#This Row],[Benchmark '#1 Dates]],Target1[Target Dates],0)),"-")</f>
        <v>-1.2841267948324624E-2</v>
      </c>
      <c r="G1167" s="1">
        <f>IFERROR(IF(Benchmark1[[#This Row],[Target Date Check]]="Pass",Benchmark1[[#This Row],[Target Return]]-Benchmark1[[#This Row],[Benchmark '#1 Return]],"-"),"-")</f>
        <v>7.4054614168492273E-3</v>
      </c>
      <c r="H1167" s="1" t="str">
        <f>IF(COUNTIF(Comp1[Comparable '#1 Dates],Benchmark1[[#This Row],[Benchmark '#1 Dates]])=1,"Pass","Fail")</f>
        <v>Pass</v>
      </c>
      <c r="I1167" s="6">
        <f>IF(Benchmark1[[#This Row],[Comparable '#1 Date Check]]="Pass",INDEX(Comp1[Comparable '#1 Price],MATCH(Benchmark1[[#This Row],[Benchmark '#1 Dates]],Comp1[Comparable '#1 Dates],0)),"-")</f>
        <v>10.54</v>
      </c>
      <c r="J1167" s="22">
        <f>IF(Benchmark1[[#This Row],[Comparable '#1 Date Check]]="Pass",INDEX(Comp1[Comparable '#1 Return],MATCH(Benchmark1[[#This Row],[Benchmark '#1 Dates]],Comp1[Comparable '#1 Dates],0)),"-")</f>
        <v>-2.06580116204221E-2</v>
      </c>
      <c r="K1167" s="1">
        <f>IFERROR(IF(Benchmark1[[#This Row],[Comparable '#1 Date Check]]="Pass",Benchmark1[[#This Row],[Comparable '#1 Return]]-Benchmark1[[#This Row],[Benchmark '#1 Return]],"-"),"-")</f>
        <v>-4.1128225524824855E-4</v>
      </c>
      <c r="L1167" s="1" t="str">
        <f>IF(COUNTIF(Comp2[Comparable '#2 Dates],Benchmark1[[#This Row],[Benchmark '#1 Dates]])=1,"Pass","Fail")</f>
        <v>Pass</v>
      </c>
      <c r="M1167" s="6">
        <f>IF(Benchmark1[[#This Row],[Comparable '#2 Date Check]]="Pass",INDEX(Comp2[Comparable '#2 Price],MATCH(Benchmark1[[#This Row],[Benchmark '#1 Dates]],Comp2[Comparable '#2 Dates],0)),"-")</f>
        <v>40.96</v>
      </c>
      <c r="N1167" s="22">
        <f>IF(Benchmark1[[#This Row],[Comparable '#2 Date Check]]="Pass",INDEX(Comp2[Comparable '#2 Return],MATCH(Benchmark1[[#This Row],[Benchmark '#1 Dates]],Comp2[Comparable '#2 Dates],0)),"-")</f>
        <v>0</v>
      </c>
      <c r="O1167" s="1">
        <f>IFERROR(IF(Benchmark1[[#This Row],[Comparable '#2 Date Check]]="Pass",Benchmark1[[#This Row],[Comparable '#2 Return]]-Benchmark1[[#This Row],[Benchmark '#1 Return]],"-"),"-")</f>
        <v>2.0246729365173851E-2</v>
      </c>
      <c r="P1167" s="1" t="str">
        <f>IF(COUNTIF(Comp3[Comparable '#3 Dates],Benchmark1[[#This Row],[Benchmark '#1 Dates]])=1,"Pass","Fail")</f>
        <v>Pass</v>
      </c>
      <c r="Q1167" s="6">
        <f>IF(Benchmark1[[#This Row],[Comparable '#3 Date Check]]="Pass",INDEX(Comp3[Comparable '#3 Price],MATCH(Benchmark1[[#This Row],[Benchmark '#1 Dates]],Comp3[Comparable '#3 Dates],0)),"-")</f>
        <v>94.12</v>
      </c>
      <c r="R1167" s="22">
        <f>IF(Benchmark1[[#This Row],[Comparable '#3 Date Check]]="Pass",INDEX(Comp3[Comparable '#3 Return],MATCH(Benchmark1[[#This Row],[Benchmark '#1 Dates]],Comp3[Comparable '#3 Dates],0)),"-")</f>
        <v>-5.3109566281015386E-4</v>
      </c>
      <c r="S1167" s="1">
        <f>IFERROR(IF(Benchmark1[[#This Row],[Comparable '#3 Date Check]]="Pass",Benchmark1[[#This Row],[Comparable '#3 Return]]-Benchmark1[[#This Row],[Benchmark '#1 Return]],"-"),"-")</f>
        <v>1.9715633702363698E-2</v>
      </c>
    </row>
    <row r="1168" spans="1:19">
      <c r="A1168" s="103">
        <v>44979</v>
      </c>
      <c r="B1168" s="104">
        <v>3991.0476545675888</v>
      </c>
      <c r="C1168" s="4">
        <f t="shared" si="18"/>
        <v>-1.5745714187340976E-3</v>
      </c>
      <c r="D1168" s="1" t="str">
        <f>IF(COUNTIF(Target1[Target Dates],Benchmark1[[#This Row],[Benchmark '#1 Dates]])=1,"Pass","Fail")</f>
        <v>Pass</v>
      </c>
      <c r="E1168" s="6">
        <f>IF(Benchmark1[[#This Row],[Target Date Check]]="Pass",INDEX(Target1[Target Price],MATCH(Benchmark1[[#This Row],[Benchmark '#1 Dates]],Target1[Target Dates],0)),"-")</f>
        <v>43.35</v>
      </c>
      <c r="F1168" s="22">
        <f>IF(Benchmark1[[#This Row],[Target Date Check]]="Pass",INDEX(Target1[Target Return],MATCH(Benchmark1[[#This Row],[Benchmark '#1 Dates]],Target1[Target Dates],0)),"-")</f>
        <v>4.6146747473280571E-4</v>
      </c>
      <c r="G1168" s="1">
        <f>IFERROR(IF(Benchmark1[[#This Row],[Target Date Check]]="Pass",Benchmark1[[#This Row],[Target Return]]-Benchmark1[[#This Row],[Benchmark '#1 Return]],"-"),"-")</f>
        <v>2.0360388934669033E-3</v>
      </c>
      <c r="H1168" s="1" t="str">
        <f>IF(COUNTIF(Comp1[Comparable '#1 Dates],Benchmark1[[#This Row],[Benchmark '#1 Dates]])=1,"Pass","Fail")</f>
        <v>Pass</v>
      </c>
      <c r="I1168" s="6">
        <f>IF(Benchmark1[[#This Row],[Comparable '#1 Date Check]]="Pass",INDEX(Comp1[Comparable '#1 Price],MATCH(Benchmark1[[#This Row],[Benchmark '#1 Dates]],Comp1[Comparable '#1 Dates],0)),"-")</f>
        <v>10.39</v>
      </c>
      <c r="J1168" s="22">
        <f>IF(Benchmark1[[#This Row],[Comparable '#1 Date Check]]="Pass",INDEX(Comp1[Comparable '#1 Return],MATCH(Benchmark1[[#This Row],[Benchmark '#1 Dates]],Comp1[Comparable '#1 Dates],0)),"-")</f>
        <v>-1.4333738002080064E-2</v>
      </c>
      <c r="K1168" s="1">
        <f>IFERROR(IF(Benchmark1[[#This Row],[Comparable '#1 Date Check]]="Pass",Benchmark1[[#This Row],[Comparable '#1 Return]]-Benchmark1[[#This Row],[Benchmark '#1 Return]],"-"),"-")</f>
        <v>-1.2759166583345966E-2</v>
      </c>
      <c r="L1168" s="1" t="str">
        <f>IF(COUNTIF(Comp2[Comparable '#2 Dates],Benchmark1[[#This Row],[Benchmark '#1 Dates]])=1,"Pass","Fail")</f>
        <v>Pass</v>
      </c>
      <c r="M1168" s="6">
        <f>IF(Benchmark1[[#This Row],[Comparable '#2 Date Check]]="Pass",INDEX(Comp2[Comparable '#2 Price],MATCH(Benchmark1[[#This Row],[Benchmark '#1 Dates]],Comp2[Comparable '#2 Dates],0)),"-")</f>
        <v>40.159999999999997</v>
      </c>
      <c r="N1168" s="22">
        <f>IF(Benchmark1[[#This Row],[Comparable '#2 Date Check]]="Pass",INDEX(Comp2[Comparable '#2 Return],MATCH(Benchmark1[[#This Row],[Benchmark '#1 Dates]],Comp2[Comparable '#2 Dates],0)),"-")</f>
        <v>-1.9724505347778701E-2</v>
      </c>
      <c r="O1168" s="1">
        <f>IFERROR(IF(Benchmark1[[#This Row],[Comparable '#2 Date Check]]="Pass",Benchmark1[[#This Row],[Comparable '#2 Return]]-Benchmark1[[#This Row],[Benchmark '#1 Return]],"-"),"-")</f>
        <v>-1.8149933929044605E-2</v>
      </c>
      <c r="P1168" s="1" t="str">
        <f>IF(COUNTIF(Comp3[Comparable '#3 Dates],Benchmark1[[#This Row],[Benchmark '#1 Dates]])=1,"Pass","Fail")</f>
        <v>Pass</v>
      </c>
      <c r="Q1168" s="6">
        <f>IF(Benchmark1[[#This Row],[Comparable '#3 Date Check]]="Pass",INDEX(Comp3[Comparable '#3 Price],MATCH(Benchmark1[[#This Row],[Benchmark '#1 Dates]],Comp3[Comparable '#3 Dates],0)),"-")</f>
        <v>92</v>
      </c>
      <c r="R1168" s="22">
        <f>IF(Benchmark1[[#This Row],[Comparable '#3 Date Check]]="Pass",INDEX(Comp3[Comparable '#3 Return],MATCH(Benchmark1[[#This Row],[Benchmark '#1 Dates]],Comp3[Comparable '#3 Dates],0)),"-")</f>
        <v>-2.2781986810121443E-2</v>
      </c>
      <c r="S1168" s="1">
        <f>IFERROR(IF(Benchmark1[[#This Row],[Comparable '#3 Date Check]]="Pass",Benchmark1[[#This Row],[Comparable '#3 Return]]-Benchmark1[[#This Row],[Benchmark '#1 Return]],"-"),"-")</f>
        <v>-2.1207415391387346E-2</v>
      </c>
    </row>
    <row r="1169" spans="1:19">
      <c r="A1169" s="103">
        <v>44980</v>
      </c>
      <c r="B1169" s="104">
        <v>4012.3231758152083</v>
      </c>
      <c r="C1169" s="4">
        <f t="shared" si="18"/>
        <v>5.3166526490886195E-3</v>
      </c>
      <c r="D1169" s="1" t="str">
        <f>IF(COUNTIF(Target1[Target Dates],Benchmark1[[#This Row],[Benchmark '#1 Dates]])=1,"Pass","Fail")</f>
        <v>Pass</v>
      </c>
      <c r="E1169" s="6">
        <f>IF(Benchmark1[[#This Row],[Target Date Check]]="Pass",INDEX(Target1[Target Price],MATCH(Benchmark1[[#This Row],[Benchmark '#1 Dates]],Target1[Target Dates],0)),"-")</f>
        <v>43.25</v>
      </c>
      <c r="F1169" s="22">
        <f>IF(Benchmark1[[#This Row],[Target Date Check]]="Pass",INDEX(Target1[Target Return],MATCH(Benchmark1[[#This Row],[Benchmark '#1 Dates]],Target1[Target Dates],0)),"-")</f>
        <v>-2.3094698486625289E-3</v>
      </c>
      <c r="G1169" s="1">
        <f>IFERROR(IF(Benchmark1[[#This Row],[Target Date Check]]="Pass",Benchmark1[[#This Row],[Target Return]]-Benchmark1[[#This Row],[Benchmark '#1 Return]],"-"),"-")</f>
        <v>-7.6261224977511484E-3</v>
      </c>
      <c r="H1169" s="1" t="str">
        <f>IF(COUNTIF(Comp1[Comparable '#1 Dates],Benchmark1[[#This Row],[Benchmark '#1 Dates]])=1,"Pass","Fail")</f>
        <v>Pass</v>
      </c>
      <c r="I1169" s="6">
        <f>IF(Benchmark1[[#This Row],[Comparable '#1 Date Check]]="Pass",INDEX(Comp1[Comparable '#1 Price],MATCH(Benchmark1[[#This Row],[Benchmark '#1 Dates]],Comp1[Comparable '#1 Dates],0)),"-")</f>
        <v>12</v>
      </c>
      <c r="J1169" s="22">
        <f>IF(Benchmark1[[#This Row],[Comparable '#1 Date Check]]="Pass",INDEX(Comp1[Comparable '#1 Return],MATCH(Benchmark1[[#This Row],[Benchmark '#1 Dates]],Comp1[Comparable '#1 Dates],0)),"-")</f>
        <v>0.14406284467686428</v>
      </c>
      <c r="K1169" s="1">
        <f>IFERROR(IF(Benchmark1[[#This Row],[Comparable '#1 Date Check]]="Pass",Benchmark1[[#This Row],[Comparable '#1 Return]]-Benchmark1[[#This Row],[Benchmark '#1 Return]],"-"),"-")</f>
        <v>0.13874619202777566</v>
      </c>
      <c r="L1169" s="1" t="str">
        <f>IF(COUNTIF(Comp2[Comparable '#2 Dates],Benchmark1[[#This Row],[Benchmark '#1 Dates]])=1,"Pass","Fail")</f>
        <v>Pass</v>
      </c>
      <c r="M1169" s="6">
        <f>IF(Benchmark1[[#This Row],[Comparable '#2 Date Check]]="Pass",INDEX(Comp2[Comparable '#2 Price],MATCH(Benchmark1[[#This Row],[Benchmark '#1 Dates]],Comp2[Comparable '#2 Dates],0)),"-")</f>
        <v>40.01</v>
      </c>
      <c r="N1169" s="22">
        <f>IF(Benchmark1[[#This Row],[Comparable '#2 Date Check]]="Pass",INDEX(Comp2[Comparable '#2 Return],MATCH(Benchmark1[[#This Row],[Benchmark '#1 Dates]],Comp2[Comparable '#2 Dates],0)),"-")</f>
        <v>-3.7420525143300369E-3</v>
      </c>
      <c r="O1169" s="1">
        <f>IFERROR(IF(Benchmark1[[#This Row],[Comparable '#2 Date Check]]="Pass",Benchmark1[[#This Row],[Comparable '#2 Return]]-Benchmark1[[#This Row],[Benchmark '#1 Return]],"-"),"-")</f>
        <v>-9.0587051634186573E-3</v>
      </c>
      <c r="P1169" s="1" t="str">
        <f>IF(COUNTIF(Comp3[Comparable '#3 Dates],Benchmark1[[#This Row],[Benchmark '#1 Dates]])=1,"Pass","Fail")</f>
        <v>Pass</v>
      </c>
      <c r="Q1169" s="6">
        <f>IF(Benchmark1[[#This Row],[Comparable '#3 Date Check]]="Pass",INDEX(Comp3[Comparable '#3 Price],MATCH(Benchmark1[[#This Row],[Benchmark '#1 Dates]],Comp3[Comparable '#3 Dates],0)),"-")</f>
        <v>86.23</v>
      </c>
      <c r="R1169" s="22">
        <f>IF(Benchmark1[[#This Row],[Comparable '#3 Date Check]]="Pass",INDEX(Comp3[Comparable '#3 Return],MATCH(Benchmark1[[#This Row],[Benchmark '#1 Dates]],Comp3[Comparable '#3 Dates],0)),"-")</f>
        <v>-6.4770432084807247E-2</v>
      </c>
      <c r="S1169" s="1">
        <f>IFERROR(IF(Benchmark1[[#This Row],[Comparable '#3 Date Check]]="Pass",Benchmark1[[#This Row],[Comparable '#3 Return]]-Benchmark1[[#This Row],[Benchmark '#1 Return]],"-"),"-")</f>
        <v>-7.0087084733895869E-2</v>
      </c>
    </row>
    <row r="1170" spans="1:19">
      <c r="A1170" s="103">
        <v>44981</v>
      </c>
      <c r="B1170" s="104">
        <v>3970.0367759512628</v>
      </c>
      <c r="C1170" s="4">
        <f t="shared" si="18"/>
        <v>-1.0595061032450843E-2</v>
      </c>
      <c r="D1170" s="1" t="str">
        <f>IF(COUNTIF(Target1[Target Dates],Benchmark1[[#This Row],[Benchmark '#1 Dates]])=1,"Pass","Fail")</f>
        <v>Pass</v>
      </c>
      <c r="E1170" s="6">
        <f>IF(Benchmark1[[#This Row],[Target Date Check]]="Pass",INDEX(Target1[Target Price],MATCH(Benchmark1[[#This Row],[Benchmark '#1 Dates]],Target1[Target Dates],0)),"-")</f>
        <v>43.37</v>
      </c>
      <c r="F1170" s="22">
        <f>IF(Benchmark1[[#This Row],[Target Date Check]]="Pass",INDEX(Target1[Target Return],MATCH(Benchmark1[[#This Row],[Benchmark '#1 Dates]],Target1[Target Dates],0)),"-")</f>
        <v>2.7707244693865383E-3</v>
      </c>
      <c r="G1170" s="1">
        <f>IFERROR(IF(Benchmark1[[#This Row],[Target Date Check]]="Pass",Benchmark1[[#This Row],[Target Return]]-Benchmark1[[#This Row],[Benchmark '#1 Return]],"-"),"-")</f>
        <v>1.3365785501837382E-2</v>
      </c>
      <c r="H1170" s="1" t="str">
        <f>IF(COUNTIF(Comp1[Comparable '#1 Dates],Benchmark1[[#This Row],[Benchmark '#1 Dates]])=1,"Pass","Fail")</f>
        <v>Pass</v>
      </c>
      <c r="I1170" s="6">
        <f>IF(Benchmark1[[#This Row],[Comparable '#1 Date Check]]="Pass",INDEX(Comp1[Comparable '#1 Price],MATCH(Benchmark1[[#This Row],[Benchmark '#1 Dates]],Comp1[Comparable '#1 Dates],0)),"-")</f>
        <v>11.97</v>
      </c>
      <c r="J1170" s="22">
        <f>IF(Benchmark1[[#This Row],[Comparable '#1 Date Check]]="Pass",INDEX(Comp1[Comparable '#1 Return],MATCH(Benchmark1[[#This Row],[Benchmark '#1 Dates]],Comp1[Comparable '#1 Dates],0)),"-")</f>
        <v>-2.503130218118477E-3</v>
      </c>
      <c r="K1170" s="1">
        <f>IFERROR(IF(Benchmark1[[#This Row],[Comparable '#1 Date Check]]="Pass",Benchmark1[[#This Row],[Comparable '#1 Return]]-Benchmark1[[#This Row],[Benchmark '#1 Return]],"-"),"-")</f>
        <v>8.0919308143323661E-3</v>
      </c>
      <c r="L1170" s="1" t="str">
        <f>IF(COUNTIF(Comp2[Comparable '#2 Dates],Benchmark1[[#This Row],[Benchmark '#1 Dates]])=1,"Pass","Fail")</f>
        <v>Pass</v>
      </c>
      <c r="M1170" s="6">
        <f>IF(Benchmark1[[#This Row],[Comparable '#2 Date Check]]="Pass",INDEX(Comp2[Comparable '#2 Price],MATCH(Benchmark1[[#This Row],[Benchmark '#1 Dates]],Comp2[Comparable '#2 Dates],0)),"-")</f>
        <v>39.79</v>
      </c>
      <c r="N1170" s="22">
        <f>IF(Benchmark1[[#This Row],[Comparable '#2 Date Check]]="Pass",INDEX(Comp2[Comparable '#2 Return],MATCH(Benchmark1[[#This Row],[Benchmark '#1 Dates]],Comp2[Comparable '#2 Dates],0)),"-")</f>
        <v>-5.5137984303063829E-3</v>
      </c>
      <c r="O1170" s="1">
        <f>IFERROR(IF(Benchmark1[[#This Row],[Comparable '#2 Date Check]]="Pass",Benchmark1[[#This Row],[Comparable '#2 Return]]-Benchmark1[[#This Row],[Benchmark '#1 Return]],"-"),"-")</f>
        <v>5.0812626021444606E-3</v>
      </c>
      <c r="P1170" s="1" t="str">
        <f>IF(COUNTIF(Comp3[Comparable '#3 Dates],Benchmark1[[#This Row],[Benchmark '#1 Dates]])=1,"Pass","Fail")</f>
        <v>Pass</v>
      </c>
      <c r="Q1170" s="6">
        <f>IF(Benchmark1[[#This Row],[Comparable '#3 Date Check]]="Pass",INDEX(Comp3[Comparable '#3 Price],MATCH(Benchmark1[[#This Row],[Benchmark '#1 Dates]],Comp3[Comparable '#3 Dates],0)),"-")</f>
        <v>88.26</v>
      </c>
      <c r="R1170" s="22">
        <f>IF(Benchmark1[[#This Row],[Comparable '#3 Date Check]]="Pass",INDEX(Comp3[Comparable '#3 Return],MATCH(Benchmark1[[#This Row],[Benchmark '#1 Dates]],Comp3[Comparable '#3 Dates],0)),"-")</f>
        <v>2.3268858877168088E-2</v>
      </c>
      <c r="S1170" s="1">
        <f>IFERROR(IF(Benchmark1[[#This Row],[Comparable '#3 Date Check]]="Pass",Benchmark1[[#This Row],[Comparable '#3 Return]]-Benchmark1[[#This Row],[Benchmark '#1 Return]],"-"),"-")</f>
        <v>3.3863919909618928E-2</v>
      </c>
    </row>
    <row r="1171" spans="1:19">
      <c r="A1171" s="103">
        <v>44984</v>
      </c>
      <c r="B1171" s="104">
        <v>3982.2402803378245</v>
      </c>
      <c r="C1171" s="4">
        <f t="shared" si="18"/>
        <v>3.0691873232886026E-3</v>
      </c>
      <c r="D1171" s="1" t="str">
        <f>IF(COUNTIF(Target1[Target Dates],Benchmark1[[#This Row],[Benchmark '#1 Dates]])=1,"Pass","Fail")</f>
        <v>Pass</v>
      </c>
      <c r="E1171" s="6">
        <f>IF(Benchmark1[[#This Row],[Target Date Check]]="Pass",INDEX(Target1[Target Price],MATCH(Benchmark1[[#This Row],[Benchmark '#1 Dates]],Target1[Target Dates],0)),"-")</f>
        <v>42.83</v>
      </c>
      <c r="F1171" s="22">
        <f>IF(Benchmark1[[#This Row],[Target Date Check]]="Pass",INDEX(Target1[Target Return],MATCH(Benchmark1[[#This Row],[Benchmark '#1 Dates]],Target1[Target Dates],0)),"-")</f>
        <v>-1.2529166219995285E-2</v>
      </c>
      <c r="G1171" s="1">
        <f>IFERROR(IF(Benchmark1[[#This Row],[Target Date Check]]="Pass",Benchmark1[[#This Row],[Target Return]]-Benchmark1[[#This Row],[Benchmark '#1 Return]],"-"),"-")</f>
        <v>-1.5598353543283889E-2</v>
      </c>
      <c r="H1171" s="1" t="str">
        <f>IF(COUNTIF(Comp1[Comparable '#1 Dates],Benchmark1[[#This Row],[Benchmark '#1 Dates]])=1,"Pass","Fail")</f>
        <v>Pass</v>
      </c>
      <c r="I1171" s="6">
        <f>IF(Benchmark1[[#This Row],[Comparable '#1 Date Check]]="Pass",INDEX(Comp1[Comparable '#1 Price],MATCH(Benchmark1[[#This Row],[Benchmark '#1 Dates]],Comp1[Comparable '#1 Dates],0)),"-")</f>
        <v>11.87</v>
      </c>
      <c r="J1171" s="22">
        <f>IF(Benchmark1[[#This Row],[Comparable '#1 Date Check]]="Pass",INDEX(Comp1[Comparable '#1 Return],MATCH(Benchmark1[[#This Row],[Benchmark '#1 Dates]],Comp1[Comparable '#1 Dates],0)),"-")</f>
        <v>-8.3893109483052231E-3</v>
      </c>
      <c r="K1171" s="1">
        <f>IFERROR(IF(Benchmark1[[#This Row],[Comparable '#1 Date Check]]="Pass",Benchmark1[[#This Row],[Comparable '#1 Return]]-Benchmark1[[#This Row],[Benchmark '#1 Return]],"-"),"-")</f>
        <v>-1.1458498271593825E-2</v>
      </c>
      <c r="L1171" s="1" t="str">
        <f>IF(COUNTIF(Comp2[Comparable '#2 Dates],Benchmark1[[#This Row],[Benchmark '#1 Dates]])=1,"Pass","Fail")</f>
        <v>Pass</v>
      </c>
      <c r="M1171" s="6">
        <f>IF(Benchmark1[[#This Row],[Comparable '#2 Date Check]]="Pass",INDEX(Comp2[Comparable '#2 Price],MATCH(Benchmark1[[#This Row],[Benchmark '#1 Dates]],Comp2[Comparable '#2 Dates],0)),"-")</f>
        <v>39.19</v>
      </c>
      <c r="N1171" s="22">
        <f>IF(Benchmark1[[#This Row],[Comparable '#2 Date Check]]="Pass",INDEX(Comp2[Comparable '#2 Return],MATCH(Benchmark1[[#This Row],[Benchmark '#1 Dates]],Comp2[Comparable '#2 Dates],0)),"-")</f>
        <v>-1.519401222729719E-2</v>
      </c>
      <c r="O1171" s="1">
        <f>IFERROR(IF(Benchmark1[[#This Row],[Comparable '#2 Date Check]]="Pass",Benchmark1[[#This Row],[Comparable '#2 Return]]-Benchmark1[[#This Row],[Benchmark '#1 Return]],"-"),"-")</f>
        <v>-1.8263199550585793E-2</v>
      </c>
      <c r="P1171" s="1" t="str">
        <f>IF(COUNTIF(Comp3[Comparable '#3 Dates],Benchmark1[[#This Row],[Benchmark '#1 Dates]])=1,"Pass","Fail")</f>
        <v>Pass</v>
      </c>
      <c r="Q1171" s="6">
        <f>IF(Benchmark1[[#This Row],[Comparable '#3 Date Check]]="Pass",INDEX(Comp3[Comparable '#3 Price],MATCH(Benchmark1[[#This Row],[Benchmark '#1 Dates]],Comp3[Comparable '#3 Dates],0)),"-")</f>
        <v>87.2</v>
      </c>
      <c r="R1171" s="22">
        <f>IF(Benchmark1[[#This Row],[Comparable '#3 Date Check]]="Pass",INDEX(Comp3[Comparable '#3 Return],MATCH(Benchmark1[[#This Row],[Benchmark '#1 Dates]],Comp3[Comparable '#3 Dates],0)),"-")</f>
        <v>-1.2082672926467222E-2</v>
      </c>
      <c r="S1171" s="1">
        <f>IFERROR(IF(Benchmark1[[#This Row],[Comparable '#3 Date Check]]="Pass",Benchmark1[[#This Row],[Comparable '#3 Return]]-Benchmark1[[#This Row],[Benchmark '#1 Return]],"-"),"-")</f>
        <v>-1.5151860249755823E-2</v>
      </c>
    </row>
    <row r="1172" spans="1:19">
      <c r="A1172" s="103">
        <v>44985</v>
      </c>
      <c r="B1172" s="104">
        <v>3970.1534424866359</v>
      </c>
      <c r="C1172" s="4">
        <f t="shared" si="18"/>
        <v>-3.0398009906763565E-3</v>
      </c>
      <c r="D1172" s="1" t="str">
        <f>IF(COUNTIF(Target1[Target Dates],Benchmark1[[#This Row],[Benchmark '#1 Dates]])=1,"Pass","Fail")</f>
        <v>Pass</v>
      </c>
      <c r="E1172" s="6">
        <f>IF(Benchmark1[[#This Row],[Target Date Check]]="Pass",INDEX(Target1[Target Price],MATCH(Benchmark1[[#This Row],[Benchmark '#1 Dates]],Target1[Target Dates],0)),"-")</f>
        <v>42.47</v>
      </c>
      <c r="F1172" s="22">
        <f>IF(Benchmark1[[#This Row],[Target Date Check]]="Pass",INDEX(Target1[Target Return],MATCH(Benchmark1[[#This Row],[Benchmark '#1 Dates]],Target1[Target Dates],0)),"-")</f>
        <v>-8.4408473020998187E-3</v>
      </c>
      <c r="G1172" s="1">
        <f>IFERROR(IF(Benchmark1[[#This Row],[Target Date Check]]="Pass",Benchmark1[[#This Row],[Target Return]]-Benchmark1[[#This Row],[Benchmark '#1 Return]],"-"),"-")</f>
        <v>-5.4010463114234622E-3</v>
      </c>
      <c r="H1172" s="1" t="str">
        <f>IF(COUNTIF(Comp1[Comparable '#1 Dates],Benchmark1[[#This Row],[Benchmark '#1 Dates]])=1,"Pass","Fail")</f>
        <v>Pass</v>
      </c>
      <c r="I1172" s="6">
        <f>IF(Benchmark1[[#This Row],[Comparable '#1 Date Check]]="Pass",INDEX(Comp1[Comparable '#1 Price],MATCH(Benchmark1[[#This Row],[Benchmark '#1 Dates]],Comp1[Comparable '#1 Dates],0)),"-")</f>
        <v>11.86</v>
      </c>
      <c r="J1172" s="22">
        <f>IF(Benchmark1[[#This Row],[Comparable '#1 Date Check]]="Pass",INDEX(Comp1[Comparable '#1 Return],MATCH(Benchmark1[[#This Row],[Benchmark '#1 Dates]],Comp1[Comparable '#1 Dates],0)),"-")</f>
        <v>-8.4281505199727542E-4</v>
      </c>
      <c r="K1172" s="1">
        <f>IFERROR(IF(Benchmark1[[#This Row],[Comparable '#1 Date Check]]="Pass",Benchmark1[[#This Row],[Comparable '#1 Return]]-Benchmark1[[#This Row],[Benchmark '#1 Return]],"-"),"-")</f>
        <v>2.1969859386790809E-3</v>
      </c>
      <c r="L1172" s="1" t="str">
        <f>IF(COUNTIF(Comp2[Comparable '#2 Dates],Benchmark1[[#This Row],[Benchmark '#1 Dates]])=1,"Pass","Fail")</f>
        <v>Pass</v>
      </c>
      <c r="M1172" s="6">
        <f>IF(Benchmark1[[#This Row],[Comparable '#2 Date Check]]="Pass",INDEX(Comp2[Comparable '#2 Price],MATCH(Benchmark1[[#This Row],[Benchmark '#1 Dates]],Comp2[Comparable '#2 Dates],0)),"-")</f>
        <v>39.119999999999997</v>
      </c>
      <c r="N1172" s="22">
        <f>IF(Benchmark1[[#This Row],[Comparable '#2 Date Check]]="Pass",INDEX(Comp2[Comparable '#2 Return],MATCH(Benchmark1[[#This Row],[Benchmark '#1 Dates]],Comp2[Comparable '#2 Dates],0)),"-")</f>
        <v>-1.7877670449234799E-3</v>
      </c>
      <c r="O1172" s="1">
        <f>IFERROR(IF(Benchmark1[[#This Row],[Comparable '#2 Date Check]]="Pass",Benchmark1[[#This Row],[Comparable '#2 Return]]-Benchmark1[[#This Row],[Benchmark '#1 Return]],"-"),"-")</f>
        <v>1.2520339457528767E-3</v>
      </c>
      <c r="P1172" s="1" t="str">
        <f>IF(COUNTIF(Comp3[Comparable '#3 Dates],Benchmark1[[#This Row],[Benchmark '#1 Dates]])=1,"Pass","Fail")</f>
        <v>Pass</v>
      </c>
      <c r="Q1172" s="6">
        <f>IF(Benchmark1[[#This Row],[Comparable '#3 Date Check]]="Pass",INDEX(Comp3[Comparable '#3 Price],MATCH(Benchmark1[[#This Row],[Benchmark '#1 Dates]],Comp3[Comparable '#3 Dates],0)),"-")</f>
        <v>85.25</v>
      </c>
      <c r="R1172" s="22">
        <f>IF(Benchmark1[[#This Row],[Comparable '#3 Date Check]]="Pass",INDEX(Comp3[Comparable '#3 Return],MATCH(Benchmark1[[#This Row],[Benchmark '#1 Dates]],Comp3[Comparable '#3 Dates],0)),"-")</f>
        <v>-2.2616214751307765E-2</v>
      </c>
      <c r="S1172" s="1">
        <f>IFERROR(IF(Benchmark1[[#This Row],[Comparable '#3 Date Check]]="Pass",Benchmark1[[#This Row],[Comparable '#3 Return]]-Benchmark1[[#This Row],[Benchmark '#1 Return]],"-"),"-")</f>
        <v>-1.9576413760631409E-2</v>
      </c>
    </row>
    <row r="1173" spans="1:19">
      <c r="A1173" s="103">
        <v>44986</v>
      </c>
      <c r="B1173" s="104">
        <v>3951.3943113153314</v>
      </c>
      <c r="C1173" s="4">
        <f t="shared" si="18"/>
        <v>-4.7362376195419532E-3</v>
      </c>
      <c r="D1173" s="1" t="str">
        <f>IF(COUNTIF(Target1[Target Dates],Benchmark1[[#This Row],[Benchmark '#1 Dates]])=1,"Pass","Fail")</f>
        <v>Pass</v>
      </c>
      <c r="E1173" s="6">
        <f>IF(Benchmark1[[#This Row],[Target Date Check]]="Pass",INDEX(Target1[Target Price],MATCH(Benchmark1[[#This Row],[Benchmark '#1 Dates]],Target1[Target Dates],0)),"-")</f>
        <v>42.21</v>
      </c>
      <c r="F1173" s="22">
        <f>IF(Benchmark1[[#This Row],[Target Date Check]]="Pass",INDEX(Target1[Target Return],MATCH(Benchmark1[[#This Row],[Benchmark '#1 Dates]],Target1[Target Dates],0)),"-")</f>
        <v>-6.1407845307723157E-3</v>
      </c>
      <c r="G1173" s="1">
        <f>IFERROR(IF(Benchmark1[[#This Row],[Target Date Check]]="Pass",Benchmark1[[#This Row],[Target Return]]-Benchmark1[[#This Row],[Benchmark '#1 Return]],"-"),"-")</f>
        <v>-1.4045469112303624E-3</v>
      </c>
      <c r="H1173" s="1" t="str">
        <f>IF(COUNTIF(Comp1[Comparable '#1 Dates],Benchmark1[[#This Row],[Benchmark '#1 Dates]])=1,"Pass","Fail")</f>
        <v>Pass</v>
      </c>
      <c r="I1173" s="6">
        <f>IF(Benchmark1[[#This Row],[Comparable '#1 Date Check]]="Pass",INDEX(Comp1[Comparable '#1 Price],MATCH(Benchmark1[[#This Row],[Benchmark '#1 Dates]],Comp1[Comparable '#1 Dates],0)),"-")</f>
        <v>11.55</v>
      </c>
      <c r="J1173" s="22">
        <f>IF(Benchmark1[[#This Row],[Comparable '#1 Date Check]]="Pass",INDEX(Comp1[Comparable '#1 Return],MATCH(Benchmark1[[#This Row],[Benchmark '#1 Dates]],Comp1[Comparable '#1 Dates],0)),"-")</f>
        <v>-2.6485956601776717E-2</v>
      </c>
      <c r="K1173" s="1">
        <f>IFERROR(IF(Benchmark1[[#This Row],[Comparable '#1 Date Check]]="Pass",Benchmark1[[#This Row],[Comparable '#1 Return]]-Benchmark1[[#This Row],[Benchmark '#1 Return]],"-"),"-")</f>
        <v>-2.1749718982234763E-2</v>
      </c>
      <c r="L1173" s="1" t="str">
        <f>IF(COUNTIF(Comp2[Comparable '#2 Dates],Benchmark1[[#This Row],[Benchmark '#1 Dates]])=1,"Pass","Fail")</f>
        <v>Pass</v>
      </c>
      <c r="M1173" s="6">
        <f>IF(Benchmark1[[#This Row],[Comparable '#2 Date Check]]="Pass",INDEX(Comp2[Comparable '#2 Price],MATCH(Benchmark1[[#This Row],[Benchmark '#1 Dates]],Comp2[Comparable '#2 Dates],0)),"-")</f>
        <v>38.520000000000003</v>
      </c>
      <c r="N1173" s="22">
        <f>IF(Benchmark1[[#This Row],[Comparable '#2 Date Check]]="Pass",INDEX(Comp2[Comparable '#2 Return],MATCH(Benchmark1[[#This Row],[Benchmark '#1 Dates]],Comp2[Comparable '#2 Dates],0)),"-")</f>
        <v>-1.5456258236691577E-2</v>
      </c>
      <c r="O1173" s="1">
        <f>IFERROR(IF(Benchmark1[[#This Row],[Comparable '#2 Date Check]]="Pass",Benchmark1[[#This Row],[Comparable '#2 Return]]-Benchmark1[[#This Row],[Benchmark '#1 Return]],"-"),"-")</f>
        <v>-1.0720020617149623E-2</v>
      </c>
      <c r="P1173" s="1" t="str">
        <f>IF(COUNTIF(Comp3[Comparable '#3 Dates],Benchmark1[[#This Row],[Benchmark '#1 Dates]])=1,"Pass","Fail")</f>
        <v>Pass</v>
      </c>
      <c r="Q1173" s="6">
        <f>IF(Benchmark1[[#This Row],[Comparable '#3 Date Check]]="Pass",INDEX(Comp3[Comparable '#3 Price],MATCH(Benchmark1[[#This Row],[Benchmark '#1 Dates]],Comp3[Comparable '#3 Dates],0)),"-")</f>
        <v>83.27</v>
      </c>
      <c r="R1173" s="22">
        <f>IF(Benchmark1[[#This Row],[Comparable '#3 Date Check]]="Pass",INDEX(Comp3[Comparable '#3 Return],MATCH(Benchmark1[[#This Row],[Benchmark '#1 Dates]],Comp3[Comparable '#3 Dates],0)),"-")</f>
        <v>-2.3499775915898302E-2</v>
      </c>
      <c r="S1173" s="1">
        <f>IFERROR(IF(Benchmark1[[#This Row],[Comparable '#3 Date Check]]="Pass",Benchmark1[[#This Row],[Comparable '#3 Return]]-Benchmark1[[#This Row],[Benchmark '#1 Return]],"-"),"-")</f>
        <v>-1.8763538296356349E-2</v>
      </c>
    </row>
    <row r="1174" spans="1:19">
      <c r="A1174" s="103">
        <v>44987</v>
      </c>
      <c r="B1174" s="104">
        <v>3981.3522815122728</v>
      </c>
      <c r="C1174" s="4">
        <f t="shared" si="18"/>
        <v>7.5530239789861255E-3</v>
      </c>
      <c r="D1174" s="1" t="str">
        <f>IF(COUNTIF(Target1[Target Dates],Benchmark1[[#This Row],[Benchmark '#1 Dates]])=1,"Pass","Fail")</f>
        <v>Pass</v>
      </c>
      <c r="E1174" s="6">
        <f>IF(Benchmark1[[#This Row],[Target Date Check]]="Pass",INDEX(Target1[Target Price],MATCH(Benchmark1[[#This Row],[Benchmark '#1 Dates]],Target1[Target Dates],0)),"-")</f>
        <v>42.45</v>
      </c>
      <c r="F1174" s="22">
        <f>IF(Benchmark1[[#This Row],[Target Date Check]]="Pass",INDEX(Target1[Target Return],MATCH(Benchmark1[[#This Row],[Benchmark '#1 Dates]],Target1[Target Dates],0)),"-")</f>
        <v>5.6697529629490123E-3</v>
      </c>
      <c r="G1174" s="1">
        <f>IFERROR(IF(Benchmark1[[#This Row],[Target Date Check]]="Pass",Benchmark1[[#This Row],[Target Return]]-Benchmark1[[#This Row],[Benchmark '#1 Return]],"-"),"-")</f>
        <v>-1.8832710160371132E-3</v>
      </c>
      <c r="H1174" s="1" t="str">
        <f>IF(COUNTIF(Comp1[Comparable '#1 Dates],Benchmark1[[#This Row],[Benchmark '#1 Dates]])=1,"Pass","Fail")</f>
        <v>Pass</v>
      </c>
      <c r="I1174" s="6">
        <f>IF(Benchmark1[[#This Row],[Comparable '#1 Date Check]]="Pass",INDEX(Comp1[Comparable '#1 Price],MATCH(Benchmark1[[#This Row],[Benchmark '#1 Dates]],Comp1[Comparable '#1 Dates],0)),"-")</f>
        <v>11.72</v>
      </c>
      <c r="J1174" s="22">
        <f>IF(Benchmark1[[#This Row],[Comparable '#1 Date Check]]="Pass",INDEX(Comp1[Comparable '#1 Return],MATCH(Benchmark1[[#This Row],[Benchmark '#1 Dates]],Comp1[Comparable '#1 Dates],0)),"-")</f>
        <v>1.4611347181063978E-2</v>
      </c>
      <c r="K1174" s="1">
        <f>IFERROR(IF(Benchmark1[[#This Row],[Comparable '#1 Date Check]]="Pass",Benchmark1[[#This Row],[Comparable '#1 Return]]-Benchmark1[[#This Row],[Benchmark '#1 Return]],"-"),"-")</f>
        <v>7.0583232020778527E-3</v>
      </c>
      <c r="L1174" s="1" t="str">
        <f>IF(COUNTIF(Comp2[Comparable '#2 Dates],Benchmark1[[#This Row],[Benchmark '#1 Dates]])=1,"Pass","Fail")</f>
        <v>Pass</v>
      </c>
      <c r="M1174" s="6">
        <f>IF(Benchmark1[[#This Row],[Comparable '#2 Date Check]]="Pass",INDEX(Comp2[Comparable '#2 Price],MATCH(Benchmark1[[#This Row],[Benchmark '#1 Dates]],Comp2[Comparable '#2 Dates],0)),"-")</f>
        <v>38.85</v>
      </c>
      <c r="N1174" s="22">
        <f>IF(Benchmark1[[#This Row],[Comparable '#2 Date Check]]="Pass",INDEX(Comp2[Comparable '#2 Return],MATCH(Benchmark1[[#This Row],[Benchmark '#1 Dates]],Comp2[Comparable '#2 Dates],0)),"-")</f>
        <v>8.5304898837315589E-3</v>
      </c>
      <c r="O1174" s="1">
        <f>IFERROR(IF(Benchmark1[[#This Row],[Comparable '#2 Date Check]]="Pass",Benchmark1[[#This Row],[Comparable '#2 Return]]-Benchmark1[[#This Row],[Benchmark '#1 Return]],"-"),"-")</f>
        <v>9.7746590474543336E-4</v>
      </c>
      <c r="P1174" s="1" t="str">
        <f>IF(COUNTIF(Comp3[Comparable '#3 Dates],Benchmark1[[#This Row],[Benchmark '#1 Dates]])=1,"Pass","Fail")</f>
        <v>Pass</v>
      </c>
      <c r="Q1174" s="6">
        <f>IF(Benchmark1[[#This Row],[Comparable '#3 Date Check]]="Pass",INDEX(Comp3[Comparable '#3 Price],MATCH(Benchmark1[[#This Row],[Benchmark '#1 Dates]],Comp3[Comparable '#3 Dates],0)),"-")</f>
        <v>83.47</v>
      </c>
      <c r="R1174" s="22">
        <f>IF(Benchmark1[[#This Row],[Comparable '#3 Date Check]]="Pass",INDEX(Comp3[Comparable '#3 Return],MATCH(Benchmark1[[#This Row],[Benchmark '#1 Dates]],Comp3[Comparable '#3 Dates],0)),"-")</f>
        <v>2.3989456149173822E-3</v>
      </c>
      <c r="S1174" s="1">
        <f>IFERROR(IF(Benchmark1[[#This Row],[Comparable '#3 Date Check]]="Pass",Benchmark1[[#This Row],[Comparable '#3 Return]]-Benchmark1[[#This Row],[Benchmark '#1 Return]],"-"),"-")</f>
        <v>-5.1540783640687433E-3</v>
      </c>
    </row>
    <row r="1175" spans="1:19">
      <c r="A1175" s="103">
        <v>44988</v>
      </c>
      <c r="B1175" s="104">
        <v>4045.6376475657216</v>
      </c>
      <c r="C1175" s="4">
        <f t="shared" si="18"/>
        <v>1.6017645733544039E-2</v>
      </c>
      <c r="D1175" s="1" t="str">
        <f>IF(COUNTIF(Target1[Target Dates],Benchmark1[[#This Row],[Benchmark '#1 Dates]])=1,"Pass","Fail")</f>
        <v>Pass</v>
      </c>
      <c r="E1175" s="6">
        <f>IF(Benchmark1[[#This Row],[Target Date Check]]="Pass",INDEX(Target1[Target Price],MATCH(Benchmark1[[#This Row],[Benchmark '#1 Dates]],Target1[Target Dates],0)),"-")</f>
        <v>42.76</v>
      </c>
      <c r="F1175" s="22">
        <f>IF(Benchmark1[[#This Row],[Target Date Check]]="Pass",INDEX(Target1[Target Return],MATCH(Benchmark1[[#This Row],[Benchmark '#1 Dates]],Target1[Target Dates],0)),"-")</f>
        <v>7.2761733994881166E-3</v>
      </c>
      <c r="G1175" s="1">
        <f>IFERROR(IF(Benchmark1[[#This Row],[Target Date Check]]="Pass",Benchmark1[[#This Row],[Target Return]]-Benchmark1[[#This Row],[Benchmark '#1 Return]],"-"),"-")</f>
        <v>-8.7414723340559219E-3</v>
      </c>
      <c r="H1175" s="1" t="str">
        <f>IF(COUNTIF(Comp1[Comparable '#1 Dates],Benchmark1[[#This Row],[Benchmark '#1 Dates]])=1,"Pass","Fail")</f>
        <v>Pass</v>
      </c>
      <c r="I1175" s="6">
        <f>IF(Benchmark1[[#This Row],[Comparable '#1 Date Check]]="Pass",INDEX(Comp1[Comparable '#1 Price],MATCH(Benchmark1[[#This Row],[Benchmark '#1 Dates]],Comp1[Comparable '#1 Dates],0)),"-")</f>
        <v>11.91</v>
      </c>
      <c r="J1175" s="22">
        <f>IF(Benchmark1[[#This Row],[Comparable '#1 Date Check]]="Pass",INDEX(Comp1[Comparable '#1 Return],MATCH(Benchmark1[[#This Row],[Benchmark '#1 Dates]],Comp1[Comparable '#1 Dates],0)),"-")</f>
        <v>1.6081599218342145E-2</v>
      </c>
      <c r="K1175" s="1">
        <f>IFERROR(IF(Benchmark1[[#This Row],[Comparable '#1 Date Check]]="Pass",Benchmark1[[#This Row],[Comparable '#1 Return]]-Benchmark1[[#This Row],[Benchmark '#1 Return]],"-"),"-")</f>
        <v>6.3953484798106447E-5</v>
      </c>
      <c r="L1175" s="1" t="str">
        <f>IF(COUNTIF(Comp2[Comparable '#2 Dates],Benchmark1[[#This Row],[Benchmark '#1 Dates]])=1,"Pass","Fail")</f>
        <v>Pass</v>
      </c>
      <c r="M1175" s="6">
        <f>IF(Benchmark1[[#This Row],[Comparable '#2 Date Check]]="Pass",INDEX(Comp2[Comparable '#2 Price],MATCH(Benchmark1[[#This Row],[Benchmark '#1 Dates]],Comp2[Comparable '#2 Dates],0)),"-")</f>
        <v>39.380000000000003</v>
      </c>
      <c r="N1175" s="22">
        <f>IF(Benchmark1[[#This Row],[Comparable '#2 Date Check]]="Pass",INDEX(Comp2[Comparable '#2 Return],MATCH(Benchmark1[[#This Row],[Benchmark '#1 Dates]],Comp2[Comparable '#2 Dates],0)),"-")</f>
        <v>1.3549996397323022E-2</v>
      </c>
      <c r="O1175" s="1">
        <f>IFERROR(IF(Benchmark1[[#This Row],[Comparable '#2 Date Check]]="Pass",Benchmark1[[#This Row],[Comparable '#2 Return]]-Benchmark1[[#This Row],[Benchmark '#1 Return]],"-"),"-")</f>
        <v>-2.4676493362210169E-3</v>
      </c>
      <c r="P1175" s="1" t="str">
        <f>IF(COUNTIF(Comp3[Comparable '#3 Dates],Benchmark1[[#This Row],[Benchmark '#1 Dates]])=1,"Pass","Fail")</f>
        <v>Pass</v>
      </c>
      <c r="Q1175" s="6">
        <f>IF(Benchmark1[[#This Row],[Comparable '#3 Date Check]]="Pass",INDEX(Comp3[Comparable '#3 Price],MATCH(Benchmark1[[#This Row],[Benchmark '#1 Dates]],Comp3[Comparable '#3 Dates],0)),"-")</f>
        <v>83.99</v>
      </c>
      <c r="R1175" s="22">
        <f>IF(Benchmark1[[#This Row],[Comparable '#3 Date Check]]="Pass",INDEX(Comp3[Comparable '#3 Return],MATCH(Benchmark1[[#This Row],[Benchmark '#1 Dates]],Comp3[Comparable '#3 Dates],0)),"-")</f>
        <v>6.2104582748905195E-3</v>
      </c>
      <c r="S1175" s="1">
        <f>IFERROR(IF(Benchmark1[[#This Row],[Comparable '#3 Date Check]]="Pass",Benchmark1[[#This Row],[Comparable '#3 Return]]-Benchmark1[[#This Row],[Benchmark '#1 Return]],"-"),"-")</f>
        <v>-9.8071874586535199E-3</v>
      </c>
    </row>
    <row r="1176" spans="1:19">
      <c r="A1176" s="103">
        <v>44991</v>
      </c>
      <c r="B1176" s="104">
        <v>4048.4178146504942</v>
      </c>
      <c r="C1176" s="4">
        <f t="shared" si="18"/>
        <v>6.8696519491010563E-4</v>
      </c>
      <c r="D1176" s="1" t="str">
        <f>IF(COUNTIF(Target1[Target Dates],Benchmark1[[#This Row],[Benchmark '#1 Dates]])=1,"Pass","Fail")</f>
        <v>Pass</v>
      </c>
      <c r="E1176" s="6">
        <f>IF(Benchmark1[[#This Row],[Target Date Check]]="Pass",INDEX(Target1[Target Price],MATCH(Benchmark1[[#This Row],[Benchmark '#1 Dates]],Target1[Target Dates],0)),"-")</f>
        <v>42.88</v>
      </c>
      <c r="F1176" s="22">
        <f>IF(Benchmark1[[#This Row],[Target Date Check]]="Pass",INDEX(Target1[Target Return],MATCH(Benchmark1[[#This Row],[Benchmark '#1 Dates]],Target1[Target Dates],0)),"-")</f>
        <v>2.8024306057021155E-3</v>
      </c>
      <c r="G1176" s="1">
        <f>IFERROR(IF(Benchmark1[[#This Row],[Target Date Check]]="Pass",Benchmark1[[#This Row],[Target Return]]-Benchmark1[[#This Row],[Benchmark '#1 Return]],"-"),"-")</f>
        <v>2.1154654107920098E-3</v>
      </c>
      <c r="H1176" s="1" t="str">
        <f>IF(COUNTIF(Comp1[Comparable '#1 Dates],Benchmark1[[#This Row],[Benchmark '#1 Dates]])=1,"Pass","Fail")</f>
        <v>Pass</v>
      </c>
      <c r="I1176" s="6">
        <f>IF(Benchmark1[[#This Row],[Comparable '#1 Date Check]]="Pass",INDEX(Comp1[Comparable '#1 Price],MATCH(Benchmark1[[#This Row],[Benchmark '#1 Dates]],Comp1[Comparable '#1 Dates],0)),"-")</f>
        <v>11.86</v>
      </c>
      <c r="J1176" s="22">
        <f>IF(Benchmark1[[#This Row],[Comparable '#1 Date Check]]="Pass",INDEX(Comp1[Comparable '#1 Return],MATCH(Benchmark1[[#This Row],[Benchmark '#1 Dates]],Comp1[Comparable '#1 Dates],0)),"-")</f>
        <v>-4.2069897976294377E-3</v>
      </c>
      <c r="K1176" s="1">
        <f>IFERROR(IF(Benchmark1[[#This Row],[Comparable '#1 Date Check]]="Pass",Benchmark1[[#This Row],[Comparable '#1 Return]]-Benchmark1[[#This Row],[Benchmark '#1 Return]],"-"),"-")</f>
        <v>-4.8939549925395434E-3</v>
      </c>
      <c r="L1176" s="1" t="str">
        <f>IF(COUNTIF(Comp2[Comparable '#2 Dates],Benchmark1[[#This Row],[Benchmark '#1 Dates]])=1,"Pass","Fail")</f>
        <v>Pass</v>
      </c>
      <c r="M1176" s="6">
        <f>IF(Benchmark1[[#This Row],[Comparable '#2 Date Check]]="Pass",INDEX(Comp2[Comparable '#2 Price],MATCH(Benchmark1[[#This Row],[Benchmark '#1 Dates]],Comp2[Comparable '#2 Dates],0)),"-")</f>
        <v>38.72</v>
      </c>
      <c r="N1176" s="22">
        <f>IF(Benchmark1[[#This Row],[Comparable '#2 Date Check]]="Pass",INDEX(Comp2[Comparable '#2 Return],MATCH(Benchmark1[[#This Row],[Benchmark '#1 Dates]],Comp2[Comparable '#2 Dates],0)),"-")</f>
        <v>-1.6901810802603254E-2</v>
      </c>
      <c r="O1176" s="1">
        <f>IFERROR(IF(Benchmark1[[#This Row],[Comparable '#2 Date Check]]="Pass",Benchmark1[[#This Row],[Comparable '#2 Return]]-Benchmark1[[#This Row],[Benchmark '#1 Return]],"-"),"-")</f>
        <v>-1.7588775997513361E-2</v>
      </c>
      <c r="P1176" s="1" t="str">
        <f>IF(COUNTIF(Comp3[Comparable '#3 Dates],Benchmark1[[#This Row],[Benchmark '#1 Dates]])=1,"Pass","Fail")</f>
        <v>Pass</v>
      </c>
      <c r="Q1176" s="6">
        <f>IF(Benchmark1[[#This Row],[Comparable '#3 Date Check]]="Pass",INDEX(Comp3[Comparable '#3 Price],MATCH(Benchmark1[[#This Row],[Benchmark '#1 Dates]],Comp3[Comparable '#3 Dates],0)),"-")</f>
        <v>82.85</v>
      </c>
      <c r="R1176" s="22">
        <f>IF(Benchmark1[[#This Row],[Comparable '#3 Date Check]]="Pass",INDEX(Comp3[Comparable '#3 Return],MATCH(Benchmark1[[#This Row],[Benchmark '#1 Dates]],Comp3[Comparable '#3 Dates],0)),"-")</f>
        <v>-1.3666000264963825E-2</v>
      </c>
      <c r="S1176" s="1">
        <f>IFERROR(IF(Benchmark1[[#This Row],[Comparable '#3 Date Check]]="Pass",Benchmark1[[#This Row],[Comparable '#3 Return]]-Benchmark1[[#This Row],[Benchmark '#1 Return]],"-"),"-")</f>
        <v>-1.4352965459873929E-2</v>
      </c>
    </row>
    <row r="1177" spans="1:19">
      <c r="A1177" s="103">
        <v>44992</v>
      </c>
      <c r="B1177" s="104">
        <v>3986.3727721762652</v>
      </c>
      <c r="C1177" s="4">
        <f t="shared" si="18"/>
        <v>-1.5444403957306981E-2</v>
      </c>
      <c r="D1177" s="1" t="str">
        <f>IF(COUNTIF(Target1[Target Dates],Benchmark1[[#This Row],[Benchmark '#1 Dates]])=1,"Pass","Fail")</f>
        <v>Pass</v>
      </c>
      <c r="E1177" s="6">
        <f>IF(Benchmark1[[#This Row],[Target Date Check]]="Pass",INDEX(Target1[Target Price],MATCH(Benchmark1[[#This Row],[Benchmark '#1 Dates]],Target1[Target Dates],0)),"-")</f>
        <v>44.08</v>
      </c>
      <c r="F1177" s="22">
        <f>IF(Benchmark1[[#This Row],[Target Date Check]]="Pass",INDEX(Target1[Target Return],MATCH(Benchmark1[[#This Row],[Benchmark '#1 Dates]],Target1[Target Dates],0)),"-")</f>
        <v>2.7600648082112336E-2</v>
      </c>
      <c r="G1177" s="1">
        <f>IFERROR(IF(Benchmark1[[#This Row],[Target Date Check]]="Pass",Benchmark1[[#This Row],[Target Return]]-Benchmark1[[#This Row],[Benchmark '#1 Return]],"-"),"-")</f>
        <v>4.3045052039419315E-2</v>
      </c>
      <c r="H1177" s="1" t="str">
        <f>IF(COUNTIF(Comp1[Comparable '#1 Dates],Benchmark1[[#This Row],[Benchmark '#1 Dates]])=1,"Pass","Fail")</f>
        <v>Pass</v>
      </c>
      <c r="I1177" s="6">
        <f>IF(Benchmark1[[#This Row],[Comparable '#1 Date Check]]="Pass",INDEX(Comp1[Comparable '#1 Price],MATCH(Benchmark1[[#This Row],[Benchmark '#1 Dates]],Comp1[Comparable '#1 Dates],0)),"-")</f>
        <v>11.86</v>
      </c>
      <c r="J1177" s="22">
        <f>IF(Benchmark1[[#This Row],[Comparable '#1 Date Check]]="Pass",INDEX(Comp1[Comparable '#1 Return],MATCH(Benchmark1[[#This Row],[Benchmark '#1 Dates]],Comp1[Comparable '#1 Dates],0)),"-")</f>
        <v>0</v>
      </c>
      <c r="K1177" s="1">
        <f>IFERROR(IF(Benchmark1[[#This Row],[Comparable '#1 Date Check]]="Pass",Benchmark1[[#This Row],[Comparable '#1 Return]]-Benchmark1[[#This Row],[Benchmark '#1 Return]],"-"),"-")</f>
        <v>1.5444403957306981E-2</v>
      </c>
      <c r="L1177" s="1" t="str">
        <f>IF(COUNTIF(Comp2[Comparable '#2 Dates],Benchmark1[[#This Row],[Benchmark '#1 Dates]])=1,"Pass","Fail")</f>
        <v>Pass</v>
      </c>
      <c r="M1177" s="6">
        <f>IF(Benchmark1[[#This Row],[Comparable '#2 Date Check]]="Pass",INDEX(Comp2[Comparable '#2 Price],MATCH(Benchmark1[[#This Row],[Benchmark '#1 Dates]],Comp2[Comparable '#2 Dates],0)),"-")</f>
        <v>38.72</v>
      </c>
      <c r="N1177" s="22">
        <f>IF(Benchmark1[[#This Row],[Comparable '#2 Date Check]]="Pass",INDEX(Comp2[Comparable '#2 Return],MATCH(Benchmark1[[#This Row],[Benchmark '#1 Dates]],Comp2[Comparable '#2 Dates],0)),"-")</f>
        <v>0</v>
      </c>
      <c r="O1177" s="1">
        <f>IFERROR(IF(Benchmark1[[#This Row],[Comparable '#2 Date Check]]="Pass",Benchmark1[[#This Row],[Comparable '#2 Return]]-Benchmark1[[#This Row],[Benchmark '#1 Return]],"-"),"-")</f>
        <v>1.5444403957306981E-2</v>
      </c>
      <c r="P1177" s="1" t="str">
        <f>IF(COUNTIF(Comp3[Comparable '#3 Dates],Benchmark1[[#This Row],[Benchmark '#1 Dates]])=1,"Pass","Fail")</f>
        <v>Pass</v>
      </c>
      <c r="Q1177" s="6">
        <f>IF(Benchmark1[[#This Row],[Comparable '#3 Date Check]]="Pass",INDEX(Comp3[Comparable '#3 Price],MATCH(Benchmark1[[#This Row],[Benchmark '#1 Dates]],Comp3[Comparable '#3 Dates],0)),"-")</f>
        <v>85.25</v>
      </c>
      <c r="R1177" s="22">
        <f>IF(Benchmark1[[#This Row],[Comparable '#3 Date Check]]="Pass",INDEX(Comp3[Comparable '#3 Return],MATCH(Benchmark1[[#This Row],[Benchmark '#1 Dates]],Comp3[Comparable '#3 Dates],0)),"-")</f>
        <v>2.8556372291054222E-2</v>
      </c>
      <c r="S1177" s="1">
        <f>IFERROR(IF(Benchmark1[[#This Row],[Comparable '#3 Date Check]]="Pass",Benchmark1[[#This Row],[Comparable '#3 Return]]-Benchmark1[[#This Row],[Benchmark '#1 Return]],"-"),"-")</f>
        <v>4.4000776248361205E-2</v>
      </c>
    </row>
    <row r="1178" spans="1:19">
      <c r="A1178" s="103">
        <v>44993</v>
      </c>
      <c r="B1178" s="104">
        <v>3992.0132387808562</v>
      </c>
      <c r="C1178" s="4">
        <f t="shared" si="18"/>
        <v>1.4139369883970272E-3</v>
      </c>
      <c r="D1178" s="1" t="str">
        <f>IF(COUNTIF(Target1[Target Dates],Benchmark1[[#This Row],[Benchmark '#1 Dates]])=1,"Pass","Fail")</f>
        <v>Pass</v>
      </c>
      <c r="E1178" s="6">
        <f>IF(Benchmark1[[#This Row],[Target Date Check]]="Pass",INDEX(Target1[Target Price],MATCH(Benchmark1[[#This Row],[Benchmark '#1 Dates]],Target1[Target Dates],0)),"-")</f>
        <v>43.82</v>
      </c>
      <c r="F1178" s="22">
        <f>IF(Benchmark1[[#This Row],[Target Date Check]]="Pass",INDEX(Target1[Target Return],MATCH(Benchmark1[[#This Row],[Benchmark '#1 Dates]],Target1[Target Dates],0)),"-")</f>
        <v>-5.9158306773385875E-3</v>
      </c>
      <c r="G1178" s="1">
        <f>IFERROR(IF(Benchmark1[[#This Row],[Target Date Check]]="Pass",Benchmark1[[#This Row],[Target Return]]-Benchmark1[[#This Row],[Benchmark '#1 Return]],"-"),"-")</f>
        <v>-7.3297676657356151E-3</v>
      </c>
      <c r="H1178" s="1" t="str">
        <f>IF(COUNTIF(Comp1[Comparable '#1 Dates],Benchmark1[[#This Row],[Benchmark '#1 Dates]])=1,"Pass","Fail")</f>
        <v>Pass</v>
      </c>
      <c r="I1178" s="6">
        <f>IF(Benchmark1[[#This Row],[Comparable '#1 Date Check]]="Pass",INDEX(Comp1[Comparable '#1 Price],MATCH(Benchmark1[[#This Row],[Benchmark '#1 Dates]],Comp1[Comparable '#1 Dates],0)),"-")</f>
        <v>11.9</v>
      </c>
      <c r="J1178" s="22">
        <f>IF(Benchmark1[[#This Row],[Comparable '#1 Date Check]]="Pass",INDEX(Comp1[Comparable '#1 Return],MATCH(Benchmark1[[#This Row],[Benchmark '#1 Dates]],Comp1[Comparable '#1 Dates],0)),"-")</f>
        <v>3.3670065479044697E-3</v>
      </c>
      <c r="K1178" s="1">
        <f>IFERROR(IF(Benchmark1[[#This Row],[Comparable '#1 Date Check]]="Pass",Benchmark1[[#This Row],[Comparable '#1 Return]]-Benchmark1[[#This Row],[Benchmark '#1 Return]],"-"),"-")</f>
        <v>1.9530695595074425E-3</v>
      </c>
      <c r="L1178" s="1" t="str">
        <f>IF(COUNTIF(Comp2[Comparable '#2 Dates],Benchmark1[[#This Row],[Benchmark '#1 Dates]])=1,"Pass","Fail")</f>
        <v>Pass</v>
      </c>
      <c r="M1178" s="6">
        <f>IF(Benchmark1[[#This Row],[Comparable '#2 Date Check]]="Pass",INDEX(Comp2[Comparable '#2 Price],MATCH(Benchmark1[[#This Row],[Benchmark '#1 Dates]],Comp2[Comparable '#2 Dates],0)),"-")</f>
        <v>38.07</v>
      </c>
      <c r="N1178" s="22">
        <f>IF(Benchmark1[[#This Row],[Comparable '#2 Date Check]]="Pass",INDEX(Comp2[Comparable '#2 Return],MATCH(Benchmark1[[#This Row],[Benchmark '#1 Dates]],Comp2[Comparable '#2 Dates],0)),"-")</f>
        <v>-1.6929692013970276E-2</v>
      </c>
      <c r="O1178" s="1">
        <f>IFERROR(IF(Benchmark1[[#This Row],[Comparable '#2 Date Check]]="Pass",Benchmark1[[#This Row],[Comparable '#2 Return]]-Benchmark1[[#This Row],[Benchmark '#1 Return]],"-"),"-")</f>
        <v>-1.8343629002367304E-2</v>
      </c>
      <c r="P1178" s="1" t="str">
        <f>IF(COUNTIF(Comp3[Comparable '#3 Dates],Benchmark1[[#This Row],[Benchmark '#1 Dates]])=1,"Pass","Fail")</f>
        <v>Pass</v>
      </c>
      <c r="Q1178" s="6">
        <f>IF(Benchmark1[[#This Row],[Comparable '#3 Date Check]]="Pass",INDEX(Comp3[Comparable '#3 Price],MATCH(Benchmark1[[#This Row],[Benchmark '#1 Dates]],Comp3[Comparable '#3 Dates],0)),"-")</f>
        <v>86.03</v>
      </c>
      <c r="R1178" s="22">
        <f>IF(Benchmark1[[#This Row],[Comparable '#3 Date Check]]="Pass",INDEX(Comp3[Comparable '#3 Return],MATCH(Benchmark1[[#This Row],[Benchmark '#1 Dates]],Comp3[Comparable '#3 Dates],0)),"-")</f>
        <v>9.1079564696307028E-3</v>
      </c>
      <c r="S1178" s="1">
        <f>IFERROR(IF(Benchmark1[[#This Row],[Comparable '#3 Date Check]]="Pass",Benchmark1[[#This Row],[Comparable '#3 Return]]-Benchmark1[[#This Row],[Benchmark '#1 Return]],"-"),"-")</f>
        <v>7.694019481233676E-3</v>
      </c>
    </row>
    <row r="1179" spans="1:19">
      <c r="A1179" s="103">
        <v>44994</v>
      </c>
      <c r="B1179" s="104">
        <v>3918.3214163803932</v>
      </c>
      <c r="C1179" s="4">
        <f t="shared" si="18"/>
        <v>-1.8632322784388811E-2</v>
      </c>
      <c r="D1179" s="1" t="str">
        <f>IF(COUNTIF(Target1[Target Dates],Benchmark1[[#This Row],[Benchmark '#1 Dates]])=1,"Pass","Fail")</f>
        <v>Pass</v>
      </c>
      <c r="E1179" s="6">
        <f>IF(Benchmark1[[#This Row],[Target Date Check]]="Pass",INDEX(Target1[Target Price],MATCH(Benchmark1[[#This Row],[Benchmark '#1 Dates]],Target1[Target Dates],0)),"-")</f>
        <v>43.12</v>
      </c>
      <c r="F1179" s="22">
        <f>IF(Benchmark1[[#This Row],[Target Date Check]]="Pass",INDEX(Target1[Target Return],MATCH(Benchmark1[[#This Row],[Benchmark '#1 Dates]],Target1[Target Dates],0)),"-")</f>
        <v>-1.6103407566578846E-2</v>
      </c>
      <c r="G1179" s="1">
        <f>IFERROR(IF(Benchmark1[[#This Row],[Target Date Check]]="Pass",Benchmark1[[#This Row],[Target Return]]-Benchmark1[[#This Row],[Benchmark '#1 Return]],"-"),"-")</f>
        <v>2.5289152178099641E-3</v>
      </c>
      <c r="H1179" s="1" t="str">
        <f>IF(COUNTIF(Comp1[Comparable '#1 Dates],Benchmark1[[#This Row],[Benchmark '#1 Dates]])=1,"Pass","Fail")</f>
        <v>Pass</v>
      </c>
      <c r="I1179" s="6">
        <f>IF(Benchmark1[[#This Row],[Comparable '#1 Date Check]]="Pass",INDEX(Comp1[Comparable '#1 Price],MATCH(Benchmark1[[#This Row],[Benchmark '#1 Dates]],Comp1[Comparable '#1 Dates],0)),"-")</f>
        <v>11.72</v>
      </c>
      <c r="J1179" s="22">
        <f>IF(Benchmark1[[#This Row],[Comparable '#1 Date Check]]="Pass",INDEX(Comp1[Comparable '#1 Return],MATCH(Benchmark1[[#This Row],[Benchmark '#1 Dates]],Comp1[Comparable '#1 Dates],0)),"-")</f>
        <v>-1.5241615968617089E-2</v>
      </c>
      <c r="K1179" s="1">
        <f>IFERROR(IF(Benchmark1[[#This Row],[Comparable '#1 Date Check]]="Pass",Benchmark1[[#This Row],[Comparable '#1 Return]]-Benchmark1[[#This Row],[Benchmark '#1 Return]],"-"),"-")</f>
        <v>3.3907068157717213E-3</v>
      </c>
      <c r="L1179" s="1" t="str">
        <f>IF(COUNTIF(Comp2[Comparable '#2 Dates],Benchmark1[[#This Row],[Benchmark '#1 Dates]])=1,"Pass","Fail")</f>
        <v>Pass</v>
      </c>
      <c r="M1179" s="6">
        <f>IF(Benchmark1[[#This Row],[Comparable '#2 Date Check]]="Pass",INDEX(Comp2[Comparable '#2 Price],MATCH(Benchmark1[[#This Row],[Benchmark '#1 Dates]],Comp2[Comparable '#2 Dates],0)),"-")</f>
        <v>38.61</v>
      </c>
      <c r="N1179" s="22">
        <f>IF(Benchmark1[[#This Row],[Comparable '#2 Date Check]]="Pass",INDEX(Comp2[Comparable '#2 Return],MATCH(Benchmark1[[#This Row],[Benchmark '#1 Dates]],Comp2[Comparable '#2 Dates],0)),"-")</f>
        <v>1.4084739881739023E-2</v>
      </c>
      <c r="O1179" s="1">
        <f>IFERROR(IF(Benchmark1[[#This Row],[Comparable '#2 Date Check]]="Pass",Benchmark1[[#This Row],[Comparable '#2 Return]]-Benchmark1[[#This Row],[Benchmark '#1 Return]],"-"),"-")</f>
        <v>3.2717062666127832E-2</v>
      </c>
      <c r="P1179" s="1" t="str">
        <f>IF(COUNTIF(Comp3[Comparable '#3 Dates],Benchmark1[[#This Row],[Benchmark '#1 Dates]])=1,"Pass","Fail")</f>
        <v>Pass</v>
      </c>
      <c r="Q1179" s="6">
        <f>IF(Benchmark1[[#This Row],[Comparable '#3 Date Check]]="Pass",INDEX(Comp3[Comparable '#3 Price],MATCH(Benchmark1[[#This Row],[Benchmark '#1 Dates]],Comp3[Comparable '#3 Dates],0)),"-")</f>
        <v>85.68</v>
      </c>
      <c r="R1179" s="22">
        <f>IF(Benchmark1[[#This Row],[Comparable '#3 Date Check]]="Pass",INDEX(Comp3[Comparable '#3 Return],MATCH(Benchmark1[[#This Row],[Benchmark '#1 Dates]],Comp3[Comparable '#3 Dates],0)),"-")</f>
        <v>-4.0766464937633763E-3</v>
      </c>
      <c r="S1179" s="1">
        <f>IFERROR(IF(Benchmark1[[#This Row],[Comparable '#3 Date Check]]="Pass",Benchmark1[[#This Row],[Comparable '#3 Return]]-Benchmark1[[#This Row],[Benchmark '#1 Return]],"-"),"-")</f>
        <v>1.4555676290625433E-2</v>
      </c>
    </row>
    <row r="1180" spans="1:19">
      <c r="A1180" s="103">
        <v>44995</v>
      </c>
      <c r="B1180" s="104">
        <v>3861.5899083895683</v>
      </c>
      <c r="C1180" s="4">
        <f t="shared" si="18"/>
        <v>-1.4584359950072828E-2</v>
      </c>
      <c r="D1180" s="1" t="str">
        <f>IF(COUNTIF(Target1[Target Dates],Benchmark1[[#This Row],[Benchmark '#1 Dates]])=1,"Pass","Fail")</f>
        <v>Pass</v>
      </c>
      <c r="E1180" s="6">
        <f>IF(Benchmark1[[#This Row],[Target Date Check]]="Pass",INDEX(Target1[Target Price],MATCH(Benchmark1[[#This Row],[Benchmark '#1 Dates]],Target1[Target Dates],0)),"-")</f>
        <v>40.090000000000003</v>
      </c>
      <c r="F1180" s="22">
        <f>IF(Benchmark1[[#This Row],[Target Date Check]]="Pass",INDEX(Target1[Target Return],MATCH(Benchmark1[[#This Row],[Benchmark '#1 Dates]],Target1[Target Dates],0)),"-")</f>
        <v>-7.2859999946325998E-2</v>
      </c>
      <c r="G1180" s="1">
        <f>IFERROR(IF(Benchmark1[[#This Row],[Target Date Check]]="Pass",Benchmark1[[#This Row],[Target Return]]-Benchmark1[[#This Row],[Benchmark '#1 Return]],"-"),"-")</f>
        <v>-5.8275639996253167E-2</v>
      </c>
      <c r="H1180" s="1" t="str">
        <f>IF(COUNTIF(Comp1[Comparable '#1 Dates],Benchmark1[[#This Row],[Benchmark '#1 Dates]])=1,"Pass","Fail")</f>
        <v>Pass</v>
      </c>
      <c r="I1180" s="6">
        <f>IF(Benchmark1[[#This Row],[Comparable '#1 Date Check]]="Pass",INDEX(Comp1[Comparable '#1 Price],MATCH(Benchmark1[[#This Row],[Benchmark '#1 Dates]],Comp1[Comparable '#1 Dates],0)),"-")</f>
        <v>11.54</v>
      </c>
      <c r="J1180" s="22">
        <f>IF(Benchmark1[[#This Row],[Comparable '#1 Date Check]]="Pass",INDEX(Comp1[Comparable '#1 Return],MATCH(Benchmark1[[#This Row],[Benchmark '#1 Dates]],Comp1[Comparable '#1 Dates],0)),"-")</f>
        <v>-1.5477523068913174E-2</v>
      </c>
      <c r="K1180" s="1">
        <f>IFERROR(IF(Benchmark1[[#This Row],[Comparable '#1 Date Check]]="Pass",Benchmark1[[#This Row],[Comparable '#1 Return]]-Benchmark1[[#This Row],[Benchmark '#1 Return]],"-"),"-")</f>
        <v>-8.9316311884034619E-4</v>
      </c>
      <c r="L1180" s="1" t="str">
        <f>IF(COUNTIF(Comp2[Comparable '#2 Dates],Benchmark1[[#This Row],[Benchmark '#1 Dates]])=1,"Pass","Fail")</f>
        <v>Pass</v>
      </c>
      <c r="M1180" s="6">
        <f>IF(Benchmark1[[#This Row],[Comparable '#2 Date Check]]="Pass",INDEX(Comp2[Comparable '#2 Price],MATCH(Benchmark1[[#This Row],[Benchmark '#1 Dates]],Comp2[Comparable '#2 Dates],0)),"-")</f>
        <v>37.79</v>
      </c>
      <c r="N1180" s="22">
        <f>IF(Benchmark1[[#This Row],[Comparable '#2 Date Check]]="Pass",INDEX(Comp2[Comparable '#2 Return],MATCH(Benchmark1[[#This Row],[Benchmark '#1 Dates]],Comp2[Comparable '#2 Dates],0)),"-")</f>
        <v>-2.146679291474736E-2</v>
      </c>
      <c r="O1180" s="1">
        <f>IFERROR(IF(Benchmark1[[#This Row],[Comparable '#2 Date Check]]="Pass",Benchmark1[[#This Row],[Comparable '#2 Return]]-Benchmark1[[#This Row],[Benchmark '#1 Return]],"-"),"-")</f>
        <v>-6.8824329646745321E-3</v>
      </c>
      <c r="P1180" s="1" t="str">
        <f>IF(COUNTIF(Comp3[Comparable '#3 Dates],Benchmark1[[#This Row],[Benchmark '#1 Dates]])=1,"Pass","Fail")</f>
        <v>Pass</v>
      </c>
      <c r="Q1180" s="6">
        <f>IF(Benchmark1[[#This Row],[Comparable '#3 Date Check]]="Pass",INDEX(Comp3[Comparable '#3 Price],MATCH(Benchmark1[[#This Row],[Benchmark '#1 Dates]],Comp3[Comparable '#3 Dates],0)),"-")</f>
        <v>85.23</v>
      </c>
      <c r="R1180" s="22">
        <f>IF(Benchmark1[[#This Row],[Comparable '#3 Date Check]]="Pass",INDEX(Comp3[Comparable '#3 Return],MATCH(Benchmark1[[#This Row],[Benchmark '#1 Dates]],Comp3[Comparable '#3 Dates],0)),"-")</f>
        <v>-5.2659416052870511E-3</v>
      </c>
      <c r="S1180" s="1">
        <f>IFERROR(IF(Benchmark1[[#This Row],[Comparable '#3 Date Check]]="Pass",Benchmark1[[#This Row],[Comparable '#3 Return]]-Benchmark1[[#This Row],[Benchmark '#1 Return]],"-"),"-")</f>
        <v>9.3184183447857765E-3</v>
      </c>
    </row>
    <row r="1181" spans="1:19">
      <c r="A1181" s="103">
        <v>44998</v>
      </c>
      <c r="B1181" s="104">
        <v>3855.7618602527846</v>
      </c>
      <c r="C1181" s="4">
        <f t="shared" si="18"/>
        <v>-1.5103754291448074E-3</v>
      </c>
      <c r="D1181" s="1" t="str">
        <f>IF(COUNTIF(Target1[Target Dates],Benchmark1[[#This Row],[Benchmark '#1 Dates]])=1,"Pass","Fail")</f>
        <v>Pass</v>
      </c>
      <c r="E1181" s="6">
        <f>IF(Benchmark1[[#This Row],[Target Date Check]]="Pass",INDEX(Target1[Target Price],MATCH(Benchmark1[[#This Row],[Benchmark '#1 Dates]],Target1[Target Dates],0)),"-")</f>
        <v>39.56</v>
      </c>
      <c r="F1181" s="22">
        <f>IF(Benchmark1[[#This Row],[Target Date Check]]="Pass",INDEX(Target1[Target Return],MATCH(Benchmark1[[#This Row],[Benchmark '#1 Dates]],Target1[Target Dates],0)),"-")</f>
        <v>-1.3308419899904231E-2</v>
      </c>
      <c r="G1181" s="1">
        <f>IFERROR(IF(Benchmark1[[#This Row],[Target Date Check]]="Pass",Benchmark1[[#This Row],[Target Return]]-Benchmark1[[#This Row],[Benchmark '#1 Return]],"-"),"-")</f>
        <v>-1.1798044470759423E-2</v>
      </c>
      <c r="H1181" s="1" t="str">
        <f>IF(COUNTIF(Comp1[Comparable '#1 Dates],Benchmark1[[#This Row],[Benchmark '#1 Dates]])=1,"Pass","Fail")</f>
        <v>Pass</v>
      </c>
      <c r="I1181" s="6">
        <f>IF(Benchmark1[[#This Row],[Comparable '#1 Date Check]]="Pass",INDEX(Comp1[Comparable '#1 Price],MATCH(Benchmark1[[#This Row],[Benchmark '#1 Dates]],Comp1[Comparable '#1 Dates],0)),"-")</f>
        <v>11.43</v>
      </c>
      <c r="J1181" s="22">
        <f>IF(Benchmark1[[#This Row],[Comparable '#1 Date Check]]="Pass",INDEX(Comp1[Comparable '#1 Return],MATCH(Benchmark1[[#This Row],[Benchmark '#1 Dates]],Comp1[Comparable '#1 Dates],0)),"-")</f>
        <v>-9.5777832732341344E-3</v>
      </c>
      <c r="K1181" s="1">
        <f>IFERROR(IF(Benchmark1[[#This Row],[Comparable '#1 Date Check]]="Pass",Benchmark1[[#This Row],[Comparable '#1 Return]]-Benchmark1[[#This Row],[Benchmark '#1 Return]],"-"),"-")</f>
        <v>-8.0674078440893266E-3</v>
      </c>
      <c r="L1181" s="1" t="str">
        <f>IF(COUNTIF(Comp2[Comparable '#2 Dates],Benchmark1[[#This Row],[Benchmark '#1 Dates]])=1,"Pass","Fail")</f>
        <v>Pass</v>
      </c>
      <c r="M1181" s="6">
        <f>IF(Benchmark1[[#This Row],[Comparable '#2 Date Check]]="Pass",INDEX(Comp2[Comparable '#2 Price],MATCH(Benchmark1[[#This Row],[Benchmark '#1 Dates]],Comp2[Comparable '#2 Dates],0)),"-")</f>
        <v>36.76</v>
      </c>
      <c r="N1181" s="22">
        <f>IF(Benchmark1[[#This Row],[Comparable '#2 Date Check]]="Pass",INDEX(Comp2[Comparable '#2 Return],MATCH(Benchmark1[[#This Row],[Benchmark '#1 Dates]],Comp2[Comparable '#2 Dates],0)),"-")</f>
        <v>-2.7634219873911372E-2</v>
      </c>
      <c r="O1181" s="1">
        <f>IFERROR(IF(Benchmark1[[#This Row],[Comparable '#2 Date Check]]="Pass",Benchmark1[[#This Row],[Comparable '#2 Return]]-Benchmark1[[#This Row],[Benchmark '#1 Return]],"-"),"-")</f>
        <v>-2.6123844444766564E-2</v>
      </c>
      <c r="P1181" s="1" t="str">
        <f>IF(COUNTIF(Comp3[Comparable '#3 Dates],Benchmark1[[#This Row],[Benchmark '#1 Dates]])=1,"Pass","Fail")</f>
        <v>Pass</v>
      </c>
      <c r="Q1181" s="6">
        <f>IF(Benchmark1[[#This Row],[Comparable '#3 Date Check]]="Pass",INDEX(Comp3[Comparable '#3 Price],MATCH(Benchmark1[[#This Row],[Benchmark '#1 Dates]],Comp3[Comparable '#3 Dates],0)),"-")</f>
        <v>83.58</v>
      </c>
      <c r="R1181" s="22">
        <f>IF(Benchmark1[[#This Row],[Comparable '#3 Date Check]]="Pass",INDEX(Comp3[Comparable '#3 Return],MATCH(Benchmark1[[#This Row],[Benchmark '#1 Dates]],Comp3[Comparable '#3 Dates],0)),"-")</f>
        <v>-1.954922751443703E-2</v>
      </c>
      <c r="S1181" s="1">
        <f>IFERROR(IF(Benchmark1[[#This Row],[Comparable '#3 Date Check]]="Pass",Benchmark1[[#This Row],[Comparable '#3 Return]]-Benchmark1[[#This Row],[Benchmark '#1 Return]],"-"),"-")</f>
        <v>-1.8038852085292222E-2</v>
      </c>
    </row>
    <row r="1182" spans="1:19">
      <c r="A1182" s="103">
        <v>44999</v>
      </c>
      <c r="B1182" s="104">
        <v>3919.2869588322715</v>
      </c>
      <c r="C1182" s="4">
        <f t="shared" si="18"/>
        <v>1.6341122391821245E-2</v>
      </c>
      <c r="D1182" s="1" t="str">
        <f>IF(COUNTIF(Target1[Target Dates],Benchmark1[[#This Row],[Benchmark '#1 Dates]])=1,"Pass","Fail")</f>
        <v>Pass</v>
      </c>
      <c r="E1182" s="6">
        <f>IF(Benchmark1[[#This Row],[Target Date Check]]="Pass",INDEX(Target1[Target Price],MATCH(Benchmark1[[#This Row],[Benchmark '#1 Dates]],Target1[Target Dates],0)),"-")</f>
        <v>40.340000000000003</v>
      </c>
      <c r="F1182" s="22">
        <f>IF(Benchmark1[[#This Row],[Target Date Check]]="Pass",INDEX(Target1[Target Return],MATCH(Benchmark1[[#This Row],[Benchmark '#1 Dates]],Target1[Target Dates],0)),"-")</f>
        <v>1.9525025771554298E-2</v>
      </c>
      <c r="G1182" s="1">
        <f>IFERROR(IF(Benchmark1[[#This Row],[Target Date Check]]="Pass",Benchmark1[[#This Row],[Target Return]]-Benchmark1[[#This Row],[Benchmark '#1 Return]],"-"),"-")</f>
        <v>3.1839033797330524E-3</v>
      </c>
      <c r="H1182" s="1" t="str">
        <f>IF(COUNTIF(Comp1[Comparable '#1 Dates],Benchmark1[[#This Row],[Benchmark '#1 Dates]])=1,"Pass","Fail")</f>
        <v>Pass</v>
      </c>
      <c r="I1182" s="6">
        <f>IF(Benchmark1[[#This Row],[Comparable '#1 Date Check]]="Pass",INDEX(Comp1[Comparable '#1 Price],MATCH(Benchmark1[[#This Row],[Benchmark '#1 Dates]],Comp1[Comparable '#1 Dates],0)),"-")</f>
        <v>11.71</v>
      </c>
      <c r="J1182" s="22">
        <f>IF(Benchmark1[[#This Row],[Comparable '#1 Date Check]]="Pass",INDEX(Comp1[Comparable '#1 Return],MATCH(Benchmark1[[#This Row],[Benchmark '#1 Dates]],Comp1[Comparable '#1 Dates],0)),"-")</f>
        <v>2.4201699802906883E-2</v>
      </c>
      <c r="K1182" s="1">
        <f>IFERROR(IF(Benchmark1[[#This Row],[Comparable '#1 Date Check]]="Pass",Benchmark1[[#This Row],[Comparable '#1 Return]]-Benchmark1[[#This Row],[Benchmark '#1 Return]],"-"),"-")</f>
        <v>7.8605774110856383E-3</v>
      </c>
      <c r="L1182" s="1" t="str">
        <f>IF(COUNTIF(Comp2[Comparable '#2 Dates],Benchmark1[[#This Row],[Benchmark '#1 Dates]])=1,"Pass","Fail")</f>
        <v>Pass</v>
      </c>
      <c r="M1182" s="6">
        <f>IF(Benchmark1[[#This Row],[Comparable '#2 Date Check]]="Pass",INDEX(Comp2[Comparable '#2 Price],MATCH(Benchmark1[[#This Row],[Benchmark '#1 Dates]],Comp2[Comparable '#2 Dates],0)),"-")</f>
        <v>37.42</v>
      </c>
      <c r="N1182" s="22">
        <f>IF(Benchmark1[[#This Row],[Comparable '#2 Date Check]]="Pass",INDEX(Comp2[Comparable '#2 Return],MATCH(Benchmark1[[#This Row],[Benchmark '#1 Dates]],Comp2[Comparable '#2 Dates],0)),"-")</f>
        <v>1.7795023358457285E-2</v>
      </c>
      <c r="O1182" s="1">
        <f>IFERROR(IF(Benchmark1[[#This Row],[Comparable '#2 Date Check]]="Pass",Benchmark1[[#This Row],[Comparable '#2 Return]]-Benchmark1[[#This Row],[Benchmark '#1 Return]],"-"),"-")</f>
        <v>1.4539009666360396E-3</v>
      </c>
      <c r="P1182" s="1" t="str">
        <f>IF(COUNTIF(Comp3[Comparable '#3 Dates],Benchmark1[[#This Row],[Benchmark '#1 Dates]])=1,"Pass","Fail")</f>
        <v>Pass</v>
      </c>
      <c r="Q1182" s="6">
        <f>IF(Benchmark1[[#This Row],[Comparable '#3 Date Check]]="Pass",INDEX(Comp3[Comparable '#3 Price],MATCH(Benchmark1[[#This Row],[Benchmark '#1 Dates]],Comp3[Comparable '#3 Dates],0)),"-")</f>
        <v>84.86</v>
      </c>
      <c r="R1182" s="22">
        <f>IF(Benchmark1[[#This Row],[Comparable '#3 Date Check]]="Pass",INDEX(Comp3[Comparable '#3 Return],MATCH(Benchmark1[[#This Row],[Benchmark '#1 Dates]],Comp3[Comparable '#3 Dates],0)),"-")</f>
        <v>1.5198582754409393E-2</v>
      </c>
      <c r="S1182" s="1">
        <f>IFERROR(IF(Benchmark1[[#This Row],[Comparable '#3 Date Check]]="Pass",Benchmark1[[#This Row],[Comparable '#3 Return]]-Benchmark1[[#This Row],[Benchmark '#1 Return]],"-"),"-")</f>
        <v>-1.1425396374118522E-3</v>
      </c>
    </row>
    <row r="1183" spans="1:19">
      <c r="A1183" s="103">
        <v>45000</v>
      </c>
      <c r="B1183" s="104">
        <v>3891.9267485580303</v>
      </c>
      <c r="C1183" s="4">
        <f t="shared" si="18"/>
        <v>-7.0053958814176066E-3</v>
      </c>
      <c r="D1183" s="1" t="str">
        <f>IF(COUNTIF(Target1[Target Dates],Benchmark1[[#This Row],[Benchmark '#1 Dates]])=1,"Pass","Fail")</f>
        <v>Pass</v>
      </c>
      <c r="E1183" s="6">
        <f>IF(Benchmark1[[#This Row],[Target Date Check]]="Pass",INDEX(Target1[Target Price],MATCH(Benchmark1[[#This Row],[Benchmark '#1 Dates]],Target1[Target Dates],0)),"-")</f>
        <v>39.51</v>
      </c>
      <c r="F1183" s="22">
        <f>IF(Benchmark1[[#This Row],[Target Date Check]]="Pass",INDEX(Target1[Target Return],MATCH(Benchmark1[[#This Row],[Benchmark '#1 Dates]],Target1[Target Dates],0)),"-")</f>
        <v>-2.0789728102766535E-2</v>
      </c>
      <c r="G1183" s="1">
        <f>IFERROR(IF(Benchmark1[[#This Row],[Target Date Check]]="Pass",Benchmark1[[#This Row],[Target Return]]-Benchmark1[[#This Row],[Benchmark '#1 Return]],"-"),"-")</f>
        <v>-1.3784332221348929E-2</v>
      </c>
      <c r="H1183" s="1" t="str">
        <f>IF(COUNTIF(Comp1[Comparable '#1 Dates],Benchmark1[[#This Row],[Benchmark '#1 Dates]])=1,"Pass","Fail")</f>
        <v>Pass</v>
      </c>
      <c r="I1183" s="6">
        <f>IF(Benchmark1[[#This Row],[Comparable '#1 Date Check]]="Pass",INDEX(Comp1[Comparable '#1 Price],MATCH(Benchmark1[[#This Row],[Benchmark '#1 Dates]],Comp1[Comparable '#1 Dates],0)),"-")</f>
        <v>11.6</v>
      </c>
      <c r="J1183" s="22">
        <f>IF(Benchmark1[[#This Row],[Comparable '#1 Date Check]]="Pass",INDEX(Comp1[Comparable '#1 Return],MATCH(Benchmark1[[#This Row],[Benchmark '#1 Dates]],Comp1[Comparable '#1 Dates],0)),"-")</f>
        <v>-9.4380794973071523E-3</v>
      </c>
      <c r="K1183" s="1">
        <f>IFERROR(IF(Benchmark1[[#This Row],[Comparable '#1 Date Check]]="Pass",Benchmark1[[#This Row],[Comparable '#1 Return]]-Benchmark1[[#This Row],[Benchmark '#1 Return]],"-"),"-")</f>
        <v>-2.4326836158895457E-3</v>
      </c>
      <c r="L1183" s="1" t="str">
        <f>IF(COUNTIF(Comp2[Comparable '#2 Dates],Benchmark1[[#This Row],[Benchmark '#1 Dates]])=1,"Pass","Fail")</f>
        <v>Pass</v>
      </c>
      <c r="M1183" s="6">
        <f>IF(Benchmark1[[#This Row],[Comparable '#2 Date Check]]="Pass",INDEX(Comp2[Comparable '#2 Price],MATCH(Benchmark1[[#This Row],[Benchmark '#1 Dates]],Comp2[Comparable '#2 Dates],0)),"-")</f>
        <v>36.89</v>
      </c>
      <c r="N1183" s="22">
        <f>IF(Benchmark1[[#This Row],[Comparable '#2 Date Check]]="Pass",INDEX(Comp2[Comparable '#2 Return],MATCH(Benchmark1[[#This Row],[Benchmark '#1 Dates]],Comp2[Comparable '#2 Dates],0)),"-")</f>
        <v>-1.4264809237359307E-2</v>
      </c>
      <c r="O1183" s="1">
        <f>IFERROR(IF(Benchmark1[[#This Row],[Comparable '#2 Date Check]]="Pass",Benchmark1[[#This Row],[Comparable '#2 Return]]-Benchmark1[[#This Row],[Benchmark '#1 Return]],"-"),"-")</f>
        <v>-7.2594133559417007E-3</v>
      </c>
      <c r="P1183" s="1" t="str">
        <f>IF(COUNTIF(Comp3[Comparable '#3 Dates],Benchmark1[[#This Row],[Benchmark '#1 Dates]])=1,"Pass","Fail")</f>
        <v>Pass</v>
      </c>
      <c r="Q1183" s="6">
        <f>IF(Benchmark1[[#This Row],[Comparable '#3 Date Check]]="Pass",INDEX(Comp3[Comparable '#3 Price],MATCH(Benchmark1[[#This Row],[Benchmark '#1 Dates]],Comp3[Comparable '#3 Dates],0)),"-")</f>
        <v>84.88</v>
      </c>
      <c r="R1183" s="22">
        <f>IF(Benchmark1[[#This Row],[Comparable '#3 Date Check]]="Pass",INDEX(Comp3[Comparable '#3 Return],MATCH(Benchmark1[[#This Row],[Benchmark '#1 Dates]],Comp3[Comparable '#3 Dates],0)),"-")</f>
        <v>2.3565453154881464E-4</v>
      </c>
      <c r="S1183" s="1">
        <f>IFERROR(IF(Benchmark1[[#This Row],[Comparable '#3 Date Check]]="Pass",Benchmark1[[#This Row],[Comparable '#3 Return]]-Benchmark1[[#This Row],[Benchmark '#1 Return]],"-"),"-")</f>
        <v>7.2410504129664212E-3</v>
      </c>
    </row>
    <row r="1184" spans="1:19">
      <c r="A1184" s="103">
        <v>45001</v>
      </c>
      <c r="B1184" s="104">
        <v>3960.2811316421935</v>
      </c>
      <c r="C1184" s="4">
        <f t="shared" si="18"/>
        <v>1.7410672467069021E-2</v>
      </c>
      <c r="D1184" s="1" t="str">
        <f>IF(COUNTIF(Target1[Target Dates],Benchmark1[[#This Row],[Benchmark '#1 Dates]])=1,"Pass","Fail")</f>
        <v>Pass</v>
      </c>
      <c r="E1184" s="6">
        <f>IF(Benchmark1[[#This Row],[Target Date Check]]="Pass",INDEX(Target1[Target Price],MATCH(Benchmark1[[#This Row],[Benchmark '#1 Dates]],Target1[Target Dates],0)),"-")</f>
        <v>39.57</v>
      </c>
      <c r="F1184" s="22">
        <f>IF(Benchmark1[[#This Row],[Target Date Check]]="Pass",INDEX(Target1[Target Return],MATCH(Benchmark1[[#This Row],[Benchmark '#1 Dates]],Target1[Target Dates],0)),"-")</f>
        <v>1.5174509740336296E-3</v>
      </c>
      <c r="G1184" s="1">
        <f>IFERROR(IF(Benchmark1[[#This Row],[Target Date Check]]="Pass",Benchmark1[[#This Row],[Target Return]]-Benchmark1[[#This Row],[Benchmark '#1 Return]],"-"),"-")</f>
        <v>-1.5893221493035393E-2</v>
      </c>
      <c r="H1184" s="1" t="str">
        <f>IF(COUNTIF(Comp1[Comparable '#1 Dates],Benchmark1[[#This Row],[Benchmark '#1 Dates]])=1,"Pass","Fail")</f>
        <v>Pass</v>
      </c>
      <c r="I1184" s="6">
        <f>IF(Benchmark1[[#This Row],[Comparable '#1 Date Check]]="Pass",INDEX(Comp1[Comparable '#1 Price],MATCH(Benchmark1[[#This Row],[Benchmark '#1 Dates]],Comp1[Comparable '#1 Dates],0)),"-")</f>
        <v>11.65</v>
      </c>
      <c r="J1184" s="22">
        <f>IF(Benchmark1[[#This Row],[Comparable '#1 Date Check]]="Pass",INDEX(Comp1[Comparable '#1 Return],MATCH(Benchmark1[[#This Row],[Benchmark '#1 Dates]],Comp1[Comparable '#1 Dates],0)),"-")</f>
        <v>4.3010818993907017E-3</v>
      </c>
      <c r="K1184" s="1">
        <f>IFERROR(IF(Benchmark1[[#This Row],[Comparable '#1 Date Check]]="Pass",Benchmark1[[#This Row],[Comparable '#1 Return]]-Benchmark1[[#This Row],[Benchmark '#1 Return]],"-"),"-")</f>
        <v>-1.3109590567678318E-2</v>
      </c>
      <c r="L1184" s="1" t="str">
        <f>IF(COUNTIF(Comp2[Comparable '#2 Dates],Benchmark1[[#This Row],[Benchmark '#1 Dates]])=1,"Pass","Fail")</f>
        <v>Pass</v>
      </c>
      <c r="M1184" s="6">
        <f>IF(Benchmark1[[#This Row],[Comparable '#2 Date Check]]="Pass",INDEX(Comp2[Comparable '#2 Price],MATCH(Benchmark1[[#This Row],[Benchmark '#1 Dates]],Comp2[Comparable '#2 Dates],0)),"-")</f>
        <v>37.130000000000003</v>
      </c>
      <c r="N1184" s="22">
        <f>IF(Benchmark1[[#This Row],[Comparable '#2 Date Check]]="Pass",INDEX(Comp2[Comparable '#2 Return],MATCH(Benchmark1[[#This Row],[Benchmark '#1 Dates]],Comp2[Comparable '#2 Dates],0)),"-")</f>
        <v>6.4847565804045902E-3</v>
      </c>
      <c r="O1184" s="1">
        <f>IFERROR(IF(Benchmark1[[#This Row],[Comparable '#2 Date Check]]="Pass",Benchmark1[[#This Row],[Comparable '#2 Return]]-Benchmark1[[#This Row],[Benchmark '#1 Return]],"-"),"-")</f>
        <v>-1.0925915886664431E-2</v>
      </c>
      <c r="P1184" s="1" t="str">
        <f>IF(COUNTIF(Comp3[Comparable '#3 Dates],Benchmark1[[#This Row],[Benchmark '#1 Dates]])=1,"Pass","Fail")</f>
        <v>Pass</v>
      </c>
      <c r="Q1184" s="6">
        <f>IF(Benchmark1[[#This Row],[Comparable '#3 Date Check]]="Pass",INDEX(Comp3[Comparable '#3 Price],MATCH(Benchmark1[[#This Row],[Benchmark '#1 Dates]],Comp3[Comparable '#3 Dates],0)),"-")</f>
        <v>86.52</v>
      </c>
      <c r="R1184" s="22">
        <f>IF(Benchmark1[[#This Row],[Comparable '#3 Date Check]]="Pass",INDEX(Comp3[Comparable '#3 Return],MATCH(Benchmark1[[#This Row],[Benchmark '#1 Dates]],Comp3[Comparable '#3 Dates],0)),"-")</f>
        <v>1.9137106779130303E-2</v>
      </c>
      <c r="S1184" s="1">
        <f>IFERROR(IF(Benchmark1[[#This Row],[Comparable '#3 Date Check]]="Pass",Benchmark1[[#This Row],[Comparable '#3 Return]]-Benchmark1[[#This Row],[Benchmark '#1 Return]],"-"),"-")</f>
        <v>1.726434312061282E-3</v>
      </c>
    </row>
    <row r="1185" spans="1:19">
      <c r="A1185" s="103">
        <v>45002</v>
      </c>
      <c r="B1185" s="104">
        <v>3916.6372388571431</v>
      </c>
      <c r="C1185" s="4">
        <f t="shared" si="18"/>
        <v>-1.1081577174905294E-2</v>
      </c>
      <c r="D1185" s="1" t="str">
        <f>IF(COUNTIF(Target1[Target Dates],Benchmark1[[#This Row],[Benchmark '#1 Dates]])=1,"Pass","Fail")</f>
        <v>Pass</v>
      </c>
      <c r="E1185" s="6">
        <f>IF(Benchmark1[[#This Row],[Target Date Check]]="Pass",INDEX(Target1[Target Price],MATCH(Benchmark1[[#This Row],[Benchmark '#1 Dates]],Target1[Target Dates],0)),"-")</f>
        <v>38.659999999999997</v>
      </c>
      <c r="F1185" s="22">
        <f>IF(Benchmark1[[#This Row],[Target Date Check]]="Pass",INDEX(Target1[Target Return],MATCH(Benchmark1[[#This Row],[Benchmark '#1 Dates]],Target1[Target Dates],0)),"-")</f>
        <v>-2.3265781617148231E-2</v>
      </c>
      <c r="G1185" s="1">
        <f>IFERROR(IF(Benchmark1[[#This Row],[Target Date Check]]="Pass",Benchmark1[[#This Row],[Target Return]]-Benchmark1[[#This Row],[Benchmark '#1 Return]],"-"),"-")</f>
        <v>-1.2184204442242937E-2</v>
      </c>
      <c r="H1185" s="1" t="str">
        <f>IF(COUNTIF(Comp1[Comparable '#1 Dates],Benchmark1[[#This Row],[Benchmark '#1 Dates]])=1,"Pass","Fail")</f>
        <v>Pass</v>
      </c>
      <c r="I1185" s="6">
        <f>IF(Benchmark1[[#This Row],[Comparable '#1 Date Check]]="Pass",INDEX(Comp1[Comparable '#1 Price],MATCH(Benchmark1[[#This Row],[Benchmark '#1 Dates]],Comp1[Comparable '#1 Dates],0)),"-")</f>
        <v>11.49</v>
      </c>
      <c r="J1185" s="22">
        <f>IF(Benchmark1[[#This Row],[Comparable '#1 Date Check]]="Pass",INDEX(Comp1[Comparable '#1 Return],MATCH(Benchmark1[[#This Row],[Benchmark '#1 Dates]],Comp1[Comparable '#1 Dates],0)),"-")</f>
        <v>-1.3829088151045247E-2</v>
      </c>
      <c r="K1185" s="1">
        <f>IFERROR(IF(Benchmark1[[#This Row],[Comparable '#1 Date Check]]="Pass",Benchmark1[[#This Row],[Comparable '#1 Return]]-Benchmark1[[#This Row],[Benchmark '#1 Return]],"-"),"-")</f>
        <v>-2.7475109761399535E-3</v>
      </c>
      <c r="L1185" s="1" t="str">
        <f>IF(COUNTIF(Comp2[Comparable '#2 Dates],Benchmark1[[#This Row],[Benchmark '#1 Dates]])=1,"Pass","Fail")</f>
        <v>Pass</v>
      </c>
      <c r="M1185" s="6">
        <f>IF(Benchmark1[[#This Row],[Comparable '#2 Date Check]]="Pass",INDEX(Comp2[Comparable '#2 Price],MATCH(Benchmark1[[#This Row],[Benchmark '#1 Dates]],Comp2[Comparable '#2 Dates],0)),"-")</f>
        <v>36.409999999999997</v>
      </c>
      <c r="N1185" s="22">
        <f>IF(Benchmark1[[#This Row],[Comparable '#2 Date Check]]="Pass",INDEX(Comp2[Comparable '#2 Return],MATCH(Benchmark1[[#This Row],[Benchmark '#1 Dates]],Comp2[Comparable '#2 Dates],0)),"-")</f>
        <v>-1.9581806001646808E-2</v>
      </c>
      <c r="O1185" s="1">
        <f>IFERROR(IF(Benchmark1[[#This Row],[Comparable '#2 Date Check]]="Pass",Benchmark1[[#This Row],[Comparable '#2 Return]]-Benchmark1[[#This Row],[Benchmark '#1 Return]],"-"),"-")</f>
        <v>-8.5002288267415141E-3</v>
      </c>
      <c r="P1185" s="1" t="str">
        <f>IF(COUNTIF(Comp3[Comparable '#3 Dates],Benchmark1[[#This Row],[Benchmark '#1 Dates]])=1,"Pass","Fail")</f>
        <v>Pass</v>
      </c>
      <c r="Q1185" s="6">
        <f>IF(Benchmark1[[#This Row],[Comparable '#3 Date Check]]="Pass",INDEX(Comp3[Comparable '#3 Price],MATCH(Benchmark1[[#This Row],[Benchmark '#1 Dates]],Comp3[Comparable '#3 Dates],0)),"-")</f>
        <v>84.68</v>
      </c>
      <c r="R1185" s="22">
        <f>IF(Benchmark1[[#This Row],[Comparable '#3 Date Check]]="Pass",INDEX(Comp3[Comparable '#3 Return],MATCH(Benchmark1[[#This Row],[Benchmark '#1 Dates]],Comp3[Comparable '#3 Dates],0)),"-")</f>
        <v>-2.149615481819345E-2</v>
      </c>
      <c r="S1185" s="1">
        <f>IFERROR(IF(Benchmark1[[#This Row],[Comparable '#3 Date Check]]="Pass",Benchmark1[[#This Row],[Comparable '#3 Return]]-Benchmark1[[#This Row],[Benchmark '#1 Return]],"-"),"-")</f>
        <v>-1.0414577643288157E-2</v>
      </c>
    </row>
    <row r="1186" spans="1:19">
      <c r="A1186" s="103">
        <v>45005</v>
      </c>
      <c r="B1186" s="104">
        <v>3951.5688976027109</v>
      </c>
      <c r="C1186" s="4">
        <f t="shared" si="18"/>
        <v>8.8792509102141575E-3</v>
      </c>
      <c r="D1186" s="1" t="str">
        <f>IF(COUNTIF(Target1[Target Dates],Benchmark1[[#This Row],[Benchmark '#1 Dates]])=1,"Pass","Fail")</f>
        <v>Pass</v>
      </c>
      <c r="E1186" s="6">
        <f>IF(Benchmark1[[#This Row],[Target Date Check]]="Pass",INDEX(Target1[Target Price],MATCH(Benchmark1[[#This Row],[Benchmark '#1 Dates]],Target1[Target Dates],0)),"-")</f>
        <v>38.68</v>
      </c>
      <c r="F1186" s="22">
        <f>IF(Benchmark1[[#This Row],[Target Date Check]]="Pass",INDEX(Target1[Target Return],MATCH(Benchmark1[[#This Row],[Benchmark '#1 Dates]],Target1[Target Dates],0)),"-")</f>
        <v>5.1719680490877422E-4</v>
      </c>
      <c r="G1186" s="1">
        <f>IFERROR(IF(Benchmark1[[#This Row],[Target Date Check]]="Pass",Benchmark1[[#This Row],[Target Return]]-Benchmark1[[#This Row],[Benchmark '#1 Return]],"-"),"-")</f>
        <v>-8.3620541053053832E-3</v>
      </c>
      <c r="H1186" s="1" t="str">
        <f>IF(COUNTIF(Comp1[Comparable '#1 Dates],Benchmark1[[#This Row],[Benchmark '#1 Dates]])=1,"Pass","Fail")</f>
        <v>Pass</v>
      </c>
      <c r="I1186" s="6">
        <f>IF(Benchmark1[[#This Row],[Comparable '#1 Date Check]]="Pass",INDEX(Comp1[Comparable '#1 Price],MATCH(Benchmark1[[#This Row],[Benchmark '#1 Dates]],Comp1[Comparable '#1 Dates],0)),"-")</f>
        <v>11.47</v>
      </c>
      <c r="J1186" s="22">
        <f>IF(Benchmark1[[#This Row],[Comparable '#1 Date Check]]="Pass",INDEX(Comp1[Comparable '#1 Return],MATCH(Benchmark1[[#This Row],[Benchmark '#1 Dates]],Comp1[Comparable '#1 Dates],0)),"-")</f>
        <v>-1.7421607193849257E-3</v>
      </c>
      <c r="K1186" s="1">
        <f>IFERROR(IF(Benchmark1[[#This Row],[Comparable '#1 Date Check]]="Pass",Benchmark1[[#This Row],[Comparable '#1 Return]]-Benchmark1[[#This Row],[Benchmark '#1 Return]],"-"),"-")</f>
        <v>-1.0621411629599084E-2</v>
      </c>
      <c r="L1186" s="1" t="str">
        <f>IF(COUNTIF(Comp2[Comparable '#2 Dates],Benchmark1[[#This Row],[Benchmark '#1 Dates]])=1,"Pass","Fail")</f>
        <v>Pass</v>
      </c>
      <c r="M1186" s="6">
        <f>IF(Benchmark1[[#This Row],[Comparable '#2 Date Check]]="Pass",INDEX(Comp2[Comparable '#2 Price],MATCH(Benchmark1[[#This Row],[Benchmark '#1 Dates]],Comp2[Comparable '#2 Dates],0)),"-")</f>
        <v>37.29</v>
      </c>
      <c r="N1186" s="22">
        <f>IF(Benchmark1[[#This Row],[Comparable '#2 Date Check]]="Pass",INDEX(Comp2[Comparable '#2 Return],MATCH(Benchmark1[[#This Row],[Benchmark '#1 Dates]],Comp2[Comparable '#2 Dates],0)),"-")</f>
        <v>2.388173200338738E-2</v>
      </c>
      <c r="O1186" s="1">
        <f>IFERROR(IF(Benchmark1[[#This Row],[Comparable '#2 Date Check]]="Pass",Benchmark1[[#This Row],[Comparable '#2 Return]]-Benchmark1[[#This Row],[Benchmark '#1 Return]],"-"),"-")</f>
        <v>1.5002481093173222E-2</v>
      </c>
      <c r="P1186" s="1" t="str">
        <f>IF(COUNTIF(Comp3[Comparable '#3 Dates],Benchmark1[[#This Row],[Benchmark '#1 Dates]])=1,"Pass","Fail")</f>
        <v>Pass</v>
      </c>
      <c r="Q1186" s="6">
        <f>IF(Benchmark1[[#This Row],[Comparable '#3 Date Check]]="Pass",INDEX(Comp3[Comparable '#3 Price],MATCH(Benchmark1[[#This Row],[Benchmark '#1 Dates]],Comp3[Comparable '#3 Dates],0)),"-")</f>
        <v>85.91</v>
      </c>
      <c r="R1186" s="22">
        <f>IF(Benchmark1[[#This Row],[Comparable '#3 Date Check]]="Pass",INDEX(Comp3[Comparable '#3 Return],MATCH(Benchmark1[[#This Row],[Benchmark '#1 Dates]],Comp3[Comparable '#3 Dates],0)),"-")</f>
        <v>1.4420790383300554E-2</v>
      </c>
      <c r="S1186" s="1">
        <f>IFERROR(IF(Benchmark1[[#This Row],[Comparable '#3 Date Check]]="Pass",Benchmark1[[#This Row],[Comparable '#3 Return]]-Benchmark1[[#This Row],[Benchmark '#1 Return]],"-"),"-")</f>
        <v>5.5415394730863963E-3</v>
      </c>
    </row>
    <row r="1187" spans="1:19">
      <c r="A1187" s="103">
        <v>45006</v>
      </c>
      <c r="B1187" s="104">
        <v>4002.8734649663579</v>
      </c>
      <c r="C1187" s="4">
        <f t="shared" si="18"/>
        <v>1.2899780139192654E-2</v>
      </c>
      <c r="D1187" s="1" t="str">
        <f>IF(COUNTIF(Target1[Target Dates],Benchmark1[[#This Row],[Benchmark '#1 Dates]])=1,"Pass","Fail")</f>
        <v>Pass</v>
      </c>
      <c r="E1187" s="6">
        <f>IF(Benchmark1[[#This Row],[Target Date Check]]="Pass",INDEX(Target1[Target Price],MATCH(Benchmark1[[#This Row],[Benchmark '#1 Dates]],Target1[Target Dates],0)),"-")</f>
        <v>38.92</v>
      </c>
      <c r="F1187" s="22">
        <f>IF(Benchmark1[[#This Row],[Target Date Check]]="Pass",INDEX(Target1[Target Return],MATCH(Benchmark1[[#This Row],[Benchmark '#1 Dates]],Target1[Target Dates],0)),"-")</f>
        <v>6.1855867327107444E-3</v>
      </c>
      <c r="G1187" s="1">
        <f>IFERROR(IF(Benchmark1[[#This Row],[Target Date Check]]="Pass",Benchmark1[[#This Row],[Target Return]]-Benchmark1[[#This Row],[Benchmark '#1 Return]],"-"),"-")</f>
        <v>-6.7141934064819091E-3</v>
      </c>
      <c r="H1187" s="1" t="str">
        <f>IF(COUNTIF(Comp1[Comparable '#1 Dates],Benchmark1[[#This Row],[Benchmark '#1 Dates]])=1,"Pass","Fail")</f>
        <v>Pass</v>
      </c>
      <c r="I1187" s="6">
        <f>IF(Benchmark1[[#This Row],[Comparable '#1 Date Check]]="Pass",INDEX(Comp1[Comparable '#1 Price],MATCH(Benchmark1[[#This Row],[Benchmark '#1 Dates]],Comp1[Comparable '#1 Dates],0)),"-")</f>
        <v>11.45</v>
      </c>
      <c r="J1187" s="22">
        <f>IF(Benchmark1[[#This Row],[Comparable '#1 Date Check]]="Pass",INDEX(Comp1[Comparable '#1 Return],MATCH(Benchmark1[[#This Row],[Benchmark '#1 Dates]],Comp1[Comparable '#1 Dates],0)),"-")</f>
        <v>-1.7452011410307498E-3</v>
      </c>
      <c r="K1187" s="1">
        <f>IFERROR(IF(Benchmark1[[#This Row],[Comparable '#1 Date Check]]="Pass",Benchmark1[[#This Row],[Comparable '#1 Return]]-Benchmark1[[#This Row],[Benchmark '#1 Return]],"-"),"-")</f>
        <v>-1.4644981280223403E-2</v>
      </c>
      <c r="L1187" s="1" t="str">
        <f>IF(COUNTIF(Comp2[Comparable '#2 Dates],Benchmark1[[#This Row],[Benchmark '#1 Dates]])=1,"Pass","Fail")</f>
        <v>Pass</v>
      </c>
      <c r="M1187" s="6">
        <f>IF(Benchmark1[[#This Row],[Comparable '#2 Date Check]]="Pass",INDEX(Comp2[Comparable '#2 Price],MATCH(Benchmark1[[#This Row],[Benchmark '#1 Dates]],Comp2[Comparable '#2 Dates],0)),"-")</f>
        <v>37.729999999999997</v>
      </c>
      <c r="N1187" s="22">
        <f>IF(Benchmark1[[#This Row],[Comparable '#2 Date Check]]="Pass",INDEX(Comp2[Comparable '#2 Return],MATCH(Benchmark1[[#This Row],[Benchmark '#1 Dates]],Comp2[Comparable '#2 Dates],0)),"-")</f>
        <v>1.17303397854896E-2</v>
      </c>
      <c r="O1187" s="1">
        <f>IFERROR(IF(Benchmark1[[#This Row],[Comparable '#2 Date Check]]="Pass",Benchmark1[[#This Row],[Comparable '#2 Return]]-Benchmark1[[#This Row],[Benchmark '#1 Return]],"-"),"-")</f>
        <v>-1.1694403537030537E-3</v>
      </c>
      <c r="P1187" s="1" t="str">
        <f>IF(COUNTIF(Comp3[Comparable '#3 Dates],Benchmark1[[#This Row],[Benchmark '#1 Dates]])=1,"Pass","Fail")</f>
        <v>Pass</v>
      </c>
      <c r="Q1187" s="6">
        <f>IF(Benchmark1[[#This Row],[Comparable '#3 Date Check]]="Pass",INDEX(Comp3[Comparable '#3 Price],MATCH(Benchmark1[[#This Row],[Benchmark '#1 Dates]],Comp3[Comparable '#3 Dates],0)),"-")</f>
        <v>87.85</v>
      </c>
      <c r="R1187" s="22">
        <f>IF(Benchmark1[[#This Row],[Comparable '#3 Date Check]]="Pass",INDEX(Comp3[Comparable '#3 Return],MATCH(Benchmark1[[#This Row],[Benchmark '#1 Dates]],Comp3[Comparable '#3 Dates],0)),"-")</f>
        <v>2.2330577983140976E-2</v>
      </c>
      <c r="S1187" s="1">
        <f>IFERROR(IF(Benchmark1[[#This Row],[Comparable '#3 Date Check]]="Pass",Benchmark1[[#This Row],[Comparable '#3 Return]]-Benchmark1[[#This Row],[Benchmark '#1 Return]],"-"),"-")</f>
        <v>9.4307978439483221E-3</v>
      </c>
    </row>
    <row r="1188" spans="1:19">
      <c r="A1188" s="103">
        <v>45007</v>
      </c>
      <c r="B1188" s="104">
        <v>3936.9713922596766</v>
      </c>
      <c r="C1188" s="4">
        <f t="shared" si="18"/>
        <v>-1.6600723905330749E-2</v>
      </c>
      <c r="D1188" s="1" t="str">
        <f>IF(COUNTIF(Target1[Target Dates],Benchmark1[[#This Row],[Benchmark '#1 Dates]])=1,"Pass","Fail")</f>
        <v>Pass</v>
      </c>
      <c r="E1188" s="6">
        <f>IF(Benchmark1[[#This Row],[Target Date Check]]="Pass",INDEX(Target1[Target Price],MATCH(Benchmark1[[#This Row],[Benchmark '#1 Dates]],Target1[Target Dates],0)),"-")</f>
        <v>38.03</v>
      </c>
      <c r="F1188" s="22">
        <f>IF(Benchmark1[[#This Row],[Target Date Check]]="Pass",INDEX(Target1[Target Return],MATCH(Benchmark1[[#This Row],[Benchmark '#1 Dates]],Target1[Target Dates],0)),"-")</f>
        <v>-2.3132935377636072E-2</v>
      </c>
      <c r="G1188" s="1">
        <f>IFERROR(IF(Benchmark1[[#This Row],[Target Date Check]]="Pass",Benchmark1[[#This Row],[Target Return]]-Benchmark1[[#This Row],[Benchmark '#1 Return]],"-"),"-")</f>
        <v>-6.5322114723053229E-3</v>
      </c>
      <c r="H1188" s="1" t="str">
        <f>IF(COUNTIF(Comp1[Comparable '#1 Dates],Benchmark1[[#This Row],[Benchmark '#1 Dates]])=1,"Pass","Fail")</f>
        <v>Pass</v>
      </c>
      <c r="I1188" s="6">
        <f>IF(Benchmark1[[#This Row],[Comparable '#1 Date Check]]="Pass",INDEX(Comp1[Comparable '#1 Price],MATCH(Benchmark1[[#This Row],[Benchmark '#1 Dates]],Comp1[Comparable '#1 Dates],0)),"-")</f>
        <v>11.27</v>
      </c>
      <c r="J1188" s="22">
        <f>IF(Benchmark1[[#This Row],[Comparable '#1 Date Check]]="Pass",INDEX(Comp1[Comparable '#1 Return],MATCH(Benchmark1[[#This Row],[Benchmark '#1 Dates]],Comp1[Comparable '#1 Dates],0)),"-")</f>
        <v>-1.5845401948563737E-2</v>
      </c>
      <c r="K1188" s="1">
        <f>IFERROR(IF(Benchmark1[[#This Row],[Comparable '#1 Date Check]]="Pass",Benchmark1[[#This Row],[Comparable '#1 Return]]-Benchmark1[[#This Row],[Benchmark '#1 Return]],"-"),"-")</f>
        <v>7.5532195676701261E-4</v>
      </c>
      <c r="L1188" s="1" t="str">
        <f>IF(COUNTIF(Comp2[Comparable '#2 Dates],Benchmark1[[#This Row],[Benchmark '#1 Dates]])=1,"Pass","Fail")</f>
        <v>Pass</v>
      </c>
      <c r="M1188" s="6">
        <f>IF(Benchmark1[[#This Row],[Comparable '#2 Date Check]]="Pass",INDEX(Comp2[Comparable '#2 Price],MATCH(Benchmark1[[#This Row],[Benchmark '#1 Dates]],Comp2[Comparable '#2 Dates],0)),"-")</f>
        <v>36.590000000000003</v>
      </c>
      <c r="N1188" s="22">
        <f>IF(Benchmark1[[#This Row],[Comparable '#2 Date Check]]="Pass",INDEX(Comp2[Comparable '#2 Return],MATCH(Benchmark1[[#This Row],[Benchmark '#1 Dates]],Comp2[Comparable '#2 Dates],0)),"-")</f>
        <v>-3.0680554945103473E-2</v>
      </c>
      <c r="O1188" s="1">
        <f>IFERROR(IF(Benchmark1[[#This Row],[Comparable '#2 Date Check]]="Pass",Benchmark1[[#This Row],[Comparable '#2 Return]]-Benchmark1[[#This Row],[Benchmark '#1 Return]],"-"),"-")</f>
        <v>-1.4079831039772724E-2</v>
      </c>
      <c r="P1188" s="1" t="str">
        <f>IF(COUNTIF(Comp3[Comparable '#3 Dates],Benchmark1[[#This Row],[Benchmark '#1 Dates]])=1,"Pass","Fail")</f>
        <v>Pass</v>
      </c>
      <c r="Q1188" s="6">
        <f>IF(Benchmark1[[#This Row],[Comparable '#3 Date Check]]="Pass",INDEX(Comp3[Comparable '#3 Price],MATCH(Benchmark1[[#This Row],[Benchmark '#1 Dates]],Comp3[Comparable '#3 Dates],0)),"-")</f>
        <v>86.31</v>
      </c>
      <c r="R1188" s="22">
        <f>IF(Benchmark1[[#This Row],[Comparable '#3 Date Check]]="Pass",INDEX(Comp3[Comparable '#3 Return],MATCH(Benchmark1[[#This Row],[Benchmark '#1 Dates]],Comp3[Comparable '#3 Dates],0)),"-")</f>
        <v>-1.7685348401539878E-2</v>
      </c>
      <c r="S1188" s="1">
        <f>IFERROR(IF(Benchmark1[[#This Row],[Comparable '#3 Date Check]]="Pass",Benchmark1[[#This Row],[Comparable '#3 Return]]-Benchmark1[[#This Row],[Benchmark '#1 Return]],"-"),"-")</f>
        <v>-1.0846244962091287E-3</v>
      </c>
    </row>
    <row r="1189" spans="1:19">
      <c r="A1189" s="103">
        <v>45008</v>
      </c>
      <c r="B1189" s="104">
        <v>3948.7237301595928</v>
      </c>
      <c r="C1189" s="4">
        <f t="shared" si="18"/>
        <v>2.9806748596111119E-3</v>
      </c>
      <c r="D1189" s="1" t="str">
        <f>IF(COUNTIF(Target1[Target Dates],Benchmark1[[#This Row],[Benchmark '#1 Dates]])=1,"Pass","Fail")</f>
        <v>Pass</v>
      </c>
      <c r="E1189" s="6">
        <f>IF(Benchmark1[[#This Row],[Target Date Check]]="Pass",INDEX(Target1[Target Price],MATCH(Benchmark1[[#This Row],[Benchmark '#1 Dates]],Target1[Target Dates],0)),"-")</f>
        <v>38.130000000000003</v>
      </c>
      <c r="F1189" s="22">
        <f>IF(Benchmark1[[#This Row],[Target Date Check]]="Pass",INDEX(Target1[Target Return],MATCH(Benchmark1[[#This Row],[Benchmark '#1 Dates]],Target1[Target Dates],0)),"-")</f>
        <v>2.6260519293041097E-3</v>
      </c>
      <c r="G1189" s="1">
        <f>IFERROR(IF(Benchmark1[[#This Row],[Target Date Check]]="Pass",Benchmark1[[#This Row],[Target Return]]-Benchmark1[[#This Row],[Benchmark '#1 Return]],"-"),"-")</f>
        <v>-3.5462293030700219E-4</v>
      </c>
      <c r="H1189" s="1" t="str">
        <f>IF(COUNTIF(Comp1[Comparable '#1 Dates],Benchmark1[[#This Row],[Benchmark '#1 Dates]])=1,"Pass","Fail")</f>
        <v>Pass</v>
      </c>
      <c r="I1189" s="6">
        <f>IF(Benchmark1[[#This Row],[Comparable '#1 Date Check]]="Pass",INDEX(Comp1[Comparable '#1 Price],MATCH(Benchmark1[[#This Row],[Benchmark '#1 Dates]],Comp1[Comparable '#1 Dates],0)),"-")</f>
        <v>11.36</v>
      </c>
      <c r="J1189" s="22">
        <f>IF(Benchmark1[[#This Row],[Comparable '#1 Date Check]]="Pass",INDEX(Comp1[Comparable '#1 Return],MATCH(Benchmark1[[#This Row],[Benchmark '#1 Dates]],Comp1[Comparable '#1 Dates],0)),"-")</f>
        <v>7.9540852413203574E-3</v>
      </c>
      <c r="K1189" s="1">
        <f>IFERROR(IF(Benchmark1[[#This Row],[Comparable '#1 Date Check]]="Pass",Benchmark1[[#This Row],[Comparable '#1 Return]]-Benchmark1[[#This Row],[Benchmark '#1 Return]],"-"),"-")</f>
        <v>4.9734103817092451E-3</v>
      </c>
      <c r="L1189" s="1" t="str">
        <f>IF(COUNTIF(Comp2[Comparable '#2 Dates],Benchmark1[[#This Row],[Benchmark '#1 Dates]])=1,"Pass","Fail")</f>
        <v>Pass</v>
      </c>
      <c r="M1189" s="6">
        <f>IF(Benchmark1[[#This Row],[Comparable '#2 Date Check]]="Pass",INDEX(Comp2[Comparable '#2 Price],MATCH(Benchmark1[[#This Row],[Benchmark '#1 Dates]],Comp2[Comparable '#2 Dates],0)),"-")</f>
        <v>36.17</v>
      </c>
      <c r="N1189" s="22">
        <f>IF(Benchmark1[[#This Row],[Comparable '#2 Date Check]]="Pass",INDEX(Comp2[Comparable '#2 Return],MATCH(Benchmark1[[#This Row],[Benchmark '#1 Dates]],Comp2[Comparable '#2 Dates],0)),"-")</f>
        <v>-1.1544933067108952E-2</v>
      </c>
      <c r="O1189" s="1">
        <f>IFERROR(IF(Benchmark1[[#This Row],[Comparable '#2 Date Check]]="Pass",Benchmark1[[#This Row],[Comparable '#2 Return]]-Benchmark1[[#This Row],[Benchmark '#1 Return]],"-"),"-")</f>
        <v>-1.4525607926720065E-2</v>
      </c>
      <c r="P1189" s="1" t="str">
        <f>IF(COUNTIF(Comp3[Comparable '#3 Dates],Benchmark1[[#This Row],[Benchmark '#1 Dates]])=1,"Pass","Fail")</f>
        <v>Pass</v>
      </c>
      <c r="Q1189" s="6">
        <f>IF(Benchmark1[[#This Row],[Comparable '#3 Date Check]]="Pass",INDEX(Comp3[Comparable '#3 Price],MATCH(Benchmark1[[#This Row],[Benchmark '#1 Dates]],Comp3[Comparable '#3 Dates],0)),"-")</f>
        <v>85.96</v>
      </c>
      <c r="R1189" s="22">
        <f>IF(Benchmark1[[#This Row],[Comparable '#3 Date Check]]="Pass",INDEX(Comp3[Comparable '#3 Return],MATCH(Benchmark1[[#This Row],[Benchmark '#1 Dates]],Comp3[Comparable '#3 Dates],0)),"-")</f>
        <v>-4.0633944572565951E-3</v>
      </c>
      <c r="S1189" s="1">
        <f>IFERROR(IF(Benchmark1[[#This Row],[Comparable '#3 Date Check]]="Pass",Benchmark1[[#This Row],[Comparable '#3 Return]]-Benchmark1[[#This Row],[Benchmark '#1 Return]],"-"),"-")</f>
        <v>-7.0440693168677074E-3</v>
      </c>
    </row>
    <row r="1190" spans="1:19">
      <c r="A1190" s="103">
        <v>45009</v>
      </c>
      <c r="B1190" s="104">
        <v>3970.9864119052263</v>
      </c>
      <c r="C1190" s="4">
        <f t="shared" si="18"/>
        <v>5.6221098970482457E-3</v>
      </c>
      <c r="D1190" s="1" t="str">
        <f>IF(COUNTIF(Target1[Target Dates],Benchmark1[[#This Row],[Benchmark '#1 Dates]])=1,"Pass","Fail")</f>
        <v>Pass</v>
      </c>
      <c r="E1190" s="6">
        <f>IF(Benchmark1[[#This Row],[Target Date Check]]="Pass",INDEX(Target1[Target Price],MATCH(Benchmark1[[#This Row],[Benchmark '#1 Dates]],Target1[Target Dates],0)),"-")</f>
        <v>38.68</v>
      </c>
      <c r="F1190" s="22">
        <f>IF(Benchmark1[[#This Row],[Target Date Check]]="Pass",INDEX(Target1[Target Return],MATCH(Benchmark1[[#This Row],[Benchmark '#1 Dates]],Target1[Target Dates],0)),"-")</f>
        <v>1.4321296715621186E-2</v>
      </c>
      <c r="G1190" s="1">
        <f>IFERROR(IF(Benchmark1[[#This Row],[Target Date Check]]="Pass",Benchmark1[[#This Row],[Target Return]]-Benchmark1[[#This Row],[Benchmark '#1 Return]],"-"),"-")</f>
        <v>8.6991868185729397E-3</v>
      </c>
      <c r="H1190" s="1" t="str">
        <f>IF(COUNTIF(Comp1[Comparable '#1 Dates],Benchmark1[[#This Row],[Benchmark '#1 Dates]])=1,"Pass","Fail")</f>
        <v>Pass</v>
      </c>
      <c r="I1190" s="6">
        <f>IF(Benchmark1[[#This Row],[Comparable '#1 Date Check]]="Pass",INDEX(Comp1[Comparable '#1 Price],MATCH(Benchmark1[[#This Row],[Benchmark '#1 Dates]],Comp1[Comparable '#1 Dates],0)),"-")</f>
        <v>11.51</v>
      </c>
      <c r="J1190" s="22">
        <f>IF(Benchmark1[[#This Row],[Comparable '#1 Date Check]]="Pass",INDEX(Comp1[Comparable '#1 Return],MATCH(Benchmark1[[#This Row],[Benchmark '#1 Dates]],Comp1[Comparable '#1 Dates],0)),"-")</f>
        <v>1.3117809440786049E-2</v>
      </c>
      <c r="K1190" s="1">
        <f>IFERROR(IF(Benchmark1[[#This Row],[Comparable '#1 Date Check]]="Pass",Benchmark1[[#This Row],[Comparable '#1 Return]]-Benchmark1[[#This Row],[Benchmark '#1 Return]],"-"),"-")</f>
        <v>7.4956995437378037E-3</v>
      </c>
      <c r="L1190" s="1" t="str">
        <f>IF(COUNTIF(Comp2[Comparable '#2 Dates],Benchmark1[[#This Row],[Benchmark '#1 Dates]])=1,"Pass","Fail")</f>
        <v>Pass</v>
      </c>
      <c r="M1190" s="6">
        <f>IF(Benchmark1[[#This Row],[Comparable '#2 Date Check]]="Pass",INDEX(Comp2[Comparable '#2 Price],MATCH(Benchmark1[[#This Row],[Benchmark '#1 Dates]],Comp2[Comparable '#2 Dates],0)),"-")</f>
        <v>36.56</v>
      </c>
      <c r="N1190" s="22">
        <f>IF(Benchmark1[[#This Row],[Comparable '#2 Date Check]]="Pass",INDEX(Comp2[Comparable '#2 Return],MATCH(Benchmark1[[#This Row],[Benchmark '#1 Dates]],Comp2[Comparable '#2 Dates],0)),"-")</f>
        <v>1.0724700621942626E-2</v>
      </c>
      <c r="O1190" s="1">
        <f>IFERROR(IF(Benchmark1[[#This Row],[Comparable '#2 Date Check]]="Pass",Benchmark1[[#This Row],[Comparable '#2 Return]]-Benchmark1[[#This Row],[Benchmark '#1 Return]],"-"),"-")</f>
        <v>5.1025907248943804E-3</v>
      </c>
      <c r="P1190" s="1" t="str">
        <f>IF(COUNTIF(Comp3[Comparable '#3 Dates],Benchmark1[[#This Row],[Benchmark '#1 Dates]])=1,"Pass","Fail")</f>
        <v>Pass</v>
      </c>
      <c r="Q1190" s="6">
        <f>IF(Benchmark1[[#This Row],[Comparable '#3 Date Check]]="Pass",INDEX(Comp3[Comparable '#3 Price],MATCH(Benchmark1[[#This Row],[Benchmark '#1 Dates]],Comp3[Comparable '#3 Dates],0)),"-")</f>
        <v>87.49</v>
      </c>
      <c r="R1190" s="22">
        <f>IF(Benchmark1[[#This Row],[Comparable '#3 Date Check]]="Pass",INDEX(Comp3[Comparable '#3 Return],MATCH(Benchmark1[[#This Row],[Benchmark '#1 Dates]],Comp3[Comparable '#3 Dates],0)),"-")</f>
        <v>1.764242934386355E-2</v>
      </c>
      <c r="S1190" s="1">
        <f>IFERROR(IF(Benchmark1[[#This Row],[Comparable '#3 Date Check]]="Pass",Benchmark1[[#This Row],[Comparable '#3 Return]]-Benchmark1[[#This Row],[Benchmark '#1 Return]],"-"),"-")</f>
        <v>1.2020319446815305E-2</v>
      </c>
    </row>
    <row r="1191" spans="1:19">
      <c r="A1191" s="103">
        <v>45012</v>
      </c>
      <c r="B1191" s="104">
        <v>3977.5281576936595</v>
      </c>
      <c r="C1191" s="4">
        <f t="shared" si="18"/>
        <v>1.6460301376257842E-3</v>
      </c>
      <c r="D1191" s="1" t="str">
        <f>IF(COUNTIF(Target1[Target Dates],Benchmark1[[#This Row],[Benchmark '#1 Dates]])=1,"Pass","Fail")</f>
        <v>Pass</v>
      </c>
      <c r="E1191" s="6">
        <f>IF(Benchmark1[[#This Row],[Target Date Check]]="Pass",INDEX(Target1[Target Price],MATCH(Benchmark1[[#This Row],[Benchmark '#1 Dates]],Target1[Target Dates],0)),"-")</f>
        <v>39.53</v>
      </c>
      <c r="F1191" s="22">
        <f>IF(Benchmark1[[#This Row],[Target Date Check]]="Pass",INDEX(Target1[Target Return],MATCH(Benchmark1[[#This Row],[Benchmark '#1 Dates]],Target1[Target Dates],0)),"-")</f>
        <v>2.1737206723500702E-2</v>
      </c>
      <c r="G1191" s="1">
        <f>IFERROR(IF(Benchmark1[[#This Row],[Target Date Check]]="Pass",Benchmark1[[#This Row],[Target Return]]-Benchmark1[[#This Row],[Benchmark '#1 Return]],"-"),"-")</f>
        <v>2.0091176585874917E-2</v>
      </c>
      <c r="H1191" s="1" t="str">
        <f>IF(COUNTIF(Comp1[Comparable '#1 Dates],Benchmark1[[#This Row],[Benchmark '#1 Dates]])=1,"Pass","Fail")</f>
        <v>Pass</v>
      </c>
      <c r="I1191" s="6">
        <f>IF(Benchmark1[[#This Row],[Comparable '#1 Date Check]]="Pass",INDEX(Comp1[Comparable '#1 Price],MATCH(Benchmark1[[#This Row],[Benchmark '#1 Dates]],Comp1[Comparable '#1 Dates],0)),"-")</f>
        <v>11.69</v>
      </c>
      <c r="J1191" s="22">
        <f>IF(Benchmark1[[#This Row],[Comparable '#1 Date Check]]="Pass",INDEX(Comp1[Comparable '#1 Return],MATCH(Benchmark1[[#This Row],[Benchmark '#1 Dates]],Comp1[Comparable '#1 Dates],0)),"-")</f>
        <v>1.5517552750185657E-2</v>
      </c>
      <c r="K1191" s="1">
        <f>IFERROR(IF(Benchmark1[[#This Row],[Comparable '#1 Date Check]]="Pass",Benchmark1[[#This Row],[Comparable '#1 Return]]-Benchmark1[[#This Row],[Benchmark '#1 Return]],"-"),"-")</f>
        <v>1.3871522612559873E-2</v>
      </c>
      <c r="L1191" s="1" t="str">
        <f>IF(COUNTIF(Comp2[Comparable '#2 Dates],Benchmark1[[#This Row],[Benchmark '#1 Dates]])=1,"Pass","Fail")</f>
        <v>Pass</v>
      </c>
      <c r="M1191" s="6">
        <f>IF(Benchmark1[[#This Row],[Comparable '#2 Date Check]]="Pass",INDEX(Comp2[Comparable '#2 Price],MATCH(Benchmark1[[#This Row],[Benchmark '#1 Dates]],Comp2[Comparable '#2 Dates],0)),"-")</f>
        <v>37.68</v>
      </c>
      <c r="N1191" s="22">
        <f>IF(Benchmark1[[#This Row],[Comparable '#2 Date Check]]="Pass",INDEX(Comp2[Comparable '#2 Return],MATCH(Benchmark1[[#This Row],[Benchmark '#1 Dates]],Comp2[Comparable '#2 Dates],0)),"-")</f>
        <v>3.0174703122213032E-2</v>
      </c>
      <c r="O1191" s="1">
        <f>IFERROR(IF(Benchmark1[[#This Row],[Comparable '#2 Date Check]]="Pass",Benchmark1[[#This Row],[Comparable '#2 Return]]-Benchmark1[[#This Row],[Benchmark '#1 Return]],"-"),"-")</f>
        <v>2.8528672984587247E-2</v>
      </c>
      <c r="P1191" s="1" t="str">
        <f>IF(COUNTIF(Comp3[Comparable '#3 Dates],Benchmark1[[#This Row],[Benchmark '#1 Dates]])=1,"Pass","Fail")</f>
        <v>Pass</v>
      </c>
      <c r="Q1191" s="6">
        <f>IF(Benchmark1[[#This Row],[Comparable '#3 Date Check]]="Pass",INDEX(Comp3[Comparable '#3 Price],MATCH(Benchmark1[[#This Row],[Benchmark '#1 Dates]],Comp3[Comparable '#3 Dates],0)),"-")</f>
        <v>88.57</v>
      </c>
      <c r="R1191" s="22">
        <f>IF(Benchmark1[[#This Row],[Comparable '#3 Date Check]]="Pass",INDEX(Comp3[Comparable '#3 Return],MATCH(Benchmark1[[#This Row],[Benchmark '#1 Dates]],Comp3[Comparable '#3 Dates],0)),"-")</f>
        <v>1.2268698703318414E-2</v>
      </c>
      <c r="S1191" s="1">
        <f>IFERROR(IF(Benchmark1[[#This Row],[Comparable '#3 Date Check]]="Pass",Benchmark1[[#This Row],[Comparable '#3 Return]]-Benchmark1[[#This Row],[Benchmark '#1 Return]],"-"),"-")</f>
        <v>1.062266856569263E-2</v>
      </c>
    </row>
    <row r="1192" spans="1:19">
      <c r="A1192" s="103">
        <v>45013</v>
      </c>
      <c r="B1192" s="104">
        <v>3971.270192873309</v>
      </c>
      <c r="C1192" s="4">
        <f t="shared" si="18"/>
        <v>-1.5745690951727649E-3</v>
      </c>
      <c r="D1192" s="1" t="str">
        <f>IF(COUNTIF(Target1[Target Dates],Benchmark1[[#This Row],[Benchmark '#1 Dates]])=1,"Pass","Fail")</f>
        <v>Pass</v>
      </c>
      <c r="E1192" s="6">
        <f>IF(Benchmark1[[#This Row],[Target Date Check]]="Pass",INDEX(Target1[Target Price],MATCH(Benchmark1[[#This Row],[Benchmark '#1 Dates]],Target1[Target Dates],0)),"-")</f>
        <v>39.520000000000003</v>
      </c>
      <c r="F1192" s="22">
        <f>IF(Benchmark1[[#This Row],[Target Date Check]]="Pass",INDEX(Target1[Target Return],MATCH(Benchmark1[[#This Row],[Benchmark '#1 Dates]],Target1[Target Dates],0)),"-")</f>
        <v>-2.5300442892703775E-4</v>
      </c>
      <c r="G1192" s="1">
        <f>IFERROR(IF(Benchmark1[[#This Row],[Target Date Check]]="Pass",Benchmark1[[#This Row],[Target Return]]-Benchmark1[[#This Row],[Benchmark '#1 Return]],"-"),"-")</f>
        <v>1.3215646662457271E-3</v>
      </c>
      <c r="H1192" s="1" t="str">
        <f>IF(COUNTIF(Comp1[Comparable '#1 Dates],Benchmark1[[#This Row],[Benchmark '#1 Dates]])=1,"Pass","Fail")</f>
        <v>Pass</v>
      </c>
      <c r="I1192" s="6">
        <f>IF(Benchmark1[[#This Row],[Comparable '#1 Date Check]]="Pass",INDEX(Comp1[Comparable '#1 Price],MATCH(Benchmark1[[#This Row],[Benchmark '#1 Dates]],Comp1[Comparable '#1 Dates],0)),"-")</f>
        <v>11.63</v>
      </c>
      <c r="J1192" s="22">
        <f>IF(Benchmark1[[#This Row],[Comparable '#1 Date Check]]="Pass",INDEX(Comp1[Comparable '#1 Return],MATCH(Benchmark1[[#This Row],[Benchmark '#1 Dates]],Comp1[Comparable '#1 Dates],0)),"-")</f>
        <v>-5.1458089534038368E-3</v>
      </c>
      <c r="K1192" s="1">
        <f>IFERROR(IF(Benchmark1[[#This Row],[Comparable '#1 Date Check]]="Pass",Benchmark1[[#This Row],[Comparable '#1 Return]]-Benchmark1[[#This Row],[Benchmark '#1 Return]],"-"),"-")</f>
        <v>-3.5712398582310716E-3</v>
      </c>
      <c r="L1192" s="1" t="str">
        <f>IF(COUNTIF(Comp2[Comparable '#2 Dates],Benchmark1[[#This Row],[Benchmark '#1 Dates]])=1,"Pass","Fail")</f>
        <v>Pass</v>
      </c>
      <c r="M1192" s="6">
        <f>IF(Benchmark1[[#This Row],[Comparable '#2 Date Check]]="Pass",INDEX(Comp2[Comparable '#2 Price],MATCH(Benchmark1[[#This Row],[Benchmark '#1 Dates]],Comp2[Comparable '#2 Dates],0)),"-")</f>
        <v>37.46</v>
      </c>
      <c r="N1192" s="22">
        <f>IF(Benchmark1[[#This Row],[Comparable '#2 Date Check]]="Pass",INDEX(Comp2[Comparable '#2 Return],MATCH(Benchmark1[[#This Row],[Benchmark '#1 Dates]],Comp2[Comparable '#2 Dates],0)),"-")</f>
        <v>-5.8557526922197968E-3</v>
      </c>
      <c r="O1192" s="1">
        <f>IFERROR(IF(Benchmark1[[#This Row],[Comparable '#2 Date Check]]="Pass",Benchmark1[[#This Row],[Comparable '#2 Return]]-Benchmark1[[#This Row],[Benchmark '#1 Return]],"-"),"-")</f>
        <v>-4.2811835970470316E-3</v>
      </c>
      <c r="P1192" s="1" t="str">
        <f>IF(COUNTIF(Comp3[Comparable '#3 Dates],Benchmark1[[#This Row],[Benchmark '#1 Dates]])=1,"Pass","Fail")</f>
        <v>Pass</v>
      </c>
      <c r="Q1192" s="6">
        <f>IF(Benchmark1[[#This Row],[Comparable '#3 Date Check]]="Pass",INDEX(Comp3[Comparable '#3 Price],MATCH(Benchmark1[[#This Row],[Benchmark '#1 Dates]],Comp3[Comparable '#3 Dates],0)),"-")</f>
        <v>87.35</v>
      </c>
      <c r="R1192" s="22">
        <f>IF(Benchmark1[[#This Row],[Comparable '#3 Date Check]]="Pass",INDEX(Comp3[Comparable '#3 Return],MATCH(Benchmark1[[#This Row],[Benchmark '#1 Dates]],Comp3[Comparable '#3 Dates],0)),"-")</f>
        <v>-1.387016324142603E-2</v>
      </c>
      <c r="S1192" s="1">
        <f>IFERROR(IF(Benchmark1[[#This Row],[Comparable '#3 Date Check]]="Pass",Benchmark1[[#This Row],[Comparable '#3 Return]]-Benchmark1[[#This Row],[Benchmark '#1 Return]],"-"),"-")</f>
        <v>-1.2295594146253265E-2</v>
      </c>
    </row>
    <row r="1193" spans="1:19">
      <c r="A1193" s="103">
        <v>45014</v>
      </c>
      <c r="B1193" s="104">
        <v>4027.8118355439119</v>
      </c>
      <c r="C1193" s="4">
        <f t="shared" si="18"/>
        <v>1.413726829622435E-2</v>
      </c>
      <c r="D1193" s="1" t="str">
        <f>IF(COUNTIF(Target1[Target Dates],Benchmark1[[#This Row],[Benchmark '#1 Dates]])=1,"Pass","Fail")</f>
        <v>Pass</v>
      </c>
      <c r="E1193" s="6">
        <f>IF(Benchmark1[[#This Row],[Target Date Check]]="Pass",INDEX(Target1[Target Price],MATCH(Benchmark1[[#This Row],[Benchmark '#1 Dates]],Target1[Target Dates],0)),"-")</f>
        <v>38.770000000000003</v>
      </c>
      <c r="F1193" s="22">
        <f>IF(Benchmark1[[#This Row],[Target Date Check]]="Pass",INDEX(Target1[Target Return],MATCH(Benchmark1[[#This Row],[Benchmark '#1 Dates]],Target1[Target Dates],0)),"-")</f>
        <v>-1.9160121196829256E-2</v>
      </c>
      <c r="G1193" s="1">
        <f>IFERROR(IF(Benchmark1[[#This Row],[Target Date Check]]="Pass",Benchmark1[[#This Row],[Target Return]]-Benchmark1[[#This Row],[Benchmark '#1 Return]],"-"),"-")</f>
        <v>-3.3297389493053609E-2</v>
      </c>
      <c r="H1193" s="1" t="str">
        <f>IF(COUNTIF(Comp1[Comparable '#1 Dates],Benchmark1[[#This Row],[Benchmark '#1 Dates]])=1,"Pass","Fail")</f>
        <v>Pass</v>
      </c>
      <c r="I1193" s="6">
        <f>IF(Benchmark1[[#This Row],[Comparable '#1 Date Check]]="Pass",INDEX(Comp1[Comparable '#1 Price],MATCH(Benchmark1[[#This Row],[Benchmark '#1 Dates]],Comp1[Comparable '#1 Dates],0)),"-")</f>
        <v>11.55</v>
      </c>
      <c r="J1193" s="22">
        <f>IF(Benchmark1[[#This Row],[Comparable '#1 Date Check]]="Pass",INDEX(Comp1[Comparable '#1 Return],MATCH(Benchmark1[[#This Row],[Benchmark '#1 Dates]],Comp1[Comparable '#1 Dates],0)),"-")</f>
        <v>-6.9025295627704632E-3</v>
      </c>
      <c r="K1193" s="1">
        <f>IFERROR(IF(Benchmark1[[#This Row],[Comparable '#1 Date Check]]="Pass",Benchmark1[[#This Row],[Comparable '#1 Return]]-Benchmark1[[#This Row],[Benchmark '#1 Return]],"-"),"-")</f>
        <v>-2.1039797858994812E-2</v>
      </c>
      <c r="L1193" s="1" t="str">
        <f>IF(COUNTIF(Comp2[Comparable '#2 Dates],Benchmark1[[#This Row],[Benchmark '#1 Dates]])=1,"Pass","Fail")</f>
        <v>Pass</v>
      </c>
      <c r="M1193" s="6">
        <f>IF(Benchmark1[[#This Row],[Comparable '#2 Date Check]]="Pass",INDEX(Comp2[Comparable '#2 Price],MATCH(Benchmark1[[#This Row],[Benchmark '#1 Dates]],Comp2[Comparable '#2 Dates],0)),"-")</f>
        <v>36.799999999999997</v>
      </c>
      <c r="N1193" s="22">
        <f>IF(Benchmark1[[#This Row],[Comparable '#2 Date Check]]="Pass",INDEX(Comp2[Comparable '#2 Return],MATCH(Benchmark1[[#This Row],[Benchmark '#1 Dates]],Comp2[Comparable '#2 Dates],0)),"-")</f>
        <v>-1.7775851841057337E-2</v>
      </c>
      <c r="O1193" s="1">
        <f>IFERROR(IF(Benchmark1[[#This Row],[Comparable '#2 Date Check]]="Pass",Benchmark1[[#This Row],[Comparable '#2 Return]]-Benchmark1[[#This Row],[Benchmark '#1 Return]],"-"),"-")</f>
        <v>-3.1913120137281689E-2</v>
      </c>
      <c r="P1193" s="1" t="str">
        <f>IF(COUNTIF(Comp3[Comparable '#3 Dates],Benchmark1[[#This Row],[Benchmark '#1 Dates]])=1,"Pass","Fail")</f>
        <v>Pass</v>
      </c>
      <c r="Q1193" s="6">
        <f>IF(Benchmark1[[#This Row],[Comparable '#3 Date Check]]="Pass",INDEX(Comp3[Comparable '#3 Price],MATCH(Benchmark1[[#This Row],[Benchmark '#1 Dates]],Comp3[Comparable '#3 Dates],0)),"-")</f>
        <v>86.55</v>
      </c>
      <c r="R1193" s="22">
        <f>IF(Benchmark1[[#This Row],[Comparable '#3 Date Check]]="Pass",INDEX(Comp3[Comparable '#3 Return],MATCH(Benchmark1[[#This Row],[Benchmark '#1 Dates]],Comp3[Comparable '#3 Dates],0)),"-")</f>
        <v>-9.2007549578472583E-3</v>
      </c>
      <c r="S1193" s="1">
        <f>IFERROR(IF(Benchmark1[[#This Row],[Comparable '#3 Date Check]]="Pass",Benchmark1[[#This Row],[Comparable '#3 Return]]-Benchmark1[[#This Row],[Benchmark '#1 Return]],"-"),"-")</f>
        <v>-2.333802325407161E-2</v>
      </c>
    </row>
    <row r="1194" spans="1:19">
      <c r="A1194" s="103">
        <v>45015</v>
      </c>
      <c r="B1194" s="104">
        <v>4050.8290974169331</v>
      </c>
      <c r="C1194" s="4">
        <f t="shared" si="18"/>
        <v>5.6983159287336323E-3</v>
      </c>
      <c r="D1194" s="1" t="str">
        <f>IF(COUNTIF(Target1[Target Dates],Benchmark1[[#This Row],[Benchmark '#1 Dates]])=1,"Pass","Fail")</f>
        <v>Pass</v>
      </c>
      <c r="E1194" s="6">
        <f>IF(Benchmark1[[#This Row],[Target Date Check]]="Pass",INDEX(Target1[Target Price],MATCH(Benchmark1[[#This Row],[Benchmark '#1 Dates]],Target1[Target Dates],0)),"-")</f>
        <v>39.03</v>
      </c>
      <c r="F1194" s="22">
        <f>IF(Benchmark1[[#This Row],[Target Date Check]]="Pass",INDEX(Target1[Target Return],MATCH(Benchmark1[[#This Row],[Benchmark '#1 Dates]],Target1[Target Dates],0)),"-")</f>
        <v>6.683829509685827E-3</v>
      </c>
      <c r="G1194" s="1">
        <f>IFERROR(IF(Benchmark1[[#This Row],[Target Date Check]]="Pass",Benchmark1[[#This Row],[Target Return]]-Benchmark1[[#This Row],[Benchmark '#1 Return]],"-"),"-")</f>
        <v>9.855135809521947E-4</v>
      </c>
      <c r="H1194" s="1" t="str">
        <f>IF(COUNTIF(Comp1[Comparable '#1 Dates],Benchmark1[[#This Row],[Benchmark '#1 Dates]])=1,"Pass","Fail")</f>
        <v>Pass</v>
      </c>
      <c r="I1194" s="6">
        <f>IF(Benchmark1[[#This Row],[Comparable '#1 Date Check]]="Pass",INDEX(Comp1[Comparable '#1 Price],MATCH(Benchmark1[[#This Row],[Benchmark '#1 Dates]],Comp1[Comparable '#1 Dates],0)),"-")</f>
        <v>11.62</v>
      </c>
      <c r="J1194" s="22">
        <f>IF(Benchmark1[[#This Row],[Comparable '#1 Date Check]]="Pass",INDEX(Comp1[Comparable '#1 Return],MATCH(Benchmark1[[#This Row],[Benchmark '#1 Dates]],Comp1[Comparable '#1 Dates],0)),"-")</f>
        <v>6.0423144559624406E-3</v>
      </c>
      <c r="K1194" s="1">
        <f>IFERROR(IF(Benchmark1[[#This Row],[Comparable '#1 Date Check]]="Pass",Benchmark1[[#This Row],[Comparable '#1 Return]]-Benchmark1[[#This Row],[Benchmark '#1 Return]],"-"),"-")</f>
        <v>3.4399852722880823E-4</v>
      </c>
      <c r="L1194" s="1" t="str">
        <f>IF(COUNTIF(Comp2[Comparable '#2 Dates],Benchmark1[[#This Row],[Benchmark '#1 Dates]])=1,"Pass","Fail")</f>
        <v>Pass</v>
      </c>
      <c r="M1194" s="6">
        <f>IF(Benchmark1[[#This Row],[Comparable '#2 Date Check]]="Pass",INDEX(Comp2[Comparable '#2 Price],MATCH(Benchmark1[[#This Row],[Benchmark '#1 Dates]],Comp2[Comparable '#2 Dates],0)),"-")</f>
        <v>37.32</v>
      </c>
      <c r="N1194" s="22">
        <f>IF(Benchmark1[[#This Row],[Comparable '#2 Date Check]]="Pass",INDEX(Comp2[Comparable '#2 Return],MATCH(Benchmark1[[#This Row],[Benchmark '#1 Dates]],Comp2[Comparable '#2 Dates],0)),"-")</f>
        <v>1.4031530804257916E-2</v>
      </c>
      <c r="O1194" s="1">
        <f>IFERROR(IF(Benchmark1[[#This Row],[Comparable '#2 Date Check]]="Pass",Benchmark1[[#This Row],[Comparable '#2 Return]]-Benchmark1[[#This Row],[Benchmark '#1 Return]],"-"),"-")</f>
        <v>8.3332148755242835E-3</v>
      </c>
      <c r="P1194" s="1" t="str">
        <f>IF(COUNTIF(Comp3[Comparable '#3 Dates],Benchmark1[[#This Row],[Benchmark '#1 Dates]])=1,"Pass","Fail")</f>
        <v>Pass</v>
      </c>
      <c r="Q1194" s="6">
        <f>IF(Benchmark1[[#This Row],[Comparable '#3 Date Check]]="Pass",INDEX(Comp3[Comparable '#3 Price],MATCH(Benchmark1[[#This Row],[Benchmark '#1 Dates]],Comp3[Comparable '#3 Dates],0)),"-")</f>
        <v>88.24</v>
      </c>
      <c r="R1194" s="22">
        <f>IF(Benchmark1[[#This Row],[Comparable '#3 Date Check]]="Pass",INDEX(Comp3[Comparable '#3 Return],MATCH(Benchmark1[[#This Row],[Benchmark '#1 Dates]],Comp3[Comparable '#3 Dates],0)),"-")</f>
        <v>1.9338093323028667E-2</v>
      </c>
      <c r="S1194" s="1">
        <f>IFERROR(IF(Benchmark1[[#This Row],[Comparable '#3 Date Check]]="Pass",Benchmark1[[#This Row],[Comparable '#3 Return]]-Benchmark1[[#This Row],[Benchmark '#1 Return]],"-"),"-")</f>
        <v>1.3639777394295035E-2</v>
      </c>
    </row>
    <row r="1195" spans="1:19">
      <c r="A1195" s="103">
        <v>45016</v>
      </c>
      <c r="B1195" s="104">
        <v>4109.3124446214688</v>
      </c>
      <c r="C1195" s="4">
        <f t="shared" si="18"/>
        <v>1.4334150521912314E-2</v>
      </c>
      <c r="D1195" s="1" t="str">
        <f>IF(COUNTIF(Target1[Target Dates],Benchmark1[[#This Row],[Benchmark '#1 Dates]])=1,"Pass","Fail")</f>
        <v>Pass</v>
      </c>
      <c r="E1195" s="6">
        <f>IF(Benchmark1[[#This Row],[Target Date Check]]="Pass",INDEX(Target1[Target Price],MATCH(Benchmark1[[#This Row],[Benchmark '#1 Dates]],Target1[Target Dates],0)),"-")</f>
        <v>39.25</v>
      </c>
      <c r="F1195" s="22">
        <f>IF(Benchmark1[[#This Row],[Target Date Check]]="Pass",INDEX(Target1[Target Return],MATCH(Benchmark1[[#This Row],[Benchmark '#1 Dates]],Target1[Target Dates],0)),"-")</f>
        <v>5.6208630358938931E-3</v>
      </c>
      <c r="G1195" s="1">
        <f>IFERROR(IF(Benchmark1[[#This Row],[Target Date Check]]="Pass",Benchmark1[[#This Row],[Target Return]]-Benchmark1[[#This Row],[Benchmark '#1 Return]],"-"),"-")</f>
        <v>-8.7132874860184201E-3</v>
      </c>
      <c r="H1195" s="1" t="str">
        <f>IF(COUNTIF(Comp1[Comparable '#1 Dates],Benchmark1[[#This Row],[Benchmark '#1 Dates]])=1,"Pass","Fail")</f>
        <v>Pass</v>
      </c>
      <c r="I1195" s="6">
        <f>IF(Benchmark1[[#This Row],[Comparable '#1 Date Check]]="Pass",INDEX(Comp1[Comparable '#1 Price],MATCH(Benchmark1[[#This Row],[Benchmark '#1 Dates]],Comp1[Comparable '#1 Dates],0)),"-")</f>
        <v>11.76</v>
      </c>
      <c r="J1195" s="22">
        <f>IF(Benchmark1[[#This Row],[Comparable '#1 Date Check]]="Pass",INDEX(Comp1[Comparable '#1 Return],MATCH(Benchmark1[[#This Row],[Benchmark '#1 Dates]],Comp1[Comparable '#1 Dates],0)),"-")</f>
        <v>1.197619104671584E-2</v>
      </c>
      <c r="K1195" s="1">
        <f>IFERROR(IF(Benchmark1[[#This Row],[Comparable '#1 Date Check]]="Pass",Benchmark1[[#This Row],[Comparable '#1 Return]]-Benchmark1[[#This Row],[Benchmark '#1 Return]],"-"),"-")</f>
        <v>-2.3579594751964739E-3</v>
      </c>
      <c r="L1195" s="1" t="str">
        <f>IF(COUNTIF(Comp2[Comparable '#2 Dates],Benchmark1[[#This Row],[Benchmark '#1 Dates]])=1,"Pass","Fail")</f>
        <v>Pass</v>
      </c>
      <c r="M1195" s="6">
        <f>IF(Benchmark1[[#This Row],[Comparable '#2 Date Check]]="Pass",INDEX(Comp2[Comparable '#2 Price],MATCH(Benchmark1[[#This Row],[Benchmark '#1 Dates]],Comp2[Comparable '#2 Dates],0)),"-")</f>
        <v>38.619999999999997</v>
      </c>
      <c r="N1195" s="22">
        <f>IF(Benchmark1[[#This Row],[Comparable '#2 Date Check]]="Pass",INDEX(Comp2[Comparable '#2 Return],MATCH(Benchmark1[[#This Row],[Benchmark '#1 Dates]],Comp2[Comparable '#2 Dates],0)),"-")</f>
        <v>3.4240901021225151E-2</v>
      </c>
      <c r="O1195" s="1">
        <f>IFERROR(IF(Benchmark1[[#This Row],[Comparable '#2 Date Check]]="Pass",Benchmark1[[#This Row],[Comparable '#2 Return]]-Benchmark1[[#This Row],[Benchmark '#1 Return]],"-"),"-")</f>
        <v>1.9906750499312835E-2</v>
      </c>
      <c r="P1195" s="1" t="str">
        <f>IF(COUNTIF(Comp3[Comparable '#3 Dates],Benchmark1[[#This Row],[Benchmark '#1 Dates]])=1,"Pass","Fail")</f>
        <v>Pass</v>
      </c>
      <c r="Q1195" s="6">
        <f>IF(Benchmark1[[#This Row],[Comparable '#3 Date Check]]="Pass",INDEX(Comp3[Comparable '#3 Price],MATCH(Benchmark1[[#This Row],[Benchmark '#1 Dates]],Comp3[Comparable '#3 Dates],0)),"-")</f>
        <v>89.83</v>
      </c>
      <c r="R1195" s="22">
        <f>IF(Benchmark1[[#This Row],[Comparable '#3 Date Check]]="Pass",INDEX(Comp3[Comparable '#3 Return],MATCH(Benchmark1[[#This Row],[Benchmark '#1 Dates]],Comp3[Comparable '#3 Dates],0)),"-")</f>
        <v>1.7858620295868308E-2</v>
      </c>
      <c r="S1195" s="1">
        <f>IFERROR(IF(Benchmark1[[#This Row],[Comparable '#3 Date Check]]="Pass",Benchmark1[[#This Row],[Comparable '#3 Return]]-Benchmark1[[#This Row],[Benchmark '#1 Return]],"-"),"-")</f>
        <v>3.5244697739559936E-3</v>
      </c>
    </row>
    <row r="1196" spans="1:19">
      <c r="A1196" s="103">
        <v>45019</v>
      </c>
      <c r="B1196" s="104">
        <v>4124.506032591793</v>
      </c>
      <c r="C1196" s="4">
        <f t="shared" si="18"/>
        <v>3.6905368407548437E-3</v>
      </c>
      <c r="D1196" s="1" t="str">
        <f>IF(COUNTIF(Target1[Target Dates],Benchmark1[[#This Row],[Benchmark '#1 Dates]])=1,"Pass","Fail")</f>
        <v>Pass</v>
      </c>
      <c r="E1196" s="6">
        <f>IF(Benchmark1[[#This Row],[Target Date Check]]="Pass",INDEX(Target1[Target Price],MATCH(Benchmark1[[#This Row],[Benchmark '#1 Dates]],Target1[Target Dates],0)),"-")</f>
        <v>39.11</v>
      </c>
      <c r="F1196" s="22">
        <f>IF(Benchmark1[[#This Row],[Target Date Check]]="Pass",INDEX(Target1[Target Return],MATCH(Benchmark1[[#This Row],[Benchmark '#1 Dates]],Target1[Target Dates],0)),"-")</f>
        <v>-3.5732554609946643E-3</v>
      </c>
      <c r="G1196" s="1">
        <f>IFERROR(IF(Benchmark1[[#This Row],[Target Date Check]]="Pass",Benchmark1[[#This Row],[Target Return]]-Benchmark1[[#This Row],[Benchmark '#1 Return]],"-"),"-")</f>
        <v>-7.263792301749508E-3</v>
      </c>
      <c r="H1196" s="1" t="str">
        <f>IF(COUNTIF(Comp1[Comparable '#1 Dates],Benchmark1[[#This Row],[Benchmark '#1 Dates]])=1,"Pass","Fail")</f>
        <v>Pass</v>
      </c>
      <c r="I1196" s="6">
        <f>IF(Benchmark1[[#This Row],[Comparable '#1 Date Check]]="Pass",INDEX(Comp1[Comparable '#1 Price],MATCH(Benchmark1[[#This Row],[Benchmark '#1 Dates]],Comp1[Comparable '#1 Dates],0)),"-")</f>
        <v>11.51</v>
      </c>
      <c r="J1196" s="22">
        <f>IF(Benchmark1[[#This Row],[Comparable '#1 Date Check]]="Pass",INDEX(Comp1[Comparable '#1 Return],MATCH(Benchmark1[[#This Row],[Benchmark '#1 Dates]],Comp1[Comparable '#1 Dates],0)),"-")</f>
        <v>-2.1487719736689639E-2</v>
      </c>
      <c r="K1196" s="1">
        <f>IFERROR(IF(Benchmark1[[#This Row],[Comparable '#1 Date Check]]="Pass",Benchmark1[[#This Row],[Comparable '#1 Return]]-Benchmark1[[#This Row],[Benchmark '#1 Return]],"-"),"-")</f>
        <v>-2.5178256577444484E-2</v>
      </c>
      <c r="L1196" s="1" t="str">
        <f>IF(COUNTIF(Comp2[Comparable '#2 Dates],Benchmark1[[#This Row],[Benchmark '#1 Dates]])=1,"Pass","Fail")</f>
        <v>Pass</v>
      </c>
      <c r="M1196" s="6">
        <f>IF(Benchmark1[[#This Row],[Comparable '#2 Date Check]]="Pass",INDEX(Comp2[Comparable '#2 Price],MATCH(Benchmark1[[#This Row],[Benchmark '#1 Dates]],Comp2[Comparable '#2 Dates],0)),"-")</f>
        <v>38.51</v>
      </c>
      <c r="N1196" s="22">
        <f>IF(Benchmark1[[#This Row],[Comparable '#2 Date Check]]="Pass",INDEX(Comp2[Comparable '#2 Return],MATCH(Benchmark1[[#This Row],[Benchmark '#1 Dates]],Comp2[Comparable '#2 Dates],0)),"-")</f>
        <v>-2.8523291735508944E-3</v>
      </c>
      <c r="O1196" s="1">
        <f>IFERROR(IF(Benchmark1[[#This Row],[Comparable '#2 Date Check]]="Pass",Benchmark1[[#This Row],[Comparable '#2 Return]]-Benchmark1[[#This Row],[Benchmark '#1 Return]],"-"),"-")</f>
        <v>-6.5428660143057385E-3</v>
      </c>
      <c r="P1196" s="1" t="str">
        <f>IF(COUNTIF(Comp3[Comparable '#3 Dates],Benchmark1[[#This Row],[Benchmark '#1 Dates]])=1,"Pass","Fail")</f>
        <v>Pass</v>
      </c>
      <c r="Q1196" s="6">
        <f>IF(Benchmark1[[#This Row],[Comparable '#3 Date Check]]="Pass",INDEX(Comp3[Comparable '#3 Price],MATCH(Benchmark1[[#This Row],[Benchmark '#1 Dates]],Comp3[Comparable '#3 Dates],0)),"-")</f>
        <v>89.76</v>
      </c>
      <c r="R1196" s="22">
        <f>IF(Benchmark1[[#This Row],[Comparable '#3 Date Check]]="Pass",INDEX(Comp3[Comparable '#3 Return],MATCH(Benchmark1[[#This Row],[Benchmark '#1 Dates]],Comp3[Comparable '#3 Dates],0)),"-")</f>
        <v>-7.795534667290006E-4</v>
      </c>
      <c r="S1196" s="1">
        <f>IFERROR(IF(Benchmark1[[#This Row],[Comparable '#3 Date Check]]="Pass",Benchmark1[[#This Row],[Comparable '#3 Return]]-Benchmark1[[#This Row],[Benchmark '#1 Return]],"-"),"-")</f>
        <v>-4.4700903074838443E-3</v>
      </c>
    </row>
    <row r="1197" spans="1:19">
      <c r="A1197" s="103">
        <v>45020</v>
      </c>
      <c r="B1197" s="104">
        <v>4100.5989993253006</v>
      </c>
      <c r="C1197" s="4">
        <f t="shared" si="18"/>
        <v>-5.8132025058711149E-3</v>
      </c>
      <c r="D1197" s="1" t="str">
        <f>IF(COUNTIF(Target1[Target Dates],Benchmark1[[#This Row],[Benchmark '#1 Dates]])=1,"Pass","Fail")</f>
        <v>Pass</v>
      </c>
      <c r="E1197" s="6">
        <f>IF(Benchmark1[[#This Row],[Target Date Check]]="Pass",INDEX(Target1[Target Price],MATCH(Benchmark1[[#This Row],[Benchmark '#1 Dates]],Target1[Target Dates],0)),"-")</f>
        <v>38.450000000000003</v>
      </c>
      <c r="F1197" s="22">
        <f>IF(Benchmark1[[#This Row],[Target Date Check]]="Pass",INDEX(Target1[Target Return],MATCH(Benchmark1[[#This Row],[Benchmark '#1 Dates]],Target1[Target Dates],0)),"-")</f>
        <v>-1.7019492815769702E-2</v>
      </c>
      <c r="G1197" s="1">
        <f>IFERROR(IF(Benchmark1[[#This Row],[Target Date Check]]="Pass",Benchmark1[[#This Row],[Target Return]]-Benchmark1[[#This Row],[Benchmark '#1 Return]],"-"),"-")</f>
        <v>-1.1206290309898587E-2</v>
      </c>
      <c r="H1197" s="1" t="str">
        <f>IF(COUNTIF(Comp1[Comparable '#1 Dates],Benchmark1[[#This Row],[Benchmark '#1 Dates]])=1,"Pass","Fail")</f>
        <v>Pass</v>
      </c>
      <c r="I1197" s="6">
        <f>IF(Benchmark1[[#This Row],[Comparable '#1 Date Check]]="Pass",INDEX(Comp1[Comparable '#1 Price],MATCH(Benchmark1[[#This Row],[Benchmark '#1 Dates]],Comp1[Comparable '#1 Dates],0)),"-")</f>
        <v>11.38</v>
      </c>
      <c r="J1197" s="22">
        <f>IF(Benchmark1[[#This Row],[Comparable '#1 Date Check]]="Pass",INDEX(Comp1[Comparable '#1 Return],MATCH(Benchmark1[[#This Row],[Benchmark '#1 Dates]],Comp1[Comparable '#1 Dates],0)),"-")</f>
        <v>-1.1358794035606292E-2</v>
      </c>
      <c r="K1197" s="1">
        <f>IFERROR(IF(Benchmark1[[#This Row],[Comparable '#1 Date Check]]="Pass",Benchmark1[[#This Row],[Comparable '#1 Return]]-Benchmark1[[#This Row],[Benchmark '#1 Return]],"-"),"-")</f>
        <v>-5.5455915297351775E-3</v>
      </c>
      <c r="L1197" s="1" t="str">
        <f>IF(COUNTIF(Comp2[Comparable '#2 Dates],Benchmark1[[#This Row],[Benchmark '#1 Dates]])=1,"Pass","Fail")</f>
        <v>Pass</v>
      </c>
      <c r="M1197" s="6">
        <f>IF(Benchmark1[[#This Row],[Comparable '#2 Date Check]]="Pass",INDEX(Comp2[Comparable '#2 Price],MATCH(Benchmark1[[#This Row],[Benchmark '#1 Dates]],Comp2[Comparable '#2 Dates],0)),"-")</f>
        <v>37.78</v>
      </c>
      <c r="N1197" s="22">
        <f>IF(Benchmark1[[#This Row],[Comparable '#2 Date Check]]="Pass",INDEX(Comp2[Comparable '#2 Return],MATCH(Benchmark1[[#This Row],[Benchmark '#1 Dates]],Comp2[Comparable '#2 Dates],0)),"-")</f>
        <v>-1.9138085753453899E-2</v>
      </c>
      <c r="O1197" s="1">
        <f>IFERROR(IF(Benchmark1[[#This Row],[Comparable '#2 Date Check]]="Pass",Benchmark1[[#This Row],[Comparable '#2 Return]]-Benchmark1[[#This Row],[Benchmark '#1 Return]],"-"),"-")</f>
        <v>-1.3324883247582783E-2</v>
      </c>
      <c r="P1197" s="1" t="str">
        <f>IF(COUNTIF(Comp3[Comparable '#3 Dates],Benchmark1[[#This Row],[Benchmark '#1 Dates]])=1,"Pass","Fail")</f>
        <v>Pass</v>
      </c>
      <c r="Q1197" s="6">
        <f>IF(Benchmark1[[#This Row],[Comparable '#3 Date Check]]="Pass",INDEX(Comp3[Comparable '#3 Price],MATCH(Benchmark1[[#This Row],[Benchmark '#1 Dates]],Comp3[Comparable '#3 Dates],0)),"-")</f>
        <v>89.16</v>
      </c>
      <c r="R1197" s="22">
        <f>IF(Benchmark1[[#This Row],[Comparable '#3 Date Check]]="Pass",INDEX(Comp3[Comparable '#3 Return],MATCH(Benchmark1[[#This Row],[Benchmark '#1 Dates]],Comp3[Comparable '#3 Dates],0)),"-")</f>
        <v>-6.706933256718217E-3</v>
      </c>
      <c r="S1197" s="1">
        <f>IFERROR(IF(Benchmark1[[#This Row],[Comparable '#3 Date Check]]="Pass",Benchmark1[[#This Row],[Comparable '#3 Return]]-Benchmark1[[#This Row],[Benchmark '#1 Return]],"-"),"-")</f>
        <v>-8.9373075084710207E-4</v>
      </c>
    </row>
    <row r="1198" spans="1:19">
      <c r="A1198" s="103">
        <v>45021</v>
      </c>
      <c r="B1198" s="104">
        <v>4090.3752861645353</v>
      </c>
      <c r="C1198" s="4">
        <f t="shared" si="18"/>
        <v>-2.4963375817541669E-3</v>
      </c>
      <c r="D1198" s="1" t="str">
        <f>IF(COUNTIF(Target1[Target Dates],Benchmark1[[#This Row],[Benchmark '#1 Dates]])=1,"Pass","Fail")</f>
        <v>Pass</v>
      </c>
      <c r="E1198" s="6">
        <f>IF(Benchmark1[[#This Row],[Target Date Check]]="Pass",INDEX(Target1[Target Price],MATCH(Benchmark1[[#This Row],[Benchmark '#1 Dates]],Target1[Target Dates],0)),"-")</f>
        <v>37.799999999999997</v>
      </c>
      <c r="F1198" s="22">
        <f>IF(Benchmark1[[#This Row],[Target Date Check]]="Pass",INDEX(Target1[Target Return],MATCH(Benchmark1[[#This Row],[Benchmark '#1 Dates]],Target1[Target Dates],0)),"-")</f>
        <v>-1.7049593326111136E-2</v>
      </c>
      <c r="G1198" s="1">
        <f>IFERROR(IF(Benchmark1[[#This Row],[Target Date Check]]="Pass",Benchmark1[[#This Row],[Target Return]]-Benchmark1[[#This Row],[Benchmark '#1 Return]],"-"),"-")</f>
        <v>-1.4553255744356969E-2</v>
      </c>
      <c r="H1198" s="1" t="str">
        <f>IF(COUNTIF(Comp1[Comparable '#1 Dates],Benchmark1[[#This Row],[Benchmark '#1 Dates]])=1,"Pass","Fail")</f>
        <v>Pass</v>
      </c>
      <c r="I1198" s="6">
        <f>IF(Benchmark1[[#This Row],[Comparable '#1 Date Check]]="Pass",INDEX(Comp1[Comparable '#1 Price],MATCH(Benchmark1[[#This Row],[Benchmark '#1 Dates]],Comp1[Comparable '#1 Dates],0)),"-")</f>
        <v>11.4</v>
      </c>
      <c r="J1198" s="22">
        <f>IF(Benchmark1[[#This Row],[Comparable '#1 Date Check]]="Pass",INDEX(Comp1[Comparable '#1 Return],MATCH(Benchmark1[[#This Row],[Benchmark '#1 Dates]],Comp1[Comparable '#1 Dates],0)),"-")</f>
        <v>1.7559267022647909E-3</v>
      </c>
      <c r="K1198" s="1">
        <f>IFERROR(IF(Benchmark1[[#This Row],[Comparable '#1 Date Check]]="Pass",Benchmark1[[#This Row],[Comparable '#1 Return]]-Benchmark1[[#This Row],[Benchmark '#1 Return]],"-"),"-")</f>
        <v>4.252264284018958E-3</v>
      </c>
      <c r="L1198" s="1" t="str">
        <f>IF(COUNTIF(Comp2[Comparable '#2 Dates],Benchmark1[[#This Row],[Benchmark '#1 Dates]])=1,"Pass","Fail")</f>
        <v>Pass</v>
      </c>
      <c r="M1198" s="6">
        <f>IF(Benchmark1[[#This Row],[Comparable '#2 Date Check]]="Pass",INDEX(Comp2[Comparable '#2 Price],MATCH(Benchmark1[[#This Row],[Benchmark '#1 Dates]],Comp2[Comparable '#2 Dates],0)),"-")</f>
        <v>38.090000000000003</v>
      </c>
      <c r="N1198" s="22">
        <f>IF(Benchmark1[[#This Row],[Comparable '#2 Date Check]]="Pass",INDEX(Comp2[Comparable '#2 Return],MATCH(Benchmark1[[#This Row],[Benchmark '#1 Dates]],Comp2[Comparable '#2 Dates],0)),"-")</f>
        <v>8.1719184171492164E-3</v>
      </c>
      <c r="O1198" s="1">
        <f>IFERROR(IF(Benchmark1[[#This Row],[Comparable '#2 Date Check]]="Pass",Benchmark1[[#This Row],[Comparable '#2 Return]]-Benchmark1[[#This Row],[Benchmark '#1 Return]],"-"),"-")</f>
        <v>1.0668255998903383E-2</v>
      </c>
      <c r="P1198" s="1" t="str">
        <f>IF(COUNTIF(Comp3[Comparable '#3 Dates],Benchmark1[[#This Row],[Benchmark '#1 Dates]])=1,"Pass","Fail")</f>
        <v>Pass</v>
      </c>
      <c r="Q1198" s="6">
        <f>IF(Benchmark1[[#This Row],[Comparable '#3 Date Check]]="Pass",INDEX(Comp3[Comparable '#3 Price],MATCH(Benchmark1[[#This Row],[Benchmark '#1 Dates]],Comp3[Comparable '#3 Dates],0)),"-")</f>
        <v>90.39</v>
      </c>
      <c r="R1198" s="22">
        <f>IF(Benchmark1[[#This Row],[Comparable '#3 Date Check]]="Pass",INDEX(Comp3[Comparable '#3 Return],MATCH(Benchmark1[[#This Row],[Benchmark '#1 Dates]],Comp3[Comparable '#3 Dates],0)),"-")</f>
        <v>1.3701133292651433E-2</v>
      </c>
      <c r="S1198" s="1">
        <f>IFERROR(IF(Benchmark1[[#This Row],[Comparable '#3 Date Check]]="Pass",Benchmark1[[#This Row],[Comparable '#3 Return]]-Benchmark1[[#This Row],[Benchmark '#1 Return]],"-"),"-")</f>
        <v>1.6197470874405602E-2</v>
      </c>
    </row>
    <row r="1199" spans="1:19">
      <c r="A1199" s="103">
        <v>45022</v>
      </c>
      <c r="B1199" s="104">
        <v>4105.0187426971288</v>
      </c>
      <c r="C1199" s="4">
        <f t="shared" si="18"/>
        <v>3.5735858616993544E-3</v>
      </c>
      <c r="D1199" s="1" t="str">
        <f>IF(COUNTIF(Target1[Target Dates],Benchmark1[[#This Row],[Benchmark '#1 Dates]])=1,"Pass","Fail")</f>
        <v>Pass</v>
      </c>
      <c r="E1199" s="6">
        <f>IF(Benchmark1[[#This Row],[Target Date Check]]="Pass",INDEX(Target1[Target Price],MATCH(Benchmark1[[#This Row],[Benchmark '#1 Dates]],Target1[Target Dates],0)),"-")</f>
        <v>37.89</v>
      </c>
      <c r="F1199" s="22">
        <f>IF(Benchmark1[[#This Row],[Target Date Check]]="Pass",INDEX(Target1[Target Return],MATCH(Benchmark1[[#This Row],[Benchmark '#1 Dates]],Target1[Target Dates],0)),"-")</f>
        <v>2.3781224049674193E-3</v>
      </c>
      <c r="G1199" s="1">
        <f>IFERROR(IF(Benchmark1[[#This Row],[Target Date Check]]="Pass",Benchmark1[[#This Row],[Target Return]]-Benchmark1[[#This Row],[Benchmark '#1 Return]],"-"),"-")</f>
        <v>-1.1954634567319352E-3</v>
      </c>
      <c r="H1199" s="1" t="str">
        <f>IF(COUNTIF(Comp1[Comparable '#1 Dates],Benchmark1[[#This Row],[Benchmark '#1 Dates]])=1,"Pass","Fail")</f>
        <v>Pass</v>
      </c>
      <c r="I1199" s="6">
        <f>IF(Benchmark1[[#This Row],[Comparable '#1 Date Check]]="Pass",INDEX(Comp1[Comparable '#1 Price],MATCH(Benchmark1[[#This Row],[Benchmark '#1 Dates]],Comp1[Comparable '#1 Dates],0)),"-")</f>
        <v>11.29</v>
      </c>
      <c r="J1199" s="22">
        <f>IF(Benchmark1[[#This Row],[Comparable '#1 Date Check]]="Pass",INDEX(Comp1[Comparable '#1 Return],MATCH(Benchmark1[[#This Row],[Benchmark '#1 Dates]],Comp1[Comparable '#1 Dates],0)),"-")</f>
        <v>-9.6959772388792703E-3</v>
      </c>
      <c r="K1199" s="1">
        <f>IFERROR(IF(Benchmark1[[#This Row],[Comparable '#1 Date Check]]="Pass",Benchmark1[[#This Row],[Comparable '#1 Return]]-Benchmark1[[#This Row],[Benchmark '#1 Return]],"-"),"-")</f>
        <v>-1.3269563100578625E-2</v>
      </c>
      <c r="L1199" s="1" t="str">
        <f>IF(COUNTIF(Comp2[Comparable '#2 Dates],Benchmark1[[#This Row],[Benchmark '#1 Dates]])=1,"Pass","Fail")</f>
        <v>Pass</v>
      </c>
      <c r="M1199" s="6">
        <f>IF(Benchmark1[[#This Row],[Comparable '#2 Date Check]]="Pass",INDEX(Comp2[Comparable '#2 Price],MATCH(Benchmark1[[#This Row],[Benchmark '#1 Dates]],Comp2[Comparable '#2 Dates],0)),"-")</f>
        <v>37.909999999999997</v>
      </c>
      <c r="N1199" s="22">
        <f>IF(Benchmark1[[#This Row],[Comparable '#2 Date Check]]="Pass",INDEX(Comp2[Comparable '#2 Return],MATCH(Benchmark1[[#This Row],[Benchmark '#1 Dates]],Comp2[Comparable '#2 Dates],0)),"-")</f>
        <v>-4.7368509622694194E-3</v>
      </c>
      <c r="O1199" s="1">
        <f>IFERROR(IF(Benchmark1[[#This Row],[Comparable '#2 Date Check]]="Pass",Benchmark1[[#This Row],[Comparable '#2 Return]]-Benchmark1[[#This Row],[Benchmark '#1 Return]],"-"),"-")</f>
        <v>-8.3104368239687743E-3</v>
      </c>
      <c r="P1199" s="1" t="str">
        <f>IF(COUNTIF(Comp3[Comparable '#3 Dates],Benchmark1[[#This Row],[Benchmark '#1 Dates]])=1,"Pass","Fail")</f>
        <v>Pass</v>
      </c>
      <c r="Q1199" s="6">
        <f>IF(Benchmark1[[#This Row],[Comparable '#3 Date Check]]="Pass",INDEX(Comp3[Comparable '#3 Price],MATCH(Benchmark1[[#This Row],[Benchmark '#1 Dates]],Comp3[Comparable '#3 Dates],0)),"-")</f>
        <v>90.35</v>
      </c>
      <c r="R1199" s="22">
        <f>IF(Benchmark1[[#This Row],[Comparable '#3 Date Check]]="Pass",INDEX(Comp3[Comparable '#3 Return],MATCH(Benchmark1[[#This Row],[Benchmark '#1 Dates]],Comp3[Comparable '#3 Dates],0)),"-")</f>
        <v>-4.426247720821156E-4</v>
      </c>
      <c r="S1199" s="1">
        <f>IFERROR(IF(Benchmark1[[#This Row],[Comparable '#3 Date Check]]="Pass",Benchmark1[[#This Row],[Comparable '#3 Return]]-Benchmark1[[#This Row],[Benchmark '#1 Return]],"-"),"-")</f>
        <v>-4.0162106337814701E-3</v>
      </c>
    </row>
    <row r="1200" spans="1:19">
      <c r="A1200" s="103">
        <v>45026</v>
      </c>
      <c r="B1200" s="104">
        <v>4109.1123763869273</v>
      </c>
      <c r="C1200" s="4">
        <f t="shared" si="18"/>
        <v>9.9672965268267463E-4</v>
      </c>
      <c r="D1200" s="1" t="str">
        <f>IF(COUNTIF(Target1[Target Dates],Benchmark1[[#This Row],[Benchmark '#1 Dates]])=1,"Pass","Fail")</f>
        <v>Pass</v>
      </c>
      <c r="E1200" s="6">
        <f>IF(Benchmark1[[#This Row],[Target Date Check]]="Pass",INDEX(Target1[Target Price],MATCH(Benchmark1[[#This Row],[Benchmark '#1 Dates]],Target1[Target Dates],0)),"-")</f>
        <v>38.229999999999997</v>
      </c>
      <c r="F1200" s="22">
        <f>IF(Benchmark1[[#This Row],[Target Date Check]]="Pass",INDEX(Target1[Target Return],MATCH(Benchmark1[[#This Row],[Benchmark '#1 Dates]],Target1[Target Dates],0)),"-")</f>
        <v>8.9333226778119234E-3</v>
      </c>
      <c r="G1200" s="1">
        <f>IFERROR(IF(Benchmark1[[#This Row],[Target Date Check]]="Pass",Benchmark1[[#This Row],[Target Return]]-Benchmark1[[#This Row],[Benchmark '#1 Return]],"-"),"-")</f>
        <v>7.9365930251292481E-3</v>
      </c>
      <c r="H1200" s="1" t="str">
        <f>IF(COUNTIF(Comp1[Comparable '#1 Dates],Benchmark1[[#This Row],[Benchmark '#1 Dates]])=1,"Pass","Fail")</f>
        <v>Pass</v>
      </c>
      <c r="I1200" s="6">
        <f>IF(Benchmark1[[#This Row],[Comparable '#1 Date Check]]="Pass",INDEX(Comp1[Comparable '#1 Price],MATCH(Benchmark1[[#This Row],[Benchmark '#1 Dates]],Comp1[Comparable '#1 Dates],0)),"-")</f>
        <v>11.37</v>
      </c>
      <c r="J1200" s="22">
        <f>IF(Benchmark1[[#This Row],[Comparable '#1 Date Check]]="Pass",INDEX(Comp1[Comparable '#1 Return],MATCH(Benchmark1[[#This Row],[Benchmark '#1 Dates]],Comp1[Comparable '#1 Dates],0)),"-")</f>
        <v>7.0609296008739275E-3</v>
      </c>
      <c r="K1200" s="1">
        <f>IFERROR(IF(Benchmark1[[#This Row],[Comparable '#1 Date Check]]="Pass",Benchmark1[[#This Row],[Comparable '#1 Return]]-Benchmark1[[#This Row],[Benchmark '#1 Return]],"-"),"-")</f>
        <v>6.0641999481912531E-3</v>
      </c>
      <c r="L1200" s="1" t="str">
        <f>IF(COUNTIF(Comp2[Comparable '#2 Dates],Benchmark1[[#This Row],[Benchmark '#1 Dates]])=1,"Pass","Fail")</f>
        <v>Pass</v>
      </c>
      <c r="M1200" s="6">
        <f>IF(Benchmark1[[#This Row],[Comparable '#2 Date Check]]="Pass",INDEX(Comp2[Comparable '#2 Price],MATCH(Benchmark1[[#This Row],[Benchmark '#1 Dates]],Comp2[Comparable '#2 Dates],0)),"-")</f>
        <v>38.21</v>
      </c>
      <c r="N1200" s="22">
        <f>IF(Benchmark1[[#This Row],[Comparable '#2 Date Check]]="Pass",INDEX(Comp2[Comparable '#2 Return],MATCH(Benchmark1[[#This Row],[Benchmark '#1 Dates]],Comp2[Comparable '#2 Dates],0)),"-")</f>
        <v>7.8823319305652249E-3</v>
      </c>
      <c r="O1200" s="1">
        <f>IFERROR(IF(Benchmark1[[#This Row],[Comparable '#2 Date Check]]="Pass",Benchmark1[[#This Row],[Comparable '#2 Return]]-Benchmark1[[#This Row],[Benchmark '#1 Return]],"-"),"-")</f>
        <v>6.8856022778825505E-3</v>
      </c>
      <c r="P1200" s="1" t="str">
        <f>IF(COUNTIF(Comp3[Comparable '#3 Dates],Benchmark1[[#This Row],[Benchmark '#1 Dates]])=1,"Pass","Fail")</f>
        <v>Pass</v>
      </c>
      <c r="Q1200" s="6">
        <f>IF(Benchmark1[[#This Row],[Comparable '#3 Date Check]]="Pass",INDEX(Comp3[Comparable '#3 Price],MATCH(Benchmark1[[#This Row],[Benchmark '#1 Dates]],Comp3[Comparable '#3 Dates],0)),"-")</f>
        <v>92.09</v>
      </c>
      <c r="R1200" s="22">
        <f>IF(Benchmark1[[#This Row],[Comparable '#3 Date Check]]="Pass",INDEX(Comp3[Comparable '#3 Return],MATCH(Benchmark1[[#This Row],[Benchmark '#1 Dates]],Comp3[Comparable '#3 Dates],0)),"-")</f>
        <v>1.9075342695038161E-2</v>
      </c>
      <c r="S1200" s="1">
        <f>IFERROR(IF(Benchmark1[[#This Row],[Comparable '#3 Date Check]]="Pass",Benchmark1[[#This Row],[Comparable '#3 Return]]-Benchmark1[[#This Row],[Benchmark '#1 Return]],"-"),"-")</f>
        <v>1.8078613042355487E-2</v>
      </c>
    </row>
    <row r="1201" spans="1:19">
      <c r="A1201" s="103">
        <v>45027</v>
      </c>
      <c r="B1201" s="104">
        <v>4108.9410322727381</v>
      </c>
      <c r="C1201" s="4">
        <f t="shared" si="18"/>
        <v>-4.1699440413359436E-5</v>
      </c>
      <c r="D1201" s="1" t="str">
        <f>IF(COUNTIF(Target1[Target Dates],Benchmark1[[#This Row],[Benchmark '#1 Dates]])=1,"Pass","Fail")</f>
        <v>Pass</v>
      </c>
      <c r="E1201" s="6">
        <f>IF(Benchmark1[[#This Row],[Target Date Check]]="Pass",INDEX(Target1[Target Price],MATCH(Benchmark1[[#This Row],[Benchmark '#1 Dates]],Target1[Target Dates],0)),"-")</f>
        <v>38.619999999999997</v>
      </c>
      <c r="F1201" s="22">
        <f>IF(Benchmark1[[#This Row],[Target Date Check]]="Pass",INDEX(Target1[Target Return],MATCH(Benchmark1[[#This Row],[Benchmark '#1 Dates]],Target1[Target Dates],0)),"-")</f>
        <v>1.0149729292046944E-2</v>
      </c>
      <c r="G1201" s="1">
        <f>IFERROR(IF(Benchmark1[[#This Row],[Target Date Check]]="Pass",Benchmark1[[#This Row],[Target Return]]-Benchmark1[[#This Row],[Benchmark '#1 Return]],"-"),"-")</f>
        <v>1.0191428732460303E-2</v>
      </c>
      <c r="H1201" s="1" t="str">
        <f>IF(COUNTIF(Comp1[Comparable '#1 Dates],Benchmark1[[#This Row],[Benchmark '#1 Dates]])=1,"Pass","Fail")</f>
        <v>Pass</v>
      </c>
      <c r="I1201" s="6">
        <f>IF(Benchmark1[[#This Row],[Comparable '#1 Date Check]]="Pass",INDEX(Comp1[Comparable '#1 Price],MATCH(Benchmark1[[#This Row],[Benchmark '#1 Dates]],Comp1[Comparable '#1 Dates],0)),"-")</f>
        <v>11.53</v>
      </c>
      <c r="J1201" s="22">
        <f>IF(Benchmark1[[#This Row],[Comparable '#1 Date Check]]="Pass",INDEX(Comp1[Comparable '#1 Return],MATCH(Benchmark1[[#This Row],[Benchmark '#1 Dates]],Comp1[Comparable '#1 Dates],0)),"-")</f>
        <v>1.3974026518522963E-2</v>
      </c>
      <c r="K1201" s="1">
        <f>IFERROR(IF(Benchmark1[[#This Row],[Comparable '#1 Date Check]]="Pass",Benchmark1[[#This Row],[Comparable '#1 Return]]-Benchmark1[[#This Row],[Benchmark '#1 Return]],"-"),"-")</f>
        <v>1.4015725958936322E-2</v>
      </c>
      <c r="L1201" s="1" t="str">
        <f>IF(COUNTIF(Comp2[Comparable '#2 Dates],Benchmark1[[#This Row],[Benchmark '#1 Dates]])=1,"Pass","Fail")</f>
        <v>Pass</v>
      </c>
      <c r="M1201" s="6">
        <f>IF(Benchmark1[[#This Row],[Comparable '#2 Date Check]]="Pass",INDEX(Comp2[Comparable '#2 Price],MATCH(Benchmark1[[#This Row],[Benchmark '#1 Dates]],Comp2[Comparable '#2 Dates],0)),"-")</f>
        <v>38.619999999999997</v>
      </c>
      <c r="N1201" s="22">
        <f>IF(Benchmark1[[#This Row],[Comparable '#2 Date Check]]="Pass",INDEX(Comp2[Comparable '#2 Return],MATCH(Benchmark1[[#This Row],[Benchmark '#1 Dates]],Comp2[Comparable '#2 Dates],0)),"-")</f>
        <v>1.0673015541559619E-2</v>
      </c>
      <c r="O1201" s="1">
        <f>IFERROR(IF(Benchmark1[[#This Row],[Comparable '#2 Date Check]]="Pass",Benchmark1[[#This Row],[Comparable '#2 Return]]-Benchmark1[[#This Row],[Benchmark '#1 Return]],"-"),"-")</f>
        <v>1.0714714981972979E-2</v>
      </c>
      <c r="P1201" s="1" t="str">
        <f>IF(COUNTIF(Comp3[Comparable '#3 Dates],Benchmark1[[#This Row],[Benchmark '#1 Dates]])=1,"Pass","Fail")</f>
        <v>Pass</v>
      </c>
      <c r="Q1201" s="6">
        <f>IF(Benchmark1[[#This Row],[Comparable '#3 Date Check]]="Pass",INDEX(Comp3[Comparable '#3 Price],MATCH(Benchmark1[[#This Row],[Benchmark '#1 Dates]],Comp3[Comparable '#3 Dates],0)),"-")</f>
        <v>93.63</v>
      </c>
      <c r="R1201" s="22">
        <f>IF(Benchmark1[[#This Row],[Comparable '#3 Date Check]]="Pass",INDEX(Comp3[Comparable '#3 Return],MATCH(Benchmark1[[#This Row],[Benchmark '#1 Dates]],Comp3[Comparable '#3 Dates],0)),"-")</f>
        <v>1.6584485217521948E-2</v>
      </c>
      <c r="S1201" s="1">
        <f>IFERROR(IF(Benchmark1[[#This Row],[Comparable '#3 Date Check]]="Pass",Benchmark1[[#This Row],[Comparable '#3 Return]]-Benchmark1[[#This Row],[Benchmark '#1 Return]],"-"),"-")</f>
        <v>1.6626184657935306E-2</v>
      </c>
    </row>
    <row r="1202" spans="1:19">
      <c r="A1202" s="103">
        <v>45028</v>
      </c>
      <c r="B1202" s="104">
        <v>4091.9541215212548</v>
      </c>
      <c r="C1202" s="4">
        <f t="shared" si="18"/>
        <v>-4.1427026506271475E-3</v>
      </c>
      <c r="D1202" s="1" t="str">
        <f>IF(COUNTIF(Target1[Target Dates],Benchmark1[[#This Row],[Benchmark '#1 Dates]])=1,"Pass","Fail")</f>
        <v>Pass</v>
      </c>
      <c r="E1202" s="6">
        <f>IF(Benchmark1[[#This Row],[Target Date Check]]="Pass",INDEX(Target1[Target Price],MATCH(Benchmark1[[#This Row],[Benchmark '#1 Dates]],Target1[Target Dates],0)),"-")</f>
        <v>37.799999999999997</v>
      </c>
      <c r="F1202" s="22">
        <f>IF(Benchmark1[[#This Row],[Target Date Check]]="Pass",INDEX(Target1[Target Return],MATCH(Benchmark1[[#This Row],[Benchmark '#1 Dates]],Target1[Target Dates],0)),"-")</f>
        <v>-2.1461174374826357E-2</v>
      </c>
      <c r="G1202" s="1">
        <f>IFERROR(IF(Benchmark1[[#This Row],[Target Date Check]]="Pass",Benchmark1[[#This Row],[Target Return]]-Benchmark1[[#This Row],[Benchmark '#1 Return]],"-"),"-")</f>
        <v>-1.7318471724199209E-2</v>
      </c>
      <c r="H1202" s="1" t="str">
        <f>IF(COUNTIF(Comp1[Comparable '#1 Dates],Benchmark1[[#This Row],[Benchmark '#1 Dates]])=1,"Pass","Fail")</f>
        <v>Pass</v>
      </c>
      <c r="I1202" s="6">
        <f>IF(Benchmark1[[#This Row],[Comparable '#1 Date Check]]="Pass",INDEX(Comp1[Comparable '#1 Price],MATCH(Benchmark1[[#This Row],[Benchmark '#1 Dates]],Comp1[Comparable '#1 Dates],0)),"-")</f>
        <v>11.57</v>
      </c>
      <c r="J1202" s="22">
        <f>IF(Benchmark1[[#This Row],[Comparable '#1 Date Check]]="Pass",INDEX(Comp1[Comparable '#1 Return],MATCH(Benchmark1[[#This Row],[Benchmark '#1 Dates]],Comp1[Comparable '#1 Dates],0)),"-")</f>
        <v>3.4632069246175183E-3</v>
      </c>
      <c r="K1202" s="1">
        <f>IFERROR(IF(Benchmark1[[#This Row],[Comparable '#1 Date Check]]="Pass",Benchmark1[[#This Row],[Comparable '#1 Return]]-Benchmark1[[#This Row],[Benchmark '#1 Return]],"-"),"-")</f>
        <v>7.6059095752446654E-3</v>
      </c>
      <c r="L1202" s="1" t="str">
        <f>IF(COUNTIF(Comp2[Comparable '#2 Dates],Benchmark1[[#This Row],[Benchmark '#1 Dates]])=1,"Pass","Fail")</f>
        <v>Pass</v>
      </c>
      <c r="M1202" s="6">
        <f>IF(Benchmark1[[#This Row],[Comparable '#2 Date Check]]="Pass",INDEX(Comp2[Comparable '#2 Price],MATCH(Benchmark1[[#This Row],[Benchmark '#1 Dates]],Comp2[Comparable '#2 Dates],0)),"-")</f>
        <v>39.200000000000003</v>
      </c>
      <c r="N1202" s="22">
        <f>IF(Benchmark1[[#This Row],[Comparable '#2 Date Check]]="Pass",INDEX(Comp2[Comparable '#2 Return],MATCH(Benchmark1[[#This Row],[Benchmark '#1 Dates]],Comp2[Comparable '#2 Dates],0)),"-")</f>
        <v>1.4906469796048509E-2</v>
      </c>
      <c r="O1202" s="1">
        <f>IFERROR(IF(Benchmark1[[#This Row],[Comparable '#2 Date Check]]="Pass",Benchmark1[[#This Row],[Comparable '#2 Return]]-Benchmark1[[#This Row],[Benchmark '#1 Return]],"-"),"-")</f>
        <v>1.9049172446675658E-2</v>
      </c>
      <c r="P1202" s="1" t="str">
        <f>IF(COUNTIF(Comp3[Comparable '#3 Dates],Benchmark1[[#This Row],[Benchmark '#1 Dates]])=1,"Pass","Fail")</f>
        <v>Pass</v>
      </c>
      <c r="Q1202" s="6">
        <f>IF(Benchmark1[[#This Row],[Comparable '#3 Date Check]]="Pass",INDEX(Comp3[Comparable '#3 Price],MATCH(Benchmark1[[#This Row],[Benchmark '#1 Dates]],Comp3[Comparable '#3 Dates],0)),"-")</f>
        <v>94.17</v>
      </c>
      <c r="R1202" s="22">
        <f>IF(Benchmark1[[#This Row],[Comparable '#3 Date Check]]="Pass",INDEX(Comp3[Comparable '#3 Return],MATCH(Benchmark1[[#This Row],[Benchmark '#1 Dates]],Comp3[Comparable '#3 Dates],0)),"-")</f>
        <v>5.7508145711742406E-3</v>
      </c>
      <c r="S1202" s="1">
        <f>IFERROR(IF(Benchmark1[[#This Row],[Comparable '#3 Date Check]]="Pass",Benchmark1[[#This Row],[Comparable '#3 Return]]-Benchmark1[[#This Row],[Benchmark '#1 Return]],"-"),"-")</f>
        <v>9.8935172218013873E-3</v>
      </c>
    </row>
    <row r="1203" spans="1:19">
      <c r="A1203" s="103">
        <v>45029</v>
      </c>
      <c r="B1203" s="104">
        <v>4146.2160848268059</v>
      </c>
      <c r="C1203" s="4">
        <f t="shared" si="18"/>
        <v>1.3173495246386606E-2</v>
      </c>
      <c r="D1203" s="1" t="str">
        <f>IF(COUNTIF(Target1[Target Dates],Benchmark1[[#This Row],[Benchmark '#1 Dates]])=1,"Pass","Fail")</f>
        <v>Pass</v>
      </c>
      <c r="E1203" s="6">
        <f>IF(Benchmark1[[#This Row],[Target Date Check]]="Pass",INDEX(Target1[Target Price],MATCH(Benchmark1[[#This Row],[Benchmark '#1 Dates]],Target1[Target Dates],0)),"-")</f>
        <v>38.590000000000003</v>
      </c>
      <c r="F1203" s="22">
        <f>IF(Benchmark1[[#This Row],[Target Date Check]]="Pass",INDEX(Target1[Target Return],MATCH(Benchmark1[[#This Row],[Benchmark '#1 Dates]],Target1[Target Dates],0)),"-")</f>
        <v>2.0684072923985455E-2</v>
      </c>
      <c r="G1203" s="1">
        <f>IFERROR(IF(Benchmark1[[#This Row],[Target Date Check]]="Pass",Benchmark1[[#This Row],[Target Return]]-Benchmark1[[#This Row],[Benchmark '#1 Return]],"-"),"-")</f>
        <v>7.5105776775988495E-3</v>
      </c>
      <c r="H1203" s="1" t="str">
        <f>IF(COUNTIF(Comp1[Comparable '#1 Dates],Benchmark1[[#This Row],[Benchmark '#1 Dates]])=1,"Pass","Fail")</f>
        <v>Pass</v>
      </c>
      <c r="I1203" s="6">
        <f>IF(Benchmark1[[#This Row],[Comparable '#1 Date Check]]="Pass",INDEX(Comp1[Comparable '#1 Price],MATCH(Benchmark1[[#This Row],[Benchmark '#1 Dates]],Comp1[Comparable '#1 Dates],0)),"-")</f>
        <v>11.9</v>
      </c>
      <c r="J1203" s="22">
        <f>IF(Benchmark1[[#This Row],[Comparable '#1 Date Check]]="Pass",INDEX(Comp1[Comparable '#1 Return],MATCH(Benchmark1[[#This Row],[Benchmark '#1 Dates]],Comp1[Comparable '#1 Dates],0)),"-")</f>
        <v>2.8122858911898512E-2</v>
      </c>
      <c r="K1203" s="1">
        <f>IFERROR(IF(Benchmark1[[#This Row],[Comparable '#1 Date Check]]="Pass",Benchmark1[[#This Row],[Comparable '#1 Return]]-Benchmark1[[#This Row],[Benchmark '#1 Return]],"-"),"-")</f>
        <v>1.4949363665511906E-2</v>
      </c>
      <c r="L1203" s="1" t="str">
        <f>IF(COUNTIF(Comp2[Comparable '#2 Dates],Benchmark1[[#This Row],[Benchmark '#1 Dates]])=1,"Pass","Fail")</f>
        <v>Pass</v>
      </c>
      <c r="M1203" s="6">
        <f>IF(Benchmark1[[#This Row],[Comparable '#2 Date Check]]="Pass",INDEX(Comp2[Comparable '#2 Price],MATCH(Benchmark1[[#This Row],[Benchmark '#1 Dates]],Comp2[Comparable '#2 Dates],0)),"-")</f>
        <v>39.979999999999997</v>
      </c>
      <c r="N1203" s="22">
        <f>IF(Benchmark1[[#This Row],[Comparable '#2 Date Check]]="Pass",INDEX(Comp2[Comparable '#2 Return],MATCH(Benchmark1[[#This Row],[Benchmark '#1 Dates]],Comp2[Comparable '#2 Dates],0)),"-")</f>
        <v>1.9702582275836895E-2</v>
      </c>
      <c r="O1203" s="1">
        <f>IFERROR(IF(Benchmark1[[#This Row],[Comparable '#2 Date Check]]="Pass",Benchmark1[[#This Row],[Comparable '#2 Return]]-Benchmark1[[#This Row],[Benchmark '#1 Return]],"-"),"-")</f>
        <v>6.5290870294502888E-3</v>
      </c>
      <c r="P1203" s="1" t="str">
        <f>IF(COUNTIF(Comp3[Comparable '#3 Dates],Benchmark1[[#This Row],[Benchmark '#1 Dates]])=1,"Pass","Fail")</f>
        <v>Pass</v>
      </c>
      <c r="Q1203" s="6">
        <f>IF(Benchmark1[[#This Row],[Comparable '#3 Date Check]]="Pass",INDEX(Comp3[Comparable '#3 Price],MATCH(Benchmark1[[#This Row],[Benchmark '#1 Dates]],Comp3[Comparable '#3 Dates],0)),"-")</f>
        <v>94.51</v>
      </c>
      <c r="R1203" s="22">
        <f>IF(Benchmark1[[#This Row],[Comparable '#3 Date Check]]="Pass",INDEX(Comp3[Comparable '#3 Return],MATCH(Benchmark1[[#This Row],[Benchmark '#1 Dates]],Comp3[Comparable '#3 Dates],0)),"-")</f>
        <v>3.6039894849928039E-3</v>
      </c>
      <c r="S1203" s="1">
        <f>IFERROR(IF(Benchmark1[[#This Row],[Comparable '#3 Date Check]]="Pass",Benchmark1[[#This Row],[Comparable '#3 Return]]-Benchmark1[[#This Row],[Benchmark '#1 Return]],"-"),"-")</f>
        <v>-9.5695057613938012E-3</v>
      </c>
    </row>
    <row r="1204" spans="1:19">
      <c r="A1204" s="103">
        <v>45030</v>
      </c>
      <c r="B1204" s="104">
        <v>4137.6387347366708</v>
      </c>
      <c r="C1204" s="4">
        <f t="shared" si="18"/>
        <v>-2.070860328257347E-3</v>
      </c>
      <c r="D1204" s="1" t="str">
        <f>IF(COUNTIF(Target1[Target Dates],Benchmark1[[#This Row],[Benchmark '#1 Dates]])=1,"Pass","Fail")</f>
        <v>Pass</v>
      </c>
      <c r="E1204" s="6">
        <f>IF(Benchmark1[[#This Row],[Target Date Check]]="Pass",INDEX(Target1[Target Price],MATCH(Benchmark1[[#This Row],[Benchmark '#1 Dates]],Target1[Target Dates],0)),"-")</f>
        <v>38.31</v>
      </c>
      <c r="F1204" s="22">
        <f>IF(Benchmark1[[#This Row],[Target Date Check]]="Pass",INDEX(Target1[Target Return],MATCH(Benchmark1[[#This Row],[Benchmark '#1 Dates]],Target1[Target Dates],0)),"-")</f>
        <v>-7.2822168369698296E-3</v>
      </c>
      <c r="G1204" s="1">
        <f>IFERROR(IF(Benchmark1[[#This Row],[Target Date Check]]="Pass",Benchmark1[[#This Row],[Target Return]]-Benchmark1[[#This Row],[Benchmark '#1 Return]],"-"),"-")</f>
        <v>-5.2113565087124822E-3</v>
      </c>
      <c r="H1204" s="1" t="str">
        <f>IF(COUNTIF(Comp1[Comparable '#1 Dates],Benchmark1[[#This Row],[Benchmark '#1 Dates]])=1,"Pass","Fail")</f>
        <v>Pass</v>
      </c>
      <c r="I1204" s="6">
        <f>IF(Benchmark1[[#This Row],[Comparable '#1 Date Check]]="Pass",INDEX(Comp1[Comparable '#1 Price],MATCH(Benchmark1[[#This Row],[Benchmark '#1 Dates]],Comp1[Comparable '#1 Dates],0)),"-")</f>
        <v>12.04</v>
      </c>
      <c r="J1204" s="22">
        <f>IF(Benchmark1[[#This Row],[Comparable '#1 Date Check]]="Pass",INDEX(Comp1[Comparable '#1 Return],MATCH(Benchmark1[[#This Row],[Benchmark '#1 Dates]],Comp1[Comparable '#1 Dates],0)),"-")</f>
        <v>1.1696039763191236E-2</v>
      </c>
      <c r="K1204" s="1">
        <f>IFERROR(IF(Benchmark1[[#This Row],[Comparable '#1 Date Check]]="Pass",Benchmark1[[#This Row],[Comparable '#1 Return]]-Benchmark1[[#This Row],[Benchmark '#1 Return]],"-"),"-")</f>
        <v>1.3766900091448583E-2</v>
      </c>
      <c r="L1204" s="1" t="str">
        <f>IF(COUNTIF(Comp2[Comparable '#2 Dates],Benchmark1[[#This Row],[Benchmark '#1 Dates]])=1,"Pass","Fail")</f>
        <v>Pass</v>
      </c>
      <c r="M1204" s="6">
        <f>IF(Benchmark1[[#This Row],[Comparable '#2 Date Check]]="Pass",INDEX(Comp2[Comparable '#2 Price],MATCH(Benchmark1[[#This Row],[Benchmark '#1 Dates]],Comp2[Comparable '#2 Dates],0)),"-")</f>
        <v>39.9</v>
      </c>
      <c r="N1204" s="22">
        <f>IF(Benchmark1[[#This Row],[Comparable '#2 Date Check]]="Pass",INDEX(Comp2[Comparable '#2 Return],MATCH(Benchmark1[[#This Row],[Benchmark '#1 Dates]],Comp2[Comparable '#2 Dates],0)),"-")</f>
        <v>-2.0030051764362016E-3</v>
      </c>
      <c r="O1204" s="1">
        <f>IFERROR(IF(Benchmark1[[#This Row],[Comparable '#2 Date Check]]="Pass",Benchmark1[[#This Row],[Comparable '#2 Return]]-Benchmark1[[#This Row],[Benchmark '#1 Return]],"-"),"-")</f>
        <v>6.7855151821145411E-5</v>
      </c>
      <c r="P1204" s="1" t="str">
        <f>IF(COUNTIF(Comp3[Comparable '#3 Dates],Benchmark1[[#This Row],[Benchmark '#1 Dates]])=1,"Pass","Fail")</f>
        <v>Pass</v>
      </c>
      <c r="Q1204" s="6">
        <f>IF(Benchmark1[[#This Row],[Comparable '#3 Date Check]]="Pass",INDEX(Comp3[Comparable '#3 Price],MATCH(Benchmark1[[#This Row],[Benchmark '#1 Dates]],Comp3[Comparable '#3 Dates],0)),"-")</f>
        <v>93.82</v>
      </c>
      <c r="R1204" s="22">
        <f>IF(Benchmark1[[#This Row],[Comparable '#3 Date Check]]="Pass",INDEX(Comp3[Comparable '#3 Return],MATCH(Benchmark1[[#This Row],[Benchmark '#1 Dates]],Comp3[Comparable '#3 Dates],0)),"-")</f>
        <v>-7.3275961066528407E-3</v>
      </c>
      <c r="S1204" s="1">
        <f>IFERROR(IF(Benchmark1[[#This Row],[Comparable '#3 Date Check]]="Pass",Benchmark1[[#This Row],[Comparable '#3 Return]]-Benchmark1[[#This Row],[Benchmark '#1 Return]],"-"),"-")</f>
        <v>-5.2567357783954941E-3</v>
      </c>
    </row>
    <row r="1205" spans="1:19">
      <c r="A1205" s="103">
        <v>45033</v>
      </c>
      <c r="B1205" s="104">
        <v>4151.3223911892155</v>
      </c>
      <c r="C1205" s="4">
        <f t="shared" si="18"/>
        <v>3.3016607690832243E-3</v>
      </c>
      <c r="D1205" s="1" t="str">
        <f>IF(COUNTIF(Target1[Target Dates],Benchmark1[[#This Row],[Benchmark '#1 Dates]])=1,"Pass","Fail")</f>
        <v>Pass</v>
      </c>
      <c r="E1205" s="6">
        <f>IF(Benchmark1[[#This Row],[Target Date Check]]="Pass",INDEX(Target1[Target Price],MATCH(Benchmark1[[#This Row],[Benchmark '#1 Dates]],Target1[Target Dates],0)),"-")</f>
        <v>38.28</v>
      </c>
      <c r="F1205" s="22">
        <f>IF(Benchmark1[[#This Row],[Target Date Check]]="Pass",INDEX(Target1[Target Return],MATCH(Benchmark1[[#This Row],[Benchmark '#1 Dates]],Target1[Target Dates],0)),"-")</f>
        <v>-7.8339212780415598E-4</v>
      </c>
      <c r="G1205" s="1">
        <f>IFERROR(IF(Benchmark1[[#This Row],[Target Date Check]]="Pass",Benchmark1[[#This Row],[Target Return]]-Benchmark1[[#This Row],[Benchmark '#1 Return]],"-"),"-")</f>
        <v>-4.0850528968873799E-3</v>
      </c>
      <c r="H1205" s="1" t="str">
        <f>IF(COUNTIF(Comp1[Comparable '#1 Dates],Benchmark1[[#This Row],[Benchmark '#1 Dates]])=1,"Pass","Fail")</f>
        <v>Pass</v>
      </c>
      <c r="I1205" s="6">
        <f>IF(Benchmark1[[#This Row],[Comparable '#1 Date Check]]="Pass",INDEX(Comp1[Comparable '#1 Price],MATCH(Benchmark1[[#This Row],[Benchmark '#1 Dates]],Comp1[Comparable '#1 Dates],0)),"-")</f>
        <v>12.02</v>
      </c>
      <c r="J1205" s="22">
        <f>IF(Benchmark1[[#This Row],[Comparable '#1 Date Check]]="Pass",INDEX(Comp1[Comparable '#1 Return],MATCH(Benchmark1[[#This Row],[Benchmark '#1 Dates]],Comp1[Comparable '#1 Dates],0)),"-")</f>
        <v>-1.6625107736134141E-3</v>
      </c>
      <c r="K1205" s="1">
        <f>IFERROR(IF(Benchmark1[[#This Row],[Comparable '#1 Date Check]]="Pass",Benchmark1[[#This Row],[Comparable '#1 Return]]-Benchmark1[[#This Row],[Benchmark '#1 Return]],"-"),"-")</f>
        <v>-4.9641715426966384E-3</v>
      </c>
      <c r="L1205" s="1" t="str">
        <f>IF(COUNTIF(Comp2[Comparable '#2 Dates],Benchmark1[[#This Row],[Benchmark '#1 Dates]])=1,"Pass","Fail")</f>
        <v>Pass</v>
      </c>
      <c r="M1205" s="6">
        <f>IF(Benchmark1[[#This Row],[Comparable '#2 Date Check]]="Pass",INDEX(Comp2[Comparable '#2 Price],MATCH(Benchmark1[[#This Row],[Benchmark '#1 Dates]],Comp2[Comparable '#2 Dates],0)),"-")</f>
        <v>39.39</v>
      </c>
      <c r="N1205" s="22">
        <f>IF(Benchmark1[[#This Row],[Comparable '#2 Date Check]]="Pass",INDEX(Comp2[Comparable '#2 Return],MATCH(Benchmark1[[#This Row],[Benchmark '#1 Dates]],Comp2[Comparable '#2 Dates],0)),"-")</f>
        <v>-1.2864346913003222E-2</v>
      </c>
      <c r="O1205" s="1">
        <f>IFERROR(IF(Benchmark1[[#This Row],[Comparable '#2 Date Check]]="Pass",Benchmark1[[#This Row],[Comparable '#2 Return]]-Benchmark1[[#This Row],[Benchmark '#1 Return]],"-"),"-")</f>
        <v>-1.6166007682086446E-2</v>
      </c>
      <c r="P1205" s="1" t="str">
        <f>IF(COUNTIF(Comp3[Comparable '#3 Dates],Benchmark1[[#This Row],[Benchmark '#1 Dates]])=1,"Pass","Fail")</f>
        <v>Pass</v>
      </c>
      <c r="Q1205" s="6">
        <f>IF(Benchmark1[[#This Row],[Comparable '#3 Date Check]]="Pass",INDEX(Comp3[Comparable '#3 Price],MATCH(Benchmark1[[#This Row],[Benchmark '#1 Dates]],Comp3[Comparable '#3 Dates],0)),"-")</f>
        <v>92.83</v>
      </c>
      <c r="R1205" s="22">
        <f>IF(Benchmark1[[#This Row],[Comparable '#3 Date Check]]="Pass",INDEX(Comp3[Comparable '#3 Return],MATCH(Benchmark1[[#This Row],[Benchmark '#1 Dates]],Comp3[Comparable '#3 Dates],0)),"-")</f>
        <v>-1.0608189488470724E-2</v>
      </c>
      <c r="S1205" s="1">
        <f>IFERROR(IF(Benchmark1[[#This Row],[Comparable '#3 Date Check]]="Pass",Benchmark1[[#This Row],[Comparable '#3 Return]]-Benchmark1[[#This Row],[Benchmark '#1 Return]],"-"),"-")</f>
        <v>-1.3909850257553948E-2</v>
      </c>
    </row>
    <row r="1206" spans="1:19">
      <c r="A1206" s="103">
        <v>45034</v>
      </c>
      <c r="B1206" s="104">
        <v>4154.8701059332134</v>
      </c>
      <c r="C1206" s="4">
        <f t="shared" si="18"/>
        <v>8.5423374451340202E-4</v>
      </c>
      <c r="D1206" s="1" t="str">
        <f>IF(COUNTIF(Target1[Target Dates],Benchmark1[[#This Row],[Benchmark '#1 Dates]])=1,"Pass","Fail")</f>
        <v>Pass</v>
      </c>
      <c r="E1206" s="6">
        <f>IF(Benchmark1[[#This Row],[Target Date Check]]="Pass",INDEX(Target1[Target Price],MATCH(Benchmark1[[#This Row],[Benchmark '#1 Dates]],Target1[Target Dates],0)),"-")</f>
        <v>38.06</v>
      </c>
      <c r="F1206" s="22">
        <f>IF(Benchmark1[[#This Row],[Target Date Check]]="Pass",INDEX(Target1[Target Return],MATCH(Benchmark1[[#This Row],[Benchmark '#1 Dates]],Target1[Target Dates],0)),"-")</f>
        <v>-5.7637047167500184E-3</v>
      </c>
      <c r="G1206" s="1">
        <f>IFERROR(IF(Benchmark1[[#This Row],[Target Date Check]]="Pass",Benchmark1[[#This Row],[Target Return]]-Benchmark1[[#This Row],[Benchmark '#1 Return]],"-"),"-")</f>
        <v>-6.6179384612634201E-3</v>
      </c>
      <c r="H1206" s="1" t="str">
        <f>IF(COUNTIF(Comp1[Comparable '#1 Dates],Benchmark1[[#This Row],[Benchmark '#1 Dates]])=1,"Pass","Fail")</f>
        <v>Pass</v>
      </c>
      <c r="I1206" s="6">
        <f>IF(Benchmark1[[#This Row],[Comparable '#1 Date Check]]="Pass",INDEX(Comp1[Comparable '#1 Price],MATCH(Benchmark1[[#This Row],[Benchmark '#1 Dates]],Comp1[Comparable '#1 Dates],0)),"-")</f>
        <v>11.97</v>
      </c>
      <c r="J1206" s="22">
        <f>IF(Benchmark1[[#This Row],[Comparable '#1 Date Check]]="Pass",INDEX(Comp1[Comparable '#1 Return],MATCH(Benchmark1[[#This Row],[Benchmark '#1 Dates]],Comp1[Comparable '#1 Dates],0)),"-")</f>
        <v>-4.168409537179626E-3</v>
      </c>
      <c r="K1206" s="1">
        <f>IFERROR(IF(Benchmark1[[#This Row],[Comparable '#1 Date Check]]="Pass",Benchmark1[[#This Row],[Comparable '#1 Return]]-Benchmark1[[#This Row],[Benchmark '#1 Return]],"-"),"-")</f>
        <v>-5.0226432816930277E-3</v>
      </c>
      <c r="L1206" s="1" t="str">
        <f>IF(COUNTIF(Comp2[Comparable '#2 Dates],Benchmark1[[#This Row],[Benchmark '#1 Dates]])=1,"Pass","Fail")</f>
        <v>Pass</v>
      </c>
      <c r="M1206" s="6">
        <f>IF(Benchmark1[[#This Row],[Comparable '#2 Date Check]]="Pass",INDEX(Comp2[Comparable '#2 Price],MATCH(Benchmark1[[#This Row],[Benchmark '#1 Dates]],Comp2[Comparable '#2 Dates],0)),"-")</f>
        <v>39.5</v>
      </c>
      <c r="N1206" s="22">
        <f>IF(Benchmark1[[#This Row],[Comparable '#2 Date Check]]="Pass",INDEX(Comp2[Comparable '#2 Return],MATCH(Benchmark1[[#This Row],[Benchmark '#1 Dates]],Comp2[Comparable '#2 Dates],0)),"-")</f>
        <v>2.7886949242616997E-3</v>
      </c>
      <c r="O1206" s="1">
        <f>IFERROR(IF(Benchmark1[[#This Row],[Comparable '#2 Date Check]]="Pass",Benchmark1[[#This Row],[Comparable '#2 Return]]-Benchmark1[[#This Row],[Benchmark '#1 Return]],"-"),"-")</f>
        <v>1.9344611797482976E-3</v>
      </c>
      <c r="P1206" s="1" t="str">
        <f>IF(COUNTIF(Comp3[Comparable '#3 Dates],Benchmark1[[#This Row],[Benchmark '#1 Dates]])=1,"Pass","Fail")</f>
        <v>Pass</v>
      </c>
      <c r="Q1206" s="6">
        <f>IF(Benchmark1[[#This Row],[Comparable '#3 Date Check]]="Pass",INDEX(Comp3[Comparable '#3 Price],MATCH(Benchmark1[[#This Row],[Benchmark '#1 Dates]],Comp3[Comparable '#3 Dates],0)),"-")</f>
        <v>91.82</v>
      </c>
      <c r="R1206" s="22">
        <f>IF(Benchmark1[[#This Row],[Comparable '#3 Date Check]]="Pass",INDEX(Comp3[Comparable '#3 Return],MATCH(Benchmark1[[#This Row],[Benchmark '#1 Dates]],Comp3[Comparable '#3 Dates],0)),"-")</f>
        <v>-1.0939724590765216E-2</v>
      </c>
      <c r="S1206" s="1">
        <f>IFERROR(IF(Benchmark1[[#This Row],[Comparable '#3 Date Check]]="Pass",Benchmark1[[#This Row],[Comparable '#3 Return]]-Benchmark1[[#This Row],[Benchmark '#1 Return]],"-"),"-")</f>
        <v>-1.1793958335278618E-2</v>
      </c>
    </row>
    <row r="1207" spans="1:19">
      <c r="A1207" s="103">
        <v>45035</v>
      </c>
      <c r="B1207" s="104">
        <v>4154.5189903822065</v>
      </c>
      <c r="C1207" s="4">
        <f t="shared" si="18"/>
        <v>-8.451055718925848E-5</v>
      </c>
      <c r="D1207" s="1" t="str">
        <f>IF(COUNTIF(Target1[Target Dates],Benchmark1[[#This Row],[Benchmark '#1 Dates]])=1,"Pass","Fail")</f>
        <v>Pass</v>
      </c>
      <c r="E1207" s="6">
        <f>IF(Benchmark1[[#This Row],[Target Date Check]]="Pass",INDEX(Target1[Target Price],MATCH(Benchmark1[[#This Row],[Benchmark '#1 Dates]],Target1[Target Dates],0)),"-")</f>
        <v>38.29</v>
      </c>
      <c r="F1207" s="22">
        <f>IF(Benchmark1[[#This Row],[Target Date Check]]="Pass",INDEX(Target1[Target Return],MATCH(Benchmark1[[#This Row],[Benchmark '#1 Dates]],Target1[Target Dates],0)),"-")</f>
        <v>6.0249036211996948E-3</v>
      </c>
      <c r="G1207" s="1">
        <f>IFERROR(IF(Benchmark1[[#This Row],[Target Date Check]]="Pass",Benchmark1[[#This Row],[Target Return]]-Benchmark1[[#This Row],[Benchmark '#1 Return]],"-"),"-")</f>
        <v>6.1094141783889534E-3</v>
      </c>
      <c r="H1207" s="1" t="str">
        <f>IF(COUNTIF(Comp1[Comparable '#1 Dates],Benchmark1[[#This Row],[Benchmark '#1 Dates]])=1,"Pass","Fail")</f>
        <v>Pass</v>
      </c>
      <c r="I1207" s="6">
        <f>IF(Benchmark1[[#This Row],[Comparable '#1 Date Check]]="Pass",INDEX(Comp1[Comparable '#1 Price],MATCH(Benchmark1[[#This Row],[Benchmark '#1 Dates]],Comp1[Comparable '#1 Dates],0)),"-")</f>
        <v>11.8</v>
      </c>
      <c r="J1207" s="22">
        <f>IF(Benchmark1[[#This Row],[Comparable '#1 Date Check]]="Pass",INDEX(Comp1[Comparable '#1 Return],MATCH(Benchmark1[[#This Row],[Benchmark '#1 Dates]],Comp1[Comparable '#1 Dates],0)),"-")</f>
        <v>-1.4303988098262646E-2</v>
      </c>
      <c r="K1207" s="1">
        <f>IFERROR(IF(Benchmark1[[#This Row],[Comparable '#1 Date Check]]="Pass",Benchmark1[[#This Row],[Comparable '#1 Return]]-Benchmark1[[#This Row],[Benchmark '#1 Return]],"-"),"-")</f>
        <v>-1.4219477541073389E-2</v>
      </c>
      <c r="L1207" s="1" t="str">
        <f>IF(COUNTIF(Comp2[Comparable '#2 Dates],Benchmark1[[#This Row],[Benchmark '#1 Dates]])=1,"Pass","Fail")</f>
        <v>Pass</v>
      </c>
      <c r="M1207" s="6">
        <f>IF(Benchmark1[[#This Row],[Comparable '#2 Date Check]]="Pass",INDEX(Comp2[Comparable '#2 Price],MATCH(Benchmark1[[#This Row],[Benchmark '#1 Dates]],Comp2[Comparable '#2 Dates],0)),"-")</f>
        <v>39.07</v>
      </c>
      <c r="N1207" s="22">
        <f>IF(Benchmark1[[#This Row],[Comparable '#2 Date Check]]="Pass",INDEX(Comp2[Comparable '#2 Return],MATCH(Benchmark1[[#This Row],[Benchmark '#1 Dates]],Comp2[Comparable '#2 Dates],0)),"-")</f>
        <v>-1.0945762840096959E-2</v>
      </c>
      <c r="O1207" s="1">
        <f>IFERROR(IF(Benchmark1[[#This Row],[Comparable '#2 Date Check]]="Pass",Benchmark1[[#This Row],[Comparable '#2 Return]]-Benchmark1[[#This Row],[Benchmark '#1 Return]],"-"),"-")</f>
        <v>-1.0861252282907701E-2</v>
      </c>
      <c r="P1207" s="1" t="str">
        <f>IF(COUNTIF(Comp3[Comparable '#3 Dates],Benchmark1[[#This Row],[Benchmark '#1 Dates]])=1,"Pass","Fail")</f>
        <v>Pass</v>
      </c>
      <c r="Q1207" s="6">
        <f>IF(Benchmark1[[#This Row],[Comparable '#3 Date Check]]="Pass",INDEX(Comp3[Comparable '#3 Price],MATCH(Benchmark1[[#This Row],[Benchmark '#1 Dates]],Comp3[Comparable '#3 Dates],0)),"-")</f>
        <v>91.79</v>
      </c>
      <c r="R1207" s="22">
        <f>IF(Benchmark1[[#This Row],[Comparable '#3 Date Check]]="Pass",INDEX(Comp3[Comparable '#3 Return],MATCH(Benchmark1[[#This Row],[Benchmark '#1 Dates]],Comp3[Comparable '#3 Dates],0)),"-")</f>
        <v>-3.2677959007618472E-4</v>
      </c>
      <c r="S1207" s="1">
        <f>IFERROR(IF(Benchmark1[[#This Row],[Comparable '#3 Date Check]]="Pass",Benchmark1[[#This Row],[Comparable '#3 Return]]-Benchmark1[[#This Row],[Benchmark '#1 Return]],"-"),"-")</f>
        <v>-2.4226903288692624E-4</v>
      </c>
    </row>
    <row r="1208" spans="1:19">
      <c r="A1208" s="103">
        <v>45036</v>
      </c>
      <c r="B1208" s="104">
        <v>4129.7923693301482</v>
      </c>
      <c r="C1208" s="4">
        <f t="shared" si="18"/>
        <v>-5.9695232123826263E-3</v>
      </c>
      <c r="D1208" s="1" t="str">
        <f>IF(COUNTIF(Target1[Target Dates],Benchmark1[[#This Row],[Benchmark '#1 Dates]])=1,"Pass","Fail")</f>
        <v>Pass</v>
      </c>
      <c r="E1208" s="6">
        <f>IF(Benchmark1[[#This Row],[Target Date Check]]="Pass",INDEX(Target1[Target Price],MATCH(Benchmark1[[#This Row],[Benchmark '#1 Dates]],Target1[Target Dates],0)),"-")</f>
        <v>38.01</v>
      </c>
      <c r="F1208" s="22">
        <f>IF(Benchmark1[[#This Row],[Target Date Check]]="Pass",INDEX(Target1[Target Return],MATCH(Benchmark1[[#This Row],[Benchmark '#1 Dates]],Target1[Target Dates],0)),"-")</f>
        <v>-7.3394824880457996E-3</v>
      </c>
      <c r="G1208" s="1">
        <f>IFERROR(IF(Benchmark1[[#This Row],[Target Date Check]]="Pass",Benchmark1[[#This Row],[Target Return]]-Benchmark1[[#This Row],[Benchmark '#1 Return]],"-"),"-")</f>
        <v>-1.3699592756631733E-3</v>
      </c>
      <c r="H1208" s="1" t="str">
        <f>IF(COUNTIF(Comp1[Comparable '#1 Dates],Benchmark1[[#This Row],[Benchmark '#1 Dates]])=1,"Pass","Fail")</f>
        <v>Pass</v>
      </c>
      <c r="I1208" s="6">
        <f>IF(Benchmark1[[#This Row],[Comparable '#1 Date Check]]="Pass",INDEX(Comp1[Comparable '#1 Price],MATCH(Benchmark1[[#This Row],[Benchmark '#1 Dates]],Comp1[Comparable '#1 Dates],0)),"-")</f>
        <v>11.9</v>
      </c>
      <c r="J1208" s="22">
        <f>IF(Benchmark1[[#This Row],[Comparable '#1 Date Check]]="Pass",INDEX(Comp1[Comparable '#1 Return],MATCH(Benchmark1[[#This Row],[Benchmark '#1 Dates]],Comp1[Comparable '#1 Dates],0)),"-")</f>
        <v>8.4388686458646035E-3</v>
      </c>
      <c r="K1208" s="1">
        <f>IFERROR(IF(Benchmark1[[#This Row],[Comparable '#1 Date Check]]="Pass",Benchmark1[[#This Row],[Comparable '#1 Return]]-Benchmark1[[#This Row],[Benchmark '#1 Return]],"-"),"-")</f>
        <v>1.440839185824723E-2</v>
      </c>
      <c r="L1208" s="1" t="str">
        <f>IF(COUNTIF(Comp2[Comparable '#2 Dates],Benchmark1[[#This Row],[Benchmark '#1 Dates]])=1,"Pass","Fail")</f>
        <v>Pass</v>
      </c>
      <c r="M1208" s="6">
        <f>IF(Benchmark1[[#This Row],[Comparable '#2 Date Check]]="Pass",INDEX(Comp2[Comparable '#2 Price],MATCH(Benchmark1[[#This Row],[Benchmark '#1 Dates]],Comp2[Comparable '#2 Dates],0)),"-")</f>
        <v>39.64</v>
      </c>
      <c r="N1208" s="22">
        <f>IF(Benchmark1[[#This Row],[Comparable '#2 Date Check]]="Pass",INDEX(Comp2[Comparable '#2 Return],MATCH(Benchmark1[[#This Row],[Benchmark '#1 Dates]],Comp2[Comparable '#2 Dates],0)),"-")</f>
        <v>1.4483800394808063E-2</v>
      </c>
      <c r="O1208" s="1">
        <f>IFERROR(IF(Benchmark1[[#This Row],[Comparable '#2 Date Check]]="Pass",Benchmark1[[#This Row],[Comparable '#2 Return]]-Benchmark1[[#This Row],[Benchmark '#1 Return]],"-"),"-")</f>
        <v>2.0453323607190689E-2</v>
      </c>
      <c r="P1208" s="1" t="str">
        <f>IF(COUNTIF(Comp3[Comparable '#3 Dates],Benchmark1[[#This Row],[Benchmark '#1 Dates]])=1,"Pass","Fail")</f>
        <v>Pass</v>
      </c>
      <c r="Q1208" s="6">
        <f>IF(Benchmark1[[#This Row],[Comparable '#3 Date Check]]="Pass",INDEX(Comp3[Comparable '#3 Price],MATCH(Benchmark1[[#This Row],[Benchmark '#1 Dates]],Comp3[Comparable '#3 Dates],0)),"-")</f>
        <v>92.49</v>
      </c>
      <c r="R1208" s="22">
        <f>IF(Benchmark1[[#This Row],[Comparable '#3 Date Check]]="Pass",INDEX(Comp3[Comparable '#3 Return],MATCH(Benchmark1[[#This Row],[Benchmark '#1 Dates]],Comp3[Comparable '#3 Dates],0)),"-")</f>
        <v>7.5971713351690165E-3</v>
      </c>
      <c r="S1208" s="1">
        <f>IFERROR(IF(Benchmark1[[#This Row],[Comparable '#3 Date Check]]="Pass",Benchmark1[[#This Row],[Comparable '#3 Return]]-Benchmark1[[#This Row],[Benchmark '#1 Return]],"-"),"-")</f>
        <v>1.3566694547551644E-2</v>
      </c>
    </row>
    <row r="1209" spans="1:19">
      <c r="A1209" s="103">
        <v>45037</v>
      </c>
      <c r="B1209" s="104">
        <v>4133.5213204031361</v>
      </c>
      <c r="C1209" s="4">
        <f t="shared" si="18"/>
        <v>9.0253171212500462E-4</v>
      </c>
      <c r="D1209" s="1" t="str">
        <f>IF(COUNTIF(Target1[Target Dates],Benchmark1[[#This Row],[Benchmark '#1 Dates]])=1,"Pass","Fail")</f>
        <v>Pass</v>
      </c>
      <c r="E1209" s="6">
        <f>IF(Benchmark1[[#This Row],[Target Date Check]]="Pass",INDEX(Target1[Target Price],MATCH(Benchmark1[[#This Row],[Benchmark '#1 Dates]],Target1[Target Dates],0)),"-")</f>
        <v>37.799999999999997</v>
      </c>
      <c r="F1209" s="22">
        <f>IF(Benchmark1[[#This Row],[Target Date Check]]="Pass",INDEX(Target1[Target Return],MATCH(Benchmark1[[#This Row],[Benchmark '#1 Dates]],Target1[Target Dates],0)),"-")</f>
        <v>-5.5401803756153561E-3</v>
      </c>
      <c r="G1209" s="1">
        <f>IFERROR(IF(Benchmark1[[#This Row],[Target Date Check]]="Pass",Benchmark1[[#This Row],[Target Return]]-Benchmark1[[#This Row],[Benchmark '#1 Return]],"-"),"-")</f>
        <v>-6.4427120877403607E-3</v>
      </c>
      <c r="H1209" s="1" t="str">
        <f>IF(COUNTIF(Comp1[Comparable '#1 Dates],Benchmark1[[#This Row],[Benchmark '#1 Dates]])=1,"Pass","Fail")</f>
        <v>Pass</v>
      </c>
      <c r="I1209" s="6">
        <f>IF(Benchmark1[[#This Row],[Comparable '#1 Date Check]]="Pass",INDEX(Comp1[Comparable '#1 Price],MATCH(Benchmark1[[#This Row],[Benchmark '#1 Dates]],Comp1[Comparable '#1 Dates],0)),"-")</f>
        <v>11.99</v>
      </c>
      <c r="J1209" s="22">
        <f>IF(Benchmark1[[#This Row],[Comparable '#1 Date Check]]="Pass",INDEX(Comp1[Comparable '#1 Return],MATCH(Benchmark1[[#This Row],[Benchmark '#1 Dates]],Comp1[Comparable '#1 Dates],0)),"-")</f>
        <v>7.5345689219391485E-3</v>
      </c>
      <c r="K1209" s="1">
        <f>IFERROR(IF(Benchmark1[[#This Row],[Comparable '#1 Date Check]]="Pass",Benchmark1[[#This Row],[Comparable '#1 Return]]-Benchmark1[[#This Row],[Benchmark '#1 Return]],"-"),"-")</f>
        <v>6.6320372098141438E-3</v>
      </c>
      <c r="L1209" s="1" t="str">
        <f>IF(COUNTIF(Comp2[Comparable '#2 Dates],Benchmark1[[#This Row],[Benchmark '#1 Dates]])=1,"Pass","Fail")</f>
        <v>Pass</v>
      </c>
      <c r="M1209" s="6">
        <f>IF(Benchmark1[[#This Row],[Comparable '#2 Date Check]]="Pass",INDEX(Comp2[Comparable '#2 Price],MATCH(Benchmark1[[#This Row],[Benchmark '#1 Dates]],Comp2[Comparable '#2 Dates],0)),"-")</f>
        <v>40.64</v>
      </c>
      <c r="N1209" s="22">
        <f>IF(Benchmark1[[#This Row],[Comparable '#2 Date Check]]="Pass",INDEX(Comp2[Comparable '#2 Return],MATCH(Benchmark1[[#This Row],[Benchmark '#1 Dates]],Comp2[Comparable '#2 Dates],0)),"-")</f>
        <v>2.4914093808439206E-2</v>
      </c>
      <c r="O1209" s="1">
        <f>IFERROR(IF(Benchmark1[[#This Row],[Comparable '#2 Date Check]]="Pass",Benchmark1[[#This Row],[Comparable '#2 Return]]-Benchmark1[[#This Row],[Benchmark '#1 Return]],"-"),"-")</f>
        <v>2.40115620963142E-2</v>
      </c>
      <c r="P1209" s="1" t="str">
        <f>IF(COUNTIF(Comp3[Comparable '#3 Dates],Benchmark1[[#This Row],[Benchmark '#1 Dates]])=1,"Pass","Fail")</f>
        <v>Pass</v>
      </c>
      <c r="Q1209" s="6">
        <f>IF(Benchmark1[[#This Row],[Comparable '#3 Date Check]]="Pass",INDEX(Comp3[Comparable '#3 Price],MATCH(Benchmark1[[#This Row],[Benchmark '#1 Dates]],Comp3[Comparable '#3 Dates],0)),"-")</f>
        <v>92.92</v>
      </c>
      <c r="R1209" s="22">
        <f>IF(Benchmark1[[#This Row],[Comparable '#3 Date Check]]="Pass",INDEX(Comp3[Comparable '#3 Return],MATCH(Benchmark1[[#This Row],[Benchmark '#1 Dates]],Comp3[Comparable '#3 Dates],0)),"-")</f>
        <v>4.6383773360397194E-3</v>
      </c>
      <c r="S1209" s="1">
        <f>IFERROR(IF(Benchmark1[[#This Row],[Comparable '#3 Date Check]]="Pass",Benchmark1[[#This Row],[Comparable '#3 Return]]-Benchmark1[[#This Row],[Benchmark '#1 Return]],"-"),"-")</f>
        <v>3.7358456239147148E-3</v>
      </c>
    </row>
    <row r="1210" spans="1:19">
      <c r="A1210" s="103">
        <v>45040</v>
      </c>
      <c r="B1210" s="104">
        <v>4137.0445864488529</v>
      </c>
      <c r="C1210" s="4">
        <f t="shared" si="18"/>
        <v>8.5200125324616147E-4</v>
      </c>
      <c r="D1210" s="1" t="str">
        <f>IF(COUNTIF(Target1[Target Dates],Benchmark1[[#This Row],[Benchmark '#1 Dates]])=1,"Pass","Fail")</f>
        <v>Pass</v>
      </c>
      <c r="E1210" s="6">
        <f>IF(Benchmark1[[#This Row],[Target Date Check]]="Pass",INDEX(Target1[Target Price],MATCH(Benchmark1[[#This Row],[Benchmark '#1 Dates]],Target1[Target Dates],0)),"-")</f>
        <v>38.1</v>
      </c>
      <c r="F1210" s="22">
        <f>IF(Benchmark1[[#This Row],[Target Date Check]]="Pass",INDEX(Target1[Target Return],MATCH(Benchmark1[[#This Row],[Benchmark '#1 Dates]],Target1[Target Dates],0)),"-")</f>
        <v>7.9051795071134676E-3</v>
      </c>
      <c r="G1210" s="1">
        <f>IFERROR(IF(Benchmark1[[#This Row],[Target Date Check]]="Pass",Benchmark1[[#This Row],[Target Return]]-Benchmark1[[#This Row],[Benchmark '#1 Return]],"-"),"-")</f>
        <v>7.0531782538673059E-3</v>
      </c>
      <c r="H1210" s="1" t="str">
        <f>IF(COUNTIF(Comp1[Comparable '#1 Dates],Benchmark1[[#This Row],[Benchmark '#1 Dates]])=1,"Pass","Fail")</f>
        <v>Pass</v>
      </c>
      <c r="I1210" s="6">
        <f>IF(Benchmark1[[#This Row],[Comparable '#1 Date Check]]="Pass",INDEX(Comp1[Comparable '#1 Price],MATCH(Benchmark1[[#This Row],[Benchmark '#1 Dates]],Comp1[Comparable '#1 Dates],0)),"-")</f>
        <v>12</v>
      </c>
      <c r="J1210" s="22">
        <f>IF(Benchmark1[[#This Row],[Comparable '#1 Date Check]]="Pass",INDEX(Comp1[Comparable '#1 Return],MATCH(Benchmark1[[#This Row],[Benchmark '#1 Dates]],Comp1[Comparable '#1 Dates],0)),"-")</f>
        <v>8.3368074857740867E-4</v>
      </c>
      <c r="K1210" s="1">
        <f>IFERROR(IF(Benchmark1[[#This Row],[Comparable '#1 Date Check]]="Pass",Benchmark1[[#This Row],[Comparable '#1 Return]]-Benchmark1[[#This Row],[Benchmark '#1 Return]],"-"),"-")</f>
        <v>-1.8320504668752806E-5</v>
      </c>
      <c r="L1210" s="1" t="str">
        <f>IF(COUNTIF(Comp2[Comparable '#2 Dates],Benchmark1[[#This Row],[Benchmark '#1 Dates]])=1,"Pass","Fail")</f>
        <v>Pass</v>
      </c>
      <c r="M1210" s="6">
        <f>IF(Benchmark1[[#This Row],[Comparable '#2 Date Check]]="Pass",INDEX(Comp2[Comparable '#2 Price],MATCH(Benchmark1[[#This Row],[Benchmark '#1 Dates]],Comp2[Comparable '#2 Dates],0)),"-")</f>
        <v>40.56</v>
      </c>
      <c r="N1210" s="22">
        <f>IF(Benchmark1[[#This Row],[Comparable '#2 Date Check]]="Pass",INDEX(Comp2[Comparable '#2 Return],MATCH(Benchmark1[[#This Row],[Benchmark '#1 Dates]],Comp2[Comparable '#2 Dates],0)),"-")</f>
        <v>-1.9704439872987251E-3</v>
      </c>
      <c r="O1210" s="1">
        <f>IFERROR(IF(Benchmark1[[#This Row],[Comparable '#2 Date Check]]="Pass",Benchmark1[[#This Row],[Comparable '#2 Return]]-Benchmark1[[#This Row],[Benchmark '#1 Return]],"-"),"-")</f>
        <v>-2.8224452405448868E-3</v>
      </c>
      <c r="P1210" s="1" t="str">
        <f>IF(COUNTIF(Comp3[Comparable '#3 Dates],Benchmark1[[#This Row],[Benchmark '#1 Dates]])=1,"Pass","Fail")</f>
        <v>Pass</v>
      </c>
      <c r="Q1210" s="6">
        <f>IF(Benchmark1[[#This Row],[Comparable '#3 Date Check]]="Pass",INDEX(Comp3[Comparable '#3 Price],MATCH(Benchmark1[[#This Row],[Benchmark '#1 Dates]],Comp3[Comparable '#3 Dates],0)),"-")</f>
        <v>92.85</v>
      </c>
      <c r="R1210" s="22">
        <f>IF(Benchmark1[[#This Row],[Comparable '#3 Date Check]]="Pass",INDEX(Comp3[Comparable '#3 Return],MATCH(Benchmark1[[#This Row],[Benchmark '#1 Dates]],Comp3[Comparable '#3 Dates],0)),"-")</f>
        <v>-7.5362010349368474E-4</v>
      </c>
      <c r="S1210" s="1">
        <f>IFERROR(IF(Benchmark1[[#This Row],[Comparable '#3 Date Check]]="Pass",Benchmark1[[#This Row],[Comparable '#3 Return]]-Benchmark1[[#This Row],[Benchmark '#1 Return]],"-"),"-")</f>
        <v>-1.6056213567398462E-3</v>
      </c>
    </row>
    <row r="1211" spans="1:19">
      <c r="A1211" s="103">
        <v>45041</v>
      </c>
      <c r="B1211" s="104">
        <v>4071.6304258148148</v>
      </c>
      <c r="C1211" s="4">
        <f t="shared" si="18"/>
        <v>-1.593814964396922E-2</v>
      </c>
      <c r="D1211" s="1" t="str">
        <f>IF(COUNTIF(Target1[Target Dates],Benchmark1[[#This Row],[Benchmark '#1 Dates]])=1,"Pass","Fail")</f>
        <v>Pass</v>
      </c>
      <c r="E1211" s="6">
        <f>IF(Benchmark1[[#This Row],[Target Date Check]]="Pass",INDEX(Target1[Target Price],MATCH(Benchmark1[[#This Row],[Benchmark '#1 Dates]],Target1[Target Dates],0)),"-")</f>
        <v>37.79</v>
      </c>
      <c r="F1211" s="22">
        <f>IF(Benchmark1[[#This Row],[Target Date Check]]="Pass",INDEX(Target1[Target Return],MATCH(Benchmark1[[#This Row],[Benchmark '#1 Dates]],Target1[Target Dates],0)),"-")</f>
        <v>-8.1697647712577863E-3</v>
      </c>
      <c r="G1211" s="1">
        <f>IFERROR(IF(Benchmark1[[#This Row],[Target Date Check]]="Pass",Benchmark1[[#This Row],[Target Return]]-Benchmark1[[#This Row],[Benchmark '#1 Return]],"-"),"-")</f>
        <v>7.7683848727114341E-3</v>
      </c>
      <c r="H1211" s="1" t="str">
        <f>IF(COUNTIF(Comp1[Comparable '#1 Dates],Benchmark1[[#This Row],[Benchmark '#1 Dates]])=1,"Pass","Fail")</f>
        <v>Pass</v>
      </c>
      <c r="I1211" s="6">
        <f>IF(Benchmark1[[#This Row],[Comparable '#1 Date Check]]="Pass",INDEX(Comp1[Comparable '#1 Price],MATCH(Benchmark1[[#This Row],[Benchmark '#1 Dates]],Comp1[Comparable '#1 Dates],0)),"-")</f>
        <v>12.18</v>
      </c>
      <c r="J1211" s="22">
        <f>IF(Benchmark1[[#This Row],[Comparable '#1 Date Check]]="Pass",INDEX(Comp1[Comparable '#1 Return],MATCH(Benchmark1[[#This Row],[Benchmark '#1 Dates]],Comp1[Comparable '#1 Dates],0)),"-")</f>
        <v>1.4888612493750559E-2</v>
      </c>
      <c r="K1211" s="1">
        <f>IFERROR(IF(Benchmark1[[#This Row],[Comparable '#1 Date Check]]="Pass",Benchmark1[[#This Row],[Comparable '#1 Return]]-Benchmark1[[#This Row],[Benchmark '#1 Return]],"-"),"-")</f>
        <v>3.0826762137719781E-2</v>
      </c>
      <c r="L1211" s="1" t="str">
        <f>IF(COUNTIF(Comp2[Comparable '#2 Dates],Benchmark1[[#This Row],[Benchmark '#1 Dates]])=1,"Pass","Fail")</f>
        <v>Pass</v>
      </c>
      <c r="M1211" s="6">
        <f>IF(Benchmark1[[#This Row],[Comparable '#2 Date Check]]="Pass",INDEX(Comp2[Comparable '#2 Price],MATCH(Benchmark1[[#This Row],[Benchmark '#1 Dates]],Comp2[Comparable '#2 Dates],0)),"-")</f>
        <v>40.58</v>
      </c>
      <c r="N1211" s="22">
        <f>IF(Benchmark1[[#This Row],[Comparable '#2 Date Check]]="Pass",INDEX(Comp2[Comparable '#2 Return],MATCH(Benchmark1[[#This Row],[Benchmark '#1 Dates]],Comp2[Comparable '#2 Dates],0)),"-")</f>
        <v>4.9297511474090763E-4</v>
      </c>
      <c r="O1211" s="1">
        <f>IFERROR(IF(Benchmark1[[#This Row],[Comparable '#2 Date Check]]="Pass",Benchmark1[[#This Row],[Comparable '#2 Return]]-Benchmark1[[#This Row],[Benchmark '#1 Return]],"-"),"-")</f>
        <v>1.6431124758710128E-2</v>
      </c>
      <c r="P1211" s="1" t="str">
        <f>IF(COUNTIF(Comp3[Comparable '#3 Dates],Benchmark1[[#This Row],[Benchmark '#1 Dates]])=1,"Pass","Fail")</f>
        <v>Pass</v>
      </c>
      <c r="Q1211" s="6">
        <f>IF(Benchmark1[[#This Row],[Comparable '#3 Date Check]]="Pass",INDEX(Comp3[Comparable '#3 Price],MATCH(Benchmark1[[#This Row],[Benchmark '#1 Dates]],Comp3[Comparable '#3 Dates],0)),"-")</f>
        <v>91.76</v>
      </c>
      <c r="R1211" s="22">
        <f>IF(Benchmark1[[#This Row],[Comparable '#3 Date Check]]="Pass",INDEX(Comp3[Comparable '#3 Return],MATCH(Benchmark1[[#This Row],[Benchmark '#1 Dates]],Comp3[Comparable '#3 Dates],0)),"-")</f>
        <v>-1.1808814977599473E-2</v>
      </c>
      <c r="S1211" s="1">
        <f>IFERROR(IF(Benchmark1[[#This Row],[Comparable '#3 Date Check]]="Pass",Benchmark1[[#This Row],[Comparable '#3 Return]]-Benchmark1[[#This Row],[Benchmark '#1 Return]],"-"),"-")</f>
        <v>4.1293346663697477E-3</v>
      </c>
    </row>
    <row r="1212" spans="1:19">
      <c r="A1212" s="103">
        <v>45042</v>
      </c>
      <c r="B1212" s="104">
        <v>4055.9877831772615</v>
      </c>
      <c r="C1212" s="4">
        <f t="shared" si="18"/>
        <v>-3.8492610134535968E-3</v>
      </c>
      <c r="D1212" s="1" t="str">
        <f>IF(COUNTIF(Target1[Target Dates],Benchmark1[[#This Row],[Benchmark '#1 Dates]])=1,"Pass","Fail")</f>
        <v>Pass</v>
      </c>
      <c r="E1212" s="6">
        <f>IF(Benchmark1[[#This Row],[Target Date Check]]="Pass",INDEX(Target1[Target Price],MATCH(Benchmark1[[#This Row],[Benchmark '#1 Dates]],Target1[Target Dates],0)),"-")</f>
        <v>42.74</v>
      </c>
      <c r="F1212" s="22">
        <f>IF(Benchmark1[[#This Row],[Target Date Check]]="Pass",INDEX(Target1[Target Return],MATCH(Benchmark1[[#This Row],[Benchmark '#1 Dates]],Target1[Target Dates],0)),"-")</f>
        <v>0.1230907325296041</v>
      </c>
      <c r="G1212" s="1">
        <f>IFERROR(IF(Benchmark1[[#This Row],[Target Date Check]]="Pass",Benchmark1[[#This Row],[Target Return]]-Benchmark1[[#This Row],[Benchmark '#1 Return]],"-"),"-")</f>
        <v>0.12693999354305771</v>
      </c>
      <c r="H1212" s="1" t="str">
        <f>IF(COUNTIF(Comp1[Comparable '#1 Dates],Benchmark1[[#This Row],[Benchmark '#1 Dates]])=1,"Pass","Fail")</f>
        <v>Pass</v>
      </c>
      <c r="I1212" s="6">
        <f>IF(Benchmark1[[#This Row],[Comparable '#1 Date Check]]="Pass",INDEX(Comp1[Comparable '#1 Price],MATCH(Benchmark1[[#This Row],[Benchmark '#1 Dates]],Comp1[Comparable '#1 Dates],0)),"-")</f>
        <v>12.16</v>
      </c>
      <c r="J1212" s="22">
        <f>IF(Benchmark1[[#This Row],[Comparable '#1 Date Check]]="Pass",INDEX(Comp1[Comparable '#1 Return],MATCH(Benchmark1[[#This Row],[Benchmark '#1 Dates]],Comp1[Comparable '#1 Dates],0)),"-")</f>
        <v>-1.6433857437300147E-3</v>
      </c>
      <c r="K1212" s="1">
        <f>IFERROR(IF(Benchmark1[[#This Row],[Comparable '#1 Date Check]]="Pass",Benchmark1[[#This Row],[Comparable '#1 Return]]-Benchmark1[[#This Row],[Benchmark '#1 Return]],"-"),"-")</f>
        <v>2.2058752697235824E-3</v>
      </c>
      <c r="L1212" s="1" t="str">
        <f>IF(COUNTIF(Comp2[Comparable '#2 Dates],Benchmark1[[#This Row],[Benchmark '#1 Dates]])=1,"Pass","Fail")</f>
        <v>Pass</v>
      </c>
      <c r="M1212" s="6">
        <f>IF(Benchmark1[[#This Row],[Comparable '#2 Date Check]]="Pass",INDEX(Comp2[Comparable '#2 Price],MATCH(Benchmark1[[#This Row],[Benchmark '#1 Dates]],Comp2[Comparable '#2 Dates],0)),"-")</f>
        <v>40.85</v>
      </c>
      <c r="N1212" s="22">
        <f>IF(Benchmark1[[#This Row],[Comparable '#2 Date Check]]="Pass",INDEX(Comp2[Comparable '#2 Return],MATCH(Benchmark1[[#This Row],[Benchmark '#1 Dates]],Comp2[Comparable '#2 Dates],0)),"-")</f>
        <v>6.6314869083431982E-3</v>
      </c>
      <c r="O1212" s="1">
        <f>IFERROR(IF(Benchmark1[[#This Row],[Comparable '#2 Date Check]]="Pass",Benchmark1[[#This Row],[Comparable '#2 Return]]-Benchmark1[[#This Row],[Benchmark '#1 Return]],"-"),"-")</f>
        <v>1.0480747921796795E-2</v>
      </c>
      <c r="P1212" s="1" t="str">
        <f>IF(COUNTIF(Comp3[Comparable '#3 Dates],Benchmark1[[#This Row],[Benchmark '#1 Dates]])=1,"Pass","Fail")</f>
        <v>Pass</v>
      </c>
      <c r="Q1212" s="6">
        <f>IF(Benchmark1[[#This Row],[Comparable '#3 Date Check]]="Pass",INDEX(Comp3[Comparable '#3 Price],MATCH(Benchmark1[[#This Row],[Benchmark '#1 Dates]],Comp3[Comparable '#3 Dates],0)),"-")</f>
        <v>92.4</v>
      </c>
      <c r="R1212" s="22">
        <f>IF(Benchmark1[[#This Row],[Comparable '#3 Date Check]]="Pass",INDEX(Comp3[Comparable '#3 Return],MATCH(Benchmark1[[#This Row],[Benchmark '#1 Dates]],Comp3[Comparable '#3 Dates],0)),"-")</f>
        <v>6.9505058265233316E-3</v>
      </c>
      <c r="S1212" s="1">
        <f>IFERROR(IF(Benchmark1[[#This Row],[Comparable '#3 Date Check]]="Pass",Benchmark1[[#This Row],[Comparable '#3 Return]]-Benchmark1[[#This Row],[Benchmark '#1 Return]],"-"),"-")</f>
        <v>1.0799766839976929E-2</v>
      </c>
    </row>
    <row r="1213" spans="1:19">
      <c r="A1213" s="103">
        <v>45043</v>
      </c>
      <c r="B1213" s="104">
        <v>4135.3522291298341</v>
      </c>
      <c r="C1213" s="4">
        <f t="shared" si="18"/>
        <v>1.9378252977887478E-2</v>
      </c>
      <c r="D1213" s="1" t="str">
        <f>IF(COUNTIF(Target1[Target Dates],Benchmark1[[#This Row],[Benchmark '#1 Dates]])=1,"Pass","Fail")</f>
        <v>Pass</v>
      </c>
      <c r="E1213" s="6">
        <f>IF(Benchmark1[[#This Row],[Target Date Check]]="Pass",INDEX(Target1[Target Price],MATCH(Benchmark1[[#This Row],[Benchmark '#1 Dates]],Target1[Target Dates],0)),"-")</f>
        <v>42.52</v>
      </c>
      <c r="F1213" s="22">
        <f>IF(Benchmark1[[#This Row],[Target Date Check]]="Pass",INDEX(Target1[Target Return],MATCH(Benchmark1[[#This Row],[Benchmark '#1 Dates]],Target1[Target Dates],0)),"-")</f>
        <v>-5.1606964172544048E-3</v>
      </c>
      <c r="G1213" s="1">
        <f>IFERROR(IF(Benchmark1[[#This Row],[Target Date Check]]="Pass",Benchmark1[[#This Row],[Target Return]]-Benchmark1[[#This Row],[Benchmark '#1 Return]],"-"),"-")</f>
        <v>-2.4538949395141882E-2</v>
      </c>
      <c r="H1213" s="1" t="str">
        <f>IF(COUNTIF(Comp1[Comparable '#1 Dates],Benchmark1[[#This Row],[Benchmark '#1 Dates]])=1,"Pass","Fail")</f>
        <v>Pass</v>
      </c>
      <c r="I1213" s="6">
        <f>IF(Benchmark1[[#This Row],[Comparable '#1 Date Check]]="Pass",INDEX(Comp1[Comparable '#1 Price],MATCH(Benchmark1[[#This Row],[Benchmark '#1 Dates]],Comp1[Comparable '#1 Dates],0)),"-")</f>
        <v>12.28</v>
      </c>
      <c r="J1213" s="22">
        <f>IF(Benchmark1[[#This Row],[Comparable '#1 Date Check]]="Pass",INDEX(Comp1[Comparable '#1 Return],MATCH(Benchmark1[[#This Row],[Benchmark '#1 Dates]],Comp1[Comparable '#1 Dates],0)),"-")</f>
        <v>9.8200461809752945E-3</v>
      </c>
      <c r="K1213" s="1">
        <f>IFERROR(IF(Benchmark1[[#This Row],[Comparable '#1 Date Check]]="Pass",Benchmark1[[#This Row],[Comparable '#1 Return]]-Benchmark1[[#This Row],[Benchmark '#1 Return]],"-"),"-")</f>
        <v>-9.5582067969121835E-3</v>
      </c>
      <c r="L1213" s="1" t="str">
        <f>IF(COUNTIF(Comp2[Comparable '#2 Dates],Benchmark1[[#This Row],[Benchmark '#1 Dates]])=1,"Pass","Fail")</f>
        <v>Pass</v>
      </c>
      <c r="M1213" s="6">
        <f>IF(Benchmark1[[#This Row],[Comparable '#2 Date Check]]="Pass",INDEX(Comp2[Comparable '#2 Price],MATCH(Benchmark1[[#This Row],[Benchmark '#1 Dates]],Comp2[Comparable '#2 Dates],0)),"-")</f>
        <v>40.630000000000003</v>
      </c>
      <c r="N1213" s="22">
        <f>IF(Benchmark1[[#This Row],[Comparable '#2 Date Check]]="Pass",INDEX(Comp2[Comparable '#2 Return],MATCH(Benchmark1[[#This Row],[Benchmark '#1 Dates]],Comp2[Comparable '#2 Dates],0)),"-")</f>
        <v>-5.4001113063764884E-3</v>
      </c>
      <c r="O1213" s="1">
        <f>IFERROR(IF(Benchmark1[[#This Row],[Comparable '#2 Date Check]]="Pass",Benchmark1[[#This Row],[Comparable '#2 Return]]-Benchmark1[[#This Row],[Benchmark '#1 Return]],"-"),"-")</f>
        <v>-2.4778364284263967E-2</v>
      </c>
      <c r="P1213" s="1" t="str">
        <f>IF(COUNTIF(Comp3[Comparable '#3 Dates],Benchmark1[[#This Row],[Benchmark '#1 Dates]])=1,"Pass","Fail")</f>
        <v>Pass</v>
      </c>
      <c r="Q1213" s="6">
        <f>IF(Benchmark1[[#This Row],[Comparable '#3 Date Check]]="Pass",INDEX(Comp3[Comparable '#3 Price],MATCH(Benchmark1[[#This Row],[Benchmark '#1 Dates]],Comp3[Comparable '#3 Dates],0)),"-")</f>
        <v>89.98</v>
      </c>
      <c r="R1213" s="22">
        <f>IF(Benchmark1[[#This Row],[Comparable '#3 Date Check]]="Pass",INDEX(Comp3[Comparable '#3 Return],MATCH(Benchmark1[[#This Row],[Benchmark '#1 Dates]],Comp3[Comparable '#3 Dates],0)),"-")</f>
        <v>-2.6539555234612263E-2</v>
      </c>
      <c r="S1213" s="1">
        <f>IFERROR(IF(Benchmark1[[#This Row],[Comparable '#3 Date Check]]="Pass",Benchmark1[[#This Row],[Comparable '#3 Return]]-Benchmark1[[#This Row],[Benchmark '#1 Return]],"-"),"-")</f>
        <v>-4.5917808212499744E-2</v>
      </c>
    </row>
    <row r="1214" spans="1:19">
      <c r="A1214" s="103">
        <v>45044</v>
      </c>
      <c r="B1214" s="104">
        <v>4169.4814006359811</v>
      </c>
      <c r="C1214" s="4">
        <f t="shared" si="18"/>
        <v>8.2191564958734586E-3</v>
      </c>
      <c r="D1214" s="1" t="str">
        <f>IF(COUNTIF(Target1[Target Dates],Benchmark1[[#This Row],[Benchmark '#1 Dates]])=1,"Pass","Fail")</f>
        <v>Pass</v>
      </c>
      <c r="E1214" s="6">
        <f>IF(Benchmark1[[#This Row],[Target Date Check]]="Pass",INDEX(Target1[Target Price],MATCH(Benchmark1[[#This Row],[Benchmark '#1 Dates]],Target1[Target Dates],0)),"-")</f>
        <v>42.96</v>
      </c>
      <c r="F1214" s="22">
        <f>IF(Benchmark1[[#This Row],[Target Date Check]]="Pass",INDEX(Target1[Target Return],MATCH(Benchmark1[[#This Row],[Benchmark '#1 Dates]],Target1[Target Dates],0)),"-")</f>
        <v>1.0294896726862035E-2</v>
      </c>
      <c r="G1214" s="1">
        <f>IFERROR(IF(Benchmark1[[#This Row],[Target Date Check]]="Pass",Benchmark1[[#This Row],[Target Return]]-Benchmark1[[#This Row],[Benchmark '#1 Return]],"-"),"-")</f>
        <v>2.0757402309885768E-3</v>
      </c>
      <c r="H1214" s="1" t="str">
        <f>IF(COUNTIF(Comp1[Comparable '#1 Dates],Benchmark1[[#This Row],[Benchmark '#1 Dates]])=1,"Pass","Fail")</f>
        <v>Pass</v>
      </c>
      <c r="I1214" s="6">
        <f>IF(Benchmark1[[#This Row],[Comparable '#1 Date Check]]="Pass",INDEX(Comp1[Comparable '#1 Price],MATCH(Benchmark1[[#This Row],[Benchmark '#1 Dates]],Comp1[Comparable '#1 Dates],0)),"-")</f>
        <v>12.39</v>
      </c>
      <c r="J1214" s="22">
        <f>IF(Benchmark1[[#This Row],[Comparable '#1 Date Check]]="Pass",INDEX(Comp1[Comparable '#1 Return],MATCH(Benchmark1[[#This Row],[Benchmark '#1 Dates]],Comp1[Comparable '#1 Dates],0)),"-")</f>
        <v>8.9177729220547893E-3</v>
      </c>
      <c r="K1214" s="1">
        <f>IFERROR(IF(Benchmark1[[#This Row],[Comparable '#1 Date Check]]="Pass",Benchmark1[[#This Row],[Comparable '#1 Return]]-Benchmark1[[#This Row],[Benchmark '#1 Return]],"-"),"-")</f>
        <v>6.9861642618133067E-4</v>
      </c>
      <c r="L1214" s="1" t="str">
        <f>IF(COUNTIF(Comp2[Comparable '#2 Dates],Benchmark1[[#This Row],[Benchmark '#1 Dates]])=1,"Pass","Fail")</f>
        <v>Pass</v>
      </c>
      <c r="M1214" s="6">
        <f>IF(Benchmark1[[#This Row],[Comparable '#2 Date Check]]="Pass",INDEX(Comp2[Comparable '#2 Price],MATCH(Benchmark1[[#This Row],[Benchmark '#1 Dates]],Comp2[Comparable '#2 Dates],0)),"-")</f>
        <v>40.57</v>
      </c>
      <c r="N1214" s="22">
        <f>IF(Benchmark1[[#This Row],[Comparable '#2 Date Check]]="Pass",INDEX(Comp2[Comparable '#2 Return],MATCH(Benchmark1[[#This Row],[Benchmark '#1 Dates]],Comp2[Comparable '#2 Dates],0)),"-")</f>
        <v>-1.4778327812795633E-3</v>
      </c>
      <c r="O1214" s="1">
        <f>IFERROR(IF(Benchmark1[[#This Row],[Comparable '#2 Date Check]]="Pass",Benchmark1[[#This Row],[Comparable '#2 Return]]-Benchmark1[[#This Row],[Benchmark '#1 Return]],"-"),"-")</f>
        <v>-9.6969892771530224E-3</v>
      </c>
      <c r="P1214" s="1" t="str">
        <f>IF(COUNTIF(Comp3[Comparable '#3 Dates],Benchmark1[[#This Row],[Benchmark '#1 Dates]])=1,"Pass","Fail")</f>
        <v>Pass</v>
      </c>
      <c r="Q1214" s="6">
        <f>IF(Benchmark1[[#This Row],[Comparable '#3 Date Check]]="Pass",INDEX(Comp3[Comparable '#3 Price],MATCH(Benchmark1[[#This Row],[Benchmark '#1 Dates]],Comp3[Comparable '#3 Dates],0)),"-")</f>
        <v>88</v>
      </c>
      <c r="R1214" s="22">
        <f>IF(Benchmark1[[#This Row],[Comparable '#3 Date Check]]="Pass",INDEX(Comp3[Comparable '#3 Return],MATCH(Benchmark1[[#This Row],[Benchmark '#1 Dates]],Comp3[Comparable '#3 Dates],0)),"-")</f>
        <v>-2.2250608934819806E-2</v>
      </c>
      <c r="S1214" s="1">
        <f>IFERROR(IF(Benchmark1[[#This Row],[Comparable '#3 Date Check]]="Pass",Benchmark1[[#This Row],[Comparable '#3 Return]]-Benchmark1[[#This Row],[Benchmark '#1 Return]],"-"),"-")</f>
        <v>-3.0469765430693265E-2</v>
      </c>
    </row>
    <row r="1215" spans="1:19">
      <c r="A1215" s="103">
        <v>45047</v>
      </c>
      <c r="B1215" s="104">
        <v>4167.8668855869983</v>
      </c>
      <c r="C1215" s="4">
        <f t="shared" si="18"/>
        <v>-3.8729701908506473E-4</v>
      </c>
      <c r="D1215" s="1" t="str">
        <f>IF(COUNTIF(Target1[Target Dates],Benchmark1[[#This Row],[Benchmark '#1 Dates]])=1,"Pass","Fail")</f>
        <v>Pass</v>
      </c>
      <c r="E1215" s="6">
        <f>IF(Benchmark1[[#This Row],[Target Date Check]]="Pass",INDEX(Target1[Target Price],MATCH(Benchmark1[[#This Row],[Benchmark '#1 Dates]],Target1[Target Dates],0)),"-")</f>
        <v>42.83</v>
      </c>
      <c r="F1215" s="22">
        <f>IF(Benchmark1[[#This Row],[Target Date Check]]="Pass",INDEX(Target1[Target Return],MATCH(Benchmark1[[#This Row],[Benchmark '#1 Dates]],Target1[Target Dates],0)),"-")</f>
        <v>-3.030658573329739E-3</v>
      </c>
      <c r="G1215" s="1">
        <f>IFERROR(IF(Benchmark1[[#This Row],[Target Date Check]]="Pass",Benchmark1[[#This Row],[Target Return]]-Benchmark1[[#This Row],[Benchmark '#1 Return]],"-"),"-")</f>
        <v>-2.6433615542446743E-3</v>
      </c>
      <c r="H1215" s="1" t="str">
        <f>IF(COUNTIF(Comp1[Comparable '#1 Dates],Benchmark1[[#This Row],[Benchmark '#1 Dates]])=1,"Pass","Fail")</f>
        <v>Pass</v>
      </c>
      <c r="I1215" s="6">
        <f>IF(Benchmark1[[#This Row],[Comparable '#1 Date Check]]="Pass",INDEX(Comp1[Comparable '#1 Price],MATCH(Benchmark1[[#This Row],[Benchmark '#1 Dates]],Comp1[Comparable '#1 Dates],0)),"-")</f>
        <v>12.41</v>
      </c>
      <c r="J1215" s="22">
        <f>IF(Benchmark1[[#This Row],[Comparable '#1 Date Check]]="Pass",INDEX(Comp1[Comparable '#1 Return],MATCH(Benchmark1[[#This Row],[Benchmark '#1 Dates]],Comp1[Comparable '#1 Dates],0)),"-")</f>
        <v>1.6129035754647791E-3</v>
      </c>
      <c r="K1215" s="1">
        <f>IFERROR(IF(Benchmark1[[#This Row],[Comparable '#1 Date Check]]="Pass",Benchmark1[[#This Row],[Comparable '#1 Return]]-Benchmark1[[#This Row],[Benchmark '#1 Return]],"-"),"-")</f>
        <v>2.000200594549844E-3</v>
      </c>
      <c r="L1215" s="1" t="str">
        <f>IF(COUNTIF(Comp2[Comparable '#2 Dates],Benchmark1[[#This Row],[Benchmark '#1 Dates]])=1,"Pass","Fail")</f>
        <v>Pass</v>
      </c>
      <c r="M1215" s="6">
        <f>IF(Benchmark1[[#This Row],[Comparable '#2 Date Check]]="Pass",INDEX(Comp2[Comparable '#2 Price],MATCH(Benchmark1[[#This Row],[Benchmark '#1 Dates]],Comp2[Comparable '#2 Dates],0)),"-")</f>
        <v>40.82</v>
      </c>
      <c r="N1215" s="22">
        <f>IF(Benchmark1[[#This Row],[Comparable '#2 Date Check]]="Pass",INDEX(Comp2[Comparable '#2 Return],MATCH(Benchmark1[[#This Row],[Benchmark '#1 Dates]],Comp2[Comparable '#2 Dates],0)),"-")</f>
        <v>6.1432801633429217E-3</v>
      </c>
      <c r="O1215" s="1">
        <f>IFERROR(IF(Benchmark1[[#This Row],[Comparable '#2 Date Check]]="Pass",Benchmark1[[#This Row],[Comparable '#2 Return]]-Benchmark1[[#This Row],[Benchmark '#1 Return]],"-"),"-")</f>
        <v>6.5305771824279869E-3</v>
      </c>
      <c r="P1215" s="1" t="str">
        <f>IF(COUNTIF(Comp3[Comparable '#3 Dates],Benchmark1[[#This Row],[Benchmark '#1 Dates]])=1,"Pass","Fail")</f>
        <v>Pass</v>
      </c>
      <c r="Q1215" s="6">
        <f>IF(Benchmark1[[#This Row],[Comparable '#3 Date Check]]="Pass",INDEX(Comp3[Comparable '#3 Price],MATCH(Benchmark1[[#This Row],[Benchmark '#1 Dates]],Comp3[Comparable '#3 Dates],0)),"-")</f>
        <v>90.07</v>
      </c>
      <c r="R1215" s="22">
        <f>IF(Benchmark1[[#This Row],[Comparable '#3 Date Check]]="Pass",INDEX(Comp3[Comparable '#3 Return],MATCH(Benchmark1[[#This Row],[Benchmark '#1 Dates]],Comp3[Comparable '#3 Dates],0)),"-")</f>
        <v>2.3250331317444913E-2</v>
      </c>
      <c r="S1215" s="1">
        <f>IFERROR(IF(Benchmark1[[#This Row],[Comparable '#3 Date Check]]="Pass",Benchmark1[[#This Row],[Comparable '#3 Return]]-Benchmark1[[#This Row],[Benchmark '#1 Return]],"-"),"-")</f>
        <v>2.3637628336529978E-2</v>
      </c>
    </row>
    <row r="1216" spans="1:19">
      <c r="A1216" s="103">
        <v>45048</v>
      </c>
      <c r="B1216" s="104">
        <v>4119.5804450514024</v>
      </c>
      <c r="C1216" s="4">
        <f t="shared" si="18"/>
        <v>-1.1653042251216009E-2</v>
      </c>
      <c r="D1216" s="1" t="str">
        <f>IF(COUNTIF(Target1[Target Dates],Benchmark1[[#This Row],[Benchmark '#1 Dates]])=1,"Pass","Fail")</f>
        <v>Pass</v>
      </c>
      <c r="E1216" s="6">
        <f>IF(Benchmark1[[#This Row],[Target Date Check]]="Pass",INDEX(Target1[Target Price],MATCH(Benchmark1[[#This Row],[Benchmark '#1 Dates]],Target1[Target Dates],0)),"-")</f>
        <v>41.29</v>
      </c>
      <c r="F1216" s="22">
        <f>IF(Benchmark1[[#This Row],[Target Date Check]]="Pass",INDEX(Target1[Target Return],MATCH(Benchmark1[[#This Row],[Benchmark '#1 Dates]],Target1[Target Dates],0)),"-")</f>
        <v>-3.6618451729280785E-2</v>
      </c>
      <c r="G1216" s="1">
        <f>IFERROR(IF(Benchmark1[[#This Row],[Target Date Check]]="Pass",Benchmark1[[#This Row],[Target Return]]-Benchmark1[[#This Row],[Benchmark '#1 Return]],"-"),"-")</f>
        <v>-2.4965409478064776E-2</v>
      </c>
      <c r="H1216" s="1" t="str">
        <f>IF(COUNTIF(Comp1[Comparable '#1 Dates],Benchmark1[[#This Row],[Benchmark '#1 Dates]])=1,"Pass","Fail")</f>
        <v>Pass</v>
      </c>
      <c r="I1216" s="6">
        <f>IF(Benchmark1[[#This Row],[Comparable '#1 Date Check]]="Pass",INDEX(Comp1[Comparable '#1 Price],MATCH(Benchmark1[[#This Row],[Benchmark '#1 Dates]],Comp1[Comparable '#1 Dates],0)),"-")</f>
        <v>11.97</v>
      </c>
      <c r="J1216" s="22">
        <f>IF(Benchmark1[[#This Row],[Comparable '#1 Date Check]]="Pass",INDEX(Comp1[Comparable '#1 Return],MATCH(Benchmark1[[#This Row],[Benchmark '#1 Dates]],Comp1[Comparable '#1 Dates],0)),"-")</f>
        <v>-3.6099079646633975E-2</v>
      </c>
      <c r="K1216" s="1">
        <f>IFERROR(IF(Benchmark1[[#This Row],[Comparable '#1 Date Check]]="Pass",Benchmark1[[#This Row],[Comparable '#1 Return]]-Benchmark1[[#This Row],[Benchmark '#1 Return]],"-"),"-")</f>
        <v>-2.4446037395417966E-2</v>
      </c>
      <c r="L1216" s="1" t="str">
        <f>IF(COUNTIF(Comp2[Comparable '#2 Dates],Benchmark1[[#This Row],[Benchmark '#1 Dates]])=1,"Pass","Fail")</f>
        <v>Pass</v>
      </c>
      <c r="M1216" s="6">
        <f>IF(Benchmark1[[#This Row],[Comparable '#2 Date Check]]="Pass",INDEX(Comp2[Comparable '#2 Price],MATCH(Benchmark1[[#This Row],[Benchmark '#1 Dates]],Comp2[Comparable '#2 Dates],0)),"-")</f>
        <v>38.340000000000003</v>
      </c>
      <c r="N1216" s="22">
        <f>IF(Benchmark1[[#This Row],[Comparable '#2 Date Check]]="Pass",INDEX(Comp2[Comparable '#2 Return],MATCH(Benchmark1[[#This Row],[Benchmark '#1 Dates]],Comp2[Comparable '#2 Dates],0)),"-")</f>
        <v>-6.2678419764200272E-2</v>
      </c>
      <c r="O1216" s="1">
        <f>IFERROR(IF(Benchmark1[[#This Row],[Comparable '#2 Date Check]]="Pass",Benchmark1[[#This Row],[Comparable '#2 Return]]-Benchmark1[[#This Row],[Benchmark '#1 Return]],"-"),"-")</f>
        <v>-5.1025377512984263E-2</v>
      </c>
      <c r="P1216" s="1" t="str">
        <f>IF(COUNTIF(Comp3[Comparable '#3 Dates],Benchmark1[[#This Row],[Benchmark '#1 Dates]])=1,"Pass","Fail")</f>
        <v>Pass</v>
      </c>
      <c r="Q1216" s="6">
        <f>IF(Benchmark1[[#This Row],[Comparable '#3 Date Check]]="Pass",INDEX(Comp3[Comparable '#3 Price],MATCH(Benchmark1[[#This Row],[Benchmark '#1 Dates]],Comp3[Comparable '#3 Dates],0)),"-")</f>
        <v>82.58</v>
      </c>
      <c r="R1216" s="22">
        <f>IF(Benchmark1[[#This Row],[Comparable '#3 Date Check]]="Pass",INDEX(Comp3[Comparable '#3 Return],MATCH(Benchmark1[[#This Row],[Benchmark '#1 Dates]],Comp3[Comparable '#3 Dates],0)),"-")</f>
        <v>-8.6819625337707207E-2</v>
      </c>
      <c r="S1216" s="1">
        <f>IFERROR(IF(Benchmark1[[#This Row],[Comparable '#3 Date Check]]="Pass",Benchmark1[[#This Row],[Comparable '#3 Return]]-Benchmark1[[#This Row],[Benchmark '#1 Return]],"-"),"-")</f>
        <v>-7.5166583086491198E-2</v>
      </c>
    </row>
    <row r="1217" spans="1:19">
      <c r="A1217" s="103">
        <v>45049</v>
      </c>
      <c r="B1217" s="104">
        <v>4090.7522237969406</v>
      </c>
      <c r="C1217" s="4">
        <f t="shared" si="18"/>
        <v>-7.0224535079729377E-3</v>
      </c>
      <c r="D1217" s="1" t="str">
        <f>IF(COUNTIF(Target1[Target Dates],Benchmark1[[#This Row],[Benchmark '#1 Dates]])=1,"Pass","Fail")</f>
        <v>Pass</v>
      </c>
      <c r="E1217" s="6">
        <f>IF(Benchmark1[[#This Row],[Target Date Check]]="Pass",INDEX(Target1[Target Price],MATCH(Benchmark1[[#This Row],[Benchmark '#1 Dates]],Target1[Target Dates],0)),"-")</f>
        <v>41.31</v>
      </c>
      <c r="F1217" s="22">
        <f>IF(Benchmark1[[#This Row],[Target Date Check]]="Pass",INDEX(Target1[Target Return],MATCH(Benchmark1[[#This Row],[Benchmark '#1 Dates]],Target1[Target Dates],0)),"-")</f>
        <v>4.8426151067431121E-4</v>
      </c>
      <c r="G1217" s="1">
        <f>IFERROR(IF(Benchmark1[[#This Row],[Target Date Check]]="Pass",Benchmark1[[#This Row],[Target Return]]-Benchmark1[[#This Row],[Benchmark '#1 Return]],"-"),"-")</f>
        <v>7.5067150186472493E-3</v>
      </c>
      <c r="H1217" s="1" t="str">
        <f>IF(COUNTIF(Comp1[Comparable '#1 Dates],Benchmark1[[#This Row],[Benchmark '#1 Dates]])=1,"Pass","Fail")</f>
        <v>Pass</v>
      </c>
      <c r="I1217" s="6">
        <f>IF(Benchmark1[[#This Row],[Comparable '#1 Date Check]]="Pass",INDEX(Comp1[Comparable '#1 Price],MATCH(Benchmark1[[#This Row],[Benchmark '#1 Dates]],Comp1[Comparable '#1 Dates],0)),"-")</f>
        <v>11.89</v>
      </c>
      <c r="J1217" s="22">
        <f>IF(Benchmark1[[#This Row],[Comparable '#1 Date Check]]="Pass",INDEX(Comp1[Comparable '#1 Return],MATCH(Benchmark1[[#This Row],[Benchmark '#1 Dates]],Comp1[Comparable '#1 Dates],0)),"-")</f>
        <v>-6.7058088671913168E-3</v>
      </c>
      <c r="K1217" s="1">
        <f>IFERROR(IF(Benchmark1[[#This Row],[Comparable '#1 Date Check]]="Pass",Benchmark1[[#This Row],[Comparable '#1 Return]]-Benchmark1[[#This Row],[Benchmark '#1 Return]],"-"),"-")</f>
        <v>3.1664464078162095E-4</v>
      </c>
      <c r="L1217" s="1" t="str">
        <f>IF(COUNTIF(Comp2[Comparable '#2 Dates],Benchmark1[[#This Row],[Benchmark '#1 Dates]])=1,"Pass","Fail")</f>
        <v>Pass</v>
      </c>
      <c r="M1217" s="6">
        <f>IF(Benchmark1[[#This Row],[Comparable '#2 Date Check]]="Pass",INDEX(Comp2[Comparable '#2 Price],MATCH(Benchmark1[[#This Row],[Benchmark '#1 Dates]],Comp2[Comparable '#2 Dates],0)),"-")</f>
        <v>42.64</v>
      </c>
      <c r="N1217" s="22">
        <f>IF(Benchmark1[[#This Row],[Comparable '#2 Date Check]]="Pass",INDEX(Comp2[Comparable '#2 Return],MATCH(Benchmark1[[#This Row],[Benchmark '#1 Dates]],Comp2[Comparable '#2 Dates],0)),"-")</f>
        <v>0.10629904224009058</v>
      </c>
      <c r="O1217" s="1">
        <f>IFERROR(IF(Benchmark1[[#This Row],[Comparable '#2 Date Check]]="Pass",Benchmark1[[#This Row],[Comparable '#2 Return]]-Benchmark1[[#This Row],[Benchmark '#1 Return]],"-"),"-")</f>
        <v>0.11332149574806352</v>
      </c>
      <c r="P1217" s="1" t="str">
        <f>IF(COUNTIF(Comp3[Comparable '#3 Dates],Benchmark1[[#This Row],[Benchmark '#1 Dates]])=1,"Pass","Fail")</f>
        <v>Pass</v>
      </c>
      <c r="Q1217" s="6">
        <f>IF(Benchmark1[[#This Row],[Comparable '#3 Date Check]]="Pass",INDEX(Comp3[Comparable '#3 Price],MATCH(Benchmark1[[#This Row],[Benchmark '#1 Dates]],Comp3[Comparable '#3 Dates],0)),"-")</f>
        <v>82.46</v>
      </c>
      <c r="R1217" s="22">
        <f>IF(Benchmark1[[#This Row],[Comparable '#3 Date Check]]="Pass",INDEX(Comp3[Comparable '#3 Return],MATCH(Benchmark1[[#This Row],[Benchmark '#1 Dates]],Comp3[Comparable '#3 Dates],0)),"-")</f>
        <v>-1.4541931791902509E-3</v>
      </c>
      <c r="S1217" s="1">
        <f>IFERROR(IF(Benchmark1[[#This Row],[Comparable '#3 Date Check]]="Pass",Benchmark1[[#This Row],[Comparable '#3 Return]]-Benchmark1[[#This Row],[Benchmark '#1 Return]],"-"),"-")</f>
        <v>5.5682603287826871E-3</v>
      </c>
    </row>
    <row r="1218" spans="1:19">
      <c r="A1218" s="103">
        <v>45050</v>
      </c>
      <c r="B1218" s="104">
        <v>4061.2168886860891</v>
      </c>
      <c r="C1218" s="4">
        <f t="shared" ref="C1218:C1255" si="19">IFERROR(IF(B1218="","-",LN(B1218/B1217)),"-")</f>
        <v>-7.2462159606126253E-3</v>
      </c>
      <c r="D1218" s="1" t="str">
        <f>IF(COUNTIF(Target1[Target Dates],Benchmark1[[#This Row],[Benchmark '#1 Dates]])=1,"Pass","Fail")</f>
        <v>Pass</v>
      </c>
      <c r="E1218" s="6">
        <f>IF(Benchmark1[[#This Row],[Target Date Check]]="Pass",INDEX(Target1[Target Price],MATCH(Benchmark1[[#This Row],[Benchmark '#1 Dates]],Target1[Target Dates],0)),"-")</f>
        <v>40.72</v>
      </c>
      <c r="F1218" s="22">
        <f>IF(Benchmark1[[#This Row],[Target Date Check]]="Pass",INDEX(Target1[Target Return],MATCH(Benchmark1[[#This Row],[Benchmark '#1 Dates]],Target1[Target Dates],0)),"-")</f>
        <v>-1.4385229166405986E-2</v>
      </c>
      <c r="G1218" s="1">
        <f>IFERROR(IF(Benchmark1[[#This Row],[Target Date Check]]="Pass",Benchmark1[[#This Row],[Target Return]]-Benchmark1[[#This Row],[Benchmark '#1 Return]],"-"),"-")</f>
        <v>-7.1390132057933603E-3</v>
      </c>
      <c r="H1218" s="1" t="str">
        <f>IF(COUNTIF(Comp1[Comparable '#1 Dates],Benchmark1[[#This Row],[Benchmark '#1 Dates]])=1,"Pass","Fail")</f>
        <v>Pass</v>
      </c>
      <c r="I1218" s="6">
        <f>IF(Benchmark1[[#This Row],[Comparable '#1 Date Check]]="Pass",INDEX(Comp1[Comparable '#1 Price],MATCH(Benchmark1[[#This Row],[Benchmark '#1 Dates]],Comp1[Comparable '#1 Dates],0)),"-")</f>
        <v>11.82</v>
      </c>
      <c r="J1218" s="22">
        <f>IF(Benchmark1[[#This Row],[Comparable '#1 Date Check]]="Pass",INDEX(Comp1[Comparable '#1 Return],MATCH(Benchmark1[[#This Row],[Benchmark '#1 Dates]],Comp1[Comparable '#1 Dates],0)),"-")</f>
        <v>-5.9046987247383326E-3</v>
      </c>
      <c r="K1218" s="1">
        <f>IFERROR(IF(Benchmark1[[#This Row],[Comparable '#1 Date Check]]="Pass",Benchmark1[[#This Row],[Comparable '#1 Return]]-Benchmark1[[#This Row],[Benchmark '#1 Return]],"-"),"-")</f>
        <v>1.3415172358742927E-3</v>
      </c>
      <c r="L1218" s="1" t="str">
        <f>IF(COUNTIF(Comp2[Comparable '#2 Dates],Benchmark1[[#This Row],[Benchmark '#1 Dates]])=1,"Pass","Fail")</f>
        <v>Pass</v>
      </c>
      <c r="M1218" s="6">
        <f>IF(Benchmark1[[#This Row],[Comparable '#2 Date Check]]="Pass",INDEX(Comp2[Comparable '#2 Price],MATCH(Benchmark1[[#This Row],[Benchmark '#1 Dates]],Comp2[Comparable '#2 Dates],0)),"-")</f>
        <v>42.1</v>
      </c>
      <c r="N1218" s="22">
        <f>IF(Benchmark1[[#This Row],[Comparable '#2 Date Check]]="Pass",INDEX(Comp2[Comparable '#2 Return],MATCH(Benchmark1[[#This Row],[Benchmark '#1 Dates]],Comp2[Comparable '#2 Dates],0)),"-")</f>
        <v>-1.2745039169253335E-2</v>
      </c>
      <c r="O1218" s="1">
        <f>IFERROR(IF(Benchmark1[[#This Row],[Comparable '#2 Date Check]]="Pass",Benchmark1[[#This Row],[Comparable '#2 Return]]-Benchmark1[[#This Row],[Benchmark '#1 Return]],"-"),"-")</f>
        <v>-5.4988232086407096E-3</v>
      </c>
      <c r="P1218" s="1" t="str">
        <f>IF(COUNTIF(Comp3[Comparable '#3 Dates],Benchmark1[[#This Row],[Benchmark '#1 Dates]])=1,"Pass","Fail")</f>
        <v>Pass</v>
      </c>
      <c r="Q1218" s="6">
        <f>IF(Benchmark1[[#This Row],[Comparable '#3 Date Check]]="Pass",INDEX(Comp3[Comparable '#3 Price],MATCH(Benchmark1[[#This Row],[Benchmark '#1 Dates]],Comp3[Comparable '#3 Dates],0)),"-")</f>
        <v>81.88</v>
      </c>
      <c r="R1218" s="22">
        <f>IF(Benchmark1[[#This Row],[Comparable '#3 Date Check]]="Pass",INDEX(Comp3[Comparable '#3 Return],MATCH(Benchmark1[[#This Row],[Benchmark '#1 Dates]],Comp3[Comparable '#3 Dates],0)),"-")</f>
        <v>-7.0585664856651596E-3</v>
      </c>
      <c r="S1218" s="1">
        <f>IFERROR(IF(Benchmark1[[#This Row],[Comparable '#3 Date Check]]="Pass",Benchmark1[[#This Row],[Comparable '#3 Return]]-Benchmark1[[#This Row],[Benchmark '#1 Return]],"-"),"-")</f>
        <v>1.8764947494746571E-4</v>
      </c>
    </row>
    <row r="1219" spans="1:19">
      <c r="A1219" s="103">
        <v>45051</v>
      </c>
      <c r="B1219" s="104">
        <v>4136.2533545381802</v>
      </c>
      <c r="C1219" s="4">
        <f t="shared" si="19"/>
        <v>1.8307736280833087E-2</v>
      </c>
      <c r="D1219" s="1" t="str">
        <f>IF(COUNTIF(Target1[Target Dates],Benchmark1[[#This Row],[Benchmark '#1 Dates]])=1,"Pass","Fail")</f>
        <v>Pass</v>
      </c>
      <c r="E1219" s="6">
        <f>IF(Benchmark1[[#This Row],[Target Date Check]]="Pass",INDEX(Target1[Target Price],MATCH(Benchmark1[[#This Row],[Benchmark '#1 Dates]],Target1[Target Dates],0)),"-")</f>
        <v>41.18</v>
      </c>
      <c r="F1219" s="22">
        <f>IF(Benchmark1[[#This Row],[Target Date Check]]="Pass",INDEX(Target1[Target Return],MATCH(Benchmark1[[#This Row],[Benchmark '#1 Dates]],Target1[Target Dates],0)),"-")</f>
        <v>1.1233329357376006E-2</v>
      </c>
      <c r="G1219" s="1">
        <f>IFERROR(IF(Benchmark1[[#This Row],[Target Date Check]]="Pass",Benchmark1[[#This Row],[Target Return]]-Benchmark1[[#This Row],[Benchmark '#1 Return]],"-"),"-")</f>
        <v>-7.0744069234570817E-3</v>
      </c>
      <c r="H1219" s="1" t="str">
        <f>IF(COUNTIF(Comp1[Comparable '#1 Dates],Benchmark1[[#This Row],[Benchmark '#1 Dates]])=1,"Pass","Fail")</f>
        <v>Pass</v>
      </c>
      <c r="I1219" s="6">
        <f>IF(Benchmark1[[#This Row],[Comparable '#1 Date Check]]="Pass",INDEX(Comp1[Comparable '#1 Price],MATCH(Benchmark1[[#This Row],[Benchmark '#1 Dates]],Comp1[Comparable '#1 Dates],0)),"-")</f>
        <v>12.32</v>
      </c>
      <c r="J1219" s="22">
        <f>IF(Benchmark1[[#This Row],[Comparable '#1 Date Check]]="Pass",INDEX(Comp1[Comparable '#1 Return],MATCH(Benchmark1[[#This Row],[Benchmark '#1 Dates]],Comp1[Comparable '#1 Dates],0)),"-")</f>
        <v>4.1430946127421667E-2</v>
      </c>
      <c r="K1219" s="1">
        <f>IFERROR(IF(Benchmark1[[#This Row],[Comparable '#1 Date Check]]="Pass",Benchmark1[[#This Row],[Comparable '#1 Return]]-Benchmark1[[#This Row],[Benchmark '#1 Return]],"-"),"-")</f>
        <v>2.3123209846588579E-2</v>
      </c>
      <c r="L1219" s="1" t="str">
        <f>IF(COUNTIF(Comp2[Comparable '#2 Dates],Benchmark1[[#This Row],[Benchmark '#1 Dates]])=1,"Pass","Fail")</f>
        <v>Pass</v>
      </c>
      <c r="M1219" s="6">
        <f>IF(Benchmark1[[#This Row],[Comparable '#2 Date Check]]="Pass",INDEX(Comp2[Comparable '#2 Price],MATCH(Benchmark1[[#This Row],[Benchmark '#1 Dates]],Comp2[Comparable '#2 Dates],0)),"-")</f>
        <v>41.65</v>
      </c>
      <c r="N1219" s="22">
        <f>IF(Benchmark1[[#This Row],[Comparable '#2 Date Check]]="Pass",INDEX(Comp2[Comparable '#2 Return],MATCH(Benchmark1[[#This Row],[Benchmark '#1 Dates]],Comp2[Comparable '#2 Dates],0)),"-")</f>
        <v>-1.0746372075484073E-2</v>
      </c>
      <c r="O1219" s="1">
        <f>IFERROR(IF(Benchmark1[[#This Row],[Comparable '#2 Date Check]]="Pass",Benchmark1[[#This Row],[Comparable '#2 Return]]-Benchmark1[[#This Row],[Benchmark '#1 Return]],"-"),"-")</f>
        <v>-2.9054108356317158E-2</v>
      </c>
      <c r="P1219" s="1" t="str">
        <f>IF(COUNTIF(Comp3[Comparable '#3 Dates],Benchmark1[[#This Row],[Benchmark '#1 Dates]])=1,"Pass","Fail")</f>
        <v>Pass</v>
      </c>
      <c r="Q1219" s="6">
        <f>IF(Benchmark1[[#This Row],[Comparable '#3 Date Check]]="Pass",INDEX(Comp3[Comparable '#3 Price],MATCH(Benchmark1[[#This Row],[Benchmark '#1 Dates]],Comp3[Comparable '#3 Dates],0)),"-")</f>
        <v>82.11</v>
      </c>
      <c r="R1219" s="22">
        <f>IF(Benchmark1[[#This Row],[Comparable '#3 Date Check]]="Pass",INDEX(Comp3[Comparable '#3 Return],MATCH(Benchmark1[[#This Row],[Benchmark '#1 Dates]],Comp3[Comparable '#3 Dates],0)),"-")</f>
        <v>2.8050509276086816E-3</v>
      </c>
      <c r="S1219" s="1">
        <f>IFERROR(IF(Benchmark1[[#This Row],[Comparable '#3 Date Check]]="Pass",Benchmark1[[#This Row],[Comparable '#3 Return]]-Benchmark1[[#This Row],[Benchmark '#1 Return]],"-"),"-")</f>
        <v>-1.5502685353224407E-2</v>
      </c>
    </row>
    <row r="1220" spans="1:19">
      <c r="A1220" s="103">
        <v>45054</v>
      </c>
      <c r="B1220" s="104">
        <v>4138.1229793746761</v>
      </c>
      <c r="C1220" s="4">
        <f t="shared" si="19"/>
        <v>4.5190713906764193E-4</v>
      </c>
      <c r="D1220" s="1" t="str">
        <f>IF(COUNTIF(Target1[Target Dates],Benchmark1[[#This Row],[Benchmark '#1 Dates]])=1,"Pass","Fail")</f>
        <v>Pass</v>
      </c>
      <c r="E1220" s="6">
        <f>IF(Benchmark1[[#This Row],[Target Date Check]]="Pass",INDEX(Target1[Target Price],MATCH(Benchmark1[[#This Row],[Benchmark '#1 Dates]],Target1[Target Dates],0)),"-")</f>
        <v>41.26</v>
      </c>
      <c r="F1220" s="22">
        <f>IF(Benchmark1[[#This Row],[Target Date Check]]="Pass",INDEX(Target1[Target Return],MATCH(Benchmark1[[#This Row],[Benchmark '#1 Dates]],Target1[Target Dates],0)),"-")</f>
        <v>1.9408060434622878E-3</v>
      </c>
      <c r="G1220" s="1">
        <f>IFERROR(IF(Benchmark1[[#This Row],[Target Date Check]]="Pass",Benchmark1[[#This Row],[Target Return]]-Benchmark1[[#This Row],[Benchmark '#1 Return]],"-"),"-")</f>
        <v>1.4888989043946458E-3</v>
      </c>
      <c r="H1220" s="1" t="str">
        <f>IF(COUNTIF(Comp1[Comparable '#1 Dates],Benchmark1[[#This Row],[Benchmark '#1 Dates]])=1,"Pass","Fail")</f>
        <v>Pass</v>
      </c>
      <c r="I1220" s="6">
        <f>IF(Benchmark1[[#This Row],[Comparable '#1 Date Check]]="Pass",INDEX(Comp1[Comparable '#1 Price],MATCH(Benchmark1[[#This Row],[Benchmark '#1 Dates]],Comp1[Comparable '#1 Dates],0)),"-")</f>
        <v>11.95</v>
      </c>
      <c r="J1220" s="22">
        <f>IF(Benchmark1[[#This Row],[Comparable '#1 Date Check]]="Pass",INDEX(Comp1[Comparable '#1 Return],MATCH(Benchmark1[[#This Row],[Benchmark '#1 Dates]],Comp1[Comparable '#1 Dates],0)),"-")</f>
        <v>-3.0492679727854091E-2</v>
      </c>
      <c r="K1220" s="1">
        <f>IFERROR(IF(Benchmark1[[#This Row],[Comparable '#1 Date Check]]="Pass",Benchmark1[[#This Row],[Comparable '#1 Return]]-Benchmark1[[#This Row],[Benchmark '#1 Return]],"-"),"-")</f>
        <v>-3.0944586866921732E-2</v>
      </c>
      <c r="L1220" s="1" t="str">
        <f>IF(COUNTIF(Comp2[Comparable '#2 Dates],Benchmark1[[#This Row],[Benchmark '#1 Dates]])=1,"Pass","Fail")</f>
        <v>Pass</v>
      </c>
      <c r="M1220" s="6">
        <f>IF(Benchmark1[[#This Row],[Comparable '#2 Date Check]]="Pass",INDEX(Comp2[Comparable '#2 Price],MATCH(Benchmark1[[#This Row],[Benchmark '#1 Dates]],Comp2[Comparable '#2 Dates],0)),"-")</f>
        <v>41.5</v>
      </c>
      <c r="N1220" s="22">
        <f>IF(Benchmark1[[#This Row],[Comparable '#2 Date Check]]="Pass",INDEX(Comp2[Comparable '#2 Return],MATCH(Benchmark1[[#This Row],[Benchmark '#1 Dates]],Comp2[Comparable '#2 Dates],0)),"-")</f>
        <v>-3.607941376199054E-3</v>
      </c>
      <c r="O1220" s="1">
        <f>IFERROR(IF(Benchmark1[[#This Row],[Comparable '#2 Date Check]]="Pass",Benchmark1[[#This Row],[Comparable '#2 Return]]-Benchmark1[[#This Row],[Benchmark '#1 Return]],"-"),"-")</f>
        <v>-4.0598485152666961E-3</v>
      </c>
      <c r="P1220" s="1" t="str">
        <f>IF(COUNTIF(Comp3[Comparable '#3 Dates],Benchmark1[[#This Row],[Benchmark '#1 Dates]])=1,"Pass","Fail")</f>
        <v>Pass</v>
      </c>
      <c r="Q1220" s="6">
        <f>IF(Benchmark1[[#This Row],[Comparable '#3 Date Check]]="Pass",INDEX(Comp3[Comparable '#3 Price],MATCH(Benchmark1[[#This Row],[Benchmark '#1 Dates]],Comp3[Comparable '#3 Dates],0)),"-")</f>
        <v>83.11</v>
      </c>
      <c r="R1220" s="22">
        <f>IF(Benchmark1[[#This Row],[Comparable '#3 Date Check]]="Pass",INDEX(Comp3[Comparable '#3 Return],MATCH(Benchmark1[[#This Row],[Benchmark '#1 Dates]],Comp3[Comparable '#3 Dates],0)),"-")</f>
        <v>1.2105219844237547E-2</v>
      </c>
      <c r="S1220" s="1">
        <f>IFERROR(IF(Benchmark1[[#This Row],[Comparable '#3 Date Check]]="Pass",Benchmark1[[#This Row],[Comparable '#3 Return]]-Benchmark1[[#This Row],[Benchmark '#1 Return]],"-"),"-")</f>
        <v>1.1653312705169904E-2</v>
      </c>
    </row>
    <row r="1221" spans="1:19">
      <c r="A1221" s="103">
        <v>45055</v>
      </c>
      <c r="B1221" s="104">
        <v>4119.1733654790842</v>
      </c>
      <c r="C1221" s="4">
        <f t="shared" si="19"/>
        <v>-4.5897946181322679E-3</v>
      </c>
      <c r="D1221" s="1" t="str">
        <f>IF(COUNTIF(Target1[Target Dates],Benchmark1[[#This Row],[Benchmark '#1 Dates]])=1,"Pass","Fail")</f>
        <v>Pass</v>
      </c>
      <c r="E1221" s="6">
        <f>IF(Benchmark1[[#This Row],[Target Date Check]]="Pass",INDEX(Target1[Target Price],MATCH(Benchmark1[[#This Row],[Benchmark '#1 Dates]],Target1[Target Dates],0)),"-")</f>
        <v>41.27</v>
      </c>
      <c r="F1221" s="22">
        <f>IF(Benchmark1[[#This Row],[Target Date Check]]="Pass",INDEX(Target1[Target Return],MATCH(Benchmark1[[#This Row],[Benchmark '#1 Dates]],Target1[Target Dates],0)),"-")</f>
        <v>2.4233612138489368E-4</v>
      </c>
      <c r="G1221" s="1">
        <f>IFERROR(IF(Benchmark1[[#This Row],[Target Date Check]]="Pass",Benchmark1[[#This Row],[Target Return]]-Benchmark1[[#This Row],[Benchmark '#1 Return]],"-"),"-")</f>
        <v>4.8321307395171615E-3</v>
      </c>
      <c r="H1221" s="1" t="str">
        <f>IF(COUNTIF(Comp1[Comparable '#1 Dates],Benchmark1[[#This Row],[Benchmark '#1 Dates]])=1,"Pass","Fail")</f>
        <v>Pass</v>
      </c>
      <c r="I1221" s="6">
        <f>IF(Benchmark1[[#This Row],[Comparable '#1 Date Check]]="Pass",INDEX(Comp1[Comparable '#1 Price],MATCH(Benchmark1[[#This Row],[Benchmark '#1 Dates]],Comp1[Comparable '#1 Dates],0)),"-")</f>
        <v>11.93</v>
      </c>
      <c r="J1221" s="22">
        <f>IF(Benchmark1[[#This Row],[Comparable '#1 Date Check]]="Pass",INDEX(Comp1[Comparable '#1 Return],MATCH(Benchmark1[[#This Row],[Benchmark '#1 Dates]],Comp1[Comparable '#1 Dates],0)),"-")</f>
        <v>-1.6750422676948438E-3</v>
      </c>
      <c r="K1221" s="1">
        <f>IFERROR(IF(Benchmark1[[#This Row],[Comparable '#1 Date Check]]="Pass",Benchmark1[[#This Row],[Comparable '#1 Return]]-Benchmark1[[#This Row],[Benchmark '#1 Return]],"-"),"-")</f>
        <v>2.9147523504374244E-3</v>
      </c>
      <c r="L1221" s="1" t="str">
        <f>IF(COUNTIF(Comp2[Comparable '#2 Dates],Benchmark1[[#This Row],[Benchmark '#1 Dates]])=1,"Pass","Fail")</f>
        <v>Pass</v>
      </c>
      <c r="M1221" s="6">
        <f>IF(Benchmark1[[#This Row],[Comparable '#2 Date Check]]="Pass",INDEX(Comp2[Comparable '#2 Price],MATCH(Benchmark1[[#This Row],[Benchmark '#1 Dates]],Comp2[Comparable '#2 Dates],0)),"-")</f>
        <v>41.31</v>
      </c>
      <c r="N1221" s="22">
        <f>IF(Benchmark1[[#This Row],[Comparable '#2 Date Check]]="Pass",INDEX(Comp2[Comparable '#2 Return],MATCH(Benchmark1[[#This Row],[Benchmark '#1 Dates]],Comp2[Comparable '#2 Dates],0)),"-")</f>
        <v>-4.5888258279793417E-3</v>
      </c>
      <c r="O1221" s="1">
        <f>IFERROR(IF(Benchmark1[[#This Row],[Comparable '#2 Date Check]]="Pass",Benchmark1[[#This Row],[Comparable '#2 Return]]-Benchmark1[[#This Row],[Benchmark '#1 Return]],"-"),"-")</f>
        <v>9.6879015292622439E-7</v>
      </c>
      <c r="P1221" s="1" t="str">
        <f>IF(COUNTIF(Comp3[Comparable '#3 Dates],Benchmark1[[#This Row],[Benchmark '#1 Dates]])=1,"Pass","Fail")</f>
        <v>Pass</v>
      </c>
      <c r="Q1221" s="6">
        <f>IF(Benchmark1[[#This Row],[Comparable '#3 Date Check]]="Pass",INDEX(Comp3[Comparable '#3 Price],MATCH(Benchmark1[[#This Row],[Benchmark '#1 Dates]],Comp3[Comparable '#3 Dates],0)),"-")</f>
        <v>81.31</v>
      </c>
      <c r="R1221" s="22">
        <f>IF(Benchmark1[[#This Row],[Comparable '#3 Date Check]]="Pass",INDEX(Comp3[Comparable '#3 Return],MATCH(Benchmark1[[#This Row],[Benchmark '#1 Dates]],Comp3[Comparable '#3 Dates],0)),"-")</f>
        <v>-2.1896021345188723E-2</v>
      </c>
      <c r="S1221" s="1">
        <f>IFERROR(IF(Benchmark1[[#This Row],[Comparable '#3 Date Check]]="Pass",Benchmark1[[#This Row],[Comparable '#3 Return]]-Benchmark1[[#This Row],[Benchmark '#1 Return]],"-"),"-")</f>
        <v>-1.7306226727056454E-2</v>
      </c>
    </row>
    <row r="1222" spans="1:19">
      <c r="A1222" s="103">
        <v>45056</v>
      </c>
      <c r="B1222" s="104">
        <v>4137.6421898249901</v>
      </c>
      <c r="C1222" s="4">
        <f t="shared" si="19"/>
        <v>4.4736024496988469E-3</v>
      </c>
      <c r="D1222" s="1" t="str">
        <f>IF(COUNTIF(Target1[Target Dates],Benchmark1[[#This Row],[Benchmark '#1 Dates]])=1,"Pass","Fail")</f>
        <v>Pass</v>
      </c>
      <c r="E1222" s="6">
        <f>IF(Benchmark1[[#This Row],[Target Date Check]]="Pass",INDEX(Target1[Target Price],MATCH(Benchmark1[[#This Row],[Benchmark '#1 Dates]],Target1[Target Dates],0)),"-")</f>
        <v>41.53</v>
      </c>
      <c r="F1222" s="22">
        <f>IF(Benchmark1[[#This Row],[Target Date Check]]="Pass",INDEX(Target1[Target Return],MATCH(Benchmark1[[#This Row],[Benchmark '#1 Dates]],Target1[Target Dates],0)),"-")</f>
        <v>6.2802138781715986E-3</v>
      </c>
      <c r="G1222" s="1">
        <f>IFERROR(IF(Benchmark1[[#This Row],[Target Date Check]]="Pass",Benchmark1[[#This Row],[Target Return]]-Benchmark1[[#This Row],[Benchmark '#1 Return]],"-"),"-")</f>
        <v>1.8066114284727517E-3</v>
      </c>
      <c r="H1222" s="1" t="str">
        <f>IF(COUNTIF(Comp1[Comparable '#1 Dates],Benchmark1[[#This Row],[Benchmark '#1 Dates]])=1,"Pass","Fail")</f>
        <v>Pass</v>
      </c>
      <c r="I1222" s="6">
        <f>IF(Benchmark1[[#This Row],[Comparable '#1 Date Check]]="Pass",INDEX(Comp1[Comparable '#1 Price],MATCH(Benchmark1[[#This Row],[Benchmark '#1 Dates]],Comp1[Comparable '#1 Dates],0)),"-")</f>
        <v>12</v>
      </c>
      <c r="J1222" s="22">
        <f>IF(Benchmark1[[#This Row],[Comparable '#1 Date Check]]="Pass",INDEX(Comp1[Comparable '#1 Return],MATCH(Benchmark1[[#This Row],[Benchmark '#1 Dates]],Comp1[Comparable '#1 Dates],0)),"-")</f>
        <v>5.8504136781755605E-3</v>
      </c>
      <c r="K1222" s="1">
        <f>IFERROR(IF(Benchmark1[[#This Row],[Comparable '#1 Date Check]]="Pass",Benchmark1[[#This Row],[Comparable '#1 Return]]-Benchmark1[[#This Row],[Benchmark '#1 Return]],"-"),"-")</f>
        <v>1.3768112284767136E-3</v>
      </c>
      <c r="L1222" s="1" t="str">
        <f>IF(COUNTIF(Comp2[Comparable '#2 Dates],Benchmark1[[#This Row],[Benchmark '#1 Dates]])=1,"Pass","Fail")</f>
        <v>Pass</v>
      </c>
      <c r="M1222" s="6">
        <f>IF(Benchmark1[[#This Row],[Comparable '#2 Date Check]]="Pass",INDEX(Comp2[Comparable '#2 Price],MATCH(Benchmark1[[#This Row],[Benchmark '#1 Dates]],Comp2[Comparable '#2 Dates],0)),"-")</f>
        <v>41.69</v>
      </c>
      <c r="N1222" s="22">
        <f>IF(Benchmark1[[#This Row],[Comparable '#2 Date Check]]="Pass",INDEX(Comp2[Comparable '#2 Return],MATCH(Benchmark1[[#This Row],[Benchmark '#1 Dates]],Comp2[Comparable '#2 Dates],0)),"-")</f>
        <v>9.1566904840321844E-3</v>
      </c>
      <c r="O1222" s="1">
        <f>IFERROR(IF(Benchmark1[[#This Row],[Comparable '#2 Date Check]]="Pass",Benchmark1[[#This Row],[Comparable '#2 Return]]-Benchmark1[[#This Row],[Benchmark '#1 Return]],"-"),"-")</f>
        <v>4.6830880343333376E-3</v>
      </c>
      <c r="P1222" s="1" t="str">
        <f>IF(COUNTIF(Comp3[Comparable '#3 Dates],Benchmark1[[#This Row],[Benchmark '#1 Dates]])=1,"Pass","Fail")</f>
        <v>Pass</v>
      </c>
      <c r="Q1222" s="6">
        <f>IF(Benchmark1[[#This Row],[Comparable '#3 Date Check]]="Pass",INDEX(Comp3[Comparable '#3 Price],MATCH(Benchmark1[[#This Row],[Benchmark '#1 Dates]],Comp3[Comparable '#3 Dates],0)),"-")</f>
        <v>78.94</v>
      </c>
      <c r="R1222" s="22">
        <f>IF(Benchmark1[[#This Row],[Comparable '#3 Date Check]]="Pass",INDEX(Comp3[Comparable '#3 Return],MATCH(Benchmark1[[#This Row],[Benchmark '#1 Dates]],Comp3[Comparable '#3 Dates],0)),"-")</f>
        <v>-2.9580939985045223E-2</v>
      </c>
      <c r="S1222" s="1">
        <f>IFERROR(IF(Benchmark1[[#This Row],[Comparable '#3 Date Check]]="Pass",Benchmark1[[#This Row],[Comparable '#3 Return]]-Benchmark1[[#This Row],[Benchmark '#1 Return]],"-"),"-")</f>
        <v>-3.4054542434744067E-2</v>
      </c>
    </row>
    <row r="1223" spans="1:19">
      <c r="A1223" s="103">
        <v>45057</v>
      </c>
      <c r="B1223" s="104">
        <v>4130.621269221645</v>
      </c>
      <c r="C1223" s="4">
        <f t="shared" si="19"/>
        <v>-1.6982821908315439E-3</v>
      </c>
      <c r="D1223" s="1" t="str">
        <f>IF(COUNTIF(Target1[Target Dates],Benchmark1[[#This Row],[Benchmark '#1 Dates]])=1,"Pass","Fail")</f>
        <v>Pass</v>
      </c>
      <c r="E1223" s="6">
        <f>IF(Benchmark1[[#This Row],[Target Date Check]]="Pass",INDEX(Target1[Target Price],MATCH(Benchmark1[[#This Row],[Benchmark '#1 Dates]],Target1[Target Dates],0)),"-")</f>
        <v>42.11</v>
      </c>
      <c r="F1223" s="22">
        <f>IF(Benchmark1[[#This Row],[Target Date Check]]="Pass",INDEX(Target1[Target Return],MATCH(Benchmark1[[#This Row],[Benchmark '#1 Dates]],Target1[Target Dates],0)),"-")</f>
        <v>1.3869184531174169E-2</v>
      </c>
      <c r="G1223" s="1">
        <f>IFERROR(IF(Benchmark1[[#This Row],[Target Date Check]]="Pass",Benchmark1[[#This Row],[Target Return]]-Benchmark1[[#This Row],[Benchmark '#1 Return]],"-"),"-")</f>
        <v>1.5567466722005712E-2</v>
      </c>
      <c r="H1223" s="1" t="str">
        <f>IF(COUNTIF(Comp1[Comparable '#1 Dates],Benchmark1[[#This Row],[Benchmark '#1 Dates]])=1,"Pass","Fail")</f>
        <v>Pass</v>
      </c>
      <c r="I1223" s="6">
        <f>IF(Benchmark1[[#This Row],[Comparable '#1 Date Check]]="Pass",INDEX(Comp1[Comparable '#1 Price],MATCH(Benchmark1[[#This Row],[Benchmark '#1 Dates]],Comp1[Comparable '#1 Dates],0)),"-")</f>
        <v>11.99</v>
      </c>
      <c r="J1223" s="22">
        <f>IF(Benchmark1[[#This Row],[Comparable '#1 Date Check]]="Pass",INDEX(Comp1[Comparable '#1 Return],MATCH(Benchmark1[[#This Row],[Benchmark '#1 Dates]],Comp1[Comparable '#1 Dates],0)),"-")</f>
        <v>-8.3368074857745312E-4</v>
      </c>
      <c r="K1223" s="1">
        <f>IFERROR(IF(Benchmark1[[#This Row],[Comparable '#1 Date Check]]="Pass",Benchmark1[[#This Row],[Comparable '#1 Return]]-Benchmark1[[#This Row],[Benchmark '#1 Return]],"-"),"-")</f>
        <v>8.6460144225409077E-4</v>
      </c>
      <c r="L1223" s="1" t="str">
        <f>IF(COUNTIF(Comp2[Comparable '#2 Dates],Benchmark1[[#This Row],[Benchmark '#1 Dates]])=1,"Pass","Fail")</f>
        <v>Pass</v>
      </c>
      <c r="M1223" s="6">
        <f>IF(Benchmark1[[#This Row],[Comparable '#2 Date Check]]="Pass",INDEX(Comp2[Comparable '#2 Price],MATCH(Benchmark1[[#This Row],[Benchmark '#1 Dates]],Comp2[Comparable '#2 Dates],0)),"-")</f>
        <v>41.23</v>
      </c>
      <c r="N1223" s="22">
        <f>IF(Benchmark1[[#This Row],[Comparable '#2 Date Check]]="Pass",INDEX(Comp2[Comparable '#2 Return],MATCH(Benchmark1[[#This Row],[Benchmark '#1 Dates]],Comp2[Comparable '#2 Dates],0)),"-")</f>
        <v>-1.1095145173896936E-2</v>
      </c>
      <c r="O1223" s="1">
        <f>IFERROR(IF(Benchmark1[[#This Row],[Comparable '#2 Date Check]]="Pass",Benchmark1[[#This Row],[Comparable '#2 Return]]-Benchmark1[[#This Row],[Benchmark '#1 Return]],"-"),"-")</f>
        <v>-9.3968629830653919E-3</v>
      </c>
      <c r="P1223" s="1" t="str">
        <f>IF(COUNTIF(Comp3[Comparable '#3 Dates],Benchmark1[[#This Row],[Benchmark '#1 Dates]])=1,"Pass","Fail")</f>
        <v>Pass</v>
      </c>
      <c r="Q1223" s="6">
        <f>IF(Benchmark1[[#This Row],[Comparable '#3 Date Check]]="Pass",INDEX(Comp3[Comparable '#3 Price],MATCH(Benchmark1[[#This Row],[Benchmark '#1 Dates]],Comp3[Comparable '#3 Dates],0)),"-")</f>
        <v>80.12</v>
      </c>
      <c r="R1223" s="22">
        <f>IF(Benchmark1[[#This Row],[Comparable '#3 Date Check]]="Pass",INDEX(Comp3[Comparable '#3 Return],MATCH(Benchmark1[[#This Row],[Benchmark '#1 Dates]],Comp3[Comparable '#3 Dates],0)),"-")</f>
        <v>1.4837440562916466E-2</v>
      </c>
      <c r="S1223" s="1">
        <f>IFERROR(IF(Benchmark1[[#This Row],[Comparable '#3 Date Check]]="Pass",Benchmark1[[#This Row],[Comparable '#3 Return]]-Benchmark1[[#This Row],[Benchmark '#1 Return]],"-"),"-")</f>
        <v>1.6535722753748011E-2</v>
      </c>
    </row>
    <row r="1224" spans="1:19">
      <c r="A1224" s="103">
        <v>45058</v>
      </c>
      <c r="B1224" s="104">
        <v>4124.081021519939</v>
      </c>
      <c r="C1224" s="4">
        <f t="shared" si="19"/>
        <v>-1.5846117376238304E-3</v>
      </c>
      <c r="D1224" s="1" t="str">
        <f>IF(COUNTIF(Target1[Target Dates],Benchmark1[[#This Row],[Benchmark '#1 Dates]])=1,"Pass","Fail")</f>
        <v>Pass</v>
      </c>
      <c r="E1224" s="6">
        <f>IF(Benchmark1[[#This Row],[Target Date Check]]="Pass",INDEX(Target1[Target Price],MATCH(Benchmark1[[#This Row],[Benchmark '#1 Dates]],Target1[Target Dates],0)),"-")</f>
        <v>41.9</v>
      </c>
      <c r="F1224" s="22">
        <f>IF(Benchmark1[[#This Row],[Target Date Check]]="Pass",INDEX(Target1[Target Return],MATCH(Benchmark1[[#This Row],[Benchmark '#1 Dates]],Target1[Target Dates],0)),"-")</f>
        <v>-4.999415245744385E-3</v>
      </c>
      <c r="G1224" s="1">
        <f>IFERROR(IF(Benchmark1[[#This Row],[Target Date Check]]="Pass",Benchmark1[[#This Row],[Target Return]]-Benchmark1[[#This Row],[Benchmark '#1 Return]],"-"),"-")</f>
        <v>-3.4148035081205544E-3</v>
      </c>
      <c r="H1224" s="1" t="str">
        <f>IF(COUNTIF(Comp1[Comparable '#1 Dates],Benchmark1[[#This Row],[Benchmark '#1 Dates]])=1,"Pass","Fail")</f>
        <v>Pass</v>
      </c>
      <c r="I1224" s="6">
        <f>IF(Benchmark1[[#This Row],[Comparable '#1 Date Check]]="Pass",INDEX(Comp1[Comparable '#1 Price],MATCH(Benchmark1[[#This Row],[Benchmark '#1 Dates]],Comp1[Comparable '#1 Dates],0)),"-")</f>
        <v>12.01</v>
      </c>
      <c r="J1224" s="22">
        <f>IF(Benchmark1[[#This Row],[Comparable '#1 Date Check]]="Pass",INDEX(Comp1[Comparable '#1 Return],MATCH(Benchmark1[[#This Row],[Benchmark '#1 Dates]],Comp1[Comparable '#1 Dates],0)),"-")</f>
        <v>1.6666670524692463E-3</v>
      </c>
      <c r="K1224" s="1">
        <f>IFERROR(IF(Benchmark1[[#This Row],[Comparable '#1 Date Check]]="Pass",Benchmark1[[#This Row],[Comparable '#1 Return]]-Benchmark1[[#This Row],[Benchmark '#1 Return]],"-"),"-")</f>
        <v>3.2512787900930767E-3</v>
      </c>
      <c r="L1224" s="1" t="str">
        <f>IF(COUNTIF(Comp2[Comparable '#2 Dates],Benchmark1[[#This Row],[Benchmark '#1 Dates]])=1,"Pass","Fail")</f>
        <v>Pass</v>
      </c>
      <c r="M1224" s="6">
        <f>IF(Benchmark1[[#This Row],[Comparable '#2 Date Check]]="Pass",INDEX(Comp2[Comparable '#2 Price],MATCH(Benchmark1[[#This Row],[Benchmark '#1 Dates]],Comp2[Comparable '#2 Dates],0)),"-")</f>
        <v>41.15</v>
      </c>
      <c r="N1224" s="22">
        <f>IF(Benchmark1[[#This Row],[Comparable '#2 Date Check]]="Pass",INDEX(Comp2[Comparable '#2 Return],MATCH(Benchmark1[[#This Row],[Benchmark '#1 Dates]],Comp2[Comparable '#2 Dates],0)),"-")</f>
        <v>-1.9422195957297635E-3</v>
      </c>
      <c r="O1224" s="1">
        <f>IFERROR(IF(Benchmark1[[#This Row],[Comparable '#2 Date Check]]="Pass",Benchmark1[[#This Row],[Comparable '#2 Return]]-Benchmark1[[#This Row],[Benchmark '#1 Return]],"-"),"-")</f>
        <v>-3.5760785810593312E-4</v>
      </c>
      <c r="P1224" s="1" t="str">
        <f>IF(COUNTIF(Comp3[Comparable '#3 Dates],Benchmark1[[#This Row],[Benchmark '#1 Dates]])=1,"Pass","Fail")</f>
        <v>Pass</v>
      </c>
      <c r="Q1224" s="6">
        <f>IF(Benchmark1[[#This Row],[Comparable '#3 Date Check]]="Pass",INDEX(Comp3[Comparable '#3 Price],MATCH(Benchmark1[[#This Row],[Benchmark '#1 Dates]],Comp3[Comparable '#3 Dates],0)),"-")</f>
        <v>80.319999999999993</v>
      </c>
      <c r="R1224" s="22">
        <f>IF(Benchmark1[[#This Row],[Comparable '#3 Date Check]]="Pass",INDEX(Comp3[Comparable '#3 Return],MATCH(Benchmark1[[#This Row],[Benchmark '#1 Dates]],Comp3[Comparable '#3 Dates],0)),"-")</f>
        <v>2.4931451458014954E-3</v>
      </c>
      <c r="S1224" s="1">
        <f>IFERROR(IF(Benchmark1[[#This Row],[Comparable '#3 Date Check]]="Pass",Benchmark1[[#This Row],[Comparable '#3 Return]]-Benchmark1[[#This Row],[Benchmark '#1 Return]],"-"),"-")</f>
        <v>4.077756883425326E-3</v>
      </c>
    </row>
    <row r="1225" spans="1:19">
      <c r="A1225" s="103">
        <v>45061</v>
      </c>
      <c r="B1225" s="104">
        <v>4136.2842143368962</v>
      </c>
      <c r="C1225" s="4">
        <f t="shared" si="19"/>
        <v>2.9546397395846043E-3</v>
      </c>
      <c r="D1225" s="1" t="str">
        <f>IF(COUNTIF(Target1[Target Dates],Benchmark1[[#This Row],[Benchmark '#1 Dates]])=1,"Pass","Fail")</f>
        <v>Pass</v>
      </c>
      <c r="E1225" s="6">
        <f>IF(Benchmark1[[#This Row],[Target Date Check]]="Pass",INDEX(Target1[Target Price],MATCH(Benchmark1[[#This Row],[Benchmark '#1 Dates]],Target1[Target Dates],0)),"-")</f>
        <v>42.29</v>
      </c>
      <c r="F1225" s="22">
        <f>IF(Benchmark1[[#This Row],[Target Date Check]]="Pass",INDEX(Target1[Target Return],MATCH(Benchmark1[[#This Row],[Benchmark '#1 Dates]],Target1[Target Dates],0)),"-")</f>
        <v>9.2648245563051474E-3</v>
      </c>
      <c r="G1225" s="1">
        <f>IFERROR(IF(Benchmark1[[#This Row],[Target Date Check]]="Pass",Benchmark1[[#This Row],[Target Return]]-Benchmark1[[#This Row],[Benchmark '#1 Return]],"-"),"-")</f>
        <v>6.3101848167205436E-3</v>
      </c>
      <c r="H1225" s="1" t="str">
        <f>IF(COUNTIF(Comp1[Comparable '#1 Dates],Benchmark1[[#This Row],[Benchmark '#1 Dates]])=1,"Pass","Fail")</f>
        <v>Pass</v>
      </c>
      <c r="I1225" s="6">
        <f>IF(Benchmark1[[#This Row],[Comparable '#1 Date Check]]="Pass",INDEX(Comp1[Comparable '#1 Price],MATCH(Benchmark1[[#This Row],[Benchmark '#1 Dates]],Comp1[Comparable '#1 Dates],0)),"-")</f>
        <v>11.99</v>
      </c>
      <c r="J1225" s="22">
        <f>IF(Benchmark1[[#This Row],[Comparable '#1 Date Check]]="Pass",INDEX(Comp1[Comparable '#1 Return],MATCH(Benchmark1[[#This Row],[Benchmark '#1 Dates]],Comp1[Comparable '#1 Dates],0)),"-")</f>
        <v>-1.666667052469229E-3</v>
      </c>
      <c r="K1225" s="1">
        <f>IFERROR(IF(Benchmark1[[#This Row],[Comparable '#1 Date Check]]="Pass",Benchmark1[[#This Row],[Comparable '#1 Return]]-Benchmark1[[#This Row],[Benchmark '#1 Return]],"-"),"-")</f>
        <v>-4.6213067920538335E-3</v>
      </c>
      <c r="L1225" s="1" t="str">
        <f>IF(COUNTIF(Comp2[Comparable '#2 Dates],Benchmark1[[#This Row],[Benchmark '#1 Dates]])=1,"Pass","Fail")</f>
        <v>Pass</v>
      </c>
      <c r="M1225" s="6">
        <f>IF(Benchmark1[[#This Row],[Comparable '#2 Date Check]]="Pass",INDEX(Comp2[Comparable '#2 Price],MATCH(Benchmark1[[#This Row],[Benchmark '#1 Dates]],Comp2[Comparable '#2 Dates],0)),"-")</f>
        <v>40.5</v>
      </c>
      <c r="N1225" s="22">
        <f>IF(Benchmark1[[#This Row],[Comparable '#2 Date Check]]="Pass",INDEX(Comp2[Comparable '#2 Return],MATCH(Benchmark1[[#This Row],[Benchmark '#1 Dates]],Comp2[Comparable '#2 Dates],0)),"-")</f>
        <v>-1.5921953010585355E-2</v>
      </c>
      <c r="O1225" s="1">
        <f>IFERROR(IF(Benchmark1[[#This Row],[Comparable '#2 Date Check]]="Pass",Benchmark1[[#This Row],[Comparable '#2 Return]]-Benchmark1[[#This Row],[Benchmark '#1 Return]],"-"),"-")</f>
        <v>-1.8876592750169958E-2</v>
      </c>
      <c r="P1225" s="1" t="str">
        <f>IF(COUNTIF(Comp3[Comparable '#3 Dates],Benchmark1[[#This Row],[Benchmark '#1 Dates]])=1,"Pass","Fail")</f>
        <v>Pass</v>
      </c>
      <c r="Q1225" s="6">
        <f>IF(Benchmark1[[#This Row],[Comparable '#3 Date Check]]="Pass",INDEX(Comp3[Comparable '#3 Price],MATCH(Benchmark1[[#This Row],[Benchmark '#1 Dates]],Comp3[Comparable '#3 Dates],0)),"-")</f>
        <v>80.75</v>
      </c>
      <c r="R1225" s="22">
        <f>IF(Benchmark1[[#This Row],[Comparable '#3 Date Check]]="Pass",INDEX(Comp3[Comparable '#3 Return],MATCH(Benchmark1[[#This Row],[Benchmark '#1 Dates]],Comp3[Comparable '#3 Dates],0)),"-")</f>
        <v>5.3393061593468788E-3</v>
      </c>
      <c r="S1225" s="1">
        <f>IFERROR(IF(Benchmark1[[#This Row],[Comparable '#3 Date Check]]="Pass",Benchmark1[[#This Row],[Comparable '#3 Return]]-Benchmark1[[#This Row],[Benchmark '#1 Return]],"-"),"-")</f>
        <v>2.3846664197622745E-3</v>
      </c>
    </row>
    <row r="1226" spans="1:19">
      <c r="A1226" s="103">
        <v>45062</v>
      </c>
      <c r="B1226" s="104">
        <v>4109.8970058402119</v>
      </c>
      <c r="C1226" s="4">
        <f t="shared" si="19"/>
        <v>-6.3998832567758058E-3</v>
      </c>
      <c r="D1226" s="1" t="str">
        <f>IF(COUNTIF(Target1[Target Dates],Benchmark1[[#This Row],[Benchmark '#1 Dates]])=1,"Pass","Fail")</f>
        <v>Pass</v>
      </c>
      <c r="E1226" s="6">
        <f>IF(Benchmark1[[#This Row],[Target Date Check]]="Pass",INDEX(Target1[Target Price],MATCH(Benchmark1[[#This Row],[Benchmark '#1 Dates]],Target1[Target Dates],0)),"-")</f>
        <v>41.91</v>
      </c>
      <c r="F1226" s="22">
        <f>IF(Benchmark1[[#This Row],[Target Date Check]]="Pass",INDEX(Target1[Target Return],MATCH(Benchmark1[[#This Row],[Benchmark '#1 Dates]],Target1[Target Dates],0)),"-")</f>
        <v>-9.0261895474171225E-3</v>
      </c>
      <c r="G1226" s="1">
        <f>IFERROR(IF(Benchmark1[[#This Row],[Target Date Check]]="Pass",Benchmark1[[#This Row],[Target Return]]-Benchmark1[[#This Row],[Benchmark '#1 Return]],"-"),"-")</f>
        <v>-2.6263062906413167E-3</v>
      </c>
      <c r="H1226" s="1" t="str">
        <f>IF(COUNTIF(Comp1[Comparable '#1 Dates],Benchmark1[[#This Row],[Benchmark '#1 Dates]])=1,"Pass","Fail")</f>
        <v>Pass</v>
      </c>
      <c r="I1226" s="6">
        <f>IF(Benchmark1[[#This Row],[Comparable '#1 Date Check]]="Pass",INDEX(Comp1[Comparable '#1 Price],MATCH(Benchmark1[[#This Row],[Benchmark '#1 Dates]],Comp1[Comparable '#1 Dates],0)),"-")</f>
        <v>11.95</v>
      </c>
      <c r="J1226" s="22">
        <f>IF(Benchmark1[[#This Row],[Comparable '#1 Date Check]]="Pass",INDEX(Comp1[Comparable '#1 Return],MATCH(Benchmark1[[#This Row],[Benchmark '#1 Dates]],Comp1[Comparable '#1 Dates],0)),"-")</f>
        <v>-3.3416906619033247E-3</v>
      </c>
      <c r="K1226" s="1">
        <f>IFERROR(IF(Benchmark1[[#This Row],[Comparable '#1 Date Check]]="Pass",Benchmark1[[#This Row],[Comparable '#1 Return]]-Benchmark1[[#This Row],[Benchmark '#1 Return]],"-"),"-")</f>
        <v>3.0581925948724811E-3</v>
      </c>
      <c r="L1226" s="1" t="str">
        <f>IF(COUNTIF(Comp2[Comparable '#2 Dates],Benchmark1[[#This Row],[Benchmark '#1 Dates]])=1,"Pass","Fail")</f>
        <v>Pass</v>
      </c>
      <c r="M1226" s="6">
        <f>IF(Benchmark1[[#This Row],[Comparable '#2 Date Check]]="Pass",INDEX(Comp2[Comparable '#2 Price],MATCH(Benchmark1[[#This Row],[Benchmark '#1 Dates]],Comp2[Comparable '#2 Dates],0)),"-")</f>
        <v>41.42</v>
      </c>
      <c r="N1226" s="22">
        <f>IF(Benchmark1[[#This Row],[Comparable '#2 Date Check]]="Pass",INDEX(Comp2[Comparable '#2 Return],MATCH(Benchmark1[[#This Row],[Benchmark '#1 Dates]],Comp2[Comparable '#2 Dates],0)),"-")</f>
        <v>2.2461881854944691E-2</v>
      </c>
      <c r="O1226" s="1">
        <f>IFERROR(IF(Benchmark1[[#This Row],[Comparable '#2 Date Check]]="Pass",Benchmark1[[#This Row],[Comparable '#2 Return]]-Benchmark1[[#This Row],[Benchmark '#1 Return]],"-"),"-")</f>
        <v>2.8861765111720498E-2</v>
      </c>
      <c r="P1226" s="1" t="str">
        <f>IF(COUNTIF(Comp3[Comparable '#3 Dates],Benchmark1[[#This Row],[Benchmark '#1 Dates]])=1,"Pass","Fail")</f>
        <v>Pass</v>
      </c>
      <c r="Q1226" s="6">
        <f>IF(Benchmark1[[#This Row],[Comparable '#3 Date Check]]="Pass",INDEX(Comp3[Comparable '#3 Price],MATCH(Benchmark1[[#This Row],[Benchmark '#1 Dates]],Comp3[Comparable '#3 Dates],0)),"-")</f>
        <v>79.69</v>
      </c>
      <c r="R1226" s="22">
        <f>IF(Benchmark1[[#This Row],[Comparable '#3 Date Check]]="Pass",INDEX(Comp3[Comparable '#3 Return],MATCH(Benchmark1[[#This Row],[Benchmark '#1 Dates]],Comp3[Comparable '#3 Dates],0)),"-")</f>
        <v>-1.3213854693109142E-2</v>
      </c>
      <c r="S1226" s="1">
        <f>IFERROR(IF(Benchmark1[[#This Row],[Comparable '#3 Date Check]]="Pass",Benchmark1[[#This Row],[Comparable '#3 Return]]-Benchmark1[[#This Row],[Benchmark '#1 Return]],"-"),"-")</f>
        <v>-6.813971436333336E-3</v>
      </c>
    </row>
    <row r="1227" spans="1:19">
      <c r="A1227" s="103">
        <v>45063</v>
      </c>
      <c r="B1227" s="104">
        <v>4158.7707721412671</v>
      </c>
      <c r="C1227" s="4">
        <f t="shared" si="19"/>
        <v>1.1821574354230566E-2</v>
      </c>
      <c r="D1227" s="1" t="str">
        <f>IF(COUNTIF(Target1[Target Dates],Benchmark1[[#This Row],[Benchmark '#1 Dates]])=1,"Pass","Fail")</f>
        <v>Pass</v>
      </c>
      <c r="E1227" s="6">
        <f>IF(Benchmark1[[#This Row],[Target Date Check]]="Pass",INDEX(Target1[Target Price],MATCH(Benchmark1[[#This Row],[Benchmark '#1 Dates]],Target1[Target Dates],0)),"-")</f>
        <v>41.64</v>
      </c>
      <c r="F1227" s="22">
        <f>IF(Benchmark1[[#This Row],[Target Date Check]]="Pass",INDEX(Target1[Target Return],MATCH(Benchmark1[[#This Row],[Benchmark '#1 Dates]],Target1[Target Dates],0)),"-")</f>
        <v>-6.4632181902118929E-3</v>
      </c>
      <c r="G1227" s="1">
        <f>IFERROR(IF(Benchmark1[[#This Row],[Target Date Check]]="Pass",Benchmark1[[#This Row],[Target Return]]-Benchmark1[[#This Row],[Benchmark '#1 Return]],"-"),"-")</f>
        <v>-1.8284792544442457E-2</v>
      </c>
      <c r="H1227" s="1" t="str">
        <f>IF(COUNTIF(Comp1[Comparable '#1 Dates],Benchmark1[[#This Row],[Benchmark '#1 Dates]])=1,"Pass","Fail")</f>
        <v>Pass</v>
      </c>
      <c r="I1227" s="6">
        <f>IF(Benchmark1[[#This Row],[Comparable '#1 Date Check]]="Pass",INDEX(Comp1[Comparable '#1 Price],MATCH(Benchmark1[[#This Row],[Benchmark '#1 Dates]],Comp1[Comparable '#1 Dates],0)),"-")</f>
        <v>12.01</v>
      </c>
      <c r="J1227" s="22">
        <f>IF(Benchmark1[[#This Row],[Comparable '#1 Date Check]]="Pass",INDEX(Comp1[Comparable '#1 Return],MATCH(Benchmark1[[#This Row],[Benchmark '#1 Dates]],Comp1[Comparable '#1 Dates],0)),"-")</f>
        <v>5.0083577143725791E-3</v>
      </c>
      <c r="K1227" s="1">
        <f>IFERROR(IF(Benchmark1[[#This Row],[Comparable '#1 Date Check]]="Pass",Benchmark1[[#This Row],[Comparable '#1 Return]]-Benchmark1[[#This Row],[Benchmark '#1 Return]],"-"),"-")</f>
        <v>-6.8132166398579873E-3</v>
      </c>
      <c r="L1227" s="1" t="str">
        <f>IF(COUNTIF(Comp2[Comparable '#2 Dates],Benchmark1[[#This Row],[Benchmark '#1 Dates]])=1,"Pass","Fail")</f>
        <v>Pass</v>
      </c>
      <c r="M1227" s="6">
        <f>IF(Benchmark1[[#This Row],[Comparable '#2 Date Check]]="Pass",INDEX(Comp2[Comparable '#2 Price],MATCH(Benchmark1[[#This Row],[Benchmark '#1 Dates]],Comp2[Comparable '#2 Dates],0)),"-")</f>
        <v>42.46</v>
      </c>
      <c r="N1227" s="22">
        <f>IF(Benchmark1[[#This Row],[Comparable '#2 Date Check]]="Pass",INDEX(Comp2[Comparable '#2 Return],MATCH(Benchmark1[[#This Row],[Benchmark '#1 Dates]],Comp2[Comparable '#2 Dates],0)),"-")</f>
        <v>2.4798600307671823E-2</v>
      </c>
      <c r="O1227" s="1">
        <f>IFERROR(IF(Benchmark1[[#This Row],[Comparable '#2 Date Check]]="Pass",Benchmark1[[#This Row],[Comparable '#2 Return]]-Benchmark1[[#This Row],[Benchmark '#1 Return]],"-"),"-")</f>
        <v>1.2977025953441256E-2</v>
      </c>
      <c r="P1227" s="1" t="str">
        <f>IF(COUNTIF(Comp3[Comparable '#3 Dates],Benchmark1[[#This Row],[Benchmark '#1 Dates]])=1,"Pass","Fail")</f>
        <v>Pass</v>
      </c>
      <c r="Q1227" s="6">
        <f>IF(Benchmark1[[#This Row],[Comparable '#3 Date Check]]="Pass",INDEX(Comp3[Comparable '#3 Price],MATCH(Benchmark1[[#This Row],[Benchmark '#1 Dates]],Comp3[Comparable '#3 Dates],0)),"-")</f>
        <v>78.349999999999994</v>
      </c>
      <c r="R1227" s="22">
        <f>IF(Benchmark1[[#This Row],[Comparable '#3 Date Check]]="Pass",INDEX(Comp3[Comparable '#3 Return],MATCH(Benchmark1[[#This Row],[Benchmark '#1 Dates]],Comp3[Comparable '#3 Dates],0)),"-")</f>
        <v>-1.6958138607626939E-2</v>
      </c>
      <c r="S1227" s="1">
        <f>IFERROR(IF(Benchmark1[[#This Row],[Comparable '#3 Date Check]]="Pass",Benchmark1[[#This Row],[Comparable '#3 Return]]-Benchmark1[[#This Row],[Benchmark '#1 Return]],"-"),"-")</f>
        <v>-2.8779712961857506E-2</v>
      </c>
    </row>
    <row r="1228" spans="1:19">
      <c r="A1228" s="103">
        <v>45064</v>
      </c>
      <c r="B1228" s="104">
        <v>4198.050948671882</v>
      </c>
      <c r="C1228" s="4">
        <f t="shared" si="19"/>
        <v>9.4008145980962066E-3</v>
      </c>
      <c r="D1228" s="1" t="str">
        <f>IF(COUNTIF(Target1[Target Dates],Benchmark1[[#This Row],[Benchmark '#1 Dates]])=1,"Pass","Fail")</f>
        <v>Pass</v>
      </c>
      <c r="E1228" s="6">
        <f>IF(Benchmark1[[#This Row],[Target Date Check]]="Pass",INDEX(Target1[Target Price],MATCH(Benchmark1[[#This Row],[Benchmark '#1 Dates]],Target1[Target Dates],0)),"-")</f>
        <v>41.67</v>
      </c>
      <c r="F1228" s="22">
        <f>IF(Benchmark1[[#This Row],[Target Date Check]]="Pass",INDEX(Target1[Target Return],MATCH(Benchmark1[[#This Row],[Benchmark '#1 Dates]],Target1[Target Dates],0)),"-")</f>
        <v>7.2020168759391145E-4</v>
      </c>
      <c r="G1228" s="1">
        <f>IFERROR(IF(Benchmark1[[#This Row],[Target Date Check]]="Pass",Benchmark1[[#This Row],[Target Return]]-Benchmark1[[#This Row],[Benchmark '#1 Return]],"-"),"-")</f>
        <v>-8.6806129105022958E-3</v>
      </c>
      <c r="H1228" s="1" t="str">
        <f>IF(COUNTIF(Comp1[Comparable '#1 Dates],Benchmark1[[#This Row],[Benchmark '#1 Dates]])=1,"Pass","Fail")</f>
        <v>Pass</v>
      </c>
      <c r="I1228" s="6">
        <f>IF(Benchmark1[[#This Row],[Comparable '#1 Date Check]]="Pass",INDEX(Comp1[Comparable '#1 Price],MATCH(Benchmark1[[#This Row],[Benchmark '#1 Dates]],Comp1[Comparable '#1 Dates],0)),"-")</f>
        <v>12.3</v>
      </c>
      <c r="J1228" s="22">
        <f>IF(Benchmark1[[#This Row],[Comparable '#1 Date Check]]="Pass",INDEX(Comp1[Comparable '#1 Return],MATCH(Benchmark1[[#This Row],[Benchmark '#1 Dates]],Comp1[Comparable '#1 Dates],0)),"-")</f>
        <v>2.3859626286479606E-2</v>
      </c>
      <c r="K1228" s="1">
        <f>IFERROR(IF(Benchmark1[[#This Row],[Comparable '#1 Date Check]]="Pass",Benchmark1[[#This Row],[Comparable '#1 Return]]-Benchmark1[[#This Row],[Benchmark '#1 Return]],"-"),"-")</f>
        <v>1.4458811688383399E-2</v>
      </c>
      <c r="L1228" s="1" t="str">
        <f>IF(COUNTIF(Comp2[Comparable '#2 Dates],Benchmark1[[#This Row],[Benchmark '#1 Dates]])=1,"Pass","Fail")</f>
        <v>Pass</v>
      </c>
      <c r="M1228" s="6">
        <f>IF(Benchmark1[[#This Row],[Comparable '#2 Date Check]]="Pass",INDEX(Comp2[Comparable '#2 Price],MATCH(Benchmark1[[#This Row],[Benchmark '#1 Dates]],Comp2[Comparable '#2 Dates],0)),"-")</f>
        <v>42.98</v>
      </c>
      <c r="N1228" s="22">
        <f>IF(Benchmark1[[#This Row],[Comparable '#2 Date Check]]="Pass",INDEX(Comp2[Comparable '#2 Return],MATCH(Benchmark1[[#This Row],[Benchmark '#1 Dates]],Comp2[Comparable '#2 Dates],0)),"-")</f>
        <v>1.2172434939254287E-2</v>
      </c>
      <c r="O1228" s="1">
        <f>IFERROR(IF(Benchmark1[[#This Row],[Comparable '#2 Date Check]]="Pass",Benchmark1[[#This Row],[Comparable '#2 Return]]-Benchmark1[[#This Row],[Benchmark '#1 Return]],"-"),"-")</f>
        <v>2.7716203411580799E-3</v>
      </c>
      <c r="P1228" s="1" t="str">
        <f>IF(COUNTIF(Comp3[Comparable '#3 Dates],Benchmark1[[#This Row],[Benchmark '#1 Dates]])=1,"Pass","Fail")</f>
        <v>Pass</v>
      </c>
      <c r="Q1228" s="6">
        <f>IF(Benchmark1[[#This Row],[Comparable '#3 Date Check]]="Pass",INDEX(Comp3[Comparable '#3 Price],MATCH(Benchmark1[[#This Row],[Benchmark '#1 Dates]],Comp3[Comparable '#3 Dates],0)),"-")</f>
        <v>78.3</v>
      </c>
      <c r="R1228" s="22">
        <f>IF(Benchmark1[[#This Row],[Comparable '#3 Date Check]]="Pass",INDEX(Comp3[Comparable '#3 Return],MATCH(Benchmark1[[#This Row],[Benchmark '#1 Dates]],Comp3[Comparable '#3 Dates],0)),"-")</f>
        <v>-6.3836580527233081E-4</v>
      </c>
      <c r="S1228" s="1">
        <f>IFERROR(IF(Benchmark1[[#This Row],[Comparable '#3 Date Check]]="Pass",Benchmark1[[#This Row],[Comparable '#3 Return]]-Benchmark1[[#This Row],[Benchmark '#1 Return]],"-"),"-")</f>
        <v>-1.0039180403368538E-2</v>
      </c>
    </row>
    <row r="1229" spans="1:19">
      <c r="A1229" s="103">
        <v>45065</v>
      </c>
      <c r="B1229" s="104">
        <v>4191.9797878028385</v>
      </c>
      <c r="C1229" s="4">
        <f t="shared" si="19"/>
        <v>-1.4472323450046105E-3</v>
      </c>
      <c r="D1229" s="1" t="str">
        <f>IF(COUNTIF(Target1[Target Dates],Benchmark1[[#This Row],[Benchmark '#1 Dates]])=1,"Pass","Fail")</f>
        <v>Pass</v>
      </c>
      <c r="E1229" s="6">
        <f>IF(Benchmark1[[#This Row],[Target Date Check]]="Pass",INDEX(Target1[Target Price],MATCH(Benchmark1[[#This Row],[Benchmark '#1 Dates]],Target1[Target Dates],0)),"-")</f>
        <v>41.75</v>
      </c>
      <c r="F1229" s="22">
        <f>IF(Benchmark1[[#This Row],[Target Date Check]]="Pass",INDEX(Target1[Target Return],MATCH(Benchmark1[[#This Row],[Benchmark '#1 Dates]],Target1[Target Dates],0)),"-")</f>
        <v>1.9180058625023124E-3</v>
      </c>
      <c r="G1229" s="1">
        <f>IFERROR(IF(Benchmark1[[#This Row],[Target Date Check]]="Pass",Benchmark1[[#This Row],[Target Return]]-Benchmark1[[#This Row],[Benchmark '#1 Return]],"-"),"-")</f>
        <v>3.3652382075069227E-3</v>
      </c>
      <c r="H1229" s="1" t="str">
        <f>IF(COUNTIF(Comp1[Comparable '#1 Dates],Benchmark1[[#This Row],[Benchmark '#1 Dates]])=1,"Pass","Fail")</f>
        <v>Pass</v>
      </c>
      <c r="I1229" s="6">
        <f>IF(Benchmark1[[#This Row],[Comparable '#1 Date Check]]="Pass",INDEX(Comp1[Comparable '#1 Price],MATCH(Benchmark1[[#This Row],[Benchmark '#1 Dates]],Comp1[Comparable '#1 Dates],0)),"-")</f>
        <v>12.3</v>
      </c>
      <c r="J1229" s="22">
        <f>IF(Benchmark1[[#This Row],[Comparable '#1 Date Check]]="Pass",INDEX(Comp1[Comparable '#1 Return],MATCH(Benchmark1[[#This Row],[Benchmark '#1 Dates]],Comp1[Comparable '#1 Dates],0)),"-")</f>
        <v>0</v>
      </c>
      <c r="K1229" s="1">
        <f>IFERROR(IF(Benchmark1[[#This Row],[Comparable '#1 Date Check]]="Pass",Benchmark1[[#This Row],[Comparable '#1 Return]]-Benchmark1[[#This Row],[Benchmark '#1 Return]],"-"),"-")</f>
        <v>1.4472323450046105E-3</v>
      </c>
      <c r="L1229" s="1" t="str">
        <f>IF(COUNTIF(Comp2[Comparable '#2 Dates],Benchmark1[[#This Row],[Benchmark '#1 Dates]])=1,"Pass","Fail")</f>
        <v>Pass</v>
      </c>
      <c r="M1229" s="6">
        <f>IF(Benchmark1[[#This Row],[Comparable '#2 Date Check]]="Pass",INDEX(Comp2[Comparable '#2 Price],MATCH(Benchmark1[[#This Row],[Benchmark '#1 Dates]],Comp2[Comparable '#2 Dates],0)),"-")</f>
        <v>43.5</v>
      </c>
      <c r="N1229" s="22">
        <f>IF(Benchmark1[[#This Row],[Comparable '#2 Date Check]]="Pass",INDEX(Comp2[Comparable '#2 Return],MATCH(Benchmark1[[#This Row],[Benchmark '#1 Dates]],Comp2[Comparable '#2 Dates],0)),"-")</f>
        <v>1.2026046880273982E-2</v>
      </c>
      <c r="O1229" s="1">
        <f>IFERROR(IF(Benchmark1[[#This Row],[Comparable '#2 Date Check]]="Pass",Benchmark1[[#This Row],[Comparable '#2 Return]]-Benchmark1[[#This Row],[Benchmark '#1 Return]],"-"),"-")</f>
        <v>1.3473279225278592E-2</v>
      </c>
      <c r="P1229" s="1" t="str">
        <f>IF(COUNTIF(Comp3[Comparable '#3 Dates],Benchmark1[[#This Row],[Benchmark '#1 Dates]])=1,"Pass","Fail")</f>
        <v>Pass</v>
      </c>
      <c r="Q1229" s="6">
        <f>IF(Benchmark1[[#This Row],[Comparable '#3 Date Check]]="Pass",INDEX(Comp3[Comparable '#3 Price],MATCH(Benchmark1[[#This Row],[Benchmark '#1 Dates]],Comp3[Comparable '#3 Dates],0)),"-")</f>
        <v>78.02</v>
      </c>
      <c r="R1229" s="22">
        <f>IF(Benchmark1[[#This Row],[Comparable '#3 Date Check]]="Pass",INDEX(Comp3[Comparable '#3 Return],MATCH(Benchmark1[[#This Row],[Benchmark '#1 Dates]],Comp3[Comparable '#3 Dates],0)),"-")</f>
        <v>-3.5823989182469439E-3</v>
      </c>
      <c r="S1229" s="1">
        <f>IFERROR(IF(Benchmark1[[#This Row],[Comparable '#3 Date Check]]="Pass",Benchmark1[[#This Row],[Comparable '#3 Return]]-Benchmark1[[#This Row],[Benchmark '#1 Return]],"-"),"-")</f>
        <v>-2.1351665732423333E-3</v>
      </c>
    </row>
    <row r="1230" spans="1:19">
      <c r="A1230" s="103">
        <v>45068</v>
      </c>
      <c r="B1230" s="104">
        <v>4192.6307041351947</v>
      </c>
      <c r="C1230" s="4">
        <f t="shared" si="19"/>
        <v>1.5526453716364458E-4</v>
      </c>
      <c r="D1230" s="1" t="str">
        <f>IF(COUNTIF(Target1[Target Dates],Benchmark1[[#This Row],[Benchmark '#1 Dates]])=1,"Pass","Fail")</f>
        <v>Pass</v>
      </c>
      <c r="E1230" s="6">
        <f>IF(Benchmark1[[#This Row],[Target Date Check]]="Pass",INDEX(Target1[Target Price],MATCH(Benchmark1[[#This Row],[Benchmark '#1 Dates]],Target1[Target Dates],0)),"-")</f>
        <v>41.71</v>
      </c>
      <c r="F1230" s="22">
        <f>IF(Benchmark1[[#This Row],[Target Date Check]]="Pass",INDEX(Target1[Target Return],MATCH(Benchmark1[[#This Row],[Benchmark '#1 Dates]],Target1[Target Dates],0)),"-")</f>
        <v>-9.5854308801059172E-4</v>
      </c>
      <c r="G1230" s="1">
        <f>IFERROR(IF(Benchmark1[[#This Row],[Target Date Check]]="Pass",Benchmark1[[#This Row],[Target Return]]-Benchmark1[[#This Row],[Benchmark '#1 Return]],"-"),"-")</f>
        <v>-1.1138076251742362E-3</v>
      </c>
      <c r="H1230" s="1" t="str">
        <f>IF(COUNTIF(Comp1[Comparable '#1 Dates],Benchmark1[[#This Row],[Benchmark '#1 Dates]])=1,"Pass","Fail")</f>
        <v>Pass</v>
      </c>
      <c r="I1230" s="6">
        <f>IF(Benchmark1[[#This Row],[Comparable '#1 Date Check]]="Pass",INDEX(Comp1[Comparable '#1 Price],MATCH(Benchmark1[[#This Row],[Benchmark '#1 Dates]],Comp1[Comparable '#1 Dates],0)),"-")</f>
        <v>12.26</v>
      </c>
      <c r="J1230" s="22">
        <f>IF(Benchmark1[[#This Row],[Comparable '#1 Date Check]]="Pass",INDEX(Comp1[Comparable '#1 Return],MATCH(Benchmark1[[#This Row],[Benchmark '#1 Dates]],Comp1[Comparable '#1 Dates],0)),"-")</f>
        <v>-3.2573318703065105E-3</v>
      </c>
      <c r="K1230" s="1">
        <f>IFERROR(IF(Benchmark1[[#This Row],[Comparable '#1 Date Check]]="Pass",Benchmark1[[#This Row],[Comparable '#1 Return]]-Benchmark1[[#This Row],[Benchmark '#1 Return]],"-"),"-")</f>
        <v>-3.4125964074701552E-3</v>
      </c>
      <c r="L1230" s="1" t="str">
        <f>IF(COUNTIF(Comp2[Comparable '#2 Dates],Benchmark1[[#This Row],[Benchmark '#1 Dates]])=1,"Pass","Fail")</f>
        <v>Pass</v>
      </c>
      <c r="M1230" s="6">
        <f>IF(Benchmark1[[#This Row],[Comparable '#2 Date Check]]="Pass",INDEX(Comp2[Comparable '#2 Price],MATCH(Benchmark1[[#This Row],[Benchmark '#1 Dates]],Comp2[Comparable '#2 Dates],0)),"-")</f>
        <v>42.91</v>
      </c>
      <c r="N1230" s="22">
        <f>IF(Benchmark1[[#This Row],[Comparable '#2 Date Check]]="Pass",INDEX(Comp2[Comparable '#2 Return],MATCH(Benchmark1[[#This Row],[Benchmark '#1 Dates]],Comp2[Comparable '#2 Dates],0)),"-")</f>
        <v>-1.365603909120513E-2</v>
      </c>
      <c r="O1230" s="1">
        <f>IFERROR(IF(Benchmark1[[#This Row],[Comparable '#2 Date Check]]="Pass",Benchmark1[[#This Row],[Comparable '#2 Return]]-Benchmark1[[#This Row],[Benchmark '#1 Return]],"-"),"-")</f>
        <v>-1.3811303628368774E-2</v>
      </c>
      <c r="P1230" s="1" t="str">
        <f>IF(COUNTIF(Comp3[Comparable '#3 Dates],Benchmark1[[#This Row],[Benchmark '#1 Dates]])=1,"Pass","Fail")</f>
        <v>Pass</v>
      </c>
      <c r="Q1230" s="6">
        <f>IF(Benchmark1[[#This Row],[Comparable '#3 Date Check]]="Pass",INDEX(Comp3[Comparable '#3 Price],MATCH(Benchmark1[[#This Row],[Benchmark '#1 Dates]],Comp3[Comparable '#3 Dates],0)),"-")</f>
        <v>79.209999999999994</v>
      </c>
      <c r="R1230" s="22">
        <f>IF(Benchmark1[[#This Row],[Comparable '#3 Date Check]]="Pass",INDEX(Comp3[Comparable '#3 Return],MATCH(Benchmark1[[#This Row],[Benchmark '#1 Dates]],Comp3[Comparable '#3 Dates],0)),"-")</f>
        <v>1.5137349397677923E-2</v>
      </c>
      <c r="S1230" s="1">
        <f>IFERROR(IF(Benchmark1[[#This Row],[Comparable '#3 Date Check]]="Pass",Benchmark1[[#This Row],[Comparable '#3 Return]]-Benchmark1[[#This Row],[Benchmark '#1 Return]],"-"),"-")</f>
        <v>1.4982084860514279E-2</v>
      </c>
    </row>
    <row r="1231" spans="1:19">
      <c r="A1231" s="103">
        <v>45069</v>
      </c>
      <c r="B1231" s="104">
        <v>4145.5751850640881</v>
      </c>
      <c r="C1231" s="4">
        <f t="shared" si="19"/>
        <v>-1.1286844973640821E-2</v>
      </c>
      <c r="D1231" s="1" t="str">
        <f>IF(COUNTIF(Target1[Target Dates],Benchmark1[[#This Row],[Benchmark '#1 Dates]])=1,"Pass","Fail")</f>
        <v>Pass</v>
      </c>
      <c r="E1231" s="6">
        <f>IF(Benchmark1[[#This Row],[Target Date Check]]="Pass",INDEX(Target1[Target Price],MATCH(Benchmark1[[#This Row],[Benchmark '#1 Dates]],Target1[Target Dates],0)),"-")</f>
        <v>41.42</v>
      </c>
      <c r="F1231" s="22">
        <f>IF(Benchmark1[[#This Row],[Target Date Check]]="Pass",INDEX(Target1[Target Return],MATCH(Benchmark1[[#This Row],[Benchmark '#1 Dates]],Target1[Target Dates],0)),"-")</f>
        <v>-6.9770522414158058E-3</v>
      </c>
      <c r="G1231" s="1">
        <f>IFERROR(IF(Benchmark1[[#This Row],[Target Date Check]]="Pass",Benchmark1[[#This Row],[Target Return]]-Benchmark1[[#This Row],[Benchmark '#1 Return]],"-"),"-")</f>
        <v>4.3097927322250157E-3</v>
      </c>
      <c r="H1231" s="1" t="str">
        <f>IF(COUNTIF(Comp1[Comparable '#1 Dates],Benchmark1[[#This Row],[Benchmark '#1 Dates]])=1,"Pass","Fail")</f>
        <v>Pass</v>
      </c>
      <c r="I1231" s="6">
        <f>IF(Benchmark1[[#This Row],[Comparable '#1 Date Check]]="Pass",INDEX(Comp1[Comparable '#1 Price],MATCH(Benchmark1[[#This Row],[Benchmark '#1 Dates]],Comp1[Comparable '#1 Dates],0)),"-")</f>
        <v>12.32</v>
      </c>
      <c r="J1231" s="22">
        <f>IF(Benchmark1[[#This Row],[Comparable '#1 Date Check]]="Pass",INDEX(Comp1[Comparable '#1 Return],MATCH(Benchmark1[[#This Row],[Benchmark '#1 Dates]],Comp1[Comparable '#1 Dates],0)),"-")</f>
        <v>4.8820275973083188E-3</v>
      </c>
      <c r="K1231" s="1">
        <f>IFERROR(IF(Benchmark1[[#This Row],[Comparable '#1 Date Check]]="Pass",Benchmark1[[#This Row],[Comparable '#1 Return]]-Benchmark1[[#This Row],[Benchmark '#1 Return]],"-"),"-")</f>
        <v>1.6168872570949139E-2</v>
      </c>
      <c r="L1231" s="1" t="str">
        <f>IF(COUNTIF(Comp2[Comparable '#2 Dates],Benchmark1[[#This Row],[Benchmark '#1 Dates]])=1,"Pass","Fail")</f>
        <v>Pass</v>
      </c>
      <c r="M1231" s="6">
        <f>IF(Benchmark1[[#This Row],[Comparable '#2 Date Check]]="Pass",INDEX(Comp2[Comparable '#2 Price],MATCH(Benchmark1[[#This Row],[Benchmark '#1 Dates]],Comp2[Comparable '#2 Dates],0)),"-")</f>
        <v>42.3</v>
      </c>
      <c r="N1231" s="22">
        <f>IF(Benchmark1[[#This Row],[Comparable '#2 Date Check]]="Pass",INDEX(Comp2[Comparable '#2 Return],MATCH(Benchmark1[[#This Row],[Benchmark '#1 Dates]],Comp2[Comparable '#2 Dates],0)),"-")</f>
        <v>-1.4317812951201042E-2</v>
      </c>
      <c r="O1231" s="1">
        <f>IFERROR(IF(Benchmark1[[#This Row],[Comparable '#2 Date Check]]="Pass",Benchmark1[[#This Row],[Comparable '#2 Return]]-Benchmark1[[#This Row],[Benchmark '#1 Return]],"-"),"-")</f>
        <v>-3.030967977560221E-3</v>
      </c>
      <c r="P1231" s="1" t="str">
        <f>IF(COUNTIF(Comp3[Comparable '#3 Dates],Benchmark1[[#This Row],[Benchmark '#1 Dates]])=1,"Pass","Fail")</f>
        <v>Pass</v>
      </c>
      <c r="Q1231" s="6">
        <f>IF(Benchmark1[[#This Row],[Comparable '#3 Date Check]]="Pass",INDEX(Comp3[Comparable '#3 Price],MATCH(Benchmark1[[#This Row],[Benchmark '#1 Dates]],Comp3[Comparable '#3 Dates],0)),"-")</f>
        <v>78.58</v>
      </c>
      <c r="R1231" s="22">
        <f>IF(Benchmark1[[#This Row],[Comparable '#3 Date Check]]="Pass",INDEX(Comp3[Comparable '#3 Return],MATCH(Benchmark1[[#This Row],[Benchmark '#1 Dates]],Comp3[Comparable '#3 Dates],0)),"-")</f>
        <v>-7.9853393458745644E-3</v>
      </c>
      <c r="S1231" s="1">
        <f>IFERROR(IF(Benchmark1[[#This Row],[Comparable '#3 Date Check]]="Pass",Benchmark1[[#This Row],[Comparable '#3 Return]]-Benchmark1[[#This Row],[Benchmark '#1 Return]],"-"),"-")</f>
        <v>3.3015056277662571E-3</v>
      </c>
    </row>
    <row r="1232" spans="1:19">
      <c r="A1232" s="103">
        <v>45070</v>
      </c>
      <c r="B1232" s="104">
        <v>4115.2385662049865</v>
      </c>
      <c r="C1232" s="4">
        <f t="shared" si="19"/>
        <v>-7.3447377337363534E-3</v>
      </c>
      <c r="D1232" s="1" t="str">
        <f>IF(COUNTIF(Target1[Target Dates],Benchmark1[[#This Row],[Benchmark '#1 Dates]])=1,"Pass","Fail")</f>
        <v>Pass</v>
      </c>
      <c r="E1232" s="6">
        <f>IF(Benchmark1[[#This Row],[Target Date Check]]="Pass",INDEX(Target1[Target Price],MATCH(Benchmark1[[#This Row],[Benchmark '#1 Dates]],Target1[Target Dates],0)),"-")</f>
        <v>41.18</v>
      </c>
      <c r="F1232" s="22">
        <f>IF(Benchmark1[[#This Row],[Target Date Check]]="Pass",INDEX(Target1[Target Return],MATCH(Benchmark1[[#This Row],[Benchmark '#1 Dates]],Target1[Target Dates],0)),"-")</f>
        <v>-5.811154367794771E-3</v>
      </c>
      <c r="G1232" s="1">
        <f>IFERROR(IF(Benchmark1[[#This Row],[Target Date Check]]="Pass",Benchmark1[[#This Row],[Target Return]]-Benchmark1[[#This Row],[Benchmark '#1 Return]],"-"),"-")</f>
        <v>1.5335833659415824E-3</v>
      </c>
      <c r="H1232" s="1" t="str">
        <f>IF(COUNTIF(Comp1[Comparable '#1 Dates],Benchmark1[[#This Row],[Benchmark '#1 Dates]])=1,"Pass","Fail")</f>
        <v>Pass</v>
      </c>
      <c r="I1232" s="6">
        <f>IF(Benchmark1[[#This Row],[Comparable '#1 Date Check]]="Pass",INDEX(Comp1[Comparable '#1 Price],MATCH(Benchmark1[[#This Row],[Benchmark '#1 Dates]],Comp1[Comparable '#1 Dates],0)),"-")</f>
        <v>12.29</v>
      </c>
      <c r="J1232" s="22">
        <f>IF(Benchmark1[[#This Row],[Comparable '#1 Date Check]]="Pass",INDEX(Comp1[Comparable '#1 Return],MATCH(Benchmark1[[#This Row],[Benchmark '#1 Dates]],Comp1[Comparable '#1 Dates],0)),"-")</f>
        <v>-2.4380345274303988E-3</v>
      </c>
      <c r="K1232" s="1">
        <f>IFERROR(IF(Benchmark1[[#This Row],[Comparable '#1 Date Check]]="Pass",Benchmark1[[#This Row],[Comparable '#1 Return]]-Benchmark1[[#This Row],[Benchmark '#1 Return]],"-"),"-")</f>
        <v>4.9067032063059551E-3</v>
      </c>
      <c r="L1232" s="1" t="str">
        <f>IF(COUNTIF(Comp2[Comparable '#2 Dates],Benchmark1[[#This Row],[Benchmark '#1 Dates]])=1,"Pass","Fail")</f>
        <v>Pass</v>
      </c>
      <c r="M1232" s="6">
        <f>IF(Benchmark1[[#This Row],[Comparable '#2 Date Check]]="Pass",INDEX(Comp2[Comparable '#2 Price],MATCH(Benchmark1[[#This Row],[Benchmark '#1 Dates]],Comp2[Comparable '#2 Dates],0)),"-")</f>
        <v>42.79</v>
      </c>
      <c r="N1232" s="22">
        <f>IF(Benchmark1[[#This Row],[Comparable '#2 Date Check]]="Pass",INDEX(Comp2[Comparable '#2 Return],MATCH(Benchmark1[[#This Row],[Benchmark '#1 Dates]],Comp2[Comparable '#2 Dates],0)),"-")</f>
        <v>1.1517344376493256E-2</v>
      </c>
      <c r="O1232" s="1">
        <f>IFERROR(IF(Benchmark1[[#This Row],[Comparable '#2 Date Check]]="Pass",Benchmark1[[#This Row],[Comparable '#2 Return]]-Benchmark1[[#This Row],[Benchmark '#1 Return]],"-"),"-")</f>
        <v>1.8862082110229609E-2</v>
      </c>
      <c r="P1232" s="1" t="str">
        <f>IF(COUNTIF(Comp3[Comparable '#3 Dates],Benchmark1[[#This Row],[Benchmark '#1 Dates]])=1,"Pass","Fail")</f>
        <v>Pass</v>
      </c>
      <c r="Q1232" s="6">
        <f>IF(Benchmark1[[#This Row],[Comparable '#3 Date Check]]="Pass",INDEX(Comp3[Comparable '#3 Price],MATCH(Benchmark1[[#This Row],[Benchmark '#1 Dates]],Comp3[Comparable '#3 Dates],0)),"-")</f>
        <v>79.510000000000005</v>
      </c>
      <c r="R1232" s="22">
        <f>IF(Benchmark1[[#This Row],[Comparable '#3 Date Check]]="Pass",INDEX(Comp3[Comparable '#3 Return],MATCH(Benchmark1[[#This Row],[Benchmark '#1 Dates]],Comp3[Comparable '#3 Dates],0)),"-")</f>
        <v>1.1765585783078385E-2</v>
      </c>
      <c r="S1232" s="1">
        <f>IFERROR(IF(Benchmark1[[#This Row],[Comparable '#3 Date Check]]="Pass",Benchmark1[[#This Row],[Comparable '#3 Return]]-Benchmark1[[#This Row],[Benchmark '#1 Return]],"-"),"-")</f>
        <v>1.9110323516814739E-2</v>
      </c>
    </row>
    <row r="1233" spans="1:19">
      <c r="A1233" s="103">
        <v>45071</v>
      </c>
      <c r="B1233" s="104">
        <v>4151.279873736471</v>
      </c>
      <c r="C1233" s="4">
        <f t="shared" si="19"/>
        <v>8.7198827810894431E-3</v>
      </c>
      <c r="D1233" s="1" t="str">
        <f>IF(COUNTIF(Target1[Target Dates],Benchmark1[[#This Row],[Benchmark '#1 Dates]])=1,"Pass","Fail")</f>
        <v>Pass</v>
      </c>
      <c r="E1233" s="6">
        <f>IF(Benchmark1[[#This Row],[Target Date Check]]="Pass",INDEX(Target1[Target Price],MATCH(Benchmark1[[#This Row],[Benchmark '#1 Dates]],Target1[Target Dates],0)),"-")</f>
        <v>40.28</v>
      </c>
      <c r="F1233" s="22">
        <f>IF(Benchmark1[[#This Row],[Target Date Check]]="Pass",INDEX(Target1[Target Return],MATCH(Benchmark1[[#This Row],[Benchmark '#1 Dates]],Target1[Target Dates],0)),"-")</f>
        <v>-2.2097633749281812E-2</v>
      </c>
      <c r="G1233" s="1">
        <f>IFERROR(IF(Benchmark1[[#This Row],[Target Date Check]]="Pass",Benchmark1[[#This Row],[Target Return]]-Benchmark1[[#This Row],[Benchmark '#1 Return]],"-"),"-")</f>
        <v>-3.0817516530371257E-2</v>
      </c>
      <c r="H1233" s="1" t="str">
        <f>IF(COUNTIF(Comp1[Comparable '#1 Dates],Benchmark1[[#This Row],[Benchmark '#1 Dates]])=1,"Pass","Fail")</f>
        <v>Pass</v>
      </c>
      <c r="I1233" s="6">
        <f>IF(Benchmark1[[#This Row],[Comparable '#1 Date Check]]="Pass",INDEX(Comp1[Comparable '#1 Price],MATCH(Benchmark1[[#This Row],[Benchmark '#1 Dates]],Comp1[Comparable '#1 Dates],0)),"-")</f>
        <v>12.39</v>
      </c>
      <c r="J1233" s="22">
        <f>IF(Benchmark1[[#This Row],[Comparable '#1 Date Check]]="Pass",INDEX(Comp1[Comparable '#1 Return],MATCH(Benchmark1[[#This Row],[Benchmark '#1 Dates]],Comp1[Comparable '#1 Dates],0)),"-")</f>
        <v>8.1037720631077399E-3</v>
      </c>
      <c r="K1233" s="1">
        <f>IFERROR(IF(Benchmark1[[#This Row],[Comparable '#1 Date Check]]="Pass",Benchmark1[[#This Row],[Comparable '#1 Return]]-Benchmark1[[#This Row],[Benchmark '#1 Return]],"-"),"-")</f>
        <v>-6.1611071798170318E-4</v>
      </c>
      <c r="L1233" s="1" t="str">
        <f>IF(COUNTIF(Comp2[Comparable '#2 Dates],Benchmark1[[#This Row],[Benchmark '#1 Dates]])=1,"Pass","Fail")</f>
        <v>Pass</v>
      </c>
      <c r="M1233" s="6">
        <f>IF(Benchmark1[[#This Row],[Comparable '#2 Date Check]]="Pass",INDEX(Comp2[Comparable '#2 Price],MATCH(Benchmark1[[#This Row],[Benchmark '#1 Dates]],Comp2[Comparable '#2 Dates],0)),"-")</f>
        <v>42.53</v>
      </c>
      <c r="N1233" s="22">
        <f>IF(Benchmark1[[#This Row],[Comparable '#2 Date Check]]="Pass",INDEX(Comp2[Comparable '#2 Return],MATCH(Benchmark1[[#This Row],[Benchmark '#1 Dates]],Comp2[Comparable '#2 Dates],0)),"-")</f>
        <v>-6.0947211631832707E-3</v>
      </c>
      <c r="O1233" s="1">
        <f>IFERROR(IF(Benchmark1[[#This Row],[Comparable '#2 Date Check]]="Pass",Benchmark1[[#This Row],[Comparable '#2 Return]]-Benchmark1[[#This Row],[Benchmark '#1 Return]],"-"),"-")</f>
        <v>-1.4814603944272715E-2</v>
      </c>
      <c r="P1233" s="1" t="str">
        <f>IF(COUNTIF(Comp3[Comparable '#3 Dates],Benchmark1[[#This Row],[Benchmark '#1 Dates]])=1,"Pass","Fail")</f>
        <v>Pass</v>
      </c>
      <c r="Q1233" s="6">
        <f>IF(Benchmark1[[#This Row],[Comparable '#3 Date Check]]="Pass",INDEX(Comp3[Comparable '#3 Price],MATCH(Benchmark1[[#This Row],[Benchmark '#1 Dates]],Comp3[Comparable '#3 Dates],0)),"-")</f>
        <v>78.37</v>
      </c>
      <c r="R1233" s="22">
        <f>IF(Benchmark1[[#This Row],[Comparable '#3 Date Check]]="Pass",INDEX(Comp3[Comparable '#3 Return],MATCH(Benchmark1[[#This Row],[Benchmark '#1 Dates]],Comp3[Comparable '#3 Dates],0)),"-")</f>
        <v>-1.4441598848618913E-2</v>
      </c>
      <c r="S1233" s="1">
        <f>IFERROR(IF(Benchmark1[[#This Row],[Comparable '#3 Date Check]]="Pass",Benchmark1[[#This Row],[Comparable '#3 Return]]-Benchmark1[[#This Row],[Benchmark '#1 Return]],"-"),"-")</f>
        <v>-2.3161481629708356E-2</v>
      </c>
    </row>
    <row r="1234" spans="1:19">
      <c r="A1234" s="103">
        <v>45072</v>
      </c>
      <c r="B1234" s="104">
        <v>4205.4525275178357</v>
      </c>
      <c r="C1234" s="4">
        <f t="shared" si="19"/>
        <v>1.2965214160777604E-2</v>
      </c>
      <c r="D1234" s="1" t="str">
        <f>IF(COUNTIF(Target1[Target Dates],Benchmark1[[#This Row],[Benchmark '#1 Dates]])=1,"Pass","Fail")</f>
        <v>Pass</v>
      </c>
      <c r="E1234" s="6">
        <f>IF(Benchmark1[[#This Row],[Target Date Check]]="Pass",INDEX(Target1[Target Price],MATCH(Benchmark1[[#This Row],[Benchmark '#1 Dates]],Target1[Target Dates],0)),"-")</f>
        <v>40.119999999999997</v>
      </c>
      <c r="F1234" s="22">
        <f>IF(Benchmark1[[#This Row],[Target Date Check]]="Pass",INDEX(Target1[Target Return],MATCH(Benchmark1[[#This Row],[Benchmark '#1 Dates]],Target1[Target Dates],0)),"-")</f>
        <v>-3.9801047566268098E-3</v>
      </c>
      <c r="G1234" s="1">
        <f>IFERROR(IF(Benchmark1[[#This Row],[Target Date Check]]="Pass",Benchmark1[[#This Row],[Target Return]]-Benchmark1[[#This Row],[Benchmark '#1 Return]],"-"),"-")</f>
        <v>-1.6945318917404414E-2</v>
      </c>
      <c r="H1234" s="1" t="str">
        <f>IF(COUNTIF(Comp1[Comparable '#1 Dates],Benchmark1[[#This Row],[Benchmark '#1 Dates]])=1,"Pass","Fail")</f>
        <v>Pass</v>
      </c>
      <c r="I1234" s="6">
        <f>IF(Benchmark1[[#This Row],[Comparable '#1 Date Check]]="Pass",INDEX(Comp1[Comparable '#1 Price],MATCH(Benchmark1[[#This Row],[Benchmark '#1 Dates]],Comp1[Comparable '#1 Dates],0)),"-")</f>
        <v>12.39</v>
      </c>
      <c r="J1234" s="22">
        <f>IF(Benchmark1[[#This Row],[Comparable '#1 Date Check]]="Pass",INDEX(Comp1[Comparable '#1 Return],MATCH(Benchmark1[[#This Row],[Benchmark '#1 Dates]],Comp1[Comparable '#1 Dates],0)),"-")</f>
        <v>0</v>
      </c>
      <c r="K1234" s="1">
        <f>IFERROR(IF(Benchmark1[[#This Row],[Comparable '#1 Date Check]]="Pass",Benchmark1[[#This Row],[Comparable '#1 Return]]-Benchmark1[[#This Row],[Benchmark '#1 Return]],"-"),"-")</f>
        <v>-1.2965214160777604E-2</v>
      </c>
      <c r="L1234" s="1" t="str">
        <f>IF(COUNTIF(Comp2[Comparable '#2 Dates],Benchmark1[[#This Row],[Benchmark '#1 Dates]])=1,"Pass","Fail")</f>
        <v>Pass</v>
      </c>
      <c r="M1234" s="6">
        <f>IF(Benchmark1[[#This Row],[Comparable '#2 Date Check]]="Pass",INDEX(Comp2[Comparable '#2 Price],MATCH(Benchmark1[[#This Row],[Benchmark '#1 Dates]],Comp2[Comparable '#2 Dates],0)),"-")</f>
        <v>42.29</v>
      </c>
      <c r="N1234" s="22">
        <f>IF(Benchmark1[[#This Row],[Comparable '#2 Date Check]]="Pass",INDEX(Comp2[Comparable '#2 Return],MATCH(Benchmark1[[#This Row],[Benchmark '#1 Dates]],Comp2[Comparable '#2 Dates],0)),"-")</f>
        <v>-5.6590577811449798E-3</v>
      </c>
      <c r="O1234" s="1">
        <f>IFERROR(IF(Benchmark1[[#This Row],[Comparable '#2 Date Check]]="Pass",Benchmark1[[#This Row],[Comparable '#2 Return]]-Benchmark1[[#This Row],[Benchmark '#1 Return]],"-"),"-")</f>
        <v>-1.8624271941922583E-2</v>
      </c>
      <c r="P1234" s="1" t="str">
        <f>IF(COUNTIF(Comp3[Comparable '#3 Dates],Benchmark1[[#This Row],[Benchmark '#1 Dates]])=1,"Pass","Fail")</f>
        <v>Pass</v>
      </c>
      <c r="Q1234" s="6">
        <f>IF(Benchmark1[[#This Row],[Comparable '#3 Date Check]]="Pass",INDEX(Comp3[Comparable '#3 Price],MATCH(Benchmark1[[#This Row],[Benchmark '#1 Dates]],Comp3[Comparable '#3 Dates],0)),"-")</f>
        <v>79.39</v>
      </c>
      <c r="R1234" s="22">
        <f>IF(Benchmark1[[#This Row],[Comparable '#3 Date Check]]="Pass",INDEX(Comp3[Comparable '#3 Return],MATCH(Benchmark1[[#This Row],[Benchmark '#1 Dates]],Comp3[Comparable '#3 Dates],0)),"-")</f>
        <v>1.2931214672248784E-2</v>
      </c>
      <c r="S1234" s="1">
        <f>IFERROR(IF(Benchmark1[[#This Row],[Comparable '#3 Date Check]]="Pass",Benchmark1[[#This Row],[Comparable '#3 Return]]-Benchmark1[[#This Row],[Benchmark '#1 Return]],"-"),"-")</f>
        <v>-3.3999488528819663E-5</v>
      </c>
    </row>
    <row r="1235" spans="1:19">
      <c r="A1235" s="103">
        <v>45076</v>
      </c>
      <c r="B1235" s="104">
        <v>4205.5206940200469</v>
      </c>
      <c r="C1235" s="4">
        <f t="shared" si="19"/>
        <v>1.6208945247486737E-5</v>
      </c>
      <c r="D1235" s="1" t="str">
        <f>IF(COUNTIF(Target1[Target Dates],Benchmark1[[#This Row],[Benchmark '#1 Dates]])=1,"Pass","Fail")</f>
        <v>Pass</v>
      </c>
      <c r="E1235" s="6">
        <f>IF(Benchmark1[[#This Row],[Target Date Check]]="Pass",INDEX(Target1[Target Price],MATCH(Benchmark1[[#This Row],[Benchmark '#1 Dates]],Target1[Target Dates],0)),"-")</f>
        <v>40.1</v>
      </c>
      <c r="F1235" s="22">
        <f>IF(Benchmark1[[#This Row],[Target Date Check]]="Pass",INDEX(Target1[Target Return],MATCH(Benchmark1[[#This Row],[Benchmark '#1 Dates]],Target1[Target Dates],0)),"-")</f>
        <v>-4.9862878121121972E-4</v>
      </c>
      <c r="G1235" s="1">
        <f>IFERROR(IF(Benchmark1[[#This Row],[Target Date Check]]="Pass",Benchmark1[[#This Row],[Target Return]]-Benchmark1[[#This Row],[Benchmark '#1 Return]],"-"),"-")</f>
        <v>-5.1483772645870643E-4</v>
      </c>
      <c r="H1235" s="1" t="str">
        <f>IF(COUNTIF(Comp1[Comparable '#1 Dates],Benchmark1[[#This Row],[Benchmark '#1 Dates]])=1,"Pass","Fail")</f>
        <v>Pass</v>
      </c>
      <c r="I1235" s="6">
        <f>IF(Benchmark1[[#This Row],[Comparable '#1 Date Check]]="Pass",INDEX(Comp1[Comparable '#1 Price],MATCH(Benchmark1[[#This Row],[Benchmark '#1 Dates]],Comp1[Comparable '#1 Dates],0)),"-")</f>
        <v>12.22</v>
      </c>
      <c r="J1235" s="22">
        <f>IF(Benchmark1[[#This Row],[Comparable '#1 Date Check]]="Pass",INDEX(Comp1[Comparable '#1 Return],MATCH(Benchmark1[[#This Row],[Benchmark '#1 Dates]],Comp1[Comparable '#1 Dates],0)),"-")</f>
        <v>-1.3815741897601848E-2</v>
      </c>
      <c r="K1235" s="1">
        <f>IFERROR(IF(Benchmark1[[#This Row],[Comparable '#1 Date Check]]="Pass",Benchmark1[[#This Row],[Comparable '#1 Return]]-Benchmark1[[#This Row],[Benchmark '#1 Return]],"-"),"-")</f>
        <v>-1.3831950842849335E-2</v>
      </c>
      <c r="L1235" s="1" t="str">
        <f>IF(COUNTIF(Comp2[Comparable '#2 Dates],Benchmark1[[#This Row],[Benchmark '#1 Dates]])=1,"Pass","Fail")</f>
        <v>Pass</v>
      </c>
      <c r="M1235" s="6">
        <f>IF(Benchmark1[[#This Row],[Comparable '#2 Date Check]]="Pass",INDEX(Comp2[Comparable '#2 Price],MATCH(Benchmark1[[#This Row],[Benchmark '#1 Dates]],Comp2[Comparable '#2 Dates],0)),"-")</f>
        <v>41.88</v>
      </c>
      <c r="N1235" s="22">
        <f>IF(Benchmark1[[#This Row],[Comparable '#2 Date Check]]="Pass",INDEX(Comp2[Comparable '#2 Return],MATCH(Benchmark1[[#This Row],[Benchmark '#1 Dates]],Comp2[Comparable '#2 Dates],0)),"-")</f>
        <v>-9.7422654820610282E-3</v>
      </c>
      <c r="O1235" s="1">
        <f>IFERROR(IF(Benchmark1[[#This Row],[Comparable '#2 Date Check]]="Pass",Benchmark1[[#This Row],[Comparable '#2 Return]]-Benchmark1[[#This Row],[Benchmark '#1 Return]],"-"),"-")</f>
        <v>-9.7584744273085146E-3</v>
      </c>
      <c r="P1235" s="1" t="str">
        <f>IF(COUNTIF(Comp3[Comparable '#3 Dates],Benchmark1[[#This Row],[Benchmark '#1 Dates]])=1,"Pass","Fail")</f>
        <v>Pass</v>
      </c>
      <c r="Q1235" s="6">
        <f>IF(Benchmark1[[#This Row],[Comparable '#3 Date Check]]="Pass",INDEX(Comp3[Comparable '#3 Price],MATCH(Benchmark1[[#This Row],[Benchmark '#1 Dates]],Comp3[Comparable '#3 Dates],0)),"-")</f>
        <v>78.19</v>
      </c>
      <c r="R1235" s="22">
        <f>IF(Benchmark1[[#This Row],[Comparable '#3 Date Check]]="Pass",INDEX(Comp3[Comparable '#3 Return],MATCH(Benchmark1[[#This Row],[Benchmark '#1 Dates]],Comp3[Comparable '#3 Dates],0)),"-")</f>
        <v>-1.5230653600599468E-2</v>
      </c>
      <c r="S1235" s="1">
        <f>IFERROR(IF(Benchmark1[[#This Row],[Comparable '#3 Date Check]]="Pass",Benchmark1[[#This Row],[Comparable '#3 Return]]-Benchmark1[[#This Row],[Benchmark '#1 Return]],"-"),"-")</f>
        <v>-1.5246862545846954E-2</v>
      </c>
    </row>
    <row r="1236" spans="1:19">
      <c r="A1236" s="103">
        <v>45077</v>
      </c>
      <c r="B1236" s="104">
        <v>4179.8254616673485</v>
      </c>
      <c r="C1236" s="4">
        <f t="shared" si="19"/>
        <v>-6.1286230291973248E-3</v>
      </c>
      <c r="D1236" s="1" t="str">
        <f>IF(COUNTIF(Target1[Target Dates],Benchmark1[[#This Row],[Benchmark '#1 Dates]])=1,"Pass","Fail")</f>
        <v>Pass</v>
      </c>
      <c r="E1236" s="6">
        <f>IF(Benchmark1[[#This Row],[Target Date Check]]="Pass",INDEX(Target1[Target Price],MATCH(Benchmark1[[#This Row],[Benchmark '#1 Dates]],Target1[Target Dates],0)),"-")</f>
        <v>40.409999999999997</v>
      </c>
      <c r="F1236" s="22">
        <f>IF(Benchmark1[[#This Row],[Target Date Check]]="Pass",INDEX(Target1[Target Return],MATCH(Benchmark1[[#This Row],[Benchmark '#1 Dates]],Target1[Target Dates],0)),"-")</f>
        <v>7.7009447778587578E-3</v>
      </c>
      <c r="G1236" s="1">
        <f>IFERROR(IF(Benchmark1[[#This Row],[Target Date Check]]="Pass",Benchmark1[[#This Row],[Target Return]]-Benchmark1[[#This Row],[Benchmark '#1 Return]],"-"),"-")</f>
        <v>1.3829567807056083E-2</v>
      </c>
      <c r="H1236" s="1" t="str">
        <f>IF(COUNTIF(Comp1[Comparable '#1 Dates],Benchmark1[[#This Row],[Benchmark '#1 Dates]])=1,"Pass","Fail")</f>
        <v>Pass</v>
      </c>
      <c r="I1236" s="6">
        <f>IF(Benchmark1[[#This Row],[Comparable '#1 Date Check]]="Pass",INDEX(Comp1[Comparable '#1 Price],MATCH(Benchmark1[[#This Row],[Benchmark '#1 Dates]],Comp1[Comparable '#1 Dates],0)),"-")</f>
        <v>12.1</v>
      </c>
      <c r="J1236" s="22">
        <f>IF(Benchmark1[[#This Row],[Comparable '#1 Date Check]]="Pass",INDEX(Comp1[Comparable '#1 Return],MATCH(Benchmark1[[#This Row],[Benchmark '#1 Dates]],Comp1[Comparable '#1 Dates],0)),"-")</f>
        <v>-9.8685011407538912E-3</v>
      </c>
      <c r="K1236" s="1">
        <f>IFERROR(IF(Benchmark1[[#This Row],[Comparable '#1 Date Check]]="Pass",Benchmark1[[#This Row],[Comparable '#1 Return]]-Benchmark1[[#This Row],[Benchmark '#1 Return]],"-"),"-")</f>
        <v>-3.7398781115565664E-3</v>
      </c>
      <c r="L1236" s="1" t="str">
        <f>IF(COUNTIF(Comp2[Comparable '#2 Dates],Benchmark1[[#This Row],[Benchmark '#1 Dates]])=1,"Pass","Fail")</f>
        <v>Pass</v>
      </c>
      <c r="M1236" s="6">
        <f>IF(Benchmark1[[#This Row],[Comparable '#2 Date Check]]="Pass",INDEX(Comp2[Comparable '#2 Price],MATCH(Benchmark1[[#This Row],[Benchmark '#1 Dates]],Comp2[Comparable '#2 Dates],0)),"-")</f>
        <v>41.5</v>
      </c>
      <c r="N1236" s="22">
        <f>IF(Benchmark1[[#This Row],[Comparable '#2 Date Check]]="Pass",INDEX(Comp2[Comparable '#2 Return],MATCH(Benchmark1[[#This Row],[Benchmark '#1 Dates]],Comp2[Comparable '#2 Dates],0)),"-")</f>
        <v>-9.1149587656835472E-3</v>
      </c>
      <c r="O1236" s="1">
        <f>IFERROR(IF(Benchmark1[[#This Row],[Comparable '#2 Date Check]]="Pass",Benchmark1[[#This Row],[Comparable '#2 Return]]-Benchmark1[[#This Row],[Benchmark '#1 Return]],"-"),"-")</f>
        <v>-2.9863357364862224E-3</v>
      </c>
      <c r="P1236" s="1" t="str">
        <f>IF(COUNTIF(Comp3[Comparable '#3 Dates],Benchmark1[[#This Row],[Benchmark '#1 Dates]])=1,"Pass","Fail")</f>
        <v>Pass</v>
      </c>
      <c r="Q1236" s="6">
        <f>IF(Benchmark1[[#This Row],[Comparable '#3 Date Check]]="Pass",INDEX(Comp3[Comparable '#3 Price],MATCH(Benchmark1[[#This Row],[Benchmark '#1 Dates]],Comp3[Comparable '#3 Dates],0)),"-")</f>
        <v>78.91</v>
      </c>
      <c r="R1236" s="22">
        <f>IF(Benchmark1[[#This Row],[Comparable '#3 Date Check]]="Pass",INDEX(Comp3[Comparable '#3 Return],MATCH(Benchmark1[[#This Row],[Benchmark '#1 Dates]],Comp3[Comparable '#3 Dates],0)),"-")</f>
        <v>9.1662003965209907E-3</v>
      </c>
      <c r="S1236" s="1">
        <f>IFERROR(IF(Benchmark1[[#This Row],[Comparable '#3 Date Check]]="Pass",Benchmark1[[#This Row],[Comparable '#3 Return]]-Benchmark1[[#This Row],[Benchmark '#1 Return]],"-"),"-")</f>
        <v>1.5294823425718316E-2</v>
      </c>
    </row>
    <row r="1237" spans="1:19">
      <c r="A1237" s="103">
        <v>45078</v>
      </c>
      <c r="B1237" s="104">
        <v>4221.0202157101821</v>
      </c>
      <c r="C1237" s="4">
        <f t="shared" si="19"/>
        <v>9.8073660237310081E-3</v>
      </c>
      <c r="D1237" s="1" t="str">
        <f>IF(COUNTIF(Target1[Target Dates],Benchmark1[[#This Row],[Benchmark '#1 Dates]])=1,"Pass","Fail")</f>
        <v>Pass</v>
      </c>
      <c r="E1237" s="6">
        <f>IF(Benchmark1[[#This Row],[Target Date Check]]="Pass",INDEX(Target1[Target Price],MATCH(Benchmark1[[#This Row],[Benchmark '#1 Dates]],Target1[Target Dates],0)),"-")</f>
        <v>40.950000000000003</v>
      </c>
      <c r="F1237" s="22">
        <f>IF(Benchmark1[[#This Row],[Target Date Check]]="Pass",INDEX(Target1[Target Return],MATCH(Benchmark1[[#This Row],[Benchmark '#1 Dates]],Target1[Target Dates],0)),"-")</f>
        <v>1.3274531208696327E-2</v>
      </c>
      <c r="G1237" s="1">
        <f>IFERROR(IF(Benchmark1[[#This Row],[Target Date Check]]="Pass",Benchmark1[[#This Row],[Target Return]]-Benchmark1[[#This Row],[Benchmark '#1 Return]],"-"),"-")</f>
        <v>3.4671651849653186E-3</v>
      </c>
      <c r="H1237" s="1" t="str">
        <f>IF(COUNTIF(Comp1[Comparable '#1 Dates],Benchmark1[[#This Row],[Benchmark '#1 Dates]])=1,"Pass","Fail")</f>
        <v>Pass</v>
      </c>
      <c r="I1237" s="6">
        <f>IF(Benchmark1[[#This Row],[Comparable '#1 Date Check]]="Pass",INDEX(Comp1[Comparable '#1 Price],MATCH(Benchmark1[[#This Row],[Benchmark '#1 Dates]],Comp1[Comparable '#1 Dates],0)),"-")</f>
        <v>12.23</v>
      </c>
      <c r="J1237" s="22">
        <f>IF(Benchmark1[[#This Row],[Comparable '#1 Date Check]]="Pass",INDEX(Comp1[Comparable '#1 Return],MATCH(Benchmark1[[#This Row],[Benchmark '#1 Dates]],Comp1[Comparable '#1 Dates],0)),"-")</f>
        <v>1.0686497096385701E-2</v>
      </c>
      <c r="K1237" s="1">
        <f>IFERROR(IF(Benchmark1[[#This Row],[Comparable '#1 Date Check]]="Pass",Benchmark1[[#This Row],[Comparable '#1 Return]]-Benchmark1[[#This Row],[Benchmark '#1 Return]],"-"),"-")</f>
        <v>8.7913107265469304E-4</v>
      </c>
      <c r="L1237" s="1" t="str">
        <f>IF(COUNTIF(Comp2[Comparable '#2 Dates],Benchmark1[[#This Row],[Benchmark '#1 Dates]])=1,"Pass","Fail")</f>
        <v>Pass</v>
      </c>
      <c r="M1237" s="6">
        <f>IF(Benchmark1[[#This Row],[Comparable '#2 Date Check]]="Pass",INDEX(Comp2[Comparable '#2 Price],MATCH(Benchmark1[[#This Row],[Benchmark '#1 Dates]],Comp2[Comparable '#2 Dates],0)),"-")</f>
        <v>41.8</v>
      </c>
      <c r="N1237" s="22">
        <f>IF(Benchmark1[[#This Row],[Comparable '#2 Date Check]]="Pass",INDEX(Comp2[Comparable '#2 Return],MATCH(Benchmark1[[#This Row],[Benchmark '#1 Dates]],Comp2[Comparable '#2 Dates],0)),"-")</f>
        <v>7.2029122940580163E-3</v>
      </c>
      <c r="O1237" s="1">
        <f>IFERROR(IF(Benchmark1[[#This Row],[Comparable '#2 Date Check]]="Pass",Benchmark1[[#This Row],[Comparable '#2 Return]]-Benchmark1[[#This Row],[Benchmark '#1 Return]],"-"),"-")</f>
        <v>-2.6044537296729918E-3</v>
      </c>
      <c r="P1237" s="1" t="str">
        <f>IF(COUNTIF(Comp3[Comparable '#3 Dates],Benchmark1[[#This Row],[Benchmark '#1 Dates]])=1,"Pass","Fail")</f>
        <v>Pass</v>
      </c>
      <c r="Q1237" s="6">
        <f>IF(Benchmark1[[#This Row],[Comparable '#3 Date Check]]="Pass",INDEX(Comp3[Comparable '#3 Price],MATCH(Benchmark1[[#This Row],[Benchmark '#1 Dates]],Comp3[Comparable '#3 Dates],0)),"-")</f>
        <v>78.09</v>
      </c>
      <c r="R1237" s="22">
        <f>IF(Benchmark1[[#This Row],[Comparable '#3 Date Check]]="Pass",INDEX(Comp3[Comparable '#3 Return],MATCH(Benchmark1[[#This Row],[Benchmark '#1 Dates]],Comp3[Comparable '#3 Dates],0)),"-")</f>
        <v>-1.0445954858359821E-2</v>
      </c>
      <c r="S1237" s="1">
        <f>IFERROR(IF(Benchmark1[[#This Row],[Comparable '#3 Date Check]]="Pass",Benchmark1[[#This Row],[Comparable '#3 Return]]-Benchmark1[[#This Row],[Benchmark '#1 Return]],"-"),"-")</f>
        <v>-2.0253320882090829E-2</v>
      </c>
    </row>
    <row r="1238" spans="1:19">
      <c r="A1238" s="103">
        <v>45079</v>
      </c>
      <c r="B1238" s="104">
        <v>4282.3655729829279</v>
      </c>
      <c r="C1238" s="4">
        <f t="shared" si="19"/>
        <v>1.442870477046488E-2</v>
      </c>
      <c r="D1238" s="1" t="str">
        <f>IF(COUNTIF(Target1[Target Dates],Benchmark1[[#This Row],[Benchmark '#1 Dates]])=1,"Pass","Fail")</f>
        <v>Pass</v>
      </c>
      <c r="E1238" s="6">
        <f>IF(Benchmark1[[#This Row],[Target Date Check]]="Pass",INDEX(Target1[Target Price],MATCH(Benchmark1[[#This Row],[Benchmark '#1 Dates]],Target1[Target Dates],0)),"-")</f>
        <v>41.89</v>
      </c>
      <c r="F1238" s="22">
        <f>IF(Benchmark1[[#This Row],[Target Date Check]]="Pass",INDEX(Target1[Target Return],MATCH(Benchmark1[[#This Row],[Benchmark '#1 Dates]],Target1[Target Dates],0)),"-")</f>
        <v>2.2695324659864995E-2</v>
      </c>
      <c r="G1238" s="1">
        <f>IFERROR(IF(Benchmark1[[#This Row],[Target Date Check]]="Pass",Benchmark1[[#This Row],[Target Return]]-Benchmark1[[#This Row],[Benchmark '#1 Return]],"-"),"-")</f>
        <v>8.2666198894001154E-3</v>
      </c>
      <c r="H1238" s="1" t="str">
        <f>IF(COUNTIF(Comp1[Comparable '#1 Dates],Benchmark1[[#This Row],[Benchmark '#1 Dates]])=1,"Pass","Fail")</f>
        <v>Pass</v>
      </c>
      <c r="I1238" s="6">
        <f>IF(Benchmark1[[#This Row],[Comparable '#1 Date Check]]="Pass",INDEX(Comp1[Comparable '#1 Price],MATCH(Benchmark1[[#This Row],[Benchmark '#1 Dates]],Comp1[Comparable '#1 Dates],0)),"-")</f>
        <v>12.455</v>
      </c>
      <c r="J1238" s="22">
        <f>IF(Benchmark1[[#This Row],[Comparable '#1 Date Check]]="Pass",INDEX(Comp1[Comparable '#1 Return],MATCH(Benchmark1[[#This Row],[Benchmark '#1 Dates]],Comp1[Comparable '#1 Dates],0)),"-")</f>
        <v>1.8230199015062648E-2</v>
      </c>
      <c r="K1238" s="1">
        <f>IFERROR(IF(Benchmark1[[#This Row],[Comparable '#1 Date Check]]="Pass",Benchmark1[[#This Row],[Comparable '#1 Return]]-Benchmark1[[#This Row],[Benchmark '#1 Return]],"-"),"-")</f>
        <v>3.8014942445977681E-3</v>
      </c>
      <c r="L1238" s="1" t="str">
        <f>IF(COUNTIF(Comp2[Comparable '#2 Dates],Benchmark1[[#This Row],[Benchmark '#1 Dates]])=1,"Pass","Fail")</f>
        <v>Pass</v>
      </c>
      <c r="M1238" s="6">
        <f>IF(Benchmark1[[#This Row],[Comparable '#2 Date Check]]="Pass",INDEX(Comp2[Comparable '#2 Price],MATCH(Benchmark1[[#This Row],[Benchmark '#1 Dates]],Comp2[Comparable '#2 Dates],0)),"-")</f>
        <v>43.43</v>
      </c>
      <c r="N1238" s="22">
        <f>IF(Benchmark1[[#This Row],[Comparable '#2 Date Check]]="Pass",INDEX(Comp2[Comparable '#2 Return],MATCH(Benchmark1[[#This Row],[Benchmark '#1 Dates]],Comp2[Comparable '#2 Dates],0)),"-")</f>
        <v>3.825410701602E-2</v>
      </c>
      <c r="O1238" s="1">
        <f>IFERROR(IF(Benchmark1[[#This Row],[Comparable '#2 Date Check]]="Pass",Benchmark1[[#This Row],[Comparable '#2 Return]]-Benchmark1[[#This Row],[Benchmark '#1 Return]],"-"),"-")</f>
        <v>2.382540224555512E-2</v>
      </c>
      <c r="P1238" s="1" t="str">
        <f>IF(COUNTIF(Comp3[Comparable '#3 Dates],Benchmark1[[#This Row],[Benchmark '#1 Dates]])=1,"Pass","Fail")</f>
        <v>Pass</v>
      </c>
      <c r="Q1238" s="6">
        <f>IF(Benchmark1[[#This Row],[Comparable '#3 Date Check]]="Pass",INDEX(Comp3[Comparable '#3 Price],MATCH(Benchmark1[[#This Row],[Benchmark '#1 Dates]],Comp3[Comparable '#3 Dates],0)),"-")</f>
        <v>78.430000000000007</v>
      </c>
      <c r="R1238" s="22">
        <f>IF(Benchmark1[[#This Row],[Comparable '#3 Date Check]]="Pass",INDEX(Comp3[Comparable '#3 Return],MATCH(Benchmark1[[#This Row],[Benchmark '#1 Dates]],Comp3[Comparable '#3 Dates],0)),"-")</f>
        <v>4.3444995499914438E-3</v>
      </c>
      <c r="S1238" s="1">
        <f>IFERROR(IF(Benchmark1[[#This Row],[Comparable '#3 Date Check]]="Pass",Benchmark1[[#This Row],[Comparable '#3 Return]]-Benchmark1[[#This Row],[Benchmark '#1 Return]],"-"),"-")</f>
        <v>-1.0084205220473437E-2</v>
      </c>
    </row>
    <row r="1239" spans="1:19">
      <c r="A1239" s="103">
        <v>45082</v>
      </c>
      <c r="B1239" s="104">
        <v>4273.7941872390966</v>
      </c>
      <c r="C1239" s="4">
        <f t="shared" si="19"/>
        <v>-2.0035597397300435E-3</v>
      </c>
      <c r="D1239" s="1" t="str">
        <f>IF(COUNTIF(Target1[Target Dates],Benchmark1[[#This Row],[Benchmark '#1 Dates]])=1,"Pass","Fail")</f>
        <v>Pass</v>
      </c>
      <c r="E1239" s="6">
        <f>IF(Benchmark1[[#This Row],[Target Date Check]]="Pass",INDEX(Target1[Target Price],MATCH(Benchmark1[[#This Row],[Benchmark '#1 Dates]],Target1[Target Dates],0)),"-")</f>
        <v>41.53</v>
      </c>
      <c r="F1239" s="22">
        <f>IF(Benchmark1[[#This Row],[Target Date Check]]="Pass",INDEX(Target1[Target Return],MATCH(Benchmark1[[#This Row],[Benchmark '#1 Dates]],Target1[Target Dates],0)),"-")</f>
        <v>-8.6310773162813648E-3</v>
      </c>
      <c r="G1239" s="1">
        <f>IFERROR(IF(Benchmark1[[#This Row],[Target Date Check]]="Pass",Benchmark1[[#This Row],[Target Return]]-Benchmark1[[#This Row],[Benchmark '#1 Return]],"-"),"-")</f>
        <v>-6.6275175765513217E-3</v>
      </c>
      <c r="H1239" s="1" t="str">
        <f>IF(COUNTIF(Comp1[Comparable '#1 Dates],Benchmark1[[#This Row],[Benchmark '#1 Dates]])=1,"Pass","Fail")</f>
        <v>Pass</v>
      </c>
      <c r="I1239" s="6">
        <f>IF(Benchmark1[[#This Row],[Comparable '#1 Date Check]]="Pass",INDEX(Comp1[Comparable '#1 Price],MATCH(Benchmark1[[#This Row],[Benchmark '#1 Dates]],Comp1[Comparable '#1 Dates],0)),"-")</f>
        <v>12.34</v>
      </c>
      <c r="J1239" s="22">
        <f>IF(Benchmark1[[#This Row],[Comparable '#1 Date Check]]="Pass",INDEX(Comp1[Comparable '#1 Return],MATCH(Benchmark1[[#This Row],[Benchmark '#1 Dates]],Comp1[Comparable '#1 Dates],0)),"-")</f>
        <v>-9.2761302369019551E-3</v>
      </c>
      <c r="K1239" s="1">
        <f>IFERROR(IF(Benchmark1[[#This Row],[Comparable '#1 Date Check]]="Pass",Benchmark1[[#This Row],[Comparable '#1 Return]]-Benchmark1[[#This Row],[Benchmark '#1 Return]],"-"),"-")</f>
        <v>-7.272570497171912E-3</v>
      </c>
      <c r="L1239" s="1" t="str">
        <f>IF(COUNTIF(Comp2[Comparable '#2 Dates],Benchmark1[[#This Row],[Benchmark '#1 Dates]])=1,"Pass","Fail")</f>
        <v>Pass</v>
      </c>
      <c r="M1239" s="6">
        <f>IF(Benchmark1[[#This Row],[Comparable '#2 Date Check]]="Pass",INDEX(Comp2[Comparable '#2 Price],MATCH(Benchmark1[[#This Row],[Benchmark '#1 Dates]],Comp2[Comparable '#2 Dates],0)),"-")</f>
        <v>41.26</v>
      </c>
      <c r="N1239" s="22">
        <f>IF(Benchmark1[[#This Row],[Comparable '#2 Date Check]]="Pass",INDEX(Comp2[Comparable '#2 Return],MATCH(Benchmark1[[#This Row],[Benchmark '#1 Dates]],Comp2[Comparable '#2 Dates],0)),"-")</f>
        <v>-5.1256938903624739E-2</v>
      </c>
      <c r="O1239" s="1">
        <f>IFERROR(IF(Benchmark1[[#This Row],[Comparable '#2 Date Check]]="Pass",Benchmark1[[#This Row],[Comparable '#2 Return]]-Benchmark1[[#This Row],[Benchmark '#1 Return]],"-"),"-")</f>
        <v>-4.9253379163894696E-2</v>
      </c>
      <c r="P1239" s="1" t="str">
        <f>IF(COUNTIF(Comp3[Comparable '#3 Dates],Benchmark1[[#This Row],[Benchmark '#1 Dates]])=1,"Pass","Fail")</f>
        <v>Pass</v>
      </c>
      <c r="Q1239" s="6">
        <f>IF(Benchmark1[[#This Row],[Comparable '#3 Date Check]]="Pass",INDEX(Comp3[Comparable '#3 Price],MATCH(Benchmark1[[#This Row],[Benchmark '#1 Dates]],Comp3[Comparable '#3 Dates],0)),"-")</f>
        <v>74.59</v>
      </c>
      <c r="R1239" s="22">
        <f>IF(Benchmark1[[#This Row],[Comparable '#3 Date Check]]="Pass",INDEX(Comp3[Comparable '#3 Return],MATCH(Benchmark1[[#This Row],[Benchmark '#1 Dates]],Comp3[Comparable '#3 Dates],0)),"-")</f>
        <v>-5.0200057257503268E-2</v>
      </c>
      <c r="S1239" s="1">
        <f>IFERROR(IF(Benchmark1[[#This Row],[Comparable '#3 Date Check]]="Pass",Benchmark1[[#This Row],[Comparable '#3 Return]]-Benchmark1[[#This Row],[Benchmark '#1 Return]],"-"),"-")</f>
        <v>-4.8196497517773225E-2</v>
      </c>
    </row>
    <row r="1240" spans="1:19">
      <c r="A1240" s="103">
        <v>45083</v>
      </c>
      <c r="B1240" s="104">
        <v>4283.8483851206965</v>
      </c>
      <c r="C1240" s="4">
        <f t="shared" si="19"/>
        <v>2.3497598603039955E-3</v>
      </c>
      <c r="D1240" s="1" t="str">
        <f>IF(COUNTIF(Target1[Target Dates],Benchmark1[[#This Row],[Benchmark '#1 Dates]])=1,"Pass","Fail")</f>
        <v>Pass</v>
      </c>
      <c r="E1240" s="6">
        <f>IF(Benchmark1[[#This Row],[Target Date Check]]="Pass",INDEX(Target1[Target Price],MATCH(Benchmark1[[#This Row],[Benchmark '#1 Dates]],Target1[Target Dates],0)),"-")</f>
        <v>42.06</v>
      </c>
      <c r="F1240" s="22">
        <f>IF(Benchmark1[[#This Row],[Target Date Check]]="Pass",INDEX(Target1[Target Return],MATCH(Benchmark1[[#This Row],[Benchmark '#1 Dates]],Target1[Target Dates],0)),"-")</f>
        <v>1.2681112631891525E-2</v>
      </c>
      <c r="G1240" s="1">
        <f>IFERROR(IF(Benchmark1[[#This Row],[Target Date Check]]="Pass",Benchmark1[[#This Row],[Target Return]]-Benchmark1[[#This Row],[Benchmark '#1 Return]],"-"),"-")</f>
        <v>1.0331352771587528E-2</v>
      </c>
      <c r="H1240" s="1" t="str">
        <f>IF(COUNTIF(Comp1[Comparable '#1 Dates],Benchmark1[[#This Row],[Benchmark '#1 Dates]])=1,"Pass","Fail")</f>
        <v>Pass</v>
      </c>
      <c r="I1240" s="6">
        <f>IF(Benchmark1[[#This Row],[Comparable '#1 Date Check]]="Pass",INDEX(Comp1[Comparable '#1 Price],MATCH(Benchmark1[[#This Row],[Benchmark '#1 Dates]],Comp1[Comparable '#1 Dates],0)),"-")</f>
        <v>12.46</v>
      </c>
      <c r="J1240" s="22">
        <f>IF(Benchmark1[[#This Row],[Comparable '#1 Date Check]]="Pass",INDEX(Comp1[Comparable '#1 Return],MATCH(Benchmark1[[#This Row],[Benchmark '#1 Dates]],Comp1[Comparable '#1 Dates],0)),"-")</f>
        <v>9.6774948820654381E-3</v>
      </c>
      <c r="K1240" s="1">
        <f>IFERROR(IF(Benchmark1[[#This Row],[Comparable '#1 Date Check]]="Pass",Benchmark1[[#This Row],[Comparable '#1 Return]]-Benchmark1[[#This Row],[Benchmark '#1 Return]],"-"),"-")</f>
        <v>7.3277350217614426E-3</v>
      </c>
      <c r="L1240" s="1" t="str">
        <f>IF(COUNTIF(Comp2[Comparable '#2 Dates],Benchmark1[[#This Row],[Benchmark '#1 Dates]])=1,"Pass","Fail")</f>
        <v>Pass</v>
      </c>
      <c r="M1240" s="6">
        <f>IF(Benchmark1[[#This Row],[Comparable '#2 Date Check]]="Pass",INDEX(Comp2[Comparable '#2 Price],MATCH(Benchmark1[[#This Row],[Benchmark '#1 Dates]],Comp2[Comparable '#2 Dates],0)),"-")</f>
        <v>42.13</v>
      </c>
      <c r="N1240" s="22">
        <f>IF(Benchmark1[[#This Row],[Comparable '#2 Date Check]]="Pass",INDEX(Comp2[Comparable '#2 Return],MATCH(Benchmark1[[#This Row],[Benchmark '#1 Dates]],Comp2[Comparable '#2 Dates],0)),"-")</f>
        <v>2.0866568347819418E-2</v>
      </c>
      <c r="O1240" s="1">
        <f>IFERROR(IF(Benchmark1[[#This Row],[Comparable '#2 Date Check]]="Pass",Benchmark1[[#This Row],[Comparable '#2 Return]]-Benchmark1[[#This Row],[Benchmark '#1 Return]],"-"),"-")</f>
        <v>1.8516808487515423E-2</v>
      </c>
      <c r="P1240" s="1" t="str">
        <f>IF(COUNTIF(Comp3[Comparable '#3 Dates],Benchmark1[[#This Row],[Benchmark '#1 Dates]])=1,"Pass","Fail")</f>
        <v>Pass</v>
      </c>
      <c r="Q1240" s="6">
        <f>IF(Benchmark1[[#This Row],[Comparable '#3 Date Check]]="Pass",INDEX(Comp3[Comparable '#3 Price],MATCH(Benchmark1[[#This Row],[Benchmark '#1 Dates]],Comp3[Comparable '#3 Dates],0)),"-")</f>
        <v>76.900000000000006</v>
      </c>
      <c r="R1240" s="22">
        <f>IF(Benchmark1[[#This Row],[Comparable '#3 Date Check]]="Pass",INDEX(Comp3[Comparable '#3 Return],MATCH(Benchmark1[[#This Row],[Benchmark '#1 Dates]],Comp3[Comparable '#3 Dates],0)),"-")</f>
        <v>3.0499426544526472E-2</v>
      </c>
      <c r="S1240" s="1">
        <f>IFERROR(IF(Benchmark1[[#This Row],[Comparable '#3 Date Check]]="Pass",Benchmark1[[#This Row],[Comparable '#3 Return]]-Benchmark1[[#This Row],[Benchmark '#1 Return]],"-"),"-")</f>
        <v>2.8149666684222478E-2</v>
      </c>
    </row>
    <row r="1241" spans="1:19">
      <c r="A1241" s="103">
        <v>45084</v>
      </c>
      <c r="B1241" s="104">
        <v>4267.5184623759833</v>
      </c>
      <c r="C1241" s="4">
        <f t="shared" si="19"/>
        <v>-3.8192590461761178E-3</v>
      </c>
      <c r="D1241" s="1" t="str">
        <f>IF(COUNTIF(Target1[Target Dates],Benchmark1[[#This Row],[Benchmark '#1 Dates]])=1,"Pass","Fail")</f>
        <v>Pass</v>
      </c>
      <c r="E1241" s="6">
        <f>IF(Benchmark1[[#This Row],[Target Date Check]]="Pass",INDEX(Target1[Target Price],MATCH(Benchmark1[[#This Row],[Benchmark '#1 Dates]],Target1[Target Dates],0)),"-")</f>
        <v>41.79</v>
      </c>
      <c r="F1241" s="22">
        <f>IF(Benchmark1[[#This Row],[Target Date Check]]="Pass",INDEX(Target1[Target Return],MATCH(Benchmark1[[#This Row],[Benchmark '#1 Dates]],Target1[Target Dates],0)),"-")</f>
        <v>-6.4400938147297733E-3</v>
      </c>
      <c r="G1241" s="1">
        <f>IFERROR(IF(Benchmark1[[#This Row],[Target Date Check]]="Pass",Benchmark1[[#This Row],[Target Return]]-Benchmark1[[#This Row],[Benchmark '#1 Return]],"-"),"-")</f>
        <v>-2.6208347685536554E-3</v>
      </c>
      <c r="H1241" s="1" t="str">
        <f>IF(COUNTIF(Comp1[Comparable '#1 Dates],Benchmark1[[#This Row],[Benchmark '#1 Dates]])=1,"Pass","Fail")</f>
        <v>Pass</v>
      </c>
      <c r="I1241" s="6">
        <f>IF(Benchmark1[[#This Row],[Comparable '#1 Date Check]]="Pass",INDEX(Comp1[Comparable '#1 Price],MATCH(Benchmark1[[#This Row],[Benchmark '#1 Dates]],Comp1[Comparable '#1 Dates],0)),"-")</f>
        <v>12.56</v>
      </c>
      <c r="J1241" s="22">
        <f>IF(Benchmark1[[#This Row],[Comparable '#1 Date Check]]="Pass",INDEX(Comp1[Comparable '#1 Return],MATCH(Benchmark1[[#This Row],[Benchmark '#1 Dates]],Comp1[Comparable '#1 Dates],0)),"-")</f>
        <v>7.9936476807455845E-3</v>
      </c>
      <c r="K1241" s="1">
        <f>IFERROR(IF(Benchmark1[[#This Row],[Comparable '#1 Date Check]]="Pass",Benchmark1[[#This Row],[Comparable '#1 Return]]-Benchmark1[[#This Row],[Benchmark '#1 Return]],"-"),"-")</f>
        <v>1.1812906726921701E-2</v>
      </c>
      <c r="L1241" s="1" t="str">
        <f>IF(COUNTIF(Comp2[Comparable '#2 Dates],Benchmark1[[#This Row],[Benchmark '#1 Dates]])=1,"Pass","Fail")</f>
        <v>Pass</v>
      </c>
      <c r="M1241" s="6">
        <f>IF(Benchmark1[[#This Row],[Comparable '#2 Date Check]]="Pass",INDEX(Comp2[Comparable '#2 Price],MATCH(Benchmark1[[#This Row],[Benchmark '#1 Dates]],Comp2[Comparable '#2 Dates],0)),"-")</f>
        <v>42.48</v>
      </c>
      <c r="N1241" s="22">
        <f>IF(Benchmark1[[#This Row],[Comparable '#2 Date Check]]="Pass",INDEX(Comp2[Comparable '#2 Return],MATCH(Benchmark1[[#This Row],[Benchmark '#1 Dates]],Comp2[Comparable '#2 Dates],0)),"-")</f>
        <v>8.273300942758138E-3</v>
      </c>
      <c r="O1241" s="1">
        <f>IFERROR(IF(Benchmark1[[#This Row],[Comparable '#2 Date Check]]="Pass",Benchmark1[[#This Row],[Comparable '#2 Return]]-Benchmark1[[#This Row],[Benchmark '#1 Return]],"-"),"-")</f>
        <v>1.2092559988934257E-2</v>
      </c>
      <c r="P1241" s="1" t="str">
        <f>IF(COUNTIF(Comp3[Comparable '#3 Dates],Benchmark1[[#This Row],[Benchmark '#1 Dates]])=1,"Pass","Fail")</f>
        <v>Pass</v>
      </c>
      <c r="Q1241" s="6">
        <f>IF(Benchmark1[[#This Row],[Comparable '#3 Date Check]]="Pass",INDEX(Comp3[Comparable '#3 Price],MATCH(Benchmark1[[#This Row],[Benchmark '#1 Dates]],Comp3[Comparable '#3 Dates],0)),"-")</f>
        <v>78.930000000000007</v>
      </c>
      <c r="R1241" s="22">
        <f>IF(Benchmark1[[#This Row],[Comparable '#3 Date Check]]="Pass",INDEX(Comp3[Comparable '#3 Return],MATCH(Benchmark1[[#This Row],[Benchmark '#1 Dates]],Comp3[Comparable '#3 Dates],0)),"-")</f>
        <v>2.6055507208712837E-2</v>
      </c>
      <c r="S1241" s="1">
        <f>IFERROR(IF(Benchmark1[[#This Row],[Comparable '#3 Date Check]]="Pass",Benchmark1[[#This Row],[Comparable '#3 Return]]-Benchmark1[[#This Row],[Benchmark '#1 Return]],"-"),"-")</f>
        <v>2.9874766254888954E-2</v>
      </c>
    </row>
    <row r="1242" spans="1:19">
      <c r="A1242" s="103">
        <v>45085</v>
      </c>
      <c r="B1242" s="104">
        <v>4293.9277687645545</v>
      </c>
      <c r="C1242" s="4">
        <f t="shared" si="19"/>
        <v>6.1693759301121656E-3</v>
      </c>
      <c r="D1242" s="1" t="str">
        <f>IF(COUNTIF(Target1[Target Dates],Benchmark1[[#This Row],[Benchmark '#1 Dates]])=1,"Pass","Fail")</f>
        <v>Pass</v>
      </c>
      <c r="E1242" s="6">
        <f>IF(Benchmark1[[#This Row],[Target Date Check]]="Pass",INDEX(Target1[Target Price],MATCH(Benchmark1[[#This Row],[Benchmark '#1 Dates]],Target1[Target Dates],0)),"-")</f>
        <v>41.56</v>
      </c>
      <c r="F1242" s="22">
        <f>IF(Benchmark1[[#This Row],[Target Date Check]]="Pass",INDEX(Target1[Target Return],MATCH(Benchmark1[[#This Row],[Benchmark '#1 Dates]],Target1[Target Dates],0)),"-")</f>
        <v>-5.518910228797351E-3</v>
      </c>
      <c r="G1242" s="1">
        <f>IFERROR(IF(Benchmark1[[#This Row],[Target Date Check]]="Pass",Benchmark1[[#This Row],[Target Return]]-Benchmark1[[#This Row],[Benchmark '#1 Return]],"-"),"-")</f>
        <v>-1.1688286158909517E-2</v>
      </c>
      <c r="H1242" s="1" t="str">
        <f>IF(COUNTIF(Comp1[Comparable '#1 Dates],Benchmark1[[#This Row],[Benchmark '#1 Dates]])=1,"Pass","Fail")</f>
        <v>Pass</v>
      </c>
      <c r="I1242" s="6">
        <f>IF(Benchmark1[[#This Row],[Comparable '#1 Date Check]]="Pass",INDEX(Comp1[Comparable '#1 Price],MATCH(Benchmark1[[#This Row],[Benchmark '#1 Dates]],Comp1[Comparable '#1 Dates],0)),"-")</f>
        <v>12.36</v>
      </c>
      <c r="J1242" s="22">
        <f>IF(Benchmark1[[#This Row],[Comparable '#1 Date Check]]="Pass",INDEX(Comp1[Comparable '#1 Return],MATCH(Benchmark1[[#This Row],[Benchmark '#1 Dates]],Comp1[Comparable '#1 Dates],0)),"-")</f>
        <v>-1.6051709010508015E-2</v>
      </c>
      <c r="K1242" s="1">
        <f>IFERROR(IF(Benchmark1[[#This Row],[Comparable '#1 Date Check]]="Pass",Benchmark1[[#This Row],[Comparable '#1 Return]]-Benchmark1[[#This Row],[Benchmark '#1 Return]],"-"),"-")</f>
        <v>-2.2221084940620181E-2</v>
      </c>
      <c r="L1242" s="1" t="str">
        <f>IF(COUNTIF(Comp2[Comparable '#2 Dates],Benchmark1[[#This Row],[Benchmark '#1 Dates]])=1,"Pass","Fail")</f>
        <v>Pass</v>
      </c>
      <c r="M1242" s="6">
        <f>IF(Benchmark1[[#This Row],[Comparable '#2 Date Check]]="Pass",INDEX(Comp2[Comparable '#2 Price],MATCH(Benchmark1[[#This Row],[Benchmark '#1 Dates]],Comp2[Comparable '#2 Dates],0)),"-")</f>
        <v>42.13</v>
      </c>
      <c r="N1242" s="22">
        <f>IF(Benchmark1[[#This Row],[Comparable '#2 Date Check]]="Pass",INDEX(Comp2[Comparable '#2 Return],MATCH(Benchmark1[[#This Row],[Benchmark '#1 Dates]],Comp2[Comparable '#2 Dates],0)),"-")</f>
        <v>-8.2733009427581189E-3</v>
      </c>
      <c r="O1242" s="1">
        <f>IFERROR(IF(Benchmark1[[#This Row],[Comparable '#2 Date Check]]="Pass",Benchmark1[[#This Row],[Comparable '#2 Return]]-Benchmark1[[#This Row],[Benchmark '#1 Return]],"-"),"-")</f>
        <v>-1.4442676872870285E-2</v>
      </c>
      <c r="P1242" s="1" t="str">
        <f>IF(COUNTIF(Comp3[Comparable '#3 Dates],Benchmark1[[#This Row],[Benchmark '#1 Dates]])=1,"Pass","Fail")</f>
        <v>Pass</v>
      </c>
      <c r="Q1242" s="6">
        <f>IF(Benchmark1[[#This Row],[Comparable '#3 Date Check]]="Pass",INDEX(Comp3[Comparable '#3 Price],MATCH(Benchmark1[[#This Row],[Benchmark '#1 Dates]],Comp3[Comparable '#3 Dates],0)),"-")</f>
        <v>77.510000000000005</v>
      </c>
      <c r="R1242" s="22">
        <f>IF(Benchmark1[[#This Row],[Comparable '#3 Date Check]]="Pass",INDEX(Comp3[Comparable '#3 Return],MATCH(Benchmark1[[#This Row],[Benchmark '#1 Dates]],Comp3[Comparable '#3 Dates],0)),"-")</f>
        <v>-1.8154423426891074E-2</v>
      </c>
      <c r="S1242" s="1">
        <f>IFERROR(IF(Benchmark1[[#This Row],[Comparable '#3 Date Check]]="Pass",Benchmark1[[#This Row],[Comparable '#3 Return]]-Benchmark1[[#This Row],[Benchmark '#1 Return]],"-"),"-")</f>
        <v>-2.432379935700324E-2</v>
      </c>
    </row>
    <row r="1243" spans="1:19">
      <c r="A1243" s="103">
        <v>45086</v>
      </c>
      <c r="B1243" s="104">
        <v>4298.8573138469637</v>
      </c>
      <c r="C1243" s="4">
        <f t="shared" si="19"/>
        <v>1.1473685366991523E-3</v>
      </c>
      <c r="D1243" s="1" t="str">
        <f>IF(COUNTIF(Target1[Target Dates],Benchmark1[[#This Row],[Benchmark '#1 Dates]])=1,"Pass","Fail")</f>
        <v>Pass</v>
      </c>
      <c r="E1243" s="6">
        <f>IF(Benchmark1[[#This Row],[Target Date Check]]="Pass",INDEX(Target1[Target Price],MATCH(Benchmark1[[#This Row],[Benchmark '#1 Dates]],Target1[Target Dates],0)),"-")</f>
        <v>41.26</v>
      </c>
      <c r="F1243" s="22">
        <f>IF(Benchmark1[[#This Row],[Target Date Check]]="Pass",INDEX(Target1[Target Return],MATCH(Benchmark1[[#This Row],[Benchmark '#1 Dates]],Target1[Target Dates],0)),"-")</f>
        <v>-7.2446585879210202E-3</v>
      </c>
      <c r="G1243" s="1">
        <f>IFERROR(IF(Benchmark1[[#This Row],[Target Date Check]]="Pass",Benchmark1[[#This Row],[Target Return]]-Benchmark1[[#This Row],[Benchmark '#1 Return]],"-"),"-")</f>
        <v>-8.3920271246201716E-3</v>
      </c>
      <c r="H1243" s="1" t="str">
        <f>IF(COUNTIF(Comp1[Comparable '#1 Dates],Benchmark1[[#This Row],[Benchmark '#1 Dates]])=1,"Pass","Fail")</f>
        <v>Pass</v>
      </c>
      <c r="I1243" s="6">
        <f>IF(Benchmark1[[#This Row],[Comparable '#1 Date Check]]="Pass",INDEX(Comp1[Comparable '#1 Price],MATCH(Benchmark1[[#This Row],[Benchmark '#1 Dates]],Comp1[Comparable '#1 Dates],0)),"-")</f>
        <v>12.23</v>
      </c>
      <c r="J1243" s="22">
        <f>IF(Benchmark1[[#This Row],[Comparable '#1 Date Check]]="Pass",INDEX(Comp1[Comparable '#1 Return],MATCH(Benchmark1[[#This Row],[Benchmark '#1 Dates]],Comp1[Comparable '#1 Dates],0)),"-")</f>
        <v>-1.0573502330463684E-2</v>
      </c>
      <c r="K1243" s="1">
        <f>IFERROR(IF(Benchmark1[[#This Row],[Comparable '#1 Date Check]]="Pass",Benchmark1[[#This Row],[Comparable '#1 Return]]-Benchmark1[[#This Row],[Benchmark '#1 Return]],"-"),"-")</f>
        <v>-1.1720870867162836E-2</v>
      </c>
      <c r="L1243" s="1" t="str">
        <f>IF(COUNTIF(Comp2[Comparable '#2 Dates],Benchmark1[[#This Row],[Benchmark '#1 Dates]])=1,"Pass","Fail")</f>
        <v>Pass</v>
      </c>
      <c r="M1243" s="6">
        <f>IF(Benchmark1[[#This Row],[Comparable '#2 Date Check]]="Pass",INDEX(Comp2[Comparable '#2 Price],MATCH(Benchmark1[[#This Row],[Benchmark '#1 Dates]],Comp2[Comparable '#2 Dates],0)),"-")</f>
        <v>41.94</v>
      </c>
      <c r="N1243" s="22">
        <f>IF(Benchmark1[[#This Row],[Comparable '#2 Date Check]]="Pass",INDEX(Comp2[Comparable '#2 Return],MATCH(Benchmark1[[#This Row],[Benchmark '#1 Dates]],Comp2[Comparable '#2 Dates],0)),"-")</f>
        <v>-4.5200505171514409E-3</v>
      </c>
      <c r="O1243" s="1">
        <f>IFERROR(IF(Benchmark1[[#This Row],[Comparable '#2 Date Check]]="Pass",Benchmark1[[#This Row],[Comparable '#2 Return]]-Benchmark1[[#This Row],[Benchmark '#1 Return]],"-"),"-")</f>
        <v>-5.6674190538505932E-3</v>
      </c>
      <c r="P1243" s="1" t="str">
        <f>IF(COUNTIF(Comp3[Comparable '#3 Dates],Benchmark1[[#This Row],[Benchmark '#1 Dates]])=1,"Pass","Fail")</f>
        <v>Pass</v>
      </c>
      <c r="Q1243" s="6">
        <f>IF(Benchmark1[[#This Row],[Comparable '#3 Date Check]]="Pass",INDEX(Comp3[Comparable '#3 Price],MATCH(Benchmark1[[#This Row],[Benchmark '#1 Dates]],Comp3[Comparable '#3 Dates],0)),"-")</f>
        <v>76.11</v>
      </c>
      <c r="R1243" s="22">
        <f>IF(Benchmark1[[#This Row],[Comparable '#3 Date Check]]="Pass",INDEX(Comp3[Comparable '#3 Return],MATCH(Benchmark1[[#This Row],[Benchmark '#1 Dates]],Comp3[Comparable '#3 Dates],0)),"-")</f>
        <v>-1.8227298014119885E-2</v>
      </c>
      <c r="S1243" s="1">
        <f>IFERROR(IF(Benchmark1[[#This Row],[Comparable '#3 Date Check]]="Pass",Benchmark1[[#This Row],[Comparable '#3 Return]]-Benchmark1[[#This Row],[Benchmark '#1 Return]],"-"),"-")</f>
        <v>-1.9374666550819038E-2</v>
      </c>
    </row>
    <row r="1244" spans="1:19">
      <c r="A1244" s="103">
        <v>45089</v>
      </c>
      <c r="B1244" s="104">
        <v>4338.9344372322021</v>
      </c>
      <c r="C1244" s="4">
        <f t="shared" si="19"/>
        <v>9.2795501736304999E-3</v>
      </c>
      <c r="D1244" s="1" t="str">
        <f>IF(COUNTIF(Target1[Target Dates],Benchmark1[[#This Row],[Benchmark '#1 Dates]])=1,"Pass","Fail")</f>
        <v>Pass</v>
      </c>
      <c r="E1244" s="6">
        <f>IF(Benchmark1[[#This Row],[Target Date Check]]="Pass",INDEX(Target1[Target Price],MATCH(Benchmark1[[#This Row],[Benchmark '#1 Dates]],Target1[Target Dates],0)),"-")</f>
        <v>41.04</v>
      </c>
      <c r="F1244" s="22">
        <f>IF(Benchmark1[[#This Row],[Target Date Check]]="Pass",INDEX(Target1[Target Return],MATCH(Benchmark1[[#This Row],[Benchmark '#1 Dates]],Target1[Target Dates],0)),"-")</f>
        <v>-5.3463067805916151E-3</v>
      </c>
      <c r="G1244" s="1">
        <f>IFERROR(IF(Benchmark1[[#This Row],[Target Date Check]]="Pass",Benchmark1[[#This Row],[Target Return]]-Benchmark1[[#This Row],[Benchmark '#1 Return]],"-"),"-")</f>
        <v>-1.4625856954222114E-2</v>
      </c>
      <c r="H1244" s="1" t="str">
        <f>IF(COUNTIF(Comp1[Comparable '#1 Dates],Benchmark1[[#This Row],[Benchmark '#1 Dates]])=1,"Pass","Fail")</f>
        <v>Pass</v>
      </c>
      <c r="I1244" s="6">
        <f>IF(Benchmark1[[#This Row],[Comparable '#1 Date Check]]="Pass",INDEX(Comp1[Comparable '#1 Price],MATCH(Benchmark1[[#This Row],[Benchmark '#1 Dates]],Comp1[Comparable '#1 Dates],0)),"-")</f>
        <v>12.06</v>
      </c>
      <c r="J1244" s="22">
        <f>IF(Benchmark1[[#This Row],[Comparable '#1 Date Check]]="Pass",INDEX(Comp1[Comparable '#1 Return],MATCH(Benchmark1[[#This Row],[Benchmark '#1 Dates]],Comp1[Comparable '#1 Dates],0)),"-")</f>
        <v>-1.3997758400041627E-2</v>
      </c>
      <c r="K1244" s="1">
        <f>IFERROR(IF(Benchmark1[[#This Row],[Comparable '#1 Date Check]]="Pass",Benchmark1[[#This Row],[Comparable '#1 Return]]-Benchmark1[[#This Row],[Benchmark '#1 Return]],"-"),"-")</f>
        <v>-2.3277308573672127E-2</v>
      </c>
      <c r="L1244" s="1" t="str">
        <f>IF(COUNTIF(Comp2[Comparable '#2 Dates],Benchmark1[[#This Row],[Benchmark '#1 Dates]])=1,"Pass","Fail")</f>
        <v>Pass</v>
      </c>
      <c r="M1244" s="6">
        <f>IF(Benchmark1[[#This Row],[Comparable '#2 Date Check]]="Pass",INDEX(Comp2[Comparable '#2 Price],MATCH(Benchmark1[[#This Row],[Benchmark '#1 Dates]],Comp2[Comparable '#2 Dates],0)),"-")</f>
        <v>41.01</v>
      </c>
      <c r="N1244" s="22">
        <f>IF(Benchmark1[[#This Row],[Comparable '#2 Date Check]]="Pass",INDEX(Comp2[Comparable '#2 Return],MATCH(Benchmark1[[#This Row],[Benchmark '#1 Dates]],Comp2[Comparable '#2 Dates],0)),"-")</f>
        <v>-2.2424086069805973E-2</v>
      </c>
      <c r="O1244" s="1">
        <f>IFERROR(IF(Benchmark1[[#This Row],[Comparable '#2 Date Check]]="Pass",Benchmark1[[#This Row],[Comparable '#2 Return]]-Benchmark1[[#This Row],[Benchmark '#1 Return]],"-"),"-")</f>
        <v>-3.1703636243436473E-2</v>
      </c>
      <c r="P1244" s="1" t="str">
        <f>IF(COUNTIF(Comp3[Comparable '#3 Dates],Benchmark1[[#This Row],[Benchmark '#1 Dates]])=1,"Pass","Fail")</f>
        <v>Pass</v>
      </c>
      <c r="Q1244" s="6">
        <f>IF(Benchmark1[[#This Row],[Comparable '#3 Date Check]]="Pass",INDEX(Comp3[Comparable '#3 Price],MATCH(Benchmark1[[#This Row],[Benchmark '#1 Dates]],Comp3[Comparable '#3 Dates],0)),"-")</f>
        <v>75.599999999999994</v>
      </c>
      <c r="R1244" s="22">
        <f>IF(Benchmark1[[#This Row],[Comparable '#3 Date Check]]="Pass",INDEX(Comp3[Comparable '#3 Return],MATCH(Benchmark1[[#This Row],[Benchmark '#1 Dates]],Comp3[Comparable '#3 Dates],0)),"-")</f>
        <v>-6.7233790938129199E-3</v>
      </c>
      <c r="S1244" s="1">
        <f>IFERROR(IF(Benchmark1[[#This Row],[Comparable '#3 Date Check]]="Pass",Benchmark1[[#This Row],[Comparable '#3 Return]]-Benchmark1[[#This Row],[Benchmark '#1 Return]],"-"),"-")</f>
        <v>-1.6002929267443421E-2</v>
      </c>
    </row>
    <row r="1245" spans="1:19">
      <c r="A1245" s="103">
        <v>45090</v>
      </c>
      <c r="B1245" s="104">
        <v>4369.0063857806454</v>
      </c>
      <c r="C1245" s="4">
        <f t="shared" si="19"/>
        <v>6.9068149877934693E-3</v>
      </c>
      <c r="D1245" s="1" t="str">
        <f>IF(COUNTIF(Target1[Target Dates],Benchmark1[[#This Row],[Benchmark '#1 Dates]])=1,"Pass","Fail")</f>
        <v>Pass</v>
      </c>
      <c r="E1245" s="6">
        <f>IF(Benchmark1[[#This Row],[Target Date Check]]="Pass",INDEX(Target1[Target Price],MATCH(Benchmark1[[#This Row],[Benchmark '#1 Dates]],Target1[Target Dates],0)),"-")</f>
        <v>40.700000000000003</v>
      </c>
      <c r="F1245" s="22">
        <f>IF(Benchmark1[[#This Row],[Target Date Check]]="Pass",INDEX(Target1[Target Return],MATCH(Benchmark1[[#This Row],[Benchmark '#1 Dates]],Target1[Target Dates],0)),"-")</f>
        <v>-8.3191084139646911E-3</v>
      </c>
      <c r="G1245" s="1">
        <f>IFERROR(IF(Benchmark1[[#This Row],[Target Date Check]]="Pass",Benchmark1[[#This Row],[Target Return]]-Benchmark1[[#This Row],[Benchmark '#1 Return]],"-"),"-")</f>
        <v>-1.522592340175816E-2</v>
      </c>
      <c r="H1245" s="1" t="str">
        <f>IF(COUNTIF(Comp1[Comparable '#1 Dates],Benchmark1[[#This Row],[Benchmark '#1 Dates]])=1,"Pass","Fail")</f>
        <v>Pass</v>
      </c>
      <c r="I1245" s="6">
        <f>IF(Benchmark1[[#This Row],[Comparable '#1 Date Check]]="Pass",INDEX(Comp1[Comparable '#1 Price],MATCH(Benchmark1[[#This Row],[Benchmark '#1 Dates]],Comp1[Comparable '#1 Dates],0)),"-")</f>
        <v>11.92</v>
      </c>
      <c r="J1245" s="22">
        <f>IF(Benchmark1[[#This Row],[Comparable '#1 Date Check]]="Pass",INDEX(Comp1[Comparable '#1 Return],MATCH(Benchmark1[[#This Row],[Benchmark '#1 Dates]],Comp1[Comparable '#1 Dates],0)),"-")</f>
        <v>-1.1676529661835742E-2</v>
      </c>
      <c r="K1245" s="1">
        <f>IFERROR(IF(Benchmark1[[#This Row],[Comparable '#1 Date Check]]="Pass",Benchmark1[[#This Row],[Comparable '#1 Return]]-Benchmark1[[#This Row],[Benchmark '#1 Return]],"-"),"-")</f>
        <v>-1.8583344649629213E-2</v>
      </c>
      <c r="L1245" s="1" t="str">
        <f>IF(COUNTIF(Comp2[Comparable '#2 Dates],Benchmark1[[#This Row],[Benchmark '#1 Dates]])=1,"Pass","Fail")</f>
        <v>Pass</v>
      </c>
      <c r="M1245" s="6">
        <f>IF(Benchmark1[[#This Row],[Comparable '#2 Date Check]]="Pass",INDEX(Comp2[Comparable '#2 Price],MATCH(Benchmark1[[#This Row],[Benchmark '#1 Dates]],Comp2[Comparable '#2 Dates],0)),"-")</f>
        <v>40.58</v>
      </c>
      <c r="N1245" s="22">
        <f>IF(Benchmark1[[#This Row],[Comparable '#2 Date Check]]="Pass",INDEX(Comp2[Comparable '#2 Return],MATCH(Benchmark1[[#This Row],[Benchmark '#1 Dates]],Comp2[Comparable '#2 Dates],0)),"-")</f>
        <v>-1.0540605006299232E-2</v>
      </c>
      <c r="O1245" s="1">
        <f>IFERROR(IF(Benchmark1[[#This Row],[Comparable '#2 Date Check]]="Pass",Benchmark1[[#This Row],[Comparable '#2 Return]]-Benchmark1[[#This Row],[Benchmark '#1 Return]],"-"),"-")</f>
        <v>-1.7447419994092703E-2</v>
      </c>
      <c r="P1245" s="1" t="str">
        <f>IF(COUNTIF(Comp3[Comparable '#3 Dates],Benchmark1[[#This Row],[Benchmark '#1 Dates]])=1,"Pass","Fail")</f>
        <v>Pass</v>
      </c>
      <c r="Q1245" s="6">
        <f>IF(Benchmark1[[#This Row],[Comparable '#3 Date Check]]="Pass",INDEX(Comp3[Comparable '#3 Price],MATCH(Benchmark1[[#This Row],[Benchmark '#1 Dates]],Comp3[Comparable '#3 Dates],0)),"-")</f>
        <v>75.8</v>
      </c>
      <c r="R1245" s="22">
        <f>IF(Benchmark1[[#This Row],[Comparable '#3 Date Check]]="Pass",INDEX(Comp3[Comparable '#3 Return],MATCH(Benchmark1[[#This Row],[Benchmark '#1 Dates]],Comp3[Comparable '#3 Dates],0)),"-")</f>
        <v>2.6420094628387975E-3</v>
      </c>
      <c r="S1245" s="1">
        <f>IFERROR(IF(Benchmark1[[#This Row],[Comparable '#3 Date Check]]="Pass",Benchmark1[[#This Row],[Comparable '#3 Return]]-Benchmark1[[#This Row],[Benchmark '#1 Return]],"-"),"-")</f>
        <v>-4.2648055249546717E-3</v>
      </c>
    </row>
    <row r="1246" spans="1:19">
      <c r="A1246" s="103">
        <v>45091</v>
      </c>
      <c r="B1246" s="104">
        <v>4372.5894426643008</v>
      </c>
      <c r="C1246" s="4">
        <f t="shared" si="19"/>
        <v>8.1977184821444373E-4</v>
      </c>
      <c r="D1246" s="1" t="str">
        <f>IF(COUNTIF(Target1[Target Dates],Benchmark1[[#This Row],[Benchmark '#1 Dates]])=1,"Pass","Fail")</f>
        <v>Pass</v>
      </c>
      <c r="E1246" s="6">
        <f>IF(Benchmark1[[#This Row],[Target Date Check]]="Pass",INDEX(Target1[Target Price],MATCH(Benchmark1[[#This Row],[Benchmark '#1 Dates]],Target1[Target Dates],0)),"-")</f>
        <v>40.090000000000003</v>
      </c>
      <c r="F1246" s="22">
        <f>IF(Benchmark1[[#This Row],[Target Date Check]]="Pass",INDEX(Target1[Target Return],MATCH(Benchmark1[[#This Row],[Benchmark '#1 Dates]],Target1[Target Dates],0)),"-")</f>
        <v>-1.5101165794133736E-2</v>
      </c>
      <c r="G1246" s="1">
        <f>IFERROR(IF(Benchmark1[[#This Row],[Target Date Check]]="Pass",Benchmark1[[#This Row],[Target Return]]-Benchmark1[[#This Row],[Benchmark '#1 Return]],"-"),"-")</f>
        <v>-1.5920937642348181E-2</v>
      </c>
      <c r="H1246" s="1" t="str">
        <f>IF(COUNTIF(Comp1[Comparable '#1 Dates],Benchmark1[[#This Row],[Benchmark '#1 Dates]])=1,"Pass","Fail")</f>
        <v>Pass</v>
      </c>
      <c r="I1246" s="6">
        <f>IF(Benchmark1[[#This Row],[Comparable '#1 Date Check]]="Pass",INDEX(Comp1[Comparable '#1 Price],MATCH(Benchmark1[[#This Row],[Benchmark '#1 Dates]],Comp1[Comparable '#1 Dates],0)),"-")</f>
        <v>11.66</v>
      </c>
      <c r="J1246" s="22">
        <f>IF(Benchmark1[[#This Row],[Comparable '#1 Date Check]]="Pass",INDEX(Comp1[Comparable '#1 Return],MATCH(Benchmark1[[#This Row],[Benchmark '#1 Dates]],Comp1[Comparable '#1 Dates],0)),"-")</f>
        <v>-2.2053480714857378E-2</v>
      </c>
      <c r="K1246" s="1">
        <f>IFERROR(IF(Benchmark1[[#This Row],[Comparable '#1 Date Check]]="Pass",Benchmark1[[#This Row],[Comparable '#1 Return]]-Benchmark1[[#This Row],[Benchmark '#1 Return]],"-"),"-")</f>
        <v>-2.2873252563071822E-2</v>
      </c>
      <c r="L1246" s="1" t="str">
        <f>IF(COUNTIF(Comp2[Comparable '#2 Dates],Benchmark1[[#This Row],[Benchmark '#1 Dates]])=1,"Pass","Fail")</f>
        <v>Pass</v>
      </c>
      <c r="M1246" s="6">
        <f>IF(Benchmark1[[#This Row],[Comparable '#2 Date Check]]="Pass",INDEX(Comp2[Comparable '#2 Price],MATCH(Benchmark1[[#This Row],[Benchmark '#1 Dates]],Comp2[Comparable '#2 Dates],0)),"-")</f>
        <v>39.380000000000003</v>
      </c>
      <c r="N1246" s="22">
        <f>IF(Benchmark1[[#This Row],[Comparable '#2 Date Check]]="Pass",INDEX(Comp2[Comparable '#2 Return],MATCH(Benchmark1[[#This Row],[Benchmark '#1 Dates]],Comp2[Comparable '#2 Dates],0)),"-")</f>
        <v>-3.0017261186689053E-2</v>
      </c>
      <c r="O1246" s="1">
        <f>IFERROR(IF(Benchmark1[[#This Row],[Comparable '#2 Date Check]]="Pass",Benchmark1[[#This Row],[Comparable '#2 Return]]-Benchmark1[[#This Row],[Benchmark '#1 Return]],"-"),"-")</f>
        <v>-3.0837033034903497E-2</v>
      </c>
      <c r="P1246" s="1" t="str">
        <f>IF(COUNTIF(Comp3[Comparable '#3 Dates],Benchmark1[[#This Row],[Benchmark '#1 Dates]])=1,"Pass","Fail")</f>
        <v>Pass</v>
      </c>
      <c r="Q1246" s="6">
        <f>IF(Benchmark1[[#This Row],[Comparable '#3 Date Check]]="Pass",INDEX(Comp3[Comparable '#3 Price],MATCH(Benchmark1[[#This Row],[Benchmark '#1 Dates]],Comp3[Comparable '#3 Dates],0)),"-")</f>
        <v>75.900000000000006</v>
      </c>
      <c r="R1246" s="22">
        <f>IF(Benchmark1[[#This Row],[Comparable '#3 Date Check]]="Pass",INDEX(Comp3[Comparable '#3 Return],MATCH(Benchmark1[[#This Row],[Benchmark '#1 Dates]],Comp3[Comparable '#3 Dates],0)),"-")</f>
        <v>1.318391753258454E-3</v>
      </c>
      <c r="S1246" s="1">
        <f>IFERROR(IF(Benchmark1[[#This Row],[Comparable '#3 Date Check]]="Pass",Benchmark1[[#This Row],[Comparable '#3 Return]]-Benchmark1[[#This Row],[Benchmark '#1 Return]],"-"),"-")</f>
        <v>4.9861990504401028E-4</v>
      </c>
    </row>
    <row r="1247" spans="1:19">
      <c r="A1247" s="103">
        <v>45092</v>
      </c>
      <c r="B1247" s="104">
        <v>4425.8442648659184</v>
      </c>
      <c r="C1247" s="4">
        <f t="shared" si="19"/>
        <v>1.2105671153007359E-2</v>
      </c>
      <c r="D1247" s="1" t="str">
        <f>IF(COUNTIF(Target1[Target Dates],Benchmark1[[#This Row],[Benchmark '#1 Dates]])=1,"Pass","Fail")</f>
        <v>Pass</v>
      </c>
      <c r="E1247" s="6">
        <f>IF(Benchmark1[[#This Row],[Target Date Check]]="Pass",INDEX(Target1[Target Price],MATCH(Benchmark1[[#This Row],[Benchmark '#1 Dates]],Target1[Target Dates],0)),"-")</f>
        <v>38.880000000000003</v>
      </c>
      <c r="F1247" s="22">
        <f>IF(Benchmark1[[#This Row],[Target Date Check]]="Pass",INDEX(Target1[Target Return],MATCH(Benchmark1[[#This Row],[Benchmark '#1 Dates]],Target1[Target Dates],0)),"-")</f>
        <v>-3.0646947062177299E-2</v>
      </c>
      <c r="G1247" s="1">
        <f>IFERROR(IF(Benchmark1[[#This Row],[Target Date Check]]="Pass",Benchmark1[[#This Row],[Target Return]]-Benchmark1[[#This Row],[Benchmark '#1 Return]],"-"),"-")</f>
        <v>-4.2752618215184654E-2</v>
      </c>
      <c r="H1247" s="1" t="str">
        <f>IF(COUNTIF(Comp1[Comparable '#1 Dates],Benchmark1[[#This Row],[Benchmark '#1 Dates]])=1,"Pass","Fail")</f>
        <v>Pass</v>
      </c>
      <c r="I1247" s="6">
        <f>IF(Benchmark1[[#This Row],[Comparable '#1 Date Check]]="Pass",INDEX(Comp1[Comparable '#1 Price],MATCH(Benchmark1[[#This Row],[Benchmark '#1 Dates]],Comp1[Comparable '#1 Dates],0)),"-")</f>
        <v>11.73</v>
      </c>
      <c r="J1247" s="22">
        <f>IF(Benchmark1[[#This Row],[Comparable '#1 Date Check]]="Pass",INDEX(Comp1[Comparable '#1 Return],MATCH(Benchmark1[[#This Row],[Benchmark '#1 Dates]],Comp1[Comparable '#1 Dates],0)),"-")</f>
        <v>5.9854817430378239E-3</v>
      </c>
      <c r="K1247" s="1">
        <f>IFERROR(IF(Benchmark1[[#This Row],[Comparable '#1 Date Check]]="Pass",Benchmark1[[#This Row],[Comparable '#1 Return]]-Benchmark1[[#This Row],[Benchmark '#1 Return]],"-"),"-")</f>
        <v>-6.1201894099695347E-3</v>
      </c>
      <c r="L1247" s="1" t="str">
        <f>IF(COUNTIF(Comp2[Comparable '#2 Dates],Benchmark1[[#This Row],[Benchmark '#1 Dates]])=1,"Pass","Fail")</f>
        <v>Pass</v>
      </c>
      <c r="M1247" s="6">
        <f>IF(Benchmark1[[#This Row],[Comparable '#2 Date Check]]="Pass",INDEX(Comp2[Comparable '#2 Price],MATCH(Benchmark1[[#This Row],[Benchmark '#1 Dates]],Comp2[Comparable '#2 Dates],0)),"-")</f>
        <v>38.76</v>
      </c>
      <c r="N1247" s="22">
        <f>IF(Benchmark1[[#This Row],[Comparable '#2 Date Check]]="Pass",INDEX(Comp2[Comparable '#2 Return],MATCH(Benchmark1[[#This Row],[Benchmark '#1 Dates]],Comp2[Comparable '#2 Dates],0)),"-")</f>
        <v>-1.5869286188414142E-2</v>
      </c>
      <c r="O1247" s="1">
        <f>IFERROR(IF(Benchmark1[[#This Row],[Comparable '#2 Date Check]]="Pass",Benchmark1[[#This Row],[Comparable '#2 Return]]-Benchmark1[[#This Row],[Benchmark '#1 Return]],"-"),"-")</f>
        <v>-2.79749573414215E-2</v>
      </c>
      <c r="P1247" s="1" t="str">
        <f>IF(COUNTIF(Comp3[Comparable '#3 Dates],Benchmark1[[#This Row],[Benchmark '#1 Dates]])=1,"Pass","Fail")</f>
        <v>Pass</v>
      </c>
      <c r="Q1247" s="6">
        <f>IF(Benchmark1[[#This Row],[Comparable '#3 Date Check]]="Pass",INDEX(Comp3[Comparable '#3 Price],MATCH(Benchmark1[[#This Row],[Benchmark '#1 Dates]],Comp3[Comparable '#3 Dates],0)),"-")</f>
        <v>74.88</v>
      </c>
      <c r="R1247" s="22">
        <f>IF(Benchmark1[[#This Row],[Comparable '#3 Date Check]]="Pass",INDEX(Comp3[Comparable '#3 Return],MATCH(Benchmark1[[#This Row],[Benchmark '#1 Dates]],Comp3[Comparable '#3 Dates],0)),"-")</f>
        <v>-1.3529852232247782E-2</v>
      </c>
      <c r="S1247" s="1">
        <f>IFERROR(IF(Benchmark1[[#This Row],[Comparable '#3 Date Check]]="Pass",Benchmark1[[#This Row],[Comparable '#3 Return]]-Benchmark1[[#This Row],[Benchmark '#1 Return]],"-"),"-")</f>
        <v>-2.5635523385255141E-2</v>
      </c>
    </row>
    <row r="1248" spans="1:19">
      <c r="A1248" s="103">
        <v>45093</v>
      </c>
      <c r="B1248" s="104">
        <v>4409.5943609357919</v>
      </c>
      <c r="C1248" s="4">
        <f t="shared" si="19"/>
        <v>-3.6783509999822072E-3</v>
      </c>
      <c r="D1248" s="1" t="str">
        <f>IF(COUNTIF(Target1[Target Dates],Benchmark1[[#This Row],[Benchmark '#1 Dates]])=1,"Pass","Fail")</f>
        <v>Pass</v>
      </c>
      <c r="E1248" s="6">
        <f>IF(Benchmark1[[#This Row],[Target Date Check]]="Pass",INDEX(Target1[Target Price],MATCH(Benchmark1[[#This Row],[Benchmark '#1 Dates]],Target1[Target Dates],0)),"-")</f>
        <v>39.799999999999997</v>
      </c>
      <c r="F1248" s="22">
        <f>IF(Benchmark1[[#This Row],[Target Date Check]]="Pass",INDEX(Target1[Target Return],MATCH(Benchmark1[[#This Row],[Benchmark '#1 Dates]],Target1[Target Dates],0)),"-")</f>
        <v>2.3386932698153506E-2</v>
      </c>
      <c r="G1248" s="1">
        <f>IFERROR(IF(Benchmark1[[#This Row],[Target Date Check]]="Pass",Benchmark1[[#This Row],[Target Return]]-Benchmark1[[#This Row],[Benchmark '#1 Return]],"-"),"-")</f>
        <v>2.7065283698135715E-2</v>
      </c>
      <c r="H1248" s="1" t="str">
        <f>IF(COUNTIF(Comp1[Comparable '#1 Dates],Benchmark1[[#This Row],[Benchmark '#1 Dates]])=1,"Pass","Fail")</f>
        <v>Pass</v>
      </c>
      <c r="I1248" s="6">
        <f>IF(Benchmark1[[#This Row],[Comparable '#1 Date Check]]="Pass",INDEX(Comp1[Comparable '#1 Price],MATCH(Benchmark1[[#This Row],[Benchmark '#1 Dates]],Comp1[Comparable '#1 Dates],0)),"-")</f>
        <v>11.76</v>
      </c>
      <c r="J1248" s="22">
        <f>IF(Benchmark1[[#This Row],[Comparable '#1 Date Check]]="Pass",INDEX(Comp1[Comparable '#1 Return],MATCH(Benchmark1[[#This Row],[Benchmark '#1 Dates]],Comp1[Comparable '#1 Dates],0)),"-")</f>
        <v>2.5542798050967007E-3</v>
      </c>
      <c r="K1248" s="1">
        <f>IFERROR(IF(Benchmark1[[#This Row],[Comparable '#1 Date Check]]="Pass",Benchmark1[[#This Row],[Comparable '#1 Return]]-Benchmark1[[#This Row],[Benchmark '#1 Return]],"-"),"-")</f>
        <v>6.2326308050789075E-3</v>
      </c>
      <c r="L1248" s="1" t="str">
        <f>IF(COUNTIF(Comp2[Comparable '#2 Dates],Benchmark1[[#This Row],[Benchmark '#1 Dates]])=1,"Pass","Fail")</f>
        <v>Pass</v>
      </c>
      <c r="M1248" s="6">
        <f>IF(Benchmark1[[#This Row],[Comparable '#2 Date Check]]="Pass",INDEX(Comp2[Comparable '#2 Price],MATCH(Benchmark1[[#This Row],[Benchmark '#1 Dates]],Comp2[Comparable '#2 Dates],0)),"-")</f>
        <v>38.840000000000003</v>
      </c>
      <c r="N1248" s="22">
        <f>IF(Benchmark1[[#This Row],[Comparable '#2 Date Check]]="Pass",INDEX(Comp2[Comparable '#2 Return],MATCH(Benchmark1[[#This Row],[Benchmark '#1 Dates]],Comp2[Comparable '#2 Dates],0)),"-")</f>
        <v>2.0618564005587771E-3</v>
      </c>
      <c r="O1248" s="1">
        <f>IFERROR(IF(Benchmark1[[#This Row],[Comparable '#2 Date Check]]="Pass",Benchmark1[[#This Row],[Comparable '#2 Return]]-Benchmark1[[#This Row],[Benchmark '#1 Return]],"-"),"-")</f>
        <v>5.7402074005409847E-3</v>
      </c>
      <c r="P1248" s="1" t="str">
        <f>IF(COUNTIF(Comp3[Comparable '#3 Dates],Benchmark1[[#This Row],[Benchmark '#1 Dates]])=1,"Pass","Fail")</f>
        <v>Pass</v>
      </c>
      <c r="Q1248" s="6">
        <f>IF(Benchmark1[[#This Row],[Comparable '#3 Date Check]]="Pass",INDEX(Comp3[Comparable '#3 Price],MATCH(Benchmark1[[#This Row],[Benchmark '#1 Dates]],Comp3[Comparable '#3 Dates],0)),"-")</f>
        <v>74.97</v>
      </c>
      <c r="R1248" s="22">
        <f>IF(Benchmark1[[#This Row],[Comparable '#3 Date Check]]="Pass",INDEX(Comp3[Comparable '#3 Return],MATCH(Benchmark1[[#This Row],[Benchmark '#1 Dates]],Comp3[Comparable '#3 Dates],0)),"-")</f>
        <v>1.2012013456341492E-3</v>
      </c>
      <c r="S1248" s="1">
        <f>IFERROR(IF(Benchmark1[[#This Row],[Comparable '#3 Date Check]]="Pass",Benchmark1[[#This Row],[Comparable '#3 Return]]-Benchmark1[[#This Row],[Benchmark '#1 Return]],"-"),"-")</f>
        <v>4.8795523456163564E-3</v>
      </c>
    </row>
    <row r="1249" spans="1:19">
      <c r="A1249" s="103">
        <v>45097</v>
      </c>
      <c r="B1249" s="104">
        <v>4388.7097556406698</v>
      </c>
      <c r="C1249" s="4">
        <f t="shared" si="19"/>
        <v>-4.7474250135559927E-3</v>
      </c>
      <c r="D1249" s="1" t="str">
        <f>IF(COUNTIF(Target1[Target Dates],Benchmark1[[#This Row],[Benchmark '#1 Dates]])=1,"Pass","Fail")</f>
        <v>Pass</v>
      </c>
      <c r="E1249" s="6">
        <f>IF(Benchmark1[[#This Row],[Target Date Check]]="Pass",INDEX(Target1[Target Price],MATCH(Benchmark1[[#This Row],[Benchmark '#1 Dates]],Target1[Target Dates],0)),"-")</f>
        <v>39.159999999999997</v>
      </c>
      <c r="F1249" s="22">
        <f>IF(Benchmark1[[#This Row],[Target Date Check]]="Pass",INDEX(Target1[Target Return],MATCH(Benchmark1[[#This Row],[Benchmark '#1 Dates]],Target1[Target Dates],0)),"-")</f>
        <v>-1.621109462808237E-2</v>
      </c>
      <c r="G1249" s="1">
        <f>IFERROR(IF(Benchmark1[[#This Row],[Target Date Check]]="Pass",Benchmark1[[#This Row],[Target Return]]-Benchmark1[[#This Row],[Benchmark '#1 Return]],"-"),"-")</f>
        <v>-1.1463669614526377E-2</v>
      </c>
      <c r="H1249" s="1" t="str">
        <f>IF(COUNTIF(Comp1[Comparable '#1 Dates],Benchmark1[[#This Row],[Benchmark '#1 Dates]])=1,"Pass","Fail")</f>
        <v>Pass</v>
      </c>
      <c r="I1249" s="6">
        <f>IF(Benchmark1[[#This Row],[Comparable '#1 Date Check]]="Pass",INDEX(Comp1[Comparable '#1 Price],MATCH(Benchmark1[[#This Row],[Benchmark '#1 Dates]],Comp1[Comparable '#1 Dates],0)),"-")</f>
        <v>11.73</v>
      </c>
      <c r="J1249" s="22">
        <f>IF(Benchmark1[[#This Row],[Comparable '#1 Date Check]]="Pass",INDEX(Comp1[Comparable '#1 Return],MATCH(Benchmark1[[#This Row],[Benchmark '#1 Dates]],Comp1[Comparable '#1 Dates],0)),"-")</f>
        <v>-2.5542798050967423E-3</v>
      </c>
      <c r="K1249" s="1">
        <f>IFERROR(IF(Benchmark1[[#This Row],[Comparable '#1 Date Check]]="Pass",Benchmark1[[#This Row],[Comparable '#1 Return]]-Benchmark1[[#This Row],[Benchmark '#1 Return]],"-"),"-")</f>
        <v>2.1931452084592504E-3</v>
      </c>
      <c r="L1249" s="1" t="str">
        <f>IF(COUNTIF(Comp2[Comparable '#2 Dates],Benchmark1[[#This Row],[Benchmark '#1 Dates]])=1,"Pass","Fail")</f>
        <v>Pass</v>
      </c>
      <c r="M1249" s="6">
        <f>IF(Benchmark1[[#This Row],[Comparable '#2 Date Check]]="Pass",INDEX(Comp2[Comparable '#2 Price],MATCH(Benchmark1[[#This Row],[Benchmark '#1 Dates]],Comp2[Comparable '#2 Dates],0)),"-")</f>
        <v>38.53</v>
      </c>
      <c r="N1249" s="22">
        <f>IF(Benchmark1[[#This Row],[Comparable '#2 Date Check]]="Pass",INDEX(Comp2[Comparable '#2 Return],MATCH(Benchmark1[[#This Row],[Benchmark '#1 Dates]],Comp2[Comparable '#2 Dates],0)),"-")</f>
        <v>-8.0134847850579592E-3</v>
      </c>
      <c r="O1249" s="1">
        <f>IFERROR(IF(Benchmark1[[#This Row],[Comparable '#2 Date Check]]="Pass",Benchmark1[[#This Row],[Comparable '#2 Return]]-Benchmark1[[#This Row],[Benchmark '#1 Return]],"-"),"-")</f>
        <v>-3.2660597715019665E-3</v>
      </c>
      <c r="P1249" s="1" t="str">
        <f>IF(COUNTIF(Comp3[Comparable '#3 Dates],Benchmark1[[#This Row],[Benchmark '#1 Dates]])=1,"Pass","Fail")</f>
        <v>Pass</v>
      </c>
      <c r="Q1249" s="6">
        <f>IF(Benchmark1[[#This Row],[Comparable '#3 Date Check]]="Pass",INDEX(Comp3[Comparable '#3 Price],MATCH(Benchmark1[[#This Row],[Benchmark '#1 Dates]],Comp3[Comparable '#3 Dates],0)),"-")</f>
        <v>73.680000000000007</v>
      </c>
      <c r="R1249" s="22">
        <f>IF(Benchmark1[[#This Row],[Comparable '#3 Date Check]]="Pass",INDEX(Comp3[Comparable '#3 Return],MATCH(Benchmark1[[#This Row],[Benchmark '#1 Dates]],Comp3[Comparable '#3 Dates],0)),"-")</f>
        <v>-1.7356641567919173E-2</v>
      </c>
      <c r="S1249" s="1">
        <f>IFERROR(IF(Benchmark1[[#This Row],[Comparable '#3 Date Check]]="Pass",Benchmark1[[#This Row],[Comparable '#3 Return]]-Benchmark1[[#This Row],[Benchmark '#1 Return]],"-"),"-")</f>
        <v>-1.260921655436318E-2</v>
      </c>
    </row>
    <row r="1250" spans="1:19">
      <c r="A1250" s="103">
        <v>45098</v>
      </c>
      <c r="B1250" s="104">
        <v>4365.6898330974091</v>
      </c>
      <c r="C1250" s="4">
        <f t="shared" si="19"/>
        <v>-5.259064397624939E-3</v>
      </c>
      <c r="D1250" s="1" t="str">
        <f>IF(COUNTIF(Target1[Target Dates],Benchmark1[[#This Row],[Benchmark '#1 Dates]])=1,"Pass","Fail")</f>
        <v>Pass</v>
      </c>
      <c r="E1250" s="6">
        <f>IF(Benchmark1[[#This Row],[Target Date Check]]="Pass",INDEX(Target1[Target Price],MATCH(Benchmark1[[#This Row],[Benchmark '#1 Dates]],Target1[Target Dates],0)),"-")</f>
        <v>38.369999999999997</v>
      </c>
      <c r="F1250" s="22">
        <f>IF(Benchmark1[[#This Row],[Target Date Check]]="Pass",INDEX(Target1[Target Return],MATCH(Benchmark1[[#This Row],[Benchmark '#1 Dates]],Target1[Target Dates],0)),"-")</f>
        <v>-2.0379913403448573E-2</v>
      </c>
      <c r="G1250" s="1">
        <f>IFERROR(IF(Benchmark1[[#This Row],[Target Date Check]]="Pass",Benchmark1[[#This Row],[Target Return]]-Benchmark1[[#This Row],[Benchmark '#1 Return]],"-"),"-")</f>
        <v>-1.5120849005823634E-2</v>
      </c>
      <c r="H1250" s="1" t="str">
        <f>IF(COUNTIF(Comp1[Comparable '#1 Dates],Benchmark1[[#This Row],[Benchmark '#1 Dates]])=1,"Pass","Fail")</f>
        <v>Pass</v>
      </c>
      <c r="I1250" s="6">
        <f>IF(Benchmark1[[#This Row],[Comparable '#1 Date Check]]="Pass",INDEX(Comp1[Comparable '#1 Price],MATCH(Benchmark1[[#This Row],[Benchmark '#1 Dates]],Comp1[Comparable '#1 Dates],0)),"-")</f>
        <v>12.16</v>
      </c>
      <c r="J1250" s="22">
        <f>IF(Benchmark1[[#This Row],[Comparable '#1 Date Check]]="Pass",INDEX(Comp1[Comparable '#1 Return],MATCH(Benchmark1[[#This Row],[Benchmark '#1 Dates]],Comp1[Comparable '#1 Dates],0)),"-")</f>
        <v>3.6002213872636787E-2</v>
      </c>
      <c r="K1250" s="1">
        <f>IFERROR(IF(Benchmark1[[#This Row],[Comparable '#1 Date Check]]="Pass",Benchmark1[[#This Row],[Comparable '#1 Return]]-Benchmark1[[#This Row],[Benchmark '#1 Return]],"-"),"-")</f>
        <v>4.1261278270261728E-2</v>
      </c>
      <c r="L1250" s="1" t="str">
        <f>IF(COUNTIF(Comp2[Comparable '#2 Dates],Benchmark1[[#This Row],[Benchmark '#1 Dates]])=1,"Pass","Fail")</f>
        <v>Pass</v>
      </c>
      <c r="M1250" s="6">
        <f>IF(Benchmark1[[#This Row],[Comparable '#2 Date Check]]="Pass",INDEX(Comp2[Comparable '#2 Price],MATCH(Benchmark1[[#This Row],[Benchmark '#1 Dates]],Comp2[Comparable '#2 Dates],0)),"-")</f>
        <v>37.020000000000003</v>
      </c>
      <c r="N1250" s="22">
        <f>IF(Benchmark1[[#This Row],[Comparable '#2 Date Check]]="Pass",INDEX(Comp2[Comparable '#2 Return],MATCH(Benchmark1[[#This Row],[Benchmark '#1 Dates]],Comp2[Comparable '#2 Dates],0)),"-")</f>
        <v>-3.9978851492714768E-2</v>
      </c>
      <c r="O1250" s="1">
        <f>IFERROR(IF(Benchmark1[[#This Row],[Comparable '#2 Date Check]]="Pass",Benchmark1[[#This Row],[Comparable '#2 Return]]-Benchmark1[[#This Row],[Benchmark '#1 Return]],"-"),"-")</f>
        <v>-3.4719787095089827E-2</v>
      </c>
      <c r="P1250" s="1" t="str">
        <f>IF(COUNTIF(Comp3[Comparable '#3 Dates],Benchmark1[[#This Row],[Benchmark '#1 Dates]])=1,"Pass","Fail")</f>
        <v>Pass</v>
      </c>
      <c r="Q1250" s="6">
        <f>IF(Benchmark1[[#This Row],[Comparable '#3 Date Check]]="Pass",INDEX(Comp3[Comparable '#3 Price],MATCH(Benchmark1[[#This Row],[Benchmark '#1 Dates]],Comp3[Comparable '#3 Dates],0)),"-")</f>
        <v>72.94</v>
      </c>
      <c r="R1250" s="22">
        <f>IF(Benchmark1[[#This Row],[Comparable '#3 Date Check]]="Pass",INDEX(Comp3[Comparable '#3 Return],MATCH(Benchmark1[[#This Row],[Benchmark '#1 Dates]],Comp3[Comparable '#3 Dates],0)),"-")</f>
        <v>-1.0094206566517357E-2</v>
      </c>
      <c r="S1250" s="1">
        <f>IFERROR(IF(Benchmark1[[#This Row],[Comparable '#3 Date Check]]="Pass",Benchmark1[[#This Row],[Comparable '#3 Return]]-Benchmark1[[#This Row],[Benchmark '#1 Return]],"-"),"-")</f>
        <v>-4.835142168892418E-3</v>
      </c>
    </row>
    <row r="1251" spans="1:19">
      <c r="A1251" s="103">
        <v>45099</v>
      </c>
      <c r="B1251" s="104">
        <v>4381.8904767740833</v>
      </c>
      <c r="C1251" s="4">
        <f t="shared" si="19"/>
        <v>3.7040328011470102E-3</v>
      </c>
      <c r="D1251" s="1" t="str">
        <f>IF(COUNTIF(Target1[Target Dates],Benchmark1[[#This Row],[Benchmark '#1 Dates]])=1,"Pass","Fail")</f>
        <v>Pass</v>
      </c>
      <c r="E1251" s="6">
        <f>IF(Benchmark1[[#This Row],[Target Date Check]]="Pass",INDEX(Target1[Target Price],MATCH(Benchmark1[[#This Row],[Benchmark '#1 Dates]],Target1[Target Dates],0)),"-")</f>
        <v>38.409999999999997</v>
      </c>
      <c r="F1251" s="22">
        <f>IF(Benchmark1[[#This Row],[Target Date Check]]="Pass",INDEX(Target1[Target Return],MATCH(Benchmark1[[#This Row],[Benchmark '#1 Dates]],Target1[Target Dates],0)),"-")</f>
        <v>1.0419380989524695E-3</v>
      </c>
      <c r="G1251" s="1">
        <f>IFERROR(IF(Benchmark1[[#This Row],[Target Date Check]]="Pass",Benchmark1[[#This Row],[Target Return]]-Benchmark1[[#This Row],[Benchmark '#1 Return]],"-"),"-")</f>
        <v>-2.6620947021945406E-3</v>
      </c>
      <c r="H1251" s="1" t="str">
        <f>IF(COUNTIF(Comp1[Comparable '#1 Dates],Benchmark1[[#This Row],[Benchmark '#1 Dates]])=1,"Pass","Fail")</f>
        <v>Pass</v>
      </c>
      <c r="I1251" s="6">
        <f>IF(Benchmark1[[#This Row],[Comparable '#1 Date Check]]="Pass",INDEX(Comp1[Comparable '#1 Price],MATCH(Benchmark1[[#This Row],[Benchmark '#1 Dates]],Comp1[Comparable '#1 Dates],0)),"-")</f>
        <v>12.05</v>
      </c>
      <c r="J1251" s="22">
        <f>IF(Benchmark1[[#This Row],[Comparable '#1 Date Check]]="Pass",INDEX(Comp1[Comparable '#1 Return],MATCH(Benchmark1[[#This Row],[Benchmark '#1 Dates]],Comp1[Comparable '#1 Dates],0)),"-")</f>
        <v>-9.0872166013568692E-3</v>
      </c>
      <c r="K1251" s="1">
        <f>IFERROR(IF(Benchmark1[[#This Row],[Comparable '#1 Date Check]]="Pass",Benchmark1[[#This Row],[Comparable '#1 Return]]-Benchmark1[[#This Row],[Benchmark '#1 Return]],"-"),"-")</f>
        <v>-1.2791249402503879E-2</v>
      </c>
      <c r="L1251" s="1" t="str">
        <f>IF(COUNTIF(Comp2[Comparable '#2 Dates],Benchmark1[[#This Row],[Benchmark '#1 Dates]])=1,"Pass","Fail")</f>
        <v>Pass</v>
      </c>
      <c r="M1251" s="6">
        <f>IF(Benchmark1[[#This Row],[Comparable '#2 Date Check]]="Pass",INDEX(Comp2[Comparable '#2 Price],MATCH(Benchmark1[[#This Row],[Benchmark '#1 Dates]],Comp2[Comparable '#2 Dates],0)),"-")</f>
        <v>36.159999999999997</v>
      </c>
      <c r="N1251" s="22">
        <f>IF(Benchmark1[[#This Row],[Comparable '#2 Date Check]]="Pass",INDEX(Comp2[Comparable '#2 Return],MATCH(Benchmark1[[#This Row],[Benchmark '#1 Dates]],Comp2[Comparable '#2 Dates],0)),"-")</f>
        <v>-2.3504771621375931E-2</v>
      </c>
      <c r="O1251" s="1">
        <f>IFERROR(IF(Benchmark1[[#This Row],[Comparable '#2 Date Check]]="Pass",Benchmark1[[#This Row],[Comparable '#2 Return]]-Benchmark1[[#This Row],[Benchmark '#1 Return]],"-"),"-")</f>
        <v>-2.720880442252294E-2</v>
      </c>
      <c r="P1251" s="1" t="str">
        <f>IF(COUNTIF(Comp3[Comparable '#3 Dates],Benchmark1[[#This Row],[Benchmark '#1 Dates]])=1,"Pass","Fail")</f>
        <v>Pass</v>
      </c>
      <c r="Q1251" s="6">
        <f>IF(Benchmark1[[#This Row],[Comparable '#3 Date Check]]="Pass",INDEX(Comp3[Comparable '#3 Price],MATCH(Benchmark1[[#This Row],[Benchmark '#1 Dates]],Comp3[Comparable '#3 Dates],0)),"-")</f>
        <v>71.5</v>
      </c>
      <c r="R1251" s="22">
        <f>IF(Benchmark1[[#This Row],[Comparable '#3 Date Check]]="Pass",INDEX(Comp3[Comparable '#3 Return],MATCH(Benchmark1[[#This Row],[Benchmark '#1 Dates]],Comp3[Comparable '#3 Dates],0)),"-")</f>
        <v>-1.9939735680572203E-2</v>
      </c>
      <c r="S1251" s="1">
        <f>IFERROR(IF(Benchmark1[[#This Row],[Comparable '#3 Date Check]]="Pass",Benchmark1[[#This Row],[Comparable '#3 Return]]-Benchmark1[[#This Row],[Benchmark '#1 Return]],"-"),"-")</f>
        <v>-2.3643768481719212E-2</v>
      </c>
    </row>
    <row r="1252" spans="1:19">
      <c r="A1252" s="103">
        <v>45100</v>
      </c>
      <c r="B1252" s="104">
        <v>4348.3306709492572</v>
      </c>
      <c r="C1252" s="4">
        <f t="shared" si="19"/>
        <v>-7.6882293274472971E-3</v>
      </c>
      <c r="D1252" s="1" t="str">
        <f>IF(COUNTIF(Target1[Target Dates],Benchmark1[[#This Row],[Benchmark '#1 Dates]])=1,"Pass","Fail")</f>
        <v>Pass</v>
      </c>
      <c r="E1252" s="6">
        <f>IF(Benchmark1[[#This Row],[Target Date Check]]="Pass",INDEX(Target1[Target Price],MATCH(Benchmark1[[#This Row],[Benchmark '#1 Dates]],Target1[Target Dates],0)),"-")</f>
        <v>37.54</v>
      </c>
      <c r="F1252" s="22">
        <f>IF(Benchmark1[[#This Row],[Target Date Check]]="Pass",INDEX(Target1[Target Return],MATCH(Benchmark1[[#This Row],[Benchmark '#1 Dates]],Target1[Target Dates],0)),"-")</f>
        <v>-2.2910811199450619E-2</v>
      </c>
      <c r="G1252" s="1">
        <f>IFERROR(IF(Benchmark1[[#This Row],[Target Date Check]]="Pass",Benchmark1[[#This Row],[Target Return]]-Benchmark1[[#This Row],[Benchmark '#1 Return]],"-"),"-")</f>
        <v>-1.5222581872003323E-2</v>
      </c>
      <c r="H1252" s="1" t="str">
        <f>IF(COUNTIF(Comp1[Comparable '#1 Dates],Benchmark1[[#This Row],[Benchmark '#1 Dates]])=1,"Pass","Fail")</f>
        <v>Pass</v>
      </c>
      <c r="I1252" s="6">
        <f>IF(Benchmark1[[#This Row],[Comparable '#1 Date Check]]="Pass",INDEX(Comp1[Comparable '#1 Price],MATCH(Benchmark1[[#This Row],[Benchmark '#1 Dates]],Comp1[Comparable '#1 Dates],0)),"-")</f>
        <v>11.62</v>
      </c>
      <c r="J1252" s="22">
        <f>IF(Benchmark1[[#This Row],[Comparable '#1 Date Check]]="Pass",INDEX(Comp1[Comparable '#1 Return],MATCH(Benchmark1[[#This Row],[Benchmark '#1 Dates]],Comp1[Comparable '#1 Dates],0)),"-")</f>
        <v>-3.6336908512898933E-2</v>
      </c>
      <c r="K1252" s="1">
        <f>IFERROR(IF(Benchmark1[[#This Row],[Comparable '#1 Date Check]]="Pass",Benchmark1[[#This Row],[Comparable '#1 Return]]-Benchmark1[[#This Row],[Benchmark '#1 Return]],"-"),"-")</f>
        <v>-2.8648679185451636E-2</v>
      </c>
      <c r="L1252" s="1" t="str">
        <f>IF(COUNTIF(Comp2[Comparable '#2 Dates],Benchmark1[[#This Row],[Benchmark '#1 Dates]])=1,"Pass","Fail")</f>
        <v>Pass</v>
      </c>
      <c r="M1252" s="6">
        <f>IF(Benchmark1[[#This Row],[Comparable '#2 Date Check]]="Pass",INDEX(Comp2[Comparable '#2 Price],MATCH(Benchmark1[[#This Row],[Benchmark '#1 Dates]],Comp2[Comparable '#2 Dates],0)),"-")</f>
        <v>34.950000000000003</v>
      </c>
      <c r="N1252" s="22">
        <f>IF(Benchmark1[[#This Row],[Comparable '#2 Date Check]]="Pass",INDEX(Comp2[Comparable '#2 Return],MATCH(Benchmark1[[#This Row],[Benchmark '#1 Dates]],Comp2[Comparable '#2 Dates],0)),"-")</f>
        <v>-3.4035066844156317E-2</v>
      </c>
      <c r="O1252" s="1">
        <f>IFERROR(IF(Benchmark1[[#This Row],[Comparable '#2 Date Check]]="Pass",Benchmark1[[#This Row],[Comparable '#2 Return]]-Benchmark1[[#This Row],[Benchmark '#1 Return]],"-"),"-")</f>
        <v>-2.6346837516709021E-2</v>
      </c>
      <c r="P1252" s="1" t="str">
        <f>IF(COUNTIF(Comp3[Comparable '#3 Dates],Benchmark1[[#This Row],[Benchmark '#1 Dates]])=1,"Pass","Fail")</f>
        <v>Pass</v>
      </c>
      <c r="Q1252" s="6">
        <f>IF(Benchmark1[[#This Row],[Comparable '#3 Date Check]]="Pass",INDEX(Comp3[Comparable '#3 Price],MATCH(Benchmark1[[#This Row],[Benchmark '#1 Dates]],Comp3[Comparable '#3 Dates],0)),"-")</f>
        <v>70</v>
      </c>
      <c r="R1252" s="22">
        <f>IF(Benchmark1[[#This Row],[Comparable '#3 Date Check]]="Pass",INDEX(Comp3[Comparable '#3 Return],MATCH(Benchmark1[[#This Row],[Benchmark '#1 Dates]],Comp3[Comparable '#3 Dates],0)),"-")</f>
        <v>-2.1202207650602937E-2</v>
      </c>
      <c r="S1252" s="1">
        <f>IFERROR(IF(Benchmark1[[#This Row],[Comparable '#3 Date Check]]="Pass",Benchmark1[[#This Row],[Comparable '#3 Return]]-Benchmark1[[#This Row],[Benchmark '#1 Return]],"-"),"-")</f>
        <v>-1.3513978323155641E-2</v>
      </c>
    </row>
    <row r="1253" spans="1:19">
      <c r="A1253" s="103">
        <v>45103</v>
      </c>
      <c r="B1253" s="104">
        <v>4328.8216081651171</v>
      </c>
      <c r="C1253" s="4">
        <f t="shared" si="19"/>
        <v>-4.496658587808189E-3</v>
      </c>
      <c r="D1253" s="1" t="str">
        <f>IF(COUNTIF(Target1[Target Dates],Benchmark1[[#This Row],[Benchmark '#1 Dates]])=1,"Pass","Fail")</f>
        <v>Pass</v>
      </c>
      <c r="E1253" s="6">
        <f>IF(Benchmark1[[#This Row],[Target Date Check]]="Pass",INDEX(Target1[Target Price],MATCH(Benchmark1[[#This Row],[Benchmark '#1 Dates]],Target1[Target Dates],0)),"-")</f>
        <v>37.25</v>
      </c>
      <c r="F1253" s="22">
        <f>IF(Benchmark1[[#This Row],[Target Date Check]]="Pass",INDEX(Target1[Target Return],MATCH(Benchmark1[[#This Row],[Benchmark '#1 Dates]],Target1[Target Dates],0)),"-")</f>
        <v>-7.755086332794198E-3</v>
      </c>
      <c r="G1253" s="1">
        <f>IFERROR(IF(Benchmark1[[#This Row],[Target Date Check]]="Pass",Benchmark1[[#This Row],[Target Return]]-Benchmark1[[#This Row],[Benchmark '#1 Return]],"-"),"-")</f>
        <v>-3.258427744986009E-3</v>
      </c>
      <c r="H1253" s="1" t="str">
        <f>IF(COUNTIF(Comp1[Comparable '#1 Dates],Benchmark1[[#This Row],[Benchmark '#1 Dates]])=1,"Pass","Fail")</f>
        <v>Pass</v>
      </c>
      <c r="I1253" s="6">
        <f>IF(Benchmark1[[#This Row],[Comparable '#1 Date Check]]="Pass",INDEX(Comp1[Comparable '#1 Price],MATCH(Benchmark1[[#This Row],[Benchmark '#1 Dates]],Comp1[Comparable '#1 Dates],0)),"-")</f>
        <v>11.74</v>
      </c>
      <c r="J1253" s="22">
        <f>IF(Benchmark1[[#This Row],[Comparable '#1 Date Check]]="Pass",INDEX(Comp1[Comparable '#1 Return],MATCH(Benchmark1[[#This Row],[Benchmark '#1 Dates]],Comp1[Comparable '#1 Dates],0)),"-")</f>
        <v>1.0274062976185284E-2</v>
      </c>
      <c r="K1253" s="1">
        <f>IFERROR(IF(Benchmark1[[#This Row],[Comparable '#1 Date Check]]="Pass",Benchmark1[[#This Row],[Comparable '#1 Return]]-Benchmark1[[#This Row],[Benchmark '#1 Return]],"-"),"-")</f>
        <v>1.4770721563993474E-2</v>
      </c>
      <c r="L1253" s="1" t="str">
        <f>IF(COUNTIF(Comp2[Comparable '#2 Dates],Benchmark1[[#This Row],[Benchmark '#1 Dates]])=1,"Pass","Fail")</f>
        <v>Pass</v>
      </c>
      <c r="M1253" s="6">
        <f>IF(Benchmark1[[#This Row],[Comparable '#2 Date Check]]="Pass",INDEX(Comp2[Comparable '#2 Price],MATCH(Benchmark1[[#This Row],[Benchmark '#1 Dates]],Comp2[Comparable '#2 Dates],0)),"-")</f>
        <v>34.26</v>
      </c>
      <c r="N1253" s="22">
        <f>IF(Benchmark1[[#This Row],[Comparable '#2 Date Check]]="Pass",INDEX(Comp2[Comparable '#2 Return],MATCH(Benchmark1[[#This Row],[Benchmark '#1 Dates]],Comp2[Comparable '#2 Dates],0)),"-")</f>
        <v>-1.9939975783845505E-2</v>
      </c>
      <c r="O1253" s="1">
        <f>IFERROR(IF(Benchmark1[[#This Row],[Comparable '#2 Date Check]]="Pass",Benchmark1[[#This Row],[Comparable '#2 Return]]-Benchmark1[[#This Row],[Benchmark '#1 Return]],"-"),"-")</f>
        <v>-1.5443317196037316E-2</v>
      </c>
      <c r="P1253" s="1" t="str">
        <f>IF(COUNTIF(Comp3[Comparable '#3 Dates],Benchmark1[[#This Row],[Benchmark '#1 Dates]])=1,"Pass","Fail")</f>
        <v>Pass</v>
      </c>
      <c r="Q1253" s="6">
        <f>IF(Benchmark1[[#This Row],[Comparable '#3 Date Check]]="Pass",INDEX(Comp3[Comparable '#3 Price],MATCH(Benchmark1[[#This Row],[Benchmark '#1 Dates]],Comp3[Comparable '#3 Dates],0)),"-")</f>
        <v>70.25</v>
      </c>
      <c r="R1253" s="22">
        <f>IF(Benchmark1[[#This Row],[Comparable '#3 Date Check]]="Pass",INDEX(Comp3[Comparable '#3 Return],MATCH(Benchmark1[[#This Row],[Benchmark '#1 Dates]],Comp3[Comparable '#3 Dates],0)),"-")</f>
        <v>3.5650661644961446E-3</v>
      </c>
      <c r="S1253" s="1">
        <f>IFERROR(IF(Benchmark1[[#This Row],[Comparable '#3 Date Check]]="Pass",Benchmark1[[#This Row],[Comparable '#3 Return]]-Benchmark1[[#This Row],[Benchmark '#1 Return]],"-"),"-")</f>
        <v>8.0617247523043327E-3</v>
      </c>
    </row>
    <row r="1254" spans="1:19">
      <c r="A1254" s="103">
        <v>45104</v>
      </c>
      <c r="B1254" s="104">
        <v>4378.4053242424898</v>
      </c>
      <c r="C1254" s="4">
        <f t="shared" si="19"/>
        <v>1.1389217815837852E-2</v>
      </c>
      <c r="D1254" s="1" t="str">
        <f>IF(COUNTIF(Target1[Target Dates],Benchmark1[[#This Row],[Benchmark '#1 Dates]])=1,"Pass","Fail")</f>
        <v>Pass</v>
      </c>
      <c r="E1254" s="6">
        <f>IF(Benchmark1[[#This Row],[Target Date Check]]="Pass",INDEX(Target1[Target Price],MATCH(Benchmark1[[#This Row],[Benchmark '#1 Dates]],Target1[Target Dates],0)),"-")</f>
        <v>37.26</v>
      </c>
      <c r="F1254" s="22">
        <f>IF(Benchmark1[[#This Row],[Target Date Check]]="Pass",INDEX(Target1[Target Return],MATCH(Benchmark1[[#This Row],[Benchmark '#1 Dates]],Target1[Target Dates],0)),"-")</f>
        <v>2.6842034787378198E-4</v>
      </c>
      <c r="G1254" s="1">
        <f>IFERROR(IF(Benchmark1[[#This Row],[Target Date Check]]="Pass",Benchmark1[[#This Row],[Target Return]]-Benchmark1[[#This Row],[Benchmark '#1 Return]],"-"),"-")</f>
        <v>-1.112079746796407E-2</v>
      </c>
      <c r="H1254" s="1" t="str">
        <f>IF(COUNTIF(Comp1[Comparable '#1 Dates],Benchmark1[[#This Row],[Benchmark '#1 Dates]])=1,"Pass","Fail")</f>
        <v>Pass</v>
      </c>
      <c r="I1254" s="6">
        <f>IF(Benchmark1[[#This Row],[Comparable '#1 Date Check]]="Pass",INDEX(Comp1[Comparable '#1 Price],MATCH(Benchmark1[[#This Row],[Benchmark '#1 Dates]],Comp1[Comparable '#1 Dates],0)),"-")</f>
        <v>11.68</v>
      </c>
      <c r="J1254" s="22">
        <f>IF(Benchmark1[[#This Row],[Comparable '#1 Date Check]]="Pass",INDEX(Comp1[Comparable '#1 Return],MATCH(Benchmark1[[#This Row],[Benchmark '#1 Dates]],Comp1[Comparable '#1 Dates],0)),"-")</f>
        <v>-5.1238369998693953E-3</v>
      </c>
      <c r="K1254" s="1">
        <f>IFERROR(IF(Benchmark1[[#This Row],[Comparable '#1 Date Check]]="Pass",Benchmark1[[#This Row],[Comparable '#1 Return]]-Benchmark1[[#This Row],[Benchmark '#1 Return]],"-"),"-")</f>
        <v>-1.6513054815707248E-2</v>
      </c>
      <c r="L1254" s="1" t="str">
        <f>IF(COUNTIF(Comp2[Comparable '#2 Dates],Benchmark1[[#This Row],[Benchmark '#1 Dates]])=1,"Pass","Fail")</f>
        <v>Pass</v>
      </c>
      <c r="M1254" s="6">
        <f>IF(Benchmark1[[#This Row],[Comparable '#2 Date Check]]="Pass",INDEX(Comp2[Comparable '#2 Price],MATCH(Benchmark1[[#This Row],[Benchmark '#1 Dates]],Comp2[Comparable '#2 Dates],0)),"-")</f>
        <v>34.200000000000003</v>
      </c>
      <c r="N1254" s="22">
        <f>IF(Benchmark1[[#This Row],[Comparable '#2 Date Check]]="Pass",INDEX(Comp2[Comparable '#2 Return],MATCH(Benchmark1[[#This Row],[Benchmark '#1 Dates]],Comp2[Comparable '#2 Dates],0)),"-")</f>
        <v>-1.7528488274142493E-3</v>
      </c>
      <c r="O1254" s="1">
        <f>IFERROR(IF(Benchmark1[[#This Row],[Comparable '#2 Date Check]]="Pass",Benchmark1[[#This Row],[Comparable '#2 Return]]-Benchmark1[[#This Row],[Benchmark '#1 Return]],"-"),"-")</f>
        <v>-1.3142066643252102E-2</v>
      </c>
      <c r="P1254" s="1" t="str">
        <f>IF(COUNTIF(Comp3[Comparable '#3 Dates],Benchmark1[[#This Row],[Benchmark '#1 Dates]])=1,"Pass","Fail")</f>
        <v>Pass</v>
      </c>
      <c r="Q1254" s="6">
        <f>IF(Benchmark1[[#This Row],[Comparable '#3 Date Check]]="Pass",INDEX(Comp3[Comparable '#3 Price],MATCH(Benchmark1[[#This Row],[Benchmark '#1 Dates]],Comp3[Comparable '#3 Dates],0)),"-")</f>
        <v>69.83</v>
      </c>
      <c r="R1254" s="22">
        <f>IF(Benchmark1[[#This Row],[Comparable '#3 Date Check]]="Pass",INDEX(Comp3[Comparable '#3 Return],MATCH(Benchmark1[[#This Row],[Benchmark '#1 Dates]],Comp3[Comparable '#3 Dates],0)),"-")</f>
        <v>-5.9965913559112414E-3</v>
      </c>
      <c r="S1254" s="1">
        <f>IFERROR(IF(Benchmark1[[#This Row],[Comparable '#3 Date Check]]="Pass",Benchmark1[[#This Row],[Comparable '#3 Return]]-Benchmark1[[#This Row],[Benchmark '#1 Return]],"-"),"-")</f>
        <v>-1.7385809171749093E-2</v>
      </c>
    </row>
    <row r="1255" spans="1:19">
      <c r="A1255" s="103">
        <v>45105</v>
      </c>
      <c r="B1255" s="104">
        <v>4376.8637112057258</v>
      </c>
      <c r="C1255" s="4">
        <f t="shared" si="19"/>
        <v>-3.5215663766679839E-4</v>
      </c>
      <c r="D1255" s="1" t="str">
        <f>IF(COUNTIF(Target1[Target Dates],Benchmark1[[#This Row],[Benchmark '#1 Dates]])=1,"Pass","Fail")</f>
        <v>Pass</v>
      </c>
      <c r="E1255" s="6">
        <f>IF(Benchmark1[[#This Row],[Target Date Check]]="Pass",INDEX(Target1[Target Price],MATCH(Benchmark1[[#This Row],[Benchmark '#1 Dates]],Target1[Target Dates],0)),"-")</f>
        <v>37.36</v>
      </c>
      <c r="F1255" s="22">
        <f>IF(Benchmark1[[#This Row],[Target Date Check]]="Pass",INDEX(Target1[Target Return],MATCH(Benchmark1[[#This Row],[Benchmark '#1 Dates]],Target1[Target Dates],0)),"-")</f>
        <v>2.680248187199486E-3</v>
      </c>
      <c r="G1255" s="1">
        <f>IFERROR(IF(Benchmark1[[#This Row],[Target Date Check]]="Pass",Benchmark1[[#This Row],[Target Return]]-Benchmark1[[#This Row],[Benchmark '#1 Return]],"-"),"-")</f>
        <v>3.0324048248662845E-3</v>
      </c>
      <c r="H1255" s="1" t="str">
        <f>IF(COUNTIF(Comp1[Comparable '#1 Dates],Benchmark1[[#This Row],[Benchmark '#1 Dates]])=1,"Pass","Fail")</f>
        <v>Pass</v>
      </c>
      <c r="I1255" s="6">
        <f>IF(Benchmark1[[#This Row],[Comparable '#1 Date Check]]="Pass",INDEX(Comp1[Comparable '#1 Price],MATCH(Benchmark1[[#This Row],[Benchmark '#1 Dates]],Comp1[Comparable '#1 Dates],0)),"-")</f>
        <v>11.36</v>
      </c>
      <c r="J1255" s="22">
        <f>IF(Benchmark1[[#This Row],[Comparable '#1 Date Check]]="Pass",INDEX(Comp1[Comparable '#1 Return],MATCH(Benchmark1[[#This Row],[Benchmark '#1 Dates]],Comp1[Comparable '#1 Dates],0)),"-")</f>
        <v>-2.7779564107075706E-2</v>
      </c>
      <c r="K1255" s="1">
        <f>IFERROR(IF(Benchmark1[[#This Row],[Comparable '#1 Date Check]]="Pass",Benchmark1[[#This Row],[Comparable '#1 Return]]-Benchmark1[[#This Row],[Benchmark '#1 Return]],"-"),"-")</f>
        <v>-2.7427407469408908E-2</v>
      </c>
      <c r="L1255" s="1" t="str">
        <f>IF(COUNTIF(Comp2[Comparable '#2 Dates],Benchmark1[[#This Row],[Benchmark '#1 Dates]])=1,"Pass","Fail")</f>
        <v>Pass</v>
      </c>
      <c r="M1255" s="6">
        <f>IF(Benchmark1[[#This Row],[Comparable '#2 Date Check]]="Pass",INDEX(Comp2[Comparable '#2 Price],MATCH(Benchmark1[[#This Row],[Benchmark '#1 Dates]],Comp2[Comparable '#2 Dates],0)),"-")</f>
        <v>33.81</v>
      </c>
      <c r="N1255" s="22">
        <f>IF(Benchmark1[[#This Row],[Comparable '#2 Date Check]]="Pass",INDEX(Comp2[Comparable '#2 Return],MATCH(Benchmark1[[#This Row],[Benchmark '#1 Dates]],Comp2[Comparable '#2 Dates],0)),"-")</f>
        <v>-1.146902734876488E-2</v>
      </c>
      <c r="O1255" s="1">
        <f>IFERROR(IF(Benchmark1[[#This Row],[Comparable '#2 Date Check]]="Pass",Benchmark1[[#This Row],[Comparable '#2 Return]]-Benchmark1[[#This Row],[Benchmark '#1 Return]],"-"),"-")</f>
        <v>-1.1116870711098081E-2</v>
      </c>
      <c r="P1255" s="1" t="str">
        <f>IF(COUNTIF(Comp3[Comparable '#3 Dates],Benchmark1[[#This Row],[Benchmark '#1 Dates]])=1,"Pass","Fail")</f>
        <v>Pass</v>
      </c>
      <c r="Q1255" s="6">
        <f>IF(Benchmark1[[#This Row],[Comparable '#3 Date Check]]="Pass",INDEX(Comp3[Comparable '#3 Price],MATCH(Benchmark1[[#This Row],[Benchmark '#1 Dates]],Comp3[Comparable '#3 Dates],0)),"-")</f>
        <v>67.599999999999994</v>
      </c>
      <c r="R1255" s="22">
        <f>IF(Benchmark1[[#This Row],[Comparable '#3 Date Check]]="Pass",INDEX(Comp3[Comparable '#3 Return],MATCH(Benchmark1[[#This Row],[Benchmark '#1 Dates]],Comp3[Comparable '#3 Dates],0)),"-")</f>
        <v>-3.2455733809025569E-2</v>
      </c>
      <c r="S1255" s="1">
        <f>IFERROR(IF(Benchmark1[[#This Row],[Comparable '#3 Date Check]]="Pass",Benchmark1[[#This Row],[Comparable '#3 Return]]-Benchmark1[[#This Row],[Benchmark '#1 Return]],"-"),"-")</f>
        <v>-3.2103577171358769E-2</v>
      </c>
    </row>
    <row r="1256" spans="1:19">
      <c r="A1256" s="103">
        <v>45106</v>
      </c>
      <c r="B1256" s="104">
        <v>4396.4434184418669</v>
      </c>
      <c r="C1256" s="4">
        <f t="shared" ref="C1256:C1259" si="20">IFERROR(IF(B1256="","-",LN(B1256/B1255)),"-")</f>
        <v>4.4634798379748139E-3</v>
      </c>
      <c r="D1256" s="1" t="str">
        <f>IF(COUNTIF(Target1[Target Dates],Benchmark1[[#This Row],[Benchmark '#1 Dates]])=1,"Pass","Fail")</f>
        <v>Pass</v>
      </c>
      <c r="E1256" s="6">
        <f>IF(Benchmark1[[#This Row],[Target Date Check]]="Pass",INDEX(Target1[Target Price],MATCH(Benchmark1[[#This Row],[Benchmark '#1 Dates]],Target1[Target Dates],0)),"-")</f>
        <v>37.29</v>
      </c>
      <c r="F1256" s="22">
        <f>IF(Benchmark1[[#This Row],[Target Date Check]]="Pass",INDEX(Target1[Target Return],MATCH(Benchmark1[[#This Row],[Benchmark '#1 Dates]],Target1[Target Dates],0)),"-")</f>
        <v>-1.8754191699123944E-3</v>
      </c>
      <c r="G1256" s="1">
        <f>IFERROR(IF(Benchmark1[[#This Row],[Target Date Check]]="Pass",Benchmark1[[#This Row],[Target Return]]-Benchmark1[[#This Row],[Benchmark '#1 Return]],"-"),"-")</f>
        <v>-6.3388990078872085E-3</v>
      </c>
      <c r="H1256" s="1" t="str">
        <f>IF(COUNTIF(Comp1[Comparable '#1 Dates],Benchmark1[[#This Row],[Benchmark '#1 Dates]])=1,"Pass","Fail")</f>
        <v>Pass</v>
      </c>
      <c r="I1256" s="6">
        <f>IF(Benchmark1[[#This Row],[Comparable '#1 Date Check]]="Pass",INDEX(Comp1[Comparable '#1 Price],MATCH(Benchmark1[[#This Row],[Benchmark '#1 Dates]],Comp1[Comparable '#1 Dates],0)),"-")</f>
        <v>11.74</v>
      </c>
      <c r="J1256" s="22">
        <f>IF(Benchmark1[[#This Row],[Comparable '#1 Date Check]]="Pass",INDEX(Comp1[Comparable '#1 Return],MATCH(Benchmark1[[#This Row],[Benchmark '#1 Dates]],Comp1[Comparable '#1 Dates],0)),"-")</f>
        <v>3.2903401106945215E-2</v>
      </c>
      <c r="K1256" s="1">
        <f>IFERROR(IF(Benchmark1[[#This Row],[Comparable '#1 Date Check]]="Pass",Benchmark1[[#This Row],[Comparable '#1 Return]]-Benchmark1[[#This Row],[Benchmark '#1 Return]],"-"),"-")</f>
        <v>2.8439921268970401E-2</v>
      </c>
      <c r="L1256" s="1" t="str">
        <f>IF(COUNTIF(Comp2[Comparable '#2 Dates],Benchmark1[[#This Row],[Benchmark '#1 Dates]])=1,"Pass","Fail")</f>
        <v>Pass</v>
      </c>
      <c r="M1256" s="6">
        <f>IF(Benchmark1[[#This Row],[Comparable '#2 Date Check]]="Pass",INDEX(Comp2[Comparable '#2 Price],MATCH(Benchmark1[[#This Row],[Benchmark '#1 Dates]],Comp2[Comparable '#2 Dates],0)),"-")</f>
        <v>34.450000000000003</v>
      </c>
      <c r="N1256" s="22">
        <f>IF(Benchmark1[[#This Row],[Comparable '#2 Date Check]]="Pass",INDEX(Comp2[Comparable '#2 Return],MATCH(Benchmark1[[#This Row],[Benchmark '#1 Dates]],Comp2[Comparable '#2 Dates],0)),"-")</f>
        <v>1.875238073987304E-2</v>
      </c>
      <c r="O1256" s="1">
        <f>IFERROR(IF(Benchmark1[[#This Row],[Comparable '#2 Date Check]]="Pass",Benchmark1[[#This Row],[Comparable '#2 Return]]-Benchmark1[[#This Row],[Benchmark '#1 Return]],"-"),"-")</f>
        <v>1.4288900901898226E-2</v>
      </c>
      <c r="P1256" s="1" t="str">
        <f>IF(COUNTIF(Comp3[Comparable '#3 Dates],Benchmark1[[#This Row],[Benchmark '#1 Dates]])=1,"Pass","Fail")</f>
        <v>Pass</v>
      </c>
      <c r="Q1256" s="6">
        <f>IF(Benchmark1[[#This Row],[Comparable '#3 Date Check]]="Pass",INDEX(Comp3[Comparable '#3 Price],MATCH(Benchmark1[[#This Row],[Benchmark '#1 Dates]],Comp3[Comparable '#3 Dates],0)),"-")</f>
        <v>67.67</v>
      </c>
      <c r="R1256" s="22">
        <f>IF(Benchmark1[[#This Row],[Comparable '#3 Date Check]]="Pass",INDEX(Comp3[Comparable '#3 Return],MATCH(Benchmark1[[#This Row],[Benchmark '#1 Dates]],Comp3[Comparable '#3 Dates],0)),"-")</f>
        <v>1.0349671952158683E-3</v>
      </c>
      <c r="S1256" s="1">
        <f>IFERROR(IF(Benchmark1[[#This Row],[Comparable '#3 Date Check]]="Pass",Benchmark1[[#This Row],[Comparable '#3 Return]]-Benchmark1[[#This Row],[Benchmark '#1 Return]],"-"),"-")</f>
        <v>-3.4285126427589458E-3</v>
      </c>
    </row>
    <row r="1257" spans="1:19">
      <c r="A1257" s="103">
        <v>45107</v>
      </c>
      <c r="B1257" s="104">
        <v>4450.3813118092057</v>
      </c>
      <c r="C1257" s="4">
        <f t="shared" si="20"/>
        <v>1.2193880482323272E-2</v>
      </c>
      <c r="D1257" s="1" t="str">
        <f>IF(COUNTIF(Target1[Target Dates],Benchmark1[[#This Row],[Benchmark '#1 Dates]])=1,"Pass","Fail")</f>
        <v>Pass</v>
      </c>
      <c r="E1257" s="6">
        <f>IF(Benchmark1[[#This Row],[Target Date Check]]="Pass",INDEX(Target1[Target Price],MATCH(Benchmark1[[#This Row],[Benchmark '#1 Dates]],Target1[Target Dates],0)),"-")</f>
        <v>37.229999999999997</v>
      </c>
      <c r="F1257" s="22">
        <f>IF(Benchmark1[[#This Row],[Target Date Check]]="Pass",INDEX(Target1[Target Return],MATCH(Benchmark1[[#This Row],[Benchmark '#1 Dates]],Target1[Target Dates],0)),"-")</f>
        <v>-1.6103063061040171E-3</v>
      </c>
      <c r="G1257" s="1">
        <f>IFERROR(IF(Benchmark1[[#This Row],[Target Date Check]]="Pass",Benchmark1[[#This Row],[Target Return]]-Benchmark1[[#This Row],[Benchmark '#1 Return]],"-"),"-")</f>
        <v>-1.380418678842729E-2</v>
      </c>
      <c r="H1257" s="1" t="str">
        <f>IF(COUNTIF(Comp1[Comparable '#1 Dates],Benchmark1[[#This Row],[Benchmark '#1 Dates]])=1,"Pass","Fail")</f>
        <v>Pass</v>
      </c>
      <c r="I1257" s="6">
        <f>IF(Benchmark1[[#This Row],[Comparable '#1 Date Check]]="Pass",INDEX(Comp1[Comparable '#1 Price],MATCH(Benchmark1[[#This Row],[Benchmark '#1 Dates]],Comp1[Comparable '#1 Dates],0)),"-")</f>
        <v>12.09</v>
      </c>
      <c r="J1257" s="22">
        <f>IF(Benchmark1[[#This Row],[Comparable '#1 Date Check]]="Pass",INDEX(Comp1[Comparable '#1 Return],MATCH(Benchmark1[[#This Row],[Benchmark '#1 Dates]],Comp1[Comparable '#1 Dates],0)),"-")</f>
        <v>2.9376850226750992E-2</v>
      </c>
      <c r="K1257" s="1">
        <f>IFERROR(IF(Benchmark1[[#This Row],[Comparable '#1 Date Check]]="Pass",Benchmark1[[#This Row],[Comparable '#1 Return]]-Benchmark1[[#This Row],[Benchmark '#1 Return]],"-"),"-")</f>
        <v>1.718296974442772E-2</v>
      </c>
      <c r="L1257" s="1" t="str">
        <f>IF(COUNTIF(Comp2[Comparable '#2 Dates],Benchmark1[[#This Row],[Benchmark '#1 Dates]])=1,"Pass","Fail")</f>
        <v>Pass</v>
      </c>
      <c r="M1257" s="6">
        <f>IF(Benchmark1[[#This Row],[Comparable '#2 Date Check]]="Pass",INDEX(Comp2[Comparable '#2 Price],MATCH(Benchmark1[[#This Row],[Benchmark '#1 Dates]],Comp2[Comparable '#2 Dates],0)),"-")</f>
        <v>34.340000000000003</v>
      </c>
      <c r="N1257" s="22">
        <f>IF(Benchmark1[[#This Row],[Comparable '#2 Date Check]]="Pass",INDEX(Comp2[Comparable '#2 Return],MATCH(Benchmark1[[#This Row],[Benchmark '#1 Dates]],Comp2[Comparable '#2 Dates],0)),"-")</f>
        <v>-3.1981419903380948E-3</v>
      </c>
      <c r="O1257" s="1">
        <f>IFERROR(IF(Benchmark1[[#This Row],[Comparable '#2 Date Check]]="Pass",Benchmark1[[#This Row],[Comparable '#2 Return]]-Benchmark1[[#This Row],[Benchmark '#1 Return]],"-"),"-")</f>
        <v>-1.5392022472661367E-2</v>
      </c>
      <c r="P1257" s="1" t="str">
        <f>IF(COUNTIF(Comp3[Comparable '#3 Dates],Benchmark1[[#This Row],[Benchmark '#1 Dates]])=1,"Pass","Fail")</f>
        <v>Pass</v>
      </c>
      <c r="Q1257" s="6">
        <f>IF(Benchmark1[[#This Row],[Comparable '#3 Date Check]]="Pass",INDEX(Comp3[Comparable '#3 Price],MATCH(Benchmark1[[#This Row],[Benchmark '#1 Dates]],Comp3[Comparable '#3 Dates],0)),"-")</f>
        <v>67.84</v>
      </c>
      <c r="R1257" s="22">
        <f>IF(Benchmark1[[#This Row],[Comparable '#3 Date Check]]="Pass",INDEX(Comp3[Comparable '#3 Return],MATCH(Benchmark1[[#This Row],[Benchmark '#1 Dates]],Comp3[Comparable '#3 Dates],0)),"-")</f>
        <v>2.5090412395136173E-3</v>
      </c>
      <c r="S1257" s="1">
        <f>IFERROR(IF(Benchmark1[[#This Row],[Comparable '#3 Date Check]]="Pass",Benchmark1[[#This Row],[Comparable '#3 Return]]-Benchmark1[[#This Row],[Benchmark '#1 Return]],"-"),"-")</f>
        <v>-9.684839242809655E-3</v>
      </c>
    </row>
    <row r="1258" spans="1:19">
      <c r="A1258" s="103">
        <v>45110</v>
      </c>
      <c r="B1258" s="104">
        <v>4455.5938755671477</v>
      </c>
      <c r="C1258" s="4">
        <f t="shared" si="20"/>
        <v>1.170576886524522E-3</v>
      </c>
      <c r="D1258" s="1" t="str">
        <f>IF(COUNTIF(Target1[Target Dates],Benchmark1[[#This Row],[Benchmark '#1 Dates]])=1,"Pass","Fail")</f>
        <v>Pass</v>
      </c>
      <c r="E1258" s="6">
        <f>IF(Benchmark1[[#This Row],[Target Date Check]]="Pass",INDEX(Target1[Target Price],MATCH(Benchmark1[[#This Row],[Benchmark '#1 Dates]],Target1[Target Dates],0)),"-")</f>
        <v>37.229999999999997</v>
      </c>
      <c r="F1258" s="22">
        <f>IF(Benchmark1[[#This Row],[Target Date Check]]="Pass",INDEX(Target1[Target Return],MATCH(Benchmark1[[#This Row],[Benchmark '#1 Dates]],Target1[Target Dates],0)),"-")</f>
        <v>0</v>
      </c>
      <c r="G1258" s="1">
        <f>IFERROR(IF(Benchmark1[[#This Row],[Target Date Check]]="Pass",Benchmark1[[#This Row],[Target Return]]-Benchmark1[[#This Row],[Benchmark '#1 Return]],"-"),"-")</f>
        <v>-1.170576886524522E-3</v>
      </c>
      <c r="H1258" s="1" t="str">
        <f>IF(COUNTIF(Comp1[Comparable '#1 Dates],Benchmark1[[#This Row],[Benchmark '#1 Dates]])=1,"Pass","Fail")</f>
        <v>Pass</v>
      </c>
      <c r="I1258" s="6">
        <f>IF(Benchmark1[[#This Row],[Comparable '#1 Date Check]]="Pass",INDEX(Comp1[Comparable '#1 Price],MATCH(Benchmark1[[#This Row],[Benchmark '#1 Dates]],Comp1[Comparable '#1 Dates],0)),"-")</f>
        <v>12.05</v>
      </c>
      <c r="J1258" s="22">
        <f>IF(Benchmark1[[#This Row],[Comparable '#1 Date Check]]="Pass",INDEX(Comp1[Comparable '#1 Return],MATCH(Benchmark1[[#This Row],[Benchmark '#1 Dates]],Comp1[Comparable '#1 Dates],0)),"-")</f>
        <v>-3.3140046900372233E-3</v>
      </c>
      <c r="K1258" s="1">
        <f>IFERROR(IF(Benchmark1[[#This Row],[Comparable '#1 Date Check]]="Pass",Benchmark1[[#This Row],[Comparable '#1 Return]]-Benchmark1[[#This Row],[Benchmark '#1 Return]],"-"),"-")</f>
        <v>-4.484581576561745E-3</v>
      </c>
      <c r="L1258" s="1" t="str">
        <f>IF(COUNTIF(Comp2[Comparable '#2 Dates],Benchmark1[[#This Row],[Benchmark '#1 Dates]])=1,"Pass","Fail")</f>
        <v>Pass</v>
      </c>
      <c r="M1258" s="6">
        <f>IF(Benchmark1[[#This Row],[Comparable '#2 Date Check]]="Pass",INDEX(Comp2[Comparable '#2 Price],MATCH(Benchmark1[[#This Row],[Benchmark '#1 Dates]],Comp2[Comparable '#2 Dates],0)),"-")</f>
        <v>34.520000000000003</v>
      </c>
      <c r="N1258" s="22">
        <f>IF(Benchmark1[[#This Row],[Comparable '#2 Date Check]]="Pass",INDEX(Comp2[Comparable '#2 Return],MATCH(Benchmark1[[#This Row],[Benchmark '#1 Dates]],Comp2[Comparable '#2 Dates],0)),"-")</f>
        <v>5.228010745897637E-3</v>
      </c>
      <c r="O1258" s="1">
        <f>IFERROR(IF(Benchmark1[[#This Row],[Comparable '#2 Date Check]]="Pass",Benchmark1[[#This Row],[Comparable '#2 Return]]-Benchmark1[[#This Row],[Benchmark '#1 Return]],"-"),"-")</f>
        <v>4.0574338593731153E-3</v>
      </c>
      <c r="P1258" s="1" t="str">
        <f>IF(COUNTIF(Comp3[Comparable '#3 Dates],Benchmark1[[#This Row],[Benchmark '#1 Dates]])=1,"Pass","Fail")</f>
        <v>Pass</v>
      </c>
      <c r="Q1258" s="6">
        <f>IF(Benchmark1[[#This Row],[Comparable '#3 Date Check]]="Pass",INDEX(Comp3[Comparable '#3 Price],MATCH(Benchmark1[[#This Row],[Benchmark '#1 Dates]],Comp3[Comparable '#3 Dates],0)),"-")</f>
        <v>67.7</v>
      </c>
      <c r="R1258" s="22">
        <f>IF(Benchmark1[[#This Row],[Comparable '#3 Date Check]]="Pass",INDEX(Comp3[Comparable '#3 Return],MATCH(Benchmark1[[#This Row],[Benchmark '#1 Dates]],Comp3[Comparable '#3 Dates],0)),"-")</f>
        <v>-2.0658115654183604E-3</v>
      </c>
      <c r="S1258" s="1">
        <f>IFERROR(IF(Benchmark1[[#This Row],[Comparable '#3 Date Check]]="Pass",Benchmark1[[#This Row],[Comparable '#3 Return]]-Benchmark1[[#This Row],[Benchmark '#1 Return]],"-"),"-")</f>
        <v>-3.2363884519428822E-3</v>
      </c>
    </row>
    <row r="1259" spans="1:19">
      <c r="A1259" s="103">
        <v>45112</v>
      </c>
      <c r="B1259" s="104">
        <v>4446.8247745622557</v>
      </c>
      <c r="C1259" s="4">
        <f t="shared" si="20"/>
        <v>-1.9700497551657921E-3</v>
      </c>
      <c r="D1259" s="1" t="str">
        <f>IF(COUNTIF(Target1[Target Dates],Benchmark1[[#This Row],[Benchmark '#1 Dates]])=1,"Pass","Fail")</f>
        <v>Fail</v>
      </c>
      <c r="E1259" s="6" t="str">
        <f>IF(Benchmark1[[#This Row],[Target Date Check]]="Pass",INDEX(Target1[Target Price],MATCH(Benchmark1[[#This Row],[Benchmark '#1 Dates]],Target1[Target Dates],0)),"-")</f>
        <v>-</v>
      </c>
      <c r="F1259" s="22" t="str">
        <f>IF(Benchmark1[[#This Row],[Target Date Check]]="Pass",INDEX(Target1[Target Return],MATCH(Benchmark1[[#This Row],[Benchmark '#1 Dates]],Target1[Target Dates],0)),"-")</f>
        <v>-</v>
      </c>
      <c r="G1259" s="1" t="str">
        <f>IFERROR(IF(Benchmark1[[#This Row],[Target Date Check]]="Pass",Benchmark1[[#This Row],[Target Return]]-Benchmark1[[#This Row],[Benchmark '#1 Return]],"-"),"-")</f>
        <v>-</v>
      </c>
      <c r="H1259" s="1" t="str">
        <f>IF(COUNTIF(Comp1[Comparable '#1 Dates],Benchmark1[[#This Row],[Benchmark '#1 Dates]])=1,"Pass","Fail")</f>
        <v>Pass</v>
      </c>
      <c r="I1259" s="6">
        <f>IF(Benchmark1[[#This Row],[Comparable '#1 Date Check]]="Pass",INDEX(Comp1[Comparable '#1 Price],MATCH(Benchmark1[[#This Row],[Benchmark '#1 Dates]],Comp1[Comparable '#1 Dates],0)),"-")</f>
        <v>12.21</v>
      </c>
      <c r="J1259" s="22">
        <f>IF(Benchmark1[[#This Row],[Comparable '#1 Date Check]]="Pass",INDEX(Comp1[Comparable '#1 Return],MATCH(Benchmark1[[#This Row],[Benchmark '#1 Dates]],Comp1[Comparable '#1 Dates],0)),"-")</f>
        <v>1.3190628185949264E-2</v>
      </c>
      <c r="K1259" s="1">
        <f>IFERROR(IF(Benchmark1[[#This Row],[Comparable '#1 Date Check]]="Pass",Benchmark1[[#This Row],[Comparable '#1 Return]]-Benchmark1[[#This Row],[Benchmark '#1 Return]],"-"),"-")</f>
        <v>1.5160677941115057E-2</v>
      </c>
      <c r="L1259" s="1" t="str">
        <f>IF(COUNTIF(Comp2[Comparable '#2 Dates],Benchmark1[[#This Row],[Benchmark '#1 Dates]])=1,"Pass","Fail")</f>
        <v>Fail</v>
      </c>
      <c r="M1259" s="6" t="str">
        <f>IF(Benchmark1[[#This Row],[Comparable '#2 Date Check]]="Pass",INDEX(Comp2[Comparable '#2 Price],MATCH(Benchmark1[[#This Row],[Benchmark '#1 Dates]],Comp2[Comparable '#2 Dates],0)),"-")</f>
        <v>-</v>
      </c>
      <c r="N1259" s="22" t="str">
        <f>IF(Benchmark1[[#This Row],[Comparable '#2 Date Check]]="Pass",INDEX(Comp2[Comparable '#2 Return],MATCH(Benchmark1[[#This Row],[Benchmark '#1 Dates]],Comp2[Comparable '#2 Dates],0)),"-")</f>
        <v>-</v>
      </c>
      <c r="O1259" s="1" t="str">
        <f>IFERROR(IF(Benchmark1[[#This Row],[Comparable '#2 Date Check]]="Pass",Benchmark1[[#This Row],[Comparable '#2 Return]]-Benchmark1[[#This Row],[Benchmark '#1 Return]],"-"),"-")</f>
        <v>-</v>
      </c>
      <c r="P1259" s="1" t="str">
        <f>IF(COUNTIF(Comp3[Comparable '#3 Dates],Benchmark1[[#This Row],[Benchmark '#1 Dates]])=1,"Pass","Fail")</f>
        <v>Fail</v>
      </c>
      <c r="Q1259" s="6" t="str">
        <f>IF(Benchmark1[[#This Row],[Comparable '#3 Date Check]]="Pass",INDEX(Comp3[Comparable '#3 Price],MATCH(Benchmark1[[#This Row],[Benchmark '#1 Dates]],Comp3[Comparable '#3 Dates],0)),"-")</f>
        <v>-</v>
      </c>
      <c r="R1259" s="22" t="str">
        <f>IF(Benchmark1[[#This Row],[Comparable '#3 Date Check]]="Pass",INDEX(Comp3[Comparable '#3 Return],MATCH(Benchmark1[[#This Row],[Benchmark '#1 Dates]],Comp3[Comparable '#3 Dates],0)),"-")</f>
        <v>-</v>
      </c>
      <c r="S1259" s="1" t="str">
        <f>IFERROR(IF(Benchmark1[[#This Row],[Comparable '#3 Date Check]]="Pass",Benchmark1[[#This Row],[Comparable '#3 Return]]-Benchmark1[[#This Row],[Benchmark '#1 Return]],"-"),"-")</f>
        <v>-</v>
      </c>
    </row>
  </sheetData>
  <phoneticPr fontId="1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604C95-5331-45B0-BFFF-2D33E78AD293}">
  <sheetPr codeName="Sheet6">
    <tabColor theme="1"/>
  </sheetPr>
  <dimension ref="A1:K1259"/>
  <sheetViews>
    <sheetView zoomScale="85" zoomScaleNormal="85" workbookViewId="0">
      <pane ySplit="1" topLeftCell="A2" activePane="bottomLeft" state="frozen"/>
      <selection pane="bottomLeft" activeCell="A2" sqref="A2:B1259"/>
    </sheetView>
  </sheetViews>
  <sheetFormatPr defaultColWidth="8.85546875" defaultRowHeight="15"/>
  <cols>
    <col min="1" max="2" width="14.42578125" bestFit="1" customWidth="1"/>
    <col min="3" max="4" width="16" bestFit="1" customWidth="1"/>
    <col min="5" max="5" width="16.42578125" bestFit="1" customWidth="1"/>
    <col min="6" max="6" width="18.42578125" bestFit="1" customWidth="1"/>
    <col min="7" max="7" width="15.140625" bestFit="1" customWidth="1"/>
    <col min="8" max="8" width="18.42578125" bestFit="1" customWidth="1"/>
    <col min="9" max="9" width="15.140625" bestFit="1" customWidth="1"/>
    <col min="10" max="10" width="18.42578125" bestFit="1" customWidth="1"/>
    <col min="11" max="11" width="15.140625" bestFit="1" customWidth="1"/>
  </cols>
  <sheetData>
    <row r="1" spans="1:11" s="2" customFormat="1" ht="36" customHeight="1">
      <c r="A1" s="3" t="s">
        <v>85</v>
      </c>
      <c r="B1" s="2" t="s">
        <v>86</v>
      </c>
      <c r="C1" s="7" t="s">
        <v>87</v>
      </c>
      <c r="D1" s="7" t="s">
        <v>66</v>
      </c>
      <c r="E1" s="7" t="s">
        <v>60</v>
      </c>
      <c r="F1" s="7" t="s">
        <v>73</v>
      </c>
      <c r="G1" s="7" t="s">
        <v>74</v>
      </c>
      <c r="H1" s="7" t="s">
        <v>77</v>
      </c>
      <c r="I1" s="7" t="s">
        <v>78</v>
      </c>
      <c r="J1" s="7" t="s">
        <v>81</v>
      </c>
      <c r="K1" s="7" t="s">
        <v>82</v>
      </c>
    </row>
    <row r="2" spans="1:11">
      <c r="A2" s="103">
        <v>43286</v>
      </c>
      <c r="B2" s="104">
        <v>12585.21</v>
      </c>
      <c r="C2" s="4" t="str">
        <f t="shared" ref="C2:C65" si="0">IFERROR(IF(B2="",NA(),LN(B2/B1)),"-")</f>
        <v>-</v>
      </c>
      <c r="D2" s="1" t="str">
        <f>IF(COUNTIF(Target1[Target Dates],Benchmark2[[#This Row],[Benchmark '#2 Dates]])=1,"Pass","Fail")</f>
        <v>Pass</v>
      </c>
      <c r="E2" s="6">
        <f>IF(Benchmark2[[#This Row],[Target Date Check]]="Pass",INDEX(Target1[Target Price],MATCH(Benchmark2[[#This Row],[Benchmark '#2 Dates]],Target1[Target Dates],0)),"-")</f>
        <v>17.190000000000001</v>
      </c>
      <c r="F2" s="1" t="str">
        <f>IF(COUNTIF(Comp1[Comparable '#1 Dates],Benchmark2[[#This Row],[Benchmark '#2 Dates]])=1,"Pass","Fail")</f>
        <v>Pass</v>
      </c>
      <c r="G2" s="6">
        <f>IF(Benchmark2[[#This Row],[Comparable '#1 Date Check]]="Pass",INDEX(Comp1[Comparable '#1 Price],MATCH(Benchmark2[[#This Row],[Benchmark '#2 Dates]],Comp1[Comparable '#1 Dates],0)),"-")</f>
        <v>14.61</v>
      </c>
      <c r="H2" s="1" t="str">
        <f>IF(COUNTIF(Comp2[Comparable '#2 Dates],Benchmark2[[#This Row],[Benchmark '#2 Dates]])=1,"Pass","Fail")</f>
        <v>Pass</v>
      </c>
      <c r="I2" s="6">
        <f>IF(Benchmark2[[#This Row],[Comparable '#2 Date Check]]="Pass",INDEX(Comp2[Comparable '#2 Price],MATCH(Benchmark2[[#This Row],[Benchmark '#2 Dates]],Comp2[Comparable '#2 Dates],0)),"-")</f>
        <v>49.7</v>
      </c>
      <c r="J2" s="1" t="str">
        <f>IF(COUNTIF(Comp3[Comparable '#3 Dates],Benchmark2[[#This Row],[Benchmark '#2 Dates]])=1,"Pass","Fail")</f>
        <v>Pass</v>
      </c>
      <c r="K2" s="6">
        <f>IF(Benchmark2[[#This Row],[Comparable '#3 Date Check]]="Pass",INDEX(Comp3[Comparable '#3 Price],MATCH(Benchmark2[[#This Row],[Benchmark '#2 Dates]],Comp3[Comparable '#3 Dates],0)),"-")</f>
        <v>117.21</v>
      </c>
    </row>
    <row r="3" spans="1:11">
      <c r="A3" s="103">
        <v>43287</v>
      </c>
      <c r="B3" s="104">
        <v>12664.88</v>
      </c>
      <c r="C3" s="4">
        <f t="shared" si="0"/>
        <v>6.3104934981932492E-3</v>
      </c>
      <c r="D3" s="1" t="str">
        <f>IF(COUNTIF(Target1[Target Dates],Benchmark2[[#This Row],[Benchmark '#2 Dates]])=1,"Pass","Fail")</f>
        <v>Pass</v>
      </c>
      <c r="E3" s="6">
        <f>IF(Benchmark2[[#This Row],[Target Date Check]]="Pass",INDEX(Target1[Target Price],MATCH(Benchmark2[[#This Row],[Benchmark '#2 Dates]],Target1[Target Dates],0)),"-")</f>
        <v>17.38</v>
      </c>
      <c r="F3" s="1" t="str">
        <f>IF(COUNTIF(Comp1[Comparable '#1 Dates],Benchmark2[[#This Row],[Benchmark '#2 Dates]])=1,"Pass","Fail")</f>
        <v>Pass</v>
      </c>
      <c r="G3" s="6">
        <f>IF(Benchmark2[[#This Row],[Comparable '#1 Date Check]]="Pass",INDEX(Comp1[Comparable '#1 Price],MATCH(Benchmark2[[#This Row],[Benchmark '#2 Dates]],Comp1[Comparable '#1 Dates],0)),"-")</f>
        <v>14.86</v>
      </c>
      <c r="H3" s="1" t="str">
        <f>IF(COUNTIF(Comp2[Comparable '#2 Dates],Benchmark2[[#This Row],[Benchmark '#2 Dates]])=1,"Pass","Fail")</f>
        <v>Pass</v>
      </c>
      <c r="I3" s="6">
        <f>IF(Benchmark2[[#This Row],[Comparable '#2 Date Check]]="Pass",INDEX(Comp2[Comparable '#2 Price],MATCH(Benchmark2[[#This Row],[Benchmark '#2 Dates]],Comp2[Comparable '#2 Dates],0)),"-")</f>
        <v>50.65</v>
      </c>
      <c r="J3" s="1" t="str">
        <f>IF(COUNTIF(Comp3[Comparable '#3 Dates],Benchmark2[[#This Row],[Benchmark '#2 Dates]])=1,"Pass","Fail")</f>
        <v>Pass</v>
      </c>
      <c r="K3" s="6">
        <f>IF(Benchmark2[[#This Row],[Comparable '#3 Date Check]]="Pass",INDEX(Comp3[Comparable '#3 Price],MATCH(Benchmark2[[#This Row],[Benchmark '#2 Dates]],Comp3[Comparable '#3 Dates],0)),"-")</f>
        <v>118.4</v>
      </c>
    </row>
    <row r="4" spans="1:11">
      <c r="A4" s="103">
        <v>43290</v>
      </c>
      <c r="B4" s="104">
        <v>12776.93</v>
      </c>
      <c r="C4" s="4">
        <f t="shared" si="0"/>
        <v>8.8083925219902947E-3</v>
      </c>
      <c r="D4" s="1" t="str">
        <f>IF(COUNTIF(Target1[Target Dates],Benchmark2[[#This Row],[Benchmark '#2 Dates]])=1,"Pass","Fail")</f>
        <v>Pass</v>
      </c>
      <c r="E4" s="6">
        <f>IF(Benchmark2[[#This Row],[Target Date Check]]="Pass",INDEX(Target1[Target Price],MATCH(Benchmark2[[#This Row],[Benchmark '#2 Dates]],Target1[Target Dates],0)),"-")</f>
        <v>17.86</v>
      </c>
      <c r="F4" s="1" t="str">
        <f>IF(COUNTIF(Comp1[Comparable '#1 Dates],Benchmark2[[#This Row],[Benchmark '#2 Dates]])=1,"Pass","Fail")</f>
        <v>Pass</v>
      </c>
      <c r="G4" s="6">
        <f>IF(Benchmark2[[#This Row],[Comparable '#1 Date Check]]="Pass",INDEX(Comp1[Comparable '#1 Price],MATCH(Benchmark2[[#This Row],[Benchmark '#2 Dates]],Comp1[Comparable '#1 Dates],0)),"-")</f>
        <v>15.19</v>
      </c>
      <c r="H4" s="1" t="str">
        <f>IF(COUNTIF(Comp2[Comparable '#2 Dates],Benchmark2[[#This Row],[Benchmark '#2 Dates]])=1,"Pass","Fail")</f>
        <v>Pass</v>
      </c>
      <c r="I4" s="6">
        <f>IF(Benchmark2[[#This Row],[Comparable '#2 Date Check]]="Pass",INDEX(Comp2[Comparable '#2 Price],MATCH(Benchmark2[[#This Row],[Benchmark '#2 Dates]],Comp2[Comparable '#2 Dates],0)),"-")</f>
        <v>51.5</v>
      </c>
      <c r="J4" s="1" t="str">
        <f>IF(COUNTIF(Comp3[Comparable '#3 Dates],Benchmark2[[#This Row],[Benchmark '#2 Dates]])=1,"Pass","Fail")</f>
        <v>Pass</v>
      </c>
      <c r="K4" s="6">
        <f>IF(Benchmark2[[#This Row],[Comparable '#3 Date Check]]="Pass",INDEX(Comp3[Comparable '#3 Price],MATCH(Benchmark2[[#This Row],[Benchmark '#2 Dates]],Comp3[Comparable '#3 Dates],0)),"-")</f>
        <v>118.33</v>
      </c>
    </row>
    <row r="5" spans="1:11">
      <c r="A5" s="103">
        <v>43291</v>
      </c>
      <c r="B5" s="104">
        <v>12814.64</v>
      </c>
      <c r="C5" s="4">
        <f t="shared" si="0"/>
        <v>2.9470663420209774E-3</v>
      </c>
      <c r="D5" s="1" t="str">
        <f>IF(COUNTIF(Target1[Target Dates],Benchmark2[[#This Row],[Benchmark '#2 Dates]])=1,"Pass","Fail")</f>
        <v>Pass</v>
      </c>
      <c r="E5" s="6">
        <f>IF(Benchmark2[[#This Row],[Target Date Check]]="Pass",INDEX(Target1[Target Price],MATCH(Benchmark2[[#This Row],[Benchmark '#2 Dates]],Target1[Target Dates],0)),"-")</f>
        <v>17.87</v>
      </c>
      <c r="F5" s="1" t="str">
        <f>IF(COUNTIF(Comp1[Comparable '#1 Dates],Benchmark2[[#This Row],[Benchmark '#2 Dates]])=1,"Pass","Fail")</f>
        <v>Pass</v>
      </c>
      <c r="G5" s="6">
        <f>IF(Benchmark2[[#This Row],[Comparable '#1 Date Check]]="Pass",INDEX(Comp1[Comparable '#1 Price],MATCH(Benchmark2[[#This Row],[Benchmark '#2 Dates]],Comp1[Comparable '#1 Dates],0)),"-")</f>
        <v>15.32</v>
      </c>
      <c r="H5" s="1" t="str">
        <f>IF(COUNTIF(Comp2[Comparable '#2 Dates],Benchmark2[[#This Row],[Benchmark '#2 Dates]])=1,"Pass","Fail")</f>
        <v>Pass</v>
      </c>
      <c r="I5" s="6">
        <f>IF(Benchmark2[[#This Row],[Comparable '#2 Date Check]]="Pass",INDEX(Comp2[Comparable '#2 Price],MATCH(Benchmark2[[#This Row],[Benchmark '#2 Dates]],Comp2[Comparable '#2 Dates],0)),"-")</f>
        <v>51.9</v>
      </c>
      <c r="J5" s="1" t="str">
        <f>IF(COUNTIF(Comp3[Comparable '#3 Dates],Benchmark2[[#This Row],[Benchmark '#2 Dates]])=1,"Pass","Fail")</f>
        <v>Pass</v>
      </c>
      <c r="K5" s="6">
        <f>IF(Benchmark2[[#This Row],[Comparable '#3 Date Check]]="Pass",INDEX(Comp3[Comparable '#3 Price],MATCH(Benchmark2[[#This Row],[Benchmark '#2 Dates]],Comp3[Comparable '#3 Dates],0)),"-")</f>
        <v>119.24</v>
      </c>
    </row>
    <row r="6" spans="1:11">
      <c r="A6" s="103">
        <v>43292</v>
      </c>
      <c r="B6" s="104">
        <v>12681.59</v>
      </c>
      <c r="C6" s="4">
        <f t="shared" si="0"/>
        <v>-1.0436931872214665E-2</v>
      </c>
      <c r="D6" s="1" t="str">
        <f>IF(COUNTIF(Target1[Target Dates],Benchmark2[[#This Row],[Benchmark '#2 Dates]])=1,"Pass","Fail")</f>
        <v>Pass</v>
      </c>
      <c r="E6" s="6">
        <f>IF(Benchmark2[[#This Row],[Target Date Check]]="Pass",INDEX(Target1[Target Price],MATCH(Benchmark2[[#This Row],[Benchmark '#2 Dates]],Target1[Target Dates],0)),"-")</f>
        <v>17.95</v>
      </c>
      <c r="F6" s="1" t="str">
        <f>IF(COUNTIF(Comp1[Comparable '#1 Dates],Benchmark2[[#This Row],[Benchmark '#2 Dates]])=1,"Pass","Fail")</f>
        <v>Pass</v>
      </c>
      <c r="G6" s="6">
        <f>IF(Benchmark2[[#This Row],[Comparable '#1 Date Check]]="Pass",INDEX(Comp1[Comparable '#1 Price],MATCH(Benchmark2[[#This Row],[Benchmark '#2 Dates]],Comp1[Comparable '#1 Dates],0)),"-")</f>
        <v>15.27</v>
      </c>
      <c r="H6" s="1" t="str">
        <f>IF(COUNTIF(Comp2[Comparable '#2 Dates],Benchmark2[[#This Row],[Benchmark '#2 Dates]])=1,"Pass","Fail")</f>
        <v>Pass</v>
      </c>
      <c r="I6" s="6">
        <f>IF(Benchmark2[[#This Row],[Comparable '#2 Date Check]]="Pass",INDEX(Comp2[Comparable '#2 Price],MATCH(Benchmark2[[#This Row],[Benchmark '#2 Dates]],Comp2[Comparable '#2 Dates],0)),"-")</f>
        <v>52.5</v>
      </c>
      <c r="J6" s="1" t="str">
        <f>IF(COUNTIF(Comp3[Comparable '#3 Dates],Benchmark2[[#This Row],[Benchmark '#2 Dates]])=1,"Pass","Fail")</f>
        <v>Pass</v>
      </c>
      <c r="K6" s="6">
        <f>IF(Benchmark2[[#This Row],[Comparable '#3 Date Check]]="Pass",INDEX(Comp3[Comparable '#3 Price],MATCH(Benchmark2[[#This Row],[Benchmark '#2 Dates]],Comp3[Comparable '#3 Dates],0)),"-")</f>
        <v>119.68</v>
      </c>
    </row>
    <row r="7" spans="1:11">
      <c r="A7" s="103">
        <v>43293</v>
      </c>
      <c r="B7" s="104">
        <v>12761.46</v>
      </c>
      <c r="C7" s="4">
        <f t="shared" si="0"/>
        <v>6.2783559642279859E-3</v>
      </c>
      <c r="D7" s="1" t="str">
        <f>IF(COUNTIF(Target1[Target Dates],Benchmark2[[#This Row],[Benchmark '#2 Dates]])=1,"Pass","Fail")</f>
        <v>Pass</v>
      </c>
      <c r="E7" s="6">
        <f>IF(Benchmark2[[#This Row],[Target Date Check]]="Pass",INDEX(Target1[Target Price],MATCH(Benchmark2[[#This Row],[Benchmark '#2 Dates]],Target1[Target Dates],0)),"-")</f>
        <v>17.98</v>
      </c>
      <c r="F7" s="1" t="str">
        <f>IF(COUNTIF(Comp1[Comparable '#1 Dates],Benchmark2[[#This Row],[Benchmark '#2 Dates]])=1,"Pass","Fail")</f>
        <v>Pass</v>
      </c>
      <c r="G7" s="6">
        <f>IF(Benchmark2[[#This Row],[Comparable '#1 Date Check]]="Pass",INDEX(Comp1[Comparable '#1 Price],MATCH(Benchmark2[[#This Row],[Benchmark '#2 Dates]],Comp1[Comparable '#1 Dates],0)),"-")</f>
        <v>15.19</v>
      </c>
      <c r="H7" s="1" t="str">
        <f>IF(COUNTIF(Comp2[Comparable '#2 Dates],Benchmark2[[#This Row],[Benchmark '#2 Dates]])=1,"Pass","Fail")</f>
        <v>Pass</v>
      </c>
      <c r="I7" s="6">
        <f>IF(Benchmark2[[#This Row],[Comparable '#2 Date Check]]="Pass",INDEX(Comp2[Comparable '#2 Price],MATCH(Benchmark2[[#This Row],[Benchmark '#2 Dates]],Comp2[Comparable '#2 Dates],0)),"-")</f>
        <v>52.65</v>
      </c>
      <c r="J7" s="1" t="str">
        <f>IF(COUNTIF(Comp3[Comparable '#3 Dates],Benchmark2[[#This Row],[Benchmark '#2 Dates]])=1,"Pass","Fail")</f>
        <v>Pass</v>
      </c>
      <c r="K7" s="6">
        <f>IF(Benchmark2[[#This Row],[Comparable '#3 Date Check]]="Pass",INDEX(Comp3[Comparable '#3 Price],MATCH(Benchmark2[[#This Row],[Benchmark '#2 Dates]],Comp3[Comparable '#3 Dates],0)),"-")</f>
        <v>119.8</v>
      </c>
    </row>
    <row r="8" spans="1:11">
      <c r="A8" s="103">
        <v>43294</v>
      </c>
      <c r="B8" s="104">
        <v>12769.5</v>
      </c>
      <c r="C8" s="4">
        <f t="shared" si="0"/>
        <v>6.2982357622081179E-4</v>
      </c>
      <c r="D8" s="1" t="str">
        <f>IF(COUNTIF(Target1[Target Dates],Benchmark2[[#This Row],[Benchmark '#2 Dates]])=1,"Pass","Fail")</f>
        <v>Pass</v>
      </c>
      <c r="E8" s="6">
        <f>IF(Benchmark2[[#This Row],[Target Date Check]]="Pass",INDEX(Target1[Target Price],MATCH(Benchmark2[[#This Row],[Benchmark '#2 Dates]],Target1[Target Dates],0)),"-")</f>
        <v>17.670000000000002</v>
      </c>
      <c r="F8" s="1" t="str">
        <f>IF(COUNTIF(Comp1[Comparable '#1 Dates],Benchmark2[[#This Row],[Benchmark '#2 Dates]])=1,"Pass","Fail")</f>
        <v>Pass</v>
      </c>
      <c r="G8" s="6">
        <f>IF(Benchmark2[[#This Row],[Comparable '#1 Date Check]]="Pass",INDEX(Comp1[Comparable '#1 Price],MATCH(Benchmark2[[#This Row],[Benchmark '#2 Dates]],Comp1[Comparable '#1 Dates],0)),"-")</f>
        <v>15.1</v>
      </c>
      <c r="H8" s="1" t="str">
        <f>IF(COUNTIF(Comp2[Comparable '#2 Dates],Benchmark2[[#This Row],[Benchmark '#2 Dates]])=1,"Pass","Fail")</f>
        <v>Pass</v>
      </c>
      <c r="I8" s="6">
        <f>IF(Benchmark2[[#This Row],[Comparable '#2 Date Check]]="Pass",INDEX(Comp2[Comparable '#2 Price],MATCH(Benchmark2[[#This Row],[Benchmark '#2 Dates]],Comp2[Comparable '#2 Dates],0)),"-")</f>
        <v>52.25</v>
      </c>
      <c r="J8" s="1" t="str">
        <f>IF(COUNTIF(Comp3[Comparable '#3 Dates],Benchmark2[[#This Row],[Benchmark '#2 Dates]])=1,"Pass","Fail")</f>
        <v>Pass</v>
      </c>
      <c r="K8" s="6">
        <f>IF(Benchmark2[[#This Row],[Comparable '#3 Date Check]]="Pass",INDEX(Comp3[Comparable '#3 Price],MATCH(Benchmark2[[#This Row],[Benchmark '#2 Dates]],Comp3[Comparable '#3 Dates],0)),"-")</f>
        <v>119.51</v>
      </c>
    </row>
    <row r="9" spans="1:11">
      <c r="A9" s="103">
        <v>43297</v>
      </c>
      <c r="B9" s="104">
        <v>12748.78</v>
      </c>
      <c r="C9" s="4">
        <f t="shared" si="0"/>
        <v>-1.6239342583826005E-3</v>
      </c>
      <c r="D9" s="1" t="str">
        <f>IF(COUNTIF(Target1[Target Dates],Benchmark2[[#This Row],[Benchmark '#2 Dates]])=1,"Pass","Fail")</f>
        <v>Pass</v>
      </c>
      <c r="E9" s="6">
        <f>IF(Benchmark2[[#This Row],[Target Date Check]]="Pass",INDEX(Target1[Target Price],MATCH(Benchmark2[[#This Row],[Benchmark '#2 Dates]],Target1[Target Dates],0)),"-")</f>
        <v>17.57</v>
      </c>
      <c r="F9" s="1" t="str">
        <f>IF(COUNTIF(Comp1[Comparable '#1 Dates],Benchmark2[[#This Row],[Benchmark '#2 Dates]])=1,"Pass","Fail")</f>
        <v>Pass</v>
      </c>
      <c r="G9" s="6">
        <f>IF(Benchmark2[[#This Row],[Comparable '#1 Date Check]]="Pass",INDEX(Comp1[Comparable '#1 Price],MATCH(Benchmark2[[#This Row],[Benchmark '#2 Dates]],Comp1[Comparable '#1 Dates],0)),"-")</f>
        <v>15.09</v>
      </c>
      <c r="H9" s="1" t="str">
        <f>IF(COUNTIF(Comp2[Comparable '#2 Dates],Benchmark2[[#This Row],[Benchmark '#2 Dates]])=1,"Pass","Fail")</f>
        <v>Pass</v>
      </c>
      <c r="I9" s="6">
        <f>IF(Benchmark2[[#This Row],[Comparable '#2 Date Check]]="Pass",INDEX(Comp2[Comparable '#2 Price],MATCH(Benchmark2[[#This Row],[Benchmark '#2 Dates]],Comp2[Comparable '#2 Dates],0)),"-")</f>
        <v>52.1</v>
      </c>
      <c r="J9" s="1" t="str">
        <f>IF(COUNTIF(Comp3[Comparable '#3 Dates],Benchmark2[[#This Row],[Benchmark '#2 Dates]])=1,"Pass","Fail")</f>
        <v>Pass</v>
      </c>
      <c r="K9" s="6">
        <f>IF(Benchmark2[[#This Row],[Comparable '#3 Date Check]]="Pass",INDEX(Comp3[Comparable '#3 Price],MATCH(Benchmark2[[#This Row],[Benchmark '#2 Dates]],Comp3[Comparable '#3 Dates],0)),"-")</f>
        <v>119.09</v>
      </c>
    </row>
    <row r="10" spans="1:11">
      <c r="A10" s="103">
        <v>43298</v>
      </c>
      <c r="B10" s="104">
        <v>12779.21</v>
      </c>
      <c r="C10" s="4">
        <f t="shared" si="0"/>
        <v>2.3840509505770862E-3</v>
      </c>
      <c r="D10" s="1" t="str">
        <f>IF(COUNTIF(Target1[Target Dates],Benchmark2[[#This Row],[Benchmark '#2 Dates]])=1,"Pass","Fail")</f>
        <v>Pass</v>
      </c>
      <c r="E10" s="6">
        <f>IF(Benchmark2[[#This Row],[Target Date Check]]="Pass",INDEX(Target1[Target Price],MATCH(Benchmark2[[#This Row],[Benchmark '#2 Dates]],Target1[Target Dates],0)),"-")</f>
        <v>17.2</v>
      </c>
      <c r="F10" s="1" t="str">
        <f>IF(COUNTIF(Comp1[Comparable '#1 Dates],Benchmark2[[#This Row],[Benchmark '#2 Dates]])=1,"Pass","Fail")</f>
        <v>Pass</v>
      </c>
      <c r="G10" s="6">
        <f>IF(Benchmark2[[#This Row],[Comparable '#1 Date Check]]="Pass",INDEX(Comp1[Comparable '#1 Price],MATCH(Benchmark2[[#This Row],[Benchmark '#2 Dates]],Comp1[Comparable '#1 Dates],0)),"-")</f>
        <v>15.11</v>
      </c>
      <c r="H10" s="1" t="str">
        <f>IF(COUNTIF(Comp2[Comparable '#2 Dates],Benchmark2[[#This Row],[Benchmark '#2 Dates]])=1,"Pass","Fail")</f>
        <v>Pass</v>
      </c>
      <c r="I10" s="6">
        <f>IF(Benchmark2[[#This Row],[Comparable '#2 Date Check]]="Pass",INDEX(Comp2[Comparable '#2 Price],MATCH(Benchmark2[[#This Row],[Benchmark '#2 Dates]],Comp2[Comparable '#2 Dates],0)),"-")</f>
        <v>52.7</v>
      </c>
      <c r="J10" s="1" t="str">
        <f>IF(COUNTIF(Comp3[Comparable '#3 Dates],Benchmark2[[#This Row],[Benchmark '#2 Dates]])=1,"Pass","Fail")</f>
        <v>Pass</v>
      </c>
      <c r="K10" s="6">
        <f>IF(Benchmark2[[#This Row],[Comparable '#3 Date Check]]="Pass",INDEX(Comp3[Comparable '#3 Price],MATCH(Benchmark2[[#This Row],[Benchmark '#2 Dates]],Comp3[Comparable '#3 Dates],0)),"-")</f>
        <v>118.52</v>
      </c>
    </row>
    <row r="11" spans="1:11">
      <c r="A11" s="103">
        <v>43299</v>
      </c>
      <c r="B11" s="104">
        <v>12823.23</v>
      </c>
      <c r="C11" s="4">
        <f t="shared" si="0"/>
        <v>3.4387381341574779E-3</v>
      </c>
      <c r="D11" s="1" t="str">
        <f>IF(COUNTIF(Target1[Target Dates],Benchmark2[[#This Row],[Benchmark '#2 Dates]])=1,"Pass","Fail")</f>
        <v>Pass</v>
      </c>
      <c r="E11" s="6">
        <f>IF(Benchmark2[[#This Row],[Target Date Check]]="Pass",INDEX(Target1[Target Price],MATCH(Benchmark2[[#This Row],[Benchmark '#2 Dates]],Target1[Target Dates],0)),"-")</f>
        <v>17.02</v>
      </c>
      <c r="F11" s="1" t="str">
        <f>IF(COUNTIF(Comp1[Comparable '#1 Dates],Benchmark2[[#This Row],[Benchmark '#2 Dates]])=1,"Pass","Fail")</f>
        <v>Pass</v>
      </c>
      <c r="G11" s="6">
        <f>IF(Benchmark2[[#This Row],[Comparable '#1 Date Check]]="Pass",INDEX(Comp1[Comparable '#1 Price],MATCH(Benchmark2[[#This Row],[Benchmark '#2 Dates]],Comp1[Comparable '#1 Dates],0)),"-")</f>
        <v>15.23</v>
      </c>
      <c r="H11" s="1" t="str">
        <f>IF(COUNTIF(Comp2[Comparable '#2 Dates],Benchmark2[[#This Row],[Benchmark '#2 Dates]])=1,"Pass","Fail")</f>
        <v>Pass</v>
      </c>
      <c r="I11" s="6">
        <f>IF(Benchmark2[[#This Row],[Comparable '#2 Date Check]]="Pass",INDEX(Comp2[Comparable '#2 Price],MATCH(Benchmark2[[#This Row],[Benchmark '#2 Dates]],Comp2[Comparable '#2 Dates],0)),"-")</f>
        <v>53.2</v>
      </c>
      <c r="J11" s="1" t="str">
        <f>IF(COUNTIF(Comp3[Comparable '#3 Dates],Benchmark2[[#This Row],[Benchmark '#2 Dates]])=1,"Pass","Fail")</f>
        <v>Pass</v>
      </c>
      <c r="K11" s="6">
        <f>IF(Benchmark2[[#This Row],[Comparable '#3 Date Check]]="Pass",INDEX(Comp3[Comparable '#3 Price],MATCH(Benchmark2[[#This Row],[Benchmark '#2 Dates]],Comp3[Comparable '#3 Dates],0)),"-")</f>
        <v>119.32</v>
      </c>
    </row>
    <row r="12" spans="1:11">
      <c r="A12" s="103">
        <v>43300</v>
      </c>
      <c r="B12" s="104">
        <v>12786.48</v>
      </c>
      <c r="C12" s="4">
        <f t="shared" si="0"/>
        <v>-2.8700071360142506E-3</v>
      </c>
      <c r="D12" s="1" t="str">
        <f>IF(COUNTIF(Target1[Target Dates],Benchmark2[[#This Row],[Benchmark '#2 Dates]])=1,"Pass","Fail")</f>
        <v>Pass</v>
      </c>
      <c r="E12" s="6">
        <f>IF(Benchmark2[[#This Row],[Target Date Check]]="Pass",INDEX(Target1[Target Price],MATCH(Benchmark2[[#This Row],[Benchmark '#2 Dates]],Target1[Target Dates],0)),"-")</f>
        <v>17.12</v>
      </c>
      <c r="F12" s="1" t="str">
        <f>IF(COUNTIF(Comp1[Comparable '#1 Dates],Benchmark2[[#This Row],[Benchmark '#2 Dates]])=1,"Pass","Fail")</f>
        <v>Pass</v>
      </c>
      <c r="G12" s="6">
        <f>IF(Benchmark2[[#This Row],[Comparable '#1 Date Check]]="Pass",INDEX(Comp1[Comparable '#1 Price],MATCH(Benchmark2[[#This Row],[Benchmark '#2 Dates]],Comp1[Comparable '#1 Dates],0)),"-")</f>
        <v>14.96</v>
      </c>
      <c r="H12" s="1" t="str">
        <f>IF(COUNTIF(Comp2[Comparable '#2 Dates],Benchmark2[[#This Row],[Benchmark '#2 Dates]])=1,"Pass","Fail")</f>
        <v>Pass</v>
      </c>
      <c r="I12" s="6">
        <f>IF(Benchmark2[[#This Row],[Comparable '#2 Date Check]]="Pass",INDEX(Comp2[Comparable '#2 Price],MATCH(Benchmark2[[#This Row],[Benchmark '#2 Dates]],Comp2[Comparable '#2 Dates],0)),"-")</f>
        <v>52.7</v>
      </c>
      <c r="J12" s="1" t="str">
        <f>IF(COUNTIF(Comp3[Comparable '#3 Dates],Benchmark2[[#This Row],[Benchmark '#2 Dates]])=1,"Pass","Fail")</f>
        <v>Pass</v>
      </c>
      <c r="K12" s="6">
        <f>IF(Benchmark2[[#This Row],[Comparable '#3 Date Check]]="Pass",INDEX(Comp3[Comparable '#3 Price],MATCH(Benchmark2[[#This Row],[Benchmark '#2 Dates]],Comp3[Comparable '#3 Dates],0)),"-")</f>
        <v>119.92</v>
      </c>
    </row>
    <row r="13" spans="1:11">
      <c r="A13" s="103">
        <v>43301</v>
      </c>
      <c r="B13" s="104">
        <v>12789.91</v>
      </c>
      <c r="C13" s="4">
        <f t="shared" si="0"/>
        <v>2.6821611811221878E-4</v>
      </c>
      <c r="D13" s="1" t="str">
        <f>IF(COUNTIF(Target1[Target Dates],Benchmark2[[#This Row],[Benchmark '#2 Dates]])=1,"Pass","Fail")</f>
        <v>Pass</v>
      </c>
      <c r="E13" s="6">
        <f>IF(Benchmark2[[#This Row],[Target Date Check]]="Pass",INDEX(Target1[Target Price],MATCH(Benchmark2[[#This Row],[Benchmark '#2 Dates]],Target1[Target Dates],0)),"-")</f>
        <v>16.920000000000002</v>
      </c>
      <c r="F13" s="1" t="str">
        <f>IF(COUNTIF(Comp1[Comparable '#1 Dates],Benchmark2[[#This Row],[Benchmark '#2 Dates]])=1,"Pass","Fail")</f>
        <v>Pass</v>
      </c>
      <c r="G13" s="6">
        <f>IF(Benchmark2[[#This Row],[Comparable '#1 Date Check]]="Pass",INDEX(Comp1[Comparable '#1 Price],MATCH(Benchmark2[[#This Row],[Benchmark '#2 Dates]],Comp1[Comparable '#1 Dates],0)),"-")</f>
        <v>15.12</v>
      </c>
      <c r="H13" s="1" t="str">
        <f>IF(COUNTIF(Comp2[Comparable '#2 Dates],Benchmark2[[#This Row],[Benchmark '#2 Dates]])=1,"Pass","Fail")</f>
        <v>Pass</v>
      </c>
      <c r="I13" s="6">
        <f>IF(Benchmark2[[#This Row],[Comparable '#2 Date Check]]="Pass",INDEX(Comp2[Comparable '#2 Price],MATCH(Benchmark2[[#This Row],[Benchmark '#2 Dates]],Comp2[Comparable '#2 Dates],0)),"-")</f>
        <v>52.85</v>
      </c>
      <c r="J13" s="1" t="str">
        <f>IF(COUNTIF(Comp3[Comparable '#3 Dates],Benchmark2[[#This Row],[Benchmark '#2 Dates]])=1,"Pass","Fail")</f>
        <v>Pass</v>
      </c>
      <c r="K13" s="6">
        <f>IF(Benchmark2[[#This Row],[Comparable '#3 Date Check]]="Pass",INDEX(Comp3[Comparable '#3 Price],MATCH(Benchmark2[[#This Row],[Benchmark '#2 Dates]],Comp3[Comparable '#3 Dates],0)),"-")</f>
        <v>120.01</v>
      </c>
    </row>
    <row r="14" spans="1:11">
      <c r="A14" s="103">
        <v>43304</v>
      </c>
      <c r="B14" s="104">
        <v>12794.05</v>
      </c>
      <c r="C14" s="4">
        <f t="shared" si="0"/>
        <v>3.236402836882762E-4</v>
      </c>
      <c r="D14" s="1" t="str">
        <f>IF(COUNTIF(Target1[Target Dates],Benchmark2[[#This Row],[Benchmark '#2 Dates]])=1,"Pass","Fail")</f>
        <v>Pass</v>
      </c>
      <c r="E14" s="6">
        <f>IF(Benchmark2[[#This Row],[Target Date Check]]="Pass",INDEX(Target1[Target Price],MATCH(Benchmark2[[#This Row],[Benchmark '#2 Dates]],Target1[Target Dates],0)),"-")</f>
        <v>16.93</v>
      </c>
      <c r="F14" s="1" t="str">
        <f>IF(COUNTIF(Comp1[Comparable '#1 Dates],Benchmark2[[#This Row],[Benchmark '#2 Dates]])=1,"Pass","Fail")</f>
        <v>Pass</v>
      </c>
      <c r="G14" s="6">
        <f>IF(Benchmark2[[#This Row],[Comparable '#1 Date Check]]="Pass",INDEX(Comp1[Comparable '#1 Price],MATCH(Benchmark2[[#This Row],[Benchmark '#2 Dates]],Comp1[Comparable '#1 Dates],0)),"-")</f>
        <v>15.06</v>
      </c>
      <c r="H14" s="1" t="str">
        <f>IF(COUNTIF(Comp2[Comparable '#2 Dates],Benchmark2[[#This Row],[Benchmark '#2 Dates]])=1,"Pass","Fail")</f>
        <v>Pass</v>
      </c>
      <c r="I14" s="6">
        <f>IF(Benchmark2[[#This Row],[Comparable '#2 Date Check]]="Pass",INDEX(Comp2[Comparable '#2 Price],MATCH(Benchmark2[[#This Row],[Benchmark '#2 Dates]],Comp2[Comparable '#2 Dates],0)),"-")</f>
        <v>53.55</v>
      </c>
      <c r="J14" s="1" t="str">
        <f>IF(COUNTIF(Comp3[Comparable '#3 Dates],Benchmark2[[#This Row],[Benchmark '#2 Dates]])=1,"Pass","Fail")</f>
        <v>Pass</v>
      </c>
      <c r="K14" s="6">
        <f>IF(Benchmark2[[#This Row],[Comparable '#3 Date Check]]="Pass",INDEX(Comp3[Comparable '#3 Price],MATCH(Benchmark2[[#This Row],[Benchmark '#2 Dates]],Comp3[Comparable '#3 Dates],0)),"-")</f>
        <v>120.4</v>
      </c>
    </row>
    <row r="15" spans="1:11">
      <c r="A15" s="103">
        <v>43305</v>
      </c>
      <c r="B15" s="104">
        <v>12847.49</v>
      </c>
      <c r="C15" s="4">
        <f t="shared" si="0"/>
        <v>4.1682424201730621E-3</v>
      </c>
      <c r="D15" s="1" t="str">
        <f>IF(COUNTIF(Target1[Target Dates],Benchmark2[[#This Row],[Benchmark '#2 Dates]])=1,"Pass","Fail")</f>
        <v>Pass</v>
      </c>
      <c r="E15" s="6">
        <f>IF(Benchmark2[[#This Row],[Target Date Check]]="Pass",INDEX(Target1[Target Price],MATCH(Benchmark2[[#This Row],[Benchmark '#2 Dates]],Target1[Target Dates],0)),"-")</f>
        <v>16.63</v>
      </c>
      <c r="F15" s="1" t="str">
        <f>IF(COUNTIF(Comp1[Comparable '#1 Dates],Benchmark2[[#This Row],[Benchmark '#2 Dates]])=1,"Pass","Fail")</f>
        <v>Pass</v>
      </c>
      <c r="G15" s="6">
        <f>IF(Benchmark2[[#This Row],[Comparable '#1 Date Check]]="Pass",INDEX(Comp1[Comparable '#1 Price],MATCH(Benchmark2[[#This Row],[Benchmark '#2 Dates]],Comp1[Comparable '#1 Dates],0)),"-")</f>
        <v>14.99</v>
      </c>
      <c r="H15" s="1" t="str">
        <f>IF(COUNTIF(Comp2[Comparable '#2 Dates],Benchmark2[[#This Row],[Benchmark '#2 Dates]])=1,"Pass","Fail")</f>
        <v>Pass</v>
      </c>
      <c r="I15" s="6">
        <f>IF(Benchmark2[[#This Row],[Comparable '#2 Date Check]]="Pass",INDEX(Comp2[Comparable '#2 Price],MATCH(Benchmark2[[#This Row],[Benchmark '#2 Dates]],Comp2[Comparable '#2 Dates],0)),"-")</f>
        <v>54.15</v>
      </c>
      <c r="J15" s="1" t="str">
        <f>IF(COUNTIF(Comp3[Comparable '#3 Dates],Benchmark2[[#This Row],[Benchmark '#2 Dates]])=1,"Pass","Fail")</f>
        <v>Pass</v>
      </c>
      <c r="K15" s="6">
        <f>IF(Benchmark2[[#This Row],[Comparable '#3 Date Check]]="Pass",INDEX(Comp3[Comparable '#3 Price],MATCH(Benchmark2[[#This Row],[Benchmark '#2 Dates]],Comp3[Comparable '#3 Dates],0)),"-")</f>
        <v>119.18</v>
      </c>
    </row>
    <row r="16" spans="1:11">
      <c r="A16" s="103">
        <v>43306</v>
      </c>
      <c r="B16" s="104">
        <v>12933.63</v>
      </c>
      <c r="C16" s="4">
        <f t="shared" si="0"/>
        <v>6.6824343199769426E-3</v>
      </c>
      <c r="D16" s="1" t="str">
        <f>IF(COUNTIF(Target1[Target Dates],Benchmark2[[#This Row],[Benchmark '#2 Dates]])=1,"Pass","Fail")</f>
        <v>Pass</v>
      </c>
      <c r="E16" s="6">
        <f>IF(Benchmark2[[#This Row],[Target Date Check]]="Pass",INDEX(Target1[Target Price],MATCH(Benchmark2[[#This Row],[Benchmark '#2 Dates]],Target1[Target Dates],0)),"-")</f>
        <v>16.57</v>
      </c>
      <c r="F16" s="1" t="str">
        <f>IF(COUNTIF(Comp1[Comparable '#1 Dates],Benchmark2[[#This Row],[Benchmark '#2 Dates]])=1,"Pass","Fail")</f>
        <v>Pass</v>
      </c>
      <c r="G16" s="6">
        <f>IF(Benchmark2[[#This Row],[Comparable '#1 Date Check]]="Pass",INDEX(Comp1[Comparable '#1 Price],MATCH(Benchmark2[[#This Row],[Benchmark '#2 Dates]],Comp1[Comparable '#1 Dates],0)),"-")</f>
        <v>15.06</v>
      </c>
      <c r="H16" s="1" t="str">
        <f>IF(COUNTIF(Comp2[Comparable '#2 Dates],Benchmark2[[#This Row],[Benchmark '#2 Dates]])=1,"Pass","Fail")</f>
        <v>Pass</v>
      </c>
      <c r="I16" s="6">
        <f>IF(Benchmark2[[#This Row],[Comparable '#2 Date Check]]="Pass",INDEX(Comp2[Comparable '#2 Price],MATCH(Benchmark2[[#This Row],[Benchmark '#2 Dates]],Comp2[Comparable '#2 Dates],0)),"-")</f>
        <v>54.7</v>
      </c>
      <c r="J16" s="1" t="str">
        <f>IF(COUNTIF(Comp3[Comparable '#3 Dates],Benchmark2[[#This Row],[Benchmark '#2 Dates]])=1,"Pass","Fail")</f>
        <v>Pass</v>
      </c>
      <c r="K16" s="6">
        <f>IF(Benchmark2[[#This Row],[Comparable '#3 Date Check]]="Pass",INDEX(Comp3[Comparable '#3 Price],MATCH(Benchmark2[[#This Row],[Benchmark '#2 Dates]],Comp3[Comparable '#3 Dates],0)),"-")</f>
        <v>119.96</v>
      </c>
    </row>
    <row r="17" spans="1:11">
      <c r="A17" s="103">
        <v>43307</v>
      </c>
      <c r="B17" s="104">
        <v>12953.39</v>
      </c>
      <c r="C17" s="4">
        <f t="shared" si="0"/>
        <v>1.526634107575277E-3</v>
      </c>
      <c r="D17" s="1" t="str">
        <f>IF(COUNTIF(Target1[Target Dates],Benchmark2[[#This Row],[Benchmark '#2 Dates]])=1,"Pass","Fail")</f>
        <v>Pass</v>
      </c>
      <c r="E17" s="6">
        <f>IF(Benchmark2[[#This Row],[Target Date Check]]="Pass",INDEX(Target1[Target Price],MATCH(Benchmark2[[#This Row],[Benchmark '#2 Dates]],Target1[Target Dates],0)),"-")</f>
        <v>16.760000000000002</v>
      </c>
      <c r="F17" s="1" t="str">
        <f>IF(COUNTIF(Comp1[Comparable '#1 Dates],Benchmark2[[#This Row],[Benchmark '#2 Dates]])=1,"Pass","Fail")</f>
        <v>Pass</v>
      </c>
      <c r="G17" s="6">
        <f>IF(Benchmark2[[#This Row],[Comparable '#1 Date Check]]="Pass",INDEX(Comp1[Comparable '#1 Price],MATCH(Benchmark2[[#This Row],[Benchmark '#2 Dates]],Comp1[Comparable '#1 Dates],0)),"-")</f>
        <v>15.37</v>
      </c>
      <c r="H17" s="1" t="str">
        <f>IF(COUNTIF(Comp2[Comparable '#2 Dates],Benchmark2[[#This Row],[Benchmark '#2 Dates]])=1,"Pass","Fail")</f>
        <v>Pass</v>
      </c>
      <c r="I17" s="6">
        <f>IF(Benchmark2[[#This Row],[Comparable '#2 Date Check]]="Pass",INDEX(Comp2[Comparable '#2 Price],MATCH(Benchmark2[[#This Row],[Benchmark '#2 Dates]],Comp2[Comparable '#2 Dates],0)),"-")</f>
        <v>55.05</v>
      </c>
      <c r="J17" s="1" t="str">
        <f>IF(COUNTIF(Comp3[Comparable '#3 Dates],Benchmark2[[#This Row],[Benchmark '#2 Dates]])=1,"Pass","Fail")</f>
        <v>Pass</v>
      </c>
      <c r="K17" s="6">
        <f>IF(Benchmark2[[#This Row],[Comparable '#3 Date Check]]="Pass",INDEX(Comp3[Comparable '#3 Price],MATCH(Benchmark2[[#This Row],[Benchmark '#2 Dates]],Comp3[Comparable '#3 Dates],0)),"-")</f>
        <v>120.86</v>
      </c>
    </row>
    <row r="18" spans="1:11">
      <c r="A18" s="103">
        <v>43308</v>
      </c>
      <c r="B18" s="104">
        <v>12921.34</v>
      </c>
      <c r="C18" s="4">
        <f t="shared" si="0"/>
        <v>-2.4773218032598777E-3</v>
      </c>
      <c r="D18" s="1" t="str">
        <f>IF(COUNTIF(Target1[Target Dates],Benchmark2[[#This Row],[Benchmark '#2 Dates]])=1,"Pass","Fail")</f>
        <v>Pass</v>
      </c>
      <c r="E18" s="6">
        <f>IF(Benchmark2[[#This Row],[Target Date Check]]="Pass",INDEX(Target1[Target Price],MATCH(Benchmark2[[#This Row],[Benchmark '#2 Dates]],Target1[Target Dates],0)),"-")</f>
        <v>16.63</v>
      </c>
      <c r="F18" s="1" t="str">
        <f>IF(COUNTIF(Comp1[Comparable '#1 Dates],Benchmark2[[#This Row],[Benchmark '#2 Dates]])=1,"Pass","Fail")</f>
        <v>Pass</v>
      </c>
      <c r="G18" s="6">
        <f>IF(Benchmark2[[#This Row],[Comparable '#1 Date Check]]="Pass",INDEX(Comp1[Comparable '#1 Price],MATCH(Benchmark2[[#This Row],[Benchmark '#2 Dates]],Comp1[Comparable '#1 Dates],0)),"-")</f>
        <v>15.27</v>
      </c>
      <c r="H18" s="1" t="str">
        <f>IF(COUNTIF(Comp2[Comparable '#2 Dates],Benchmark2[[#This Row],[Benchmark '#2 Dates]])=1,"Pass","Fail")</f>
        <v>Pass</v>
      </c>
      <c r="I18" s="6">
        <f>IF(Benchmark2[[#This Row],[Comparable '#2 Date Check]]="Pass",INDEX(Comp2[Comparable '#2 Price],MATCH(Benchmark2[[#This Row],[Benchmark '#2 Dates]],Comp2[Comparable '#2 Dates],0)),"-")</f>
        <v>54.8</v>
      </c>
      <c r="J18" s="1" t="str">
        <f>IF(COUNTIF(Comp3[Comparable '#3 Dates],Benchmark2[[#This Row],[Benchmark '#2 Dates]])=1,"Pass","Fail")</f>
        <v>Pass</v>
      </c>
      <c r="K18" s="6">
        <f>IF(Benchmark2[[#This Row],[Comparable '#3 Date Check]]="Pass",INDEX(Comp3[Comparable '#3 Price],MATCH(Benchmark2[[#This Row],[Benchmark '#2 Dates]],Comp3[Comparable '#3 Dates],0)),"-")</f>
        <v>119.56</v>
      </c>
    </row>
    <row r="19" spans="1:11">
      <c r="A19" s="103">
        <v>43311</v>
      </c>
      <c r="B19" s="104">
        <v>12903.43</v>
      </c>
      <c r="C19" s="4">
        <f t="shared" si="0"/>
        <v>-1.3870406490662196E-3</v>
      </c>
      <c r="D19" s="1" t="str">
        <f>IF(COUNTIF(Target1[Target Dates],Benchmark2[[#This Row],[Benchmark '#2 Dates]])=1,"Pass","Fail")</f>
        <v>Pass</v>
      </c>
      <c r="E19" s="6">
        <f>IF(Benchmark2[[#This Row],[Target Date Check]]="Pass",INDEX(Target1[Target Price],MATCH(Benchmark2[[#This Row],[Benchmark '#2 Dates]],Target1[Target Dates],0)),"-")</f>
        <v>16.46</v>
      </c>
      <c r="F19" s="1" t="str">
        <f>IF(COUNTIF(Comp1[Comparable '#1 Dates],Benchmark2[[#This Row],[Benchmark '#2 Dates]])=1,"Pass","Fail")</f>
        <v>Pass</v>
      </c>
      <c r="G19" s="6">
        <f>IF(Benchmark2[[#This Row],[Comparable '#1 Date Check]]="Pass",INDEX(Comp1[Comparable '#1 Price],MATCH(Benchmark2[[#This Row],[Benchmark '#2 Dates]],Comp1[Comparable '#1 Dates],0)),"-")</f>
        <v>14.33</v>
      </c>
      <c r="H19" s="1" t="str">
        <f>IF(COUNTIF(Comp2[Comparable '#2 Dates],Benchmark2[[#This Row],[Benchmark '#2 Dates]])=1,"Pass","Fail")</f>
        <v>Pass</v>
      </c>
      <c r="I19" s="6">
        <f>IF(Benchmark2[[#This Row],[Comparable '#2 Date Check]]="Pass",INDEX(Comp2[Comparable '#2 Price],MATCH(Benchmark2[[#This Row],[Benchmark '#2 Dates]],Comp2[Comparable '#2 Dates],0)),"-")</f>
        <v>54.75</v>
      </c>
      <c r="J19" s="1" t="str">
        <f>IF(COUNTIF(Comp3[Comparable '#3 Dates],Benchmark2[[#This Row],[Benchmark '#2 Dates]])=1,"Pass","Fail")</f>
        <v>Pass</v>
      </c>
      <c r="K19" s="6">
        <f>IF(Benchmark2[[#This Row],[Comparable '#3 Date Check]]="Pass",INDEX(Comp3[Comparable '#3 Price],MATCH(Benchmark2[[#This Row],[Benchmark '#2 Dates]],Comp3[Comparable '#3 Dates],0)),"-")</f>
        <v>119.03</v>
      </c>
    </row>
    <row r="20" spans="1:11">
      <c r="A20" s="103">
        <v>43312</v>
      </c>
      <c r="B20" s="104">
        <v>12963.28</v>
      </c>
      <c r="C20" s="4">
        <f t="shared" si="0"/>
        <v>4.6275778252945696E-3</v>
      </c>
      <c r="D20" s="1" t="str">
        <f>IF(COUNTIF(Target1[Target Dates],Benchmark2[[#This Row],[Benchmark '#2 Dates]])=1,"Pass","Fail")</f>
        <v>Pass</v>
      </c>
      <c r="E20" s="6">
        <f>IF(Benchmark2[[#This Row],[Target Date Check]]="Pass",INDEX(Target1[Target Price],MATCH(Benchmark2[[#This Row],[Benchmark '#2 Dates]],Target1[Target Dates],0)),"-")</f>
        <v>16.36</v>
      </c>
      <c r="F20" s="1" t="str">
        <f>IF(COUNTIF(Comp1[Comparable '#1 Dates],Benchmark2[[#This Row],[Benchmark '#2 Dates]])=1,"Pass","Fail")</f>
        <v>Pass</v>
      </c>
      <c r="G20" s="6">
        <f>IF(Benchmark2[[#This Row],[Comparable '#1 Date Check]]="Pass",INDEX(Comp1[Comparable '#1 Price],MATCH(Benchmark2[[#This Row],[Benchmark '#2 Dates]],Comp1[Comparable '#1 Dates],0)),"-")</f>
        <v>14.81</v>
      </c>
      <c r="H20" s="1" t="str">
        <f>IF(COUNTIF(Comp2[Comparable '#2 Dates],Benchmark2[[#This Row],[Benchmark '#2 Dates]])=1,"Pass","Fail")</f>
        <v>Pass</v>
      </c>
      <c r="I20" s="6">
        <f>IF(Benchmark2[[#This Row],[Comparable '#2 Date Check]]="Pass",INDEX(Comp2[Comparable '#2 Price],MATCH(Benchmark2[[#This Row],[Benchmark '#2 Dates]],Comp2[Comparable '#2 Dates],0)),"-")</f>
        <v>54.55</v>
      </c>
      <c r="J20" s="1" t="str">
        <f>IF(COUNTIF(Comp3[Comparable '#3 Dates],Benchmark2[[#This Row],[Benchmark '#2 Dates]])=1,"Pass","Fail")</f>
        <v>Pass</v>
      </c>
      <c r="K20" s="6">
        <f>IF(Benchmark2[[#This Row],[Comparable '#3 Date Check]]="Pass",INDEX(Comp3[Comparable '#3 Price],MATCH(Benchmark2[[#This Row],[Benchmark '#2 Dates]],Comp3[Comparable '#3 Dates],0)),"-")</f>
        <v>117.84</v>
      </c>
    </row>
    <row r="21" spans="1:11">
      <c r="A21" s="103">
        <v>43313</v>
      </c>
      <c r="B21" s="104">
        <v>12902.39</v>
      </c>
      <c r="C21" s="4">
        <f t="shared" si="0"/>
        <v>-4.7081797980716581E-3</v>
      </c>
      <c r="D21" s="1" t="str">
        <f>IF(COUNTIF(Target1[Target Dates],Benchmark2[[#This Row],[Benchmark '#2 Dates]])=1,"Pass","Fail")</f>
        <v>Pass</v>
      </c>
      <c r="E21" s="6">
        <f>IF(Benchmark2[[#This Row],[Target Date Check]]="Pass",INDEX(Target1[Target Price],MATCH(Benchmark2[[#This Row],[Benchmark '#2 Dates]],Target1[Target Dates],0)),"-")</f>
        <v>16.39</v>
      </c>
      <c r="F21" s="1" t="str">
        <f>IF(COUNTIF(Comp1[Comparable '#1 Dates],Benchmark2[[#This Row],[Benchmark '#2 Dates]])=1,"Pass","Fail")</f>
        <v>Pass</v>
      </c>
      <c r="G21" s="6">
        <f>IF(Benchmark2[[#This Row],[Comparable '#1 Date Check]]="Pass",INDEX(Comp1[Comparable '#1 Price],MATCH(Benchmark2[[#This Row],[Benchmark '#2 Dates]],Comp1[Comparable '#1 Dates],0)),"-")</f>
        <v>15.01</v>
      </c>
      <c r="H21" s="1" t="str">
        <f>IF(COUNTIF(Comp2[Comparable '#2 Dates],Benchmark2[[#This Row],[Benchmark '#2 Dates]])=1,"Pass","Fail")</f>
        <v>Pass</v>
      </c>
      <c r="I21" s="6">
        <f>IF(Benchmark2[[#This Row],[Comparable '#2 Date Check]]="Pass",INDEX(Comp2[Comparable '#2 Price],MATCH(Benchmark2[[#This Row],[Benchmark '#2 Dates]],Comp2[Comparable '#2 Dates],0)),"-")</f>
        <v>55.55</v>
      </c>
      <c r="J21" s="1" t="str">
        <f>IF(COUNTIF(Comp3[Comparable '#3 Dates],Benchmark2[[#This Row],[Benchmark '#2 Dates]])=1,"Pass","Fail")</f>
        <v>Pass</v>
      </c>
      <c r="K21" s="6">
        <f>IF(Benchmark2[[#This Row],[Comparable '#3 Date Check]]="Pass",INDEX(Comp3[Comparable '#3 Price],MATCH(Benchmark2[[#This Row],[Benchmark '#2 Dates]],Comp3[Comparable '#3 Dates],0)),"-")</f>
        <v>131.56</v>
      </c>
    </row>
    <row r="22" spans="1:11">
      <c r="A22" s="103">
        <v>43314</v>
      </c>
      <c r="B22" s="104">
        <v>12898.07</v>
      </c>
      <c r="C22" s="4">
        <f t="shared" si="0"/>
        <v>-3.3487775337119667E-4</v>
      </c>
      <c r="D22" s="1" t="str">
        <f>IF(COUNTIF(Target1[Target Dates],Benchmark2[[#This Row],[Benchmark '#2 Dates]])=1,"Pass","Fail")</f>
        <v>Pass</v>
      </c>
      <c r="E22" s="6">
        <f>IF(Benchmark2[[#This Row],[Target Date Check]]="Pass",INDEX(Target1[Target Price],MATCH(Benchmark2[[#This Row],[Benchmark '#2 Dates]],Target1[Target Dates],0)),"-")</f>
        <v>16.32</v>
      </c>
      <c r="F22" s="1" t="str">
        <f>IF(COUNTIF(Comp1[Comparable '#1 Dates],Benchmark2[[#This Row],[Benchmark '#2 Dates]])=1,"Pass","Fail")</f>
        <v>Pass</v>
      </c>
      <c r="G22" s="6">
        <f>IF(Benchmark2[[#This Row],[Comparable '#1 Date Check]]="Pass",INDEX(Comp1[Comparable '#1 Price],MATCH(Benchmark2[[#This Row],[Benchmark '#2 Dates]],Comp1[Comparable '#1 Dates],0)),"-")</f>
        <v>14.89</v>
      </c>
      <c r="H22" s="1" t="str">
        <f>IF(COUNTIF(Comp2[Comparable '#2 Dates],Benchmark2[[#This Row],[Benchmark '#2 Dates]])=1,"Pass","Fail")</f>
        <v>Pass</v>
      </c>
      <c r="I22" s="6">
        <f>IF(Benchmark2[[#This Row],[Comparable '#2 Date Check]]="Pass",INDEX(Comp2[Comparable '#2 Price],MATCH(Benchmark2[[#This Row],[Benchmark '#2 Dates]],Comp2[Comparable '#2 Dates],0)),"-")</f>
        <v>55.5</v>
      </c>
      <c r="J22" s="1" t="str">
        <f>IF(COUNTIF(Comp3[Comparable '#3 Dates],Benchmark2[[#This Row],[Benchmark '#2 Dates]])=1,"Pass","Fail")</f>
        <v>Pass</v>
      </c>
      <c r="K22" s="6">
        <f>IF(Benchmark2[[#This Row],[Comparable '#3 Date Check]]="Pass",INDEX(Comp3[Comparable '#3 Price],MATCH(Benchmark2[[#This Row],[Benchmark '#2 Dates]],Comp3[Comparable '#3 Dates],0)),"-")</f>
        <v>126.42</v>
      </c>
    </row>
    <row r="23" spans="1:11">
      <c r="A23" s="103">
        <v>43315</v>
      </c>
      <c r="B23" s="104">
        <v>12953.34</v>
      </c>
      <c r="C23" s="4">
        <f t="shared" si="0"/>
        <v>4.2759821776174696E-3</v>
      </c>
      <c r="D23" s="1" t="str">
        <f>IF(COUNTIF(Target1[Target Dates],Benchmark2[[#This Row],[Benchmark '#2 Dates]])=1,"Pass","Fail")</f>
        <v>Pass</v>
      </c>
      <c r="E23" s="6">
        <f>IF(Benchmark2[[#This Row],[Target Date Check]]="Pass",INDEX(Target1[Target Price],MATCH(Benchmark2[[#This Row],[Benchmark '#2 Dates]],Target1[Target Dates],0)),"-")</f>
        <v>16.21</v>
      </c>
      <c r="F23" s="1" t="str">
        <f>IF(COUNTIF(Comp1[Comparable '#1 Dates],Benchmark2[[#This Row],[Benchmark '#2 Dates]])=1,"Pass","Fail")</f>
        <v>Pass</v>
      </c>
      <c r="G23" s="6">
        <f>IF(Benchmark2[[#This Row],[Comparable '#1 Date Check]]="Pass",INDEX(Comp1[Comparable '#1 Price],MATCH(Benchmark2[[#This Row],[Benchmark '#2 Dates]],Comp1[Comparable '#1 Dates],0)),"-")</f>
        <v>14.68</v>
      </c>
      <c r="H23" s="1" t="str">
        <f>IF(COUNTIF(Comp2[Comparable '#2 Dates],Benchmark2[[#This Row],[Benchmark '#2 Dates]])=1,"Pass","Fail")</f>
        <v>Pass</v>
      </c>
      <c r="I23" s="6">
        <f>IF(Benchmark2[[#This Row],[Comparable '#2 Date Check]]="Pass",INDEX(Comp2[Comparable '#2 Price],MATCH(Benchmark2[[#This Row],[Benchmark '#2 Dates]],Comp2[Comparable '#2 Dates],0)),"-")</f>
        <v>55.2</v>
      </c>
      <c r="J23" s="1" t="str">
        <f>IF(COUNTIF(Comp3[Comparable '#3 Dates],Benchmark2[[#This Row],[Benchmark '#2 Dates]])=1,"Pass","Fail")</f>
        <v>Pass</v>
      </c>
      <c r="K23" s="6">
        <f>IF(Benchmark2[[#This Row],[Comparable '#3 Date Check]]="Pass",INDEX(Comp3[Comparable '#3 Price],MATCH(Benchmark2[[#This Row],[Benchmark '#2 Dates]],Comp3[Comparable '#3 Dates],0)),"-")</f>
        <v>122.62</v>
      </c>
    </row>
    <row r="24" spans="1:11">
      <c r="A24" s="103">
        <v>43318</v>
      </c>
      <c r="B24" s="104">
        <v>12964.27</v>
      </c>
      <c r="C24" s="4">
        <f t="shared" si="0"/>
        <v>8.4344201860906982E-4</v>
      </c>
      <c r="D24" s="1" t="str">
        <f>IF(COUNTIF(Target1[Target Dates],Benchmark2[[#This Row],[Benchmark '#2 Dates]])=1,"Pass","Fail")</f>
        <v>Pass</v>
      </c>
      <c r="E24" s="6">
        <f>IF(Benchmark2[[#This Row],[Target Date Check]]="Pass",INDEX(Target1[Target Price],MATCH(Benchmark2[[#This Row],[Benchmark '#2 Dates]],Target1[Target Dates],0)),"-")</f>
        <v>16.170000000000002</v>
      </c>
      <c r="F24" s="1" t="str">
        <f>IF(COUNTIF(Comp1[Comparable '#1 Dates],Benchmark2[[#This Row],[Benchmark '#2 Dates]])=1,"Pass","Fail")</f>
        <v>Pass</v>
      </c>
      <c r="G24" s="6">
        <f>IF(Benchmark2[[#This Row],[Comparable '#1 Date Check]]="Pass",INDEX(Comp1[Comparable '#1 Price],MATCH(Benchmark2[[#This Row],[Benchmark '#2 Dates]],Comp1[Comparable '#1 Dates],0)),"-")</f>
        <v>14.7</v>
      </c>
      <c r="H24" s="1" t="str">
        <f>IF(COUNTIF(Comp2[Comparable '#2 Dates],Benchmark2[[#This Row],[Benchmark '#2 Dates]])=1,"Pass","Fail")</f>
        <v>Pass</v>
      </c>
      <c r="I24" s="6">
        <f>IF(Benchmark2[[#This Row],[Comparable '#2 Date Check]]="Pass",INDEX(Comp2[Comparable '#2 Price],MATCH(Benchmark2[[#This Row],[Benchmark '#2 Dates]],Comp2[Comparable '#2 Dates],0)),"-")</f>
        <v>55.25</v>
      </c>
      <c r="J24" s="1" t="str">
        <f>IF(COUNTIF(Comp3[Comparable '#3 Dates],Benchmark2[[#This Row],[Benchmark '#2 Dates]])=1,"Pass","Fail")</f>
        <v>Pass</v>
      </c>
      <c r="K24" s="6">
        <f>IF(Benchmark2[[#This Row],[Comparable '#3 Date Check]]="Pass",INDEX(Comp3[Comparable '#3 Price],MATCH(Benchmark2[[#This Row],[Benchmark '#2 Dates]],Comp3[Comparable '#3 Dates],0)),"-")</f>
        <v>123.19</v>
      </c>
    </row>
    <row r="25" spans="1:11">
      <c r="A25" s="103">
        <v>43319</v>
      </c>
      <c r="B25" s="104">
        <v>12999.59</v>
      </c>
      <c r="C25" s="4">
        <f t="shared" si="0"/>
        <v>2.7207065349503065E-3</v>
      </c>
      <c r="D25" s="1" t="str">
        <f>IF(COUNTIF(Target1[Target Dates],Benchmark2[[#This Row],[Benchmark '#2 Dates]])=1,"Pass","Fail")</f>
        <v>Pass</v>
      </c>
      <c r="E25" s="6">
        <f>IF(Benchmark2[[#This Row],[Target Date Check]]="Pass",INDEX(Target1[Target Price],MATCH(Benchmark2[[#This Row],[Benchmark '#2 Dates]],Target1[Target Dates],0)),"-")</f>
        <v>16.190000000000001</v>
      </c>
      <c r="F25" s="1" t="str">
        <f>IF(COUNTIF(Comp1[Comparable '#1 Dates],Benchmark2[[#This Row],[Benchmark '#2 Dates]])=1,"Pass","Fail")</f>
        <v>Pass</v>
      </c>
      <c r="G25" s="6">
        <f>IF(Benchmark2[[#This Row],[Comparable '#1 Date Check]]="Pass",INDEX(Comp1[Comparable '#1 Price],MATCH(Benchmark2[[#This Row],[Benchmark '#2 Dates]],Comp1[Comparable '#1 Dates],0)),"-")</f>
        <v>14.7</v>
      </c>
      <c r="H25" s="1" t="str">
        <f>IF(COUNTIF(Comp2[Comparable '#2 Dates],Benchmark2[[#This Row],[Benchmark '#2 Dates]])=1,"Pass","Fail")</f>
        <v>Pass</v>
      </c>
      <c r="I25" s="6">
        <f>IF(Benchmark2[[#This Row],[Comparable '#2 Date Check]]="Pass",INDEX(Comp2[Comparable '#2 Price],MATCH(Benchmark2[[#This Row],[Benchmark '#2 Dates]],Comp2[Comparable '#2 Dates],0)),"-")</f>
        <v>55.05</v>
      </c>
      <c r="J25" s="1" t="str">
        <f>IF(COUNTIF(Comp3[Comparable '#3 Dates],Benchmark2[[#This Row],[Benchmark '#2 Dates]])=1,"Pass","Fail")</f>
        <v>Pass</v>
      </c>
      <c r="K25" s="6">
        <f>IF(Benchmark2[[#This Row],[Comparable '#3 Date Check]]="Pass",INDEX(Comp3[Comparable '#3 Price],MATCH(Benchmark2[[#This Row],[Benchmark '#2 Dates]],Comp3[Comparable '#3 Dates],0)),"-")</f>
        <v>124.52</v>
      </c>
    </row>
    <row r="26" spans="1:11">
      <c r="A26" s="103">
        <v>43320</v>
      </c>
      <c r="B26" s="104">
        <v>12987.91</v>
      </c>
      <c r="C26" s="4">
        <f t="shared" si="0"/>
        <v>-8.9889375941997461E-4</v>
      </c>
      <c r="D26" s="1" t="str">
        <f>IF(COUNTIF(Target1[Target Dates],Benchmark2[[#This Row],[Benchmark '#2 Dates]])=1,"Pass","Fail")</f>
        <v>Pass</v>
      </c>
      <c r="E26" s="6">
        <f>IF(Benchmark2[[#This Row],[Target Date Check]]="Pass",INDEX(Target1[Target Price],MATCH(Benchmark2[[#This Row],[Benchmark '#2 Dates]],Target1[Target Dates],0)),"-")</f>
        <v>18.03</v>
      </c>
      <c r="F26" s="1" t="str">
        <f>IF(COUNTIF(Comp1[Comparable '#1 Dates],Benchmark2[[#This Row],[Benchmark '#2 Dates]])=1,"Pass","Fail")</f>
        <v>Pass</v>
      </c>
      <c r="G26" s="6">
        <f>IF(Benchmark2[[#This Row],[Comparable '#1 Date Check]]="Pass",INDEX(Comp1[Comparable '#1 Price],MATCH(Benchmark2[[#This Row],[Benchmark '#2 Dates]],Comp1[Comparable '#1 Dates],0)),"-")</f>
        <v>14.78</v>
      </c>
      <c r="H26" s="1" t="str">
        <f>IF(COUNTIF(Comp2[Comparable '#2 Dates],Benchmark2[[#This Row],[Benchmark '#2 Dates]])=1,"Pass","Fail")</f>
        <v>Pass</v>
      </c>
      <c r="I26" s="6">
        <f>IF(Benchmark2[[#This Row],[Comparable '#2 Date Check]]="Pass",INDEX(Comp2[Comparable '#2 Price],MATCH(Benchmark2[[#This Row],[Benchmark '#2 Dates]],Comp2[Comparable '#2 Dates],0)),"-")</f>
        <v>55.25</v>
      </c>
      <c r="J26" s="1" t="str">
        <f>IF(COUNTIF(Comp3[Comparable '#3 Dates],Benchmark2[[#This Row],[Benchmark '#2 Dates]])=1,"Pass","Fail")</f>
        <v>Pass</v>
      </c>
      <c r="K26" s="6">
        <f>IF(Benchmark2[[#This Row],[Comparable '#3 Date Check]]="Pass",INDEX(Comp3[Comparable '#3 Price],MATCH(Benchmark2[[#This Row],[Benchmark '#2 Dates]],Comp3[Comparable '#3 Dates],0)),"-")</f>
        <v>123.79</v>
      </c>
    </row>
    <row r="27" spans="1:11">
      <c r="A27" s="103">
        <v>43321</v>
      </c>
      <c r="B27" s="104">
        <v>12956.66</v>
      </c>
      <c r="C27" s="4">
        <f t="shared" si="0"/>
        <v>-2.4089830829724088E-3</v>
      </c>
      <c r="D27" s="1" t="str">
        <f>IF(COUNTIF(Target1[Target Dates],Benchmark2[[#This Row],[Benchmark '#2 Dates]])=1,"Pass","Fail")</f>
        <v>Pass</v>
      </c>
      <c r="E27" s="6">
        <f>IF(Benchmark2[[#This Row],[Target Date Check]]="Pass",INDEX(Target1[Target Price],MATCH(Benchmark2[[#This Row],[Benchmark '#2 Dates]],Target1[Target Dates],0)),"-")</f>
        <v>17.690000000000001</v>
      </c>
      <c r="F27" s="1" t="str">
        <f>IF(COUNTIF(Comp1[Comparable '#1 Dates],Benchmark2[[#This Row],[Benchmark '#2 Dates]])=1,"Pass","Fail")</f>
        <v>Pass</v>
      </c>
      <c r="G27" s="6">
        <f>IF(Benchmark2[[#This Row],[Comparable '#1 Date Check]]="Pass",INDEX(Comp1[Comparable '#1 Price],MATCH(Benchmark2[[#This Row],[Benchmark '#2 Dates]],Comp1[Comparable '#1 Dates],0)),"-")</f>
        <v>16.38</v>
      </c>
      <c r="H27" s="1" t="str">
        <f>IF(COUNTIF(Comp2[Comparable '#2 Dates],Benchmark2[[#This Row],[Benchmark '#2 Dates]])=1,"Pass","Fail")</f>
        <v>Pass</v>
      </c>
      <c r="I27" s="6">
        <f>IF(Benchmark2[[#This Row],[Comparable '#2 Date Check]]="Pass",INDEX(Comp2[Comparable '#2 Price],MATCH(Benchmark2[[#This Row],[Benchmark '#2 Dates]],Comp2[Comparable '#2 Dates],0)),"-")</f>
        <v>55.25</v>
      </c>
      <c r="J27" s="1" t="str">
        <f>IF(COUNTIF(Comp3[Comparable '#3 Dates],Benchmark2[[#This Row],[Benchmark '#2 Dates]])=1,"Pass","Fail")</f>
        <v>Pass</v>
      </c>
      <c r="K27" s="6">
        <f>IF(Benchmark2[[#This Row],[Comparable '#3 Date Check]]="Pass",INDEX(Comp3[Comparable '#3 Price],MATCH(Benchmark2[[#This Row],[Benchmark '#2 Dates]],Comp3[Comparable '#3 Dates],0)),"-")</f>
        <v>127.15</v>
      </c>
    </row>
    <row r="28" spans="1:11">
      <c r="A28" s="103">
        <v>43322</v>
      </c>
      <c r="B28" s="104">
        <v>12843.49</v>
      </c>
      <c r="C28" s="4">
        <f t="shared" si="0"/>
        <v>-8.7728734776510824E-3</v>
      </c>
      <c r="D28" s="1" t="str">
        <f>IF(COUNTIF(Target1[Target Dates],Benchmark2[[#This Row],[Benchmark '#2 Dates]])=1,"Pass","Fail")</f>
        <v>Pass</v>
      </c>
      <c r="E28" s="6">
        <f>IF(Benchmark2[[#This Row],[Target Date Check]]="Pass",INDEX(Target1[Target Price],MATCH(Benchmark2[[#This Row],[Benchmark '#2 Dates]],Target1[Target Dates],0)),"-")</f>
        <v>17.510000000000002</v>
      </c>
      <c r="F28" s="1" t="str">
        <f>IF(COUNTIF(Comp1[Comparable '#1 Dates],Benchmark2[[#This Row],[Benchmark '#2 Dates]])=1,"Pass","Fail")</f>
        <v>Pass</v>
      </c>
      <c r="G28" s="6">
        <f>IF(Benchmark2[[#This Row],[Comparable '#1 Date Check]]="Pass",INDEX(Comp1[Comparable '#1 Price],MATCH(Benchmark2[[#This Row],[Benchmark '#2 Dates]],Comp1[Comparable '#1 Dates],0)),"-")</f>
        <v>16</v>
      </c>
      <c r="H28" s="1" t="str">
        <f>IF(COUNTIF(Comp2[Comparable '#2 Dates],Benchmark2[[#This Row],[Benchmark '#2 Dates]])=1,"Pass","Fail")</f>
        <v>Pass</v>
      </c>
      <c r="I28" s="6">
        <f>IF(Benchmark2[[#This Row],[Comparable '#2 Date Check]]="Pass",INDEX(Comp2[Comparable '#2 Price],MATCH(Benchmark2[[#This Row],[Benchmark '#2 Dates]],Comp2[Comparable '#2 Dates],0)),"-")</f>
        <v>55.45</v>
      </c>
      <c r="J28" s="1" t="str">
        <f>IF(COUNTIF(Comp3[Comparable '#3 Dates],Benchmark2[[#This Row],[Benchmark '#2 Dates]])=1,"Pass","Fail")</f>
        <v>Pass</v>
      </c>
      <c r="K28" s="6">
        <f>IF(Benchmark2[[#This Row],[Comparable '#3 Date Check]]="Pass",INDEX(Comp3[Comparable '#3 Price],MATCH(Benchmark2[[#This Row],[Benchmark '#2 Dates]],Comp3[Comparable '#3 Dates],0)),"-")</f>
        <v>126.64</v>
      </c>
    </row>
    <row r="29" spans="1:11">
      <c r="A29" s="103">
        <v>43325</v>
      </c>
      <c r="B29" s="104">
        <v>12763.66</v>
      </c>
      <c r="C29" s="4">
        <f t="shared" si="0"/>
        <v>-6.2349975391296549E-3</v>
      </c>
      <c r="D29" s="1" t="str">
        <f>IF(COUNTIF(Target1[Target Dates],Benchmark2[[#This Row],[Benchmark '#2 Dates]])=1,"Pass","Fail")</f>
        <v>Pass</v>
      </c>
      <c r="E29" s="6">
        <f>IF(Benchmark2[[#This Row],[Target Date Check]]="Pass",INDEX(Target1[Target Price],MATCH(Benchmark2[[#This Row],[Benchmark '#2 Dates]],Target1[Target Dates],0)),"-")</f>
        <v>17.190000000000001</v>
      </c>
      <c r="F29" s="1" t="str">
        <f>IF(COUNTIF(Comp1[Comparable '#1 Dates],Benchmark2[[#This Row],[Benchmark '#2 Dates]])=1,"Pass","Fail")</f>
        <v>Pass</v>
      </c>
      <c r="G29" s="6">
        <f>IF(Benchmark2[[#This Row],[Comparable '#1 Date Check]]="Pass",INDEX(Comp1[Comparable '#1 Price],MATCH(Benchmark2[[#This Row],[Benchmark '#2 Dates]],Comp1[Comparable '#1 Dates],0)),"-")</f>
        <v>16.09</v>
      </c>
      <c r="H29" s="1" t="str">
        <f>IF(COUNTIF(Comp2[Comparable '#2 Dates],Benchmark2[[#This Row],[Benchmark '#2 Dates]])=1,"Pass","Fail")</f>
        <v>Pass</v>
      </c>
      <c r="I29" s="6">
        <f>IF(Benchmark2[[#This Row],[Comparable '#2 Date Check]]="Pass",INDEX(Comp2[Comparable '#2 Price],MATCH(Benchmark2[[#This Row],[Benchmark '#2 Dates]],Comp2[Comparable '#2 Dates],0)),"-")</f>
        <v>54.75</v>
      </c>
      <c r="J29" s="1" t="str">
        <f>IF(COUNTIF(Comp3[Comparable '#3 Dates],Benchmark2[[#This Row],[Benchmark '#2 Dates]])=1,"Pass","Fail")</f>
        <v>Pass</v>
      </c>
      <c r="K29" s="6">
        <f>IF(Benchmark2[[#This Row],[Comparable '#3 Date Check]]="Pass",INDEX(Comp3[Comparable '#3 Price],MATCH(Benchmark2[[#This Row],[Benchmark '#2 Dates]],Comp3[Comparable '#3 Dates],0)),"-")</f>
        <v>123.23</v>
      </c>
    </row>
    <row r="30" spans="1:11">
      <c r="A30" s="103">
        <v>43326</v>
      </c>
      <c r="B30" s="104">
        <v>12835.31</v>
      </c>
      <c r="C30" s="4">
        <f t="shared" si="0"/>
        <v>5.5978960953950571E-3</v>
      </c>
      <c r="D30" s="1" t="str">
        <f>IF(COUNTIF(Target1[Target Dates],Benchmark2[[#This Row],[Benchmark '#2 Dates]])=1,"Pass","Fail")</f>
        <v>Pass</v>
      </c>
      <c r="E30" s="6">
        <f>IF(Benchmark2[[#This Row],[Target Date Check]]="Pass",INDEX(Target1[Target Price],MATCH(Benchmark2[[#This Row],[Benchmark '#2 Dates]],Target1[Target Dates],0)),"-")</f>
        <v>16.88</v>
      </c>
      <c r="F30" s="1" t="str">
        <f>IF(COUNTIF(Comp1[Comparable '#1 Dates],Benchmark2[[#This Row],[Benchmark '#2 Dates]])=1,"Pass","Fail")</f>
        <v>Pass</v>
      </c>
      <c r="G30" s="6">
        <f>IF(Benchmark2[[#This Row],[Comparable '#1 Date Check]]="Pass",INDEX(Comp1[Comparable '#1 Price],MATCH(Benchmark2[[#This Row],[Benchmark '#2 Dates]],Comp1[Comparable '#1 Dates],0)),"-")</f>
        <v>16.170000000000002</v>
      </c>
      <c r="H30" s="1" t="str">
        <f>IF(COUNTIF(Comp2[Comparable '#2 Dates],Benchmark2[[#This Row],[Benchmark '#2 Dates]])=1,"Pass","Fail")</f>
        <v>Pass</v>
      </c>
      <c r="I30" s="6">
        <f>IF(Benchmark2[[#This Row],[Comparable '#2 Date Check]]="Pass",INDEX(Comp2[Comparable '#2 Price],MATCH(Benchmark2[[#This Row],[Benchmark '#2 Dates]],Comp2[Comparable '#2 Dates],0)),"-")</f>
        <v>55.75</v>
      </c>
      <c r="J30" s="1" t="str">
        <f>IF(COUNTIF(Comp3[Comparable '#3 Dates],Benchmark2[[#This Row],[Benchmark '#2 Dates]])=1,"Pass","Fail")</f>
        <v>Pass</v>
      </c>
      <c r="K30" s="6">
        <f>IF(Benchmark2[[#This Row],[Comparable '#3 Date Check]]="Pass",INDEX(Comp3[Comparable '#3 Price],MATCH(Benchmark2[[#This Row],[Benchmark '#2 Dates]],Comp3[Comparable '#3 Dates],0)),"-")</f>
        <v>123.92</v>
      </c>
    </row>
    <row r="31" spans="1:11">
      <c r="A31" s="103">
        <v>43327</v>
      </c>
      <c r="B31" s="104">
        <v>12723.09</v>
      </c>
      <c r="C31" s="4">
        <f t="shared" si="0"/>
        <v>-8.7815137999799515E-3</v>
      </c>
      <c r="D31" s="1" t="str">
        <f>IF(COUNTIF(Target1[Target Dates],Benchmark2[[#This Row],[Benchmark '#2 Dates]])=1,"Pass","Fail")</f>
        <v>Pass</v>
      </c>
      <c r="E31" s="6">
        <f>IF(Benchmark2[[#This Row],[Target Date Check]]="Pass",INDEX(Target1[Target Price],MATCH(Benchmark2[[#This Row],[Benchmark '#2 Dates]],Target1[Target Dates],0)),"-")</f>
        <v>16.96</v>
      </c>
      <c r="F31" s="1" t="str">
        <f>IF(COUNTIF(Comp1[Comparable '#1 Dates],Benchmark2[[#This Row],[Benchmark '#2 Dates]])=1,"Pass","Fail")</f>
        <v>Pass</v>
      </c>
      <c r="G31" s="6">
        <f>IF(Benchmark2[[#This Row],[Comparable '#1 Date Check]]="Pass",INDEX(Comp1[Comparable '#1 Price],MATCH(Benchmark2[[#This Row],[Benchmark '#2 Dates]],Comp1[Comparable '#1 Dates],0)),"-")</f>
        <v>15.98</v>
      </c>
      <c r="H31" s="1" t="str">
        <f>IF(COUNTIF(Comp2[Comparable '#2 Dates],Benchmark2[[#This Row],[Benchmark '#2 Dates]])=1,"Pass","Fail")</f>
        <v>Pass</v>
      </c>
      <c r="I31" s="6">
        <f>IF(Benchmark2[[#This Row],[Comparable '#2 Date Check]]="Pass",INDEX(Comp2[Comparable '#2 Price],MATCH(Benchmark2[[#This Row],[Benchmark '#2 Dates]],Comp2[Comparable '#2 Dates],0)),"-")</f>
        <v>56.05</v>
      </c>
      <c r="J31" s="1" t="str">
        <f>IF(COUNTIF(Comp3[Comparable '#3 Dates],Benchmark2[[#This Row],[Benchmark '#2 Dates]])=1,"Pass","Fail")</f>
        <v>Pass</v>
      </c>
      <c r="K31" s="6">
        <f>IF(Benchmark2[[#This Row],[Comparable '#3 Date Check]]="Pass",INDEX(Comp3[Comparable '#3 Price],MATCH(Benchmark2[[#This Row],[Benchmark '#2 Dates]],Comp3[Comparable '#3 Dates],0)),"-")</f>
        <v>127.96</v>
      </c>
    </row>
    <row r="32" spans="1:11">
      <c r="A32" s="103">
        <v>43328</v>
      </c>
      <c r="B32" s="104">
        <v>12841.28</v>
      </c>
      <c r="C32" s="4">
        <f t="shared" si="0"/>
        <v>9.2465288278773504E-3</v>
      </c>
      <c r="D32" s="1" t="str">
        <f>IF(COUNTIF(Target1[Target Dates],Benchmark2[[#This Row],[Benchmark '#2 Dates]])=1,"Pass","Fail")</f>
        <v>Pass</v>
      </c>
      <c r="E32" s="6">
        <f>IF(Benchmark2[[#This Row],[Target Date Check]]="Pass",INDEX(Target1[Target Price],MATCH(Benchmark2[[#This Row],[Benchmark '#2 Dates]],Target1[Target Dates],0)),"-")</f>
        <v>17.23</v>
      </c>
      <c r="F32" s="1" t="str">
        <f>IF(COUNTIF(Comp1[Comparable '#1 Dates],Benchmark2[[#This Row],[Benchmark '#2 Dates]])=1,"Pass","Fail")</f>
        <v>Pass</v>
      </c>
      <c r="G32" s="6">
        <f>IF(Benchmark2[[#This Row],[Comparable '#1 Date Check]]="Pass",INDEX(Comp1[Comparable '#1 Price],MATCH(Benchmark2[[#This Row],[Benchmark '#2 Dates]],Comp1[Comparable '#1 Dates],0)),"-")</f>
        <v>16.100000000000001</v>
      </c>
      <c r="H32" s="1" t="str">
        <f>IF(COUNTIF(Comp2[Comparable '#2 Dates],Benchmark2[[#This Row],[Benchmark '#2 Dates]])=1,"Pass","Fail")</f>
        <v>Pass</v>
      </c>
      <c r="I32" s="6">
        <f>IF(Benchmark2[[#This Row],[Comparable '#2 Date Check]]="Pass",INDEX(Comp2[Comparable '#2 Price],MATCH(Benchmark2[[#This Row],[Benchmark '#2 Dates]],Comp2[Comparable '#2 Dates],0)),"-")</f>
        <v>55.75</v>
      </c>
      <c r="J32" s="1" t="str">
        <f>IF(COUNTIF(Comp3[Comparable '#3 Dates],Benchmark2[[#This Row],[Benchmark '#2 Dates]])=1,"Pass","Fail")</f>
        <v>Pass</v>
      </c>
      <c r="K32" s="6">
        <f>IF(Benchmark2[[#This Row],[Comparable '#3 Date Check]]="Pass",INDEX(Comp3[Comparable '#3 Price],MATCH(Benchmark2[[#This Row],[Benchmark '#2 Dates]],Comp3[Comparable '#3 Dates],0)),"-")</f>
        <v>129</v>
      </c>
    </row>
    <row r="33" spans="1:11">
      <c r="A33" s="103">
        <v>43329</v>
      </c>
      <c r="B33" s="104">
        <v>12908.27</v>
      </c>
      <c r="C33" s="4">
        <f t="shared" si="0"/>
        <v>5.2032094647965132E-3</v>
      </c>
      <c r="D33" s="1" t="str">
        <f>IF(COUNTIF(Target1[Target Dates],Benchmark2[[#This Row],[Benchmark '#2 Dates]])=1,"Pass","Fail")</f>
        <v>Pass</v>
      </c>
      <c r="E33" s="6">
        <f>IF(Benchmark2[[#This Row],[Target Date Check]]="Pass",INDEX(Target1[Target Price],MATCH(Benchmark2[[#This Row],[Benchmark '#2 Dates]],Target1[Target Dates],0)),"-")</f>
        <v>17.079999999999998</v>
      </c>
      <c r="F33" s="1" t="str">
        <f>IF(COUNTIF(Comp1[Comparable '#1 Dates],Benchmark2[[#This Row],[Benchmark '#2 Dates]])=1,"Pass","Fail")</f>
        <v>Pass</v>
      </c>
      <c r="G33" s="6">
        <f>IF(Benchmark2[[#This Row],[Comparable '#1 Date Check]]="Pass",INDEX(Comp1[Comparable '#1 Price],MATCH(Benchmark2[[#This Row],[Benchmark '#2 Dates]],Comp1[Comparable '#1 Dates],0)),"-")</f>
        <v>15.85</v>
      </c>
      <c r="H33" s="1" t="str">
        <f>IF(COUNTIF(Comp2[Comparable '#2 Dates],Benchmark2[[#This Row],[Benchmark '#2 Dates]])=1,"Pass","Fail")</f>
        <v>Pass</v>
      </c>
      <c r="I33" s="6">
        <f>IF(Benchmark2[[#This Row],[Comparable '#2 Date Check]]="Pass",INDEX(Comp2[Comparable '#2 Price],MATCH(Benchmark2[[#This Row],[Benchmark '#2 Dates]],Comp2[Comparable '#2 Dates],0)),"-")</f>
        <v>47.2</v>
      </c>
      <c r="J33" s="1" t="str">
        <f>IF(COUNTIF(Comp3[Comparable '#3 Dates],Benchmark2[[#This Row],[Benchmark '#2 Dates]])=1,"Pass","Fail")</f>
        <v>Pass</v>
      </c>
      <c r="K33" s="6">
        <f>IF(Benchmark2[[#This Row],[Comparable '#3 Date Check]]="Pass",INDEX(Comp3[Comparable '#3 Price],MATCH(Benchmark2[[#This Row],[Benchmark '#2 Dates]],Comp3[Comparable '#3 Dates],0)),"-")</f>
        <v>129.12</v>
      </c>
    </row>
    <row r="34" spans="1:11">
      <c r="A34" s="103">
        <v>43332</v>
      </c>
      <c r="B34" s="104">
        <v>12965.1</v>
      </c>
      <c r="C34" s="4">
        <f t="shared" si="0"/>
        <v>4.392940802975873E-3</v>
      </c>
      <c r="D34" s="1" t="str">
        <f>IF(COUNTIF(Target1[Target Dates],Benchmark2[[#This Row],[Benchmark '#2 Dates]])=1,"Pass","Fail")</f>
        <v>Pass</v>
      </c>
      <c r="E34" s="6">
        <f>IF(Benchmark2[[#This Row],[Target Date Check]]="Pass",INDEX(Target1[Target Price],MATCH(Benchmark2[[#This Row],[Benchmark '#2 Dates]],Target1[Target Dates],0)),"-")</f>
        <v>17.010000000000002</v>
      </c>
      <c r="F34" s="1" t="str">
        <f>IF(COUNTIF(Comp1[Comparable '#1 Dates],Benchmark2[[#This Row],[Benchmark '#2 Dates]])=1,"Pass","Fail")</f>
        <v>Pass</v>
      </c>
      <c r="G34" s="6">
        <f>IF(Benchmark2[[#This Row],[Comparable '#1 Date Check]]="Pass",INDEX(Comp1[Comparable '#1 Price],MATCH(Benchmark2[[#This Row],[Benchmark '#2 Dates]],Comp1[Comparable '#1 Dates],0)),"-")</f>
        <v>16.04</v>
      </c>
      <c r="H34" s="1" t="str">
        <f>IF(COUNTIF(Comp2[Comparable '#2 Dates],Benchmark2[[#This Row],[Benchmark '#2 Dates]])=1,"Pass","Fail")</f>
        <v>Pass</v>
      </c>
      <c r="I34" s="6">
        <f>IF(Benchmark2[[#This Row],[Comparable '#2 Date Check]]="Pass",INDEX(Comp2[Comparable '#2 Price],MATCH(Benchmark2[[#This Row],[Benchmark '#2 Dates]],Comp2[Comparable '#2 Dates],0)),"-")</f>
        <v>48.4</v>
      </c>
      <c r="J34" s="1" t="str">
        <f>IF(COUNTIF(Comp3[Comparable '#3 Dates],Benchmark2[[#This Row],[Benchmark '#2 Dates]])=1,"Pass","Fail")</f>
        <v>Pass</v>
      </c>
      <c r="K34" s="6">
        <f>IF(Benchmark2[[#This Row],[Comparable '#3 Date Check]]="Pass",INDEX(Comp3[Comparable '#3 Price],MATCH(Benchmark2[[#This Row],[Benchmark '#2 Dates]],Comp3[Comparable '#3 Dates],0)),"-")</f>
        <v>134.25</v>
      </c>
    </row>
    <row r="35" spans="1:11">
      <c r="A35" s="103">
        <v>43333</v>
      </c>
      <c r="B35" s="104">
        <v>12996.76</v>
      </c>
      <c r="C35" s="4">
        <f t="shared" si="0"/>
        <v>2.4389635946143787E-3</v>
      </c>
      <c r="D35" s="1" t="str">
        <f>IF(COUNTIF(Target1[Target Dates],Benchmark2[[#This Row],[Benchmark '#2 Dates]])=1,"Pass","Fail")</f>
        <v>Pass</v>
      </c>
      <c r="E35" s="6">
        <f>IF(Benchmark2[[#This Row],[Target Date Check]]="Pass",INDEX(Target1[Target Price],MATCH(Benchmark2[[#This Row],[Benchmark '#2 Dates]],Target1[Target Dates],0)),"-")</f>
        <v>17.12</v>
      </c>
      <c r="F35" s="1" t="str">
        <f>IF(COUNTIF(Comp1[Comparable '#1 Dates],Benchmark2[[#This Row],[Benchmark '#2 Dates]])=1,"Pass","Fail")</f>
        <v>Pass</v>
      </c>
      <c r="G35" s="6">
        <f>IF(Benchmark2[[#This Row],[Comparable '#1 Date Check]]="Pass",INDEX(Comp1[Comparable '#1 Price],MATCH(Benchmark2[[#This Row],[Benchmark '#2 Dates]],Comp1[Comparable '#1 Dates],0)),"-")</f>
        <v>16</v>
      </c>
      <c r="H35" s="1" t="str">
        <f>IF(COUNTIF(Comp2[Comparable '#2 Dates],Benchmark2[[#This Row],[Benchmark '#2 Dates]])=1,"Pass","Fail")</f>
        <v>Pass</v>
      </c>
      <c r="I35" s="6">
        <f>IF(Benchmark2[[#This Row],[Comparable '#2 Date Check]]="Pass",INDEX(Comp2[Comparable '#2 Price],MATCH(Benchmark2[[#This Row],[Benchmark '#2 Dates]],Comp2[Comparable '#2 Dates],0)),"-")</f>
        <v>48.5</v>
      </c>
      <c r="J35" s="1" t="str">
        <f>IF(COUNTIF(Comp3[Comparable '#3 Dates],Benchmark2[[#This Row],[Benchmark '#2 Dates]])=1,"Pass","Fail")</f>
        <v>Pass</v>
      </c>
      <c r="K35" s="6">
        <f>IF(Benchmark2[[#This Row],[Comparable '#3 Date Check]]="Pass",INDEX(Comp3[Comparable '#3 Price],MATCH(Benchmark2[[#This Row],[Benchmark '#2 Dates]],Comp3[Comparable '#3 Dates],0)),"-")</f>
        <v>137.76</v>
      </c>
    </row>
    <row r="36" spans="1:11">
      <c r="A36" s="103">
        <v>43334</v>
      </c>
      <c r="B36" s="104">
        <v>12990.51</v>
      </c>
      <c r="C36" s="4">
        <f t="shared" si="0"/>
        <v>-4.8100474736311361E-4</v>
      </c>
      <c r="D36" s="1" t="str">
        <f>IF(COUNTIF(Target1[Target Dates],Benchmark2[[#This Row],[Benchmark '#2 Dates]])=1,"Pass","Fail")</f>
        <v>Pass</v>
      </c>
      <c r="E36" s="6">
        <f>IF(Benchmark2[[#This Row],[Target Date Check]]="Pass",INDEX(Target1[Target Price],MATCH(Benchmark2[[#This Row],[Benchmark '#2 Dates]],Target1[Target Dates],0)),"-")</f>
        <v>17.28</v>
      </c>
      <c r="F36" s="1" t="str">
        <f>IF(COUNTIF(Comp1[Comparable '#1 Dates],Benchmark2[[#This Row],[Benchmark '#2 Dates]])=1,"Pass","Fail")</f>
        <v>Pass</v>
      </c>
      <c r="G36" s="6">
        <f>IF(Benchmark2[[#This Row],[Comparable '#1 Date Check]]="Pass",INDEX(Comp1[Comparable '#1 Price],MATCH(Benchmark2[[#This Row],[Benchmark '#2 Dates]],Comp1[Comparable '#1 Dates],0)),"-")</f>
        <v>15.97</v>
      </c>
      <c r="H36" s="1" t="str">
        <f>IF(COUNTIF(Comp2[Comparable '#2 Dates],Benchmark2[[#This Row],[Benchmark '#2 Dates]])=1,"Pass","Fail")</f>
        <v>Pass</v>
      </c>
      <c r="I36" s="6">
        <f>IF(Benchmark2[[#This Row],[Comparable '#2 Date Check]]="Pass",INDEX(Comp2[Comparable '#2 Price],MATCH(Benchmark2[[#This Row],[Benchmark '#2 Dates]],Comp2[Comparable '#2 Dates],0)),"-")</f>
        <v>49.05</v>
      </c>
      <c r="J36" s="1" t="str">
        <f>IF(COUNTIF(Comp3[Comparable '#3 Dates],Benchmark2[[#This Row],[Benchmark '#2 Dates]])=1,"Pass","Fail")</f>
        <v>Pass</v>
      </c>
      <c r="K36" s="6">
        <f>IF(Benchmark2[[#This Row],[Comparable '#3 Date Check]]="Pass",INDEX(Comp3[Comparable '#3 Price],MATCH(Benchmark2[[#This Row],[Benchmark '#2 Dates]],Comp3[Comparable '#3 Dates],0)),"-")</f>
        <v>136.72999999999999</v>
      </c>
    </row>
    <row r="37" spans="1:11">
      <c r="A37" s="103">
        <v>43335</v>
      </c>
      <c r="B37" s="104">
        <v>12933.46</v>
      </c>
      <c r="C37" s="4">
        <f t="shared" si="0"/>
        <v>-4.4013391542014916E-3</v>
      </c>
      <c r="D37" s="1" t="str">
        <f>IF(COUNTIF(Target1[Target Dates],Benchmark2[[#This Row],[Benchmark '#2 Dates]])=1,"Pass","Fail")</f>
        <v>Pass</v>
      </c>
      <c r="E37" s="6">
        <f>IF(Benchmark2[[#This Row],[Target Date Check]]="Pass",INDEX(Target1[Target Price],MATCH(Benchmark2[[#This Row],[Benchmark '#2 Dates]],Target1[Target Dates],0)),"-")</f>
        <v>17.420000000000002</v>
      </c>
      <c r="F37" s="1" t="str">
        <f>IF(COUNTIF(Comp1[Comparable '#1 Dates],Benchmark2[[#This Row],[Benchmark '#2 Dates]])=1,"Pass","Fail")</f>
        <v>Pass</v>
      </c>
      <c r="G37" s="6">
        <f>IF(Benchmark2[[#This Row],[Comparable '#1 Date Check]]="Pass",INDEX(Comp1[Comparable '#1 Price],MATCH(Benchmark2[[#This Row],[Benchmark '#2 Dates]],Comp1[Comparable '#1 Dates],0)),"-")</f>
        <v>15.6</v>
      </c>
      <c r="H37" s="1" t="str">
        <f>IF(COUNTIF(Comp2[Comparable '#2 Dates],Benchmark2[[#This Row],[Benchmark '#2 Dates]])=1,"Pass","Fail")</f>
        <v>Pass</v>
      </c>
      <c r="I37" s="6">
        <f>IF(Benchmark2[[#This Row],[Comparable '#2 Date Check]]="Pass",INDEX(Comp2[Comparable '#2 Price],MATCH(Benchmark2[[#This Row],[Benchmark '#2 Dates]],Comp2[Comparable '#2 Dates],0)),"-")</f>
        <v>48.75</v>
      </c>
      <c r="J37" s="1" t="str">
        <f>IF(COUNTIF(Comp3[Comparable '#3 Dates],Benchmark2[[#This Row],[Benchmark '#2 Dates]])=1,"Pass","Fail")</f>
        <v>Pass</v>
      </c>
      <c r="K37" s="6">
        <f>IF(Benchmark2[[#This Row],[Comparable '#3 Date Check]]="Pass",INDEX(Comp3[Comparable '#3 Price],MATCH(Benchmark2[[#This Row],[Benchmark '#2 Dates]],Comp3[Comparable '#3 Dates],0)),"-")</f>
        <v>135.01</v>
      </c>
    </row>
    <row r="38" spans="1:11">
      <c r="A38" s="103">
        <v>43336</v>
      </c>
      <c r="B38" s="104">
        <v>12999.44</v>
      </c>
      <c r="C38" s="4">
        <f t="shared" si="0"/>
        <v>5.0885278830306493E-3</v>
      </c>
      <c r="D38" s="1" t="str">
        <f>IF(COUNTIF(Target1[Target Dates],Benchmark2[[#This Row],[Benchmark '#2 Dates]])=1,"Pass","Fail")</f>
        <v>Pass</v>
      </c>
      <c r="E38" s="6">
        <f>IF(Benchmark2[[#This Row],[Target Date Check]]="Pass",INDEX(Target1[Target Price],MATCH(Benchmark2[[#This Row],[Benchmark '#2 Dates]],Target1[Target Dates],0)),"-")</f>
        <v>17.47</v>
      </c>
      <c r="F38" s="1" t="str">
        <f>IF(COUNTIF(Comp1[Comparable '#1 Dates],Benchmark2[[#This Row],[Benchmark '#2 Dates]])=1,"Pass","Fail")</f>
        <v>Pass</v>
      </c>
      <c r="G38" s="6">
        <f>IF(Benchmark2[[#This Row],[Comparable '#1 Date Check]]="Pass",INDEX(Comp1[Comparable '#1 Price],MATCH(Benchmark2[[#This Row],[Benchmark '#2 Dates]],Comp1[Comparable '#1 Dates],0)),"-")</f>
        <v>15.59</v>
      </c>
      <c r="H38" s="1" t="str">
        <f>IF(COUNTIF(Comp2[Comparable '#2 Dates],Benchmark2[[#This Row],[Benchmark '#2 Dates]])=1,"Pass","Fail")</f>
        <v>Pass</v>
      </c>
      <c r="I38" s="6">
        <f>IF(Benchmark2[[#This Row],[Comparable '#2 Date Check]]="Pass",INDEX(Comp2[Comparable '#2 Price],MATCH(Benchmark2[[#This Row],[Benchmark '#2 Dates]],Comp2[Comparable '#2 Dates],0)),"-")</f>
        <v>48.7</v>
      </c>
      <c r="J38" s="1" t="str">
        <f>IF(COUNTIF(Comp3[Comparable '#3 Dates],Benchmark2[[#This Row],[Benchmark '#2 Dates]])=1,"Pass","Fail")</f>
        <v>Pass</v>
      </c>
      <c r="K38" s="6">
        <f>IF(Benchmark2[[#This Row],[Comparable '#3 Date Check]]="Pass",INDEX(Comp3[Comparable '#3 Price],MATCH(Benchmark2[[#This Row],[Benchmark '#2 Dates]],Comp3[Comparable '#3 Dates],0)),"-")</f>
        <v>136.01</v>
      </c>
    </row>
    <row r="39" spans="1:11">
      <c r="A39" s="103">
        <v>43339</v>
      </c>
      <c r="B39" s="104">
        <v>13102.03</v>
      </c>
      <c r="C39" s="4">
        <f t="shared" si="0"/>
        <v>7.8609004231998767E-3</v>
      </c>
      <c r="D39" s="1" t="str">
        <f>IF(COUNTIF(Target1[Target Dates],Benchmark2[[#This Row],[Benchmark '#2 Dates]])=1,"Pass","Fail")</f>
        <v>Pass</v>
      </c>
      <c r="E39" s="6">
        <f>IF(Benchmark2[[#This Row],[Target Date Check]]="Pass",INDEX(Target1[Target Price],MATCH(Benchmark2[[#This Row],[Benchmark '#2 Dates]],Target1[Target Dates],0)),"-")</f>
        <v>16.899999999999999</v>
      </c>
      <c r="F39" s="1" t="str">
        <f>IF(COUNTIF(Comp1[Comparable '#1 Dates],Benchmark2[[#This Row],[Benchmark '#2 Dates]])=1,"Pass","Fail")</f>
        <v>Pass</v>
      </c>
      <c r="G39" s="6">
        <f>IF(Benchmark2[[#This Row],[Comparable '#1 Date Check]]="Pass",INDEX(Comp1[Comparable '#1 Price],MATCH(Benchmark2[[#This Row],[Benchmark '#2 Dates]],Comp1[Comparable '#1 Dates],0)),"-")</f>
        <v>16.010000000000002</v>
      </c>
      <c r="H39" s="1" t="str">
        <f>IF(COUNTIF(Comp2[Comparable '#2 Dates],Benchmark2[[#This Row],[Benchmark '#2 Dates]])=1,"Pass","Fail")</f>
        <v>Pass</v>
      </c>
      <c r="I39" s="6">
        <f>IF(Benchmark2[[#This Row],[Comparable '#2 Date Check]]="Pass",INDEX(Comp2[Comparable '#2 Price],MATCH(Benchmark2[[#This Row],[Benchmark '#2 Dates]],Comp2[Comparable '#2 Dates],0)),"-")</f>
        <v>48.4</v>
      </c>
      <c r="J39" s="1" t="str">
        <f>IF(COUNTIF(Comp3[Comparable '#3 Dates],Benchmark2[[#This Row],[Benchmark '#2 Dates]])=1,"Pass","Fail")</f>
        <v>Pass</v>
      </c>
      <c r="K39" s="6">
        <f>IF(Benchmark2[[#This Row],[Comparable '#3 Date Check]]="Pass",INDEX(Comp3[Comparable '#3 Price],MATCH(Benchmark2[[#This Row],[Benchmark '#2 Dates]],Comp3[Comparable '#3 Dates],0)),"-")</f>
        <v>137.6</v>
      </c>
    </row>
    <row r="40" spans="1:11">
      <c r="A40" s="103">
        <v>43340</v>
      </c>
      <c r="B40" s="104">
        <v>13084.8</v>
      </c>
      <c r="C40" s="4">
        <f t="shared" si="0"/>
        <v>-1.3159288456365038E-3</v>
      </c>
      <c r="D40" s="1" t="str">
        <f>IF(COUNTIF(Target1[Target Dates],Benchmark2[[#This Row],[Benchmark '#2 Dates]])=1,"Pass","Fail")</f>
        <v>Pass</v>
      </c>
      <c r="E40" s="6">
        <f>IF(Benchmark2[[#This Row],[Target Date Check]]="Pass",INDEX(Target1[Target Price],MATCH(Benchmark2[[#This Row],[Benchmark '#2 Dates]],Target1[Target Dates],0)),"-")</f>
        <v>16.670000000000002</v>
      </c>
      <c r="F40" s="1" t="str">
        <f>IF(COUNTIF(Comp1[Comparable '#1 Dates],Benchmark2[[#This Row],[Benchmark '#2 Dates]])=1,"Pass","Fail")</f>
        <v>Pass</v>
      </c>
      <c r="G40" s="6">
        <f>IF(Benchmark2[[#This Row],[Comparable '#1 Date Check]]="Pass",INDEX(Comp1[Comparable '#1 Price],MATCH(Benchmark2[[#This Row],[Benchmark '#2 Dates]],Comp1[Comparable '#1 Dates],0)),"-")</f>
        <v>16</v>
      </c>
      <c r="H40" s="1" t="str">
        <f>IF(COUNTIF(Comp2[Comparable '#2 Dates],Benchmark2[[#This Row],[Benchmark '#2 Dates]])=1,"Pass","Fail")</f>
        <v>Pass</v>
      </c>
      <c r="I40" s="6">
        <f>IF(Benchmark2[[#This Row],[Comparable '#2 Date Check]]="Pass",INDEX(Comp2[Comparable '#2 Price],MATCH(Benchmark2[[#This Row],[Benchmark '#2 Dates]],Comp2[Comparable '#2 Dates],0)),"-")</f>
        <v>47.7</v>
      </c>
      <c r="J40" s="1" t="str">
        <f>IF(COUNTIF(Comp3[Comparable '#3 Dates],Benchmark2[[#This Row],[Benchmark '#2 Dates]])=1,"Pass","Fail")</f>
        <v>Pass</v>
      </c>
      <c r="K40" s="6">
        <f>IF(Benchmark2[[#This Row],[Comparable '#3 Date Check]]="Pass",INDEX(Comp3[Comparable '#3 Price],MATCH(Benchmark2[[#This Row],[Benchmark '#2 Dates]],Comp3[Comparable '#3 Dates],0)),"-")</f>
        <v>138.38</v>
      </c>
    </row>
    <row r="41" spans="1:11">
      <c r="A41" s="103">
        <v>43341</v>
      </c>
      <c r="B41" s="104">
        <v>13132.16</v>
      </c>
      <c r="C41" s="4">
        <f t="shared" si="0"/>
        <v>3.6129323550048919E-3</v>
      </c>
      <c r="D41" s="1" t="str">
        <f>IF(COUNTIF(Target1[Target Dates],Benchmark2[[#This Row],[Benchmark '#2 Dates]])=1,"Pass","Fail")</f>
        <v>Pass</v>
      </c>
      <c r="E41" s="6">
        <f>IF(Benchmark2[[#This Row],[Target Date Check]]="Pass",INDEX(Target1[Target Price],MATCH(Benchmark2[[#This Row],[Benchmark '#2 Dates]],Target1[Target Dates],0)),"-")</f>
        <v>16.62</v>
      </c>
      <c r="F41" s="1" t="str">
        <f>IF(COUNTIF(Comp1[Comparable '#1 Dates],Benchmark2[[#This Row],[Benchmark '#2 Dates]])=1,"Pass","Fail")</f>
        <v>Pass</v>
      </c>
      <c r="G41" s="6">
        <f>IF(Benchmark2[[#This Row],[Comparable '#1 Date Check]]="Pass",INDEX(Comp1[Comparable '#1 Price],MATCH(Benchmark2[[#This Row],[Benchmark '#2 Dates]],Comp1[Comparable '#1 Dates],0)),"-")</f>
        <v>16</v>
      </c>
      <c r="H41" s="1" t="str">
        <f>IF(COUNTIF(Comp2[Comparable '#2 Dates],Benchmark2[[#This Row],[Benchmark '#2 Dates]])=1,"Pass","Fail")</f>
        <v>Pass</v>
      </c>
      <c r="I41" s="6">
        <f>IF(Benchmark2[[#This Row],[Comparable '#2 Date Check]]="Pass",INDEX(Comp2[Comparable '#2 Price],MATCH(Benchmark2[[#This Row],[Benchmark '#2 Dates]],Comp2[Comparable '#2 Dates],0)),"-")</f>
        <v>47.7</v>
      </c>
      <c r="J41" s="1" t="str">
        <f>IF(COUNTIF(Comp3[Comparable '#3 Dates],Benchmark2[[#This Row],[Benchmark '#2 Dates]])=1,"Pass","Fail")</f>
        <v>Pass</v>
      </c>
      <c r="K41" s="6">
        <f>IF(Benchmark2[[#This Row],[Comparable '#3 Date Check]]="Pass",INDEX(Comp3[Comparable '#3 Price],MATCH(Benchmark2[[#This Row],[Benchmark '#2 Dates]],Comp3[Comparable '#3 Dates],0)),"-")</f>
        <v>137.38999999999999</v>
      </c>
    </row>
    <row r="42" spans="1:11">
      <c r="A42" s="103">
        <v>43342</v>
      </c>
      <c r="B42" s="104">
        <v>13039.93</v>
      </c>
      <c r="C42" s="4">
        <f t="shared" si="0"/>
        <v>-7.0479951572518552E-3</v>
      </c>
      <c r="D42" s="1" t="str">
        <f>IF(COUNTIF(Target1[Target Dates],Benchmark2[[#This Row],[Benchmark '#2 Dates]])=1,"Pass","Fail")</f>
        <v>Pass</v>
      </c>
      <c r="E42" s="6">
        <f>IF(Benchmark2[[#This Row],[Target Date Check]]="Pass",INDEX(Target1[Target Price],MATCH(Benchmark2[[#This Row],[Benchmark '#2 Dates]],Target1[Target Dates],0)),"-")</f>
        <v>16.440000000000001</v>
      </c>
      <c r="F42" s="1" t="str">
        <f>IF(COUNTIF(Comp1[Comparable '#1 Dates],Benchmark2[[#This Row],[Benchmark '#2 Dates]])=1,"Pass","Fail")</f>
        <v>Pass</v>
      </c>
      <c r="G42" s="6">
        <f>IF(Benchmark2[[#This Row],[Comparable '#1 Date Check]]="Pass",INDEX(Comp1[Comparable '#1 Price],MATCH(Benchmark2[[#This Row],[Benchmark '#2 Dates]],Comp1[Comparable '#1 Dates],0)),"-")</f>
        <v>15.85</v>
      </c>
      <c r="H42" s="1" t="str">
        <f>IF(COUNTIF(Comp2[Comparable '#2 Dates],Benchmark2[[#This Row],[Benchmark '#2 Dates]])=1,"Pass","Fail")</f>
        <v>Pass</v>
      </c>
      <c r="I42" s="6">
        <f>IF(Benchmark2[[#This Row],[Comparable '#2 Date Check]]="Pass",INDEX(Comp2[Comparable '#2 Price],MATCH(Benchmark2[[#This Row],[Benchmark '#2 Dates]],Comp2[Comparable '#2 Dates],0)),"-")</f>
        <v>47.8</v>
      </c>
      <c r="J42" s="1" t="str">
        <f>IF(COUNTIF(Comp3[Comparable '#3 Dates],Benchmark2[[#This Row],[Benchmark '#2 Dates]])=1,"Pass","Fail")</f>
        <v>Pass</v>
      </c>
      <c r="K42" s="6">
        <f>IF(Benchmark2[[#This Row],[Comparable '#3 Date Check]]="Pass",INDEX(Comp3[Comparable '#3 Price],MATCH(Benchmark2[[#This Row],[Benchmark '#2 Dates]],Comp3[Comparable '#3 Dates],0)),"-")</f>
        <v>137.04</v>
      </c>
    </row>
    <row r="43" spans="1:11">
      <c r="A43" s="103">
        <v>43343</v>
      </c>
      <c r="B43" s="104">
        <v>13016.89</v>
      </c>
      <c r="C43" s="4">
        <f t="shared" si="0"/>
        <v>-1.7684434251449583E-3</v>
      </c>
      <c r="D43" s="1" t="str">
        <f>IF(COUNTIF(Target1[Target Dates],Benchmark2[[#This Row],[Benchmark '#2 Dates]])=1,"Pass","Fail")</f>
        <v>Pass</v>
      </c>
      <c r="E43" s="6">
        <f>IF(Benchmark2[[#This Row],[Target Date Check]]="Pass",INDEX(Target1[Target Price],MATCH(Benchmark2[[#This Row],[Benchmark '#2 Dates]],Target1[Target Dates],0)),"-")</f>
        <v>16.559999999999999</v>
      </c>
      <c r="F43" s="1" t="str">
        <f>IF(COUNTIF(Comp1[Comparable '#1 Dates],Benchmark2[[#This Row],[Benchmark '#2 Dates]])=1,"Pass","Fail")</f>
        <v>Pass</v>
      </c>
      <c r="G43" s="6">
        <f>IF(Benchmark2[[#This Row],[Comparable '#1 Date Check]]="Pass",INDEX(Comp1[Comparable '#1 Price],MATCH(Benchmark2[[#This Row],[Benchmark '#2 Dates]],Comp1[Comparable '#1 Dates],0)),"-")</f>
        <v>15.97</v>
      </c>
      <c r="H43" s="1" t="str">
        <f>IF(COUNTIF(Comp2[Comparable '#2 Dates],Benchmark2[[#This Row],[Benchmark '#2 Dates]])=1,"Pass","Fail")</f>
        <v>Pass</v>
      </c>
      <c r="I43" s="6">
        <f>IF(Benchmark2[[#This Row],[Comparable '#2 Date Check]]="Pass",INDEX(Comp2[Comparable '#2 Price],MATCH(Benchmark2[[#This Row],[Benchmark '#2 Dates]],Comp2[Comparable '#2 Dates],0)),"-")</f>
        <v>47.85</v>
      </c>
      <c r="J43" s="1" t="str">
        <f>IF(COUNTIF(Comp3[Comparable '#3 Dates],Benchmark2[[#This Row],[Benchmark '#2 Dates]])=1,"Pass","Fail")</f>
        <v>Pass</v>
      </c>
      <c r="K43" s="6">
        <f>IF(Benchmark2[[#This Row],[Comparable '#3 Date Check]]="Pass",INDEX(Comp3[Comparable '#3 Price],MATCH(Benchmark2[[#This Row],[Benchmark '#2 Dates]],Comp3[Comparable '#3 Dates],0)),"-")</f>
        <v>138.77000000000001</v>
      </c>
    </row>
    <row r="44" spans="1:11">
      <c r="A44" s="103">
        <v>43347</v>
      </c>
      <c r="B44" s="104">
        <v>12969.86</v>
      </c>
      <c r="C44" s="4">
        <f t="shared" si="0"/>
        <v>-3.619540831022507E-3</v>
      </c>
      <c r="D44" s="1" t="str">
        <f>IF(COUNTIF(Target1[Target Dates],Benchmark2[[#This Row],[Benchmark '#2 Dates]])=1,"Pass","Fail")</f>
        <v>Pass</v>
      </c>
      <c r="E44" s="6">
        <f>IF(Benchmark2[[#This Row],[Target Date Check]]="Pass",INDEX(Target1[Target Price],MATCH(Benchmark2[[#This Row],[Benchmark '#2 Dates]],Target1[Target Dates],0)),"-")</f>
        <v>16.440000000000001</v>
      </c>
      <c r="F44" s="1" t="str">
        <f>IF(COUNTIF(Comp1[Comparable '#1 Dates],Benchmark2[[#This Row],[Benchmark '#2 Dates]])=1,"Pass","Fail")</f>
        <v>Pass</v>
      </c>
      <c r="G44" s="6">
        <f>IF(Benchmark2[[#This Row],[Comparable '#1 Date Check]]="Pass",INDEX(Comp1[Comparable '#1 Price],MATCH(Benchmark2[[#This Row],[Benchmark '#2 Dates]],Comp1[Comparable '#1 Dates],0)),"-")</f>
        <v>15.71</v>
      </c>
      <c r="H44" s="1" t="str">
        <f>IF(COUNTIF(Comp2[Comparable '#2 Dates],Benchmark2[[#This Row],[Benchmark '#2 Dates]])=1,"Pass","Fail")</f>
        <v>Pass</v>
      </c>
      <c r="I44" s="6">
        <f>IF(Benchmark2[[#This Row],[Comparable '#2 Date Check]]="Pass",INDEX(Comp2[Comparable '#2 Price],MATCH(Benchmark2[[#This Row],[Benchmark '#2 Dates]],Comp2[Comparable '#2 Dates],0)),"-")</f>
        <v>47.75</v>
      </c>
      <c r="J44" s="1" t="str">
        <f>IF(COUNTIF(Comp3[Comparable '#3 Dates],Benchmark2[[#This Row],[Benchmark '#2 Dates]])=1,"Pass","Fail")</f>
        <v>Pass</v>
      </c>
      <c r="K44" s="6">
        <f>IF(Benchmark2[[#This Row],[Comparable '#3 Date Check]]="Pass",INDEX(Comp3[Comparable '#3 Price],MATCH(Benchmark2[[#This Row],[Benchmark '#2 Dates]],Comp3[Comparable '#3 Dates],0)),"-")</f>
        <v>135.77000000000001</v>
      </c>
    </row>
    <row r="45" spans="1:11">
      <c r="A45" s="103">
        <v>43348</v>
      </c>
      <c r="B45" s="104">
        <v>12968.55</v>
      </c>
      <c r="C45" s="4">
        <f t="shared" si="0"/>
        <v>-1.010085044623549E-4</v>
      </c>
      <c r="D45" s="1" t="str">
        <f>IF(COUNTIF(Target1[Target Dates],Benchmark2[[#This Row],[Benchmark '#2 Dates]])=1,"Pass","Fail")</f>
        <v>Pass</v>
      </c>
      <c r="E45" s="6">
        <f>IF(Benchmark2[[#This Row],[Target Date Check]]="Pass",INDEX(Target1[Target Price],MATCH(Benchmark2[[#This Row],[Benchmark '#2 Dates]],Target1[Target Dates],0)),"-")</f>
        <v>16.66</v>
      </c>
      <c r="F45" s="1" t="str">
        <f>IF(COUNTIF(Comp1[Comparable '#1 Dates],Benchmark2[[#This Row],[Benchmark '#2 Dates]])=1,"Pass","Fail")</f>
        <v>Pass</v>
      </c>
      <c r="G45" s="6">
        <f>IF(Benchmark2[[#This Row],[Comparable '#1 Date Check]]="Pass",INDEX(Comp1[Comparable '#1 Price],MATCH(Benchmark2[[#This Row],[Benchmark '#2 Dates]],Comp1[Comparable '#1 Dates],0)),"-")</f>
        <v>15.32</v>
      </c>
      <c r="H45" s="1" t="str">
        <f>IF(COUNTIF(Comp2[Comparable '#2 Dates],Benchmark2[[#This Row],[Benchmark '#2 Dates]])=1,"Pass","Fail")</f>
        <v>Pass</v>
      </c>
      <c r="I45" s="6">
        <f>IF(Benchmark2[[#This Row],[Comparable '#2 Date Check]]="Pass",INDEX(Comp2[Comparable '#2 Price],MATCH(Benchmark2[[#This Row],[Benchmark '#2 Dates]],Comp2[Comparable '#2 Dates],0)),"-")</f>
        <v>47.75</v>
      </c>
      <c r="J45" s="1" t="str">
        <f>IF(COUNTIF(Comp3[Comparable '#3 Dates],Benchmark2[[#This Row],[Benchmark '#2 Dates]])=1,"Pass","Fail")</f>
        <v>Pass</v>
      </c>
      <c r="K45" s="6">
        <f>IF(Benchmark2[[#This Row],[Comparable '#3 Date Check]]="Pass",INDEX(Comp3[Comparable '#3 Price],MATCH(Benchmark2[[#This Row],[Benchmark '#2 Dates]],Comp3[Comparable '#3 Dates],0)),"-")</f>
        <v>136.62</v>
      </c>
    </row>
    <row r="46" spans="1:11">
      <c r="A46" s="103">
        <v>43349</v>
      </c>
      <c r="B46" s="104">
        <v>12938.91</v>
      </c>
      <c r="C46" s="4">
        <f t="shared" si="0"/>
        <v>-2.2881450309639702E-3</v>
      </c>
      <c r="D46" s="1" t="str">
        <f>IF(COUNTIF(Target1[Target Dates],Benchmark2[[#This Row],[Benchmark '#2 Dates]])=1,"Pass","Fail")</f>
        <v>Pass</v>
      </c>
      <c r="E46" s="6">
        <f>IF(Benchmark2[[#This Row],[Target Date Check]]="Pass",INDEX(Target1[Target Price],MATCH(Benchmark2[[#This Row],[Benchmark '#2 Dates]],Target1[Target Dates],0)),"-")</f>
        <v>16.95</v>
      </c>
      <c r="F46" s="1" t="str">
        <f>IF(COUNTIF(Comp1[Comparable '#1 Dates],Benchmark2[[#This Row],[Benchmark '#2 Dates]])=1,"Pass","Fail")</f>
        <v>Pass</v>
      </c>
      <c r="G46" s="6">
        <f>IF(Benchmark2[[#This Row],[Comparable '#1 Date Check]]="Pass",INDEX(Comp1[Comparable '#1 Price],MATCH(Benchmark2[[#This Row],[Benchmark '#2 Dates]],Comp1[Comparable '#1 Dates],0)),"-")</f>
        <v>15.22</v>
      </c>
      <c r="H46" s="1" t="str">
        <f>IF(COUNTIF(Comp2[Comparable '#2 Dates],Benchmark2[[#This Row],[Benchmark '#2 Dates]])=1,"Pass","Fail")</f>
        <v>Pass</v>
      </c>
      <c r="I46" s="6">
        <f>IF(Benchmark2[[#This Row],[Comparable '#2 Date Check]]="Pass",INDEX(Comp2[Comparable '#2 Price],MATCH(Benchmark2[[#This Row],[Benchmark '#2 Dates]],Comp2[Comparable '#2 Dates],0)),"-")</f>
        <v>46.55</v>
      </c>
      <c r="J46" s="1" t="str">
        <f>IF(COUNTIF(Comp3[Comparable '#3 Dates],Benchmark2[[#This Row],[Benchmark '#2 Dates]])=1,"Pass","Fail")</f>
        <v>Pass</v>
      </c>
      <c r="K46" s="6">
        <f>IF(Benchmark2[[#This Row],[Comparable '#3 Date Check]]="Pass",INDEX(Comp3[Comparable '#3 Price],MATCH(Benchmark2[[#This Row],[Benchmark '#2 Dates]],Comp3[Comparable '#3 Dates],0)),"-")</f>
        <v>134.41</v>
      </c>
    </row>
    <row r="47" spans="1:11">
      <c r="A47" s="103">
        <v>43350</v>
      </c>
      <c r="B47" s="104">
        <v>12911.12</v>
      </c>
      <c r="C47" s="4">
        <f t="shared" si="0"/>
        <v>-2.1500950448324354E-3</v>
      </c>
      <c r="D47" s="1" t="str">
        <f>IF(COUNTIF(Target1[Target Dates],Benchmark2[[#This Row],[Benchmark '#2 Dates]])=1,"Pass","Fail")</f>
        <v>Pass</v>
      </c>
      <c r="E47" s="6">
        <f>IF(Benchmark2[[#This Row],[Target Date Check]]="Pass",INDEX(Target1[Target Price],MATCH(Benchmark2[[#This Row],[Benchmark '#2 Dates]],Target1[Target Dates],0)),"-")</f>
        <v>16.920000000000002</v>
      </c>
      <c r="F47" s="1" t="str">
        <f>IF(COUNTIF(Comp1[Comparable '#1 Dates],Benchmark2[[#This Row],[Benchmark '#2 Dates]])=1,"Pass","Fail")</f>
        <v>Pass</v>
      </c>
      <c r="G47" s="6">
        <f>IF(Benchmark2[[#This Row],[Comparable '#1 Date Check]]="Pass",INDEX(Comp1[Comparable '#1 Price],MATCH(Benchmark2[[#This Row],[Benchmark '#2 Dates]],Comp1[Comparable '#1 Dates],0)),"-")</f>
        <v>15.35</v>
      </c>
      <c r="H47" s="1" t="str">
        <f>IF(COUNTIF(Comp2[Comparable '#2 Dates],Benchmark2[[#This Row],[Benchmark '#2 Dates]])=1,"Pass","Fail")</f>
        <v>Pass</v>
      </c>
      <c r="I47" s="6">
        <f>IF(Benchmark2[[#This Row],[Comparable '#2 Date Check]]="Pass",INDEX(Comp2[Comparable '#2 Price],MATCH(Benchmark2[[#This Row],[Benchmark '#2 Dates]],Comp2[Comparable '#2 Dates],0)),"-")</f>
        <v>46</v>
      </c>
      <c r="J47" s="1" t="str">
        <f>IF(COUNTIF(Comp3[Comparable '#3 Dates],Benchmark2[[#This Row],[Benchmark '#2 Dates]])=1,"Pass","Fail")</f>
        <v>Pass</v>
      </c>
      <c r="K47" s="6">
        <f>IF(Benchmark2[[#This Row],[Comparable '#3 Date Check]]="Pass",INDEX(Comp3[Comparable '#3 Price],MATCH(Benchmark2[[#This Row],[Benchmark '#2 Dates]],Comp3[Comparable '#3 Dates],0)),"-")</f>
        <v>132.94999999999999</v>
      </c>
    </row>
    <row r="48" spans="1:11">
      <c r="A48" s="103">
        <v>43353</v>
      </c>
      <c r="B48" s="104">
        <v>12928.67</v>
      </c>
      <c r="C48" s="4">
        <f t="shared" si="0"/>
        <v>1.3583703813815958E-3</v>
      </c>
      <c r="D48" s="1" t="str">
        <f>IF(COUNTIF(Target1[Target Dates],Benchmark2[[#This Row],[Benchmark '#2 Dates]])=1,"Pass","Fail")</f>
        <v>Pass</v>
      </c>
      <c r="E48" s="6">
        <f>IF(Benchmark2[[#This Row],[Target Date Check]]="Pass",INDEX(Target1[Target Price],MATCH(Benchmark2[[#This Row],[Benchmark '#2 Dates]],Target1[Target Dates],0)),"-")</f>
        <v>16.66</v>
      </c>
      <c r="F48" s="1" t="str">
        <f>IF(COUNTIF(Comp1[Comparable '#1 Dates],Benchmark2[[#This Row],[Benchmark '#2 Dates]])=1,"Pass","Fail")</f>
        <v>Pass</v>
      </c>
      <c r="G48" s="6">
        <f>IF(Benchmark2[[#This Row],[Comparable '#1 Date Check]]="Pass",INDEX(Comp1[Comparable '#1 Price],MATCH(Benchmark2[[#This Row],[Benchmark '#2 Dates]],Comp1[Comparable '#1 Dates],0)),"-")</f>
        <v>15.12</v>
      </c>
      <c r="H48" s="1" t="str">
        <f>IF(COUNTIF(Comp2[Comparable '#2 Dates],Benchmark2[[#This Row],[Benchmark '#2 Dates]])=1,"Pass","Fail")</f>
        <v>Pass</v>
      </c>
      <c r="I48" s="6">
        <f>IF(Benchmark2[[#This Row],[Comparable '#2 Date Check]]="Pass",INDEX(Comp2[Comparable '#2 Price],MATCH(Benchmark2[[#This Row],[Benchmark '#2 Dates]],Comp2[Comparable '#2 Dates],0)),"-")</f>
        <v>45.25</v>
      </c>
      <c r="J48" s="1" t="str">
        <f>IF(COUNTIF(Comp3[Comparable '#3 Dates],Benchmark2[[#This Row],[Benchmark '#2 Dates]])=1,"Pass","Fail")</f>
        <v>Pass</v>
      </c>
      <c r="K48" s="6">
        <f>IF(Benchmark2[[#This Row],[Comparable '#3 Date Check]]="Pass",INDEX(Comp3[Comparable '#3 Price],MATCH(Benchmark2[[#This Row],[Benchmark '#2 Dates]],Comp3[Comparable '#3 Dates],0)),"-")</f>
        <v>135.26</v>
      </c>
    </row>
    <row r="49" spans="1:11">
      <c r="A49" s="103">
        <v>43354</v>
      </c>
      <c r="B49" s="104">
        <v>12952.3</v>
      </c>
      <c r="C49" s="4">
        <f t="shared" si="0"/>
        <v>1.8260526221483423E-3</v>
      </c>
      <c r="D49" s="1" t="str">
        <f>IF(COUNTIF(Target1[Target Dates],Benchmark2[[#This Row],[Benchmark '#2 Dates]])=1,"Pass","Fail")</f>
        <v>Pass</v>
      </c>
      <c r="E49" s="6">
        <f>IF(Benchmark2[[#This Row],[Target Date Check]]="Pass",INDEX(Target1[Target Price],MATCH(Benchmark2[[#This Row],[Benchmark '#2 Dates]],Target1[Target Dates],0)),"-")</f>
        <v>16.670000000000002</v>
      </c>
      <c r="F49" s="1" t="str">
        <f>IF(COUNTIF(Comp1[Comparable '#1 Dates],Benchmark2[[#This Row],[Benchmark '#2 Dates]])=1,"Pass","Fail")</f>
        <v>Pass</v>
      </c>
      <c r="G49" s="6">
        <f>IF(Benchmark2[[#This Row],[Comparable '#1 Date Check]]="Pass",INDEX(Comp1[Comparable '#1 Price],MATCH(Benchmark2[[#This Row],[Benchmark '#2 Dates]],Comp1[Comparable '#1 Dates],0)),"-")</f>
        <v>15.31</v>
      </c>
      <c r="H49" s="1" t="str">
        <f>IF(COUNTIF(Comp2[Comparable '#2 Dates],Benchmark2[[#This Row],[Benchmark '#2 Dates]])=1,"Pass","Fail")</f>
        <v>Pass</v>
      </c>
      <c r="I49" s="6">
        <f>IF(Benchmark2[[#This Row],[Comparable '#2 Date Check]]="Pass",INDEX(Comp2[Comparable '#2 Price],MATCH(Benchmark2[[#This Row],[Benchmark '#2 Dates]],Comp2[Comparable '#2 Dates],0)),"-")</f>
        <v>45.3</v>
      </c>
      <c r="J49" s="1" t="str">
        <f>IF(COUNTIF(Comp3[Comparable '#3 Dates],Benchmark2[[#This Row],[Benchmark '#2 Dates]])=1,"Pass","Fail")</f>
        <v>Pass</v>
      </c>
      <c r="K49" s="6">
        <f>IF(Benchmark2[[#This Row],[Comparable '#3 Date Check]]="Pass",INDEX(Comp3[Comparable '#3 Price],MATCH(Benchmark2[[#This Row],[Benchmark '#2 Dates]],Comp3[Comparable '#3 Dates],0)),"-")</f>
        <v>134.94</v>
      </c>
    </row>
    <row r="50" spans="1:11">
      <c r="A50" s="103">
        <v>43355</v>
      </c>
      <c r="B50" s="104">
        <v>12990.1</v>
      </c>
      <c r="C50" s="4">
        <f t="shared" si="0"/>
        <v>2.9141503292413316E-3</v>
      </c>
      <c r="D50" s="1" t="str">
        <f>IF(COUNTIF(Target1[Target Dates],Benchmark2[[#This Row],[Benchmark '#2 Dates]])=1,"Pass","Fail")</f>
        <v>Pass</v>
      </c>
      <c r="E50" s="6">
        <f>IF(Benchmark2[[#This Row],[Target Date Check]]="Pass",INDEX(Target1[Target Price],MATCH(Benchmark2[[#This Row],[Benchmark '#2 Dates]],Target1[Target Dates],0)),"-")</f>
        <v>16.5</v>
      </c>
      <c r="F50" s="1" t="str">
        <f>IF(COUNTIF(Comp1[Comparable '#1 Dates],Benchmark2[[#This Row],[Benchmark '#2 Dates]])=1,"Pass","Fail")</f>
        <v>Pass</v>
      </c>
      <c r="G50" s="6">
        <f>IF(Benchmark2[[#This Row],[Comparable '#1 Date Check]]="Pass",INDEX(Comp1[Comparable '#1 Price],MATCH(Benchmark2[[#This Row],[Benchmark '#2 Dates]],Comp1[Comparable '#1 Dates],0)),"-")</f>
        <v>15.54</v>
      </c>
      <c r="H50" s="1" t="str">
        <f>IF(COUNTIF(Comp2[Comparable '#2 Dates],Benchmark2[[#This Row],[Benchmark '#2 Dates]])=1,"Pass","Fail")</f>
        <v>Pass</v>
      </c>
      <c r="I50" s="6">
        <f>IF(Benchmark2[[#This Row],[Comparable '#2 Date Check]]="Pass",INDEX(Comp2[Comparable '#2 Price],MATCH(Benchmark2[[#This Row],[Benchmark '#2 Dates]],Comp2[Comparable '#2 Dates],0)),"-")</f>
        <v>44.5</v>
      </c>
      <c r="J50" s="1" t="str">
        <f>IF(COUNTIF(Comp3[Comparable '#3 Dates],Benchmark2[[#This Row],[Benchmark '#2 Dates]])=1,"Pass","Fail")</f>
        <v>Pass</v>
      </c>
      <c r="K50" s="6">
        <f>IF(Benchmark2[[#This Row],[Comparable '#3 Date Check]]="Pass",INDEX(Comp3[Comparable '#3 Price],MATCH(Benchmark2[[#This Row],[Benchmark '#2 Dates]],Comp3[Comparable '#3 Dates],0)),"-")</f>
        <v>134.97999999999999</v>
      </c>
    </row>
    <row r="51" spans="1:11">
      <c r="A51" s="103">
        <v>43356</v>
      </c>
      <c r="B51" s="104">
        <v>13034.61</v>
      </c>
      <c r="C51" s="4">
        <f t="shared" si="0"/>
        <v>3.4205986079443476E-3</v>
      </c>
      <c r="D51" s="1" t="str">
        <f>IF(COUNTIF(Target1[Target Dates],Benchmark2[[#This Row],[Benchmark '#2 Dates]])=1,"Pass","Fail")</f>
        <v>Pass</v>
      </c>
      <c r="E51" s="6">
        <f>IF(Benchmark2[[#This Row],[Target Date Check]]="Pass",INDEX(Target1[Target Price],MATCH(Benchmark2[[#This Row],[Benchmark '#2 Dates]],Target1[Target Dates],0)),"-")</f>
        <v>16.920000000000002</v>
      </c>
      <c r="F51" s="1" t="str">
        <f>IF(COUNTIF(Comp1[Comparable '#1 Dates],Benchmark2[[#This Row],[Benchmark '#2 Dates]])=1,"Pass","Fail")</f>
        <v>Pass</v>
      </c>
      <c r="G51" s="6">
        <f>IF(Benchmark2[[#This Row],[Comparable '#1 Date Check]]="Pass",INDEX(Comp1[Comparable '#1 Price],MATCH(Benchmark2[[#This Row],[Benchmark '#2 Dates]],Comp1[Comparable '#1 Dates],0)),"-")</f>
        <v>15.38</v>
      </c>
      <c r="H51" s="1" t="str">
        <f>IF(COUNTIF(Comp2[Comparable '#2 Dates],Benchmark2[[#This Row],[Benchmark '#2 Dates]])=1,"Pass","Fail")</f>
        <v>Pass</v>
      </c>
      <c r="I51" s="6">
        <f>IF(Benchmark2[[#This Row],[Comparable '#2 Date Check]]="Pass",INDEX(Comp2[Comparable '#2 Price],MATCH(Benchmark2[[#This Row],[Benchmark '#2 Dates]],Comp2[Comparable '#2 Dates],0)),"-")</f>
        <v>44.85</v>
      </c>
      <c r="J51" s="1" t="str">
        <f>IF(COUNTIF(Comp3[Comparable '#3 Dates],Benchmark2[[#This Row],[Benchmark '#2 Dates]])=1,"Pass","Fail")</f>
        <v>Pass</v>
      </c>
      <c r="K51" s="6">
        <f>IF(Benchmark2[[#This Row],[Comparable '#3 Date Check]]="Pass",INDEX(Comp3[Comparable '#3 Price],MATCH(Benchmark2[[#This Row],[Benchmark '#2 Dates]],Comp3[Comparable '#3 Dates],0)),"-")</f>
        <v>136.57</v>
      </c>
    </row>
    <row r="52" spans="1:11">
      <c r="A52" s="103">
        <v>43357</v>
      </c>
      <c r="B52" s="104">
        <v>13050.52</v>
      </c>
      <c r="C52" s="4">
        <f t="shared" si="0"/>
        <v>1.2198522279085633E-3</v>
      </c>
      <c r="D52" s="1" t="str">
        <f>IF(COUNTIF(Target1[Target Dates],Benchmark2[[#This Row],[Benchmark '#2 Dates]])=1,"Pass","Fail")</f>
        <v>Pass</v>
      </c>
      <c r="E52" s="6">
        <f>IF(Benchmark2[[#This Row],[Target Date Check]]="Pass",INDEX(Target1[Target Price],MATCH(Benchmark2[[#This Row],[Benchmark '#2 Dates]],Target1[Target Dates],0)),"-")</f>
        <v>17.170000000000002</v>
      </c>
      <c r="F52" s="1" t="str">
        <f>IF(COUNTIF(Comp1[Comparable '#1 Dates],Benchmark2[[#This Row],[Benchmark '#2 Dates]])=1,"Pass","Fail")</f>
        <v>Pass</v>
      </c>
      <c r="G52" s="6">
        <f>IF(Benchmark2[[#This Row],[Comparable '#1 Date Check]]="Pass",INDEX(Comp1[Comparable '#1 Price],MATCH(Benchmark2[[#This Row],[Benchmark '#2 Dates]],Comp1[Comparable '#1 Dates],0)),"-")</f>
        <v>15.34</v>
      </c>
      <c r="H52" s="1" t="str">
        <f>IF(COUNTIF(Comp2[Comparable '#2 Dates],Benchmark2[[#This Row],[Benchmark '#2 Dates]])=1,"Pass","Fail")</f>
        <v>Pass</v>
      </c>
      <c r="I52" s="6">
        <f>IF(Benchmark2[[#This Row],[Comparable '#2 Date Check]]="Pass",INDEX(Comp2[Comparable '#2 Price],MATCH(Benchmark2[[#This Row],[Benchmark '#2 Dates]],Comp2[Comparable '#2 Dates],0)),"-")</f>
        <v>44.85</v>
      </c>
      <c r="J52" s="1" t="str">
        <f>IF(COUNTIF(Comp3[Comparable '#3 Dates],Benchmark2[[#This Row],[Benchmark '#2 Dates]])=1,"Pass","Fail")</f>
        <v>Pass</v>
      </c>
      <c r="K52" s="6">
        <f>IF(Benchmark2[[#This Row],[Comparable '#3 Date Check]]="Pass",INDEX(Comp3[Comparable '#3 Price],MATCH(Benchmark2[[#This Row],[Benchmark '#2 Dates]],Comp3[Comparable '#3 Dates],0)),"-")</f>
        <v>138.22</v>
      </c>
    </row>
    <row r="53" spans="1:11">
      <c r="A53" s="103">
        <v>43360</v>
      </c>
      <c r="B53" s="104">
        <v>13031.91</v>
      </c>
      <c r="C53" s="4">
        <f t="shared" si="0"/>
        <v>-1.4270145195882222E-3</v>
      </c>
      <c r="D53" s="1" t="str">
        <f>IF(COUNTIF(Target1[Target Dates],Benchmark2[[#This Row],[Benchmark '#2 Dates]])=1,"Pass","Fail")</f>
        <v>Pass</v>
      </c>
      <c r="E53" s="6">
        <f>IF(Benchmark2[[#This Row],[Target Date Check]]="Pass",INDEX(Target1[Target Price],MATCH(Benchmark2[[#This Row],[Benchmark '#2 Dates]],Target1[Target Dates],0)),"-")</f>
        <v>17</v>
      </c>
      <c r="F53" s="1" t="str">
        <f>IF(COUNTIF(Comp1[Comparable '#1 Dates],Benchmark2[[#This Row],[Benchmark '#2 Dates]])=1,"Pass","Fail")</f>
        <v>Pass</v>
      </c>
      <c r="G53" s="6">
        <f>IF(Benchmark2[[#This Row],[Comparable '#1 Date Check]]="Pass",INDEX(Comp1[Comparable '#1 Price],MATCH(Benchmark2[[#This Row],[Benchmark '#2 Dates]],Comp1[Comparable '#1 Dates],0)),"-")</f>
        <v>15.55</v>
      </c>
      <c r="H53" s="1" t="str">
        <f>IF(COUNTIF(Comp2[Comparable '#2 Dates],Benchmark2[[#This Row],[Benchmark '#2 Dates]])=1,"Pass","Fail")</f>
        <v>Pass</v>
      </c>
      <c r="I53" s="6">
        <f>IF(Benchmark2[[#This Row],[Comparable '#2 Date Check]]="Pass",INDEX(Comp2[Comparable '#2 Price],MATCH(Benchmark2[[#This Row],[Benchmark '#2 Dates]],Comp2[Comparable '#2 Dates],0)),"-")</f>
        <v>44.65</v>
      </c>
      <c r="J53" s="1" t="str">
        <f>IF(COUNTIF(Comp3[Comparable '#3 Dates],Benchmark2[[#This Row],[Benchmark '#2 Dates]])=1,"Pass","Fail")</f>
        <v>Pass</v>
      </c>
      <c r="K53" s="6">
        <f>IF(Benchmark2[[#This Row],[Comparable '#3 Date Check]]="Pass",INDEX(Comp3[Comparable '#3 Price],MATCH(Benchmark2[[#This Row],[Benchmark '#2 Dates]],Comp3[Comparable '#3 Dates],0)),"-")</f>
        <v>136.69999999999999</v>
      </c>
    </row>
    <row r="54" spans="1:11">
      <c r="A54" s="103">
        <v>43361</v>
      </c>
      <c r="B54" s="104">
        <v>13091.98</v>
      </c>
      <c r="C54" s="4">
        <f t="shared" si="0"/>
        <v>4.5988637887447942E-3</v>
      </c>
      <c r="D54" s="1" t="str">
        <f>IF(COUNTIF(Target1[Target Dates],Benchmark2[[#This Row],[Benchmark '#2 Dates]])=1,"Pass","Fail")</f>
        <v>Pass</v>
      </c>
      <c r="E54" s="6">
        <f>IF(Benchmark2[[#This Row],[Target Date Check]]="Pass",INDEX(Target1[Target Price],MATCH(Benchmark2[[#This Row],[Benchmark '#2 Dates]],Target1[Target Dates],0)),"-")</f>
        <v>17.29</v>
      </c>
      <c r="F54" s="1" t="str">
        <f>IF(COUNTIF(Comp1[Comparable '#1 Dates],Benchmark2[[#This Row],[Benchmark '#2 Dates]])=1,"Pass","Fail")</f>
        <v>Pass</v>
      </c>
      <c r="G54" s="6">
        <f>IF(Benchmark2[[#This Row],[Comparable '#1 Date Check]]="Pass",INDEX(Comp1[Comparable '#1 Price],MATCH(Benchmark2[[#This Row],[Benchmark '#2 Dates]],Comp1[Comparable '#1 Dates],0)),"-")</f>
        <v>15.72</v>
      </c>
      <c r="H54" s="1" t="str">
        <f>IF(COUNTIF(Comp2[Comparable '#2 Dates],Benchmark2[[#This Row],[Benchmark '#2 Dates]])=1,"Pass","Fail")</f>
        <v>Pass</v>
      </c>
      <c r="I54" s="6">
        <f>IF(Benchmark2[[#This Row],[Comparable '#2 Date Check]]="Pass",INDEX(Comp2[Comparable '#2 Price],MATCH(Benchmark2[[#This Row],[Benchmark '#2 Dates]],Comp2[Comparable '#2 Dates],0)),"-")</f>
        <v>44.85</v>
      </c>
      <c r="J54" s="1" t="str">
        <f>IF(COUNTIF(Comp3[Comparable '#3 Dates],Benchmark2[[#This Row],[Benchmark '#2 Dates]])=1,"Pass","Fail")</f>
        <v>Pass</v>
      </c>
      <c r="K54" s="6">
        <f>IF(Benchmark2[[#This Row],[Comparable '#3 Date Check]]="Pass",INDEX(Comp3[Comparable '#3 Price],MATCH(Benchmark2[[#This Row],[Benchmark '#2 Dates]],Comp3[Comparable '#3 Dates],0)),"-")</f>
        <v>134.87</v>
      </c>
    </row>
    <row r="55" spans="1:11">
      <c r="A55" s="103">
        <v>43362</v>
      </c>
      <c r="B55" s="104">
        <v>13121.97</v>
      </c>
      <c r="C55" s="4">
        <f t="shared" si="0"/>
        <v>2.2880956959245055E-3</v>
      </c>
      <c r="D55" s="1" t="str">
        <f>IF(COUNTIF(Target1[Target Dates],Benchmark2[[#This Row],[Benchmark '#2 Dates]])=1,"Pass","Fail")</f>
        <v>Pass</v>
      </c>
      <c r="E55" s="6">
        <f>IF(Benchmark2[[#This Row],[Target Date Check]]="Pass",INDEX(Target1[Target Price],MATCH(Benchmark2[[#This Row],[Benchmark '#2 Dates]],Target1[Target Dates],0)),"-")</f>
        <v>17.559999999999999</v>
      </c>
      <c r="F55" s="1" t="str">
        <f>IF(COUNTIF(Comp1[Comparable '#1 Dates],Benchmark2[[#This Row],[Benchmark '#2 Dates]])=1,"Pass","Fail")</f>
        <v>Pass</v>
      </c>
      <c r="G55" s="6">
        <f>IF(Benchmark2[[#This Row],[Comparable '#1 Date Check]]="Pass",INDEX(Comp1[Comparable '#1 Price],MATCH(Benchmark2[[#This Row],[Benchmark '#2 Dates]],Comp1[Comparable '#1 Dates],0)),"-")</f>
        <v>15.81</v>
      </c>
      <c r="H55" s="1" t="str">
        <f>IF(COUNTIF(Comp2[Comparable '#2 Dates],Benchmark2[[#This Row],[Benchmark '#2 Dates]])=1,"Pass","Fail")</f>
        <v>Pass</v>
      </c>
      <c r="I55" s="6">
        <f>IF(Benchmark2[[#This Row],[Comparable '#2 Date Check]]="Pass",INDEX(Comp2[Comparable '#2 Price],MATCH(Benchmark2[[#This Row],[Benchmark '#2 Dates]],Comp2[Comparable '#2 Dates],0)),"-")</f>
        <v>45.05</v>
      </c>
      <c r="J55" s="1" t="str">
        <f>IF(COUNTIF(Comp3[Comparable '#3 Dates],Benchmark2[[#This Row],[Benchmark '#2 Dates]])=1,"Pass","Fail")</f>
        <v>Pass</v>
      </c>
      <c r="K55" s="6">
        <f>IF(Benchmark2[[#This Row],[Comparable '#3 Date Check]]="Pass",INDEX(Comp3[Comparable '#3 Price],MATCH(Benchmark2[[#This Row],[Benchmark '#2 Dates]],Comp3[Comparable '#3 Dates],0)),"-")</f>
        <v>134.71</v>
      </c>
    </row>
    <row r="56" spans="1:11">
      <c r="A56" s="103">
        <v>43363</v>
      </c>
      <c r="B56" s="104">
        <v>13225.11</v>
      </c>
      <c r="C56" s="4">
        <f t="shared" si="0"/>
        <v>7.829370606894313E-3</v>
      </c>
      <c r="D56" s="1" t="str">
        <f>IF(COUNTIF(Target1[Target Dates],Benchmark2[[#This Row],[Benchmark '#2 Dates]])=1,"Pass","Fail")</f>
        <v>Pass</v>
      </c>
      <c r="E56" s="6">
        <f>IF(Benchmark2[[#This Row],[Target Date Check]]="Pass",INDEX(Target1[Target Price],MATCH(Benchmark2[[#This Row],[Benchmark '#2 Dates]],Target1[Target Dates],0)),"-")</f>
        <v>17.64</v>
      </c>
      <c r="F56" s="1" t="str">
        <f>IF(COUNTIF(Comp1[Comparable '#1 Dates],Benchmark2[[#This Row],[Benchmark '#2 Dates]])=1,"Pass","Fail")</f>
        <v>Pass</v>
      </c>
      <c r="G56" s="6">
        <f>IF(Benchmark2[[#This Row],[Comparable '#1 Date Check]]="Pass",INDEX(Comp1[Comparable '#1 Price],MATCH(Benchmark2[[#This Row],[Benchmark '#2 Dates]],Comp1[Comparable '#1 Dates],0)),"-")</f>
        <v>15.98</v>
      </c>
      <c r="H56" s="1" t="str">
        <f>IF(COUNTIF(Comp2[Comparable '#2 Dates],Benchmark2[[#This Row],[Benchmark '#2 Dates]])=1,"Pass","Fail")</f>
        <v>Pass</v>
      </c>
      <c r="I56" s="6">
        <f>IF(Benchmark2[[#This Row],[Comparable '#2 Date Check]]="Pass",INDEX(Comp2[Comparable '#2 Price],MATCH(Benchmark2[[#This Row],[Benchmark '#2 Dates]],Comp2[Comparable '#2 Dates],0)),"-")</f>
        <v>45.45</v>
      </c>
      <c r="J56" s="1" t="str">
        <f>IF(COUNTIF(Comp3[Comparable '#3 Dates],Benchmark2[[#This Row],[Benchmark '#2 Dates]])=1,"Pass","Fail")</f>
        <v>Pass</v>
      </c>
      <c r="K56" s="6">
        <f>IF(Benchmark2[[#This Row],[Comparable '#3 Date Check]]="Pass",INDEX(Comp3[Comparable '#3 Price],MATCH(Benchmark2[[#This Row],[Benchmark '#2 Dates]],Comp3[Comparable '#3 Dates],0)),"-")</f>
        <v>135.82</v>
      </c>
    </row>
    <row r="57" spans="1:11">
      <c r="A57" s="103">
        <v>43364</v>
      </c>
      <c r="B57" s="104">
        <v>13236.44</v>
      </c>
      <c r="C57" s="4">
        <f t="shared" si="0"/>
        <v>8.5633688822991114E-4</v>
      </c>
      <c r="D57" s="1" t="str">
        <f>IF(COUNTIF(Target1[Target Dates],Benchmark2[[#This Row],[Benchmark '#2 Dates]])=1,"Pass","Fail")</f>
        <v>Pass</v>
      </c>
      <c r="E57" s="6">
        <f>IF(Benchmark2[[#This Row],[Target Date Check]]="Pass",INDEX(Target1[Target Price],MATCH(Benchmark2[[#This Row],[Benchmark '#2 Dates]],Target1[Target Dates],0)),"-")</f>
        <v>17.559999999999999</v>
      </c>
      <c r="F57" s="1" t="str">
        <f>IF(COUNTIF(Comp1[Comparable '#1 Dates],Benchmark2[[#This Row],[Benchmark '#2 Dates]])=1,"Pass","Fail")</f>
        <v>Pass</v>
      </c>
      <c r="G57" s="6">
        <f>IF(Benchmark2[[#This Row],[Comparable '#1 Date Check]]="Pass",INDEX(Comp1[Comparable '#1 Price],MATCH(Benchmark2[[#This Row],[Benchmark '#2 Dates]],Comp1[Comparable '#1 Dates],0)),"-")</f>
        <v>15.99</v>
      </c>
      <c r="H57" s="1" t="str">
        <f>IF(COUNTIF(Comp2[Comparable '#2 Dates],Benchmark2[[#This Row],[Benchmark '#2 Dates]])=1,"Pass","Fail")</f>
        <v>Pass</v>
      </c>
      <c r="I57" s="6">
        <f>IF(Benchmark2[[#This Row],[Comparable '#2 Date Check]]="Pass",INDEX(Comp2[Comparable '#2 Price],MATCH(Benchmark2[[#This Row],[Benchmark '#2 Dates]],Comp2[Comparable '#2 Dates],0)),"-")</f>
        <v>45.35</v>
      </c>
      <c r="J57" s="1" t="str">
        <f>IF(COUNTIF(Comp3[Comparable '#3 Dates],Benchmark2[[#This Row],[Benchmark '#2 Dates]])=1,"Pass","Fail")</f>
        <v>Pass</v>
      </c>
      <c r="K57" s="6">
        <f>IF(Benchmark2[[#This Row],[Comparable '#3 Date Check]]="Pass",INDEX(Comp3[Comparable '#3 Price],MATCH(Benchmark2[[#This Row],[Benchmark '#2 Dates]],Comp3[Comparable '#3 Dates],0)),"-")</f>
        <v>136.87</v>
      </c>
    </row>
    <row r="58" spans="1:11">
      <c r="A58" s="103">
        <v>43367</v>
      </c>
      <c r="B58" s="104">
        <v>13162.05</v>
      </c>
      <c r="C58" s="4">
        <f t="shared" si="0"/>
        <v>-5.6359433368607338E-3</v>
      </c>
      <c r="D58" s="1" t="str">
        <f>IF(COUNTIF(Target1[Target Dates],Benchmark2[[#This Row],[Benchmark '#2 Dates]])=1,"Pass","Fail")</f>
        <v>Pass</v>
      </c>
      <c r="E58" s="6">
        <f>IF(Benchmark2[[#This Row],[Target Date Check]]="Pass",INDEX(Target1[Target Price],MATCH(Benchmark2[[#This Row],[Benchmark '#2 Dates]],Target1[Target Dates],0)),"-")</f>
        <v>17.61</v>
      </c>
      <c r="F58" s="1" t="str">
        <f>IF(COUNTIF(Comp1[Comparable '#1 Dates],Benchmark2[[#This Row],[Benchmark '#2 Dates]])=1,"Pass","Fail")</f>
        <v>Pass</v>
      </c>
      <c r="G58" s="6">
        <f>IF(Benchmark2[[#This Row],[Comparable '#1 Date Check]]="Pass",INDEX(Comp1[Comparable '#1 Price],MATCH(Benchmark2[[#This Row],[Benchmark '#2 Dates]],Comp1[Comparable '#1 Dates],0)),"-")</f>
        <v>15.45</v>
      </c>
      <c r="H58" s="1" t="str">
        <f>IF(COUNTIF(Comp2[Comparable '#2 Dates],Benchmark2[[#This Row],[Benchmark '#2 Dates]])=1,"Pass","Fail")</f>
        <v>Pass</v>
      </c>
      <c r="I58" s="6">
        <f>IF(Benchmark2[[#This Row],[Comparable '#2 Date Check]]="Pass",INDEX(Comp2[Comparable '#2 Price],MATCH(Benchmark2[[#This Row],[Benchmark '#2 Dates]],Comp2[Comparable '#2 Dates],0)),"-")</f>
        <v>46.05</v>
      </c>
      <c r="J58" s="1" t="str">
        <f>IF(COUNTIF(Comp3[Comparable '#3 Dates],Benchmark2[[#This Row],[Benchmark '#2 Dates]])=1,"Pass","Fail")</f>
        <v>Pass</v>
      </c>
      <c r="K58" s="6">
        <f>IF(Benchmark2[[#This Row],[Comparable '#3 Date Check]]="Pass",INDEX(Comp3[Comparable '#3 Price],MATCH(Benchmark2[[#This Row],[Benchmark '#2 Dates]],Comp3[Comparable '#3 Dates],0)),"-")</f>
        <v>137.47999999999999</v>
      </c>
    </row>
    <row r="59" spans="1:11">
      <c r="A59" s="103">
        <v>43368</v>
      </c>
      <c r="B59" s="104">
        <v>13160.6</v>
      </c>
      <c r="C59" s="4">
        <f t="shared" si="0"/>
        <v>-1.1017127845908507E-4</v>
      </c>
      <c r="D59" s="1" t="str">
        <f>IF(COUNTIF(Target1[Target Dates],Benchmark2[[#This Row],[Benchmark '#2 Dates]])=1,"Pass","Fail")</f>
        <v>Pass</v>
      </c>
      <c r="E59" s="6">
        <f>IF(Benchmark2[[#This Row],[Target Date Check]]="Pass",INDEX(Target1[Target Price],MATCH(Benchmark2[[#This Row],[Benchmark '#2 Dates]],Target1[Target Dates],0)),"-")</f>
        <v>17.920000000000002</v>
      </c>
      <c r="F59" s="1" t="str">
        <f>IF(COUNTIF(Comp1[Comparable '#1 Dates],Benchmark2[[#This Row],[Benchmark '#2 Dates]])=1,"Pass","Fail")</f>
        <v>Pass</v>
      </c>
      <c r="G59" s="6">
        <f>IF(Benchmark2[[#This Row],[Comparable '#1 Date Check]]="Pass",INDEX(Comp1[Comparable '#1 Price],MATCH(Benchmark2[[#This Row],[Benchmark '#2 Dates]],Comp1[Comparable '#1 Dates],0)),"-")</f>
        <v>15.42</v>
      </c>
      <c r="H59" s="1" t="str">
        <f>IF(COUNTIF(Comp2[Comparable '#2 Dates],Benchmark2[[#This Row],[Benchmark '#2 Dates]])=1,"Pass","Fail")</f>
        <v>Pass</v>
      </c>
      <c r="I59" s="6">
        <f>IF(Benchmark2[[#This Row],[Comparable '#2 Date Check]]="Pass",INDEX(Comp2[Comparable '#2 Price],MATCH(Benchmark2[[#This Row],[Benchmark '#2 Dates]],Comp2[Comparable '#2 Dates],0)),"-")</f>
        <v>47.15</v>
      </c>
      <c r="J59" s="1" t="str">
        <f>IF(COUNTIF(Comp3[Comparable '#3 Dates],Benchmark2[[#This Row],[Benchmark '#2 Dates]])=1,"Pass","Fail")</f>
        <v>Pass</v>
      </c>
      <c r="K59" s="6">
        <f>IF(Benchmark2[[#This Row],[Comparable '#3 Date Check]]="Pass",INDEX(Comp3[Comparable '#3 Price],MATCH(Benchmark2[[#This Row],[Benchmark '#2 Dates]],Comp3[Comparable '#3 Dates],0)),"-")</f>
        <v>137.53</v>
      </c>
    </row>
    <row r="60" spans="1:11">
      <c r="A60" s="103">
        <v>43369</v>
      </c>
      <c r="B60" s="104">
        <v>13101.96</v>
      </c>
      <c r="C60" s="4">
        <f t="shared" si="0"/>
        <v>-4.4656802270107111E-3</v>
      </c>
      <c r="D60" s="1" t="str">
        <f>IF(COUNTIF(Target1[Target Dates],Benchmark2[[#This Row],[Benchmark '#2 Dates]])=1,"Pass","Fail")</f>
        <v>Pass</v>
      </c>
      <c r="E60" s="6">
        <f>IF(Benchmark2[[#This Row],[Target Date Check]]="Pass",INDEX(Target1[Target Price],MATCH(Benchmark2[[#This Row],[Benchmark '#2 Dates]],Target1[Target Dates],0)),"-")</f>
        <v>18.02</v>
      </c>
      <c r="F60" s="1" t="str">
        <f>IF(COUNTIF(Comp1[Comparable '#1 Dates],Benchmark2[[#This Row],[Benchmark '#2 Dates]])=1,"Pass","Fail")</f>
        <v>Pass</v>
      </c>
      <c r="G60" s="6">
        <f>IF(Benchmark2[[#This Row],[Comparable '#1 Date Check]]="Pass",INDEX(Comp1[Comparable '#1 Price],MATCH(Benchmark2[[#This Row],[Benchmark '#2 Dates]],Comp1[Comparable '#1 Dates],0)),"-")</f>
        <v>15.21</v>
      </c>
      <c r="H60" s="1" t="str">
        <f>IF(COUNTIF(Comp2[Comparable '#2 Dates],Benchmark2[[#This Row],[Benchmark '#2 Dates]])=1,"Pass","Fail")</f>
        <v>Pass</v>
      </c>
      <c r="I60" s="6">
        <f>IF(Benchmark2[[#This Row],[Comparable '#2 Date Check]]="Pass",INDEX(Comp2[Comparable '#2 Price],MATCH(Benchmark2[[#This Row],[Benchmark '#2 Dates]],Comp2[Comparable '#2 Dates],0)),"-")</f>
        <v>47.35</v>
      </c>
      <c r="J60" s="1" t="str">
        <f>IF(COUNTIF(Comp3[Comparable '#3 Dates],Benchmark2[[#This Row],[Benchmark '#2 Dates]])=1,"Pass","Fail")</f>
        <v>Pass</v>
      </c>
      <c r="K60" s="6">
        <f>IF(Benchmark2[[#This Row],[Comparable '#3 Date Check]]="Pass",INDEX(Comp3[Comparable '#3 Price],MATCH(Benchmark2[[#This Row],[Benchmark '#2 Dates]],Comp3[Comparable '#3 Dates],0)),"-")</f>
        <v>135.5</v>
      </c>
    </row>
    <row r="61" spans="1:11">
      <c r="A61" s="103">
        <v>43370</v>
      </c>
      <c r="B61" s="104">
        <v>13105.72</v>
      </c>
      <c r="C61" s="4">
        <f t="shared" si="0"/>
        <v>2.8693879243013332E-4</v>
      </c>
      <c r="D61" s="1" t="str">
        <f>IF(COUNTIF(Target1[Target Dates],Benchmark2[[#This Row],[Benchmark '#2 Dates]])=1,"Pass","Fail")</f>
        <v>Pass</v>
      </c>
      <c r="E61" s="6">
        <f>IF(Benchmark2[[#This Row],[Target Date Check]]="Pass",INDEX(Target1[Target Price],MATCH(Benchmark2[[#This Row],[Benchmark '#2 Dates]],Target1[Target Dates],0)),"-")</f>
        <v>17.7</v>
      </c>
      <c r="F61" s="1" t="str">
        <f>IF(COUNTIF(Comp1[Comparable '#1 Dates],Benchmark2[[#This Row],[Benchmark '#2 Dates]])=1,"Pass","Fail")</f>
        <v>Pass</v>
      </c>
      <c r="G61" s="6">
        <f>IF(Benchmark2[[#This Row],[Comparable '#1 Date Check]]="Pass",INDEX(Comp1[Comparable '#1 Price],MATCH(Benchmark2[[#This Row],[Benchmark '#2 Dates]],Comp1[Comparable '#1 Dates],0)),"-")</f>
        <v>15.18</v>
      </c>
      <c r="H61" s="1" t="str">
        <f>IF(COUNTIF(Comp2[Comparable '#2 Dates],Benchmark2[[#This Row],[Benchmark '#2 Dates]])=1,"Pass","Fail")</f>
        <v>Pass</v>
      </c>
      <c r="I61" s="6">
        <f>IF(Benchmark2[[#This Row],[Comparable '#2 Date Check]]="Pass",INDEX(Comp2[Comparable '#2 Price],MATCH(Benchmark2[[#This Row],[Benchmark '#2 Dates]],Comp2[Comparable '#2 Dates],0)),"-")</f>
        <v>47.5</v>
      </c>
      <c r="J61" s="1" t="str">
        <f>IF(COUNTIF(Comp3[Comparable '#3 Dates],Benchmark2[[#This Row],[Benchmark '#2 Dates]])=1,"Pass","Fail")</f>
        <v>Pass</v>
      </c>
      <c r="K61" s="6">
        <f>IF(Benchmark2[[#This Row],[Comparable '#3 Date Check]]="Pass",INDEX(Comp3[Comparable '#3 Price],MATCH(Benchmark2[[#This Row],[Benchmark '#2 Dates]],Comp3[Comparable '#3 Dates],0)),"-")</f>
        <v>135.72</v>
      </c>
    </row>
    <row r="62" spans="1:11">
      <c r="A62" s="103">
        <v>43371</v>
      </c>
      <c r="B62" s="104">
        <v>13082.52</v>
      </c>
      <c r="C62" s="4">
        <f t="shared" si="0"/>
        <v>-1.7717881055910887E-3</v>
      </c>
      <c r="D62" s="1" t="str">
        <f>IF(COUNTIF(Target1[Target Dates],Benchmark2[[#This Row],[Benchmark '#2 Dates]])=1,"Pass","Fail")</f>
        <v>Pass</v>
      </c>
      <c r="E62" s="6">
        <f>IF(Benchmark2[[#This Row],[Target Date Check]]="Pass",INDEX(Target1[Target Price],MATCH(Benchmark2[[#This Row],[Benchmark '#2 Dates]],Target1[Target Dates],0)),"-")</f>
        <v>17.7</v>
      </c>
      <c r="F62" s="1" t="str">
        <f>IF(COUNTIF(Comp1[Comparable '#1 Dates],Benchmark2[[#This Row],[Benchmark '#2 Dates]])=1,"Pass","Fail")</f>
        <v>Pass</v>
      </c>
      <c r="G62" s="6">
        <f>IF(Benchmark2[[#This Row],[Comparable '#1 Date Check]]="Pass",INDEX(Comp1[Comparable '#1 Price],MATCH(Benchmark2[[#This Row],[Benchmark '#2 Dates]],Comp1[Comparable '#1 Dates],0)),"-")</f>
        <v>15.44</v>
      </c>
      <c r="H62" s="1" t="str">
        <f>IF(COUNTIF(Comp2[Comparable '#2 Dates],Benchmark2[[#This Row],[Benchmark '#2 Dates]])=1,"Pass","Fail")</f>
        <v>Pass</v>
      </c>
      <c r="I62" s="6">
        <f>IF(Benchmark2[[#This Row],[Comparable '#2 Date Check]]="Pass",INDEX(Comp2[Comparable '#2 Price],MATCH(Benchmark2[[#This Row],[Benchmark '#2 Dates]],Comp2[Comparable '#2 Dates],0)),"-")</f>
        <v>48.2</v>
      </c>
      <c r="J62" s="1" t="str">
        <f>IF(COUNTIF(Comp3[Comparable '#3 Dates],Benchmark2[[#This Row],[Benchmark '#2 Dates]])=1,"Pass","Fail")</f>
        <v>Pass</v>
      </c>
      <c r="K62" s="6">
        <f>IF(Benchmark2[[#This Row],[Comparable '#3 Date Check]]="Pass",INDEX(Comp3[Comparable '#3 Price],MATCH(Benchmark2[[#This Row],[Benchmark '#2 Dates]],Comp3[Comparable '#3 Dates],0)),"-")</f>
        <v>137.03</v>
      </c>
    </row>
    <row r="63" spans="1:11">
      <c r="A63" s="103">
        <v>43374</v>
      </c>
      <c r="B63" s="104">
        <v>13125.36</v>
      </c>
      <c r="C63" s="4">
        <f t="shared" si="0"/>
        <v>3.2692486501087613E-3</v>
      </c>
      <c r="D63" s="1" t="str">
        <f>IF(COUNTIF(Target1[Target Dates],Benchmark2[[#This Row],[Benchmark '#2 Dates]])=1,"Pass","Fail")</f>
        <v>Pass</v>
      </c>
      <c r="E63" s="6">
        <f>IF(Benchmark2[[#This Row],[Target Date Check]]="Pass",INDEX(Target1[Target Price],MATCH(Benchmark2[[#This Row],[Benchmark '#2 Dates]],Target1[Target Dates],0)),"-")</f>
        <v>17.670000000000002</v>
      </c>
      <c r="F63" s="1" t="str">
        <f>IF(COUNTIF(Comp1[Comparable '#1 Dates],Benchmark2[[#This Row],[Benchmark '#2 Dates]])=1,"Pass","Fail")</f>
        <v>Pass</v>
      </c>
      <c r="G63" s="6">
        <f>IF(Benchmark2[[#This Row],[Comparable '#1 Date Check]]="Pass",INDEX(Comp1[Comparable '#1 Price],MATCH(Benchmark2[[#This Row],[Benchmark '#2 Dates]],Comp1[Comparable '#1 Dates],0)),"-")</f>
        <v>15.15</v>
      </c>
      <c r="H63" s="1" t="str">
        <f>IF(COUNTIF(Comp2[Comparable '#2 Dates],Benchmark2[[#This Row],[Benchmark '#2 Dates]])=1,"Pass","Fail")</f>
        <v>Pass</v>
      </c>
      <c r="I63" s="6">
        <f>IF(Benchmark2[[#This Row],[Comparable '#2 Date Check]]="Pass",INDEX(Comp2[Comparable '#2 Price],MATCH(Benchmark2[[#This Row],[Benchmark '#2 Dates]],Comp2[Comparable '#2 Dates],0)),"-")</f>
        <v>47.88</v>
      </c>
      <c r="J63" s="1" t="str">
        <f>IF(COUNTIF(Comp3[Comparable '#3 Dates],Benchmark2[[#This Row],[Benchmark '#2 Dates]])=1,"Pass","Fail")</f>
        <v>Pass</v>
      </c>
      <c r="K63" s="6">
        <f>IF(Benchmark2[[#This Row],[Comparable '#3 Date Check]]="Pass",INDEX(Comp3[Comparable '#3 Price],MATCH(Benchmark2[[#This Row],[Benchmark '#2 Dates]],Comp3[Comparable '#3 Dates],0)),"-")</f>
        <v>136.16999999999999</v>
      </c>
    </row>
    <row r="64" spans="1:11">
      <c r="A64" s="103">
        <v>43375</v>
      </c>
      <c r="B64" s="104">
        <v>13106.01</v>
      </c>
      <c r="C64" s="4">
        <f t="shared" si="0"/>
        <v>-1.4753330466368607E-3</v>
      </c>
      <c r="D64" s="1" t="str">
        <f>IF(COUNTIF(Target1[Target Dates],Benchmark2[[#This Row],[Benchmark '#2 Dates]])=1,"Pass","Fail")</f>
        <v>Pass</v>
      </c>
      <c r="E64" s="6">
        <f>IF(Benchmark2[[#This Row],[Target Date Check]]="Pass",INDEX(Target1[Target Price],MATCH(Benchmark2[[#This Row],[Benchmark '#2 Dates]],Target1[Target Dates],0)),"-")</f>
        <v>17.66</v>
      </c>
      <c r="F64" s="1" t="str">
        <f>IF(COUNTIF(Comp1[Comparable '#1 Dates],Benchmark2[[#This Row],[Benchmark '#2 Dates]])=1,"Pass","Fail")</f>
        <v>Pass</v>
      </c>
      <c r="G64" s="6">
        <f>IF(Benchmark2[[#This Row],[Comparable '#1 Date Check]]="Pass",INDEX(Comp1[Comparable '#1 Price],MATCH(Benchmark2[[#This Row],[Benchmark '#2 Dates]],Comp1[Comparable '#1 Dates],0)),"-")</f>
        <v>15.1</v>
      </c>
      <c r="H64" s="1" t="str">
        <f>IF(COUNTIF(Comp2[Comparable '#2 Dates],Benchmark2[[#This Row],[Benchmark '#2 Dates]])=1,"Pass","Fail")</f>
        <v>Pass</v>
      </c>
      <c r="I64" s="6">
        <f>IF(Benchmark2[[#This Row],[Comparable '#2 Date Check]]="Pass",INDEX(Comp2[Comparable '#2 Price],MATCH(Benchmark2[[#This Row],[Benchmark '#2 Dates]],Comp2[Comparable '#2 Dates],0)),"-")</f>
        <v>46.28</v>
      </c>
      <c r="J64" s="1" t="str">
        <f>IF(COUNTIF(Comp3[Comparable '#3 Dates],Benchmark2[[#This Row],[Benchmark '#2 Dates]])=1,"Pass","Fail")</f>
        <v>Pass</v>
      </c>
      <c r="K64" s="6">
        <f>IF(Benchmark2[[#This Row],[Comparable '#3 Date Check]]="Pass",INDEX(Comp3[Comparable '#3 Price],MATCH(Benchmark2[[#This Row],[Benchmark '#2 Dates]],Comp3[Comparable '#3 Dates],0)),"-")</f>
        <v>132.21</v>
      </c>
    </row>
    <row r="65" spans="1:11">
      <c r="A65" s="103">
        <v>43376</v>
      </c>
      <c r="B65" s="104">
        <v>13118.55</v>
      </c>
      <c r="C65" s="4">
        <f t="shared" si="0"/>
        <v>9.5635548934065024E-4</v>
      </c>
      <c r="D65" s="1" t="str">
        <f>IF(COUNTIF(Target1[Target Dates],Benchmark2[[#This Row],[Benchmark '#2 Dates]])=1,"Pass","Fail")</f>
        <v>Pass</v>
      </c>
      <c r="E65" s="6">
        <f>IF(Benchmark2[[#This Row],[Target Date Check]]="Pass",INDEX(Target1[Target Price],MATCH(Benchmark2[[#This Row],[Benchmark '#2 Dates]],Target1[Target Dates],0)),"-")</f>
        <v>17.39</v>
      </c>
      <c r="F65" s="1" t="str">
        <f>IF(COUNTIF(Comp1[Comparable '#1 Dates],Benchmark2[[#This Row],[Benchmark '#2 Dates]])=1,"Pass","Fail")</f>
        <v>Pass</v>
      </c>
      <c r="G65" s="6">
        <f>IF(Benchmark2[[#This Row],[Comparable '#1 Date Check]]="Pass",INDEX(Comp1[Comparable '#1 Price],MATCH(Benchmark2[[#This Row],[Benchmark '#2 Dates]],Comp1[Comparable '#1 Dates],0)),"-")</f>
        <v>15.18</v>
      </c>
      <c r="H65" s="1" t="str">
        <f>IF(COUNTIF(Comp2[Comparable '#2 Dates],Benchmark2[[#This Row],[Benchmark '#2 Dates]])=1,"Pass","Fail")</f>
        <v>Pass</v>
      </c>
      <c r="I65" s="6">
        <f>IF(Benchmark2[[#This Row],[Comparable '#2 Date Check]]="Pass",INDEX(Comp2[Comparable '#2 Price],MATCH(Benchmark2[[#This Row],[Benchmark '#2 Dates]],Comp2[Comparable '#2 Dates],0)),"-")</f>
        <v>46.74</v>
      </c>
      <c r="J65" s="1" t="str">
        <f>IF(COUNTIF(Comp3[Comparable '#3 Dates],Benchmark2[[#This Row],[Benchmark '#2 Dates]])=1,"Pass","Fail")</f>
        <v>Pass</v>
      </c>
      <c r="K65" s="6">
        <f>IF(Benchmark2[[#This Row],[Comparable '#3 Date Check]]="Pass",INDEX(Comp3[Comparable '#3 Price],MATCH(Benchmark2[[#This Row],[Benchmark '#2 Dates]],Comp3[Comparable '#3 Dates],0)),"-")</f>
        <v>134.99</v>
      </c>
    </row>
    <row r="66" spans="1:11">
      <c r="A66" s="103">
        <v>43377</v>
      </c>
      <c r="B66" s="104">
        <v>13042.3</v>
      </c>
      <c r="C66" s="4">
        <f t="shared" ref="C66:C129" si="1">IFERROR(IF(B66="",NA(),LN(B66/B65)),"-")</f>
        <v>-5.8293378022468388E-3</v>
      </c>
      <c r="D66" s="1" t="str">
        <f>IF(COUNTIF(Target1[Target Dates],Benchmark2[[#This Row],[Benchmark '#2 Dates]])=1,"Pass","Fail")</f>
        <v>Pass</v>
      </c>
      <c r="E66" s="6">
        <f>IF(Benchmark2[[#This Row],[Target Date Check]]="Pass",INDEX(Target1[Target Price],MATCH(Benchmark2[[#This Row],[Benchmark '#2 Dates]],Target1[Target Dates],0)),"-")</f>
        <v>16.89</v>
      </c>
      <c r="F66" s="1" t="str">
        <f>IF(COUNTIF(Comp1[Comparable '#1 Dates],Benchmark2[[#This Row],[Benchmark '#2 Dates]])=1,"Pass","Fail")</f>
        <v>Pass</v>
      </c>
      <c r="G66" s="6">
        <f>IF(Benchmark2[[#This Row],[Comparable '#1 Date Check]]="Pass",INDEX(Comp1[Comparable '#1 Price],MATCH(Benchmark2[[#This Row],[Benchmark '#2 Dates]],Comp1[Comparable '#1 Dates],0)),"-")</f>
        <v>14.91</v>
      </c>
      <c r="H66" s="1" t="str">
        <f>IF(COUNTIF(Comp2[Comparable '#2 Dates],Benchmark2[[#This Row],[Benchmark '#2 Dates]])=1,"Pass","Fail")</f>
        <v>Pass</v>
      </c>
      <c r="I66" s="6">
        <f>IF(Benchmark2[[#This Row],[Comparable '#2 Date Check]]="Pass",INDEX(Comp2[Comparable '#2 Price],MATCH(Benchmark2[[#This Row],[Benchmark '#2 Dates]],Comp2[Comparable '#2 Dates],0)),"-")</f>
        <v>45.51</v>
      </c>
      <c r="J66" s="1" t="str">
        <f>IF(COUNTIF(Comp3[Comparable '#3 Dates],Benchmark2[[#This Row],[Benchmark '#2 Dates]])=1,"Pass","Fail")</f>
        <v>Pass</v>
      </c>
      <c r="K66" s="6">
        <f>IF(Benchmark2[[#This Row],[Comparable '#3 Date Check]]="Pass",INDEX(Comp3[Comparable '#3 Price],MATCH(Benchmark2[[#This Row],[Benchmark '#2 Dates]],Comp3[Comparable '#3 Dates],0)),"-")</f>
        <v>131.41</v>
      </c>
    </row>
    <row r="67" spans="1:11">
      <c r="A67" s="103">
        <v>43378</v>
      </c>
      <c r="B67" s="104">
        <v>12991.95</v>
      </c>
      <c r="C67" s="4">
        <f t="shared" si="1"/>
        <v>-3.8679864236675228E-3</v>
      </c>
      <c r="D67" s="1" t="str">
        <f>IF(COUNTIF(Target1[Target Dates],Benchmark2[[#This Row],[Benchmark '#2 Dates]])=1,"Pass","Fail")</f>
        <v>Pass</v>
      </c>
      <c r="E67" s="6">
        <f>IF(Benchmark2[[#This Row],[Target Date Check]]="Pass",INDEX(Target1[Target Price],MATCH(Benchmark2[[#This Row],[Benchmark '#2 Dates]],Target1[Target Dates],0)),"-")</f>
        <v>17.22</v>
      </c>
      <c r="F67" s="1" t="str">
        <f>IF(COUNTIF(Comp1[Comparable '#1 Dates],Benchmark2[[#This Row],[Benchmark '#2 Dates]])=1,"Pass","Fail")</f>
        <v>Pass</v>
      </c>
      <c r="G67" s="6">
        <f>IF(Benchmark2[[#This Row],[Comparable '#1 Date Check]]="Pass",INDEX(Comp1[Comparable '#1 Price],MATCH(Benchmark2[[#This Row],[Benchmark '#2 Dates]],Comp1[Comparable '#1 Dates],0)),"-")</f>
        <v>14.99</v>
      </c>
      <c r="H67" s="1" t="str">
        <f>IF(COUNTIF(Comp2[Comparable '#2 Dates],Benchmark2[[#This Row],[Benchmark '#2 Dates]])=1,"Pass","Fail")</f>
        <v>Pass</v>
      </c>
      <c r="I67" s="6">
        <f>IF(Benchmark2[[#This Row],[Comparable '#2 Date Check]]="Pass",INDEX(Comp2[Comparable '#2 Price],MATCH(Benchmark2[[#This Row],[Benchmark '#2 Dates]],Comp2[Comparable '#2 Dates],0)),"-")</f>
        <v>46.05</v>
      </c>
      <c r="J67" s="1" t="str">
        <f>IF(COUNTIF(Comp3[Comparable '#3 Dates],Benchmark2[[#This Row],[Benchmark '#2 Dates]])=1,"Pass","Fail")</f>
        <v>Pass</v>
      </c>
      <c r="K67" s="6">
        <f>IF(Benchmark2[[#This Row],[Comparable '#3 Date Check]]="Pass",INDEX(Comp3[Comparable '#3 Price],MATCH(Benchmark2[[#This Row],[Benchmark '#2 Dates]],Comp3[Comparable '#3 Dates],0)),"-")</f>
        <v>130.91999999999999</v>
      </c>
    </row>
    <row r="68" spans="1:11">
      <c r="A68" s="103">
        <v>43381</v>
      </c>
      <c r="B68" s="104">
        <v>13000.14</v>
      </c>
      <c r="C68" s="4">
        <f t="shared" si="1"/>
        <v>6.3019174456906168E-4</v>
      </c>
      <c r="D68" s="1" t="str">
        <f>IF(COUNTIF(Target1[Target Dates],Benchmark2[[#This Row],[Benchmark '#2 Dates]])=1,"Pass","Fail")</f>
        <v>Pass</v>
      </c>
      <c r="E68" s="6">
        <f>IF(Benchmark2[[#This Row],[Target Date Check]]="Pass",INDEX(Target1[Target Price],MATCH(Benchmark2[[#This Row],[Benchmark '#2 Dates]],Target1[Target Dates],0)),"-")</f>
        <v>17.28</v>
      </c>
      <c r="F68" s="1" t="str">
        <f>IF(COUNTIF(Comp1[Comparable '#1 Dates],Benchmark2[[#This Row],[Benchmark '#2 Dates]])=1,"Pass","Fail")</f>
        <v>Pass</v>
      </c>
      <c r="G68" s="6">
        <f>IF(Benchmark2[[#This Row],[Comparable '#1 Date Check]]="Pass",INDEX(Comp1[Comparable '#1 Price],MATCH(Benchmark2[[#This Row],[Benchmark '#2 Dates]],Comp1[Comparable '#1 Dates],0)),"-")</f>
        <v>14.91</v>
      </c>
      <c r="H68" s="1" t="str">
        <f>IF(COUNTIF(Comp2[Comparable '#2 Dates],Benchmark2[[#This Row],[Benchmark '#2 Dates]])=1,"Pass","Fail")</f>
        <v>Pass</v>
      </c>
      <c r="I68" s="6">
        <f>IF(Benchmark2[[#This Row],[Comparable '#2 Date Check]]="Pass",INDEX(Comp2[Comparable '#2 Price],MATCH(Benchmark2[[#This Row],[Benchmark '#2 Dates]],Comp2[Comparable '#2 Dates],0)),"-")</f>
        <v>45.49</v>
      </c>
      <c r="J68" s="1" t="str">
        <f>IF(COUNTIF(Comp3[Comparable '#3 Dates],Benchmark2[[#This Row],[Benchmark '#2 Dates]])=1,"Pass","Fail")</f>
        <v>Pass</v>
      </c>
      <c r="K68" s="6">
        <f>IF(Benchmark2[[#This Row],[Comparable '#3 Date Check]]="Pass",INDEX(Comp3[Comparable '#3 Price],MATCH(Benchmark2[[#This Row],[Benchmark '#2 Dates]],Comp3[Comparable '#3 Dates],0)),"-")</f>
        <v>127.94</v>
      </c>
    </row>
    <row r="69" spans="1:11">
      <c r="A69" s="103">
        <v>43382</v>
      </c>
      <c r="B69" s="104">
        <v>12960.45</v>
      </c>
      <c r="C69" s="4">
        <f t="shared" si="1"/>
        <v>-3.0577140907696743E-3</v>
      </c>
      <c r="D69" s="1" t="str">
        <f>IF(COUNTIF(Target1[Target Dates],Benchmark2[[#This Row],[Benchmark '#2 Dates]])=1,"Pass","Fail")</f>
        <v>Pass</v>
      </c>
      <c r="E69" s="6">
        <f>IF(Benchmark2[[#This Row],[Target Date Check]]="Pass",INDEX(Target1[Target Price],MATCH(Benchmark2[[#This Row],[Benchmark '#2 Dates]],Target1[Target Dates],0)),"-")</f>
        <v>17.329999999999998</v>
      </c>
      <c r="F69" s="1" t="str">
        <f>IF(COUNTIF(Comp1[Comparable '#1 Dates],Benchmark2[[#This Row],[Benchmark '#2 Dates]])=1,"Pass","Fail")</f>
        <v>Pass</v>
      </c>
      <c r="G69" s="6">
        <f>IF(Benchmark2[[#This Row],[Comparable '#1 Date Check]]="Pass",INDEX(Comp1[Comparable '#1 Price],MATCH(Benchmark2[[#This Row],[Benchmark '#2 Dates]],Comp1[Comparable '#1 Dates],0)),"-")</f>
        <v>14.82</v>
      </c>
      <c r="H69" s="1" t="str">
        <f>IF(COUNTIF(Comp2[Comparable '#2 Dates],Benchmark2[[#This Row],[Benchmark '#2 Dates]])=1,"Pass","Fail")</f>
        <v>Pass</v>
      </c>
      <c r="I69" s="6">
        <f>IF(Benchmark2[[#This Row],[Comparable '#2 Date Check]]="Pass",INDEX(Comp2[Comparable '#2 Price],MATCH(Benchmark2[[#This Row],[Benchmark '#2 Dates]],Comp2[Comparable '#2 Dates],0)),"-")</f>
        <v>47.08</v>
      </c>
      <c r="J69" s="1" t="str">
        <f>IF(COUNTIF(Comp3[Comparable '#3 Dates],Benchmark2[[#This Row],[Benchmark '#2 Dates]])=1,"Pass","Fail")</f>
        <v>Pass</v>
      </c>
      <c r="K69" s="6">
        <f>IF(Benchmark2[[#This Row],[Comparable '#3 Date Check]]="Pass",INDEX(Comp3[Comparable '#3 Price],MATCH(Benchmark2[[#This Row],[Benchmark '#2 Dates]],Comp3[Comparable '#3 Dates],0)),"-")</f>
        <v>129.56</v>
      </c>
    </row>
    <row r="70" spans="1:11">
      <c r="A70" s="103">
        <v>43383</v>
      </c>
      <c r="B70" s="104">
        <v>12622.13</v>
      </c>
      <c r="C70" s="4">
        <f t="shared" si="1"/>
        <v>-2.6450789957436549E-2</v>
      </c>
      <c r="D70" s="1" t="str">
        <f>IF(COUNTIF(Target1[Target Dates],Benchmark2[[#This Row],[Benchmark '#2 Dates]])=1,"Pass","Fail")</f>
        <v>Pass</v>
      </c>
      <c r="E70" s="6">
        <f>IF(Benchmark2[[#This Row],[Target Date Check]]="Pass",INDEX(Target1[Target Price],MATCH(Benchmark2[[#This Row],[Benchmark '#2 Dates]],Target1[Target Dates],0)),"-")</f>
        <v>17.079999999999998</v>
      </c>
      <c r="F70" s="1" t="str">
        <f>IF(COUNTIF(Comp1[Comparable '#1 Dates],Benchmark2[[#This Row],[Benchmark '#2 Dates]])=1,"Pass","Fail")</f>
        <v>Pass</v>
      </c>
      <c r="G70" s="6">
        <f>IF(Benchmark2[[#This Row],[Comparable '#1 Date Check]]="Pass",INDEX(Comp1[Comparable '#1 Price],MATCH(Benchmark2[[#This Row],[Benchmark '#2 Dates]],Comp1[Comparable '#1 Dates],0)),"-")</f>
        <v>14.9</v>
      </c>
      <c r="H70" s="1" t="str">
        <f>IF(COUNTIF(Comp2[Comparable '#2 Dates],Benchmark2[[#This Row],[Benchmark '#2 Dates]])=1,"Pass","Fail")</f>
        <v>Pass</v>
      </c>
      <c r="I70" s="6">
        <f>IF(Benchmark2[[#This Row],[Comparable '#2 Date Check]]="Pass",INDEX(Comp2[Comparable '#2 Price],MATCH(Benchmark2[[#This Row],[Benchmark '#2 Dates]],Comp2[Comparable '#2 Dates],0)),"-")</f>
        <v>47.37</v>
      </c>
      <c r="J70" s="1" t="str">
        <f>IF(COUNTIF(Comp3[Comparable '#3 Dates],Benchmark2[[#This Row],[Benchmark '#2 Dates]])=1,"Pass","Fail")</f>
        <v>Pass</v>
      </c>
      <c r="K70" s="6">
        <f>IF(Benchmark2[[#This Row],[Comparable '#3 Date Check]]="Pass",INDEX(Comp3[Comparable '#3 Price],MATCH(Benchmark2[[#This Row],[Benchmark '#2 Dates]],Comp3[Comparable '#3 Dates],0)),"-")</f>
        <v>127.41</v>
      </c>
    </row>
    <row r="71" spans="1:11">
      <c r="A71" s="103">
        <v>43384</v>
      </c>
      <c r="B71" s="104">
        <v>12349.53</v>
      </c>
      <c r="C71" s="4">
        <f t="shared" si="1"/>
        <v>-2.1833616916461494E-2</v>
      </c>
      <c r="D71" s="1" t="str">
        <f>IF(COUNTIF(Target1[Target Dates],Benchmark2[[#This Row],[Benchmark '#2 Dates]])=1,"Pass","Fail")</f>
        <v>Pass</v>
      </c>
      <c r="E71" s="6">
        <f>IF(Benchmark2[[#This Row],[Target Date Check]]="Pass",INDEX(Target1[Target Price],MATCH(Benchmark2[[#This Row],[Benchmark '#2 Dates]],Target1[Target Dates],0)),"-")</f>
        <v>16.66</v>
      </c>
      <c r="F71" s="1" t="str">
        <f>IF(COUNTIF(Comp1[Comparable '#1 Dates],Benchmark2[[#This Row],[Benchmark '#2 Dates]])=1,"Pass","Fail")</f>
        <v>Pass</v>
      </c>
      <c r="G71" s="6">
        <f>IF(Benchmark2[[#This Row],[Comparable '#1 Date Check]]="Pass",INDEX(Comp1[Comparable '#1 Price],MATCH(Benchmark2[[#This Row],[Benchmark '#2 Dates]],Comp1[Comparable '#1 Dates],0)),"-")</f>
        <v>15</v>
      </c>
      <c r="H71" s="1" t="str">
        <f>IF(COUNTIF(Comp2[Comparable '#2 Dates],Benchmark2[[#This Row],[Benchmark '#2 Dates]])=1,"Pass","Fail")</f>
        <v>Pass</v>
      </c>
      <c r="I71" s="6">
        <f>IF(Benchmark2[[#This Row],[Comparable '#2 Date Check]]="Pass",INDEX(Comp2[Comparable '#2 Price],MATCH(Benchmark2[[#This Row],[Benchmark '#2 Dates]],Comp2[Comparable '#2 Dates],0)),"-")</f>
        <v>46.33</v>
      </c>
      <c r="J71" s="1" t="str">
        <f>IF(COUNTIF(Comp3[Comparable '#3 Dates],Benchmark2[[#This Row],[Benchmark '#2 Dates]])=1,"Pass","Fail")</f>
        <v>Pass</v>
      </c>
      <c r="K71" s="6">
        <f>IF(Benchmark2[[#This Row],[Comparable '#3 Date Check]]="Pass",INDEX(Comp3[Comparable '#3 Price],MATCH(Benchmark2[[#This Row],[Benchmark '#2 Dates]],Comp3[Comparable '#3 Dates],0)),"-")</f>
        <v>122.57</v>
      </c>
    </row>
    <row r="72" spans="1:11">
      <c r="A72" s="103">
        <v>43385</v>
      </c>
      <c r="B72" s="104">
        <v>12439.42</v>
      </c>
      <c r="C72" s="4">
        <f t="shared" si="1"/>
        <v>7.2524567602477684E-3</v>
      </c>
      <c r="D72" s="1" t="str">
        <f>IF(COUNTIF(Target1[Target Dates],Benchmark2[[#This Row],[Benchmark '#2 Dates]])=1,"Pass","Fail")</f>
        <v>Pass</v>
      </c>
      <c r="E72" s="6">
        <f>IF(Benchmark2[[#This Row],[Target Date Check]]="Pass",INDEX(Target1[Target Price],MATCH(Benchmark2[[#This Row],[Benchmark '#2 Dates]],Target1[Target Dates],0)),"-")</f>
        <v>16.38</v>
      </c>
      <c r="F72" s="1" t="str">
        <f>IF(COUNTIF(Comp1[Comparable '#1 Dates],Benchmark2[[#This Row],[Benchmark '#2 Dates]])=1,"Pass","Fail")</f>
        <v>Pass</v>
      </c>
      <c r="G72" s="6">
        <f>IF(Benchmark2[[#This Row],[Comparable '#1 Date Check]]="Pass",INDEX(Comp1[Comparable '#1 Price],MATCH(Benchmark2[[#This Row],[Benchmark '#2 Dates]],Comp1[Comparable '#1 Dates],0)),"-")</f>
        <v>15.07</v>
      </c>
      <c r="H72" s="1" t="str">
        <f>IF(COUNTIF(Comp2[Comparable '#2 Dates],Benchmark2[[#This Row],[Benchmark '#2 Dates]])=1,"Pass","Fail")</f>
        <v>Pass</v>
      </c>
      <c r="I72" s="6">
        <f>IF(Benchmark2[[#This Row],[Comparable '#2 Date Check]]="Pass",INDEX(Comp2[Comparable '#2 Price],MATCH(Benchmark2[[#This Row],[Benchmark '#2 Dates]],Comp2[Comparable '#2 Dates],0)),"-")</f>
        <v>45.79</v>
      </c>
      <c r="J72" s="1" t="str">
        <f>IF(COUNTIF(Comp3[Comparable '#3 Dates],Benchmark2[[#This Row],[Benchmark '#2 Dates]])=1,"Pass","Fail")</f>
        <v>Pass</v>
      </c>
      <c r="K72" s="6">
        <f>IF(Benchmark2[[#This Row],[Comparable '#3 Date Check]]="Pass",INDEX(Comp3[Comparable '#3 Price],MATCH(Benchmark2[[#This Row],[Benchmark '#2 Dates]],Comp3[Comparable '#3 Dates],0)),"-")</f>
        <v>122.78</v>
      </c>
    </row>
    <row r="73" spans="1:11">
      <c r="A73" s="103">
        <v>43388</v>
      </c>
      <c r="B73" s="104">
        <v>12425.68</v>
      </c>
      <c r="C73" s="4">
        <f t="shared" si="1"/>
        <v>-1.1051635745271361E-3</v>
      </c>
      <c r="D73" s="1" t="str">
        <f>IF(COUNTIF(Target1[Target Dates],Benchmark2[[#This Row],[Benchmark '#2 Dates]])=1,"Pass","Fail")</f>
        <v>Pass</v>
      </c>
      <c r="E73" s="6">
        <f>IF(Benchmark2[[#This Row],[Target Date Check]]="Pass",INDEX(Target1[Target Price],MATCH(Benchmark2[[#This Row],[Benchmark '#2 Dates]],Target1[Target Dates],0)),"-")</f>
        <v>16.73</v>
      </c>
      <c r="F73" s="1" t="str">
        <f>IF(COUNTIF(Comp1[Comparable '#1 Dates],Benchmark2[[#This Row],[Benchmark '#2 Dates]])=1,"Pass","Fail")</f>
        <v>Pass</v>
      </c>
      <c r="G73" s="6">
        <f>IF(Benchmark2[[#This Row],[Comparable '#1 Date Check]]="Pass",INDEX(Comp1[Comparable '#1 Price],MATCH(Benchmark2[[#This Row],[Benchmark '#2 Dates]],Comp1[Comparable '#1 Dates],0)),"-")</f>
        <v>15.44</v>
      </c>
      <c r="H73" s="1" t="str">
        <f>IF(COUNTIF(Comp2[Comparable '#2 Dates],Benchmark2[[#This Row],[Benchmark '#2 Dates]])=1,"Pass","Fail")</f>
        <v>Pass</v>
      </c>
      <c r="I73" s="6">
        <f>IF(Benchmark2[[#This Row],[Comparable '#2 Date Check]]="Pass",INDEX(Comp2[Comparable '#2 Price],MATCH(Benchmark2[[#This Row],[Benchmark '#2 Dates]],Comp2[Comparable '#2 Dates],0)),"-")</f>
        <v>46.55</v>
      </c>
      <c r="J73" s="1" t="str">
        <f>IF(COUNTIF(Comp3[Comparable '#3 Dates],Benchmark2[[#This Row],[Benchmark '#2 Dates]])=1,"Pass","Fail")</f>
        <v>Pass</v>
      </c>
      <c r="K73" s="6">
        <f>IF(Benchmark2[[#This Row],[Comparable '#3 Date Check]]="Pass",INDEX(Comp3[Comparable '#3 Price],MATCH(Benchmark2[[#This Row],[Benchmark '#2 Dates]],Comp3[Comparable '#3 Dates],0)),"-")</f>
        <v>125.36</v>
      </c>
    </row>
    <row r="74" spans="1:11">
      <c r="A74" s="103">
        <v>43389</v>
      </c>
      <c r="B74" s="104">
        <v>12645.95</v>
      </c>
      <c r="C74" s="4">
        <f t="shared" si="1"/>
        <v>1.7571706953844447E-2</v>
      </c>
      <c r="D74" s="1" t="str">
        <f>IF(COUNTIF(Target1[Target Dates],Benchmark2[[#This Row],[Benchmark '#2 Dates]])=1,"Pass","Fail")</f>
        <v>Pass</v>
      </c>
      <c r="E74" s="6">
        <f>IF(Benchmark2[[#This Row],[Target Date Check]]="Pass",INDEX(Target1[Target Price],MATCH(Benchmark2[[#This Row],[Benchmark '#2 Dates]],Target1[Target Dates],0)),"-")</f>
        <v>17.13</v>
      </c>
      <c r="F74" s="1" t="str">
        <f>IF(COUNTIF(Comp1[Comparable '#1 Dates],Benchmark2[[#This Row],[Benchmark '#2 Dates]])=1,"Pass","Fail")</f>
        <v>Pass</v>
      </c>
      <c r="G74" s="6">
        <f>IF(Benchmark2[[#This Row],[Comparable '#1 Date Check]]="Pass",INDEX(Comp1[Comparable '#1 Price],MATCH(Benchmark2[[#This Row],[Benchmark '#2 Dates]],Comp1[Comparable '#1 Dates],0)),"-")</f>
        <v>15.79</v>
      </c>
      <c r="H74" s="1" t="str">
        <f>IF(COUNTIF(Comp2[Comparable '#2 Dates],Benchmark2[[#This Row],[Benchmark '#2 Dates]])=1,"Pass","Fail")</f>
        <v>Pass</v>
      </c>
      <c r="I74" s="6">
        <f>IF(Benchmark2[[#This Row],[Comparable '#2 Date Check]]="Pass",INDEX(Comp2[Comparable '#2 Price],MATCH(Benchmark2[[#This Row],[Benchmark '#2 Dates]],Comp2[Comparable '#2 Dates],0)),"-")</f>
        <v>48.5</v>
      </c>
      <c r="J74" s="1" t="str">
        <f>IF(COUNTIF(Comp3[Comparable '#3 Dates],Benchmark2[[#This Row],[Benchmark '#2 Dates]])=1,"Pass","Fail")</f>
        <v>Pass</v>
      </c>
      <c r="K74" s="6">
        <f>IF(Benchmark2[[#This Row],[Comparable '#3 Date Check]]="Pass",INDEX(Comp3[Comparable '#3 Price],MATCH(Benchmark2[[#This Row],[Benchmark '#2 Dates]],Comp3[Comparable '#3 Dates],0)),"-")</f>
        <v>133.35</v>
      </c>
    </row>
    <row r="75" spans="1:11">
      <c r="A75" s="103">
        <v>43390</v>
      </c>
      <c r="B75" s="104">
        <v>12613.05</v>
      </c>
      <c r="C75" s="4">
        <f t="shared" si="1"/>
        <v>-2.6050135480590649E-3</v>
      </c>
      <c r="D75" s="1" t="str">
        <f>IF(COUNTIF(Target1[Target Dates],Benchmark2[[#This Row],[Benchmark '#2 Dates]])=1,"Pass","Fail")</f>
        <v>Pass</v>
      </c>
      <c r="E75" s="6">
        <f>IF(Benchmark2[[#This Row],[Target Date Check]]="Pass",INDEX(Target1[Target Price],MATCH(Benchmark2[[#This Row],[Benchmark '#2 Dates]],Target1[Target Dates],0)),"-")</f>
        <v>16.97</v>
      </c>
      <c r="F75" s="1" t="str">
        <f>IF(COUNTIF(Comp1[Comparable '#1 Dates],Benchmark2[[#This Row],[Benchmark '#2 Dates]])=1,"Pass","Fail")</f>
        <v>Pass</v>
      </c>
      <c r="G75" s="6">
        <f>IF(Benchmark2[[#This Row],[Comparable '#1 Date Check]]="Pass",INDEX(Comp1[Comparable '#1 Price],MATCH(Benchmark2[[#This Row],[Benchmark '#2 Dates]],Comp1[Comparable '#1 Dates],0)),"-")</f>
        <v>15.49</v>
      </c>
      <c r="H75" s="1" t="str">
        <f>IF(COUNTIF(Comp2[Comparable '#2 Dates],Benchmark2[[#This Row],[Benchmark '#2 Dates]])=1,"Pass","Fail")</f>
        <v>Pass</v>
      </c>
      <c r="I75" s="6">
        <f>IF(Benchmark2[[#This Row],[Comparable '#2 Date Check]]="Pass",INDEX(Comp2[Comparable '#2 Price],MATCH(Benchmark2[[#This Row],[Benchmark '#2 Dates]],Comp2[Comparable '#2 Dates],0)),"-")</f>
        <v>48.62</v>
      </c>
      <c r="J75" s="1" t="str">
        <f>IF(COUNTIF(Comp3[Comparable '#3 Dates],Benchmark2[[#This Row],[Benchmark '#2 Dates]])=1,"Pass","Fail")</f>
        <v>Pass</v>
      </c>
      <c r="K75" s="6">
        <f>IF(Benchmark2[[#This Row],[Comparable '#3 Date Check]]="Pass",INDEX(Comp3[Comparable '#3 Price],MATCH(Benchmark2[[#This Row],[Benchmark '#2 Dates]],Comp3[Comparable '#3 Dates],0)),"-")</f>
        <v>131.5</v>
      </c>
    </row>
    <row r="76" spans="1:11">
      <c r="A76" s="103">
        <v>43391</v>
      </c>
      <c r="B76" s="104">
        <v>12445.48</v>
      </c>
      <c r="C76" s="4">
        <f t="shared" si="1"/>
        <v>-1.3374487478683765E-2</v>
      </c>
      <c r="D76" s="1" t="str">
        <f>IF(COUNTIF(Target1[Target Dates],Benchmark2[[#This Row],[Benchmark '#2 Dates]])=1,"Pass","Fail")</f>
        <v>Pass</v>
      </c>
      <c r="E76" s="6">
        <f>IF(Benchmark2[[#This Row],[Target Date Check]]="Pass",INDEX(Target1[Target Price],MATCH(Benchmark2[[#This Row],[Benchmark '#2 Dates]],Target1[Target Dates],0)),"-")</f>
        <v>16.940000000000001</v>
      </c>
      <c r="F76" s="1" t="str">
        <f>IF(COUNTIF(Comp1[Comparable '#1 Dates],Benchmark2[[#This Row],[Benchmark '#2 Dates]])=1,"Pass","Fail")</f>
        <v>Pass</v>
      </c>
      <c r="G76" s="6">
        <f>IF(Benchmark2[[#This Row],[Comparable '#1 Date Check]]="Pass",INDEX(Comp1[Comparable '#1 Price],MATCH(Benchmark2[[#This Row],[Benchmark '#2 Dates]],Comp1[Comparable '#1 Dates],0)),"-")</f>
        <v>15.33</v>
      </c>
      <c r="H76" s="1" t="str">
        <f>IF(COUNTIF(Comp2[Comparable '#2 Dates],Benchmark2[[#This Row],[Benchmark '#2 Dates]])=1,"Pass","Fail")</f>
        <v>Pass</v>
      </c>
      <c r="I76" s="6">
        <f>IF(Benchmark2[[#This Row],[Comparable '#2 Date Check]]="Pass",INDEX(Comp2[Comparable '#2 Price],MATCH(Benchmark2[[#This Row],[Benchmark '#2 Dates]],Comp2[Comparable '#2 Dates],0)),"-")</f>
        <v>47.56</v>
      </c>
      <c r="J76" s="1" t="str">
        <f>IF(COUNTIF(Comp3[Comparable '#3 Dates],Benchmark2[[#This Row],[Benchmark '#2 Dates]])=1,"Pass","Fail")</f>
        <v>Pass</v>
      </c>
      <c r="K76" s="6">
        <f>IF(Benchmark2[[#This Row],[Comparable '#3 Date Check]]="Pass",INDEX(Comp3[Comparable '#3 Price],MATCH(Benchmark2[[#This Row],[Benchmark '#2 Dates]],Comp3[Comparable '#3 Dates],0)),"-")</f>
        <v>127.7</v>
      </c>
    </row>
    <row r="77" spans="1:11">
      <c r="A77" s="103">
        <v>43392</v>
      </c>
      <c r="B77" s="104">
        <v>12457.27</v>
      </c>
      <c r="C77" s="4">
        <f t="shared" si="1"/>
        <v>9.4688344708098956E-4</v>
      </c>
      <c r="D77" s="1" t="str">
        <f>IF(COUNTIF(Target1[Target Dates],Benchmark2[[#This Row],[Benchmark '#2 Dates]])=1,"Pass","Fail")</f>
        <v>Pass</v>
      </c>
      <c r="E77" s="6">
        <f>IF(Benchmark2[[#This Row],[Target Date Check]]="Pass",INDEX(Target1[Target Price],MATCH(Benchmark2[[#This Row],[Benchmark '#2 Dates]],Target1[Target Dates],0)),"-")</f>
        <v>17.12</v>
      </c>
      <c r="F77" s="1" t="str">
        <f>IF(COUNTIF(Comp1[Comparable '#1 Dates],Benchmark2[[#This Row],[Benchmark '#2 Dates]])=1,"Pass","Fail")</f>
        <v>Pass</v>
      </c>
      <c r="G77" s="6">
        <f>IF(Benchmark2[[#This Row],[Comparable '#1 Date Check]]="Pass",INDEX(Comp1[Comparable '#1 Price],MATCH(Benchmark2[[#This Row],[Benchmark '#2 Dates]],Comp1[Comparable '#1 Dates],0)),"-")</f>
        <v>15.18</v>
      </c>
      <c r="H77" s="1" t="str">
        <f>IF(COUNTIF(Comp2[Comparable '#2 Dates],Benchmark2[[#This Row],[Benchmark '#2 Dates]])=1,"Pass","Fail")</f>
        <v>Pass</v>
      </c>
      <c r="I77" s="6">
        <f>IF(Benchmark2[[#This Row],[Comparable '#2 Date Check]]="Pass",INDEX(Comp2[Comparable '#2 Price],MATCH(Benchmark2[[#This Row],[Benchmark '#2 Dates]],Comp2[Comparable '#2 Dates],0)),"-")</f>
        <v>47.51</v>
      </c>
      <c r="J77" s="1" t="str">
        <f>IF(COUNTIF(Comp3[Comparable '#3 Dates],Benchmark2[[#This Row],[Benchmark '#2 Dates]])=1,"Pass","Fail")</f>
        <v>Pass</v>
      </c>
      <c r="K77" s="6">
        <f>IF(Benchmark2[[#This Row],[Comparable '#3 Date Check]]="Pass",INDEX(Comp3[Comparable '#3 Price],MATCH(Benchmark2[[#This Row],[Benchmark '#2 Dates]],Comp3[Comparable '#3 Dates],0)),"-")</f>
        <v>128.30000000000001</v>
      </c>
    </row>
    <row r="78" spans="1:11">
      <c r="A78" s="103">
        <v>43395</v>
      </c>
      <c r="B78" s="104">
        <v>12374.76</v>
      </c>
      <c r="C78" s="4">
        <f t="shared" si="1"/>
        <v>-6.6454739022586392E-3</v>
      </c>
      <c r="D78" s="1" t="str">
        <f>IF(COUNTIF(Target1[Target Dates],Benchmark2[[#This Row],[Benchmark '#2 Dates]])=1,"Pass","Fail")</f>
        <v>Pass</v>
      </c>
      <c r="E78" s="6">
        <f>IF(Benchmark2[[#This Row],[Target Date Check]]="Pass",INDEX(Target1[Target Price],MATCH(Benchmark2[[#This Row],[Benchmark '#2 Dates]],Target1[Target Dates],0)),"-")</f>
        <v>16.96</v>
      </c>
      <c r="F78" s="1" t="str">
        <f>IF(COUNTIF(Comp1[Comparable '#1 Dates],Benchmark2[[#This Row],[Benchmark '#2 Dates]])=1,"Pass","Fail")</f>
        <v>Pass</v>
      </c>
      <c r="G78" s="6">
        <f>IF(Benchmark2[[#This Row],[Comparable '#1 Date Check]]="Pass",INDEX(Comp1[Comparable '#1 Price],MATCH(Benchmark2[[#This Row],[Benchmark '#2 Dates]],Comp1[Comparable '#1 Dates],0)),"-")</f>
        <v>15.37</v>
      </c>
      <c r="H78" s="1" t="str">
        <f>IF(COUNTIF(Comp2[Comparable '#2 Dates],Benchmark2[[#This Row],[Benchmark '#2 Dates]])=1,"Pass","Fail")</f>
        <v>Pass</v>
      </c>
      <c r="I78" s="6">
        <f>IF(Benchmark2[[#This Row],[Comparable '#2 Date Check]]="Pass",INDEX(Comp2[Comparable '#2 Price],MATCH(Benchmark2[[#This Row],[Benchmark '#2 Dates]],Comp2[Comparable '#2 Dates],0)),"-")</f>
        <v>47.6</v>
      </c>
      <c r="J78" s="1" t="str">
        <f>IF(COUNTIF(Comp3[Comparable '#3 Dates],Benchmark2[[#This Row],[Benchmark '#2 Dates]])=1,"Pass","Fail")</f>
        <v>Pass</v>
      </c>
      <c r="K78" s="6">
        <f>IF(Benchmark2[[#This Row],[Comparable '#3 Date Check]]="Pass",INDEX(Comp3[Comparable '#3 Price],MATCH(Benchmark2[[#This Row],[Benchmark '#2 Dates]],Comp3[Comparable '#3 Dates],0)),"-")</f>
        <v>127.76</v>
      </c>
    </row>
    <row r="79" spans="1:11">
      <c r="A79" s="103">
        <v>43396</v>
      </c>
      <c r="B79" s="104">
        <v>12287.44</v>
      </c>
      <c r="C79" s="4">
        <f t="shared" si="1"/>
        <v>-7.0813118771224336E-3</v>
      </c>
      <c r="D79" s="1" t="str">
        <f>IF(COUNTIF(Target1[Target Dates],Benchmark2[[#This Row],[Benchmark '#2 Dates]])=1,"Pass","Fail")</f>
        <v>Pass</v>
      </c>
      <c r="E79" s="6">
        <f>IF(Benchmark2[[#This Row],[Target Date Check]]="Pass",INDEX(Target1[Target Price],MATCH(Benchmark2[[#This Row],[Benchmark '#2 Dates]],Target1[Target Dates],0)),"-")</f>
        <v>17.329999999999998</v>
      </c>
      <c r="F79" s="1" t="str">
        <f>IF(COUNTIF(Comp1[Comparable '#1 Dates],Benchmark2[[#This Row],[Benchmark '#2 Dates]])=1,"Pass","Fail")</f>
        <v>Pass</v>
      </c>
      <c r="G79" s="6">
        <f>IF(Benchmark2[[#This Row],[Comparable '#1 Date Check]]="Pass",INDEX(Comp1[Comparable '#1 Price],MATCH(Benchmark2[[#This Row],[Benchmark '#2 Dates]],Comp1[Comparable '#1 Dates],0)),"-")</f>
        <v>15.26</v>
      </c>
      <c r="H79" s="1" t="str">
        <f>IF(COUNTIF(Comp2[Comparable '#2 Dates],Benchmark2[[#This Row],[Benchmark '#2 Dates]])=1,"Pass","Fail")</f>
        <v>Pass</v>
      </c>
      <c r="I79" s="6">
        <f>IF(Benchmark2[[#This Row],[Comparable '#2 Date Check]]="Pass",INDEX(Comp2[Comparable '#2 Price],MATCH(Benchmark2[[#This Row],[Benchmark '#2 Dates]],Comp2[Comparable '#2 Dates],0)),"-")</f>
        <v>46.86</v>
      </c>
      <c r="J79" s="1" t="str">
        <f>IF(COUNTIF(Comp3[Comparable '#3 Dates],Benchmark2[[#This Row],[Benchmark '#2 Dates]])=1,"Pass","Fail")</f>
        <v>Pass</v>
      </c>
      <c r="K79" s="6">
        <f>IF(Benchmark2[[#This Row],[Comparable '#3 Date Check]]="Pass",INDEX(Comp3[Comparable '#3 Price],MATCH(Benchmark2[[#This Row],[Benchmark '#2 Dates]],Comp3[Comparable '#3 Dates],0)),"-")</f>
        <v>123.8</v>
      </c>
    </row>
    <row r="80" spans="1:11">
      <c r="A80" s="103">
        <v>43397</v>
      </c>
      <c r="B80" s="104">
        <v>11969.73</v>
      </c>
      <c r="C80" s="4">
        <f t="shared" si="1"/>
        <v>-2.6196639525667739E-2</v>
      </c>
      <c r="D80" s="1" t="str">
        <f>IF(COUNTIF(Target1[Target Dates],Benchmark2[[#This Row],[Benchmark '#2 Dates]])=1,"Pass","Fail")</f>
        <v>Pass</v>
      </c>
      <c r="E80" s="6">
        <f>IF(Benchmark2[[#This Row],[Target Date Check]]="Pass",INDEX(Target1[Target Price],MATCH(Benchmark2[[#This Row],[Benchmark '#2 Dates]],Target1[Target Dates],0)),"-")</f>
        <v>20.77</v>
      </c>
      <c r="F80" s="1" t="str">
        <f>IF(COUNTIF(Comp1[Comparable '#1 Dates],Benchmark2[[#This Row],[Benchmark '#2 Dates]])=1,"Pass","Fail")</f>
        <v>Pass</v>
      </c>
      <c r="G80" s="6">
        <f>IF(Benchmark2[[#This Row],[Comparable '#1 Date Check]]="Pass",INDEX(Comp1[Comparable '#1 Price],MATCH(Benchmark2[[#This Row],[Benchmark '#2 Dates]],Comp1[Comparable '#1 Dates],0)),"-")</f>
        <v>14.74</v>
      </c>
      <c r="H80" s="1" t="str">
        <f>IF(COUNTIF(Comp2[Comparable '#2 Dates],Benchmark2[[#This Row],[Benchmark '#2 Dates]])=1,"Pass","Fail")</f>
        <v>Pass</v>
      </c>
      <c r="I80" s="6">
        <f>IF(Benchmark2[[#This Row],[Comparable '#2 Date Check]]="Pass",INDEX(Comp2[Comparable '#2 Price],MATCH(Benchmark2[[#This Row],[Benchmark '#2 Dates]],Comp2[Comparable '#2 Dates],0)),"-")</f>
        <v>45.79</v>
      </c>
      <c r="J80" s="1" t="str">
        <f>IF(COUNTIF(Comp3[Comparable '#3 Dates],Benchmark2[[#This Row],[Benchmark '#2 Dates]])=1,"Pass","Fail")</f>
        <v>Pass</v>
      </c>
      <c r="K80" s="6">
        <f>IF(Benchmark2[[#This Row],[Comparable '#3 Date Check]]="Pass",INDEX(Comp3[Comparable '#3 Price],MATCH(Benchmark2[[#This Row],[Benchmark '#2 Dates]],Comp3[Comparable '#3 Dates],0)),"-")</f>
        <v>122.5</v>
      </c>
    </row>
    <row r="81" spans="1:11">
      <c r="A81" s="103">
        <v>43398</v>
      </c>
      <c r="B81" s="104">
        <v>12118.85</v>
      </c>
      <c r="C81" s="4">
        <f t="shared" si="1"/>
        <v>1.2381128726396557E-2</v>
      </c>
      <c r="D81" s="1" t="str">
        <f>IF(COUNTIF(Target1[Target Dates],Benchmark2[[#This Row],[Benchmark '#2 Dates]])=1,"Pass","Fail")</f>
        <v>Pass</v>
      </c>
      <c r="E81" s="6">
        <f>IF(Benchmark2[[#This Row],[Target Date Check]]="Pass",INDEX(Target1[Target Price],MATCH(Benchmark2[[#This Row],[Benchmark '#2 Dates]],Target1[Target Dates],0)),"-")</f>
        <v>20.75</v>
      </c>
      <c r="F81" s="1" t="str">
        <f>IF(COUNTIF(Comp1[Comparable '#1 Dates],Benchmark2[[#This Row],[Benchmark '#2 Dates]])=1,"Pass","Fail")</f>
        <v>Pass</v>
      </c>
      <c r="G81" s="6">
        <f>IF(Benchmark2[[#This Row],[Comparable '#1 Date Check]]="Pass",INDEX(Comp1[Comparable '#1 Price],MATCH(Benchmark2[[#This Row],[Benchmark '#2 Dates]],Comp1[Comparable '#1 Dates],0)),"-")</f>
        <v>15.23</v>
      </c>
      <c r="H81" s="1" t="str">
        <f>IF(COUNTIF(Comp2[Comparable '#2 Dates],Benchmark2[[#This Row],[Benchmark '#2 Dates]])=1,"Pass","Fail")</f>
        <v>Pass</v>
      </c>
      <c r="I81" s="6">
        <f>IF(Benchmark2[[#This Row],[Comparable '#2 Date Check]]="Pass",INDEX(Comp2[Comparable '#2 Price],MATCH(Benchmark2[[#This Row],[Benchmark '#2 Dates]],Comp2[Comparable '#2 Dates],0)),"-")</f>
        <v>48.04</v>
      </c>
      <c r="J81" s="1" t="str">
        <f>IF(COUNTIF(Comp3[Comparable '#3 Dates],Benchmark2[[#This Row],[Benchmark '#2 Dates]])=1,"Pass","Fail")</f>
        <v>Pass</v>
      </c>
      <c r="K81" s="6">
        <f>IF(Benchmark2[[#This Row],[Comparable '#3 Date Check]]="Pass",INDEX(Comp3[Comparable '#3 Price],MATCH(Benchmark2[[#This Row],[Benchmark '#2 Dates]],Comp3[Comparable '#3 Dates],0)),"-")</f>
        <v>125.72</v>
      </c>
    </row>
    <row r="82" spans="1:11">
      <c r="A82" s="103">
        <v>43399</v>
      </c>
      <c r="B82" s="104">
        <v>11976.95</v>
      </c>
      <c r="C82" s="4">
        <f t="shared" si="1"/>
        <v>-1.1778122362359802E-2</v>
      </c>
      <c r="D82" s="1" t="str">
        <f>IF(COUNTIF(Target1[Target Dates],Benchmark2[[#This Row],[Benchmark '#2 Dates]])=1,"Pass","Fail")</f>
        <v>Pass</v>
      </c>
      <c r="E82" s="6">
        <f>IF(Benchmark2[[#This Row],[Target Date Check]]="Pass",INDEX(Target1[Target Price],MATCH(Benchmark2[[#This Row],[Benchmark '#2 Dates]],Target1[Target Dates],0)),"-")</f>
        <v>21.79</v>
      </c>
      <c r="F82" s="1" t="str">
        <f>IF(COUNTIF(Comp1[Comparable '#1 Dates],Benchmark2[[#This Row],[Benchmark '#2 Dates]])=1,"Pass","Fail")</f>
        <v>Pass</v>
      </c>
      <c r="G82" s="6">
        <f>IF(Benchmark2[[#This Row],[Comparable '#1 Date Check]]="Pass",INDEX(Comp1[Comparable '#1 Price],MATCH(Benchmark2[[#This Row],[Benchmark '#2 Dates]],Comp1[Comparable '#1 Dates],0)),"-")</f>
        <v>14.86</v>
      </c>
      <c r="H82" s="1" t="str">
        <f>IF(COUNTIF(Comp2[Comparable '#2 Dates],Benchmark2[[#This Row],[Benchmark '#2 Dates]])=1,"Pass","Fail")</f>
        <v>Pass</v>
      </c>
      <c r="I82" s="6">
        <f>IF(Benchmark2[[#This Row],[Comparable '#2 Date Check]]="Pass",INDEX(Comp2[Comparable '#2 Price],MATCH(Benchmark2[[#This Row],[Benchmark '#2 Dates]],Comp2[Comparable '#2 Dates],0)),"-")</f>
        <v>48.25</v>
      </c>
      <c r="J82" s="1" t="str">
        <f>IF(COUNTIF(Comp3[Comparable '#3 Dates],Benchmark2[[#This Row],[Benchmark '#2 Dates]])=1,"Pass","Fail")</f>
        <v>Pass</v>
      </c>
      <c r="K82" s="6">
        <f>IF(Benchmark2[[#This Row],[Comparable '#3 Date Check]]="Pass",INDEX(Comp3[Comparable '#3 Price],MATCH(Benchmark2[[#This Row],[Benchmark '#2 Dates]],Comp3[Comparable '#3 Dates],0)),"-")</f>
        <v>125.79</v>
      </c>
    </row>
    <row r="83" spans="1:11">
      <c r="A83" s="103">
        <v>43402</v>
      </c>
      <c r="B83" s="104">
        <v>11942.51</v>
      </c>
      <c r="C83" s="4">
        <f t="shared" si="1"/>
        <v>-2.8796656612983008E-3</v>
      </c>
      <c r="D83" s="1" t="str">
        <f>IF(COUNTIF(Target1[Target Dates],Benchmark2[[#This Row],[Benchmark '#2 Dates]])=1,"Pass","Fail")</f>
        <v>Pass</v>
      </c>
      <c r="E83" s="6">
        <f>IF(Benchmark2[[#This Row],[Target Date Check]]="Pass",INDEX(Target1[Target Price],MATCH(Benchmark2[[#This Row],[Benchmark '#2 Dates]],Target1[Target Dates],0)),"-")</f>
        <v>22.41</v>
      </c>
      <c r="F83" s="1" t="str">
        <f>IF(COUNTIF(Comp1[Comparable '#1 Dates],Benchmark2[[#This Row],[Benchmark '#2 Dates]])=1,"Pass","Fail")</f>
        <v>Pass</v>
      </c>
      <c r="G83" s="6">
        <f>IF(Benchmark2[[#This Row],[Comparable '#1 Date Check]]="Pass",INDEX(Comp1[Comparable '#1 Price],MATCH(Benchmark2[[#This Row],[Benchmark '#2 Dates]],Comp1[Comparable '#1 Dates],0)),"-")</f>
        <v>14.46</v>
      </c>
      <c r="H83" s="1" t="str">
        <f>IF(COUNTIF(Comp2[Comparable '#2 Dates],Benchmark2[[#This Row],[Benchmark '#2 Dates]])=1,"Pass","Fail")</f>
        <v>Pass</v>
      </c>
      <c r="I83" s="6">
        <f>IF(Benchmark2[[#This Row],[Comparable '#2 Date Check]]="Pass",INDEX(Comp2[Comparable '#2 Price],MATCH(Benchmark2[[#This Row],[Benchmark '#2 Dates]],Comp2[Comparable '#2 Dates],0)),"-")</f>
        <v>48.15</v>
      </c>
      <c r="J83" s="1" t="str">
        <f>IF(COUNTIF(Comp3[Comparable '#3 Dates],Benchmark2[[#This Row],[Benchmark '#2 Dates]])=1,"Pass","Fail")</f>
        <v>Pass</v>
      </c>
      <c r="K83" s="6">
        <f>IF(Benchmark2[[#This Row],[Comparable '#3 Date Check]]="Pass",INDEX(Comp3[Comparable '#3 Price],MATCH(Benchmark2[[#This Row],[Benchmark '#2 Dates]],Comp3[Comparable '#3 Dates],0)),"-")</f>
        <v>124.23</v>
      </c>
    </row>
    <row r="84" spans="1:11">
      <c r="A84" s="103">
        <v>43403</v>
      </c>
      <c r="B84" s="104">
        <v>12129.94</v>
      </c>
      <c r="C84" s="4">
        <f t="shared" si="1"/>
        <v>1.5572472902631697E-2</v>
      </c>
      <c r="D84" s="1" t="str">
        <f>IF(COUNTIF(Target1[Target Dates],Benchmark2[[#This Row],[Benchmark '#2 Dates]])=1,"Pass","Fail")</f>
        <v>Pass</v>
      </c>
      <c r="E84" s="6">
        <f>IF(Benchmark2[[#This Row],[Target Date Check]]="Pass",INDEX(Target1[Target Price],MATCH(Benchmark2[[#This Row],[Benchmark '#2 Dates]],Target1[Target Dates],0)),"-")</f>
        <v>21.98</v>
      </c>
      <c r="F84" s="1" t="str">
        <f>IF(COUNTIF(Comp1[Comparable '#1 Dates],Benchmark2[[#This Row],[Benchmark '#2 Dates]])=1,"Pass","Fail")</f>
        <v>Pass</v>
      </c>
      <c r="G84" s="6">
        <f>IF(Benchmark2[[#This Row],[Comparable '#1 Date Check]]="Pass",INDEX(Comp1[Comparable '#1 Price],MATCH(Benchmark2[[#This Row],[Benchmark '#2 Dates]],Comp1[Comparable '#1 Dates],0)),"-")</f>
        <v>14.9</v>
      </c>
      <c r="H84" s="1" t="str">
        <f>IF(COUNTIF(Comp2[Comparable '#2 Dates],Benchmark2[[#This Row],[Benchmark '#2 Dates]])=1,"Pass","Fail")</f>
        <v>Pass</v>
      </c>
      <c r="I84" s="6">
        <f>IF(Benchmark2[[#This Row],[Comparable '#2 Date Check]]="Pass",INDEX(Comp2[Comparable '#2 Price],MATCH(Benchmark2[[#This Row],[Benchmark '#2 Dates]],Comp2[Comparable '#2 Dates],0)),"-")</f>
        <v>49.55</v>
      </c>
      <c r="J84" s="1" t="str">
        <f>IF(COUNTIF(Comp3[Comparable '#3 Dates],Benchmark2[[#This Row],[Benchmark '#2 Dates]])=1,"Pass","Fail")</f>
        <v>Pass</v>
      </c>
      <c r="K84" s="6">
        <f>IF(Benchmark2[[#This Row],[Comparable '#3 Date Check]]="Pass",INDEX(Comp3[Comparable '#3 Price],MATCH(Benchmark2[[#This Row],[Benchmark '#2 Dates]],Comp3[Comparable '#3 Dates],0)),"-")</f>
        <v>124.14</v>
      </c>
    </row>
    <row r="85" spans="1:11">
      <c r="A85" s="103">
        <v>43404</v>
      </c>
      <c r="B85" s="104">
        <v>12208.06</v>
      </c>
      <c r="C85" s="4">
        <f t="shared" si="1"/>
        <v>6.4196128101089772E-3</v>
      </c>
      <c r="D85" s="1" t="str">
        <f>IF(COUNTIF(Target1[Target Dates],Benchmark2[[#This Row],[Benchmark '#2 Dates]])=1,"Pass","Fail")</f>
        <v>Pass</v>
      </c>
      <c r="E85" s="6">
        <f>IF(Benchmark2[[#This Row],[Target Date Check]]="Pass",INDEX(Target1[Target Price],MATCH(Benchmark2[[#This Row],[Benchmark '#2 Dates]],Target1[Target Dates],0)),"-")</f>
        <v>21.41</v>
      </c>
      <c r="F85" s="1" t="str">
        <f>IF(COUNTIF(Comp1[Comparable '#1 Dates],Benchmark2[[#This Row],[Benchmark '#2 Dates]])=1,"Pass","Fail")</f>
        <v>Pass</v>
      </c>
      <c r="G85" s="6">
        <f>IF(Benchmark2[[#This Row],[Comparable '#1 Date Check]]="Pass",INDEX(Comp1[Comparable '#1 Price],MATCH(Benchmark2[[#This Row],[Benchmark '#2 Dates]],Comp1[Comparable '#1 Dates],0)),"-")</f>
        <v>14.89</v>
      </c>
      <c r="H85" s="1" t="str">
        <f>IF(COUNTIF(Comp2[Comparable '#2 Dates],Benchmark2[[#This Row],[Benchmark '#2 Dates]])=1,"Pass","Fail")</f>
        <v>Pass</v>
      </c>
      <c r="I85" s="6">
        <f>IF(Benchmark2[[#This Row],[Comparable '#2 Date Check]]="Pass",INDEX(Comp2[Comparable '#2 Price],MATCH(Benchmark2[[#This Row],[Benchmark '#2 Dates]],Comp2[Comparable '#2 Dates],0)),"-")</f>
        <v>50.63</v>
      </c>
      <c r="J85" s="1" t="str">
        <f>IF(COUNTIF(Comp3[Comparable '#3 Dates],Benchmark2[[#This Row],[Benchmark '#2 Dates]])=1,"Pass","Fail")</f>
        <v>Pass</v>
      </c>
      <c r="K85" s="6">
        <f>IF(Benchmark2[[#This Row],[Comparable '#3 Date Check]]="Pass",INDEX(Comp3[Comparable '#3 Price],MATCH(Benchmark2[[#This Row],[Benchmark '#2 Dates]],Comp3[Comparable '#3 Dates],0)),"-")</f>
        <v>125.82</v>
      </c>
    </row>
    <row r="86" spans="1:11">
      <c r="A86" s="103">
        <v>43405</v>
      </c>
      <c r="B86" s="104">
        <v>12356.5</v>
      </c>
      <c r="C86" s="4">
        <f t="shared" si="1"/>
        <v>1.2085851067899413E-2</v>
      </c>
      <c r="D86" s="1" t="str">
        <f>IF(COUNTIF(Target1[Target Dates],Benchmark2[[#This Row],[Benchmark '#2 Dates]])=1,"Pass","Fail")</f>
        <v>Pass</v>
      </c>
      <c r="E86" s="6">
        <f>IF(Benchmark2[[#This Row],[Target Date Check]]="Pass",INDEX(Target1[Target Price],MATCH(Benchmark2[[#This Row],[Benchmark '#2 Dates]],Target1[Target Dates],0)),"-")</f>
        <v>21.82</v>
      </c>
      <c r="F86" s="1" t="str">
        <f>IF(COUNTIF(Comp1[Comparable '#1 Dates],Benchmark2[[#This Row],[Benchmark '#2 Dates]])=1,"Pass","Fail")</f>
        <v>Pass</v>
      </c>
      <c r="G86" s="6">
        <f>IF(Benchmark2[[#This Row],[Comparable '#1 Date Check]]="Pass",INDEX(Comp1[Comparable '#1 Price],MATCH(Benchmark2[[#This Row],[Benchmark '#2 Dates]],Comp1[Comparable '#1 Dates],0)),"-")</f>
        <v>15.21</v>
      </c>
      <c r="H86" s="1" t="str">
        <f>IF(COUNTIF(Comp2[Comparable '#2 Dates],Benchmark2[[#This Row],[Benchmark '#2 Dates]])=1,"Pass","Fail")</f>
        <v>Pass</v>
      </c>
      <c r="I86" s="6">
        <f>IF(Benchmark2[[#This Row],[Comparable '#2 Date Check]]="Pass",INDEX(Comp2[Comparable '#2 Price],MATCH(Benchmark2[[#This Row],[Benchmark '#2 Dates]],Comp2[Comparable '#2 Dates],0)),"-")</f>
        <v>50</v>
      </c>
      <c r="J86" s="1" t="str">
        <f>IF(COUNTIF(Comp3[Comparable '#3 Dates],Benchmark2[[#This Row],[Benchmark '#2 Dates]])=1,"Pass","Fail")</f>
        <v>Pass</v>
      </c>
      <c r="K86" s="6">
        <f>IF(Benchmark2[[#This Row],[Comparable '#3 Date Check]]="Pass",INDEX(Comp3[Comparable '#3 Price],MATCH(Benchmark2[[#This Row],[Benchmark '#2 Dates]],Comp3[Comparable '#3 Dates],0)),"-")</f>
        <v>125.82</v>
      </c>
    </row>
    <row r="87" spans="1:11">
      <c r="A87" s="103">
        <v>43406</v>
      </c>
      <c r="B87" s="104">
        <v>12321.8</v>
      </c>
      <c r="C87" s="4">
        <f t="shared" si="1"/>
        <v>-2.8121890785407421E-3</v>
      </c>
      <c r="D87" s="1" t="str">
        <f>IF(COUNTIF(Target1[Target Dates],Benchmark2[[#This Row],[Benchmark '#2 Dates]])=1,"Pass","Fail")</f>
        <v>Pass</v>
      </c>
      <c r="E87" s="6">
        <f>IF(Benchmark2[[#This Row],[Target Date Check]]="Pass",INDEX(Target1[Target Price],MATCH(Benchmark2[[#This Row],[Benchmark '#2 Dates]],Target1[Target Dates],0)),"-")</f>
        <v>22.12</v>
      </c>
      <c r="F87" s="1" t="str">
        <f>IF(COUNTIF(Comp1[Comparable '#1 Dates],Benchmark2[[#This Row],[Benchmark '#2 Dates]])=1,"Pass","Fail")</f>
        <v>Pass</v>
      </c>
      <c r="G87" s="6">
        <f>IF(Benchmark2[[#This Row],[Comparable '#1 Date Check]]="Pass",INDEX(Comp1[Comparable '#1 Price],MATCH(Benchmark2[[#This Row],[Benchmark '#2 Dates]],Comp1[Comparable '#1 Dates],0)),"-")</f>
        <v>15.07</v>
      </c>
      <c r="H87" s="1" t="str">
        <f>IF(COUNTIF(Comp2[Comparable '#2 Dates],Benchmark2[[#This Row],[Benchmark '#2 Dates]])=1,"Pass","Fail")</f>
        <v>Pass</v>
      </c>
      <c r="I87" s="6">
        <f>IF(Benchmark2[[#This Row],[Comparable '#2 Date Check]]="Pass",INDEX(Comp2[Comparable '#2 Price],MATCH(Benchmark2[[#This Row],[Benchmark '#2 Dates]],Comp2[Comparable '#2 Dates],0)),"-")</f>
        <v>52.79</v>
      </c>
      <c r="J87" s="1" t="str">
        <f>IF(COUNTIF(Comp3[Comparable '#3 Dates],Benchmark2[[#This Row],[Benchmark '#2 Dates]])=1,"Pass","Fail")</f>
        <v>Pass</v>
      </c>
      <c r="K87" s="6">
        <f>IF(Benchmark2[[#This Row],[Comparable '#3 Date Check]]="Pass",INDEX(Comp3[Comparable '#3 Price],MATCH(Benchmark2[[#This Row],[Benchmark '#2 Dates]],Comp3[Comparable '#3 Dates],0)),"-")</f>
        <v>128.58000000000001</v>
      </c>
    </row>
    <row r="88" spans="1:11">
      <c r="A88" s="103">
        <v>43409</v>
      </c>
      <c r="B88" s="104">
        <v>12424.31</v>
      </c>
      <c r="C88" s="4">
        <f t="shared" si="1"/>
        <v>8.2849859121292384E-3</v>
      </c>
      <c r="D88" s="1" t="str">
        <f>IF(COUNTIF(Target1[Target Dates],Benchmark2[[#This Row],[Benchmark '#2 Dates]])=1,"Pass","Fail")</f>
        <v>Pass</v>
      </c>
      <c r="E88" s="6">
        <f>IF(Benchmark2[[#This Row],[Target Date Check]]="Pass",INDEX(Target1[Target Price],MATCH(Benchmark2[[#This Row],[Benchmark '#2 Dates]],Target1[Target Dates],0)),"-")</f>
        <v>21.81</v>
      </c>
      <c r="F88" s="1" t="str">
        <f>IF(COUNTIF(Comp1[Comparable '#1 Dates],Benchmark2[[#This Row],[Benchmark '#2 Dates]])=1,"Pass","Fail")</f>
        <v>Pass</v>
      </c>
      <c r="G88" s="6">
        <f>IF(Benchmark2[[#This Row],[Comparable '#1 Date Check]]="Pass",INDEX(Comp1[Comparable '#1 Price],MATCH(Benchmark2[[#This Row],[Benchmark '#2 Dates]],Comp1[Comparable '#1 Dates],0)),"-")</f>
        <v>15.25</v>
      </c>
      <c r="H88" s="1" t="str">
        <f>IF(COUNTIF(Comp2[Comparable '#2 Dates],Benchmark2[[#This Row],[Benchmark '#2 Dates]])=1,"Pass","Fail")</f>
        <v>Pass</v>
      </c>
      <c r="I88" s="6">
        <f>IF(Benchmark2[[#This Row],[Comparable '#2 Date Check]]="Pass",INDEX(Comp2[Comparable '#2 Price],MATCH(Benchmark2[[#This Row],[Benchmark '#2 Dates]],Comp2[Comparable '#2 Dates],0)),"-")</f>
        <v>54.7</v>
      </c>
      <c r="J88" s="1" t="str">
        <f>IF(COUNTIF(Comp3[Comparable '#3 Dates],Benchmark2[[#This Row],[Benchmark '#2 Dates]])=1,"Pass","Fail")</f>
        <v>Pass</v>
      </c>
      <c r="K88" s="6">
        <f>IF(Benchmark2[[#This Row],[Comparable '#3 Date Check]]="Pass",INDEX(Comp3[Comparable '#3 Price],MATCH(Benchmark2[[#This Row],[Benchmark '#2 Dates]],Comp3[Comparable '#3 Dates],0)),"-")</f>
        <v>131.6</v>
      </c>
    </row>
    <row r="89" spans="1:11">
      <c r="A89" s="103">
        <v>43410</v>
      </c>
      <c r="B89" s="104">
        <v>12480.06</v>
      </c>
      <c r="C89" s="4">
        <f t="shared" si="1"/>
        <v>4.4771333805603336E-3</v>
      </c>
      <c r="D89" s="1" t="str">
        <f>IF(COUNTIF(Target1[Target Dates],Benchmark2[[#This Row],[Benchmark '#2 Dates]])=1,"Pass","Fail")</f>
        <v>Pass</v>
      </c>
      <c r="E89" s="6">
        <f>IF(Benchmark2[[#This Row],[Target Date Check]]="Pass",INDEX(Target1[Target Price],MATCH(Benchmark2[[#This Row],[Benchmark '#2 Dates]],Target1[Target Dates],0)),"-")</f>
        <v>22.18</v>
      </c>
      <c r="F89" s="1" t="str">
        <f>IF(COUNTIF(Comp1[Comparable '#1 Dates],Benchmark2[[#This Row],[Benchmark '#2 Dates]])=1,"Pass","Fail")</f>
        <v>Pass</v>
      </c>
      <c r="G89" s="6">
        <f>IF(Benchmark2[[#This Row],[Comparable '#1 Date Check]]="Pass",INDEX(Comp1[Comparable '#1 Price],MATCH(Benchmark2[[#This Row],[Benchmark '#2 Dates]],Comp1[Comparable '#1 Dates],0)),"-")</f>
        <v>15.34</v>
      </c>
      <c r="H89" s="1" t="str">
        <f>IF(COUNTIF(Comp2[Comparable '#2 Dates],Benchmark2[[#This Row],[Benchmark '#2 Dates]])=1,"Pass","Fail")</f>
        <v>Pass</v>
      </c>
      <c r="I89" s="6">
        <f>IF(Benchmark2[[#This Row],[Comparable '#2 Date Check]]="Pass",INDEX(Comp2[Comparable '#2 Price],MATCH(Benchmark2[[#This Row],[Benchmark '#2 Dates]],Comp2[Comparable '#2 Dates],0)),"-")</f>
        <v>56.04</v>
      </c>
      <c r="J89" s="1" t="str">
        <f>IF(COUNTIF(Comp3[Comparable '#3 Dates],Benchmark2[[#This Row],[Benchmark '#2 Dates]])=1,"Pass","Fail")</f>
        <v>Pass</v>
      </c>
      <c r="K89" s="6">
        <f>IF(Benchmark2[[#This Row],[Comparable '#3 Date Check]]="Pass",INDEX(Comp3[Comparable '#3 Price],MATCH(Benchmark2[[#This Row],[Benchmark '#2 Dates]],Comp3[Comparable '#3 Dates],0)),"-")</f>
        <v>132.9</v>
      </c>
    </row>
    <row r="90" spans="1:11">
      <c r="A90" s="103">
        <v>43411</v>
      </c>
      <c r="B90" s="104">
        <v>12679.1</v>
      </c>
      <c r="C90" s="4">
        <f t="shared" si="1"/>
        <v>1.5822797950014823E-2</v>
      </c>
      <c r="D90" s="1" t="str">
        <f>IF(COUNTIF(Target1[Target Dates],Benchmark2[[#This Row],[Benchmark '#2 Dates]])=1,"Pass","Fail")</f>
        <v>Pass</v>
      </c>
      <c r="E90" s="6">
        <f>IF(Benchmark2[[#This Row],[Target Date Check]]="Pass",INDEX(Target1[Target Price],MATCH(Benchmark2[[#This Row],[Benchmark '#2 Dates]],Target1[Target Dates],0)),"-")</f>
        <v>23.13</v>
      </c>
      <c r="F90" s="1" t="str">
        <f>IF(COUNTIF(Comp1[Comparable '#1 Dates],Benchmark2[[#This Row],[Benchmark '#2 Dates]])=1,"Pass","Fail")</f>
        <v>Pass</v>
      </c>
      <c r="G90" s="6">
        <f>IF(Benchmark2[[#This Row],[Comparable '#1 Date Check]]="Pass",INDEX(Comp1[Comparable '#1 Price],MATCH(Benchmark2[[#This Row],[Benchmark '#2 Dates]],Comp1[Comparable '#1 Dates],0)),"-")</f>
        <v>15.95</v>
      </c>
      <c r="H90" s="1" t="str">
        <f>IF(COUNTIF(Comp2[Comparable '#2 Dates],Benchmark2[[#This Row],[Benchmark '#2 Dates]])=1,"Pass","Fail")</f>
        <v>Pass</v>
      </c>
      <c r="I90" s="6">
        <f>IF(Benchmark2[[#This Row],[Comparable '#2 Date Check]]="Pass",INDEX(Comp2[Comparable '#2 Price],MATCH(Benchmark2[[#This Row],[Benchmark '#2 Dates]],Comp2[Comparable '#2 Dates],0)),"-")</f>
        <v>57.89</v>
      </c>
      <c r="J90" s="1" t="str">
        <f>IF(COUNTIF(Comp3[Comparable '#3 Dates],Benchmark2[[#This Row],[Benchmark '#2 Dates]])=1,"Pass","Fail")</f>
        <v>Pass</v>
      </c>
      <c r="K90" s="6">
        <f>IF(Benchmark2[[#This Row],[Comparable '#3 Date Check]]="Pass",INDEX(Comp3[Comparable '#3 Price],MATCH(Benchmark2[[#This Row],[Benchmark '#2 Dates]],Comp3[Comparable '#3 Dates],0)),"-")</f>
        <v>134.28</v>
      </c>
    </row>
    <row r="91" spans="1:11">
      <c r="A91" s="103">
        <v>43412</v>
      </c>
      <c r="B91" s="104">
        <v>12622.04</v>
      </c>
      <c r="C91" s="4">
        <f t="shared" si="1"/>
        <v>-4.5104763451428399E-3</v>
      </c>
      <c r="D91" s="1" t="str">
        <f>IF(COUNTIF(Target1[Target Dates],Benchmark2[[#This Row],[Benchmark '#2 Dates]])=1,"Pass","Fail")</f>
        <v>Pass</v>
      </c>
      <c r="E91" s="6">
        <f>IF(Benchmark2[[#This Row],[Target Date Check]]="Pass",INDEX(Target1[Target Price],MATCH(Benchmark2[[#This Row],[Benchmark '#2 Dates]],Target1[Target Dates],0)),"-")</f>
        <v>23.21</v>
      </c>
      <c r="F91" s="1" t="str">
        <f>IF(COUNTIF(Comp1[Comparable '#1 Dates],Benchmark2[[#This Row],[Benchmark '#2 Dates]])=1,"Pass","Fail")</f>
        <v>Pass</v>
      </c>
      <c r="G91" s="6">
        <f>IF(Benchmark2[[#This Row],[Comparable '#1 Date Check]]="Pass",INDEX(Comp1[Comparable '#1 Price],MATCH(Benchmark2[[#This Row],[Benchmark '#2 Dates]],Comp1[Comparable '#1 Dates],0)),"-")</f>
        <v>15.85</v>
      </c>
      <c r="H91" s="1" t="str">
        <f>IF(COUNTIF(Comp2[Comparable '#2 Dates],Benchmark2[[#This Row],[Benchmark '#2 Dates]])=1,"Pass","Fail")</f>
        <v>Pass</v>
      </c>
      <c r="I91" s="6">
        <f>IF(Benchmark2[[#This Row],[Comparable '#2 Date Check]]="Pass",INDEX(Comp2[Comparable '#2 Price],MATCH(Benchmark2[[#This Row],[Benchmark '#2 Dates]],Comp2[Comparable '#2 Dates],0)),"-")</f>
        <v>57.87</v>
      </c>
      <c r="J91" s="1" t="str">
        <f>IF(COUNTIF(Comp3[Comparable '#3 Dates],Benchmark2[[#This Row],[Benchmark '#2 Dates]])=1,"Pass","Fail")</f>
        <v>Pass</v>
      </c>
      <c r="K91" s="6">
        <f>IF(Benchmark2[[#This Row],[Comparable '#3 Date Check]]="Pass",INDEX(Comp3[Comparable '#3 Price],MATCH(Benchmark2[[#This Row],[Benchmark '#2 Dates]],Comp3[Comparable '#3 Dates],0)),"-")</f>
        <v>150.21</v>
      </c>
    </row>
    <row r="92" spans="1:11">
      <c r="A92" s="103">
        <v>43413</v>
      </c>
      <c r="B92" s="104">
        <v>12537.53</v>
      </c>
      <c r="C92" s="4">
        <f t="shared" si="1"/>
        <v>-6.7179461201778068E-3</v>
      </c>
      <c r="D92" s="1" t="str">
        <f>IF(COUNTIF(Target1[Target Dates],Benchmark2[[#This Row],[Benchmark '#2 Dates]])=1,"Pass","Fail")</f>
        <v>Pass</v>
      </c>
      <c r="E92" s="6">
        <f>IF(Benchmark2[[#This Row],[Target Date Check]]="Pass",INDEX(Target1[Target Price],MATCH(Benchmark2[[#This Row],[Benchmark '#2 Dates]],Target1[Target Dates],0)),"-")</f>
        <v>23.19</v>
      </c>
      <c r="F92" s="1" t="str">
        <f>IF(COUNTIF(Comp1[Comparable '#1 Dates],Benchmark2[[#This Row],[Benchmark '#2 Dates]])=1,"Pass","Fail")</f>
        <v>Pass</v>
      </c>
      <c r="G92" s="6">
        <f>IF(Benchmark2[[#This Row],[Comparable '#1 Date Check]]="Pass",INDEX(Comp1[Comparable '#1 Price],MATCH(Benchmark2[[#This Row],[Benchmark '#2 Dates]],Comp1[Comparable '#1 Dates],0)),"-")</f>
        <v>15.9</v>
      </c>
      <c r="H92" s="1" t="str">
        <f>IF(COUNTIF(Comp2[Comparable '#2 Dates],Benchmark2[[#This Row],[Benchmark '#2 Dates]])=1,"Pass","Fail")</f>
        <v>Pass</v>
      </c>
      <c r="I92" s="6">
        <f>IF(Benchmark2[[#This Row],[Comparable '#2 Date Check]]="Pass",INDEX(Comp2[Comparable '#2 Price],MATCH(Benchmark2[[#This Row],[Benchmark '#2 Dates]],Comp2[Comparable '#2 Dates],0)),"-")</f>
        <v>58</v>
      </c>
      <c r="J92" s="1" t="str">
        <f>IF(COUNTIF(Comp3[Comparable '#3 Dates],Benchmark2[[#This Row],[Benchmark '#2 Dates]])=1,"Pass","Fail")</f>
        <v>Pass</v>
      </c>
      <c r="K92" s="6">
        <f>IF(Benchmark2[[#This Row],[Comparable '#3 Date Check]]="Pass",INDEX(Comp3[Comparable '#3 Price],MATCH(Benchmark2[[#This Row],[Benchmark '#2 Dates]],Comp3[Comparable '#3 Dates],0)),"-")</f>
        <v>140.33000000000001</v>
      </c>
    </row>
    <row r="93" spans="1:11">
      <c r="A93" s="103">
        <v>43416</v>
      </c>
      <c r="B93" s="104">
        <v>12343.51</v>
      </c>
      <c r="C93" s="4">
        <f t="shared" si="1"/>
        <v>-1.5596127232324255E-2</v>
      </c>
      <c r="D93" s="1" t="str">
        <f>IF(COUNTIF(Target1[Target Dates],Benchmark2[[#This Row],[Benchmark '#2 Dates]])=1,"Pass","Fail")</f>
        <v>Pass</v>
      </c>
      <c r="E93" s="6">
        <f>IF(Benchmark2[[#This Row],[Target Date Check]]="Pass",INDEX(Target1[Target Price],MATCH(Benchmark2[[#This Row],[Benchmark '#2 Dates]],Target1[Target Dates],0)),"-")</f>
        <v>23.13</v>
      </c>
      <c r="F93" s="1" t="str">
        <f>IF(COUNTIF(Comp1[Comparable '#1 Dates],Benchmark2[[#This Row],[Benchmark '#2 Dates]])=1,"Pass","Fail")</f>
        <v>Pass</v>
      </c>
      <c r="G93" s="6">
        <f>IF(Benchmark2[[#This Row],[Comparable '#1 Date Check]]="Pass",INDEX(Comp1[Comparable '#1 Price],MATCH(Benchmark2[[#This Row],[Benchmark '#2 Dates]],Comp1[Comparable '#1 Dates],0)),"-")</f>
        <v>15.93</v>
      </c>
      <c r="H93" s="1" t="str">
        <f>IF(COUNTIF(Comp2[Comparable '#2 Dates],Benchmark2[[#This Row],[Benchmark '#2 Dates]])=1,"Pass","Fail")</f>
        <v>Pass</v>
      </c>
      <c r="I93" s="6">
        <f>IF(Benchmark2[[#This Row],[Comparable '#2 Date Check]]="Pass",INDEX(Comp2[Comparable '#2 Price],MATCH(Benchmark2[[#This Row],[Benchmark '#2 Dates]],Comp2[Comparable '#2 Dates],0)),"-")</f>
        <v>58.16</v>
      </c>
      <c r="J93" s="1" t="str">
        <f>IF(COUNTIF(Comp3[Comparable '#3 Dates],Benchmark2[[#This Row],[Benchmark '#2 Dates]])=1,"Pass","Fail")</f>
        <v>Pass</v>
      </c>
      <c r="K93" s="6">
        <f>IF(Benchmark2[[#This Row],[Comparable '#3 Date Check]]="Pass",INDEX(Comp3[Comparable '#3 Price],MATCH(Benchmark2[[#This Row],[Benchmark '#2 Dates]],Comp3[Comparable '#3 Dates],0)),"-")</f>
        <v>144.09</v>
      </c>
    </row>
    <row r="94" spans="1:11">
      <c r="A94" s="103">
        <v>43417</v>
      </c>
      <c r="B94" s="104">
        <v>12328.3</v>
      </c>
      <c r="C94" s="4">
        <f t="shared" si="1"/>
        <v>-1.232986305173759E-3</v>
      </c>
      <c r="D94" s="1" t="str">
        <f>IF(COUNTIF(Target1[Target Dates],Benchmark2[[#This Row],[Benchmark '#2 Dates]])=1,"Pass","Fail")</f>
        <v>Pass</v>
      </c>
      <c r="E94" s="6">
        <f>IF(Benchmark2[[#This Row],[Target Date Check]]="Pass",INDEX(Target1[Target Price],MATCH(Benchmark2[[#This Row],[Benchmark '#2 Dates]],Target1[Target Dates],0)),"-")</f>
        <v>23.21</v>
      </c>
      <c r="F94" s="1" t="str">
        <f>IF(COUNTIF(Comp1[Comparable '#1 Dates],Benchmark2[[#This Row],[Benchmark '#2 Dates]])=1,"Pass","Fail")</f>
        <v>Pass</v>
      </c>
      <c r="G94" s="6">
        <f>IF(Benchmark2[[#This Row],[Comparable '#1 Date Check]]="Pass",INDEX(Comp1[Comparable '#1 Price],MATCH(Benchmark2[[#This Row],[Benchmark '#2 Dates]],Comp1[Comparable '#1 Dates],0)),"-")</f>
        <v>15.53</v>
      </c>
      <c r="H94" s="1" t="str">
        <f>IF(COUNTIF(Comp2[Comparable '#2 Dates],Benchmark2[[#This Row],[Benchmark '#2 Dates]])=1,"Pass","Fail")</f>
        <v>Pass</v>
      </c>
      <c r="I94" s="6">
        <f>IF(Benchmark2[[#This Row],[Comparable '#2 Date Check]]="Pass",INDEX(Comp2[Comparable '#2 Price],MATCH(Benchmark2[[#This Row],[Benchmark '#2 Dates]],Comp2[Comparable '#2 Dates],0)),"-")</f>
        <v>57.74</v>
      </c>
      <c r="J94" s="1" t="str">
        <f>IF(COUNTIF(Comp3[Comparable '#3 Dates],Benchmark2[[#This Row],[Benchmark '#2 Dates]])=1,"Pass","Fail")</f>
        <v>Pass</v>
      </c>
      <c r="K94" s="6">
        <f>IF(Benchmark2[[#This Row],[Comparable '#3 Date Check]]="Pass",INDEX(Comp3[Comparable '#3 Price],MATCH(Benchmark2[[#This Row],[Benchmark '#2 Dates]],Comp3[Comparable '#3 Dates],0)),"-")</f>
        <v>142.56</v>
      </c>
    </row>
    <row r="95" spans="1:11">
      <c r="A95" s="103">
        <v>43418</v>
      </c>
      <c r="B95" s="104">
        <v>12275.49</v>
      </c>
      <c r="C95" s="4">
        <f t="shared" si="1"/>
        <v>-4.2928411517629489E-3</v>
      </c>
      <c r="D95" s="1" t="str">
        <f>IF(COUNTIF(Target1[Target Dates],Benchmark2[[#This Row],[Benchmark '#2 Dates]])=1,"Pass","Fail")</f>
        <v>Pass</v>
      </c>
      <c r="E95" s="6">
        <f>IF(Benchmark2[[#This Row],[Target Date Check]]="Pass",INDEX(Target1[Target Price],MATCH(Benchmark2[[#This Row],[Benchmark '#2 Dates]],Target1[Target Dates],0)),"-")</f>
        <v>23.2</v>
      </c>
      <c r="F95" s="1" t="str">
        <f>IF(COUNTIF(Comp1[Comparable '#1 Dates],Benchmark2[[#This Row],[Benchmark '#2 Dates]])=1,"Pass","Fail")</f>
        <v>Pass</v>
      </c>
      <c r="G95" s="6">
        <f>IF(Benchmark2[[#This Row],[Comparable '#1 Date Check]]="Pass",INDEX(Comp1[Comparable '#1 Price],MATCH(Benchmark2[[#This Row],[Benchmark '#2 Dates]],Comp1[Comparable '#1 Dates],0)),"-")</f>
        <v>14.135</v>
      </c>
      <c r="H95" s="1" t="str">
        <f>IF(COUNTIF(Comp2[Comparable '#2 Dates],Benchmark2[[#This Row],[Benchmark '#2 Dates]])=1,"Pass","Fail")</f>
        <v>Pass</v>
      </c>
      <c r="I95" s="6">
        <f>IF(Benchmark2[[#This Row],[Comparable '#2 Date Check]]="Pass",INDEX(Comp2[Comparable '#2 Price],MATCH(Benchmark2[[#This Row],[Benchmark '#2 Dates]],Comp2[Comparable '#2 Dates],0)),"-")</f>
        <v>57.02</v>
      </c>
      <c r="J95" s="1" t="str">
        <f>IF(COUNTIF(Comp3[Comparable '#3 Dates],Benchmark2[[#This Row],[Benchmark '#2 Dates]])=1,"Pass","Fail")</f>
        <v>Pass</v>
      </c>
      <c r="K95" s="6">
        <f>IF(Benchmark2[[#This Row],[Comparable '#3 Date Check]]="Pass",INDEX(Comp3[Comparable '#3 Price],MATCH(Benchmark2[[#This Row],[Benchmark '#2 Dates]],Comp3[Comparable '#3 Dates],0)),"-")</f>
        <v>137.88999999999999</v>
      </c>
    </row>
    <row r="96" spans="1:11">
      <c r="A96" s="103">
        <v>43419</v>
      </c>
      <c r="B96" s="104">
        <v>12361.52</v>
      </c>
      <c r="C96" s="4">
        <f t="shared" si="1"/>
        <v>6.9838303972634486E-3</v>
      </c>
      <c r="D96" s="1" t="str">
        <f>IF(COUNTIF(Target1[Target Dates],Benchmark2[[#This Row],[Benchmark '#2 Dates]])=1,"Pass","Fail")</f>
        <v>Pass</v>
      </c>
      <c r="E96" s="6">
        <f>IF(Benchmark2[[#This Row],[Target Date Check]]="Pass",INDEX(Target1[Target Price],MATCH(Benchmark2[[#This Row],[Benchmark '#2 Dates]],Target1[Target Dates],0)),"-")</f>
        <v>23.01</v>
      </c>
      <c r="F96" s="1" t="str">
        <f>IF(COUNTIF(Comp1[Comparable '#1 Dates],Benchmark2[[#This Row],[Benchmark '#2 Dates]])=1,"Pass","Fail")</f>
        <v>Pass</v>
      </c>
      <c r="G96" s="6">
        <f>IF(Benchmark2[[#This Row],[Comparable '#1 Date Check]]="Pass",INDEX(Comp1[Comparable '#1 Price],MATCH(Benchmark2[[#This Row],[Benchmark '#2 Dates]],Comp1[Comparable '#1 Dates],0)),"-")</f>
        <v>14.46</v>
      </c>
      <c r="H96" s="1" t="str">
        <f>IF(COUNTIF(Comp2[Comparable '#2 Dates],Benchmark2[[#This Row],[Benchmark '#2 Dates]])=1,"Pass","Fail")</f>
        <v>Pass</v>
      </c>
      <c r="I96" s="6">
        <f>IF(Benchmark2[[#This Row],[Comparable '#2 Date Check]]="Pass",INDEX(Comp2[Comparable '#2 Price],MATCH(Benchmark2[[#This Row],[Benchmark '#2 Dates]],Comp2[Comparable '#2 Dates],0)),"-")</f>
        <v>57.71</v>
      </c>
      <c r="J96" s="1" t="str">
        <f>IF(COUNTIF(Comp3[Comparable '#3 Dates],Benchmark2[[#This Row],[Benchmark '#2 Dates]])=1,"Pass","Fail")</f>
        <v>Pass</v>
      </c>
      <c r="K96" s="6">
        <f>IF(Benchmark2[[#This Row],[Comparable '#3 Date Check]]="Pass",INDEX(Comp3[Comparable '#3 Price],MATCH(Benchmark2[[#This Row],[Benchmark '#2 Dates]],Comp3[Comparable '#3 Dates],0)),"-")</f>
        <v>138.82</v>
      </c>
    </row>
    <row r="97" spans="1:11">
      <c r="A97" s="103">
        <v>43420</v>
      </c>
      <c r="B97" s="104">
        <v>12400.28</v>
      </c>
      <c r="C97" s="4">
        <f t="shared" si="1"/>
        <v>3.1306311864845206E-3</v>
      </c>
      <c r="D97" s="1" t="str">
        <f>IF(COUNTIF(Target1[Target Dates],Benchmark2[[#This Row],[Benchmark '#2 Dates]])=1,"Pass","Fail")</f>
        <v>Pass</v>
      </c>
      <c r="E97" s="6">
        <f>IF(Benchmark2[[#This Row],[Target Date Check]]="Pass",INDEX(Target1[Target Price],MATCH(Benchmark2[[#This Row],[Benchmark '#2 Dates]],Target1[Target Dates],0)),"-")</f>
        <v>22.7</v>
      </c>
      <c r="F97" s="1" t="str">
        <f>IF(COUNTIF(Comp1[Comparable '#1 Dates],Benchmark2[[#This Row],[Benchmark '#2 Dates]])=1,"Pass","Fail")</f>
        <v>Pass</v>
      </c>
      <c r="G97" s="6">
        <f>IF(Benchmark2[[#This Row],[Comparable '#1 Date Check]]="Pass",INDEX(Comp1[Comparable '#1 Price],MATCH(Benchmark2[[#This Row],[Benchmark '#2 Dates]],Comp1[Comparable '#1 Dates],0)),"-")</f>
        <v>14.88</v>
      </c>
      <c r="H97" s="1" t="str">
        <f>IF(COUNTIF(Comp2[Comparable '#2 Dates],Benchmark2[[#This Row],[Benchmark '#2 Dates]])=1,"Pass","Fail")</f>
        <v>Pass</v>
      </c>
      <c r="I97" s="6">
        <f>IF(Benchmark2[[#This Row],[Comparable '#2 Date Check]]="Pass",INDEX(Comp2[Comparable '#2 Price],MATCH(Benchmark2[[#This Row],[Benchmark '#2 Dates]],Comp2[Comparable '#2 Dates],0)),"-")</f>
        <v>57.54</v>
      </c>
      <c r="J97" s="1" t="str">
        <f>IF(COUNTIF(Comp3[Comparable '#3 Dates],Benchmark2[[#This Row],[Benchmark '#2 Dates]])=1,"Pass","Fail")</f>
        <v>Pass</v>
      </c>
      <c r="K97" s="6">
        <f>IF(Benchmark2[[#This Row],[Comparable '#3 Date Check]]="Pass",INDEX(Comp3[Comparable '#3 Price],MATCH(Benchmark2[[#This Row],[Benchmark '#2 Dates]],Comp3[Comparable '#3 Dates],0)),"-")</f>
        <v>134.18</v>
      </c>
    </row>
    <row r="98" spans="1:11">
      <c r="A98" s="103">
        <v>43423</v>
      </c>
      <c r="B98" s="104">
        <v>12280.91</v>
      </c>
      <c r="C98" s="4">
        <f t="shared" si="1"/>
        <v>-9.6730287932726561E-3</v>
      </c>
      <c r="D98" s="1" t="str">
        <f>IF(COUNTIF(Target1[Target Dates],Benchmark2[[#This Row],[Benchmark '#2 Dates]])=1,"Pass","Fail")</f>
        <v>Pass</v>
      </c>
      <c r="E98" s="6">
        <f>IF(Benchmark2[[#This Row],[Target Date Check]]="Pass",INDEX(Target1[Target Price],MATCH(Benchmark2[[#This Row],[Benchmark '#2 Dates]],Target1[Target Dates],0)),"-")</f>
        <v>22.83</v>
      </c>
      <c r="F98" s="1" t="str">
        <f>IF(COUNTIF(Comp1[Comparable '#1 Dates],Benchmark2[[#This Row],[Benchmark '#2 Dates]])=1,"Pass","Fail")</f>
        <v>Pass</v>
      </c>
      <c r="G98" s="6">
        <f>IF(Benchmark2[[#This Row],[Comparable '#1 Date Check]]="Pass",INDEX(Comp1[Comparable '#1 Price],MATCH(Benchmark2[[#This Row],[Benchmark '#2 Dates]],Comp1[Comparable '#1 Dates],0)),"-")</f>
        <v>14.99</v>
      </c>
      <c r="H98" s="1" t="str">
        <f>IF(COUNTIF(Comp2[Comparable '#2 Dates],Benchmark2[[#This Row],[Benchmark '#2 Dates]])=1,"Pass","Fail")</f>
        <v>Pass</v>
      </c>
      <c r="I98" s="6">
        <f>IF(Benchmark2[[#This Row],[Comparable '#2 Date Check]]="Pass",INDEX(Comp2[Comparable '#2 Price],MATCH(Benchmark2[[#This Row],[Benchmark '#2 Dates]],Comp2[Comparable '#2 Dates],0)),"-")</f>
        <v>56.24</v>
      </c>
      <c r="J98" s="1" t="str">
        <f>IF(COUNTIF(Comp3[Comparable '#3 Dates],Benchmark2[[#This Row],[Benchmark '#2 Dates]])=1,"Pass","Fail")</f>
        <v>Pass</v>
      </c>
      <c r="K98" s="6">
        <f>IF(Benchmark2[[#This Row],[Comparable '#3 Date Check]]="Pass",INDEX(Comp3[Comparable '#3 Price],MATCH(Benchmark2[[#This Row],[Benchmark '#2 Dates]],Comp3[Comparable '#3 Dates],0)),"-")</f>
        <v>129.16999999999999</v>
      </c>
    </row>
    <row r="99" spans="1:11">
      <c r="A99" s="103">
        <v>43424</v>
      </c>
      <c r="B99" s="104">
        <v>12048.66</v>
      </c>
      <c r="C99" s="4">
        <f t="shared" si="1"/>
        <v>-1.9092573774326518E-2</v>
      </c>
      <c r="D99" s="1" t="str">
        <f>IF(COUNTIF(Target1[Target Dates],Benchmark2[[#This Row],[Benchmark '#2 Dates]])=1,"Pass","Fail")</f>
        <v>Pass</v>
      </c>
      <c r="E99" s="6">
        <f>IF(Benchmark2[[#This Row],[Target Date Check]]="Pass",INDEX(Target1[Target Price],MATCH(Benchmark2[[#This Row],[Benchmark '#2 Dates]],Target1[Target Dates],0)),"-")</f>
        <v>22.89</v>
      </c>
      <c r="F99" s="1" t="str">
        <f>IF(COUNTIF(Comp1[Comparable '#1 Dates],Benchmark2[[#This Row],[Benchmark '#2 Dates]])=1,"Pass","Fail")</f>
        <v>Pass</v>
      </c>
      <c r="G99" s="6">
        <f>IF(Benchmark2[[#This Row],[Comparable '#1 Date Check]]="Pass",INDEX(Comp1[Comparable '#1 Price],MATCH(Benchmark2[[#This Row],[Benchmark '#2 Dates]],Comp1[Comparable '#1 Dates],0)),"-")</f>
        <v>14.57</v>
      </c>
      <c r="H99" s="1" t="str">
        <f>IF(COUNTIF(Comp2[Comparable '#2 Dates],Benchmark2[[#This Row],[Benchmark '#2 Dates]])=1,"Pass","Fail")</f>
        <v>Pass</v>
      </c>
      <c r="I99" s="6">
        <f>IF(Benchmark2[[#This Row],[Comparable '#2 Date Check]]="Pass",INDEX(Comp2[Comparable '#2 Price],MATCH(Benchmark2[[#This Row],[Benchmark '#2 Dates]],Comp2[Comparable '#2 Dates],0)),"-")</f>
        <v>55.15</v>
      </c>
      <c r="J99" s="1" t="str">
        <f>IF(COUNTIF(Comp3[Comparable '#3 Dates],Benchmark2[[#This Row],[Benchmark '#2 Dates]])=1,"Pass","Fail")</f>
        <v>Pass</v>
      </c>
      <c r="K99" s="6">
        <f>IF(Benchmark2[[#This Row],[Comparable '#3 Date Check]]="Pass",INDEX(Comp3[Comparable '#3 Price],MATCH(Benchmark2[[#This Row],[Benchmark '#2 Dates]],Comp3[Comparable '#3 Dates],0)),"-")</f>
        <v>128.54</v>
      </c>
    </row>
    <row r="100" spans="1:11">
      <c r="A100" s="103">
        <v>43425</v>
      </c>
      <c r="B100" s="104">
        <v>12123.34</v>
      </c>
      <c r="C100" s="4">
        <f t="shared" si="1"/>
        <v>6.1790698007893408E-3</v>
      </c>
      <c r="D100" s="1" t="str">
        <f>IF(COUNTIF(Target1[Target Dates],Benchmark2[[#This Row],[Benchmark '#2 Dates]])=1,"Pass","Fail")</f>
        <v>Pass</v>
      </c>
      <c r="E100" s="6">
        <f>IF(Benchmark2[[#This Row],[Target Date Check]]="Pass",INDEX(Target1[Target Price],MATCH(Benchmark2[[#This Row],[Benchmark '#2 Dates]],Target1[Target Dates],0)),"-")</f>
        <v>23.13</v>
      </c>
      <c r="F100" s="1" t="str">
        <f>IF(COUNTIF(Comp1[Comparable '#1 Dates],Benchmark2[[#This Row],[Benchmark '#2 Dates]])=1,"Pass","Fail")</f>
        <v>Pass</v>
      </c>
      <c r="G100" s="6">
        <f>IF(Benchmark2[[#This Row],[Comparable '#1 Date Check]]="Pass",INDEX(Comp1[Comparable '#1 Price],MATCH(Benchmark2[[#This Row],[Benchmark '#2 Dates]],Comp1[Comparable '#1 Dates],0)),"-")</f>
        <v>14.5</v>
      </c>
      <c r="H100" s="1" t="str">
        <f>IF(COUNTIF(Comp2[Comparable '#2 Dates],Benchmark2[[#This Row],[Benchmark '#2 Dates]])=1,"Pass","Fail")</f>
        <v>Pass</v>
      </c>
      <c r="I100" s="6">
        <f>IF(Benchmark2[[#This Row],[Comparable '#2 Date Check]]="Pass",INDEX(Comp2[Comparable '#2 Price],MATCH(Benchmark2[[#This Row],[Benchmark '#2 Dates]],Comp2[Comparable '#2 Dates],0)),"-")</f>
        <v>55.86</v>
      </c>
      <c r="J100" s="1" t="str">
        <f>IF(COUNTIF(Comp3[Comparable '#3 Dates],Benchmark2[[#This Row],[Benchmark '#2 Dates]])=1,"Pass","Fail")</f>
        <v>Pass</v>
      </c>
      <c r="K100" s="6">
        <f>IF(Benchmark2[[#This Row],[Comparable '#3 Date Check]]="Pass",INDEX(Comp3[Comparable '#3 Price],MATCH(Benchmark2[[#This Row],[Benchmark '#2 Dates]],Comp3[Comparable '#3 Dates],0)),"-")</f>
        <v>130.24</v>
      </c>
    </row>
    <row r="101" spans="1:11">
      <c r="A101" s="103">
        <v>43427</v>
      </c>
      <c r="B101" s="104">
        <v>12036.24</v>
      </c>
      <c r="C101" s="4">
        <f t="shared" si="1"/>
        <v>-7.2104214859460046E-3</v>
      </c>
      <c r="D101" s="1" t="str">
        <f>IF(COUNTIF(Target1[Target Dates],Benchmark2[[#This Row],[Benchmark '#2 Dates]])=1,"Pass","Fail")</f>
        <v>Pass</v>
      </c>
      <c r="E101" s="6">
        <f>IF(Benchmark2[[#This Row],[Target Date Check]]="Pass",INDEX(Target1[Target Price],MATCH(Benchmark2[[#This Row],[Benchmark '#2 Dates]],Target1[Target Dates],0)),"-")</f>
        <v>23</v>
      </c>
      <c r="F101" s="1" t="str">
        <f>IF(COUNTIF(Comp1[Comparable '#1 Dates],Benchmark2[[#This Row],[Benchmark '#2 Dates]])=1,"Pass","Fail")</f>
        <v>Pass</v>
      </c>
      <c r="G101" s="6">
        <f>IF(Benchmark2[[#This Row],[Comparable '#1 Date Check]]="Pass",INDEX(Comp1[Comparable '#1 Price],MATCH(Benchmark2[[#This Row],[Benchmark '#2 Dates]],Comp1[Comparable '#1 Dates],0)),"-")</f>
        <v>14.49</v>
      </c>
      <c r="H101" s="1" t="str">
        <f>IF(COUNTIF(Comp2[Comparable '#2 Dates],Benchmark2[[#This Row],[Benchmark '#2 Dates]])=1,"Pass","Fail")</f>
        <v>Pass</v>
      </c>
      <c r="I101" s="6">
        <f>IF(Benchmark2[[#This Row],[Comparable '#2 Date Check]]="Pass",INDEX(Comp2[Comparable '#2 Price],MATCH(Benchmark2[[#This Row],[Benchmark '#2 Dates]],Comp2[Comparable '#2 Dates],0)),"-")</f>
        <v>56.02</v>
      </c>
      <c r="J101" s="1" t="str">
        <f>IF(COUNTIF(Comp3[Comparable '#3 Dates],Benchmark2[[#This Row],[Benchmark '#2 Dates]])=1,"Pass","Fail")</f>
        <v>Pass</v>
      </c>
      <c r="K101" s="6">
        <f>IF(Benchmark2[[#This Row],[Comparable '#3 Date Check]]="Pass",INDEX(Comp3[Comparable '#3 Price],MATCH(Benchmark2[[#This Row],[Benchmark '#2 Dates]],Comp3[Comparable '#3 Dates],0)),"-")</f>
        <v>128.31</v>
      </c>
    </row>
    <row r="102" spans="1:11">
      <c r="A102" s="103">
        <v>43430</v>
      </c>
      <c r="B102" s="104">
        <v>12181.6</v>
      </c>
      <c r="C102" s="4">
        <f t="shared" si="1"/>
        <v>1.2004517795928064E-2</v>
      </c>
      <c r="D102" s="1" t="str">
        <f>IF(COUNTIF(Target1[Target Dates],Benchmark2[[#This Row],[Benchmark '#2 Dates]])=1,"Pass","Fail")</f>
        <v>Pass</v>
      </c>
      <c r="E102" s="6">
        <f>IF(Benchmark2[[#This Row],[Target Date Check]]="Pass",INDEX(Target1[Target Price],MATCH(Benchmark2[[#This Row],[Benchmark '#2 Dates]],Target1[Target Dates],0)),"-")</f>
        <v>22.94</v>
      </c>
      <c r="F102" s="1" t="str">
        <f>IF(COUNTIF(Comp1[Comparable '#1 Dates],Benchmark2[[#This Row],[Benchmark '#2 Dates]])=1,"Pass","Fail")</f>
        <v>Pass</v>
      </c>
      <c r="G102" s="6">
        <f>IF(Benchmark2[[#This Row],[Comparable '#1 Date Check]]="Pass",INDEX(Comp1[Comparable '#1 Price],MATCH(Benchmark2[[#This Row],[Benchmark '#2 Dates]],Comp1[Comparable '#1 Dates],0)),"-")</f>
        <v>14.85</v>
      </c>
      <c r="H102" s="1" t="str">
        <f>IF(COUNTIF(Comp2[Comparable '#2 Dates],Benchmark2[[#This Row],[Benchmark '#2 Dates]])=1,"Pass","Fail")</f>
        <v>Pass</v>
      </c>
      <c r="I102" s="6">
        <f>IF(Benchmark2[[#This Row],[Comparable '#2 Date Check]]="Pass",INDEX(Comp2[Comparable '#2 Price],MATCH(Benchmark2[[#This Row],[Benchmark '#2 Dates]],Comp2[Comparable '#2 Dates],0)),"-")</f>
        <v>55.93</v>
      </c>
      <c r="J102" s="1" t="str">
        <f>IF(COUNTIF(Comp3[Comparable '#3 Dates],Benchmark2[[#This Row],[Benchmark '#2 Dates]])=1,"Pass","Fail")</f>
        <v>Pass</v>
      </c>
      <c r="K102" s="6">
        <f>IF(Benchmark2[[#This Row],[Comparable '#3 Date Check]]="Pass",INDEX(Comp3[Comparable '#3 Price],MATCH(Benchmark2[[#This Row],[Benchmark '#2 Dates]],Comp3[Comparable '#3 Dates],0)),"-")</f>
        <v>131.66999999999999</v>
      </c>
    </row>
    <row r="103" spans="1:11">
      <c r="A103" s="103">
        <v>43431</v>
      </c>
      <c r="B103" s="104">
        <v>12188.07</v>
      </c>
      <c r="C103" s="4">
        <f t="shared" si="1"/>
        <v>5.3098791670269673E-4</v>
      </c>
      <c r="D103" s="1" t="str">
        <f>IF(COUNTIF(Target1[Target Dates],Benchmark2[[#This Row],[Benchmark '#2 Dates]])=1,"Pass","Fail")</f>
        <v>Pass</v>
      </c>
      <c r="E103" s="6">
        <f>IF(Benchmark2[[#This Row],[Target Date Check]]="Pass",INDEX(Target1[Target Price],MATCH(Benchmark2[[#This Row],[Benchmark '#2 Dates]],Target1[Target Dates],0)),"-")</f>
        <v>22.99</v>
      </c>
      <c r="F103" s="1" t="str">
        <f>IF(COUNTIF(Comp1[Comparable '#1 Dates],Benchmark2[[#This Row],[Benchmark '#2 Dates]])=1,"Pass","Fail")</f>
        <v>Pass</v>
      </c>
      <c r="G103" s="6">
        <f>IF(Benchmark2[[#This Row],[Comparable '#1 Date Check]]="Pass",INDEX(Comp1[Comparable '#1 Price],MATCH(Benchmark2[[#This Row],[Benchmark '#2 Dates]],Comp1[Comparable '#1 Dates],0)),"-")</f>
        <v>14.59</v>
      </c>
      <c r="H103" s="1" t="str">
        <f>IF(COUNTIF(Comp2[Comparable '#2 Dates],Benchmark2[[#This Row],[Benchmark '#2 Dates]])=1,"Pass","Fail")</f>
        <v>Pass</v>
      </c>
      <c r="I103" s="6">
        <f>IF(Benchmark2[[#This Row],[Comparable '#2 Date Check]]="Pass",INDEX(Comp2[Comparable '#2 Price],MATCH(Benchmark2[[#This Row],[Benchmark '#2 Dates]],Comp2[Comparable '#2 Dates],0)),"-")</f>
        <v>55.15</v>
      </c>
      <c r="J103" s="1" t="str">
        <f>IF(COUNTIF(Comp3[Comparable '#3 Dates],Benchmark2[[#This Row],[Benchmark '#2 Dates]])=1,"Pass","Fail")</f>
        <v>Pass</v>
      </c>
      <c r="K103" s="6">
        <f>IF(Benchmark2[[#This Row],[Comparable '#3 Date Check]]="Pass",INDEX(Comp3[Comparable '#3 Price],MATCH(Benchmark2[[#This Row],[Benchmark '#2 Dates]],Comp3[Comparable '#3 Dates],0)),"-")</f>
        <v>129.84</v>
      </c>
    </row>
    <row r="104" spans="1:11">
      <c r="A104" s="103">
        <v>43432</v>
      </c>
      <c r="B104" s="104">
        <v>12417.63</v>
      </c>
      <c r="C104" s="4">
        <f t="shared" si="1"/>
        <v>1.8659632579513263E-2</v>
      </c>
      <c r="D104" s="1" t="str">
        <f>IF(COUNTIF(Target1[Target Dates],Benchmark2[[#This Row],[Benchmark '#2 Dates]])=1,"Pass","Fail")</f>
        <v>Pass</v>
      </c>
      <c r="E104" s="6">
        <f>IF(Benchmark2[[#This Row],[Target Date Check]]="Pass",INDEX(Target1[Target Price],MATCH(Benchmark2[[#This Row],[Benchmark '#2 Dates]],Target1[Target Dates],0)),"-")</f>
        <v>23.04</v>
      </c>
      <c r="F104" s="1" t="str">
        <f>IF(COUNTIF(Comp1[Comparable '#1 Dates],Benchmark2[[#This Row],[Benchmark '#2 Dates]])=1,"Pass","Fail")</f>
        <v>Pass</v>
      </c>
      <c r="G104" s="6">
        <f>IF(Benchmark2[[#This Row],[Comparable '#1 Date Check]]="Pass",INDEX(Comp1[Comparable '#1 Price],MATCH(Benchmark2[[#This Row],[Benchmark '#2 Dates]],Comp1[Comparable '#1 Dates],0)),"-")</f>
        <v>14.54</v>
      </c>
      <c r="H104" s="1" t="str">
        <f>IF(COUNTIF(Comp2[Comparable '#2 Dates],Benchmark2[[#This Row],[Benchmark '#2 Dates]])=1,"Pass","Fail")</f>
        <v>Pass</v>
      </c>
      <c r="I104" s="6">
        <f>IF(Benchmark2[[#This Row],[Comparable '#2 Date Check]]="Pass",INDEX(Comp2[Comparable '#2 Price],MATCH(Benchmark2[[#This Row],[Benchmark '#2 Dates]],Comp2[Comparable '#2 Dates],0)),"-")</f>
        <v>56.46</v>
      </c>
      <c r="J104" s="1" t="str">
        <f>IF(COUNTIF(Comp3[Comparable '#3 Dates],Benchmark2[[#This Row],[Benchmark '#2 Dates]])=1,"Pass","Fail")</f>
        <v>Pass</v>
      </c>
      <c r="K104" s="6">
        <f>IF(Benchmark2[[#This Row],[Comparable '#3 Date Check]]="Pass",INDEX(Comp3[Comparable '#3 Price],MATCH(Benchmark2[[#This Row],[Benchmark '#2 Dates]],Comp3[Comparable '#3 Dates],0)),"-")</f>
        <v>133.36000000000001</v>
      </c>
    </row>
    <row r="105" spans="1:11">
      <c r="A105" s="103">
        <v>43433</v>
      </c>
      <c r="B105" s="104">
        <v>12389.37</v>
      </c>
      <c r="C105" s="4">
        <f t="shared" si="1"/>
        <v>-2.2783901499534272E-3</v>
      </c>
      <c r="D105" s="1" t="str">
        <f>IF(COUNTIF(Target1[Target Dates],Benchmark2[[#This Row],[Benchmark '#2 Dates]])=1,"Pass","Fail")</f>
        <v>Pass</v>
      </c>
      <c r="E105" s="6">
        <f>IF(Benchmark2[[#This Row],[Target Date Check]]="Pass",INDEX(Target1[Target Price],MATCH(Benchmark2[[#This Row],[Benchmark '#2 Dates]],Target1[Target Dates],0)),"-")</f>
        <v>23.96</v>
      </c>
      <c r="F105" s="1" t="str">
        <f>IF(COUNTIF(Comp1[Comparable '#1 Dates],Benchmark2[[#This Row],[Benchmark '#2 Dates]])=1,"Pass","Fail")</f>
        <v>Pass</v>
      </c>
      <c r="G105" s="6">
        <f>IF(Benchmark2[[#This Row],[Comparable '#1 Date Check]]="Pass",INDEX(Comp1[Comparable '#1 Price],MATCH(Benchmark2[[#This Row],[Benchmark '#2 Dates]],Comp1[Comparable '#1 Dates],0)),"-")</f>
        <v>14.96</v>
      </c>
      <c r="H105" s="1" t="str">
        <f>IF(COUNTIF(Comp2[Comparable '#2 Dates],Benchmark2[[#This Row],[Benchmark '#2 Dates]])=1,"Pass","Fail")</f>
        <v>Pass</v>
      </c>
      <c r="I105" s="6">
        <f>IF(Benchmark2[[#This Row],[Comparable '#2 Date Check]]="Pass",INDEX(Comp2[Comparable '#2 Price],MATCH(Benchmark2[[#This Row],[Benchmark '#2 Dates]],Comp2[Comparable '#2 Dates],0)),"-")</f>
        <v>57.42</v>
      </c>
      <c r="J105" s="1" t="str">
        <f>IF(COUNTIF(Comp3[Comparable '#3 Dates],Benchmark2[[#This Row],[Benchmark '#2 Dates]])=1,"Pass","Fail")</f>
        <v>Pass</v>
      </c>
      <c r="K105" s="6">
        <f>IF(Benchmark2[[#This Row],[Comparable '#3 Date Check]]="Pass",INDEX(Comp3[Comparable '#3 Price],MATCH(Benchmark2[[#This Row],[Benchmark '#2 Dates]],Comp3[Comparable '#3 Dates],0)),"-")</f>
        <v>135.41</v>
      </c>
    </row>
    <row r="106" spans="1:11">
      <c r="A106" s="103">
        <v>43434</v>
      </c>
      <c r="B106" s="104">
        <v>12457.55</v>
      </c>
      <c r="C106" s="4">
        <f t="shared" si="1"/>
        <v>5.4880179211173486E-3</v>
      </c>
      <c r="D106" s="1" t="str">
        <f>IF(COUNTIF(Target1[Target Dates],Benchmark2[[#This Row],[Benchmark '#2 Dates]])=1,"Pass","Fail")</f>
        <v>Pass</v>
      </c>
      <c r="E106" s="6">
        <f>IF(Benchmark2[[#This Row],[Target Date Check]]="Pass",INDEX(Target1[Target Price],MATCH(Benchmark2[[#This Row],[Benchmark '#2 Dates]],Target1[Target Dates],0)),"-")</f>
        <v>23.86</v>
      </c>
      <c r="F106" s="1" t="str">
        <f>IF(COUNTIF(Comp1[Comparable '#1 Dates],Benchmark2[[#This Row],[Benchmark '#2 Dates]])=1,"Pass","Fail")</f>
        <v>Pass</v>
      </c>
      <c r="G106" s="6">
        <f>IF(Benchmark2[[#This Row],[Comparable '#1 Date Check]]="Pass",INDEX(Comp1[Comparable '#1 Price],MATCH(Benchmark2[[#This Row],[Benchmark '#2 Dates]],Comp1[Comparable '#1 Dates],0)),"-")</f>
        <v>14.75</v>
      </c>
      <c r="H106" s="1" t="str">
        <f>IF(COUNTIF(Comp2[Comparable '#2 Dates],Benchmark2[[#This Row],[Benchmark '#2 Dates]])=1,"Pass","Fail")</f>
        <v>Pass</v>
      </c>
      <c r="I106" s="6">
        <f>IF(Benchmark2[[#This Row],[Comparable '#2 Date Check]]="Pass",INDEX(Comp2[Comparable '#2 Price],MATCH(Benchmark2[[#This Row],[Benchmark '#2 Dates]],Comp2[Comparable '#2 Dates],0)),"-")</f>
        <v>57.74</v>
      </c>
      <c r="J106" s="1" t="str">
        <f>IF(COUNTIF(Comp3[Comparable '#3 Dates],Benchmark2[[#This Row],[Benchmark '#2 Dates]])=1,"Pass","Fail")</f>
        <v>Pass</v>
      </c>
      <c r="K106" s="6">
        <f>IF(Benchmark2[[#This Row],[Comparable '#3 Date Check]]="Pass",INDEX(Comp3[Comparable '#3 Price],MATCH(Benchmark2[[#This Row],[Benchmark '#2 Dates]],Comp3[Comparable '#3 Dates],0)),"-")</f>
        <v>136.49</v>
      </c>
    </row>
    <row r="107" spans="1:11">
      <c r="A107" s="103">
        <v>43437</v>
      </c>
      <c r="B107" s="104">
        <v>12577.54</v>
      </c>
      <c r="C107" s="4">
        <f t="shared" si="1"/>
        <v>9.5858188487638867E-3</v>
      </c>
      <c r="D107" s="1" t="str">
        <f>IF(COUNTIF(Target1[Target Dates],Benchmark2[[#This Row],[Benchmark '#2 Dates]])=1,"Pass","Fail")</f>
        <v>Pass</v>
      </c>
      <c r="E107" s="6">
        <f>IF(Benchmark2[[#This Row],[Target Date Check]]="Pass",INDEX(Target1[Target Price],MATCH(Benchmark2[[#This Row],[Benchmark '#2 Dates]],Target1[Target Dates],0)),"-")</f>
        <v>24.15</v>
      </c>
      <c r="F107" s="1" t="str">
        <f>IF(COUNTIF(Comp1[Comparable '#1 Dates],Benchmark2[[#This Row],[Benchmark '#2 Dates]])=1,"Pass","Fail")</f>
        <v>Pass</v>
      </c>
      <c r="G107" s="6">
        <f>IF(Benchmark2[[#This Row],[Comparable '#1 Date Check]]="Pass",INDEX(Comp1[Comparable '#1 Price],MATCH(Benchmark2[[#This Row],[Benchmark '#2 Dates]],Comp1[Comparable '#1 Dates],0)),"-")</f>
        <v>15.455</v>
      </c>
      <c r="H107" s="1" t="str">
        <f>IF(COUNTIF(Comp2[Comparable '#2 Dates],Benchmark2[[#This Row],[Benchmark '#2 Dates]])=1,"Pass","Fail")</f>
        <v>Pass</v>
      </c>
      <c r="I107" s="6">
        <f>IF(Benchmark2[[#This Row],[Comparable '#2 Date Check]]="Pass",INDEX(Comp2[Comparable '#2 Price],MATCH(Benchmark2[[#This Row],[Benchmark '#2 Dates]],Comp2[Comparable '#2 Dates],0)),"-")</f>
        <v>56.37</v>
      </c>
      <c r="J107" s="1" t="str">
        <f>IF(COUNTIF(Comp3[Comparable '#3 Dates],Benchmark2[[#This Row],[Benchmark '#2 Dates]])=1,"Pass","Fail")</f>
        <v>Pass</v>
      </c>
      <c r="K107" s="6">
        <f>IF(Benchmark2[[#This Row],[Comparable '#3 Date Check]]="Pass",INDEX(Comp3[Comparable '#3 Price],MATCH(Benchmark2[[#This Row],[Benchmark '#2 Dates]],Comp3[Comparable '#3 Dates],0)),"-")</f>
        <v>136.21</v>
      </c>
    </row>
    <row r="108" spans="1:11">
      <c r="A108" s="103">
        <v>43438</v>
      </c>
      <c r="B108" s="104">
        <v>12221.98</v>
      </c>
      <c r="C108" s="4">
        <f t="shared" si="1"/>
        <v>-2.8676713582533764E-2</v>
      </c>
      <c r="D108" s="1" t="str">
        <f>IF(COUNTIF(Target1[Target Dates],Benchmark2[[#This Row],[Benchmark '#2 Dates]])=1,"Pass","Fail")</f>
        <v>Pass</v>
      </c>
      <c r="E108" s="6">
        <f>IF(Benchmark2[[#This Row],[Target Date Check]]="Pass",INDEX(Target1[Target Price],MATCH(Benchmark2[[#This Row],[Benchmark '#2 Dates]],Target1[Target Dates],0)),"-")</f>
        <v>23.86</v>
      </c>
      <c r="F108" s="1" t="str">
        <f>IF(COUNTIF(Comp1[Comparable '#1 Dates],Benchmark2[[#This Row],[Benchmark '#2 Dates]])=1,"Pass","Fail")</f>
        <v>Pass</v>
      </c>
      <c r="G108" s="6">
        <f>IF(Benchmark2[[#This Row],[Comparable '#1 Date Check]]="Pass",INDEX(Comp1[Comparable '#1 Price],MATCH(Benchmark2[[#This Row],[Benchmark '#2 Dates]],Comp1[Comparable '#1 Dates],0)),"-")</f>
        <v>15.07</v>
      </c>
      <c r="H108" s="1" t="str">
        <f>IF(COUNTIF(Comp2[Comparable '#2 Dates],Benchmark2[[#This Row],[Benchmark '#2 Dates]])=1,"Pass","Fail")</f>
        <v>Pass</v>
      </c>
      <c r="I108" s="6">
        <f>IF(Benchmark2[[#This Row],[Comparable '#2 Date Check]]="Pass",INDEX(Comp2[Comparable '#2 Price],MATCH(Benchmark2[[#This Row],[Benchmark '#2 Dates]],Comp2[Comparable '#2 Dates],0)),"-")</f>
        <v>54.63</v>
      </c>
      <c r="J108" s="1" t="str">
        <f>IF(COUNTIF(Comp3[Comparable '#3 Dates],Benchmark2[[#This Row],[Benchmark '#2 Dates]])=1,"Pass","Fail")</f>
        <v>Pass</v>
      </c>
      <c r="K108" s="6">
        <f>IF(Benchmark2[[#This Row],[Comparable '#3 Date Check]]="Pass",INDEX(Comp3[Comparable '#3 Price],MATCH(Benchmark2[[#This Row],[Benchmark '#2 Dates]],Comp3[Comparable '#3 Dates],0)),"-")</f>
        <v>128.63</v>
      </c>
    </row>
    <row r="109" spans="1:11">
      <c r="A109" s="103">
        <v>43440</v>
      </c>
      <c r="B109" s="104">
        <v>12144.41</v>
      </c>
      <c r="C109" s="4">
        <f t="shared" si="1"/>
        <v>-6.3669884663025761E-3</v>
      </c>
      <c r="D109" s="1" t="str">
        <f>IF(COUNTIF(Target1[Target Dates],Benchmark2[[#This Row],[Benchmark '#2 Dates]])=1,"Pass","Fail")</f>
        <v>Pass</v>
      </c>
      <c r="E109" s="6">
        <f>IF(Benchmark2[[#This Row],[Target Date Check]]="Pass",INDEX(Target1[Target Price],MATCH(Benchmark2[[#This Row],[Benchmark '#2 Dates]],Target1[Target Dates],0)),"-")</f>
        <v>23.37</v>
      </c>
      <c r="F109" s="1" t="str">
        <f>IF(COUNTIF(Comp1[Comparable '#1 Dates],Benchmark2[[#This Row],[Benchmark '#2 Dates]])=1,"Pass","Fail")</f>
        <v>Pass</v>
      </c>
      <c r="G109" s="6">
        <f>IF(Benchmark2[[#This Row],[Comparable '#1 Date Check]]="Pass",INDEX(Comp1[Comparable '#1 Price],MATCH(Benchmark2[[#This Row],[Benchmark '#2 Dates]],Comp1[Comparable '#1 Dates],0)),"-")</f>
        <v>14.97</v>
      </c>
      <c r="H109" s="1" t="str">
        <f>IF(COUNTIF(Comp2[Comparable '#2 Dates],Benchmark2[[#This Row],[Benchmark '#2 Dates]])=1,"Pass","Fail")</f>
        <v>Pass</v>
      </c>
      <c r="I109" s="6">
        <f>IF(Benchmark2[[#This Row],[Comparable '#2 Date Check]]="Pass",INDEX(Comp2[Comparable '#2 Price],MATCH(Benchmark2[[#This Row],[Benchmark '#2 Dates]],Comp2[Comparable '#2 Dates],0)),"-")</f>
        <v>54.5</v>
      </c>
      <c r="J109" s="1" t="str">
        <f>IF(COUNTIF(Comp3[Comparable '#3 Dates],Benchmark2[[#This Row],[Benchmark '#2 Dates]])=1,"Pass","Fail")</f>
        <v>Pass</v>
      </c>
      <c r="K109" s="6">
        <f>IF(Benchmark2[[#This Row],[Comparable '#3 Date Check]]="Pass",INDEX(Comp3[Comparable '#3 Price],MATCH(Benchmark2[[#This Row],[Benchmark '#2 Dates]],Comp3[Comparable '#3 Dates],0)),"-")</f>
        <v>125.45</v>
      </c>
    </row>
    <row r="110" spans="1:11">
      <c r="A110" s="103">
        <v>43441</v>
      </c>
      <c r="B110" s="104">
        <v>11941.93</v>
      </c>
      <c r="C110" s="4">
        <f t="shared" si="1"/>
        <v>-1.6813245168784966E-2</v>
      </c>
      <c r="D110" s="1" t="str">
        <f>IF(COUNTIF(Target1[Target Dates],Benchmark2[[#This Row],[Benchmark '#2 Dates]])=1,"Pass","Fail")</f>
        <v>Pass</v>
      </c>
      <c r="E110" s="6">
        <f>IF(Benchmark2[[#This Row],[Target Date Check]]="Pass",INDEX(Target1[Target Price],MATCH(Benchmark2[[#This Row],[Benchmark '#2 Dates]],Target1[Target Dates],0)),"-")</f>
        <v>22.99</v>
      </c>
      <c r="F110" s="1" t="str">
        <f>IF(COUNTIF(Comp1[Comparable '#1 Dates],Benchmark2[[#This Row],[Benchmark '#2 Dates]])=1,"Pass","Fail")</f>
        <v>Pass</v>
      </c>
      <c r="G110" s="6">
        <f>IF(Benchmark2[[#This Row],[Comparable '#1 Date Check]]="Pass",INDEX(Comp1[Comparable '#1 Price],MATCH(Benchmark2[[#This Row],[Benchmark '#2 Dates]],Comp1[Comparable '#1 Dates],0)),"-")</f>
        <v>14.69</v>
      </c>
      <c r="H110" s="1" t="str">
        <f>IF(COUNTIF(Comp2[Comparable '#2 Dates],Benchmark2[[#This Row],[Benchmark '#2 Dates]])=1,"Pass","Fail")</f>
        <v>Pass</v>
      </c>
      <c r="I110" s="6">
        <f>IF(Benchmark2[[#This Row],[Comparable '#2 Date Check]]="Pass",INDEX(Comp2[Comparable '#2 Price],MATCH(Benchmark2[[#This Row],[Benchmark '#2 Dates]],Comp2[Comparable '#2 Dates],0)),"-")</f>
        <v>52.76</v>
      </c>
      <c r="J110" s="1" t="str">
        <f>IF(COUNTIF(Comp3[Comparable '#3 Dates],Benchmark2[[#This Row],[Benchmark '#2 Dates]])=1,"Pass","Fail")</f>
        <v>Pass</v>
      </c>
      <c r="K110" s="6">
        <f>IF(Benchmark2[[#This Row],[Comparable '#3 Date Check]]="Pass",INDEX(Comp3[Comparable '#3 Price],MATCH(Benchmark2[[#This Row],[Benchmark '#2 Dates]],Comp3[Comparable '#3 Dates],0)),"-")</f>
        <v>119.59</v>
      </c>
    </row>
    <row r="111" spans="1:11">
      <c r="A111" s="103">
        <v>43444</v>
      </c>
      <c r="B111" s="104">
        <v>11889.29</v>
      </c>
      <c r="C111" s="4">
        <f t="shared" si="1"/>
        <v>-4.4177415685886512E-3</v>
      </c>
      <c r="D111" s="1" t="str">
        <f>IF(COUNTIF(Target1[Target Dates],Benchmark2[[#This Row],[Benchmark '#2 Dates]])=1,"Pass","Fail")</f>
        <v>Pass</v>
      </c>
      <c r="E111" s="6">
        <f>IF(Benchmark2[[#This Row],[Target Date Check]]="Pass",INDEX(Target1[Target Price],MATCH(Benchmark2[[#This Row],[Benchmark '#2 Dates]],Target1[Target Dates],0)),"-")</f>
        <v>22.7</v>
      </c>
      <c r="F111" s="1" t="str">
        <f>IF(COUNTIF(Comp1[Comparable '#1 Dates],Benchmark2[[#This Row],[Benchmark '#2 Dates]])=1,"Pass","Fail")</f>
        <v>Pass</v>
      </c>
      <c r="G111" s="6">
        <f>IF(Benchmark2[[#This Row],[Comparable '#1 Date Check]]="Pass",INDEX(Comp1[Comparable '#1 Price],MATCH(Benchmark2[[#This Row],[Benchmark '#2 Dates]],Comp1[Comparable '#1 Dates],0)),"-")</f>
        <v>14.59</v>
      </c>
      <c r="H111" s="1" t="str">
        <f>IF(COUNTIF(Comp2[Comparable '#2 Dates],Benchmark2[[#This Row],[Benchmark '#2 Dates]])=1,"Pass","Fail")</f>
        <v>Pass</v>
      </c>
      <c r="I111" s="6">
        <f>IF(Benchmark2[[#This Row],[Comparable '#2 Date Check]]="Pass",INDEX(Comp2[Comparable '#2 Price],MATCH(Benchmark2[[#This Row],[Benchmark '#2 Dates]],Comp2[Comparable '#2 Dates],0)),"-")</f>
        <v>52.04</v>
      </c>
      <c r="J111" s="1" t="str">
        <f>IF(COUNTIF(Comp3[Comparable '#3 Dates],Benchmark2[[#This Row],[Benchmark '#2 Dates]])=1,"Pass","Fail")</f>
        <v>Pass</v>
      </c>
      <c r="K111" s="6">
        <f>IF(Benchmark2[[#This Row],[Comparable '#3 Date Check]]="Pass",INDEX(Comp3[Comparable '#3 Price],MATCH(Benchmark2[[#This Row],[Benchmark '#2 Dates]],Comp3[Comparable '#3 Dates],0)),"-")</f>
        <v>119.63</v>
      </c>
    </row>
    <row r="112" spans="1:11">
      <c r="A112" s="103">
        <v>43445</v>
      </c>
      <c r="B112" s="104">
        <v>11860.65</v>
      </c>
      <c r="C112" s="4">
        <f t="shared" si="1"/>
        <v>-2.411796735711813E-3</v>
      </c>
      <c r="D112" s="1" t="str">
        <f>IF(COUNTIF(Target1[Target Dates],Benchmark2[[#This Row],[Benchmark '#2 Dates]])=1,"Pass","Fail")</f>
        <v>Pass</v>
      </c>
      <c r="E112" s="6">
        <f>IF(Benchmark2[[#This Row],[Target Date Check]]="Pass",INDEX(Target1[Target Price],MATCH(Benchmark2[[#This Row],[Benchmark '#2 Dates]],Target1[Target Dates],0)),"-")</f>
        <v>23.22</v>
      </c>
      <c r="F112" s="1" t="str">
        <f>IF(COUNTIF(Comp1[Comparable '#1 Dates],Benchmark2[[#This Row],[Benchmark '#2 Dates]])=1,"Pass","Fail")</f>
        <v>Pass</v>
      </c>
      <c r="G112" s="6">
        <f>IF(Benchmark2[[#This Row],[Comparable '#1 Date Check]]="Pass",INDEX(Comp1[Comparable '#1 Price],MATCH(Benchmark2[[#This Row],[Benchmark '#2 Dates]],Comp1[Comparable '#1 Dates],0)),"-")</f>
        <v>14.69</v>
      </c>
      <c r="H112" s="1" t="str">
        <f>IF(COUNTIF(Comp2[Comparable '#2 Dates],Benchmark2[[#This Row],[Benchmark '#2 Dates]])=1,"Pass","Fail")</f>
        <v>Pass</v>
      </c>
      <c r="I112" s="6">
        <f>IF(Benchmark2[[#This Row],[Comparable '#2 Date Check]]="Pass",INDEX(Comp2[Comparable '#2 Price],MATCH(Benchmark2[[#This Row],[Benchmark '#2 Dates]],Comp2[Comparable '#2 Dates],0)),"-")</f>
        <v>52.03</v>
      </c>
      <c r="J112" s="1" t="str">
        <f>IF(COUNTIF(Comp3[Comparable '#3 Dates],Benchmark2[[#This Row],[Benchmark '#2 Dates]])=1,"Pass","Fail")</f>
        <v>Pass</v>
      </c>
      <c r="K112" s="6">
        <f>IF(Benchmark2[[#This Row],[Comparable '#3 Date Check]]="Pass",INDEX(Comp3[Comparable '#3 Price],MATCH(Benchmark2[[#This Row],[Benchmark '#2 Dates]],Comp3[Comparable '#3 Dates],0)),"-")</f>
        <v>120.57</v>
      </c>
    </row>
    <row r="113" spans="1:11">
      <c r="A113" s="103">
        <v>43446</v>
      </c>
      <c r="B113" s="104">
        <v>11943.29</v>
      </c>
      <c r="C113" s="4">
        <f t="shared" si="1"/>
        <v>6.9434162590751138E-3</v>
      </c>
      <c r="D113" s="1" t="str">
        <f>IF(COUNTIF(Target1[Target Dates],Benchmark2[[#This Row],[Benchmark '#2 Dates]])=1,"Pass","Fail")</f>
        <v>Pass</v>
      </c>
      <c r="E113" s="6">
        <f>IF(Benchmark2[[#This Row],[Target Date Check]]="Pass",INDEX(Target1[Target Price],MATCH(Benchmark2[[#This Row],[Benchmark '#2 Dates]],Target1[Target Dates],0)),"-")</f>
        <v>23.2</v>
      </c>
      <c r="F113" s="1" t="str">
        <f>IF(COUNTIF(Comp1[Comparable '#1 Dates],Benchmark2[[#This Row],[Benchmark '#2 Dates]])=1,"Pass","Fail")</f>
        <v>Pass</v>
      </c>
      <c r="G113" s="6">
        <f>IF(Benchmark2[[#This Row],[Comparable '#1 Date Check]]="Pass",INDEX(Comp1[Comparable '#1 Price],MATCH(Benchmark2[[#This Row],[Benchmark '#2 Dates]],Comp1[Comparable '#1 Dates],0)),"-")</f>
        <v>15.4</v>
      </c>
      <c r="H113" s="1" t="str">
        <f>IF(COUNTIF(Comp2[Comparable '#2 Dates],Benchmark2[[#This Row],[Benchmark '#2 Dates]])=1,"Pass","Fail")</f>
        <v>Pass</v>
      </c>
      <c r="I113" s="6">
        <f>IF(Benchmark2[[#This Row],[Comparable '#2 Date Check]]="Pass",INDEX(Comp2[Comparable '#2 Price],MATCH(Benchmark2[[#This Row],[Benchmark '#2 Dates]],Comp2[Comparable '#2 Dates],0)),"-")</f>
        <v>53.05</v>
      </c>
      <c r="J113" s="1" t="str">
        <f>IF(COUNTIF(Comp3[Comparable '#3 Dates],Benchmark2[[#This Row],[Benchmark '#2 Dates]])=1,"Pass","Fail")</f>
        <v>Pass</v>
      </c>
      <c r="K113" s="6">
        <f>IF(Benchmark2[[#This Row],[Comparable '#3 Date Check]]="Pass",INDEX(Comp3[Comparable '#3 Price],MATCH(Benchmark2[[#This Row],[Benchmark '#2 Dates]],Comp3[Comparable '#3 Dates],0)),"-")</f>
        <v>124.38</v>
      </c>
    </row>
    <row r="114" spans="1:11">
      <c r="A114" s="103">
        <v>43447</v>
      </c>
      <c r="B114" s="104">
        <v>11936.16</v>
      </c>
      <c r="C114" s="4">
        <f t="shared" si="1"/>
        <v>-5.9716620038444579E-4</v>
      </c>
      <c r="D114" s="1" t="str">
        <f>IF(COUNTIF(Target1[Target Dates],Benchmark2[[#This Row],[Benchmark '#2 Dates]])=1,"Pass","Fail")</f>
        <v>Pass</v>
      </c>
      <c r="E114" s="6">
        <f>IF(Benchmark2[[#This Row],[Target Date Check]]="Pass",INDEX(Target1[Target Price],MATCH(Benchmark2[[#This Row],[Benchmark '#2 Dates]],Target1[Target Dates],0)),"-")</f>
        <v>22.85</v>
      </c>
      <c r="F114" s="1" t="str">
        <f>IF(COUNTIF(Comp1[Comparable '#1 Dates],Benchmark2[[#This Row],[Benchmark '#2 Dates]])=1,"Pass","Fail")</f>
        <v>Pass</v>
      </c>
      <c r="G114" s="6">
        <f>IF(Benchmark2[[#This Row],[Comparable '#1 Date Check]]="Pass",INDEX(Comp1[Comparable '#1 Price],MATCH(Benchmark2[[#This Row],[Benchmark '#2 Dates]],Comp1[Comparable '#1 Dates],0)),"-")</f>
        <v>14.97</v>
      </c>
      <c r="H114" s="1" t="str">
        <f>IF(COUNTIF(Comp2[Comparable '#2 Dates],Benchmark2[[#This Row],[Benchmark '#2 Dates]])=1,"Pass","Fail")</f>
        <v>Pass</v>
      </c>
      <c r="I114" s="6">
        <f>IF(Benchmark2[[#This Row],[Comparable '#2 Date Check]]="Pass",INDEX(Comp2[Comparable '#2 Price],MATCH(Benchmark2[[#This Row],[Benchmark '#2 Dates]],Comp2[Comparable '#2 Dates],0)),"-")</f>
        <v>52.25</v>
      </c>
      <c r="J114" s="1" t="str">
        <f>IF(COUNTIF(Comp3[Comparable '#3 Dates],Benchmark2[[#This Row],[Benchmark '#2 Dates]])=1,"Pass","Fail")</f>
        <v>Pass</v>
      </c>
      <c r="K114" s="6">
        <f>IF(Benchmark2[[#This Row],[Comparable '#3 Date Check]]="Pass",INDEX(Comp3[Comparable '#3 Price],MATCH(Benchmark2[[#This Row],[Benchmark '#2 Dates]],Comp3[Comparable '#3 Dates],0)),"-")</f>
        <v>126.98</v>
      </c>
    </row>
    <row r="115" spans="1:11">
      <c r="A115" s="103">
        <v>43448</v>
      </c>
      <c r="B115" s="104">
        <v>11755.38</v>
      </c>
      <c r="C115" s="4">
        <f t="shared" si="1"/>
        <v>-1.5261440058258826E-2</v>
      </c>
      <c r="D115" s="1" t="str">
        <f>IF(COUNTIF(Target1[Target Dates],Benchmark2[[#This Row],[Benchmark '#2 Dates]])=1,"Pass","Fail")</f>
        <v>Pass</v>
      </c>
      <c r="E115" s="6">
        <f>IF(Benchmark2[[#This Row],[Target Date Check]]="Pass",INDEX(Target1[Target Price],MATCH(Benchmark2[[#This Row],[Benchmark '#2 Dates]],Target1[Target Dates],0)),"-")</f>
        <v>22.73</v>
      </c>
      <c r="F115" s="1" t="str">
        <f>IF(COUNTIF(Comp1[Comparable '#1 Dates],Benchmark2[[#This Row],[Benchmark '#2 Dates]])=1,"Pass","Fail")</f>
        <v>Pass</v>
      </c>
      <c r="G115" s="6">
        <f>IF(Benchmark2[[#This Row],[Comparable '#1 Date Check]]="Pass",INDEX(Comp1[Comparable '#1 Price],MATCH(Benchmark2[[#This Row],[Benchmark '#2 Dates]],Comp1[Comparable '#1 Dates],0)),"-")</f>
        <v>14.96</v>
      </c>
      <c r="H115" s="1" t="str">
        <f>IF(COUNTIF(Comp2[Comparable '#2 Dates],Benchmark2[[#This Row],[Benchmark '#2 Dates]])=1,"Pass","Fail")</f>
        <v>Pass</v>
      </c>
      <c r="I115" s="6">
        <f>IF(Benchmark2[[#This Row],[Comparable '#2 Date Check]]="Pass",INDEX(Comp2[Comparable '#2 Price],MATCH(Benchmark2[[#This Row],[Benchmark '#2 Dates]],Comp2[Comparable '#2 Dates],0)),"-")</f>
        <v>51.13</v>
      </c>
      <c r="J115" s="1" t="str">
        <f>IF(COUNTIF(Comp3[Comparable '#3 Dates],Benchmark2[[#This Row],[Benchmark '#2 Dates]])=1,"Pass","Fail")</f>
        <v>Pass</v>
      </c>
      <c r="K115" s="6">
        <f>IF(Benchmark2[[#This Row],[Comparable '#3 Date Check]]="Pass",INDEX(Comp3[Comparable '#3 Price],MATCH(Benchmark2[[#This Row],[Benchmark '#2 Dates]],Comp3[Comparable '#3 Dates],0)),"-")</f>
        <v>128.5</v>
      </c>
    </row>
    <row r="116" spans="1:11">
      <c r="A116" s="103">
        <v>43451</v>
      </c>
      <c r="B116" s="104">
        <v>11532.12</v>
      </c>
      <c r="C116" s="4">
        <f t="shared" si="1"/>
        <v>-1.9174822589760689E-2</v>
      </c>
      <c r="D116" s="1" t="str">
        <f>IF(COUNTIF(Target1[Target Dates],Benchmark2[[#This Row],[Benchmark '#2 Dates]])=1,"Pass","Fail")</f>
        <v>Pass</v>
      </c>
      <c r="E116" s="6">
        <f>IF(Benchmark2[[#This Row],[Target Date Check]]="Pass",INDEX(Target1[Target Price],MATCH(Benchmark2[[#This Row],[Benchmark '#2 Dates]],Target1[Target Dates],0)),"-")</f>
        <v>22.73</v>
      </c>
      <c r="F116" s="1" t="str">
        <f>IF(COUNTIF(Comp1[Comparable '#1 Dates],Benchmark2[[#This Row],[Benchmark '#2 Dates]])=1,"Pass","Fail")</f>
        <v>Pass</v>
      </c>
      <c r="G116" s="6">
        <f>IF(Benchmark2[[#This Row],[Comparable '#1 Date Check]]="Pass",INDEX(Comp1[Comparable '#1 Price],MATCH(Benchmark2[[#This Row],[Benchmark '#2 Dates]],Comp1[Comparable '#1 Dates],0)),"-")</f>
        <v>14.64</v>
      </c>
      <c r="H116" s="1" t="str">
        <f>IF(COUNTIF(Comp2[Comparable '#2 Dates],Benchmark2[[#This Row],[Benchmark '#2 Dates]])=1,"Pass","Fail")</f>
        <v>Pass</v>
      </c>
      <c r="I116" s="6">
        <f>IF(Benchmark2[[#This Row],[Comparable '#2 Date Check]]="Pass",INDEX(Comp2[Comparable '#2 Price],MATCH(Benchmark2[[#This Row],[Benchmark '#2 Dates]],Comp2[Comparable '#2 Dates],0)),"-")</f>
        <v>49.99</v>
      </c>
      <c r="J116" s="1" t="str">
        <f>IF(COUNTIF(Comp3[Comparable '#3 Dates],Benchmark2[[#This Row],[Benchmark '#2 Dates]])=1,"Pass","Fail")</f>
        <v>Pass</v>
      </c>
      <c r="K116" s="6">
        <f>IF(Benchmark2[[#This Row],[Comparable '#3 Date Check]]="Pass",INDEX(Comp3[Comparable '#3 Price],MATCH(Benchmark2[[#This Row],[Benchmark '#2 Dates]],Comp3[Comparable '#3 Dates],0)),"-")</f>
        <v>125.25</v>
      </c>
    </row>
    <row r="117" spans="1:11">
      <c r="A117" s="103">
        <v>43452</v>
      </c>
      <c r="B117" s="104">
        <v>11502.16</v>
      </c>
      <c r="C117" s="4">
        <f t="shared" si="1"/>
        <v>-2.6013417302289841E-3</v>
      </c>
      <c r="D117" s="1" t="str">
        <f>IF(COUNTIF(Target1[Target Dates],Benchmark2[[#This Row],[Benchmark '#2 Dates]])=1,"Pass","Fail")</f>
        <v>Pass</v>
      </c>
      <c r="E117" s="6">
        <f>IF(Benchmark2[[#This Row],[Target Date Check]]="Pass",INDEX(Target1[Target Price],MATCH(Benchmark2[[#This Row],[Benchmark '#2 Dates]],Target1[Target Dates],0)),"-")</f>
        <v>23.01</v>
      </c>
      <c r="F117" s="1" t="str">
        <f>IF(COUNTIF(Comp1[Comparable '#1 Dates],Benchmark2[[#This Row],[Benchmark '#2 Dates]])=1,"Pass","Fail")</f>
        <v>Pass</v>
      </c>
      <c r="G117" s="6">
        <f>IF(Benchmark2[[#This Row],[Comparable '#1 Date Check]]="Pass",INDEX(Comp1[Comparable '#1 Price],MATCH(Benchmark2[[#This Row],[Benchmark '#2 Dates]],Comp1[Comparable '#1 Dates],0)),"-")</f>
        <v>14.78</v>
      </c>
      <c r="H117" s="1" t="str">
        <f>IF(COUNTIF(Comp2[Comparable '#2 Dates],Benchmark2[[#This Row],[Benchmark '#2 Dates]])=1,"Pass","Fail")</f>
        <v>Pass</v>
      </c>
      <c r="I117" s="6">
        <f>IF(Benchmark2[[#This Row],[Comparable '#2 Date Check]]="Pass",INDEX(Comp2[Comparable '#2 Price],MATCH(Benchmark2[[#This Row],[Benchmark '#2 Dates]],Comp2[Comparable '#2 Dates],0)),"-")</f>
        <v>49.62</v>
      </c>
      <c r="J117" s="1" t="str">
        <f>IF(COUNTIF(Comp3[Comparable '#3 Dates],Benchmark2[[#This Row],[Benchmark '#2 Dates]])=1,"Pass","Fail")</f>
        <v>Pass</v>
      </c>
      <c r="K117" s="6">
        <f>IF(Benchmark2[[#This Row],[Comparable '#3 Date Check]]="Pass",INDEX(Comp3[Comparable '#3 Price],MATCH(Benchmark2[[#This Row],[Benchmark '#2 Dates]],Comp3[Comparable '#3 Dates],0)),"-")</f>
        <v>120.21</v>
      </c>
    </row>
    <row r="118" spans="1:11">
      <c r="A118" s="103">
        <v>43453</v>
      </c>
      <c r="B118" s="104">
        <v>11371.84</v>
      </c>
      <c r="C118" s="4">
        <f t="shared" si="1"/>
        <v>-1.139471977401639E-2</v>
      </c>
      <c r="D118" s="1" t="str">
        <f>IF(COUNTIF(Target1[Target Dates],Benchmark2[[#This Row],[Benchmark '#2 Dates]])=1,"Pass","Fail")</f>
        <v>Pass</v>
      </c>
      <c r="E118" s="6">
        <f>IF(Benchmark2[[#This Row],[Target Date Check]]="Pass",INDEX(Target1[Target Price],MATCH(Benchmark2[[#This Row],[Benchmark '#2 Dates]],Target1[Target Dates],0)),"-")</f>
        <v>22.85</v>
      </c>
      <c r="F118" s="1" t="str">
        <f>IF(COUNTIF(Comp1[Comparable '#1 Dates],Benchmark2[[#This Row],[Benchmark '#2 Dates]])=1,"Pass","Fail")</f>
        <v>Pass</v>
      </c>
      <c r="G118" s="6">
        <f>IF(Benchmark2[[#This Row],[Comparable '#1 Date Check]]="Pass",INDEX(Comp1[Comparable '#1 Price],MATCH(Benchmark2[[#This Row],[Benchmark '#2 Dates]],Comp1[Comparable '#1 Dates],0)),"-")</f>
        <v>14.56</v>
      </c>
      <c r="H118" s="1" t="str">
        <f>IF(COUNTIF(Comp2[Comparable '#2 Dates],Benchmark2[[#This Row],[Benchmark '#2 Dates]])=1,"Pass","Fail")</f>
        <v>Pass</v>
      </c>
      <c r="I118" s="6">
        <f>IF(Benchmark2[[#This Row],[Comparable '#2 Date Check]]="Pass",INDEX(Comp2[Comparable '#2 Price],MATCH(Benchmark2[[#This Row],[Benchmark '#2 Dates]],Comp2[Comparable '#2 Dates],0)),"-")</f>
        <v>48.41</v>
      </c>
      <c r="J118" s="1" t="str">
        <f>IF(COUNTIF(Comp3[Comparable '#3 Dates],Benchmark2[[#This Row],[Benchmark '#2 Dates]])=1,"Pass","Fail")</f>
        <v>Pass</v>
      </c>
      <c r="K118" s="6">
        <f>IF(Benchmark2[[#This Row],[Comparable '#3 Date Check]]="Pass",INDEX(Comp3[Comparable '#3 Price],MATCH(Benchmark2[[#This Row],[Benchmark '#2 Dates]],Comp3[Comparable '#3 Dates],0)),"-")</f>
        <v>114.48</v>
      </c>
    </row>
    <row r="119" spans="1:11">
      <c r="A119" s="103">
        <v>43454</v>
      </c>
      <c r="B119" s="104">
        <v>11222.79</v>
      </c>
      <c r="C119" s="4">
        <f t="shared" si="1"/>
        <v>-1.319359176042363E-2</v>
      </c>
      <c r="D119" s="1" t="str">
        <f>IF(COUNTIF(Target1[Target Dates],Benchmark2[[#This Row],[Benchmark '#2 Dates]])=1,"Pass","Fail")</f>
        <v>Pass</v>
      </c>
      <c r="E119" s="6">
        <f>IF(Benchmark2[[#This Row],[Target Date Check]]="Pass",INDEX(Target1[Target Price],MATCH(Benchmark2[[#This Row],[Benchmark '#2 Dates]],Target1[Target Dates],0)),"-")</f>
        <v>23.15</v>
      </c>
      <c r="F119" s="1" t="str">
        <f>IF(COUNTIF(Comp1[Comparable '#1 Dates],Benchmark2[[#This Row],[Benchmark '#2 Dates]])=1,"Pass","Fail")</f>
        <v>Pass</v>
      </c>
      <c r="G119" s="6">
        <f>IF(Benchmark2[[#This Row],[Comparable '#1 Date Check]]="Pass",INDEX(Comp1[Comparable '#1 Price],MATCH(Benchmark2[[#This Row],[Benchmark '#2 Dates]],Comp1[Comparable '#1 Dates],0)),"-")</f>
        <v>14.42</v>
      </c>
      <c r="H119" s="1" t="str">
        <f>IF(COUNTIF(Comp2[Comparable '#2 Dates],Benchmark2[[#This Row],[Benchmark '#2 Dates]])=1,"Pass","Fail")</f>
        <v>Pass</v>
      </c>
      <c r="I119" s="6">
        <f>IF(Benchmark2[[#This Row],[Comparable '#2 Date Check]]="Pass",INDEX(Comp2[Comparable '#2 Price],MATCH(Benchmark2[[#This Row],[Benchmark '#2 Dates]],Comp2[Comparable '#2 Dates],0)),"-")</f>
        <v>47.66</v>
      </c>
      <c r="J119" s="1" t="str">
        <f>IF(COUNTIF(Comp3[Comparable '#3 Dates],Benchmark2[[#This Row],[Benchmark '#2 Dates]])=1,"Pass","Fail")</f>
        <v>Pass</v>
      </c>
      <c r="K119" s="6">
        <f>IF(Benchmark2[[#This Row],[Comparable '#3 Date Check]]="Pass",INDEX(Comp3[Comparable '#3 Price],MATCH(Benchmark2[[#This Row],[Benchmark '#2 Dates]],Comp3[Comparable '#3 Dates],0)),"-")</f>
        <v>112.02</v>
      </c>
    </row>
    <row r="120" spans="1:11">
      <c r="A120" s="103">
        <v>43455</v>
      </c>
      <c r="B120" s="104">
        <v>11036.84</v>
      </c>
      <c r="C120" s="4">
        <f t="shared" si="1"/>
        <v>-1.6707764291882813E-2</v>
      </c>
      <c r="D120" s="1" t="str">
        <f>IF(COUNTIF(Target1[Target Dates],Benchmark2[[#This Row],[Benchmark '#2 Dates]])=1,"Pass","Fail")</f>
        <v>Pass</v>
      </c>
      <c r="E120" s="6">
        <f>IF(Benchmark2[[#This Row],[Target Date Check]]="Pass",INDEX(Target1[Target Price],MATCH(Benchmark2[[#This Row],[Benchmark '#2 Dates]],Target1[Target Dates],0)),"-")</f>
        <v>22.65</v>
      </c>
      <c r="F120" s="1" t="str">
        <f>IF(COUNTIF(Comp1[Comparable '#1 Dates],Benchmark2[[#This Row],[Benchmark '#2 Dates]])=1,"Pass","Fail")</f>
        <v>Pass</v>
      </c>
      <c r="G120" s="6">
        <f>IF(Benchmark2[[#This Row],[Comparable '#1 Date Check]]="Pass",INDEX(Comp1[Comparable '#1 Price],MATCH(Benchmark2[[#This Row],[Benchmark '#2 Dates]],Comp1[Comparable '#1 Dates],0)),"-")</f>
        <v>13.9</v>
      </c>
      <c r="H120" s="1" t="str">
        <f>IF(COUNTIF(Comp2[Comparable '#2 Dates],Benchmark2[[#This Row],[Benchmark '#2 Dates]])=1,"Pass","Fail")</f>
        <v>Pass</v>
      </c>
      <c r="I120" s="6">
        <f>IF(Benchmark2[[#This Row],[Comparable '#2 Date Check]]="Pass",INDEX(Comp2[Comparable '#2 Price],MATCH(Benchmark2[[#This Row],[Benchmark '#2 Dates]],Comp2[Comparable '#2 Dates],0)),"-")</f>
        <v>45.53</v>
      </c>
      <c r="J120" s="1" t="str">
        <f>IF(COUNTIF(Comp3[Comparable '#3 Dates],Benchmark2[[#This Row],[Benchmark '#2 Dates]])=1,"Pass","Fail")</f>
        <v>Pass</v>
      </c>
      <c r="K120" s="6">
        <f>IF(Benchmark2[[#This Row],[Comparable '#3 Date Check]]="Pass",INDEX(Comp3[Comparable '#3 Price],MATCH(Benchmark2[[#This Row],[Benchmark '#2 Dates]],Comp3[Comparable '#3 Dates],0)),"-")</f>
        <v>107.89</v>
      </c>
    </row>
    <row r="121" spans="1:11">
      <c r="A121" s="103">
        <v>43458</v>
      </c>
      <c r="B121" s="104">
        <v>10769.83</v>
      </c>
      <c r="C121" s="4">
        <f t="shared" si="1"/>
        <v>-2.449006153582297E-2</v>
      </c>
      <c r="D121" s="1" t="str">
        <f>IF(COUNTIF(Target1[Target Dates],Benchmark2[[#This Row],[Benchmark '#2 Dates]])=1,"Pass","Fail")</f>
        <v>Pass</v>
      </c>
      <c r="E121" s="6">
        <f>IF(Benchmark2[[#This Row],[Target Date Check]]="Pass",INDEX(Target1[Target Price],MATCH(Benchmark2[[#This Row],[Benchmark '#2 Dates]],Target1[Target Dates],0)),"-")</f>
        <v>22.62</v>
      </c>
      <c r="F121" s="1" t="str">
        <f>IF(COUNTIF(Comp1[Comparable '#1 Dates],Benchmark2[[#This Row],[Benchmark '#2 Dates]])=1,"Pass","Fail")</f>
        <v>Pass</v>
      </c>
      <c r="G121" s="6">
        <f>IF(Benchmark2[[#This Row],[Comparable '#1 Date Check]]="Pass",INDEX(Comp1[Comparable '#1 Price],MATCH(Benchmark2[[#This Row],[Benchmark '#2 Dates]],Comp1[Comparable '#1 Dates],0)),"-")</f>
        <v>13.98</v>
      </c>
      <c r="H121" s="1" t="str">
        <f>IF(COUNTIF(Comp2[Comparable '#2 Dates],Benchmark2[[#This Row],[Benchmark '#2 Dates]])=1,"Pass","Fail")</f>
        <v>Pass</v>
      </c>
      <c r="I121" s="6">
        <f>IF(Benchmark2[[#This Row],[Comparable '#2 Date Check]]="Pass",INDEX(Comp2[Comparable '#2 Price],MATCH(Benchmark2[[#This Row],[Benchmark '#2 Dates]],Comp2[Comparable '#2 Dates],0)),"-")</f>
        <v>44.57</v>
      </c>
      <c r="J121" s="1" t="str">
        <f>IF(COUNTIF(Comp3[Comparable '#3 Dates],Benchmark2[[#This Row],[Benchmark '#2 Dates]])=1,"Pass","Fail")</f>
        <v>Pass</v>
      </c>
      <c r="K121" s="6">
        <f>IF(Benchmark2[[#This Row],[Comparable '#3 Date Check]]="Pass",INDEX(Comp3[Comparable '#3 Price],MATCH(Benchmark2[[#This Row],[Benchmark '#2 Dates]],Comp3[Comparable '#3 Dates],0)),"-")</f>
        <v>104.43</v>
      </c>
    </row>
    <row r="122" spans="1:11">
      <c r="A122" s="103">
        <v>43460</v>
      </c>
      <c r="B122" s="104">
        <v>11204.09</v>
      </c>
      <c r="C122" s="4">
        <f t="shared" si="1"/>
        <v>3.9530183754107287E-2</v>
      </c>
      <c r="D122" s="1" t="str">
        <f>IF(COUNTIF(Target1[Target Dates],Benchmark2[[#This Row],[Benchmark '#2 Dates]])=1,"Pass","Fail")</f>
        <v>Pass</v>
      </c>
      <c r="E122" s="6">
        <f>IF(Benchmark2[[#This Row],[Target Date Check]]="Pass",INDEX(Target1[Target Price],MATCH(Benchmark2[[#This Row],[Benchmark '#2 Dates]],Target1[Target Dates],0)),"-")</f>
        <v>23.52</v>
      </c>
      <c r="F122" s="1" t="str">
        <f>IF(COUNTIF(Comp1[Comparable '#1 Dates],Benchmark2[[#This Row],[Benchmark '#2 Dates]])=1,"Pass","Fail")</f>
        <v>Pass</v>
      </c>
      <c r="G122" s="6">
        <f>IF(Benchmark2[[#This Row],[Comparable '#1 Date Check]]="Pass",INDEX(Comp1[Comparable '#1 Price],MATCH(Benchmark2[[#This Row],[Benchmark '#2 Dates]],Comp1[Comparable '#1 Dates],0)),"-")</f>
        <v>14.54</v>
      </c>
      <c r="H122" s="1" t="str">
        <f>IF(COUNTIF(Comp2[Comparable '#2 Dates],Benchmark2[[#This Row],[Benchmark '#2 Dates]])=1,"Pass","Fail")</f>
        <v>Pass</v>
      </c>
      <c r="I122" s="6">
        <f>IF(Benchmark2[[#This Row],[Comparable '#2 Date Check]]="Pass",INDEX(Comp2[Comparable '#2 Price],MATCH(Benchmark2[[#This Row],[Benchmark '#2 Dates]],Comp2[Comparable '#2 Dates],0)),"-")</f>
        <v>46.59</v>
      </c>
      <c r="J122" s="1" t="str">
        <f>IF(COUNTIF(Comp3[Comparable '#3 Dates],Benchmark2[[#This Row],[Benchmark '#2 Dates]])=1,"Pass","Fail")</f>
        <v>Pass</v>
      </c>
      <c r="K122" s="6">
        <f>IF(Benchmark2[[#This Row],[Comparable '#3 Date Check]]="Pass",INDEX(Comp3[Comparable '#3 Price],MATCH(Benchmark2[[#This Row],[Benchmark '#2 Dates]],Comp3[Comparable '#3 Dates],0)),"-")</f>
        <v>109.3</v>
      </c>
    </row>
    <row r="123" spans="1:11">
      <c r="A123" s="103">
        <v>43461</v>
      </c>
      <c r="B123" s="104">
        <v>11285.31</v>
      </c>
      <c r="C123" s="4">
        <f t="shared" si="1"/>
        <v>7.2229897742354275E-3</v>
      </c>
      <c r="D123" s="1" t="str">
        <f>IF(COUNTIF(Target1[Target Dates],Benchmark2[[#This Row],[Benchmark '#2 Dates]])=1,"Pass","Fail")</f>
        <v>Pass</v>
      </c>
      <c r="E123" s="6">
        <f>IF(Benchmark2[[#This Row],[Target Date Check]]="Pass",INDEX(Target1[Target Price],MATCH(Benchmark2[[#This Row],[Benchmark '#2 Dates]],Target1[Target Dates],0)),"-")</f>
        <v>23.91</v>
      </c>
      <c r="F123" s="1" t="str">
        <f>IF(COUNTIF(Comp1[Comparable '#1 Dates],Benchmark2[[#This Row],[Benchmark '#2 Dates]])=1,"Pass","Fail")</f>
        <v>Pass</v>
      </c>
      <c r="G123" s="6">
        <f>IF(Benchmark2[[#This Row],[Comparable '#1 Date Check]]="Pass",INDEX(Comp1[Comparable '#1 Price],MATCH(Benchmark2[[#This Row],[Benchmark '#2 Dates]],Comp1[Comparable '#1 Dates],0)),"-")</f>
        <v>14.68</v>
      </c>
      <c r="H123" s="1" t="str">
        <f>IF(COUNTIF(Comp2[Comparable '#2 Dates],Benchmark2[[#This Row],[Benchmark '#2 Dates]])=1,"Pass","Fail")</f>
        <v>Pass</v>
      </c>
      <c r="I123" s="6">
        <f>IF(Benchmark2[[#This Row],[Comparable '#2 Date Check]]="Pass",INDEX(Comp2[Comparable '#2 Price],MATCH(Benchmark2[[#This Row],[Benchmark '#2 Dates]],Comp2[Comparable '#2 Dates],0)),"-")</f>
        <v>46.53</v>
      </c>
      <c r="J123" s="1" t="str">
        <f>IF(COUNTIF(Comp3[Comparable '#3 Dates],Benchmark2[[#This Row],[Benchmark '#2 Dates]])=1,"Pass","Fail")</f>
        <v>Pass</v>
      </c>
      <c r="K123" s="6">
        <f>IF(Benchmark2[[#This Row],[Comparable '#3 Date Check]]="Pass",INDEX(Comp3[Comparable '#3 Price],MATCH(Benchmark2[[#This Row],[Benchmark '#2 Dates]],Comp3[Comparable '#3 Dates],0)),"-")</f>
        <v>111.06</v>
      </c>
    </row>
    <row r="124" spans="1:11">
      <c r="A124" s="103">
        <v>43462</v>
      </c>
      <c r="B124" s="104">
        <v>11290.95</v>
      </c>
      <c r="C124" s="4">
        <f t="shared" si="1"/>
        <v>4.9963989760314922E-4</v>
      </c>
      <c r="D124" s="1" t="str">
        <f>IF(COUNTIF(Target1[Target Dates],Benchmark2[[#This Row],[Benchmark '#2 Dates]])=1,"Pass","Fail")</f>
        <v>Pass</v>
      </c>
      <c r="E124" s="6">
        <f>IF(Benchmark2[[#This Row],[Target Date Check]]="Pass",INDEX(Target1[Target Price],MATCH(Benchmark2[[#This Row],[Benchmark '#2 Dates]],Target1[Target Dates],0)),"-")</f>
        <v>24.42</v>
      </c>
      <c r="F124" s="1" t="str">
        <f>IF(COUNTIF(Comp1[Comparable '#1 Dates],Benchmark2[[#This Row],[Benchmark '#2 Dates]])=1,"Pass","Fail")</f>
        <v>Pass</v>
      </c>
      <c r="G124" s="6">
        <f>IF(Benchmark2[[#This Row],[Comparable '#1 Date Check]]="Pass",INDEX(Comp1[Comparable '#1 Price],MATCH(Benchmark2[[#This Row],[Benchmark '#2 Dates]],Comp1[Comparable '#1 Dates],0)),"-")</f>
        <v>14.82</v>
      </c>
      <c r="H124" s="1" t="str">
        <f>IF(COUNTIF(Comp2[Comparable '#2 Dates],Benchmark2[[#This Row],[Benchmark '#2 Dates]])=1,"Pass","Fail")</f>
        <v>Pass</v>
      </c>
      <c r="I124" s="6">
        <f>IF(Benchmark2[[#This Row],[Comparable '#2 Date Check]]="Pass",INDEX(Comp2[Comparable '#2 Price],MATCH(Benchmark2[[#This Row],[Benchmark '#2 Dates]],Comp2[Comparable '#2 Dates],0)),"-")</f>
        <v>46.93</v>
      </c>
      <c r="J124" s="1" t="str">
        <f>IF(COUNTIF(Comp3[Comparable '#3 Dates],Benchmark2[[#This Row],[Benchmark '#2 Dates]])=1,"Pass","Fail")</f>
        <v>Pass</v>
      </c>
      <c r="K124" s="6">
        <f>IF(Benchmark2[[#This Row],[Comparable '#3 Date Check]]="Pass",INDEX(Comp3[Comparable '#3 Price],MATCH(Benchmark2[[#This Row],[Benchmark '#2 Dates]],Comp3[Comparable '#3 Dates],0)),"-")</f>
        <v>113.43</v>
      </c>
    </row>
    <row r="125" spans="1:11">
      <c r="A125" s="103">
        <v>43465</v>
      </c>
      <c r="B125" s="104">
        <v>11374.39</v>
      </c>
      <c r="C125" s="4">
        <f t="shared" si="1"/>
        <v>7.3628171425923396E-3</v>
      </c>
      <c r="D125" s="1" t="str">
        <f>IF(COUNTIF(Target1[Target Dates],Benchmark2[[#This Row],[Benchmark '#2 Dates]])=1,"Pass","Fail")</f>
        <v>Pass</v>
      </c>
      <c r="E125" s="6">
        <f>IF(Benchmark2[[#This Row],[Target Date Check]]="Pass",INDEX(Target1[Target Price],MATCH(Benchmark2[[#This Row],[Benchmark '#2 Dates]],Target1[Target Dates],0)),"-")</f>
        <v>24.79</v>
      </c>
      <c r="F125" s="1" t="str">
        <f>IF(COUNTIF(Comp1[Comparable '#1 Dates],Benchmark2[[#This Row],[Benchmark '#2 Dates]])=1,"Pass","Fail")</f>
        <v>Pass</v>
      </c>
      <c r="G125" s="6">
        <f>IF(Benchmark2[[#This Row],[Comparable '#1 Date Check]]="Pass",INDEX(Comp1[Comparable '#1 Price],MATCH(Benchmark2[[#This Row],[Benchmark '#2 Dates]],Comp1[Comparable '#1 Dates],0)),"-")</f>
        <v>15.24</v>
      </c>
      <c r="H125" s="1" t="str">
        <f>IF(COUNTIF(Comp2[Comparable '#2 Dates],Benchmark2[[#This Row],[Benchmark '#2 Dates]])=1,"Pass","Fail")</f>
        <v>Pass</v>
      </c>
      <c r="I125" s="6">
        <f>IF(Benchmark2[[#This Row],[Comparable '#2 Date Check]]="Pass",INDEX(Comp2[Comparable '#2 Price],MATCH(Benchmark2[[#This Row],[Benchmark '#2 Dates]],Comp2[Comparable '#2 Dates],0)),"-")</f>
        <v>47.32</v>
      </c>
      <c r="J125" s="1" t="str">
        <f>IF(COUNTIF(Comp3[Comparable '#3 Dates],Benchmark2[[#This Row],[Benchmark '#2 Dates]])=1,"Pass","Fail")</f>
        <v>Pass</v>
      </c>
      <c r="K125" s="6">
        <f>IF(Benchmark2[[#This Row],[Comparable '#3 Date Check]]="Pass",INDEX(Comp3[Comparable '#3 Price],MATCH(Benchmark2[[#This Row],[Benchmark '#2 Dates]],Comp3[Comparable '#3 Dates],0)),"-")</f>
        <v>113.42</v>
      </c>
    </row>
    <row r="126" spans="1:11">
      <c r="A126" s="103">
        <v>43467</v>
      </c>
      <c r="B126" s="104">
        <v>11383.53</v>
      </c>
      <c r="C126" s="4">
        <f t="shared" si="1"/>
        <v>8.0323689435779803E-4</v>
      </c>
      <c r="D126" s="1" t="str">
        <f>IF(COUNTIF(Target1[Target Dates],Benchmark2[[#This Row],[Benchmark '#2 Dates]])=1,"Pass","Fail")</f>
        <v>Pass</v>
      </c>
      <c r="E126" s="6">
        <f>IF(Benchmark2[[#This Row],[Target Date Check]]="Pass",INDEX(Target1[Target Price],MATCH(Benchmark2[[#This Row],[Benchmark '#2 Dates]],Target1[Target Dates],0)),"-")</f>
        <v>23.97</v>
      </c>
      <c r="F126" s="1" t="str">
        <f>IF(COUNTIF(Comp1[Comparable '#1 Dates],Benchmark2[[#This Row],[Benchmark '#2 Dates]])=1,"Pass","Fail")</f>
        <v>Pass</v>
      </c>
      <c r="G126" s="6">
        <f>IF(Benchmark2[[#This Row],[Comparable '#1 Date Check]]="Pass",INDEX(Comp1[Comparable '#1 Price],MATCH(Benchmark2[[#This Row],[Benchmark '#2 Dates]],Comp1[Comparable '#1 Dates],0)),"-")</f>
        <v>15.36</v>
      </c>
      <c r="H126" s="1" t="str">
        <f>IF(COUNTIF(Comp2[Comparable '#2 Dates],Benchmark2[[#This Row],[Benchmark '#2 Dates]])=1,"Pass","Fail")</f>
        <v>Pass</v>
      </c>
      <c r="I126" s="6">
        <f>IF(Benchmark2[[#This Row],[Comparable '#2 Date Check]]="Pass",INDEX(Comp2[Comparable '#2 Price],MATCH(Benchmark2[[#This Row],[Benchmark '#2 Dates]],Comp2[Comparable '#2 Dates],0)),"-")</f>
        <v>47.37</v>
      </c>
      <c r="J126" s="1" t="str">
        <f>IF(COUNTIF(Comp3[Comparable '#3 Dates],Benchmark2[[#This Row],[Benchmark '#2 Dates]])=1,"Pass","Fail")</f>
        <v>Pass</v>
      </c>
      <c r="K126" s="6">
        <f>IF(Benchmark2[[#This Row],[Comparable '#3 Date Check]]="Pass",INDEX(Comp3[Comparable '#3 Price],MATCH(Benchmark2[[#This Row],[Benchmark '#2 Dates]],Comp3[Comparable '#3 Dates],0)),"-")</f>
        <v>111.98</v>
      </c>
    </row>
    <row r="127" spans="1:11">
      <c r="A127" s="103">
        <v>43468</v>
      </c>
      <c r="B127" s="104">
        <v>11190.45</v>
      </c>
      <c r="C127" s="4">
        <f t="shared" si="1"/>
        <v>-1.7106837927334726E-2</v>
      </c>
      <c r="D127" s="1" t="str">
        <f>IF(COUNTIF(Target1[Target Dates],Benchmark2[[#This Row],[Benchmark '#2 Dates]])=1,"Pass","Fail")</f>
        <v>Pass</v>
      </c>
      <c r="E127" s="6">
        <f>IF(Benchmark2[[#This Row],[Target Date Check]]="Pass",INDEX(Target1[Target Price],MATCH(Benchmark2[[#This Row],[Benchmark '#2 Dates]],Target1[Target Dates],0)),"-")</f>
        <v>23.93</v>
      </c>
      <c r="F127" s="1" t="str">
        <f>IF(COUNTIF(Comp1[Comparable '#1 Dates],Benchmark2[[#This Row],[Benchmark '#2 Dates]])=1,"Pass","Fail")</f>
        <v>Pass</v>
      </c>
      <c r="G127" s="6">
        <f>IF(Benchmark2[[#This Row],[Comparable '#1 Date Check]]="Pass",INDEX(Comp1[Comparable '#1 Price],MATCH(Benchmark2[[#This Row],[Benchmark '#2 Dates]],Comp1[Comparable '#1 Dates],0)),"-")</f>
        <v>14.57</v>
      </c>
      <c r="H127" s="1" t="str">
        <f>IF(COUNTIF(Comp2[Comparable '#2 Dates],Benchmark2[[#This Row],[Benchmark '#2 Dates]])=1,"Pass","Fail")</f>
        <v>Pass</v>
      </c>
      <c r="I127" s="6">
        <f>IF(Benchmark2[[#This Row],[Comparable '#2 Date Check]]="Pass",INDEX(Comp2[Comparable '#2 Price],MATCH(Benchmark2[[#This Row],[Benchmark '#2 Dates]],Comp2[Comparable '#2 Dates],0)),"-")</f>
        <v>46.99</v>
      </c>
      <c r="J127" s="1" t="str">
        <f>IF(COUNTIF(Comp3[Comparable '#3 Dates],Benchmark2[[#This Row],[Benchmark '#2 Dates]])=1,"Pass","Fail")</f>
        <v>Pass</v>
      </c>
      <c r="K127" s="6">
        <f>IF(Benchmark2[[#This Row],[Comparable '#3 Date Check]]="Pass",INDEX(Comp3[Comparable '#3 Price],MATCH(Benchmark2[[#This Row],[Benchmark '#2 Dates]],Comp3[Comparable '#3 Dates],0)),"-")</f>
        <v>109.15</v>
      </c>
    </row>
    <row r="128" spans="1:11">
      <c r="A128" s="103">
        <v>43469</v>
      </c>
      <c r="B128" s="104">
        <v>11533.34</v>
      </c>
      <c r="C128" s="4">
        <f t="shared" si="1"/>
        <v>3.0181235437618491E-2</v>
      </c>
      <c r="D128" s="1" t="str">
        <f>IF(COUNTIF(Target1[Target Dates],Benchmark2[[#This Row],[Benchmark '#2 Dates]])=1,"Pass","Fail")</f>
        <v>Pass</v>
      </c>
      <c r="E128" s="6">
        <f>IF(Benchmark2[[#This Row],[Target Date Check]]="Pass",INDEX(Target1[Target Price],MATCH(Benchmark2[[#This Row],[Benchmark '#2 Dates]],Target1[Target Dates],0)),"-")</f>
        <v>24.1</v>
      </c>
      <c r="F128" s="1" t="str">
        <f>IF(COUNTIF(Comp1[Comparable '#1 Dates],Benchmark2[[#This Row],[Benchmark '#2 Dates]])=1,"Pass","Fail")</f>
        <v>Pass</v>
      </c>
      <c r="G128" s="6">
        <f>IF(Benchmark2[[#This Row],[Comparable '#1 Date Check]]="Pass",INDEX(Comp1[Comparable '#1 Price],MATCH(Benchmark2[[#This Row],[Benchmark '#2 Dates]],Comp1[Comparable '#1 Dates],0)),"-")</f>
        <v>15.06</v>
      </c>
      <c r="H128" s="1" t="str">
        <f>IF(COUNTIF(Comp2[Comparable '#2 Dates],Benchmark2[[#This Row],[Benchmark '#2 Dates]])=1,"Pass","Fail")</f>
        <v>Pass</v>
      </c>
      <c r="I128" s="6">
        <f>IF(Benchmark2[[#This Row],[Comparable '#2 Date Check]]="Pass",INDEX(Comp2[Comparable '#2 Price],MATCH(Benchmark2[[#This Row],[Benchmark '#2 Dates]],Comp2[Comparable '#2 Dates],0)),"-")</f>
        <v>48.21</v>
      </c>
      <c r="J128" s="1" t="str">
        <f>IF(COUNTIF(Comp3[Comparable '#3 Dates],Benchmark2[[#This Row],[Benchmark '#2 Dates]])=1,"Pass","Fail")</f>
        <v>Pass</v>
      </c>
      <c r="K128" s="6">
        <f>IF(Benchmark2[[#This Row],[Comparable '#3 Date Check]]="Pass",INDEX(Comp3[Comparable '#3 Price],MATCH(Benchmark2[[#This Row],[Benchmark '#2 Dates]],Comp3[Comparable '#3 Dates],0)),"-")</f>
        <v>113.31</v>
      </c>
    </row>
    <row r="129" spans="1:11">
      <c r="A129" s="103">
        <v>43472</v>
      </c>
      <c r="B129" s="104">
        <v>11605.96</v>
      </c>
      <c r="C129" s="4">
        <f t="shared" si="1"/>
        <v>6.2767878392001797E-3</v>
      </c>
      <c r="D129" s="1" t="str">
        <f>IF(COUNTIF(Target1[Target Dates],Benchmark2[[#This Row],[Benchmark '#2 Dates]])=1,"Pass","Fail")</f>
        <v>Pass</v>
      </c>
      <c r="E129" s="6">
        <f>IF(Benchmark2[[#This Row],[Target Date Check]]="Pass",INDEX(Target1[Target Price],MATCH(Benchmark2[[#This Row],[Benchmark '#2 Dates]],Target1[Target Dates],0)),"-")</f>
        <v>24.26</v>
      </c>
      <c r="F129" s="1" t="str">
        <f>IF(COUNTIF(Comp1[Comparable '#1 Dates],Benchmark2[[#This Row],[Benchmark '#2 Dates]])=1,"Pass","Fail")</f>
        <v>Pass</v>
      </c>
      <c r="G129" s="6">
        <f>IF(Benchmark2[[#This Row],[Comparable '#1 Date Check]]="Pass",INDEX(Comp1[Comparable '#1 Price],MATCH(Benchmark2[[#This Row],[Benchmark '#2 Dates]],Comp1[Comparable '#1 Dates],0)),"-")</f>
        <v>14.99</v>
      </c>
      <c r="H129" s="1" t="str">
        <f>IF(COUNTIF(Comp2[Comparable '#2 Dates],Benchmark2[[#This Row],[Benchmark '#2 Dates]])=1,"Pass","Fail")</f>
        <v>Pass</v>
      </c>
      <c r="I129" s="6">
        <f>IF(Benchmark2[[#This Row],[Comparable '#2 Date Check]]="Pass",INDEX(Comp2[Comparable '#2 Price],MATCH(Benchmark2[[#This Row],[Benchmark '#2 Dates]],Comp2[Comparable '#2 Dates],0)),"-")</f>
        <v>47.77</v>
      </c>
      <c r="J129" s="1" t="str">
        <f>IF(COUNTIF(Comp3[Comparable '#3 Dates],Benchmark2[[#This Row],[Benchmark '#2 Dates]])=1,"Pass","Fail")</f>
        <v>Pass</v>
      </c>
      <c r="K129" s="6">
        <f>IF(Benchmark2[[#This Row],[Comparable '#3 Date Check]]="Pass",INDEX(Comp3[Comparable '#3 Price],MATCH(Benchmark2[[#This Row],[Benchmark '#2 Dates]],Comp3[Comparable '#3 Dates],0)),"-")</f>
        <v>110.35</v>
      </c>
    </row>
    <row r="130" spans="1:11">
      <c r="A130" s="103">
        <v>43473</v>
      </c>
      <c r="B130" s="104">
        <v>11716.23</v>
      </c>
      <c r="C130" s="4">
        <f t="shared" ref="C130:C193" si="2">IFERROR(IF(B130="",NA(),LN(B130/B129)),"-")</f>
        <v>9.4563007769842226E-3</v>
      </c>
      <c r="D130" s="1" t="str">
        <f>IF(COUNTIF(Target1[Target Dates],Benchmark2[[#This Row],[Benchmark '#2 Dates]])=1,"Pass","Fail")</f>
        <v>Pass</v>
      </c>
      <c r="E130" s="6">
        <f>IF(Benchmark2[[#This Row],[Target Date Check]]="Pass",INDEX(Target1[Target Price],MATCH(Benchmark2[[#This Row],[Benchmark '#2 Dates]],Target1[Target Dates],0)),"-")</f>
        <v>24.28</v>
      </c>
      <c r="F130" s="1" t="str">
        <f>IF(COUNTIF(Comp1[Comparable '#1 Dates],Benchmark2[[#This Row],[Benchmark '#2 Dates]])=1,"Pass","Fail")</f>
        <v>Pass</v>
      </c>
      <c r="G130" s="6">
        <f>IF(Benchmark2[[#This Row],[Comparable '#1 Date Check]]="Pass",INDEX(Comp1[Comparable '#1 Price],MATCH(Benchmark2[[#This Row],[Benchmark '#2 Dates]],Comp1[Comparable '#1 Dates],0)),"-")</f>
        <v>14.82</v>
      </c>
      <c r="H130" s="1" t="str">
        <f>IF(COUNTIF(Comp2[Comparable '#2 Dates],Benchmark2[[#This Row],[Benchmark '#2 Dates]])=1,"Pass","Fail")</f>
        <v>Pass</v>
      </c>
      <c r="I130" s="6">
        <f>IF(Benchmark2[[#This Row],[Comparable '#2 Date Check]]="Pass",INDEX(Comp2[Comparable '#2 Price],MATCH(Benchmark2[[#This Row],[Benchmark '#2 Dates]],Comp2[Comparable '#2 Dates],0)),"-")</f>
        <v>47.5</v>
      </c>
      <c r="J130" s="1" t="str">
        <f>IF(COUNTIF(Comp3[Comparable '#3 Dates],Benchmark2[[#This Row],[Benchmark '#2 Dates]])=1,"Pass","Fail")</f>
        <v>Pass</v>
      </c>
      <c r="K130" s="6">
        <f>IF(Benchmark2[[#This Row],[Comparable '#3 Date Check]]="Pass",INDEX(Comp3[Comparable '#3 Price],MATCH(Benchmark2[[#This Row],[Benchmark '#2 Dates]],Comp3[Comparable '#3 Dates],0)),"-")</f>
        <v>109.52</v>
      </c>
    </row>
    <row r="131" spans="1:11">
      <c r="A131" s="103">
        <v>43474</v>
      </c>
      <c r="B131" s="104">
        <v>11778.42</v>
      </c>
      <c r="C131" s="4">
        <f t="shared" si="2"/>
        <v>5.293983544852528E-3</v>
      </c>
      <c r="D131" s="1" t="str">
        <f>IF(COUNTIF(Target1[Target Dates],Benchmark2[[#This Row],[Benchmark '#2 Dates]])=1,"Pass","Fail")</f>
        <v>Pass</v>
      </c>
      <c r="E131" s="6">
        <f>IF(Benchmark2[[#This Row],[Target Date Check]]="Pass",INDEX(Target1[Target Price],MATCH(Benchmark2[[#This Row],[Benchmark '#2 Dates]],Target1[Target Dates],0)),"-")</f>
        <v>25.02</v>
      </c>
      <c r="F131" s="1" t="str">
        <f>IF(COUNTIF(Comp1[Comparable '#1 Dates],Benchmark2[[#This Row],[Benchmark '#2 Dates]])=1,"Pass","Fail")</f>
        <v>Pass</v>
      </c>
      <c r="G131" s="6">
        <f>IF(Benchmark2[[#This Row],[Comparable '#1 Date Check]]="Pass",INDEX(Comp1[Comparable '#1 Price],MATCH(Benchmark2[[#This Row],[Benchmark '#2 Dates]],Comp1[Comparable '#1 Dates],0)),"-")</f>
        <v>15.21</v>
      </c>
      <c r="H131" s="1" t="str">
        <f>IF(COUNTIF(Comp2[Comparable '#2 Dates],Benchmark2[[#This Row],[Benchmark '#2 Dates]])=1,"Pass","Fail")</f>
        <v>Pass</v>
      </c>
      <c r="I131" s="6">
        <f>IF(Benchmark2[[#This Row],[Comparable '#2 Date Check]]="Pass",INDEX(Comp2[Comparable '#2 Price],MATCH(Benchmark2[[#This Row],[Benchmark '#2 Dates]],Comp2[Comparable '#2 Dates],0)),"-")</f>
        <v>47.37</v>
      </c>
      <c r="J131" s="1" t="str">
        <f>IF(COUNTIF(Comp3[Comparable '#3 Dates],Benchmark2[[#This Row],[Benchmark '#2 Dates]])=1,"Pass","Fail")</f>
        <v>Pass</v>
      </c>
      <c r="K131" s="6">
        <f>IF(Benchmark2[[#This Row],[Comparable '#3 Date Check]]="Pass",INDEX(Comp3[Comparable '#3 Price],MATCH(Benchmark2[[#This Row],[Benchmark '#2 Dates]],Comp3[Comparable '#3 Dates],0)),"-")</f>
        <v>109.01</v>
      </c>
    </row>
    <row r="132" spans="1:11">
      <c r="A132" s="103">
        <v>43475</v>
      </c>
      <c r="B132" s="104">
        <v>11839.32</v>
      </c>
      <c r="C132" s="4">
        <f t="shared" si="2"/>
        <v>5.1571517830011349E-3</v>
      </c>
      <c r="D132" s="1" t="str">
        <f>IF(COUNTIF(Target1[Target Dates],Benchmark2[[#This Row],[Benchmark '#2 Dates]])=1,"Pass","Fail")</f>
        <v>Pass</v>
      </c>
      <c r="E132" s="6">
        <f>IF(Benchmark2[[#This Row],[Target Date Check]]="Pass",INDEX(Target1[Target Price],MATCH(Benchmark2[[#This Row],[Benchmark '#2 Dates]],Target1[Target Dates],0)),"-")</f>
        <v>24.94</v>
      </c>
      <c r="F132" s="1" t="str">
        <f>IF(COUNTIF(Comp1[Comparable '#1 Dates],Benchmark2[[#This Row],[Benchmark '#2 Dates]])=1,"Pass","Fail")</f>
        <v>Pass</v>
      </c>
      <c r="G132" s="6">
        <f>IF(Benchmark2[[#This Row],[Comparable '#1 Date Check]]="Pass",INDEX(Comp1[Comparable '#1 Price],MATCH(Benchmark2[[#This Row],[Benchmark '#2 Dates]],Comp1[Comparable '#1 Dates],0)),"-")</f>
        <v>15.24</v>
      </c>
      <c r="H132" s="1" t="str">
        <f>IF(COUNTIF(Comp2[Comparable '#2 Dates],Benchmark2[[#This Row],[Benchmark '#2 Dates]])=1,"Pass","Fail")</f>
        <v>Pass</v>
      </c>
      <c r="I132" s="6">
        <f>IF(Benchmark2[[#This Row],[Comparable '#2 Date Check]]="Pass",INDEX(Comp2[Comparable '#2 Price],MATCH(Benchmark2[[#This Row],[Benchmark '#2 Dates]],Comp2[Comparable '#2 Dates],0)),"-")</f>
        <v>47.38</v>
      </c>
      <c r="J132" s="1" t="str">
        <f>IF(COUNTIF(Comp3[Comparable '#3 Dates],Benchmark2[[#This Row],[Benchmark '#2 Dates]])=1,"Pass","Fail")</f>
        <v>Pass</v>
      </c>
      <c r="K132" s="6">
        <f>IF(Benchmark2[[#This Row],[Comparable '#3 Date Check]]="Pass",INDEX(Comp3[Comparable '#3 Price],MATCH(Benchmark2[[#This Row],[Benchmark '#2 Dates]],Comp3[Comparable '#3 Dates],0)),"-")</f>
        <v>109.35</v>
      </c>
    </row>
    <row r="133" spans="1:11">
      <c r="A133" s="103">
        <v>43476</v>
      </c>
      <c r="B133" s="104">
        <v>11848.01</v>
      </c>
      <c r="C133" s="4">
        <f t="shared" si="2"/>
        <v>7.3372561532758843E-4</v>
      </c>
      <c r="D133" s="1" t="str">
        <f>IF(COUNTIF(Target1[Target Dates],Benchmark2[[#This Row],[Benchmark '#2 Dates]])=1,"Pass","Fail")</f>
        <v>Pass</v>
      </c>
      <c r="E133" s="6">
        <f>IF(Benchmark2[[#This Row],[Target Date Check]]="Pass",INDEX(Target1[Target Price],MATCH(Benchmark2[[#This Row],[Benchmark '#2 Dates]],Target1[Target Dates],0)),"-")</f>
        <v>24.58</v>
      </c>
      <c r="F133" s="1" t="str">
        <f>IF(COUNTIF(Comp1[Comparable '#1 Dates],Benchmark2[[#This Row],[Benchmark '#2 Dates]])=1,"Pass","Fail")</f>
        <v>Pass</v>
      </c>
      <c r="G133" s="6">
        <f>IF(Benchmark2[[#This Row],[Comparable '#1 Date Check]]="Pass",INDEX(Comp1[Comparable '#1 Price],MATCH(Benchmark2[[#This Row],[Benchmark '#2 Dates]],Comp1[Comparable '#1 Dates],0)),"-")</f>
        <v>15.1</v>
      </c>
      <c r="H133" s="1" t="str">
        <f>IF(COUNTIF(Comp2[Comparable '#2 Dates],Benchmark2[[#This Row],[Benchmark '#2 Dates]])=1,"Pass","Fail")</f>
        <v>Pass</v>
      </c>
      <c r="I133" s="6">
        <f>IF(Benchmark2[[#This Row],[Comparable '#2 Date Check]]="Pass",INDEX(Comp2[Comparable '#2 Price],MATCH(Benchmark2[[#This Row],[Benchmark '#2 Dates]],Comp2[Comparable '#2 Dates],0)),"-")</f>
        <v>47.37</v>
      </c>
      <c r="J133" s="1" t="str">
        <f>IF(COUNTIF(Comp3[Comparable '#3 Dates],Benchmark2[[#This Row],[Benchmark '#2 Dates]])=1,"Pass","Fail")</f>
        <v>Pass</v>
      </c>
      <c r="K133" s="6">
        <f>IF(Benchmark2[[#This Row],[Comparable '#3 Date Check]]="Pass",INDEX(Comp3[Comparable '#3 Price],MATCH(Benchmark2[[#This Row],[Benchmark '#2 Dates]],Comp3[Comparable '#3 Dates],0)),"-")</f>
        <v>110.49</v>
      </c>
    </row>
    <row r="134" spans="1:11">
      <c r="A134" s="103">
        <v>43479</v>
      </c>
      <c r="B134" s="104">
        <v>11799.11</v>
      </c>
      <c r="C134" s="4">
        <f t="shared" si="2"/>
        <v>-4.135816091156287E-3</v>
      </c>
      <c r="D134" s="1" t="str">
        <f>IF(COUNTIF(Target1[Target Dates],Benchmark2[[#This Row],[Benchmark '#2 Dates]])=1,"Pass","Fail")</f>
        <v>Pass</v>
      </c>
      <c r="E134" s="6">
        <f>IF(Benchmark2[[#This Row],[Target Date Check]]="Pass",INDEX(Target1[Target Price],MATCH(Benchmark2[[#This Row],[Benchmark '#2 Dates]],Target1[Target Dates],0)),"-")</f>
        <v>24.21</v>
      </c>
      <c r="F134" s="1" t="str">
        <f>IF(COUNTIF(Comp1[Comparable '#1 Dates],Benchmark2[[#This Row],[Benchmark '#2 Dates]])=1,"Pass","Fail")</f>
        <v>Pass</v>
      </c>
      <c r="G134" s="6">
        <f>IF(Benchmark2[[#This Row],[Comparable '#1 Date Check]]="Pass",INDEX(Comp1[Comparable '#1 Price],MATCH(Benchmark2[[#This Row],[Benchmark '#2 Dates]],Comp1[Comparable '#1 Dates],0)),"-")</f>
        <v>15.05</v>
      </c>
      <c r="H134" s="1" t="str">
        <f>IF(COUNTIF(Comp2[Comparable '#2 Dates],Benchmark2[[#This Row],[Benchmark '#2 Dates]])=1,"Pass","Fail")</f>
        <v>Pass</v>
      </c>
      <c r="I134" s="6">
        <f>IF(Benchmark2[[#This Row],[Comparable '#2 Date Check]]="Pass",INDEX(Comp2[Comparable '#2 Price],MATCH(Benchmark2[[#This Row],[Benchmark '#2 Dates]],Comp2[Comparable '#2 Dates],0)),"-")</f>
        <v>47.2</v>
      </c>
      <c r="J134" s="1" t="str">
        <f>IF(COUNTIF(Comp3[Comparable '#3 Dates],Benchmark2[[#This Row],[Benchmark '#2 Dates]])=1,"Pass","Fail")</f>
        <v>Pass</v>
      </c>
      <c r="K134" s="6">
        <f>IF(Benchmark2[[#This Row],[Comparable '#3 Date Check]]="Pass",INDEX(Comp3[Comparable '#3 Price],MATCH(Benchmark2[[#This Row],[Benchmark '#2 Dates]],Comp3[Comparable '#3 Dates],0)),"-")</f>
        <v>107.92</v>
      </c>
    </row>
    <row r="135" spans="1:11">
      <c r="A135" s="103">
        <v>43480</v>
      </c>
      <c r="B135" s="104">
        <v>11868.68</v>
      </c>
      <c r="C135" s="4">
        <f t="shared" si="2"/>
        <v>5.8788928218045256E-3</v>
      </c>
      <c r="D135" s="1" t="str">
        <f>IF(COUNTIF(Target1[Target Dates],Benchmark2[[#This Row],[Benchmark '#2 Dates]])=1,"Pass","Fail")</f>
        <v>Pass</v>
      </c>
      <c r="E135" s="6">
        <f>IF(Benchmark2[[#This Row],[Target Date Check]]="Pass",INDEX(Target1[Target Price],MATCH(Benchmark2[[#This Row],[Benchmark '#2 Dates]],Target1[Target Dates],0)),"-")</f>
        <v>24.88</v>
      </c>
      <c r="F135" s="1" t="str">
        <f>IF(COUNTIF(Comp1[Comparable '#1 Dates],Benchmark2[[#This Row],[Benchmark '#2 Dates]])=1,"Pass","Fail")</f>
        <v>Pass</v>
      </c>
      <c r="G135" s="6">
        <f>IF(Benchmark2[[#This Row],[Comparable '#1 Date Check]]="Pass",INDEX(Comp1[Comparable '#1 Price],MATCH(Benchmark2[[#This Row],[Benchmark '#2 Dates]],Comp1[Comparable '#1 Dates],0)),"-")</f>
        <v>15.19</v>
      </c>
      <c r="H135" s="1" t="str">
        <f>IF(COUNTIF(Comp2[Comparable '#2 Dates],Benchmark2[[#This Row],[Benchmark '#2 Dates]])=1,"Pass","Fail")</f>
        <v>Pass</v>
      </c>
      <c r="I135" s="6">
        <f>IF(Benchmark2[[#This Row],[Comparable '#2 Date Check]]="Pass",INDEX(Comp2[Comparable '#2 Price],MATCH(Benchmark2[[#This Row],[Benchmark '#2 Dates]],Comp2[Comparable '#2 Dates],0)),"-")</f>
        <v>47.85</v>
      </c>
      <c r="J135" s="1" t="str">
        <f>IF(COUNTIF(Comp3[Comparable '#3 Dates],Benchmark2[[#This Row],[Benchmark '#2 Dates]])=1,"Pass","Fail")</f>
        <v>Pass</v>
      </c>
      <c r="K135" s="6">
        <f>IF(Benchmark2[[#This Row],[Comparable '#3 Date Check]]="Pass",INDEX(Comp3[Comparable '#3 Price],MATCH(Benchmark2[[#This Row],[Benchmark '#2 Dates]],Comp3[Comparable '#3 Dates],0)),"-")</f>
        <v>108.55</v>
      </c>
    </row>
    <row r="136" spans="1:11">
      <c r="A136" s="103">
        <v>43481</v>
      </c>
      <c r="B136" s="104">
        <v>11907.61</v>
      </c>
      <c r="C136" s="4">
        <f t="shared" si="2"/>
        <v>3.2746938054004824E-3</v>
      </c>
      <c r="D136" s="1" t="str">
        <f>IF(COUNTIF(Target1[Target Dates],Benchmark2[[#This Row],[Benchmark '#2 Dates]])=1,"Pass","Fail")</f>
        <v>Pass</v>
      </c>
      <c r="E136" s="6">
        <f>IF(Benchmark2[[#This Row],[Target Date Check]]="Pass",INDEX(Target1[Target Price],MATCH(Benchmark2[[#This Row],[Benchmark '#2 Dates]],Target1[Target Dates],0)),"-")</f>
        <v>24.89</v>
      </c>
      <c r="F136" s="1" t="str">
        <f>IF(COUNTIF(Comp1[Comparable '#1 Dates],Benchmark2[[#This Row],[Benchmark '#2 Dates]])=1,"Pass","Fail")</f>
        <v>Pass</v>
      </c>
      <c r="G136" s="6">
        <f>IF(Benchmark2[[#This Row],[Comparable '#1 Date Check]]="Pass",INDEX(Comp1[Comparable '#1 Price],MATCH(Benchmark2[[#This Row],[Benchmark '#2 Dates]],Comp1[Comparable '#1 Dates],0)),"-")</f>
        <v>15.25</v>
      </c>
      <c r="H136" s="1" t="str">
        <f>IF(COUNTIF(Comp2[Comparable '#2 Dates],Benchmark2[[#This Row],[Benchmark '#2 Dates]])=1,"Pass","Fail")</f>
        <v>Pass</v>
      </c>
      <c r="I136" s="6">
        <f>IF(Benchmark2[[#This Row],[Comparable '#2 Date Check]]="Pass",INDEX(Comp2[Comparable '#2 Price],MATCH(Benchmark2[[#This Row],[Benchmark '#2 Dates]],Comp2[Comparable '#2 Dates],0)),"-")</f>
        <v>47.99</v>
      </c>
      <c r="J136" s="1" t="str">
        <f>IF(COUNTIF(Comp3[Comparable '#3 Dates],Benchmark2[[#This Row],[Benchmark '#2 Dates]])=1,"Pass","Fail")</f>
        <v>Pass</v>
      </c>
      <c r="K136" s="6">
        <f>IF(Benchmark2[[#This Row],[Comparable '#3 Date Check]]="Pass",INDEX(Comp3[Comparable '#3 Price],MATCH(Benchmark2[[#This Row],[Benchmark '#2 Dates]],Comp3[Comparable '#3 Dates],0)),"-")</f>
        <v>107.64</v>
      </c>
    </row>
    <row r="137" spans="1:11">
      <c r="A137" s="103">
        <v>43482</v>
      </c>
      <c r="B137" s="104">
        <v>11994.54</v>
      </c>
      <c r="C137" s="4">
        <f t="shared" si="2"/>
        <v>7.2738547185927311E-3</v>
      </c>
      <c r="D137" s="1" t="str">
        <f>IF(COUNTIF(Target1[Target Dates],Benchmark2[[#This Row],[Benchmark '#2 Dates]])=1,"Pass","Fail")</f>
        <v>Pass</v>
      </c>
      <c r="E137" s="6">
        <f>IF(Benchmark2[[#This Row],[Target Date Check]]="Pass",INDEX(Target1[Target Price],MATCH(Benchmark2[[#This Row],[Benchmark '#2 Dates]],Target1[Target Dates],0)),"-")</f>
        <v>25.16</v>
      </c>
      <c r="F137" s="1" t="str">
        <f>IF(COUNTIF(Comp1[Comparable '#1 Dates],Benchmark2[[#This Row],[Benchmark '#2 Dates]])=1,"Pass","Fail")</f>
        <v>Pass</v>
      </c>
      <c r="G137" s="6">
        <f>IF(Benchmark2[[#This Row],[Comparable '#1 Date Check]]="Pass",INDEX(Comp1[Comparable '#1 Price],MATCH(Benchmark2[[#This Row],[Benchmark '#2 Dates]],Comp1[Comparable '#1 Dates],0)),"-")</f>
        <v>15.26</v>
      </c>
      <c r="H137" s="1" t="str">
        <f>IF(COUNTIF(Comp2[Comparable '#2 Dates],Benchmark2[[#This Row],[Benchmark '#2 Dates]])=1,"Pass","Fail")</f>
        <v>Pass</v>
      </c>
      <c r="I137" s="6">
        <f>IF(Benchmark2[[#This Row],[Comparable '#2 Date Check]]="Pass",INDEX(Comp2[Comparable '#2 Price],MATCH(Benchmark2[[#This Row],[Benchmark '#2 Dates]],Comp2[Comparable '#2 Dates],0)),"-")</f>
        <v>47.93</v>
      </c>
      <c r="J137" s="1" t="str">
        <f>IF(COUNTIF(Comp3[Comparable '#3 Dates],Benchmark2[[#This Row],[Benchmark '#2 Dates]])=1,"Pass","Fail")</f>
        <v>Pass</v>
      </c>
      <c r="K137" s="6">
        <f>IF(Benchmark2[[#This Row],[Comparable '#3 Date Check]]="Pass",INDEX(Comp3[Comparable '#3 Price],MATCH(Benchmark2[[#This Row],[Benchmark '#2 Dates]],Comp3[Comparable '#3 Dates],0)),"-")</f>
        <v>108.99</v>
      </c>
    </row>
    <row r="138" spans="1:11">
      <c r="A138" s="103">
        <v>43483</v>
      </c>
      <c r="B138" s="104">
        <v>12151.77</v>
      </c>
      <c r="C138" s="4">
        <f t="shared" si="2"/>
        <v>1.30232919446554E-2</v>
      </c>
      <c r="D138" s="1" t="str">
        <f>IF(COUNTIF(Target1[Target Dates],Benchmark2[[#This Row],[Benchmark '#2 Dates]])=1,"Pass","Fail")</f>
        <v>Pass</v>
      </c>
      <c r="E138" s="6">
        <f>IF(Benchmark2[[#This Row],[Target Date Check]]="Pass",INDEX(Target1[Target Price],MATCH(Benchmark2[[#This Row],[Benchmark '#2 Dates]],Target1[Target Dates],0)),"-")</f>
        <v>25.59</v>
      </c>
      <c r="F138" s="1" t="str">
        <f>IF(COUNTIF(Comp1[Comparable '#1 Dates],Benchmark2[[#This Row],[Benchmark '#2 Dates]])=1,"Pass","Fail")</f>
        <v>Pass</v>
      </c>
      <c r="G138" s="6">
        <f>IF(Benchmark2[[#This Row],[Comparable '#1 Date Check]]="Pass",INDEX(Comp1[Comparable '#1 Price],MATCH(Benchmark2[[#This Row],[Benchmark '#2 Dates]],Comp1[Comparable '#1 Dates],0)),"-")</f>
        <v>15.28</v>
      </c>
      <c r="H138" s="1" t="str">
        <f>IF(COUNTIF(Comp2[Comparable '#2 Dates],Benchmark2[[#This Row],[Benchmark '#2 Dates]])=1,"Pass","Fail")</f>
        <v>Pass</v>
      </c>
      <c r="I138" s="6">
        <f>IF(Benchmark2[[#This Row],[Comparable '#2 Date Check]]="Pass",INDEX(Comp2[Comparable '#2 Price],MATCH(Benchmark2[[#This Row],[Benchmark '#2 Dates]],Comp2[Comparable '#2 Dates],0)),"-")</f>
        <v>48.88</v>
      </c>
      <c r="J138" s="1" t="str">
        <f>IF(COUNTIF(Comp3[Comparable '#3 Dates],Benchmark2[[#This Row],[Benchmark '#2 Dates]])=1,"Pass","Fail")</f>
        <v>Pass</v>
      </c>
      <c r="K138" s="6">
        <f>IF(Benchmark2[[#This Row],[Comparable '#3 Date Check]]="Pass",INDEX(Comp3[Comparable '#3 Price],MATCH(Benchmark2[[#This Row],[Benchmark '#2 Dates]],Comp3[Comparable '#3 Dates],0)),"-")</f>
        <v>111.26</v>
      </c>
    </row>
    <row r="139" spans="1:11">
      <c r="A139" s="103">
        <v>43487</v>
      </c>
      <c r="B139" s="104">
        <v>11999.37</v>
      </c>
      <c r="C139" s="4">
        <f t="shared" si="2"/>
        <v>-1.2620689778919131E-2</v>
      </c>
      <c r="D139" s="1" t="str">
        <f>IF(COUNTIF(Target1[Target Dates],Benchmark2[[#This Row],[Benchmark '#2 Dates]])=1,"Pass","Fail")</f>
        <v>Pass</v>
      </c>
      <c r="E139" s="6">
        <f>IF(Benchmark2[[#This Row],[Target Date Check]]="Pass",INDEX(Target1[Target Price],MATCH(Benchmark2[[#This Row],[Benchmark '#2 Dates]],Target1[Target Dates],0)),"-")</f>
        <v>25.86</v>
      </c>
      <c r="F139" s="1" t="str">
        <f>IF(COUNTIF(Comp1[Comparable '#1 Dates],Benchmark2[[#This Row],[Benchmark '#2 Dates]])=1,"Pass","Fail")</f>
        <v>Pass</v>
      </c>
      <c r="G139" s="6">
        <f>IF(Benchmark2[[#This Row],[Comparable '#1 Date Check]]="Pass",INDEX(Comp1[Comparable '#1 Price],MATCH(Benchmark2[[#This Row],[Benchmark '#2 Dates]],Comp1[Comparable '#1 Dates],0)),"-")</f>
        <v>15.56</v>
      </c>
      <c r="H139" s="1" t="str">
        <f>IF(COUNTIF(Comp2[Comparable '#2 Dates],Benchmark2[[#This Row],[Benchmark '#2 Dates]])=1,"Pass","Fail")</f>
        <v>Pass</v>
      </c>
      <c r="I139" s="6">
        <f>IF(Benchmark2[[#This Row],[Comparable '#2 Date Check]]="Pass",INDEX(Comp2[Comparable '#2 Price],MATCH(Benchmark2[[#This Row],[Benchmark '#2 Dates]],Comp2[Comparable '#2 Dates],0)),"-")</f>
        <v>48.7</v>
      </c>
      <c r="J139" s="1" t="str">
        <f>IF(COUNTIF(Comp3[Comparable '#3 Dates],Benchmark2[[#This Row],[Benchmark '#2 Dates]])=1,"Pass","Fail")</f>
        <v>Pass</v>
      </c>
      <c r="K139" s="6">
        <f>IF(Benchmark2[[#This Row],[Comparable '#3 Date Check]]="Pass",INDEX(Comp3[Comparable '#3 Price],MATCH(Benchmark2[[#This Row],[Benchmark '#2 Dates]],Comp3[Comparable '#3 Dates],0)),"-")</f>
        <v>108.74</v>
      </c>
    </row>
    <row r="140" spans="1:11">
      <c r="A140" s="103">
        <v>43488</v>
      </c>
      <c r="B140" s="104">
        <v>12020.93</v>
      </c>
      <c r="C140" s="4">
        <f t="shared" si="2"/>
        <v>1.7951487525021573E-3</v>
      </c>
      <c r="D140" s="1" t="str">
        <f>IF(COUNTIF(Target1[Target Dates],Benchmark2[[#This Row],[Benchmark '#2 Dates]])=1,"Pass","Fail")</f>
        <v>Pass</v>
      </c>
      <c r="E140" s="6">
        <f>IF(Benchmark2[[#This Row],[Target Date Check]]="Pass",INDEX(Target1[Target Price],MATCH(Benchmark2[[#This Row],[Benchmark '#2 Dates]],Target1[Target Dates],0)),"-")</f>
        <v>29.64</v>
      </c>
      <c r="F140" s="1" t="str">
        <f>IF(COUNTIF(Comp1[Comparable '#1 Dates],Benchmark2[[#This Row],[Benchmark '#2 Dates]])=1,"Pass","Fail")</f>
        <v>Pass</v>
      </c>
      <c r="G140" s="6">
        <f>IF(Benchmark2[[#This Row],[Comparable '#1 Date Check]]="Pass",INDEX(Comp1[Comparable '#1 Price],MATCH(Benchmark2[[#This Row],[Benchmark '#2 Dates]],Comp1[Comparable '#1 Dates],0)),"-")</f>
        <v>15.62</v>
      </c>
      <c r="H140" s="1" t="str">
        <f>IF(COUNTIF(Comp2[Comparable '#2 Dates],Benchmark2[[#This Row],[Benchmark '#2 Dates]])=1,"Pass","Fail")</f>
        <v>Pass</v>
      </c>
      <c r="I140" s="6">
        <f>IF(Benchmark2[[#This Row],[Comparable '#2 Date Check]]="Pass",INDEX(Comp2[Comparable '#2 Price],MATCH(Benchmark2[[#This Row],[Benchmark '#2 Dates]],Comp2[Comparable '#2 Dates],0)),"-")</f>
        <v>49.15</v>
      </c>
      <c r="J140" s="1" t="str">
        <f>IF(COUNTIF(Comp3[Comparable '#3 Dates],Benchmark2[[#This Row],[Benchmark '#2 Dates]])=1,"Pass","Fail")</f>
        <v>Pass</v>
      </c>
      <c r="K140" s="6">
        <f>IF(Benchmark2[[#This Row],[Comparable '#3 Date Check]]="Pass",INDEX(Comp3[Comparable '#3 Price],MATCH(Benchmark2[[#This Row],[Benchmark '#2 Dates]],Comp3[Comparable '#3 Dates],0)),"-")</f>
        <v>110.13</v>
      </c>
    </row>
    <row r="141" spans="1:11">
      <c r="A141" s="103">
        <v>43489</v>
      </c>
      <c r="B141" s="104">
        <v>12029.45</v>
      </c>
      <c r="C141" s="4">
        <f t="shared" si="2"/>
        <v>7.0851274336736203E-4</v>
      </c>
      <c r="D141" s="1" t="str">
        <f>IF(COUNTIF(Target1[Target Dates],Benchmark2[[#This Row],[Benchmark '#2 Dates]])=1,"Pass","Fail")</f>
        <v>Pass</v>
      </c>
      <c r="E141" s="6">
        <f>IF(Benchmark2[[#This Row],[Target Date Check]]="Pass",INDEX(Target1[Target Price],MATCH(Benchmark2[[#This Row],[Benchmark '#2 Dates]],Target1[Target Dates],0)),"-")</f>
        <v>30.2</v>
      </c>
      <c r="F141" s="1" t="str">
        <f>IF(COUNTIF(Comp1[Comparable '#1 Dates],Benchmark2[[#This Row],[Benchmark '#2 Dates]])=1,"Pass","Fail")</f>
        <v>Pass</v>
      </c>
      <c r="G141" s="6">
        <f>IF(Benchmark2[[#This Row],[Comparable '#1 Date Check]]="Pass",INDEX(Comp1[Comparable '#1 Price],MATCH(Benchmark2[[#This Row],[Benchmark '#2 Dates]],Comp1[Comparable '#1 Dates],0)),"-")</f>
        <v>15.71</v>
      </c>
      <c r="H141" s="1" t="str">
        <f>IF(COUNTIF(Comp2[Comparable '#2 Dates],Benchmark2[[#This Row],[Benchmark '#2 Dates]])=1,"Pass","Fail")</f>
        <v>Pass</v>
      </c>
      <c r="I141" s="6">
        <f>IF(Benchmark2[[#This Row],[Comparable '#2 Date Check]]="Pass",INDEX(Comp2[Comparable '#2 Price],MATCH(Benchmark2[[#This Row],[Benchmark '#2 Dates]],Comp2[Comparable '#2 Dates],0)),"-")</f>
        <v>49.07</v>
      </c>
      <c r="J141" s="1" t="str">
        <f>IF(COUNTIF(Comp3[Comparable '#3 Dates],Benchmark2[[#This Row],[Benchmark '#2 Dates]])=1,"Pass","Fail")</f>
        <v>Pass</v>
      </c>
      <c r="K141" s="6">
        <f>IF(Benchmark2[[#This Row],[Comparable '#3 Date Check]]="Pass",INDEX(Comp3[Comparable '#3 Price],MATCH(Benchmark2[[#This Row],[Benchmark '#2 Dates]],Comp3[Comparable '#3 Dates],0)),"-")</f>
        <v>111.01</v>
      </c>
    </row>
    <row r="142" spans="1:11">
      <c r="A142" s="103">
        <v>43490</v>
      </c>
      <c r="B142" s="104">
        <v>12127.25</v>
      </c>
      <c r="C142" s="4">
        <f t="shared" si="2"/>
        <v>8.0971767127314999E-3</v>
      </c>
      <c r="D142" s="1" t="str">
        <f>IF(COUNTIF(Target1[Target Dates],Benchmark2[[#This Row],[Benchmark '#2 Dates]])=1,"Pass","Fail")</f>
        <v>Pass</v>
      </c>
      <c r="E142" s="6">
        <f>IF(Benchmark2[[#This Row],[Target Date Check]]="Pass",INDEX(Target1[Target Price],MATCH(Benchmark2[[#This Row],[Benchmark '#2 Dates]],Target1[Target Dates],0)),"-")</f>
        <v>29.4</v>
      </c>
      <c r="F142" s="1" t="str">
        <f>IF(COUNTIF(Comp1[Comparable '#1 Dates],Benchmark2[[#This Row],[Benchmark '#2 Dates]])=1,"Pass","Fail")</f>
        <v>Pass</v>
      </c>
      <c r="G142" s="6">
        <f>IF(Benchmark2[[#This Row],[Comparable '#1 Date Check]]="Pass",INDEX(Comp1[Comparable '#1 Price],MATCH(Benchmark2[[#This Row],[Benchmark '#2 Dates]],Comp1[Comparable '#1 Dates],0)),"-")</f>
        <v>15.84</v>
      </c>
      <c r="H142" s="1" t="str">
        <f>IF(COUNTIF(Comp2[Comparable '#2 Dates],Benchmark2[[#This Row],[Benchmark '#2 Dates]])=1,"Pass","Fail")</f>
        <v>Pass</v>
      </c>
      <c r="I142" s="6">
        <f>IF(Benchmark2[[#This Row],[Comparable '#2 Date Check]]="Pass",INDEX(Comp2[Comparable '#2 Price],MATCH(Benchmark2[[#This Row],[Benchmark '#2 Dates]],Comp2[Comparable '#2 Dates],0)),"-")</f>
        <v>49.66</v>
      </c>
      <c r="J142" s="1" t="str">
        <f>IF(COUNTIF(Comp3[Comparable '#3 Dates],Benchmark2[[#This Row],[Benchmark '#2 Dates]])=1,"Pass","Fail")</f>
        <v>Pass</v>
      </c>
      <c r="K142" s="6">
        <f>IF(Benchmark2[[#This Row],[Comparable '#3 Date Check]]="Pass",INDEX(Comp3[Comparable '#3 Price],MATCH(Benchmark2[[#This Row],[Benchmark '#2 Dates]],Comp3[Comparable '#3 Dates],0)),"-")</f>
        <v>113.6</v>
      </c>
    </row>
    <row r="143" spans="1:11">
      <c r="A143" s="103">
        <v>43493</v>
      </c>
      <c r="B143" s="104">
        <v>12065.109</v>
      </c>
      <c r="C143" s="4">
        <f t="shared" si="2"/>
        <v>-5.1372531852269402E-3</v>
      </c>
      <c r="D143" s="1" t="str">
        <f>IF(COUNTIF(Target1[Target Dates],Benchmark2[[#This Row],[Benchmark '#2 Dates]])=1,"Pass","Fail")</f>
        <v>Pass</v>
      </c>
      <c r="E143" s="6">
        <f>IF(Benchmark2[[#This Row],[Target Date Check]]="Pass",INDEX(Target1[Target Price],MATCH(Benchmark2[[#This Row],[Benchmark '#2 Dates]],Target1[Target Dates],0)),"-")</f>
        <v>29.48</v>
      </c>
      <c r="F143" s="1" t="str">
        <f>IF(COUNTIF(Comp1[Comparable '#1 Dates],Benchmark2[[#This Row],[Benchmark '#2 Dates]])=1,"Pass","Fail")</f>
        <v>Pass</v>
      </c>
      <c r="G143" s="6">
        <f>IF(Benchmark2[[#This Row],[Comparable '#1 Date Check]]="Pass",INDEX(Comp1[Comparable '#1 Price],MATCH(Benchmark2[[#This Row],[Benchmark '#2 Dates]],Comp1[Comparable '#1 Dates],0)),"-")</f>
        <v>15.92</v>
      </c>
      <c r="H143" s="1" t="str">
        <f>IF(COUNTIF(Comp2[Comparable '#2 Dates],Benchmark2[[#This Row],[Benchmark '#2 Dates]])=1,"Pass","Fail")</f>
        <v>Pass</v>
      </c>
      <c r="I143" s="6">
        <f>IF(Benchmark2[[#This Row],[Comparable '#2 Date Check]]="Pass",INDEX(Comp2[Comparable '#2 Price],MATCH(Benchmark2[[#This Row],[Benchmark '#2 Dates]],Comp2[Comparable '#2 Dates],0)),"-")</f>
        <v>49.22</v>
      </c>
      <c r="J143" s="1" t="str">
        <f>IF(COUNTIF(Comp3[Comparable '#3 Dates],Benchmark2[[#This Row],[Benchmark '#2 Dates]])=1,"Pass","Fail")</f>
        <v>Pass</v>
      </c>
      <c r="K143" s="6">
        <f>IF(Benchmark2[[#This Row],[Comparable '#3 Date Check]]="Pass",INDEX(Comp3[Comparable '#3 Price],MATCH(Benchmark2[[#This Row],[Benchmark '#2 Dates]],Comp3[Comparable '#3 Dates],0)),"-")</f>
        <v>111.18</v>
      </c>
    </row>
    <row r="144" spans="1:11">
      <c r="A144" s="103">
        <v>43494</v>
      </c>
      <c r="B144" s="104">
        <v>12090.78</v>
      </c>
      <c r="C144" s="4">
        <f t="shared" si="2"/>
        <v>2.125445241456329E-3</v>
      </c>
      <c r="D144" s="1" t="str">
        <f>IF(COUNTIF(Target1[Target Dates],Benchmark2[[#This Row],[Benchmark '#2 Dates]])=1,"Pass","Fail")</f>
        <v>Pass</v>
      </c>
      <c r="E144" s="6">
        <f>IF(Benchmark2[[#This Row],[Target Date Check]]="Pass",INDEX(Target1[Target Price],MATCH(Benchmark2[[#This Row],[Benchmark '#2 Dates]],Target1[Target Dates],0)),"-")</f>
        <v>29.9</v>
      </c>
      <c r="F144" s="1" t="str">
        <f>IF(COUNTIF(Comp1[Comparable '#1 Dates],Benchmark2[[#This Row],[Benchmark '#2 Dates]])=1,"Pass","Fail")</f>
        <v>Pass</v>
      </c>
      <c r="G144" s="6">
        <f>IF(Benchmark2[[#This Row],[Comparable '#1 Date Check]]="Pass",INDEX(Comp1[Comparable '#1 Price],MATCH(Benchmark2[[#This Row],[Benchmark '#2 Dates]],Comp1[Comparable '#1 Dates],0)),"-")</f>
        <v>15.74</v>
      </c>
      <c r="H144" s="1" t="str">
        <f>IF(COUNTIF(Comp2[Comparable '#2 Dates],Benchmark2[[#This Row],[Benchmark '#2 Dates]])=1,"Pass","Fail")</f>
        <v>Pass</v>
      </c>
      <c r="I144" s="6">
        <f>IF(Benchmark2[[#This Row],[Comparable '#2 Date Check]]="Pass",INDEX(Comp2[Comparable '#2 Price],MATCH(Benchmark2[[#This Row],[Benchmark '#2 Dates]],Comp2[Comparable '#2 Dates],0)),"-")</f>
        <v>48.8</v>
      </c>
      <c r="J144" s="1" t="str">
        <f>IF(COUNTIF(Comp3[Comparable '#3 Dates],Benchmark2[[#This Row],[Benchmark '#2 Dates]])=1,"Pass","Fail")</f>
        <v>Pass</v>
      </c>
      <c r="K144" s="6">
        <f>IF(Benchmark2[[#This Row],[Comparable '#3 Date Check]]="Pass",INDEX(Comp3[Comparable '#3 Price],MATCH(Benchmark2[[#This Row],[Benchmark '#2 Dates]],Comp3[Comparable '#3 Dates],0)),"-")</f>
        <v>109.34</v>
      </c>
    </row>
    <row r="145" spans="1:11">
      <c r="A145" s="103">
        <v>43495</v>
      </c>
      <c r="B145" s="104">
        <v>12222.39</v>
      </c>
      <c r="C145" s="4">
        <f t="shared" si="2"/>
        <v>1.0826336960048246E-2</v>
      </c>
      <c r="D145" s="1" t="str">
        <f>IF(COUNTIF(Target1[Target Dates],Benchmark2[[#This Row],[Benchmark '#2 Dates]])=1,"Pass","Fail")</f>
        <v>Pass</v>
      </c>
      <c r="E145" s="6">
        <f>IF(Benchmark2[[#This Row],[Target Date Check]]="Pass",INDEX(Target1[Target Price],MATCH(Benchmark2[[#This Row],[Benchmark '#2 Dates]],Target1[Target Dates],0)),"-")</f>
        <v>29.93</v>
      </c>
      <c r="F145" s="1" t="str">
        <f>IF(COUNTIF(Comp1[Comparable '#1 Dates],Benchmark2[[#This Row],[Benchmark '#2 Dates]])=1,"Pass","Fail")</f>
        <v>Pass</v>
      </c>
      <c r="G145" s="6">
        <f>IF(Benchmark2[[#This Row],[Comparable '#1 Date Check]]="Pass",INDEX(Comp1[Comparable '#1 Price],MATCH(Benchmark2[[#This Row],[Benchmark '#2 Dates]],Comp1[Comparable '#1 Dates],0)),"-")</f>
        <v>15.7</v>
      </c>
      <c r="H145" s="1" t="str">
        <f>IF(COUNTIF(Comp2[Comparable '#2 Dates],Benchmark2[[#This Row],[Benchmark '#2 Dates]])=1,"Pass","Fail")</f>
        <v>Pass</v>
      </c>
      <c r="I145" s="6">
        <f>IF(Benchmark2[[#This Row],[Comparable '#2 Date Check]]="Pass",INDEX(Comp2[Comparable '#2 Price],MATCH(Benchmark2[[#This Row],[Benchmark '#2 Dates]],Comp2[Comparable '#2 Dates],0)),"-")</f>
        <v>49.24</v>
      </c>
      <c r="J145" s="1" t="str">
        <f>IF(COUNTIF(Comp3[Comparable '#3 Dates],Benchmark2[[#This Row],[Benchmark '#2 Dates]])=1,"Pass","Fail")</f>
        <v>Pass</v>
      </c>
      <c r="K145" s="6">
        <f>IF(Benchmark2[[#This Row],[Comparable '#3 Date Check]]="Pass",INDEX(Comp3[Comparable '#3 Price],MATCH(Benchmark2[[#This Row],[Benchmark '#2 Dates]],Comp3[Comparable '#3 Dates],0)),"-")</f>
        <v>108.47</v>
      </c>
    </row>
    <row r="146" spans="1:11">
      <c r="A146" s="103">
        <v>43496</v>
      </c>
      <c r="B146" s="104">
        <v>12299.03</v>
      </c>
      <c r="C146" s="4">
        <f t="shared" si="2"/>
        <v>6.2508818452936075E-3</v>
      </c>
      <c r="D146" s="1" t="str">
        <f>IF(COUNTIF(Target1[Target Dates],Benchmark2[[#This Row],[Benchmark '#2 Dates]])=1,"Pass","Fail")</f>
        <v>Pass</v>
      </c>
      <c r="E146" s="6">
        <f>IF(Benchmark2[[#This Row],[Target Date Check]]="Pass",INDEX(Target1[Target Price],MATCH(Benchmark2[[#This Row],[Benchmark '#2 Dates]],Target1[Target Dates],0)),"-")</f>
        <v>31.51</v>
      </c>
      <c r="F146" s="1" t="str">
        <f>IF(COUNTIF(Comp1[Comparable '#1 Dates],Benchmark2[[#This Row],[Benchmark '#2 Dates]])=1,"Pass","Fail")</f>
        <v>Pass</v>
      </c>
      <c r="G146" s="6">
        <f>IF(Benchmark2[[#This Row],[Comparable '#1 Date Check]]="Pass",INDEX(Comp1[Comparable '#1 Price],MATCH(Benchmark2[[#This Row],[Benchmark '#2 Dates]],Comp1[Comparable '#1 Dates],0)),"-")</f>
        <v>16</v>
      </c>
      <c r="H146" s="1" t="str">
        <f>IF(COUNTIF(Comp2[Comparable '#2 Dates],Benchmark2[[#This Row],[Benchmark '#2 Dates]])=1,"Pass","Fail")</f>
        <v>Pass</v>
      </c>
      <c r="I146" s="6">
        <f>IF(Benchmark2[[#This Row],[Comparable '#2 Date Check]]="Pass",INDEX(Comp2[Comparable '#2 Price],MATCH(Benchmark2[[#This Row],[Benchmark '#2 Dates]],Comp2[Comparable '#2 Dates],0)),"-")</f>
        <v>48.9</v>
      </c>
      <c r="J146" s="1" t="str">
        <f>IF(COUNTIF(Comp3[Comparable '#3 Dates],Benchmark2[[#This Row],[Benchmark '#2 Dates]])=1,"Pass","Fail")</f>
        <v>Pass</v>
      </c>
      <c r="K146" s="6">
        <f>IF(Benchmark2[[#This Row],[Comparable '#3 Date Check]]="Pass",INDEX(Comp3[Comparable '#3 Price],MATCH(Benchmark2[[#This Row],[Benchmark '#2 Dates]],Comp3[Comparable '#3 Dates],0)),"-")</f>
        <v>109.4</v>
      </c>
    </row>
    <row r="147" spans="1:11">
      <c r="A147" s="103">
        <v>43497</v>
      </c>
      <c r="B147" s="104">
        <v>12329.69</v>
      </c>
      <c r="C147" s="4">
        <f t="shared" si="2"/>
        <v>2.4897774499382558E-3</v>
      </c>
      <c r="D147" s="1" t="str">
        <f>IF(COUNTIF(Target1[Target Dates],Benchmark2[[#This Row],[Benchmark '#2 Dates]])=1,"Pass","Fail")</f>
        <v>Pass</v>
      </c>
      <c r="E147" s="6">
        <f>IF(Benchmark2[[#This Row],[Target Date Check]]="Pass",INDEX(Target1[Target Price],MATCH(Benchmark2[[#This Row],[Benchmark '#2 Dates]],Target1[Target Dates],0)),"-")</f>
        <v>31.63</v>
      </c>
      <c r="F147" s="1" t="str">
        <f>IF(COUNTIF(Comp1[Comparable '#1 Dates],Benchmark2[[#This Row],[Benchmark '#2 Dates]])=1,"Pass","Fail")</f>
        <v>Pass</v>
      </c>
      <c r="G147" s="6">
        <f>IF(Benchmark2[[#This Row],[Comparable '#1 Date Check]]="Pass",INDEX(Comp1[Comparable '#1 Price],MATCH(Benchmark2[[#This Row],[Benchmark '#2 Dates]],Comp1[Comparable '#1 Dates],0)),"-")</f>
        <v>15.7</v>
      </c>
      <c r="H147" s="1" t="str">
        <f>IF(COUNTIF(Comp2[Comparable '#2 Dates],Benchmark2[[#This Row],[Benchmark '#2 Dates]])=1,"Pass","Fail")</f>
        <v>Pass</v>
      </c>
      <c r="I147" s="6">
        <f>IF(Benchmark2[[#This Row],[Comparable '#2 Date Check]]="Pass",INDEX(Comp2[Comparable '#2 Price],MATCH(Benchmark2[[#This Row],[Benchmark '#2 Dates]],Comp2[Comparable '#2 Dates],0)),"-")</f>
        <v>49.26</v>
      </c>
      <c r="J147" s="1" t="str">
        <f>IF(COUNTIF(Comp3[Comparable '#3 Dates],Benchmark2[[#This Row],[Benchmark '#2 Dates]])=1,"Pass","Fail")</f>
        <v>Pass</v>
      </c>
      <c r="K147" s="6">
        <f>IF(Benchmark2[[#This Row],[Comparable '#3 Date Check]]="Pass",INDEX(Comp3[Comparable '#3 Price],MATCH(Benchmark2[[#This Row],[Benchmark '#2 Dates]],Comp3[Comparable '#3 Dates],0)),"-")</f>
        <v>109.42</v>
      </c>
    </row>
    <row r="148" spans="1:11">
      <c r="A148" s="103">
        <v>43500</v>
      </c>
      <c r="B148" s="104">
        <v>12381.83</v>
      </c>
      <c r="C148" s="4">
        <f t="shared" si="2"/>
        <v>4.2199004653557795E-3</v>
      </c>
      <c r="D148" s="1" t="str">
        <f>IF(COUNTIF(Target1[Target Dates],Benchmark2[[#This Row],[Benchmark '#2 Dates]])=1,"Pass","Fail")</f>
        <v>Pass</v>
      </c>
      <c r="E148" s="6">
        <f>IF(Benchmark2[[#This Row],[Target Date Check]]="Pass",INDEX(Target1[Target Price],MATCH(Benchmark2[[#This Row],[Benchmark '#2 Dates]],Target1[Target Dates],0)),"-")</f>
        <v>31.83</v>
      </c>
      <c r="F148" s="1" t="str">
        <f>IF(COUNTIF(Comp1[Comparable '#1 Dates],Benchmark2[[#This Row],[Benchmark '#2 Dates]])=1,"Pass","Fail")</f>
        <v>Pass</v>
      </c>
      <c r="G148" s="6">
        <f>IF(Benchmark2[[#This Row],[Comparable '#1 Date Check]]="Pass",INDEX(Comp1[Comparable '#1 Price],MATCH(Benchmark2[[#This Row],[Benchmark '#2 Dates]],Comp1[Comparable '#1 Dates],0)),"-")</f>
        <v>15.86</v>
      </c>
      <c r="H148" s="1" t="str">
        <f>IF(COUNTIF(Comp2[Comparable '#2 Dates],Benchmark2[[#This Row],[Benchmark '#2 Dates]])=1,"Pass","Fail")</f>
        <v>Pass</v>
      </c>
      <c r="I148" s="6">
        <f>IF(Benchmark2[[#This Row],[Comparable '#2 Date Check]]="Pass",INDEX(Comp2[Comparable '#2 Price],MATCH(Benchmark2[[#This Row],[Benchmark '#2 Dates]],Comp2[Comparable '#2 Dates],0)),"-")</f>
        <v>49.65</v>
      </c>
      <c r="J148" s="1" t="str">
        <f>IF(COUNTIF(Comp3[Comparable '#3 Dates],Benchmark2[[#This Row],[Benchmark '#2 Dates]])=1,"Pass","Fail")</f>
        <v>Pass</v>
      </c>
      <c r="K148" s="6">
        <f>IF(Benchmark2[[#This Row],[Comparable '#3 Date Check]]="Pass",INDEX(Comp3[Comparable '#3 Price],MATCH(Benchmark2[[#This Row],[Benchmark '#2 Dates]],Comp3[Comparable '#3 Dates],0)),"-")</f>
        <v>113.44</v>
      </c>
    </row>
    <row r="149" spans="1:11">
      <c r="A149" s="103">
        <v>43501</v>
      </c>
      <c r="B149" s="104">
        <v>12428.26</v>
      </c>
      <c r="C149" s="4">
        <f t="shared" si="2"/>
        <v>3.7428364187687729E-3</v>
      </c>
      <c r="D149" s="1" t="str">
        <f>IF(COUNTIF(Target1[Target Dates],Benchmark2[[#This Row],[Benchmark '#2 Dates]])=1,"Pass","Fail")</f>
        <v>Pass</v>
      </c>
      <c r="E149" s="6">
        <f>IF(Benchmark2[[#This Row],[Target Date Check]]="Pass",INDEX(Target1[Target Price],MATCH(Benchmark2[[#This Row],[Benchmark '#2 Dates]],Target1[Target Dates],0)),"-")</f>
        <v>31.92</v>
      </c>
      <c r="F149" s="1" t="str">
        <f>IF(COUNTIF(Comp1[Comparable '#1 Dates],Benchmark2[[#This Row],[Benchmark '#2 Dates]])=1,"Pass","Fail")</f>
        <v>Pass</v>
      </c>
      <c r="G149" s="6">
        <f>IF(Benchmark2[[#This Row],[Comparable '#1 Date Check]]="Pass",INDEX(Comp1[Comparable '#1 Price],MATCH(Benchmark2[[#This Row],[Benchmark '#2 Dates]],Comp1[Comparable '#1 Dates],0)),"-")</f>
        <v>15.86</v>
      </c>
      <c r="H149" s="1" t="str">
        <f>IF(COUNTIF(Comp2[Comparable '#2 Dates],Benchmark2[[#This Row],[Benchmark '#2 Dates]])=1,"Pass","Fail")</f>
        <v>Pass</v>
      </c>
      <c r="I149" s="6">
        <f>IF(Benchmark2[[#This Row],[Comparable '#2 Date Check]]="Pass",INDEX(Comp2[Comparable '#2 Price],MATCH(Benchmark2[[#This Row],[Benchmark '#2 Dates]],Comp2[Comparable '#2 Dates],0)),"-")</f>
        <v>49.56</v>
      </c>
      <c r="J149" s="1" t="str">
        <f>IF(COUNTIF(Comp3[Comparable '#3 Dates],Benchmark2[[#This Row],[Benchmark '#2 Dates]])=1,"Pass","Fail")</f>
        <v>Pass</v>
      </c>
      <c r="K149" s="6">
        <f>IF(Benchmark2[[#This Row],[Comparable '#3 Date Check]]="Pass",INDEX(Comp3[Comparable '#3 Price],MATCH(Benchmark2[[#This Row],[Benchmark '#2 Dates]],Comp3[Comparable '#3 Dates],0)),"-")</f>
        <v>114.5</v>
      </c>
    </row>
    <row r="150" spans="1:11">
      <c r="A150" s="103">
        <v>43502</v>
      </c>
      <c r="B150" s="104">
        <v>12398.67</v>
      </c>
      <c r="C150" s="4">
        <f t="shared" si="2"/>
        <v>-2.3837030201448437E-3</v>
      </c>
      <c r="D150" s="1" t="str">
        <f>IF(COUNTIF(Target1[Target Dates],Benchmark2[[#This Row],[Benchmark '#2 Dates]])=1,"Pass","Fail")</f>
        <v>Pass</v>
      </c>
      <c r="E150" s="6">
        <f>IF(Benchmark2[[#This Row],[Target Date Check]]="Pass",INDEX(Target1[Target Price],MATCH(Benchmark2[[#This Row],[Benchmark '#2 Dates]],Target1[Target Dates],0)),"-")</f>
        <v>31.14</v>
      </c>
      <c r="F150" s="1" t="str">
        <f>IF(COUNTIF(Comp1[Comparable '#1 Dates],Benchmark2[[#This Row],[Benchmark '#2 Dates]])=1,"Pass","Fail")</f>
        <v>Pass</v>
      </c>
      <c r="G150" s="6">
        <f>IF(Benchmark2[[#This Row],[Comparable '#1 Date Check]]="Pass",INDEX(Comp1[Comparable '#1 Price],MATCH(Benchmark2[[#This Row],[Benchmark '#2 Dates]],Comp1[Comparable '#1 Dates],0)),"-")</f>
        <v>15.1</v>
      </c>
      <c r="H150" s="1" t="str">
        <f>IF(COUNTIF(Comp2[Comparable '#2 Dates],Benchmark2[[#This Row],[Benchmark '#2 Dates]])=1,"Pass","Fail")</f>
        <v>Pass</v>
      </c>
      <c r="I150" s="6">
        <f>IF(Benchmark2[[#This Row],[Comparable '#2 Date Check]]="Pass",INDEX(Comp2[Comparable '#2 Price],MATCH(Benchmark2[[#This Row],[Benchmark '#2 Dates]],Comp2[Comparable '#2 Dates],0)),"-")</f>
        <v>49.41</v>
      </c>
      <c r="J150" s="1" t="str">
        <f>IF(COUNTIF(Comp3[Comparable '#3 Dates],Benchmark2[[#This Row],[Benchmark '#2 Dates]])=1,"Pass","Fail")</f>
        <v>Pass</v>
      </c>
      <c r="K150" s="6">
        <f>IF(Benchmark2[[#This Row],[Comparable '#3 Date Check]]="Pass",INDEX(Comp3[Comparable '#3 Price],MATCH(Benchmark2[[#This Row],[Benchmark '#2 Dates]],Comp3[Comparable '#3 Dates],0)),"-")</f>
        <v>111.74</v>
      </c>
    </row>
    <row r="151" spans="1:11">
      <c r="A151" s="103">
        <v>43503</v>
      </c>
      <c r="B151" s="104">
        <v>12295.22</v>
      </c>
      <c r="C151" s="4">
        <f t="shared" si="2"/>
        <v>-8.3786398332246041E-3</v>
      </c>
      <c r="D151" s="1" t="str">
        <f>IF(COUNTIF(Target1[Target Dates],Benchmark2[[#This Row],[Benchmark '#2 Dates]])=1,"Pass","Fail")</f>
        <v>Pass</v>
      </c>
      <c r="E151" s="6">
        <f>IF(Benchmark2[[#This Row],[Target Date Check]]="Pass",INDEX(Target1[Target Price],MATCH(Benchmark2[[#This Row],[Benchmark '#2 Dates]],Target1[Target Dates],0)),"-")</f>
        <v>31.11</v>
      </c>
      <c r="F151" s="1" t="str">
        <f>IF(COUNTIF(Comp1[Comparable '#1 Dates],Benchmark2[[#This Row],[Benchmark '#2 Dates]])=1,"Pass","Fail")</f>
        <v>Pass</v>
      </c>
      <c r="G151" s="6">
        <f>IF(Benchmark2[[#This Row],[Comparable '#1 Date Check]]="Pass",INDEX(Comp1[Comparable '#1 Price],MATCH(Benchmark2[[#This Row],[Benchmark '#2 Dates]],Comp1[Comparable '#1 Dates],0)),"-")</f>
        <v>14.86</v>
      </c>
      <c r="H151" s="1" t="str">
        <f>IF(COUNTIF(Comp2[Comparable '#2 Dates],Benchmark2[[#This Row],[Benchmark '#2 Dates]])=1,"Pass","Fail")</f>
        <v>Pass</v>
      </c>
      <c r="I151" s="6">
        <f>IF(Benchmark2[[#This Row],[Comparable '#2 Date Check]]="Pass",INDEX(Comp2[Comparable '#2 Price],MATCH(Benchmark2[[#This Row],[Benchmark '#2 Dates]],Comp2[Comparable '#2 Dates],0)),"-")</f>
        <v>49</v>
      </c>
      <c r="J151" s="1" t="str">
        <f>IF(COUNTIF(Comp3[Comparable '#3 Dates],Benchmark2[[#This Row],[Benchmark '#2 Dates]])=1,"Pass","Fail")</f>
        <v>Pass</v>
      </c>
      <c r="K151" s="6">
        <f>IF(Benchmark2[[#This Row],[Comparable '#3 Date Check]]="Pass",INDEX(Comp3[Comparable '#3 Price],MATCH(Benchmark2[[#This Row],[Benchmark '#2 Dates]],Comp3[Comparable '#3 Dates],0)),"-")</f>
        <v>110.57</v>
      </c>
    </row>
    <row r="152" spans="1:11">
      <c r="A152" s="103">
        <v>43504</v>
      </c>
      <c r="B152" s="104">
        <v>12292.14</v>
      </c>
      <c r="C152" s="4">
        <f t="shared" si="2"/>
        <v>-2.505352356748352E-4</v>
      </c>
      <c r="D152" s="1" t="str">
        <f>IF(COUNTIF(Target1[Target Dates],Benchmark2[[#This Row],[Benchmark '#2 Dates]])=1,"Pass","Fail")</f>
        <v>Pass</v>
      </c>
      <c r="E152" s="6">
        <f>IF(Benchmark2[[#This Row],[Target Date Check]]="Pass",INDEX(Target1[Target Price],MATCH(Benchmark2[[#This Row],[Benchmark '#2 Dates]],Target1[Target Dates],0)),"-")</f>
        <v>31.18</v>
      </c>
      <c r="F152" s="1" t="str">
        <f>IF(COUNTIF(Comp1[Comparable '#1 Dates],Benchmark2[[#This Row],[Benchmark '#2 Dates]])=1,"Pass","Fail")</f>
        <v>Pass</v>
      </c>
      <c r="G152" s="6">
        <f>IF(Benchmark2[[#This Row],[Comparable '#1 Date Check]]="Pass",INDEX(Comp1[Comparable '#1 Price],MATCH(Benchmark2[[#This Row],[Benchmark '#2 Dates]],Comp1[Comparable '#1 Dates],0)),"-")</f>
        <v>14.96</v>
      </c>
      <c r="H152" s="1" t="str">
        <f>IF(COUNTIF(Comp2[Comparable '#2 Dates],Benchmark2[[#This Row],[Benchmark '#2 Dates]])=1,"Pass","Fail")</f>
        <v>Pass</v>
      </c>
      <c r="I152" s="6">
        <f>IF(Benchmark2[[#This Row],[Comparable '#2 Date Check]]="Pass",INDEX(Comp2[Comparable '#2 Price],MATCH(Benchmark2[[#This Row],[Benchmark '#2 Dates]],Comp2[Comparable '#2 Dates],0)),"-")</f>
        <v>47.79</v>
      </c>
      <c r="J152" s="1" t="str">
        <f>IF(COUNTIF(Comp3[Comparable '#3 Dates],Benchmark2[[#This Row],[Benchmark '#2 Dates]])=1,"Pass","Fail")</f>
        <v>Pass</v>
      </c>
      <c r="K152" s="6">
        <f>IF(Benchmark2[[#This Row],[Comparable '#3 Date Check]]="Pass",INDEX(Comp3[Comparable '#3 Price],MATCH(Benchmark2[[#This Row],[Benchmark '#2 Dates]],Comp3[Comparable '#3 Dates],0)),"-")</f>
        <v>111</v>
      </c>
    </row>
    <row r="153" spans="1:11">
      <c r="A153" s="103">
        <v>43507</v>
      </c>
      <c r="B153" s="104">
        <v>12297.9</v>
      </c>
      <c r="C153" s="4">
        <f t="shared" si="2"/>
        <v>4.6848236971948223E-4</v>
      </c>
      <c r="D153" s="1" t="str">
        <f>IF(COUNTIF(Target1[Target Dates],Benchmark2[[#This Row],[Benchmark '#2 Dates]])=1,"Pass","Fail")</f>
        <v>Pass</v>
      </c>
      <c r="E153" s="6">
        <f>IF(Benchmark2[[#This Row],[Target Date Check]]="Pass",INDEX(Target1[Target Price],MATCH(Benchmark2[[#This Row],[Benchmark '#2 Dates]],Target1[Target Dates],0)),"-")</f>
        <v>31.95</v>
      </c>
      <c r="F153" s="1" t="str">
        <f>IF(COUNTIF(Comp1[Comparable '#1 Dates],Benchmark2[[#This Row],[Benchmark '#2 Dates]])=1,"Pass","Fail")</f>
        <v>Pass</v>
      </c>
      <c r="G153" s="6">
        <f>IF(Benchmark2[[#This Row],[Comparable '#1 Date Check]]="Pass",INDEX(Comp1[Comparable '#1 Price],MATCH(Benchmark2[[#This Row],[Benchmark '#2 Dates]],Comp1[Comparable '#1 Dates],0)),"-")</f>
        <v>15.08</v>
      </c>
      <c r="H153" s="1" t="str">
        <f>IF(COUNTIF(Comp2[Comparable '#2 Dates],Benchmark2[[#This Row],[Benchmark '#2 Dates]])=1,"Pass","Fail")</f>
        <v>Pass</v>
      </c>
      <c r="I153" s="6">
        <f>IF(Benchmark2[[#This Row],[Comparable '#2 Date Check]]="Pass",INDEX(Comp2[Comparable '#2 Price],MATCH(Benchmark2[[#This Row],[Benchmark '#2 Dates]],Comp2[Comparable '#2 Dates],0)),"-")</f>
        <v>47.77</v>
      </c>
      <c r="J153" s="1" t="str">
        <f>IF(COUNTIF(Comp3[Comparable '#3 Dates],Benchmark2[[#This Row],[Benchmark '#2 Dates]])=1,"Pass","Fail")</f>
        <v>Pass</v>
      </c>
      <c r="K153" s="6">
        <f>IF(Benchmark2[[#This Row],[Comparable '#3 Date Check]]="Pass",INDEX(Comp3[Comparable '#3 Price],MATCH(Benchmark2[[#This Row],[Benchmark '#2 Dates]],Comp3[Comparable '#3 Dates],0)),"-")</f>
        <v>113.47</v>
      </c>
    </row>
    <row r="154" spans="1:11">
      <c r="A154" s="103">
        <v>43508</v>
      </c>
      <c r="B154" s="104">
        <v>12438.44</v>
      </c>
      <c r="C154" s="4">
        <f t="shared" si="2"/>
        <v>1.1363161423556013E-2</v>
      </c>
      <c r="D154" s="1" t="str">
        <f>IF(COUNTIF(Target1[Target Dates],Benchmark2[[#This Row],[Benchmark '#2 Dates]])=1,"Pass","Fail")</f>
        <v>Pass</v>
      </c>
      <c r="E154" s="6">
        <f>IF(Benchmark2[[#This Row],[Target Date Check]]="Pass",INDEX(Target1[Target Price],MATCH(Benchmark2[[#This Row],[Benchmark '#2 Dates]],Target1[Target Dates],0)),"-")</f>
        <v>32</v>
      </c>
      <c r="F154" s="1" t="str">
        <f>IF(COUNTIF(Comp1[Comparable '#1 Dates],Benchmark2[[#This Row],[Benchmark '#2 Dates]])=1,"Pass","Fail")</f>
        <v>Pass</v>
      </c>
      <c r="G154" s="6">
        <f>IF(Benchmark2[[#This Row],[Comparable '#1 Date Check]]="Pass",INDEX(Comp1[Comparable '#1 Price],MATCH(Benchmark2[[#This Row],[Benchmark '#2 Dates]],Comp1[Comparable '#1 Dates],0)),"-")</f>
        <v>15.05</v>
      </c>
      <c r="H154" s="1" t="str">
        <f>IF(COUNTIF(Comp2[Comparable '#2 Dates],Benchmark2[[#This Row],[Benchmark '#2 Dates]])=1,"Pass","Fail")</f>
        <v>Pass</v>
      </c>
      <c r="I154" s="6">
        <f>IF(Benchmark2[[#This Row],[Comparable '#2 Date Check]]="Pass",INDEX(Comp2[Comparable '#2 Price],MATCH(Benchmark2[[#This Row],[Benchmark '#2 Dates]],Comp2[Comparable '#2 Dates],0)),"-")</f>
        <v>47.64</v>
      </c>
      <c r="J154" s="1" t="str">
        <f>IF(COUNTIF(Comp3[Comparable '#3 Dates],Benchmark2[[#This Row],[Benchmark '#2 Dates]])=1,"Pass","Fail")</f>
        <v>Pass</v>
      </c>
      <c r="K154" s="6">
        <f>IF(Benchmark2[[#This Row],[Comparable '#3 Date Check]]="Pass",INDEX(Comp3[Comparable '#3 Price],MATCH(Benchmark2[[#This Row],[Benchmark '#2 Dates]],Comp3[Comparable '#3 Dates],0)),"-")</f>
        <v>114.9</v>
      </c>
    </row>
    <row r="155" spans="1:11">
      <c r="A155" s="103">
        <v>43509</v>
      </c>
      <c r="B155" s="104">
        <v>12474.89</v>
      </c>
      <c r="C155" s="4">
        <f t="shared" si="2"/>
        <v>2.926146445142574E-3</v>
      </c>
      <c r="D155" s="1" t="str">
        <f>IF(COUNTIF(Target1[Target Dates],Benchmark2[[#This Row],[Benchmark '#2 Dates]])=1,"Pass","Fail")</f>
        <v>Pass</v>
      </c>
      <c r="E155" s="6">
        <f>IF(Benchmark2[[#This Row],[Target Date Check]]="Pass",INDEX(Target1[Target Price],MATCH(Benchmark2[[#This Row],[Benchmark '#2 Dates]],Target1[Target Dates],0)),"-")</f>
        <v>32.159999999999997</v>
      </c>
      <c r="F155" s="1" t="str">
        <f>IF(COUNTIF(Comp1[Comparable '#1 Dates],Benchmark2[[#This Row],[Benchmark '#2 Dates]])=1,"Pass","Fail")</f>
        <v>Pass</v>
      </c>
      <c r="G155" s="6">
        <f>IF(Benchmark2[[#This Row],[Comparable '#1 Date Check]]="Pass",INDEX(Comp1[Comparable '#1 Price],MATCH(Benchmark2[[#This Row],[Benchmark '#2 Dates]],Comp1[Comparable '#1 Dates],0)),"-")</f>
        <v>15.11</v>
      </c>
      <c r="H155" s="1" t="str">
        <f>IF(COUNTIF(Comp2[Comparable '#2 Dates],Benchmark2[[#This Row],[Benchmark '#2 Dates]])=1,"Pass","Fail")</f>
        <v>Pass</v>
      </c>
      <c r="I155" s="6">
        <f>IF(Benchmark2[[#This Row],[Comparable '#2 Date Check]]="Pass",INDEX(Comp2[Comparable '#2 Price],MATCH(Benchmark2[[#This Row],[Benchmark '#2 Dates]],Comp2[Comparable '#2 Dates],0)),"-")</f>
        <v>48.24</v>
      </c>
      <c r="J155" s="1" t="str">
        <f>IF(COUNTIF(Comp3[Comparable '#3 Dates],Benchmark2[[#This Row],[Benchmark '#2 Dates]])=1,"Pass","Fail")</f>
        <v>Pass</v>
      </c>
      <c r="K155" s="6">
        <f>IF(Benchmark2[[#This Row],[Comparable '#3 Date Check]]="Pass",INDEX(Comp3[Comparable '#3 Price],MATCH(Benchmark2[[#This Row],[Benchmark '#2 Dates]],Comp3[Comparable '#3 Dates],0)),"-")</f>
        <v>118.27</v>
      </c>
    </row>
    <row r="156" spans="1:11">
      <c r="A156" s="103">
        <v>43510</v>
      </c>
      <c r="B156" s="104">
        <v>12440.22</v>
      </c>
      <c r="C156" s="4">
        <f t="shared" si="2"/>
        <v>-2.7830519213187955E-3</v>
      </c>
      <c r="D156" s="1" t="str">
        <f>IF(COUNTIF(Target1[Target Dates],Benchmark2[[#This Row],[Benchmark '#2 Dates]])=1,"Pass","Fail")</f>
        <v>Pass</v>
      </c>
      <c r="E156" s="6">
        <f>IF(Benchmark2[[#This Row],[Target Date Check]]="Pass",INDEX(Target1[Target Price],MATCH(Benchmark2[[#This Row],[Benchmark '#2 Dates]],Target1[Target Dates],0)),"-")</f>
        <v>31.98</v>
      </c>
      <c r="F156" s="1" t="str">
        <f>IF(COUNTIF(Comp1[Comparable '#1 Dates],Benchmark2[[#This Row],[Benchmark '#2 Dates]])=1,"Pass","Fail")</f>
        <v>Pass</v>
      </c>
      <c r="G156" s="6">
        <f>IF(Benchmark2[[#This Row],[Comparable '#1 Date Check]]="Pass",INDEX(Comp1[Comparable '#1 Price],MATCH(Benchmark2[[#This Row],[Benchmark '#2 Dates]],Comp1[Comparable '#1 Dates],0)),"-")</f>
        <v>14.95</v>
      </c>
      <c r="H156" s="1" t="str">
        <f>IF(COUNTIF(Comp2[Comparable '#2 Dates],Benchmark2[[#This Row],[Benchmark '#2 Dates]])=1,"Pass","Fail")</f>
        <v>Pass</v>
      </c>
      <c r="I156" s="6">
        <f>IF(Benchmark2[[#This Row],[Comparable '#2 Date Check]]="Pass",INDEX(Comp2[Comparable '#2 Price],MATCH(Benchmark2[[#This Row],[Benchmark '#2 Dates]],Comp2[Comparable '#2 Dates],0)),"-")</f>
        <v>48.15</v>
      </c>
      <c r="J156" s="1" t="str">
        <f>IF(COUNTIF(Comp3[Comparable '#3 Dates],Benchmark2[[#This Row],[Benchmark '#2 Dates]])=1,"Pass","Fail")</f>
        <v>Pass</v>
      </c>
      <c r="K156" s="6">
        <f>IF(Benchmark2[[#This Row],[Comparable '#3 Date Check]]="Pass",INDEX(Comp3[Comparable '#3 Price],MATCH(Benchmark2[[#This Row],[Benchmark '#2 Dates]],Comp3[Comparable '#3 Dates],0)),"-")</f>
        <v>118.75</v>
      </c>
    </row>
    <row r="157" spans="1:11">
      <c r="A157" s="103">
        <v>43511</v>
      </c>
      <c r="B157" s="104">
        <v>12603.47</v>
      </c>
      <c r="C157" s="4">
        <f t="shared" si="2"/>
        <v>1.3037400825966897E-2</v>
      </c>
      <c r="D157" s="1" t="str">
        <f>IF(COUNTIF(Target1[Target Dates],Benchmark2[[#This Row],[Benchmark '#2 Dates]])=1,"Pass","Fail")</f>
        <v>Pass</v>
      </c>
      <c r="E157" s="6">
        <f>IF(Benchmark2[[#This Row],[Target Date Check]]="Pass",INDEX(Target1[Target Price],MATCH(Benchmark2[[#This Row],[Benchmark '#2 Dates]],Target1[Target Dates],0)),"-")</f>
        <v>32.06</v>
      </c>
      <c r="F157" s="1" t="str">
        <f>IF(COUNTIF(Comp1[Comparable '#1 Dates],Benchmark2[[#This Row],[Benchmark '#2 Dates]])=1,"Pass","Fail")</f>
        <v>Pass</v>
      </c>
      <c r="G157" s="6">
        <f>IF(Benchmark2[[#This Row],[Comparable '#1 Date Check]]="Pass",INDEX(Comp1[Comparable '#1 Price],MATCH(Benchmark2[[#This Row],[Benchmark '#2 Dates]],Comp1[Comparable '#1 Dates],0)),"-")</f>
        <v>14.97</v>
      </c>
      <c r="H157" s="1" t="str">
        <f>IF(COUNTIF(Comp2[Comparable '#2 Dates],Benchmark2[[#This Row],[Benchmark '#2 Dates]])=1,"Pass","Fail")</f>
        <v>Pass</v>
      </c>
      <c r="I157" s="6">
        <f>IF(Benchmark2[[#This Row],[Comparable '#2 Date Check]]="Pass",INDEX(Comp2[Comparable '#2 Price],MATCH(Benchmark2[[#This Row],[Benchmark '#2 Dates]],Comp2[Comparable '#2 Dates],0)),"-")</f>
        <v>48.47</v>
      </c>
      <c r="J157" s="1" t="str">
        <f>IF(COUNTIF(Comp3[Comparable '#3 Dates],Benchmark2[[#This Row],[Benchmark '#2 Dates]])=1,"Pass","Fail")</f>
        <v>Pass</v>
      </c>
      <c r="K157" s="6">
        <f>IF(Benchmark2[[#This Row],[Comparable '#3 Date Check]]="Pass",INDEX(Comp3[Comparable '#3 Price],MATCH(Benchmark2[[#This Row],[Benchmark '#2 Dates]],Comp3[Comparable '#3 Dates],0)),"-")</f>
        <v>119.11</v>
      </c>
    </row>
    <row r="158" spans="1:11">
      <c r="A158" s="103">
        <v>43515</v>
      </c>
      <c r="B158" s="104">
        <v>12628.36</v>
      </c>
      <c r="C158" s="4">
        <f t="shared" si="2"/>
        <v>1.9729054986020803E-3</v>
      </c>
      <c r="D158" s="1" t="str">
        <f>IF(COUNTIF(Target1[Target Dates],Benchmark2[[#This Row],[Benchmark '#2 Dates]])=1,"Pass","Fail")</f>
        <v>Pass</v>
      </c>
      <c r="E158" s="6">
        <f>IF(Benchmark2[[#This Row],[Target Date Check]]="Pass",INDEX(Target1[Target Price],MATCH(Benchmark2[[#This Row],[Benchmark '#2 Dates]],Target1[Target Dates],0)),"-")</f>
        <v>32.229999999999997</v>
      </c>
      <c r="F158" s="1" t="str">
        <f>IF(COUNTIF(Comp1[Comparable '#1 Dates],Benchmark2[[#This Row],[Benchmark '#2 Dates]])=1,"Pass","Fail")</f>
        <v>Pass</v>
      </c>
      <c r="G158" s="6">
        <f>IF(Benchmark2[[#This Row],[Comparable '#1 Date Check]]="Pass",INDEX(Comp1[Comparable '#1 Price],MATCH(Benchmark2[[#This Row],[Benchmark '#2 Dates]],Comp1[Comparable '#1 Dates],0)),"-")</f>
        <v>14.8</v>
      </c>
      <c r="H158" s="1" t="str">
        <f>IF(COUNTIF(Comp2[Comparable '#2 Dates],Benchmark2[[#This Row],[Benchmark '#2 Dates]])=1,"Pass","Fail")</f>
        <v>Pass</v>
      </c>
      <c r="I158" s="6">
        <f>IF(Benchmark2[[#This Row],[Comparable '#2 Date Check]]="Pass",INDEX(Comp2[Comparable '#2 Price],MATCH(Benchmark2[[#This Row],[Benchmark '#2 Dates]],Comp2[Comparable '#2 Dates],0)),"-")</f>
        <v>49.03</v>
      </c>
      <c r="J158" s="1" t="str">
        <f>IF(COUNTIF(Comp3[Comparable '#3 Dates],Benchmark2[[#This Row],[Benchmark '#2 Dates]])=1,"Pass","Fail")</f>
        <v>Pass</v>
      </c>
      <c r="K158" s="6">
        <f>IF(Benchmark2[[#This Row],[Comparable '#3 Date Check]]="Pass",INDEX(Comp3[Comparable '#3 Price],MATCH(Benchmark2[[#This Row],[Benchmark '#2 Dates]],Comp3[Comparable '#3 Dates],0)),"-")</f>
        <v>119.8</v>
      </c>
    </row>
    <row r="159" spans="1:11">
      <c r="A159" s="103">
        <v>43516</v>
      </c>
      <c r="B159" s="104">
        <v>12673.66</v>
      </c>
      <c r="C159" s="4">
        <f t="shared" si="2"/>
        <v>3.5807456007112717E-3</v>
      </c>
      <c r="D159" s="1" t="str">
        <f>IF(COUNTIF(Target1[Target Dates],Benchmark2[[#This Row],[Benchmark '#2 Dates]])=1,"Pass","Fail")</f>
        <v>Pass</v>
      </c>
      <c r="E159" s="6">
        <f>IF(Benchmark2[[#This Row],[Target Date Check]]="Pass",INDEX(Target1[Target Price],MATCH(Benchmark2[[#This Row],[Benchmark '#2 Dates]],Target1[Target Dates],0)),"-")</f>
        <v>32</v>
      </c>
      <c r="F159" s="1" t="str">
        <f>IF(COUNTIF(Comp1[Comparable '#1 Dates],Benchmark2[[#This Row],[Benchmark '#2 Dates]])=1,"Pass","Fail")</f>
        <v>Pass</v>
      </c>
      <c r="G159" s="6">
        <f>IF(Benchmark2[[#This Row],[Comparable '#1 Date Check]]="Pass",INDEX(Comp1[Comparable '#1 Price],MATCH(Benchmark2[[#This Row],[Benchmark '#2 Dates]],Comp1[Comparable '#1 Dates],0)),"-")</f>
        <v>14.78</v>
      </c>
      <c r="H159" s="1" t="str">
        <f>IF(COUNTIF(Comp2[Comparable '#2 Dates],Benchmark2[[#This Row],[Benchmark '#2 Dates]])=1,"Pass","Fail")</f>
        <v>Pass</v>
      </c>
      <c r="I159" s="6">
        <f>IF(Benchmark2[[#This Row],[Comparable '#2 Date Check]]="Pass",INDEX(Comp2[Comparable '#2 Price],MATCH(Benchmark2[[#This Row],[Benchmark '#2 Dates]],Comp2[Comparable '#2 Dates],0)),"-")</f>
        <v>48.15</v>
      </c>
      <c r="J159" s="1" t="str">
        <f>IF(COUNTIF(Comp3[Comparable '#3 Dates],Benchmark2[[#This Row],[Benchmark '#2 Dates]])=1,"Pass","Fail")</f>
        <v>Pass</v>
      </c>
      <c r="K159" s="6">
        <f>IF(Benchmark2[[#This Row],[Comparable '#3 Date Check]]="Pass",INDEX(Comp3[Comparable '#3 Price],MATCH(Benchmark2[[#This Row],[Benchmark '#2 Dates]],Comp3[Comparable '#3 Dates],0)),"-")</f>
        <v>120.19</v>
      </c>
    </row>
    <row r="160" spans="1:11">
      <c r="A160" s="103">
        <v>43517</v>
      </c>
      <c r="B160" s="104">
        <v>12621.77</v>
      </c>
      <c r="C160" s="4">
        <f t="shared" si="2"/>
        <v>-4.1027231231736223E-3</v>
      </c>
      <c r="D160" s="1" t="str">
        <f>IF(COUNTIF(Target1[Target Dates],Benchmark2[[#This Row],[Benchmark '#2 Dates]])=1,"Pass","Fail")</f>
        <v>Pass</v>
      </c>
      <c r="E160" s="6">
        <f>IF(Benchmark2[[#This Row],[Target Date Check]]="Pass",INDEX(Target1[Target Price],MATCH(Benchmark2[[#This Row],[Benchmark '#2 Dates]],Target1[Target Dates],0)),"-")</f>
        <v>32.659999999999997</v>
      </c>
      <c r="F160" s="1" t="str">
        <f>IF(COUNTIF(Comp1[Comparable '#1 Dates],Benchmark2[[#This Row],[Benchmark '#2 Dates]])=1,"Pass","Fail")</f>
        <v>Pass</v>
      </c>
      <c r="G160" s="6">
        <f>IF(Benchmark2[[#This Row],[Comparable '#1 Date Check]]="Pass",INDEX(Comp1[Comparable '#1 Price],MATCH(Benchmark2[[#This Row],[Benchmark '#2 Dates]],Comp1[Comparable '#1 Dates],0)),"-")</f>
        <v>15.09</v>
      </c>
      <c r="H160" s="1" t="str">
        <f>IF(COUNTIF(Comp2[Comparable '#2 Dates],Benchmark2[[#This Row],[Benchmark '#2 Dates]])=1,"Pass","Fail")</f>
        <v>Pass</v>
      </c>
      <c r="I160" s="6">
        <f>IF(Benchmark2[[#This Row],[Comparable '#2 Date Check]]="Pass",INDEX(Comp2[Comparable '#2 Price],MATCH(Benchmark2[[#This Row],[Benchmark '#2 Dates]],Comp2[Comparable '#2 Dates],0)),"-")</f>
        <v>49.24</v>
      </c>
      <c r="J160" s="1" t="str">
        <f>IF(COUNTIF(Comp3[Comparable '#3 Dates],Benchmark2[[#This Row],[Benchmark '#2 Dates]])=1,"Pass","Fail")</f>
        <v>Pass</v>
      </c>
      <c r="K160" s="6">
        <f>IF(Benchmark2[[#This Row],[Comparable '#3 Date Check]]="Pass",INDEX(Comp3[Comparable '#3 Price],MATCH(Benchmark2[[#This Row],[Benchmark '#2 Dates]],Comp3[Comparable '#3 Dates],0)),"-")</f>
        <v>126.92</v>
      </c>
    </row>
    <row r="161" spans="1:11">
      <c r="A161" s="103">
        <v>43518</v>
      </c>
      <c r="B161" s="104">
        <v>12694.52</v>
      </c>
      <c r="C161" s="4">
        <f t="shared" si="2"/>
        <v>5.7473034361147264E-3</v>
      </c>
      <c r="D161" s="1" t="str">
        <f>IF(COUNTIF(Target1[Target Dates],Benchmark2[[#This Row],[Benchmark '#2 Dates]])=1,"Pass","Fail")</f>
        <v>Pass</v>
      </c>
      <c r="E161" s="6">
        <f>IF(Benchmark2[[#This Row],[Target Date Check]]="Pass",INDEX(Target1[Target Price],MATCH(Benchmark2[[#This Row],[Benchmark '#2 Dates]],Target1[Target Dates],0)),"-")</f>
        <v>32.840000000000003</v>
      </c>
      <c r="F161" s="1" t="str">
        <f>IF(COUNTIF(Comp1[Comparable '#1 Dates],Benchmark2[[#This Row],[Benchmark '#2 Dates]])=1,"Pass","Fail")</f>
        <v>Pass</v>
      </c>
      <c r="G161" s="6">
        <f>IF(Benchmark2[[#This Row],[Comparable '#1 Date Check]]="Pass",INDEX(Comp1[Comparable '#1 Price],MATCH(Benchmark2[[#This Row],[Benchmark '#2 Dates]],Comp1[Comparable '#1 Dates],0)),"-")</f>
        <v>14.87</v>
      </c>
      <c r="H161" s="1" t="str">
        <f>IF(COUNTIF(Comp2[Comparable '#2 Dates],Benchmark2[[#This Row],[Benchmark '#2 Dates]])=1,"Pass","Fail")</f>
        <v>Pass</v>
      </c>
      <c r="I161" s="6">
        <f>IF(Benchmark2[[#This Row],[Comparable '#2 Date Check]]="Pass",INDEX(Comp2[Comparable '#2 Price],MATCH(Benchmark2[[#This Row],[Benchmark '#2 Dates]],Comp2[Comparable '#2 Dates],0)),"-")</f>
        <v>49.24</v>
      </c>
      <c r="J161" s="1" t="str">
        <f>IF(COUNTIF(Comp3[Comparable '#3 Dates],Benchmark2[[#This Row],[Benchmark '#2 Dates]])=1,"Pass","Fail")</f>
        <v>Pass</v>
      </c>
      <c r="K161" s="6">
        <f>IF(Benchmark2[[#This Row],[Comparable '#3 Date Check]]="Pass",INDEX(Comp3[Comparable '#3 Price],MATCH(Benchmark2[[#This Row],[Benchmark '#2 Dates]],Comp3[Comparable '#3 Dates],0)),"-")</f>
        <v>127.33</v>
      </c>
    </row>
    <row r="162" spans="1:11">
      <c r="A162" s="103">
        <v>43521</v>
      </c>
      <c r="B162" s="104">
        <v>12700.19</v>
      </c>
      <c r="C162" s="4">
        <f t="shared" si="2"/>
        <v>4.4654970221910125E-4</v>
      </c>
      <c r="D162" s="1" t="str">
        <f>IF(COUNTIF(Target1[Target Dates],Benchmark2[[#This Row],[Benchmark '#2 Dates]])=1,"Pass","Fail")</f>
        <v>Pass</v>
      </c>
      <c r="E162" s="6">
        <f>IF(Benchmark2[[#This Row],[Target Date Check]]="Pass",INDEX(Target1[Target Price],MATCH(Benchmark2[[#This Row],[Benchmark '#2 Dates]],Target1[Target Dates],0)),"-")</f>
        <v>32.67</v>
      </c>
      <c r="F162" s="1" t="str">
        <f>IF(COUNTIF(Comp1[Comparable '#1 Dates],Benchmark2[[#This Row],[Benchmark '#2 Dates]])=1,"Pass","Fail")</f>
        <v>Pass</v>
      </c>
      <c r="G162" s="6">
        <f>IF(Benchmark2[[#This Row],[Comparable '#1 Date Check]]="Pass",INDEX(Comp1[Comparable '#1 Price],MATCH(Benchmark2[[#This Row],[Benchmark '#2 Dates]],Comp1[Comparable '#1 Dates],0)),"-")</f>
        <v>15.03</v>
      </c>
      <c r="H162" s="1" t="str">
        <f>IF(COUNTIF(Comp2[Comparable '#2 Dates],Benchmark2[[#This Row],[Benchmark '#2 Dates]])=1,"Pass","Fail")</f>
        <v>Pass</v>
      </c>
      <c r="I162" s="6">
        <f>IF(Benchmark2[[#This Row],[Comparable '#2 Date Check]]="Pass",INDEX(Comp2[Comparable '#2 Price],MATCH(Benchmark2[[#This Row],[Benchmark '#2 Dates]],Comp2[Comparable '#2 Dates],0)),"-")</f>
        <v>48.96</v>
      </c>
      <c r="J162" s="1" t="str">
        <f>IF(COUNTIF(Comp3[Comparable '#3 Dates],Benchmark2[[#This Row],[Benchmark '#2 Dates]])=1,"Pass","Fail")</f>
        <v>Pass</v>
      </c>
      <c r="K162" s="6">
        <f>IF(Benchmark2[[#This Row],[Comparable '#3 Date Check]]="Pass",INDEX(Comp3[Comparable '#3 Price],MATCH(Benchmark2[[#This Row],[Benchmark '#2 Dates]],Comp3[Comparable '#3 Dates],0)),"-")</f>
        <v>126.25</v>
      </c>
    </row>
    <row r="163" spans="1:11">
      <c r="A163" s="103">
        <v>43522</v>
      </c>
      <c r="B163" s="104">
        <v>12686.56</v>
      </c>
      <c r="C163" s="4">
        <f t="shared" si="2"/>
        <v>-1.0737885952034904E-3</v>
      </c>
      <c r="D163" s="1" t="str">
        <f>IF(COUNTIF(Target1[Target Dates],Benchmark2[[#This Row],[Benchmark '#2 Dates]])=1,"Pass","Fail")</f>
        <v>Pass</v>
      </c>
      <c r="E163" s="6">
        <f>IF(Benchmark2[[#This Row],[Target Date Check]]="Pass",INDEX(Target1[Target Price],MATCH(Benchmark2[[#This Row],[Benchmark '#2 Dates]],Target1[Target Dates],0)),"-")</f>
        <v>32.409999999999997</v>
      </c>
      <c r="F163" s="1" t="str">
        <f>IF(COUNTIF(Comp1[Comparable '#1 Dates],Benchmark2[[#This Row],[Benchmark '#2 Dates]])=1,"Pass","Fail")</f>
        <v>Pass</v>
      </c>
      <c r="G163" s="6">
        <f>IF(Benchmark2[[#This Row],[Comparable '#1 Date Check]]="Pass",INDEX(Comp1[Comparable '#1 Price],MATCH(Benchmark2[[#This Row],[Benchmark '#2 Dates]],Comp1[Comparable '#1 Dates],0)),"-")</f>
        <v>14.64</v>
      </c>
      <c r="H163" s="1" t="str">
        <f>IF(COUNTIF(Comp2[Comparable '#2 Dates],Benchmark2[[#This Row],[Benchmark '#2 Dates]])=1,"Pass","Fail")</f>
        <v>Pass</v>
      </c>
      <c r="I163" s="6">
        <f>IF(Benchmark2[[#This Row],[Comparable '#2 Date Check]]="Pass",INDEX(Comp2[Comparable '#2 Price],MATCH(Benchmark2[[#This Row],[Benchmark '#2 Dates]],Comp2[Comparable '#2 Dates],0)),"-")</f>
        <v>48.33</v>
      </c>
      <c r="J163" s="1" t="str">
        <f>IF(COUNTIF(Comp3[Comparable '#3 Dates],Benchmark2[[#This Row],[Benchmark '#2 Dates]])=1,"Pass","Fail")</f>
        <v>Pass</v>
      </c>
      <c r="K163" s="6">
        <f>IF(Benchmark2[[#This Row],[Comparable '#3 Date Check]]="Pass",INDEX(Comp3[Comparable '#3 Price],MATCH(Benchmark2[[#This Row],[Benchmark '#2 Dates]],Comp3[Comparable '#3 Dates],0)),"-")</f>
        <v>125.7</v>
      </c>
    </row>
    <row r="164" spans="1:11">
      <c r="A164" s="103">
        <v>43523</v>
      </c>
      <c r="B164" s="104">
        <v>12689.87</v>
      </c>
      <c r="C164" s="4">
        <f t="shared" si="2"/>
        <v>2.6087199962911844E-4</v>
      </c>
      <c r="D164" s="1" t="str">
        <f>IF(COUNTIF(Target1[Target Dates],Benchmark2[[#This Row],[Benchmark '#2 Dates]])=1,"Pass","Fail")</f>
        <v>Pass</v>
      </c>
      <c r="E164" s="6">
        <f>IF(Benchmark2[[#This Row],[Target Date Check]]="Pass",INDEX(Target1[Target Price],MATCH(Benchmark2[[#This Row],[Benchmark '#2 Dates]],Target1[Target Dates],0)),"-")</f>
        <v>32.229999999999997</v>
      </c>
      <c r="F164" s="1" t="str">
        <f>IF(COUNTIF(Comp1[Comparable '#1 Dates],Benchmark2[[#This Row],[Benchmark '#2 Dates]])=1,"Pass","Fail")</f>
        <v>Pass</v>
      </c>
      <c r="G164" s="6">
        <f>IF(Benchmark2[[#This Row],[Comparable '#1 Date Check]]="Pass",INDEX(Comp1[Comparable '#1 Price],MATCH(Benchmark2[[#This Row],[Benchmark '#2 Dates]],Comp1[Comparable '#1 Dates],0)),"-")</f>
        <v>14.71</v>
      </c>
      <c r="H164" s="1" t="str">
        <f>IF(COUNTIF(Comp2[Comparable '#2 Dates],Benchmark2[[#This Row],[Benchmark '#2 Dates]])=1,"Pass","Fail")</f>
        <v>Pass</v>
      </c>
      <c r="I164" s="6">
        <f>IF(Benchmark2[[#This Row],[Comparable '#2 Date Check]]="Pass",INDEX(Comp2[Comparable '#2 Price],MATCH(Benchmark2[[#This Row],[Benchmark '#2 Dates]],Comp2[Comparable '#2 Dates],0)),"-")</f>
        <v>48.02</v>
      </c>
      <c r="J164" s="1" t="str">
        <f>IF(COUNTIF(Comp3[Comparable '#3 Dates],Benchmark2[[#This Row],[Benchmark '#2 Dates]])=1,"Pass","Fail")</f>
        <v>Pass</v>
      </c>
      <c r="K164" s="6">
        <f>IF(Benchmark2[[#This Row],[Comparable '#3 Date Check]]="Pass",INDEX(Comp3[Comparable '#3 Price],MATCH(Benchmark2[[#This Row],[Benchmark '#2 Dates]],Comp3[Comparable '#3 Dates],0)),"-")</f>
        <v>127.06</v>
      </c>
    </row>
    <row r="165" spans="1:11">
      <c r="A165" s="103">
        <v>43524</v>
      </c>
      <c r="B165" s="104">
        <v>12644.81</v>
      </c>
      <c r="C165" s="4">
        <f t="shared" si="2"/>
        <v>-3.5571830798002127E-3</v>
      </c>
      <c r="D165" s="1" t="str">
        <f>IF(COUNTIF(Target1[Target Dates],Benchmark2[[#This Row],[Benchmark '#2 Dates]])=1,"Pass","Fail")</f>
        <v>Pass</v>
      </c>
      <c r="E165" s="6">
        <f>IF(Benchmark2[[#This Row],[Target Date Check]]="Pass",INDEX(Target1[Target Price],MATCH(Benchmark2[[#This Row],[Benchmark '#2 Dates]],Target1[Target Dates],0)),"-")</f>
        <v>32.04</v>
      </c>
      <c r="F165" s="1" t="str">
        <f>IF(COUNTIF(Comp1[Comparable '#1 Dates],Benchmark2[[#This Row],[Benchmark '#2 Dates]])=1,"Pass","Fail")</f>
        <v>Pass</v>
      </c>
      <c r="G165" s="6">
        <f>IF(Benchmark2[[#This Row],[Comparable '#1 Date Check]]="Pass",INDEX(Comp1[Comparable '#1 Price],MATCH(Benchmark2[[#This Row],[Benchmark '#2 Dates]],Comp1[Comparable '#1 Dates],0)),"-")</f>
        <v>15.29</v>
      </c>
      <c r="H165" s="1" t="str">
        <f>IF(COUNTIF(Comp2[Comparable '#2 Dates],Benchmark2[[#This Row],[Benchmark '#2 Dates]])=1,"Pass","Fail")</f>
        <v>Pass</v>
      </c>
      <c r="I165" s="6">
        <f>IF(Benchmark2[[#This Row],[Comparable '#2 Date Check]]="Pass",INDEX(Comp2[Comparable '#2 Price],MATCH(Benchmark2[[#This Row],[Benchmark '#2 Dates]],Comp2[Comparable '#2 Dates],0)),"-")</f>
        <v>48.2</v>
      </c>
      <c r="J165" s="1" t="str">
        <f>IF(COUNTIF(Comp3[Comparable '#3 Dates],Benchmark2[[#This Row],[Benchmark '#2 Dates]])=1,"Pass","Fail")</f>
        <v>Pass</v>
      </c>
      <c r="K165" s="6">
        <f>IF(Benchmark2[[#This Row],[Comparable '#3 Date Check]]="Pass",INDEX(Comp3[Comparable '#3 Price],MATCH(Benchmark2[[#This Row],[Benchmark '#2 Dates]],Comp3[Comparable '#3 Dates],0)),"-")</f>
        <v>130.78</v>
      </c>
    </row>
    <row r="166" spans="1:11">
      <c r="A166" s="103">
        <v>43525</v>
      </c>
      <c r="B166" s="104">
        <v>12700.67</v>
      </c>
      <c r="C166" s="4">
        <f t="shared" si="2"/>
        <v>4.4078936713306191E-3</v>
      </c>
      <c r="D166" s="1" t="str">
        <f>IF(COUNTIF(Target1[Target Dates],Benchmark2[[#This Row],[Benchmark '#2 Dates]])=1,"Pass","Fail")</f>
        <v>Pass</v>
      </c>
      <c r="E166" s="6">
        <f>IF(Benchmark2[[#This Row],[Target Date Check]]="Pass",INDEX(Target1[Target Price],MATCH(Benchmark2[[#This Row],[Benchmark '#2 Dates]],Target1[Target Dates],0)),"-")</f>
        <v>32.619999999999997</v>
      </c>
      <c r="F166" s="1" t="str">
        <f>IF(COUNTIF(Comp1[Comparable '#1 Dates],Benchmark2[[#This Row],[Benchmark '#2 Dates]])=1,"Pass","Fail")</f>
        <v>Pass</v>
      </c>
      <c r="G166" s="6">
        <f>IF(Benchmark2[[#This Row],[Comparable '#1 Date Check]]="Pass",INDEX(Comp1[Comparable '#1 Price],MATCH(Benchmark2[[#This Row],[Benchmark '#2 Dates]],Comp1[Comparable '#1 Dates],0)),"-")</f>
        <v>15.3</v>
      </c>
      <c r="H166" s="1" t="str">
        <f>IF(COUNTIF(Comp2[Comparable '#2 Dates],Benchmark2[[#This Row],[Benchmark '#2 Dates]])=1,"Pass","Fail")</f>
        <v>Pass</v>
      </c>
      <c r="I166" s="6">
        <f>IF(Benchmark2[[#This Row],[Comparable '#2 Date Check]]="Pass",INDEX(Comp2[Comparable '#2 Price],MATCH(Benchmark2[[#This Row],[Benchmark '#2 Dates]],Comp2[Comparable '#2 Dates],0)),"-")</f>
        <v>49.26</v>
      </c>
      <c r="J166" s="1" t="str">
        <f>IF(COUNTIF(Comp3[Comparable '#3 Dates],Benchmark2[[#This Row],[Benchmark '#2 Dates]])=1,"Pass","Fail")</f>
        <v>Pass</v>
      </c>
      <c r="K166" s="6">
        <f>IF(Benchmark2[[#This Row],[Comparable '#3 Date Check]]="Pass",INDEX(Comp3[Comparable '#3 Price],MATCH(Benchmark2[[#This Row],[Benchmark '#2 Dates]],Comp3[Comparable '#3 Dates],0)),"-")</f>
        <v>144.61000000000001</v>
      </c>
    </row>
    <row r="167" spans="1:11">
      <c r="A167" s="103">
        <v>43528</v>
      </c>
      <c r="B167" s="104">
        <v>12637.27</v>
      </c>
      <c r="C167" s="4">
        <f t="shared" si="2"/>
        <v>-5.0043635997182243E-3</v>
      </c>
      <c r="D167" s="1" t="str">
        <f>IF(COUNTIF(Target1[Target Dates],Benchmark2[[#This Row],[Benchmark '#2 Dates]])=1,"Pass","Fail")</f>
        <v>Pass</v>
      </c>
      <c r="E167" s="6">
        <f>IF(Benchmark2[[#This Row],[Target Date Check]]="Pass",INDEX(Target1[Target Price],MATCH(Benchmark2[[#This Row],[Benchmark '#2 Dates]],Target1[Target Dates],0)),"-")</f>
        <v>32.340000000000003</v>
      </c>
      <c r="F167" s="1" t="str">
        <f>IF(COUNTIF(Comp1[Comparable '#1 Dates],Benchmark2[[#This Row],[Benchmark '#2 Dates]])=1,"Pass","Fail")</f>
        <v>Pass</v>
      </c>
      <c r="G167" s="6">
        <f>IF(Benchmark2[[#This Row],[Comparable '#1 Date Check]]="Pass",INDEX(Comp1[Comparable '#1 Price],MATCH(Benchmark2[[#This Row],[Benchmark '#2 Dates]],Comp1[Comparable '#1 Dates],0)),"-")</f>
        <v>15.09</v>
      </c>
      <c r="H167" s="1" t="str">
        <f>IF(COUNTIF(Comp2[Comparable '#2 Dates],Benchmark2[[#This Row],[Benchmark '#2 Dates]])=1,"Pass","Fail")</f>
        <v>Pass</v>
      </c>
      <c r="I167" s="6">
        <f>IF(Benchmark2[[#This Row],[Comparable '#2 Date Check]]="Pass",INDEX(Comp2[Comparable '#2 Price],MATCH(Benchmark2[[#This Row],[Benchmark '#2 Dates]],Comp2[Comparable '#2 Dates],0)),"-")</f>
        <v>48.07</v>
      </c>
      <c r="J167" s="1" t="str">
        <f>IF(COUNTIF(Comp3[Comparable '#3 Dates],Benchmark2[[#This Row],[Benchmark '#2 Dates]])=1,"Pass","Fail")</f>
        <v>Pass</v>
      </c>
      <c r="K167" s="6">
        <f>IF(Benchmark2[[#This Row],[Comparable '#3 Date Check]]="Pass",INDEX(Comp3[Comparable '#3 Price],MATCH(Benchmark2[[#This Row],[Benchmark '#2 Dates]],Comp3[Comparable '#3 Dates],0)),"-")</f>
        <v>142.15</v>
      </c>
    </row>
    <row r="168" spans="1:11">
      <c r="A168" s="103">
        <v>43529</v>
      </c>
      <c r="B168" s="104">
        <v>12624.47</v>
      </c>
      <c r="C168" s="4">
        <f t="shared" si="2"/>
        <v>-1.0133902965848277E-3</v>
      </c>
      <c r="D168" s="1" t="str">
        <f>IF(COUNTIF(Target1[Target Dates],Benchmark2[[#This Row],[Benchmark '#2 Dates]])=1,"Pass","Fail")</f>
        <v>Pass</v>
      </c>
      <c r="E168" s="6">
        <f>IF(Benchmark2[[#This Row],[Target Date Check]]="Pass",INDEX(Target1[Target Price],MATCH(Benchmark2[[#This Row],[Benchmark '#2 Dates]],Target1[Target Dates],0)),"-")</f>
        <v>32.39</v>
      </c>
      <c r="F168" s="1" t="str">
        <f>IF(COUNTIF(Comp1[Comparable '#1 Dates],Benchmark2[[#This Row],[Benchmark '#2 Dates]])=1,"Pass","Fail")</f>
        <v>Pass</v>
      </c>
      <c r="G168" s="6">
        <f>IF(Benchmark2[[#This Row],[Comparable '#1 Date Check]]="Pass",INDEX(Comp1[Comparable '#1 Price],MATCH(Benchmark2[[#This Row],[Benchmark '#2 Dates]],Comp1[Comparable '#1 Dates],0)),"-")</f>
        <v>15.1</v>
      </c>
      <c r="H168" s="1" t="str">
        <f>IF(COUNTIF(Comp2[Comparable '#2 Dates],Benchmark2[[#This Row],[Benchmark '#2 Dates]])=1,"Pass","Fail")</f>
        <v>Pass</v>
      </c>
      <c r="I168" s="6">
        <f>IF(Benchmark2[[#This Row],[Comparable '#2 Date Check]]="Pass",INDEX(Comp2[Comparable '#2 Price],MATCH(Benchmark2[[#This Row],[Benchmark '#2 Dates]],Comp2[Comparable '#2 Dates],0)),"-")</f>
        <v>48.09</v>
      </c>
      <c r="J168" s="1" t="str">
        <f>IF(COUNTIF(Comp3[Comparable '#3 Dates],Benchmark2[[#This Row],[Benchmark '#2 Dates]])=1,"Pass","Fail")</f>
        <v>Pass</v>
      </c>
      <c r="K168" s="6">
        <f>IF(Benchmark2[[#This Row],[Comparable '#3 Date Check]]="Pass",INDEX(Comp3[Comparable '#3 Price],MATCH(Benchmark2[[#This Row],[Benchmark '#2 Dates]],Comp3[Comparable '#3 Dates],0)),"-")</f>
        <v>141.82</v>
      </c>
    </row>
    <row r="169" spans="1:11">
      <c r="A169" s="103">
        <v>43530</v>
      </c>
      <c r="B169" s="104">
        <v>12538</v>
      </c>
      <c r="C169" s="4">
        <f t="shared" si="2"/>
        <v>-6.8729612304337349E-3</v>
      </c>
      <c r="D169" s="1" t="str">
        <f>IF(COUNTIF(Target1[Target Dates],Benchmark2[[#This Row],[Benchmark '#2 Dates]])=1,"Pass","Fail")</f>
        <v>Pass</v>
      </c>
      <c r="E169" s="6">
        <f>IF(Benchmark2[[#This Row],[Target Date Check]]="Pass",INDEX(Target1[Target Price],MATCH(Benchmark2[[#This Row],[Benchmark '#2 Dates]],Target1[Target Dates],0)),"-")</f>
        <v>32.44</v>
      </c>
      <c r="F169" s="1" t="str">
        <f>IF(COUNTIF(Comp1[Comparable '#1 Dates],Benchmark2[[#This Row],[Benchmark '#2 Dates]])=1,"Pass","Fail")</f>
        <v>Pass</v>
      </c>
      <c r="G169" s="6">
        <f>IF(Benchmark2[[#This Row],[Comparable '#1 Date Check]]="Pass",INDEX(Comp1[Comparable '#1 Price],MATCH(Benchmark2[[#This Row],[Benchmark '#2 Dates]],Comp1[Comparable '#1 Dates],0)),"-")</f>
        <v>14.9</v>
      </c>
      <c r="H169" s="1" t="str">
        <f>IF(COUNTIF(Comp2[Comparable '#2 Dates],Benchmark2[[#This Row],[Benchmark '#2 Dates]])=1,"Pass","Fail")</f>
        <v>Pass</v>
      </c>
      <c r="I169" s="6">
        <f>IF(Benchmark2[[#This Row],[Comparable '#2 Date Check]]="Pass",INDEX(Comp2[Comparable '#2 Price],MATCH(Benchmark2[[#This Row],[Benchmark '#2 Dates]],Comp2[Comparable '#2 Dates],0)),"-")</f>
        <v>47.77</v>
      </c>
      <c r="J169" s="1" t="str">
        <f>IF(COUNTIF(Comp3[Comparable '#3 Dates],Benchmark2[[#This Row],[Benchmark '#2 Dates]])=1,"Pass","Fail")</f>
        <v>Pass</v>
      </c>
      <c r="K169" s="6">
        <f>IF(Benchmark2[[#This Row],[Comparable '#3 Date Check]]="Pass",INDEX(Comp3[Comparable '#3 Price],MATCH(Benchmark2[[#This Row],[Benchmark '#2 Dates]],Comp3[Comparable '#3 Dates],0)),"-")</f>
        <v>139.26</v>
      </c>
    </row>
    <row r="170" spans="1:11">
      <c r="A170" s="103">
        <v>43531</v>
      </c>
      <c r="B170" s="104">
        <v>12443.43</v>
      </c>
      <c r="C170" s="4">
        <f t="shared" si="2"/>
        <v>-7.5712600728055661E-3</v>
      </c>
      <c r="D170" s="1" t="str">
        <f>IF(COUNTIF(Target1[Target Dates],Benchmark2[[#This Row],[Benchmark '#2 Dates]])=1,"Pass","Fail")</f>
        <v>Pass</v>
      </c>
      <c r="E170" s="6">
        <f>IF(Benchmark2[[#This Row],[Target Date Check]]="Pass",INDEX(Target1[Target Price],MATCH(Benchmark2[[#This Row],[Benchmark '#2 Dates]],Target1[Target Dates],0)),"-")</f>
        <v>32.44</v>
      </c>
      <c r="F170" s="1" t="str">
        <f>IF(COUNTIF(Comp1[Comparable '#1 Dates],Benchmark2[[#This Row],[Benchmark '#2 Dates]])=1,"Pass","Fail")</f>
        <v>Pass</v>
      </c>
      <c r="G170" s="6">
        <f>IF(Benchmark2[[#This Row],[Comparable '#1 Date Check]]="Pass",INDEX(Comp1[Comparable '#1 Price],MATCH(Benchmark2[[#This Row],[Benchmark '#2 Dates]],Comp1[Comparable '#1 Dates],0)),"-")</f>
        <v>14.64</v>
      </c>
      <c r="H170" s="1" t="str">
        <f>IF(COUNTIF(Comp2[Comparable '#2 Dates],Benchmark2[[#This Row],[Benchmark '#2 Dates]])=1,"Pass","Fail")</f>
        <v>Pass</v>
      </c>
      <c r="I170" s="6">
        <f>IF(Benchmark2[[#This Row],[Comparable '#2 Date Check]]="Pass",INDEX(Comp2[Comparable '#2 Price],MATCH(Benchmark2[[#This Row],[Benchmark '#2 Dates]],Comp2[Comparable '#2 Dates],0)),"-")</f>
        <v>47.27</v>
      </c>
      <c r="J170" s="1" t="str">
        <f>IF(COUNTIF(Comp3[Comparable '#3 Dates],Benchmark2[[#This Row],[Benchmark '#2 Dates]])=1,"Pass","Fail")</f>
        <v>Pass</v>
      </c>
      <c r="K170" s="6">
        <f>IF(Benchmark2[[#This Row],[Comparable '#3 Date Check]]="Pass",INDEX(Comp3[Comparable '#3 Price],MATCH(Benchmark2[[#This Row],[Benchmark '#2 Dates]],Comp3[Comparable '#3 Dates],0)),"-")</f>
        <v>136.18</v>
      </c>
    </row>
    <row r="171" spans="1:11">
      <c r="A171" s="103">
        <v>43532</v>
      </c>
      <c r="B171" s="104">
        <v>12415.13</v>
      </c>
      <c r="C171" s="4">
        <f t="shared" si="2"/>
        <v>-2.2768826694755519E-3</v>
      </c>
      <c r="D171" s="1" t="str">
        <f>IF(COUNTIF(Target1[Target Dates],Benchmark2[[#This Row],[Benchmark '#2 Dates]])=1,"Pass","Fail")</f>
        <v>Pass</v>
      </c>
      <c r="E171" s="6">
        <f>IF(Benchmark2[[#This Row],[Target Date Check]]="Pass",INDEX(Target1[Target Price],MATCH(Benchmark2[[#This Row],[Benchmark '#2 Dates]],Target1[Target Dates],0)),"-")</f>
        <v>32.56</v>
      </c>
      <c r="F171" s="1" t="str">
        <f>IF(COUNTIF(Comp1[Comparable '#1 Dates],Benchmark2[[#This Row],[Benchmark '#2 Dates]])=1,"Pass","Fail")</f>
        <v>Pass</v>
      </c>
      <c r="G171" s="6">
        <f>IF(Benchmark2[[#This Row],[Comparable '#1 Date Check]]="Pass",INDEX(Comp1[Comparable '#1 Price],MATCH(Benchmark2[[#This Row],[Benchmark '#2 Dates]],Comp1[Comparable '#1 Dates],0)),"-")</f>
        <v>14.51</v>
      </c>
      <c r="H171" s="1" t="str">
        <f>IF(COUNTIF(Comp2[Comparable '#2 Dates],Benchmark2[[#This Row],[Benchmark '#2 Dates]])=1,"Pass","Fail")</f>
        <v>Pass</v>
      </c>
      <c r="I171" s="6">
        <f>IF(Benchmark2[[#This Row],[Comparable '#2 Date Check]]="Pass",INDEX(Comp2[Comparable '#2 Price],MATCH(Benchmark2[[#This Row],[Benchmark '#2 Dates]],Comp2[Comparable '#2 Dates],0)),"-")</f>
        <v>47.4</v>
      </c>
      <c r="J171" s="1" t="str">
        <f>IF(COUNTIF(Comp3[Comparable '#3 Dates],Benchmark2[[#This Row],[Benchmark '#2 Dates]])=1,"Pass","Fail")</f>
        <v>Pass</v>
      </c>
      <c r="K171" s="6">
        <f>IF(Benchmark2[[#This Row],[Comparable '#3 Date Check]]="Pass",INDEX(Comp3[Comparable '#3 Price],MATCH(Benchmark2[[#This Row],[Benchmark '#2 Dates]],Comp3[Comparable '#3 Dates],0)),"-")</f>
        <v>133.79</v>
      </c>
    </row>
    <row r="172" spans="1:11">
      <c r="A172" s="103">
        <v>43535</v>
      </c>
      <c r="B172" s="104">
        <v>12561.26</v>
      </c>
      <c r="C172" s="4">
        <f t="shared" si="2"/>
        <v>1.1701584370333281E-2</v>
      </c>
      <c r="D172" s="1" t="str">
        <f>IF(COUNTIF(Target1[Target Dates],Benchmark2[[#This Row],[Benchmark '#2 Dates]])=1,"Pass","Fail")</f>
        <v>Pass</v>
      </c>
      <c r="E172" s="6">
        <f>IF(Benchmark2[[#This Row],[Target Date Check]]="Pass",INDEX(Target1[Target Price],MATCH(Benchmark2[[#This Row],[Benchmark '#2 Dates]],Target1[Target Dates],0)),"-")</f>
        <v>33.380000000000003</v>
      </c>
      <c r="F172" s="1" t="str">
        <f>IF(COUNTIF(Comp1[Comparable '#1 Dates],Benchmark2[[#This Row],[Benchmark '#2 Dates]])=1,"Pass","Fail")</f>
        <v>Pass</v>
      </c>
      <c r="G172" s="6">
        <f>IF(Benchmark2[[#This Row],[Comparable '#1 Date Check]]="Pass",INDEX(Comp1[Comparable '#1 Price],MATCH(Benchmark2[[#This Row],[Benchmark '#2 Dates]],Comp1[Comparable '#1 Dates],0)),"-")</f>
        <v>14.77</v>
      </c>
      <c r="H172" s="1" t="str">
        <f>IF(COUNTIF(Comp2[Comparable '#2 Dates],Benchmark2[[#This Row],[Benchmark '#2 Dates]])=1,"Pass","Fail")</f>
        <v>Pass</v>
      </c>
      <c r="I172" s="6">
        <f>IF(Benchmark2[[#This Row],[Comparable '#2 Date Check]]="Pass",INDEX(Comp2[Comparable '#2 Price],MATCH(Benchmark2[[#This Row],[Benchmark '#2 Dates]],Comp2[Comparable '#2 Dates],0)),"-")</f>
        <v>48.2</v>
      </c>
      <c r="J172" s="1" t="str">
        <f>IF(COUNTIF(Comp3[Comparable '#3 Dates],Benchmark2[[#This Row],[Benchmark '#2 Dates]])=1,"Pass","Fail")</f>
        <v>Pass</v>
      </c>
      <c r="K172" s="6">
        <f>IF(Benchmark2[[#This Row],[Comparable '#3 Date Check]]="Pass",INDEX(Comp3[Comparable '#3 Price],MATCH(Benchmark2[[#This Row],[Benchmark '#2 Dates]],Comp3[Comparable '#3 Dates],0)),"-")</f>
        <v>137.63</v>
      </c>
    </row>
    <row r="173" spans="1:11">
      <c r="A173" s="103">
        <v>43536</v>
      </c>
      <c r="B173" s="104">
        <v>12582.81</v>
      </c>
      <c r="C173" s="4">
        <f t="shared" si="2"/>
        <v>1.714122278258412E-3</v>
      </c>
      <c r="D173" s="1" t="str">
        <f>IF(COUNTIF(Target1[Target Dates],Benchmark2[[#This Row],[Benchmark '#2 Dates]])=1,"Pass","Fail")</f>
        <v>Pass</v>
      </c>
      <c r="E173" s="6">
        <f>IF(Benchmark2[[#This Row],[Target Date Check]]="Pass",INDEX(Target1[Target Price],MATCH(Benchmark2[[#This Row],[Benchmark '#2 Dates]],Target1[Target Dates],0)),"-")</f>
        <v>33.47</v>
      </c>
      <c r="F173" s="1" t="str">
        <f>IF(COUNTIF(Comp1[Comparable '#1 Dates],Benchmark2[[#This Row],[Benchmark '#2 Dates]])=1,"Pass","Fail")</f>
        <v>Pass</v>
      </c>
      <c r="G173" s="6">
        <f>IF(Benchmark2[[#This Row],[Comparable '#1 Date Check]]="Pass",INDEX(Comp1[Comparable '#1 Price],MATCH(Benchmark2[[#This Row],[Benchmark '#2 Dates]],Comp1[Comparable '#1 Dates],0)),"-")</f>
        <v>14.9</v>
      </c>
      <c r="H173" s="1" t="str">
        <f>IF(COUNTIF(Comp2[Comparable '#2 Dates],Benchmark2[[#This Row],[Benchmark '#2 Dates]])=1,"Pass","Fail")</f>
        <v>Pass</v>
      </c>
      <c r="I173" s="6">
        <f>IF(Benchmark2[[#This Row],[Comparable '#2 Date Check]]="Pass",INDEX(Comp2[Comparable '#2 Price],MATCH(Benchmark2[[#This Row],[Benchmark '#2 Dates]],Comp2[Comparable '#2 Dates],0)),"-")</f>
        <v>48.03</v>
      </c>
      <c r="J173" s="1" t="str">
        <f>IF(COUNTIF(Comp3[Comparable '#3 Dates],Benchmark2[[#This Row],[Benchmark '#2 Dates]])=1,"Pass","Fail")</f>
        <v>Pass</v>
      </c>
      <c r="K173" s="6">
        <f>IF(Benchmark2[[#This Row],[Comparable '#3 Date Check]]="Pass",INDEX(Comp3[Comparable '#3 Price],MATCH(Benchmark2[[#This Row],[Benchmark '#2 Dates]],Comp3[Comparable '#3 Dates],0)),"-")</f>
        <v>138.77000000000001</v>
      </c>
    </row>
    <row r="174" spans="1:11">
      <c r="A174" s="103">
        <v>43537</v>
      </c>
      <c r="B174" s="104">
        <v>12674.26</v>
      </c>
      <c r="C174" s="4">
        <f t="shared" si="2"/>
        <v>7.2415683718288415E-3</v>
      </c>
      <c r="D174" s="1" t="str">
        <f>IF(COUNTIF(Target1[Target Dates],Benchmark2[[#This Row],[Benchmark '#2 Dates]])=1,"Pass","Fail")</f>
        <v>Pass</v>
      </c>
      <c r="E174" s="6">
        <f>IF(Benchmark2[[#This Row],[Target Date Check]]="Pass",INDEX(Target1[Target Price],MATCH(Benchmark2[[#This Row],[Benchmark '#2 Dates]],Target1[Target Dates],0)),"-")</f>
        <v>33.71</v>
      </c>
      <c r="F174" s="1" t="str">
        <f>IF(COUNTIF(Comp1[Comparable '#1 Dates],Benchmark2[[#This Row],[Benchmark '#2 Dates]])=1,"Pass","Fail")</f>
        <v>Pass</v>
      </c>
      <c r="G174" s="6">
        <f>IF(Benchmark2[[#This Row],[Comparable '#1 Date Check]]="Pass",INDEX(Comp1[Comparable '#1 Price],MATCH(Benchmark2[[#This Row],[Benchmark '#2 Dates]],Comp1[Comparable '#1 Dates],0)),"-")</f>
        <v>15.26</v>
      </c>
      <c r="H174" s="1" t="str">
        <f>IF(COUNTIF(Comp2[Comparable '#2 Dates],Benchmark2[[#This Row],[Benchmark '#2 Dates]])=1,"Pass","Fail")</f>
        <v>Pass</v>
      </c>
      <c r="I174" s="6">
        <f>IF(Benchmark2[[#This Row],[Comparable '#2 Date Check]]="Pass",INDEX(Comp2[Comparable '#2 Price],MATCH(Benchmark2[[#This Row],[Benchmark '#2 Dates]],Comp2[Comparable '#2 Dates],0)),"-")</f>
        <v>48.67</v>
      </c>
      <c r="J174" s="1" t="str">
        <f>IF(COUNTIF(Comp3[Comparable '#3 Dates],Benchmark2[[#This Row],[Benchmark '#2 Dates]])=1,"Pass","Fail")</f>
        <v>Pass</v>
      </c>
      <c r="K174" s="6">
        <f>IF(Benchmark2[[#This Row],[Comparable '#3 Date Check]]="Pass",INDEX(Comp3[Comparable '#3 Price],MATCH(Benchmark2[[#This Row],[Benchmark '#2 Dates]],Comp3[Comparable '#3 Dates],0)),"-")</f>
        <v>138.82</v>
      </c>
    </row>
    <row r="175" spans="1:11">
      <c r="A175" s="103">
        <v>43538</v>
      </c>
      <c r="B175" s="104">
        <v>12660.16</v>
      </c>
      <c r="C175" s="4">
        <f t="shared" si="2"/>
        <v>-1.1131102630999223E-3</v>
      </c>
      <c r="D175" s="1" t="str">
        <f>IF(COUNTIF(Target1[Target Dates],Benchmark2[[#This Row],[Benchmark '#2 Dates]])=1,"Pass","Fail")</f>
        <v>Pass</v>
      </c>
      <c r="E175" s="6">
        <f>IF(Benchmark2[[#This Row],[Target Date Check]]="Pass",INDEX(Target1[Target Price],MATCH(Benchmark2[[#This Row],[Benchmark '#2 Dates]],Target1[Target Dates],0)),"-")</f>
        <v>33.619999999999997</v>
      </c>
      <c r="F175" s="1" t="str">
        <f>IF(COUNTIF(Comp1[Comparable '#1 Dates],Benchmark2[[#This Row],[Benchmark '#2 Dates]])=1,"Pass","Fail")</f>
        <v>Pass</v>
      </c>
      <c r="G175" s="6">
        <f>IF(Benchmark2[[#This Row],[Comparable '#1 Date Check]]="Pass",INDEX(Comp1[Comparable '#1 Price],MATCH(Benchmark2[[#This Row],[Benchmark '#2 Dates]],Comp1[Comparable '#1 Dates],0)),"-")</f>
        <v>14.97</v>
      </c>
      <c r="H175" s="1" t="str">
        <f>IF(COUNTIF(Comp2[Comparable '#2 Dates],Benchmark2[[#This Row],[Benchmark '#2 Dates]])=1,"Pass","Fail")</f>
        <v>Pass</v>
      </c>
      <c r="I175" s="6">
        <f>IF(Benchmark2[[#This Row],[Comparable '#2 Date Check]]="Pass",INDEX(Comp2[Comparable '#2 Price],MATCH(Benchmark2[[#This Row],[Benchmark '#2 Dates]],Comp2[Comparable '#2 Dates],0)),"-")</f>
        <v>48.32</v>
      </c>
      <c r="J175" s="1" t="str">
        <f>IF(COUNTIF(Comp3[Comparable '#3 Dates],Benchmark2[[#This Row],[Benchmark '#2 Dates]])=1,"Pass","Fail")</f>
        <v>Pass</v>
      </c>
      <c r="K175" s="6">
        <f>IF(Benchmark2[[#This Row],[Comparable '#3 Date Check]]="Pass",INDEX(Comp3[Comparable '#3 Price],MATCH(Benchmark2[[#This Row],[Benchmark '#2 Dates]],Comp3[Comparable '#3 Dates],0)),"-")</f>
        <v>137.36000000000001</v>
      </c>
    </row>
    <row r="176" spans="1:11">
      <c r="A176" s="103">
        <v>43539</v>
      </c>
      <c r="B176" s="104">
        <v>12715.77</v>
      </c>
      <c r="C176" s="4">
        <f t="shared" si="2"/>
        <v>4.3829005692770946E-3</v>
      </c>
      <c r="D176" s="1" t="str">
        <f>IF(COUNTIF(Target1[Target Dates],Benchmark2[[#This Row],[Benchmark '#2 Dates]])=1,"Pass","Fail")</f>
        <v>Pass</v>
      </c>
      <c r="E176" s="6">
        <f>IF(Benchmark2[[#This Row],[Target Date Check]]="Pass",INDEX(Target1[Target Price],MATCH(Benchmark2[[#This Row],[Benchmark '#2 Dates]],Target1[Target Dates],0)),"-")</f>
        <v>33.78</v>
      </c>
      <c r="F176" s="1" t="str">
        <f>IF(COUNTIF(Comp1[Comparable '#1 Dates],Benchmark2[[#This Row],[Benchmark '#2 Dates]])=1,"Pass","Fail")</f>
        <v>Pass</v>
      </c>
      <c r="G176" s="6">
        <f>IF(Benchmark2[[#This Row],[Comparable '#1 Date Check]]="Pass",INDEX(Comp1[Comparable '#1 Price],MATCH(Benchmark2[[#This Row],[Benchmark '#2 Dates]],Comp1[Comparable '#1 Dates],0)),"-")</f>
        <v>15.09</v>
      </c>
      <c r="H176" s="1" t="str">
        <f>IF(COUNTIF(Comp2[Comparable '#2 Dates],Benchmark2[[#This Row],[Benchmark '#2 Dates]])=1,"Pass","Fail")</f>
        <v>Pass</v>
      </c>
      <c r="I176" s="6">
        <f>IF(Benchmark2[[#This Row],[Comparable '#2 Date Check]]="Pass",INDEX(Comp2[Comparable '#2 Price],MATCH(Benchmark2[[#This Row],[Benchmark '#2 Dates]],Comp2[Comparable '#2 Dates],0)),"-")</f>
        <v>48.84</v>
      </c>
      <c r="J176" s="1" t="str">
        <f>IF(COUNTIF(Comp3[Comparable '#3 Dates],Benchmark2[[#This Row],[Benchmark '#2 Dates]])=1,"Pass","Fail")</f>
        <v>Pass</v>
      </c>
      <c r="K176" s="6">
        <f>IF(Benchmark2[[#This Row],[Comparable '#3 Date Check]]="Pass",INDEX(Comp3[Comparable '#3 Price],MATCH(Benchmark2[[#This Row],[Benchmark '#2 Dates]],Comp3[Comparable '#3 Dates],0)),"-")</f>
        <v>138.29</v>
      </c>
    </row>
    <row r="177" spans="1:11">
      <c r="A177" s="103">
        <v>43542</v>
      </c>
      <c r="B177" s="104">
        <v>12781.42</v>
      </c>
      <c r="C177" s="4">
        <f t="shared" si="2"/>
        <v>5.1495984520245428E-3</v>
      </c>
      <c r="D177" s="1" t="str">
        <f>IF(COUNTIF(Target1[Target Dates],Benchmark2[[#This Row],[Benchmark '#2 Dates]])=1,"Pass","Fail")</f>
        <v>Pass</v>
      </c>
      <c r="E177" s="6">
        <f>IF(Benchmark2[[#This Row],[Target Date Check]]="Pass",INDEX(Target1[Target Price],MATCH(Benchmark2[[#This Row],[Benchmark '#2 Dates]],Target1[Target Dates],0)),"-")</f>
        <v>33.28</v>
      </c>
      <c r="F177" s="1" t="str">
        <f>IF(COUNTIF(Comp1[Comparable '#1 Dates],Benchmark2[[#This Row],[Benchmark '#2 Dates]])=1,"Pass","Fail")</f>
        <v>Pass</v>
      </c>
      <c r="G177" s="6">
        <f>IF(Benchmark2[[#This Row],[Comparable '#1 Date Check]]="Pass",INDEX(Comp1[Comparable '#1 Price],MATCH(Benchmark2[[#This Row],[Benchmark '#2 Dates]],Comp1[Comparable '#1 Dates],0)),"-")</f>
        <v>15.25</v>
      </c>
      <c r="H177" s="1" t="str">
        <f>IF(COUNTIF(Comp2[Comparable '#2 Dates],Benchmark2[[#This Row],[Benchmark '#2 Dates]])=1,"Pass","Fail")</f>
        <v>Pass</v>
      </c>
      <c r="I177" s="6">
        <f>IF(Benchmark2[[#This Row],[Comparable '#2 Date Check]]="Pass",INDEX(Comp2[Comparable '#2 Price],MATCH(Benchmark2[[#This Row],[Benchmark '#2 Dates]],Comp2[Comparable '#2 Dates],0)),"-")</f>
        <v>48.83</v>
      </c>
      <c r="J177" s="1" t="str">
        <f>IF(COUNTIF(Comp3[Comparable '#3 Dates],Benchmark2[[#This Row],[Benchmark '#2 Dates]])=1,"Pass","Fail")</f>
        <v>Pass</v>
      </c>
      <c r="K177" s="6">
        <f>IF(Benchmark2[[#This Row],[Comparable '#3 Date Check]]="Pass",INDEX(Comp3[Comparable '#3 Price],MATCH(Benchmark2[[#This Row],[Benchmark '#2 Dates]],Comp3[Comparable '#3 Dates],0)),"-")</f>
        <v>136.5</v>
      </c>
    </row>
    <row r="178" spans="1:11">
      <c r="A178" s="103">
        <v>43543</v>
      </c>
      <c r="B178" s="104">
        <v>12760.79</v>
      </c>
      <c r="C178" s="4">
        <f t="shared" si="2"/>
        <v>-1.6153656622511442E-3</v>
      </c>
      <c r="D178" s="1" t="str">
        <f>IF(COUNTIF(Target1[Target Dates],Benchmark2[[#This Row],[Benchmark '#2 Dates]])=1,"Pass","Fail")</f>
        <v>Pass</v>
      </c>
      <c r="E178" s="6">
        <f>IF(Benchmark2[[#This Row],[Target Date Check]]="Pass",INDEX(Target1[Target Price],MATCH(Benchmark2[[#This Row],[Benchmark '#2 Dates]],Target1[Target Dates],0)),"-")</f>
        <v>33.299999999999997</v>
      </c>
      <c r="F178" s="1" t="str">
        <f>IF(COUNTIF(Comp1[Comparable '#1 Dates],Benchmark2[[#This Row],[Benchmark '#2 Dates]])=1,"Pass","Fail")</f>
        <v>Pass</v>
      </c>
      <c r="G178" s="6">
        <f>IF(Benchmark2[[#This Row],[Comparable '#1 Date Check]]="Pass",INDEX(Comp1[Comparable '#1 Price],MATCH(Benchmark2[[#This Row],[Benchmark '#2 Dates]],Comp1[Comparable '#1 Dates],0)),"-")</f>
        <v>15.11</v>
      </c>
      <c r="H178" s="1" t="str">
        <f>IF(COUNTIF(Comp2[Comparable '#2 Dates],Benchmark2[[#This Row],[Benchmark '#2 Dates]])=1,"Pass","Fail")</f>
        <v>Pass</v>
      </c>
      <c r="I178" s="6">
        <f>IF(Benchmark2[[#This Row],[Comparable '#2 Date Check]]="Pass",INDEX(Comp2[Comparable '#2 Price],MATCH(Benchmark2[[#This Row],[Benchmark '#2 Dates]],Comp2[Comparable '#2 Dates],0)),"-")</f>
        <v>48.32</v>
      </c>
      <c r="J178" s="1" t="str">
        <f>IF(COUNTIF(Comp3[Comparable '#3 Dates],Benchmark2[[#This Row],[Benchmark '#2 Dates]])=1,"Pass","Fail")</f>
        <v>Pass</v>
      </c>
      <c r="K178" s="6">
        <f>IF(Benchmark2[[#This Row],[Comparable '#3 Date Check]]="Pass",INDEX(Comp3[Comparable '#3 Price],MATCH(Benchmark2[[#This Row],[Benchmark '#2 Dates]],Comp3[Comparable '#3 Dates],0)),"-")</f>
        <v>136.01</v>
      </c>
    </row>
    <row r="179" spans="1:11">
      <c r="A179" s="103">
        <v>43544</v>
      </c>
      <c r="B179" s="104">
        <v>12700.25</v>
      </c>
      <c r="C179" s="4">
        <f t="shared" si="2"/>
        <v>-4.7555099156987059E-3</v>
      </c>
      <c r="D179" s="1" t="str">
        <f>IF(COUNTIF(Target1[Target Dates],Benchmark2[[#This Row],[Benchmark '#2 Dates]])=1,"Pass","Fail")</f>
        <v>Pass</v>
      </c>
      <c r="E179" s="6">
        <f>IF(Benchmark2[[#This Row],[Target Date Check]]="Pass",INDEX(Target1[Target Price],MATCH(Benchmark2[[#This Row],[Benchmark '#2 Dates]],Target1[Target Dates],0)),"-")</f>
        <v>32.89</v>
      </c>
      <c r="F179" s="1" t="str">
        <f>IF(COUNTIF(Comp1[Comparable '#1 Dates],Benchmark2[[#This Row],[Benchmark '#2 Dates]])=1,"Pass","Fail")</f>
        <v>Pass</v>
      </c>
      <c r="G179" s="6">
        <f>IF(Benchmark2[[#This Row],[Comparable '#1 Date Check]]="Pass",INDEX(Comp1[Comparable '#1 Price],MATCH(Benchmark2[[#This Row],[Benchmark '#2 Dates]],Comp1[Comparable '#1 Dates],0)),"-")</f>
        <v>15.29</v>
      </c>
      <c r="H179" s="1" t="str">
        <f>IF(COUNTIF(Comp2[Comparable '#2 Dates],Benchmark2[[#This Row],[Benchmark '#2 Dates]])=1,"Pass","Fail")</f>
        <v>Pass</v>
      </c>
      <c r="I179" s="6">
        <f>IF(Benchmark2[[#This Row],[Comparable '#2 Date Check]]="Pass",INDEX(Comp2[Comparable '#2 Price],MATCH(Benchmark2[[#This Row],[Benchmark '#2 Dates]],Comp2[Comparable '#2 Dates],0)),"-")</f>
        <v>47.3</v>
      </c>
      <c r="J179" s="1" t="str">
        <f>IF(COUNTIF(Comp3[Comparable '#3 Dates],Benchmark2[[#This Row],[Benchmark '#2 Dates]])=1,"Pass","Fail")</f>
        <v>Pass</v>
      </c>
      <c r="K179" s="6">
        <f>IF(Benchmark2[[#This Row],[Comparable '#3 Date Check]]="Pass",INDEX(Comp3[Comparable '#3 Price],MATCH(Benchmark2[[#This Row],[Benchmark '#2 Dates]],Comp3[Comparable '#3 Dates],0)),"-")</f>
        <v>133.56</v>
      </c>
    </row>
    <row r="180" spans="1:11">
      <c r="A180" s="103">
        <v>43545</v>
      </c>
      <c r="B180" s="104">
        <v>12782.54</v>
      </c>
      <c r="C180" s="4">
        <f t="shared" si="2"/>
        <v>6.4584989352635567E-3</v>
      </c>
      <c r="D180" s="1" t="str">
        <f>IF(COUNTIF(Target1[Target Dates],Benchmark2[[#This Row],[Benchmark '#2 Dates]])=1,"Pass","Fail")</f>
        <v>Pass</v>
      </c>
      <c r="E180" s="6">
        <f>IF(Benchmark2[[#This Row],[Target Date Check]]="Pass",INDEX(Target1[Target Price],MATCH(Benchmark2[[#This Row],[Benchmark '#2 Dates]],Target1[Target Dates],0)),"-")</f>
        <v>33.229999999999997</v>
      </c>
      <c r="F180" s="1" t="str">
        <f>IF(COUNTIF(Comp1[Comparable '#1 Dates],Benchmark2[[#This Row],[Benchmark '#2 Dates]])=1,"Pass","Fail")</f>
        <v>Pass</v>
      </c>
      <c r="G180" s="6">
        <f>IF(Benchmark2[[#This Row],[Comparable '#1 Date Check]]="Pass",INDEX(Comp1[Comparable '#1 Price],MATCH(Benchmark2[[#This Row],[Benchmark '#2 Dates]],Comp1[Comparable '#1 Dates],0)),"-")</f>
        <v>15.52</v>
      </c>
      <c r="H180" s="1" t="str">
        <f>IF(COUNTIF(Comp2[Comparable '#2 Dates],Benchmark2[[#This Row],[Benchmark '#2 Dates]])=1,"Pass","Fail")</f>
        <v>Pass</v>
      </c>
      <c r="I180" s="6">
        <f>IF(Benchmark2[[#This Row],[Comparable '#2 Date Check]]="Pass",INDEX(Comp2[Comparable '#2 Price],MATCH(Benchmark2[[#This Row],[Benchmark '#2 Dates]],Comp2[Comparable '#2 Dates],0)),"-")</f>
        <v>47.9</v>
      </c>
      <c r="J180" s="1" t="str">
        <f>IF(COUNTIF(Comp3[Comparable '#3 Dates],Benchmark2[[#This Row],[Benchmark '#2 Dates]])=1,"Pass","Fail")</f>
        <v>Pass</v>
      </c>
      <c r="K180" s="6">
        <f>IF(Benchmark2[[#This Row],[Comparable '#3 Date Check]]="Pass",INDEX(Comp3[Comparable '#3 Price],MATCH(Benchmark2[[#This Row],[Benchmark '#2 Dates]],Comp3[Comparable '#3 Dates],0)),"-")</f>
        <v>136.58000000000001</v>
      </c>
    </row>
    <row r="181" spans="1:11">
      <c r="A181" s="103">
        <v>43546</v>
      </c>
      <c r="B181" s="104">
        <v>12539.41</v>
      </c>
      <c r="C181" s="4">
        <f t="shared" si="2"/>
        <v>-1.9203692589302681E-2</v>
      </c>
      <c r="D181" s="1" t="str">
        <f>IF(COUNTIF(Target1[Target Dates],Benchmark2[[#This Row],[Benchmark '#2 Dates]])=1,"Pass","Fail")</f>
        <v>Pass</v>
      </c>
      <c r="E181" s="6">
        <f>IF(Benchmark2[[#This Row],[Target Date Check]]="Pass",INDEX(Target1[Target Price],MATCH(Benchmark2[[#This Row],[Benchmark '#2 Dates]],Target1[Target Dates],0)),"-")</f>
        <v>32.6</v>
      </c>
      <c r="F181" s="1" t="str">
        <f>IF(COUNTIF(Comp1[Comparable '#1 Dates],Benchmark2[[#This Row],[Benchmark '#2 Dates]])=1,"Pass","Fail")</f>
        <v>Pass</v>
      </c>
      <c r="G181" s="6">
        <f>IF(Benchmark2[[#This Row],[Comparable '#1 Date Check]]="Pass",INDEX(Comp1[Comparable '#1 Price],MATCH(Benchmark2[[#This Row],[Benchmark '#2 Dates]],Comp1[Comparable '#1 Dates],0)),"-")</f>
        <v>15.13</v>
      </c>
      <c r="H181" s="1" t="str">
        <f>IF(COUNTIF(Comp2[Comparable '#2 Dates],Benchmark2[[#This Row],[Benchmark '#2 Dates]])=1,"Pass","Fail")</f>
        <v>Pass</v>
      </c>
      <c r="I181" s="6">
        <f>IF(Benchmark2[[#This Row],[Comparable '#2 Date Check]]="Pass",INDEX(Comp2[Comparable '#2 Price],MATCH(Benchmark2[[#This Row],[Benchmark '#2 Dates]],Comp2[Comparable '#2 Dates],0)),"-")</f>
        <v>45.97</v>
      </c>
      <c r="J181" s="1" t="str">
        <f>IF(COUNTIF(Comp3[Comparable '#3 Dates],Benchmark2[[#This Row],[Benchmark '#2 Dates]])=1,"Pass","Fail")</f>
        <v>Pass</v>
      </c>
      <c r="K181" s="6">
        <f>IF(Benchmark2[[#This Row],[Comparable '#3 Date Check]]="Pass",INDEX(Comp3[Comparable '#3 Price],MATCH(Benchmark2[[#This Row],[Benchmark '#2 Dates]],Comp3[Comparable '#3 Dates],0)),"-")</f>
        <v>132.54</v>
      </c>
    </row>
    <row r="182" spans="1:11">
      <c r="A182" s="103">
        <v>43549</v>
      </c>
      <c r="B182" s="104">
        <v>12535.68</v>
      </c>
      <c r="C182" s="4">
        <f t="shared" si="2"/>
        <v>-2.9750641194196004E-4</v>
      </c>
      <c r="D182" s="1" t="str">
        <f>IF(COUNTIF(Target1[Target Dates],Benchmark2[[#This Row],[Benchmark '#2 Dates]])=1,"Pass","Fail")</f>
        <v>Pass</v>
      </c>
      <c r="E182" s="6">
        <f>IF(Benchmark2[[#This Row],[Target Date Check]]="Pass",INDEX(Target1[Target Price],MATCH(Benchmark2[[#This Row],[Benchmark '#2 Dates]],Target1[Target Dates],0)),"-")</f>
        <v>33.200000000000003</v>
      </c>
      <c r="F182" s="1" t="str">
        <f>IF(COUNTIF(Comp1[Comparable '#1 Dates],Benchmark2[[#This Row],[Benchmark '#2 Dates]])=1,"Pass","Fail")</f>
        <v>Pass</v>
      </c>
      <c r="G182" s="6">
        <f>IF(Benchmark2[[#This Row],[Comparable '#1 Date Check]]="Pass",INDEX(Comp1[Comparable '#1 Price],MATCH(Benchmark2[[#This Row],[Benchmark '#2 Dates]],Comp1[Comparable '#1 Dates],0)),"-")</f>
        <v>14.76</v>
      </c>
      <c r="H182" s="1" t="str">
        <f>IF(COUNTIF(Comp2[Comparable '#2 Dates],Benchmark2[[#This Row],[Benchmark '#2 Dates]])=1,"Pass","Fail")</f>
        <v>Pass</v>
      </c>
      <c r="I182" s="6">
        <f>IF(Benchmark2[[#This Row],[Comparable '#2 Date Check]]="Pass",INDEX(Comp2[Comparable '#2 Price],MATCH(Benchmark2[[#This Row],[Benchmark '#2 Dates]],Comp2[Comparable '#2 Dates],0)),"-")</f>
        <v>45.53</v>
      </c>
      <c r="J182" s="1" t="str">
        <f>IF(COUNTIF(Comp3[Comparable '#3 Dates],Benchmark2[[#This Row],[Benchmark '#2 Dates]])=1,"Pass","Fail")</f>
        <v>Pass</v>
      </c>
      <c r="K182" s="6">
        <f>IF(Benchmark2[[#This Row],[Comparable '#3 Date Check]]="Pass",INDEX(Comp3[Comparable '#3 Price],MATCH(Benchmark2[[#This Row],[Benchmark '#2 Dates]],Comp3[Comparable '#3 Dates],0)),"-")</f>
        <v>131.80000000000001</v>
      </c>
    </row>
    <row r="183" spans="1:11">
      <c r="A183" s="103">
        <v>43550</v>
      </c>
      <c r="B183" s="104">
        <v>12641.36</v>
      </c>
      <c r="C183" s="4">
        <f t="shared" si="2"/>
        <v>8.394999623313637E-3</v>
      </c>
      <c r="D183" s="1" t="str">
        <f>IF(COUNTIF(Target1[Target Dates],Benchmark2[[#This Row],[Benchmark '#2 Dates]])=1,"Pass","Fail")</f>
        <v>Pass</v>
      </c>
      <c r="E183" s="6">
        <f>IF(Benchmark2[[#This Row],[Target Date Check]]="Pass",INDEX(Target1[Target Price],MATCH(Benchmark2[[#This Row],[Benchmark '#2 Dates]],Target1[Target Dates],0)),"-")</f>
        <v>33.229999999999997</v>
      </c>
      <c r="F183" s="1" t="str">
        <f>IF(COUNTIF(Comp1[Comparable '#1 Dates],Benchmark2[[#This Row],[Benchmark '#2 Dates]])=1,"Pass","Fail")</f>
        <v>Pass</v>
      </c>
      <c r="G183" s="6">
        <f>IF(Benchmark2[[#This Row],[Comparable '#1 Date Check]]="Pass",INDEX(Comp1[Comparable '#1 Price],MATCH(Benchmark2[[#This Row],[Benchmark '#2 Dates]],Comp1[Comparable '#1 Dates],0)),"-")</f>
        <v>14.74</v>
      </c>
      <c r="H183" s="1" t="str">
        <f>IF(COUNTIF(Comp2[Comparable '#2 Dates],Benchmark2[[#This Row],[Benchmark '#2 Dates]])=1,"Pass","Fail")</f>
        <v>Pass</v>
      </c>
      <c r="I183" s="6">
        <f>IF(Benchmark2[[#This Row],[Comparable '#2 Date Check]]="Pass",INDEX(Comp2[Comparable '#2 Price],MATCH(Benchmark2[[#This Row],[Benchmark '#2 Dates]],Comp2[Comparable '#2 Dates],0)),"-")</f>
        <v>45.67</v>
      </c>
      <c r="J183" s="1" t="str">
        <f>IF(COUNTIF(Comp3[Comparable '#3 Dates],Benchmark2[[#This Row],[Benchmark '#2 Dates]])=1,"Pass","Fail")</f>
        <v>Pass</v>
      </c>
      <c r="K183" s="6">
        <f>IF(Benchmark2[[#This Row],[Comparable '#3 Date Check]]="Pass",INDEX(Comp3[Comparable '#3 Price],MATCH(Benchmark2[[#This Row],[Benchmark '#2 Dates]],Comp3[Comparable '#3 Dates],0)),"-")</f>
        <v>132.69</v>
      </c>
    </row>
    <row r="184" spans="1:11">
      <c r="A184" s="103">
        <v>43551</v>
      </c>
      <c r="B184" s="104">
        <v>12591.72</v>
      </c>
      <c r="C184" s="4">
        <f t="shared" si="2"/>
        <v>-3.9345227802176364E-3</v>
      </c>
      <c r="D184" s="1" t="str">
        <f>IF(COUNTIF(Target1[Target Dates],Benchmark2[[#This Row],[Benchmark '#2 Dates]])=1,"Pass","Fail")</f>
        <v>Pass</v>
      </c>
      <c r="E184" s="6">
        <f>IF(Benchmark2[[#This Row],[Target Date Check]]="Pass",INDEX(Target1[Target Price],MATCH(Benchmark2[[#This Row],[Benchmark '#2 Dates]],Target1[Target Dates],0)),"-")</f>
        <v>33.51</v>
      </c>
      <c r="F184" s="1" t="str">
        <f>IF(COUNTIF(Comp1[Comparable '#1 Dates],Benchmark2[[#This Row],[Benchmark '#2 Dates]])=1,"Pass","Fail")</f>
        <v>Pass</v>
      </c>
      <c r="G184" s="6">
        <f>IF(Benchmark2[[#This Row],[Comparable '#1 Date Check]]="Pass",INDEX(Comp1[Comparable '#1 Price],MATCH(Benchmark2[[#This Row],[Benchmark '#2 Dates]],Comp1[Comparable '#1 Dates],0)),"-")</f>
        <v>14.65</v>
      </c>
      <c r="H184" s="1" t="str">
        <f>IF(COUNTIF(Comp2[Comparable '#2 Dates],Benchmark2[[#This Row],[Benchmark '#2 Dates]])=1,"Pass","Fail")</f>
        <v>Pass</v>
      </c>
      <c r="I184" s="6">
        <f>IF(Benchmark2[[#This Row],[Comparable '#2 Date Check]]="Pass",INDEX(Comp2[Comparable '#2 Price],MATCH(Benchmark2[[#This Row],[Benchmark '#2 Dates]],Comp2[Comparable '#2 Dates],0)),"-")</f>
        <v>45.42</v>
      </c>
      <c r="J184" s="1" t="str">
        <f>IF(COUNTIF(Comp3[Comparable '#3 Dates],Benchmark2[[#This Row],[Benchmark '#2 Dates]])=1,"Pass","Fail")</f>
        <v>Pass</v>
      </c>
      <c r="K184" s="6">
        <f>IF(Benchmark2[[#This Row],[Comparable '#3 Date Check]]="Pass",INDEX(Comp3[Comparable '#3 Price],MATCH(Benchmark2[[#This Row],[Benchmark '#2 Dates]],Comp3[Comparable '#3 Dates],0)),"-")</f>
        <v>129.82</v>
      </c>
    </row>
    <row r="185" spans="1:11">
      <c r="A185" s="103">
        <v>43552</v>
      </c>
      <c r="B185" s="104">
        <v>12632.58</v>
      </c>
      <c r="C185" s="4">
        <f t="shared" si="2"/>
        <v>3.2397359481528133E-3</v>
      </c>
      <c r="D185" s="1" t="str">
        <f>IF(COUNTIF(Target1[Target Dates],Benchmark2[[#This Row],[Benchmark '#2 Dates]])=1,"Pass","Fail")</f>
        <v>Pass</v>
      </c>
      <c r="E185" s="6">
        <f>IF(Benchmark2[[#This Row],[Target Date Check]]="Pass",INDEX(Target1[Target Price],MATCH(Benchmark2[[#This Row],[Benchmark '#2 Dates]],Target1[Target Dates],0)),"-")</f>
        <v>34.03</v>
      </c>
      <c r="F185" s="1" t="str">
        <f>IF(COUNTIF(Comp1[Comparable '#1 Dates],Benchmark2[[#This Row],[Benchmark '#2 Dates]])=1,"Pass","Fail")</f>
        <v>Pass</v>
      </c>
      <c r="G185" s="6">
        <f>IF(Benchmark2[[#This Row],[Comparable '#1 Date Check]]="Pass",INDEX(Comp1[Comparable '#1 Price],MATCH(Benchmark2[[#This Row],[Benchmark '#2 Dates]],Comp1[Comparable '#1 Dates],0)),"-")</f>
        <v>14.83</v>
      </c>
      <c r="H185" s="1" t="str">
        <f>IF(COUNTIF(Comp2[Comparable '#2 Dates],Benchmark2[[#This Row],[Benchmark '#2 Dates]])=1,"Pass","Fail")</f>
        <v>Pass</v>
      </c>
      <c r="I185" s="6">
        <f>IF(Benchmark2[[#This Row],[Comparable '#2 Date Check]]="Pass",INDEX(Comp2[Comparable '#2 Price],MATCH(Benchmark2[[#This Row],[Benchmark '#2 Dates]],Comp2[Comparable '#2 Dates],0)),"-")</f>
        <v>46.05</v>
      </c>
      <c r="J185" s="1" t="str">
        <f>IF(COUNTIF(Comp3[Comparable '#3 Dates],Benchmark2[[#This Row],[Benchmark '#2 Dates]])=1,"Pass","Fail")</f>
        <v>Pass</v>
      </c>
      <c r="K185" s="6">
        <f>IF(Benchmark2[[#This Row],[Comparable '#3 Date Check]]="Pass",INDEX(Comp3[Comparable '#3 Price],MATCH(Benchmark2[[#This Row],[Benchmark '#2 Dates]],Comp3[Comparable '#3 Dates],0)),"-")</f>
        <v>133.83000000000001</v>
      </c>
    </row>
    <row r="186" spans="1:11">
      <c r="A186" s="103">
        <v>43553</v>
      </c>
      <c r="B186" s="104">
        <v>12696.88</v>
      </c>
      <c r="C186" s="4">
        <f t="shared" si="2"/>
        <v>5.0771029561279225E-3</v>
      </c>
      <c r="D186" s="1" t="str">
        <f>IF(COUNTIF(Target1[Target Dates],Benchmark2[[#This Row],[Benchmark '#2 Dates]])=1,"Pass","Fail")</f>
        <v>Pass</v>
      </c>
      <c r="E186" s="6">
        <f>IF(Benchmark2[[#This Row],[Target Date Check]]="Pass",INDEX(Target1[Target Price],MATCH(Benchmark2[[#This Row],[Benchmark '#2 Dates]],Target1[Target Dates],0)),"-")</f>
        <v>34.130000000000003</v>
      </c>
      <c r="F186" s="1" t="str">
        <f>IF(COUNTIF(Comp1[Comparable '#1 Dates],Benchmark2[[#This Row],[Benchmark '#2 Dates]])=1,"Pass","Fail")</f>
        <v>Pass</v>
      </c>
      <c r="G186" s="6">
        <f>IF(Benchmark2[[#This Row],[Comparable '#1 Date Check]]="Pass",INDEX(Comp1[Comparable '#1 Price],MATCH(Benchmark2[[#This Row],[Benchmark '#2 Dates]],Comp1[Comparable '#1 Dates],0)),"-")</f>
        <v>14.97</v>
      </c>
      <c r="H186" s="1" t="str">
        <f>IF(COUNTIF(Comp2[Comparable '#2 Dates],Benchmark2[[#This Row],[Benchmark '#2 Dates]])=1,"Pass","Fail")</f>
        <v>Pass</v>
      </c>
      <c r="I186" s="6">
        <f>IF(Benchmark2[[#This Row],[Comparable '#2 Date Check]]="Pass",INDEX(Comp2[Comparable '#2 Price],MATCH(Benchmark2[[#This Row],[Benchmark '#2 Dates]],Comp2[Comparable '#2 Dates],0)),"-")</f>
        <v>46.32</v>
      </c>
      <c r="J186" s="1" t="str">
        <f>IF(COUNTIF(Comp3[Comparable '#3 Dates],Benchmark2[[#This Row],[Benchmark '#2 Dates]])=1,"Pass","Fail")</f>
        <v>Pass</v>
      </c>
      <c r="K186" s="6">
        <f>IF(Benchmark2[[#This Row],[Comparable '#3 Date Check]]="Pass",INDEX(Comp3[Comparable '#3 Price],MATCH(Benchmark2[[#This Row],[Benchmark '#2 Dates]],Comp3[Comparable '#3 Dates],0)),"-")</f>
        <v>131.31</v>
      </c>
    </row>
    <row r="187" spans="1:11">
      <c r="A187" s="103">
        <v>43556</v>
      </c>
      <c r="B187" s="104">
        <v>12836.03</v>
      </c>
      <c r="C187" s="4">
        <f t="shared" si="2"/>
        <v>1.0899766430006541E-2</v>
      </c>
      <c r="D187" s="1" t="str">
        <f>IF(COUNTIF(Target1[Target Dates],Benchmark2[[#This Row],[Benchmark '#2 Dates]])=1,"Pass","Fail")</f>
        <v>Pass</v>
      </c>
      <c r="E187" s="6">
        <f>IF(Benchmark2[[#This Row],[Target Date Check]]="Pass",INDEX(Target1[Target Price],MATCH(Benchmark2[[#This Row],[Benchmark '#2 Dates]],Target1[Target Dates],0)),"-")</f>
        <v>34.18</v>
      </c>
      <c r="F187" s="1" t="str">
        <f>IF(COUNTIF(Comp1[Comparable '#1 Dates],Benchmark2[[#This Row],[Benchmark '#2 Dates]])=1,"Pass","Fail")</f>
        <v>Pass</v>
      </c>
      <c r="G187" s="6">
        <f>IF(Benchmark2[[#This Row],[Comparable '#1 Date Check]]="Pass",INDEX(Comp1[Comparable '#1 Price],MATCH(Benchmark2[[#This Row],[Benchmark '#2 Dates]],Comp1[Comparable '#1 Dates],0)),"-")</f>
        <v>14.95</v>
      </c>
      <c r="H187" s="1" t="str">
        <f>IF(COUNTIF(Comp2[Comparable '#2 Dates],Benchmark2[[#This Row],[Benchmark '#2 Dates]])=1,"Pass","Fail")</f>
        <v>Pass</v>
      </c>
      <c r="I187" s="6">
        <f>IF(Benchmark2[[#This Row],[Comparable '#2 Date Check]]="Pass",INDEX(Comp2[Comparable '#2 Price],MATCH(Benchmark2[[#This Row],[Benchmark '#2 Dates]],Comp2[Comparable '#2 Dates],0)),"-")</f>
        <v>46.93</v>
      </c>
      <c r="J187" s="1" t="str">
        <f>IF(COUNTIF(Comp3[Comparable '#3 Dates],Benchmark2[[#This Row],[Benchmark '#2 Dates]])=1,"Pass","Fail")</f>
        <v>Pass</v>
      </c>
      <c r="K187" s="6">
        <f>IF(Benchmark2[[#This Row],[Comparable '#3 Date Check]]="Pass",INDEX(Comp3[Comparable '#3 Price],MATCH(Benchmark2[[#This Row],[Benchmark '#2 Dates]],Comp3[Comparable '#3 Dates],0)),"-")</f>
        <v>132.08000000000001</v>
      </c>
    </row>
    <row r="188" spans="1:11">
      <c r="A188" s="103">
        <v>43557</v>
      </c>
      <c r="B188" s="104">
        <v>12819.05</v>
      </c>
      <c r="C188" s="4">
        <f t="shared" si="2"/>
        <v>-1.3237146389247433E-3</v>
      </c>
      <c r="D188" s="1" t="str">
        <f>IF(COUNTIF(Target1[Target Dates],Benchmark2[[#This Row],[Benchmark '#2 Dates]])=1,"Pass","Fail")</f>
        <v>Pass</v>
      </c>
      <c r="E188" s="6">
        <f>IF(Benchmark2[[#This Row],[Target Date Check]]="Pass",INDEX(Target1[Target Price],MATCH(Benchmark2[[#This Row],[Benchmark '#2 Dates]],Target1[Target Dates],0)),"-")</f>
        <v>34.25</v>
      </c>
      <c r="F188" s="1" t="str">
        <f>IF(COUNTIF(Comp1[Comparable '#1 Dates],Benchmark2[[#This Row],[Benchmark '#2 Dates]])=1,"Pass","Fail")</f>
        <v>Pass</v>
      </c>
      <c r="G188" s="6">
        <f>IF(Benchmark2[[#This Row],[Comparable '#1 Date Check]]="Pass",INDEX(Comp1[Comparable '#1 Price],MATCH(Benchmark2[[#This Row],[Benchmark '#2 Dates]],Comp1[Comparable '#1 Dates],0)),"-")</f>
        <v>15.19</v>
      </c>
      <c r="H188" s="1" t="str">
        <f>IF(COUNTIF(Comp2[Comparable '#2 Dates],Benchmark2[[#This Row],[Benchmark '#2 Dates]])=1,"Pass","Fail")</f>
        <v>Pass</v>
      </c>
      <c r="I188" s="6">
        <f>IF(Benchmark2[[#This Row],[Comparable '#2 Date Check]]="Pass",INDEX(Comp2[Comparable '#2 Price],MATCH(Benchmark2[[#This Row],[Benchmark '#2 Dates]],Comp2[Comparable '#2 Dates],0)),"-")</f>
        <v>46.48</v>
      </c>
      <c r="J188" s="1" t="str">
        <f>IF(COUNTIF(Comp3[Comparable '#3 Dates],Benchmark2[[#This Row],[Benchmark '#2 Dates]])=1,"Pass","Fail")</f>
        <v>Pass</v>
      </c>
      <c r="K188" s="6">
        <f>IF(Benchmark2[[#This Row],[Comparable '#3 Date Check]]="Pass",INDEX(Comp3[Comparable '#3 Price],MATCH(Benchmark2[[#This Row],[Benchmark '#2 Dates]],Comp3[Comparable '#3 Dates],0)),"-")</f>
        <v>133.4</v>
      </c>
    </row>
    <row r="189" spans="1:11">
      <c r="A189" s="103">
        <v>43558</v>
      </c>
      <c r="B189" s="104">
        <v>12833.6</v>
      </c>
      <c r="C189" s="4">
        <f t="shared" si="2"/>
        <v>1.1343858478780298E-3</v>
      </c>
      <c r="D189" s="1" t="str">
        <f>IF(COUNTIF(Target1[Target Dates],Benchmark2[[#This Row],[Benchmark '#2 Dates]])=1,"Pass","Fail")</f>
        <v>Pass</v>
      </c>
      <c r="E189" s="6">
        <f>IF(Benchmark2[[#This Row],[Target Date Check]]="Pass",INDEX(Target1[Target Price],MATCH(Benchmark2[[#This Row],[Benchmark '#2 Dates]],Target1[Target Dates],0)),"-")</f>
        <v>35.1</v>
      </c>
      <c r="F189" s="1" t="str">
        <f>IF(COUNTIF(Comp1[Comparable '#1 Dates],Benchmark2[[#This Row],[Benchmark '#2 Dates]])=1,"Pass","Fail")</f>
        <v>Pass</v>
      </c>
      <c r="G189" s="6">
        <f>IF(Benchmark2[[#This Row],[Comparable '#1 Date Check]]="Pass",INDEX(Comp1[Comparable '#1 Price],MATCH(Benchmark2[[#This Row],[Benchmark '#2 Dates]],Comp1[Comparable '#1 Dates],0)),"-")</f>
        <v>15.25</v>
      </c>
      <c r="H189" s="1" t="str">
        <f>IF(COUNTIF(Comp2[Comparable '#2 Dates],Benchmark2[[#This Row],[Benchmark '#2 Dates]])=1,"Pass","Fail")</f>
        <v>Pass</v>
      </c>
      <c r="I189" s="6">
        <f>IF(Benchmark2[[#This Row],[Comparable '#2 Date Check]]="Pass",INDEX(Comp2[Comparable '#2 Price],MATCH(Benchmark2[[#This Row],[Benchmark '#2 Dates]],Comp2[Comparable '#2 Dates],0)),"-")</f>
        <v>47.48</v>
      </c>
      <c r="J189" s="1" t="str">
        <f>IF(COUNTIF(Comp3[Comparable '#3 Dates],Benchmark2[[#This Row],[Benchmark '#2 Dates]])=1,"Pass","Fail")</f>
        <v>Pass</v>
      </c>
      <c r="K189" s="6">
        <f>IF(Benchmark2[[#This Row],[Comparable '#3 Date Check]]="Pass",INDEX(Comp3[Comparable '#3 Price],MATCH(Benchmark2[[#This Row],[Benchmark '#2 Dates]],Comp3[Comparable '#3 Dates],0)),"-")</f>
        <v>135.19999999999999</v>
      </c>
    </row>
    <row r="190" spans="1:11">
      <c r="A190" s="103">
        <v>43559</v>
      </c>
      <c r="B190" s="104">
        <v>12868.74</v>
      </c>
      <c r="C190" s="4">
        <f t="shared" si="2"/>
        <v>2.73438308688688E-3</v>
      </c>
      <c r="D190" s="1" t="str">
        <f>IF(COUNTIF(Target1[Target Dates],Benchmark2[[#This Row],[Benchmark '#2 Dates]])=1,"Pass","Fail")</f>
        <v>Pass</v>
      </c>
      <c r="E190" s="6">
        <f>IF(Benchmark2[[#This Row],[Target Date Check]]="Pass",INDEX(Target1[Target Price],MATCH(Benchmark2[[#This Row],[Benchmark '#2 Dates]],Target1[Target Dates],0)),"-")</f>
        <v>35.78</v>
      </c>
      <c r="F190" s="1" t="str">
        <f>IF(COUNTIF(Comp1[Comparable '#1 Dates],Benchmark2[[#This Row],[Benchmark '#2 Dates]])=1,"Pass","Fail")</f>
        <v>Pass</v>
      </c>
      <c r="G190" s="6">
        <f>IF(Benchmark2[[#This Row],[Comparable '#1 Date Check]]="Pass",INDEX(Comp1[Comparable '#1 Price],MATCH(Benchmark2[[#This Row],[Benchmark '#2 Dates]],Comp1[Comparable '#1 Dates],0)),"-")</f>
        <v>15.41</v>
      </c>
      <c r="H190" s="1" t="str">
        <f>IF(COUNTIF(Comp2[Comparable '#2 Dates],Benchmark2[[#This Row],[Benchmark '#2 Dates]])=1,"Pass","Fail")</f>
        <v>Pass</v>
      </c>
      <c r="I190" s="6">
        <f>IF(Benchmark2[[#This Row],[Comparable '#2 Date Check]]="Pass",INDEX(Comp2[Comparable '#2 Price],MATCH(Benchmark2[[#This Row],[Benchmark '#2 Dates]],Comp2[Comparable '#2 Dates],0)),"-")</f>
        <v>47.87</v>
      </c>
      <c r="J190" s="1" t="str">
        <f>IF(COUNTIF(Comp3[Comparable '#3 Dates],Benchmark2[[#This Row],[Benchmark '#2 Dates]])=1,"Pass","Fail")</f>
        <v>Pass</v>
      </c>
      <c r="K190" s="6">
        <f>IF(Benchmark2[[#This Row],[Comparable '#3 Date Check]]="Pass",INDEX(Comp3[Comparable '#3 Price],MATCH(Benchmark2[[#This Row],[Benchmark '#2 Dates]],Comp3[Comparable '#3 Dates],0)),"-")</f>
        <v>138.02000000000001</v>
      </c>
    </row>
    <row r="191" spans="1:11">
      <c r="A191" s="103">
        <v>43560</v>
      </c>
      <c r="B191" s="104">
        <v>12927.72</v>
      </c>
      <c r="C191" s="4">
        <f t="shared" si="2"/>
        <v>4.5727284109411707E-3</v>
      </c>
      <c r="D191" s="1" t="str">
        <f>IF(COUNTIF(Target1[Target Dates],Benchmark2[[#This Row],[Benchmark '#2 Dates]])=1,"Pass","Fail")</f>
        <v>Pass</v>
      </c>
      <c r="E191" s="6">
        <f>IF(Benchmark2[[#This Row],[Target Date Check]]="Pass",INDEX(Target1[Target Price],MATCH(Benchmark2[[#This Row],[Benchmark '#2 Dates]],Target1[Target Dates],0)),"-")</f>
        <v>36.07</v>
      </c>
      <c r="F191" s="1" t="str">
        <f>IF(COUNTIF(Comp1[Comparable '#1 Dates],Benchmark2[[#This Row],[Benchmark '#2 Dates]])=1,"Pass","Fail")</f>
        <v>Pass</v>
      </c>
      <c r="G191" s="6">
        <f>IF(Benchmark2[[#This Row],[Comparable '#1 Date Check]]="Pass",INDEX(Comp1[Comparable '#1 Price],MATCH(Benchmark2[[#This Row],[Benchmark '#2 Dates]],Comp1[Comparable '#1 Dates],0)),"-")</f>
        <v>15.52</v>
      </c>
      <c r="H191" s="1" t="str">
        <f>IF(COUNTIF(Comp2[Comparable '#2 Dates],Benchmark2[[#This Row],[Benchmark '#2 Dates]])=1,"Pass","Fail")</f>
        <v>Pass</v>
      </c>
      <c r="I191" s="6">
        <f>IF(Benchmark2[[#This Row],[Comparable '#2 Date Check]]="Pass",INDEX(Comp2[Comparable '#2 Price],MATCH(Benchmark2[[#This Row],[Benchmark '#2 Dates]],Comp2[Comparable '#2 Dates],0)),"-")</f>
        <v>47.84</v>
      </c>
      <c r="J191" s="1" t="str">
        <f>IF(COUNTIF(Comp3[Comparable '#3 Dates],Benchmark2[[#This Row],[Benchmark '#2 Dates]])=1,"Pass","Fail")</f>
        <v>Pass</v>
      </c>
      <c r="K191" s="6">
        <f>IF(Benchmark2[[#This Row],[Comparable '#3 Date Check]]="Pass",INDEX(Comp3[Comparable '#3 Price],MATCH(Benchmark2[[#This Row],[Benchmark '#2 Dates]],Comp3[Comparable '#3 Dates],0)),"-")</f>
        <v>139.33000000000001</v>
      </c>
    </row>
    <row r="192" spans="1:11">
      <c r="A192" s="103">
        <v>43563</v>
      </c>
      <c r="B192" s="104">
        <v>12943.34</v>
      </c>
      <c r="C192" s="4">
        <f t="shared" si="2"/>
        <v>1.2075270126533975E-3</v>
      </c>
      <c r="D192" s="1" t="str">
        <f>IF(COUNTIF(Target1[Target Dates],Benchmark2[[#This Row],[Benchmark '#2 Dates]])=1,"Pass","Fail")</f>
        <v>Pass</v>
      </c>
      <c r="E192" s="6">
        <f>IF(Benchmark2[[#This Row],[Target Date Check]]="Pass",INDEX(Target1[Target Price],MATCH(Benchmark2[[#This Row],[Benchmark '#2 Dates]],Target1[Target Dates],0)),"-")</f>
        <v>35.64</v>
      </c>
      <c r="F192" s="1" t="str">
        <f>IF(COUNTIF(Comp1[Comparable '#1 Dates],Benchmark2[[#This Row],[Benchmark '#2 Dates]])=1,"Pass","Fail")</f>
        <v>Pass</v>
      </c>
      <c r="G192" s="6">
        <f>IF(Benchmark2[[#This Row],[Comparable '#1 Date Check]]="Pass",INDEX(Comp1[Comparable '#1 Price],MATCH(Benchmark2[[#This Row],[Benchmark '#2 Dates]],Comp1[Comparable '#1 Dates],0)),"-")</f>
        <v>15.61</v>
      </c>
      <c r="H192" s="1" t="str">
        <f>IF(COUNTIF(Comp2[Comparable '#2 Dates],Benchmark2[[#This Row],[Benchmark '#2 Dates]])=1,"Pass","Fail")</f>
        <v>Pass</v>
      </c>
      <c r="I192" s="6">
        <f>IF(Benchmark2[[#This Row],[Comparable '#2 Date Check]]="Pass",INDEX(Comp2[Comparable '#2 Price],MATCH(Benchmark2[[#This Row],[Benchmark '#2 Dates]],Comp2[Comparable '#2 Dates],0)),"-")</f>
        <v>47.95</v>
      </c>
      <c r="J192" s="1" t="str">
        <f>IF(COUNTIF(Comp3[Comparable '#3 Dates],Benchmark2[[#This Row],[Benchmark '#2 Dates]])=1,"Pass","Fail")</f>
        <v>Pass</v>
      </c>
      <c r="K192" s="6">
        <f>IF(Benchmark2[[#This Row],[Comparable '#3 Date Check]]="Pass",INDEX(Comp3[Comparable '#3 Price],MATCH(Benchmark2[[#This Row],[Benchmark '#2 Dates]],Comp3[Comparable '#3 Dates],0)),"-")</f>
        <v>139.62</v>
      </c>
    </row>
    <row r="193" spans="1:11">
      <c r="A193" s="103">
        <v>43564</v>
      </c>
      <c r="B193" s="104">
        <v>12849.71</v>
      </c>
      <c r="C193" s="4">
        <f t="shared" si="2"/>
        <v>-7.2601271478242016E-3</v>
      </c>
      <c r="D193" s="1" t="str">
        <f>IF(COUNTIF(Target1[Target Dates],Benchmark2[[#This Row],[Benchmark '#2 Dates]])=1,"Pass","Fail")</f>
        <v>Pass</v>
      </c>
      <c r="E193" s="6">
        <f>IF(Benchmark2[[#This Row],[Target Date Check]]="Pass",INDEX(Target1[Target Price],MATCH(Benchmark2[[#This Row],[Benchmark '#2 Dates]],Target1[Target Dates],0)),"-")</f>
        <v>36.22</v>
      </c>
      <c r="F193" s="1" t="str">
        <f>IF(COUNTIF(Comp1[Comparable '#1 Dates],Benchmark2[[#This Row],[Benchmark '#2 Dates]])=1,"Pass","Fail")</f>
        <v>Pass</v>
      </c>
      <c r="G193" s="6">
        <f>IF(Benchmark2[[#This Row],[Comparable '#1 Date Check]]="Pass",INDEX(Comp1[Comparable '#1 Price],MATCH(Benchmark2[[#This Row],[Benchmark '#2 Dates]],Comp1[Comparable '#1 Dates],0)),"-")</f>
        <v>15.64</v>
      </c>
      <c r="H193" s="1" t="str">
        <f>IF(COUNTIF(Comp2[Comparable '#2 Dates],Benchmark2[[#This Row],[Benchmark '#2 Dates]])=1,"Pass","Fail")</f>
        <v>Pass</v>
      </c>
      <c r="I193" s="6">
        <f>IF(Benchmark2[[#This Row],[Comparable '#2 Date Check]]="Pass",INDEX(Comp2[Comparable '#2 Price],MATCH(Benchmark2[[#This Row],[Benchmark '#2 Dates]],Comp2[Comparable '#2 Dates],0)),"-")</f>
        <v>47.66</v>
      </c>
      <c r="J193" s="1" t="str">
        <f>IF(COUNTIF(Comp3[Comparable '#3 Dates],Benchmark2[[#This Row],[Benchmark '#2 Dates]])=1,"Pass","Fail")</f>
        <v>Pass</v>
      </c>
      <c r="K193" s="6">
        <f>IF(Benchmark2[[#This Row],[Comparable '#3 Date Check]]="Pass",INDEX(Comp3[Comparable '#3 Price],MATCH(Benchmark2[[#This Row],[Benchmark '#2 Dates]],Comp3[Comparable '#3 Dates],0)),"-")</f>
        <v>139.08000000000001</v>
      </c>
    </row>
    <row r="194" spans="1:11">
      <c r="A194" s="103">
        <v>43565</v>
      </c>
      <c r="B194" s="104">
        <v>12887.36</v>
      </c>
      <c r="C194" s="4">
        <f t="shared" ref="C194:C257" si="3">IFERROR(IF(B194="",NA(),LN(B194/B193)),"-")</f>
        <v>2.925743051319353E-3</v>
      </c>
      <c r="D194" s="1" t="str">
        <f>IF(COUNTIF(Target1[Target Dates],Benchmark2[[#This Row],[Benchmark '#2 Dates]])=1,"Pass","Fail")</f>
        <v>Pass</v>
      </c>
      <c r="E194" s="6">
        <f>IF(Benchmark2[[#This Row],[Target Date Check]]="Pass",INDEX(Target1[Target Price],MATCH(Benchmark2[[#This Row],[Benchmark '#2 Dates]],Target1[Target Dates],0)),"-")</f>
        <v>36.58</v>
      </c>
      <c r="F194" s="1" t="str">
        <f>IF(COUNTIF(Comp1[Comparable '#1 Dates],Benchmark2[[#This Row],[Benchmark '#2 Dates]])=1,"Pass","Fail")</f>
        <v>Pass</v>
      </c>
      <c r="G194" s="6">
        <f>IF(Benchmark2[[#This Row],[Comparable '#1 Date Check]]="Pass",INDEX(Comp1[Comparable '#1 Price],MATCH(Benchmark2[[#This Row],[Benchmark '#2 Dates]],Comp1[Comparable '#1 Dates],0)),"-")</f>
        <v>15.76</v>
      </c>
      <c r="H194" s="1" t="str">
        <f>IF(COUNTIF(Comp2[Comparable '#2 Dates],Benchmark2[[#This Row],[Benchmark '#2 Dates]])=1,"Pass","Fail")</f>
        <v>Pass</v>
      </c>
      <c r="I194" s="6">
        <f>IF(Benchmark2[[#This Row],[Comparable '#2 Date Check]]="Pass",INDEX(Comp2[Comparable '#2 Price],MATCH(Benchmark2[[#This Row],[Benchmark '#2 Dates]],Comp2[Comparable '#2 Dates],0)),"-")</f>
        <v>48.36</v>
      </c>
      <c r="J194" s="1" t="str">
        <f>IF(COUNTIF(Comp3[Comparable '#3 Dates],Benchmark2[[#This Row],[Benchmark '#2 Dates]])=1,"Pass","Fail")</f>
        <v>Pass</v>
      </c>
      <c r="K194" s="6">
        <f>IF(Benchmark2[[#This Row],[Comparable '#3 Date Check]]="Pass",INDEX(Comp3[Comparable '#3 Price],MATCH(Benchmark2[[#This Row],[Benchmark '#2 Dates]],Comp3[Comparable '#3 Dates],0)),"-")</f>
        <v>141.37</v>
      </c>
    </row>
    <row r="195" spans="1:11">
      <c r="A195" s="103">
        <v>43566</v>
      </c>
      <c r="B195" s="104">
        <v>12887.12</v>
      </c>
      <c r="C195" s="4">
        <f t="shared" si="3"/>
        <v>-1.8623072124567448E-5</v>
      </c>
      <c r="D195" s="1" t="str">
        <f>IF(COUNTIF(Target1[Target Dates],Benchmark2[[#This Row],[Benchmark '#2 Dates]])=1,"Pass","Fail")</f>
        <v>Pass</v>
      </c>
      <c r="E195" s="6">
        <f>IF(Benchmark2[[#This Row],[Target Date Check]]="Pass",INDEX(Target1[Target Price],MATCH(Benchmark2[[#This Row],[Benchmark '#2 Dates]],Target1[Target Dates],0)),"-")</f>
        <v>36.85</v>
      </c>
      <c r="F195" s="1" t="str">
        <f>IF(COUNTIF(Comp1[Comparable '#1 Dates],Benchmark2[[#This Row],[Benchmark '#2 Dates]])=1,"Pass","Fail")</f>
        <v>Pass</v>
      </c>
      <c r="G195" s="6">
        <f>IF(Benchmark2[[#This Row],[Comparable '#1 Date Check]]="Pass",INDEX(Comp1[Comparable '#1 Price],MATCH(Benchmark2[[#This Row],[Benchmark '#2 Dates]],Comp1[Comparable '#1 Dates],0)),"-")</f>
        <v>15.7</v>
      </c>
      <c r="H195" s="1" t="str">
        <f>IF(COUNTIF(Comp2[Comparable '#2 Dates],Benchmark2[[#This Row],[Benchmark '#2 Dates]])=1,"Pass","Fail")</f>
        <v>Pass</v>
      </c>
      <c r="I195" s="6">
        <f>IF(Benchmark2[[#This Row],[Comparable '#2 Date Check]]="Pass",INDEX(Comp2[Comparable '#2 Price],MATCH(Benchmark2[[#This Row],[Benchmark '#2 Dates]],Comp2[Comparable '#2 Dates],0)),"-")</f>
        <v>48.33</v>
      </c>
      <c r="J195" s="1" t="str">
        <f>IF(COUNTIF(Comp3[Comparable '#3 Dates],Benchmark2[[#This Row],[Benchmark '#2 Dates]])=1,"Pass","Fail")</f>
        <v>Pass</v>
      </c>
      <c r="K195" s="6">
        <f>IF(Benchmark2[[#This Row],[Comparable '#3 Date Check]]="Pass",INDEX(Comp3[Comparable '#3 Price],MATCH(Benchmark2[[#This Row],[Benchmark '#2 Dates]],Comp3[Comparable '#3 Dates],0)),"-")</f>
        <v>139.30000000000001</v>
      </c>
    </row>
    <row r="196" spans="1:11">
      <c r="A196" s="103">
        <v>43567</v>
      </c>
      <c r="B196" s="104">
        <v>12969.54</v>
      </c>
      <c r="C196" s="4">
        <f t="shared" si="3"/>
        <v>6.3751682659635989E-3</v>
      </c>
      <c r="D196" s="1" t="str">
        <f>IF(COUNTIF(Target1[Target Dates],Benchmark2[[#This Row],[Benchmark '#2 Dates]])=1,"Pass","Fail")</f>
        <v>Pass</v>
      </c>
      <c r="E196" s="6">
        <f>IF(Benchmark2[[#This Row],[Target Date Check]]="Pass",INDEX(Target1[Target Price],MATCH(Benchmark2[[#This Row],[Benchmark '#2 Dates]],Target1[Target Dates],0)),"-")</f>
        <v>36.46</v>
      </c>
      <c r="F196" s="1" t="str">
        <f>IF(COUNTIF(Comp1[Comparable '#1 Dates],Benchmark2[[#This Row],[Benchmark '#2 Dates]])=1,"Pass","Fail")</f>
        <v>Pass</v>
      </c>
      <c r="G196" s="6">
        <f>IF(Benchmark2[[#This Row],[Comparable '#1 Date Check]]="Pass",INDEX(Comp1[Comparable '#1 Price],MATCH(Benchmark2[[#This Row],[Benchmark '#2 Dates]],Comp1[Comparable '#1 Dates],0)),"-")</f>
        <v>15.68</v>
      </c>
      <c r="H196" s="1" t="str">
        <f>IF(COUNTIF(Comp2[Comparable '#2 Dates],Benchmark2[[#This Row],[Benchmark '#2 Dates]])=1,"Pass","Fail")</f>
        <v>Pass</v>
      </c>
      <c r="I196" s="6">
        <f>IF(Benchmark2[[#This Row],[Comparable '#2 Date Check]]="Pass",INDEX(Comp2[Comparable '#2 Price],MATCH(Benchmark2[[#This Row],[Benchmark '#2 Dates]],Comp2[Comparable '#2 Dates],0)),"-")</f>
        <v>48.58</v>
      </c>
      <c r="J196" s="1" t="str">
        <f>IF(COUNTIF(Comp3[Comparable '#3 Dates],Benchmark2[[#This Row],[Benchmark '#2 Dates]])=1,"Pass","Fail")</f>
        <v>Pass</v>
      </c>
      <c r="K196" s="6">
        <f>IF(Benchmark2[[#This Row],[Comparable '#3 Date Check]]="Pass",INDEX(Comp3[Comparable '#3 Price],MATCH(Benchmark2[[#This Row],[Benchmark '#2 Dates]],Comp3[Comparable '#3 Dates],0)),"-")</f>
        <v>139.96</v>
      </c>
    </row>
    <row r="197" spans="1:11">
      <c r="A197" s="103">
        <v>43570</v>
      </c>
      <c r="B197" s="104">
        <v>12956.68</v>
      </c>
      <c r="C197" s="4">
        <f t="shared" si="3"/>
        <v>-9.9204597158297466E-4</v>
      </c>
      <c r="D197" s="1" t="str">
        <f>IF(COUNTIF(Target1[Target Dates],Benchmark2[[#This Row],[Benchmark '#2 Dates]])=1,"Pass","Fail")</f>
        <v>Pass</v>
      </c>
      <c r="E197" s="6">
        <f>IF(Benchmark2[[#This Row],[Target Date Check]]="Pass",INDEX(Target1[Target Price],MATCH(Benchmark2[[#This Row],[Benchmark '#2 Dates]],Target1[Target Dates],0)),"-")</f>
        <v>36.950000000000003</v>
      </c>
      <c r="F197" s="1" t="str">
        <f>IF(COUNTIF(Comp1[Comparable '#1 Dates],Benchmark2[[#This Row],[Benchmark '#2 Dates]])=1,"Pass","Fail")</f>
        <v>Pass</v>
      </c>
      <c r="G197" s="6">
        <f>IF(Benchmark2[[#This Row],[Comparable '#1 Date Check]]="Pass",INDEX(Comp1[Comparable '#1 Price],MATCH(Benchmark2[[#This Row],[Benchmark '#2 Dates]],Comp1[Comparable '#1 Dates],0)),"-")</f>
        <v>15.51</v>
      </c>
      <c r="H197" s="1" t="str">
        <f>IF(COUNTIF(Comp2[Comparable '#2 Dates],Benchmark2[[#This Row],[Benchmark '#2 Dates]])=1,"Pass","Fail")</f>
        <v>Pass</v>
      </c>
      <c r="I197" s="6">
        <f>IF(Benchmark2[[#This Row],[Comparable '#2 Date Check]]="Pass",INDEX(Comp2[Comparable '#2 Price],MATCH(Benchmark2[[#This Row],[Benchmark '#2 Dates]],Comp2[Comparable '#2 Dates],0)),"-")</f>
        <v>49.02</v>
      </c>
      <c r="J197" s="1" t="str">
        <f>IF(COUNTIF(Comp3[Comparable '#3 Dates],Benchmark2[[#This Row],[Benchmark '#2 Dates]])=1,"Pass","Fail")</f>
        <v>Pass</v>
      </c>
      <c r="K197" s="6">
        <f>IF(Benchmark2[[#This Row],[Comparable '#3 Date Check]]="Pass",INDEX(Comp3[Comparable '#3 Price],MATCH(Benchmark2[[#This Row],[Benchmark '#2 Dates]],Comp3[Comparable '#3 Dates],0)),"-")</f>
        <v>140.66</v>
      </c>
    </row>
    <row r="198" spans="1:11">
      <c r="A198" s="103">
        <v>43571</v>
      </c>
      <c r="B198" s="104">
        <v>12952.25</v>
      </c>
      <c r="C198" s="4">
        <f t="shared" si="3"/>
        <v>-3.4196703940856586E-4</v>
      </c>
      <c r="D198" s="1" t="str">
        <f>IF(COUNTIF(Target1[Target Dates],Benchmark2[[#This Row],[Benchmark '#2 Dates]])=1,"Pass","Fail")</f>
        <v>Pass</v>
      </c>
      <c r="E198" s="6">
        <f>IF(Benchmark2[[#This Row],[Target Date Check]]="Pass",INDEX(Target1[Target Price],MATCH(Benchmark2[[#This Row],[Benchmark '#2 Dates]],Target1[Target Dates],0)),"-")</f>
        <v>37</v>
      </c>
      <c r="F198" s="1" t="str">
        <f>IF(COUNTIF(Comp1[Comparable '#1 Dates],Benchmark2[[#This Row],[Benchmark '#2 Dates]])=1,"Pass","Fail")</f>
        <v>Pass</v>
      </c>
      <c r="G198" s="6">
        <f>IF(Benchmark2[[#This Row],[Comparable '#1 Date Check]]="Pass",INDEX(Comp1[Comparable '#1 Price],MATCH(Benchmark2[[#This Row],[Benchmark '#2 Dates]],Comp1[Comparable '#1 Dates],0)),"-")</f>
        <v>15.5</v>
      </c>
      <c r="H198" s="1" t="str">
        <f>IF(COUNTIF(Comp2[Comparable '#2 Dates],Benchmark2[[#This Row],[Benchmark '#2 Dates]])=1,"Pass","Fail")</f>
        <v>Pass</v>
      </c>
      <c r="I198" s="6">
        <f>IF(Benchmark2[[#This Row],[Comparable '#2 Date Check]]="Pass",INDEX(Comp2[Comparable '#2 Price],MATCH(Benchmark2[[#This Row],[Benchmark '#2 Dates]],Comp2[Comparable '#2 Dates],0)),"-")</f>
        <v>49.18</v>
      </c>
      <c r="J198" s="1" t="str">
        <f>IF(COUNTIF(Comp3[Comparable '#3 Dates],Benchmark2[[#This Row],[Benchmark '#2 Dates]])=1,"Pass","Fail")</f>
        <v>Pass</v>
      </c>
      <c r="K198" s="6">
        <f>IF(Benchmark2[[#This Row],[Comparable '#3 Date Check]]="Pass",INDEX(Comp3[Comparable '#3 Price],MATCH(Benchmark2[[#This Row],[Benchmark '#2 Dates]],Comp3[Comparable '#3 Dates],0)),"-")</f>
        <v>140.72</v>
      </c>
    </row>
    <row r="199" spans="1:11">
      <c r="A199" s="103">
        <v>43572</v>
      </c>
      <c r="B199" s="104">
        <v>12907.11</v>
      </c>
      <c r="C199" s="4">
        <f t="shared" si="3"/>
        <v>-3.4911959034463458E-3</v>
      </c>
      <c r="D199" s="1" t="str">
        <f>IF(COUNTIF(Target1[Target Dates],Benchmark2[[#This Row],[Benchmark '#2 Dates]])=1,"Pass","Fail")</f>
        <v>Pass</v>
      </c>
      <c r="E199" s="6">
        <f>IF(Benchmark2[[#This Row],[Target Date Check]]="Pass",INDEX(Target1[Target Price],MATCH(Benchmark2[[#This Row],[Benchmark '#2 Dates]],Target1[Target Dates],0)),"-")</f>
        <v>35.97</v>
      </c>
      <c r="F199" s="1" t="str">
        <f>IF(COUNTIF(Comp1[Comparable '#1 Dates],Benchmark2[[#This Row],[Benchmark '#2 Dates]])=1,"Pass","Fail")</f>
        <v>Pass</v>
      </c>
      <c r="G199" s="6">
        <f>IF(Benchmark2[[#This Row],[Comparable '#1 Date Check]]="Pass",INDEX(Comp1[Comparable '#1 Price],MATCH(Benchmark2[[#This Row],[Benchmark '#2 Dates]],Comp1[Comparable '#1 Dates],0)),"-")</f>
        <v>15.53</v>
      </c>
      <c r="H199" s="1" t="str">
        <f>IF(COUNTIF(Comp2[Comparable '#2 Dates],Benchmark2[[#This Row],[Benchmark '#2 Dates]])=1,"Pass","Fail")</f>
        <v>Pass</v>
      </c>
      <c r="I199" s="6">
        <f>IF(Benchmark2[[#This Row],[Comparable '#2 Date Check]]="Pass",INDEX(Comp2[Comparable '#2 Price],MATCH(Benchmark2[[#This Row],[Benchmark '#2 Dates]],Comp2[Comparable '#2 Dates],0)),"-")</f>
        <v>48.57</v>
      </c>
      <c r="J199" s="1" t="str">
        <f>IF(COUNTIF(Comp3[Comparable '#3 Dates],Benchmark2[[#This Row],[Benchmark '#2 Dates]])=1,"Pass","Fail")</f>
        <v>Pass</v>
      </c>
      <c r="K199" s="6">
        <f>IF(Benchmark2[[#This Row],[Comparable '#3 Date Check]]="Pass",INDEX(Comp3[Comparable '#3 Price],MATCH(Benchmark2[[#This Row],[Benchmark '#2 Dates]],Comp3[Comparable '#3 Dates],0)),"-")</f>
        <v>142.16999999999999</v>
      </c>
    </row>
    <row r="200" spans="1:11">
      <c r="A200" s="103">
        <v>43573</v>
      </c>
      <c r="B200" s="104">
        <v>12922.71</v>
      </c>
      <c r="C200" s="4">
        <f t="shared" si="3"/>
        <v>1.2079063575935172E-3</v>
      </c>
      <c r="D200" s="1" t="str">
        <f>IF(COUNTIF(Target1[Target Dates],Benchmark2[[#This Row],[Benchmark '#2 Dates]])=1,"Pass","Fail")</f>
        <v>Pass</v>
      </c>
      <c r="E200" s="6">
        <f>IF(Benchmark2[[#This Row],[Target Date Check]]="Pass",INDEX(Target1[Target Price],MATCH(Benchmark2[[#This Row],[Benchmark '#2 Dates]],Target1[Target Dates],0)),"-")</f>
        <v>35.42</v>
      </c>
      <c r="F200" s="1" t="str">
        <f>IF(COUNTIF(Comp1[Comparable '#1 Dates],Benchmark2[[#This Row],[Benchmark '#2 Dates]])=1,"Pass","Fail")</f>
        <v>Pass</v>
      </c>
      <c r="G200" s="6">
        <f>IF(Benchmark2[[#This Row],[Comparable '#1 Date Check]]="Pass",INDEX(Comp1[Comparable '#1 Price],MATCH(Benchmark2[[#This Row],[Benchmark '#2 Dates]],Comp1[Comparable '#1 Dates],0)),"-")</f>
        <v>15.75</v>
      </c>
      <c r="H200" s="1" t="str">
        <f>IF(COUNTIF(Comp2[Comparable '#2 Dates],Benchmark2[[#This Row],[Benchmark '#2 Dates]])=1,"Pass","Fail")</f>
        <v>Pass</v>
      </c>
      <c r="I200" s="6">
        <f>IF(Benchmark2[[#This Row],[Comparable '#2 Date Check]]="Pass",INDEX(Comp2[Comparable '#2 Price],MATCH(Benchmark2[[#This Row],[Benchmark '#2 Dates]],Comp2[Comparable '#2 Dates],0)),"-")</f>
        <v>48</v>
      </c>
      <c r="J200" s="1" t="str">
        <f>IF(COUNTIF(Comp3[Comparable '#3 Dates],Benchmark2[[#This Row],[Benchmark '#2 Dates]])=1,"Pass","Fail")</f>
        <v>Pass</v>
      </c>
      <c r="K200" s="6">
        <f>IF(Benchmark2[[#This Row],[Comparable '#3 Date Check]]="Pass",INDEX(Comp3[Comparable '#3 Price],MATCH(Benchmark2[[#This Row],[Benchmark '#2 Dates]],Comp3[Comparable '#3 Dates],0)),"-")</f>
        <v>139.33000000000001</v>
      </c>
    </row>
    <row r="201" spans="1:11">
      <c r="A201" s="103">
        <v>43577</v>
      </c>
      <c r="B201" s="104">
        <v>12914.28</v>
      </c>
      <c r="C201" s="4">
        <f t="shared" si="3"/>
        <v>-6.5255281665086459E-4</v>
      </c>
      <c r="D201" s="1" t="str">
        <f>IF(COUNTIF(Target1[Target Dates],Benchmark2[[#This Row],[Benchmark '#2 Dates]])=1,"Pass","Fail")</f>
        <v>Pass</v>
      </c>
      <c r="E201" s="6">
        <f>IF(Benchmark2[[#This Row],[Target Date Check]]="Pass",INDEX(Target1[Target Price],MATCH(Benchmark2[[#This Row],[Benchmark '#2 Dates]],Target1[Target Dates],0)),"-")</f>
        <v>35.4</v>
      </c>
      <c r="F201" s="1" t="str">
        <f>IF(COUNTIF(Comp1[Comparable '#1 Dates],Benchmark2[[#This Row],[Benchmark '#2 Dates]])=1,"Pass","Fail")</f>
        <v>Pass</v>
      </c>
      <c r="G201" s="6">
        <f>IF(Benchmark2[[#This Row],[Comparable '#1 Date Check]]="Pass",INDEX(Comp1[Comparable '#1 Price],MATCH(Benchmark2[[#This Row],[Benchmark '#2 Dates]],Comp1[Comparable '#1 Dates],0)),"-")</f>
        <v>15.58</v>
      </c>
      <c r="H201" s="1" t="str">
        <f>IF(COUNTIF(Comp2[Comparable '#2 Dates],Benchmark2[[#This Row],[Benchmark '#2 Dates]])=1,"Pass","Fail")</f>
        <v>Pass</v>
      </c>
      <c r="I201" s="6">
        <f>IF(Benchmark2[[#This Row],[Comparable '#2 Date Check]]="Pass",INDEX(Comp2[Comparable '#2 Price],MATCH(Benchmark2[[#This Row],[Benchmark '#2 Dates]],Comp2[Comparable '#2 Dates],0)),"-")</f>
        <v>47.67</v>
      </c>
      <c r="J201" s="1" t="str">
        <f>IF(COUNTIF(Comp3[Comparable '#3 Dates],Benchmark2[[#This Row],[Benchmark '#2 Dates]])=1,"Pass","Fail")</f>
        <v>Pass</v>
      </c>
      <c r="K201" s="6">
        <f>IF(Benchmark2[[#This Row],[Comparable '#3 Date Check]]="Pass",INDEX(Comp3[Comparable '#3 Price],MATCH(Benchmark2[[#This Row],[Benchmark '#2 Dates]],Comp3[Comparable '#3 Dates],0)),"-")</f>
        <v>139.52000000000001</v>
      </c>
    </row>
    <row r="202" spans="1:11">
      <c r="A202" s="103">
        <v>43578</v>
      </c>
      <c r="B202" s="104">
        <v>12993.85</v>
      </c>
      <c r="C202" s="4">
        <f t="shared" si="3"/>
        <v>6.142492737424423E-3</v>
      </c>
      <c r="D202" s="1" t="str">
        <f>IF(COUNTIF(Target1[Target Dates],Benchmark2[[#This Row],[Benchmark '#2 Dates]])=1,"Pass","Fail")</f>
        <v>Pass</v>
      </c>
      <c r="E202" s="6">
        <f>IF(Benchmark2[[#This Row],[Target Date Check]]="Pass",INDEX(Target1[Target Price],MATCH(Benchmark2[[#This Row],[Benchmark '#2 Dates]],Target1[Target Dates],0)),"-")</f>
        <v>36.22</v>
      </c>
      <c r="F202" s="1" t="str">
        <f>IF(COUNTIF(Comp1[Comparable '#1 Dates],Benchmark2[[#This Row],[Benchmark '#2 Dates]])=1,"Pass","Fail")</f>
        <v>Pass</v>
      </c>
      <c r="G202" s="6">
        <f>IF(Benchmark2[[#This Row],[Comparable '#1 Date Check]]="Pass",INDEX(Comp1[Comparable '#1 Price],MATCH(Benchmark2[[#This Row],[Benchmark '#2 Dates]],Comp1[Comparable '#1 Dates],0)),"-")</f>
        <v>15.86</v>
      </c>
      <c r="H202" s="1" t="str">
        <f>IF(COUNTIF(Comp2[Comparable '#2 Dates],Benchmark2[[#This Row],[Benchmark '#2 Dates]])=1,"Pass","Fail")</f>
        <v>Pass</v>
      </c>
      <c r="I202" s="6">
        <f>IF(Benchmark2[[#This Row],[Comparable '#2 Date Check]]="Pass",INDEX(Comp2[Comparable '#2 Price],MATCH(Benchmark2[[#This Row],[Benchmark '#2 Dates]],Comp2[Comparable '#2 Dates],0)),"-")</f>
        <v>48.95</v>
      </c>
      <c r="J202" s="1" t="str">
        <f>IF(COUNTIF(Comp3[Comparable '#3 Dates],Benchmark2[[#This Row],[Benchmark '#2 Dates]])=1,"Pass","Fail")</f>
        <v>Pass</v>
      </c>
      <c r="K202" s="6">
        <f>IF(Benchmark2[[#This Row],[Comparable '#3 Date Check]]="Pass",INDEX(Comp3[Comparable '#3 Price],MATCH(Benchmark2[[#This Row],[Benchmark '#2 Dates]],Comp3[Comparable '#3 Dates],0)),"-")</f>
        <v>143.94</v>
      </c>
    </row>
    <row r="203" spans="1:11">
      <c r="A203" s="103">
        <v>43579</v>
      </c>
      <c r="B203" s="104">
        <v>12951.63</v>
      </c>
      <c r="C203" s="4">
        <f t="shared" si="3"/>
        <v>-3.2545196516559436E-3</v>
      </c>
      <c r="D203" s="1" t="str">
        <f>IF(COUNTIF(Target1[Target Dates],Benchmark2[[#This Row],[Benchmark '#2 Dates]])=1,"Pass","Fail")</f>
        <v>Pass</v>
      </c>
      <c r="E203" s="6">
        <f>IF(Benchmark2[[#This Row],[Target Date Check]]="Pass",INDEX(Target1[Target Price],MATCH(Benchmark2[[#This Row],[Benchmark '#2 Dates]],Target1[Target Dates],0)),"-")</f>
        <v>31.35</v>
      </c>
      <c r="F203" s="1" t="str">
        <f>IF(COUNTIF(Comp1[Comparable '#1 Dates],Benchmark2[[#This Row],[Benchmark '#2 Dates]])=1,"Pass","Fail")</f>
        <v>Pass</v>
      </c>
      <c r="G203" s="6">
        <f>IF(Benchmark2[[#This Row],[Comparable '#1 Date Check]]="Pass",INDEX(Comp1[Comparable '#1 Price],MATCH(Benchmark2[[#This Row],[Benchmark '#2 Dates]],Comp1[Comparable '#1 Dates],0)),"-")</f>
        <v>15.68</v>
      </c>
      <c r="H203" s="1" t="str">
        <f>IF(COUNTIF(Comp2[Comparable '#2 Dates],Benchmark2[[#This Row],[Benchmark '#2 Dates]])=1,"Pass","Fail")</f>
        <v>Pass</v>
      </c>
      <c r="I203" s="6">
        <f>IF(Benchmark2[[#This Row],[Comparable '#2 Date Check]]="Pass",INDEX(Comp2[Comparable '#2 Price],MATCH(Benchmark2[[#This Row],[Benchmark '#2 Dates]],Comp2[Comparable '#2 Dates],0)),"-")</f>
        <v>48.84</v>
      </c>
      <c r="J203" s="1" t="str">
        <f>IF(COUNTIF(Comp3[Comparable '#3 Dates],Benchmark2[[#This Row],[Benchmark '#2 Dates]])=1,"Pass","Fail")</f>
        <v>Pass</v>
      </c>
      <c r="K203" s="6">
        <f>IF(Benchmark2[[#This Row],[Comparable '#3 Date Check]]="Pass",INDEX(Comp3[Comparable '#3 Price],MATCH(Benchmark2[[#This Row],[Benchmark '#2 Dates]],Comp3[Comparable '#3 Dates],0)),"-")</f>
        <v>142.61000000000001</v>
      </c>
    </row>
    <row r="204" spans="1:11">
      <c r="A204" s="103">
        <v>43580</v>
      </c>
      <c r="B204" s="104">
        <v>12912.96</v>
      </c>
      <c r="C204" s="4">
        <f t="shared" si="3"/>
        <v>-2.9901907444227433E-3</v>
      </c>
      <c r="D204" s="1" t="str">
        <f>IF(COUNTIF(Target1[Target Dates],Benchmark2[[#This Row],[Benchmark '#2 Dates]])=1,"Pass","Fail")</f>
        <v>Pass</v>
      </c>
      <c r="E204" s="6">
        <f>IF(Benchmark2[[#This Row],[Target Date Check]]="Pass",INDEX(Target1[Target Price],MATCH(Benchmark2[[#This Row],[Benchmark '#2 Dates]],Target1[Target Dates],0)),"-")</f>
        <v>30.67</v>
      </c>
      <c r="F204" s="1" t="str">
        <f>IF(COUNTIF(Comp1[Comparable '#1 Dates],Benchmark2[[#This Row],[Benchmark '#2 Dates]])=1,"Pass","Fail")</f>
        <v>Pass</v>
      </c>
      <c r="G204" s="6">
        <f>IF(Benchmark2[[#This Row],[Comparable '#1 Date Check]]="Pass",INDEX(Comp1[Comparable '#1 Price],MATCH(Benchmark2[[#This Row],[Benchmark '#2 Dates]],Comp1[Comparable '#1 Dates],0)),"-")</f>
        <v>15.66</v>
      </c>
      <c r="H204" s="1" t="str">
        <f>IF(COUNTIF(Comp2[Comparable '#2 Dates],Benchmark2[[#This Row],[Benchmark '#2 Dates]])=1,"Pass","Fail")</f>
        <v>Pass</v>
      </c>
      <c r="I204" s="6">
        <f>IF(Benchmark2[[#This Row],[Comparable '#2 Date Check]]="Pass",INDEX(Comp2[Comparable '#2 Price],MATCH(Benchmark2[[#This Row],[Benchmark '#2 Dates]],Comp2[Comparable '#2 Dates],0)),"-")</f>
        <v>48.74</v>
      </c>
      <c r="J204" s="1" t="str">
        <f>IF(COUNTIF(Comp3[Comparable '#3 Dates],Benchmark2[[#This Row],[Benchmark '#2 Dates]])=1,"Pass","Fail")</f>
        <v>Pass</v>
      </c>
      <c r="K204" s="6">
        <f>IF(Benchmark2[[#This Row],[Comparable '#3 Date Check]]="Pass",INDEX(Comp3[Comparable '#3 Price],MATCH(Benchmark2[[#This Row],[Benchmark '#2 Dates]],Comp3[Comparable '#3 Dates],0)),"-")</f>
        <v>141.1</v>
      </c>
    </row>
    <row r="205" spans="1:11">
      <c r="A205" s="103">
        <v>43581</v>
      </c>
      <c r="B205" s="104">
        <v>12991.2</v>
      </c>
      <c r="C205" s="4">
        <f t="shared" si="3"/>
        <v>6.0407469625514453E-3</v>
      </c>
      <c r="D205" s="1" t="str">
        <f>IF(COUNTIF(Target1[Target Dates],Benchmark2[[#This Row],[Benchmark '#2 Dates]])=1,"Pass","Fail")</f>
        <v>Pass</v>
      </c>
      <c r="E205" s="6">
        <f>IF(Benchmark2[[#This Row],[Target Date Check]]="Pass",INDEX(Target1[Target Price],MATCH(Benchmark2[[#This Row],[Benchmark '#2 Dates]],Target1[Target Dates],0)),"-")</f>
        <v>31.3</v>
      </c>
      <c r="F205" s="1" t="str">
        <f>IF(COUNTIF(Comp1[Comparable '#1 Dates],Benchmark2[[#This Row],[Benchmark '#2 Dates]])=1,"Pass","Fail")</f>
        <v>Pass</v>
      </c>
      <c r="G205" s="6">
        <f>IF(Benchmark2[[#This Row],[Comparable '#1 Date Check]]="Pass",INDEX(Comp1[Comparable '#1 Price],MATCH(Benchmark2[[#This Row],[Benchmark '#2 Dates]],Comp1[Comparable '#1 Dates],0)),"-")</f>
        <v>15.8</v>
      </c>
      <c r="H205" s="1" t="str">
        <f>IF(COUNTIF(Comp2[Comparable '#2 Dates],Benchmark2[[#This Row],[Benchmark '#2 Dates]])=1,"Pass","Fail")</f>
        <v>Pass</v>
      </c>
      <c r="I205" s="6">
        <f>IF(Benchmark2[[#This Row],[Comparable '#2 Date Check]]="Pass",INDEX(Comp2[Comparable '#2 Price],MATCH(Benchmark2[[#This Row],[Benchmark '#2 Dates]],Comp2[Comparable '#2 Dates],0)),"-")</f>
        <v>49.76</v>
      </c>
      <c r="J205" s="1" t="str">
        <f>IF(COUNTIF(Comp3[Comparable '#3 Dates],Benchmark2[[#This Row],[Benchmark '#2 Dates]])=1,"Pass","Fail")</f>
        <v>Pass</v>
      </c>
      <c r="K205" s="6">
        <f>IF(Benchmark2[[#This Row],[Comparable '#3 Date Check]]="Pass",INDEX(Comp3[Comparable '#3 Price],MATCH(Benchmark2[[#This Row],[Benchmark '#2 Dates]],Comp3[Comparable '#3 Dates],0)),"-")</f>
        <v>144.82</v>
      </c>
    </row>
    <row r="206" spans="1:11">
      <c r="A206" s="103">
        <v>43584</v>
      </c>
      <c r="B206" s="104">
        <v>13008.06</v>
      </c>
      <c r="C206" s="4">
        <f t="shared" si="3"/>
        <v>1.2969601722016106E-3</v>
      </c>
      <c r="D206" s="1" t="str">
        <f>IF(COUNTIF(Target1[Target Dates],Benchmark2[[#This Row],[Benchmark '#2 Dates]])=1,"Pass","Fail")</f>
        <v>Pass</v>
      </c>
      <c r="E206" s="6">
        <f>IF(Benchmark2[[#This Row],[Target Date Check]]="Pass",INDEX(Target1[Target Price],MATCH(Benchmark2[[#This Row],[Benchmark '#2 Dates]],Target1[Target Dates],0)),"-")</f>
        <v>30.58</v>
      </c>
      <c r="F206" s="1" t="str">
        <f>IF(COUNTIF(Comp1[Comparable '#1 Dates],Benchmark2[[#This Row],[Benchmark '#2 Dates]])=1,"Pass","Fail")</f>
        <v>Pass</v>
      </c>
      <c r="G206" s="6">
        <f>IF(Benchmark2[[#This Row],[Comparable '#1 Date Check]]="Pass",INDEX(Comp1[Comparable '#1 Price],MATCH(Benchmark2[[#This Row],[Benchmark '#2 Dates]],Comp1[Comparable '#1 Dates],0)),"-")</f>
        <v>15.75</v>
      </c>
      <c r="H206" s="1" t="str">
        <f>IF(COUNTIF(Comp2[Comparable '#2 Dates],Benchmark2[[#This Row],[Benchmark '#2 Dates]])=1,"Pass","Fail")</f>
        <v>Pass</v>
      </c>
      <c r="I206" s="6">
        <f>IF(Benchmark2[[#This Row],[Comparable '#2 Date Check]]="Pass",INDEX(Comp2[Comparable '#2 Price],MATCH(Benchmark2[[#This Row],[Benchmark '#2 Dates]],Comp2[Comparable '#2 Dates],0)),"-")</f>
        <v>49.78</v>
      </c>
      <c r="J206" s="1" t="str">
        <f>IF(COUNTIF(Comp3[Comparable '#3 Dates],Benchmark2[[#This Row],[Benchmark '#2 Dates]])=1,"Pass","Fail")</f>
        <v>Pass</v>
      </c>
      <c r="K206" s="6">
        <f>IF(Benchmark2[[#This Row],[Comparable '#3 Date Check]]="Pass",INDEX(Comp3[Comparable '#3 Price],MATCH(Benchmark2[[#This Row],[Benchmark '#2 Dates]],Comp3[Comparable '#3 Dates],0)),"-")</f>
        <v>143.97</v>
      </c>
    </row>
    <row r="207" spans="1:11">
      <c r="A207" s="103">
        <v>43585</v>
      </c>
      <c r="B207" s="104">
        <v>13060.65</v>
      </c>
      <c r="C207" s="4">
        <f t="shared" si="3"/>
        <v>4.034727559807408E-3</v>
      </c>
      <c r="D207" s="1" t="str">
        <f>IF(COUNTIF(Target1[Target Dates],Benchmark2[[#This Row],[Benchmark '#2 Dates]])=1,"Pass","Fail")</f>
        <v>Pass</v>
      </c>
      <c r="E207" s="6">
        <f>IF(Benchmark2[[#This Row],[Target Date Check]]="Pass",INDEX(Target1[Target Price],MATCH(Benchmark2[[#This Row],[Benchmark '#2 Dates]],Target1[Target Dates],0)),"-")</f>
        <v>30.12</v>
      </c>
      <c r="F207" s="1" t="str">
        <f>IF(COUNTIF(Comp1[Comparable '#1 Dates],Benchmark2[[#This Row],[Benchmark '#2 Dates]])=1,"Pass","Fail")</f>
        <v>Pass</v>
      </c>
      <c r="G207" s="6">
        <f>IF(Benchmark2[[#This Row],[Comparable '#1 Date Check]]="Pass",INDEX(Comp1[Comparable '#1 Price],MATCH(Benchmark2[[#This Row],[Benchmark '#2 Dates]],Comp1[Comparable '#1 Dates],0)),"-")</f>
        <v>15.74</v>
      </c>
      <c r="H207" s="1" t="str">
        <f>IF(COUNTIF(Comp2[Comparable '#2 Dates],Benchmark2[[#This Row],[Benchmark '#2 Dates]])=1,"Pass","Fail")</f>
        <v>Pass</v>
      </c>
      <c r="I207" s="6">
        <f>IF(Benchmark2[[#This Row],[Comparable '#2 Date Check]]="Pass",INDEX(Comp2[Comparable '#2 Price],MATCH(Benchmark2[[#This Row],[Benchmark '#2 Dates]],Comp2[Comparable '#2 Dates],0)),"-")</f>
        <v>49.32</v>
      </c>
      <c r="J207" s="1" t="str">
        <f>IF(COUNTIF(Comp3[Comparable '#3 Dates],Benchmark2[[#This Row],[Benchmark '#2 Dates]])=1,"Pass","Fail")</f>
        <v>Pass</v>
      </c>
      <c r="K207" s="6">
        <f>IF(Benchmark2[[#This Row],[Comparable '#3 Date Check]]="Pass",INDEX(Comp3[Comparable '#3 Price],MATCH(Benchmark2[[#This Row],[Benchmark '#2 Dates]],Comp3[Comparable '#3 Dates],0)),"-")</f>
        <v>143.35</v>
      </c>
    </row>
    <row r="208" spans="1:11">
      <c r="A208" s="103">
        <v>43586</v>
      </c>
      <c r="B208" s="104">
        <v>12946.13</v>
      </c>
      <c r="C208" s="4">
        <f t="shared" si="3"/>
        <v>-8.8069911161235085E-3</v>
      </c>
      <c r="D208" s="1" t="str">
        <f>IF(COUNTIF(Target1[Target Dates],Benchmark2[[#This Row],[Benchmark '#2 Dates]])=1,"Pass","Fail")</f>
        <v>Pass</v>
      </c>
      <c r="E208" s="6">
        <f>IF(Benchmark2[[#This Row],[Target Date Check]]="Pass",INDEX(Target1[Target Price],MATCH(Benchmark2[[#This Row],[Benchmark '#2 Dates]],Target1[Target Dates],0)),"-")</f>
        <v>30.2</v>
      </c>
      <c r="F208" s="1" t="str">
        <f>IF(COUNTIF(Comp1[Comparable '#1 Dates],Benchmark2[[#This Row],[Benchmark '#2 Dates]])=1,"Pass","Fail")</f>
        <v>Pass</v>
      </c>
      <c r="G208" s="6">
        <f>IF(Benchmark2[[#This Row],[Comparable '#1 Date Check]]="Pass",INDEX(Comp1[Comparable '#1 Price],MATCH(Benchmark2[[#This Row],[Benchmark '#2 Dates]],Comp1[Comparable '#1 Dates],0)),"-")</f>
        <v>15.76</v>
      </c>
      <c r="H208" s="1" t="str">
        <f>IF(COUNTIF(Comp2[Comparable '#2 Dates],Benchmark2[[#This Row],[Benchmark '#2 Dates]])=1,"Pass","Fail")</f>
        <v>Pass</v>
      </c>
      <c r="I208" s="6">
        <f>IF(Benchmark2[[#This Row],[Comparable '#2 Date Check]]="Pass",INDEX(Comp2[Comparable '#2 Price],MATCH(Benchmark2[[#This Row],[Benchmark '#2 Dates]],Comp2[Comparable '#2 Dates],0)),"-")</f>
        <v>49.61</v>
      </c>
      <c r="J208" s="1" t="str">
        <f>IF(COUNTIF(Comp3[Comparable '#3 Dates],Benchmark2[[#This Row],[Benchmark '#2 Dates]])=1,"Pass","Fail")</f>
        <v>Pass</v>
      </c>
      <c r="K208" s="6">
        <f>IF(Benchmark2[[#This Row],[Comparable '#3 Date Check]]="Pass",INDEX(Comp3[Comparable '#3 Price],MATCH(Benchmark2[[#This Row],[Benchmark '#2 Dates]],Comp3[Comparable '#3 Dates],0)),"-")</f>
        <v>158.56</v>
      </c>
    </row>
    <row r="209" spans="1:11">
      <c r="A209" s="103">
        <v>43587</v>
      </c>
      <c r="B209" s="104">
        <v>12929.56</v>
      </c>
      <c r="C209" s="4">
        <f t="shared" si="3"/>
        <v>-1.2807389688908545E-3</v>
      </c>
      <c r="D209" s="1" t="str">
        <f>IF(COUNTIF(Target1[Target Dates],Benchmark2[[#This Row],[Benchmark '#2 Dates]])=1,"Pass","Fail")</f>
        <v>Pass</v>
      </c>
      <c r="E209" s="6">
        <f>IF(Benchmark2[[#This Row],[Target Date Check]]="Pass",INDEX(Target1[Target Price],MATCH(Benchmark2[[#This Row],[Benchmark '#2 Dates]],Target1[Target Dates],0)),"-")</f>
        <v>30.04</v>
      </c>
      <c r="F209" s="1" t="str">
        <f>IF(COUNTIF(Comp1[Comparable '#1 Dates],Benchmark2[[#This Row],[Benchmark '#2 Dates]])=1,"Pass","Fail")</f>
        <v>Pass</v>
      </c>
      <c r="G209" s="6">
        <f>IF(Benchmark2[[#This Row],[Comparable '#1 Date Check]]="Pass",INDEX(Comp1[Comparable '#1 Price],MATCH(Benchmark2[[#This Row],[Benchmark '#2 Dates]],Comp1[Comparable '#1 Dates],0)),"-")</f>
        <v>15.93</v>
      </c>
      <c r="H209" s="1" t="str">
        <f>IF(COUNTIF(Comp2[Comparable '#2 Dates],Benchmark2[[#This Row],[Benchmark '#2 Dates]])=1,"Pass","Fail")</f>
        <v>Pass</v>
      </c>
      <c r="I209" s="6">
        <f>IF(Benchmark2[[#This Row],[Comparable '#2 Date Check]]="Pass",INDEX(Comp2[Comparable '#2 Price],MATCH(Benchmark2[[#This Row],[Benchmark '#2 Dates]],Comp2[Comparable '#2 Dates],0)),"-")</f>
        <v>50.02</v>
      </c>
      <c r="J209" s="1" t="str">
        <f>IF(COUNTIF(Comp3[Comparable '#3 Dates],Benchmark2[[#This Row],[Benchmark '#2 Dates]])=1,"Pass","Fail")</f>
        <v>Pass</v>
      </c>
      <c r="K209" s="6">
        <f>IF(Benchmark2[[#This Row],[Comparable '#3 Date Check]]="Pass",INDEX(Comp3[Comparable '#3 Price],MATCH(Benchmark2[[#This Row],[Benchmark '#2 Dates]],Comp3[Comparable '#3 Dates],0)),"-")</f>
        <v>162.49</v>
      </c>
    </row>
    <row r="210" spans="1:11">
      <c r="A210" s="103">
        <v>43588</v>
      </c>
      <c r="B210" s="104">
        <v>13037.88</v>
      </c>
      <c r="C210" s="4">
        <f t="shared" si="3"/>
        <v>8.3428037786327045E-3</v>
      </c>
      <c r="D210" s="1" t="str">
        <f>IF(COUNTIF(Target1[Target Dates],Benchmark2[[#This Row],[Benchmark '#2 Dates]])=1,"Pass","Fail")</f>
        <v>Pass</v>
      </c>
      <c r="E210" s="6">
        <f>IF(Benchmark2[[#This Row],[Target Date Check]]="Pass",INDEX(Target1[Target Price],MATCH(Benchmark2[[#This Row],[Benchmark '#2 Dates]],Target1[Target Dates],0)),"-")</f>
        <v>30.33</v>
      </c>
      <c r="F210" s="1" t="str">
        <f>IF(COUNTIF(Comp1[Comparable '#1 Dates],Benchmark2[[#This Row],[Benchmark '#2 Dates]])=1,"Pass","Fail")</f>
        <v>Pass</v>
      </c>
      <c r="G210" s="6">
        <f>IF(Benchmark2[[#This Row],[Comparable '#1 Date Check]]="Pass",INDEX(Comp1[Comparable '#1 Price],MATCH(Benchmark2[[#This Row],[Benchmark '#2 Dates]],Comp1[Comparable '#1 Dates],0)),"-")</f>
        <v>15.95</v>
      </c>
      <c r="H210" s="1" t="str">
        <f>IF(COUNTIF(Comp2[Comparable '#2 Dates],Benchmark2[[#This Row],[Benchmark '#2 Dates]])=1,"Pass","Fail")</f>
        <v>Pass</v>
      </c>
      <c r="I210" s="6">
        <f>IF(Benchmark2[[#This Row],[Comparable '#2 Date Check]]="Pass",INDEX(Comp2[Comparable '#2 Price],MATCH(Benchmark2[[#This Row],[Benchmark '#2 Dates]],Comp2[Comparable '#2 Dates],0)),"-")</f>
        <v>45.86</v>
      </c>
      <c r="J210" s="1" t="str">
        <f>IF(COUNTIF(Comp3[Comparable '#3 Dates],Benchmark2[[#This Row],[Benchmark '#2 Dates]])=1,"Pass","Fail")</f>
        <v>Pass</v>
      </c>
      <c r="K210" s="6">
        <f>IF(Benchmark2[[#This Row],[Comparable '#3 Date Check]]="Pass",INDEX(Comp3[Comparable '#3 Price],MATCH(Benchmark2[[#This Row],[Benchmark '#2 Dates]],Comp3[Comparable '#3 Dates],0)),"-")</f>
        <v>164.82</v>
      </c>
    </row>
    <row r="211" spans="1:11">
      <c r="A211" s="103">
        <v>43591</v>
      </c>
      <c r="B211" s="104">
        <v>12976.67</v>
      </c>
      <c r="C211" s="4">
        <f t="shared" si="3"/>
        <v>-4.705836768838941E-3</v>
      </c>
      <c r="D211" s="1" t="str">
        <f>IF(COUNTIF(Target1[Target Dates],Benchmark2[[#This Row],[Benchmark '#2 Dates]])=1,"Pass","Fail")</f>
        <v>Pass</v>
      </c>
      <c r="E211" s="6">
        <f>IF(Benchmark2[[#This Row],[Target Date Check]]="Pass",INDEX(Target1[Target Price],MATCH(Benchmark2[[#This Row],[Benchmark '#2 Dates]],Target1[Target Dates],0)),"-")</f>
        <v>30.94</v>
      </c>
      <c r="F211" s="1" t="str">
        <f>IF(COUNTIF(Comp1[Comparable '#1 Dates],Benchmark2[[#This Row],[Benchmark '#2 Dates]])=1,"Pass","Fail")</f>
        <v>Pass</v>
      </c>
      <c r="G211" s="6">
        <f>IF(Benchmark2[[#This Row],[Comparable '#1 Date Check]]="Pass",INDEX(Comp1[Comparable '#1 Price],MATCH(Benchmark2[[#This Row],[Benchmark '#2 Dates]],Comp1[Comparable '#1 Dates],0)),"-")</f>
        <v>15.95</v>
      </c>
      <c r="H211" s="1" t="str">
        <f>IF(COUNTIF(Comp2[Comparable '#2 Dates],Benchmark2[[#This Row],[Benchmark '#2 Dates]])=1,"Pass","Fail")</f>
        <v>Pass</v>
      </c>
      <c r="I211" s="6">
        <f>IF(Benchmark2[[#This Row],[Comparable '#2 Date Check]]="Pass",INDEX(Comp2[Comparable '#2 Price],MATCH(Benchmark2[[#This Row],[Benchmark '#2 Dates]],Comp2[Comparable '#2 Dates],0)),"-")</f>
        <v>46.3</v>
      </c>
      <c r="J211" s="1" t="str">
        <f>IF(COUNTIF(Comp3[Comparable '#3 Dates],Benchmark2[[#This Row],[Benchmark '#2 Dates]])=1,"Pass","Fail")</f>
        <v>Pass</v>
      </c>
      <c r="K211" s="6">
        <f>IF(Benchmark2[[#This Row],[Comparable '#3 Date Check]]="Pass",INDEX(Comp3[Comparable '#3 Price],MATCH(Benchmark2[[#This Row],[Benchmark '#2 Dates]],Comp3[Comparable '#3 Dates],0)),"-")</f>
        <v>167.06</v>
      </c>
    </row>
    <row r="212" spans="1:11">
      <c r="A212" s="103">
        <v>43592</v>
      </c>
      <c r="B212" s="104">
        <v>12778.5</v>
      </c>
      <c r="C212" s="4">
        <f t="shared" si="3"/>
        <v>-1.5389058656661309E-2</v>
      </c>
      <c r="D212" s="1" t="str">
        <f>IF(COUNTIF(Target1[Target Dates],Benchmark2[[#This Row],[Benchmark '#2 Dates]])=1,"Pass","Fail")</f>
        <v>Pass</v>
      </c>
      <c r="E212" s="6">
        <f>IF(Benchmark2[[#This Row],[Target Date Check]]="Pass",INDEX(Target1[Target Price],MATCH(Benchmark2[[#This Row],[Benchmark '#2 Dates]],Target1[Target Dates],0)),"-")</f>
        <v>30.99</v>
      </c>
      <c r="F212" s="1" t="str">
        <f>IF(COUNTIF(Comp1[Comparable '#1 Dates],Benchmark2[[#This Row],[Benchmark '#2 Dates]])=1,"Pass","Fail")</f>
        <v>Pass</v>
      </c>
      <c r="G212" s="6">
        <f>IF(Benchmark2[[#This Row],[Comparable '#1 Date Check]]="Pass",INDEX(Comp1[Comparable '#1 Price],MATCH(Benchmark2[[#This Row],[Benchmark '#2 Dates]],Comp1[Comparable '#1 Dates],0)),"-")</f>
        <v>15.8</v>
      </c>
      <c r="H212" s="1" t="str">
        <f>IF(COUNTIF(Comp2[Comparable '#2 Dates],Benchmark2[[#This Row],[Benchmark '#2 Dates]])=1,"Pass","Fail")</f>
        <v>Pass</v>
      </c>
      <c r="I212" s="6">
        <f>IF(Benchmark2[[#This Row],[Comparable '#2 Date Check]]="Pass",INDEX(Comp2[Comparable '#2 Price],MATCH(Benchmark2[[#This Row],[Benchmark '#2 Dates]],Comp2[Comparable '#2 Dates],0)),"-")</f>
        <v>45.13</v>
      </c>
      <c r="J212" s="1" t="str">
        <f>IF(COUNTIF(Comp3[Comparable '#3 Dates],Benchmark2[[#This Row],[Benchmark '#2 Dates]])=1,"Pass","Fail")</f>
        <v>Pass</v>
      </c>
      <c r="K212" s="6">
        <f>IF(Benchmark2[[#This Row],[Comparable '#3 Date Check]]="Pass",INDEX(Comp3[Comparable '#3 Price],MATCH(Benchmark2[[#This Row],[Benchmark '#2 Dates]],Comp3[Comparable '#3 Dates],0)),"-")</f>
        <v>165.41</v>
      </c>
    </row>
    <row r="213" spans="1:11">
      <c r="A213" s="103">
        <v>43593</v>
      </c>
      <c r="B213" s="104">
        <v>12766.69</v>
      </c>
      <c r="C213" s="4">
        <f t="shared" si="3"/>
        <v>-9.2463597580711061E-4</v>
      </c>
      <c r="D213" s="1" t="str">
        <f>IF(COUNTIF(Target1[Target Dates],Benchmark2[[#This Row],[Benchmark '#2 Dates]])=1,"Pass","Fail")</f>
        <v>Pass</v>
      </c>
      <c r="E213" s="6">
        <f>IF(Benchmark2[[#This Row],[Target Date Check]]="Pass",INDEX(Target1[Target Price],MATCH(Benchmark2[[#This Row],[Benchmark '#2 Dates]],Target1[Target Dates],0)),"-")</f>
        <v>30.47</v>
      </c>
      <c r="F213" s="1" t="str">
        <f>IF(COUNTIF(Comp1[Comparable '#1 Dates],Benchmark2[[#This Row],[Benchmark '#2 Dates]])=1,"Pass","Fail")</f>
        <v>Pass</v>
      </c>
      <c r="G213" s="6">
        <f>IF(Benchmark2[[#This Row],[Comparable '#1 Date Check]]="Pass",INDEX(Comp1[Comparable '#1 Price],MATCH(Benchmark2[[#This Row],[Benchmark '#2 Dates]],Comp1[Comparable '#1 Dates],0)),"-")</f>
        <v>15.61</v>
      </c>
      <c r="H213" s="1" t="str">
        <f>IF(COUNTIF(Comp2[Comparable '#2 Dates],Benchmark2[[#This Row],[Benchmark '#2 Dates]])=1,"Pass","Fail")</f>
        <v>Pass</v>
      </c>
      <c r="I213" s="6">
        <f>IF(Benchmark2[[#This Row],[Comparable '#2 Date Check]]="Pass",INDEX(Comp2[Comparable '#2 Price],MATCH(Benchmark2[[#This Row],[Benchmark '#2 Dates]],Comp2[Comparable '#2 Dates],0)),"-")</f>
        <v>44.36</v>
      </c>
      <c r="J213" s="1" t="str">
        <f>IF(COUNTIF(Comp3[Comparable '#3 Dates],Benchmark2[[#This Row],[Benchmark '#2 Dates]])=1,"Pass","Fail")</f>
        <v>Pass</v>
      </c>
      <c r="K213" s="6">
        <f>IF(Benchmark2[[#This Row],[Comparable '#3 Date Check]]="Pass",INDEX(Comp3[Comparable '#3 Price],MATCH(Benchmark2[[#This Row],[Benchmark '#2 Dates]],Comp3[Comparable '#3 Dates],0)),"-")</f>
        <v>168.48</v>
      </c>
    </row>
    <row r="214" spans="1:11">
      <c r="A214" s="103">
        <v>43594</v>
      </c>
      <c r="B214" s="104">
        <v>12731.35</v>
      </c>
      <c r="C214" s="4">
        <f t="shared" si="3"/>
        <v>-2.7719795426625429E-3</v>
      </c>
      <c r="D214" s="1" t="str">
        <f>IF(COUNTIF(Target1[Target Dates],Benchmark2[[#This Row],[Benchmark '#2 Dates]])=1,"Pass","Fail")</f>
        <v>Pass</v>
      </c>
      <c r="E214" s="6">
        <f>IF(Benchmark2[[#This Row],[Target Date Check]]="Pass",INDEX(Target1[Target Price],MATCH(Benchmark2[[#This Row],[Benchmark '#2 Dates]],Target1[Target Dates],0)),"-")</f>
        <v>31</v>
      </c>
      <c r="F214" s="1" t="str">
        <f>IF(COUNTIF(Comp1[Comparable '#1 Dates],Benchmark2[[#This Row],[Benchmark '#2 Dates]])=1,"Pass","Fail")</f>
        <v>Pass</v>
      </c>
      <c r="G214" s="6">
        <f>IF(Benchmark2[[#This Row],[Comparable '#1 Date Check]]="Pass",INDEX(Comp1[Comparable '#1 Price],MATCH(Benchmark2[[#This Row],[Benchmark '#2 Dates]],Comp1[Comparable '#1 Dates],0)),"-")</f>
        <v>16.399999999999999</v>
      </c>
      <c r="H214" s="1" t="str">
        <f>IF(COUNTIF(Comp2[Comparable '#2 Dates],Benchmark2[[#This Row],[Benchmark '#2 Dates]])=1,"Pass","Fail")</f>
        <v>Pass</v>
      </c>
      <c r="I214" s="6">
        <f>IF(Benchmark2[[#This Row],[Comparable '#2 Date Check]]="Pass",INDEX(Comp2[Comparable '#2 Price],MATCH(Benchmark2[[#This Row],[Benchmark '#2 Dates]],Comp2[Comparable '#2 Dates],0)),"-")</f>
        <v>44.62</v>
      </c>
      <c r="J214" s="1" t="str">
        <f>IF(COUNTIF(Comp3[Comparable '#3 Dates],Benchmark2[[#This Row],[Benchmark '#2 Dates]])=1,"Pass","Fail")</f>
        <v>Pass</v>
      </c>
      <c r="K214" s="6">
        <f>IF(Benchmark2[[#This Row],[Comparable '#3 Date Check]]="Pass",INDEX(Comp3[Comparable '#3 Price],MATCH(Benchmark2[[#This Row],[Benchmark '#2 Dates]],Comp3[Comparable '#3 Dates],0)),"-")</f>
        <v>171.76</v>
      </c>
    </row>
    <row r="215" spans="1:11">
      <c r="A215" s="103">
        <v>43595</v>
      </c>
      <c r="B215" s="104">
        <v>12788.14</v>
      </c>
      <c r="C215" s="4">
        <f t="shared" si="3"/>
        <v>4.4507232507988471E-3</v>
      </c>
      <c r="D215" s="1" t="str">
        <f>IF(COUNTIF(Target1[Target Dates],Benchmark2[[#This Row],[Benchmark '#2 Dates]])=1,"Pass","Fail")</f>
        <v>Pass</v>
      </c>
      <c r="E215" s="6">
        <f>IF(Benchmark2[[#This Row],[Target Date Check]]="Pass",INDEX(Target1[Target Price],MATCH(Benchmark2[[#This Row],[Benchmark '#2 Dates]],Target1[Target Dates],0)),"-")</f>
        <v>31.71</v>
      </c>
      <c r="F215" s="1" t="str">
        <f>IF(COUNTIF(Comp1[Comparable '#1 Dates],Benchmark2[[#This Row],[Benchmark '#2 Dates]])=1,"Pass","Fail")</f>
        <v>Pass</v>
      </c>
      <c r="G215" s="6">
        <f>IF(Benchmark2[[#This Row],[Comparable '#1 Date Check]]="Pass",INDEX(Comp1[Comparable '#1 Price],MATCH(Benchmark2[[#This Row],[Benchmark '#2 Dates]],Comp1[Comparable '#1 Dates],0)),"-")</f>
        <v>16.39</v>
      </c>
      <c r="H215" s="1" t="str">
        <f>IF(COUNTIF(Comp2[Comparable '#2 Dates],Benchmark2[[#This Row],[Benchmark '#2 Dates]])=1,"Pass","Fail")</f>
        <v>Pass</v>
      </c>
      <c r="I215" s="6">
        <f>IF(Benchmark2[[#This Row],[Comparable '#2 Date Check]]="Pass",INDEX(Comp2[Comparable '#2 Price],MATCH(Benchmark2[[#This Row],[Benchmark '#2 Dates]],Comp2[Comparable '#2 Dates],0)),"-")</f>
        <v>45.46</v>
      </c>
      <c r="J215" s="1" t="str">
        <f>IF(COUNTIF(Comp3[Comparable '#3 Dates],Benchmark2[[#This Row],[Benchmark '#2 Dates]])=1,"Pass","Fail")</f>
        <v>Pass</v>
      </c>
      <c r="K215" s="6">
        <f>IF(Benchmark2[[#This Row],[Comparable '#3 Date Check]]="Pass",INDEX(Comp3[Comparable '#3 Price],MATCH(Benchmark2[[#This Row],[Benchmark '#2 Dates]],Comp3[Comparable '#3 Dates],0)),"-")</f>
        <v>172.63</v>
      </c>
    </row>
    <row r="216" spans="1:11">
      <c r="A216" s="103">
        <v>43598</v>
      </c>
      <c r="B216" s="104">
        <v>12526.71</v>
      </c>
      <c r="C216" s="4">
        <f t="shared" si="3"/>
        <v>-2.0655014303116032E-2</v>
      </c>
      <c r="D216" s="1" t="str">
        <f>IF(COUNTIF(Target1[Target Dates],Benchmark2[[#This Row],[Benchmark '#2 Dates]])=1,"Pass","Fail")</f>
        <v>Pass</v>
      </c>
      <c r="E216" s="6">
        <f>IF(Benchmark2[[#This Row],[Target Date Check]]="Pass",INDEX(Target1[Target Price],MATCH(Benchmark2[[#This Row],[Benchmark '#2 Dates]],Target1[Target Dates],0)),"-")</f>
        <v>31.37</v>
      </c>
      <c r="F216" s="1" t="str">
        <f>IF(COUNTIF(Comp1[Comparable '#1 Dates],Benchmark2[[#This Row],[Benchmark '#2 Dates]])=1,"Pass","Fail")</f>
        <v>Pass</v>
      </c>
      <c r="G216" s="6">
        <f>IF(Benchmark2[[#This Row],[Comparable '#1 Date Check]]="Pass",INDEX(Comp1[Comparable '#1 Price],MATCH(Benchmark2[[#This Row],[Benchmark '#2 Dates]],Comp1[Comparable '#1 Dates],0)),"-")</f>
        <v>15.99</v>
      </c>
      <c r="H216" s="1" t="str">
        <f>IF(COUNTIF(Comp2[Comparable '#2 Dates],Benchmark2[[#This Row],[Benchmark '#2 Dates]])=1,"Pass","Fail")</f>
        <v>Pass</v>
      </c>
      <c r="I216" s="6">
        <f>IF(Benchmark2[[#This Row],[Comparable '#2 Date Check]]="Pass",INDEX(Comp2[Comparable '#2 Price],MATCH(Benchmark2[[#This Row],[Benchmark '#2 Dates]],Comp2[Comparable '#2 Dates],0)),"-")</f>
        <v>44.04</v>
      </c>
      <c r="J216" s="1" t="str">
        <f>IF(COUNTIF(Comp3[Comparable '#3 Dates],Benchmark2[[#This Row],[Benchmark '#2 Dates]])=1,"Pass","Fail")</f>
        <v>Pass</v>
      </c>
      <c r="K216" s="6">
        <f>IF(Benchmark2[[#This Row],[Comparable '#3 Date Check]]="Pass",INDEX(Comp3[Comparable '#3 Price],MATCH(Benchmark2[[#This Row],[Benchmark '#2 Dates]],Comp3[Comparable '#3 Dates],0)),"-")</f>
        <v>168.5</v>
      </c>
    </row>
    <row r="217" spans="1:11">
      <c r="A217" s="103">
        <v>43599</v>
      </c>
      <c r="B217" s="104">
        <v>12620</v>
      </c>
      <c r="C217" s="4">
        <f t="shared" si="3"/>
        <v>7.4196925149863082E-3</v>
      </c>
      <c r="D217" s="1" t="str">
        <f>IF(COUNTIF(Target1[Target Dates],Benchmark2[[#This Row],[Benchmark '#2 Dates]])=1,"Pass","Fail")</f>
        <v>Pass</v>
      </c>
      <c r="E217" s="6">
        <f>IF(Benchmark2[[#This Row],[Target Date Check]]="Pass",INDEX(Target1[Target Price],MATCH(Benchmark2[[#This Row],[Benchmark '#2 Dates]],Target1[Target Dates],0)),"-")</f>
        <v>31.68</v>
      </c>
      <c r="F217" s="1" t="str">
        <f>IF(COUNTIF(Comp1[Comparable '#1 Dates],Benchmark2[[#This Row],[Benchmark '#2 Dates]])=1,"Pass","Fail")</f>
        <v>Pass</v>
      </c>
      <c r="G217" s="6">
        <f>IF(Benchmark2[[#This Row],[Comparable '#1 Date Check]]="Pass",INDEX(Comp1[Comparable '#1 Price],MATCH(Benchmark2[[#This Row],[Benchmark '#2 Dates]],Comp1[Comparable '#1 Dates],0)),"-")</f>
        <v>16.55</v>
      </c>
      <c r="H217" s="1" t="str">
        <f>IF(COUNTIF(Comp2[Comparable '#2 Dates],Benchmark2[[#This Row],[Benchmark '#2 Dates]])=1,"Pass","Fail")</f>
        <v>Pass</v>
      </c>
      <c r="I217" s="6">
        <f>IF(Benchmark2[[#This Row],[Comparable '#2 Date Check]]="Pass",INDEX(Comp2[Comparable '#2 Price],MATCH(Benchmark2[[#This Row],[Benchmark '#2 Dates]],Comp2[Comparable '#2 Dates],0)),"-")</f>
        <v>43.42</v>
      </c>
      <c r="J217" s="1" t="str">
        <f>IF(COUNTIF(Comp3[Comparable '#3 Dates],Benchmark2[[#This Row],[Benchmark '#2 Dates]])=1,"Pass","Fail")</f>
        <v>Pass</v>
      </c>
      <c r="K217" s="6">
        <f>IF(Benchmark2[[#This Row],[Comparable '#3 Date Check]]="Pass",INDEX(Comp3[Comparable '#3 Price],MATCH(Benchmark2[[#This Row],[Benchmark '#2 Dates]],Comp3[Comparable '#3 Dates],0)),"-")</f>
        <v>170.59</v>
      </c>
    </row>
    <row r="218" spans="1:11">
      <c r="A218" s="103">
        <v>43600</v>
      </c>
      <c r="B218" s="104">
        <v>12652.29</v>
      </c>
      <c r="C218" s="4">
        <f t="shared" si="3"/>
        <v>2.5553693449152223E-3</v>
      </c>
      <c r="D218" s="1" t="str">
        <f>IF(COUNTIF(Target1[Target Dates],Benchmark2[[#This Row],[Benchmark '#2 Dates]])=1,"Pass","Fail")</f>
        <v>Pass</v>
      </c>
      <c r="E218" s="6">
        <f>IF(Benchmark2[[#This Row],[Target Date Check]]="Pass",INDEX(Target1[Target Price],MATCH(Benchmark2[[#This Row],[Benchmark '#2 Dates]],Target1[Target Dates],0)),"-")</f>
        <v>32.15</v>
      </c>
      <c r="F218" s="1" t="str">
        <f>IF(COUNTIF(Comp1[Comparable '#1 Dates],Benchmark2[[#This Row],[Benchmark '#2 Dates]])=1,"Pass","Fail")</f>
        <v>Pass</v>
      </c>
      <c r="G218" s="6">
        <f>IF(Benchmark2[[#This Row],[Comparable '#1 Date Check]]="Pass",INDEX(Comp1[Comparable '#1 Price],MATCH(Benchmark2[[#This Row],[Benchmark '#2 Dates]],Comp1[Comparable '#1 Dates],0)),"-")</f>
        <v>16.809999999999999</v>
      </c>
      <c r="H218" s="1" t="str">
        <f>IF(COUNTIF(Comp2[Comparable '#2 Dates],Benchmark2[[#This Row],[Benchmark '#2 Dates]])=1,"Pass","Fail")</f>
        <v>Pass</v>
      </c>
      <c r="I218" s="6">
        <f>IF(Benchmark2[[#This Row],[Comparable '#2 Date Check]]="Pass",INDEX(Comp2[Comparable '#2 Price],MATCH(Benchmark2[[#This Row],[Benchmark '#2 Dates]],Comp2[Comparable '#2 Dates],0)),"-")</f>
        <v>43.73</v>
      </c>
      <c r="J218" s="1" t="str">
        <f>IF(COUNTIF(Comp3[Comparable '#3 Dates],Benchmark2[[#This Row],[Benchmark '#2 Dates]])=1,"Pass","Fail")</f>
        <v>Pass</v>
      </c>
      <c r="K218" s="6">
        <f>IF(Benchmark2[[#This Row],[Comparable '#3 Date Check]]="Pass",INDEX(Comp3[Comparable '#3 Price],MATCH(Benchmark2[[#This Row],[Benchmark '#2 Dates]],Comp3[Comparable '#3 Dates],0)),"-")</f>
        <v>172.65</v>
      </c>
    </row>
    <row r="219" spans="1:11">
      <c r="A219" s="103">
        <v>43601</v>
      </c>
      <c r="B219" s="104">
        <v>12738.36</v>
      </c>
      <c r="C219" s="4">
        <f t="shared" si="3"/>
        <v>6.7796869853787691E-3</v>
      </c>
      <c r="D219" s="1" t="str">
        <f>IF(COUNTIF(Target1[Target Dates],Benchmark2[[#This Row],[Benchmark '#2 Dates]])=1,"Pass","Fail")</f>
        <v>Pass</v>
      </c>
      <c r="E219" s="6">
        <f>IF(Benchmark2[[#This Row],[Target Date Check]]="Pass",INDEX(Target1[Target Price],MATCH(Benchmark2[[#This Row],[Benchmark '#2 Dates]],Target1[Target Dates],0)),"-")</f>
        <v>32.35</v>
      </c>
      <c r="F219" s="1" t="str">
        <f>IF(COUNTIF(Comp1[Comparable '#1 Dates],Benchmark2[[#This Row],[Benchmark '#2 Dates]])=1,"Pass","Fail")</f>
        <v>Pass</v>
      </c>
      <c r="G219" s="6">
        <f>IF(Benchmark2[[#This Row],[Comparable '#1 Date Check]]="Pass",INDEX(Comp1[Comparable '#1 Price],MATCH(Benchmark2[[#This Row],[Benchmark '#2 Dates]],Comp1[Comparable '#1 Dates],0)),"-")</f>
        <v>16.59</v>
      </c>
      <c r="H219" s="1" t="str">
        <f>IF(COUNTIF(Comp2[Comparable '#2 Dates],Benchmark2[[#This Row],[Benchmark '#2 Dates]])=1,"Pass","Fail")</f>
        <v>Pass</v>
      </c>
      <c r="I219" s="6">
        <f>IF(Benchmark2[[#This Row],[Comparable '#2 Date Check]]="Pass",INDEX(Comp2[Comparable '#2 Price],MATCH(Benchmark2[[#This Row],[Benchmark '#2 Dates]],Comp2[Comparable '#2 Dates],0)),"-")</f>
        <v>43.69</v>
      </c>
      <c r="J219" s="1" t="str">
        <f>IF(COUNTIF(Comp3[Comparable '#3 Dates],Benchmark2[[#This Row],[Benchmark '#2 Dates]])=1,"Pass","Fail")</f>
        <v>Pass</v>
      </c>
      <c r="K219" s="6">
        <f>IF(Benchmark2[[#This Row],[Comparable '#3 Date Check]]="Pass",INDEX(Comp3[Comparable '#3 Price],MATCH(Benchmark2[[#This Row],[Benchmark '#2 Dates]],Comp3[Comparable '#3 Dates],0)),"-")</f>
        <v>175.98</v>
      </c>
    </row>
    <row r="220" spans="1:11">
      <c r="A220" s="103">
        <v>43602</v>
      </c>
      <c r="B220" s="104">
        <v>12657.63</v>
      </c>
      <c r="C220" s="4">
        <f t="shared" si="3"/>
        <v>-6.3577180436172652E-3</v>
      </c>
      <c r="D220" s="1" t="str">
        <f>IF(COUNTIF(Target1[Target Dates],Benchmark2[[#This Row],[Benchmark '#2 Dates]])=1,"Pass","Fail")</f>
        <v>Pass</v>
      </c>
      <c r="E220" s="6">
        <f>IF(Benchmark2[[#This Row],[Target Date Check]]="Pass",INDEX(Target1[Target Price],MATCH(Benchmark2[[#This Row],[Benchmark '#2 Dates]],Target1[Target Dates],0)),"-")</f>
        <v>31.78</v>
      </c>
      <c r="F220" s="1" t="str">
        <f>IF(COUNTIF(Comp1[Comparable '#1 Dates],Benchmark2[[#This Row],[Benchmark '#2 Dates]])=1,"Pass","Fail")</f>
        <v>Pass</v>
      </c>
      <c r="G220" s="6">
        <f>IF(Benchmark2[[#This Row],[Comparable '#1 Date Check]]="Pass",INDEX(Comp1[Comparable '#1 Price],MATCH(Benchmark2[[#This Row],[Benchmark '#2 Dates]],Comp1[Comparable '#1 Dates],0)),"-")</f>
        <v>16.48</v>
      </c>
      <c r="H220" s="1" t="str">
        <f>IF(COUNTIF(Comp2[Comparable '#2 Dates],Benchmark2[[#This Row],[Benchmark '#2 Dates]])=1,"Pass","Fail")</f>
        <v>Pass</v>
      </c>
      <c r="I220" s="6">
        <f>IF(Benchmark2[[#This Row],[Comparable '#2 Date Check]]="Pass",INDEX(Comp2[Comparable '#2 Price],MATCH(Benchmark2[[#This Row],[Benchmark '#2 Dates]],Comp2[Comparable '#2 Dates],0)),"-")</f>
        <v>42.98</v>
      </c>
      <c r="J220" s="1" t="str">
        <f>IF(COUNTIF(Comp3[Comparable '#3 Dates],Benchmark2[[#This Row],[Benchmark '#2 Dates]])=1,"Pass","Fail")</f>
        <v>Pass</v>
      </c>
      <c r="K220" s="6">
        <f>IF(Benchmark2[[#This Row],[Comparable '#3 Date Check]]="Pass",INDEX(Comp3[Comparable '#3 Price],MATCH(Benchmark2[[#This Row],[Benchmark '#2 Dates]],Comp3[Comparable '#3 Dates],0)),"-")</f>
        <v>174.61</v>
      </c>
    </row>
    <row r="221" spans="1:11">
      <c r="A221" s="103">
        <v>43605</v>
      </c>
      <c r="B221" s="104">
        <v>12616.8</v>
      </c>
      <c r="C221" s="4">
        <f t="shared" si="3"/>
        <v>-3.230936208533024E-3</v>
      </c>
      <c r="D221" s="1" t="str">
        <f>IF(COUNTIF(Target1[Target Dates],Benchmark2[[#This Row],[Benchmark '#2 Dates]])=1,"Pass","Fail")</f>
        <v>Pass</v>
      </c>
      <c r="E221" s="6">
        <f>IF(Benchmark2[[#This Row],[Target Date Check]]="Pass",INDEX(Target1[Target Price],MATCH(Benchmark2[[#This Row],[Benchmark '#2 Dates]],Target1[Target Dates],0)),"-")</f>
        <v>31.48</v>
      </c>
      <c r="F221" s="1" t="str">
        <f>IF(COUNTIF(Comp1[Comparable '#1 Dates],Benchmark2[[#This Row],[Benchmark '#2 Dates]])=1,"Pass","Fail")</f>
        <v>Pass</v>
      </c>
      <c r="G221" s="6">
        <f>IF(Benchmark2[[#This Row],[Comparable '#1 Date Check]]="Pass",INDEX(Comp1[Comparable '#1 Price],MATCH(Benchmark2[[#This Row],[Benchmark '#2 Dates]],Comp1[Comparable '#1 Dates],0)),"-")</f>
        <v>16.350000000000001</v>
      </c>
      <c r="H221" s="1" t="str">
        <f>IF(COUNTIF(Comp2[Comparable '#2 Dates],Benchmark2[[#This Row],[Benchmark '#2 Dates]])=1,"Pass","Fail")</f>
        <v>Pass</v>
      </c>
      <c r="I221" s="6">
        <f>IF(Benchmark2[[#This Row],[Comparable '#2 Date Check]]="Pass",INDEX(Comp2[Comparable '#2 Price],MATCH(Benchmark2[[#This Row],[Benchmark '#2 Dates]],Comp2[Comparable '#2 Dates],0)),"-")</f>
        <v>42.9</v>
      </c>
      <c r="J221" s="1" t="str">
        <f>IF(COUNTIF(Comp3[Comparable '#3 Dates],Benchmark2[[#This Row],[Benchmark '#2 Dates]])=1,"Pass","Fail")</f>
        <v>Pass</v>
      </c>
      <c r="K221" s="6">
        <f>IF(Benchmark2[[#This Row],[Comparable '#3 Date Check]]="Pass",INDEX(Comp3[Comparable '#3 Price],MATCH(Benchmark2[[#This Row],[Benchmark '#2 Dates]],Comp3[Comparable '#3 Dates],0)),"-")</f>
        <v>174.59</v>
      </c>
    </row>
    <row r="222" spans="1:11">
      <c r="A222" s="103">
        <v>43606</v>
      </c>
      <c r="B222" s="104">
        <v>12720.72</v>
      </c>
      <c r="C222" s="4">
        <f t="shared" si="3"/>
        <v>8.20290089241703E-3</v>
      </c>
      <c r="D222" s="1" t="str">
        <f>IF(COUNTIF(Target1[Target Dates],Benchmark2[[#This Row],[Benchmark '#2 Dates]])=1,"Pass","Fail")</f>
        <v>Pass</v>
      </c>
      <c r="E222" s="6">
        <f>IF(Benchmark2[[#This Row],[Target Date Check]]="Pass",INDEX(Target1[Target Price],MATCH(Benchmark2[[#This Row],[Benchmark '#2 Dates]],Target1[Target Dates],0)),"-")</f>
        <v>31.92</v>
      </c>
      <c r="F222" s="1" t="str">
        <f>IF(COUNTIF(Comp1[Comparable '#1 Dates],Benchmark2[[#This Row],[Benchmark '#2 Dates]])=1,"Pass","Fail")</f>
        <v>Pass</v>
      </c>
      <c r="G222" s="6">
        <f>IF(Benchmark2[[#This Row],[Comparable '#1 Date Check]]="Pass",INDEX(Comp1[Comparable '#1 Price],MATCH(Benchmark2[[#This Row],[Benchmark '#2 Dates]],Comp1[Comparable '#1 Dates],0)),"-")</f>
        <v>16.5</v>
      </c>
      <c r="H222" s="1" t="str">
        <f>IF(COUNTIF(Comp2[Comparable '#2 Dates],Benchmark2[[#This Row],[Benchmark '#2 Dates]])=1,"Pass","Fail")</f>
        <v>Pass</v>
      </c>
      <c r="I222" s="6">
        <f>IF(Benchmark2[[#This Row],[Comparable '#2 Date Check]]="Pass",INDEX(Comp2[Comparable '#2 Price],MATCH(Benchmark2[[#This Row],[Benchmark '#2 Dates]],Comp2[Comparable '#2 Dates],0)),"-")</f>
        <v>43.26</v>
      </c>
      <c r="J222" s="1" t="str">
        <f>IF(COUNTIF(Comp3[Comparable '#3 Dates],Benchmark2[[#This Row],[Benchmark '#2 Dates]])=1,"Pass","Fail")</f>
        <v>Pass</v>
      </c>
      <c r="K222" s="6">
        <f>IF(Benchmark2[[#This Row],[Comparable '#3 Date Check]]="Pass",INDEX(Comp3[Comparable '#3 Price],MATCH(Benchmark2[[#This Row],[Benchmark '#2 Dates]],Comp3[Comparable '#3 Dates],0)),"-")</f>
        <v>176.06</v>
      </c>
    </row>
    <row r="223" spans="1:11">
      <c r="A223" s="103">
        <v>43607</v>
      </c>
      <c r="B223" s="104">
        <v>12671.99</v>
      </c>
      <c r="C223" s="4">
        <f t="shared" si="3"/>
        <v>-3.8381141532833336E-3</v>
      </c>
      <c r="D223" s="1" t="str">
        <f>IF(COUNTIF(Target1[Target Dates],Benchmark2[[#This Row],[Benchmark '#2 Dates]])=1,"Pass","Fail")</f>
        <v>Pass</v>
      </c>
      <c r="E223" s="6">
        <f>IF(Benchmark2[[#This Row],[Target Date Check]]="Pass",INDEX(Target1[Target Price],MATCH(Benchmark2[[#This Row],[Benchmark '#2 Dates]],Target1[Target Dates],0)),"-")</f>
        <v>31.83</v>
      </c>
      <c r="F223" s="1" t="str">
        <f>IF(COUNTIF(Comp1[Comparable '#1 Dates],Benchmark2[[#This Row],[Benchmark '#2 Dates]])=1,"Pass","Fail")</f>
        <v>Pass</v>
      </c>
      <c r="G223" s="6">
        <f>IF(Benchmark2[[#This Row],[Comparable '#1 Date Check]]="Pass",INDEX(Comp1[Comparable '#1 Price],MATCH(Benchmark2[[#This Row],[Benchmark '#2 Dates]],Comp1[Comparable '#1 Dates],0)),"-")</f>
        <v>16.5</v>
      </c>
      <c r="H223" s="1" t="str">
        <f>IF(COUNTIF(Comp2[Comparable '#2 Dates],Benchmark2[[#This Row],[Benchmark '#2 Dates]])=1,"Pass","Fail")</f>
        <v>Pass</v>
      </c>
      <c r="I223" s="6">
        <f>IF(Benchmark2[[#This Row],[Comparable '#2 Date Check]]="Pass",INDEX(Comp2[Comparable '#2 Price],MATCH(Benchmark2[[#This Row],[Benchmark '#2 Dates]],Comp2[Comparable '#2 Dates],0)),"-")</f>
        <v>43.26</v>
      </c>
      <c r="J223" s="1" t="str">
        <f>IF(COUNTIF(Comp3[Comparable '#3 Dates],Benchmark2[[#This Row],[Benchmark '#2 Dates]])=1,"Pass","Fail")</f>
        <v>Pass</v>
      </c>
      <c r="K223" s="6">
        <f>IF(Benchmark2[[#This Row],[Comparable '#3 Date Check]]="Pass",INDEX(Comp3[Comparable '#3 Price],MATCH(Benchmark2[[#This Row],[Benchmark '#2 Dates]],Comp3[Comparable '#3 Dates],0)),"-")</f>
        <v>176.87</v>
      </c>
    </row>
    <row r="224" spans="1:11">
      <c r="A224" s="103">
        <v>43608</v>
      </c>
      <c r="B224" s="104">
        <v>12525</v>
      </c>
      <c r="C224" s="4">
        <f t="shared" si="3"/>
        <v>-1.1667398959416044E-2</v>
      </c>
      <c r="D224" s="1" t="str">
        <f>IF(COUNTIF(Target1[Target Dates],Benchmark2[[#This Row],[Benchmark '#2 Dates]])=1,"Pass","Fail")</f>
        <v>Pass</v>
      </c>
      <c r="E224" s="6">
        <f>IF(Benchmark2[[#This Row],[Target Date Check]]="Pass",INDEX(Target1[Target Price],MATCH(Benchmark2[[#This Row],[Benchmark '#2 Dates]],Target1[Target Dates],0)),"-")</f>
        <v>31.73</v>
      </c>
      <c r="F224" s="1" t="str">
        <f>IF(COUNTIF(Comp1[Comparable '#1 Dates],Benchmark2[[#This Row],[Benchmark '#2 Dates]])=1,"Pass","Fail")</f>
        <v>Pass</v>
      </c>
      <c r="G224" s="6">
        <f>IF(Benchmark2[[#This Row],[Comparable '#1 Date Check]]="Pass",INDEX(Comp1[Comparable '#1 Price],MATCH(Benchmark2[[#This Row],[Benchmark '#2 Dates]],Comp1[Comparable '#1 Dates],0)),"-")</f>
        <v>16.48</v>
      </c>
      <c r="H224" s="1" t="str">
        <f>IF(COUNTIF(Comp2[Comparable '#2 Dates],Benchmark2[[#This Row],[Benchmark '#2 Dates]])=1,"Pass","Fail")</f>
        <v>Pass</v>
      </c>
      <c r="I224" s="6">
        <f>IF(Benchmark2[[#This Row],[Comparable '#2 Date Check]]="Pass",INDEX(Comp2[Comparable '#2 Price],MATCH(Benchmark2[[#This Row],[Benchmark '#2 Dates]],Comp2[Comparable '#2 Dates],0)),"-")</f>
        <v>43.24</v>
      </c>
      <c r="J224" s="1" t="str">
        <f>IF(COUNTIF(Comp3[Comparable '#3 Dates],Benchmark2[[#This Row],[Benchmark '#2 Dates]])=1,"Pass","Fail")</f>
        <v>Pass</v>
      </c>
      <c r="K224" s="6">
        <f>IF(Benchmark2[[#This Row],[Comparable '#3 Date Check]]="Pass",INDEX(Comp3[Comparable '#3 Price],MATCH(Benchmark2[[#This Row],[Benchmark '#2 Dates]],Comp3[Comparable '#3 Dates],0)),"-")</f>
        <v>176.72</v>
      </c>
    </row>
    <row r="225" spans="1:11">
      <c r="A225" s="103">
        <v>43609</v>
      </c>
      <c r="B225" s="104">
        <v>12581.36</v>
      </c>
      <c r="C225" s="4">
        <f t="shared" si="3"/>
        <v>4.4897065662137083E-3</v>
      </c>
      <c r="D225" s="1" t="str">
        <f>IF(COUNTIF(Target1[Target Dates],Benchmark2[[#This Row],[Benchmark '#2 Dates]])=1,"Pass","Fail")</f>
        <v>Pass</v>
      </c>
      <c r="E225" s="6">
        <f>IF(Benchmark2[[#This Row],[Target Date Check]]="Pass",INDEX(Target1[Target Price],MATCH(Benchmark2[[#This Row],[Benchmark '#2 Dates]],Target1[Target Dates],0)),"-")</f>
        <v>31.98</v>
      </c>
      <c r="F225" s="1" t="str">
        <f>IF(COUNTIF(Comp1[Comparable '#1 Dates],Benchmark2[[#This Row],[Benchmark '#2 Dates]])=1,"Pass","Fail")</f>
        <v>Pass</v>
      </c>
      <c r="G225" s="6">
        <f>IF(Benchmark2[[#This Row],[Comparable '#1 Date Check]]="Pass",INDEX(Comp1[Comparable '#1 Price],MATCH(Benchmark2[[#This Row],[Benchmark '#2 Dates]],Comp1[Comparable '#1 Dates],0)),"-")</f>
        <v>16.489999999999998</v>
      </c>
      <c r="H225" s="1" t="str">
        <f>IF(COUNTIF(Comp2[Comparable '#2 Dates],Benchmark2[[#This Row],[Benchmark '#2 Dates]])=1,"Pass","Fail")</f>
        <v>Pass</v>
      </c>
      <c r="I225" s="6">
        <f>IF(Benchmark2[[#This Row],[Comparable '#2 Date Check]]="Pass",INDEX(Comp2[Comparable '#2 Price],MATCH(Benchmark2[[#This Row],[Benchmark '#2 Dates]],Comp2[Comparable '#2 Dates],0)),"-")</f>
        <v>43.6</v>
      </c>
      <c r="J225" s="1" t="str">
        <f>IF(COUNTIF(Comp3[Comparable '#3 Dates],Benchmark2[[#This Row],[Benchmark '#2 Dates]])=1,"Pass","Fail")</f>
        <v>Pass</v>
      </c>
      <c r="K225" s="6">
        <f>IF(Benchmark2[[#This Row],[Comparable '#3 Date Check]]="Pass",INDEX(Comp3[Comparable '#3 Price],MATCH(Benchmark2[[#This Row],[Benchmark '#2 Dates]],Comp3[Comparable '#3 Dates],0)),"-")</f>
        <v>180.23</v>
      </c>
    </row>
    <row r="226" spans="1:11">
      <c r="A226" s="103">
        <v>43613</v>
      </c>
      <c r="B226" s="104">
        <v>12465.9</v>
      </c>
      <c r="C226" s="4">
        <f t="shared" si="3"/>
        <v>-9.2194370020069732E-3</v>
      </c>
      <c r="D226" s="1" t="str">
        <f>IF(COUNTIF(Target1[Target Dates],Benchmark2[[#This Row],[Benchmark '#2 Dates]])=1,"Pass","Fail")</f>
        <v>Pass</v>
      </c>
      <c r="E226" s="6">
        <f>IF(Benchmark2[[#This Row],[Target Date Check]]="Pass",INDEX(Target1[Target Price],MATCH(Benchmark2[[#This Row],[Benchmark '#2 Dates]],Target1[Target Dates],0)),"-")</f>
        <v>31.42</v>
      </c>
      <c r="F226" s="1" t="str">
        <f>IF(COUNTIF(Comp1[Comparable '#1 Dates],Benchmark2[[#This Row],[Benchmark '#2 Dates]])=1,"Pass","Fail")</f>
        <v>Pass</v>
      </c>
      <c r="G226" s="6">
        <f>IF(Benchmark2[[#This Row],[Comparable '#1 Date Check]]="Pass",INDEX(Comp1[Comparable '#1 Price],MATCH(Benchmark2[[#This Row],[Benchmark '#2 Dates]],Comp1[Comparable '#1 Dates],0)),"-")</f>
        <v>16.47</v>
      </c>
      <c r="H226" s="1" t="str">
        <f>IF(COUNTIF(Comp2[Comparable '#2 Dates],Benchmark2[[#This Row],[Benchmark '#2 Dates]])=1,"Pass","Fail")</f>
        <v>Pass</v>
      </c>
      <c r="I226" s="6">
        <f>IF(Benchmark2[[#This Row],[Comparable '#2 Date Check]]="Pass",INDEX(Comp2[Comparable '#2 Price],MATCH(Benchmark2[[#This Row],[Benchmark '#2 Dates]],Comp2[Comparable '#2 Dates],0)),"-")</f>
        <v>43.44</v>
      </c>
      <c r="J226" s="1" t="str">
        <f>IF(COUNTIF(Comp3[Comparable '#3 Dates],Benchmark2[[#This Row],[Benchmark '#2 Dates]])=1,"Pass","Fail")</f>
        <v>Pass</v>
      </c>
      <c r="K226" s="6">
        <f>IF(Benchmark2[[#This Row],[Comparable '#3 Date Check]]="Pass",INDEX(Comp3[Comparable '#3 Price],MATCH(Benchmark2[[#This Row],[Benchmark '#2 Dates]],Comp3[Comparable '#3 Dates],0)),"-")</f>
        <v>178.5</v>
      </c>
    </row>
    <row r="227" spans="1:11">
      <c r="A227" s="103">
        <v>43614</v>
      </c>
      <c r="B227" s="104">
        <v>12386.21</v>
      </c>
      <c r="C227" s="4">
        <f t="shared" si="3"/>
        <v>-6.4131595368032554E-3</v>
      </c>
      <c r="D227" s="1" t="str">
        <f>IF(COUNTIF(Target1[Target Dates],Benchmark2[[#This Row],[Benchmark '#2 Dates]])=1,"Pass","Fail")</f>
        <v>Pass</v>
      </c>
      <c r="E227" s="6">
        <f>IF(Benchmark2[[#This Row],[Target Date Check]]="Pass",INDEX(Target1[Target Price],MATCH(Benchmark2[[#This Row],[Benchmark '#2 Dates]],Target1[Target Dates],0)),"-")</f>
        <v>30.6</v>
      </c>
      <c r="F227" s="1" t="str">
        <f>IF(COUNTIF(Comp1[Comparable '#1 Dates],Benchmark2[[#This Row],[Benchmark '#2 Dates]])=1,"Pass","Fail")</f>
        <v>Pass</v>
      </c>
      <c r="G227" s="6">
        <f>IF(Benchmark2[[#This Row],[Comparable '#1 Date Check]]="Pass",INDEX(Comp1[Comparable '#1 Price],MATCH(Benchmark2[[#This Row],[Benchmark '#2 Dates]],Comp1[Comparable '#1 Dates],0)),"-")</f>
        <v>16.53</v>
      </c>
      <c r="H227" s="1" t="str">
        <f>IF(COUNTIF(Comp2[Comparable '#2 Dates],Benchmark2[[#This Row],[Benchmark '#2 Dates]])=1,"Pass","Fail")</f>
        <v>Pass</v>
      </c>
      <c r="I227" s="6">
        <f>IF(Benchmark2[[#This Row],[Comparable '#2 Date Check]]="Pass",INDEX(Comp2[Comparable '#2 Price],MATCH(Benchmark2[[#This Row],[Benchmark '#2 Dates]],Comp2[Comparable '#2 Dates],0)),"-")</f>
        <v>43.78</v>
      </c>
      <c r="J227" s="1" t="str">
        <f>IF(COUNTIF(Comp3[Comparable '#3 Dates],Benchmark2[[#This Row],[Benchmark '#2 Dates]])=1,"Pass","Fail")</f>
        <v>Pass</v>
      </c>
      <c r="K227" s="6">
        <f>IF(Benchmark2[[#This Row],[Comparable '#3 Date Check]]="Pass",INDEX(Comp3[Comparable '#3 Price],MATCH(Benchmark2[[#This Row],[Benchmark '#2 Dates]],Comp3[Comparable '#3 Dates],0)),"-")</f>
        <v>176.67</v>
      </c>
    </row>
    <row r="228" spans="1:11">
      <c r="A228" s="103">
        <v>43615</v>
      </c>
      <c r="B228" s="104">
        <v>12393.66</v>
      </c>
      <c r="C228" s="4">
        <f t="shared" si="3"/>
        <v>6.0129453661115042E-4</v>
      </c>
      <c r="D228" s="1" t="str">
        <f>IF(COUNTIF(Target1[Target Dates],Benchmark2[[#This Row],[Benchmark '#2 Dates]])=1,"Pass","Fail")</f>
        <v>Pass</v>
      </c>
      <c r="E228" s="6">
        <f>IF(Benchmark2[[#This Row],[Target Date Check]]="Pass",INDEX(Target1[Target Price],MATCH(Benchmark2[[#This Row],[Benchmark '#2 Dates]],Target1[Target Dates],0)),"-")</f>
        <v>30.68</v>
      </c>
      <c r="F228" s="1" t="str">
        <f>IF(COUNTIF(Comp1[Comparable '#1 Dates],Benchmark2[[#This Row],[Benchmark '#2 Dates]])=1,"Pass","Fail")</f>
        <v>Pass</v>
      </c>
      <c r="G228" s="6">
        <f>IF(Benchmark2[[#This Row],[Comparable '#1 Date Check]]="Pass",INDEX(Comp1[Comparable '#1 Price],MATCH(Benchmark2[[#This Row],[Benchmark '#2 Dates]],Comp1[Comparable '#1 Dates],0)),"-")</f>
        <v>16.5</v>
      </c>
      <c r="H228" s="1" t="str">
        <f>IF(COUNTIF(Comp2[Comparable '#2 Dates],Benchmark2[[#This Row],[Benchmark '#2 Dates]])=1,"Pass","Fail")</f>
        <v>Pass</v>
      </c>
      <c r="I228" s="6">
        <f>IF(Benchmark2[[#This Row],[Comparable '#2 Date Check]]="Pass",INDEX(Comp2[Comparable '#2 Price],MATCH(Benchmark2[[#This Row],[Benchmark '#2 Dates]],Comp2[Comparable '#2 Dates],0)),"-")</f>
        <v>44.02</v>
      </c>
      <c r="J228" s="1" t="str">
        <f>IF(COUNTIF(Comp3[Comparable '#3 Dates],Benchmark2[[#This Row],[Benchmark '#2 Dates]])=1,"Pass","Fail")</f>
        <v>Pass</v>
      </c>
      <c r="K228" s="6">
        <f>IF(Benchmark2[[#This Row],[Comparable '#3 Date Check]]="Pass",INDEX(Comp3[Comparable '#3 Price],MATCH(Benchmark2[[#This Row],[Benchmark '#2 Dates]],Comp3[Comparable '#3 Dates],0)),"-")</f>
        <v>178.3</v>
      </c>
    </row>
    <row r="229" spans="1:11">
      <c r="A229" s="103">
        <v>43616</v>
      </c>
      <c r="B229" s="104">
        <v>12264.49</v>
      </c>
      <c r="C229" s="4">
        <f t="shared" si="3"/>
        <v>-1.0476956425683798E-2</v>
      </c>
      <c r="D229" s="1" t="str">
        <f>IF(COUNTIF(Target1[Target Dates],Benchmark2[[#This Row],[Benchmark '#2 Dates]])=1,"Pass","Fail")</f>
        <v>Pass</v>
      </c>
      <c r="E229" s="6">
        <f>IF(Benchmark2[[#This Row],[Target Date Check]]="Pass",INDEX(Target1[Target Price],MATCH(Benchmark2[[#This Row],[Benchmark '#2 Dates]],Target1[Target Dates],0)),"-")</f>
        <v>30.57</v>
      </c>
      <c r="F229" s="1" t="str">
        <f>IF(COUNTIF(Comp1[Comparable '#1 Dates],Benchmark2[[#This Row],[Benchmark '#2 Dates]])=1,"Pass","Fail")</f>
        <v>Pass</v>
      </c>
      <c r="G229" s="6">
        <f>IF(Benchmark2[[#This Row],[Comparable '#1 Date Check]]="Pass",INDEX(Comp1[Comparable '#1 Price],MATCH(Benchmark2[[#This Row],[Benchmark '#2 Dates]],Comp1[Comparable '#1 Dates],0)),"-")</f>
        <v>16.059999999999999</v>
      </c>
      <c r="H229" s="1" t="str">
        <f>IF(COUNTIF(Comp2[Comparable '#2 Dates],Benchmark2[[#This Row],[Benchmark '#2 Dates]])=1,"Pass","Fail")</f>
        <v>Pass</v>
      </c>
      <c r="I229" s="6">
        <f>IF(Benchmark2[[#This Row],[Comparable '#2 Date Check]]="Pass",INDEX(Comp2[Comparable '#2 Price],MATCH(Benchmark2[[#This Row],[Benchmark '#2 Dates]],Comp2[Comparable '#2 Dates],0)),"-")</f>
        <v>43.96</v>
      </c>
      <c r="J229" s="1" t="str">
        <f>IF(COUNTIF(Comp3[Comparable '#3 Dates],Benchmark2[[#This Row],[Benchmark '#2 Dates]])=1,"Pass","Fail")</f>
        <v>Pass</v>
      </c>
      <c r="K229" s="6">
        <f>IF(Benchmark2[[#This Row],[Comparable '#3 Date Check]]="Pass",INDEX(Comp3[Comparable '#3 Price],MATCH(Benchmark2[[#This Row],[Benchmark '#2 Dates]],Comp3[Comparable '#3 Dates],0)),"-")</f>
        <v>175.99</v>
      </c>
    </row>
    <row r="230" spans="1:11">
      <c r="A230" s="103">
        <v>43619</v>
      </c>
      <c r="B230" s="104">
        <v>12341.82</v>
      </c>
      <c r="C230" s="4">
        <f t="shared" si="3"/>
        <v>6.2854003371281657E-3</v>
      </c>
      <c r="D230" s="1" t="str">
        <f>IF(COUNTIF(Target1[Target Dates],Benchmark2[[#This Row],[Benchmark '#2 Dates]])=1,"Pass","Fail")</f>
        <v>Pass</v>
      </c>
      <c r="E230" s="6">
        <f>IF(Benchmark2[[#This Row],[Target Date Check]]="Pass",INDEX(Target1[Target Price],MATCH(Benchmark2[[#This Row],[Benchmark '#2 Dates]],Target1[Target Dates],0)),"-")</f>
        <v>31.63</v>
      </c>
      <c r="F230" s="1" t="str">
        <f>IF(COUNTIF(Comp1[Comparable '#1 Dates],Benchmark2[[#This Row],[Benchmark '#2 Dates]])=1,"Pass","Fail")</f>
        <v>Pass</v>
      </c>
      <c r="G230" s="6">
        <f>IF(Benchmark2[[#This Row],[Comparable '#1 Date Check]]="Pass",INDEX(Comp1[Comparable '#1 Price],MATCH(Benchmark2[[#This Row],[Benchmark '#2 Dates]],Comp1[Comparable '#1 Dates],0)),"-")</f>
        <v>16.45</v>
      </c>
      <c r="H230" s="1" t="str">
        <f>IF(COUNTIF(Comp2[Comparable '#2 Dates],Benchmark2[[#This Row],[Benchmark '#2 Dates]])=1,"Pass","Fail")</f>
        <v>Pass</v>
      </c>
      <c r="I230" s="6">
        <f>IF(Benchmark2[[#This Row],[Comparable '#2 Date Check]]="Pass",INDEX(Comp2[Comparable '#2 Price],MATCH(Benchmark2[[#This Row],[Benchmark '#2 Dates]],Comp2[Comparable '#2 Dates],0)),"-")</f>
        <v>44.2</v>
      </c>
      <c r="J230" s="1" t="str">
        <f>IF(COUNTIF(Comp3[Comparable '#3 Dates],Benchmark2[[#This Row],[Benchmark '#2 Dates]])=1,"Pass","Fail")</f>
        <v>Pass</v>
      </c>
      <c r="K230" s="6">
        <f>IF(Benchmark2[[#This Row],[Comparable '#3 Date Check]]="Pass",INDEX(Comp3[Comparable '#3 Price],MATCH(Benchmark2[[#This Row],[Benchmark '#2 Dates]],Comp3[Comparable '#3 Dates],0)),"-")</f>
        <v>178.46</v>
      </c>
    </row>
    <row r="231" spans="1:11">
      <c r="A231" s="103">
        <v>43620</v>
      </c>
      <c r="B231" s="104">
        <v>12560.58</v>
      </c>
      <c r="C231" s="4">
        <f t="shared" si="3"/>
        <v>1.7569842871427498E-2</v>
      </c>
      <c r="D231" s="1" t="str">
        <f>IF(COUNTIF(Target1[Target Dates],Benchmark2[[#This Row],[Benchmark '#2 Dates]])=1,"Pass","Fail")</f>
        <v>Pass</v>
      </c>
      <c r="E231" s="6">
        <f>IF(Benchmark2[[#This Row],[Target Date Check]]="Pass",INDEX(Target1[Target Price],MATCH(Benchmark2[[#This Row],[Benchmark '#2 Dates]],Target1[Target Dates],0)),"-")</f>
        <v>32.69</v>
      </c>
      <c r="F231" s="1" t="str">
        <f>IF(COUNTIF(Comp1[Comparable '#1 Dates],Benchmark2[[#This Row],[Benchmark '#2 Dates]])=1,"Pass","Fail")</f>
        <v>Pass</v>
      </c>
      <c r="G231" s="6">
        <f>IF(Benchmark2[[#This Row],[Comparable '#1 Date Check]]="Pass",INDEX(Comp1[Comparable '#1 Price],MATCH(Benchmark2[[#This Row],[Benchmark '#2 Dates]],Comp1[Comparable '#1 Dates],0)),"-")</f>
        <v>16.829999999999998</v>
      </c>
      <c r="H231" s="1" t="str">
        <f>IF(COUNTIF(Comp2[Comparable '#2 Dates],Benchmark2[[#This Row],[Benchmark '#2 Dates]])=1,"Pass","Fail")</f>
        <v>Pass</v>
      </c>
      <c r="I231" s="6">
        <f>IF(Benchmark2[[#This Row],[Comparable '#2 Date Check]]="Pass",INDEX(Comp2[Comparable '#2 Price],MATCH(Benchmark2[[#This Row],[Benchmark '#2 Dates]],Comp2[Comparable '#2 Dates],0)),"-")</f>
        <v>45.2</v>
      </c>
      <c r="J231" s="1" t="str">
        <f>IF(COUNTIF(Comp3[Comparable '#3 Dates],Benchmark2[[#This Row],[Benchmark '#2 Dates]])=1,"Pass","Fail")</f>
        <v>Pass</v>
      </c>
      <c r="K231" s="6">
        <f>IF(Benchmark2[[#This Row],[Comparable '#3 Date Check]]="Pass",INDEX(Comp3[Comparable '#3 Price],MATCH(Benchmark2[[#This Row],[Benchmark '#2 Dates]],Comp3[Comparable '#3 Dates],0)),"-")</f>
        <v>181.34</v>
      </c>
    </row>
    <row r="232" spans="1:11">
      <c r="A232" s="103">
        <v>43621</v>
      </c>
      <c r="B232" s="104">
        <v>12614.7</v>
      </c>
      <c r="C232" s="4">
        <f t="shared" si="3"/>
        <v>4.2994622795869668E-3</v>
      </c>
      <c r="D232" s="1" t="str">
        <f>IF(COUNTIF(Target1[Target Dates],Benchmark2[[#This Row],[Benchmark '#2 Dates]])=1,"Pass","Fail")</f>
        <v>Pass</v>
      </c>
      <c r="E232" s="6">
        <f>IF(Benchmark2[[#This Row],[Target Date Check]]="Pass",INDEX(Target1[Target Price],MATCH(Benchmark2[[#This Row],[Benchmark '#2 Dates]],Target1[Target Dates],0)),"-")</f>
        <v>31.91</v>
      </c>
      <c r="F232" s="1" t="str">
        <f>IF(COUNTIF(Comp1[Comparable '#1 Dates],Benchmark2[[#This Row],[Benchmark '#2 Dates]])=1,"Pass","Fail")</f>
        <v>Pass</v>
      </c>
      <c r="G232" s="6">
        <f>IF(Benchmark2[[#This Row],[Comparable '#1 Date Check]]="Pass",INDEX(Comp1[Comparable '#1 Price],MATCH(Benchmark2[[#This Row],[Benchmark '#2 Dates]],Comp1[Comparable '#1 Dates],0)),"-")</f>
        <v>17.010000000000002</v>
      </c>
      <c r="H232" s="1" t="str">
        <f>IF(COUNTIF(Comp2[Comparable '#2 Dates],Benchmark2[[#This Row],[Benchmark '#2 Dates]])=1,"Pass","Fail")</f>
        <v>Pass</v>
      </c>
      <c r="I232" s="6">
        <f>IF(Benchmark2[[#This Row],[Comparable '#2 Date Check]]="Pass",INDEX(Comp2[Comparable '#2 Price],MATCH(Benchmark2[[#This Row],[Benchmark '#2 Dates]],Comp2[Comparable '#2 Dates],0)),"-")</f>
        <v>45.09</v>
      </c>
      <c r="J232" s="1" t="str">
        <f>IF(COUNTIF(Comp3[Comparable '#3 Dates],Benchmark2[[#This Row],[Benchmark '#2 Dates]])=1,"Pass","Fail")</f>
        <v>Pass</v>
      </c>
      <c r="K232" s="6">
        <f>IF(Benchmark2[[#This Row],[Comparable '#3 Date Check]]="Pass",INDEX(Comp3[Comparable '#3 Price],MATCH(Benchmark2[[#This Row],[Benchmark '#2 Dates]],Comp3[Comparable '#3 Dates],0)),"-")</f>
        <v>184.79</v>
      </c>
    </row>
    <row r="233" spans="1:11">
      <c r="A233" s="103">
        <v>43622</v>
      </c>
      <c r="B233" s="104">
        <v>12675.66</v>
      </c>
      <c r="C233" s="4">
        <f t="shared" si="3"/>
        <v>4.8208185301145722E-3</v>
      </c>
      <c r="D233" s="1" t="str">
        <f>IF(COUNTIF(Target1[Target Dates],Benchmark2[[#This Row],[Benchmark '#2 Dates]])=1,"Pass","Fail")</f>
        <v>Pass</v>
      </c>
      <c r="E233" s="6">
        <f>IF(Benchmark2[[#This Row],[Target Date Check]]="Pass",INDEX(Target1[Target Price],MATCH(Benchmark2[[#This Row],[Benchmark '#2 Dates]],Target1[Target Dates],0)),"-")</f>
        <v>31.61</v>
      </c>
      <c r="F233" s="1" t="str">
        <f>IF(COUNTIF(Comp1[Comparable '#1 Dates],Benchmark2[[#This Row],[Benchmark '#2 Dates]])=1,"Pass","Fail")</f>
        <v>Pass</v>
      </c>
      <c r="G233" s="6">
        <f>IF(Benchmark2[[#This Row],[Comparable '#1 Date Check]]="Pass",INDEX(Comp1[Comparable '#1 Price],MATCH(Benchmark2[[#This Row],[Benchmark '#2 Dates]],Comp1[Comparable '#1 Dates],0)),"-")</f>
        <v>17.010000000000002</v>
      </c>
      <c r="H233" s="1" t="str">
        <f>IF(COUNTIF(Comp2[Comparable '#2 Dates],Benchmark2[[#This Row],[Benchmark '#2 Dates]])=1,"Pass","Fail")</f>
        <v>Pass</v>
      </c>
      <c r="I233" s="6">
        <f>IF(Benchmark2[[#This Row],[Comparable '#2 Date Check]]="Pass",INDEX(Comp2[Comparable '#2 Price],MATCH(Benchmark2[[#This Row],[Benchmark '#2 Dates]],Comp2[Comparable '#2 Dates],0)),"-")</f>
        <v>44.52</v>
      </c>
      <c r="J233" s="1" t="str">
        <f>IF(COUNTIF(Comp3[Comparable '#3 Dates],Benchmark2[[#This Row],[Benchmark '#2 Dates]])=1,"Pass","Fail")</f>
        <v>Pass</v>
      </c>
      <c r="K233" s="6">
        <f>IF(Benchmark2[[#This Row],[Comparable '#3 Date Check]]="Pass",INDEX(Comp3[Comparable '#3 Price],MATCH(Benchmark2[[#This Row],[Benchmark '#2 Dates]],Comp3[Comparable '#3 Dates],0)),"-")</f>
        <v>183.95</v>
      </c>
    </row>
    <row r="234" spans="1:11">
      <c r="A234" s="103">
        <v>43623</v>
      </c>
      <c r="B234" s="104">
        <v>12765.86</v>
      </c>
      <c r="C234" s="4">
        <f t="shared" si="3"/>
        <v>7.0908010161042654E-3</v>
      </c>
      <c r="D234" s="1" t="str">
        <f>IF(COUNTIF(Target1[Target Dates],Benchmark2[[#This Row],[Benchmark '#2 Dates]])=1,"Pass","Fail")</f>
        <v>Pass</v>
      </c>
      <c r="E234" s="6">
        <f>IF(Benchmark2[[#This Row],[Target Date Check]]="Pass",INDEX(Target1[Target Price],MATCH(Benchmark2[[#This Row],[Benchmark '#2 Dates]],Target1[Target Dates],0)),"-")</f>
        <v>31.65</v>
      </c>
      <c r="F234" s="1" t="str">
        <f>IF(COUNTIF(Comp1[Comparable '#1 Dates],Benchmark2[[#This Row],[Benchmark '#2 Dates]])=1,"Pass","Fail")</f>
        <v>Pass</v>
      </c>
      <c r="G234" s="6">
        <f>IF(Benchmark2[[#This Row],[Comparable '#1 Date Check]]="Pass",INDEX(Comp1[Comparable '#1 Price],MATCH(Benchmark2[[#This Row],[Benchmark '#2 Dates]],Comp1[Comparable '#1 Dates],0)),"-")</f>
        <v>16.57</v>
      </c>
      <c r="H234" s="1" t="str">
        <f>IF(COUNTIF(Comp2[Comparable '#2 Dates],Benchmark2[[#This Row],[Benchmark '#2 Dates]])=1,"Pass","Fail")</f>
        <v>Pass</v>
      </c>
      <c r="I234" s="6">
        <f>IF(Benchmark2[[#This Row],[Comparable '#2 Date Check]]="Pass",INDEX(Comp2[Comparable '#2 Price],MATCH(Benchmark2[[#This Row],[Benchmark '#2 Dates]],Comp2[Comparable '#2 Dates],0)),"-")</f>
        <v>44.81</v>
      </c>
      <c r="J234" s="1" t="str">
        <f>IF(COUNTIF(Comp3[Comparable '#3 Dates],Benchmark2[[#This Row],[Benchmark '#2 Dates]])=1,"Pass","Fail")</f>
        <v>Pass</v>
      </c>
      <c r="K234" s="6">
        <f>IF(Benchmark2[[#This Row],[Comparable '#3 Date Check]]="Pass",INDEX(Comp3[Comparable '#3 Price],MATCH(Benchmark2[[#This Row],[Benchmark '#2 Dates]],Comp3[Comparable '#3 Dates],0)),"-")</f>
        <v>182.84</v>
      </c>
    </row>
    <row r="235" spans="1:11">
      <c r="A235" s="103">
        <v>43626</v>
      </c>
      <c r="B235" s="104">
        <v>12802.04</v>
      </c>
      <c r="C235" s="4">
        <f t="shared" si="3"/>
        <v>2.8301130831051152E-3</v>
      </c>
      <c r="D235" s="1" t="str">
        <f>IF(COUNTIF(Target1[Target Dates],Benchmark2[[#This Row],[Benchmark '#2 Dates]])=1,"Pass","Fail")</f>
        <v>Pass</v>
      </c>
      <c r="E235" s="6">
        <f>IF(Benchmark2[[#This Row],[Target Date Check]]="Pass",INDEX(Target1[Target Price],MATCH(Benchmark2[[#This Row],[Benchmark '#2 Dates]],Target1[Target Dates],0)),"-")</f>
        <v>31.65</v>
      </c>
      <c r="F235" s="1" t="str">
        <f>IF(COUNTIF(Comp1[Comparable '#1 Dates],Benchmark2[[#This Row],[Benchmark '#2 Dates]])=1,"Pass","Fail")</f>
        <v>Pass</v>
      </c>
      <c r="G235" s="6">
        <f>IF(Benchmark2[[#This Row],[Comparable '#1 Date Check]]="Pass",INDEX(Comp1[Comparable '#1 Price],MATCH(Benchmark2[[#This Row],[Benchmark '#2 Dates]],Comp1[Comparable '#1 Dates],0)),"-")</f>
        <v>16.48</v>
      </c>
      <c r="H235" s="1" t="str">
        <f>IF(COUNTIF(Comp2[Comparable '#2 Dates],Benchmark2[[#This Row],[Benchmark '#2 Dates]])=1,"Pass","Fail")</f>
        <v>Pass</v>
      </c>
      <c r="I235" s="6">
        <f>IF(Benchmark2[[#This Row],[Comparable '#2 Date Check]]="Pass",INDEX(Comp2[Comparable '#2 Price],MATCH(Benchmark2[[#This Row],[Benchmark '#2 Dates]],Comp2[Comparable '#2 Dates],0)),"-")</f>
        <v>44.18</v>
      </c>
      <c r="J235" s="1" t="str">
        <f>IF(COUNTIF(Comp3[Comparable '#3 Dates],Benchmark2[[#This Row],[Benchmark '#2 Dates]])=1,"Pass","Fail")</f>
        <v>Pass</v>
      </c>
      <c r="K235" s="6">
        <f>IF(Benchmark2[[#This Row],[Comparable '#3 Date Check]]="Pass",INDEX(Comp3[Comparable '#3 Price],MATCH(Benchmark2[[#This Row],[Benchmark '#2 Dates]],Comp3[Comparable '#3 Dates],0)),"-")</f>
        <v>179.37</v>
      </c>
    </row>
    <row r="236" spans="1:11">
      <c r="A236" s="103">
        <v>43627</v>
      </c>
      <c r="B236" s="104">
        <v>12813.91</v>
      </c>
      <c r="C236" s="4">
        <f t="shared" si="3"/>
        <v>9.2676639746648408E-4</v>
      </c>
      <c r="D236" s="1" t="str">
        <f>IF(COUNTIF(Target1[Target Dates],Benchmark2[[#This Row],[Benchmark '#2 Dates]])=1,"Pass","Fail")</f>
        <v>Pass</v>
      </c>
      <c r="E236" s="6">
        <f>IF(Benchmark2[[#This Row],[Target Date Check]]="Pass",INDEX(Target1[Target Price],MATCH(Benchmark2[[#This Row],[Benchmark '#2 Dates]],Target1[Target Dates],0)),"-")</f>
        <v>30.88</v>
      </c>
      <c r="F236" s="1" t="str">
        <f>IF(COUNTIF(Comp1[Comparable '#1 Dates],Benchmark2[[#This Row],[Benchmark '#2 Dates]])=1,"Pass","Fail")</f>
        <v>Pass</v>
      </c>
      <c r="G236" s="6">
        <f>IF(Benchmark2[[#This Row],[Comparable '#1 Date Check]]="Pass",INDEX(Comp1[Comparable '#1 Price],MATCH(Benchmark2[[#This Row],[Benchmark '#2 Dates]],Comp1[Comparable '#1 Dates],0)),"-")</f>
        <v>16.329999999999998</v>
      </c>
      <c r="H236" s="1" t="str">
        <f>IF(COUNTIF(Comp2[Comparable '#2 Dates],Benchmark2[[#This Row],[Benchmark '#2 Dates]])=1,"Pass","Fail")</f>
        <v>Pass</v>
      </c>
      <c r="I236" s="6">
        <f>IF(Benchmark2[[#This Row],[Comparable '#2 Date Check]]="Pass",INDEX(Comp2[Comparable '#2 Price],MATCH(Benchmark2[[#This Row],[Benchmark '#2 Dates]],Comp2[Comparable '#2 Dates],0)),"-")</f>
        <v>43.93</v>
      </c>
      <c r="J236" s="1" t="str">
        <f>IF(COUNTIF(Comp3[Comparable '#3 Dates],Benchmark2[[#This Row],[Benchmark '#2 Dates]])=1,"Pass","Fail")</f>
        <v>Pass</v>
      </c>
      <c r="K236" s="6">
        <f>IF(Benchmark2[[#This Row],[Comparable '#3 Date Check]]="Pass",INDEX(Comp3[Comparable '#3 Price],MATCH(Benchmark2[[#This Row],[Benchmark '#2 Dates]],Comp3[Comparable '#3 Dates],0)),"-")</f>
        <v>178.92</v>
      </c>
    </row>
    <row r="237" spans="1:11">
      <c r="A237" s="103">
        <v>43628</v>
      </c>
      <c r="B237" s="104">
        <v>12784.83</v>
      </c>
      <c r="C237" s="4">
        <f t="shared" si="3"/>
        <v>-2.2719878016709328E-3</v>
      </c>
      <c r="D237" s="1" t="str">
        <f>IF(COUNTIF(Target1[Target Dates],Benchmark2[[#This Row],[Benchmark '#2 Dates]])=1,"Pass","Fail")</f>
        <v>Pass</v>
      </c>
      <c r="E237" s="6">
        <f>IF(Benchmark2[[#This Row],[Target Date Check]]="Pass",INDEX(Target1[Target Price],MATCH(Benchmark2[[#This Row],[Benchmark '#2 Dates]],Target1[Target Dates],0)),"-")</f>
        <v>31.12</v>
      </c>
      <c r="F237" s="1" t="str">
        <f>IF(COUNTIF(Comp1[Comparable '#1 Dates],Benchmark2[[#This Row],[Benchmark '#2 Dates]])=1,"Pass","Fail")</f>
        <v>Pass</v>
      </c>
      <c r="G237" s="6">
        <f>IF(Benchmark2[[#This Row],[Comparable '#1 Date Check]]="Pass",INDEX(Comp1[Comparable '#1 Price],MATCH(Benchmark2[[#This Row],[Benchmark '#2 Dates]],Comp1[Comparable '#1 Dates],0)),"-")</f>
        <v>16.28</v>
      </c>
      <c r="H237" s="1" t="str">
        <f>IF(COUNTIF(Comp2[Comparable '#2 Dates],Benchmark2[[#This Row],[Benchmark '#2 Dates]])=1,"Pass","Fail")</f>
        <v>Pass</v>
      </c>
      <c r="I237" s="6">
        <f>IF(Benchmark2[[#This Row],[Comparable '#2 Date Check]]="Pass",INDEX(Comp2[Comparable '#2 Price],MATCH(Benchmark2[[#This Row],[Benchmark '#2 Dates]],Comp2[Comparable '#2 Dates],0)),"-")</f>
        <v>44.18</v>
      </c>
      <c r="J237" s="1" t="str">
        <f>IF(COUNTIF(Comp3[Comparable '#3 Dates],Benchmark2[[#This Row],[Benchmark '#2 Dates]])=1,"Pass","Fail")</f>
        <v>Pass</v>
      </c>
      <c r="K237" s="6">
        <f>IF(Benchmark2[[#This Row],[Comparable '#3 Date Check]]="Pass",INDEX(Comp3[Comparable '#3 Price],MATCH(Benchmark2[[#This Row],[Benchmark '#2 Dates]],Comp3[Comparable '#3 Dates],0)),"-")</f>
        <v>181.05</v>
      </c>
    </row>
    <row r="238" spans="1:11">
      <c r="A238" s="103">
        <v>43629</v>
      </c>
      <c r="B238" s="104">
        <v>12827.52</v>
      </c>
      <c r="C238" s="4">
        <f t="shared" si="3"/>
        <v>3.3335511605094297E-3</v>
      </c>
      <c r="D238" s="1" t="str">
        <f>IF(COUNTIF(Target1[Target Dates],Benchmark2[[#This Row],[Benchmark '#2 Dates]])=1,"Pass","Fail")</f>
        <v>Pass</v>
      </c>
      <c r="E238" s="6">
        <f>IF(Benchmark2[[#This Row],[Target Date Check]]="Pass",INDEX(Target1[Target Price],MATCH(Benchmark2[[#This Row],[Benchmark '#2 Dates]],Target1[Target Dates],0)),"-")</f>
        <v>31.15</v>
      </c>
      <c r="F238" s="1" t="str">
        <f>IF(COUNTIF(Comp1[Comparable '#1 Dates],Benchmark2[[#This Row],[Benchmark '#2 Dates]])=1,"Pass","Fail")</f>
        <v>Pass</v>
      </c>
      <c r="G238" s="6">
        <f>IF(Benchmark2[[#This Row],[Comparable '#1 Date Check]]="Pass",INDEX(Comp1[Comparable '#1 Price],MATCH(Benchmark2[[#This Row],[Benchmark '#2 Dates]],Comp1[Comparable '#1 Dates],0)),"-")</f>
        <v>15.81</v>
      </c>
      <c r="H238" s="1" t="str">
        <f>IF(COUNTIF(Comp2[Comparable '#2 Dates],Benchmark2[[#This Row],[Benchmark '#2 Dates]])=1,"Pass","Fail")</f>
        <v>Pass</v>
      </c>
      <c r="I238" s="6">
        <f>IF(Benchmark2[[#This Row],[Comparable '#2 Date Check]]="Pass",INDEX(Comp2[Comparable '#2 Price],MATCH(Benchmark2[[#This Row],[Benchmark '#2 Dates]],Comp2[Comparable '#2 Dates],0)),"-")</f>
        <v>44.25</v>
      </c>
      <c r="J238" s="1" t="str">
        <f>IF(COUNTIF(Comp3[Comparable '#3 Dates],Benchmark2[[#This Row],[Benchmark '#2 Dates]])=1,"Pass","Fail")</f>
        <v>Pass</v>
      </c>
      <c r="K238" s="6">
        <f>IF(Benchmark2[[#This Row],[Comparable '#3 Date Check]]="Pass",INDEX(Comp3[Comparable '#3 Price],MATCH(Benchmark2[[#This Row],[Benchmark '#2 Dates]],Comp3[Comparable '#3 Dates],0)),"-")</f>
        <v>180.84</v>
      </c>
    </row>
    <row r="239" spans="1:11">
      <c r="A239" s="103">
        <v>43630</v>
      </c>
      <c r="B239" s="104">
        <v>12787.25</v>
      </c>
      <c r="C239" s="4">
        <f t="shared" si="3"/>
        <v>-3.1442822385270128E-3</v>
      </c>
      <c r="D239" s="1" t="str">
        <f>IF(COUNTIF(Target1[Target Dates],Benchmark2[[#This Row],[Benchmark '#2 Dates]])=1,"Pass","Fail")</f>
        <v>Pass</v>
      </c>
      <c r="E239" s="6">
        <f>IF(Benchmark2[[#This Row],[Target Date Check]]="Pass",INDEX(Target1[Target Price],MATCH(Benchmark2[[#This Row],[Benchmark '#2 Dates]],Target1[Target Dates],0)),"-")</f>
        <v>30.76</v>
      </c>
      <c r="F239" s="1" t="str">
        <f>IF(COUNTIF(Comp1[Comparable '#1 Dates],Benchmark2[[#This Row],[Benchmark '#2 Dates]])=1,"Pass","Fail")</f>
        <v>Pass</v>
      </c>
      <c r="G239" s="6">
        <f>IF(Benchmark2[[#This Row],[Comparable '#1 Date Check]]="Pass",INDEX(Comp1[Comparable '#1 Price],MATCH(Benchmark2[[#This Row],[Benchmark '#2 Dates]],Comp1[Comparable '#1 Dates],0)),"-")</f>
        <v>15.88</v>
      </c>
      <c r="H239" s="1" t="str">
        <f>IF(COUNTIF(Comp2[Comparable '#2 Dates],Benchmark2[[#This Row],[Benchmark '#2 Dates]])=1,"Pass","Fail")</f>
        <v>Pass</v>
      </c>
      <c r="I239" s="6">
        <f>IF(Benchmark2[[#This Row],[Comparable '#2 Date Check]]="Pass",INDEX(Comp2[Comparable '#2 Price],MATCH(Benchmark2[[#This Row],[Benchmark '#2 Dates]],Comp2[Comparable '#2 Dates],0)),"-")</f>
        <v>44.68</v>
      </c>
      <c r="J239" s="1" t="str">
        <f>IF(COUNTIF(Comp3[Comparable '#3 Dates],Benchmark2[[#This Row],[Benchmark '#2 Dates]])=1,"Pass","Fail")</f>
        <v>Pass</v>
      </c>
      <c r="K239" s="6">
        <f>IF(Benchmark2[[#This Row],[Comparable '#3 Date Check]]="Pass",INDEX(Comp3[Comparable '#3 Price],MATCH(Benchmark2[[#This Row],[Benchmark '#2 Dates]],Comp3[Comparable '#3 Dates],0)),"-")</f>
        <v>181.08</v>
      </c>
    </row>
    <row r="240" spans="1:11">
      <c r="A240" s="103">
        <v>43633</v>
      </c>
      <c r="B240" s="104">
        <v>12775.52</v>
      </c>
      <c r="C240" s="4">
        <f t="shared" si="3"/>
        <v>-9.1774098216258261E-4</v>
      </c>
      <c r="D240" s="1" t="str">
        <f>IF(COUNTIF(Target1[Target Dates],Benchmark2[[#This Row],[Benchmark '#2 Dates]])=1,"Pass","Fail")</f>
        <v>Pass</v>
      </c>
      <c r="E240" s="6">
        <f>IF(Benchmark2[[#This Row],[Target Date Check]]="Pass",INDEX(Target1[Target Price],MATCH(Benchmark2[[#This Row],[Benchmark '#2 Dates]],Target1[Target Dates],0)),"-")</f>
        <v>30.56</v>
      </c>
      <c r="F240" s="1" t="str">
        <f>IF(COUNTIF(Comp1[Comparable '#1 Dates],Benchmark2[[#This Row],[Benchmark '#2 Dates]])=1,"Pass","Fail")</f>
        <v>Pass</v>
      </c>
      <c r="G240" s="6">
        <f>IF(Benchmark2[[#This Row],[Comparable '#1 Date Check]]="Pass",INDEX(Comp1[Comparable '#1 Price],MATCH(Benchmark2[[#This Row],[Benchmark '#2 Dates]],Comp1[Comparable '#1 Dates],0)),"-")</f>
        <v>15.6</v>
      </c>
      <c r="H240" s="1" t="str">
        <f>IF(COUNTIF(Comp2[Comparable '#2 Dates],Benchmark2[[#This Row],[Benchmark '#2 Dates]])=1,"Pass","Fail")</f>
        <v>Pass</v>
      </c>
      <c r="I240" s="6">
        <f>IF(Benchmark2[[#This Row],[Comparable '#2 Date Check]]="Pass",INDEX(Comp2[Comparable '#2 Price],MATCH(Benchmark2[[#This Row],[Benchmark '#2 Dates]],Comp2[Comparable '#2 Dates],0)),"-")</f>
        <v>45.18</v>
      </c>
      <c r="J240" s="1" t="str">
        <f>IF(COUNTIF(Comp3[Comparable '#3 Dates],Benchmark2[[#This Row],[Benchmark '#2 Dates]])=1,"Pass","Fail")</f>
        <v>Pass</v>
      </c>
      <c r="K240" s="6">
        <f>IF(Benchmark2[[#This Row],[Comparable '#3 Date Check]]="Pass",INDEX(Comp3[Comparable '#3 Price],MATCH(Benchmark2[[#This Row],[Benchmark '#2 Dates]],Comp3[Comparable '#3 Dates],0)),"-")</f>
        <v>180.35</v>
      </c>
    </row>
    <row r="241" spans="1:11">
      <c r="A241" s="103">
        <v>43634</v>
      </c>
      <c r="B241" s="104">
        <v>12907.46</v>
      </c>
      <c r="C241" s="4">
        <f t="shared" si="3"/>
        <v>1.0274599031059373E-2</v>
      </c>
      <c r="D241" s="1" t="str">
        <f>IF(COUNTIF(Target1[Target Dates],Benchmark2[[#This Row],[Benchmark '#2 Dates]])=1,"Pass","Fail")</f>
        <v>Pass</v>
      </c>
      <c r="E241" s="6">
        <f>IF(Benchmark2[[#This Row],[Target Date Check]]="Pass",INDEX(Target1[Target Price],MATCH(Benchmark2[[#This Row],[Benchmark '#2 Dates]],Target1[Target Dates],0)),"-")</f>
        <v>29.7</v>
      </c>
      <c r="F241" s="1" t="str">
        <f>IF(COUNTIF(Comp1[Comparable '#1 Dates],Benchmark2[[#This Row],[Benchmark '#2 Dates]])=1,"Pass","Fail")</f>
        <v>Pass</v>
      </c>
      <c r="G241" s="6">
        <f>IF(Benchmark2[[#This Row],[Comparable '#1 Date Check]]="Pass",INDEX(Comp1[Comparable '#1 Price],MATCH(Benchmark2[[#This Row],[Benchmark '#2 Dates]],Comp1[Comparable '#1 Dates],0)),"-")</f>
        <v>15.505000000000001</v>
      </c>
      <c r="H241" s="1" t="str">
        <f>IF(COUNTIF(Comp2[Comparable '#2 Dates],Benchmark2[[#This Row],[Benchmark '#2 Dates]])=1,"Pass","Fail")</f>
        <v>Pass</v>
      </c>
      <c r="I241" s="6">
        <f>IF(Benchmark2[[#This Row],[Comparable '#2 Date Check]]="Pass",INDEX(Comp2[Comparable '#2 Price],MATCH(Benchmark2[[#This Row],[Benchmark '#2 Dates]],Comp2[Comparable '#2 Dates],0)),"-")</f>
        <v>45.11</v>
      </c>
      <c r="J241" s="1" t="str">
        <f>IF(COUNTIF(Comp3[Comparable '#3 Dates],Benchmark2[[#This Row],[Benchmark '#2 Dates]])=1,"Pass","Fail")</f>
        <v>Pass</v>
      </c>
      <c r="K241" s="6">
        <f>IF(Benchmark2[[#This Row],[Comparable '#3 Date Check]]="Pass",INDEX(Comp3[Comparable '#3 Price],MATCH(Benchmark2[[#This Row],[Benchmark '#2 Dates]],Comp3[Comparable '#3 Dates],0)),"-")</f>
        <v>176.64</v>
      </c>
    </row>
    <row r="242" spans="1:11">
      <c r="A242" s="103">
        <v>43635</v>
      </c>
      <c r="B242" s="104">
        <v>12954.08</v>
      </c>
      <c r="C242" s="4">
        <f t="shared" si="3"/>
        <v>3.6053576468813801E-3</v>
      </c>
      <c r="D242" s="1" t="str">
        <f>IF(COUNTIF(Target1[Target Dates],Benchmark2[[#This Row],[Benchmark '#2 Dates]])=1,"Pass","Fail")</f>
        <v>Pass</v>
      </c>
      <c r="E242" s="6">
        <f>IF(Benchmark2[[#This Row],[Target Date Check]]="Pass",INDEX(Target1[Target Price],MATCH(Benchmark2[[#This Row],[Benchmark '#2 Dates]],Target1[Target Dates],0)),"-")</f>
        <v>30.54</v>
      </c>
      <c r="F242" s="1" t="str">
        <f>IF(COUNTIF(Comp1[Comparable '#1 Dates],Benchmark2[[#This Row],[Benchmark '#2 Dates]])=1,"Pass","Fail")</f>
        <v>Pass</v>
      </c>
      <c r="G242" s="6">
        <f>IF(Benchmark2[[#This Row],[Comparable '#1 Date Check]]="Pass",INDEX(Comp1[Comparable '#1 Price],MATCH(Benchmark2[[#This Row],[Benchmark '#2 Dates]],Comp1[Comparable '#1 Dates],0)),"-")</f>
        <v>15.73</v>
      </c>
      <c r="H242" s="1" t="str">
        <f>IF(COUNTIF(Comp2[Comparable '#2 Dates],Benchmark2[[#This Row],[Benchmark '#2 Dates]])=1,"Pass","Fail")</f>
        <v>Pass</v>
      </c>
      <c r="I242" s="6">
        <f>IF(Benchmark2[[#This Row],[Comparable '#2 Date Check]]="Pass",INDEX(Comp2[Comparable '#2 Price],MATCH(Benchmark2[[#This Row],[Benchmark '#2 Dates]],Comp2[Comparable '#2 Dates],0)),"-")</f>
        <v>45.58</v>
      </c>
      <c r="J242" s="1" t="str">
        <f>IF(COUNTIF(Comp3[Comparable '#3 Dates],Benchmark2[[#This Row],[Benchmark '#2 Dates]])=1,"Pass","Fail")</f>
        <v>Pass</v>
      </c>
      <c r="K242" s="6">
        <f>IF(Benchmark2[[#This Row],[Comparable '#3 Date Check]]="Pass",INDEX(Comp3[Comparable '#3 Price],MATCH(Benchmark2[[#This Row],[Benchmark '#2 Dates]],Comp3[Comparable '#3 Dates],0)),"-")</f>
        <v>180.07</v>
      </c>
    </row>
    <row r="243" spans="1:11">
      <c r="A243" s="103">
        <v>43636</v>
      </c>
      <c r="B243" s="104">
        <v>13081.54</v>
      </c>
      <c r="C243" s="4">
        <f t="shared" si="3"/>
        <v>9.7912796613721705E-3</v>
      </c>
      <c r="D243" s="1" t="str">
        <f>IF(COUNTIF(Target1[Target Dates],Benchmark2[[#This Row],[Benchmark '#2 Dates]])=1,"Pass","Fail")</f>
        <v>Pass</v>
      </c>
      <c r="E243" s="6">
        <f>IF(Benchmark2[[#This Row],[Target Date Check]]="Pass",INDEX(Target1[Target Price],MATCH(Benchmark2[[#This Row],[Benchmark '#2 Dates]],Target1[Target Dates],0)),"-")</f>
        <v>30.19</v>
      </c>
      <c r="F243" s="1" t="str">
        <f>IF(COUNTIF(Comp1[Comparable '#1 Dates],Benchmark2[[#This Row],[Benchmark '#2 Dates]])=1,"Pass","Fail")</f>
        <v>Pass</v>
      </c>
      <c r="G243" s="6">
        <f>IF(Benchmark2[[#This Row],[Comparable '#1 Date Check]]="Pass",INDEX(Comp1[Comparable '#1 Price],MATCH(Benchmark2[[#This Row],[Benchmark '#2 Dates]],Comp1[Comparable '#1 Dates],0)),"-")</f>
        <v>15.52</v>
      </c>
      <c r="H243" s="1" t="str">
        <f>IF(COUNTIF(Comp2[Comparable '#2 Dates],Benchmark2[[#This Row],[Benchmark '#2 Dates]])=1,"Pass","Fail")</f>
        <v>Pass</v>
      </c>
      <c r="I243" s="6">
        <f>IF(Benchmark2[[#This Row],[Comparable '#2 Date Check]]="Pass",INDEX(Comp2[Comparable '#2 Price],MATCH(Benchmark2[[#This Row],[Benchmark '#2 Dates]],Comp2[Comparable '#2 Dates],0)),"-")</f>
        <v>45.88</v>
      </c>
      <c r="J243" s="1" t="str">
        <f>IF(COUNTIF(Comp3[Comparable '#3 Dates],Benchmark2[[#This Row],[Benchmark '#2 Dates]])=1,"Pass","Fail")</f>
        <v>Pass</v>
      </c>
      <c r="K243" s="6">
        <f>IF(Benchmark2[[#This Row],[Comparable '#3 Date Check]]="Pass",INDEX(Comp3[Comparable '#3 Price],MATCH(Benchmark2[[#This Row],[Benchmark '#2 Dates]],Comp3[Comparable '#3 Dates],0)),"-")</f>
        <v>179.63</v>
      </c>
    </row>
    <row r="244" spans="1:11">
      <c r="A244" s="103">
        <v>43637</v>
      </c>
      <c r="B244" s="104">
        <v>13047.24</v>
      </c>
      <c r="C244" s="4">
        <f t="shared" si="3"/>
        <v>-2.6254589538883656E-3</v>
      </c>
      <c r="D244" s="1" t="str">
        <f>IF(COUNTIF(Target1[Target Dates],Benchmark2[[#This Row],[Benchmark '#2 Dates]])=1,"Pass","Fail")</f>
        <v>Pass</v>
      </c>
      <c r="E244" s="6">
        <f>IF(Benchmark2[[#This Row],[Target Date Check]]="Pass",INDEX(Target1[Target Price],MATCH(Benchmark2[[#This Row],[Benchmark '#2 Dates]],Target1[Target Dates],0)),"-")</f>
        <v>29.41</v>
      </c>
      <c r="F244" s="1" t="str">
        <f>IF(COUNTIF(Comp1[Comparable '#1 Dates],Benchmark2[[#This Row],[Benchmark '#2 Dates]])=1,"Pass","Fail")</f>
        <v>Pass</v>
      </c>
      <c r="G244" s="6">
        <f>IF(Benchmark2[[#This Row],[Comparable '#1 Date Check]]="Pass",INDEX(Comp1[Comparable '#1 Price],MATCH(Benchmark2[[#This Row],[Benchmark '#2 Dates]],Comp1[Comparable '#1 Dates],0)),"-")</f>
        <v>15.36</v>
      </c>
      <c r="H244" s="1" t="str">
        <f>IF(COUNTIF(Comp2[Comparable '#2 Dates],Benchmark2[[#This Row],[Benchmark '#2 Dates]])=1,"Pass","Fail")</f>
        <v>Pass</v>
      </c>
      <c r="I244" s="6">
        <f>IF(Benchmark2[[#This Row],[Comparable '#2 Date Check]]="Pass",INDEX(Comp2[Comparable '#2 Price],MATCH(Benchmark2[[#This Row],[Benchmark '#2 Dates]],Comp2[Comparable '#2 Dates],0)),"-")</f>
        <v>45.04</v>
      </c>
      <c r="J244" s="1" t="str">
        <f>IF(COUNTIF(Comp3[Comparable '#3 Dates],Benchmark2[[#This Row],[Benchmark '#2 Dates]])=1,"Pass","Fail")</f>
        <v>Pass</v>
      </c>
      <c r="K244" s="6">
        <f>IF(Benchmark2[[#This Row],[Comparable '#3 Date Check]]="Pass",INDEX(Comp3[Comparable '#3 Price],MATCH(Benchmark2[[#This Row],[Benchmark '#2 Dates]],Comp3[Comparable '#3 Dates],0)),"-")</f>
        <v>180.42</v>
      </c>
    </row>
    <row r="245" spans="1:11">
      <c r="A245" s="103">
        <v>43640</v>
      </c>
      <c r="B245" s="104">
        <v>13019.98</v>
      </c>
      <c r="C245" s="4">
        <f t="shared" si="3"/>
        <v>-2.0915164668324653E-3</v>
      </c>
      <c r="D245" s="1" t="str">
        <f>IF(COUNTIF(Target1[Target Dates],Benchmark2[[#This Row],[Benchmark '#2 Dates]])=1,"Pass","Fail")</f>
        <v>Pass</v>
      </c>
      <c r="E245" s="6">
        <f>IF(Benchmark2[[#This Row],[Target Date Check]]="Pass",INDEX(Target1[Target Price],MATCH(Benchmark2[[#This Row],[Benchmark '#2 Dates]],Target1[Target Dates],0)),"-")</f>
        <v>29.28</v>
      </c>
      <c r="F245" s="1" t="str">
        <f>IF(COUNTIF(Comp1[Comparable '#1 Dates],Benchmark2[[#This Row],[Benchmark '#2 Dates]])=1,"Pass","Fail")</f>
        <v>Pass</v>
      </c>
      <c r="G245" s="6">
        <f>IF(Benchmark2[[#This Row],[Comparable '#1 Date Check]]="Pass",INDEX(Comp1[Comparable '#1 Price],MATCH(Benchmark2[[#This Row],[Benchmark '#2 Dates]],Comp1[Comparable '#1 Dates],0)),"-")</f>
        <v>15</v>
      </c>
      <c r="H245" s="1" t="str">
        <f>IF(COUNTIF(Comp2[Comparable '#2 Dates],Benchmark2[[#This Row],[Benchmark '#2 Dates]])=1,"Pass","Fail")</f>
        <v>Pass</v>
      </c>
      <c r="I245" s="6">
        <f>IF(Benchmark2[[#This Row],[Comparable '#2 Date Check]]="Pass",INDEX(Comp2[Comparable '#2 Price],MATCH(Benchmark2[[#This Row],[Benchmark '#2 Dates]],Comp2[Comparable '#2 Dates],0)),"-")</f>
        <v>44.07</v>
      </c>
      <c r="J245" s="1" t="str">
        <f>IF(COUNTIF(Comp3[Comparable '#3 Dates],Benchmark2[[#This Row],[Benchmark '#2 Dates]])=1,"Pass","Fail")</f>
        <v>Pass</v>
      </c>
      <c r="K245" s="6">
        <f>IF(Benchmark2[[#This Row],[Comparable '#3 Date Check]]="Pass",INDEX(Comp3[Comparable '#3 Price],MATCH(Benchmark2[[#This Row],[Benchmark '#2 Dates]],Comp3[Comparable '#3 Dates],0)),"-")</f>
        <v>177.45</v>
      </c>
    </row>
    <row r="246" spans="1:11">
      <c r="A246" s="103">
        <v>43641</v>
      </c>
      <c r="B246" s="104">
        <v>12936.64</v>
      </c>
      <c r="C246" s="4">
        <f t="shared" si="3"/>
        <v>-6.4215052947533538E-3</v>
      </c>
      <c r="D246" s="1" t="str">
        <f>IF(COUNTIF(Target1[Target Dates],Benchmark2[[#This Row],[Benchmark '#2 Dates]])=1,"Pass","Fail")</f>
        <v>Pass</v>
      </c>
      <c r="E246" s="6">
        <f>IF(Benchmark2[[#This Row],[Target Date Check]]="Pass",INDEX(Target1[Target Price],MATCH(Benchmark2[[#This Row],[Benchmark '#2 Dates]],Target1[Target Dates],0)),"-")</f>
        <v>28.37</v>
      </c>
      <c r="F246" s="1" t="str">
        <f>IF(COUNTIF(Comp1[Comparable '#1 Dates],Benchmark2[[#This Row],[Benchmark '#2 Dates]])=1,"Pass","Fail")</f>
        <v>Pass</v>
      </c>
      <c r="G246" s="6">
        <f>IF(Benchmark2[[#This Row],[Comparable '#1 Date Check]]="Pass",INDEX(Comp1[Comparable '#1 Price],MATCH(Benchmark2[[#This Row],[Benchmark '#2 Dates]],Comp1[Comparable '#1 Dates],0)),"-")</f>
        <v>14.89</v>
      </c>
      <c r="H246" s="1" t="str">
        <f>IF(COUNTIF(Comp2[Comparable '#2 Dates],Benchmark2[[#This Row],[Benchmark '#2 Dates]])=1,"Pass","Fail")</f>
        <v>Pass</v>
      </c>
      <c r="I246" s="6">
        <f>IF(Benchmark2[[#This Row],[Comparable '#2 Date Check]]="Pass",INDEX(Comp2[Comparable '#2 Price],MATCH(Benchmark2[[#This Row],[Benchmark '#2 Dates]],Comp2[Comparable '#2 Dates],0)),"-")</f>
        <v>44.86</v>
      </c>
      <c r="J246" s="1" t="str">
        <f>IF(COUNTIF(Comp3[Comparable '#3 Dates],Benchmark2[[#This Row],[Benchmark '#2 Dates]])=1,"Pass","Fail")</f>
        <v>Pass</v>
      </c>
      <c r="K246" s="6">
        <f>IF(Benchmark2[[#This Row],[Comparable '#3 Date Check]]="Pass",INDEX(Comp3[Comparable '#3 Price],MATCH(Benchmark2[[#This Row],[Benchmark '#2 Dates]],Comp3[Comparable '#3 Dates],0)),"-")</f>
        <v>174.76</v>
      </c>
    </row>
    <row r="247" spans="1:11">
      <c r="A247" s="103">
        <v>43642</v>
      </c>
      <c r="B247" s="104">
        <v>12912.02</v>
      </c>
      <c r="C247" s="4">
        <f t="shared" si="3"/>
        <v>-1.9049349130701458E-3</v>
      </c>
      <c r="D247" s="1" t="str">
        <f>IF(COUNTIF(Target1[Target Dates],Benchmark2[[#This Row],[Benchmark '#2 Dates]])=1,"Pass","Fail")</f>
        <v>Pass</v>
      </c>
      <c r="E247" s="6">
        <f>IF(Benchmark2[[#This Row],[Target Date Check]]="Pass",INDEX(Target1[Target Price],MATCH(Benchmark2[[#This Row],[Benchmark '#2 Dates]],Target1[Target Dates],0)),"-")</f>
        <v>28.77</v>
      </c>
      <c r="F247" s="1" t="str">
        <f>IF(COUNTIF(Comp1[Comparable '#1 Dates],Benchmark2[[#This Row],[Benchmark '#2 Dates]])=1,"Pass","Fail")</f>
        <v>Pass</v>
      </c>
      <c r="G247" s="6">
        <f>IF(Benchmark2[[#This Row],[Comparable '#1 Date Check]]="Pass",INDEX(Comp1[Comparable '#1 Price],MATCH(Benchmark2[[#This Row],[Benchmark '#2 Dates]],Comp1[Comparable '#1 Dates],0)),"-")</f>
        <v>14.98</v>
      </c>
      <c r="H247" s="1" t="str">
        <f>IF(COUNTIF(Comp2[Comparable '#2 Dates],Benchmark2[[#This Row],[Benchmark '#2 Dates]])=1,"Pass","Fail")</f>
        <v>Pass</v>
      </c>
      <c r="I247" s="6">
        <f>IF(Benchmark2[[#This Row],[Comparable '#2 Date Check]]="Pass",INDEX(Comp2[Comparable '#2 Price],MATCH(Benchmark2[[#This Row],[Benchmark '#2 Dates]],Comp2[Comparable '#2 Dates],0)),"-")</f>
        <v>44.65</v>
      </c>
      <c r="J247" s="1" t="str">
        <f>IF(COUNTIF(Comp3[Comparable '#3 Dates],Benchmark2[[#This Row],[Benchmark '#2 Dates]])=1,"Pass","Fail")</f>
        <v>Pass</v>
      </c>
      <c r="K247" s="6">
        <f>IF(Benchmark2[[#This Row],[Comparable '#3 Date Check]]="Pass",INDEX(Comp3[Comparable '#3 Price],MATCH(Benchmark2[[#This Row],[Benchmark '#2 Dates]],Comp3[Comparable '#3 Dates],0)),"-")</f>
        <v>176.6</v>
      </c>
    </row>
    <row r="248" spans="1:11">
      <c r="A248" s="103">
        <v>43643</v>
      </c>
      <c r="B248" s="104">
        <v>12965.32</v>
      </c>
      <c r="C248" s="4">
        <f t="shared" si="3"/>
        <v>4.1194400486381866E-3</v>
      </c>
      <c r="D248" s="1" t="str">
        <f>IF(COUNTIF(Target1[Target Dates],Benchmark2[[#This Row],[Benchmark '#2 Dates]])=1,"Pass","Fail")</f>
        <v>Pass</v>
      </c>
      <c r="E248" s="6">
        <f>IF(Benchmark2[[#This Row],[Target Date Check]]="Pass",INDEX(Target1[Target Price],MATCH(Benchmark2[[#This Row],[Benchmark '#2 Dates]],Target1[Target Dates],0)),"-")</f>
        <v>29.51</v>
      </c>
      <c r="F248" s="1" t="str">
        <f>IF(COUNTIF(Comp1[Comparable '#1 Dates],Benchmark2[[#This Row],[Benchmark '#2 Dates]])=1,"Pass","Fail")</f>
        <v>Pass</v>
      </c>
      <c r="G248" s="6">
        <f>IF(Benchmark2[[#This Row],[Comparable '#1 Date Check]]="Pass",INDEX(Comp1[Comparable '#1 Price],MATCH(Benchmark2[[#This Row],[Benchmark '#2 Dates]],Comp1[Comparable '#1 Dates],0)),"-")</f>
        <v>15.31</v>
      </c>
      <c r="H248" s="1" t="str">
        <f>IF(COUNTIF(Comp2[Comparable '#2 Dates],Benchmark2[[#This Row],[Benchmark '#2 Dates]])=1,"Pass","Fail")</f>
        <v>Pass</v>
      </c>
      <c r="I248" s="6">
        <f>IF(Benchmark2[[#This Row],[Comparable '#2 Date Check]]="Pass",INDEX(Comp2[Comparable '#2 Price],MATCH(Benchmark2[[#This Row],[Benchmark '#2 Dates]],Comp2[Comparable '#2 Dates],0)),"-")</f>
        <v>45.13</v>
      </c>
      <c r="J248" s="1" t="str">
        <f>IF(COUNTIF(Comp3[Comparable '#3 Dates],Benchmark2[[#This Row],[Benchmark '#2 Dates]])=1,"Pass","Fail")</f>
        <v>Pass</v>
      </c>
      <c r="K248" s="6">
        <f>IF(Benchmark2[[#This Row],[Comparable '#3 Date Check]]="Pass",INDEX(Comp3[Comparable '#3 Price],MATCH(Benchmark2[[#This Row],[Benchmark '#2 Dates]],Comp3[Comparable '#3 Dates],0)),"-")</f>
        <v>180.43</v>
      </c>
    </row>
    <row r="249" spans="1:11">
      <c r="A249" s="103">
        <v>43644</v>
      </c>
      <c r="B249" s="104">
        <v>13049.71</v>
      </c>
      <c r="C249" s="4">
        <f t="shared" si="3"/>
        <v>6.4878107778150876E-3</v>
      </c>
      <c r="D249" s="1" t="str">
        <f>IF(COUNTIF(Target1[Target Dates],Benchmark2[[#This Row],[Benchmark '#2 Dates]])=1,"Pass","Fail")</f>
        <v>Pass</v>
      </c>
      <c r="E249" s="6">
        <f>IF(Benchmark2[[#This Row],[Target Date Check]]="Pass",INDEX(Target1[Target Price],MATCH(Benchmark2[[#This Row],[Benchmark '#2 Dates]],Target1[Target Dates],0)),"-")</f>
        <v>30.41</v>
      </c>
      <c r="F249" s="1" t="str">
        <f>IF(COUNTIF(Comp1[Comparable '#1 Dates],Benchmark2[[#This Row],[Benchmark '#2 Dates]])=1,"Pass","Fail")</f>
        <v>Pass</v>
      </c>
      <c r="G249" s="6">
        <f>IF(Benchmark2[[#This Row],[Comparable '#1 Date Check]]="Pass",INDEX(Comp1[Comparable '#1 Price],MATCH(Benchmark2[[#This Row],[Benchmark '#2 Dates]],Comp1[Comparable '#1 Dates],0)),"-")</f>
        <v>15.71</v>
      </c>
      <c r="H249" s="1" t="str">
        <f>IF(COUNTIF(Comp2[Comparable '#2 Dates],Benchmark2[[#This Row],[Benchmark '#2 Dates]])=1,"Pass","Fail")</f>
        <v>Pass</v>
      </c>
      <c r="I249" s="6">
        <f>IF(Benchmark2[[#This Row],[Comparable '#2 Date Check]]="Pass",INDEX(Comp2[Comparable '#2 Price],MATCH(Benchmark2[[#This Row],[Benchmark '#2 Dates]],Comp2[Comparable '#2 Dates],0)),"-")</f>
        <v>45.05</v>
      </c>
      <c r="J249" s="1" t="str">
        <f>IF(COUNTIF(Comp3[Comparable '#3 Dates],Benchmark2[[#This Row],[Benchmark '#2 Dates]])=1,"Pass","Fail")</f>
        <v>Pass</v>
      </c>
      <c r="K249" s="6">
        <f>IF(Benchmark2[[#This Row],[Comparable '#3 Date Check]]="Pass",INDEX(Comp3[Comparable '#3 Price],MATCH(Benchmark2[[#This Row],[Benchmark '#2 Dates]],Comp3[Comparable '#3 Dates],0)),"-")</f>
        <v>178</v>
      </c>
    </row>
    <row r="250" spans="1:11">
      <c r="A250" s="103">
        <v>43647</v>
      </c>
      <c r="B250" s="104">
        <v>13127.69</v>
      </c>
      <c r="C250" s="4">
        <f t="shared" si="3"/>
        <v>5.9578285592070627E-3</v>
      </c>
      <c r="D250" s="1" t="str">
        <f>IF(COUNTIF(Target1[Target Dates],Benchmark2[[#This Row],[Benchmark '#2 Dates]])=1,"Pass","Fail")</f>
        <v>Pass</v>
      </c>
      <c r="E250" s="6">
        <f>IF(Benchmark2[[#This Row],[Target Date Check]]="Pass",INDEX(Target1[Target Price],MATCH(Benchmark2[[#This Row],[Benchmark '#2 Dates]],Target1[Target Dates],0)),"-")</f>
        <v>29.98</v>
      </c>
      <c r="F250" s="1" t="str">
        <f>IF(COUNTIF(Comp1[Comparable '#1 Dates],Benchmark2[[#This Row],[Benchmark '#2 Dates]])=1,"Pass","Fail")</f>
        <v>Pass</v>
      </c>
      <c r="G250" s="6">
        <f>IF(Benchmark2[[#This Row],[Comparable '#1 Date Check]]="Pass",INDEX(Comp1[Comparable '#1 Price],MATCH(Benchmark2[[#This Row],[Benchmark '#2 Dates]],Comp1[Comparable '#1 Dates],0)),"-")</f>
        <v>15.81</v>
      </c>
      <c r="H250" s="1" t="str">
        <f>IF(COUNTIF(Comp2[Comparable '#2 Dates],Benchmark2[[#This Row],[Benchmark '#2 Dates]])=1,"Pass","Fail")</f>
        <v>Pass</v>
      </c>
      <c r="I250" s="6">
        <f>IF(Benchmark2[[#This Row],[Comparable '#2 Date Check]]="Pass",INDEX(Comp2[Comparable '#2 Price],MATCH(Benchmark2[[#This Row],[Benchmark '#2 Dates]],Comp2[Comparable '#2 Dates],0)),"-")</f>
        <v>45.02</v>
      </c>
      <c r="J250" s="1" t="str">
        <f>IF(COUNTIF(Comp3[Comparable '#3 Dates],Benchmark2[[#This Row],[Benchmark '#2 Dates]])=1,"Pass","Fail")</f>
        <v>Pass</v>
      </c>
      <c r="K250" s="6">
        <f>IF(Benchmark2[[#This Row],[Comparable '#3 Date Check]]="Pass",INDEX(Comp3[Comparable '#3 Price],MATCH(Benchmark2[[#This Row],[Benchmark '#2 Dates]],Comp3[Comparable '#3 Dates],0)),"-")</f>
        <v>180.75</v>
      </c>
    </row>
    <row r="251" spans="1:11">
      <c r="A251" s="103">
        <v>43648</v>
      </c>
      <c r="B251" s="104">
        <v>13152.55</v>
      </c>
      <c r="C251" s="4">
        <f t="shared" si="3"/>
        <v>1.8919163154684944E-3</v>
      </c>
      <c r="D251" s="1" t="str">
        <f>IF(COUNTIF(Target1[Target Dates],Benchmark2[[#This Row],[Benchmark '#2 Dates]])=1,"Pass","Fail")</f>
        <v>Pass</v>
      </c>
      <c r="E251" s="6">
        <f>IF(Benchmark2[[#This Row],[Target Date Check]]="Pass",INDEX(Target1[Target Price],MATCH(Benchmark2[[#This Row],[Benchmark '#2 Dates]],Target1[Target Dates],0)),"-")</f>
        <v>30.19</v>
      </c>
      <c r="F251" s="1" t="str">
        <f>IF(COUNTIF(Comp1[Comparable '#1 Dates],Benchmark2[[#This Row],[Benchmark '#2 Dates]])=1,"Pass","Fail")</f>
        <v>Pass</v>
      </c>
      <c r="G251" s="6">
        <f>IF(Benchmark2[[#This Row],[Comparable '#1 Date Check]]="Pass",INDEX(Comp1[Comparable '#1 Price],MATCH(Benchmark2[[#This Row],[Benchmark '#2 Dates]],Comp1[Comparable '#1 Dates],0)),"-")</f>
        <v>15.84</v>
      </c>
      <c r="H251" s="1" t="str">
        <f>IF(COUNTIF(Comp2[Comparable '#2 Dates],Benchmark2[[#This Row],[Benchmark '#2 Dates]])=1,"Pass","Fail")</f>
        <v>Pass</v>
      </c>
      <c r="I251" s="6">
        <f>IF(Benchmark2[[#This Row],[Comparable '#2 Date Check]]="Pass",INDEX(Comp2[Comparable '#2 Price],MATCH(Benchmark2[[#This Row],[Benchmark '#2 Dates]],Comp2[Comparable '#2 Dates],0)),"-")</f>
        <v>45.4</v>
      </c>
      <c r="J251" s="1" t="str">
        <f>IF(COUNTIF(Comp3[Comparable '#3 Dates],Benchmark2[[#This Row],[Benchmark '#2 Dates]])=1,"Pass","Fail")</f>
        <v>Pass</v>
      </c>
      <c r="K251" s="6">
        <f>IF(Benchmark2[[#This Row],[Comparable '#3 Date Check]]="Pass",INDEX(Comp3[Comparable '#3 Price],MATCH(Benchmark2[[#This Row],[Benchmark '#2 Dates]],Comp3[Comparable '#3 Dates],0)),"-")</f>
        <v>180.19</v>
      </c>
    </row>
    <row r="252" spans="1:11">
      <c r="A252" s="103">
        <v>43649</v>
      </c>
      <c r="B252" s="104">
        <v>13239.87</v>
      </c>
      <c r="C252" s="4">
        <f t="shared" si="3"/>
        <v>6.6170755553019347E-3</v>
      </c>
      <c r="D252" s="1" t="str">
        <f>IF(COUNTIF(Target1[Target Dates],Benchmark2[[#This Row],[Benchmark '#2 Dates]])=1,"Pass","Fail")</f>
        <v>Pass</v>
      </c>
      <c r="E252" s="6">
        <f>IF(Benchmark2[[#This Row],[Target Date Check]]="Pass",INDEX(Target1[Target Price],MATCH(Benchmark2[[#This Row],[Benchmark '#2 Dates]],Target1[Target Dates],0)),"-")</f>
        <v>30.81</v>
      </c>
      <c r="F252" s="1" t="str">
        <f>IF(COUNTIF(Comp1[Comparable '#1 Dates],Benchmark2[[#This Row],[Benchmark '#2 Dates]])=1,"Pass","Fail")</f>
        <v>Pass</v>
      </c>
      <c r="G252" s="6">
        <f>IF(Benchmark2[[#This Row],[Comparable '#1 Date Check]]="Pass",INDEX(Comp1[Comparable '#1 Price],MATCH(Benchmark2[[#This Row],[Benchmark '#2 Dates]],Comp1[Comparable '#1 Dates],0)),"-")</f>
        <v>16</v>
      </c>
      <c r="H252" s="1" t="str">
        <f>IF(COUNTIF(Comp2[Comparable '#2 Dates],Benchmark2[[#This Row],[Benchmark '#2 Dates]])=1,"Pass","Fail")</f>
        <v>Pass</v>
      </c>
      <c r="I252" s="6">
        <f>IF(Benchmark2[[#This Row],[Comparable '#2 Date Check]]="Pass",INDEX(Comp2[Comparable '#2 Price],MATCH(Benchmark2[[#This Row],[Benchmark '#2 Dates]],Comp2[Comparable '#2 Dates],0)),"-")</f>
        <v>45.52</v>
      </c>
      <c r="J252" s="1" t="str">
        <f>IF(COUNTIF(Comp3[Comparable '#3 Dates],Benchmark2[[#This Row],[Benchmark '#2 Dates]])=1,"Pass","Fail")</f>
        <v>Pass</v>
      </c>
      <c r="K252" s="6">
        <f>IF(Benchmark2[[#This Row],[Comparable '#3 Date Check]]="Pass",INDEX(Comp3[Comparable '#3 Price],MATCH(Benchmark2[[#This Row],[Benchmark '#2 Dates]],Comp3[Comparable '#3 Dates],0)),"-")</f>
        <v>181.75</v>
      </c>
    </row>
    <row r="253" spans="1:11">
      <c r="A253" s="103">
        <v>43651</v>
      </c>
      <c r="B253" s="104">
        <v>13210.91</v>
      </c>
      <c r="C253" s="4">
        <f t="shared" si="3"/>
        <v>-2.1897283612593976E-3</v>
      </c>
      <c r="D253" s="1" t="str">
        <f>IF(COUNTIF(Target1[Target Dates],Benchmark2[[#This Row],[Benchmark '#2 Dates]])=1,"Pass","Fail")</f>
        <v>Pass</v>
      </c>
      <c r="E253" s="6">
        <f>IF(Benchmark2[[#This Row],[Target Date Check]]="Pass",INDEX(Target1[Target Price],MATCH(Benchmark2[[#This Row],[Benchmark '#2 Dates]],Target1[Target Dates],0)),"-")</f>
        <v>31.55</v>
      </c>
      <c r="F253" s="1" t="str">
        <f>IF(COUNTIF(Comp1[Comparable '#1 Dates],Benchmark2[[#This Row],[Benchmark '#2 Dates]])=1,"Pass","Fail")</f>
        <v>Pass</v>
      </c>
      <c r="G253" s="6">
        <f>IF(Benchmark2[[#This Row],[Comparable '#1 Date Check]]="Pass",INDEX(Comp1[Comparable '#1 Price],MATCH(Benchmark2[[#This Row],[Benchmark '#2 Dates]],Comp1[Comparable '#1 Dates],0)),"-")</f>
        <v>15.92</v>
      </c>
      <c r="H253" s="1" t="str">
        <f>IF(COUNTIF(Comp2[Comparable '#2 Dates],Benchmark2[[#This Row],[Benchmark '#2 Dates]])=1,"Pass","Fail")</f>
        <v>Pass</v>
      </c>
      <c r="I253" s="6">
        <f>IF(Benchmark2[[#This Row],[Comparable '#2 Date Check]]="Pass",INDEX(Comp2[Comparable '#2 Price],MATCH(Benchmark2[[#This Row],[Benchmark '#2 Dates]],Comp2[Comparable '#2 Dates],0)),"-")</f>
        <v>45.54</v>
      </c>
      <c r="J253" s="1" t="str">
        <f>IF(COUNTIF(Comp3[Comparable '#3 Dates],Benchmark2[[#This Row],[Benchmark '#2 Dates]])=1,"Pass","Fail")</f>
        <v>Pass</v>
      </c>
      <c r="K253" s="6">
        <f>IF(Benchmark2[[#This Row],[Comparable '#3 Date Check]]="Pass",INDEX(Comp3[Comparable '#3 Price],MATCH(Benchmark2[[#This Row],[Benchmark '#2 Dates]],Comp3[Comparable '#3 Dates],0)),"-")</f>
        <v>181.21</v>
      </c>
    </row>
    <row r="254" spans="1:11">
      <c r="A254" s="103">
        <v>43654</v>
      </c>
      <c r="B254" s="104">
        <v>13147.22</v>
      </c>
      <c r="C254" s="4">
        <f t="shared" si="3"/>
        <v>-4.832673938190658E-3</v>
      </c>
      <c r="D254" s="1" t="str">
        <f>IF(COUNTIF(Target1[Target Dates],Benchmark2[[#This Row],[Benchmark '#2 Dates]])=1,"Pass","Fail")</f>
        <v>Pass</v>
      </c>
      <c r="E254" s="6">
        <f>IF(Benchmark2[[#This Row],[Target Date Check]]="Pass",INDEX(Target1[Target Price],MATCH(Benchmark2[[#This Row],[Benchmark '#2 Dates]],Target1[Target Dates],0)),"-")</f>
        <v>30.86</v>
      </c>
      <c r="F254" s="1" t="str">
        <f>IF(COUNTIF(Comp1[Comparable '#1 Dates],Benchmark2[[#This Row],[Benchmark '#2 Dates]])=1,"Pass","Fail")</f>
        <v>Pass</v>
      </c>
      <c r="G254" s="6">
        <f>IF(Benchmark2[[#This Row],[Comparable '#1 Date Check]]="Pass",INDEX(Comp1[Comparable '#1 Price],MATCH(Benchmark2[[#This Row],[Benchmark '#2 Dates]],Comp1[Comparable '#1 Dates],0)),"-")</f>
        <v>15.78</v>
      </c>
      <c r="H254" s="1" t="str">
        <f>IF(COUNTIF(Comp2[Comparable '#2 Dates],Benchmark2[[#This Row],[Benchmark '#2 Dates]])=1,"Pass","Fail")</f>
        <v>Pass</v>
      </c>
      <c r="I254" s="6">
        <f>IF(Benchmark2[[#This Row],[Comparable '#2 Date Check]]="Pass",INDEX(Comp2[Comparable '#2 Price],MATCH(Benchmark2[[#This Row],[Benchmark '#2 Dates]],Comp2[Comparable '#2 Dates],0)),"-")</f>
        <v>45.17</v>
      </c>
      <c r="J254" s="1" t="str">
        <f>IF(COUNTIF(Comp3[Comparable '#3 Dates],Benchmark2[[#This Row],[Benchmark '#2 Dates]])=1,"Pass","Fail")</f>
        <v>Pass</v>
      </c>
      <c r="K254" s="6">
        <f>IF(Benchmark2[[#This Row],[Comparable '#3 Date Check]]="Pass",INDEX(Comp3[Comparable '#3 Price],MATCH(Benchmark2[[#This Row],[Benchmark '#2 Dates]],Comp3[Comparable '#3 Dates],0)),"-")</f>
        <v>180</v>
      </c>
    </row>
    <row r="255" spans="1:11">
      <c r="A255" s="103">
        <v>43655</v>
      </c>
      <c r="B255" s="104">
        <v>13136.89</v>
      </c>
      <c r="C255" s="4">
        <f t="shared" si="3"/>
        <v>-7.8602627457086073E-4</v>
      </c>
      <c r="D255" s="1" t="str">
        <f>IF(COUNTIF(Target1[Target Dates],Benchmark2[[#This Row],[Benchmark '#2 Dates]])=1,"Pass","Fail")</f>
        <v>Pass</v>
      </c>
      <c r="E255" s="6">
        <f>IF(Benchmark2[[#This Row],[Target Date Check]]="Pass",INDEX(Target1[Target Price],MATCH(Benchmark2[[#This Row],[Benchmark '#2 Dates]],Target1[Target Dates],0)),"-")</f>
        <v>30.37</v>
      </c>
      <c r="F255" s="1" t="str">
        <f>IF(COUNTIF(Comp1[Comparable '#1 Dates],Benchmark2[[#This Row],[Benchmark '#2 Dates]])=1,"Pass","Fail")</f>
        <v>Pass</v>
      </c>
      <c r="G255" s="6">
        <f>IF(Benchmark2[[#This Row],[Comparable '#1 Date Check]]="Pass",INDEX(Comp1[Comparable '#1 Price],MATCH(Benchmark2[[#This Row],[Benchmark '#2 Dates]],Comp1[Comparable '#1 Dates],0)),"-")</f>
        <v>15.59</v>
      </c>
      <c r="H255" s="1" t="str">
        <f>IF(COUNTIF(Comp2[Comparable '#2 Dates],Benchmark2[[#This Row],[Benchmark '#2 Dates]])=1,"Pass","Fail")</f>
        <v>Pass</v>
      </c>
      <c r="I255" s="6">
        <f>IF(Benchmark2[[#This Row],[Comparable '#2 Date Check]]="Pass",INDEX(Comp2[Comparable '#2 Price],MATCH(Benchmark2[[#This Row],[Benchmark '#2 Dates]],Comp2[Comparable '#2 Dates],0)),"-")</f>
        <v>45.1</v>
      </c>
      <c r="J255" s="1" t="str">
        <f>IF(COUNTIF(Comp3[Comparable '#3 Dates],Benchmark2[[#This Row],[Benchmark '#2 Dates]])=1,"Pass","Fail")</f>
        <v>Pass</v>
      </c>
      <c r="K255" s="6">
        <f>IF(Benchmark2[[#This Row],[Comparable '#3 Date Check]]="Pass",INDEX(Comp3[Comparable '#3 Price],MATCH(Benchmark2[[#This Row],[Benchmark '#2 Dates]],Comp3[Comparable '#3 Dates],0)),"-")</f>
        <v>181.19</v>
      </c>
    </row>
    <row r="256" spans="1:11">
      <c r="A256" s="103">
        <v>43656</v>
      </c>
      <c r="B256" s="104">
        <v>13173.26</v>
      </c>
      <c r="C256" s="4">
        <f t="shared" si="3"/>
        <v>2.7647142389239667E-3</v>
      </c>
      <c r="D256" s="1" t="str">
        <f>IF(COUNTIF(Target1[Target Dates],Benchmark2[[#This Row],[Benchmark '#2 Dates]])=1,"Pass","Fail")</f>
        <v>Pass</v>
      </c>
      <c r="E256" s="6">
        <f>IF(Benchmark2[[#This Row],[Target Date Check]]="Pass",INDEX(Target1[Target Price],MATCH(Benchmark2[[#This Row],[Benchmark '#2 Dates]],Target1[Target Dates],0)),"-")</f>
        <v>30.15</v>
      </c>
      <c r="F256" s="1" t="str">
        <f>IF(COUNTIF(Comp1[Comparable '#1 Dates],Benchmark2[[#This Row],[Benchmark '#2 Dates]])=1,"Pass","Fail")</f>
        <v>Pass</v>
      </c>
      <c r="G256" s="6">
        <f>IF(Benchmark2[[#This Row],[Comparable '#1 Date Check]]="Pass",INDEX(Comp1[Comparable '#1 Price],MATCH(Benchmark2[[#This Row],[Benchmark '#2 Dates]],Comp1[Comparable '#1 Dates],0)),"-")</f>
        <v>15.64</v>
      </c>
      <c r="H256" s="1" t="str">
        <f>IF(COUNTIF(Comp2[Comparable '#2 Dates],Benchmark2[[#This Row],[Benchmark '#2 Dates]])=1,"Pass","Fail")</f>
        <v>Pass</v>
      </c>
      <c r="I256" s="6">
        <f>IF(Benchmark2[[#This Row],[Comparable '#2 Date Check]]="Pass",INDEX(Comp2[Comparable '#2 Price],MATCH(Benchmark2[[#This Row],[Benchmark '#2 Dates]],Comp2[Comparable '#2 Dates],0)),"-")</f>
        <v>45.28</v>
      </c>
      <c r="J256" s="1" t="str">
        <f>IF(COUNTIF(Comp3[Comparable '#3 Dates],Benchmark2[[#This Row],[Benchmark '#2 Dates]])=1,"Pass","Fail")</f>
        <v>Pass</v>
      </c>
      <c r="K256" s="6">
        <f>IF(Benchmark2[[#This Row],[Comparable '#3 Date Check]]="Pass",INDEX(Comp3[Comparable '#3 Price],MATCH(Benchmark2[[#This Row],[Benchmark '#2 Dates]],Comp3[Comparable '#3 Dates],0)),"-")</f>
        <v>180.89</v>
      </c>
    </row>
    <row r="257" spans="1:11">
      <c r="A257" s="103">
        <v>43657</v>
      </c>
      <c r="B257" s="104">
        <v>13198.72</v>
      </c>
      <c r="C257" s="4">
        <f t="shared" si="3"/>
        <v>1.9308377990470422E-3</v>
      </c>
      <c r="D257" s="1" t="str">
        <f>IF(COUNTIF(Target1[Target Dates],Benchmark2[[#This Row],[Benchmark '#2 Dates]])=1,"Pass","Fail")</f>
        <v>Pass</v>
      </c>
      <c r="E257" s="6">
        <f>IF(Benchmark2[[#This Row],[Target Date Check]]="Pass",INDEX(Target1[Target Price],MATCH(Benchmark2[[#This Row],[Benchmark '#2 Dates]],Target1[Target Dates],0)),"-")</f>
        <v>30.9</v>
      </c>
      <c r="F257" s="1" t="str">
        <f>IF(COUNTIF(Comp1[Comparable '#1 Dates],Benchmark2[[#This Row],[Benchmark '#2 Dates]])=1,"Pass","Fail")</f>
        <v>Pass</v>
      </c>
      <c r="G257" s="6">
        <f>IF(Benchmark2[[#This Row],[Comparable '#1 Date Check]]="Pass",INDEX(Comp1[Comparable '#1 Price],MATCH(Benchmark2[[#This Row],[Benchmark '#2 Dates]],Comp1[Comparable '#1 Dates],0)),"-")</f>
        <v>15.8</v>
      </c>
      <c r="H257" s="1" t="str">
        <f>IF(COUNTIF(Comp2[Comparable '#2 Dates],Benchmark2[[#This Row],[Benchmark '#2 Dates]])=1,"Pass","Fail")</f>
        <v>Pass</v>
      </c>
      <c r="I257" s="6">
        <f>IF(Benchmark2[[#This Row],[Comparable '#2 Date Check]]="Pass",INDEX(Comp2[Comparable '#2 Price],MATCH(Benchmark2[[#This Row],[Benchmark '#2 Dates]],Comp2[Comparable '#2 Dates],0)),"-")</f>
        <v>45.34</v>
      </c>
      <c r="J257" s="1" t="str">
        <f>IF(COUNTIF(Comp3[Comparable '#3 Dates],Benchmark2[[#This Row],[Benchmark '#2 Dates]])=1,"Pass","Fail")</f>
        <v>Pass</v>
      </c>
      <c r="K257" s="6">
        <f>IF(Benchmark2[[#This Row],[Comparable '#3 Date Check]]="Pass",INDEX(Comp3[Comparable '#3 Price],MATCH(Benchmark2[[#This Row],[Benchmark '#2 Dates]],Comp3[Comparable '#3 Dates],0)),"-")</f>
        <v>182.43</v>
      </c>
    </row>
    <row r="258" spans="1:11">
      <c r="A258" s="103">
        <v>43658</v>
      </c>
      <c r="B258" s="104">
        <v>13234.76</v>
      </c>
      <c r="C258" s="4">
        <f t="shared" ref="C258:C321" si="4">IFERROR(IF(B258="",NA(),LN(B258/B257)),"-")</f>
        <v>2.7268465848506967E-3</v>
      </c>
      <c r="D258" s="1" t="str">
        <f>IF(COUNTIF(Target1[Target Dates],Benchmark2[[#This Row],[Benchmark '#2 Dates]])=1,"Pass","Fail")</f>
        <v>Pass</v>
      </c>
      <c r="E258" s="6">
        <f>IF(Benchmark2[[#This Row],[Target Date Check]]="Pass",INDEX(Target1[Target Price],MATCH(Benchmark2[[#This Row],[Benchmark '#2 Dates]],Target1[Target Dates],0)),"-")</f>
        <v>31.25</v>
      </c>
      <c r="F258" s="1" t="str">
        <f>IF(COUNTIF(Comp1[Comparable '#1 Dates],Benchmark2[[#This Row],[Benchmark '#2 Dates]])=1,"Pass","Fail")</f>
        <v>Pass</v>
      </c>
      <c r="G258" s="6">
        <f>IF(Benchmark2[[#This Row],[Comparable '#1 Date Check]]="Pass",INDEX(Comp1[Comparable '#1 Price],MATCH(Benchmark2[[#This Row],[Benchmark '#2 Dates]],Comp1[Comparable '#1 Dates],0)),"-")</f>
        <v>16.059999999999999</v>
      </c>
      <c r="H258" s="1" t="str">
        <f>IF(COUNTIF(Comp2[Comparable '#2 Dates],Benchmark2[[#This Row],[Benchmark '#2 Dates]])=1,"Pass","Fail")</f>
        <v>Pass</v>
      </c>
      <c r="I258" s="6">
        <f>IF(Benchmark2[[#This Row],[Comparable '#2 Date Check]]="Pass",INDEX(Comp2[Comparable '#2 Price],MATCH(Benchmark2[[#This Row],[Benchmark '#2 Dates]],Comp2[Comparable '#2 Dates],0)),"-")</f>
        <v>45.83</v>
      </c>
      <c r="J258" s="1" t="str">
        <f>IF(COUNTIF(Comp3[Comparable '#3 Dates],Benchmark2[[#This Row],[Benchmark '#2 Dates]])=1,"Pass","Fail")</f>
        <v>Pass</v>
      </c>
      <c r="K258" s="6">
        <f>IF(Benchmark2[[#This Row],[Comparable '#3 Date Check]]="Pass",INDEX(Comp3[Comparable '#3 Price],MATCH(Benchmark2[[#This Row],[Benchmark '#2 Dates]],Comp3[Comparable '#3 Dates],0)),"-")</f>
        <v>180.99</v>
      </c>
    </row>
    <row r="259" spans="1:11">
      <c r="A259" s="103">
        <v>43661</v>
      </c>
      <c r="B259" s="104">
        <v>13233.39</v>
      </c>
      <c r="C259" s="4">
        <f t="shared" si="4"/>
        <v>-1.0352064660538895E-4</v>
      </c>
      <c r="D259" s="1" t="str">
        <f>IF(COUNTIF(Target1[Target Dates],Benchmark2[[#This Row],[Benchmark '#2 Dates]])=1,"Pass","Fail")</f>
        <v>Pass</v>
      </c>
      <c r="E259" s="6">
        <f>IF(Benchmark2[[#This Row],[Target Date Check]]="Pass",INDEX(Target1[Target Price],MATCH(Benchmark2[[#This Row],[Benchmark '#2 Dates]],Target1[Target Dates],0)),"-")</f>
        <v>31.36</v>
      </c>
      <c r="F259" s="1" t="str">
        <f>IF(COUNTIF(Comp1[Comparable '#1 Dates],Benchmark2[[#This Row],[Benchmark '#2 Dates]])=1,"Pass","Fail")</f>
        <v>Pass</v>
      </c>
      <c r="G259" s="6">
        <f>IF(Benchmark2[[#This Row],[Comparable '#1 Date Check]]="Pass",INDEX(Comp1[Comparable '#1 Price],MATCH(Benchmark2[[#This Row],[Benchmark '#2 Dates]],Comp1[Comparable '#1 Dates],0)),"-")</f>
        <v>16.190000000000001</v>
      </c>
      <c r="H259" s="1" t="str">
        <f>IF(COUNTIF(Comp2[Comparable '#2 Dates],Benchmark2[[#This Row],[Benchmark '#2 Dates]])=1,"Pass","Fail")</f>
        <v>Pass</v>
      </c>
      <c r="I259" s="6">
        <f>IF(Benchmark2[[#This Row],[Comparable '#2 Date Check]]="Pass",INDEX(Comp2[Comparable '#2 Price],MATCH(Benchmark2[[#This Row],[Benchmark '#2 Dates]],Comp2[Comparable '#2 Dates],0)),"-")</f>
        <v>46.03</v>
      </c>
      <c r="J259" s="1" t="str">
        <f>IF(COUNTIF(Comp3[Comparable '#3 Dates],Benchmark2[[#This Row],[Benchmark '#2 Dates]])=1,"Pass","Fail")</f>
        <v>Pass</v>
      </c>
      <c r="K259" s="6">
        <f>IF(Benchmark2[[#This Row],[Comparable '#3 Date Check]]="Pass",INDEX(Comp3[Comparable '#3 Price],MATCH(Benchmark2[[#This Row],[Benchmark '#2 Dates]],Comp3[Comparable '#3 Dates],0)),"-")</f>
        <v>183.58</v>
      </c>
    </row>
    <row r="260" spans="1:11">
      <c r="A260" s="103">
        <v>43662</v>
      </c>
      <c r="B260" s="104">
        <v>13195.2</v>
      </c>
      <c r="C260" s="4">
        <f t="shared" si="4"/>
        <v>-2.8900540347817699E-3</v>
      </c>
      <c r="D260" s="1" t="str">
        <f>IF(COUNTIF(Target1[Target Dates],Benchmark2[[#This Row],[Benchmark '#2 Dates]])=1,"Pass","Fail")</f>
        <v>Pass</v>
      </c>
      <c r="E260" s="6">
        <f>IF(Benchmark2[[#This Row],[Target Date Check]]="Pass",INDEX(Target1[Target Price],MATCH(Benchmark2[[#This Row],[Benchmark '#2 Dates]],Target1[Target Dates],0)),"-")</f>
        <v>30.68</v>
      </c>
      <c r="F260" s="1" t="str">
        <f>IF(COUNTIF(Comp1[Comparable '#1 Dates],Benchmark2[[#This Row],[Benchmark '#2 Dates]])=1,"Pass","Fail")</f>
        <v>Pass</v>
      </c>
      <c r="G260" s="6">
        <f>IF(Benchmark2[[#This Row],[Comparable '#1 Date Check]]="Pass",INDEX(Comp1[Comparable '#1 Price],MATCH(Benchmark2[[#This Row],[Benchmark '#2 Dates]],Comp1[Comparable '#1 Dates],0)),"-")</f>
        <v>16.22</v>
      </c>
      <c r="H260" s="1" t="str">
        <f>IF(COUNTIF(Comp2[Comparable '#2 Dates],Benchmark2[[#This Row],[Benchmark '#2 Dates]])=1,"Pass","Fail")</f>
        <v>Pass</v>
      </c>
      <c r="I260" s="6">
        <f>IF(Benchmark2[[#This Row],[Comparable '#2 Date Check]]="Pass",INDEX(Comp2[Comparable '#2 Price],MATCH(Benchmark2[[#This Row],[Benchmark '#2 Dates]],Comp2[Comparable '#2 Dates],0)),"-")</f>
        <v>46.38</v>
      </c>
      <c r="J260" s="1" t="str">
        <f>IF(COUNTIF(Comp3[Comparable '#3 Dates],Benchmark2[[#This Row],[Benchmark '#2 Dates]])=1,"Pass","Fail")</f>
        <v>Pass</v>
      </c>
      <c r="K260" s="6">
        <f>IF(Benchmark2[[#This Row],[Comparable '#3 Date Check]]="Pass",INDEX(Comp3[Comparable '#3 Price],MATCH(Benchmark2[[#This Row],[Benchmark '#2 Dates]],Comp3[Comparable '#3 Dates],0)),"-")</f>
        <v>181.84</v>
      </c>
    </row>
    <row r="261" spans="1:11">
      <c r="A261" s="103">
        <v>43663</v>
      </c>
      <c r="B261" s="104">
        <v>13119.97</v>
      </c>
      <c r="C261" s="4">
        <f t="shared" si="4"/>
        <v>-5.7176301689911349E-3</v>
      </c>
      <c r="D261" s="1" t="str">
        <f>IF(COUNTIF(Target1[Target Dates],Benchmark2[[#This Row],[Benchmark '#2 Dates]])=1,"Pass","Fail")</f>
        <v>Pass</v>
      </c>
      <c r="E261" s="6">
        <f>IF(Benchmark2[[#This Row],[Target Date Check]]="Pass",INDEX(Target1[Target Price],MATCH(Benchmark2[[#This Row],[Benchmark '#2 Dates]],Target1[Target Dates],0)),"-")</f>
        <v>30.78</v>
      </c>
      <c r="F261" s="1" t="str">
        <f>IF(COUNTIF(Comp1[Comparable '#1 Dates],Benchmark2[[#This Row],[Benchmark '#2 Dates]])=1,"Pass","Fail")</f>
        <v>Pass</v>
      </c>
      <c r="G261" s="6">
        <f>IF(Benchmark2[[#This Row],[Comparable '#1 Date Check]]="Pass",INDEX(Comp1[Comparable '#1 Price],MATCH(Benchmark2[[#This Row],[Benchmark '#2 Dates]],Comp1[Comparable '#1 Dates],0)),"-")</f>
        <v>16.28</v>
      </c>
      <c r="H261" s="1" t="str">
        <f>IF(COUNTIF(Comp2[Comparable '#2 Dates],Benchmark2[[#This Row],[Benchmark '#2 Dates]])=1,"Pass","Fail")</f>
        <v>Pass</v>
      </c>
      <c r="I261" s="6">
        <f>IF(Benchmark2[[#This Row],[Comparable '#2 Date Check]]="Pass",INDEX(Comp2[Comparable '#2 Price],MATCH(Benchmark2[[#This Row],[Benchmark '#2 Dates]],Comp2[Comparable '#2 Dates],0)),"-")</f>
        <v>46.61</v>
      </c>
      <c r="J261" s="1" t="str">
        <f>IF(COUNTIF(Comp3[Comparable '#3 Dates],Benchmark2[[#This Row],[Benchmark '#2 Dates]])=1,"Pass","Fail")</f>
        <v>Pass</v>
      </c>
      <c r="K261" s="6">
        <f>IF(Benchmark2[[#This Row],[Comparable '#3 Date Check]]="Pass",INDEX(Comp3[Comparable '#3 Price],MATCH(Benchmark2[[#This Row],[Benchmark '#2 Dates]],Comp3[Comparable '#3 Dates],0)),"-")</f>
        <v>180.11</v>
      </c>
    </row>
    <row r="262" spans="1:11">
      <c r="A262" s="103">
        <v>43664</v>
      </c>
      <c r="B262" s="104">
        <v>13168.7</v>
      </c>
      <c r="C262" s="4">
        <f t="shared" si="4"/>
        <v>3.7073047676068932E-3</v>
      </c>
      <c r="D262" s="1" t="str">
        <f>IF(COUNTIF(Target1[Target Dates],Benchmark2[[#This Row],[Benchmark '#2 Dates]])=1,"Pass","Fail")</f>
        <v>Pass</v>
      </c>
      <c r="E262" s="6">
        <f>IF(Benchmark2[[#This Row],[Target Date Check]]="Pass",INDEX(Target1[Target Price],MATCH(Benchmark2[[#This Row],[Benchmark '#2 Dates]],Target1[Target Dates],0)),"-")</f>
        <v>31.08</v>
      </c>
      <c r="F262" s="1" t="str">
        <f>IF(COUNTIF(Comp1[Comparable '#1 Dates],Benchmark2[[#This Row],[Benchmark '#2 Dates]])=1,"Pass","Fail")</f>
        <v>Pass</v>
      </c>
      <c r="G262" s="6">
        <f>IF(Benchmark2[[#This Row],[Comparable '#1 Date Check]]="Pass",INDEX(Comp1[Comparable '#1 Price],MATCH(Benchmark2[[#This Row],[Benchmark '#2 Dates]],Comp1[Comparable '#1 Dates],0)),"-")</f>
        <v>16.5</v>
      </c>
      <c r="H262" s="1" t="str">
        <f>IF(COUNTIF(Comp2[Comparable '#2 Dates],Benchmark2[[#This Row],[Benchmark '#2 Dates]])=1,"Pass","Fail")</f>
        <v>Pass</v>
      </c>
      <c r="I262" s="6">
        <f>IF(Benchmark2[[#This Row],[Comparable '#2 Date Check]]="Pass",INDEX(Comp2[Comparable '#2 Price],MATCH(Benchmark2[[#This Row],[Benchmark '#2 Dates]],Comp2[Comparable '#2 Dates],0)),"-")</f>
        <v>47.29</v>
      </c>
      <c r="J262" s="1" t="str">
        <f>IF(COUNTIF(Comp3[Comparable '#3 Dates],Benchmark2[[#This Row],[Benchmark '#2 Dates]])=1,"Pass","Fail")</f>
        <v>Pass</v>
      </c>
      <c r="K262" s="6">
        <f>IF(Benchmark2[[#This Row],[Comparable '#3 Date Check]]="Pass",INDEX(Comp3[Comparable '#3 Price],MATCH(Benchmark2[[#This Row],[Benchmark '#2 Dates]],Comp3[Comparable '#3 Dates],0)),"-")</f>
        <v>188.04</v>
      </c>
    </row>
    <row r="263" spans="1:11">
      <c r="A263" s="103">
        <v>43665</v>
      </c>
      <c r="B263" s="104">
        <v>13111.99</v>
      </c>
      <c r="C263" s="4">
        <f t="shared" si="4"/>
        <v>-4.315722914490663E-3</v>
      </c>
      <c r="D263" s="1" t="str">
        <f>IF(COUNTIF(Target1[Target Dates],Benchmark2[[#This Row],[Benchmark '#2 Dates]])=1,"Pass","Fail")</f>
        <v>Pass</v>
      </c>
      <c r="E263" s="6">
        <f>IF(Benchmark2[[#This Row],[Target Date Check]]="Pass",INDEX(Target1[Target Price],MATCH(Benchmark2[[#This Row],[Benchmark '#2 Dates]],Target1[Target Dates],0)),"-")</f>
        <v>30.2</v>
      </c>
      <c r="F263" s="1" t="str">
        <f>IF(COUNTIF(Comp1[Comparable '#1 Dates],Benchmark2[[#This Row],[Benchmark '#2 Dates]])=1,"Pass","Fail")</f>
        <v>Pass</v>
      </c>
      <c r="G263" s="6">
        <f>IF(Benchmark2[[#This Row],[Comparable '#1 Date Check]]="Pass",INDEX(Comp1[Comparable '#1 Price],MATCH(Benchmark2[[#This Row],[Benchmark '#2 Dates]],Comp1[Comparable '#1 Dates],0)),"-")</f>
        <v>16.48</v>
      </c>
      <c r="H263" s="1" t="str">
        <f>IF(COUNTIF(Comp2[Comparable '#2 Dates],Benchmark2[[#This Row],[Benchmark '#2 Dates]])=1,"Pass","Fail")</f>
        <v>Pass</v>
      </c>
      <c r="I263" s="6">
        <f>IF(Benchmark2[[#This Row],[Comparable '#2 Date Check]]="Pass",INDEX(Comp2[Comparable '#2 Price],MATCH(Benchmark2[[#This Row],[Benchmark '#2 Dates]],Comp2[Comparable '#2 Dates],0)),"-")</f>
        <v>47.41</v>
      </c>
      <c r="J263" s="1" t="str">
        <f>IF(COUNTIF(Comp3[Comparable '#3 Dates],Benchmark2[[#This Row],[Benchmark '#2 Dates]])=1,"Pass","Fail")</f>
        <v>Pass</v>
      </c>
      <c r="K263" s="6">
        <f>IF(Benchmark2[[#This Row],[Comparable '#3 Date Check]]="Pass",INDEX(Comp3[Comparable '#3 Price],MATCH(Benchmark2[[#This Row],[Benchmark '#2 Dates]],Comp3[Comparable '#3 Dates],0)),"-")</f>
        <v>185.84</v>
      </c>
    </row>
    <row r="264" spans="1:11">
      <c r="A264" s="103">
        <v>43668</v>
      </c>
      <c r="B264" s="104">
        <v>13109.77</v>
      </c>
      <c r="C264" s="4">
        <f t="shared" si="4"/>
        <v>-1.6932501901495271E-4</v>
      </c>
      <c r="D264" s="1" t="str">
        <f>IF(COUNTIF(Target1[Target Dates],Benchmark2[[#This Row],[Benchmark '#2 Dates]])=1,"Pass","Fail")</f>
        <v>Pass</v>
      </c>
      <c r="E264" s="6">
        <f>IF(Benchmark2[[#This Row],[Target Date Check]]="Pass",INDEX(Target1[Target Price],MATCH(Benchmark2[[#This Row],[Benchmark '#2 Dates]],Target1[Target Dates],0)),"-")</f>
        <v>29.74</v>
      </c>
      <c r="F264" s="1" t="str">
        <f>IF(COUNTIF(Comp1[Comparable '#1 Dates],Benchmark2[[#This Row],[Benchmark '#2 Dates]])=1,"Pass","Fail")</f>
        <v>Pass</v>
      </c>
      <c r="G264" s="6">
        <f>IF(Benchmark2[[#This Row],[Comparable '#1 Date Check]]="Pass",INDEX(Comp1[Comparable '#1 Price],MATCH(Benchmark2[[#This Row],[Benchmark '#2 Dates]],Comp1[Comparable '#1 Dates],0)),"-")</f>
        <v>16.27</v>
      </c>
      <c r="H264" s="1" t="str">
        <f>IF(COUNTIF(Comp2[Comparable '#2 Dates],Benchmark2[[#This Row],[Benchmark '#2 Dates]])=1,"Pass","Fail")</f>
        <v>Pass</v>
      </c>
      <c r="I264" s="6">
        <f>IF(Benchmark2[[#This Row],[Comparable '#2 Date Check]]="Pass",INDEX(Comp2[Comparable '#2 Price],MATCH(Benchmark2[[#This Row],[Benchmark '#2 Dates]],Comp2[Comparable '#2 Dates],0)),"-")</f>
        <v>47.4</v>
      </c>
      <c r="J264" s="1" t="str">
        <f>IF(COUNTIF(Comp3[Comparable '#3 Dates],Benchmark2[[#This Row],[Benchmark '#2 Dates]])=1,"Pass","Fail")</f>
        <v>Pass</v>
      </c>
      <c r="K264" s="6">
        <f>IF(Benchmark2[[#This Row],[Comparable '#3 Date Check]]="Pass",INDEX(Comp3[Comparable '#3 Price],MATCH(Benchmark2[[#This Row],[Benchmark '#2 Dates]],Comp3[Comparable '#3 Dates],0)),"-")</f>
        <v>186.11</v>
      </c>
    </row>
    <row r="265" spans="1:11">
      <c r="A265" s="103">
        <v>43669</v>
      </c>
      <c r="B265" s="104">
        <v>13197.52</v>
      </c>
      <c r="C265" s="4">
        <f t="shared" si="4"/>
        <v>6.6711793909520123E-3</v>
      </c>
      <c r="D265" s="1" t="str">
        <f>IF(COUNTIF(Target1[Target Dates],Benchmark2[[#This Row],[Benchmark '#2 Dates]])=1,"Pass","Fail")</f>
        <v>Pass</v>
      </c>
      <c r="E265" s="6">
        <f>IF(Benchmark2[[#This Row],[Target Date Check]]="Pass",INDEX(Target1[Target Price],MATCH(Benchmark2[[#This Row],[Benchmark '#2 Dates]],Target1[Target Dates],0)),"-")</f>
        <v>30.2</v>
      </c>
      <c r="F265" s="1" t="str">
        <f>IF(COUNTIF(Comp1[Comparable '#1 Dates],Benchmark2[[#This Row],[Benchmark '#2 Dates]])=1,"Pass","Fail")</f>
        <v>Pass</v>
      </c>
      <c r="G265" s="6">
        <f>IF(Benchmark2[[#This Row],[Comparable '#1 Date Check]]="Pass",INDEX(Comp1[Comparable '#1 Price],MATCH(Benchmark2[[#This Row],[Benchmark '#2 Dates]],Comp1[Comparable '#1 Dates],0)),"-")</f>
        <v>16.36</v>
      </c>
      <c r="H265" s="1" t="str">
        <f>IF(COUNTIF(Comp2[Comparable '#2 Dates],Benchmark2[[#This Row],[Benchmark '#2 Dates]])=1,"Pass","Fail")</f>
        <v>Pass</v>
      </c>
      <c r="I265" s="6">
        <f>IF(Benchmark2[[#This Row],[Comparable '#2 Date Check]]="Pass",INDEX(Comp2[Comparable '#2 Price],MATCH(Benchmark2[[#This Row],[Benchmark '#2 Dates]],Comp2[Comparable '#2 Dates],0)),"-")</f>
        <v>48.07</v>
      </c>
      <c r="J265" s="1" t="str">
        <f>IF(COUNTIF(Comp3[Comparable '#3 Dates],Benchmark2[[#This Row],[Benchmark '#2 Dates]])=1,"Pass","Fail")</f>
        <v>Pass</v>
      </c>
      <c r="K265" s="6">
        <f>IF(Benchmark2[[#This Row],[Comparable '#3 Date Check]]="Pass",INDEX(Comp3[Comparable '#3 Price],MATCH(Benchmark2[[#This Row],[Benchmark '#2 Dates]],Comp3[Comparable '#3 Dates],0)),"-")</f>
        <v>186.67</v>
      </c>
    </row>
    <row r="266" spans="1:11">
      <c r="A266" s="103">
        <v>43670</v>
      </c>
      <c r="B266" s="104">
        <v>13234.93</v>
      </c>
      <c r="C266" s="4">
        <f t="shared" si="4"/>
        <v>2.8306135056393733E-3</v>
      </c>
      <c r="D266" s="1" t="str">
        <f>IF(COUNTIF(Target1[Target Dates],Benchmark2[[#This Row],[Benchmark '#2 Dates]])=1,"Pass","Fail")</f>
        <v>Pass</v>
      </c>
      <c r="E266" s="6">
        <f>IF(Benchmark2[[#This Row],[Target Date Check]]="Pass",INDEX(Target1[Target Price],MATCH(Benchmark2[[#This Row],[Benchmark '#2 Dates]],Target1[Target Dates],0)),"-")</f>
        <v>30.73</v>
      </c>
      <c r="F266" s="1" t="str">
        <f>IF(COUNTIF(Comp1[Comparable '#1 Dates],Benchmark2[[#This Row],[Benchmark '#2 Dates]])=1,"Pass","Fail")</f>
        <v>Pass</v>
      </c>
      <c r="G266" s="6">
        <f>IF(Benchmark2[[#This Row],[Comparable '#1 Date Check]]="Pass",INDEX(Comp1[Comparable '#1 Price],MATCH(Benchmark2[[#This Row],[Benchmark '#2 Dates]],Comp1[Comparable '#1 Dates],0)),"-")</f>
        <v>16.399999999999999</v>
      </c>
      <c r="H266" s="1" t="str">
        <f>IF(COUNTIF(Comp2[Comparable '#2 Dates],Benchmark2[[#This Row],[Benchmark '#2 Dates]])=1,"Pass","Fail")</f>
        <v>Pass</v>
      </c>
      <c r="I266" s="6">
        <f>IF(Benchmark2[[#This Row],[Comparable '#2 Date Check]]="Pass",INDEX(Comp2[Comparable '#2 Price],MATCH(Benchmark2[[#This Row],[Benchmark '#2 Dates]],Comp2[Comparable '#2 Dates],0)),"-")</f>
        <v>48.88</v>
      </c>
      <c r="J266" s="1" t="str">
        <f>IF(COUNTIF(Comp3[Comparable '#3 Dates],Benchmark2[[#This Row],[Benchmark '#2 Dates]])=1,"Pass","Fail")</f>
        <v>Pass</v>
      </c>
      <c r="K266" s="6">
        <f>IF(Benchmark2[[#This Row],[Comparable '#3 Date Check]]="Pass",INDEX(Comp3[Comparable '#3 Price],MATCH(Benchmark2[[#This Row],[Benchmark '#2 Dates]],Comp3[Comparable '#3 Dates],0)),"-")</f>
        <v>187.78</v>
      </c>
    </row>
    <row r="267" spans="1:11">
      <c r="A267" s="103">
        <v>43671</v>
      </c>
      <c r="B267" s="104">
        <v>13169.29</v>
      </c>
      <c r="C267" s="4">
        <f t="shared" si="4"/>
        <v>-4.9719427591133876E-3</v>
      </c>
      <c r="D267" s="1" t="str">
        <f>IF(COUNTIF(Target1[Target Dates],Benchmark2[[#This Row],[Benchmark '#2 Dates]])=1,"Pass","Fail")</f>
        <v>Pass</v>
      </c>
      <c r="E267" s="6">
        <f>IF(Benchmark2[[#This Row],[Target Date Check]]="Pass",INDEX(Target1[Target Price],MATCH(Benchmark2[[#This Row],[Benchmark '#2 Dates]],Target1[Target Dates],0)),"-")</f>
        <v>29.99</v>
      </c>
      <c r="F267" s="1" t="str">
        <f>IF(COUNTIF(Comp1[Comparable '#1 Dates],Benchmark2[[#This Row],[Benchmark '#2 Dates]])=1,"Pass","Fail")</f>
        <v>Pass</v>
      </c>
      <c r="G267" s="6">
        <f>IF(Benchmark2[[#This Row],[Comparable '#1 Date Check]]="Pass",INDEX(Comp1[Comparable '#1 Price],MATCH(Benchmark2[[#This Row],[Benchmark '#2 Dates]],Comp1[Comparable '#1 Dates],0)),"-")</f>
        <v>16.27</v>
      </c>
      <c r="H267" s="1" t="str">
        <f>IF(COUNTIF(Comp2[Comparable '#2 Dates],Benchmark2[[#This Row],[Benchmark '#2 Dates]])=1,"Pass","Fail")</f>
        <v>Pass</v>
      </c>
      <c r="I267" s="6">
        <f>IF(Benchmark2[[#This Row],[Comparable '#2 Date Check]]="Pass",INDEX(Comp2[Comparable '#2 Price],MATCH(Benchmark2[[#This Row],[Benchmark '#2 Dates]],Comp2[Comparable '#2 Dates],0)),"-")</f>
        <v>47.86</v>
      </c>
      <c r="J267" s="1" t="str">
        <f>IF(COUNTIF(Comp3[Comparable '#3 Dates],Benchmark2[[#This Row],[Benchmark '#2 Dates]])=1,"Pass","Fail")</f>
        <v>Pass</v>
      </c>
      <c r="K267" s="6">
        <f>IF(Benchmark2[[#This Row],[Comparable '#3 Date Check]]="Pass",INDEX(Comp3[Comparable '#3 Price],MATCH(Benchmark2[[#This Row],[Benchmark '#2 Dates]],Comp3[Comparable '#3 Dates],0)),"-")</f>
        <v>186.39</v>
      </c>
    </row>
    <row r="268" spans="1:11">
      <c r="A268" s="103">
        <v>43672</v>
      </c>
      <c r="B268" s="104">
        <v>13235.5</v>
      </c>
      <c r="C268" s="4">
        <f t="shared" si="4"/>
        <v>5.0150096832311253E-3</v>
      </c>
      <c r="D268" s="1" t="str">
        <f>IF(COUNTIF(Target1[Target Dates],Benchmark2[[#This Row],[Benchmark '#2 Dates]])=1,"Pass","Fail")</f>
        <v>Pass</v>
      </c>
      <c r="E268" s="6">
        <f>IF(Benchmark2[[#This Row],[Target Date Check]]="Pass",INDEX(Target1[Target Price],MATCH(Benchmark2[[#This Row],[Benchmark '#2 Dates]],Target1[Target Dates],0)),"-")</f>
        <v>30.61</v>
      </c>
      <c r="F268" s="1" t="str">
        <f>IF(COUNTIF(Comp1[Comparable '#1 Dates],Benchmark2[[#This Row],[Benchmark '#2 Dates]])=1,"Pass","Fail")</f>
        <v>Pass</v>
      </c>
      <c r="G268" s="6">
        <f>IF(Benchmark2[[#This Row],[Comparable '#1 Date Check]]="Pass",INDEX(Comp1[Comparable '#1 Price],MATCH(Benchmark2[[#This Row],[Benchmark '#2 Dates]],Comp1[Comparable '#1 Dates],0)),"-")</f>
        <v>16.489999999999998</v>
      </c>
      <c r="H268" s="1" t="str">
        <f>IF(COUNTIF(Comp2[Comparable '#2 Dates],Benchmark2[[#This Row],[Benchmark '#2 Dates]])=1,"Pass","Fail")</f>
        <v>Pass</v>
      </c>
      <c r="I268" s="6">
        <f>IF(Benchmark2[[#This Row],[Comparable '#2 Date Check]]="Pass",INDEX(Comp2[Comparable '#2 Price],MATCH(Benchmark2[[#This Row],[Benchmark '#2 Dates]],Comp2[Comparable '#2 Dates],0)),"-")</f>
        <v>48.66</v>
      </c>
      <c r="J268" s="1" t="str">
        <f>IF(COUNTIF(Comp3[Comparable '#3 Dates],Benchmark2[[#This Row],[Benchmark '#2 Dates]])=1,"Pass","Fail")</f>
        <v>Pass</v>
      </c>
      <c r="K268" s="6">
        <f>IF(Benchmark2[[#This Row],[Comparable '#3 Date Check]]="Pass",INDEX(Comp3[Comparable '#3 Price],MATCH(Benchmark2[[#This Row],[Benchmark '#2 Dates]],Comp3[Comparable '#3 Dates],0)),"-")</f>
        <v>187.6</v>
      </c>
    </row>
    <row r="269" spans="1:11">
      <c r="A269" s="103">
        <v>43675</v>
      </c>
      <c r="B269" s="104">
        <v>13222.61</v>
      </c>
      <c r="C269" s="4">
        <f t="shared" si="4"/>
        <v>-9.7437050642023345E-4</v>
      </c>
      <c r="D269" s="1" t="str">
        <f>IF(COUNTIF(Target1[Target Dates],Benchmark2[[#This Row],[Benchmark '#2 Dates]])=1,"Pass","Fail")</f>
        <v>Pass</v>
      </c>
      <c r="E269" s="6">
        <f>IF(Benchmark2[[#This Row],[Target Date Check]]="Pass",INDEX(Target1[Target Price],MATCH(Benchmark2[[#This Row],[Benchmark '#2 Dates]],Target1[Target Dates],0)),"-")</f>
        <v>30.43</v>
      </c>
      <c r="F269" s="1" t="str">
        <f>IF(COUNTIF(Comp1[Comparable '#1 Dates],Benchmark2[[#This Row],[Benchmark '#2 Dates]])=1,"Pass","Fail")</f>
        <v>Pass</v>
      </c>
      <c r="G269" s="6">
        <f>IF(Benchmark2[[#This Row],[Comparable '#1 Date Check]]="Pass",INDEX(Comp1[Comparable '#1 Price],MATCH(Benchmark2[[#This Row],[Benchmark '#2 Dates]],Comp1[Comparable '#1 Dates],0)),"-")</f>
        <v>16.38</v>
      </c>
      <c r="H269" s="1" t="str">
        <f>IF(COUNTIF(Comp2[Comparable '#2 Dates],Benchmark2[[#This Row],[Benchmark '#2 Dates]])=1,"Pass","Fail")</f>
        <v>Pass</v>
      </c>
      <c r="I269" s="6">
        <f>IF(Benchmark2[[#This Row],[Comparable '#2 Date Check]]="Pass",INDEX(Comp2[Comparable '#2 Price],MATCH(Benchmark2[[#This Row],[Benchmark '#2 Dates]],Comp2[Comparable '#2 Dates],0)),"-")</f>
        <v>48.21</v>
      </c>
      <c r="J269" s="1" t="str">
        <f>IF(COUNTIF(Comp3[Comparable '#3 Dates],Benchmark2[[#This Row],[Benchmark '#2 Dates]])=1,"Pass","Fail")</f>
        <v>Pass</v>
      </c>
      <c r="K269" s="6">
        <f>IF(Benchmark2[[#This Row],[Comparable '#3 Date Check]]="Pass",INDEX(Comp3[Comparable '#3 Price],MATCH(Benchmark2[[#This Row],[Benchmark '#2 Dates]],Comp3[Comparable '#3 Dates],0)),"-")</f>
        <v>185.34</v>
      </c>
    </row>
    <row r="270" spans="1:11">
      <c r="A270" s="103">
        <v>43676</v>
      </c>
      <c r="B270" s="104">
        <v>13187.21</v>
      </c>
      <c r="C270" s="4">
        <f t="shared" si="4"/>
        <v>-2.6808226031898538E-3</v>
      </c>
      <c r="D270" s="1" t="str">
        <f>IF(COUNTIF(Target1[Target Dates],Benchmark2[[#This Row],[Benchmark '#2 Dates]])=1,"Pass","Fail")</f>
        <v>Pass</v>
      </c>
      <c r="E270" s="6">
        <f>IF(Benchmark2[[#This Row],[Target Date Check]]="Pass",INDEX(Target1[Target Price],MATCH(Benchmark2[[#This Row],[Benchmark '#2 Dates]],Target1[Target Dates],0)),"-")</f>
        <v>30.85</v>
      </c>
      <c r="F270" s="1" t="str">
        <f>IF(COUNTIF(Comp1[Comparable '#1 Dates],Benchmark2[[#This Row],[Benchmark '#2 Dates]])=1,"Pass","Fail")</f>
        <v>Pass</v>
      </c>
      <c r="G270" s="6">
        <f>IF(Benchmark2[[#This Row],[Comparable '#1 Date Check]]="Pass",INDEX(Comp1[Comparable '#1 Price],MATCH(Benchmark2[[#This Row],[Benchmark '#2 Dates]],Comp1[Comparable '#1 Dates],0)),"-")</f>
        <v>16.55</v>
      </c>
      <c r="H270" s="1" t="str">
        <f>IF(COUNTIF(Comp2[Comparable '#2 Dates],Benchmark2[[#This Row],[Benchmark '#2 Dates]])=1,"Pass","Fail")</f>
        <v>Pass</v>
      </c>
      <c r="I270" s="6">
        <f>IF(Benchmark2[[#This Row],[Comparable '#2 Date Check]]="Pass",INDEX(Comp2[Comparable '#2 Price],MATCH(Benchmark2[[#This Row],[Benchmark '#2 Dates]],Comp2[Comparable '#2 Dates],0)),"-")</f>
        <v>48.97</v>
      </c>
      <c r="J270" s="1" t="str">
        <f>IF(COUNTIF(Comp3[Comparable '#3 Dates],Benchmark2[[#This Row],[Benchmark '#2 Dates]])=1,"Pass","Fail")</f>
        <v>Pass</v>
      </c>
      <c r="K270" s="6">
        <f>IF(Benchmark2[[#This Row],[Comparable '#3 Date Check]]="Pass",INDEX(Comp3[Comparable '#3 Price],MATCH(Benchmark2[[#This Row],[Benchmark '#2 Dates]],Comp3[Comparable '#3 Dates],0)),"-")</f>
        <v>182.02</v>
      </c>
    </row>
    <row r="271" spans="1:11">
      <c r="A271" s="103">
        <v>43677</v>
      </c>
      <c r="B271" s="104">
        <v>13066.6</v>
      </c>
      <c r="C271" s="4">
        <f t="shared" si="4"/>
        <v>-9.1880643986877193E-3</v>
      </c>
      <c r="D271" s="1" t="str">
        <f>IF(COUNTIF(Target1[Target Dates],Benchmark2[[#This Row],[Benchmark '#2 Dates]])=1,"Pass","Fail")</f>
        <v>Pass</v>
      </c>
      <c r="E271" s="6">
        <f>IF(Benchmark2[[#This Row],[Target Date Check]]="Pass",INDEX(Target1[Target Price],MATCH(Benchmark2[[#This Row],[Benchmark '#2 Dates]],Target1[Target Dates],0)),"-")</f>
        <v>29.85</v>
      </c>
      <c r="F271" s="1" t="str">
        <f>IF(COUNTIF(Comp1[Comparable '#1 Dates],Benchmark2[[#This Row],[Benchmark '#2 Dates]])=1,"Pass","Fail")</f>
        <v>Pass</v>
      </c>
      <c r="G271" s="6">
        <f>IF(Benchmark2[[#This Row],[Comparable '#1 Date Check]]="Pass",INDEX(Comp1[Comparable '#1 Price],MATCH(Benchmark2[[#This Row],[Benchmark '#2 Dates]],Comp1[Comparable '#1 Dates],0)),"-")</f>
        <v>16.39</v>
      </c>
      <c r="H271" s="1" t="str">
        <f>IF(COUNTIF(Comp2[Comparable '#2 Dates],Benchmark2[[#This Row],[Benchmark '#2 Dates]])=1,"Pass","Fail")</f>
        <v>Pass</v>
      </c>
      <c r="I271" s="6">
        <f>IF(Benchmark2[[#This Row],[Comparable '#2 Date Check]]="Pass",INDEX(Comp2[Comparable '#2 Price],MATCH(Benchmark2[[#This Row],[Benchmark '#2 Dates]],Comp2[Comparable '#2 Dates],0)),"-")</f>
        <v>47.37</v>
      </c>
      <c r="J271" s="1" t="str">
        <f>IF(COUNTIF(Comp3[Comparable '#3 Dates],Benchmark2[[#This Row],[Benchmark '#2 Dates]])=1,"Pass","Fail")</f>
        <v>Pass</v>
      </c>
      <c r="K271" s="6">
        <f>IF(Benchmark2[[#This Row],[Comparable '#3 Date Check]]="Pass",INDEX(Comp3[Comparable '#3 Price],MATCH(Benchmark2[[#This Row],[Benchmark '#2 Dates]],Comp3[Comparable '#3 Dates],0)),"-")</f>
        <v>177.99</v>
      </c>
    </row>
    <row r="272" spans="1:11">
      <c r="A272" s="103">
        <v>43678</v>
      </c>
      <c r="B272" s="104">
        <v>12920.82</v>
      </c>
      <c r="C272" s="4">
        <f t="shared" si="4"/>
        <v>-1.1219392241735657E-2</v>
      </c>
      <c r="D272" s="1" t="str">
        <f>IF(COUNTIF(Target1[Target Dates],Benchmark2[[#This Row],[Benchmark '#2 Dates]])=1,"Pass","Fail")</f>
        <v>Pass</v>
      </c>
      <c r="E272" s="6">
        <f>IF(Benchmark2[[#This Row],[Target Date Check]]="Pass",INDEX(Target1[Target Price],MATCH(Benchmark2[[#This Row],[Benchmark '#2 Dates]],Target1[Target Dates],0)),"-")</f>
        <v>29.8</v>
      </c>
      <c r="F272" s="1" t="str">
        <f>IF(COUNTIF(Comp1[Comparable '#1 Dates],Benchmark2[[#This Row],[Benchmark '#2 Dates]])=1,"Pass","Fail")</f>
        <v>Pass</v>
      </c>
      <c r="G272" s="6">
        <f>IF(Benchmark2[[#This Row],[Comparable '#1 Date Check]]="Pass",INDEX(Comp1[Comparable '#1 Price],MATCH(Benchmark2[[#This Row],[Benchmark '#2 Dates]],Comp1[Comparable '#1 Dates],0)),"-")</f>
        <v>16.399999999999999</v>
      </c>
      <c r="H272" s="1" t="str">
        <f>IF(COUNTIF(Comp2[Comparable '#2 Dates],Benchmark2[[#This Row],[Benchmark '#2 Dates]])=1,"Pass","Fail")</f>
        <v>Pass</v>
      </c>
      <c r="I272" s="6">
        <f>IF(Benchmark2[[#This Row],[Comparable '#2 Date Check]]="Pass",INDEX(Comp2[Comparable '#2 Price],MATCH(Benchmark2[[#This Row],[Benchmark '#2 Dates]],Comp2[Comparable '#2 Dates],0)),"-")</f>
        <v>47.28</v>
      </c>
      <c r="J272" s="1" t="str">
        <f>IF(COUNTIF(Comp3[Comparable '#3 Dates],Benchmark2[[#This Row],[Benchmark '#2 Dates]])=1,"Pass","Fail")</f>
        <v>Pass</v>
      </c>
      <c r="K272" s="6">
        <f>IF(Benchmark2[[#This Row],[Comparable '#3 Date Check]]="Pass",INDEX(Comp3[Comparable '#3 Price],MATCH(Benchmark2[[#This Row],[Benchmark '#2 Dates]],Comp3[Comparable '#3 Dates],0)),"-")</f>
        <v>176.96</v>
      </c>
    </row>
    <row r="273" spans="1:11">
      <c r="A273" s="103">
        <v>43679</v>
      </c>
      <c r="B273" s="104">
        <v>12839.5</v>
      </c>
      <c r="C273" s="4">
        <f t="shared" si="4"/>
        <v>-6.3136071391064752E-3</v>
      </c>
      <c r="D273" s="1" t="str">
        <f>IF(COUNTIF(Target1[Target Dates],Benchmark2[[#This Row],[Benchmark '#2 Dates]])=1,"Pass","Fail")</f>
        <v>Pass</v>
      </c>
      <c r="E273" s="6">
        <f>IF(Benchmark2[[#This Row],[Target Date Check]]="Pass",INDEX(Target1[Target Price],MATCH(Benchmark2[[#This Row],[Benchmark '#2 Dates]],Target1[Target Dates],0)),"-")</f>
        <v>28.47</v>
      </c>
      <c r="F273" s="1" t="str">
        <f>IF(COUNTIF(Comp1[Comparable '#1 Dates],Benchmark2[[#This Row],[Benchmark '#2 Dates]])=1,"Pass","Fail")</f>
        <v>Pass</v>
      </c>
      <c r="G273" s="6">
        <f>IF(Benchmark2[[#This Row],[Comparable '#1 Date Check]]="Pass",INDEX(Comp1[Comparable '#1 Price],MATCH(Benchmark2[[#This Row],[Benchmark '#2 Dates]],Comp1[Comparable '#1 Dates],0)),"-")</f>
        <v>15.99</v>
      </c>
      <c r="H273" s="1" t="str">
        <f>IF(COUNTIF(Comp2[Comparable '#2 Dates],Benchmark2[[#This Row],[Benchmark '#2 Dates]])=1,"Pass","Fail")</f>
        <v>Pass</v>
      </c>
      <c r="I273" s="6">
        <f>IF(Benchmark2[[#This Row],[Comparable '#2 Date Check]]="Pass",INDEX(Comp2[Comparable '#2 Price],MATCH(Benchmark2[[#This Row],[Benchmark '#2 Dates]],Comp2[Comparable '#2 Dates],0)),"-")</f>
        <v>46.39</v>
      </c>
      <c r="J273" s="1" t="str">
        <f>IF(COUNTIF(Comp3[Comparable '#3 Dates],Benchmark2[[#This Row],[Benchmark '#2 Dates]])=1,"Pass","Fail")</f>
        <v>Pass</v>
      </c>
      <c r="K273" s="6">
        <f>IF(Benchmark2[[#This Row],[Comparable '#3 Date Check]]="Pass",INDEX(Comp3[Comparable '#3 Price],MATCH(Benchmark2[[#This Row],[Benchmark '#2 Dates]],Comp3[Comparable '#3 Dates],0)),"-")</f>
        <v>175.29</v>
      </c>
    </row>
    <row r="274" spans="1:11">
      <c r="A274" s="103">
        <v>43682</v>
      </c>
      <c r="B274" s="104">
        <v>12497.31</v>
      </c>
      <c r="C274" s="4">
        <f t="shared" si="4"/>
        <v>-2.701293554422041E-2</v>
      </c>
      <c r="D274" s="1" t="str">
        <f>IF(COUNTIF(Target1[Target Dates],Benchmark2[[#This Row],[Benchmark '#2 Dates]])=1,"Pass","Fail")</f>
        <v>Pass</v>
      </c>
      <c r="E274" s="6">
        <f>IF(Benchmark2[[#This Row],[Target Date Check]]="Pass",INDEX(Target1[Target Price],MATCH(Benchmark2[[#This Row],[Benchmark '#2 Dates]],Target1[Target Dates],0)),"-")</f>
        <v>29.26</v>
      </c>
      <c r="F274" s="1" t="str">
        <f>IF(COUNTIF(Comp1[Comparable '#1 Dates],Benchmark2[[#This Row],[Benchmark '#2 Dates]])=1,"Pass","Fail")</f>
        <v>Pass</v>
      </c>
      <c r="G274" s="6">
        <f>IF(Benchmark2[[#This Row],[Comparable '#1 Date Check]]="Pass",INDEX(Comp1[Comparable '#1 Price],MATCH(Benchmark2[[#This Row],[Benchmark '#2 Dates]],Comp1[Comparable '#1 Dates],0)),"-")</f>
        <v>15.68</v>
      </c>
      <c r="H274" s="1" t="str">
        <f>IF(COUNTIF(Comp2[Comparable '#2 Dates],Benchmark2[[#This Row],[Benchmark '#2 Dates]])=1,"Pass","Fail")</f>
        <v>Pass</v>
      </c>
      <c r="I274" s="6">
        <f>IF(Benchmark2[[#This Row],[Comparable '#2 Date Check]]="Pass",INDEX(Comp2[Comparable '#2 Price],MATCH(Benchmark2[[#This Row],[Benchmark '#2 Dates]],Comp2[Comparable '#2 Dates],0)),"-")</f>
        <v>44.42</v>
      </c>
      <c r="J274" s="1" t="str">
        <f>IF(COUNTIF(Comp3[Comparable '#3 Dates],Benchmark2[[#This Row],[Benchmark '#2 Dates]])=1,"Pass","Fail")</f>
        <v>Pass</v>
      </c>
      <c r="K274" s="6">
        <f>IF(Benchmark2[[#This Row],[Comparable '#3 Date Check]]="Pass",INDEX(Comp3[Comparable '#3 Price],MATCH(Benchmark2[[#This Row],[Benchmark '#2 Dates]],Comp3[Comparable '#3 Dates],0)),"-")</f>
        <v>167.27</v>
      </c>
    </row>
    <row r="275" spans="1:11">
      <c r="A275" s="103">
        <v>43683</v>
      </c>
      <c r="B275" s="104">
        <v>12628.14</v>
      </c>
      <c r="C275" s="4">
        <f t="shared" si="4"/>
        <v>1.0414235959379027E-2</v>
      </c>
      <c r="D275" s="1" t="str">
        <f>IF(COUNTIF(Target1[Target Dates],Benchmark2[[#This Row],[Benchmark '#2 Dates]])=1,"Pass","Fail")</f>
        <v>Pass</v>
      </c>
      <c r="E275" s="6">
        <f>IF(Benchmark2[[#This Row],[Target Date Check]]="Pass",INDEX(Target1[Target Price],MATCH(Benchmark2[[#This Row],[Benchmark '#2 Dates]],Target1[Target Dates],0)),"-")</f>
        <v>28.51</v>
      </c>
      <c r="F275" s="1" t="str">
        <f>IF(COUNTIF(Comp1[Comparable '#1 Dates],Benchmark2[[#This Row],[Benchmark '#2 Dates]])=1,"Pass","Fail")</f>
        <v>Pass</v>
      </c>
      <c r="G275" s="6">
        <f>IF(Benchmark2[[#This Row],[Comparable '#1 Date Check]]="Pass",INDEX(Comp1[Comparable '#1 Price],MATCH(Benchmark2[[#This Row],[Benchmark '#2 Dates]],Comp1[Comparable '#1 Dates],0)),"-")</f>
        <v>15.52</v>
      </c>
      <c r="H275" s="1" t="str">
        <f>IF(COUNTIF(Comp2[Comparable '#2 Dates],Benchmark2[[#This Row],[Benchmark '#2 Dates]])=1,"Pass","Fail")</f>
        <v>Pass</v>
      </c>
      <c r="I275" s="6">
        <f>IF(Benchmark2[[#This Row],[Comparable '#2 Date Check]]="Pass",INDEX(Comp2[Comparable '#2 Price],MATCH(Benchmark2[[#This Row],[Benchmark '#2 Dates]],Comp2[Comparable '#2 Dates],0)),"-")</f>
        <v>46.36</v>
      </c>
      <c r="J275" s="1" t="str">
        <f>IF(COUNTIF(Comp3[Comparable '#3 Dates],Benchmark2[[#This Row],[Benchmark '#2 Dates]])=1,"Pass","Fail")</f>
        <v>Pass</v>
      </c>
      <c r="K275" s="6">
        <f>IF(Benchmark2[[#This Row],[Comparable '#3 Date Check]]="Pass",INDEX(Comp3[Comparable '#3 Price],MATCH(Benchmark2[[#This Row],[Benchmark '#2 Dates]],Comp3[Comparable '#3 Dates],0)),"-")</f>
        <v>171.37</v>
      </c>
    </row>
    <row r="276" spans="1:11">
      <c r="A276" s="103">
        <v>43684</v>
      </c>
      <c r="B276" s="104">
        <v>12632.95</v>
      </c>
      <c r="C276" s="4">
        <f t="shared" si="4"/>
        <v>3.80822843205366E-4</v>
      </c>
      <c r="D276" s="1" t="str">
        <f>IF(COUNTIF(Target1[Target Dates],Benchmark2[[#This Row],[Benchmark '#2 Dates]])=1,"Pass","Fail")</f>
        <v>Pass</v>
      </c>
      <c r="E276" s="6">
        <f>IF(Benchmark2[[#This Row],[Target Date Check]]="Pass",INDEX(Target1[Target Price],MATCH(Benchmark2[[#This Row],[Benchmark '#2 Dates]],Target1[Target Dates],0)),"-")</f>
        <v>27.28</v>
      </c>
      <c r="F276" s="1" t="str">
        <f>IF(COUNTIF(Comp1[Comparable '#1 Dates],Benchmark2[[#This Row],[Benchmark '#2 Dates]])=1,"Pass","Fail")</f>
        <v>Pass</v>
      </c>
      <c r="G276" s="6">
        <f>IF(Benchmark2[[#This Row],[Comparable '#1 Date Check]]="Pass",INDEX(Comp1[Comparable '#1 Price],MATCH(Benchmark2[[#This Row],[Benchmark '#2 Dates]],Comp1[Comparable '#1 Dates],0)),"-")</f>
        <v>15.44</v>
      </c>
      <c r="H276" s="1" t="str">
        <f>IF(COUNTIF(Comp2[Comparable '#2 Dates],Benchmark2[[#This Row],[Benchmark '#2 Dates]])=1,"Pass","Fail")</f>
        <v>Pass</v>
      </c>
      <c r="I276" s="6">
        <f>IF(Benchmark2[[#This Row],[Comparable '#2 Date Check]]="Pass",INDEX(Comp2[Comparable '#2 Price],MATCH(Benchmark2[[#This Row],[Benchmark '#2 Dates]],Comp2[Comparable '#2 Dates],0)),"-")</f>
        <v>46.35</v>
      </c>
      <c r="J276" s="1" t="str">
        <f>IF(COUNTIF(Comp3[Comparable '#3 Dates],Benchmark2[[#This Row],[Benchmark '#2 Dates]])=1,"Pass","Fail")</f>
        <v>Pass</v>
      </c>
      <c r="K276" s="6">
        <f>IF(Benchmark2[[#This Row],[Comparable '#3 Date Check]]="Pass",INDEX(Comp3[Comparable '#3 Price],MATCH(Benchmark2[[#This Row],[Benchmark '#2 Dates]],Comp3[Comparable '#3 Dates],0)),"-")</f>
        <v>172.57</v>
      </c>
    </row>
    <row r="277" spans="1:11">
      <c r="A277" s="103">
        <v>43685</v>
      </c>
      <c r="B277" s="104">
        <v>12828.82</v>
      </c>
      <c r="C277" s="4">
        <f t="shared" si="4"/>
        <v>1.5385722505105746E-2</v>
      </c>
      <c r="D277" s="1" t="str">
        <f>IF(COUNTIF(Target1[Target Dates],Benchmark2[[#This Row],[Benchmark '#2 Dates]])=1,"Pass","Fail")</f>
        <v>Pass</v>
      </c>
      <c r="E277" s="6">
        <f>IF(Benchmark2[[#This Row],[Target Date Check]]="Pass",INDEX(Target1[Target Price],MATCH(Benchmark2[[#This Row],[Benchmark '#2 Dates]],Target1[Target Dates],0)),"-")</f>
        <v>28.71</v>
      </c>
      <c r="F277" s="1" t="str">
        <f>IF(COUNTIF(Comp1[Comparable '#1 Dates],Benchmark2[[#This Row],[Benchmark '#2 Dates]])=1,"Pass","Fail")</f>
        <v>Pass</v>
      </c>
      <c r="G277" s="6">
        <f>IF(Benchmark2[[#This Row],[Comparable '#1 Date Check]]="Pass",INDEX(Comp1[Comparable '#1 Price],MATCH(Benchmark2[[#This Row],[Benchmark '#2 Dates]],Comp1[Comparable '#1 Dates],0)),"-")</f>
        <v>16.97</v>
      </c>
      <c r="H277" s="1" t="str">
        <f>IF(COUNTIF(Comp2[Comparable '#2 Dates],Benchmark2[[#This Row],[Benchmark '#2 Dates]])=1,"Pass","Fail")</f>
        <v>Pass</v>
      </c>
      <c r="I277" s="6">
        <f>IF(Benchmark2[[#This Row],[Comparable '#2 Date Check]]="Pass",INDEX(Comp2[Comparable '#2 Price],MATCH(Benchmark2[[#This Row],[Benchmark '#2 Dates]],Comp2[Comparable '#2 Dates],0)),"-")</f>
        <v>48.18</v>
      </c>
      <c r="J277" s="1" t="str">
        <f>IF(COUNTIF(Comp3[Comparable '#3 Dates],Benchmark2[[#This Row],[Benchmark '#2 Dates]])=1,"Pass","Fail")</f>
        <v>Pass</v>
      </c>
      <c r="K277" s="6">
        <f>IF(Benchmark2[[#This Row],[Comparable '#3 Date Check]]="Pass",INDEX(Comp3[Comparable '#3 Price],MATCH(Benchmark2[[#This Row],[Benchmark '#2 Dates]],Comp3[Comparable '#3 Dates],0)),"-")</f>
        <v>175.72</v>
      </c>
    </row>
    <row r="278" spans="1:11">
      <c r="A278" s="103">
        <v>43686</v>
      </c>
      <c r="B278" s="104">
        <v>12748.42</v>
      </c>
      <c r="C278" s="4">
        <f t="shared" si="4"/>
        <v>-6.2868601002072288E-3</v>
      </c>
      <c r="D278" s="1" t="str">
        <f>IF(COUNTIF(Target1[Target Dates],Benchmark2[[#This Row],[Benchmark '#2 Dates]])=1,"Pass","Fail")</f>
        <v>Pass</v>
      </c>
      <c r="E278" s="6">
        <f>IF(Benchmark2[[#This Row],[Target Date Check]]="Pass",INDEX(Target1[Target Price],MATCH(Benchmark2[[#This Row],[Benchmark '#2 Dates]],Target1[Target Dates],0)),"-")</f>
        <v>28.95</v>
      </c>
      <c r="F278" s="1" t="str">
        <f>IF(COUNTIF(Comp1[Comparable '#1 Dates],Benchmark2[[#This Row],[Benchmark '#2 Dates]])=1,"Pass","Fail")</f>
        <v>Pass</v>
      </c>
      <c r="G278" s="6">
        <f>IF(Benchmark2[[#This Row],[Comparable '#1 Date Check]]="Pass",INDEX(Comp1[Comparable '#1 Price],MATCH(Benchmark2[[#This Row],[Benchmark '#2 Dates]],Comp1[Comparable '#1 Dates],0)),"-")</f>
        <v>17.82</v>
      </c>
      <c r="H278" s="1" t="str">
        <f>IF(COUNTIF(Comp2[Comparable '#2 Dates],Benchmark2[[#This Row],[Benchmark '#2 Dates]])=1,"Pass","Fail")</f>
        <v>Pass</v>
      </c>
      <c r="I278" s="6">
        <f>IF(Benchmark2[[#This Row],[Comparable '#2 Date Check]]="Pass",INDEX(Comp2[Comparable '#2 Price],MATCH(Benchmark2[[#This Row],[Benchmark '#2 Dates]],Comp2[Comparable '#2 Dates],0)),"-")</f>
        <v>48.09</v>
      </c>
      <c r="J278" s="1" t="str">
        <f>IF(COUNTIF(Comp3[Comparable '#3 Dates],Benchmark2[[#This Row],[Benchmark '#2 Dates]])=1,"Pass","Fail")</f>
        <v>Pass</v>
      </c>
      <c r="K278" s="6">
        <f>IF(Benchmark2[[#This Row],[Comparable '#3 Date Check]]="Pass",INDEX(Comp3[Comparable '#3 Price],MATCH(Benchmark2[[#This Row],[Benchmark '#2 Dates]],Comp3[Comparable '#3 Dates],0)),"-")</f>
        <v>174.01</v>
      </c>
    </row>
    <row r="279" spans="1:11">
      <c r="A279" s="103">
        <v>43689</v>
      </c>
      <c r="B279" s="104">
        <v>12586.24</v>
      </c>
      <c r="C279" s="4">
        <f t="shared" si="4"/>
        <v>-1.2803188627350763E-2</v>
      </c>
      <c r="D279" s="1" t="str">
        <f>IF(COUNTIF(Target1[Target Dates],Benchmark2[[#This Row],[Benchmark '#2 Dates]])=1,"Pass","Fail")</f>
        <v>Pass</v>
      </c>
      <c r="E279" s="6">
        <f>IF(Benchmark2[[#This Row],[Target Date Check]]="Pass",INDEX(Target1[Target Price],MATCH(Benchmark2[[#This Row],[Benchmark '#2 Dates]],Target1[Target Dates],0)),"-")</f>
        <v>28.58</v>
      </c>
      <c r="F279" s="1" t="str">
        <f>IF(COUNTIF(Comp1[Comparable '#1 Dates],Benchmark2[[#This Row],[Benchmark '#2 Dates]])=1,"Pass","Fail")</f>
        <v>Pass</v>
      </c>
      <c r="G279" s="6">
        <f>IF(Benchmark2[[#This Row],[Comparable '#1 Date Check]]="Pass",INDEX(Comp1[Comparable '#1 Price],MATCH(Benchmark2[[#This Row],[Benchmark '#2 Dates]],Comp1[Comparable '#1 Dates],0)),"-")</f>
        <v>17.350000000000001</v>
      </c>
      <c r="H279" s="1" t="str">
        <f>IF(COUNTIF(Comp2[Comparable '#2 Dates],Benchmark2[[#This Row],[Benchmark '#2 Dates]])=1,"Pass","Fail")</f>
        <v>Pass</v>
      </c>
      <c r="I279" s="6">
        <f>IF(Benchmark2[[#This Row],[Comparable '#2 Date Check]]="Pass",INDEX(Comp2[Comparable '#2 Price],MATCH(Benchmark2[[#This Row],[Benchmark '#2 Dates]],Comp2[Comparable '#2 Dates],0)),"-")</f>
        <v>47.72</v>
      </c>
      <c r="J279" s="1" t="str">
        <f>IF(COUNTIF(Comp3[Comparable '#3 Dates],Benchmark2[[#This Row],[Benchmark '#2 Dates]])=1,"Pass","Fail")</f>
        <v>Pass</v>
      </c>
      <c r="K279" s="6">
        <f>IF(Benchmark2[[#This Row],[Comparable '#3 Date Check]]="Pass",INDEX(Comp3[Comparable '#3 Price],MATCH(Benchmark2[[#This Row],[Benchmark '#2 Dates]],Comp3[Comparable '#3 Dates],0)),"-")</f>
        <v>170.8</v>
      </c>
    </row>
    <row r="280" spans="1:11">
      <c r="A280" s="103">
        <v>43690</v>
      </c>
      <c r="B280" s="104">
        <v>12724.36</v>
      </c>
      <c r="C280" s="4">
        <f t="shared" si="4"/>
        <v>1.0914112746739632E-2</v>
      </c>
      <c r="D280" s="1" t="str">
        <f>IF(COUNTIF(Target1[Target Dates],Benchmark2[[#This Row],[Benchmark '#2 Dates]])=1,"Pass","Fail")</f>
        <v>Pass</v>
      </c>
      <c r="E280" s="6">
        <f>IF(Benchmark2[[#This Row],[Target Date Check]]="Pass",INDEX(Target1[Target Price],MATCH(Benchmark2[[#This Row],[Benchmark '#2 Dates]],Target1[Target Dates],0)),"-")</f>
        <v>27.94</v>
      </c>
      <c r="F280" s="1" t="str">
        <f>IF(COUNTIF(Comp1[Comparable '#1 Dates],Benchmark2[[#This Row],[Benchmark '#2 Dates]])=1,"Pass","Fail")</f>
        <v>Pass</v>
      </c>
      <c r="G280" s="6">
        <f>IF(Benchmark2[[#This Row],[Comparable '#1 Date Check]]="Pass",INDEX(Comp1[Comparable '#1 Price],MATCH(Benchmark2[[#This Row],[Benchmark '#2 Dates]],Comp1[Comparable '#1 Dates],0)),"-")</f>
        <v>16.88</v>
      </c>
      <c r="H280" s="1" t="str">
        <f>IF(COUNTIF(Comp2[Comparable '#2 Dates],Benchmark2[[#This Row],[Benchmark '#2 Dates]])=1,"Pass","Fail")</f>
        <v>Pass</v>
      </c>
      <c r="I280" s="6">
        <f>IF(Benchmark2[[#This Row],[Comparable '#2 Date Check]]="Pass",INDEX(Comp2[Comparable '#2 Price],MATCH(Benchmark2[[#This Row],[Benchmark '#2 Dates]],Comp2[Comparable '#2 Dates],0)),"-")</f>
        <v>48.11</v>
      </c>
      <c r="J280" s="1" t="str">
        <f>IF(COUNTIF(Comp3[Comparable '#3 Dates],Benchmark2[[#This Row],[Benchmark '#2 Dates]])=1,"Pass","Fail")</f>
        <v>Pass</v>
      </c>
      <c r="K280" s="6">
        <f>IF(Benchmark2[[#This Row],[Comparable '#3 Date Check]]="Pass",INDEX(Comp3[Comparable '#3 Price],MATCH(Benchmark2[[#This Row],[Benchmark '#2 Dates]],Comp3[Comparable '#3 Dates],0)),"-")</f>
        <v>173.44</v>
      </c>
    </row>
    <row r="281" spans="1:11">
      <c r="A281" s="103">
        <v>43691</v>
      </c>
      <c r="B281" s="104">
        <v>12368.05</v>
      </c>
      <c r="C281" s="4">
        <f t="shared" si="4"/>
        <v>-2.8401731948575072E-2</v>
      </c>
      <c r="D281" s="1" t="str">
        <f>IF(COUNTIF(Target1[Target Dates],Benchmark2[[#This Row],[Benchmark '#2 Dates]])=1,"Pass","Fail")</f>
        <v>Pass</v>
      </c>
      <c r="E281" s="6">
        <f>IF(Benchmark2[[#This Row],[Target Date Check]]="Pass",INDEX(Target1[Target Price],MATCH(Benchmark2[[#This Row],[Benchmark '#2 Dates]],Target1[Target Dates],0)),"-")</f>
        <v>27.96</v>
      </c>
      <c r="F281" s="1" t="str">
        <f>IF(COUNTIF(Comp1[Comparable '#1 Dates],Benchmark2[[#This Row],[Benchmark '#2 Dates]])=1,"Pass","Fail")</f>
        <v>Pass</v>
      </c>
      <c r="G281" s="6">
        <f>IF(Benchmark2[[#This Row],[Comparable '#1 Date Check]]="Pass",INDEX(Comp1[Comparable '#1 Price],MATCH(Benchmark2[[#This Row],[Benchmark '#2 Dates]],Comp1[Comparable '#1 Dates],0)),"-")</f>
        <v>16.57</v>
      </c>
      <c r="H281" s="1" t="str">
        <f>IF(COUNTIF(Comp2[Comparable '#2 Dates],Benchmark2[[#This Row],[Benchmark '#2 Dates]])=1,"Pass","Fail")</f>
        <v>Pass</v>
      </c>
      <c r="I281" s="6">
        <f>IF(Benchmark2[[#This Row],[Comparable '#2 Date Check]]="Pass",INDEX(Comp2[Comparable '#2 Price],MATCH(Benchmark2[[#This Row],[Benchmark '#2 Dates]],Comp2[Comparable '#2 Dates],0)),"-")</f>
        <v>47.7</v>
      </c>
      <c r="J281" s="1" t="str">
        <f>IF(COUNTIF(Comp3[Comparable '#3 Dates],Benchmark2[[#This Row],[Benchmark '#2 Dates]])=1,"Pass","Fail")</f>
        <v>Pass</v>
      </c>
      <c r="K281" s="6">
        <f>IF(Benchmark2[[#This Row],[Comparable '#3 Date Check]]="Pass",INDEX(Comp3[Comparable '#3 Price],MATCH(Benchmark2[[#This Row],[Benchmark '#2 Dates]],Comp3[Comparable '#3 Dates],0)),"-")</f>
        <v>170.7</v>
      </c>
    </row>
    <row r="282" spans="1:11">
      <c r="A282" s="103">
        <v>43692</v>
      </c>
      <c r="B282" s="104">
        <v>12409.54</v>
      </c>
      <c r="C282" s="4">
        <f t="shared" si="4"/>
        <v>3.3489971202654754E-3</v>
      </c>
      <c r="D282" s="1" t="str">
        <f>IF(COUNTIF(Target1[Target Dates],Benchmark2[[#This Row],[Benchmark '#2 Dates]])=1,"Pass","Fail")</f>
        <v>Pass</v>
      </c>
      <c r="E282" s="6">
        <f>IF(Benchmark2[[#This Row],[Target Date Check]]="Pass",INDEX(Target1[Target Price],MATCH(Benchmark2[[#This Row],[Benchmark '#2 Dates]],Target1[Target Dates],0)),"-")</f>
        <v>27.91</v>
      </c>
      <c r="F282" s="1" t="str">
        <f>IF(COUNTIF(Comp1[Comparable '#1 Dates],Benchmark2[[#This Row],[Benchmark '#2 Dates]])=1,"Pass","Fail")</f>
        <v>Pass</v>
      </c>
      <c r="G282" s="6">
        <f>IF(Benchmark2[[#This Row],[Comparable '#1 Date Check]]="Pass",INDEX(Comp1[Comparable '#1 Price],MATCH(Benchmark2[[#This Row],[Benchmark '#2 Dates]],Comp1[Comparable '#1 Dates],0)),"-")</f>
        <v>16.66</v>
      </c>
      <c r="H282" s="1" t="str">
        <f>IF(COUNTIF(Comp2[Comparable '#2 Dates],Benchmark2[[#This Row],[Benchmark '#2 Dates]])=1,"Pass","Fail")</f>
        <v>Pass</v>
      </c>
      <c r="I282" s="6">
        <f>IF(Benchmark2[[#This Row],[Comparable '#2 Date Check]]="Pass",INDEX(Comp2[Comparable '#2 Price],MATCH(Benchmark2[[#This Row],[Benchmark '#2 Dates]],Comp2[Comparable '#2 Dates],0)),"-")</f>
        <v>47.67</v>
      </c>
      <c r="J282" s="1" t="str">
        <f>IF(COUNTIF(Comp3[Comparable '#3 Dates],Benchmark2[[#This Row],[Benchmark '#2 Dates]])=1,"Pass","Fail")</f>
        <v>Pass</v>
      </c>
      <c r="K282" s="6">
        <f>IF(Benchmark2[[#This Row],[Comparable '#3 Date Check]]="Pass",INDEX(Comp3[Comparable '#3 Price],MATCH(Benchmark2[[#This Row],[Benchmark '#2 Dates]],Comp3[Comparable '#3 Dates],0)),"-")</f>
        <v>172.97</v>
      </c>
    </row>
    <row r="283" spans="1:11">
      <c r="A283" s="103">
        <v>43693</v>
      </c>
      <c r="B283" s="104">
        <v>12580.41</v>
      </c>
      <c r="C283" s="4">
        <f t="shared" si="4"/>
        <v>1.3675310508175198E-2</v>
      </c>
      <c r="D283" s="1" t="str">
        <f>IF(COUNTIF(Target1[Target Dates],Benchmark2[[#This Row],[Benchmark '#2 Dates]])=1,"Pass","Fail")</f>
        <v>Pass</v>
      </c>
      <c r="E283" s="6">
        <f>IF(Benchmark2[[#This Row],[Target Date Check]]="Pass",INDEX(Target1[Target Price],MATCH(Benchmark2[[#This Row],[Benchmark '#2 Dates]],Target1[Target Dates],0)),"-")</f>
        <v>27.73</v>
      </c>
      <c r="F283" s="1" t="str">
        <f>IF(COUNTIF(Comp1[Comparable '#1 Dates],Benchmark2[[#This Row],[Benchmark '#2 Dates]])=1,"Pass","Fail")</f>
        <v>Pass</v>
      </c>
      <c r="G283" s="6">
        <f>IF(Benchmark2[[#This Row],[Comparable '#1 Date Check]]="Pass",INDEX(Comp1[Comparable '#1 Price],MATCH(Benchmark2[[#This Row],[Benchmark '#2 Dates]],Comp1[Comparable '#1 Dates],0)),"-")</f>
        <v>17.02</v>
      </c>
      <c r="H283" s="1" t="str">
        <f>IF(COUNTIF(Comp2[Comparable '#2 Dates],Benchmark2[[#This Row],[Benchmark '#2 Dates]])=1,"Pass","Fail")</f>
        <v>Pass</v>
      </c>
      <c r="I283" s="6">
        <f>IF(Benchmark2[[#This Row],[Comparable '#2 Date Check]]="Pass",INDEX(Comp2[Comparable '#2 Price],MATCH(Benchmark2[[#This Row],[Benchmark '#2 Dates]],Comp2[Comparable '#2 Dates],0)),"-")</f>
        <v>48.81</v>
      </c>
      <c r="J283" s="1" t="str">
        <f>IF(COUNTIF(Comp3[Comparable '#3 Dates],Benchmark2[[#This Row],[Benchmark '#2 Dates]])=1,"Pass","Fail")</f>
        <v>Pass</v>
      </c>
      <c r="K283" s="6">
        <f>IF(Benchmark2[[#This Row],[Comparable '#3 Date Check]]="Pass",INDEX(Comp3[Comparable '#3 Price],MATCH(Benchmark2[[#This Row],[Benchmark '#2 Dates]],Comp3[Comparable '#3 Dates],0)),"-")</f>
        <v>175.17</v>
      </c>
    </row>
    <row r="284" spans="1:11">
      <c r="A284" s="103">
        <v>43696</v>
      </c>
      <c r="B284" s="104">
        <v>12687.91</v>
      </c>
      <c r="C284" s="4">
        <f t="shared" si="4"/>
        <v>8.5087293946648247E-3</v>
      </c>
      <c r="D284" s="1" t="str">
        <f>IF(COUNTIF(Target1[Target Dates],Benchmark2[[#This Row],[Benchmark '#2 Dates]])=1,"Pass","Fail")</f>
        <v>Pass</v>
      </c>
      <c r="E284" s="6">
        <f>IF(Benchmark2[[#This Row],[Target Date Check]]="Pass",INDEX(Target1[Target Price],MATCH(Benchmark2[[#This Row],[Benchmark '#2 Dates]],Target1[Target Dates],0)),"-")</f>
        <v>28.7</v>
      </c>
      <c r="F284" s="1" t="str">
        <f>IF(COUNTIF(Comp1[Comparable '#1 Dates],Benchmark2[[#This Row],[Benchmark '#2 Dates]])=1,"Pass","Fail")</f>
        <v>Pass</v>
      </c>
      <c r="G284" s="6">
        <f>IF(Benchmark2[[#This Row],[Comparable '#1 Date Check]]="Pass",INDEX(Comp1[Comparable '#1 Price],MATCH(Benchmark2[[#This Row],[Benchmark '#2 Dates]],Comp1[Comparable '#1 Dates],0)),"-")</f>
        <v>17.16</v>
      </c>
      <c r="H284" s="1" t="str">
        <f>IF(COUNTIF(Comp2[Comparable '#2 Dates],Benchmark2[[#This Row],[Benchmark '#2 Dates]])=1,"Pass","Fail")</f>
        <v>Pass</v>
      </c>
      <c r="I284" s="6">
        <f>IF(Benchmark2[[#This Row],[Comparable '#2 Date Check]]="Pass",INDEX(Comp2[Comparable '#2 Price],MATCH(Benchmark2[[#This Row],[Benchmark '#2 Dates]],Comp2[Comparable '#2 Dates],0)),"-")</f>
        <v>50.01</v>
      </c>
      <c r="J284" s="1" t="str">
        <f>IF(COUNTIF(Comp3[Comparable '#3 Dates],Benchmark2[[#This Row],[Benchmark '#2 Dates]])=1,"Pass","Fail")</f>
        <v>Pass</v>
      </c>
      <c r="K284" s="6">
        <f>IF(Benchmark2[[#This Row],[Comparable '#3 Date Check]]="Pass",INDEX(Comp3[Comparable '#3 Price],MATCH(Benchmark2[[#This Row],[Benchmark '#2 Dates]],Comp3[Comparable '#3 Dates],0)),"-")</f>
        <v>178.97</v>
      </c>
    </row>
    <row r="285" spans="1:11">
      <c r="A285" s="103">
        <v>43697</v>
      </c>
      <c r="B285" s="104">
        <v>12599.41</v>
      </c>
      <c r="C285" s="4">
        <f t="shared" si="4"/>
        <v>-6.9995840865510889E-3</v>
      </c>
      <c r="D285" s="1" t="str">
        <f>IF(COUNTIF(Target1[Target Dates],Benchmark2[[#This Row],[Benchmark '#2 Dates]])=1,"Pass","Fail")</f>
        <v>Pass</v>
      </c>
      <c r="E285" s="6">
        <f>IF(Benchmark2[[#This Row],[Target Date Check]]="Pass",INDEX(Target1[Target Price],MATCH(Benchmark2[[#This Row],[Benchmark '#2 Dates]],Target1[Target Dates],0)),"-")</f>
        <v>28.6</v>
      </c>
      <c r="F285" s="1" t="str">
        <f>IF(COUNTIF(Comp1[Comparable '#1 Dates],Benchmark2[[#This Row],[Benchmark '#2 Dates]])=1,"Pass","Fail")</f>
        <v>Pass</v>
      </c>
      <c r="G285" s="6">
        <f>IF(Benchmark2[[#This Row],[Comparable '#1 Date Check]]="Pass",INDEX(Comp1[Comparable '#1 Price],MATCH(Benchmark2[[#This Row],[Benchmark '#2 Dates]],Comp1[Comparable '#1 Dates],0)),"-")</f>
        <v>17.53</v>
      </c>
      <c r="H285" s="1" t="str">
        <f>IF(COUNTIF(Comp2[Comparable '#2 Dates],Benchmark2[[#This Row],[Benchmark '#2 Dates]])=1,"Pass","Fail")</f>
        <v>Pass</v>
      </c>
      <c r="I285" s="6">
        <f>IF(Benchmark2[[#This Row],[Comparable '#2 Date Check]]="Pass",INDEX(Comp2[Comparable '#2 Price],MATCH(Benchmark2[[#This Row],[Benchmark '#2 Dates]],Comp2[Comparable '#2 Dates],0)),"-")</f>
        <v>50.2</v>
      </c>
      <c r="J285" s="1" t="str">
        <f>IF(COUNTIF(Comp3[Comparable '#3 Dates],Benchmark2[[#This Row],[Benchmark '#2 Dates]])=1,"Pass","Fail")</f>
        <v>Pass</v>
      </c>
      <c r="K285" s="6">
        <f>IF(Benchmark2[[#This Row],[Comparable '#3 Date Check]]="Pass",INDEX(Comp3[Comparable '#3 Price],MATCH(Benchmark2[[#This Row],[Benchmark '#2 Dates]],Comp3[Comparable '#3 Dates],0)),"-")</f>
        <v>177.65</v>
      </c>
    </row>
    <row r="286" spans="1:11">
      <c r="A286" s="103">
        <v>43698</v>
      </c>
      <c r="B286" s="104">
        <v>12697.01</v>
      </c>
      <c r="C286" s="4">
        <f t="shared" si="4"/>
        <v>7.7165452106996045E-3</v>
      </c>
      <c r="D286" s="1" t="str">
        <f>IF(COUNTIF(Target1[Target Dates],Benchmark2[[#This Row],[Benchmark '#2 Dates]])=1,"Pass","Fail")</f>
        <v>Pass</v>
      </c>
      <c r="E286" s="6">
        <f>IF(Benchmark2[[#This Row],[Target Date Check]]="Pass",INDEX(Target1[Target Price],MATCH(Benchmark2[[#This Row],[Benchmark '#2 Dates]],Target1[Target Dates],0)),"-")</f>
        <v>29.7</v>
      </c>
      <c r="F286" s="1" t="str">
        <f>IF(COUNTIF(Comp1[Comparable '#1 Dates],Benchmark2[[#This Row],[Benchmark '#2 Dates]])=1,"Pass","Fail")</f>
        <v>Pass</v>
      </c>
      <c r="G286" s="6">
        <f>IF(Benchmark2[[#This Row],[Comparable '#1 Date Check]]="Pass",INDEX(Comp1[Comparable '#1 Price],MATCH(Benchmark2[[#This Row],[Benchmark '#2 Dates]],Comp1[Comparable '#1 Dates],0)),"-")</f>
        <v>17.850000000000001</v>
      </c>
      <c r="H286" s="1" t="str">
        <f>IF(COUNTIF(Comp2[Comparable '#2 Dates],Benchmark2[[#This Row],[Benchmark '#2 Dates]])=1,"Pass","Fail")</f>
        <v>Pass</v>
      </c>
      <c r="I286" s="6">
        <f>IF(Benchmark2[[#This Row],[Comparable '#2 Date Check]]="Pass",INDEX(Comp2[Comparable '#2 Price],MATCH(Benchmark2[[#This Row],[Benchmark '#2 Dates]],Comp2[Comparable '#2 Dates],0)),"-")</f>
        <v>51.38</v>
      </c>
      <c r="J286" s="1" t="str">
        <f>IF(COUNTIF(Comp3[Comparable '#3 Dates],Benchmark2[[#This Row],[Benchmark '#2 Dates]])=1,"Pass","Fail")</f>
        <v>Pass</v>
      </c>
      <c r="K286" s="6">
        <f>IF(Benchmark2[[#This Row],[Comparable '#3 Date Check]]="Pass",INDEX(Comp3[Comparable '#3 Price],MATCH(Benchmark2[[#This Row],[Benchmark '#2 Dates]],Comp3[Comparable '#3 Dates],0)),"-")</f>
        <v>176.99</v>
      </c>
    </row>
    <row r="287" spans="1:11">
      <c r="A287" s="103">
        <v>43699</v>
      </c>
      <c r="B287" s="104">
        <v>12688.46</v>
      </c>
      <c r="C287" s="4">
        <f t="shared" si="4"/>
        <v>-6.7361371078036793E-4</v>
      </c>
      <c r="D287" s="1" t="str">
        <f>IF(COUNTIF(Target1[Target Dates],Benchmark2[[#This Row],[Benchmark '#2 Dates]])=1,"Pass","Fail")</f>
        <v>Pass</v>
      </c>
      <c r="E287" s="6">
        <f>IF(Benchmark2[[#This Row],[Target Date Check]]="Pass",INDEX(Target1[Target Price],MATCH(Benchmark2[[#This Row],[Benchmark '#2 Dates]],Target1[Target Dates],0)),"-")</f>
        <v>28.47</v>
      </c>
      <c r="F287" s="1" t="str">
        <f>IF(COUNTIF(Comp1[Comparable '#1 Dates],Benchmark2[[#This Row],[Benchmark '#2 Dates]])=1,"Pass","Fail")</f>
        <v>Pass</v>
      </c>
      <c r="G287" s="6">
        <f>IF(Benchmark2[[#This Row],[Comparable '#1 Date Check]]="Pass",INDEX(Comp1[Comparable '#1 Price],MATCH(Benchmark2[[#This Row],[Benchmark '#2 Dates]],Comp1[Comparable '#1 Dates],0)),"-")</f>
        <v>17.93</v>
      </c>
      <c r="H287" s="1" t="str">
        <f>IF(COUNTIF(Comp2[Comparable '#2 Dates],Benchmark2[[#This Row],[Benchmark '#2 Dates]])=1,"Pass","Fail")</f>
        <v>Pass</v>
      </c>
      <c r="I287" s="6">
        <f>IF(Benchmark2[[#This Row],[Comparable '#2 Date Check]]="Pass",INDEX(Comp2[Comparable '#2 Price],MATCH(Benchmark2[[#This Row],[Benchmark '#2 Dates]],Comp2[Comparable '#2 Dates],0)),"-")</f>
        <v>50.96</v>
      </c>
      <c r="J287" s="1" t="str">
        <f>IF(COUNTIF(Comp3[Comparable '#3 Dates],Benchmark2[[#This Row],[Benchmark '#2 Dates]])=1,"Pass","Fail")</f>
        <v>Pass</v>
      </c>
      <c r="K287" s="6">
        <f>IF(Benchmark2[[#This Row],[Comparable '#3 Date Check]]="Pass",INDEX(Comp3[Comparable '#3 Price],MATCH(Benchmark2[[#This Row],[Benchmark '#2 Dates]],Comp3[Comparable '#3 Dates],0)),"-")</f>
        <v>176.07</v>
      </c>
    </row>
    <row r="288" spans="1:11">
      <c r="A288" s="103">
        <v>43700</v>
      </c>
      <c r="B288" s="104">
        <v>12416.45</v>
      </c>
      <c r="C288" s="4">
        <f t="shared" si="4"/>
        <v>-2.1670712623400829E-2</v>
      </c>
      <c r="D288" s="1" t="str">
        <f>IF(COUNTIF(Target1[Target Dates],Benchmark2[[#This Row],[Benchmark '#2 Dates]])=1,"Pass","Fail")</f>
        <v>Pass</v>
      </c>
      <c r="E288" s="6">
        <f>IF(Benchmark2[[#This Row],[Target Date Check]]="Pass",INDEX(Target1[Target Price],MATCH(Benchmark2[[#This Row],[Benchmark '#2 Dates]],Target1[Target Dates],0)),"-")</f>
        <v>27.56</v>
      </c>
      <c r="F288" s="1" t="str">
        <f>IF(COUNTIF(Comp1[Comparable '#1 Dates],Benchmark2[[#This Row],[Benchmark '#2 Dates]])=1,"Pass","Fail")</f>
        <v>Pass</v>
      </c>
      <c r="G288" s="6">
        <f>IF(Benchmark2[[#This Row],[Comparable '#1 Date Check]]="Pass",INDEX(Comp1[Comparable '#1 Price],MATCH(Benchmark2[[#This Row],[Benchmark '#2 Dates]],Comp1[Comparable '#1 Dates],0)),"-")</f>
        <v>17.54</v>
      </c>
      <c r="H288" s="1" t="str">
        <f>IF(COUNTIF(Comp2[Comparable '#2 Dates],Benchmark2[[#This Row],[Benchmark '#2 Dates]])=1,"Pass","Fail")</f>
        <v>Pass</v>
      </c>
      <c r="I288" s="6">
        <f>IF(Benchmark2[[#This Row],[Comparable '#2 Date Check]]="Pass",INDEX(Comp2[Comparable '#2 Price],MATCH(Benchmark2[[#This Row],[Benchmark '#2 Dates]],Comp2[Comparable '#2 Dates],0)),"-")</f>
        <v>44.94</v>
      </c>
      <c r="J288" s="1" t="str">
        <f>IF(COUNTIF(Comp3[Comparable '#3 Dates],Benchmark2[[#This Row],[Benchmark '#2 Dates]])=1,"Pass","Fail")</f>
        <v>Pass</v>
      </c>
      <c r="K288" s="6">
        <f>IF(Benchmark2[[#This Row],[Comparable '#3 Date Check]]="Pass",INDEX(Comp3[Comparable '#3 Price],MATCH(Benchmark2[[#This Row],[Benchmark '#2 Dates]],Comp3[Comparable '#3 Dates],0)),"-")</f>
        <v>167.57</v>
      </c>
    </row>
    <row r="289" spans="1:11">
      <c r="A289" s="103">
        <v>43703</v>
      </c>
      <c r="B289" s="104">
        <v>12519.62</v>
      </c>
      <c r="C289" s="4">
        <f t="shared" si="4"/>
        <v>8.2748074328565131E-3</v>
      </c>
      <c r="D289" s="1" t="str">
        <f>IF(COUNTIF(Target1[Target Dates],Benchmark2[[#This Row],[Benchmark '#2 Dates]])=1,"Pass","Fail")</f>
        <v>Pass</v>
      </c>
      <c r="E289" s="6">
        <f>IF(Benchmark2[[#This Row],[Target Date Check]]="Pass",INDEX(Target1[Target Price],MATCH(Benchmark2[[#This Row],[Benchmark '#2 Dates]],Target1[Target Dates],0)),"-")</f>
        <v>27.66</v>
      </c>
      <c r="F289" s="1" t="str">
        <f>IF(COUNTIF(Comp1[Comparable '#1 Dates],Benchmark2[[#This Row],[Benchmark '#2 Dates]])=1,"Pass","Fail")</f>
        <v>Pass</v>
      </c>
      <c r="G289" s="6">
        <f>IF(Benchmark2[[#This Row],[Comparable '#1 Date Check]]="Pass",INDEX(Comp1[Comparable '#1 Price],MATCH(Benchmark2[[#This Row],[Benchmark '#2 Dates]],Comp1[Comparable '#1 Dates],0)),"-")</f>
        <v>17.46</v>
      </c>
      <c r="H289" s="1" t="str">
        <f>IF(COUNTIF(Comp2[Comparable '#2 Dates],Benchmark2[[#This Row],[Benchmark '#2 Dates]])=1,"Pass","Fail")</f>
        <v>Pass</v>
      </c>
      <c r="I289" s="6">
        <f>IF(Benchmark2[[#This Row],[Comparable '#2 Date Check]]="Pass",INDEX(Comp2[Comparable '#2 Price],MATCH(Benchmark2[[#This Row],[Benchmark '#2 Dates]],Comp2[Comparable '#2 Dates],0)),"-")</f>
        <v>45.55</v>
      </c>
      <c r="J289" s="1" t="str">
        <f>IF(COUNTIF(Comp3[Comparable '#3 Dates],Benchmark2[[#This Row],[Benchmark '#2 Dates]])=1,"Pass","Fail")</f>
        <v>Pass</v>
      </c>
      <c r="K289" s="6">
        <f>IF(Benchmark2[[#This Row],[Comparable '#3 Date Check]]="Pass",INDEX(Comp3[Comparable '#3 Price],MATCH(Benchmark2[[#This Row],[Benchmark '#2 Dates]],Comp3[Comparable '#3 Dates],0)),"-")</f>
        <v>171.04</v>
      </c>
    </row>
    <row r="290" spans="1:11">
      <c r="A290" s="103">
        <v>43704</v>
      </c>
      <c r="B290" s="104">
        <v>12474.05</v>
      </c>
      <c r="C290" s="4">
        <f t="shared" si="4"/>
        <v>-3.6465273403994991E-3</v>
      </c>
      <c r="D290" s="1" t="str">
        <f>IF(COUNTIF(Target1[Target Dates],Benchmark2[[#This Row],[Benchmark '#2 Dates]])=1,"Pass","Fail")</f>
        <v>Pass</v>
      </c>
      <c r="E290" s="6">
        <f>IF(Benchmark2[[#This Row],[Target Date Check]]="Pass",INDEX(Target1[Target Price],MATCH(Benchmark2[[#This Row],[Benchmark '#2 Dates]],Target1[Target Dates],0)),"-")</f>
        <v>26.75</v>
      </c>
      <c r="F290" s="1" t="str">
        <f>IF(COUNTIF(Comp1[Comparable '#1 Dates],Benchmark2[[#This Row],[Benchmark '#2 Dates]])=1,"Pass","Fail")</f>
        <v>Pass</v>
      </c>
      <c r="G290" s="6">
        <f>IF(Benchmark2[[#This Row],[Comparable '#1 Date Check]]="Pass",INDEX(Comp1[Comparable '#1 Price],MATCH(Benchmark2[[#This Row],[Benchmark '#2 Dates]],Comp1[Comparable '#1 Dates],0)),"-")</f>
        <v>17.34</v>
      </c>
      <c r="H290" s="1" t="str">
        <f>IF(COUNTIF(Comp2[Comparable '#2 Dates],Benchmark2[[#This Row],[Benchmark '#2 Dates]])=1,"Pass","Fail")</f>
        <v>Pass</v>
      </c>
      <c r="I290" s="6">
        <f>IF(Benchmark2[[#This Row],[Comparable '#2 Date Check]]="Pass",INDEX(Comp2[Comparable '#2 Price],MATCH(Benchmark2[[#This Row],[Benchmark '#2 Dates]],Comp2[Comparable '#2 Dates],0)),"-")</f>
        <v>43.86</v>
      </c>
      <c r="J290" s="1" t="str">
        <f>IF(COUNTIF(Comp3[Comparable '#3 Dates],Benchmark2[[#This Row],[Benchmark '#2 Dates]])=1,"Pass","Fail")</f>
        <v>Pass</v>
      </c>
      <c r="K290" s="6">
        <f>IF(Benchmark2[[#This Row],[Comparable '#3 Date Check]]="Pass",INDEX(Comp3[Comparable '#3 Price],MATCH(Benchmark2[[#This Row],[Benchmark '#2 Dates]],Comp3[Comparable '#3 Dates],0)),"-")</f>
        <v>169.82</v>
      </c>
    </row>
    <row r="291" spans="1:11">
      <c r="A291" s="103">
        <v>43705</v>
      </c>
      <c r="B291" s="104">
        <v>12559.23</v>
      </c>
      <c r="C291" s="4">
        <f t="shared" si="4"/>
        <v>6.8053669950560681E-3</v>
      </c>
      <c r="D291" s="1" t="str">
        <f>IF(COUNTIF(Target1[Target Dates],Benchmark2[[#This Row],[Benchmark '#2 Dates]])=1,"Pass","Fail")</f>
        <v>Pass</v>
      </c>
      <c r="E291" s="6">
        <f>IF(Benchmark2[[#This Row],[Target Date Check]]="Pass",INDEX(Target1[Target Price],MATCH(Benchmark2[[#This Row],[Benchmark '#2 Dates]],Target1[Target Dates],0)),"-")</f>
        <v>26.84</v>
      </c>
      <c r="F291" s="1" t="str">
        <f>IF(COUNTIF(Comp1[Comparable '#1 Dates],Benchmark2[[#This Row],[Benchmark '#2 Dates]])=1,"Pass","Fail")</f>
        <v>Pass</v>
      </c>
      <c r="G291" s="6">
        <f>IF(Benchmark2[[#This Row],[Comparable '#1 Date Check]]="Pass",INDEX(Comp1[Comparable '#1 Price],MATCH(Benchmark2[[#This Row],[Benchmark '#2 Dates]],Comp1[Comparable '#1 Dates],0)),"-")</f>
        <v>17.899999999999999</v>
      </c>
      <c r="H291" s="1" t="str">
        <f>IF(COUNTIF(Comp2[Comparable '#2 Dates],Benchmark2[[#This Row],[Benchmark '#2 Dates]])=1,"Pass","Fail")</f>
        <v>Pass</v>
      </c>
      <c r="I291" s="6">
        <f>IF(Benchmark2[[#This Row],[Comparable '#2 Date Check]]="Pass",INDEX(Comp2[Comparable '#2 Price],MATCH(Benchmark2[[#This Row],[Benchmark '#2 Dates]],Comp2[Comparable '#2 Dates],0)),"-")</f>
        <v>43.39</v>
      </c>
      <c r="J291" s="1" t="str">
        <f>IF(COUNTIF(Comp3[Comparable '#3 Dates],Benchmark2[[#This Row],[Benchmark '#2 Dates]])=1,"Pass","Fail")</f>
        <v>Pass</v>
      </c>
      <c r="K291" s="6">
        <f>IF(Benchmark2[[#This Row],[Comparable '#3 Date Check]]="Pass",INDEX(Comp3[Comparable '#3 Price],MATCH(Benchmark2[[#This Row],[Benchmark '#2 Dates]],Comp3[Comparable '#3 Dates],0)),"-")</f>
        <v>170</v>
      </c>
    </row>
    <row r="292" spans="1:11">
      <c r="A292" s="103">
        <v>43706</v>
      </c>
      <c r="B292" s="104">
        <v>12704.03</v>
      </c>
      <c r="C292" s="4">
        <f t="shared" si="4"/>
        <v>1.1463412534653581E-2</v>
      </c>
      <c r="D292" s="1" t="str">
        <f>IF(COUNTIF(Target1[Target Dates],Benchmark2[[#This Row],[Benchmark '#2 Dates]])=1,"Pass","Fail")</f>
        <v>Pass</v>
      </c>
      <c r="E292" s="6">
        <f>IF(Benchmark2[[#This Row],[Target Date Check]]="Pass",INDEX(Target1[Target Price],MATCH(Benchmark2[[#This Row],[Benchmark '#2 Dates]],Target1[Target Dates],0)),"-")</f>
        <v>26.71</v>
      </c>
      <c r="F292" s="1" t="str">
        <f>IF(COUNTIF(Comp1[Comparable '#1 Dates],Benchmark2[[#This Row],[Benchmark '#2 Dates]])=1,"Pass","Fail")</f>
        <v>Pass</v>
      </c>
      <c r="G292" s="6">
        <f>IF(Benchmark2[[#This Row],[Comparable '#1 Date Check]]="Pass",INDEX(Comp1[Comparable '#1 Price],MATCH(Benchmark2[[#This Row],[Benchmark '#2 Dates]],Comp1[Comparable '#1 Dates],0)),"-")</f>
        <v>18.41</v>
      </c>
      <c r="H292" s="1" t="str">
        <f>IF(COUNTIF(Comp2[Comparable '#2 Dates],Benchmark2[[#This Row],[Benchmark '#2 Dates]])=1,"Pass","Fail")</f>
        <v>Pass</v>
      </c>
      <c r="I292" s="6">
        <f>IF(Benchmark2[[#This Row],[Comparable '#2 Date Check]]="Pass",INDEX(Comp2[Comparable '#2 Price],MATCH(Benchmark2[[#This Row],[Benchmark '#2 Dates]],Comp2[Comparable '#2 Dates],0)),"-")</f>
        <v>42.6</v>
      </c>
      <c r="J292" s="1" t="str">
        <f>IF(COUNTIF(Comp3[Comparable '#3 Dates],Benchmark2[[#This Row],[Benchmark '#2 Dates]])=1,"Pass","Fail")</f>
        <v>Pass</v>
      </c>
      <c r="K292" s="6">
        <f>IF(Benchmark2[[#This Row],[Comparable '#3 Date Check]]="Pass",INDEX(Comp3[Comparable '#3 Price],MATCH(Benchmark2[[#This Row],[Benchmark '#2 Dates]],Comp3[Comparable '#3 Dates],0)),"-")</f>
        <v>170.78</v>
      </c>
    </row>
    <row r="293" spans="1:11">
      <c r="A293" s="103">
        <v>43707</v>
      </c>
      <c r="B293" s="104">
        <v>12736.88</v>
      </c>
      <c r="C293" s="4">
        <f t="shared" si="4"/>
        <v>2.5824562294827122E-3</v>
      </c>
      <c r="D293" s="1" t="str">
        <f>IF(COUNTIF(Target1[Target Dates],Benchmark2[[#This Row],[Benchmark '#2 Dates]])=1,"Pass","Fail")</f>
        <v>Pass</v>
      </c>
      <c r="E293" s="6">
        <f>IF(Benchmark2[[#This Row],[Target Date Check]]="Pass",INDEX(Target1[Target Price],MATCH(Benchmark2[[#This Row],[Benchmark '#2 Dates]],Target1[Target Dates],0)),"-")</f>
        <v>26.35</v>
      </c>
      <c r="F293" s="1" t="str">
        <f>IF(COUNTIF(Comp1[Comparable '#1 Dates],Benchmark2[[#This Row],[Benchmark '#2 Dates]])=1,"Pass","Fail")</f>
        <v>Pass</v>
      </c>
      <c r="G293" s="6">
        <f>IF(Benchmark2[[#This Row],[Comparable '#1 Date Check]]="Pass",INDEX(Comp1[Comparable '#1 Price],MATCH(Benchmark2[[#This Row],[Benchmark '#2 Dates]],Comp1[Comparable '#1 Dates],0)),"-")</f>
        <v>18.3</v>
      </c>
      <c r="H293" s="1" t="str">
        <f>IF(COUNTIF(Comp2[Comparable '#2 Dates],Benchmark2[[#This Row],[Benchmark '#2 Dates]])=1,"Pass","Fail")</f>
        <v>Pass</v>
      </c>
      <c r="I293" s="6">
        <f>IF(Benchmark2[[#This Row],[Comparable '#2 Date Check]]="Pass",INDEX(Comp2[Comparable '#2 Price],MATCH(Benchmark2[[#This Row],[Benchmark '#2 Dates]],Comp2[Comparable '#2 Dates],0)),"-")</f>
        <v>42.72</v>
      </c>
      <c r="J293" s="1" t="str">
        <f>IF(COUNTIF(Comp3[Comparable '#3 Dates],Benchmark2[[#This Row],[Benchmark '#2 Dates]])=1,"Pass","Fail")</f>
        <v>Pass</v>
      </c>
      <c r="K293" s="6">
        <f>IF(Benchmark2[[#This Row],[Comparable '#3 Date Check]]="Pass",INDEX(Comp3[Comparable '#3 Price],MATCH(Benchmark2[[#This Row],[Benchmark '#2 Dates]],Comp3[Comparable '#3 Dates],0)),"-")</f>
        <v>169.23</v>
      </c>
    </row>
    <row r="294" spans="1:11">
      <c r="A294" s="103">
        <v>43711</v>
      </c>
      <c r="B294" s="104">
        <v>12663.4</v>
      </c>
      <c r="C294" s="4">
        <f t="shared" si="4"/>
        <v>-5.7857791315638479E-3</v>
      </c>
      <c r="D294" s="1" t="str">
        <f>IF(COUNTIF(Target1[Target Dates],Benchmark2[[#This Row],[Benchmark '#2 Dates]])=1,"Pass","Fail")</f>
        <v>Pass</v>
      </c>
      <c r="E294" s="6">
        <f>IF(Benchmark2[[#This Row],[Target Date Check]]="Pass",INDEX(Target1[Target Price],MATCH(Benchmark2[[#This Row],[Benchmark '#2 Dates]],Target1[Target Dates],0)),"-")</f>
        <v>26.15</v>
      </c>
      <c r="F294" s="1" t="str">
        <f>IF(COUNTIF(Comp1[Comparable '#1 Dates],Benchmark2[[#This Row],[Benchmark '#2 Dates]])=1,"Pass","Fail")</f>
        <v>Pass</v>
      </c>
      <c r="G294" s="6">
        <f>IF(Benchmark2[[#This Row],[Comparable '#1 Date Check]]="Pass",INDEX(Comp1[Comparable '#1 Price],MATCH(Benchmark2[[#This Row],[Benchmark '#2 Dates]],Comp1[Comparable '#1 Dates],0)),"-")</f>
        <v>18.18</v>
      </c>
      <c r="H294" s="1" t="str">
        <f>IF(COUNTIF(Comp2[Comparable '#2 Dates],Benchmark2[[#This Row],[Benchmark '#2 Dates]])=1,"Pass","Fail")</f>
        <v>Pass</v>
      </c>
      <c r="I294" s="6">
        <f>IF(Benchmark2[[#This Row],[Comparable '#2 Date Check]]="Pass",INDEX(Comp2[Comparable '#2 Price],MATCH(Benchmark2[[#This Row],[Benchmark '#2 Dates]],Comp2[Comparable '#2 Dates],0)),"-")</f>
        <v>41.58</v>
      </c>
      <c r="J294" s="1" t="str">
        <f>IF(COUNTIF(Comp3[Comparable '#3 Dates],Benchmark2[[#This Row],[Benchmark '#2 Dates]])=1,"Pass","Fail")</f>
        <v>Pass</v>
      </c>
      <c r="K294" s="6">
        <f>IF(Benchmark2[[#This Row],[Comparable '#3 Date Check]]="Pass",INDEX(Comp3[Comparable '#3 Price],MATCH(Benchmark2[[#This Row],[Benchmark '#2 Dates]],Comp3[Comparable '#3 Dates],0)),"-")</f>
        <v>167.66</v>
      </c>
    </row>
    <row r="295" spans="1:11">
      <c r="A295" s="103">
        <v>43712</v>
      </c>
      <c r="B295" s="104">
        <v>12796.32</v>
      </c>
      <c r="C295" s="4">
        <f t="shared" si="4"/>
        <v>1.0441686528655889E-2</v>
      </c>
      <c r="D295" s="1" t="str">
        <f>IF(COUNTIF(Target1[Target Dates],Benchmark2[[#This Row],[Benchmark '#2 Dates]])=1,"Pass","Fail")</f>
        <v>Pass</v>
      </c>
      <c r="E295" s="6">
        <f>IF(Benchmark2[[#This Row],[Target Date Check]]="Pass",INDEX(Target1[Target Price],MATCH(Benchmark2[[#This Row],[Benchmark '#2 Dates]],Target1[Target Dates],0)),"-")</f>
        <v>26</v>
      </c>
      <c r="F295" s="1" t="str">
        <f>IF(COUNTIF(Comp1[Comparable '#1 Dates],Benchmark2[[#This Row],[Benchmark '#2 Dates]])=1,"Pass","Fail")</f>
        <v>Pass</v>
      </c>
      <c r="G295" s="6">
        <f>IF(Benchmark2[[#This Row],[Comparable '#1 Date Check]]="Pass",INDEX(Comp1[Comparable '#1 Price],MATCH(Benchmark2[[#This Row],[Benchmark '#2 Dates]],Comp1[Comparable '#1 Dates],0)),"-")</f>
        <v>17.96</v>
      </c>
      <c r="H295" s="1" t="str">
        <f>IF(COUNTIF(Comp2[Comparable '#2 Dates],Benchmark2[[#This Row],[Benchmark '#2 Dates]])=1,"Pass","Fail")</f>
        <v>Pass</v>
      </c>
      <c r="I295" s="6">
        <f>IF(Benchmark2[[#This Row],[Comparable '#2 Date Check]]="Pass",INDEX(Comp2[Comparable '#2 Price],MATCH(Benchmark2[[#This Row],[Benchmark '#2 Dates]],Comp2[Comparable '#2 Dates],0)),"-")</f>
        <v>41.02</v>
      </c>
      <c r="J295" s="1" t="str">
        <f>IF(COUNTIF(Comp3[Comparable '#3 Dates],Benchmark2[[#This Row],[Benchmark '#2 Dates]])=1,"Pass","Fail")</f>
        <v>Pass</v>
      </c>
      <c r="K295" s="6">
        <f>IF(Benchmark2[[#This Row],[Comparable '#3 Date Check]]="Pass",INDEX(Comp3[Comparable '#3 Price],MATCH(Benchmark2[[#This Row],[Benchmark '#2 Dates]],Comp3[Comparable '#3 Dates],0)),"-")</f>
        <v>162.01</v>
      </c>
    </row>
    <row r="296" spans="1:11">
      <c r="A296" s="103">
        <v>43713</v>
      </c>
      <c r="B296" s="104">
        <v>12917.76</v>
      </c>
      <c r="C296" s="4">
        <f t="shared" si="4"/>
        <v>9.4454791208136834E-3</v>
      </c>
      <c r="D296" s="1" t="str">
        <f>IF(COUNTIF(Target1[Target Dates],Benchmark2[[#This Row],[Benchmark '#2 Dates]])=1,"Pass","Fail")</f>
        <v>Pass</v>
      </c>
      <c r="E296" s="6">
        <f>IF(Benchmark2[[#This Row],[Target Date Check]]="Pass",INDEX(Target1[Target Price],MATCH(Benchmark2[[#This Row],[Benchmark '#2 Dates]],Target1[Target Dates],0)),"-")</f>
        <v>26.92</v>
      </c>
      <c r="F296" s="1" t="str">
        <f>IF(COUNTIF(Comp1[Comparable '#1 Dates],Benchmark2[[#This Row],[Benchmark '#2 Dates]])=1,"Pass","Fail")</f>
        <v>Pass</v>
      </c>
      <c r="G296" s="6">
        <f>IF(Benchmark2[[#This Row],[Comparable '#1 Date Check]]="Pass",INDEX(Comp1[Comparable '#1 Price],MATCH(Benchmark2[[#This Row],[Benchmark '#2 Dates]],Comp1[Comparable '#1 Dates],0)),"-")</f>
        <v>17.98</v>
      </c>
      <c r="H296" s="1" t="str">
        <f>IF(COUNTIF(Comp2[Comparable '#2 Dates],Benchmark2[[#This Row],[Benchmark '#2 Dates]])=1,"Pass","Fail")</f>
        <v>Pass</v>
      </c>
      <c r="I296" s="6">
        <f>IF(Benchmark2[[#This Row],[Comparable '#2 Date Check]]="Pass",INDEX(Comp2[Comparable '#2 Price],MATCH(Benchmark2[[#This Row],[Benchmark '#2 Dates]],Comp2[Comparable '#2 Dates],0)),"-")</f>
        <v>41.53</v>
      </c>
      <c r="J296" s="1" t="str">
        <f>IF(COUNTIF(Comp3[Comparable '#3 Dates],Benchmark2[[#This Row],[Benchmark '#2 Dates]])=1,"Pass","Fail")</f>
        <v>Pass</v>
      </c>
      <c r="K296" s="6">
        <f>IF(Benchmark2[[#This Row],[Comparable '#3 Date Check]]="Pass",INDEX(Comp3[Comparable '#3 Price],MATCH(Benchmark2[[#This Row],[Benchmark '#2 Dates]],Comp3[Comparable '#3 Dates],0)),"-")</f>
        <v>165.17</v>
      </c>
    </row>
    <row r="297" spans="1:11">
      <c r="A297" s="103">
        <v>43714</v>
      </c>
      <c r="B297" s="104">
        <v>12933.37</v>
      </c>
      <c r="C297" s="4">
        <f t="shared" si="4"/>
        <v>1.2076842983085364E-3</v>
      </c>
      <c r="D297" s="1" t="str">
        <f>IF(COUNTIF(Target1[Target Dates],Benchmark2[[#This Row],[Benchmark '#2 Dates]])=1,"Pass","Fail")</f>
        <v>Pass</v>
      </c>
      <c r="E297" s="6">
        <f>IF(Benchmark2[[#This Row],[Target Date Check]]="Pass",INDEX(Target1[Target Price],MATCH(Benchmark2[[#This Row],[Benchmark '#2 Dates]],Target1[Target Dates],0)),"-")</f>
        <v>27.26</v>
      </c>
      <c r="F297" s="1" t="str">
        <f>IF(COUNTIF(Comp1[Comparable '#1 Dates],Benchmark2[[#This Row],[Benchmark '#2 Dates]])=1,"Pass","Fail")</f>
        <v>Pass</v>
      </c>
      <c r="G297" s="6">
        <f>IF(Benchmark2[[#This Row],[Comparable '#1 Date Check]]="Pass",INDEX(Comp1[Comparable '#1 Price],MATCH(Benchmark2[[#This Row],[Benchmark '#2 Dates]],Comp1[Comparable '#1 Dates],0)),"-")</f>
        <v>17.68</v>
      </c>
      <c r="H297" s="1" t="str">
        <f>IF(COUNTIF(Comp2[Comparable '#2 Dates],Benchmark2[[#This Row],[Benchmark '#2 Dates]])=1,"Pass","Fail")</f>
        <v>Pass</v>
      </c>
      <c r="I297" s="6">
        <f>IF(Benchmark2[[#This Row],[Comparable '#2 Date Check]]="Pass",INDEX(Comp2[Comparable '#2 Price],MATCH(Benchmark2[[#This Row],[Benchmark '#2 Dates]],Comp2[Comparable '#2 Dates],0)),"-")</f>
        <v>40.840000000000003</v>
      </c>
      <c r="J297" s="1" t="str">
        <f>IF(COUNTIF(Comp3[Comparable '#3 Dates],Benchmark2[[#This Row],[Benchmark '#2 Dates]])=1,"Pass","Fail")</f>
        <v>Pass</v>
      </c>
      <c r="K297" s="6">
        <f>IF(Benchmark2[[#This Row],[Comparable '#3 Date Check]]="Pass",INDEX(Comp3[Comparable '#3 Price],MATCH(Benchmark2[[#This Row],[Benchmark '#2 Dates]],Comp3[Comparable '#3 Dates],0)),"-")</f>
        <v>162.76</v>
      </c>
    </row>
    <row r="298" spans="1:11">
      <c r="A298" s="103">
        <v>43717</v>
      </c>
      <c r="B298" s="104">
        <v>12960.72</v>
      </c>
      <c r="C298" s="4">
        <f t="shared" si="4"/>
        <v>2.1124519278855583E-3</v>
      </c>
      <c r="D298" s="1" t="str">
        <f>IF(COUNTIF(Target1[Target Dates],Benchmark2[[#This Row],[Benchmark '#2 Dates]])=1,"Pass","Fail")</f>
        <v>Pass</v>
      </c>
      <c r="E298" s="6">
        <f>IF(Benchmark2[[#This Row],[Target Date Check]]="Pass",INDEX(Target1[Target Price],MATCH(Benchmark2[[#This Row],[Benchmark '#2 Dates]],Target1[Target Dates],0)),"-")</f>
        <v>27.38</v>
      </c>
      <c r="F298" s="1" t="str">
        <f>IF(COUNTIF(Comp1[Comparable '#1 Dates],Benchmark2[[#This Row],[Benchmark '#2 Dates]])=1,"Pass","Fail")</f>
        <v>Pass</v>
      </c>
      <c r="G298" s="6">
        <f>IF(Benchmark2[[#This Row],[Comparable '#1 Date Check]]="Pass",INDEX(Comp1[Comparable '#1 Price],MATCH(Benchmark2[[#This Row],[Benchmark '#2 Dates]],Comp1[Comparable '#1 Dates],0)),"-")</f>
        <v>17.55</v>
      </c>
      <c r="H298" s="1" t="str">
        <f>IF(COUNTIF(Comp2[Comparable '#2 Dates],Benchmark2[[#This Row],[Benchmark '#2 Dates]])=1,"Pass","Fail")</f>
        <v>Pass</v>
      </c>
      <c r="I298" s="6">
        <f>IF(Benchmark2[[#This Row],[Comparable '#2 Date Check]]="Pass",INDEX(Comp2[Comparable '#2 Price],MATCH(Benchmark2[[#This Row],[Benchmark '#2 Dates]],Comp2[Comparable '#2 Dates],0)),"-")</f>
        <v>41</v>
      </c>
      <c r="J298" s="1" t="str">
        <f>IF(COUNTIF(Comp3[Comparable '#3 Dates],Benchmark2[[#This Row],[Benchmark '#2 Dates]])=1,"Pass","Fail")</f>
        <v>Pass</v>
      </c>
      <c r="K298" s="6">
        <f>IF(Benchmark2[[#This Row],[Comparable '#3 Date Check]]="Pass",INDEX(Comp3[Comparable '#3 Price],MATCH(Benchmark2[[#This Row],[Benchmark '#2 Dates]],Comp3[Comparable '#3 Dates],0)),"-")</f>
        <v>161.87</v>
      </c>
    </row>
    <row r="299" spans="1:11">
      <c r="A299" s="103">
        <v>43718</v>
      </c>
      <c r="B299" s="104">
        <v>12993.96</v>
      </c>
      <c r="C299" s="4">
        <f t="shared" si="4"/>
        <v>2.5613891732187053E-3</v>
      </c>
      <c r="D299" s="1" t="str">
        <f>IF(COUNTIF(Target1[Target Dates],Benchmark2[[#This Row],[Benchmark '#2 Dates]])=1,"Pass","Fail")</f>
        <v>Pass</v>
      </c>
      <c r="E299" s="6">
        <f>IF(Benchmark2[[#This Row],[Target Date Check]]="Pass",INDEX(Target1[Target Price],MATCH(Benchmark2[[#This Row],[Benchmark '#2 Dates]],Target1[Target Dates],0)),"-")</f>
        <v>26.9</v>
      </c>
      <c r="F299" s="1" t="str">
        <f>IF(COUNTIF(Comp1[Comparable '#1 Dates],Benchmark2[[#This Row],[Benchmark '#2 Dates]])=1,"Pass","Fail")</f>
        <v>Pass</v>
      </c>
      <c r="G299" s="6">
        <f>IF(Benchmark2[[#This Row],[Comparable '#1 Date Check]]="Pass",INDEX(Comp1[Comparable '#1 Price],MATCH(Benchmark2[[#This Row],[Benchmark '#2 Dates]],Comp1[Comparable '#1 Dates],0)),"-")</f>
        <v>16.38</v>
      </c>
      <c r="H299" s="1" t="str">
        <f>IF(COUNTIF(Comp2[Comparable '#2 Dates],Benchmark2[[#This Row],[Benchmark '#2 Dates]])=1,"Pass","Fail")</f>
        <v>Pass</v>
      </c>
      <c r="I299" s="6">
        <f>IF(Benchmark2[[#This Row],[Comparable '#2 Date Check]]="Pass",INDEX(Comp2[Comparable '#2 Price],MATCH(Benchmark2[[#This Row],[Benchmark '#2 Dates]],Comp2[Comparable '#2 Dates],0)),"-")</f>
        <v>40.82</v>
      </c>
      <c r="J299" s="1" t="str">
        <f>IF(COUNTIF(Comp3[Comparable '#3 Dates],Benchmark2[[#This Row],[Benchmark '#2 Dates]])=1,"Pass","Fail")</f>
        <v>Pass</v>
      </c>
      <c r="K299" s="6">
        <f>IF(Benchmark2[[#This Row],[Comparable '#3 Date Check]]="Pass",INDEX(Comp3[Comparable '#3 Price],MATCH(Benchmark2[[#This Row],[Benchmark '#2 Dates]],Comp3[Comparable '#3 Dates],0)),"-")</f>
        <v>157.80000000000001</v>
      </c>
    </row>
    <row r="300" spans="1:11">
      <c r="A300" s="103">
        <v>43719</v>
      </c>
      <c r="B300" s="104">
        <v>13082.41</v>
      </c>
      <c r="C300" s="4">
        <f t="shared" si="4"/>
        <v>6.7839457117411925E-3</v>
      </c>
      <c r="D300" s="1" t="str">
        <f>IF(COUNTIF(Target1[Target Dates],Benchmark2[[#This Row],[Benchmark '#2 Dates]])=1,"Pass","Fail")</f>
        <v>Pass</v>
      </c>
      <c r="E300" s="6">
        <f>IF(Benchmark2[[#This Row],[Target Date Check]]="Pass",INDEX(Target1[Target Price],MATCH(Benchmark2[[#This Row],[Benchmark '#2 Dates]],Target1[Target Dates],0)),"-")</f>
        <v>28.47</v>
      </c>
      <c r="F300" s="1" t="str">
        <f>IF(COUNTIF(Comp1[Comparable '#1 Dates],Benchmark2[[#This Row],[Benchmark '#2 Dates]])=1,"Pass","Fail")</f>
        <v>Pass</v>
      </c>
      <c r="G300" s="6">
        <f>IF(Benchmark2[[#This Row],[Comparable '#1 Date Check]]="Pass",INDEX(Comp1[Comparable '#1 Price],MATCH(Benchmark2[[#This Row],[Benchmark '#2 Dates]],Comp1[Comparable '#1 Dates],0)),"-")</f>
        <v>16.690000000000001</v>
      </c>
      <c r="H300" s="1" t="str">
        <f>IF(COUNTIF(Comp2[Comparable '#2 Dates],Benchmark2[[#This Row],[Benchmark '#2 Dates]])=1,"Pass","Fail")</f>
        <v>Pass</v>
      </c>
      <c r="I300" s="6">
        <f>IF(Benchmark2[[#This Row],[Comparable '#2 Date Check]]="Pass",INDEX(Comp2[Comparable '#2 Price],MATCH(Benchmark2[[#This Row],[Benchmark '#2 Dates]],Comp2[Comparable '#2 Dates],0)),"-")</f>
        <v>40.57</v>
      </c>
      <c r="J300" s="1" t="str">
        <f>IF(COUNTIF(Comp3[Comparable '#3 Dates],Benchmark2[[#This Row],[Benchmark '#2 Dates]])=1,"Pass","Fail")</f>
        <v>Pass</v>
      </c>
      <c r="K300" s="6">
        <f>IF(Benchmark2[[#This Row],[Comparable '#3 Date Check]]="Pass",INDEX(Comp3[Comparable '#3 Price],MATCH(Benchmark2[[#This Row],[Benchmark '#2 Dates]],Comp3[Comparable '#3 Dates],0)),"-")</f>
        <v>159.36000000000001</v>
      </c>
    </row>
    <row r="301" spans="1:11">
      <c r="A301" s="103">
        <v>43720</v>
      </c>
      <c r="B301" s="104">
        <v>13116.05</v>
      </c>
      <c r="C301" s="4">
        <f t="shared" si="4"/>
        <v>2.5680912914913365E-3</v>
      </c>
      <c r="D301" s="1" t="str">
        <f>IF(COUNTIF(Target1[Target Dates],Benchmark2[[#This Row],[Benchmark '#2 Dates]])=1,"Pass","Fail")</f>
        <v>Pass</v>
      </c>
      <c r="E301" s="6">
        <f>IF(Benchmark2[[#This Row],[Target Date Check]]="Pass",INDEX(Target1[Target Price],MATCH(Benchmark2[[#This Row],[Benchmark '#2 Dates]],Target1[Target Dates],0)),"-")</f>
        <v>28.53</v>
      </c>
      <c r="F301" s="1" t="str">
        <f>IF(COUNTIF(Comp1[Comparable '#1 Dates],Benchmark2[[#This Row],[Benchmark '#2 Dates]])=1,"Pass","Fail")</f>
        <v>Pass</v>
      </c>
      <c r="G301" s="6">
        <f>IF(Benchmark2[[#This Row],[Comparable '#1 Date Check]]="Pass",INDEX(Comp1[Comparable '#1 Price],MATCH(Benchmark2[[#This Row],[Benchmark '#2 Dates]],Comp1[Comparable '#1 Dates],0)),"-")</f>
        <v>16.77</v>
      </c>
      <c r="H301" s="1" t="str">
        <f>IF(COUNTIF(Comp2[Comparable '#2 Dates],Benchmark2[[#This Row],[Benchmark '#2 Dates]])=1,"Pass","Fail")</f>
        <v>Pass</v>
      </c>
      <c r="I301" s="6">
        <f>IF(Benchmark2[[#This Row],[Comparable '#2 Date Check]]="Pass",INDEX(Comp2[Comparable '#2 Price],MATCH(Benchmark2[[#This Row],[Benchmark '#2 Dates]],Comp2[Comparable '#2 Dates],0)),"-")</f>
        <v>41.7</v>
      </c>
      <c r="J301" s="1" t="str">
        <f>IF(COUNTIF(Comp3[Comparable '#3 Dates],Benchmark2[[#This Row],[Benchmark '#2 Dates]])=1,"Pass","Fail")</f>
        <v>Pass</v>
      </c>
      <c r="K301" s="6">
        <f>IF(Benchmark2[[#This Row],[Comparable '#3 Date Check]]="Pass",INDEX(Comp3[Comparable '#3 Price],MATCH(Benchmark2[[#This Row],[Benchmark '#2 Dates]],Comp3[Comparable '#3 Dates],0)),"-")</f>
        <v>160.32</v>
      </c>
    </row>
    <row r="302" spans="1:11">
      <c r="A302" s="103">
        <v>43721</v>
      </c>
      <c r="B302" s="104">
        <v>13124.34</v>
      </c>
      <c r="C302" s="4">
        <f t="shared" si="4"/>
        <v>6.318503860503926E-4</v>
      </c>
      <c r="D302" s="1" t="str">
        <f>IF(COUNTIF(Target1[Target Dates],Benchmark2[[#This Row],[Benchmark '#2 Dates]])=1,"Pass","Fail")</f>
        <v>Pass</v>
      </c>
      <c r="E302" s="6">
        <f>IF(Benchmark2[[#This Row],[Target Date Check]]="Pass",INDEX(Target1[Target Price],MATCH(Benchmark2[[#This Row],[Benchmark '#2 Dates]],Target1[Target Dates],0)),"-")</f>
        <v>28.71</v>
      </c>
      <c r="F302" s="1" t="str">
        <f>IF(COUNTIF(Comp1[Comparable '#1 Dates],Benchmark2[[#This Row],[Benchmark '#2 Dates]])=1,"Pass","Fail")</f>
        <v>Pass</v>
      </c>
      <c r="G302" s="6">
        <f>IF(Benchmark2[[#This Row],[Comparable '#1 Date Check]]="Pass",INDEX(Comp1[Comparable '#1 Price],MATCH(Benchmark2[[#This Row],[Benchmark '#2 Dates]],Comp1[Comparable '#1 Dates],0)),"-")</f>
        <v>16.829999999999998</v>
      </c>
      <c r="H302" s="1" t="str">
        <f>IF(COUNTIF(Comp2[Comparable '#2 Dates],Benchmark2[[#This Row],[Benchmark '#2 Dates]])=1,"Pass","Fail")</f>
        <v>Pass</v>
      </c>
      <c r="I302" s="6">
        <f>IF(Benchmark2[[#This Row],[Comparable '#2 Date Check]]="Pass",INDEX(Comp2[Comparable '#2 Price],MATCH(Benchmark2[[#This Row],[Benchmark '#2 Dates]],Comp2[Comparable '#2 Dates],0)),"-")</f>
        <v>41.24</v>
      </c>
      <c r="J302" s="1" t="str">
        <f>IF(COUNTIF(Comp3[Comparable '#3 Dates],Benchmark2[[#This Row],[Benchmark '#2 Dates]])=1,"Pass","Fail")</f>
        <v>Pass</v>
      </c>
      <c r="K302" s="6">
        <f>IF(Benchmark2[[#This Row],[Comparable '#3 Date Check]]="Pass",INDEX(Comp3[Comparable '#3 Price],MATCH(Benchmark2[[#This Row],[Benchmark '#2 Dates]],Comp3[Comparable '#3 Dates],0)),"-")</f>
        <v>156</v>
      </c>
    </row>
    <row r="303" spans="1:11">
      <c r="A303" s="103">
        <v>43724</v>
      </c>
      <c r="B303" s="104">
        <v>13107.98</v>
      </c>
      <c r="C303" s="4">
        <f t="shared" si="4"/>
        <v>-1.2473164494083483E-3</v>
      </c>
      <c r="D303" s="1" t="str">
        <f>IF(COUNTIF(Target1[Target Dates],Benchmark2[[#This Row],[Benchmark '#2 Dates]])=1,"Pass","Fail")</f>
        <v>Pass</v>
      </c>
      <c r="E303" s="6">
        <f>IF(Benchmark2[[#This Row],[Target Date Check]]="Pass",INDEX(Target1[Target Price],MATCH(Benchmark2[[#This Row],[Benchmark '#2 Dates]],Target1[Target Dates],0)),"-")</f>
        <v>29.26</v>
      </c>
      <c r="F303" s="1" t="str">
        <f>IF(COUNTIF(Comp1[Comparable '#1 Dates],Benchmark2[[#This Row],[Benchmark '#2 Dates]])=1,"Pass","Fail")</f>
        <v>Pass</v>
      </c>
      <c r="G303" s="6">
        <f>IF(Benchmark2[[#This Row],[Comparable '#1 Date Check]]="Pass",INDEX(Comp1[Comparable '#1 Price],MATCH(Benchmark2[[#This Row],[Benchmark '#2 Dates]],Comp1[Comparable '#1 Dates],0)),"-")</f>
        <v>16.940000000000001</v>
      </c>
      <c r="H303" s="1" t="str">
        <f>IF(COUNTIF(Comp2[Comparable '#2 Dates],Benchmark2[[#This Row],[Benchmark '#2 Dates]])=1,"Pass","Fail")</f>
        <v>Pass</v>
      </c>
      <c r="I303" s="6">
        <f>IF(Benchmark2[[#This Row],[Comparable '#2 Date Check]]="Pass",INDEX(Comp2[Comparable '#2 Price],MATCH(Benchmark2[[#This Row],[Benchmark '#2 Dates]],Comp2[Comparable '#2 Dates],0)),"-")</f>
        <v>41.49</v>
      </c>
      <c r="J303" s="1" t="str">
        <f>IF(COUNTIF(Comp3[Comparable '#3 Dates],Benchmark2[[#This Row],[Benchmark '#2 Dates]])=1,"Pass","Fail")</f>
        <v>Pass</v>
      </c>
      <c r="K303" s="6">
        <f>IF(Benchmark2[[#This Row],[Comparable '#3 Date Check]]="Pass",INDEX(Comp3[Comparable '#3 Price],MATCH(Benchmark2[[#This Row],[Benchmark '#2 Dates]],Comp3[Comparable '#3 Dates],0)),"-")</f>
        <v>156.4</v>
      </c>
    </row>
    <row r="304" spans="1:11">
      <c r="A304" s="103">
        <v>43725</v>
      </c>
      <c r="B304" s="104">
        <v>13131.41</v>
      </c>
      <c r="C304" s="4">
        <f t="shared" si="4"/>
        <v>1.7858651612813593E-3</v>
      </c>
      <c r="D304" s="1" t="str">
        <f>IF(COUNTIF(Target1[Target Dates],Benchmark2[[#This Row],[Benchmark '#2 Dates]])=1,"Pass","Fail")</f>
        <v>Pass</v>
      </c>
      <c r="E304" s="6">
        <f>IF(Benchmark2[[#This Row],[Target Date Check]]="Pass",INDEX(Target1[Target Price],MATCH(Benchmark2[[#This Row],[Benchmark '#2 Dates]],Target1[Target Dates],0)),"-")</f>
        <v>28.7</v>
      </c>
      <c r="F304" s="1" t="str">
        <f>IF(COUNTIF(Comp1[Comparable '#1 Dates],Benchmark2[[#This Row],[Benchmark '#2 Dates]])=1,"Pass","Fail")</f>
        <v>Pass</v>
      </c>
      <c r="G304" s="6">
        <f>IF(Benchmark2[[#This Row],[Comparable '#1 Date Check]]="Pass",INDEX(Comp1[Comparable '#1 Price],MATCH(Benchmark2[[#This Row],[Benchmark '#2 Dates]],Comp1[Comparable '#1 Dates],0)),"-")</f>
        <v>17.11</v>
      </c>
      <c r="H304" s="1" t="str">
        <f>IF(COUNTIF(Comp2[Comparable '#2 Dates],Benchmark2[[#This Row],[Benchmark '#2 Dates]])=1,"Pass","Fail")</f>
        <v>Pass</v>
      </c>
      <c r="I304" s="6">
        <f>IF(Benchmark2[[#This Row],[Comparable '#2 Date Check]]="Pass",INDEX(Comp2[Comparable '#2 Price],MATCH(Benchmark2[[#This Row],[Benchmark '#2 Dates]],Comp2[Comparable '#2 Dates],0)),"-")</f>
        <v>41.79</v>
      </c>
      <c r="J304" s="1" t="str">
        <f>IF(COUNTIF(Comp3[Comparable '#3 Dates],Benchmark2[[#This Row],[Benchmark '#2 Dates]])=1,"Pass","Fail")</f>
        <v>Pass</v>
      </c>
      <c r="K304" s="6">
        <f>IF(Benchmark2[[#This Row],[Comparable '#3 Date Check]]="Pass",INDEX(Comp3[Comparable '#3 Price],MATCH(Benchmark2[[#This Row],[Benchmark '#2 Dates]],Comp3[Comparable '#3 Dates],0)),"-")</f>
        <v>157.74</v>
      </c>
    </row>
    <row r="305" spans="1:11">
      <c r="A305" s="103">
        <v>43726</v>
      </c>
      <c r="B305" s="104">
        <v>13119.3</v>
      </c>
      <c r="C305" s="4">
        <f t="shared" si="4"/>
        <v>-9.2264177685646358E-4</v>
      </c>
      <c r="D305" s="1" t="str">
        <f>IF(COUNTIF(Target1[Target Dates],Benchmark2[[#This Row],[Benchmark '#2 Dates]])=1,"Pass","Fail")</f>
        <v>Pass</v>
      </c>
      <c r="E305" s="6">
        <f>IF(Benchmark2[[#This Row],[Target Date Check]]="Pass",INDEX(Target1[Target Price],MATCH(Benchmark2[[#This Row],[Benchmark '#2 Dates]],Target1[Target Dates],0)),"-")</f>
        <v>28.46</v>
      </c>
      <c r="F305" s="1" t="str">
        <f>IF(COUNTIF(Comp1[Comparable '#1 Dates],Benchmark2[[#This Row],[Benchmark '#2 Dates]])=1,"Pass","Fail")</f>
        <v>Pass</v>
      </c>
      <c r="G305" s="6">
        <f>IF(Benchmark2[[#This Row],[Comparable '#1 Date Check]]="Pass",INDEX(Comp1[Comparable '#1 Price],MATCH(Benchmark2[[#This Row],[Benchmark '#2 Dates]],Comp1[Comparable '#1 Dates],0)),"-")</f>
        <v>17.53</v>
      </c>
      <c r="H305" s="1" t="str">
        <f>IF(COUNTIF(Comp2[Comparable '#2 Dates],Benchmark2[[#This Row],[Benchmark '#2 Dates]])=1,"Pass","Fail")</f>
        <v>Pass</v>
      </c>
      <c r="I305" s="6">
        <f>IF(Benchmark2[[#This Row],[Comparable '#2 Date Check]]="Pass",INDEX(Comp2[Comparable '#2 Price],MATCH(Benchmark2[[#This Row],[Benchmark '#2 Dates]],Comp2[Comparable '#2 Dates],0)),"-")</f>
        <v>42</v>
      </c>
      <c r="J305" s="1" t="str">
        <f>IF(COUNTIF(Comp3[Comparable '#3 Dates],Benchmark2[[#This Row],[Benchmark '#2 Dates]])=1,"Pass","Fail")</f>
        <v>Pass</v>
      </c>
      <c r="K305" s="6">
        <f>IF(Benchmark2[[#This Row],[Comparable '#3 Date Check]]="Pass",INDEX(Comp3[Comparable '#3 Price],MATCH(Benchmark2[[#This Row],[Benchmark '#2 Dates]],Comp3[Comparable '#3 Dates],0)),"-")</f>
        <v>156.91999999999999</v>
      </c>
    </row>
    <row r="306" spans="1:11">
      <c r="A306" s="103">
        <v>43727</v>
      </c>
      <c r="B306" s="104">
        <v>13111.25</v>
      </c>
      <c r="C306" s="4">
        <f t="shared" si="4"/>
        <v>-6.1378814037263418E-4</v>
      </c>
      <c r="D306" s="1" t="str">
        <f>IF(COUNTIF(Target1[Target Dates],Benchmark2[[#This Row],[Benchmark '#2 Dates]])=1,"Pass","Fail")</f>
        <v>Pass</v>
      </c>
      <c r="E306" s="6">
        <f>IF(Benchmark2[[#This Row],[Target Date Check]]="Pass",INDEX(Target1[Target Price],MATCH(Benchmark2[[#This Row],[Benchmark '#2 Dates]],Target1[Target Dates],0)),"-")</f>
        <v>28.17</v>
      </c>
      <c r="F306" s="1" t="str">
        <f>IF(COUNTIF(Comp1[Comparable '#1 Dates],Benchmark2[[#This Row],[Benchmark '#2 Dates]])=1,"Pass","Fail")</f>
        <v>Pass</v>
      </c>
      <c r="G306" s="6">
        <f>IF(Benchmark2[[#This Row],[Comparable '#1 Date Check]]="Pass",INDEX(Comp1[Comparable '#1 Price],MATCH(Benchmark2[[#This Row],[Benchmark '#2 Dates]],Comp1[Comparable '#1 Dates],0)),"-")</f>
        <v>17.5</v>
      </c>
      <c r="H306" s="1" t="str">
        <f>IF(COUNTIF(Comp2[Comparable '#2 Dates],Benchmark2[[#This Row],[Benchmark '#2 Dates]])=1,"Pass","Fail")</f>
        <v>Pass</v>
      </c>
      <c r="I306" s="6">
        <f>IF(Benchmark2[[#This Row],[Comparable '#2 Date Check]]="Pass",INDEX(Comp2[Comparable '#2 Price],MATCH(Benchmark2[[#This Row],[Benchmark '#2 Dates]],Comp2[Comparable '#2 Dates],0)),"-")</f>
        <v>42.28</v>
      </c>
      <c r="J306" s="1" t="str">
        <f>IF(COUNTIF(Comp3[Comparable '#3 Dates],Benchmark2[[#This Row],[Benchmark '#2 Dates]])=1,"Pass","Fail")</f>
        <v>Pass</v>
      </c>
      <c r="K306" s="6">
        <f>IF(Benchmark2[[#This Row],[Comparable '#3 Date Check]]="Pass",INDEX(Comp3[Comparable '#3 Price],MATCH(Benchmark2[[#This Row],[Benchmark '#2 Dates]],Comp3[Comparable '#3 Dates],0)),"-")</f>
        <v>158.74</v>
      </c>
    </row>
    <row r="307" spans="1:11">
      <c r="A307" s="103">
        <v>43728</v>
      </c>
      <c r="B307" s="104">
        <v>13093.8</v>
      </c>
      <c r="C307" s="4">
        <f t="shared" si="4"/>
        <v>-1.3318045628045356E-3</v>
      </c>
      <c r="D307" s="1" t="str">
        <f>IF(COUNTIF(Target1[Target Dates],Benchmark2[[#This Row],[Benchmark '#2 Dates]])=1,"Pass","Fail")</f>
        <v>Pass</v>
      </c>
      <c r="E307" s="6">
        <f>IF(Benchmark2[[#This Row],[Target Date Check]]="Pass",INDEX(Target1[Target Price],MATCH(Benchmark2[[#This Row],[Benchmark '#2 Dates]],Target1[Target Dates],0)),"-")</f>
        <v>26.07</v>
      </c>
      <c r="F307" s="1" t="str">
        <f>IF(COUNTIF(Comp1[Comparable '#1 Dates],Benchmark2[[#This Row],[Benchmark '#2 Dates]])=1,"Pass","Fail")</f>
        <v>Pass</v>
      </c>
      <c r="G307" s="6">
        <f>IF(Benchmark2[[#This Row],[Comparable '#1 Date Check]]="Pass",INDEX(Comp1[Comparable '#1 Price],MATCH(Benchmark2[[#This Row],[Benchmark '#2 Dates]],Comp1[Comparable '#1 Dates],0)),"-")</f>
        <v>17.39</v>
      </c>
      <c r="H307" s="1" t="str">
        <f>IF(COUNTIF(Comp2[Comparable '#2 Dates],Benchmark2[[#This Row],[Benchmark '#2 Dates]])=1,"Pass","Fail")</f>
        <v>Pass</v>
      </c>
      <c r="I307" s="6">
        <f>IF(Benchmark2[[#This Row],[Comparable '#2 Date Check]]="Pass",INDEX(Comp2[Comparable '#2 Price],MATCH(Benchmark2[[#This Row],[Benchmark '#2 Dates]],Comp2[Comparable '#2 Dates],0)),"-")</f>
        <v>40.659999999999997</v>
      </c>
      <c r="J307" s="1" t="str">
        <f>IF(COUNTIF(Comp3[Comparable '#3 Dates],Benchmark2[[#This Row],[Benchmark '#2 Dates]])=1,"Pass","Fail")</f>
        <v>Pass</v>
      </c>
      <c r="K307" s="6">
        <f>IF(Benchmark2[[#This Row],[Comparable '#3 Date Check]]="Pass",INDEX(Comp3[Comparable '#3 Price],MATCH(Benchmark2[[#This Row],[Benchmark '#2 Dates]],Comp3[Comparable '#3 Dates],0)),"-")</f>
        <v>147.01</v>
      </c>
    </row>
    <row r="308" spans="1:11">
      <c r="A308" s="103">
        <v>43731</v>
      </c>
      <c r="B308" s="104">
        <v>13085.33</v>
      </c>
      <c r="C308" s="4">
        <f t="shared" si="4"/>
        <v>-6.470803495411306E-4</v>
      </c>
      <c r="D308" s="1" t="str">
        <f>IF(COUNTIF(Target1[Target Dates],Benchmark2[[#This Row],[Benchmark '#2 Dates]])=1,"Pass","Fail")</f>
        <v>Pass</v>
      </c>
      <c r="E308" s="6">
        <f>IF(Benchmark2[[#This Row],[Target Date Check]]="Pass",INDEX(Target1[Target Price],MATCH(Benchmark2[[#This Row],[Benchmark '#2 Dates]],Target1[Target Dates],0)),"-")</f>
        <v>27.05</v>
      </c>
      <c r="F308" s="1" t="str">
        <f>IF(COUNTIF(Comp1[Comparable '#1 Dates],Benchmark2[[#This Row],[Benchmark '#2 Dates]])=1,"Pass","Fail")</f>
        <v>Pass</v>
      </c>
      <c r="G308" s="6">
        <f>IF(Benchmark2[[#This Row],[Comparable '#1 Date Check]]="Pass",INDEX(Comp1[Comparable '#1 Price],MATCH(Benchmark2[[#This Row],[Benchmark '#2 Dates]],Comp1[Comparable '#1 Dates],0)),"-")</f>
        <v>17.12</v>
      </c>
      <c r="H308" s="1" t="str">
        <f>IF(COUNTIF(Comp2[Comparable '#2 Dates],Benchmark2[[#This Row],[Benchmark '#2 Dates]])=1,"Pass","Fail")</f>
        <v>Pass</v>
      </c>
      <c r="I308" s="6">
        <f>IF(Benchmark2[[#This Row],[Comparable '#2 Date Check]]="Pass",INDEX(Comp2[Comparable '#2 Price],MATCH(Benchmark2[[#This Row],[Benchmark '#2 Dates]],Comp2[Comparable '#2 Dates],0)),"-")</f>
        <v>41.19</v>
      </c>
      <c r="J308" s="1" t="str">
        <f>IF(COUNTIF(Comp3[Comparable '#3 Dates],Benchmark2[[#This Row],[Benchmark '#2 Dates]])=1,"Pass","Fail")</f>
        <v>Pass</v>
      </c>
      <c r="K308" s="6">
        <f>IF(Benchmark2[[#This Row],[Comparable '#3 Date Check]]="Pass",INDEX(Comp3[Comparable '#3 Price],MATCH(Benchmark2[[#This Row],[Benchmark '#2 Dates]],Comp3[Comparable '#3 Dates],0)),"-")</f>
        <v>148.16999999999999</v>
      </c>
    </row>
    <row r="309" spans="1:11">
      <c r="A309" s="103">
        <v>43732</v>
      </c>
      <c r="B309" s="104">
        <v>12992.26</v>
      </c>
      <c r="C309" s="4">
        <f t="shared" si="4"/>
        <v>-7.1379598469815701E-3</v>
      </c>
      <c r="D309" s="1" t="str">
        <f>IF(COUNTIF(Target1[Target Dates],Benchmark2[[#This Row],[Benchmark '#2 Dates]])=1,"Pass","Fail")</f>
        <v>Pass</v>
      </c>
      <c r="E309" s="6">
        <f>IF(Benchmark2[[#This Row],[Target Date Check]]="Pass",INDEX(Target1[Target Price],MATCH(Benchmark2[[#This Row],[Benchmark '#2 Dates]],Target1[Target Dates],0)),"-")</f>
        <v>27.1</v>
      </c>
      <c r="F309" s="1" t="str">
        <f>IF(COUNTIF(Comp1[Comparable '#1 Dates],Benchmark2[[#This Row],[Benchmark '#2 Dates]])=1,"Pass","Fail")</f>
        <v>Pass</v>
      </c>
      <c r="G309" s="6">
        <f>IF(Benchmark2[[#This Row],[Comparable '#1 Date Check]]="Pass",INDEX(Comp1[Comparable '#1 Price],MATCH(Benchmark2[[#This Row],[Benchmark '#2 Dates]],Comp1[Comparable '#1 Dates],0)),"-")</f>
        <v>17.55</v>
      </c>
      <c r="H309" s="1" t="str">
        <f>IF(COUNTIF(Comp2[Comparable '#2 Dates],Benchmark2[[#This Row],[Benchmark '#2 Dates]])=1,"Pass","Fail")</f>
        <v>Pass</v>
      </c>
      <c r="I309" s="6">
        <f>IF(Benchmark2[[#This Row],[Comparable '#2 Date Check]]="Pass",INDEX(Comp2[Comparable '#2 Price],MATCH(Benchmark2[[#This Row],[Benchmark '#2 Dates]],Comp2[Comparable '#2 Dates],0)),"-")</f>
        <v>41.13</v>
      </c>
      <c r="J309" s="1" t="str">
        <f>IF(COUNTIF(Comp3[Comparable '#3 Dates],Benchmark2[[#This Row],[Benchmark '#2 Dates]])=1,"Pass","Fail")</f>
        <v>Pass</v>
      </c>
      <c r="K309" s="6">
        <f>IF(Benchmark2[[#This Row],[Comparable '#3 Date Check]]="Pass",INDEX(Comp3[Comparable '#3 Price],MATCH(Benchmark2[[#This Row],[Benchmark '#2 Dates]],Comp3[Comparable '#3 Dates],0)),"-")</f>
        <v>149.75</v>
      </c>
    </row>
    <row r="310" spans="1:11">
      <c r="A310" s="103">
        <v>43733</v>
      </c>
      <c r="B310" s="104">
        <v>13037.61</v>
      </c>
      <c r="C310" s="4">
        <f t="shared" si="4"/>
        <v>3.4844619573320889E-3</v>
      </c>
      <c r="D310" s="1" t="str">
        <f>IF(COUNTIF(Target1[Target Dates],Benchmark2[[#This Row],[Benchmark '#2 Dates]])=1,"Pass","Fail")</f>
        <v>Pass</v>
      </c>
      <c r="E310" s="6">
        <f>IF(Benchmark2[[#This Row],[Target Date Check]]="Pass",INDEX(Target1[Target Price],MATCH(Benchmark2[[#This Row],[Benchmark '#2 Dates]],Target1[Target Dates],0)),"-")</f>
        <v>26.89</v>
      </c>
      <c r="F310" s="1" t="str">
        <f>IF(COUNTIF(Comp1[Comparable '#1 Dates],Benchmark2[[#This Row],[Benchmark '#2 Dates]])=1,"Pass","Fail")</f>
        <v>Pass</v>
      </c>
      <c r="G310" s="6">
        <f>IF(Benchmark2[[#This Row],[Comparable '#1 Date Check]]="Pass",INDEX(Comp1[Comparable '#1 Price],MATCH(Benchmark2[[#This Row],[Benchmark '#2 Dates]],Comp1[Comparable '#1 Dates],0)),"-")</f>
        <v>16.95</v>
      </c>
      <c r="H310" s="1" t="str">
        <f>IF(COUNTIF(Comp2[Comparable '#2 Dates],Benchmark2[[#This Row],[Benchmark '#2 Dates]])=1,"Pass","Fail")</f>
        <v>Pass</v>
      </c>
      <c r="I310" s="6">
        <f>IF(Benchmark2[[#This Row],[Comparable '#2 Date Check]]="Pass",INDEX(Comp2[Comparable '#2 Price],MATCH(Benchmark2[[#This Row],[Benchmark '#2 Dates]],Comp2[Comparable '#2 Dates],0)),"-")</f>
        <v>38.729999999999997</v>
      </c>
      <c r="J310" s="1" t="str">
        <f>IF(COUNTIF(Comp3[Comparable '#3 Dates],Benchmark2[[#This Row],[Benchmark '#2 Dates]])=1,"Pass","Fail")</f>
        <v>Pass</v>
      </c>
      <c r="K310" s="6">
        <f>IF(Benchmark2[[#This Row],[Comparable '#3 Date Check]]="Pass",INDEX(Comp3[Comparable '#3 Price],MATCH(Benchmark2[[#This Row],[Benchmark '#2 Dates]],Comp3[Comparable '#3 Dates],0)),"-")</f>
        <v>143.04</v>
      </c>
    </row>
    <row r="311" spans="1:11">
      <c r="A311" s="103">
        <v>43734</v>
      </c>
      <c r="B311" s="104">
        <v>13028.73</v>
      </c>
      <c r="C311" s="4">
        <f t="shared" si="4"/>
        <v>-6.8133848814409727E-4</v>
      </c>
      <c r="D311" s="1" t="str">
        <f>IF(COUNTIF(Target1[Target Dates],Benchmark2[[#This Row],[Benchmark '#2 Dates]])=1,"Pass","Fail")</f>
        <v>Pass</v>
      </c>
      <c r="E311" s="6">
        <f>IF(Benchmark2[[#This Row],[Target Date Check]]="Pass",INDEX(Target1[Target Price],MATCH(Benchmark2[[#This Row],[Benchmark '#2 Dates]],Target1[Target Dates],0)),"-")</f>
        <v>26.42</v>
      </c>
      <c r="F311" s="1" t="str">
        <f>IF(COUNTIF(Comp1[Comparable '#1 Dates],Benchmark2[[#This Row],[Benchmark '#2 Dates]])=1,"Pass","Fail")</f>
        <v>Pass</v>
      </c>
      <c r="G311" s="6">
        <f>IF(Benchmark2[[#This Row],[Comparable '#1 Date Check]]="Pass",INDEX(Comp1[Comparable '#1 Price],MATCH(Benchmark2[[#This Row],[Benchmark '#2 Dates]],Comp1[Comparable '#1 Dates],0)),"-")</f>
        <v>16.71</v>
      </c>
      <c r="H311" s="1" t="str">
        <f>IF(COUNTIF(Comp2[Comparable '#2 Dates],Benchmark2[[#This Row],[Benchmark '#2 Dates]])=1,"Pass","Fail")</f>
        <v>Pass</v>
      </c>
      <c r="I311" s="6">
        <f>IF(Benchmark2[[#This Row],[Comparable '#2 Date Check]]="Pass",INDEX(Comp2[Comparable '#2 Price],MATCH(Benchmark2[[#This Row],[Benchmark '#2 Dates]],Comp2[Comparable '#2 Dates],0)),"-")</f>
        <v>38.200000000000003</v>
      </c>
      <c r="J311" s="1" t="str">
        <f>IF(COUNTIF(Comp3[Comparable '#3 Dates],Benchmark2[[#This Row],[Benchmark '#2 Dates]])=1,"Pass","Fail")</f>
        <v>Pass</v>
      </c>
      <c r="K311" s="6">
        <f>IF(Benchmark2[[#This Row],[Comparable '#3 Date Check]]="Pass",INDEX(Comp3[Comparable '#3 Price],MATCH(Benchmark2[[#This Row],[Benchmark '#2 Dates]],Comp3[Comparable '#3 Dates],0)),"-")</f>
        <v>139.66</v>
      </c>
    </row>
    <row r="312" spans="1:11">
      <c r="A312" s="103">
        <v>43735</v>
      </c>
      <c r="B312" s="104">
        <v>12971.98</v>
      </c>
      <c r="C312" s="4">
        <f t="shared" si="4"/>
        <v>-4.3652723419547162E-3</v>
      </c>
      <c r="D312" s="1" t="str">
        <f>IF(COUNTIF(Target1[Target Dates],Benchmark2[[#This Row],[Benchmark '#2 Dates]])=1,"Pass","Fail")</f>
        <v>Pass</v>
      </c>
      <c r="E312" s="6">
        <f>IF(Benchmark2[[#This Row],[Target Date Check]]="Pass",INDEX(Target1[Target Price],MATCH(Benchmark2[[#This Row],[Benchmark '#2 Dates]],Target1[Target Dates],0)),"-")</f>
        <v>26.48</v>
      </c>
      <c r="F312" s="1" t="str">
        <f>IF(COUNTIF(Comp1[Comparable '#1 Dates],Benchmark2[[#This Row],[Benchmark '#2 Dates]])=1,"Pass","Fail")</f>
        <v>Pass</v>
      </c>
      <c r="G312" s="6">
        <f>IF(Benchmark2[[#This Row],[Comparable '#1 Date Check]]="Pass",INDEX(Comp1[Comparable '#1 Price],MATCH(Benchmark2[[#This Row],[Benchmark '#2 Dates]],Comp1[Comparable '#1 Dates],0)),"-")</f>
        <v>16.62</v>
      </c>
      <c r="H312" s="1" t="str">
        <f>IF(COUNTIF(Comp2[Comparable '#2 Dates],Benchmark2[[#This Row],[Benchmark '#2 Dates]])=1,"Pass","Fail")</f>
        <v>Pass</v>
      </c>
      <c r="I312" s="6">
        <f>IF(Benchmark2[[#This Row],[Comparable '#2 Date Check]]="Pass",INDEX(Comp2[Comparable '#2 Price],MATCH(Benchmark2[[#This Row],[Benchmark '#2 Dates]],Comp2[Comparable '#2 Dates],0)),"-")</f>
        <v>38.020000000000003</v>
      </c>
      <c r="J312" s="1" t="str">
        <f>IF(COUNTIF(Comp3[Comparable '#3 Dates],Benchmark2[[#This Row],[Benchmark '#2 Dates]])=1,"Pass","Fail")</f>
        <v>Pass</v>
      </c>
      <c r="K312" s="6">
        <f>IF(Benchmark2[[#This Row],[Comparable '#3 Date Check]]="Pass",INDEX(Comp3[Comparable '#3 Price],MATCH(Benchmark2[[#This Row],[Benchmark '#2 Dates]],Comp3[Comparable '#3 Dates],0)),"-")</f>
        <v>135.33000000000001</v>
      </c>
    </row>
    <row r="313" spans="1:11">
      <c r="A313" s="103">
        <v>43738</v>
      </c>
      <c r="B313" s="104">
        <v>13004.74</v>
      </c>
      <c r="C313" s="4">
        <f t="shared" si="4"/>
        <v>2.5222597285336876E-3</v>
      </c>
      <c r="D313" s="1" t="str">
        <f>IF(COUNTIF(Target1[Target Dates],Benchmark2[[#This Row],[Benchmark '#2 Dates]])=1,"Pass","Fail")</f>
        <v>Pass</v>
      </c>
      <c r="E313" s="6">
        <f>IF(Benchmark2[[#This Row],[Target Date Check]]="Pass",INDEX(Target1[Target Price],MATCH(Benchmark2[[#This Row],[Benchmark '#2 Dates]],Target1[Target Dates],0)),"-")</f>
        <v>26.4</v>
      </c>
      <c r="F313" s="1" t="str">
        <f>IF(COUNTIF(Comp1[Comparable '#1 Dates],Benchmark2[[#This Row],[Benchmark '#2 Dates]])=1,"Pass","Fail")</f>
        <v>Pass</v>
      </c>
      <c r="G313" s="6">
        <f>IF(Benchmark2[[#This Row],[Comparable '#1 Date Check]]="Pass",INDEX(Comp1[Comparable '#1 Price],MATCH(Benchmark2[[#This Row],[Benchmark '#2 Dates]],Comp1[Comparable '#1 Dates],0)),"-")</f>
        <v>16.574999999999999</v>
      </c>
      <c r="H313" s="1" t="str">
        <f>IF(COUNTIF(Comp2[Comparable '#2 Dates],Benchmark2[[#This Row],[Benchmark '#2 Dates]])=1,"Pass","Fail")</f>
        <v>Pass</v>
      </c>
      <c r="I313" s="6">
        <f>IF(Benchmark2[[#This Row],[Comparable '#2 Date Check]]="Pass",INDEX(Comp2[Comparable '#2 Price],MATCH(Benchmark2[[#This Row],[Benchmark '#2 Dates]],Comp2[Comparable '#2 Dates],0)),"-")</f>
        <v>38.090000000000003</v>
      </c>
      <c r="J313" s="1" t="str">
        <f>IF(COUNTIF(Comp3[Comparable '#3 Dates],Benchmark2[[#This Row],[Benchmark '#2 Dates]])=1,"Pass","Fail")</f>
        <v>Pass</v>
      </c>
      <c r="K313" s="6">
        <f>IF(Benchmark2[[#This Row],[Comparable '#3 Date Check]]="Pass",INDEX(Comp3[Comparable '#3 Price],MATCH(Benchmark2[[#This Row],[Benchmark '#2 Dates]],Comp3[Comparable '#3 Dates],0)),"-")</f>
        <v>135.88</v>
      </c>
    </row>
    <row r="314" spans="1:11">
      <c r="A314" s="103">
        <v>43739</v>
      </c>
      <c r="B314" s="104">
        <v>12835.35</v>
      </c>
      <c r="C314" s="4">
        <f t="shared" si="4"/>
        <v>-1.31108232529899E-2</v>
      </c>
      <c r="D314" s="1" t="str">
        <f>IF(COUNTIF(Target1[Target Dates],Benchmark2[[#This Row],[Benchmark '#2 Dates]])=1,"Pass","Fail")</f>
        <v>Pass</v>
      </c>
      <c r="E314" s="6">
        <f>IF(Benchmark2[[#This Row],[Target Date Check]]="Pass",INDEX(Target1[Target Price],MATCH(Benchmark2[[#This Row],[Benchmark '#2 Dates]],Target1[Target Dates],0)),"-")</f>
        <v>26.44</v>
      </c>
      <c r="F314" s="1" t="str">
        <f>IF(COUNTIF(Comp1[Comparable '#1 Dates],Benchmark2[[#This Row],[Benchmark '#2 Dates]])=1,"Pass","Fail")</f>
        <v>Pass</v>
      </c>
      <c r="G314" s="6">
        <f>IF(Benchmark2[[#This Row],[Comparable '#1 Date Check]]="Pass",INDEX(Comp1[Comparable '#1 Price],MATCH(Benchmark2[[#This Row],[Benchmark '#2 Dates]],Comp1[Comparable '#1 Dates],0)),"-")</f>
        <v>16.399999999999999</v>
      </c>
      <c r="H314" s="1" t="str">
        <f>IF(COUNTIF(Comp2[Comparable '#2 Dates],Benchmark2[[#This Row],[Benchmark '#2 Dates]])=1,"Pass","Fail")</f>
        <v>Pass</v>
      </c>
      <c r="I314" s="6">
        <f>IF(Benchmark2[[#This Row],[Comparable '#2 Date Check]]="Pass",INDEX(Comp2[Comparable '#2 Price],MATCH(Benchmark2[[#This Row],[Benchmark '#2 Dates]],Comp2[Comparable '#2 Dates],0)),"-")</f>
        <v>37.950000000000003</v>
      </c>
      <c r="J314" s="1" t="str">
        <f>IF(COUNTIF(Comp3[Comparable '#3 Dates],Benchmark2[[#This Row],[Benchmark '#2 Dates]])=1,"Pass","Fail")</f>
        <v>Pass</v>
      </c>
      <c r="K314" s="6">
        <f>IF(Benchmark2[[#This Row],[Comparable '#3 Date Check]]="Pass",INDEX(Comp3[Comparable '#3 Price],MATCH(Benchmark2[[#This Row],[Benchmark '#2 Dates]],Comp3[Comparable '#3 Dates],0)),"-")</f>
        <v>133.19</v>
      </c>
    </row>
    <row r="315" spans="1:11">
      <c r="A315" s="103">
        <v>43740</v>
      </c>
      <c r="B315" s="104">
        <v>12608.43</v>
      </c>
      <c r="C315" s="4">
        <f t="shared" si="4"/>
        <v>-1.7837445273227247E-2</v>
      </c>
      <c r="D315" s="1" t="str">
        <f>IF(COUNTIF(Target1[Target Dates],Benchmark2[[#This Row],[Benchmark '#2 Dates]])=1,"Pass","Fail")</f>
        <v>Pass</v>
      </c>
      <c r="E315" s="6">
        <f>IF(Benchmark2[[#This Row],[Target Date Check]]="Pass",INDEX(Target1[Target Price],MATCH(Benchmark2[[#This Row],[Benchmark '#2 Dates]],Target1[Target Dates],0)),"-")</f>
        <v>26.43</v>
      </c>
      <c r="F315" s="1" t="str">
        <f>IF(COUNTIF(Comp1[Comparable '#1 Dates],Benchmark2[[#This Row],[Benchmark '#2 Dates]])=1,"Pass","Fail")</f>
        <v>Pass</v>
      </c>
      <c r="G315" s="6">
        <f>IF(Benchmark2[[#This Row],[Comparable '#1 Date Check]]="Pass",INDEX(Comp1[Comparable '#1 Price],MATCH(Benchmark2[[#This Row],[Benchmark '#2 Dates]],Comp1[Comparable '#1 Dates],0)),"-")</f>
        <v>16.36</v>
      </c>
      <c r="H315" s="1" t="str">
        <f>IF(COUNTIF(Comp2[Comparable '#2 Dates],Benchmark2[[#This Row],[Benchmark '#2 Dates]])=1,"Pass","Fail")</f>
        <v>Pass</v>
      </c>
      <c r="I315" s="6">
        <f>IF(Benchmark2[[#This Row],[Comparable '#2 Date Check]]="Pass",INDEX(Comp2[Comparable '#2 Price],MATCH(Benchmark2[[#This Row],[Benchmark '#2 Dates]],Comp2[Comparable '#2 Dates],0)),"-")</f>
        <v>37.78</v>
      </c>
      <c r="J315" s="1" t="str">
        <f>IF(COUNTIF(Comp3[Comparable '#3 Dates],Benchmark2[[#This Row],[Benchmark '#2 Dates]])=1,"Pass","Fail")</f>
        <v>Pass</v>
      </c>
      <c r="K315" s="6">
        <f>IF(Benchmark2[[#This Row],[Comparable '#3 Date Check]]="Pass",INDEX(Comp3[Comparable '#3 Price],MATCH(Benchmark2[[#This Row],[Benchmark '#2 Dates]],Comp3[Comparable '#3 Dates],0)),"-")</f>
        <v>135.06</v>
      </c>
    </row>
    <row r="316" spans="1:11">
      <c r="A316" s="103">
        <v>43741</v>
      </c>
      <c r="B316" s="104">
        <v>12685.77</v>
      </c>
      <c r="C316" s="4">
        <f t="shared" si="4"/>
        <v>6.11525496115974E-3</v>
      </c>
      <c r="D316" s="1" t="str">
        <f>IF(COUNTIF(Target1[Target Dates],Benchmark2[[#This Row],[Benchmark '#2 Dates]])=1,"Pass","Fail")</f>
        <v>Pass</v>
      </c>
      <c r="E316" s="6">
        <f>IF(Benchmark2[[#This Row],[Target Date Check]]="Pass",INDEX(Target1[Target Price],MATCH(Benchmark2[[#This Row],[Benchmark '#2 Dates]],Target1[Target Dates],0)),"-")</f>
        <v>26.1</v>
      </c>
      <c r="F316" s="1" t="str">
        <f>IF(COUNTIF(Comp1[Comparable '#1 Dates],Benchmark2[[#This Row],[Benchmark '#2 Dates]])=1,"Pass","Fail")</f>
        <v>Pass</v>
      </c>
      <c r="G316" s="6">
        <f>IF(Benchmark2[[#This Row],[Comparable '#1 Date Check]]="Pass",INDEX(Comp1[Comparable '#1 Price],MATCH(Benchmark2[[#This Row],[Benchmark '#2 Dates]],Comp1[Comparable '#1 Dates],0)),"-")</f>
        <v>16.43</v>
      </c>
      <c r="H316" s="1" t="str">
        <f>IF(COUNTIF(Comp2[Comparable '#2 Dates],Benchmark2[[#This Row],[Benchmark '#2 Dates]])=1,"Pass","Fail")</f>
        <v>Pass</v>
      </c>
      <c r="I316" s="6">
        <f>IF(Benchmark2[[#This Row],[Comparable '#2 Date Check]]="Pass",INDEX(Comp2[Comparable '#2 Price],MATCH(Benchmark2[[#This Row],[Benchmark '#2 Dates]],Comp2[Comparable '#2 Dates],0)),"-")</f>
        <v>37.69</v>
      </c>
      <c r="J316" s="1" t="str">
        <f>IF(COUNTIF(Comp3[Comparable '#3 Dates],Benchmark2[[#This Row],[Benchmark '#2 Dates]])=1,"Pass","Fail")</f>
        <v>Pass</v>
      </c>
      <c r="K316" s="6">
        <f>IF(Benchmark2[[#This Row],[Comparable '#3 Date Check]]="Pass",INDEX(Comp3[Comparable '#3 Price],MATCH(Benchmark2[[#This Row],[Benchmark '#2 Dates]],Comp3[Comparable '#3 Dates],0)),"-")</f>
        <v>133.56</v>
      </c>
    </row>
    <row r="317" spans="1:11">
      <c r="A317" s="103">
        <v>43742</v>
      </c>
      <c r="B317" s="104">
        <v>12831.55</v>
      </c>
      <c r="C317" s="4">
        <f t="shared" si="4"/>
        <v>1.1426089105629452E-2</v>
      </c>
      <c r="D317" s="1" t="str">
        <f>IF(COUNTIF(Target1[Target Dates],Benchmark2[[#This Row],[Benchmark '#2 Dates]])=1,"Pass","Fail")</f>
        <v>Pass</v>
      </c>
      <c r="E317" s="6">
        <f>IF(Benchmark2[[#This Row],[Target Date Check]]="Pass",INDEX(Target1[Target Price],MATCH(Benchmark2[[#This Row],[Benchmark '#2 Dates]],Target1[Target Dates],0)),"-")</f>
        <v>26.25</v>
      </c>
      <c r="F317" s="1" t="str">
        <f>IF(COUNTIF(Comp1[Comparable '#1 Dates],Benchmark2[[#This Row],[Benchmark '#2 Dates]])=1,"Pass","Fail")</f>
        <v>Pass</v>
      </c>
      <c r="G317" s="6">
        <f>IF(Benchmark2[[#This Row],[Comparable '#1 Date Check]]="Pass",INDEX(Comp1[Comparable '#1 Price],MATCH(Benchmark2[[#This Row],[Benchmark '#2 Dates]],Comp1[Comparable '#1 Dates],0)),"-")</f>
        <v>16.29</v>
      </c>
      <c r="H317" s="1" t="str">
        <f>IF(COUNTIF(Comp2[Comparable '#2 Dates],Benchmark2[[#This Row],[Benchmark '#2 Dates]])=1,"Pass","Fail")</f>
        <v>Pass</v>
      </c>
      <c r="I317" s="6">
        <f>IF(Benchmark2[[#This Row],[Comparable '#2 Date Check]]="Pass",INDEX(Comp2[Comparable '#2 Price],MATCH(Benchmark2[[#This Row],[Benchmark '#2 Dates]],Comp2[Comparable '#2 Dates],0)),"-")</f>
        <v>36.76</v>
      </c>
      <c r="J317" s="1" t="str">
        <f>IF(COUNTIF(Comp3[Comparable '#3 Dates],Benchmark2[[#This Row],[Benchmark '#2 Dates]])=1,"Pass","Fail")</f>
        <v>Pass</v>
      </c>
      <c r="K317" s="6">
        <f>IF(Benchmark2[[#This Row],[Comparable '#3 Date Check]]="Pass",INDEX(Comp3[Comparable '#3 Price],MATCH(Benchmark2[[#This Row],[Benchmark '#2 Dates]],Comp3[Comparable '#3 Dates],0)),"-")</f>
        <v>133.71</v>
      </c>
    </row>
    <row r="318" spans="1:11">
      <c r="A318" s="103">
        <v>43745</v>
      </c>
      <c r="B318" s="104">
        <v>12777.74</v>
      </c>
      <c r="C318" s="4">
        <f t="shared" si="4"/>
        <v>-4.2023874297670311E-3</v>
      </c>
      <c r="D318" s="1" t="str">
        <f>IF(COUNTIF(Target1[Target Dates],Benchmark2[[#This Row],[Benchmark '#2 Dates]])=1,"Pass","Fail")</f>
        <v>Pass</v>
      </c>
      <c r="E318" s="6">
        <f>IF(Benchmark2[[#This Row],[Target Date Check]]="Pass",INDEX(Target1[Target Price],MATCH(Benchmark2[[#This Row],[Benchmark '#2 Dates]],Target1[Target Dates],0)),"-")</f>
        <v>26.19</v>
      </c>
      <c r="F318" s="1" t="str">
        <f>IF(COUNTIF(Comp1[Comparable '#1 Dates],Benchmark2[[#This Row],[Benchmark '#2 Dates]])=1,"Pass","Fail")</f>
        <v>Pass</v>
      </c>
      <c r="G318" s="6">
        <f>IF(Benchmark2[[#This Row],[Comparable '#1 Date Check]]="Pass",INDEX(Comp1[Comparable '#1 Price],MATCH(Benchmark2[[#This Row],[Benchmark '#2 Dates]],Comp1[Comparable '#1 Dates],0)),"-")</f>
        <v>16.34</v>
      </c>
      <c r="H318" s="1" t="str">
        <f>IF(COUNTIF(Comp2[Comparable '#2 Dates],Benchmark2[[#This Row],[Benchmark '#2 Dates]])=1,"Pass","Fail")</f>
        <v>Pass</v>
      </c>
      <c r="I318" s="6">
        <f>IF(Benchmark2[[#This Row],[Comparable '#2 Date Check]]="Pass",INDEX(Comp2[Comparable '#2 Price],MATCH(Benchmark2[[#This Row],[Benchmark '#2 Dates]],Comp2[Comparable '#2 Dates],0)),"-")</f>
        <v>36.880000000000003</v>
      </c>
      <c r="J318" s="1" t="str">
        <f>IF(COUNTIF(Comp3[Comparable '#3 Dates],Benchmark2[[#This Row],[Benchmark '#2 Dates]])=1,"Pass","Fail")</f>
        <v>Pass</v>
      </c>
      <c r="K318" s="6">
        <f>IF(Benchmark2[[#This Row],[Comparable '#3 Date Check]]="Pass",INDEX(Comp3[Comparable '#3 Price],MATCH(Benchmark2[[#This Row],[Benchmark '#2 Dates]],Comp3[Comparable '#3 Dates],0)),"-")</f>
        <v>133.96</v>
      </c>
    </row>
    <row r="319" spans="1:11">
      <c r="A319" s="103">
        <v>43746</v>
      </c>
      <c r="B319" s="104">
        <v>12590.91</v>
      </c>
      <c r="C319" s="4">
        <f t="shared" si="4"/>
        <v>-1.472946946973496E-2</v>
      </c>
      <c r="D319" s="1" t="str">
        <f>IF(COUNTIF(Target1[Target Dates],Benchmark2[[#This Row],[Benchmark '#2 Dates]])=1,"Pass","Fail")</f>
        <v>Pass</v>
      </c>
      <c r="E319" s="6">
        <f>IF(Benchmark2[[#This Row],[Target Date Check]]="Pass",INDEX(Target1[Target Price],MATCH(Benchmark2[[#This Row],[Benchmark '#2 Dates]],Target1[Target Dates],0)),"-")</f>
        <v>25.68</v>
      </c>
      <c r="F319" s="1" t="str">
        <f>IF(COUNTIF(Comp1[Comparable '#1 Dates],Benchmark2[[#This Row],[Benchmark '#2 Dates]])=1,"Pass","Fail")</f>
        <v>Pass</v>
      </c>
      <c r="G319" s="6">
        <f>IF(Benchmark2[[#This Row],[Comparable '#1 Date Check]]="Pass",INDEX(Comp1[Comparable '#1 Price],MATCH(Benchmark2[[#This Row],[Benchmark '#2 Dates]],Comp1[Comparable '#1 Dates],0)),"-")</f>
        <v>15.51</v>
      </c>
      <c r="H319" s="1" t="str">
        <f>IF(COUNTIF(Comp2[Comparable '#2 Dates],Benchmark2[[#This Row],[Benchmark '#2 Dates]])=1,"Pass","Fail")</f>
        <v>Pass</v>
      </c>
      <c r="I319" s="6">
        <f>IF(Benchmark2[[#This Row],[Comparable '#2 Date Check]]="Pass",INDEX(Comp2[Comparable '#2 Price],MATCH(Benchmark2[[#This Row],[Benchmark '#2 Dates]],Comp2[Comparable '#2 Dates],0)),"-")</f>
        <v>35.479999999999997</v>
      </c>
      <c r="J319" s="1" t="str">
        <f>IF(COUNTIF(Comp3[Comparable '#3 Dates],Benchmark2[[#This Row],[Benchmark '#2 Dates]])=1,"Pass","Fail")</f>
        <v>Pass</v>
      </c>
      <c r="K319" s="6">
        <f>IF(Benchmark2[[#This Row],[Comparable '#3 Date Check]]="Pass",INDEX(Comp3[Comparable '#3 Price],MATCH(Benchmark2[[#This Row],[Benchmark '#2 Dates]],Comp3[Comparable '#3 Dates],0)),"-")</f>
        <v>132.54</v>
      </c>
    </row>
    <row r="320" spans="1:11">
      <c r="A320" s="103">
        <v>43747</v>
      </c>
      <c r="B320" s="104">
        <v>12691.16</v>
      </c>
      <c r="C320" s="4">
        <f t="shared" si="4"/>
        <v>7.9305630769151477E-3</v>
      </c>
      <c r="D320" s="1" t="str">
        <f>IF(COUNTIF(Target1[Target Dates],Benchmark2[[#This Row],[Benchmark '#2 Dates]])=1,"Pass","Fail")</f>
        <v>Pass</v>
      </c>
      <c r="E320" s="6">
        <f>IF(Benchmark2[[#This Row],[Target Date Check]]="Pass",INDEX(Target1[Target Price],MATCH(Benchmark2[[#This Row],[Benchmark '#2 Dates]],Target1[Target Dates],0)),"-")</f>
        <v>25.58</v>
      </c>
      <c r="F320" s="1" t="str">
        <f>IF(COUNTIF(Comp1[Comparable '#1 Dates],Benchmark2[[#This Row],[Benchmark '#2 Dates]])=1,"Pass","Fail")</f>
        <v>Pass</v>
      </c>
      <c r="G320" s="6">
        <f>IF(Benchmark2[[#This Row],[Comparable '#1 Date Check]]="Pass",INDEX(Comp1[Comparable '#1 Price],MATCH(Benchmark2[[#This Row],[Benchmark '#2 Dates]],Comp1[Comparable '#1 Dates],0)),"-")</f>
        <v>15.295</v>
      </c>
      <c r="H320" s="1" t="str">
        <f>IF(COUNTIF(Comp2[Comparable '#2 Dates],Benchmark2[[#This Row],[Benchmark '#2 Dates]])=1,"Pass","Fail")</f>
        <v>Pass</v>
      </c>
      <c r="I320" s="6">
        <f>IF(Benchmark2[[#This Row],[Comparable '#2 Date Check]]="Pass",INDEX(Comp2[Comparable '#2 Price],MATCH(Benchmark2[[#This Row],[Benchmark '#2 Dates]],Comp2[Comparable '#2 Dates],0)),"-")</f>
        <v>35.67</v>
      </c>
      <c r="J320" s="1" t="str">
        <f>IF(COUNTIF(Comp3[Comparable '#3 Dates],Benchmark2[[#This Row],[Benchmark '#2 Dates]])=1,"Pass","Fail")</f>
        <v>Pass</v>
      </c>
      <c r="K320" s="6">
        <f>IF(Benchmark2[[#This Row],[Comparable '#3 Date Check]]="Pass",INDEX(Comp3[Comparable '#3 Price],MATCH(Benchmark2[[#This Row],[Benchmark '#2 Dates]],Comp3[Comparable '#3 Dates],0)),"-")</f>
        <v>135.69999999999999</v>
      </c>
    </row>
    <row r="321" spans="1:11">
      <c r="A321" s="103">
        <v>43748</v>
      </c>
      <c r="B321" s="104">
        <v>12766</v>
      </c>
      <c r="C321" s="4">
        <f t="shared" si="4"/>
        <v>5.8796987257641251E-3</v>
      </c>
      <c r="D321" s="1" t="str">
        <f>IF(COUNTIF(Target1[Target Dates],Benchmark2[[#This Row],[Benchmark '#2 Dates]])=1,"Pass","Fail")</f>
        <v>Pass</v>
      </c>
      <c r="E321" s="6">
        <f>IF(Benchmark2[[#This Row],[Target Date Check]]="Pass",INDEX(Target1[Target Price],MATCH(Benchmark2[[#This Row],[Benchmark '#2 Dates]],Target1[Target Dates],0)),"-")</f>
        <v>25.3</v>
      </c>
      <c r="F321" s="1" t="str">
        <f>IF(COUNTIF(Comp1[Comparable '#1 Dates],Benchmark2[[#This Row],[Benchmark '#2 Dates]])=1,"Pass","Fail")</f>
        <v>Pass</v>
      </c>
      <c r="G321" s="6">
        <f>IF(Benchmark2[[#This Row],[Comparable '#1 Date Check]]="Pass",INDEX(Comp1[Comparable '#1 Price],MATCH(Benchmark2[[#This Row],[Benchmark '#2 Dates]],Comp1[Comparable '#1 Dates],0)),"-")</f>
        <v>15.25</v>
      </c>
      <c r="H321" s="1" t="str">
        <f>IF(COUNTIF(Comp2[Comparable '#2 Dates],Benchmark2[[#This Row],[Benchmark '#2 Dates]])=1,"Pass","Fail")</f>
        <v>Pass</v>
      </c>
      <c r="I321" s="6">
        <f>IF(Benchmark2[[#This Row],[Comparable '#2 Date Check]]="Pass",INDEX(Comp2[Comparable '#2 Price],MATCH(Benchmark2[[#This Row],[Benchmark '#2 Dates]],Comp2[Comparable '#2 Dates],0)),"-")</f>
        <v>35.42</v>
      </c>
      <c r="J321" s="1" t="str">
        <f>IF(COUNTIF(Comp3[Comparable '#3 Dates],Benchmark2[[#This Row],[Benchmark '#2 Dates]])=1,"Pass","Fail")</f>
        <v>Pass</v>
      </c>
      <c r="K321" s="6">
        <f>IF(Benchmark2[[#This Row],[Comparable '#3 Date Check]]="Pass",INDEX(Comp3[Comparable '#3 Price],MATCH(Benchmark2[[#This Row],[Benchmark '#2 Dates]],Comp3[Comparable '#3 Dates],0)),"-")</f>
        <v>136.19</v>
      </c>
    </row>
    <row r="322" spans="1:11">
      <c r="A322" s="103">
        <v>43749</v>
      </c>
      <c r="B322" s="104">
        <v>12926.92</v>
      </c>
      <c r="C322" s="4">
        <f t="shared" ref="C322:C385" si="5">IFERROR(IF(B322="",NA(),LN(B322/B321)),"-")</f>
        <v>1.2526571851286602E-2</v>
      </c>
      <c r="D322" s="1" t="str">
        <f>IF(COUNTIF(Target1[Target Dates],Benchmark2[[#This Row],[Benchmark '#2 Dates]])=1,"Pass","Fail")</f>
        <v>Pass</v>
      </c>
      <c r="E322" s="6">
        <f>IF(Benchmark2[[#This Row],[Target Date Check]]="Pass",INDEX(Target1[Target Price],MATCH(Benchmark2[[#This Row],[Benchmark '#2 Dates]],Target1[Target Dates],0)),"-")</f>
        <v>25.7</v>
      </c>
      <c r="F322" s="1" t="str">
        <f>IF(COUNTIF(Comp1[Comparable '#1 Dates],Benchmark2[[#This Row],[Benchmark '#2 Dates]])=1,"Pass","Fail")</f>
        <v>Pass</v>
      </c>
      <c r="G322" s="6">
        <f>IF(Benchmark2[[#This Row],[Comparable '#1 Date Check]]="Pass",INDEX(Comp1[Comparable '#1 Price],MATCH(Benchmark2[[#This Row],[Benchmark '#2 Dates]],Comp1[Comparable '#1 Dates],0)),"-")</f>
        <v>15.615</v>
      </c>
      <c r="H322" s="1" t="str">
        <f>IF(COUNTIF(Comp2[Comparable '#2 Dates],Benchmark2[[#This Row],[Benchmark '#2 Dates]])=1,"Pass","Fail")</f>
        <v>Pass</v>
      </c>
      <c r="I322" s="6">
        <f>IF(Benchmark2[[#This Row],[Comparable '#2 Date Check]]="Pass",INDEX(Comp2[Comparable '#2 Price],MATCH(Benchmark2[[#This Row],[Benchmark '#2 Dates]],Comp2[Comparable '#2 Dates],0)),"-")</f>
        <v>35.979999999999997</v>
      </c>
      <c r="J322" s="1" t="str">
        <f>IF(COUNTIF(Comp3[Comparable '#3 Dates],Benchmark2[[#This Row],[Benchmark '#2 Dates]])=1,"Pass","Fail")</f>
        <v>Pass</v>
      </c>
      <c r="K322" s="6">
        <f>IF(Benchmark2[[#This Row],[Comparable '#3 Date Check]]="Pass",INDEX(Comp3[Comparable '#3 Price],MATCH(Benchmark2[[#This Row],[Benchmark '#2 Dates]],Comp3[Comparable '#3 Dates],0)),"-")</f>
        <v>139.16999999999999</v>
      </c>
    </row>
    <row r="323" spans="1:11">
      <c r="A323" s="103">
        <v>43752</v>
      </c>
      <c r="B323" s="104">
        <v>12896.22</v>
      </c>
      <c r="C323" s="4">
        <f t="shared" si="5"/>
        <v>-2.3777135130423873E-3</v>
      </c>
      <c r="D323" s="1" t="str">
        <f>IF(COUNTIF(Target1[Target Dates],Benchmark2[[#This Row],[Benchmark '#2 Dates]])=1,"Pass","Fail")</f>
        <v>Pass</v>
      </c>
      <c r="E323" s="6">
        <f>IF(Benchmark2[[#This Row],[Target Date Check]]="Pass",INDEX(Target1[Target Price],MATCH(Benchmark2[[#This Row],[Benchmark '#2 Dates]],Target1[Target Dates],0)),"-")</f>
        <v>25.56</v>
      </c>
      <c r="F323" s="1" t="str">
        <f>IF(COUNTIF(Comp1[Comparable '#1 Dates],Benchmark2[[#This Row],[Benchmark '#2 Dates]])=1,"Pass","Fail")</f>
        <v>Pass</v>
      </c>
      <c r="G323" s="6">
        <f>IF(Benchmark2[[#This Row],[Comparable '#1 Date Check]]="Pass",INDEX(Comp1[Comparable '#1 Price],MATCH(Benchmark2[[#This Row],[Benchmark '#2 Dates]],Comp1[Comparable '#1 Dates],0)),"-")</f>
        <v>15.45</v>
      </c>
      <c r="H323" s="1" t="str">
        <f>IF(COUNTIF(Comp2[Comparable '#2 Dates],Benchmark2[[#This Row],[Benchmark '#2 Dates]])=1,"Pass","Fail")</f>
        <v>Pass</v>
      </c>
      <c r="I323" s="6">
        <f>IF(Benchmark2[[#This Row],[Comparable '#2 Date Check]]="Pass",INDEX(Comp2[Comparable '#2 Price],MATCH(Benchmark2[[#This Row],[Benchmark '#2 Dates]],Comp2[Comparable '#2 Dates],0)),"-")</f>
        <v>35.840000000000003</v>
      </c>
      <c r="J323" s="1" t="str">
        <f>IF(COUNTIF(Comp3[Comparable '#3 Dates],Benchmark2[[#This Row],[Benchmark '#2 Dates]])=1,"Pass","Fail")</f>
        <v>Pass</v>
      </c>
      <c r="K323" s="6">
        <f>IF(Benchmark2[[#This Row],[Comparable '#3 Date Check]]="Pass",INDEX(Comp3[Comparable '#3 Price],MATCH(Benchmark2[[#This Row],[Benchmark '#2 Dates]],Comp3[Comparable '#3 Dates],0)),"-")</f>
        <v>135.97</v>
      </c>
    </row>
    <row r="324" spans="1:11">
      <c r="A324" s="103">
        <v>43753</v>
      </c>
      <c r="B324" s="104">
        <v>13006.04</v>
      </c>
      <c r="C324" s="4">
        <f t="shared" si="5"/>
        <v>8.4796197737348374E-3</v>
      </c>
      <c r="D324" s="1" t="str">
        <f>IF(COUNTIF(Target1[Target Dates],Benchmark2[[#This Row],[Benchmark '#2 Dates]])=1,"Pass","Fail")</f>
        <v>Pass</v>
      </c>
      <c r="E324" s="6">
        <f>IF(Benchmark2[[#This Row],[Target Date Check]]="Pass",INDEX(Target1[Target Price],MATCH(Benchmark2[[#This Row],[Benchmark '#2 Dates]],Target1[Target Dates],0)),"-")</f>
        <v>25.18</v>
      </c>
      <c r="F324" s="1" t="str">
        <f>IF(COUNTIF(Comp1[Comparable '#1 Dates],Benchmark2[[#This Row],[Benchmark '#2 Dates]])=1,"Pass","Fail")</f>
        <v>Pass</v>
      </c>
      <c r="G324" s="6">
        <f>IF(Benchmark2[[#This Row],[Comparable '#1 Date Check]]="Pass",INDEX(Comp1[Comparable '#1 Price],MATCH(Benchmark2[[#This Row],[Benchmark '#2 Dates]],Comp1[Comparable '#1 Dates],0)),"-")</f>
        <v>15.53</v>
      </c>
      <c r="H324" s="1" t="str">
        <f>IF(COUNTIF(Comp2[Comparable '#2 Dates],Benchmark2[[#This Row],[Benchmark '#2 Dates]])=1,"Pass","Fail")</f>
        <v>Pass</v>
      </c>
      <c r="I324" s="6">
        <f>IF(Benchmark2[[#This Row],[Comparable '#2 Date Check]]="Pass",INDEX(Comp2[Comparable '#2 Price],MATCH(Benchmark2[[#This Row],[Benchmark '#2 Dates]],Comp2[Comparable '#2 Dates],0)),"-")</f>
        <v>36.69</v>
      </c>
      <c r="J324" s="1" t="str">
        <f>IF(COUNTIF(Comp3[Comparable '#3 Dates],Benchmark2[[#This Row],[Benchmark '#2 Dates]])=1,"Pass","Fail")</f>
        <v>Pass</v>
      </c>
      <c r="K324" s="6">
        <f>IF(Benchmark2[[#This Row],[Comparable '#3 Date Check]]="Pass",INDEX(Comp3[Comparable '#3 Price],MATCH(Benchmark2[[#This Row],[Benchmark '#2 Dates]],Comp3[Comparable '#3 Dates],0)),"-")</f>
        <v>134.19</v>
      </c>
    </row>
    <row r="325" spans="1:11">
      <c r="A325" s="103">
        <v>43754</v>
      </c>
      <c r="B325" s="104">
        <v>12994.89</v>
      </c>
      <c r="C325" s="4">
        <f t="shared" si="5"/>
        <v>-8.5766168236915317E-4</v>
      </c>
      <c r="D325" s="1" t="str">
        <f>IF(COUNTIF(Target1[Target Dates],Benchmark2[[#This Row],[Benchmark '#2 Dates]])=1,"Pass","Fail")</f>
        <v>Pass</v>
      </c>
      <c r="E325" s="6">
        <f>IF(Benchmark2[[#This Row],[Target Date Check]]="Pass",INDEX(Target1[Target Price],MATCH(Benchmark2[[#This Row],[Benchmark '#2 Dates]],Target1[Target Dates],0)),"-")</f>
        <v>25.07</v>
      </c>
      <c r="F325" s="1" t="str">
        <f>IF(COUNTIF(Comp1[Comparable '#1 Dates],Benchmark2[[#This Row],[Benchmark '#2 Dates]])=1,"Pass","Fail")</f>
        <v>Pass</v>
      </c>
      <c r="G325" s="6">
        <f>IF(Benchmark2[[#This Row],[Comparable '#1 Date Check]]="Pass",INDEX(Comp1[Comparable '#1 Price],MATCH(Benchmark2[[#This Row],[Benchmark '#2 Dates]],Comp1[Comparable '#1 Dates],0)),"-")</f>
        <v>15.59</v>
      </c>
      <c r="H325" s="1" t="str">
        <f>IF(COUNTIF(Comp2[Comparable '#2 Dates],Benchmark2[[#This Row],[Benchmark '#2 Dates]])=1,"Pass","Fail")</f>
        <v>Pass</v>
      </c>
      <c r="I325" s="6">
        <f>IF(Benchmark2[[#This Row],[Comparable '#2 Date Check]]="Pass",INDEX(Comp2[Comparable '#2 Price],MATCH(Benchmark2[[#This Row],[Benchmark '#2 Dates]],Comp2[Comparable '#2 Dates],0)),"-")</f>
        <v>36.5</v>
      </c>
      <c r="J325" s="1" t="str">
        <f>IF(COUNTIF(Comp3[Comparable '#3 Dates],Benchmark2[[#This Row],[Benchmark '#2 Dates]])=1,"Pass","Fail")</f>
        <v>Pass</v>
      </c>
      <c r="K325" s="6">
        <f>IF(Benchmark2[[#This Row],[Comparable '#3 Date Check]]="Pass",INDEX(Comp3[Comparable '#3 Price],MATCH(Benchmark2[[#This Row],[Benchmark '#2 Dates]],Comp3[Comparable '#3 Dates],0)),"-")</f>
        <v>132.31</v>
      </c>
    </row>
    <row r="326" spans="1:11">
      <c r="A326" s="103">
        <v>43755</v>
      </c>
      <c r="B326" s="104">
        <v>13039.23</v>
      </c>
      <c r="C326" s="4">
        <f t="shared" si="5"/>
        <v>3.4063024118114018E-3</v>
      </c>
      <c r="D326" s="1" t="str">
        <f>IF(COUNTIF(Target1[Target Dates],Benchmark2[[#This Row],[Benchmark '#2 Dates]])=1,"Pass","Fail")</f>
        <v>Pass</v>
      </c>
      <c r="E326" s="6">
        <f>IF(Benchmark2[[#This Row],[Target Date Check]]="Pass",INDEX(Target1[Target Price],MATCH(Benchmark2[[#This Row],[Benchmark '#2 Dates]],Target1[Target Dates],0)),"-")</f>
        <v>25.08</v>
      </c>
      <c r="F326" s="1" t="str">
        <f>IF(COUNTIF(Comp1[Comparable '#1 Dates],Benchmark2[[#This Row],[Benchmark '#2 Dates]])=1,"Pass","Fail")</f>
        <v>Pass</v>
      </c>
      <c r="G326" s="6">
        <f>IF(Benchmark2[[#This Row],[Comparable '#1 Date Check]]="Pass",INDEX(Comp1[Comparable '#1 Price],MATCH(Benchmark2[[#This Row],[Benchmark '#2 Dates]],Comp1[Comparable '#1 Dates],0)),"-")</f>
        <v>15.71</v>
      </c>
      <c r="H326" s="1" t="str">
        <f>IF(COUNTIF(Comp2[Comparable '#2 Dates],Benchmark2[[#This Row],[Benchmark '#2 Dates]])=1,"Pass","Fail")</f>
        <v>Pass</v>
      </c>
      <c r="I326" s="6">
        <f>IF(Benchmark2[[#This Row],[Comparable '#2 Date Check]]="Pass",INDEX(Comp2[Comparable '#2 Price],MATCH(Benchmark2[[#This Row],[Benchmark '#2 Dates]],Comp2[Comparable '#2 Dates],0)),"-")</f>
        <v>36.29</v>
      </c>
      <c r="J326" s="1" t="str">
        <f>IF(COUNTIF(Comp3[Comparable '#3 Dates],Benchmark2[[#This Row],[Benchmark '#2 Dates]])=1,"Pass","Fail")</f>
        <v>Pass</v>
      </c>
      <c r="K326" s="6">
        <f>IF(Benchmark2[[#This Row],[Comparable '#3 Date Check]]="Pass",INDEX(Comp3[Comparable '#3 Price],MATCH(Benchmark2[[#This Row],[Benchmark '#2 Dates]],Comp3[Comparable '#3 Dates],0)),"-")</f>
        <v>132.28</v>
      </c>
    </row>
    <row r="327" spans="1:11">
      <c r="A327" s="103">
        <v>43756</v>
      </c>
      <c r="B327" s="104">
        <v>13006.64</v>
      </c>
      <c r="C327" s="4">
        <f t="shared" si="5"/>
        <v>-2.5025093811840136E-3</v>
      </c>
      <c r="D327" s="1" t="str">
        <f>IF(COUNTIF(Target1[Target Dates],Benchmark2[[#This Row],[Benchmark '#2 Dates]])=1,"Pass","Fail")</f>
        <v>Pass</v>
      </c>
      <c r="E327" s="6">
        <f>IF(Benchmark2[[#This Row],[Target Date Check]]="Pass",INDEX(Target1[Target Price],MATCH(Benchmark2[[#This Row],[Benchmark '#2 Dates]],Target1[Target Dates],0)),"-")</f>
        <v>24.75</v>
      </c>
      <c r="F327" s="1" t="str">
        <f>IF(COUNTIF(Comp1[Comparable '#1 Dates],Benchmark2[[#This Row],[Benchmark '#2 Dates]])=1,"Pass","Fail")</f>
        <v>Pass</v>
      </c>
      <c r="G327" s="6">
        <f>IF(Benchmark2[[#This Row],[Comparable '#1 Date Check]]="Pass",INDEX(Comp1[Comparable '#1 Price],MATCH(Benchmark2[[#This Row],[Benchmark '#2 Dates]],Comp1[Comparable '#1 Dates],0)),"-")</f>
        <v>15.55</v>
      </c>
      <c r="H327" s="1" t="str">
        <f>IF(COUNTIF(Comp2[Comparable '#2 Dates],Benchmark2[[#This Row],[Benchmark '#2 Dates]])=1,"Pass","Fail")</f>
        <v>Pass</v>
      </c>
      <c r="I327" s="6">
        <f>IF(Benchmark2[[#This Row],[Comparable '#2 Date Check]]="Pass",INDEX(Comp2[Comparable '#2 Price],MATCH(Benchmark2[[#This Row],[Benchmark '#2 Dates]],Comp2[Comparable '#2 Dates],0)),"-")</f>
        <v>35.85</v>
      </c>
      <c r="J327" s="1" t="str">
        <f>IF(COUNTIF(Comp3[Comparable '#3 Dates],Benchmark2[[#This Row],[Benchmark '#2 Dates]])=1,"Pass","Fail")</f>
        <v>Pass</v>
      </c>
      <c r="K327" s="6">
        <f>IF(Benchmark2[[#This Row],[Comparable '#3 Date Check]]="Pass",INDEX(Comp3[Comparable '#3 Price],MATCH(Benchmark2[[#This Row],[Benchmark '#2 Dates]],Comp3[Comparable '#3 Dates],0)),"-")</f>
        <v>129.84</v>
      </c>
    </row>
    <row r="328" spans="1:11">
      <c r="A328" s="103">
        <v>43759</v>
      </c>
      <c r="B328" s="104">
        <v>13088.61</v>
      </c>
      <c r="C328" s="4">
        <f t="shared" si="5"/>
        <v>6.2823900596512073E-3</v>
      </c>
      <c r="D328" s="1" t="str">
        <f>IF(COUNTIF(Target1[Target Dates],Benchmark2[[#This Row],[Benchmark '#2 Dates]])=1,"Pass","Fail")</f>
        <v>Pass</v>
      </c>
      <c r="E328" s="6">
        <f>IF(Benchmark2[[#This Row],[Target Date Check]]="Pass",INDEX(Target1[Target Price],MATCH(Benchmark2[[#This Row],[Benchmark '#2 Dates]],Target1[Target Dates],0)),"-")</f>
        <v>25.35</v>
      </c>
      <c r="F328" s="1" t="str">
        <f>IF(COUNTIF(Comp1[Comparable '#1 Dates],Benchmark2[[#This Row],[Benchmark '#2 Dates]])=1,"Pass","Fail")</f>
        <v>Pass</v>
      </c>
      <c r="G328" s="6">
        <f>IF(Benchmark2[[#This Row],[Comparable '#1 Date Check]]="Pass",INDEX(Comp1[Comparable '#1 Price],MATCH(Benchmark2[[#This Row],[Benchmark '#2 Dates]],Comp1[Comparable '#1 Dates],0)),"-")</f>
        <v>15.7</v>
      </c>
      <c r="H328" s="1" t="str">
        <f>IF(COUNTIF(Comp2[Comparable '#2 Dates],Benchmark2[[#This Row],[Benchmark '#2 Dates]])=1,"Pass","Fail")</f>
        <v>Pass</v>
      </c>
      <c r="I328" s="6">
        <f>IF(Benchmark2[[#This Row],[Comparable '#2 Date Check]]="Pass",INDEX(Comp2[Comparable '#2 Price],MATCH(Benchmark2[[#This Row],[Benchmark '#2 Dates]],Comp2[Comparable '#2 Dates],0)),"-")</f>
        <v>36.25</v>
      </c>
      <c r="J328" s="1" t="str">
        <f>IF(COUNTIF(Comp3[Comparable '#3 Dates],Benchmark2[[#This Row],[Benchmark '#2 Dates]])=1,"Pass","Fail")</f>
        <v>Pass</v>
      </c>
      <c r="K328" s="6">
        <f>IF(Benchmark2[[#This Row],[Comparable '#3 Date Check]]="Pass",INDEX(Comp3[Comparable '#3 Price],MATCH(Benchmark2[[#This Row],[Benchmark '#2 Dates]],Comp3[Comparable '#3 Dates],0)),"-")</f>
        <v>129.29</v>
      </c>
    </row>
    <row r="329" spans="1:11">
      <c r="A329" s="103">
        <v>43760</v>
      </c>
      <c r="B329" s="104">
        <v>13071.86</v>
      </c>
      <c r="C329" s="4">
        <f t="shared" si="5"/>
        <v>-1.2805582077789796E-3</v>
      </c>
      <c r="D329" s="1" t="str">
        <f>IF(COUNTIF(Target1[Target Dates],Benchmark2[[#This Row],[Benchmark '#2 Dates]])=1,"Pass","Fail")</f>
        <v>Pass</v>
      </c>
      <c r="E329" s="6">
        <f>IF(Benchmark2[[#This Row],[Target Date Check]]="Pass",INDEX(Target1[Target Price],MATCH(Benchmark2[[#This Row],[Benchmark '#2 Dates]],Target1[Target Dates],0)),"-")</f>
        <v>24.86</v>
      </c>
      <c r="F329" s="1" t="str">
        <f>IF(COUNTIF(Comp1[Comparable '#1 Dates],Benchmark2[[#This Row],[Benchmark '#2 Dates]])=1,"Pass","Fail")</f>
        <v>Pass</v>
      </c>
      <c r="G329" s="6">
        <f>IF(Benchmark2[[#This Row],[Comparable '#1 Date Check]]="Pass",INDEX(Comp1[Comparable '#1 Price],MATCH(Benchmark2[[#This Row],[Benchmark '#2 Dates]],Comp1[Comparable '#1 Dates],0)),"-")</f>
        <v>15.505000000000001</v>
      </c>
      <c r="H329" s="1" t="str">
        <f>IF(COUNTIF(Comp2[Comparable '#2 Dates],Benchmark2[[#This Row],[Benchmark '#2 Dates]])=1,"Pass","Fail")</f>
        <v>Pass</v>
      </c>
      <c r="I329" s="6">
        <f>IF(Benchmark2[[#This Row],[Comparable '#2 Date Check]]="Pass",INDEX(Comp2[Comparable '#2 Price],MATCH(Benchmark2[[#This Row],[Benchmark '#2 Dates]],Comp2[Comparable '#2 Dates],0)),"-")</f>
        <v>36.33</v>
      </c>
      <c r="J329" s="1" t="str">
        <f>IF(COUNTIF(Comp3[Comparable '#3 Dates],Benchmark2[[#This Row],[Benchmark '#2 Dates]])=1,"Pass","Fail")</f>
        <v>Pass</v>
      </c>
      <c r="K329" s="6">
        <f>IF(Benchmark2[[#This Row],[Comparable '#3 Date Check]]="Pass",INDEX(Comp3[Comparable '#3 Price],MATCH(Benchmark2[[#This Row],[Benchmark '#2 Dates]],Comp3[Comparable '#3 Dates],0)),"-")</f>
        <v>127.94</v>
      </c>
    </row>
    <row r="330" spans="1:11">
      <c r="A330" s="103">
        <v>43761</v>
      </c>
      <c r="B330" s="104">
        <v>13114.39</v>
      </c>
      <c r="C330" s="4">
        <f t="shared" si="5"/>
        <v>3.2482724632557978E-3</v>
      </c>
      <c r="D330" s="1" t="str">
        <f>IF(COUNTIF(Target1[Target Dates],Benchmark2[[#This Row],[Benchmark '#2 Dates]])=1,"Pass","Fail")</f>
        <v>Pass</v>
      </c>
      <c r="E330" s="6">
        <f>IF(Benchmark2[[#This Row],[Target Date Check]]="Pass",INDEX(Target1[Target Price],MATCH(Benchmark2[[#This Row],[Benchmark '#2 Dates]],Target1[Target Dates],0)),"-")</f>
        <v>21.09</v>
      </c>
      <c r="F330" s="1" t="str">
        <f>IF(COUNTIF(Comp1[Comparable '#1 Dates],Benchmark2[[#This Row],[Benchmark '#2 Dates]])=1,"Pass","Fail")</f>
        <v>Pass</v>
      </c>
      <c r="G330" s="6">
        <f>IF(Benchmark2[[#This Row],[Comparable '#1 Date Check]]="Pass",INDEX(Comp1[Comparable '#1 Price],MATCH(Benchmark2[[#This Row],[Benchmark '#2 Dates]],Comp1[Comparable '#1 Dates],0)),"-")</f>
        <v>15.88</v>
      </c>
      <c r="H330" s="1" t="str">
        <f>IF(COUNTIF(Comp2[Comparable '#2 Dates],Benchmark2[[#This Row],[Benchmark '#2 Dates]])=1,"Pass","Fail")</f>
        <v>Pass</v>
      </c>
      <c r="I330" s="6">
        <f>IF(Benchmark2[[#This Row],[Comparable '#2 Date Check]]="Pass",INDEX(Comp2[Comparable '#2 Price],MATCH(Benchmark2[[#This Row],[Benchmark '#2 Dates]],Comp2[Comparable '#2 Dates],0)),"-")</f>
        <v>36.47</v>
      </c>
      <c r="J330" s="1" t="str">
        <f>IF(COUNTIF(Comp3[Comparable '#3 Dates],Benchmark2[[#This Row],[Benchmark '#2 Dates]])=1,"Pass","Fail")</f>
        <v>Pass</v>
      </c>
      <c r="K330" s="6">
        <f>IF(Benchmark2[[#This Row],[Comparable '#3 Date Check]]="Pass",INDEX(Comp3[Comparable '#3 Price],MATCH(Benchmark2[[#This Row],[Benchmark '#2 Dates]],Comp3[Comparable '#3 Dates],0)),"-")</f>
        <v>126.01</v>
      </c>
    </row>
    <row r="331" spans="1:11">
      <c r="A331" s="103">
        <v>43762</v>
      </c>
      <c r="B331" s="104">
        <v>13118.91</v>
      </c>
      <c r="C331" s="4">
        <f t="shared" si="5"/>
        <v>3.4460018714615575E-4</v>
      </c>
      <c r="D331" s="1" t="str">
        <f>IF(COUNTIF(Target1[Target Dates],Benchmark2[[#This Row],[Benchmark '#2 Dates]])=1,"Pass","Fail")</f>
        <v>Pass</v>
      </c>
      <c r="E331" s="6">
        <f>IF(Benchmark2[[#This Row],[Target Date Check]]="Pass",INDEX(Target1[Target Price],MATCH(Benchmark2[[#This Row],[Benchmark '#2 Dates]],Target1[Target Dates],0)),"-")</f>
        <v>20.059999999999999</v>
      </c>
      <c r="F331" s="1" t="str">
        <f>IF(COUNTIF(Comp1[Comparable '#1 Dates],Benchmark2[[#This Row],[Benchmark '#2 Dates]])=1,"Pass","Fail")</f>
        <v>Pass</v>
      </c>
      <c r="G331" s="6">
        <f>IF(Benchmark2[[#This Row],[Comparable '#1 Date Check]]="Pass",INDEX(Comp1[Comparable '#1 Price],MATCH(Benchmark2[[#This Row],[Benchmark '#2 Dates]],Comp1[Comparable '#1 Dates],0)),"-")</f>
        <v>15.65</v>
      </c>
      <c r="H331" s="1" t="str">
        <f>IF(COUNTIF(Comp2[Comparable '#2 Dates],Benchmark2[[#This Row],[Benchmark '#2 Dates]])=1,"Pass","Fail")</f>
        <v>Pass</v>
      </c>
      <c r="I331" s="6">
        <f>IF(Benchmark2[[#This Row],[Comparable '#2 Date Check]]="Pass",INDEX(Comp2[Comparable '#2 Price],MATCH(Benchmark2[[#This Row],[Benchmark '#2 Dates]],Comp2[Comparable '#2 Dates],0)),"-")</f>
        <v>36.130000000000003</v>
      </c>
      <c r="J331" s="1" t="str">
        <f>IF(COUNTIF(Comp3[Comparable '#3 Dates],Benchmark2[[#This Row],[Benchmark '#2 Dates]])=1,"Pass","Fail")</f>
        <v>Pass</v>
      </c>
      <c r="K331" s="6">
        <f>IF(Benchmark2[[#This Row],[Comparable '#3 Date Check]]="Pass",INDEX(Comp3[Comparable '#3 Price],MATCH(Benchmark2[[#This Row],[Benchmark '#2 Dates]],Comp3[Comparable '#3 Dates],0)),"-")</f>
        <v>128.82</v>
      </c>
    </row>
    <row r="332" spans="1:11">
      <c r="A332" s="103">
        <v>43763</v>
      </c>
      <c r="B332" s="104">
        <v>13146.24</v>
      </c>
      <c r="C332" s="4">
        <f t="shared" si="5"/>
        <v>2.0810853822394067E-3</v>
      </c>
      <c r="D332" s="1" t="str">
        <f>IF(COUNTIF(Target1[Target Dates],Benchmark2[[#This Row],[Benchmark '#2 Dates]])=1,"Pass","Fail")</f>
        <v>Pass</v>
      </c>
      <c r="E332" s="6">
        <f>IF(Benchmark2[[#This Row],[Target Date Check]]="Pass",INDEX(Target1[Target Price],MATCH(Benchmark2[[#This Row],[Benchmark '#2 Dates]],Target1[Target Dates],0)),"-")</f>
        <v>21.48</v>
      </c>
      <c r="F332" s="1" t="str">
        <f>IF(COUNTIF(Comp1[Comparable '#1 Dates],Benchmark2[[#This Row],[Benchmark '#2 Dates]])=1,"Pass","Fail")</f>
        <v>Pass</v>
      </c>
      <c r="G332" s="6">
        <f>IF(Benchmark2[[#This Row],[Comparable '#1 Date Check]]="Pass",INDEX(Comp1[Comparable '#1 Price],MATCH(Benchmark2[[#This Row],[Benchmark '#2 Dates]],Comp1[Comparable '#1 Dates],0)),"-")</f>
        <v>15.78</v>
      </c>
      <c r="H332" s="1" t="str">
        <f>IF(COUNTIF(Comp2[Comparable '#2 Dates],Benchmark2[[#This Row],[Benchmark '#2 Dates]])=1,"Pass","Fail")</f>
        <v>Pass</v>
      </c>
      <c r="I332" s="6">
        <f>IF(Benchmark2[[#This Row],[Comparable '#2 Date Check]]="Pass",INDEX(Comp2[Comparable '#2 Price],MATCH(Benchmark2[[#This Row],[Benchmark '#2 Dates]],Comp2[Comparable '#2 Dates],0)),"-")</f>
        <v>36.47</v>
      </c>
      <c r="J332" s="1" t="str">
        <f>IF(COUNTIF(Comp3[Comparable '#3 Dates],Benchmark2[[#This Row],[Benchmark '#2 Dates]])=1,"Pass","Fail")</f>
        <v>Pass</v>
      </c>
      <c r="K332" s="6">
        <f>IF(Benchmark2[[#This Row],[Comparable '#3 Date Check]]="Pass",INDEX(Comp3[Comparable '#3 Price],MATCH(Benchmark2[[#This Row],[Benchmark '#2 Dates]],Comp3[Comparable '#3 Dates],0)),"-")</f>
        <v>131.22</v>
      </c>
    </row>
    <row r="333" spans="1:11">
      <c r="A333" s="103">
        <v>43766</v>
      </c>
      <c r="B333" s="104">
        <v>13186.43</v>
      </c>
      <c r="C333" s="4">
        <f t="shared" si="5"/>
        <v>3.0524843250907333E-3</v>
      </c>
      <c r="D333" s="1" t="str">
        <f>IF(COUNTIF(Target1[Target Dates],Benchmark2[[#This Row],[Benchmark '#2 Dates]])=1,"Pass","Fail")</f>
        <v>Pass</v>
      </c>
      <c r="E333" s="6">
        <f>IF(Benchmark2[[#This Row],[Target Date Check]]="Pass",INDEX(Target1[Target Price],MATCH(Benchmark2[[#This Row],[Benchmark '#2 Dates]],Target1[Target Dates],0)),"-")</f>
        <v>21.2</v>
      </c>
      <c r="F333" s="1" t="str">
        <f>IF(COUNTIF(Comp1[Comparable '#1 Dates],Benchmark2[[#This Row],[Benchmark '#2 Dates]])=1,"Pass","Fail")</f>
        <v>Pass</v>
      </c>
      <c r="G333" s="6">
        <f>IF(Benchmark2[[#This Row],[Comparable '#1 Date Check]]="Pass",INDEX(Comp1[Comparable '#1 Price],MATCH(Benchmark2[[#This Row],[Benchmark '#2 Dates]],Comp1[Comparable '#1 Dates],0)),"-")</f>
        <v>15.79</v>
      </c>
      <c r="H333" s="1" t="str">
        <f>IF(COUNTIF(Comp2[Comparable '#2 Dates],Benchmark2[[#This Row],[Benchmark '#2 Dates]])=1,"Pass","Fail")</f>
        <v>Pass</v>
      </c>
      <c r="I333" s="6">
        <f>IF(Benchmark2[[#This Row],[Comparable '#2 Date Check]]="Pass",INDEX(Comp2[Comparable '#2 Price],MATCH(Benchmark2[[#This Row],[Benchmark '#2 Dates]],Comp2[Comparable '#2 Dates],0)),"-")</f>
        <v>36.75</v>
      </c>
      <c r="J333" s="1" t="str">
        <f>IF(COUNTIF(Comp3[Comparable '#3 Dates],Benchmark2[[#This Row],[Benchmark '#2 Dates]])=1,"Pass","Fail")</f>
        <v>Pass</v>
      </c>
      <c r="K333" s="6">
        <f>IF(Benchmark2[[#This Row],[Comparable '#3 Date Check]]="Pass",INDEX(Comp3[Comparable '#3 Price],MATCH(Benchmark2[[#This Row],[Benchmark '#2 Dates]],Comp3[Comparable '#3 Dates],0)),"-")</f>
        <v>128.66999999999999</v>
      </c>
    </row>
    <row r="334" spans="1:11">
      <c r="A334" s="103">
        <v>43767</v>
      </c>
      <c r="B334" s="104">
        <v>13209.63</v>
      </c>
      <c r="C334" s="4">
        <f t="shared" si="5"/>
        <v>1.757838554238034E-3</v>
      </c>
      <c r="D334" s="1" t="str">
        <f>IF(COUNTIF(Target1[Target Dates],Benchmark2[[#This Row],[Benchmark '#2 Dates]])=1,"Pass","Fail")</f>
        <v>Pass</v>
      </c>
      <c r="E334" s="6">
        <f>IF(Benchmark2[[#This Row],[Target Date Check]]="Pass",INDEX(Target1[Target Price],MATCH(Benchmark2[[#This Row],[Benchmark '#2 Dates]],Target1[Target Dates],0)),"-")</f>
        <v>20.85</v>
      </c>
      <c r="F334" s="1" t="str">
        <f>IF(COUNTIF(Comp1[Comparable '#1 Dates],Benchmark2[[#This Row],[Benchmark '#2 Dates]])=1,"Pass","Fail")</f>
        <v>Pass</v>
      </c>
      <c r="G334" s="6">
        <f>IF(Benchmark2[[#This Row],[Comparable '#1 Date Check]]="Pass",INDEX(Comp1[Comparable '#1 Price],MATCH(Benchmark2[[#This Row],[Benchmark '#2 Dates]],Comp1[Comparable '#1 Dates],0)),"-")</f>
        <v>15.88</v>
      </c>
      <c r="H334" s="1" t="str">
        <f>IF(COUNTIF(Comp2[Comparable '#2 Dates],Benchmark2[[#This Row],[Benchmark '#2 Dates]])=1,"Pass","Fail")</f>
        <v>Pass</v>
      </c>
      <c r="I334" s="6">
        <f>IF(Benchmark2[[#This Row],[Comparable '#2 Date Check]]="Pass",INDEX(Comp2[Comparable '#2 Price],MATCH(Benchmark2[[#This Row],[Benchmark '#2 Dates]],Comp2[Comparable '#2 Dates],0)),"-")</f>
        <v>36.54</v>
      </c>
      <c r="J334" s="1" t="str">
        <f>IF(COUNTIF(Comp3[Comparable '#3 Dates],Benchmark2[[#This Row],[Benchmark '#2 Dates]])=1,"Pass","Fail")</f>
        <v>Pass</v>
      </c>
      <c r="K334" s="6">
        <f>IF(Benchmark2[[#This Row],[Comparable '#3 Date Check]]="Pass",INDEX(Comp3[Comparable '#3 Price],MATCH(Benchmark2[[#This Row],[Benchmark '#2 Dates]],Comp3[Comparable '#3 Dates],0)),"-")</f>
        <v>128.63</v>
      </c>
    </row>
    <row r="335" spans="1:11">
      <c r="A335" s="103">
        <v>43768</v>
      </c>
      <c r="B335" s="104">
        <v>13244.01</v>
      </c>
      <c r="C335" s="4">
        <f t="shared" si="5"/>
        <v>2.5992656856645398E-3</v>
      </c>
      <c r="D335" s="1" t="str">
        <f>IF(COUNTIF(Target1[Target Dates],Benchmark2[[#This Row],[Benchmark '#2 Dates]])=1,"Pass","Fail")</f>
        <v>Pass</v>
      </c>
      <c r="E335" s="6">
        <f>IF(Benchmark2[[#This Row],[Target Date Check]]="Pass",INDEX(Target1[Target Price],MATCH(Benchmark2[[#This Row],[Benchmark '#2 Dates]],Target1[Target Dates],0)),"-")</f>
        <v>20.149999999999999</v>
      </c>
      <c r="F335" s="1" t="str">
        <f>IF(COUNTIF(Comp1[Comparable '#1 Dates],Benchmark2[[#This Row],[Benchmark '#2 Dates]])=1,"Pass","Fail")</f>
        <v>Pass</v>
      </c>
      <c r="G335" s="6">
        <f>IF(Benchmark2[[#This Row],[Comparable '#1 Date Check]]="Pass",INDEX(Comp1[Comparable '#1 Price],MATCH(Benchmark2[[#This Row],[Benchmark '#2 Dates]],Comp1[Comparable '#1 Dates],0)),"-")</f>
        <v>15.5</v>
      </c>
      <c r="H335" s="1" t="str">
        <f>IF(COUNTIF(Comp2[Comparable '#2 Dates],Benchmark2[[#This Row],[Benchmark '#2 Dates]])=1,"Pass","Fail")</f>
        <v>Pass</v>
      </c>
      <c r="I335" s="6">
        <f>IF(Benchmark2[[#This Row],[Comparable '#2 Date Check]]="Pass",INDEX(Comp2[Comparable '#2 Price],MATCH(Benchmark2[[#This Row],[Benchmark '#2 Dates]],Comp2[Comparable '#2 Dates],0)),"-")</f>
        <v>29.7</v>
      </c>
      <c r="J335" s="1" t="str">
        <f>IF(COUNTIF(Comp3[Comparable '#3 Dates],Benchmark2[[#This Row],[Benchmark '#2 Dates]])=1,"Pass","Fail")</f>
        <v>Pass</v>
      </c>
      <c r="K335" s="6">
        <f>IF(Benchmark2[[#This Row],[Comparable '#3 Date Check]]="Pass",INDEX(Comp3[Comparable '#3 Price],MATCH(Benchmark2[[#This Row],[Benchmark '#2 Dates]],Comp3[Comparable '#3 Dates],0)),"-")</f>
        <v>127.11</v>
      </c>
    </row>
    <row r="336" spans="1:11">
      <c r="A336" s="103">
        <v>43769</v>
      </c>
      <c r="B336" s="104">
        <v>13171.8</v>
      </c>
      <c r="C336" s="4">
        <f t="shared" si="5"/>
        <v>-5.4671940678143807E-3</v>
      </c>
      <c r="D336" s="1" t="str">
        <f>IF(COUNTIF(Target1[Target Dates],Benchmark2[[#This Row],[Benchmark '#2 Dates]])=1,"Pass","Fail")</f>
        <v>Pass</v>
      </c>
      <c r="E336" s="6">
        <f>IF(Benchmark2[[#This Row],[Target Date Check]]="Pass",INDEX(Target1[Target Price],MATCH(Benchmark2[[#This Row],[Benchmark '#2 Dates]],Target1[Target Dates],0)),"-")</f>
        <v>19.79</v>
      </c>
      <c r="F336" s="1" t="str">
        <f>IF(COUNTIF(Comp1[Comparable '#1 Dates],Benchmark2[[#This Row],[Benchmark '#2 Dates]])=1,"Pass","Fail")</f>
        <v>Pass</v>
      </c>
      <c r="G336" s="6">
        <f>IF(Benchmark2[[#This Row],[Comparable '#1 Date Check]]="Pass",INDEX(Comp1[Comparable '#1 Price],MATCH(Benchmark2[[#This Row],[Benchmark '#2 Dates]],Comp1[Comparable '#1 Dates],0)),"-")</f>
        <v>15.455</v>
      </c>
      <c r="H336" s="1" t="str">
        <f>IF(COUNTIF(Comp2[Comparable '#2 Dates],Benchmark2[[#This Row],[Benchmark '#2 Dates]])=1,"Pass","Fail")</f>
        <v>Pass</v>
      </c>
      <c r="I336" s="6">
        <f>IF(Benchmark2[[#This Row],[Comparable '#2 Date Check]]="Pass",INDEX(Comp2[Comparable '#2 Price],MATCH(Benchmark2[[#This Row],[Benchmark '#2 Dates]],Comp2[Comparable '#2 Dates],0)),"-")</f>
        <v>29.78</v>
      </c>
      <c r="J336" s="1" t="str">
        <f>IF(COUNTIF(Comp3[Comparable '#3 Dates],Benchmark2[[#This Row],[Benchmark '#2 Dates]])=1,"Pass","Fail")</f>
        <v>Pass</v>
      </c>
      <c r="K336" s="6">
        <f>IF(Benchmark2[[#This Row],[Comparable '#3 Date Check]]="Pass",INDEX(Comp3[Comparable '#3 Price],MATCH(Benchmark2[[#This Row],[Benchmark '#2 Dates]],Comp3[Comparable '#3 Dates],0)),"-")</f>
        <v>123.03</v>
      </c>
    </row>
    <row r="337" spans="1:11">
      <c r="A337" s="103">
        <v>43770</v>
      </c>
      <c r="B337" s="104">
        <v>13300.27</v>
      </c>
      <c r="C337" s="4">
        <f t="shared" si="5"/>
        <v>9.7061550977353313E-3</v>
      </c>
      <c r="D337" s="1" t="str">
        <f>IF(COUNTIF(Target1[Target Dates],Benchmark2[[#This Row],[Benchmark '#2 Dates]])=1,"Pass","Fail")</f>
        <v>Pass</v>
      </c>
      <c r="E337" s="6">
        <f>IF(Benchmark2[[#This Row],[Target Date Check]]="Pass",INDEX(Target1[Target Price],MATCH(Benchmark2[[#This Row],[Benchmark '#2 Dates]],Target1[Target Dates],0)),"-")</f>
        <v>19.850000000000001</v>
      </c>
      <c r="F337" s="1" t="str">
        <f>IF(COUNTIF(Comp1[Comparable '#1 Dates],Benchmark2[[#This Row],[Benchmark '#2 Dates]])=1,"Pass","Fail")</f>
        <v>Pass</v>
      </c>
      <c r="G337" s="6">
        <f>IF(Benchmark2[[#This Row],[Comparable '#1 Date Check]]="Pass",INDEX(Comp1[Comparable '#1 Price],MATCH(Benchmark2[[#This Row],[Benchmark '#2 Dates]],Comp1[Comparable '#1 Dates],0)),"-")</f>
        <v>15.6</v>
      </c>
      <c r="H337" s="1" t="str">
        <f>IF(COUNTIF(Comp2[Comparable '#2 Dates],Benchmark2[[#This Row],[Benchmark '#2 Dates]])=1,"Pass","Fail")</f>
        <v>Pass</v>
      </c>
      <c r="I337" s="6">
        <f>IF(Benchmark2[[#This Row],[Comparable '#2 Date Check]]="Pass",INDEX(Comp2[Comparable '#2 Price],MATCH(Benchmark2[[#This Row],[Benchmark '#2 Dates]],Comp2[Comparable '#2 Dates],0)),"-")</f>
        <v>30.56</v>
      </c>
      <c r="J337" s="1" t="str">
        <f>IF(COUNTIF(Comp3[Comparable '#3 Dates],Benchmark2[[#This Row],[Benchmark '#2 Dates]])=1,"Pass","Fail")</f>
        <v>Pass</v>
      </c>
      <c r="K337" s="6">
        <f>IF(Benchmark2[[#This Row],[Comparable '#3 Date Check]]="Pass",INDEX(Comp3[Comparable '#3 Price],MATCH(Benchmark2[[#This Row],[Benchmark '#2 Dates]],Comp3[Comparable '#3 Dates],0)),"-")</f>
        <v>123.52</v>
      </c>
    </row>
    <row r="338" spans="1:11">
      <c r="A338" s="103">
        <v>43773</v>
      </c>
      <c r="B338" s="104">
        <v>13355.44</v>
      </c>
      <c r="C338" s="4">
        <f t="shared" si="5"/>
        <v>4.139456707670363E-3</v>
      </c>
      <c r="D338" s="1" t="str">
        <f>IF(COUNTIF(Target1[Target Dates],Benchmark2[[#This Row],[Benchmark '#2 Dates]])=1,"Pass","Fail")</f>
        <v>Pass</v>
      </c>
      <c r="E338" s="6">
        <f>IF(Benchmark2[[#This Row],[Target Date Check]]="Pass",INDEX(Target1[Target Price],MATCH(Benchmark2[[#This Row],[Benchmark '#2 Dates]],Target1[Target Dates],0)),"-")</f>
        <v>19.97</v>
      </c>
      <c r="F338" s="1" t="str">
        <f>IF(COUNTIF(Comp1[Comparable '#1 Dates],Benchmark2[[#This Row],[Benchmark '#2 Dates]])=1,"Pass","Fail")</f>
        <v>Pass</v>
      </c>
      <c r="G338" s="6">
        <f>IF(Benchmark2[[#This Row],[Comparable '#1 Date Check]]="Pass",INDEX(Comp1[Comparable '#1 Price],MATCH(Benchmark2[[#This Row],[Benchmark '#2 Dates]],Comp1[Comparable '#1 Dates],0)),"-")</f>
        <v>15.95</v>
      </c>
      <c r="H338" s="1" t="str">
        <f>IF(COUNTIF(Comp2[Comparable '#2 Dates],Benchmark2[[#This Row],[Benchmark '#2 Dates]])=1,"Pass","Fail")</f>
        <v>Pass</v>
      </c>
      <c r="I338" s="6">
        <f>IF(Benchmark2[[#This Row],[Comparable '#2 Date Check]]="Pass",INDEX(Comp2[Comparable '#2 Price],MATCH(Benchmark2[[#This Row],[Benchmark '#2 Dates]],Comp2[Comparable '#2 Dates],0)),"-")</f>
        <v>30.82</v>
      </c>
      <c r="J338" s="1" t="str">
        <f>IF(COUNTIF(Comp3[Comparable '#3 Dates],Benchmark2[[#This Row],[Benchmark '#2 Dates]])=1,"Pass","Fail")</f>
        <v>Pass</v>
      </c>
      <c r="K338" s="6">
        <f>IF(Benchmark2[[#This Row],[Comparable '#3 Date Check]]="Pass",INDEX(Comp3[Comparable '#3 Price],MATCH(Benchmark2[[#This Row],[Benchmark '#2 Dates]],Comp3[Comparable '#3 Dates],0)),"-")</f>
        <v>122.95</v>
      </c>
    </row>
    <row r="339" spans="1:11">
      <c r="A339" s="103">
        <v>43774</v>
      </c>
      <c r="B339" s="104">
        <v>13339.59</v>
      </c>
      <c r="C339" s="4">
        <f t="shared" si="5"/>
        <v>-1.1874870987251874E-3</v>
      </c>
      <c r="D339" s="1" t="str">
        <f>IF(COUNTIF(Target1[Target Dates],Benchmark2[[#This Row],[Benchmark '#2 Dates]])=1,"Pass","Fail")</f>
        <v>Pass</v>
      </c>
      <c r="E339" s="6">
        <f>IF(Benchmark2[[#This Row],[Target Date Check]]="Pass",INDEX(Target1[Target Price],MATCH(Benchmark2[[#This Row],[Benchmark '#2 Dates]],Target1[Target Dates],0)),"-")</f>
        <v>20.12</v>
      </c>
      <c r="F339" s="1" t="str">
        <f>IF(COUNTIF(Comp1[Comparable '#1 Dates],Benchmark2[[#This Row],[Benchmark '#2 Dates]])=1,"Pass","Fail")</f>
        <v>Pass</v>
      </c>
      <c r="G339" s="6">
        <f>IF(Benchmark2[[#This Row],[Comparable '#1 Date Check]]="Pass",INDEX(Comp1[Comparable '#1 Price],MATCH(Benchmark2[[#This Row],[Benchmark '#2 Dates]],Comp1[Comparable '#1 Dates],0)),"-")</f>
        <v>15.9</v>
      </c>
      <c r="H339" s="1" t="str">
        <f>IF(COUNTIF(Comp2[Comparable '#2 Dates],Benchmark2[[#This Row],[Benchmark '#2 Dates]])=1,"Pass","Fail")</f>
        <v>Pass</v>
      </c>
      <c r="I339" s="6">
        <f>IF(Benchmark2[[#This Row],[Comparable '#2 Date Check]]="Pass",INDEX(Comp2[Comparable '#2 Price],MATCH(Benchmark2[[#This Row],[Benchmark '#2 Dates]],Comp2[Comparable '#2 Dates],0)),"-")</f>
        <v>31.35</v>
      </c>
      <c r="J339" s="1" t="str">
        <f>IF(COUNTIF(Comp3[Comparable '#3 Dates],Benchmark2[[#This Row],[Benchmark '#2 Dates]])=1,"Pass","Fail")</f>
        <v>Pass</v>
      </c>
      <c r="K339" s="6">
        <f>IF(Benchmark2[[#This Row],[Comparable '#3 Date Check]]="Pass",INDEX(Comp3[Comparable '#3 Price],MATCH(Benchmark2[[#This Row],[Benchmark '#2 Dates]],Comp3[Comparable '#3 Dates],0)),"-")</f>
        <v>123.39</v>
      </c>
    </row>
    <row r="340" spans="1:11">
      <c r="A340" s="103">
        <v>43775</v>
      </c>
      <c r="B340" s="104">
        <v>13351.57</v>
      </c>
      <c r="C340" s="4">
        <f t="shared" si="5"/>
        <v>8.9767554534749276E-4</v>
      </c>
      <c r="D340" s="1" t="str">
        <f>IF(COUNTIF(Target1[Target Dates],Benchmark2[[#This Row],[Benchmark '#2 Dates]])=1,"Pass","Fail")</f>
        <v>Pass</v>
      </c>
      <c r="E340" s="6">
        <f>IF(Benchmark2[[#This Row],[Target Date Check]]="Pass",INDEX(Target1[Target Price],MATCH(Benchmark2[[#This Row],[Benchmark '#2 Dates]],Target1[Target Dates],0)),"-")</f>
        <v>20.11</v>
      </c>
      <c r="F340" s="1" t="str">
        <f>IF(COUNTIF(Comp1[Comparable '#1 Dates],Benchmark2[[#This Row],[Benchmark '#2 Dates]])=1,"Pass","Fail")</f>
        <v>Pass</v>
      </c>
      <c r="G340" s="6">
        <f>IF(Benchmark2[[#This Row],[Comparable '#1 Date Check]]="Pass",INDEX(Comp1[Comparable '#1 Price],MATCH(Benchmark2[[#This Row],[Benchmark '#2 Dates]],Comp1[Comparable '#1 Dates],0)),"-")</f>
        <v>16.21</v>
      </c>
      <c r="H340" s="1" t="str">
        <f>IF(COUNTIF(Comp2[Comparable '#2 Dates],Benchmark2[[#This Row],[Benchmark '#2 Dates]])=1,"Pass","Fail")</f>
        <v>Pass</v>
      </c>
      <c r="I340" s="6">
        <f>IF(Benchmark2[[#This Row],[Comparable '#2 Date Check]]="Pass",INDEX(Comp2[Comparable '#2 Price],MATCH(Benchmark2[[#This Row],[Benchmark '#2 Dates]],Comp2[Comparable '#2 Dates],0)),"-")</f>
        <v>31.74</v>
      </c>
      <c r="J340" s="1" t="str">
        <f>IF(COUNTIF(Comp3[Comparable '#3 Dates],Benchmark2[[#This Row],[Benchmark '#2 Dates]])=1,"Pass","Fail")</f>
        <v>Pass</v>
      </c>
      <c r="K340" s="6">
        <f>IF(Benchmark2[[#This Row],[Comparable '#3 Date Check]]="Pass",INDEX(Comp3[Comparable '#3 Price],MATCH(Benchmark2[[#This Row],[Benchmark '#2 Dates]],Comp3[Comparable '#3 Dates],0)),"-")</f>
        <v>122.09</v>
      </c>
    </row>
    <row r="341" spans="1:11">
      <c r="A341" s="103">
        <v>43776</v>
      </c>
      <c r="B341" s="104">
        <v>13395.55</v>
      </c>
      <c r="C341" s="4">
        <f t="shared" si="5"/>
        <v>3.2885813228573984E-3</v>
      </c>
      <c r="D341" s="1" t="str">
        <f>IF(COUNTIF(Target1[Target Dates],Benchmark2[[#This Row],[Benchmark '#2 Dates]])=1,"Pass","Fail")</f>
        <v>Pass</v>
      </c>
      <c r="E341" s="6">
        <f>IF(Benchmark2[[#This Row],[Target Date Check]]="Pass",INDEX(Target1[Target Price],MATCH(Benchmark2[[#This Row],[Benchmark '#2 Dates]],Target1[Target Dates],0)),"-")</f>
        <v>19.8</v>
      </c>
      <c r="F341" s="1" t="str">
        <f>IF(COUNTIF(Comp1[Comparable '#1 Dates],Benchmark2[[#This Row],[Benchmark '#2 Dates]])=1,"Pass","Fail")</f>
        <v>Pass</v>
      </c>
      <c r="G341" s="6">
        <f>IF(Benchmark2[[#This Row],[Comparable '#1 Date Check]]="Pass",INDEX(Comp1[Comparable '#1 Price],MATCH(Benchmark2[[#This Row],[Benchmark '#2 Dates]],Comp1[Comparable '#1 Dates],0)),"-")</f>
        <v>16.850000000000001</v>
      </c>
      <c r="H341" s="1" t="str">
        <f>IF(COUNTIF(Comp2[Comparable '#2 Dates],Benchmark2[[#This Row],[Benchmark '#2 Dates]])=1,"Pass","Fail")</f>
        <v>Pass</v>
      </c>
      <c r="I341" s="6">
        <f>IF(Benchmark2[[#This Row],[Comparable '#2 Date Check]]="Pass",INDEX(Comp2[Comparable '#2 Price],MATCH(Benchmark2[[#This Row],[Benchmark '#2 Dates]],Comp2[Comparable '#2 Dates],0)),"-")</f>
        <v>31.82</v>
      </c>
      <c r="J341" s="1" t="str">
        <f>IF(COUNTIF(Comp3[Comparable '#3 Dates],Benchmark2[[#This Row],[Benchmark '#2 Dates]])=1,"Pass","Fail")</f>
        <v>Pass</v>
      </c>
      <c r="K341" s="6">
        <f>IF(Benchmark2[[#This Row],[Comparable '#3 Date Check]]="Pass",INDEX(Comp3[Comparable '#3 Price],MATCH(Benchmark2[[#This Row],[Benchmark '#2 Dates]],Comp3[Comparable '#3 Dates],0)),"-")</f>
        <v>132.12</v>
      </c>
    </row>
    <row r="342" spans="1:11">
      <c r="A342" s="103">
        <v>43777</v>
      </c>
      <c r="B342" s="104">
        <v>13407.8</v>
      </c>
      <c r="C342" s="4">
        <f t="shared" si="5"/>
        <v>9.1406491001471931E-4</v>
      </c>
      <c r="D342" s="1" t="str">
        <f>IF(COUNTIF(Target1[Target Dates],Benchmark2[[#This Row],[Benchmark '#2 Dates]])=1,"Pass","Fail")</f>
        <v>Pass</v>
      </c>
      <c r="E342" s="6">
        <f>IF(Benchmark2[[#This Row],[Target Date Check]]="Pass",INDEX(Target1[Target Price],MATCH(Benchmark2[[#This Row],[Benchmark '#2 Dates]],Target1[Target Dates],0)),"-")</f>
        <v>19.850000000000001</v>
      </c>
      <c r="F342" s="1" t="str">
        <f>IF(COUNTIF(Comp1[Comparable '#1 Dates],Benchmark2[[#This Row],[Benchmark '#2 Dates]])=1,"Pass","Fail")</f>
        <v>Pass</v>
      </c>
      <c r="G342" s="6">
        <f>IF(Benchmark2[[#This Row],[Comparable '#1 Date Check]]="Pass",INDEX(Comp1[Comparable '#1 Price],MATCH(Benchmark2[[#This Row],[Benchmark '#2 Dates]],Comp1[Comparable '#1 Dates],0)),"-")</f>
        <v>16.670000000000002</v>
      </c>
      <c r="H342" s="1" t="str">
        <f>IF(COUNTIF(Comp2[Comparable '#2 Dates],Benchmark2[[#This Row],[Benchmark '#2 Dates]])=1,"Pass","Fail")</f>
        <v>Pass</v>
      </c>
      <c r="I342" s="6">
        <f>IF(Benchmark2[[#This Row],[Comparable '#2 Date Check]]="Pass",INDEX(Comp2[Comparable '#2 Price],MATCH(Benchmark2[[#This Row],[Benchmark '#2 Dates]],Comp2[Comparable '#2 Dates],0)),"-")</f>
        <v>31.78</v>
      </c>
      <c r="J342" s="1" t="str">
        <f>IF(COUNTIF(Comp3[Comparable '#3 Dates],Benchmark2[[#This Row],[Benchmark '#2 Dates]])=1,"Pass","Fail")</f>
        <v>Pass</v>
      </c>
      <c r="K342" s="6">
        <f>IF(Benchmark2[[#This Row],[Comparable '#3 Date Check]]="Pass",INDEX(Comp3[Comparable '#3 Price],MATCH(Benchmark2[[#This Row],[Benchmark '#2 Dates]],Comp3[Comparable '#3 Dates],0)),"-")</f>
        <v>133.88</v>
      </c>
    </row>
    <row r="343" spans="1:11">
      <c r="A343" s="103">
        <v>43780</v>
      </c>
      <c r="B343" s="104">
        <v>13388.12</v>
      </c>
      <c r="C343" s="4">
        <f t="shared" si="5"/>
        <v>-1.4688806011123265E-3</v>
      </c>
      <c r="D343" s="1" t="str">
        <f>IF(COUNTIF(Target1[Target Dates],Benchmark2[[#This Row],[Benchmark '#2 Dates]])=1,"Pass","Fail")</f>
        <v>Pass</v>
      </c>
      <c r="E343" s="6">
        <f>IF(Benchmark2[[#This Row],[Target Date Check]]="Pass",INDEX(Target1[Target Price],MATCH(Benchmark2[[#This Row],[Benchmark '#2 Dates]],Target1[Target Dates],0)),"-")</f>
        <v>19.91</v>
      </c>
      <c r="F343" s="1" t="str">
        <f>IF(COUNTIF(Comp1[Comparable '#1 Dates],Benchmark2[[#This Row],[Benchmark '#2 Dates]])=1,"Pass","Fail")</f>
        <v>Pass</v>
      </c>
      <c r="G343" s="6">
        <f>IF(Benchmark2[[#This Row],[Comparable '#1 Date Check]]="Pass",INDEX(Comp1[Comparable '#1 Price],MATCH(Benchmark2[[#This Row],[Benchmark '#2 Dates]],Comp1[Comparable '#1 Dates],0)),"-")</f>
        <v>16.73</v>
      </c>
      <c r="H343" s="1" t="str">
        <f>IF(COUNTIF(Comp2[Comparable '#2 Dates],Benchmark2[[#This Row],[Benchmark '#2 Dates]])=1,"Pass","Fail")</f>
        <v>Pass</v>
      </c>
      <c r="I343" s="6">
        <f>IF(Benchmark2[[#This Row],[Comparable '#2 Date Check]]="Pass",INDEX(Comp2[Comparable '#2 Price],MATCH(Benchmark2[[#This Row],[Benchmark '#2 Dates]],Comp2[Comparable '#2 Dates],0)),"-")</f>
        <v>31.99</v>
      </c>
      <c r="J343" s="1" t="str">
        <f>IF(COUNTIF(Comp3[Comparable '#3 Dates],Benchmark2[[#This Row],[Benchmark '#2 Dates]])=1,"Pass","Fail")</f>
        <v>Pass</v>
      </c>
      <c r="K343" s="6">
        <f>IF(Benchmark2[[#This Row],[Comparable '#3 Date Check]]="Pass",INDEX(Comp3[Comparable '#3 Price],MATCH(Benchmark2[[#This Row],[Benchmark '#2 Dates]],Comp3[Comparable '#3 Dates],0)),"-")</f>
        <v>138.54</v>
      </c>
    </row>
    <row r="344" spans="1:11">
      <c r="A344" s="103">
        <v>43781</v>
      </c>
      <c r="B344" s="104">
        <v>13387.62</v>
      </c>
      <c r="C344" s="4">
        <f t="shared" si="5"/>
        <v>-3.7347240454042196E-5</v>
      </c>
      <c r="D344" s="1" t="str">
        <f>IF(COUNTIF(Target1[Target Dates],Benchmark2[[#This Row],[Benchmark '#2 Dates]])=1,"Pass","Fail")</f>
        <v>Pass</v>
      </c>
      <c r="E344" s="6">
        <f>IF(Benchmark2[[#This Row],[Target Date Check]]="Pass",INDEX(Target1[Target Price],MATCH(Benchmark2[[#This Row],[Benchmark '#2 Dates]],Target1[Target Dates],0)),"-")</f>
        <v>19.97</v>
      </c>
      <c r="F344" s="1" t="str">
        <f>IF(COUNTIF(Comp1[Comparable '#1 Dates],Benchmark2[[#This Row],[Benchmark '#2 Dates]])=1,"Pass","Fail")</f>
        <v>Pass</v>
      </c>
      <c r="G344" s="6">
        <f>IF(Benchmark2[[#This Row],[Comparable '#1 Date Check]]="Pass",INDEX(Comp1[Comparable '#1 Price],MATCH(Benchmark2[[#This Row],[Benchmark '#2 Dates]],Comp1[Comparable '#1 Dates],0)),"-")</f>
        <v>16.79</v>
      </c>
      <c r="H344" s="1" t="str">
        <f>IF(COUNTIF(Comp2[Comparable '#2 Dates],Benchmark2[[#This Row],[Benchmark '#2 Dates]])=1,"Pass","Fail")</f>
        <v>Pass</v>
      </c>
      <c r="I344" s="6">
        <f>IF(Benchmark2[[#This Row],[Comparable '#2 Date Check]]="Pass",INDEX(Comp2[Comparable '#2 Price],MATCH(Benchmark2[[#This Row],[Benchmark '#2 Dates]],Comp2[Comparable '#2 Dates],0)),"-")</f>
        <v>32.54</v>
      </c>
      <c r="J344" s="1" t="str">
        <f>IF(COUNTIF(Comp3[Comparable '#3 Dates],Benchmark2[[#This Row],[Benchmark '#2 Dates]])=1,"Pass","Fail")</f>
        <v>Pass</v>
      </c>
      <c r="K344" s="6">
        <f>IF(Benchmark2[[#This Row],[Comparable '#3 Date Check]]="Pass",INDEX(Comp3[Comparable '#3 Price],MATCH(Benchmark2[[#This Row],[Benchmark '#2 Dates]],Comp3[Comparable '#3 Dates],0)),"-")</f>
        <v>138.27000000000001</v>
      </c>
    </row>
    <row r="345" spans="1:11">
      <c r="A345" s="103">
        <v>43782</v>
      </c>
      <c r="B345" s="104">
        <v>13385.05</v>
      </c>
      <c r="C345" s="4">
        <f t="shared" si="5"/>
        <v>-1.9198682894872412E-4</v>
      </c>
      <c r="D345" s="1" t="str">
        <f>IF(COUNTIF(Target1[Target Dates],Benchmark2[[#This Row],[Benchmark '#2 Dates]])=1,"Pass","Fail")</f>
        <v>Pass</v>
      </c>
      <c r="E345" s="6">
        <f>IF(Benchmark2[[#This Row],[Target Date Check]]="Pass",INDEX(Target1[Target Price],MATCH(Benchmark2[[#This Row],[Benchmark '#2 Dates]],Target1[Target Dates],0)),"-")</f>
        <v>19.829999999999998</v>
      </c>
      <c r="F345" s="1" t="str">
        <f>IF(COUNTIF(Comp1[Comparable '#1 Dates],Benchmark2[[#This Row],[Benchmark '#2 Dates]])=1,"Pass","Fail")</f>
        <v>Pass</v>
      </c>
      <c r="G345" s="6">
        <f>IF(Benchmark2[[#This Row],[Comparable '#1 Date Check]]="Pass",INDEX(Comp1[Comparable '#1 Price],MATCH(Benchmark2[[#This Row],[Benchmark '#2 Dates]],Comp1[Comparable '#1 Dates],0)),"-")</f>
        <v>16.84</v>
      </c>
      <c r="H345" s="1" t="str">
        <f>IF(COUNTIF(Comp2[Comparable '#2 Dates],Benchmark2[[#This Row],[Benchmark '#2 Dates]])=1,"Pass","Fail")</f>
        <v>Pass</v>
      </c>
      <c r="I345" s="6">
        <f>IF(Benchmark2[[#This Row],[Comparable '#2 Date Check]]="Pass",INDEX(Comp2[Comparable '#2 Price],MATCH(Benchmark2[[#This Row],[Benchmark '#2 Dates]],Comp2[Comparable '#2 Dates],0)),"-")</f>
        <v>32.380000000000003</v>
      </c>
      <c r="J345" s="1" t="str">
        <f>IF(COUNTIF(Comp3[Comparable '#3 Dates],Benchmark2[[#This Row],[Benchmark '#2 Dates]])=1,"Pass","Fail")</f>
        <v>Pass</v>
      </c>
      <c r="K345" s="6">
        <f>IF(Benchmark2[[#This Row],[Comparable '#3 Date Check]]="Pass",INDEX(Comp3[Comparable '#3 Price],MATCH(Benchmark2[[#This Row],[Benchmark '#2 Dates]],Comp3[Comparable '#3 Dates],0)),"-")</f>
        <v>135.43</v>
      </c>
    </row>
    <row r="346" spans="1:11">
      <c r="A346" s="103">
        <v>43783</v>
      </c>
      <c r="B346" s="104">
        <v>13392</v>
      </c>
      <c r="C346" s="4">
        <f t="shared" si="5"/>
        <v>5.1910125693962496E-4</v>
      </c>
      <c r="D346" s="1" t="str">
        <f>IF(COUNTIF(Target1[Target Dates],Benchmark2[[#This Row],[Benchmark '#2 Dates]])=1,"Pass","Fail")</f>
        <v>Pass</v>
      </c>
      <c r="E346" s="6">
        <f>IF(Benchmark2[[#This Row],[Target Date Check]]="Pass",INDEX(Target1[Target Price],MATCH(Benchmark2[[#This Row],[Benchmark '#2 Dates]],Target1[Target Dates],0)),"-")</f>
        <v>20.05</v>
      </c>
      <c r="F346" s="1" t="str">
        <f>IF(COUNTIF(Comp1[Comparable '#1 Dates],Benchmark2[[#This Row],[Benchmark '#2 Dates]])=1,"Pass","Fail")</f>
        <v>Pass</v>
      </c>
      <c r="G346" s="6">
        <f>IF(Benchmark2[[#This Row],[Comparable '#1 Date Check]]="Pass",INDEX(Comp1[Comparable '#1 Price],MATCH(Benchmark2[[#This Row],[Benchmark '#2 Dates]],Comp1[Comparable '#1 Dates],0)),"-")</f>
        <v>16.809999999999999</v>
      </c>
      <c r="H346" s="1" t="str">
        <f>IF(COUNTIF(Comp2[Comparable '#2 Dates],Benchmark2[[#This Row],[Benchmark '#2 Dates]])=1,"Pass","Fail")</f>
        <v>Pass</v>
      </c>
      <c r="I346" s="6">
        <f>IF(Benchmark2[[#This Row],[Comparable '#2 Date Check]]="Pass",INDEX(Comp2[Comparable '#2 Price],MATCH(Benchmark2[[#This Row],[Benchmark '#2 Dates]],Comp2[Comparable '#2 Dates],0)),"-")</f>
        <v>33.119999999999997</v>
      </c>
      <c r="J346" s="1" t="str">
        <f>IF(COUNTIF(Comp3[Comparable '#3 Dates],Benchmark2[[#This Row],[Benchmark '#2 Dates]])=1,"Pass","Fail")</f>
        <v>Pass</v>
      </c>
      <c r="K346" s="6">
        <f>IF(Benchmark2[[#This Row],[Comparable '#3 Date Check]]="Pass",INDEX(Comp3[Comparable '#3 Price],MATCH(Benchmark2[[#This Row],[Benchmark '#2 Dates]],Comp3[Comparable '#3 Dates],0)),"-")</f>
        <v>136.38</v>
      </c>
    </row>
    <row r="347" spans="1:11">
      <c r="A347" s="103">
        <v>43784</v>
      </c>
      <c r="B347" s="104">
        <v>13492.96</v>
      </c>
      <c r="C347" s="4">
        <f t="shared" si="5"/>
        <v>7.5105541970252798E-3</v>
      </c>
      <c r="D347" s="1" t="str">
        <f>IF(COUNTIF(Target1[Target Dates],Benchmark2[[#This Row],[Benchmark '#2 Dates]])=1,"Pass","Fail")</f>
        <v>Pass</v>
      </c>
      <c r="E347" s="6">
        <f>IF(Benchmark2[[#This Row],[Target Date Check]]="Pass",INDEX(Target1[Target Price],MATCH(Benchmark2[[#This Row],[Benchmark '#2 Dates]],Target1[Target Dates],0)),"-")</f>
        <v>20.170000000000002</v>
      </c>
      <c r="F347" s="1" t="str">
        <f>IF(COUNTIF(Comp1[Comparable '#1 Dates],Benchmark2[[#This Row],[Benchmark '#2 Dates]])=1,"Pass","Fail")</f>
        <v>Pass</v>
      </c>
      <c r="G347" s="6">
        <f>IF(Benchmark2[[#This Row],[Comparable '#1 Date Check]]="Pass",INDEX(Comp1[Comparable '#1 Price],MATCH(Benchmark2[[#This Row],[Benchmark '#2 Dates]],Comp1[Comparable '#1 Dates],0)),"-")</f>
        <v>16.78</v>
      </c>
      <c r="H347" s="1" t="str">
        <f>IF(COUNTIF(Comp2[Comparable '#2 Dates],Benchmark2[[#This Row],[Benchmark '#2 Dates]])=1,"Pass","Fail")</f>
        <v>Pass</v>
      </c>
      <c r="I347" s="6">
        <f>IF(Benchmark2[[#This Row],[Comparable '#2 Date Check]]="Pass",INDEX(Comp2[Comparable '#2 Price],MATCH(Benchmark2[[#This Row],[Benchmark '#2 Dates]],Comp2[Comparable '#2 Dates],0)),"-")</f>
        <v>33.6</v>
      </c>
      <c r="J347" s="1" t="str">
        <f>IF(COUNTIF(Comp3[Comparable '#3 Dates],Benchmark2[[#This Row],[Benchmark '#2 Dates]])=1,"Pass","Fail")</f>
        <v>Pass</v>
      </c>
      <c r="K347" s="6">
        <f>IF(Benchmark2[[#This Row],[Comparable '#3 Date Check]]="Pass",INDEX(Comp3[Comparable '#3 Price],MATCH(Benchmark2[[#This Row],[Benchmark '#2 Dates]],Comp3[Comparable '#3 Dates],0)),"-")</f>
        <v>138.54</v>
      </c>
    </row>
    <row r="348" spans="1:11">
      <c r="A348" s="103">
        <v>43787</v>
      </c>
      <c r="B348" s="104">
        <v>13483.81</v>
      </c>
      <c r="C348" s="4">
        <f t="shared" si="5"/>
        <v>-6.7836144585748325E-4</v>
      </c>
      <c r="D348" s="1" t="str">
        <f>IF(COUNTIF(Target1[Target Dates],Benchmark2[[#This Row],[Benchmark '#2 Dates]])=1,"Pass","Fail")</f>
        <v>Pass</v>
      </c>
      <c r="E348" s="6">
        <f>IF(Benchmark2[[#This Row],[Target Date Check]]="Pass",INDEX(Target1[Target Price],MATCH(Benchmark2[[#This Row],[Benchmark '#2 Dates]],Target1[Target Dates],0)),"-")</f>
        <v>20.13</v>
      </c>
      <c r="F348" s="1" t="str">
        <f>IF(COUNTIF(Comp1[Comparable '#1 Dates],Benchmark2[[#This Row],[Benchmark '#2 Dates]])=1,"Pass","Fail")</f>
        <v>Pass</v>
      </c>
      <c r="G348" s="6">
        <f>IF(Benchmark2[[#This Row],[Comparable '#1 Date Check]]="Pass",INDEX(Comp1[Comparable '#1 Price],MATCH(Benchmark2[[#This Row],[Benchmark '#2 Dates]],Comp1[Comparable '#1 Dates],0)),"-")</f>
        <v>16.809999999999999</v>
      </c>
      <c r="H348" s="1" t="str">
        <f>IF(COUNTIF(Comp2[Comparable '#2 Dates],Benchmark2[[#This Row],[Benchmark '#2 Dates]])=1,"Pass","Fail")</f>
        <v>Pass</v>
      </c>
      <c r="I348" s="6">
        <f>IF(Benchmark2[[#This Row],[Comparable '#2 Date Check]]="Pass",INDEX(Comp2[Comparable '#2 Price],MATCH(Benchmark2[[#This Row],[Benchmark '#2 Dates]],Comp2[Comparable '#2 Dates],0)),"-")</f>
        <v>34.04</v>
      </c>
      <c r="J348" s="1" t="str">
        <f>IF(COUNTIF(Comp3[Comparable '#3 Dates],Benchmark2[[#This Row],[Benchmark '#2 Dates]])=1,"Pass","Fail")</f>
        <v>Pass</v>
      </c>
      <c r="K348" s="6">
        <f>IF(Benchmark2[[#This Row],[Comparable '#3 Date Check]]="Pass",INDEX(Comp3[Comparable '#3 Price],MATCH(Benchmark2[[#This Row],[Benchmark '#2 Dates]],Comp3[Comparable '#3 Dates],0)),"-")</f>
        <v>137.81</v>
      </c>
    </row>
    <row r="349" spans="1:11">
      <c r="A349" s="103">
        <v>43788</v>
      </c>
      <c r="B349" s="104">
        <v>13466.35</v>
      </c>
      <c r="C349" s="4">
        <f t="shared" si="5"/>
        <v>-1.2957253272562303E-3</v>
      </c>
      <c r="D349" s="1" t="str">
        <f>IF(COUNTIF(Target1[Target Dates],Benchmark2[[#This Row],[Benchmark '#2 Dates]])=1,"Pass","Fail")</f>
        <v>Pass</v>
      </c>
      <c r="E349" s="6">
        <f>IF(Benchmark2[[#This Row],[Target Date Check]]="Pass",INDEX(Target1[Target Price],MATCH(Benchmark2[[#This Row],[Benchmark '#2 Dates]],Target1[Target Dates],0)),"-")</f>
        <v>19.66</v>
      </c>
      <c r="F349" s="1" t="str">
        <f>IF(COUNTIF(Comp1[Comparable '#1 Dates],Benchmark2[[#This Row],[Benchmark '#2 Dates]])=1,"Pass","Fail")</f>
        <v>Pass</v>
      </c>
      <c r="G349" s="6">
        <f>IF(Benchmark2[[#This Row],[Comparable '#1 Date Check]]="Pass",INDEX(Comp1[Comparable '#1 Price],MATCH(Benchmark2[[#This Row],[Benchmark '#2 Dates]],Comp1[Comparable '#1 Dates],0)),"-")</f>
        <v>16.62</v>
      </c>
      <c r="H349" s="1" t="str">
        <f>IF(COUNTIF(Comp2[Comparable '#2 Dates],Benchmark2[[#This Row],[Benchmark '#2 Dates]])=1,"Pass","Fail")</f>
        <v>Pass</v>
      </c>
      <c r="I349" s="6">
        <f>IF(Benchmark2[[#This Row],[Comparable '#2 Date Check]]="Pass",INDEX(Comp2[Comparable '#2 Price],MATCH(Benchmark2[[#This Row],[Benchmark '#2 Dates]],Comp2[Comparable '#2 Dates],0)),"-")</f>
        <v>34.36</v>
      </c>
      <c r="J349" s="1" t="str">
        <f>IF(COUNTIF(Comp3[Comparable '#3 Dates],Benchmark2[[#This Row],[Benchmark '#2 Dates]])=1,"Pass","Fail")</f>
        <v>Pass</v>
      </c>
      <c r="K349" s="6">
        <f>IF(Benchmark2[[#This Row],[Comparable '#3 Date Check]]="Pass",INDEX(Comp3[Comparable '#3 Price],MATCH(Benchmark2[[#This Row],[Benchmark '#2 Dates]],Comp3[Comparable '#3 Dates],0)),"-")</f>
        <v>138.62</v>
      </c>
    </row>
    <row r="350" spans="1:11">
      <c r="A350" s="103">
        <v>43789</v>
      </c>
      <c r="B350" s="104">
        <v>13419.3</v>
      </c>
      <c r="C350" s="4">
        <f t="shared" si="5"/>
        <v>-3.5000119417256132E-3</v>
      </c>
      <c r="D350" s="1" t="str">
        <f>IF(COUNTIF(Target1[Target Dates],Benchmark2[[#This Row],[Benchmark '#2 Dates]])=1,"Pass","Fail")</f>
        <v>Pass</v>
      </c>
      <c r="E350" s="6">
        <f>IF(Benchmark2[[#This Row],[Target Date Check]]="Pass",INDEX(Target1[Target Price],MATCH(Benchmark2[[#This Row],[Benchmark '#2 Dates]],Target1[Target Dates],0)),"-")</f>
        <v>19.739999999999998</v>
      </c>
      <c r="F350" s="1" t="str">
        <f>IF(COUNTIF(Comp1[Comparable '#1 Dates],Benchmark2[[#This Row],[Benchmark '#2 Dates]])=1,"Pass","Fail")</f>
        <v>Pass</v>
      </c>
      <c r="G350" s="6">
        <f>IF(Benchmark2[[#This Row],[Comparable '#1 Date Check]]="Pass",INDEX(Comp1[Comparable '#1 Price],MATCH(Benchmark2[[#This Row],[Benchmark '#2 Dates]],Comp1[Comparable '#1 Dates],0)),"-")</f>
        <v>16.53</v>
      </c>
      <c r="H350" s="1" t="str">
        <f>IF(COUNTIF(Comp2[Comparable '#2 Dates],Benchmark2[[#This Row],[Benchmark '#2 Dates]])=1,"Pass","Fail")</f>
        <v>Pass</v>
      </c>
      <c r="I350" s="6">
        <f>IF(Benchmark2[[#This Row],[Comparable '#2 Date Check]]="Pass",INDEX(Comp2[Comparable '#2 Price],MATCH(Benchmark2[[#This Row],[Benchmark '#2 Dates]],Comp2[Comparable '#2 Dates],0)),"-")</f>
        <v>34.520000000000003</v>
      </c>
      <c r="J350" s="1" t="str">
        <f>IF(COUNTIF(Comp3[Comparable '#3 Dates],Benchmark2[[#This Row],[Benchmark '#2 Dates]])=1,"Pass","Fail")</f>
        <v>Pass</v>
      </c>
      <c r="K350" s="6">
        <f>IF(Benchmark2[[#This Row],[Comparable '#3 Date Check]]="Pass",INDEX(Comp3[Comparable '#3 Price],MATCH(Benchmark2[[#This Row],[Benchmark '#2 Dates]],Comp3[Comparable '#3 Dates],0)),"-")</f>
        <v>138.44999999999999</v>
      </c>
    </row>
    <row r="351" spans="1:11">
      <c r="A351" s="103">
        <v>43790</v>
      </c>
      <c r="B351" s="104">
        <v>13406.41</v>
      </c>
      <c r="C351" s="4">
        <f t="shared" si="5"/>
        <v>-9.6101844029868456E-4</v>
      </c>
      <c r="D351" s="1" t="str">
        <f>IF(COUNTIF(Target1[Target Dates],Benchmark2[[#This Row],[Benchmark '#2 Dates]])=1,"Pass","Fail")</f>
        <v>Pass</v>
      </c>
      <c r="E351" s="6">
        <f>IF(Benchmark2[[#This Row],[Target Date Check]]="Pass",INDEX(Target1[Target Price],MATCH(Benchmark2[[#This Row],[Benchmark '#2 Dates]],Target1[Target Dates],0)),"-")</f>
        <v>20.27</v>
      </c>
      <c r="F351" s="1" t="str">
        <f>IF(COUNTIF(Comp1[Comparable '#1 Dates],Benchmark2[[#This Row],[Benchmark '#2 Dates]])=1,"Pass","Fail")</f>
        <v>Pass</v>
      </c>
      <c r="G351" s="6">
        <f>IF(Benchmark2[[#This Row],[Comparable '#1 Date Check]]="Pass",INDEX(Comp1[Comparable '#1 Price],MATCH(Benchmark2[[#This Row],[Benchmark '#2 Dates]],Comp1[Comparable '#1 Dates],0)),"-")</f>
        <v>16.38</v>
      </c>
      <c r="H351" s="1" t="str">
        <f>IF(COUNTIF(Comp2[Comparable '#2 Dates],Benchmark2[[#This Row],[Benchmark '#2 Dates]])=1,"Pass","Fail")</f>
        <v>Pass</v>
      </c>
      <c r="I351" s="6">
        <f>IF(Benchmark2[[#This Row],[Comparable '#2 Date Check]]="Pass",INDEX(Comp2[Comparable '#2 Price],MATCH(Benchmark2[[#This Row],[Benchmark '#2 Dates]],Comp2[Comparable '#2 Dates],0)),"-")</f>
        <v>33.85</v>
      </c>
      <c r="J351" s="1" t="str">
        <f>IF(COUNTIF(Comp3[Comparable '#3 Dates],Benchmark2[[#This Row],[Benchmark '#2 Dates]])=1,"Pass","Fail")</f>
        <v>Pass</v>
      </c>
      <c r="K351" s="6">
        <f>IF(Benchmark2[[#This Row],[Comparable '#3 Date Check]]="Pass",INDEX(Comp3[Comparable '#3 Price],MATCH(Benchmark2[[#This Row],[Benchmark '#2 Dates]],Comp3[Comparable '#3 Dates],0)),"-")</f>
        <v>137.47</v>
      </c>
    </row>
    <row r="352" spans="1:11">
      <c r="A352" s="103">
        <v>43791</v>
      </c>
      <c r="B352" s="104">
        <v>13440.95</v>
      </c>
      <c r="C352" s="4">
        <f t="shared" si="5"/>
        <v>2.5730663317730883E-3</v>
      </c>
      <c r="D352" s="1" t="str">
        <f>IF(COUNTIF(Target1[Target Dates],Benchmark2[[#This Row],[Benchmark '#2 Dates]])=1,"Pass","Fail")</f>
        <v>Pass</v>
      </c>
      <c r="E352" s="6">
        <f>IF(Benchmark2[[#This Row],[Target Date Check]]="Pass",INDEX(Target1[Target Price],MATCH(Benchmark2[[#This Row],[Benchmark '#2 Dates]],Target1[Target Dates],0)),"-")</f>
        <v>19.91</v>
      </c>
      <c r="F352" s="1" t="str">
        <f>IF(COUNTIF(Comp1[Comparable '#1 Dates],Benchmark2[[#This Row],[Benchmark '#2 Dates]])=1,"Pass","Fail")</f>
        <v>Pass</v>
      </c>
      <c r="G352" s="6">
        <f>IF(Benchmark2[[#This Row],[Comparable '#1 Date Check]]="Pass",INDEX(Comp1[Comparable '#1 Price],MATCH(Benchmark2[[#This Row],[Benchmark '#2 Dates]],Comp1[Comparable '#1 Dates],0)),"-")</f>
        <v>16.5</v>
      </c>
      <c r="H352" s="1" t="str">
        <f>IF(COUNTIF(Comp2[Comparable '#2 Dates],Benchmark2[[#This Row],[Benchmark '#2 Dates]])=1,"Pass","Fail")</f>
        <v>Pass</v>
      </c>
      <c r="I352" s="6">
        <f>IF(Benchmark2[[#This Row],[Comparable '#2 Date Check]]="Pass",INDEX(Comp2[Comparable '#2 Price],MATCH(Benchmark2[[#This Row],[Benchmark '#2 Dates]],Comp2[Comparable '#2 Dates],0)),"-")</f>
        <v>34.03</v>
      </c>
      <c r="J352" s="1" t="str">
        <f>IF(COUNTIF(Comp3[Comparable '#3 Dates],Benchmark2[[#This Row],[Benchmark '#2 Dates]])=1,"Pass","Fail")</f>
        <v>Pass</v>
      </c>
      <c r="K352" s="6">
        <f>IF(Benchmark2[[#This Row],[Comparable '#3 Date Check]]="Pass",INDEX(Comp3[Comparable '#3 Price],MATCH(Benchmark2[[#This Row],[Benchmark '#2 Dates]],Comp3[Comparable '#3 Dates],0)),"-")</f>
        <v>137.84</v>
      </c>
    </row>
    <row r="353" spans="1:11">
      <c r="A353" s="103">
        <v>43794</v>
      </c>
      <c r="B353" s="104">
        <v>13532.89</v>
      </c>
      <c r="C353" s="4">
        <f t="shared" si="5"/>
        <v>6.8170016615324881E-3</v>
      </c>
      <c r="D353" s="1" t="str">
        <f>IF(COUNTIF(Target1[Target Dates],Benchmark2[[#This Row],[Benchmark '#2 Dates]])=1,"Pass","Fail")</f>
        <v>Pass</v>
      </c>
      <c r="E353" s="6">
        <f>IF(Benchmark2[[#This Row],[Target Date Check]]="Pass",INDEX(Target1[Target Price],MATCH(Benchmark2[[#This Row],[Benchmark '#2 Dates]],Target1[Target Dates],0)),"-")</f>
        <v>20.149999999999999</v>
      </c>
      <c r="F353" s="1" t="str">
        <f>IF(COUNTIF(Comp1[Comparable '#1 Dates],Benchmark2[[#This Row],[Benchmark '#2 Dates]])=1,"Pass","Fail")</f>
        <v>Pass</v>
      </c>
      <c r="G353" s="6">
        <f>IF(Benchmark2[[#This Row],[Comparable '#1 Date Check]]="Pass",INDEX(Comp1[Comparable '#1 Price],MATCH(Benchmark2[[#This Row],[Benchmark '#2 Dates]],Comp1[Comparable '#1 Dates],0)),"-")</f>
        <v>16.885000000000002</v>
      </c>
      <c r="H353" s="1" t="str">
        <f>IF(COUNTIF(Comp2[Comparable '#2 Dates],Benchmark2[[#This Row],[Benchmark '#2 Dates]])=1,"Pass","Fail")</f>
        <v>Pass</v>
      </c>
      <c r="I353" s="6">
        <f>IF(Benchmark2[[#This Row],[Comparable '#2 Date Check]]="Pass",INDEX(Comp2[Comparable '#2 Price],MATCH(Benchmark2[[#This Row],[Benchmark '#2 Dates]],Comp2[Comparable '#2 Dates],0)),"-")</f>
        <v>35.24</v>
      </c>
      <c r="J353" s="1" t="str">
        <f>IF(COUNTIF(Comp3[Comparable '#3 Dates],Benchmark2[[#This Row],[Benchmark '#2 Dates]])=1,"Pass","Fail")</f>
        <v>Pass</v>
      </c>
      <c r="K353" s="6">
        <f>IF(Benchmark2[[#This Row],[Comparable '#3 Date Check]]="Pass",INDEX(Comp3[Comparable '#3 Price],MATCH(Benchmark2[[#This Row],[Benchmark '#2 Dates]],Comp3[Comparable '#3 Dates],0)),"-")</f>
        <v>142.35</v>
      </c>
    </row>
    <row r="354" spans="1:11">
      <c r="A354" s="103">
        <v>43795</v>
      </c>
      <c r="B354" s="104">
        <v>13559.71</v>
      </c>
      <c r="C354" s="4">
        <f t="shared" si="5"/>
        <v>1.9798770705657907E-3</v>
      </c>
      <c r="D354" s="1" t="str">
        <f>IF(COUNTIF(Target1[Target Dates],Benchmark2[[#This Row],[Benchmark '#2 Dates]])=1,"Pass","Fail")</f>
        <v>Pass</v>
      </c>
      <c r="E354" s="6">
        <f>IF(Benchmark2[[#This Row],[Target Date Check]]="Pass",INDEX(Target1[Target Price],MATCH(Benchmark2[[#This Row],[Benchmark '#2 Dates]],Target1[Target Dates],0)),"-")</f>
        <v>19.46</v>
      </c>
      <c r="F354" s="1" t="str">
        <f>IF(COUNTIF(Comp1[Comparable '#1 Dates],Benchmark2[[#This Row],[Benchmark '#2 Dates]])=1,"Pass","Fail")</f>
        <v>Pass</v>
      </c>
      <c r="G354" s="6">
        <f>IF(Benchmark2[[#This Row],[Comparable '#1 Date Check]]="Pass",INDEX(Comp1[Comparable '#1 Price],MATCH(Benchmark2[[#This Row],[Benchmark '#2 Dates]],Comp1[Comparable '#1 Dates],0)),"-")</f>
        <v>17.25</v>
      </c>
      <c r="H354" s="1" t="str">
        <f>IF(COUNTIF(Comp2[Comparable '#2 Dates],Benchmark2[[#This Row],[Benchmark '#2 Dates]])=1,"Pass","Fail")</f>
        <v>Pass</v>
      </c>
      <c r="I354" s="6">
        <f>IF(Benchmark2[[#This Row],[Comparable '#2 Date Check]]="Pass",INDEX(Comp2[Comparable '#2 Price],MATCH(Benchmark2[[#This Row],[Benchmark '#2 Dates]],Comp2[Comparable '#2 Dates],0)),"-")</f>
        <v>34.74</v>
      </c>
      <c r="J354" s="1" t="str">
        <f>IF(COUNTIF(Comp3[Comparable '#3 Dates],Benchmark2[[#This Row],[Benchmark '#2 Dates]])=1,"Pass","Fail")</f>
        <v>Pass</v>
      </c>
      <c r="K354" s="6">
        <f>IF(Benchmark2[[#This Row],[Comparable '#3 Date Check]]="Pass",INDEX(Comp3[Comparable '#3 Price],MATCH(Benchmark2[[#This Row],[Benchmark '#2 Dates]],Comp3[Comparable '#3 Dates],0)),"-")</f>
        <v>144.19999999999999</v>
      </c>
    </row>
    <row r="355" spans="1:11">
      <c r="A355" s="103">
        <v>43796</v>
      </c>
      <c r="B355" s="104">
        <v>13607.62</v>
      </c>
      <c r="C355" s="4">
        <f t="shared" si="5"/>
        <v>3.5270341006326637E-3</v>
      </c>
      <c r="D355" s="1" t="str">
        <f>IF(COUNTIF(Target1[Target Dates],Benchmark2[[#This Row],[Benchmark '#2 Dates]])=1,"Pass","Fail")</f>
        <v>Pass</v>
      </c>
      <c r="E355" s="6">
        <f>IF(Benchmark2[[#This Row],[Target Date Check]]="Pass",INDEX(Target1[Target Price],MATCH(Benchmark2[[#This Row],[Benchmark '#2 Dates]],Target1[Target Dates],0)),"-")</f>
        <v>19.850000000000001</v>
      </c>
      <c r="F355" s="1" t="str">
        <f>IF(COUNTIF(Comp1[Comparable '#1 Dates],Benchmark2[[#This Row],[Benchmark '#2 Dates]])=1,"Pass","Fail")</f>
        <v>Pass</v>
      </c>
      <c r="G355" s="6">
        <f>IF(Benchmark2[[#This Row],[Comparable '#1 Date Check]]="Pass",INDEX(Comp1[Comparable '#1 Price],MATCH(Benchmark2[[#This Row],[Benchmark '#2 Dates]],Comp1[Comparable '#1 Dates],0)),"-")</f>
        <v>17.285</v>
      </c>
      <c r="H355" s="1" t="str">
        <f>IF(COUNTIF(Comp2[Comparable '#2 Dates],Benchmark2[[#This Row],[Benchmark '#2 Dates]])=1,"Pass","Fail")</f>
        <v>Pass</v>
      </c>
      <c r="I355" s="6">
        <f>IF(Benchmark2[[#This Row],[Comparable '#2 Date Check]]="Pass",INDEX(Comp2[Comparable '#2 Price],MATCH(Benchmark2[[#This Row],[Benchmark '#2 Dates]],Comp2[Comparable '#2 Dates],0)),"-")</f>
        <v>33.89</v>
      </c>
      <c r="J355" s="1" t="str">
        <f>IF(COUNTIF(Comp3[Comparable '#3 Dates],Benchmark2[[#This Row],[Benchmark '#2 Dates]])=1,"Pass","Fail")</f>
        <v>Pass</v>
      </c>
      <c r="K355" s="6">
        <f>IF(Benchmark2[[#This Row],[Comparable '#3 Date Check]]="Pass",INDEX(Comp3[Comparable '#3 Price],MATCH(Benchmark2[[#This Row],[Benchmark '#2 Dates]],Comp3[Comparable '#3 Dates],0)),"-")</f>
        <v>142.47</v>
      </c>
    </row>
    <row r="356" spans="1:11">
      <c r="A356" s="103">
        <v>43798</v>
      </c>
      <c r="B356" s="104">
        <v>13545.21</v>
      </c>
      <c r="C356" s="4">
        <f t="shared" si="5"/>
        <v>-4.5969506606671397E-3</v>
      </c>
      <c r="D356" s="1" t="str">
        <f>IF(COUNTIF(Target1[Target Dates],Benchmark2[[#This Row],[Benchmark '#2 Dates]])=1,"Pass","Fail")</f>
        <v>Pass</v>
      </c>
      <c r="E356" s="6">
        <f>IF(Benchmark2[[#This Row],[Target Date Check]]="Pass",INDEX(Target1[Target Price],MATCH(Benchmark2[[#This Row],[Benchmark '#2 Dates]],Target1[Target Dates],0)),"-")</f>
        <v>19.649999999999999</v>
      </c>
      <c r="F356" s="1" t="str">
        <f>IF(COUNTIF(Comp1[Comparable '#1 Dates],Benchmark2[[#This Row],[Benchmark '#2 Dates]])=1,"Pass","Fail")</f>
        <v>Pass</v>
      </c>
      <c r="G356" s="6">
        <f>IF(Benchmark2[[#This Row],[Comparable '#1 Date Check]]="Pass",INDEX(Comp1[Comparable '#1 Price],MATCH(Benchmark2[[#This Row],[Benchmark '#2 Dates]],Comp1[Comparable '#1 Dates],0)),"-")</f>
        <v>17.350000000000001</v>
      </c>
      <c r="H356" s="1" t="str">
        <f>IF(COUNTIF(Comp2[Comparable '#2 Dates],Benchmark2[[#This Row],[Benchmark '#2 Dates]])=1,"Pass","Fail")</f>
        <v>Pass</v>
      </c>
      <c r="I356" s="6">
        <f>IF(Benchmark2[[#This Row],[Comparable '#2 Date Check]]="Pass",INDEX(Comp2[Comparable '#2 Price],MATCH(Benchmark2[[#This Row],[Benchmark '#2 Dates]],Comp2[Comparable '#2 Dates],0)),"-")</f>
        <v>33.729999999999997</v>
      </c>
      <c r="J356" s="1" t="str">
        <f>IF(COUNTIF(Comp3[Comparable '#3 Dates],Benchmark2[[#This Row],[Benchmark '#2 Dates]])=1,"Pass","Fail")</f>
        <v>Pass</v>
      </c>
      <c r="K356" s="6">
        <f>IF(Benchmark2[[#This Row],[Comparable '#3 Date Check]]="Pass",INDEX(Comp3[Comparable '#3 Price],MATCH(Benchmark2[[#This Row],[Benchmark '#2 Dates]],Comp3[Comparable '#3 Dates],0)),"-")</f>
        <v>141.74</v>
      </c>
    </row>
    <row r="357" spans="1:11">
      <c r="A357" s="103">
        <v>43801</v>
      </c>
      <c r="B357" s="104">
        <v>13448.26</v>
      </c>
      <c r="C357" s="4">
        <f t="shared" si="5"/>
        <v>-7.1832496435004691E-3</v>
      </c>
      <c r="D357" s="1" t="str">
        <f>IF(COUNTIF(Target1[Target Dates],Benchmark2[[#This Row],[Benchmark '#2 Dates]])=1,"Pass","Fail")</f>
        <v>Pass</v>
      </c>
      <c r="E357" s="6">
        <f>IF(Benchmark2[[#This Row],[Target Date Check]]="Pass",INDEX(Target1[Target Price],MATCH(Benchmark2[[#This Row],[Benchmark '#2 Dates]],Target1[Target Dates],0)),"-")</f>
        <v>19.3</v>
      </c>
      <c r="F357" s="1" t="str">
        <f>IF(COUNTIF(Comp1[Comparable '#1 Dates],Benchmark2[[#This Row],[Benchmark '#2 Dates]])=1,"Pass","Fail")</f>
        <v>Pass</v>
      </c>
      <c r="G357" s="6">
        <f>IF(Benchmark2[[#This Row],[Comparable '#1 Date Check]]="Pass",INDEX(Comp1[Comparable '#1 Price],MATCH(Benchmark2[[#This Row],[Benchmark '#2 Dates]],Comp1[Comparable '#1 Dates],0)),"-")</f>
        <v>16.91</v>
      </c>
      <c r="H357" s="1" t="str">
        <f>IF(COUNTIF(Comp2[Comparable '#2 Dates],Benchmark2[[#This Row],[Benchmark '#2 Dates]])=1,"Pass","Fail")</f>
        <v>Pass</v>
      </c>
      <c r="I357" s="6">
        <f>IF(Benchmark2[[#This Row],[Comparable '#2 Date Check]]="Pass",INDEX(Comp2[Comparable '#2 Price],MATCH(Benchmark2[[#This Row],[Benchmark '#2 Dates]],Comp2[Comparable '#2 Dates],0)),"-")</f>
        <v>33.729999999999997</v>
      </c>
      <c r="J357" s="1" t="str">
        <f>IF(COUNTIF(Comp3[Comparable '#3 Dates],Benchmark2[[#This Row],[Benchmark '#2 Dates]])=1,"Pass","Fail")</f>
        <v>Pass</v>
      </c>
      <c r="K357" s="6">
        <f>IF(Benchmark2[[#This Row],[Comparable '#3 Date Check]]="Pass",INDEX(Comp3[Comparable '#3 Price],MATCH(Benchmark2[[#This Row],[Benchmark '#2 Dates]],Comp3[Comparable '#3 Dates],0)),"-")</f>
        <v>142.51</v>
      </c>
    </row>
    <row r="358" spans="1:11">
      <c r="A358" s="103">
        <v>43802</v>
      </c>
      <c r="B358" s="104">
        <v>13366.09</v>
      </c>
      <c r="C358" s="4">
        <f t="shared" si="5"/>
        <v>-6.128827080216683E-3</v>
      </c>
      <c r="D358" s="1" t="str">
        <f>IF(COUNTIF(Target1[Target Dates],Benchmark2[[#This Row],[Benchmark '#2 Dates]])=1,"Pass","Fail")</f>
        <v>Pass</v>
      </c>
      <c r="E358" s="6">
        <f>IF(Benchmark2[[#This Row],[Target Date Check]]="Pass",INDEX(Target1[Target Price],MATCH(Benchmark2[[#This Row],[Benchmark '#2 Dates]],Target1[Target Dates],0)),"-")</f>
        <v>19.420000000000002</v>
      </c>
      <c r="F358" s="1" t="str">
        <f>IF(COUNTIF(Comp1[Comparable '#1 Dates],Benchmark2[[#This Row],[Benchmark '#2 Dates]])=1,"Pass","Fail")</f>
        <v>Pass</v>
      </c>
      <c r="G358" s="6">
        <f>IF(Benchmark2[[#This Row],[Comparable '#1 Date Check]]="Pass",INDEX(Comp1[Comparable '#1 Price],MATCH(Benchmark2[[#This Row],[Benchmark '#2 Dates]],Comp1[Comparable '#1 Dates],0)),"-")</f>
        <v>16.53</v>
      </c>
      <c r="H358" s="1" t="str">
        <f>IF(COUNTIF(Comp2[Comparable '#2 Dates],Benchmark2[[#This Row],[Benchmark '#2 Dates]])=1,"Pass","Fail")</f>
        <v>Pass</v>
      </c>
      <c r="I358" s="6">
        <f>IF(Benchmark2[[#This Row],[Comparable '#2 Date Check]]="Pass",INDEX(Comp2[Comparable '#2 Price],MATCH(Benchmark2[[#This Row],[Benchmark '#2 Dates]],Comp2[Comparable '#2 Dates],0)),"-")</f>
        <v>33.119999999999997</v>
      </c>
      <c r="J358" s="1" t="str">
        <f>IF(COUNTIF(Comp3[Comparable '#3 Dates],Benchmark2[[#This Row],[Benchmark '#2 Dates]])=1,"Pass","Fail")</f>
        <v>Pass</v>
      </c>
      <c r="K358" s="6">
        <f>IF(Benchmark2[[#This Row],[Comparable '#3 Date Check]]="Pass",INDEX(Comp3[Comparable '#3 Price],MATCH(Benchmark2[[#This Row],[Benchmark '#2 Dates]],Comp3[Comparable '#3 Dates],0)),"-")</f>
        <v>142.78</v>
      </c>
    </row>
    <row r="359" spans="1:11">
      <c r="A359" s="103">
        <v>43803</v>
      </c>
      <c r="B359" s="104">
        <v>13457.97</v>
      </c>
      <c r="C359" s="4">
        <f t="shared" si="5"/>
        <v>6.8505930371367393E-3</v>
      </c>
      <c r="D359" s="1" t="str">
        <f>IF(COUNTIF(Target1[Target Dates],Benchmark2[[#This Row],[Benchmark '#2 Dates]])=1,"Pass","Fail")</f>
        <v>Pass</v>
      </c>
      <c r="E359" s="6">
        <f>IF(Benchmark2[[#This Row],[Target Date Check]]="Pass",INDEX(Target1[Target Price],MATCH(Benchmark2[[#This Row],[Benchmark '#2 Dates]],Target1[Target Dates],0)),"-")</f>
        <v>19.36</v>
      </c>
      <c r="F359" s="1" t="str">
        <f>IF(COUNTIF(Comp1[Comparable '#1 Dates],Benchmark2[[#This Row],[Benchmark '#2 Dates]])=1,"Pass","Fail")</f>
        <v>Pass</v>
      </c>
      <c r="G359" s="6">
        <f>IF(Benchmark2[[#This Row],[Comparable '#1 Date Check]]="Pass",INDEX(Comp1[Comparable '#1 Price],MATCH(Benchmark2[[#This Row],[Benchmark '#2 Dates]],Comp1[Comparable '#1 Dates],0)),"-")</f>
        <v>16.57</v>
      </c>
      <c r="H359" s="1" t="str">
        <f>IF(COUNTIF(Comp2[Comparable '#2 Dates],Benchmark2[[#This Row],[Benchmark '#2 Dates]])=1,"Pass","Fail")</f>
        <v>Pass</v>
      </c>
      <c r="I359" s="6">
        <f>IF(Benchmark2[[#This Row],[Comparable '#2 Date Check]]="Pass",INDEX(Comp2[Comparable '#2 Price],MATCH(Benchmark2[[#This Row],[Benchmark '#2 Dates]],Comp2[Comparable '#2 Dates],0)),"-")</f>
        <v>33.159999999999997</v>
      </c>
      <c r="J359" s="1" t="str">
        <f>IF(COUNTIF(Comp3[Comparable '#3 Dates],Benchmark2[[#This Row],[Benchmark '#2 Dates]])=1,"Pass","Fail")</f>
        <v>Pass</v>
      </c>
      <c r="K359" s="6">
        <f>IF(Benchmark2[[#This Row],[Comparable '#3 Date Check]]="Pass",INDEX(Comp3[Comparable '#3 Price],MATCH(Benchmark2[[#This Row],[Benchmark '#2 Dates]],Comp3[Comparable '#3 Dates],0)),"-")</f>
        <v>145.02000000000001</v>
      </c>
    </row>
    <row r="360" spans="1:11">
      <c r="A360" s="103">
        <v>43804</v>
      </c>
      <c r="B360" s="104">
        <v>13482.3</v>
      </c>
      <c r="C360" s="4">
        <f t="shared" si="5"/>
        <v>1.8062184688250962E-3</v>
      </c>
      <c r="D360" s="1" t="str">
        <f>IF(COUNTIF(Target1[Target Dates],Benchmark2[[#This Row],[Benchmark '#2 Dates]])=1,"Pass","Fail")</f>
        <v>Pass</v>
      </c>
      <c r="E360" s="6">
        <f>IF(Benchmark2[[#This Row],[Target Date Check]]="Pass",INDEX(Target1[Target Price],MATCH(Benchmark2[[#This Row],[Benchmark '#2 Dates]],Target1[Target Dates],0)),"-")</f>
        <v>18.96</v>
      </c>
      <c r="F360" s="1" t="str">
        <f>IF(COUNTIF(Comp1[Comparable '#1 Dates],Benchmark2[[#This Row],[Benchmark '#2 Dates]])=1,"Pass","Fail")</f>
        <v>Pass</v>
      </c>
      <c r="G360" s="6">
        <f>IF(Benchmark2[[#This Row],[Comparable '#1 Date Check]]="Pass",INDEX(Comp1[Comparable '#1 Price],MATCH(Benchmark2[[#This Row],[Benchmark '#2 Dates]],Comp1[Comparable '#1 Dates],0)),"-")</f>
        <v>16.47</v>
      </c>
      <c r="H360" s="1" t="str">
        <f>IF(COUNTIF(Comp2[Comparable '#2 Dates],Benchmark2[[#This Row],[Benchmark '#2 Dates]])=1,"Pass","Fail")</f>
        <v>Pass</v>
      </c>
      <c r="I360" s="6">
        <f>IF(Benchmark2[[#This Row],[Comparable '#2 Date Check]]="Pass",INDEX(Comp2[Comparable '#2 Price],MATCH(Benchmark2[[#This Row],[Benchmark '#2 Dates]],Comp2[Comparable '#2 Dates],0)),"-")</f>
        <v>32.78</v>
      </c>
      <c r="J360" s="1" t="str">
        <f>IF(COUNTIF(Comp3[Comparable '#3 Dates],Benchmark2[[#This Row],[Benchmark '#2 Dates]])=1,"Pass","Fail")</f>
        <v>Pass</v>
      </c>
      <c r="K360" s="6">
        <f>IF(Benchmark2[[#This Row],[Comparable '#3 Date Check]]="Pass",INDEX(Comp3[Comparable '#3 Price],MATCH(Benchmark2[[#This Row],[Benchmark '#2 Dates]],Comp3[Comparable '#3 Dates],0)),"-")</f>
        <v>143.02000000000001</v>
      </c>
    </row>
    <row r="361" spans="1:11">
      <c r="A361" s="103">
        <v>43805</v>
      </c>
      <c r="B361" s="104">
        <v>13588.29</v>
      </c>
      <c r="C361" s="4">
        <f t="shared" si="5"/>
        <v>7.8306783564110888E-3</v>
      </c>
      <c r="D361" s="1" t="str">
        <f>IF(COUNTIF(Target1[Target Dates],Benchmark2[[#This Row],[Benchmark '#2 Dates]])=1,"Pass","Fail")</f>
        <v>Pass</v>
      </c>
      <c r="E361" s="6">
        <f>IF(Benchmark2[[#This Row],[Target Date Check]]="Pass",INDEX(Target1[Target Price],MATCH(Benchmark2[[#This Row],[Benchmark '#2 Dates]],Target1[Target Dates],0)),"-")</f>
        <v>19.22</v>
      </c>
      <c r="F361" s="1" t="str">
        <f>IF(COUNTIF(Comp1[Comparable '#1 Dates],Benchmark2[[#This Row],[Benchmark '#2 Dates]])=1,"Pass","Fail")</f>
        <v>Pass</v>
      </c>
      <c r="G361" s="6">
        <f>IF(Benchmark2[[#This Row],[Comparable '#1 Date Check]]="Pass",INDEX(Comp1[Comparable '#1 Price],MATCH(Benchmark2[[#This Row],[Benchmark '#2 Dates]],Comp1[Comparable '#1 Dates],0)),"-")</f>
        <v>16.649999999999999</v>
      </c>
      <c r="H361" s="1" t="str">
        <f>IF(COUNTIF(Comp2[Comparable '#2 Dates],Benchmark2[[#This Row],[Benchmark '#2 Dates]])=1,"Pass","Fail")</f>
        <v>Pass</v>
      </c>
      <c r="I361" s="6">
        <f>IF(Benchmark2[[#This Row],[Comparable '#2 Date Check]]="Pass",INDEX(Comp2[Comparable '#2 Price],MATCH(Benchmark2[[#This Row],[Benchmark '#2 Dates]],Comp2[Comparable '#2 Dates],0)),"-")</f>
        <v>33.659999999999997</v>
      </c>
      <c r="J361" s="1" t="str">
        <f>IF(COUNTIF(Comp3[Comparable '#3 Dates],Benchmark2[[#This Row],[Benchmark '#2 Dates]])=1,"Pass","Fail")</f>
        <v>Pass</v>
      </c>
      <c r="K361" s="6">
        <f>IF(Benchmark2[[#This Row],[Comparable '#3 Date Check]]="Pass",INDEX(Comp3[Comparable '#3 Price],MATCH(Benchmark2[[#This Row],[Benchmark '#2 Dates]],Comp3[Comparable '#3 Dates],0)),"-")</f>
        <v>145.72999999999999</v>
      </c>
    </row>
    <row r="362" spans="1:11">
      <c r="A362" s="103">
        <v>43808</v>
      </c>
      <c r="B362" s="104">
        <v>13555.07</v>
      </c>
      <c r="C362" s="4">
        <f t="shared" si="5"/>
        <v>-2.4477453481330652E-3</v>
      </c>
      <c r="D362" s="1" t="str">
        <f>IF(COUNTIF(Target1[Target Dates],Benchmark2[[#This Row],[Benchmark '#2 Dates]])=1,"Pass","Fail")</f>
        <v>Pass</v>
      </c>
      <c r="E362" s="6">
        <f>IF(Benchmark2[[#This Row],[Target Date Check]]="Pass",INDEX(Target1[Target Price],MATCH(Benchmark2[[#This Row],[Benchmark '#2 Dates]],Target1[Target Dates],0)),"-")</f>
        <v>19.489999999999998</v>
      </c>
      <c r="F362" s="1" t="str">
        <f>IF(COUNTIF(Comp1[Comparable '#1 Dates],Benchmark2[[#This Row],[Benchmark '#2 Dates]])=1,"Pass","Fail")</f>
        <v>Pass</v>
      </c>
      <c r="G362" s="6">
        <f>IF(Benchmark2[[#This Row],[Comparable '#1 Date Check]]="Pass",INDEX(Comp1[Comparable '#1 Price],MATCH(Benchmark2[[#This Row],[Benchmark '#2 Dates]],Comp1[Comparable '#1 Dates],0)),"-")</f>
        <v>16.260000000000002</v>
      </c>
      <c r="H362" s="1" t="str">
        <f>IF(COUNTIF(Comp2[Comparable '#2 Dates],Benchmark2[[#This Row],[Benchmark '#2 Dates]])=1,"Pass","Fail")</f>
        <v>Pass</v>
      </c>
      <c r="I362" s="6">
        <f>IF(Benchmark2[[#This Row],[Comparable '#2 Date Check]]="Pass",INDEX(Comp2[Comparable '#2 Price],MATCH(Benchmark2[[#This Row],[Benchmark '#2 Dates]],Comp2[Comparable '#2 Dates],0)),"-")</f>
        <v>33.46</v>
      </c>
      <c r="J362" s="1" t="str">
        <f>IF(COUNTIF(Comp3[Comparable '#3 Dates],Benchmark2[[#This Row],[Benchmark '#2 Dates]])=1,"Pass","Fail")</f>
        <v>Pass</v>
      </c>
      <c r="K362" s="6">
        <f>IF(Benchmark2[[#This Row],[Comparable '#3 Date Check]]="Pass",INDEX(Comp3[Comparable '#3 Price],MATCH(Benchmark2[[#This Row],[Benchmark '#2 Dates]],Comp3[Comparable '#3 Dates],0)),"-")</f>
        <v>146.43</v>
      </c>
    </row>
    <row r="363" spans="1:11">
      <c r="A363" s="103">
        <v>43809</v>
      </c>
      <c r="B363" s="104">
        <v>13545.31</v>
      </c>
      <c r="C363" s="4">
        <f t="shared" si="5"/>
        <v>-7.2028513415428326E-4</v>
      </c>
      <c r="D363" s="1" t="str">
        <f>IF(COUNTIF(Target1[Target Dates],Benchmark2[[#This Row],[Benchmark '#2 Dates]])=1,"Pass","Fail")</f>
        <v>Pass</v>
      </c>
      <c r="E363" s="6">
        <f>IF(Benchmark2[[#This Row],[Target Date Check]]="Pass",INDEX(Target1[Target Price],MATCH(Benchmark2[[#This Row],[Benchmark '#2 Dates]],Target1[Target Dates],0)),"-")</f>
        <v>19.55</v>
      </c>
      <c r="F363" s="1" t="str">
        <f>IF(COUNTIF(Comp1[Comparable '#1 Dates],Benchmark2[[#This Row],[Benchmark '#2 Dates]])=1,"Pass","Fail")</f>
        <v>Pass</v>
      </c>
      <c r="G363" s="6">
        <f>IF(Benchmark2[[#This Row],[Comparable '#1 Date Check]]="Pass",INDEX(Comp1[Comparable '#1 Price],MATCH(Benchmark2[[#This Row],[Benchmark '#2 Dates]],Comp1[Comparable '#1 Dates],0)),"-")</f>
        <v>16.420000000000002</v>
      </c>
      <c r="H363" s="1" t="str">
        <f>IF(COUNTIF(Comp2[Comparable '#2 Dates],Benchmark2[[#This Row],[Benchmark '#2 Dates]])=1,"Pass","Fail")</f>
        <v>Pass</v>
      </c>
      <c r="I363" s="6">
        <f>IF(Benchmark2[[#This Row],[Comparable '#2 Date Check]]="Pass",INDEX(Comp2[Comparable '#2 Price],MATCH(Benchmark2[[#This Row],[Benchmark '#2 Dates]],Comp2[Comparable '#2 Dates],0)),"-")</f>
        <v>33.76</v>
      </c>
      <c r="J363" s="1" t="str">
        <f>IF(COUNTIF(Comp3[Comparable '#3 Dates],Benchmark2[[#This Row],[Benchmark '#2 Dates]])=1,"Pass","Fail")</f>
        <v>Pass</v>
      </c>
      <c r="K363" s="6">
        <f>IF(Benchmark2[[#This Row],[Comparable '#3 Date Check]]="Pass",INDEX(Comp3[Comparable '#3 Price],MATCH(Benchmark2[[#This Row],[Benchmark '#2 Dates]],Comp3[Comparable '#3 Dates],0)),"-")</f>
        <v>148.04</v>
      </c>
    </row>
    <row r="364" spans="1:11">
      <c r="A364" s="103">
        <v>43810</v>
      </c>
      <c r="B364" s="104">
        <v>13579.92</v>
      </c>
      <c r="C364" s="4">
        <f t="shared" si="5"/>
        <v>2.5518691477857294E-3</v>
      </c>
      <c r="D364" s="1" t="str">
        <f>IF(COUNTIF(Target1[Target Dates],Benchmark2[[#This Row],[Benchmark '#2 Dates]])=1,"Pass","Fail")</f>
        <v>Pass</v>
      </c>
      <c r="E364" s="6">
        <f>IF(Benchmark2[[#This Row],[Target Date Check]]="Pass",INDEX(Target1[Target Price],MATCH(Benchmark2[[#This Row],[Benchmark '#2 Dates]],Target1[Target Dates],0)),"-")</f>
        <v>19.64</v>
      </c>
      <c r="F364" s="1" t="str">
        <f>IF(COUNTIF(Comp1[Comparable '#1 Dates],Benchmark2[[#This Row],[Benchmark '#2 Dates]])=1,"Pass","Fail")</f>
        <v>Pass</v>
      </c>
      <c r="G364" s="6">
        <f>IF(Benchmark2[[#This Row],[Comparable '#1 Date Check]]="Pass",INDEX(Comp1[Comparable '#1 Price],MATCH(Benchmark2[[#This Row],[Benchmark '#2 Dates]],Comp1[Comparable '#1 Dates],0)),"-")</f>
        <v>16.579999999999998</v>
      </c>
      <c r="H364" s="1" t="str">
        <f>IF(COUNTIF(Comp2[Comparable '#2 Dates],Benchmark2[[#This Row],[Benchmark '#2 Dates]])=1,"Pass","Fail")</f>
        <v>Pass</v>
      </c>
      <c r="I364" s="6">
        <f>IF(Benchmark2[[#This Row],[Comparable '#2 Date Check]]="Pass",INDEX(Comp2[Comparable '#2 Price],MATCH(Benchmark2[[#This Row],[Benchmark '#2 Dates]],Comp2[Comparable '#2 Dates],0)),"-")</f>
        <v>33.82</v>
      </c>
      <c r="J364" s="1" t="str">
        <f>IF(COUNTIF(Comp3[Comparable '#3 Dates],Benchmark2[[#This Row],[Benchmark '#2 Dates]])=1,"Pass","Fail")</f>
        <v>Pass</v>
      </c>
      <c r="K364" s="6">
        <f>IF(Benchmark2[[#This Row],[Comparable '#3 Date Check]]="Pass",INDEX(Comp3[Comparable '#3 Price],MATCH(Benchmark2[[#This Row],[Benchmark '#2 Dates]],Comp3[Comparable '#3 Dates],0)),"-")</f>
        <v>145.75</v>
      </c>
    </row>
    <row r="365" spans="1:11">
      <c r="A365" s="103">
        <v>43811</v>
      </c>
      <c r="B365" s="104">
        <v>13697.41</v>
      </c>
      <c r="C365" s="4">
        <f t="shared" si="5"/>
        <v>8.6145327697802546E-3</v>
      </c>
      <c r="D365" s="1" t="str">
        <f>IF(COUNTIF(Target1[Target Dates],Benchmark2[[#This Row],[Benchmark '#2 Dates]])=1,"Pass","Fail")</f>
        <v>Pass</v>
      </c>
      <c r="E365" s="6">
        <f>IF(Benchmark2[[#This Row],[Target Date Check]]="Pass",INDEX(Target1[Target Price],MATCH(Benchmark2[[#This Row],[Benchmark '#2 Dates]],Target1[Target Dates],0)),"-")</f>
        <v>19.73</v>
      </c>
      <c r="F365" s="1" t="str">
        <f>IF(COUNTIF(Comp1[Comparable '#1 Dates],Benchmark2[[#This Row],[Benchmark '#2 Dates]])=1,"Pass","Fail")</f>
        <v>Pass</v>
      </c>
      <c r="G365" s="6">
        <f>IF(Benchmark2[[#This Row],[Comparable '#1 Date Check]]="Pass",INDEX(Comp1[Comparable '#1 Price],MATCH(Benchmark2[[#This Row],[Benchmark '#2 Dates]],Comp1[Comparable '#1 Dates],0)),"-")</f>
        <v>16.809999999999999</v>
      </c>
      <c r="H365" s="1" t="str">
        <f>IF(COUNTIF(Comp2[Comparable '#2 Dates],Benchmark2[[#This Row],[Benchmark '#2 Dates]])=1,"Pass","Fail")</f>
        <v>Pass</v>
      </c>
      <c r="I365" s="6">
        <f>IF(Benchmark2[[#This Row],[Comparable '#2 Date Check]]="Pass",INDEX(Comp2[Comparable '#2 Price],MATCH(Benchmark2[[#This Row],[Benchmark '#2 Dates]],Comp2[Comparable '#2 Dates],0)),"-")</f>
        <v>34.979999999999997</v>
      </c>
      <c r="J365" s="1" t="str">
        <f>IF(COUNTIF(Comp3[Comparable '#3 Dates],Benchmark2[[#This Row],[Benchmark '#2 Dates]])=1,"Pass","Fail")</f>
        <v>Pass</v>
      </c>
      <c r="K365" s="6">
        <f>IF(Benchmark2[[#This Row],[Comparable '#3 Date Check]]="Pass",INDEX(Comp3[Comparable '#3 Price],MATCH(Benchmark2[[#This Row],[Benchmark '#2 Dates]],Comp3[Comparable '#3 Dates],0)),"-")</f>
        <v>148.46</v>
      </c>
    </row>
    <row r="366" spans="1:11">
      <c r="A366" s="103">
        <v>43812</v>
      </c>
      <c r="B366" s="104">
        <v>13697.34</v>
      </c>
      <c r="C366" s="4">
        <f t="shared" si="5"/>
        <v>-5.1104682466714225E-6</v>
      </c>
      <c r="D366" s="1" t="str">
        <f>IF(COUNTIF(Target1[Target Dates],Benchmark2[[#This Row],[Benchmark '#2 Dates]])=1,"Pass","Fail")</f>
        <v>Pass</v>
      </c>
      <c r="E366" s="6">
        <f>IF(Benchmark2[[#This Row],[Target Date Check]]="Pass",INDEX(Target1[Target Price],MATCH(Benchmark2[[#This Row],[Benchmark '#2 Dates]],Target1[Target Dates],0)),"-")</f>
        <v>19.57</v>
      </c>
      <c r="F366" s="1" t="str">
        <f>IF(COUNTIF(Comp1[Comparable '#1 Dates],Benchmark2[[#This Row],[Benchmark '#2 Dates]])=1,"Pass","Fail")</f>
        <v>Pass</v>
      </c>
      <c r="G366" s="6">
        <f>IF(Benchmark2[[#This Row],[Comparable '#1 Date Check]]="Pass",INDEX(Comp1[Comparable '#1 Price],MATCH(Benchmark2[[#This Row],[Benchmark '#2 Dates]],Comp1[Comparable '#1 Dates],0)),"-")</f>
        <v>17.14</v>
      </c>
      <c r="H366" s="1" t="str">
        <f>IF(COUNTIF(Comp2[Comparable '#2 Dates],Benchmark2[[#This Row],[Benchmark '#2 Dates]])=1,"Pass","Fail")</f>
        <v>Pass</v>
      </c>
      <c r="I366" s="6">
        <f>IF(Benchmark2[[#This Row],[Comparable '#2 Date Check]]="Pass",INDEX(Comp2[Comparable '#2 Price],MATCH(Benchmark2[[#This Row],[Benchmark '#2 Dates]],Comp2[Comparable '#2 Dates],0)),"-")</f>
        <v>34.74</v>
      </c>
      <c r="J366" s="1" t="str">
        <f>IF(COUNTIF(Comp3[Comparable '#3 Dates],Benchmark2[[#This Row],[Benchmark '#2 Dates]])=1,"Pass","Fail")</f>
        <v>Pass</v>
      </c>
      <c r="K366" s="6">
        <f>IF(Benchmark2[[#This Row],[Comparable '#3 Date Check]]="Pass",INDEX(Comp3[Comparable '#3 Price],MATCH(Benchmark2[[#This Row],[Benchmark '#2 Dates]],Comp3[Comparable '#3 Dates],0)),"-")</f>
        <v>147.72999999999999</v>
      </c>
    </row>
    <row r="367" spans="1:11">
      <c r="A367" s="103">
        <v>43815</v>
      </c>
      <c r="B367" s="104">
        <v>13795.15</v>
      </c>
      <c r="C367" s="4">
        <f t="shared" si="5"/>
        <v>7.1154277164950123E-3</v>
      </c>
      <c r="D367" s="1" t="str">
        <f>IF(COUNTIF(Target1[Target Dates],Benchmark2[[#This Row],[Benchmark '#2 Dates]])=1,"Pass","Fail")</f>
        <v>Pass</v>
      </c>
      <c r="E367" s="6">
        <f>IF(Benchmark2[[#This Row],[Target Date Check]]="Pass",INDEX(Target1[Target Price],MATCH(Benchmark2[[#This Row],[Benchmark '#2 Dates]],Target1[Target Dates],0)),"-")</f>
        <v>19.79</v>
      </c>
      <c r="F367" s="1" t="str">
        <f>IF(COUNTIF(Comp1[Comparable '#1 Dates],Benchmark2[[#This Row],[Benchmark '#2 Dates]])=1,"Pass","Fail")</f>
        <v>Pass</v>
      </c>
      <c r="G367" s="6">
        <f>IF(Benchmark2[[#This Row],[Comparable '#1 Date Check]]="Pass",INDEX(Comp1[Comparable '#1 Price],MATCH(Benchmark2[[#This Row],[Benchmark '#2 Dates]],Comp1[Comparable '#1 Dates],0)),"-")</f>
        <v>17.059999999999999</v>
      </c>
      <c r="H367" s="1" t="str">
        <f>IF(COUNTIF(Comp2[Comparable '#2 Dates],Benchmark2[[#This Row],[Benchmark '#2 Dates]])=1,"Pass","Fail")</f>
        <v>Pass</v>
      </c>
      <c r="I367" s="6">
        <f>IF(Benchmark2[[#This Row],[Comparable '#2 Date Check]]="Pass",INDEX(Comp2[Comparable '#2 Price],MATCH(Benchmark2[[#This Row],[Benchmark '#2 Dates]],Comp2[Comparable '#2 Dates],0)),"-")</f>
        <v>34.21</v>
      </c>
      <c r="J367" s="1" t="str">
        <f>IF(COUNTIF(Comp3[Comparable '#3 Dates],Benchmark2[[#This Row],[Benchmark '#2 Dates]])=1,"Pass","Fail")</f>
        <v>Pass</v>
      </c>
      <c r="K367" s="6">
        <f>IF(Benchmark2[[#This Row],[Comparable '#3 Date Check]]="Pass",INDEX(Comp3[Comparable '#3 Price],MATCH(Benchmark2[[#This Row],[Benchmark '#2 Dates]],Comp3[Comparable '#3 Dates],0)),"-")</f>
        <v>148.44</v>
      </c>
    </row>
    <row r="368" spans="1:11">
      <c r="A368" s="103">
        <v>43816</v>
      </c>
      <c r="B368" s="104">
        <v>13795.35</v>
      </c>
      <c r="C368" s="4">
        <f t="shared" si="5"/>
        <v>1.4497743788838505E-5</v>
      </c>
      <c r="D368" s="1" t="str">
        <f>IF(COUNTIF(Target1[Target Dates],Benchmark2[[#This Row],[Benchmark '#2 Dates]])=1,"Pass","Fail")</f>
        <v>Pass</v>
      </c>
      <c r="E368" s="6">
        <f>IF(Benchmark2[[#This Row],[Target Date Check]]="Pass",INDEX(Target1[Target Price],MATCH(Benchmark2[[#This Row],[Benchmark '#2 Dates]],Target1[Target Dates],0)),"-")</f>
        <v>20.39</v>
      </c>
      <c r="F368" s="1" t="str">
        <f>IF(COUNTIF(Comp1[Comparable '#1 Dates],Benchmark2[[#This Row],[Benchmark '#2 Dates]])=1,"Pass","Fail")</f>
        <v>Pass</v>
      </c>
      <c r="G368" s="6">
        <f>IF(Benchmark2[[#This Row],[Comparable '#1 Date Check]]="Pass",INDEX(Comp1[Comparable '#1 Price],MATCH(Benchmark2[[#This Row],[Benchmark '#2 Dates]],Comp1[Comparable '#1 Dates],0)),"-")</f>
        <v>17.350000000000001</v>
      </c>
      <c r="H368" s="1" t="str">
        <f>IF(COUNTIF(Comp2[Comparable '#2 Dates],Benchmark2[[#This Row],[Benchmark '#2 Dates]])=1,"Pass","Fail")</f>
        <v>Pass</v>
      </c>
      <c r="I368" s="6">
        <f>IF(Benchmark2[[#This Row],[Comparable '#2 Date Check]]="Pass",INDEX(Comp2[Comparable '#2 Price],MATCH(Benchmark2[[#This Row],[Benchmark '#2 Dates]],Comp2[Comparable '#2 Dates],0)),"-")</f>
        <v>34.25</v>
      </c>
      <c r="J368" s="1" t="str">
        <f>IF(COUNTIF(Comp3[Comparable '#3 Dates],Benchmark2[[#This Row],[Benchmark '#2 Dates]])=1,"Pass","Fail")</f>
        <v>Pass</v>
      </c>
      <c r="K368" s="6">
        <f>IF(Benchmark2[[#This Row],[Comparable '#3 Date Check]]="Pass",INDEX(Comp3[Comparable '#3 Price],MATCH(Benchmark2[[#This Row],[Benchmark '#2 Dates]],Comp3[Comparable '#3 Dates],0)),"-")</f>
        <v>150.69</v>
      </c>
    </row>
    <row r="369" spans="1:11">
      <c r="A369" s="103">
        <v>43817</v>
      </c>
      <c r="B369" s="104">
        <v>13799.21</v>
      </c>
      <c r="C369" s="4">
        <f t="shared" si="5"/>
        <v>2.7976528889577125E-4</v>
      </c>
      <c r="D369" s="1" t="str">
        <f>IF(COUNTIF(Target1[Target Dates],Benchmark2[[#This Row],[Benchmark '#2 Dates]])=1,"Pass","Fail")</f>
        <v>Pass</v>
      </c>
      <c r="E369" s="6">
        <f>IF(Benchmark2[[#This Row],[Target Date Check]]="Pass",INDEX(Target1[Target Price],MATCH(Benchmark2[[#This Row],[Benchmark '#2 Dates]],Target1[Target Dates],0)),"-")</f>
        <v>20.059999999999999</v>
      </c>
      <c r="F369" s="1" t="str">
        <f>IF(COUNTIF(Comp1[Comparable '#1 Dates],Benchmark2[[#This Row],[Benchmark '#2 Dates]])=1,"Pass","Fail")</f>
        <v>Pass</v>
      </c>
      <c r="G369" s="6">
        <f>IF(Benchmark2[[#This Row],[Comparable '#1 Date Check]]="Pass",INDEX(Comp1[Comparable '#1 Price],MATCH(Benchmark2[[#This Row],[Benchmark '#2 Dates]],Comp1[Comparable '#1 Dates],0)),"-")</f>
        <v>17.48</v>
      </c>
      <c r="H369" s="1" t="str">
        <f>IF(COUNTIF(Comp2[Comparable '#2 Dates],Benchmark2[[#This Row],[Benchmark '#2 Dates]])=1,"Pass","Fail")</f>
        <v>Pass</v>
      </c>
      <c r="I369" s="6">
        <f>IF(Benchmark2[[#This Row],[Comparable '#2 Date Check]]="Pass",INDEX(Comp2[Comparable '#2 Price],MATCH(Benchmark2[[#This Row],[Benchmark '#2 Dates]],Comp2[Comparable '#2 Dates],0)),"-")</f>
        <v>34.39</v>
      </c>
      <c r="J369" s="1" t="str">
        <f>IF(COUNTIF(Comp3[Comparable '#3 Dates],Benchmark2[[#This Row],[Benchmark '#2 Dates]])=1,"Pass","Fail")</f>
        <v>Pass</v>
      </c>
      <c r="K369" s="6">
        <f>IF(Benchmark2[[#This Row],[Comparable '#3 Date Check]]="Pass",INDEX(Comp3[Comparable '#3 Price],MATCH(Benchmark2[[#This Row],[Benchmark '#2 Dates]],Comp3[Comparable '#3 Dates],0)),"-")</f>
        <v>153.68</v>
      </c>
    </row>
    <row r="370" spans="1:11">
      <c r="A370" s="103">
        <v>43818</v>
      </c>
      <c r="B370" s="104">
        <v>13831.67</v>
      </c>
      <c r="C370" s="4">
        <f t="shared" si="5"/>
        <v>2.3495462274522941E-3</v>
      </c>
      <c r="D370" s="1" t="str">
        <f>IF(COUNTIF(Target1[Target Dates],Benchmark2[[#This Row],[Benchmark '#2 Dates]])=1,"Pass","Fail")</f>
        <v>Pass</v>
      </c>
      <c r="E370" s="6">
        <f>IF(Benchmark2[[#This Row],[Target Date Check]]="Pass",INDEX(Target1[Target Price],MATCH(Benchmark2[[#This Row],[Benchmark '#2 Dates]],Target1[Target Dates],0)),"-")</f>
        <v>19.77</v>
      </c>
      <c r="F370" s="1" t="str">
        <f>IF(COUNTIF(Comp1[Comparable '#1 Dates],Benchmark2[[#This Row],[Benchmark '#2 Dates]])=1,"Pass","Fail")</f>
        <v>Pass</v>
      </c>
      <c r="G370" s="6">
        <f>IF(Benchmark2[[#This Row],[Comparable '#1 Date Check]]="Pass",INDEX(Comp1[Comparable '#1 Price],MATCH(Benchmark2[[#This Row],[Benchmark '#2 Dates]],Comp1[Comparable '#1 Dates],0)),"-")</f>
        <v>17.399999999999999</v>
      </c>
      <c r="H370" s="1" t="str">
        <f>IF(COUNTIF(Comp2[Comparable '#2 Dates],Benchmark2[[#This Row],[Benchmark '#2 Dates]])=1,"Pass","Fail")</f>
        <v>Pass</v>
      </c>
      <c r="I370" s="6">
        <f>IF(Benchmark2[[#This Row],[Comparable '#2 Date Check]]="Pass",INDEX(Comp2[Comparable '#2 Price],MATCH(Benchmark2[[#This Row],[Benchmark '#2 Dates]],Comp2[Comparable '#2 Dates],0)),"-")</f>
        <v>34.29</v>
      </c>
      <c r="J370" s="1" t="str">
        <f>IF(COUNTIF(Comp3[Comparable '#3 Dates],Benchmark2[[#This Row],[Benchmark '#2 Dates]])=1,"Pass","Fail")</f>
        <v>Pass</v>
      </c>
      <c r="K370" s="6">
        <f>IF(Benchmark2[[#This Row],[Comparable '#3 Date Check]]="Pass",INDEX(Comp3[Comparable '#3 Price],MATCH(Benchmark2[[#This Row],[Benchmark '#2 Dates]],Comp3[Comparable '#3 Dates],0)),"-")</f>
        <v>152.88999999999999</v>
      </c>
    </row>
    <row r="371" spans="1:11">
      <c r="A371" s="103">
        <v>43819</v>
      </c>
      <c r="B371" s="104">
        <v>13889.25</v>
      </c>
      <c r="C371" s="4">
        <f t="shared" si="5"/>
        <v>4.1542692529243008E-3</v>
      </c>
      <c r="D371" s="1" t="str">
        <f>IF(COUNTIF(Target1[Target Dates],Benchmark2[[#This Row],[Benchmark '#2 Dates]])=1,"Pass","Fail")</f>
        <v>Pass</v>
      </c>
      <c r="E371" s="6">
        <f>IF(Benchmark2[[#This Row],[Target Date Check]]="Pass",INDEX(Target1[Target Price],MATCH(Benchmark2[[#This Row],[Benchmark '#2 Dates]],Target1[Target Dates],0)),"-")</f>
        <v>20.03</v>
      </c>
      <c r="F371" s="1" t="str">
        <f>IF(COUNTIF(Comp1[Comparable '#1 Dates],Benchmark2[[#This Row],[Benchmark '#2 Dates]])=1,"Pass","Fail")</f>
        <v>Pass</v>
      </c>
      <c r="G371" s="6">
        <f>IF(Benchmark2[[#This Row],[Comparable '#1 Date Check]]="Pass",INDEX(Comp1[Comparable '#1 Price],MATCH(Benchmark2[[#This Row],[Benchmark '#2 Dates]],Comp1[Comparable '#1 Dates],0)),"-")</f>
        <v>17.5</v>
      </c>
      <c r="H371" s="1" t="str">
        <f>IF(COUNTIF(Comp2[Comparable '#2 Dates],Benchmark2[[#This Row],[Benchmark '#2 Dates]])=1,"Pass","Fail")</f>
        <v>Pass</v>
      </c>
      <c r="I371" s="6">
        <f>IF(Benchmark2[[#This Row],[Comparable '#2 Date Check]]="Pass",INDEX(Comp2[Comparable '#2 Price],MATCH(Benchmark2[[#This Row],[Benchmark '#2 Dates]],Comp2[Comparable '#2 Dates],0)),"-")</f>
        <v>35.020000000000003</v>
      </c>
      <c r="J371" s="1" t="str">
        <f>IF(COUNTIF(Comp3[Comparable '#3 Dates],Benchmark2[[#This Row],[Benchmark '#2 Dates]])=1,"Pass","Fail")</f>
        <v>Pass</v>
      </c>
      <c r="K371" s="6">
        <f>IF(Benchmark2[[#This Row],[Comparable '#3 Date Check]]="Pass",INDEX(Comp3[Comparable '#3 Price],MATCH(Benchmark2[[#This Row],[Benchmark '#2 Dates]],Comp3[Comparable '#3 Dates],0)),"-")</f>
        <v>153.07</v>
      </c>
    </row>
    <row r="372" spans="1:11">
      <c r="A372" s="103">
        <v>43822</v>
      </c>
      <c r="B372" s="104">
        <v>13899.99</v>
      </c>
      <c r="C372" s="4">
        <f t="shared" si="5"/>
        <v>7.7296108383932726E-4</v>
      </c>
      <c r="D372" s="1" t="str">
        <f>IF(COUNTIF(Target1[Target Dates],Benchmark2[[#This Row],[Benchmark '#2 Dates]])=1,"Pass","Fail")</f>
        <v>Pass</v>
      </c>
      <c r="E372" s="6">
        <f>IF(Benchmark2[[#This Row],[Target Date Check]]="Pass",INDEX(Target1[Target Price],MATCH(Benchmark2[[#This Row],[Benchmark '#2 Dates]],Target1[Target Dates],0)),"-")</f>
        <v>19.91</v>
      </c>
      <c r="F372" s="1" t="str">
        <f>IF(COUNTIF(Comp1[Comparable '#1 Dates],Benchmark2[[#This Row],[Benchmark '#2 Dates]])=1,"Pass","Fail")</f>
        <v>Pass</v>
      </c>
      <c r="G372" s="6">
        <f>IF(Benchmark2[[#This Row],[Comparable '#1 Date Check]]="Pass",INDEX(Comp1[Comparable '#1 Price],MATCH(Benchmark2[[#This Row],[Benchmark '#2 Dates]],Comp1[Comparable '#1 Dates],0)),"-")</f>
        <v>17.79</v>
      </c>
      <c r="H372" s="1" t="str">
        <f>IF(COUNTIF(Comp2[Comparable '#2 Dates],Benchmark2[[#This Row],[Benchmark '#2 Dates]])=1,"Pass","Fail")</f>
        <v>Pass</v>
      </c>
      <c r="I372" s="6">
        <f>IF(Benchmark2[[#This Row],[Comparable '#2 Date Check]]="Pass",INDEX(Comp2[Comparable '#2 Price],MATCH(Benchmark2[[#This Row],[Benchmark '#2 Dates]],Comp2[Comparable '#2 Dates],0)),"-")</f>
        <v>34.549999999999997</v>
      </c>
      <c r="J372" s="1" t="str">
        <f>IF(COUNTIF(Comp3[Comparable '#3 Dates],Benchmark2[[#This Row],[Benchmark '#2 Dates]])=1,"Pass","Fail")</f>
        <v>Pass</v>
      </c>
      <c r="K372" s="6">
        <f>IF(Benchmark2[[#This Row],[Comparable '#3 Date Check]]="Pass",INDEX(Comp3[Comparable '#3 Price],MATCH(Benchmark2[[#This Row],[Benchmark '#2 Dates]],Comp3[Comparable '#3 Dates],0)),"-")</f>
        <v>153.91999999999999</v>
      </c>
    </row>
    <row r="373" spans="1:11">
      <c r="A373" s="103">
        <v>43823</v>
      </c>
      <c r="B373" s="104">
        <v>13895.14</v>
      </c>
      <c r="C373" s="4">
        <f t="shared" si="5"/>
        <v>-3.4898200146734275E-4</v>
      </c>
      <c r="D373" s="1" t="str">
        <f>IF(COUNTIF(Target1[Target Dates],Benchmark2[[#This Row],[Benchmark '#2 Dates]])=1,"Pass","Fail")</f>
        <v>Pass</v>
      </c>
      <c r="E373" s="6">
        <f>IF(Benchmark2[[#This Row],[Target Date Check]]="Pass",INDEX(Target1[Target Price],MATCH(Benchmark2[[#This Row],[Benchmark '#2 Dates]],Target1[Target Dates],0)),"-")</f>
        <v>20.05</v>
      </c>
      <c r="F373" s="1" t="str">
        <f>IF(COUNTIF(Comp1[Comparable '#1 Dates],Benchmark2[[#This Row],[Benchmark '#2 Dates]])=1,"Pass","Fail")</f>
        <v>Pass</v>
      </c>
      <c r="G373" s="6">
        <f>IF(Benchmark2[[#This Row],[Comparable '#1 Date Check]]="Pass",INDEX(Comp1[Comparable '#1 Price],MATCH(Benchmark2[[#This Row],[Benchmark '#2 Dates]],Comp1[Comparable '#1 Dates],0)),"-")</f>
        <v>17.760000000000002</v>
      </c>
      <c r="H373" s="1" t="str">
        <f>IF(COUNTIF(Comp2[Comparable '#2 Dates],Benchmark2[[#This Row],[Benchmark '#2 Dates]])=1,"Pass","Fail")</f>
        <v>Pass</v>
      </c>
      <c r="I373" s="6">
        <f>IF(Benchmark2[[#This Row],[Comparable '#2 Date Check]]="Pass",INDEX(Comp2[Comparable '#2 Price],MATCH(Benchmark2[[#This Row],[Benchmark '#2 Dates]],Comp2[Comparable '#2 Dates],0)),"-")</f>
        <v>34.43</v>
      </c>
      <c r="J373" s="1" t="str">
        <f>IF(COUNTIF(Comp3[Comparable '#3 Dates],Benchmark2[[#This Row],[Benchmark '#2 Dates]])=1,"Pass","Fail")</f>
        <v>Pass</v>
      </c>
      <c r="K373" s="6">
        <f>IF(Benchmark2[[#This Row],[Comparable '#3 Date Check]]="Pass",INDEX(Comp3[Comparable '#3 Price],MATCH(Benchmark2[[#This Row],[Benchmark '#2 Dates]],Comp3[Comparable '#3 Dates],0)),"-")</f>
        <v>154.5</v>
      </c>
    </row>
    <row r="374" spans="1:11">
      <c r="A374" s="103">
        <v>43825</v>
      </c>
      <c r="B374" s="104">
        <v>13940.42</v>
      </c>
      <c r="C374" s="4">
        <f t="shared" si="5"/>
        <v>3.2533952928661134E-3</v>
      </c>
      <c r="D374" s="1" t="str">
        <f>IF(COUNTIF(Target1[Target Dates],Benchmark2[[#This Row],[Benchmark '#2 Dates]])=1,"Pass","Fail")</f>
        <v>Pass</v>
      </c>
      <c r="E374" s="6">
        <f>IF(Benchmark2[[#This Row],[Target Date Check]]="Pass",INDEX(Target1[Target Price],MATCH(Benchmark2[[#This Row],[Benchmark '#2 Dates]],Target1[Target Dates],0)),"-")</f>
        <v>19.940000000000001</v>
      </c>
      <c r="F374" s="1" t="str">
        <f>IF(COUNTIF(Comp1[Comparable '#1 Dates],Benchmark2[[#This Row],[Benchmark '#2 Dates]])=1,"Pass","Fail")</f>
        <v>Pass</v>
      </c>
      <c r="G374" s="6">
        <f>IF(Benchmark2[[#This Row],[Comparable '#1 Date Check]]="Pass",INDEX(Comp1[Comparable '#1 Price],MATCH(Benchmark2[[#This Row],[Benchmark '#2 Dates]],Comp1[Comparable '#1 Dates],0)),"-")</f>
        <v>17.95</v>
      </c>
      <c r="H374" s="1" t="str">
        <f>IF(COUNTIF(Comp2[Comparable '#2 Dates],Benchmark2[[#This Row],[Benchmark '#2 Dates]])=1,"Pass","Fail")</f>
        <v>Pass</v>
      </c>
      <c r="I374" s="6">
        <f>IF(Benchmark2[[#This Row],[Comparable '#2 Date Check]]="Pass",INDEX(Comp2[Comparable '#2 Price],MATCH(Benchmark2[[#This Row],[Benchmark '#2 Dates]],Comp2[Comparable '#2 Dates],0)),"-")</f>
        <v>35.119999999999997</v>
      </c>
      <c r="J374" s="1" t="str">
        <f>IF(COUNTIF(Comp3[Comparable '#3 Dates],Benchmark2[[#This Row],[Benchmark '#2 Dates]])=1,"Pass","Fail")</f>
        <v>Pass</v>
      </c>
      <c r="K374" s="6">
        <f>IF(Benchmark2[[#This Row],[Comparable '#3 Date Check]]="Pass",INDEX(Comp3[Comparable '#3 Price],MATCH(Benchmark2[[#This Row],[Benchmark '#2 Dates]],Comp3[Comparable '#3 Dates],0)),"-")</f>
        <v>156.26</v>
      </c>
    </row>
    <row r="375" spans="1:11">
      <c r="A375" s="103">
        <v>43826</v>
      </c>
      <c r="B375" s="104">
        <v>13944.14</v>
      </c>
      <c r="C375" s="4">
        <f t="shared" si="5"/>
        <v>2.6681432463463388E-4</v>
      </c>
      <c r="D375" s="1" t="str">
        <f>IF(COUNTIF(Target1[Target Dates],Benchmark2[[#This Row],[Benchmark '#2 Dates]])=1,"Pass","Fail")</f>
        <v>Pass</v>
      </c>
      <c r="E375" s="6">
        <f>IF(Benchmark2[[#This Row],[Target Date Check]]="Pass",INDEX(Target1[Target Price],MATCH(Benchmark2[[#This Row],[Benchmark '#2 Dates]],Target1[Target Dates],0)),"-")</f>
        <v>19.86</v>
      </c>
      <c r="F375" s="1" t="str">
        <f>IF(COUNTIF(Comp1[Comparable '#1 Dates],Benchmark2[[#This Row],[Benchmark '#2 Dates]])=1,"Pass","Fail")</f>
        <v>Pass</v>
      </c>
      <c r="G375" s="6">
        <f>IF(Benchmark2[[#This Row],[Comparable '#1 Date Check]]="Pass",INDEX(Comp1[Comparable '#1 Price],MATCH(Benchmark2[[#This Row],[Benchmark '#2 Dates]],Comp1[Comparable '#1 Dates],0)),"-")</f>
        <v>17.77</v>
      </c>
      <c r="H375" s="1" t="str">
        <f>IF(COUNTIF(Comp2[Comparable '#2 Dates],Benchmark2[[#This Row],[Benchmark '#2 Dates]])=1,"Pass","Fail")</f>
        <v>Pass</v>
      </c>
      <c r="I375" s="6">
        <f>IF(Benchmark2[[#This Row],[Comparable '#2 Date Check]]="Pass",INDEX(Comp2[Comparable '#2 Price],MATCH(Benchmark2[[#This Row],[Benchmark '#2 Dates]],Comp2[Comparable '#2 Dates],0)),"-")</f>
        <v>35.04</v>
      </c>
      <c r="J375" s="1" t="str">
        <f>IF(COUNTIF(Comp3[Comparable '#3 Dates],Benchmark2[[#This Row],[Benchmark '#2 Dates]])=1,"Pass","Fail")</f>
        <v>Pass</v>
      </c>
      <c r="K375" s="6">
        <f>IF(Benchmark2[[#This Row],[Comparable '#3 Date Check]]="Pass",INDEX(Comp3[Comparable '#3 Price],MATCH(Benchmark2[[#This Row],[Benchmark '#2 Dates]],Comp3[Comparable '#3 Dates],0)),"-")</f>
        <v>156.37</v>
      </c>
    </row>
    <row r="376" spans="1:11">
      <c r="A376" s="103">
        <v>43829</v>
      </c>
      <c r="B376" s="104">
        <v>13876.15</v>
      </c>
      <c r="C376" s="4">
        <f t="shared" si="5"/>
        <v>-4.8878092471755247E-3</v>
      </c>
      <c r="D376" s="1" t="str">
        <f>IF(COUNTIF(Target1[Target Dates],Benchmark2[[#This Row],[Benchmark '#2 Dates]])=1,"Pass","Fail")</f>
        <v>Pass</v>
      </c>
      <c r="E376" s="6">
        <f>IF(Benchmark2[[#This Row],[Target Date Check]]="Pass",INDEX(Target1[Target Price],MATCH(Benchmark2[[#This Row],[Benchmark '#2 Dates]],Target1[Target Dates],0)),"-")</f>
        <v>19.850000000000001</v>
      </c>
      <c r="F376" s="1" t="str">
        <f>IF(COUNTIF(Comp1[Comparable '#1 Dates],Benchmark2[[#This Row],[Benchmark '#2 Dates]])=1,"Pass","Fail")</f>
        <v>Pass</v>
      </c>
      <c r="G376" s="6">
        <f>IF(Benchmark2[[#This Row],[Comparable '#1 Date Check]]="Pass",INDEX(Comp1[Comparable '#1 Price],MATCH(Benchmark2[[#This Row],[Benchmark '#2 Dates]],Comp1[Comparable '#1 Dates],0)),"-")</f>
        <v>17.265000000000001</v>
      </c>
      <c r="H376" s="1" t="str">
        <f>IF(COUNTIF(Comp2[Comparable '#2 Dates],Benchmark2[[#This Row],[Benchmark '#2 Dates]])=1,"Pass","Fail")</f>
        <v>Pass</v>
      </c>
      <c r="I376" s="6">
        <f>IF(Benchmark2[[#This Row],[Comparable '#2 Date Check]]="Pass",INDEX(Comp2[Comparable '#2 Price],MATCH(Benchmark2[[#This Row],[Benchmark '#2 Dates]],Comp2[Comparable '#2 Dates],0)),"-")</f>
        <v>34.69</v>
      </c>
      <c r="J376" s="1" t="str">
        <f>IF(COUNTIF(Comp3[Comparable '#3 Dates],Benchmark2[[#This Row],[Benchmark '#2 Dates]])=1,"Pass","Fail")</f>
        <v>Pass</v>
      </c>
      <c r="K376" s="6">
        <f>IF(Benchmark2[[#This Row],[Comparable '#3 Date Check]]="Pass",INDEX(Comp3[Comparable '#3 Price],MATCH(Benchmark2[[#This Row],[Benchmark '#2 Dates]],Comp3[Comparable '#3 Dates],0)),"-")</f>
        <v>157.62</v>
      </c>
    </row>
    <row r="377" spans="1:11">
      <c r="A377" s="103">
        <v>43830</v>
      </c>
      <c r="B377" s="104">
        <v>13913.03</v>
      </c>
      <c r="C377" s="4">
        <f t="shared" si="5"/>
        <v>2.6542720333685653E-3</v>
      </c>
      <c r="D377" s="1" t="str">
        <f>IF(COUNTIF(Target1[Target Dates],Benchmark2[[#This Row],[Benchmark '#2 Dates]])=1,"Pass","Fail")</f>
        <v>Pass</v>
      </c>
      <c r="E377" s="6">
        <f>IF(Benchmark2[[#This Row],[Target Date Check]]="Pass",INDEX(Target1[Target Price],MATCH(Benchmark2[[#This Row],[Benchmark '#2 Dates]],Target1[Target Dates],0)),"-")</f>
        <v>20.350000000000001</v>
      </c>
      <c r="F377" s="1" t="str">
        <f>IF(COUNTIF(Comp1[Comparable '#1 Dates],Benchmark2[[#This Row],[Benchmark '#2 Dates]])=1,"Pass","Fail")</f>
        <v>Pass</v>
      </c>
      <c r="G377" s="6">
        <f>IF(Benchmark2[[#This Row],[Comparable '#1 Date Check]]="Pass",INDEX(Comp1[Comparable '#1 Price],MATCH(Benchmark2[[#This Row],[Benchmark '#2 Dates]],Comp1[Comparable '#1 Dates],0)),"-")</f>
        <v>17.61</v>
      </c>
      <c r="H377" s="1" t="str">
        <f>IF(COUNTIF(Comp2[Comparable '#2 Dates],Benchmark2[[#This Row],[Benchmark '#2 Dates]])=1,"Pass","Fail")</f>
        <v>Pass</v>
      </c>
      <c r="I377" s="6">
        <f>IF(Benchmark2[[#This Row],[Comparable '#2 Date Check]]="Pass",INDEX(Comp2[Comparable '#2 Price],MATCH(Benchmark2[[#This Row],[Benchmark '#2 Dates]],Comp2[Comparable '#2 Dates],0)),"-")</f>
        <v>34.97</v>
      </c>
      <c r="J377" s="1" t="str">
        <f>IF(COUNTIF(Comp3[Comparable '#3 Dates],Benchmark2[[#This Row],[Benchmark '#2 Dates]])=1,"Pass","Fail")</f>
        <v>Pass</v>
      </c>
      <c r="K377" s="6">
        <f>IF(Benchmark2[[#This Row],[Comparable '#3 Date Check]]="Pass",INDEX(Comp3[Comparable '#3 Price],MATCH(Benchmark2[[#This Row],[Benchmark '#2 Dates]],Comp3[Comparable '#3 Dates],0)),"-")</f>
        <v>158.9</v>
      </c>
    </row>
    <row r="378" spans="1:11">
      <c r="A378" s="103">
        <v>43832</v>
      </c>
      <c r="B378" s="104">
        <v>14002.49</v>
      </c>
      <c r="C378" s="4">
        <f t="shared" si="5"/>
        <v>6.4093598292558288E-3</v>
      </c>
      <c r="D378" s="1" t="str">
        <f>IF(COUNTIF(Target1[Target Dates],Benchmark2[[#This Row],[Benchmark '#2 Dates]])=1,"Pass","Fail")</f>
        <v>Pass</v>
      </c>
      <c r="E378" s="6">
        <f>IF(Benchmark2[[#This Row],[Target Date Check]]="Pass",INDEX(Target1[Target Price],MATCH(Benchmark2[[#This Row],[Benchmark '#2 Dates]],Target1[Target Dates],0)),"-")</f>
        <v>20.13</v>
      </c>
      <c r="F378" s="1" t="str">
        <f>IF(COUNTIF(Comp1[Comparable '#1 Dates],Benchmark2[[#This Row],[Benchmark '#2 Dates]])=1,"Pass","Fail")</f>
        <v>Pass</v>
      </c>
      <c r="G378" s="6">
        <f>IF(Benchmark2[[#This Row],[Comparable '#1 Date Check]]="Pass",INDEX(Comp1[Comparable '#1 Price],MATCH(Benchmark2[[#This Row],[Benchmark '#2 Dates]],Comp1[Comparable '#1 Dates],0)),"-")</f>
        <v>17.829999999999998</v>
      </c>
      <c r="H378" s="1" t="str">
        <f>IF(COUNTIF(Comp2[Comparable '#2 Dates],Benchmark2[[#This Row],[Benchmark '#2 Dates]])=1,"Pass","Fail")</f>
        <v>Pass</v>
      </c>
      <c r="I378" s="6">
        <f>IF(Benchmark2[[#This Row],[Comparable '#2 Date Check]]="Pass",INDEX(Comp2[Comparable '#2 Price],MATCH(Benchmark2[[#This Row],[Benchmark '#2 Dates]],Comp2[Comparable '#2 Dates],0)),"-")</f>
        <v>34.69</v>
      </c>
      <c r="J378" s="1" t="str">
        <f>IF(COUNTIF(Comp3[Comparable '#3 Dates],Benchmark2[[#This Row],[Benchmark '#2 Dates]])=1,"Pass","Fail")</f>
        <v>Pass</v>
      </c>
      <c r="K378" s="6">
        <f>IF(Benchmark2[[#This Row],[Comparable '#3 Date Check]]="Pass",INDEX(Comp3[Comparable '#3 Price],MATCH(Benchmark2[[#This Row],[Benchmark '#2 Dates]],Comp3[Comparable '#3 Dates],0)),"-")</f>
        <v>160.04</v>
      </c>
    </row>
    <row r="379" spans="1:11">
      <c r="A379" s="103">
        <v>43833</v>
      </c>
      <c r="B379" s="104">
        <v>13917.05</v>
      </c>
      <c r="C379" s="4">
        <f t="shared" si="5"/>
        <v>-6.1204637838289597E-3</v>
      </c>
      <c r="D379" s="1" t="str">
        <f>IF(COUNTIF(Target1[Target Dates],Benchmark2[[#This Row],[Benchmark '#2 Dates]])=1,"Pass","Fail")</f>
        <v>Pass</v>
      </c>
      <c r="E379" s="6">
        <f>IF(Benchmark2[[#This Row],[Target Date Check]]="Pass",INDEX(Target1[Target Price],MATCH(Benchmark2[[#This Row],[Benchmark '#2 Dates]],Target1[Target Dates],0)),"-")</f>
        <v>20.34</v>
      </c>
      <c r="F379" s="1" t="str">
        <f>IF(COUNTIF(Comp1[Comparable '#1 Dates],Benchmark2[[#This Row],[Benchmark '#2 Dates]])=1,"Pass","Fail")</f>
        <v>Pass</v>
      </c>
      <c r="G379" s="6">
        <f>IF(Benchmark2[[#This Row],[Comparable '#1 Date Check]]="Pass",INDEX(Comp1[Comparable '#1 Price],MATCH(Benchmark2[[#This Row],[Benchmark '#2 Dates]],Comp1[Comparable '#1 Dates],0)),"-")</f>
        <v>17.914999999999999</v>
      </c>
      <c r="H379" s="1" t="str">
        <f>IF(COUNTIF(Comp2[Comparable '#2 Dates],Benchmark2[[#This Row],[Benchmark '#2 Dates]])=1,"Pass","Fail")</f>
        <v>Pass</v>
      </c>
      <c r="I379" s="6">
        <f>IF(Benchmark2[[#This Row],[Comparable '#2 Date Check]]="Pass",INDEX(Comp2[Comparable '#2 Price],MATCH(Benchmark2[[#This Row],[Benchmark '#2 Dates]],Comp2[Comparable '#2 Dates],0)),"-")</f>
        <v>34.57</v>
      </c>
      <c r="J379" s="1" t="str">
        <f>IF(COUNTIF(Comp3[Comparable '#3 Dates],Benchmark2[[#This Row],[Benchmark '#2 Dates]])=1,"Pass","Fail")</f>
        <v>Pass</v>
      </c>
      <c r="K379" s="6">
        <f>IF(Benchmark2[[#This Row],[Comparable '#3 Date Check]]="Pass",INDEX(Comp3[Comparable '#3 Price],MATCH(Benchmark2[[#This Row],[Benchmark '#2 Dates]],Comp3[Comparable '#3 Dates],0)),"-")</f>
        <v>159.58000000000001</v>
      </c>
    </row>
    <row r="380" spans="1:11">
      <c r="A380" s="103">
        <v>43836</v>
      </c>
      <c r="B380" s="104">
        <v>13941.8</v>
      </c>
      <c r="C380" s="4">
        <f t="shared" si="5"/>
        <v>1.7768146575654338E-3</v>
      </c>
      <c r="D380" s="1" t="str">
        <f>IF(COUNTIF(Target1[Target Dates],Benchmark2[[#This Row],[Benchmark '#2 Dates]])=1,"Pass","Fail")</f>
        <v>Pass</v>
      </c>
      <c r="E380" s="6">
        <f>IF(Benchmark2[[#This Row],[Target Date Check]]="Pass",INDEX(Target1[Target Price],MATCH(Benchmark2[[#This Row],[Benchmark '#2 Dates]],Target1[Target Dates],0)),"-")</f>
        <v>20.5</v>
      </c>
      <c r="F380" s="1" t="str">
        <f>IF(COUNTIF(Comp1[Comparable '#1 Dates],Benchmark2[[#This Row],[Benchmark '#2 Dates]])=1,"Pass","Fail")</f>
        <v>Pass</v>
      </c>
      <c r="G380" s="6">
        <f>IF(Benchmark2[[#This Row],[Comparable '#1 Date Check]]="Pass",INDEX(Comp1[Comparable '#1 Price],MATCH(Benchmark2[[#This Row],[Benchmark '#2 Dates]],Comp1[Comparable '#1 Dates],0)),"-")</f>
        <v>18.07</v>
      </c>
      <c r="H380" s="1" t="str">
        <f>IF(COUNTIF(Comp2[Comparable '#2 Dates],Benchmark2[[#This Row],[Benchmark '#2 Dates]])=1,"Pass","Fail")</f>
        <v>Pass</v>
      </c>
      <c r="I380" s="6">
        <f>IF(Benchmark2[[#This Row],[Comparable '#2 Date Check]]="Pass",INDEX(Comp2[Comparable '#2 Price],MATCH(Benchmark2[[#This Row],[Benchmark '#2 Dates]],Comp2[Comparable '#2 Dates],0)),"-")</f>
        <v>35.130000000000003</v>
      </c>
      <c r="J380" s="1" t="str">
        <f>IF(COUNTIF(Comp3[Comparable '#3 Dates],Benchmark2[[#This Row],[Benchmark '#2 Dates]])=1,"Pass","Fail")</f>
        <v>Pass</v>
      </c>
      <c r="K380" s="6">
        <f>IF(Benchmark2[[#This Row],[Comparable '#3 Date Check]]="Pass",INDEX(Comp3[Comparable '#3 Price],MATCH(Benchmark2[[#This Row],[Benchmark '#2 Dates]],Comp3[Comparable '#3 Dates],0)),"-")</f>
        <v>159.31</v>
      </c>
    </row>
    <row r="381" spans="1:11">
      <c r="A381" s="103">
        <v>43837</v>
      </c>
      <c r="B381" s="104">
        <v>13898.45</v>
      </c>
      <c r="C381" s="4">
        <f t="shared" si="5"/>
        <v>-3.1141986896569976E-3</v>
      </c>
      <c r="D381" s="1" t="str">
        <f>IF(COUNTIF(Target1[Target Dates],Benchmark2[[#This Row],[Benchmark '#2 Dates]])=1,"Pass","Fail")</f>
        <v>Pass</v>
      </c>
      <c r="E381" s="6">
        <f>IF(Benchmark2[[#This Row],[Target Date Check]]="Pass",INDEX(Target1[Target Price],MATCH(Benchmark2[[#This Row],[Benchmark '#2 Dates]],Target1[Target Dates],0)),"-")</f>
        <v>20.7</v>
      </c>
      <c r="F381" s="1" t="str">
        <f>IF(COUNTIF(Comp1[Comparable '#1 Dates],Benchmark2[[#This Row],[Benchmark '#2 Dates]])=1,"Pass","Fail")</f>
        <v>Pass</v>
      </c>
      <c r="G381" s="6">
        <f>IF(Benchmark2[[#This Row],[Comparable '#1 Date Check]]="Pass",INDEX(Comp1[Comparable '#1 Price],MATCH(Benchmark2[[#This Row],[Benchmark '#2 Dates]],Comp1[Comparable '#1 Dates],0)),"-")</f>
        <v>18.170000000000002</v>
      </c>
      <c r="H381" s="1" t="str">
        <f>IF(COUNTIF(Comp2[Comparable '#2 Dates],Benchmark2[[#This Row],[Benchmark '#2 Dates]])=1,"Pass","Fail")</f>
        <v>Pass</v>
      </c>
      <c r="I381" s="6">
        <f>IF(Benchmark2[[#This Row],[Comparable '#2 Date Check]]="Pass",INDEX(Comp2[Comparable '#2 Price],MATCH(Benchmark2[[#This Row],[Benchmark '#2 Dates]],Comp2[Comparable '#2 Dates],0)),"-")</f>
        <v>35.49</v>
      </c>
      <c r="J381" s="1" t="str">
        <f>IF(COUNTIF(Comp3[Comparable '#3 Dates],Benchmark2[[#This Row],[Benchmark '#2 Dates]])=1,"Pass","Fail")</f>
        <v>Pass</v>
      </c>
      <c r="K381" s="6">
        <f>IF(Benchmark2[[#This Row],[Comparable '#3 Date Check]]="Pass",INDEX(Comp3[Comparable '#3 Price],MATCH(Benchmark2[[#This Row],[Benchmark '#2 Dates]],Comp3[Comparable '#3 Dates],0)),"-")</f>
        <v>159.69999999999999</v>
      </c>
    </row>
    <row r="382" spans="1:11">
      <c r="A382" s="103">
        <v>43838</v>
      </c>
      <c r="B382" s="104">
        <v>13934.45</v>
      </c>
      <c r="C382" s="4">
        <f t="shared" si="5"/>
        <v>2.5868680644601217E-3</v>
      </c>
      <c r="D382" s="1" t="str">
        <f>IF(COUNTIF(Target1[Target Dates],Benchmark2[[#This Row],[Benchmark '#2 Dates]])=1,"Pass","Fail")</f>
        <v>Pass</v>
      </c>
      <c r="E382" s="6">
        <f>IF(Benchmark2[[#This Row],[Target Date Check]]="Pass",INDEX(Target1[Target Price],MATCH(Benchmark2[[#This Row],[Benchmark '#2 Dates]],Target1[Target Dates],0)),"-")</f>
        <v>20.59</v>
      </c>
      <c r="F382" s="1" t="str">
        <f>IF(COUNTIF(Comp1[Comparable '#1 Dates],Benchmark2[[#This Row],[Benchmark '#2 Dates]])=1,"Pass","Fail")</f>
        <v>Pass</v>
      </c>
      <c r="G382" s="6">
        <f>IF(Benchmark2[[#This Row],[Comparable '#1 Date Check]]="Pass",INDEX(Comp1[Comparable '#1 Price],MATCH(Benchmark2[[#This Row],[Benchmark '#2 Dates]],Comp1[Comparable '#1 Dates],0)),"-")</f>
        <v>18.3</v>
      </c>
      <c r="H382" s="1" t="str">
        <f>IF(COUNTIF(Comp2[Comparable '#2 Dates],Benchmark2[[#This Row],[Benchmark '#2 Dates]])=1,"Pass","Fail")</f>
        <v>Pass</v>
      </c>
      <c r="I382" s="6">
        <f>IF(Benchmark2[[#This Row],[Comparable '#2 Date Check]]="Pass",INDEX(Comp2[Comparable '#2 Price],MATCH(Benchmark2[[#This Row],[Benchmark '#2 Dates]],Comp2[Comparable '#2 Dates],0)),"-")</f>
        <v>35.619999999999997</v>
      </c>
      <c r="J382" s="1" t="str">
        <f>IF(COUNTIF(Comp3[Comparable '#3 Dates],Benchmark2[[#This Row],[Benchmark '#2 Dates]])=1,"Pass","Fail")</f>
        <v>Pass</v>
      </c>
      <c r="K382" s="6">
        <f>IF(Benchmark2[[#This Row],[Comparable '#3 Date Check]]="Pass",INDEX(Comp3[Comparable '#3 Price],MATCH(Benchmark2[[#This Row],[Benchmark '#2 Dates]],Comp3[Comparable '#3 Dates],0)),"-")</f>
        <v>158.31</v>
      </c>
    </row>
    <row r="383" spans="1:11">
      <c r="A383" s="103">
        <v>43839</v>
      </c>
      <c r="B383" s="104">
        <v>13997.65</v>
      </c>
      <c r="C383" s="4">
        <f t="shared" si="5"/>
        <v>4.5252671908657029E-3</v>
      </c>
      <c r="D383" s="1" t="str">
        <f>IF(COUNTIF(Target1[Target Dates],Benchmark2[[#This Row],[Benchmark '#2 Dates]])=1,"Pass","Fail")</f>
        <v>Pass</v>
      </c>
      <c r="E383" s="6">
        <f>IF(Benchmark2[[#This Row],[Target Date Check]]="Pass",INDEX(Target1[Target Price],MATCH(Benchmark2[[#This Row],[Benchmark '#2 Dates]],Target1[Target Dates],0)),"-")</f>
        <v>20.38</v>
      </c>
      <c r="F383" s="1" t="str">
        <f>IF(COUNTIF(Comp1[Comparable '#1 Dates],Benchmark2[[#This Row],[Benchmark '#2 Dates]])=1,"Pass","Fail")</f>
        <v>Pass</v>
      </c>
      <c r="G383" s="6">
        <f>IF(Benchmark2[[#This Row],[Comparable '#1 Date Check]]="Pass",INDEX(Comp1[Comparable '#1 Price],MATCH(Benchmark2[[#This Row],[Benchmark '#2 Dates]],Comp1[Comparable '#1 Dates],0)),"-")</f>
        <v>18.149999999999999</v>
      </c>
      <c r="H383" s="1" t="str">
        <f>IF(COUNTIF(Comp2[Comparable '#2 Dates],Benchmark2[[#This Row],[Benchmark '#2 Dates]])=1,"Pass","Fail")</f>
        <v>Pass</v>
      </c>
      <c r="I383" s="6">
        <f>IF(Benchmark2[[#This Row],[Comparable '#2 Date Check]]="Pass",INDEX(Comp2[Comparable '#2 Price],MATCH(Benchmark2[[#This Row],[Benchmark '#2 Dates]],Comp2[Comparable '#2 Dates],0)),"-")</f>
        <v>35.94</v>
      </c>
      <c r="J383" s="1" t="str">
        <f>IF(COUNTIF(Comp3[Comparable '#3 Dates],Benchmark2[[#This Row],[Benchmark '#2 Dates]])=1,"Pass","Fail")</f>
        <v>Pass</v>
      </c>
      <c r="K383" s="6">
        <f>IF(Benchmark2[[#This Row],[Comparable '#3 Date Check]]="Pass",INDEX(Comp3[Comparable '#3 Price],MATCH(Benchmark2[[#This Row],[Benchmark '#2 Dates]],Comp3[Comparable '#3 Dates],0)),"-")</f>
        <v>159.52000000000001</v>
      </c>
    </row>
    <row r="384" spans="1:11">
      <c r="A384" s="103">
        <v>43840</v>
      </c>
      <c r="B384" s="104">
        <v>13957.96</v>
      </c>
      <c r="C384" s="4">
        <f t="shared" si="5"/>
        <v>-2.8395035320382678E-3</v>
      </c>
      <c r="D384" s="1" t="str">
        <f>IF(COUNTIF(Target1[Target Dates],Benchmark2[[#This Row],[Benchmark '#2 Dates]])=1,"Pass","Fail")</f>
        <v>Pass</v>
      </c>
      <c r="E384" s="6">
        <f>IF(Benchmark2[[#This Row],[Target Date Check]]="Pass",INDEX(Target1[Target Price],MATCH(Benchmark2[[#This Row],[Benchmark '#2 Dates]],Target1[Target Dates],0)),"-")</f>
        <v>20.170000000000002</v>
      </c>
      <c r="F384" s="1" t="str">
        <f>IF(COUNTIF(Comp1[Comparable '#1 Dates],Benchmark2[[#This Row],[Benchmark '#2 Dates]])=1,"Pass","Fail")</f>
        <v>Pass</v>
      </c>
      <c r="G384" s="6">
        <f>IF(Benchmark2[[#This Row],[Comparable '#1 Date Check]]="Pass",INDEX(Comp1[Comparable '#1 Price],MATCH(Benchmark2[[#This Row],[Benchmark '#2 Dates]],Comp1[Comparable '#1 Dates],0)),"-")</f>
        <v>17.809999999999999</v>
      </c>
      <c r="H384" s="1" t="str">
        <f>IF(COUNTIF(Comp2[Comparable '#2 Dates],Benchmark2[[#This Row],[Benchmark '#2 Dates]])=1,"Pass","Fail")</f>
        <v>Pass</v>
      </c>
      <c r="I384" s="6">
        <f>IF(Benchmark2[[#This Row],[Comparable '#2 Date Check]]="Pass",INDEX(Comp2[Comparable '#2 Price],MATCH(Benchmark2[[#This Row],[Benchmark '#2 Dates]],Comp2[Comparable '#2 Dates],0)),"-")</f>
        <v>35.479999999999997</v>
      </c>
      <c r="J384" s="1" t="str">
        <f>IF(COUNTIF(Comp3[Comparable '#3 Dates],Benchmark2[[#This Row],[Benchmark '#2 Dates]])=1,"Pass","Fail")</f>
        <v>Pass</v>
      </c>
      <c r="K384" s="6">
        <f>IF(Benchmark2[[#This Row],[Comparable '#3 Date Check]]="Pass",INDEX(Comp3[Comparable '#3 Price],MATCH(Benchmark2[[#This Row],[Benchmark '#2 Dates]],Comp3[Comparable '#3 Dates],0)),"-")</f>
        <v>158.74</v>
      </c>
    </row>
    <row r="385" spans="1:11">
      <c r="A385" s="103">
        <v>43843</v>
      </c>
      <c r="B385" s="104">
        <v>14042.64</v>
      </c>
      <c r="C385" s="4">
        <f t="shared" si="5"/>
        <v>6.0484602587107727E-3</v>
      </c>
      <c r="D385" s="1" t="str">
        <f>IF(COUNTIF(Target1[Target Dates],Benchmark2[[#This Row],[Benchmark '#2 Dates]])=1,"Pass","Fail")</f>
        <v>Pass</v>
      </c>
      <c r="E385" s="6">
        <f>IF(Benchmark2[[#This Row],[Target Date Check]]="Pass",INDEX(Target1[Target Price],MATCH(Benchmark2[[#This Row],[Benchmark '#2 Dates]],Target1[Target Dates],0)),"-")</f>
        <v>20.64</v>
      </c>
      <c r="F385" s="1" t="str">
        <f>IF(COUNTIF(Comp1[Comparable '#1 Dates],Benchmark2[[#This Row],[Benchmark '#2 Dates]])=1,"Pass","Fail")</f>
        <v>Pass</v>
      </c>
      <c r="G385" s="6">
        <f>IF(Benchmark2[[#This Row],[Comparable '#1 Date Check]]="Pass",INDEX(Comp1[Comparable '#1 Price],MATCH(Benchmark2[[#This Row],[Benchmark '#2 Dates]],Comp1[Comparable '#1 Dates],0)),"-")</f>
        <v>17.940000000000001</v>
      </c>
      <c r="H385" s="1" t="str">
        <f>IF(COUNTIF(Comp2[Comparable '#2 Dates],Benchmark2[[#This Row],[Benchmark '#2 Dates]])=1,"Pass","Fail")</f>
        <v>Pass</v>
      </c>
      <c r="I385" s="6">
        <f>IF(Benchmark2[[#This Row],[Comparable '#2 Date Check]]="Pass",INDEX(Comp2[Comparable '#2 Price],MATCH(Benchmark2[[#This Row],[Benchmark '#2 Dates]],Comp2[Comparable '#2 Dates],0)),"-")</f>
        <v>35.94</v>
      </c>
      <c r="J385" s="1" t="str">
        <f>IF(COUNTIF(Comp3[Comparable '#3 Dates],Benchmark2[[#This Row],[Benchmark '#2 Dates]])=1,"Pass","Fail")</f>
        <v>Pass</v>
      </c>
      <c r="K385" s="6">
        <f>IF(Benchmark2[[#This Row],[Comparable '#3 Date Check]]="Pass",INDEX(Comp3[Comparable '#3 Price],MATCH(Benchmark2[[#This Row],[Benchmark '#2 Dates]],Comp3[Comparable '#3 Dates],0)),"-")</f>
        <v>160.1</v>
      </c>
    </row>
    <row r="386" spans="1:11">
      <c r="A386" s="103">
        <v>43844</v>
      </c>
      <c r="B386" s="104">
        <v>14037.13</v>
      </c>
      <c r="C386" s="4">
        <f t="shared" ref="C386:C449" si="6">IFERROR(IF(B386="",NA(),LN(B386/B385)),"-")</f>
        <v>-3.9245336202692891E-4</v>
      </c>
      <c r="D386" s="1" t="str">
        <f>IF(COUNTIF(Target1[Target Dates],Benchmark2[[#This Row],[Benchmark '#2 Dates]])=1,"Pass","Fail")</f>
        <v>Pass</v>
      </c>
      <c r="E386" s="6">
        <f>IF(Benchmark2[[#This Row],[Target Date Check]]="Pass",INDEX(Target1[Target Price],MATCH(Benchmark2[[#This Row],[Benchmark '#2 Dates]],Target1[Target Dates],0)),"-")</f>
        <v>20.2</v>
      </c>
      <c r="F386" s="1" t="str">
        <f>IF(COUNTIF(Comp1[Comparable '#1 Dates],Benchmark2[[#This Row],[Benchmark '#2 Dates]])=1,"Pass","Fail")</f>
        <v>Pass</v>
      </c>
      <c r="G386" s="6">
        <f>IF(Benchmark2[[#This Row],[Comparable '#1 Date Check]]="Pass",INDEX(Comp1[Comparable '#1 Price],MATCH(Benchmark2[[#This Row],[Benchmark '#2 Dates]],Comp1[Comparable '#1 Dates],0)),"-")</f>
        <v>17.96</v>
      </c>
      <c r="H386" s="1" t="str">
        <f>IF(COUNTIF(Comp2[Comparable '#2 Dates],Benchmark2[[#This Row],[Benchmark '#2 Dates]])=1,"Pass","Fail")</f>
        <v>Pass</v>
      </c>
      <c r="I386" s="6">
        <f>IF(Benchmark2[[#This Row],[Comparable '#2 Date Check]]="Pass",INDEX(Comp2[Comparable '#2 Price],MATCH(Benchmark2[[#This Row],[Benchmark '#2 Dates]],Comp2[Comparable '#2 Dates],0)),"-")</f>
        <v>36.200000000000003</v>
      </c>
      <c r="J386" s="1" t="str">
        <f>IF(COUNTIF(Comp3[Comparable '#3 Dates],Benchmark2[[#This Row],[Benchmark '#2 Dates]])=1,"Pass","Fail")</f>
        <v>Pass</v>
      </c>
      <c r="K386" s="6">
        <f>IF(Benchmark2[[#This Row],[Comparable '#3 Date Check]]="Pass",INDEX(Comp3[Comparable '#3 Price],MATCH(Benchmark2[[#This Row],[Benchmark '#2 Dates]],Comp3[Comparable '#3 Dates],0)),"-")</f>
        <v>160.87</v>
      </c>
    </row>
    <row r="387" spans="1:11">
      <c r="A387" s="103">
        <v>43845</v>
      </c>
      <c r="B387" s="104">
        <v>14053.23</v>
      </c>
      <c r="C387" s="4">
        <f t="shared" si="6"/>
        <v>1.1463008493275376E-3</v>
      </c>
      <c r="D387" s="1" t="str">
        <f>IF(COUNTIF(Target1[Target Dates],Benchmark2[[#This Row],[Benchmark '#2 Dates]])=1,"Pass","Fail")</f>
        <v>Pass</v>
      </c>
      <c r="E387" s="6">
        <f>IF(Benchmark2[[#This Row],[Target Date Check]]="Pass",INDEX(Target1[Target Price],MATCH(Benchmark2[[#This Row],[Benchmark '#2 Dates]],Target1[Target Dates],0)),"-")</f>
        <v>20.51</v>
      </c>
      <c r="F387" s="1" t="str">
        <f>IF(COUNTIF(Comp1[Comparable '#1 Dates],Benchmark2[[#This Row],[Benchmark '#2 Dates]])=1,"Pass","Fail")</f>
        <v>Pass</v>
      </c>
      <c r="G387" s="6">
        <f>IF(Benchmark2[[#This Row],[Comparable '#1 Date Check]]="Pass",INDEX(Comp1[Comparable '#1 Price],MATCH(Benchmark2[[#This Row],[Benchmark '#2 Dates]],Comp1[Comparable '#1 Dates],0)),"-")</f>
        <v>17.899999999999999</v>
      </c>
      <c r="H387" s="1" t="str">
        <f>IF(COUNTIF(Comp2[Comparable '#2 Dates],Benchmark2[[#This Row],[Benchmark '#2 Dates]])=1,"Pass","Fail")</f>
        <v>Pass</v>
      </c>
      <c r="I387" s="6">
        <f>IF(Benchmark2[[#This Row],[Comparable '#2 Date Check]]="Pass",INDEX(Comp2[Comparable '#2 Price],MATCH(Benchmark2[[#This Row],[Benchmark '#2 Dates]],Comp2[Comparable '#2 Dates],0)),"-")</f>
        <v>36.5</v>
      </c>
      <c r="J387" s="1" t="str">
        <f>IF(COUNTIF(Comp3[Comparable '#3 Dates],Benchmark2[[#This Row],[Benchmark '#2 Dates]])=1,"Pass","Fail")</f>
        <v>Pass</v>
      </c>
      <c r="K387" s="6">
        <f>IF(Benchmark2[[#This Row],[Comparable '#3 Date Check]]="Pass",INDEX(Comp3[Comparable '#3 Price],MATCH(Benchmark2[[#This Row],[Benchmark '#2 Dates]],Comp3[Comparable '#3 Dates],0)),"-")</f>
        <v>160.80000000000001</v>
      </c>
    </row>
    <row r="388" spans="1:11">
      <c r="A388" s="103">
        <v>43846</v>
      </c>
      <c r="B388" s="104">
        <v>14141.78</v>
      </c>
      <c r="C388" s="4">
        <f t="shared" si="6"/>
        <v>6.2812739658841543E-3</v>
      </c>
      <c r="D388" s="1" t="str">
        <f>IF(COUNTIF(Target1[Target Dates],Benchmark2[[#This Row],[Benchmark '#2 Dates]])=1,"Pass","Fail")</f>
        <v>Pass</v>
      </c>
      <c r="E388" s="6">
        <f>IF(Benchmark2[[#This Row],[Target Date Check]]="Pass",INDEX(Target1[Target Price],MATCH(Benchmark2[[#This Row],[Benchmark '#2 Dates]],Target1[Target Dates],0)),"-")</f>
        <v>20.92</v>
      </c>
      <c r="F388" s="1" t="str">
        <f>IF(COUNTIF(Comp1[Comparable '#1 Dates],Benchmark2[[#This Row],[Benchmark '#2 Dates]])=1,"Pass","Fail")</f>
        <v>Pass</v>
      </c>
      <c r="G388" s="6">
        <f>IF(Benchmark2[[#This Row],[Comparable '#1 Date Check]]="Pass",INDEX(Comp1[Comparable '#1 Price],MATCH(Benchmark2[[#This Row],[Benchmark '#2 Dates]],Comp1[Comparable '#1 Dates],0)),"-")</f>
        <v>18.149999999999999</v>
      </c>
      <c r="H388" s="1" t="str">
        <f>IF(COUNTIF(Comp2[Comparable '#2 Dates],Benchmark2[[#This Row],[Benchmark '#2 Dates]])=1,"Pass","Fail")</f>
        <v>Pass</v>
      </c>
      <c r="I388" s="6">
        <f>IF(Benchmark2[[#This Row],[Comparable '#2 Date Check]]="Pass",INDEX(Comp2[Comparable '#2 Price],MATCH(Benchmark2[[#This Row],[Benchmark '#2 Dates]],Comp2[Comparable '#2 Dates],0)),"-")</f>
        <v>36.869999999999997</v>
      </c>
      <c r="J388" s="1" t="str">
        <f>IF(COUNTIF(Comp3[Comparable '#3 Dates],Benchmark2[[#This Row],[Benchmark '#2 Dates]])=1,"Pass","Fail")</f>
        <v>Pass</v>
      </c>
      <c r="K388" s="6">
        <f>IF(Benchmark2[[#This Row],[Comparable '#3 Date Check]]="Pass",INDEX(Comp3[Comparable '#3 Price],MATCH(Benchmark2[[#This Row],[Benchmark '#2 Dates]],Comp3[Comparable '#3 Dates],0)),"-")</f>
        <v>162</v>
      </c>
    </row>
    <row r="389" spans="1:11">
      <c r="A389" s="103">
        <v>43847</v>
      </c>
      <c r="B389" s="104">
        <v>14183.2</v>
      </c>
      <c r="C389" s="4">
        <f t="shared" si="6"/>
        <v>2.9246290393617515E-3</v>
      </c>
      <c r="D389" s="1" t="str">
        <f>IF(COUNTIF(Target1[Target Dates],Benchmark2[[#This Row],[Benchmark '#2 Dates]])=1,"Pass","Fail")</f>
        <v>Pass</v>
      </c>
      <c r="E389" s="6">
        <f>IF(Benchmark2[[#This Row],[Target Date Check]]="Pass",INDEX(Target1[Target Price],MATCH(Benchmark2[[#This Row],[Benchmark '#2 Dates]],Target1[Target Dates],0)),"-")</f>
        <v>20.81</v>
      </c>
      <c r="F389" s="1" t="str">
        <f>IF(COUNTIF(Comp1[Comparable '#1 Dates],Benchmark2[[#This Row],[Benchmark '#2 Dates]])=1,"Pass","Fail")</f>
        <v>Pass</v>
      </c>
      <c r="G389" s="6">
        <f>IF(Benchmark2[[#This Row],[Comparable '#1 Date Check]]="Pass",INDEX(Comp1[Comparable '#1 Price],MATCH(Benchmark2[[#This Row],[Benchmark '#2 Dates]],Comp1[Comparable '#1 Dates],0)),"-")</f>
        <v>18.2</v>
      </c>
      <c r="H389" s="1" t="str">
        <f>IF(COUNTIF(Comp2[Comparable '#2 Dates],Benchmark2[[#This Row],[Benchmark '#2 Dates]])=1,"Pass","Fail")</f>
        <v>Pass</v>
      </c>
      <c r="I389" s="6">
        <f>IF(Benchmark2[[#This Row],[Comparable '#2 Date Check]]="Pass",INDEX(Comp2[Comparable '#2 Price],MATCH(Benchmark2[[#This Row],[Benchmark '#2 Dates]],Comp2[Comparable '#2 Dates],0)),"-")</f>
        <v>36.51</v>
      </c>
      <c r="J389" s="1" t="str">
        <f>IF(COUNTIF(Comp3[Comparable '#3 Dates],Benchmark2[[#This Row],[Benchmark '#2 Dates]])=1,"Pass","Fail")</f>
        <v>Pass</v>
      </c>
      <c r="K389" s="6">
        <f>IF(Benchmark2[[#This Row],[Comparable '#3 Date Check]]="Pass",INDEX(Comp3[Comparable '#3 Price],MATCH(Benchmark2[[#This Row],[Benchmark '#2 Dates]],Comp3[Comparable '#3 Dates],0)),"-")</f>
        <v>162.85</v>
      </c>
    </row>
    <row r="390" spans="1:11">
      <c r="A390" s="103">
        <v>43851</v>
      </c>
      <c r="B390" s="104">
        <v>14109.98</v>
      </c>
      <c r="C390" s="4">
        <f t="shared" si="6"/>
        <v>-5.1758171727593078E-3</v>
      </c>
      <c r="D390" s="1" t="str">
        <f>IF(COUNTIF(Target1[Target Dates],Benchmark2[[#This Row],[Benchmark '#2 Dates]])=1,"Pass","Fail")</f>
        <v>Pass</v>
      </c>
      <c r="E390" s="6">
        <f>IF(Benchmark2[[#This Row],[Target Date Check]]="Pass",INDEX(Target1[Target Price],MATCH(Benchmark2[[#This Row],[Benchmark '#2 Dates]],Target1[Target Dates],0)),"-")</f>
        <v>20.350000000000001</v>
      </c>
      <c r="F390" s="1" t="str">
        <f>IF(COUNTIF(Comp1[Comparable '#1 Dates],Benchmark2[[#This Row],[Benchmark '#2 Dates]])=1,"Pass","Fail")</f>
        <v>Pass</v>
      </c>
      <c r="G390" s="6">
        <f>IF(Benchmark2[[#This Row],[Comparable '#1 Date Check]]="Pass",INDEX(Comp1[Comparable '#1 Price],MATCH(Benchmark2[[#This Row],[Benchmark '#2 Dates]],Comp1[Comparable '#1 Dates],0)),"-")</f>
        <v>18</v>
      </c>
      <c r="H390" s="1" t="str">
        <f>IF(COUNTIF(Comp2[Comparable '#2 Dates],Benchmark2[[#This Row],[Benchmark '#2 Dates]])=1,"Pass","Fail")</f>
        <v>Pass</v>
      </c>
      <c r="I390" s="6">
        <f>IF(Benchmark2[[#This Row],[Comparable '#2 Date Check]]="Pass",INDEX(Comp2[Comparable '#2 Price],MATCH(Benchmark2[[#This Row],[Benchmark '#2 Dates]],Comp2[Comparable '#2 Dates],0)),"-")</f>
        <v>35.97</v>
      </c>
      <c r="J390" s="1" t="str">
        <f>IF(COUNTIF(Comp3[Comparable '#3 Dates],Benchmark2[[#This Row],[Benchmark '#2 Dates]])=1,"Pass","Fail")</f>
        <v>Pass</v>
      </c>
      <c r="K390" s="6">
        <f>IF(Benchmark2[[#This Row],[Comparable '#3 Date Check]]="Pass",INDEX(Comp3[Comparable '#3 Price],MATCH(Benchmark2[[#This Row],[Benchmark '#2 Dates]],Comp3[Comparable '#3 Dates],0)),"-")</f>
        <v>163.08000000000001</v>
      </c>
    </row>
    <row r="391" spans="1:11">
      <c r="A391" s="103">
        <v>43852</v>
      </c>
      <c r="B391" s="104">
        <v>14110.23</v>
      </c>
      <c r="C391" s="4">
        <f t="shared" si="6"/>
        <v>1.7717798698623847E-5</v>
      </c>
      <c r="D391" s="1" t="str">
        <f>IF(COUNTIF(Target1[Target Dates],Benchmark2[[#This Row],[Benchmark '#2 Dates]])=1,"Pass","Fail")</f>
        <v>Pass</v>
      </c>
      <c r="E391" s="6">
        <f>IF(Benchmark2[[#This Row],[Target Date Check]]="Pass",INDEX(Target1[Target Price],MATCH(Benchmark2[[#This Row],[Benchmark '#2 Dates]],Target1[Target Dates],0)),"-")</f>
        <v>20.3</v>
      </c>
      <c r="F391" s="1" t="str">
        <f>IF(COUNTIF(Comp1[Comparable '#1 Dates],Benchmark2[[#This Row],[Benchmark '#2 Dates]])=1,"Pass","Fail")</f>
        <v>Pass</v>
      </c>
      <c r="G391" s="6">
        <f>IF(Benchmark2[[#This Row],[Comparable '#1 Date Check]]="Pass",INDEX(Comp1[Comparable '#1 Price],MATCH(Benchmark2[[#This Row],[Benchmark '#2 Dates]],Comp1[Comparable '#1 Dates],0)),"-")</f>
        <v>17.8</v>
      </c>
      <c r="H391" s="1" t="str">
        <f>IF(COUNTIF(Comp2[Comparable '#2 Dates],Benchmark2[[#This Row],[Benchmark '#2 Dates]])=1,"Pass","Fail")</f>
        <v>Pass</v>
      </c>
      <c r="I391" s="6">
        <f>IF(Benchmark2[[#This Row],[Comparable '#2 Date Check]]="Pass",INDEX(Comp2[Comparable '#2 Price],MATCH(Benchmark2[[#This Row],[Benchmark '#2 Dates]],Comp2[Comparable '#2 Dates],0)),"-")</f>
        <v>35.909999999999997</v>
      </c>
      <c r="J391" s="1" t="str">
        <f>IF(COUNTIF(Comp3[Comparable '#3 Dates],Benchmark2[[#This Row],[Benchmark '#2 Dates]])=1,"Pass","Fail")</f>
        <v>Pass</v>
      </c>
      <c r="K391" s="6">
        <f>IF(Benchmark2[[#This Row],[Comparable '#3 Date Check]]="Pass",INDEX(Comp3[Comparable '#3 Price],MATCH(Benchmark2[[#This Row],[Benchmark '#2 Dates]],Comp3[Comparable '#3 Dates],0)),"-")</f>
        <v>163.9</v>
      </c>
    </row>
    <row r="392" spans="1:11">
      <c r="A392" s="103">
        <v>43853</v>
      </c>
      <c r="B392" s="104">
        <v>14102.04</v>
      </c>
      <c r="C392" s="4">
        <f t="shared" si="6"/>
        <v>-5.8059845805141525E-4</v>
      </c>
      <c r="D392" s="1" t="str">
        <f>IF(COUNTIF(Target1[Target Dates],Benchmark2[[#This Row],[Benchmark '#2 Dates]])=1,"Pass","Fail")</f>
        <v>Pass</v>
      </c>
      <c r="E392" s="6">
        <f>IF(Benchmark2[[#This Row],[Target Date Check]]="Pass",INDEX(Target1[Target Price],MATCH(Benchmark2[[#This Row],[Benchmark '#2 Dates]],Target1[Target Dates],0)),"-")</f>
        <v>20.04</v>
      </c>
      <c r="F392" s="1" t="str">
        <f>IF(COUNTIF(Comp1[Comparable '#1 Dates],Benchmark2[[#This Row],[Benchmark '#2 Dates]])=1,"Pass","Fail")</f>
        <v>Pass</v>
      </c>
      <c r="G392" s="6">
        <f>IF(Benchmark2[[#This Row],[Comparable '#1 Date Check]]="Pass",INDEX(Comp1[Comparable '#1 Price],MATCH(Benchmark2[[#This Row],[Benchmark '#2 Dates]],Comp1[Comparable '#1 Dates],0)),"-")</f>
        <v>17.734999999999999</v>
      </c>
      <c r="H392" s="1" t="str">
        <f>IF(COUNTIF(Comp2[Comparable '#2 Dates],Benchmark2[[#This Row],[Benchmark '#2 Dates]])=1,"Pass","Fail")</f>
        <v>Pass</v>
      </c>
      <c r="I392" s="6">
        <f>IF(Benchmark2[[#This Row],[Comparable '#2 Date Check]]="Pass",INDEX(Comp2[Comparable '#2 Price],MATCH(Benchmark2[[#This Row],[Benchmark '#2 Dates]],Comp2[Comparable '#2 Dates],0)),"-")</f>
        <v>36.17</v>
      </c>
      <c r="J392" s="1" t="str">
        <f>IF(COUNTIF(Comp3[Comparable '#3 Dates],Benchmark2[[#This Row],[Benchmark '#2 Dates]])=1,"Pass","Fail")</f>
        <v>Pass</v>
      </c>
      <c r="K392" s="6">
        <f>IF(Benchmark2[[#This Row],[Comparable '#3 Date Check]]="Pass",INDEX(Comp3[Comparable '#3 Price],MATCH(Benchmark2[[#This Row],[Benchmark '#2 Dates]],Comp3[Comparable '#3 Dates],0)),"-")</f>
        <v>164.97</v>
      </c>
    </row>
    <row r="393" spans="1:11">
      <c r="A393" s="103">
        <v>43854</v>
      </c>
      <c r="B393" s="104">
        <v>13978.47</v>
      </c>
      <c r="C393" s="4">
        <f t="shared" si="6"/>
        <v>-8.8011790135625184E-3</v>
      </c>
      <c r="D393" s="1" t="str">
        <f>IF(COUNTIF(Target1[Target Dates],Benchmark2[[#This Row],[Benchmark '#2 Dates]])=1,"Pass","Fail")</f>
        <v>Pass</v>
      </c>
      <c r="E393" s="6">
        <f>IF(Benchmark2[[#This Row],[Target Date Check]]="Pass",INDEX(Target1[Target Price],MATCH(Benchmark2[[#This Row],[Benchmark '#2 Dates]],Target1[Target Dates],0)),"-")</f>
        <v>19.7</v>
      </c>
      <c r="F393" s="1" t="str">
        <f>IF(COUNTIF(Comp1[Comparable '#1 Dates],Benchmark2[[#This Row],[Benchmark '#2 Dates]])=1,"Pass","Fail")</f>
        <v>Pass</v>
      </c>
      <c r="G393" s="6">
        <f>IF(Benchmark2[[#This Row],[Comparable '#1 Date Check]]="Pass",INDEX(Comp1[Comparable '#1 Price],MATCH(Benchmark2[[#This Row],[Benchmark '#2 Dates]],Comp1[Comparable '#1 Dates],0)),"-")</f>
        <v>17.649999999999999</v>
      </c>
      <c r="H393" s="1" t="str">
        <f>IF(COUNTIF(Comp2[Comparable '#2 Dates],Benchmark2[[#This Row],[Benchmark '#2 Dates]])=1,"Pass","Fail")</f>
        <v>Pass</v>
      </c>
      <c r="I393" s="6">
        <f>IF(Benchmark2[[#This Row],[Comparable '#2 Date Check]]="Pass",INDEX(Comp2[Comparable '#2 Price],MATCH(Benchmark2[[#This Row],[Benchmark '#2 Dates]],Comp2[Comparable '#2 Dates],0)),"-")</f>
        <v>35.04</v>
      </c>
      <c r="J393" s="1" t="str">
        <f>IF(COUNTIF(Comp3[Comparable '#3 Dates],Benchmark2[[#This Row],[Benchmark '#2 Dates]])=1,"Pass","Fail")</f>
        <v>Pass</v>
      </c>
      <c r="K393" s="6">
        <f>IF(Benchmark2[[#This Row],[Comparable '#3 Date Check]]="Pass",INDEX(Comp3[Comparable '#3 Price],MATCH(Benchmark2[[#This Row],[Benchmark '#2 Dates]],Comp3[Comparable '#3 Dates],0)),"-")</f>
        <v>161.37</v>
      </c>
    </row>
    <row r="394" spans="1:11">
      <c r="A394" s="103">
        <v>43857</v>
      </c>
      <c r="B394" s="104">
        <v>13769.6</v>
      </c>
      <c r="C394" s="4">
        <f t="shared" si="6"/>
        <v>-1.5055025094215585E-2</v>
      </c>
      <c r="D394" s="1" t="str">
        <f>IF(COUNTIF(Target1[Target Dates],Benchmark2[[#This Row],[Benchmark '#2 Dates]])=1,"Pass","Fail")</f>
        <v>Pass</v>
      </c>
      <c r="E394" s="6">
        <f>IF(Benchmark2[[#This Row],[Target Date Check]]="Pass",INDEX(Target1[Target Price],MATCH(Benchmark2[[#This Row],[Benchmark '#2 Dates]],Target1[Target Dates],0)),"-")</f>
        <v>19.579999999999998</v>
      </c>
      <c r="F394" s="1" t="str">
        <f>IF(COUNTIF(Comp1[Comparable '#1 Dates],Benchmark2[[#This Row],[Benchmark '#2 Dates]])=1,"Pass","Fail")</f>
        <v>Pass</v>
      </c>
      <c r="G394" s="6">
        <f>IF(Benchmark2[[#This Row],[Comparable '#1 Date Check]]="Pass",INDEX(Comp1[Comparable '#1 Price],MATCH(Benchmark2[[#This Row],[Benchmark '#2 Dates]],Comp1[Comparable '#1 Dates],0)),"-")</f>
        <v>17.7</v>
      </c>
      <c r="H394" s="1" t="str">
        <f>IF(COUNTIF(Comp2[Comparable '#2 Dates],Benchmark2[[#This Row],[Benchmark '#2 Dates]])=1,"Pass","Fail")</f>
        <v>Pass</v>
      </c>
      <c r="I394" s="6">
        <f>IF(Benchmark2[[#This Row],[Comparable '#2 Date Check]]="Pass",INDEX(Comp2[Comparable '#2 Price],MATCH(Benchmark2[[#This Row],[Benchmark '#2 Dates]],Comp2[Comparable '#2 Dates],0)),"-")</f>
        <v>35.590000000000003</v>
      </c>
      <c r="J394" s="1" t="str">
        <f>IF(COUNTIF(Comp3[Comparable '#3 Dates],Benchmark2[[#This Row],[Benchmark '#2 Dates]])=1,"Pass","Fail")</f>
        <v>Pass</v>
      </c>
      <c r="K394" s="6">
        <f>IF(Benchmark2[[#This Row],[Comparable '#3 Date Check]]="Pass",INDEX(Comp3[Comparable '#3 Price],MATCH(Benchmark2[[#This Row],[Benchmark '#2 Dates]],Comp3[Comparable '#3 Dates],0)),"-")</f>
        <v>164.04</v>
      </c>
    </row>
    <row r="395" spans="1:11">
      <c r="A395" s="103">
        <v>43858</v>
      </c>
      <c r="B395" s="104">
        <v>13877.61</v>
      </c>
      <c r="C395" s="4">
        <f t="shared" si="6"/>
        <v>7.8134863883511149E-3</v>
      </c>
      <c r="D395" s="1" t="str">
        <f>IF(COUNTIF(Target1[Target Dates],Benchmark2[[#This Row],[Benchmark '#2 Dates]])=1,"Pass","Fail")</f>
        <v>Pass</v>
      </c>
      <c r="E395" s="6">
        <f>IF(Benchmark2[[#This Row],[Target Date Check]]="Pass",INDEX(Target1[Target Price],MATCH(Benchmark2[[#This Row],[Benchmark '#2 Dates]],Target1[Target Dates],0)),"-")</f>
        <v>16.62</v>
      </c>
      <c r="F395" s="1" t="str">
        <f>IF(COUNTIF(Comp1[Comparable '#1 Dates],Benchmark2[[#This Row],[Benchmark '#2 Dates]])=1,"Pass","Fail")</f>
        <v>Pass</v>
      </c>
      <c r="G395" s="6">
        <f>IF(Benchmark2[[#This Row],[Comparable '#1 Date Check]]="Pass",INDEX(Comp1[Comparable '#1 Price],MATCH(Benchmark2[[#This Row],[Benchmark '#2 Dates]],Comp1[Comparable '#1 Dates],0)),"-")</f>
        <v>20.48</v>
      </c>
      <c r="H395" s="1" t="str">
        <f>IF(COUNTIF(Comp2[Comparable '#2 Dates],Benchmark2[[#This Row],[Benchmark '#2 Dates]])=1,"Pass","Fail")</f>
        <v>Pass</v>
      </c>
      <c r="I395" s="6">
        <f>IF(Benchmark2[[#This Row],[Comparable '#2 Date Check]]="Pass",INDEX(Comp2[Comparable '#2 Price],MATCH(Benchmark2[[#This Row],[Benchmark '#2 Dates]],Comp2[Comparable '#2 Dates],0)),"-")</f>
        <v>35.700000000000003</v>
      </c>
      <c r="J395" s="1" t="str">
        <f>IF(COUNTIF(Comp3[Comparable '#3 Dates],Benchmark2[[#This Row],[Benchmark '#2 Dates]])=1,"Pass","Fail")</f>
        <v>Pass</v>
      </c>
      <c r="K395" s="6">
        <f>IF(Benchmark2[[#This Row],[Comparable '#3 Date Check]]="Pass",INDEX(Comp3[Comparable '#3 Price],MATCH(Benchmark2[[#This Row],[Benchmark '#2 Dates]],Comp3[Comparable '#3 Dates],0)),"-")</f>
        <v>165.4</v>
      </c>
    </row>
    <row r="396" spans="1:11">
      <c r="A396" s="103">
        <v>43859</v>
      </c>
      <c r="B396" s="104">
        <v>13843.81</v>
      </c>
      <c r="C396" s="4">
        <f t="shared" si="6"/>
        <v>-2.4385487286989029E-3</v>
      </c>
      <c r="D396" s="1" t="str">
        <f>IF(COUNTIF(Target1[Target Dates],Benchmark2[[#This Row],[Benchmark '#2 Dates]])=1,"Pass","Fail")</f>
        <v>Pass</v>
      </c>
      <c r="E396" s="6">
        <f>IF(Benchmark2[[#This Row],[Target Date Check]]="Pass",INDEX(Target1[Target Price],MATCH(Benchmark2[[#This Row],[Benchmark '#2 Dates]],Target1[Target Dates],0)),"-")</f>
        <v>16.3</v>
      </c>
      <c r="F396" s="1" t="str">
        <f>IF(COUNTIF(Comp1[Comparable '#1 Dates],Benchmark2[[#This Row],[Benchmark '#2 Dates]])=1,"Pass","Fail")</f>
        <v>Pass</v>
      </c>
      <c r="G396" s="6">
        <f>IF(Benchmark2[[#This Row],[Comparable '#1 Date Check]]="Pass",INDEX(Comp1[Comparable '#1 Price],MATCH(Benchmark2[[#This Row],[Benchmark '#2 Dates]],Comp1[Comparable '#1 Dates],0)),"-")</f>
        <v>21.14</v>
      </c>
      <c r="H396" s="1" t="str">
        <f>IF(COUNTIF(Comp2[Comparable '#2 Dates],Benchmark2[[#This Row],[Benchmark '#2 Dates]])=1,"Pass","Fail")</f>
        <v>Pass</v>
      </c>
      <c r="I396" s="6">
        <f>IF(Benchmark2[[#This Row],[Comparable '#2 Date Check]]="Pass",INDEX(Comp2[Comparable '#2 Price],MATCH(Benchmark2[[#This Row],[Benchmark '#2 Dates]],Comp2[Comparable '#2 Dates],0)),"-")</f>
        <v>35.35</v>
      </c>
      <c r="J396" s="1" t="str">
        <f>IF(COUNTIF(Comp3[Comparable '#3 Dates],Benchmark2[[#This Row],[Benchmark '#2 Dates]])=1,"Pass","Fail")</f>
        <v>Pass</v>
      </c>
      <c r="K396" s="6">
        <f>IF(Benchmark2[[#This Row],[Comparable '#3 Date Check]]="Pass",INDEX(Comp3[Comparable '#3 Price],MATCH(Benchmark2[[#This Row],[Benchmark '#2 Dates]],Comp3[Comparable '#3 Dates],0)),"-")</f>
        <v>167.29</v>
      </c>
    </row>
    <row r="397" spans="1:11">
      <c r="A397" s="103">
        <v>43860</v>
      </c>
      <c r="B397" s="104">
        <v>13861.92</v>
      </c>
      <c r="C397" s="4">
        <f t="shared" si="6"/>
        <v>1.3073109843529727E-3</v>
      </c>
      <c r="D397" s="1" t="str">
        <f>IF(COUNTIF(Target1[Target Dates],Benchmark2[[#This Row],[Benchmark '#2 Dates]])=1,"Pass","Fail")</f>
        <v>Pass</v>
      </c>
      <c r="E397" s="6">
        <f>IF(Benchmark2[[#This Row],[Target Date Check]]="Pass",INDEX(Target1[Target Price],MATCH(Benchmark2[[#This Row],[Benchmark '#2 Dates]],Target1[Target Dates],0)),"-")</f>
        <v>16.32</v>
      </c>
      <c r="F397" s="1" t="str">
        <f>IF(COUNTIF(Comp1[Comparable '#1 Dates],Benchmark2[[#This Row],[Benchmark '#2 Dates]])=1,"Pass","Fail")</f>
        <v>Pass</v>
      </c>
      <c r="G397" s="6">
        <f>IF(Benchmark2[[#This Row],[Comparable '#1 Date Check]]="Pass",INDEX(Comp1[Comparable '#1 Price],MATCH(Benchmark2[[#This Row],[Benchmark '#2 Dates]],Comp1[Comparable '#1 Dates],0)),"-")</f>
        <v>21.62</v>
      </c>
      <c r="H397" s="1" t="str">
        <f>IF(COUNTIF(Comp2[Comparable '#2 Dates],Benchmark2[[#This Row],[Benchmark '#2 Dates]])=1,"Pass","Fail")</f>
        <v>Pass</v>
      </c>
      <c r="I397" s="6">
        <f>IF(Benchmark2[[#This Row],[Comparable '#2 Date Check]]="Pass",INDEX(Comp2[Comparable '#2 Price],MATCH(Benchmark2[[#This Row],[Benchmark '#2 Dates]],Comp2[Comparable '#2 Dates],0)),"-")</f>
        <v>35.450000000000003</v>
      </c>
      <c r="J397" s="1" t="str">
        <f>IF(COUNTIF(Comp3[Comparable '#3 Dates],Benchmark2[[#This Row],[Benchmark '#2 Dates]])=1,"Pass","Fail")</f>
        <v>Pass</v>
      </c>
      <c r="K397" s="6">
        <f>IF(Benchmark2[[#This Row],[Comparable '#3 Date Check]]="Pass",INDEX(Comp3[Comparable '#3 Price],MATCH(Benchmark2[[#This Row],[Benchmark '#2 Dates]],Comp3[Comparable '#3 Dates],0)),"-")</f>
        <v>166.9</v>
      </c>
    </row>
    <row r="398" spans="1:11">
      <c r="A398" s="103">
        <v>43861</v>
      </c>
      <c r="B398" s="104">
        <v>13614.1</v>
      </c>
      <c r="C398" s="4">
        <f t="shared" si="6"/>
        <v>-1.8039491927610101E-2</v>
      </c>
      <c r="D398" s="1" t="str">
        <f>IF(COUNTIF(Target1[Target Dates],Benchmark2[[#This Row],[Benchmark '#2 Dates]])=1,"Pass","Fail")</f>
        <v>Pass</v>
      </c>
      <c r="E398" s="6">
        <f>IF(Benchmark2[[#This Row],[Target Date Check]]="Pass",INDEX(Target1[Target Price],MATCH(Benchmark2[[#This Row],[Benchmark '#2 Dates]],Target1[Target Dates],0)),"-")</f>
        <v>16.14</v>
      </c>
      <c r="F398" s="1" t="str">
        <f>IF(COUNTIF(Comp1[Comparable '#1 Dates],Benchmark2[[#This Row],[Benchmark '#2 Dates]])=1,"Pass","Fail")</f>
        <v>Pass</v>
      </c>
      <c r="G398" s="6">
        <f>IF(Benchmark2[[#This Row],[Comparable '#1 Date Check]]="Pass",INDEX(Comp1[Comparable '#1 Price],MATCH(Benchmark2[[#This Row],[Benchmark '#2 Dates]],Comp1[Comparable '#1 Dates],0)),"-")</f>
        <v>20.84</v>
      </c>
      <c r="H398" s="1" t="str">
        <f>IF(COUNTIF(Comp2[Comparable '#2 Dates],Benchmark2[[#This Row],[Benchmark '#2 Dates]])=1,"Pass","Fail")</f>
        <v>Pass</v>
      </c>
      <c r="I398" s="6">
        <f>IF(Benchmark2[[#This Row],[Comparable '#2 Date Check]]="Pass",INDEX(Comp2[Comparable '#2 Price],MATCH(Benchmark2[[#This Row],[Benchmark '#2 Dates]],Comp2[Comparable '#2 Dates],0)),"-")</f>
        <v>34.51</v>
      </c>
      <c r="J398" s="1" t="str">
        <f>IF(COUNTIF(Comp3[Comparable '#3 Dates],Benchmark2[[#This Row],[Benchmark '#2 Dates]])=1,"Pass","Fail")</f>
        <v>Pass</v>
      </c>
      <c r="K398" s="6">
        <f>IF(Benchmark2[[#This Row],[Comparable '#3 Date Check]]="Pass",INDEX(Comp3[Comparable '#3 Price],MATCH(Benchmark2[[#This Row],[Benchmark '#2 Dates]],Comp3[Comparable '#3 Dates],0)),"-")</f>
        <v>162.29</v>
      </c>
    </row>
    <row r="399" spans="1:11">
      <c r="A399" s="103">
        <v>43864</v>
      </c>
      <c r="B399" s="104">
        <v>13677.92</v>
      </c>
      <c r="C399" s="4">
        <f t="shared" si="6"/>
        <v>4.6768334719560437E-3</v>
      </c>
      <c r="D399" s="1" t="str">
        <f>IF(COUNTIF(Target1[Target Dates],Benchmark2[[#This Row],[Benchmark '#2 Dates]])=1,"Pass","Fail")</f>
        <v>Pass</v>
      </c>
      <c r="E399" s="6">
        <f>IF(Benchmark2[[#This Row],[Target Date Check]]="Pass",INDEX(Target1[Target Price],MATCH(Benchmark2[[#This Row],[Benchmark '#2 Dates]],Target1[Target Dates],0)),"-")</f>
        <v>15.99</v>
      </c>
      <c r="F399" s="1" t="str">
        <f>IF(COUNTIF(Comp1[Comparable '#1 Dates],Benchmark2[[#This Row],[Benchmark '#2 Dates]])=1,"Pass","Fail")</f>
        <v>Pass</v>
      </c>
      <c r="G399" s="6">
        <f>IF(Benchmark2[[#This Row],[Comparable '#1 Date Check]]="Pass",INDEX(Comp1[Comparable '#1 Price],MATCH(Benchmark2[[#This Row],[Benchmark '#2 Dates]],Comp1[Comparable '#1 Dates],0)),"-")</f>
        <v>20.385000000000002</v>
      </c>
      <c r="H399" s="1" t="str">
        <f>IF(COUNTIF(Comp2[Comparable '#2 Dates],Benchmark2[[#This Row],[Benchmark '#2 Dates]])=1,"Pass","Fail")</f>
        <v>Pass</v>
      </c>
      <c r="I399" s="6">
        <f>IF(Benchmark2[[#This Row],[Comparable '#2 Date Check]]="Pass",INDEX(Comp2[Comparable '#2 Price],MATCH(Benchmark2[[#This Row],[Benchmark '#2 Dates]],Comp2[Comparable '#2 Dates],0)),"-")</f>
        <v>35.07</v>
      </c>
      <c r="J399" s="1" t="str">
        <f>IF(COUNTIF(Comp3[Comparable '#3 Dates],Benchmark2[[#This Row],[Benchmark '#2 Dates]])=1,"Pass","Fail")</f>
        <v>Pass</v>
      </c>
      <c r="K399" s="6">
        <f>IF(Benchmark2[[#This Row],[Comparable '#3 Date Check]]="Pass",INDEX(Comp3[Comparable '#3 Price],MATCH(Benchmark2[[#This Row],[Benchmark '#2 Dates]],Comp3[Comparable '#3 Dates],0)),"-")</f>
        <v>160.38</v>
      </c>
    </row>
    <row r="400" spans="1:11">
      <c r="A400" s="103">
        <v>43865</v>
      </c>
      <c r="B400" s="104">
        <v>13862.84</v>
      </c>
      <c r="C400" s="4">
        <f t="shared" si="6"/>
        <v>1.3429025125759702E-2</v>
      </c>
      <c r="D400" s="1" t="str">
        <f>IF(COUNTIF(Target1[Target Dates],Benchmark2[[#This Row],[Benchmark '#2 Dates]])=1,"Pass","Fail")</f>
        <v>Pass</v>
      </c>
      <c r="E400" s="6">
        <f>IF(Benchmark2[[#This Row],[Target Date Check]]="Pass",INDEX(Target1[Target Price],MATCH(Benchmark2[[#This Row],[Benchmark '#2 Dates]],Target1[Target Dates],0)),"-")</f>
        <v>16.350000000000001</v>
      </c>
      <c r="F400" s="1" t="str">
        <f>IF(COUNTIF(Comp1[Comparable '#1 Dates],Benchmark2[[#This Row],[Benchmark '#2 Dates]])=1,"Pass","Fail")</f>
        <v>Pass</v>
      </c>
      <c r="G400" s="6">
        <f>IF(Benchmark2[[#This Row],[Comparable '#1 Date Check]]="Pass",INDEX(Comp1[Comparable '#1 Price],MATCH(Benchmark2[[#This Row],[Benchmark '#2 Dates]],Comp1[Comparable '#1 Dates],0)),"-")</f>
        <v>20.2</v>
      </c>
      <c r="H400" s="1" t="str">
        <f>IF(COUNTIF(Comp2[Comparable '#2 Dates],Benchmark2[[#This Row],[Benchmark '#2 Dates]])=1,"Pass","Fail")</f>
        <v>Pass</v>
      </c>
      <c r="I400" s="6">
        <f>IF(Benchmark2[[#This Row],[Comparable '#2 Date Check]]="Pass",INDEX(Comp2[Comparable '#2 Price],MATCH(Benchmark2[[#This Row],[Benchmark '#2 Dates]],Comp2[Comparable '#2 Dates],0)),"-")</f>
        <v>35.049999999999997</v>
      </c>
      <c r="J400" s="1" t="str">
        <f>IF(COUNTIF(Comp3[Comparable '#3 Dates],Benchmark2[[#This Row],[Benchmark '#2 Dates]])=1,"Pass","Fail")</f>
        <v>Pass</v>
      </c>
      <c r="K400" s="6">
        <f>IF(Benchmark2[[#This Row],[Comparable '#3 Date Check]]="Pass",INDEX(Comp3[Comparable '#3 Price],MATCH(Benchmark2[[#This Row],[Benchmark '#2 Dates]],Comp3[Comparable '#3 Dates],0)),"-")</f>
        <v>158.38</v>
      </c>
    </row>
    <row r="401" spans="1:11">
      <c r="A401" s="103">
        <v>43866</v>
      </c>
      <c r="B401" s="104">
        <v>14024.86</v>
      </c>
      <c r="C401" s="4">
        <f t="shared" si="6"/>
        <v>1.1619590207995471E-2</v>
      </c>
      <c r="D401" s="1" t="str">
        <f>IF(COUNTIF(Target1[Target Dates],Benchmark2[[#This Row],[Benchmark '#2 Dates]])=1,"Pass","Fail")</f>
        <v>Pass</v>
      </c>
      <c r="E401" s="6">
        <f>IF(Benchmark2[[#This Row],[Target Date Check]]="Pass",INDEX(Target1[Target Price],MATCH(Benchmark2[[#This Row],[Benchmark '#2 Dates]],Target1[Target Dates],0)),"-")</f>
        <v>16.989999999999998</v>
      </c>
      <c r="F401" s="1" t="str">
        <f>IF(COUNTIF(Comp1[Comparable '#1 Dates],Benchmark2[[#This Row],[Benchmark '#2 Dates]])=1,"Pass","Fail")</f>
        <v>Pass</v>
      </c>
      <c r="G401" s="6">
        <f>IF(Benchmark2[[#This Row],[Comparable '#1 Date Check]]="Pass",INDEX(Comp1[Comparable '#1 Price],MATCH(Benchmark2[[#This Row],[Benchmark '#2 Dates]],Comp1[Comparable '#1 Dates],0)),"-")</f>
        <v>20.07</v>
      </c>
      <c r="H401" s="1" t="str">
        <f>IF(COUNTIF(Comp2[Comparable '#2 Dates],Benchmark2[[#This Row],[Benchmark '#2 Dates]])=1,"Pass","Fail")</f>
        <v>Pass</v>
      </c>
      <c r="I401" s="6">
        <f>IF(Benchmark2[[#This Row],[Comparable '#2 Date Check]]="Pass",INDEX(Comp2[Comparable '#2 Price],MATCH(Benchmark2[[#This Row],[Benchmark '#2 Dates]],Comp2[Comparable '#2 Dates],0)),"-")</f>
        <v>36.159999999999997</v>
      </c>
      <c r="J401" s="1" t="str">
        <f>IF(COUNTIF(Comp3[Comparable '#3 Dates],Benchmark2[[#This Row],[Benchmark '#2 Dates]])=1,"Pass","Fail")</f>
        <v>Pass</v>
      </c>
      <c r="K401" s="6">
        <f>IF(Benchmark2[[#This Row],[Comparable '#3 Date Check]]="Pass",INDEX(Comp3[Comparable '#3 Price],MATCH(Benchmark2[[#This Row],[Benchmark '#2 Dates]],Comp3[Comparable '#3 Dates],0)),"-")</f>
        <v>160.32</v>
      </c>
    </row>
    <row r="402" spans="1:11">
      <c r="A402" s="103">
        <v>43867</v>
      </c>
      <c r="B402" s="104">
        <v>14034.95</v>
      </c>
      <c r="C402" s="4">
        <f t="shared" si="6"/>
        <v>7.1917810098445442E-4</v>
      </c>
      <c r="D402" s="1" t="str">
        <f>IF(COUNTIF(Target1[Target Dates],Benchmark2[[#This Row],[Benchmark '#2 Dates]])=1,"Pass","Fail")</f>
        <v>Pass</v>
      </c>
      <c r="E402" s="6">
        <f>IF(Benchmark2[[#This Row],[Target Date Check]]="Pass",INDEX(Target1[Target Price],MATCH(Benchmark2[[#This Row],[Benchmark '#2 Dates]],Target1[Target Dates],0)),"-")</f>
        <v>16.66</v>
      </c>
      <c r="F402" s="1" t="str">
        <f>IF(COUNTIF(Comp1[Comparable '#1 Dates],Benchmark2[[#This Row],[Benchmark '#2 Dates]])=1,"Pass","Fail")</f>
        <v>Pass</v>
      </c>
      <c r="G402" s="6">
        <f>IF(Benchmark2[[#This Row],[Comparable '#1 Date Check]]="Pass",INDEX(Comp1[Comparable '#1 Price],MATCH(Benchmark2[[#This Row],[Benchmark '#2 Dates]],Comp1[Comparable '#1 Dates],0)),"-")</f>
        <v>20.12</v>
      </c>
      <c r="H402" s="1" t="str">
        <f>IF(COUNTIF(Comp2[Comparable '#2 Dates],Benchmark2[[#This Row],[Benchmark '#2 Dates]])=1,"Pass","Fail")</f>
        <v>Pass</v>
      </c>
      <c r="I402" s="6">
        <f>IF(Benchmark2[[#This Row],[Comparable '#2 Date Check]]="Pass",INDEX(Comp2[Comparable '#2 Price],MATCH(Benchmark2[[#This Row],[Benchmark '#2 Dates]],Comp2[Comparable '#2 Dates],0)),"-")</f>
        <v>35.729999999999997</v>
      </c>
      <c r="J402" s="1" t="str">
        <f>IF(COUNTIF(Comp3[Comparable '#3 Dates],Benchmark2[[#This Row],[Benchmark '#2 Dates]])=1,"Pass","Fail")</f>
        <v>Pass</v>
      </c>
      <c r="K402" s="6">
        <f>IF(Benchmark2[[#This Row],[Comparable '#3 Date Check]]="Pass",INDEX(Comp3[Comparable '#3 Price],MATCH(Benchmark2[[#This Row],[Benchmark '#2 Dates]],Comp3[Comparable '#3 Dates],0)),"-")</f>
        <v>162.30000000000001</v>
      </c>
    </row>
    <row r="403" spans="1:11">
      <c r="A403" s="103">
        <v>43868</v>
      </c>
      <c r="B403" s="104">
        <v>13931.93</v>
      </c>
      <c r="C403" s="4">
        <f t="shared" si="6"/>
        <v>-7.3673191983510975E-3</v>
      </c>
      <c r="D403" s="1" t="str">
        <f>IF(COUNTIF(Target1[Target Dates],Benchmark2[[#This Row],[Benchmark '#2 Dates]])=1,"Pass","Fail")</f>
        <v>Pass</v>
      </c>
      <c r="E403" s="6">
        <f>IF(Benchmark2[[#This Row],[Target Date Check]]="Pass",INDEX(Target1[Target Price],MATCH(Benchmark2[[#This Row],[Benchmark '#2 Dates]],Target1[Target Dates],0)),"-")</f>
        <v>16.03</v>
      </c>
      <c r="F403" s="1" t="str">
        <f>IF(COUNTIF(Comp1[Comparable '#1 Dates],Benchmark2[[#This Row],[Benchmark '#2 Dates]])=1,"Pass","Fail")</f>
        <v>Pass</v>
      </c>
      <c r="G403" s="6">
        <f>IF(Benchmark2[[#This Row],[Comparable '#1 Date Check]]="Pass",INDEX(Comp1[Comparable '#1 Price],MATCH(Benchmark2[[#This Row],[Benchmark '#2 Dates]],Comp1[Comparable '#1 Dates],0)),"-")</f>
        <v>19.78</v>
      </c>
      <c r="H403" s="1" t="str">
        <f>IF(COUNTIF(Comp2[Comparable '#2 Dates],Benchmark2[[#This Row],[Benchmark '#2 Dates]])=1,"Pass","Fail")</f>
        <v>Pass</v>
      </c>
      <c r="I403" s="6">
        <f>IF(Benchmark2[[#This Row],[Comparable '#2 Date Check]]="Pass",INDEX(Comp2[Comparable '#2 Price],MATCH(Benchmark2[[#This Row],[Benchmark '#2 Dates]],Comp2[Comparable '#2 Dates],0)),"-")</f>
        <v>34.020000000000003</v>
      </c>
      <c r="J403" s="1" t="str">
        <f>IF(COUNTIF(Comp3[Comparable '#3 Dates],Benchmark2[[#This Row],[Benchmark '#2 Dates]])=1,"Pass","Fail")</f>
        <v>Pass</v>
      </c>
      <c r="K403" s="6">
        <f>IF(Benchmark2[[#This Row],[Comparable '#3 Date Check]]="Pass",INDEX(Comp3[Comparable '#3 Price],MATCH(Benchmark2[[#This Row],[Benchmark '#2 Dates]],Comp3[Comparable '#3 Dates],0)),"-")</f>
        <v>159.85</v>
      </c>
    </row>
    <row r="404" spans="1:11">
      <c r="A404" s="103">
        <v>43871</v>
      </c>
      <c r="B404" s="104">
        <v>13984.48</v>
      </c>
      <c r="C404" s="4">
        <f t="shared" si="6"/>
        <v>3.7648151800007022E-3</v>
      </c>
      <c r="D404" s="1" t="str">
        <f>IF(COUNTIF(Target1[Target Dates],Benchmark2[[#This Row],[Benchmark '#2 Dates]])=1,"Pass","Fail")</f>
        <v>Pass</v>
      </c>
      <c r="E404" s="6">
        <f>IF(Benchmark2[[#This Row],[Target Date Check]]="Pass",INDEX(Target1[Target Price],MATCH(Benchmark2[[#This Row],[Benchmark '#2 Dates]],Target1[Target Dates],0)),"-")</f>
        <v>15.86</v>
      </c>
      <c r="F404" s="1" t="str">
        <f>IF(COUNTIF(Comp1[Comparable '#1 Dates],Benchmark2[[#This Row],[Benchmark '#2 Dates]])=1,"Pass","Fail")</f>
        <v>Pass</v>
      </c>
      <c r="G404" s="6">
        <f>IF(Benchmark2[[#This Row],[Comparable '#1 Date Check]]="Pass",INDEX(Comp1[Comparable '#1 Price],MATCH(Benchmark2[[#This Row],[Benchmark '#2 Dates]],Comp1[Comparable '#1 Dates],0)),"-")</f>
        <v>19.73</v>
      </c>
      <c r="H404" s="1" t="str">
        <f>IF(COUNTIF(Comp2[Comparable '#2 Dates],Benchmark2[[#This Row],[Benchmark '#2 Dates]])=1,"Pass","Fail")</f>
        <v>Pass</v>
      </c>
      <c r="I404" s="6">
        <f>IF(Benchmark2[[#This Row],[Comparable '#2 Date Check]]="Pass",INDEX(Comp2[Comparable '#2 Price],MATCH(Benchmark2[[#This Row],[Benchmark '#2 Dates]],Comp2[Comparable '#2 Dates],0)),"-")</f>
        <v>32.56</v>
      </c>
      <c r="J404" s="1" t="str">
        <f>IF(COUNTIF(Comp3[Comparable '#3 Dates],Benchmark2[[#This Row],[Benchmark '#2 Dates]])=1,"Pass","Fail")</f>
        <v>Pass</v>
      </c>
      <c r="K404" s="6">
        <f>IF(Benchmark2[[#This Row],[Comparable '#3 Date Check]]="Pass",INDEX(Comp3[Comparable '#3 Price],MATCH(Benchmark2[[#This Row],[Benchmark '#2 Dates]],Comp3[Comparable '#3 Dates],0)),"-")</f>
        <v>163.26</v>
      </c>
    </row>
    <row r="405" spans="1:11">
      <c r="A405" s="103">
        <v>43872</v>
      </c>
      <c r="B405" s="104">
        <v>14054.08</v>
      </c>
      <c r="C405" s="4">
        <f t="shared" si="6"/>
        <v>4.9646018165066686E-3</v>
      </c>
      <c r="D405" s="1" t="str">
        <f>IF(COUNTIF(Target1[Target Dates],Benchmark2[[#This Row],[Benchmark '#2 Dates]])=1,"Pass","Fail")</f>
        <v>Pass</v>
      </c>
      <c r="E405" s="6">
        <f>IF(Benchmark2[[#This Row],[Target Date Check]]="Pass",INDEX(Target1[Target Price],MATCH(Benchmark2[[#This Row],[Benchmark '#2 Dates]],Target1[Target Dates],0)),"-")</f>
        <v>16.12</v>
      </c>
      <c r="F405" s="1" t="str">
        <f>IF(COUNTIF(Comp1[Comparable '#1 Dates],Benchmark2[[#This Row],[Benchmark '#2 Dates]])=1,"Pass","Fail")</f>
        <v>Pass</v>
      </c>
      <c r="G405" s="6">
        <f>IF(Benchmark2[[#This Row],[Comparable '#1 Date Check]]="Pass",INDEX(Comp1[Comparable '#1 Price],MATCH(Benchmark2[[#This Row],[Benchmark '#2 Dates]],Comp1[Comparable '#1 Dates],0)),"-")</f>
        <v>20.43</v>
      </c>
      <c r="H405" s="1" t="str">
        <f>IF(COUNTIF(Comp2[Comparable '#2 Dates],Benchmark2[[#This Row],[Benchmark '#2 Dates]])=1,"Pass","Fail")</f>
        <v>Pass</v>
      </c>
      <c r="I405" s="6">
        <f>IF(Benchmark2[[#This Row],[Comparable '#2 Date Check]]="Pass",INDEX(Comp2[Comparable '#2 Price],MATCH(Benchmark2[[#This Row],[Benchmark '#2 Dates]],Comp2[Comparable '#2 Dates],0)),"-")</f>
        <v>33.15</v>
      </c>
      <c r="J405" s="1" t="str">
        <f>IF(COUNTIF(Comp3[Comparable '#3 Dates],Benchmark2[[#This Row],[Benchmark '#2 Dates]])=1,"Pass","Fail")</f>
        <v>Pass</v>
      </c>
      <c r="K405" s="6">
        <f>IF(Benchmark2[[#This Row],[Comparable '#3 Date Check]]="Pass",INDEX(Comp3[Comparable '#3 Price],MATCH(Benchmark2[[#This Row],[Benchmark '#2 Dates]],Comp3[Comparable '#3 Dates],0)),"-")</f>
        <v>164.45</v>
      </c>
    </row>
    <row r="406" spans="1:11">
      <c r="A406" s="103">
        <v>43873</v>
      </c>
      <c r="B406" s="104">
        <v>14136.98</v>
      </c>
      <c r="C406" s="4">
        <f t="shared" si="6"/>
        <v>5.8813140731928436E-3</v>
      </c>
      <c r="D406" s="1" t="str">
        <f>IF(COUNTIF(Target1[Target Dates],Benchmark2[[#This Row],[Benchmark '#2 Dates]])=1,"Pass","Fail")</f>
        <v>Pass</v>
      </c>
      <c r="E406" s="6">
        <f>IF(Benchmark2[[#This Row],[Target Date Check]]="Pass",INDEX(Target1[Target Price],MATCH(Benchmark2[[#This Row],[Benchmark '#2 Dates]],Target1[Target Dates],0)),"-")</f>
        <v>16.75</v>
      </c>
      <c r="F406" s="1" t="str">
        <f>IF(COUNTIF(Comp1[Comparable '#1 Dates],Benchmark2[[#This Row],[Benchmark '#2 Dates]])=1,"Pass","Fail")</f>
        <v>Pass</v>
      </c>
      <c r="G406" s="6">
        <f>IF(Benchmark2[[#This Row],[Comparable '#1 Date Check]]="Pass",INDEX(Comp1[Comparable '#1 Price],MATCH(Benchmark2[[#This Row],[Benchmark '#2 Dates]],Comp1[Comparable '#1 Dates],0)),"-")</f>
        <v>20.82</v>
      </c>
      <c r="H406" s="1" t="str">
        <f>IF(COUNTIF(Comp2[Comparable '#2 Dates],Benchmark2[[#This Row],[Benchmark '#2 Dates]])=1,"Pass","Fail")</f>
        <v>Pass</v>
      </c>
      <c r="I406" s="6">
        <f>IF(Benchmark2[[#This Row],[Comparable '#2 Date Check]]="Pass",INDEX(Comp2[Comparable '#2 Price],MATCH(Benchmark2[[#This Row],[Benchmark '#2 Dates]],Comp2[Comparable '#2 Dates],0)),"-")</f>
        <v>34.22</v>
      </c>
      <c r="J406" s="1" t="str">
        <f>IF(COUNTIF(Comp3[Comparable '#3 Dates],Benchmark2[[#This Row],[Benchmark '#2 Dates]])=1,"Pass","Fail")</f>
        <v>Pass</v>
      </c>
      <c r="K406" s="6">
        <f>IF(Benchmark2[[#This Row],[Comparable '#3 Date Check]]="Pass",INDEX(Comp3[Comparable '#3 Price],MATCH(Benchmark2[[#This Row],[Benchmark '#2 Dates]],Comp3[Comparable '#3 Dates],0)),"-")</f>
        <v>167.13</v>
      </c>
    </row>
    <row r="407" spans="1:11">
      <c r="A407" s="103">
        <v>43874</v>
      </c>
      <c r="B407" s="104">
        <v>14099.04</v>
      </c>
      <c r="C407" s="4">
        <f t="shared" si="6"/>
        <v>-2.6873491967398084E-3</v>
      </c>
      <c r="D407" s="1" t="str">
        <f>IF(COUNTIF(Target1[Target Dates],Benchmark2[[#This Row],[Benchmark '#2 Dates]])=1,"Pass","Fail")</f>
        <v>Pass</v>
      </c>
      <c r="E407" s="6">
        <f>IF(Benchmark2[[#This Row],[Target Date Check]]="Pass",INDEX(Target1[Target Price],MATCH(Benchmark2[[#This Row],[Benchmark '#2 Dates]],Target1[Target Dates],0)),"-")</f>
        <v>17.12</v>
      </c>
      <c r="F407" s="1" t="str">
        <f>IF(COUNTIF(Comp1[Comparable '#1 Dates],Benchmark2[[#This Row],[Benchmark '#2 Dates]])=1,"Pass","Fail")</f>
        <v>Pass</v>
      </c>
      <c r="G407" s="6">
        <f>IF(Benchmark2[[#This Row],[Comparable '#1 Date Check]]="Pass",INDEX(Comp1[Comparable '#1 Price],MATCH(Benchmark2[[#This Row],[Benchmark '#2 Dates]],Comp1[Comparable '#1 Dates],0)),"-")</f>
        <v>20.88</v>
      </c>
      <c r="H407" s="1" t="str">
        <f>IF(COUNTIF(Comp2[Comparable '#2 Dates],Benchmark2[[#This Row],[Benchmark '#2 Dates]])=1,"Pass","Fail")</f>
        <v>Pass</v>
      </c>
      <c r="I407" s="6">
        <f>IF(Benchmark2[[#This Row],[Comparable '#2 Date Check]]="Pass",INDEX(Comp2[Comparable '#2 Price],MATCH(Benchmark2[[#This Row],[Benchmark '#2 Dates]],Comp2[Comparable '#2 Dates],0)),"-")</f>
        <v>34.619999999999997</v>
      </c>
      <c r="J407" s="1" t="str">
        <f>IF(COUNTIF(Comp3[Comparable '#3 Dates],Benchmark2[[#This Row],[Benchmark '#2 Dates]])=1,"Pass","Fail")</f>
        <v>Pass</v>
      </c>
      <c r="K407" s="6">
        <f>IF(Benchmark2[[#This Row],[Comparable '#3 Date Check]]="Pass",INDEX(Comp3[Comparable '#3 Price],MATCH(Benchmark2[[#This Row],[Benchmark '#2 Dates]],Comp3[Comparable '#3 Dates],0)),"-")</f>
        <v>168.57</v>
      </c>
    </row>
    <row r="408" spans="1:11">
      <c r="A408" s="103">
        <v>43875</v>
      </c>
      <c r="B408" s="104">
        <v>14097.34</v>
      </c>
      <c r="C408" s="4">
        <f t="shared" si="6"/>
        <v>-1.2058285510837229E-4</v>
      </c>
      <c r="D408" s="1" t="str">
        <f>IF(COUNTIF(Target1[Target Dates],Benchmark2[[#This Row],[Benchmark '#2 Dates]])=1,"Pass","Fail")</f>
        <v>Pass</v>
      </c>
      <c r="E408" s="6">
        <f>IF(Benchmark2[[#This Row],[Target Date Check]]="Pass",INDEX(Target1[Target Price],MATCH(Benchmark2[[#This Row],[Benchmark '#2 Dates]],Target1[Target Dates],0)),"-")</f>
        <v>17.16</v>
      </c>
      <c r="F408" s="1" t="str">
        <f>IF(COUNTIF(Comp1[Comparable '#1 Dates],Benchmark2[[#This Row],[Benchmark '#2 Dates]])=1,"Pass","Fail")</f>
        <v>Pass</v>
      </c>
      <c r="G408" s="6">
        <f>IF(Benchmark2[[#This Row],[Comparable '#1 Date Check]]="Pass",INDEX(Comp1[Comparable '#1 Price],MATCH(Benchmark2[[#This Row],[Benchmark '#2 Dates]],Comp1[Comparable '#1 Dates],0)),"-")</f>
        <v>21.25</v>
      </c>
      <c r="H408" s="1" t="str">
        <f>IF(COUNTIF(Comp2[Comparable '#2 Dates],Benchmark2[[#This Row],[Benchmark '#2 Dates]])=1,"Pass","Fail")</f>
        <v>Pass</v>
      </c>
      <c r="I408" s="6">
        <f>IF(Benchmark2[[#This Row],[Comparable '#2 Date Check]]="Pass",INDEX(Comp2[Comparable '#2 Price],MATCH(Benchmark2[[#This Row],[Benchmark '#2 Dates]],Comp2[Comparable '#2 Dates],0)),"-")</f>
        <v>35.31</v>
      </c>
      <c r="J408" s="1" t="str">
        <f>IF(COUNTIF(Comp3[Comparable '#3 Dates],Benchmark2[[#This Row],[Benchmark '#2 Dates]])=1,"Pass","Fail")</f>
        <v>Pass</v>
      </c>
      <c r="K408" s="6">
        <f>IF(Benchmark2[[#This Row],[Comparable '#3 Date Check]]="Pass",INDEX(Comp3[Comparable '#3 Price],MATCH(Benchmark2[[#This Row],[Benchmark '#2 Dates]],Comp3[Comparable '#3 Dates],0)),"-")</f>
        <v>167.93</v>
      </c>
    </row>
    <row r="409" spans="1:11">
      <c r="A409" s="103">
        <v>43879</v>
      </c>
      <c r="B409" s="104">
        <v>14039.02</v>
      </c>
      <c r="C409" s="4">
        <f t="shared" si="6"/>
        <v>-4.1455315130438201E-3</v>
      </c>
      <c r="D409" s="1" t="str">
        <f>IF(COUNTIF(Target1[Target Dates],Benchmark2[[#This Row],[Benchmark '#2 Dates]])=1,"Pass","Fail")</f>
        <v>Pass</v>
      </c>
      <c r="E409" s="6">
        <f>IF(Benchmark2[[#This Row],[Target Date Check]]="Pass",INDEX(Target1[Target Price],MATCH(Benchmark2[[#This Row],[Benchmark '#2 Dates]],Target1[Target Dates],0)),"-")</f>
        <v>16.87</v>
      </c>
      <c r="F409" s="1" t="str">
        <f>IF(COUNTIF(Comp1[Comparable '#1 Dates],Benchmark2[[#This Row],[Benchmark '#2 Dates]])=1,"Pass","Fail")</f>
        <v>Pass</v>
      </c>
      <c r="G409" s="6">
        <f>IF(Benchmark2[[#This Row],[Comparable '#1 Date Check]]="Pass",INDEX(Comp1[Comparable '#1 Price],MATCH(Benchmark2[[#This Row],[Benchmark '#2 Dates]],Comp1[Comparable '#1 Dates],0)),"-")</f>
        <v>21.07</v>
      </c>
      <c r="H409" s="1" t="str">
        <f>IF(COUNTIF(Comp2[Comparable '#2 Dates],Benchmark2[[#This Row],[Benchmark '#2 Dates]])=1,"Pass","Fail")</f>
        <v>Pass</v>
      </c>
      <c r="I409" s="6">
        <f>IF(Benchmark2[[#This Row],[Comparable '#2 Date Check]]="Pass",INDEX(Comp2[Comparable '#2 Price],MATCH(Benchmark2[[#This Row],[Benchmark '#2 Dates]],Comp2[Comparable '#2 Dates],0)),"-")</f>
        <v>34.35</v>
      </c>
      <c r="J409" s="1" t="str">
        <f>IF(COUNTIF(Comp3[Comparable '#3 Dates],Benchmark2[[#This Row],[Benchmark '#2 Dates]])=1,"Pass","Fail")</f>
        <v>Pass</v>
      </c>
      <c r="K409" s="6">
        <f>IF(Benchmark2[[#This Row],[Comparable '#3 Date Check]]="Pass",INDEX(Comp3[Comparable '#3 Price],MATCH(Benchmark2[[#This Row],[Benchmark '#2 Dates]],Comp3[Comparable '#3 Dates],0)),"-")</f>
        <v>168.33</v>
      </c>
    </row>
    <row r="410" spans="1:11">
      <c r="A410" s="103">
        <v>43880</v>
      </c>
      <c r="B410" s="104">
        <v>14087.13</v>
      </c>
      <c r="C410" s="4">
        <f t="shared" si="6"/>
        <v>3.4210190104764253E-3</v>
      </c>
      <c r="D410" s="1" t="str">
        <f>IF(COUNTIF(Target1[Target Dates],Benchmark2[[#This Row],[Benchmark '#2 Dates]])=1,"Pass","Fail")</f>
        <v>Pass</v>
      </c>
      <c r="E410" s="6">
        <f>IF(Benchmark2[[#This Row],[Target Date Check]]="Pass",INDEX(Target1[Target Price],MATCH(Benchmark2[[#This Row],[Benchmark '#2 Dates]],Target1[Target Dates],0)),"-")</f>
        <v>17.21</v>
      </c>
      <c r="F410" s="1" t="str">
        <f>IF(COUNTIF(Comp1[Comparable '#1 Dates],Benchmark2[[#This Row],[Benchmark '#2 Dates]])=1,"Pass","Fail")</f>
        <v>Pass</v>
      </c>
      <c r="G410" s="6">
        <f>IF(Benchmark2[[#This Row],[Comparable '#1 Date Check]]="Pass",INDEX(Comp1[Comparable '#1 Price],MATCH(Benchmark2[[#This Row],[Benchmark '#2 Dates]],Comp1[Comparable '#1 Dates],0)),"-")</f>
        <v>21.32</v>
      </c>
      <c r="H410" s="1" t="str">
        <f>IF(COUNTIF(Comp2[Comparable '#2 Dates],Benchmark2[[#This Row],[Benchmark '#2 Dates]])=1,"Pass","Fail")</f>
        <v>Pass</v>
      </c>
      <c r="I410" s="6">
        <f>IF(Benchmark2[[#This Row],[Comparable '#2 Date Check]]="Pass",INDEX(Comp2[Comparable '#2 Price],MATCH(Benchmark2[[#This Row],[Benchmark '#2 Dates]],Comp2[Comparable '#2 Dates],0)),"-")</f>
        <v>34.35</v>
      </c>
      <c r="J410" s="1" t="str">
        <f>IF(COUNTIF(Comp3[Comparable '#3 Dates],Benchmark2[[#This Row],[Benchmark '#2 Dates]])=1,"Pass","Fail")</f>
        <v>Pass</v>
      </c>
      <c r="K410" s="6">
        <f>IF(Benchmark2[[#This Row],[Comparable '#3 Date Check]]="Pass",INDEX(Comp3[Comparable '#3 Price],MATCH(Benchmark2[[#This Row],[Benchmark '#2 Dates]],Comp3[Comparable '#3 Dates],0)),"-")</f>
        <v>174.25</v>
      </c>
    </row>
    <row r="411" spans="1:11">
      <c r="A411" s="103">
        <v>43881</v>
      </c>
      <c r="B411" s="104">
        <v>14061.48</v>
      </c>
      <c r="C411" s="4">
        <f t="shared" si="6"/>
        <v>-1.8224706015316167E-3</v>
      </c>
      <c r="D411" s="1" t="str">
        <f>IF(COUNTIF(Target1[Target Dates],Benchmark2[[#This Row],[Benchmark '#2 Dates]])=1,"Pass","Fail")</f>
        <v>Pass</v>
      </c>
      <c r="E411" s="6">
        <f>IF(Benchmark2[[#This Row],[Target Date Check]]="Pass",INDEX(Target1[Target Price],MATCH(Benchmark2[[#This Row],[Benchmark '#2 Dates]],Target1[Target Dates],0)),"-")</f>
        <v>16.88</v>
      </c>
      <c r="F411" s="1" t="str">
        <f>IF(COUNTIF(Comp1[Comparable '#1 Dates],Benchmark2[[#This Row],[Benchmark '#2 Dates]])=1,"Pass","Fail")</f>
        <v>Pass</v>
      </c>
      <c r="G411" s="6">
        <f>IF(Benchmark2[[#This Row],[Comparable '#1 Date Check]]="Pass",INDEX(Comp1[Comparable '#1 Price],MATCH(Benchmark2[[#This Row],[Benchmark '#2 Dates]],Comp1[Comparable '#1 Dates],0)),"-")</f>
        <v>21.33</v>
      </c>
      <c r="H411" s="1" t="str">
        <f>IF(COUNTIF(Comp2[Comparable '#2 Dates],Benchmark2[[#This Row],[Benchmark '#2 Dates]])=1,"Pass","Fail")</f>
        <v>Pass</v>
      </c>
      <c r="I411" s="6">
        <f>IF(Benchmark2[[#This Row],[Comparable '#2 Date Check]]="Pass",INDEX(Comp2[Comparable '#2 Price],MATCH(Benchmark2[[#This Row],[Benchmark '#2 Dates]],Comp2[Comparable '#2 Dates],0)),"-")</f>
        <v>34.65</v>
      </c>
      <c r="J411" s="1" t="str">
        <f>IF(COUNTIF(Comp3[Comparable '#3 Dates],Benchmark2[[#This Row],[Benchmark '#2 Dates]])=1,"Pass","Fail")</f>
        <v>Pass</v>
      </c>
      <c r="K411" s="6">
        <f>IF(Benchmark2[[#This Row],[Comparable '#3 Date Check]]="Pass",INDEX(Comp3[Comparable '#3 Price],MATCH(Benchmark2[[#This Row],[Benchmark '#2 Dates]],Comp3[Comparable '#3 Dates],0)),"-")</f>
        <v>167.92</v>
      </c>
    </row>
    <row r="412" spans="1:11">
      <c r="A412" s="103">
        <v>43882</v>
      </c>
      <c r="B412" s="104">
        <v>13975.78</v>
      </c>
      <c r="C412" s="4">
        <f t="shared" si="6"/>
        <v>-6.1133125635255848E-3</v>
      </c>
      <c r="D412" s="1" t="str">
        <f>IF(COUNTIF(Target1[Target Dates],Benchmark2[[#This Row],[Benchmark '#2 Dates]])=1,"Pass","Fail")</f>
        <v>Pass</v>
      </c>
      <c r="E412" s="6">
        <f>IF(Benchmark2[[#This Row],[Target Date Check]]="Pass",INDEX(Target1[Target Price],MATCH(Benchmark2[[#This Row],[Benchmark '#2 Dates]],Target1[Target Dates],0)),"-")</f>
        <v>16.760000000000002</v>
      </c>
      <c r="F412" s="1" t="str">
        <f>IF(COUNTIF(Comp1[Comparable '#1 Dates],Benchmark2[[#This Row],[Benchmark '#2 Dates]])=1,"Pass","Fail")</f>
        <v>Pass</v>
      </c>
      <c r="G412" s="6">
        <f>IF(Benchmark2[[#This Row],[Comparable '#1 Date Check]]="Pass",INDEX(Comp1[Comparable '#1 Price],MATCH(Benchmark2[[#This Row],[Benchmark '#2 Dates]],Comp1[Comparable '#1 Dates],0)),"-")</f>
        <v>21.09</v>
      </c>
      <c r="H412" s="1" t="str">
        <f>IF(COUNTIF(Comp2[Comparable '#2 Dates],Benchmark2[[#This Row],[Benchmark '#2 Dates]])=1,"Pass","Fail")</f>
        <v>Pass</v>
      </c>
      <c r="I412" s="6">
        <f>IF(Benchmark2[[#This Row],[Comparable '#2 Date Check]]="Pass",INDEX(Comp2[Comparable '#2 Price],MATCH(Benchmark2[[#This Row],[Benchmark '#2 Dates]],Comp2[Comparable '#2 Dates],0)),"-")</f>
        <v>34.5</v>
      </c>
      <c r="J412" s="1" t="str">
        <f>IF(COUNTIF(Comp3[Comparable '#3 Dates],Benchmark2[[#This Row],[Benchmark '#2 Dates]])=1,"Pass","Fail")</f>
        <v>Pass</v>
      </c>
      <c r="K412" s="6">
        <f>IF(Benchmark2[[#This Row],[Comparable '#3 Date Check]]="Pass",INDEX(Comp3[Comparable '#3 Price],MATCH(Benchmark2[[#This Row],[Benchmark '#2 Dates]],Comp3[Comparable '#3 Dates],0)),"-")</f>
        <v>165.72</v>
      </c>
    </row>
    <row r="413" spans="1:11">
      <c r="A413" s="103">
        <v>43885</v>
      </c>
      <c r="B413" s="104">
        <v>13534.12</v>
      </c>
      <c r="C413" s="4">
        <f t="shared" si="6"/>
        <v>-3.2111927108086746E-2</v>
      </c>
      <c r="D413" s="1" t="str">
        <f>IF(COUNTIF(Target1[Target Dates],Benchmark2[[#This Row],[Benchmark '#2 Dates]])=1,"Pass","Fail")</f>
        <v>Pass</v>
      </c>
      <c r="E413" s="6">
        <f>IF(Benchmark2[[#This Row],[Target Date Check]]="Pass",INDEX(Target1[Target Price],MATCH(Benchmark2[[#This Row],[Benchmark '#2 Dates]],Target1[Target Dates],0)),"-")</f>
        <v>16.14</v>
      </c>
      <c r="F413" s="1" t="str">
        <f>IF(COUNTIF(Comp1[Comparable '#1 Dates],Benchmark2[[#This Row],[Benchmark '#2 Dates]])=1,"Pass","Fail")</f>
        <v>Pass</v>
      </c>
      <c r="G413" s="6">
        <f>IF(Benchmark2[[#This Row],[Comparable '#1 Date Check]]="Pass",INDEX(Comp1[Comparable '#1 Price],MATCH(Benchmark2[[#This Row],[Benchmark '#2 Dates]],Comp1[Comparable '#1 Dates],0)),"-")</f>
        <v>20.79</v>
      </c>
      <c r="H413" s="1" t="str">
        <f>IF(COUNTIF(Comp2[Comparable '#2 Dates],Benchmark2[[#This Row],[Benchmark '#2 Dates]])=1,"Pass","Fail")</f>
        <v>Pass</v>
      </c>
      <c r="I413" s="6">
        <f>IF(Benchmark2[[#This Row],[Comparable '#2 Date Check]]="Pass",INDEX(Comp2[Comparable '#2 Price],MATCH(Benchmark2[[#This Row],[Benchmark '#2 Dates]],Comp2[Comparable '#2 Dates],0)),"-")</f>
        <v>33.43</v>
      </c>
      <c r="J413" s="1" t="str">
        <f>IF(COUNTIF(Comp3[Comparable '#3 Dates],Benchmark2[[#This Row],[Benchmark '#2 Dates]])=1,"Pass","Fail")</f>
        <v>Pass</v>
      </c>
      <c r="K413" s="6">
        <f>IF(Benchmark2[[#This Row],[Comparable '#3 Date Check]]="Pass",INDEX(Comp3[Comparable '#3 Price],MATCH(Benchmark2[[#This Row],[Benchmark '#2 Dates]],Comp3[Comparable '#3 Dates],0)),"-")</f>
        <v>158.31</v>
      </c>
    </row>
    <row r="414" spans="1:11">
      <c r="A414" s="103">
        <v>43886</v>
      </c>
      <c r="B414" s="104">
        <v>13143.73</v>
      </c>
      <c r="C414" s="4">
        <f t="shared" si="6"/>
        <v>-2.9269065497067065E-2</v>
      </c>
      <c r="D414" s="1" t="str">
        <f>IF(COUNTIF(Target1[Target Dates],Benchmark2[[#This Row],[Benchmark '#2 Dates]])=1,"Pass","Fail")</f>
        <v>Pass</v>
      </c>
      <c r="E414" s="6">
        <f>IF(Benchmark2[[#This Row],[Target Date Check]]="Pass",INDEX(Target1[Target Price],MATCH(Benchmark2[[#This Row],[Benchmark '#2 Dates]],Target1[Target Dates],0)),"-")</f>
        <v>16.07</v>
      </c>
      <c r="F414" s="1" t="str">
        <f>IF(COUNTIF(Comp1[Comparable '#1 Dates],Benchmark2[[#This Row],[Benchmark '#2 Dates]])=1,"Pass","Fail")</f>
        <v>Pass</v>
      </c>
      <c r="G414" s="6">
        <f>IF(Benchmark2[[#This Row],[Comparable '#1 Date Check]]="Pass",INDEX(Comp1[Comparable '#1 Price],MATCH(Benchmark2[[#This Row],[Benchmark '#2 Dates]],Comp1[Comparable '#1 Dates],0)),"-")</f>
        <v>20.86</v>
      </c>
      <c r="H414" s="1" t="str">
        <f>IF(COUNTIF(Comp2[Comparable '#2 Dates],Benchmark2[[#This Row],[Benchmark '#2 Dates]])=1,"Pass","Fail")</f>
        <v>Pass</v>
      </c>
      <c r="I414" s="6">
        <f>IF(Benchmark2[[#This Row],[Comparable '#2 Date Check]]="Pass",INDEX(Comp2[Comparable '#2 Price],MATCH(Benchmark2[[#This Row],[Benchmark '#2 Dates]],Comp2[Comparable '#2 Dates],0)),"-")</f>
        <v>33.32</v>
      </c>
      <c r="J414" s="1" t="str">
        <f>IF(COUNTIF(Comp3[Comparable '#3 Dates],Benchmark2[[#This Row],[Benchmark '#2 Dates]])=1,"Pass","Fail")</f>
        <v>Pass</v>
      </c>
      <c r="K414" s="6">
        <f>IF(Benchmark2[[#This Row],[Comparable '#3 Date Check]]="Pass",INDEX(Comp3[Comparable '#3 Price],MATCH(Benchmark2[[#This Row],[Benchmark '#2 Dates]],Comp3[Comparable '#3 Dates],0)),"-")</f>
        <v>154.24</v>
      </c>
    </row>
    <row r="415" spans="1:11">
      <c r="A415" s="103">
        <v>43887</v>
      </c>
      <c r="B415" s="104">
        <v>13046.62</v>
      </c>
      <c r="C415" s="4">
        <f t="shared" si="6"/>
        <v>-7.4157424419569332E-3</v>
      </c>
      <c r="D415" s="1" t="str">
        <f>IF(COUNTIF(Target1[Target Dates],Benchmark2[[#This Row],[Benchmark '#2 Dates]])=1,"Pass","Fail")</f>
        <v>Pass</v>
      </c>
      <c r="E415" s="6">
        <f>IF(Benchmark2[[#This Row],[Target Date Check]]="Pass",INDEX(Target1[Target Price],MATCH(Benchmark2[[#This Row],[Benchmark '#2 Dates]],Target1[Target Dates],0)),"-")</f>
        <v>16.350000000000001</v>
      </c>
      <c r="F415" s="1" t="str">
        <f>IF(COUNTIF(Comp1[Comparable '#1 Dates],Benchmark2[[#This Row],[Benchmark '#2 Dates]])=1,"Pass","Fail")</f>
        <v>Pass</v>
      </c>
      <c r="G415" s="6">
        <f>IF(Benchmark2[[#This Row],[Comparable '#1 Date Check]]="Pass",INDEX(Comp1[Comparable '#1 Price],MATCH(Benchmark2[[#This Row],[Benchmark '#2 Dates]],Comp1[Comparable '#1 Dates],0)),"-")</f>
        <v>19.97</v>
      </c>
      <c r="H415" s="1" t="str">
        <f>IF(COUNTIF(Comp2[Comparable '#2 Dates],Benchmark2[[#This Row],[Benchmark '#2 Dates]])=1,"Pass","Fail")</f>
        <v>Pass</v>
      </c>
      <c r="I415" s="6">
        <f>IF(Benchmark2[[#This Row],[Comparable '#2 Date Check]]="Pass",INDEX(Comp2[Comparable '#2 Price],MATCH(Benchmark2[[#This Row],[Benchmark '#2 Dates]],Comp2[Comparable '#2 Dates],0)),"-")</f>
        <v>31.96</v>
      </c>
      <c r="J415" s="1" t="str">
        <f>IF(COUNTIF(Comp3[Comparable '#3 Dates],Benchmark2[[#This Row],[Benchmark '#2 Dates]])=1,"Pass","Fail")</f>
        <v>Pass</v>
      </c>
      <c r="K415" s="6">
        <f>IF(Benchmark2[[#This Row],[Comparable '#3 Date Check]]="Pass",INDEX(Comp3[Comparable '#3 Price],MATCH(Benchmark2[[#This Row],[Benchmark '#2 Dates]],Comp3[Comparable '#3 Dates],0)),"-")</f>
        <v>150.46</v>
      </c>
    </row>
    <row r="416" spans="1:11">
      <c r="A416" s="103">
        <v>43888</v>
      </c>
      <c r="B416" s="104">
        <v>12547.25</v>
      </c>
      <c r="C416" s="4">
        <f t="shared" si="6"/>
        <v>-3.9027578329246082E-2</v>
      </c>
      <c r="D416" s="1" t="str">
        <f>IF(COUNTIF(Target1[Target Dates],Benchmark2[[#This Row],[Benchmark '#2 Dates]])=1,"Pass","Fail")</f>
        <v>Pass</v>
      </c>
      <c r="E416" s="6">
        <f>IF(Benchmark2[[#This Row],[Target Date Check]]="Pass",INDEX(Target1[Target Price],MATCH(Benchmark2[[#This Row],[Benchmark '#2 Dates]],Target1[Target Dates],0)),"-")</f>
        <v>18.5</v>
      </c>
      <c r="F416" s="1" t="str">
        <f>IF(COUNTIF(Comp1[Comparable '#1 Dates],Benchmark2[[#This Row],[Benchmark '#2 Dates]])=1,"Pass","Fail")</f>
        <v>Pass</v>
      </c>
      <c r="G416" s="6">
        <f>IF(Benchmark2[[#This Row],[Comparable '#1 Date Check]]="Pass",INDEX(Comp1[Comparable '#1 Price],MATCH(Benchmark2[[#This Row],[Benchmark '#2 Dates]],Comp1[Comparable '#1 Dates],0)),"-")</f>
        <v>18.87</v>
      </c>
      <c r="H416" s="1" t="str">
        <f>IF(COUNTIF(Comp2[Comparable '#2 Dates],Benchmark2[[#This Row],[Benchmark '#2 Dates]])=1,"Pass","Fail")</f>
        <v>Pass</v>
      </c>
      <c r="I416" s="6">
        <f>IF(Benchmark2[[#This Row],[Comparable '#2 Date Check]]="Pass",INDEX(Comp2[Comparable '#2 Price],MATCH(Benchmark2[[#This Row],[Benchmark '#2 Dates]],Comp2[Comparable '#2 Dates],0)),"-")</f>
        <v>30.43</v>
      </c>
      <c r="J416" s="1" t="str">
        <f>IF(COUNTIF(Comp3[Comparable '#3 Dates],Benchmark2[[#This Row],[Benchmark '#2 Dates]])=1,"Pass","Fail")</f>
        <v>Pass</v>
      </c>
      <c r="K416" s="6">
        <f>IF(Benchmark2[[#This Row],[Comparable '#3 Date Check]]="Pass",INDEX(Comp3[Comparable '#3 Price],MATCH(Benchmark2[[#This Row],[Benchmark '#2 Dates]],Comp3[Comparable '#3 Dates],0)),"-")</f>
        <v>146.22</v>
      </c>
    </row>
    <row r="417" spans="1:11">
      <c r="A417" s="103">
        <v>43889</v>
      </c>
      <c r="B417" s="104">
        <v>12380.96</v>
      </c>
      <c r="C417" s="4">
        <f t="shared" si="6"/>
        <v>-1.3341709384222977E-2</v>
      </c>
      <c r="D417" s="1" t="str">
        <f>IF(COUNTIF(Target1[Target Dates],Benchmark2[[#This Row],[Benchmark '#2 Dates]])=1,"Pass","Fail")</f>
        <v>Pass</v>
      </c>
      <c r="E417" s="6">
        <f>IF(Benchmark2[[#This Row],[Target Date Check]]="Pass",INDEX(Target1[Target Price],MATCH(Benchmark2[[#This Row],[Benchmark '#2 Dates]],Target1[Target Dates],0)),"-")</f>
        <v>19.88</v>
      </c>
      <c r="F417" s="1" t="str">
        <f>IF(COUNTIF(Comp1[Comparable '#1 Dates],Benchmark2[[#This Row],[Benchmark '#2 Dates]])=1,"Pass","Fail")</f>
        <v>Pass</v>
      </c>
      <c r="G417" s="6">
        <f>IF(Benchmark2[[#This Row],[Comparable '#1 Date Check]]="Pass",INDEX(Comp1[Comparable '#1 Price],MATCH(Benchmark2[[#This Row],[Benchmark '#2 Dates]],Comp1[Comparable '#1 Dates],0)),"-")</f>
        <v>18.7</v>
      </c>
      <c r="H417" s="1" t="str">
        <f>IF(COUNTIF(Comp2[Comparable '#2 Dates],Benchmark2[[#This Row],[Benchmark '#2 Dates]])=1,"Pass","Fail")</f>
        <v>Pass</v>
      </c>
      <c r="I417" s="6">
        <f>IF(Benchmark2[[#This Row],[Comparable '#2 Date Check]]="Pass",INDEX(Comp2[Comparable '#2 Price],MATCH(Benchmark2[[#This Row],[Benchmark '#2 Dates]],Comp2[Comparable '#2 Dates],0)),"-")</f>
        <v>30.87</v>
      </c>
      <c r="J417" s="1" t="str">
        <f>IF(COUNTIF(Comp3[Comparable '#3 Dates],Benchmark2[[#This Row],[Benchmark '#2 Dates]])=1,"Pass","Fail")</f>
        <v>Pass</v>
      </c>
      <c r="K417" s="6">
        <f>IF(Benchmark2[[#This Row],[Comparable '#3 Date Check]]="Pass",INDEX(Comp3[Comparable '#3 Price],MATCH(Benchmark2[[#This Row],[Benchmark '#2 Dates]],Comp3[Comparable '#3 Dates],0)),"-")</f>
        <v>147.38</v>
      </c>
    </row>
    <row r="418" spans="1:11">
      <c r="A418" s="103">
        <v>43892</v>
      </c>
      <c r="B418" s="104">
        <v>12827.99</v>
      </c>
      <c r="C418" s="4">
        <f t="shared" si="6"/>
        <v>3.5469693609328008E-2</v>
      </c>
      <c r="D418" s="1" t="str">
        <f>IF(COUNTIF(Target1[Target Dates],Benchmark2[[#This Row],[Benchmark '#2 Dates]])=1,"Pass","Fail")</f>
        <v>Pass</v>
      </c>
      <c r="E418" s="6">
        <f>IF(Benchmark2[[#This Row],[Target Date Check]]="Pass",INDEX(Target1[Target Price],MATCH(Benchmark2[[#This Row],[Benchmark '#2 Dates]],Target1[Target Dates],0)),"-")</f>
        <v>19.309999999999999</v>
      </c>
      <c r="F418" s="1" t="str">
        <f>IF(COUNTIF(Comp1[Comparable '#1 Dates],Benchmark2[[#This Row],[Benchmark '#2 Dates]])=1,"Pass","Fail")</f>
        <v>Pass</v>
      </c>
      <c r="G418" s="6">
        <f>IF(Benchmark2[[#This Row],[Comparable '#1 Date Check]]="Pass",INDEX(Comp1[Comparable '#1 Price],MATCH(Benchmark2[[#This Row],[Benchmark '#2 Dates]],Comp1[Comparable '#1 Dates],0)),"-")</f>
        <v>19.46</v>
      </c>
      <c r="H418" s="1" t="str">
        <f>IF(COUNTIF(Comp2[Comparable '#2 Dates],Benchmark2[[#This Row],[Benchmark '#2 Dates]])=1,"Pass","Fail")</f>
        <v>Pass</v>
      </c>
      <c r="I418" s="6">
        <f>IF(Benchmark2[[#This Row],[Comparable '#2 Date Check]]="Pass",INDEX(Comp2[Comparable '#2 Price],MATCH(Benchmark2[[#This Row],[Benchmark '#2 Dates]],Comp2[Comparable '#2 Dates],0)),"-")</f>
        <v>30.91</v>
      </c>
      <c r="J418" s="1" t="str">
        <f>IF(COUNTIF(Comp3[Comparable '#3 Dates],Benchmark2[[#This Row],[Benchmark '#2 Dates]])=1,"Pass","Fail")</f>
        <v>Pass</v>
      </c>
      <c r="K418" s="6">
        <f>IF(Benchmark2[[#This Row],[Comparable '#3 Date Check]]="Pass",INDEX(Comp3[Comparable '#3 Price],MATCH(Benchmark2[[#This Row],[Benchmark '#2 Dates]],Comp3[Comparable '#3 Dates],0)),"-")</f>
        <v>149.18</v>
      </c>
    </row>
    <row r="419" spans="1:11">
      <c r="A419" s="103">
        <v>43893</v>
      </c>
      <c r="B419" s="104">
        <v>12542.74</v>
      </c>
      <c r="C419" s="4">
        <f t="shared" si="6"/>
        <v>-2.2487490151458553E-2</v>
      </c>
      <c r="D419" s="1" t="str">
        <f>IF(COUNTIF(Target1[Target Dates],Benchmark2[[#This Row],[Benchmark '#2 Dates]])=1,"Pass","Fail")</f>
        <v>Pass</v>
      </c>
      <c r="E419" s="6">
        <f>IF(Benchmark2[[#This Row],[Target Date Check]]="Pass",INDEX(Target1[Target Price],MATCH(Benchmark2[[#This Row],[Benchmark '#2 Dates]],Target1[Target Dates],0)),"-")</f>
        <v>20.329999999999998</v>
      </c>
      <c r="F419" s="1" t="str">
        <f>IF(COUNTIF(Comp1[Comparable '#1 Dates],Benchmark2[[#This Row],[Benchmark '#2 Dates]])=1,"Pass","Fail")</f>
        <v>Pass</v>
      </c>
      <c r="G419" s="6">
        <f>IF(Benchmark2[[#This Row],[Comparable '#1 Date Check]]="Pass",INDEX(Comp1[Comparable '#1 Price],MATCH(Benchmark2[[#This Row],[Benchmark '#2 Dates]],Comp1[Comparable '#1 Dates],0)),"-")</f>
        <v>19.13</v>
      </c>
      <c r="H419" s="1" t="str">
        <f>IF(COUNTIF(Comp2[Comparable '#2 Dates],Benchmark2[[#This Row],[Benchmark '#2 Dates]])=1,"Pass","Fail")</f>
        <v>Pass</v>
      </c>
      <c r="I419" s="6">
        <f>IF(Benchmark2[[#This Row],[Comparable '#2 Date Check]]="Pass",INDEX(Comp2[Comparable '#2 Price],MATCH(Benchmark2[[#This Row],[Benchmark '#2 Dates]],Comp2[Comparable '#2 Dates],0)),"-")</f>
        <v>29.87</v>
      </c>
      <c r="J419" s="1" t="str">
        <f>IF(COUNTIF(Comp3[Comparable '#3 Dates],Benchmark2[[#This Row],[Benchmark '#2 Dates]])=1,"Pass","Fail")</f>
        <v>Pass</v>
      </c>
      <c r="K419" s="6">
        <f>IF(Benchmark2[[#This Row],[Comparable '#3 Date Check]]="Pass",INDEX(Comp3[Comparable '#3 Price],MATCH(Benchmark2[[#This Row],[Benchmark '#2 Dates]],Comp3[Comparable '#3 Dates],0)),"-")</f>
        <v>144.05000000000001</v>
      </c>
    </row>
    <row r="420" spans="1:11">
      <c r="A420" s="103">
        <v>43894</v>
      </c>
      <c r="B420" s="104">
        <v>13009.96</v>
      </c>
      <c r="C420" s="4">
        <f t="shared" si="6"/>
        <v>3.6573205827254845E-2</v>
      </c>
      <c r="D420" s="1" t="str">
        <f>IF(COUNTIF(Target1[Target Dates],Benchmark2[[#This Row],[Benchmark '#2 Dates]])=1,"Pass","Fail")</f>
        <v>Pass</v>
      </c>
      <c r="E420" s="6">
        <f>IF(Benchmark2[[#This Row],[Target Date Check]]="Pass",INDEX(Target1[Target Price],MATCH(Benchmark2[[#This Row],[Benchmark '#2 Dates]],Target1[Target Dates],0)),"-")</f>
        <v>20.34</v>
      </c>
      <c r="F420" s="1" t="str">
        <f>IF(COUNTIF(Comp1[Comparable '#1 Dates],Benchmark2[[#This Row],[Benchmark '#2 Dates]])=1,"Pass","Fail")</f>
        <v>Pass</v>
      </c>
      <c r="G420" s="6">
        <f>IF(Benchmark2[[#This Row],[Comparable '#1 Date Check]]="Pass",INDEX(Comp1[Comparable '#1 Price],MATCH(Benchmark2[[#This Row],[Benchmark '#2 Dates]],Comp1[Comparable '#1 Dates],0)),"-")</f>
        <v>19.835000000000001</v>
      </c>
      <c r="H420" s="1" t="str">
        <f>IF(COUNTIF(Comp2[Comparable '#2 Dates],Benchmark2[[#This Row],[Benchmark '#2 Dates]])=1,"Pass","Fail")</f>
        <v>Pass</v>
      </c>
      <c r="I420" s="6">
        <f>IF(Benchmark2[[#This Row],[Comparable '#2 Date Check]]="Pass",INDEX(Comp2[Comparable '#2 Price],MATCH(Benchmark2[[#This Row],[Benchmark '#2 Dates]],Comp2[Comparable '#2 Dates],0)),"-")</f>
        <v>31.32</v>
      </c>
      <c r="J420" s="1" t="str">
        <f>IF(COUNTIF(Comp3[Comparable '#3 Dates],Benchmark2[[#This Row],[Benchmark '#2 Dates]])=1,"Pass","Fail")</f>
        <v>Pass</v>
      </c>
      <c r="K420" s="6">
        <f>IF(Benchmark2[[#This Row],[Comparable '#3 Date Check]]="Pass",INDEX(Comp3[Comparable '#3 Price],MATCH(Benchmark2[[#This Row],[Benchmark '#2 Dates]],Comp3[Comparable '#3 Dates],0)),"-")</f>
        <v>155.26</v>
      </c>
    </row>
    <row r="421" spans="1:11">
      <c r="A421" s="103">
        <v>43895</v>
      </c>
      <c r="B421" s="104">
        <v>12593.04</v>
      </c>
      <c r="C421" s="4">
        <f t="shared" si="6"/>
        <v>-3.2570937575166915E-2</v>
      </c>
      <c r="D421" s="1" t="str">
        <f>IF(COUNTIF(Target1[Target Dates],Benchmark2[[#This Row],[Benchmark '#2 Dates]])=1,"Pass","Fail")</f>
        <v>Pass</v>
      </c>
      <c r="E421" s="6">
        <f>IF(Benchmark2[[#This Row],[Target Date Check]]="Pass",INDEX(Target1[Target Price],MATCH(Benchmark2[[#This Row],[Benchmark '#2 Dates]],Target1[Target Dates],0)),"-")</f>
        <v>20.75</v>
      </c>
      <c r="F421" s="1" t="str">
        <f>IF(COUNTIF(Comp1[Comparable '#1 Dates],Benchmark2[[#This Row],[Benchmark '#2 Dates]])=1,"Pass","Fail")</f>
        <v>Pass</v>
      </c>
      <c r="G421" s="6">
        <f>IF(Benchmark2[[#This Row],[Comparable '#1 Date Check]]="Pass",INDEX(Comp1[Comparable '#1 Price],MATCH(Benchmark2[[#This Row],[Benchmark '#2 Dates]],Comp1[Comparable '#1 Dates],0)),"-")</f>
        <v>18.48</v>
      </c>
      <c r="H421" s="1" t="str">
        <f>IF(COUNTIF(Comp2[Comparable '#2 Dates],Benchmark2[[#This Row],[Benchmark '#2 Dates]])=1,"Pass","Fail")</f>
        <v>Pass</v>
      </c>
      <c r="I421" s="6">
        <f>IF(Benchmark2[[#This Row],[Comparable '#2 Date Check]]="Pass",INDEX(Comp2[Comparable '#2 Price],MATCH(Benchmark2[[#This Row],[Benchmark '#2 Dates]],Comp2[Comparable '#2 Dates],0)),"-")</f>
        <v>29.86</v>
      </c>
      <c r="J421" s="1" t="str">
        <f>IF(COUNTIF(Comp3[Comparable '#3 Dates],Benchmark2[[#This Row],[Benchmark '#2 Dates]])=1,"Pass","Fail")</f>
        <v>Pass</v>
      </c>
      <c r="K421" s="6">
        <f>IF(Benchmark2[[#This Row],[Comparable '#3 Date Check]]="Pass",INDEX(Comp3[Comparable '#3 Price],MATCH(Benchmark2[[#This Row],[Benchmark '#2 Dates]],Comp3[Comparable '#3 Dates],0)),"-")</f>
        <v>151.41</v>
      </c>
    </row>
    <row r="422" spans="1:11">
      <c r="A422" s="103">
        <v>43896</v>
      </c>
      <c r="B422" s="104">
        <v>12352.03</v>
      </c>
      <c r="C422" s="4">
        <f t="shared" si="6"/>
        <v>-1.9323858350540506E-2</v>
      </c>
      <c r="D422" s="1" t="str">
        <f>IF(COUNTIF(Target1[Target Dates],Benchmark2[[#This Row],[Benchmark '#2 Dates]])=1,"Pass","Fail")</f>
        <v>Pass</v>
      </c>
      <c r="E422" s="6">
        <f>IF(Benchmark2[[#This Row],[Target Date Check]]="Pass",INDEX(Target1[Target Price],MATCH(Benchmark2[[#This Row],[Benchmark '#2 Dates]],Target1[Target Dates],0)),"-")</f>
        <v>20.5</v>
      </c>
      <c r="F422" s="1" t="str">
        <f>IF(COUNTIF(Comp1[Comparable '#1 Dates],Benchmark2[[#This Row],[Benchmark '#2 Dates]])=1,"Pass","Fail")</f>
        <v>Pass</v>
      </c>
      <c r="G422" s="6">
        <f>IF(Benchmark2[[#This Row],[Comparable '#1 Date Check]]="Pass",INDEX(Comp1[Comparable '#1 Price],MATCH(Benchmark2[[#This Row],[Benchmark '#2 Dates]],Comp1[Comparable '#1 Dates],0)),"-")</f>
        <v>18.29</v>
      </c>
      <c r="H422" s="1" t="str">
        <f>IF(COUNTIF(Comp2[Comparable '#2 Dates],Benchmark2[[#This Row],[Benchmark '#2 Dates]])=1,"Pass","Fail")</f>
        <v>Pass</v>
      </c>
      <c r="I422" s="6">
        <f>IF(Benchmark2[[#This Row],[Comparable '#2 Date Check]]="Pass",INDEX(Comp2[Comparable '#2 Price],MATCH(Benchmark2[[#This Row],[Benchmark '#2 Dates]],Comp2[Comparable '#2 Dates],0)),"-")</f>
        <v>30.87</v>
      </c>
      <c r="J422" s="1" t="str">
        <f>IF(COUNTIF(Comp3[Comparable '#3 Dates],Benchmark2[[#This Row],[Benchmark '#2 Dates]])=1,"Pass","Fail")</f>
        <v>Pass</v>
      </c>
      <c r="K422" s="6">
        <f>IF(Benchmark2[[#This Row],[Comparable '#3 Date Check]]="Pass",INDEX(Comp3[Comparable '#3 Price],MATCH(Benchmark2[[#This Row],[Benchmark '#2 Dates]],Comp3[Comparable '#3 Dates],0)),"-")</f>
        <v>150.37</v>
      </c>
    </row>
    <row r="423" spans="1:11">
      <c r="A423" s="103">
        <v>43899</v>
      </c>
      <c r="B423" s="104">
        <v>11298.43</v>
      </c>
      <c r="C423" s="4">
        <f t="shared" si="6"/>
        <v>-8.9156644023535458E-2</v>
      </c>
      <c r="D423" s="1" t="str">
        <f>IF(COUNTIF(Target1[Target Dates],Benchmark2[[#This Row],[Benchmark '#2 Dates]])=1,"Pass","Fail")</f>
        <v>Pass</v>
      </c>
      <c r="E423" s="6">
        <f>IF(Benchmark2[[#This Row],[Target Date Check]]="Pass",INDEX(Target1[Target Price],MATCH(Benchmark2[[#This Row],[Benchmark '#2 Dates]],Target1[Target Dates],0)),"-")</f>
        <v>19.440000000000001</v>
      </c>
      <c r="F423" s="1" t="str">
        <f>IF(COUNTIF(Comp1[Comparable '#1 Dates],Benchmark2[[#This Row],[Benchmark '#2 Dates]])=1,"Pass","Fail")</f>
        <v>Pass</v>
      </c>
      <c r="G423" s="6">
        <f>IF(Benchmark2[[#This Row],[Comparable '#1 Date Check]]="Pass",INDEX(Comp1[Comparable '#1 Price],MATCH(Benchmark2[[#This Row],[Benchmark '#2 Dates]],Comp1[Comparable '#1 Dates],0)),"-")</f>
        <v>16.78</v>
      </c>
      <c r="H423" s="1" t="str">
        <f>IF(COUNTIF(Comp2[Comparable '#2 Dates],Benchmark2[[#This Row],[Benchmark '#2 Dates]])=1,"Pass","Fail")</f>
        <v>Pass</v>
      </c>
      <c r="I423" s="6">
        <f>IF(Benchmark2[[#This Row],[Comparable '#2 Date Check]]="Pass",INDEX(Comp2[Comparable '#2 Price],MATCH(Benchmark2[[#This Row],[Benchmark '#2 Dates]],Comp2[Comparable '#2 Dates],0)),"-")</f>
        <v>29.13</v>
      </c>
      <c r="J423" s="1" t="str">
        <f>IF(COUNTIF(Comp3[Comparable '#3 Dates],Benchmark2[[#This Row],[Benchmark '#2 Dates]])=1,"Pass","Fail")</f>
        <v>Pass</v>
      </c>
      <c r="K423" s="6">
        <f>IF(Benchmark2[[#This Row],[Comparable '#3 Date Check]]="Pass",INDEX(Comp3[Comparable '#3 Price],MATCH(Benchmark2[[#This Row],[Benchmark '#2 Dates]],Comp3[Comparable '#3 Dates],0)),"-")</f>
        <v>142.47999999999999</v>
      </c>
    </row>
    <row r="424" spans="1:11">
      <c r="A424" s="103">
        <v>43900</v>
      </c>
      <c r="B424" s="104">
        <v>11793.27</v>
      </c>
      <c r="C424" s="4">
        <f t="shared" si="6"/>
        <v>4.2865251771010575E-2</v>
      </c>
      <c r="D424" s="1" t="str">
        <f>IF(COUNTIF(Target1[Target Dates],Benchmark2[[#This Row],[Benchmark '#2 Dates]])=1,"Pass","Fail")</f>
        <v>Pass</v>
      </c>
      <c r="E424" s="6">
        <f>IF(Benchmark2[[#This Row],[Target Date Check]]="Pass",INDEX(Target1[Target Price],MATCH(Benchmark2[[#This Row],[Benchmark '#2 Dates]],Target1[Target Dates],0)),"-")</f>
        <v>18.309999999999999</v>
      </c>
      <c r="F424" s="1" t="str">
        <f>IF(COUNTIF(Comp1[Comparable '#1 Dates],Benchmark2[[#This Row],[Benchmark '#2 Dates]])=1,"Pass","Fail")</f>
        <v>Pass</v>
      </c>
      <c r="G424" s="6">
        <f>IF(Benchmark2[[#This Row],[Comparable '#1 Date Check]]="Pass",INDEX(Comp1[Comparable '#1 Price],MATCH(Benchmark2[[#This Row],[Benchmark '#2 Dates]],Comp1[Comparable '#1 Dates],0)),"-")</f>
        <v>17.3</v>
      </c>
      <c r="H424" s="1" t="str">
        <f>IF(COUNTIF(Comp2[Comparable '#2 Dates],Benchmark2[[#This Row],[Benchmark '#2 Dates]])=1,"Pass","Fail")</f>
        <v>Pass</v>
      </c>
      <c r="I424" s="6">
        <f>IF(Benchmark2[[#This Row],[Comparable '#2 Date Check]]="Pass",INDEX(Comp2[Comparable '#2 Price],MATCH(Benchmark2[[#This Row],[Benchmark '#2 Dates]],Comp2[Comparable '#2 Dates],0)),"-")</f>
        <v>28.39</v>
      </c>
      <c r="J424" s="1" t="str">
        <f>IF(COUNTIF(Comp3[Comparable '#3 Dates],Benchmark2[[#This Row],[Benchmark '#2 Dates]])=1,"Pass","Fail")</f>
        <v>Pass</v>
      </c>
      <c r="K424" s="6">
        <f>IF(Benchmark2[[#This Row],[Comparable '#3 Date Check]]="Pass",INDEX(Comp3[Comparable '#3 Price],MATCH(Benchmark2[[#This Row],[Benchmark '#2 Dates]],Comp3[Comparable '#3 Dates],0)),"-")</f>
        <v>143.5</v>
      </c>
    </row>
    <row r="425" spans="1:11">
      <c r="A425" s="103">
        <v>43901</v>
      </c>
      <c r="B425" s="104">
        <v>11177.29</v>
      </c>
      <c r="C425" s="4">
        <f t="shared" si="6"/>
        <v>-5.3644988577150117E-2</v>
      </c>
      <c r="D425" s="1" t="str">
        <f>IF(COUNTIF(Target1[Target Dates],Benchmark2[[#This Row],[Benchmark '#2 Dates]])=1,"Pass","Fail")</f>
        <v>Pass</v>
      </c>
      <c r="E425" s="6">
        <f>IF(Benchmark2[[#This Row],[Target Date Check]]="Pass",INDEX(Target1[Target Price],MATCH(Benchmark2[[#This Row],[Benchmark '#2 Dates]],Target1[Target Dates],0)),"-")</f>
        <v>17.16</v>
      </c>
      <c r="F425" s="1" t="str">
        <f>IF(COUNTIF(Comp1[Comparable '#1 Dates],Benchmark2[[#This Row],[Benchmark '#2 Dates]])=1,"Pass","Fail")</f>
        <v>Pass</v>
      </c>
      <c r="G425" s="6">
        <f>IF(Benchmark2[[#This Row],[Comparable '#1 Date Check]]="Pass",INDEX(Comp1[Comparable '#1 Price],MATCH(Benchmark2[[#This Row],[Benchmark '#2 Dates]],Comp1[Comparable '#1 Dates],0)),"-")</f>
        <v>16.559999999999999</v>
      </c>
      <c r="H425" s="1" t="str">
        <f>IF(COUNTIF(Comp2[Comparable '#2 Dates],Benchmark2[[#This Row],[Benchmark '#2 Dates]])=1,"Pass","Fail")</f>
        <v>Pass</v>
      </c>
      <c r="I425" s="6">
        <f>IF(Benchmark2[[#This Row],[Comparable '#2 Date Check]]="Pass",INDEX(Comp2[Comparable '#2 Price],MATCH(Benchmark2[[#This Row],[Benchmark '#2 Dates]],Comp2[Comparable '#2 Dates],0)),"-")</f>
        <v>27.06</v>
      </c>
      <c r="J425" s="1" t="str">
        <f>IF(COUNTIF(Comp3[Comparable '#3 Dates],Benchmark2[[#This Row],[Benchmark '#2 Dates]])=1,"Pass","Fail")</f>
        <v>Pass</v>
      </c>
      <c r="K425" s="6">
        <f>IF(Benchmark2[[#This Row],[Comparable '#3 Date Check]]="Pass",INDEX(Comp3[Comparable '#3 Price],MATCH(Benchmark2[[#This Row],[Benchmark '#2 Dates]],Comp3[Comparable '#3 Dates],0)),"-")</f>
        <v>146.96</v>
      </c>
    </row>
    <row r="426" spans="1:11">
      <c r="A426" s="103">
        <v>43902</v>
      </c>
      <c r="B426" s="104">
        <v>10060.77</v>
      </c>
      <c r="C426" s="4">
        <f t="shared" si="6"/>
        <v>-0.10524033870830651</v>
      </c>
      <c r="D426" s="1" t="str">
        <f>IF(COUNTIF(Target1[Target Dates],Benchmark2[[#This Row],[Benchmark '#2 Dates]])=1,"Pass","Fail")</f>
        <v>Pass</v>
      </c>
      <c r="E426" s="6">
        <f>IF(Benchmark2[[#This Row],[Target Date Check]]="Pass",INDEX(Target1[Target Price],MATCH(Benchmark2[[#This Row],[Benchmark '#2 Dates]],Target1[Target Dates],0)),"-")</f>
        <v>20.73</v>
      </c>
      <c r="F426" s="1" t="str">
        <f>IF(COUNTIF(Comp1[Comparable '#1 Dates],Benchmark2[[#This Row],[Benchmark '#2 Dates]])=1,"Pass","Fail")</f>
        <v>Pass</v>
      </c>
      <c r="G426" s="6">
        <f>IF(Benchmark2[[#This Row],[Comparable '#1 Date Check]]="Pass",INDEX(Comp1[Comparable '#1 Price],MATCH(Benchmark2[[#This Row],[Benchmark '#2 Dates]],Comp1[Comparable '#1 Dates],0)),"-")</f>
        <v>13.82</v>
      </c>
      <c r="H426" s="1" t="str">
        <f>IF(COUNTIF(Comp2[Comparable '#2 Dates],Benchmark2[[#This Row],[Benchmark '#2 Dates]])=1,"Pass","Fail")</f>
        <v>Pass</v>
      </c>
      <c r="I426" s="6">
        <f>IF(Benchmark2[[#This Row],[Comparable '#2 Date Check]]="Pass",INDEX(Comp2[Comparable '#2 Price],MATCH(Benchmark2[[#This Row],[Benchmark '#2 Dates]],Comp2[Comparable '#2 Dates],0)),"-")</f>
        <v>25.35</v>
      </c>
      <c r="J426" s="1" t="str">
        <f>IF(COUNTIF(Comp3[Comparable '#3 Dates],Benchmark2[[#This Row],[Benchmark '#2 Dates]])=1,"Pass","Fail")</f>
        <v>Pass</v>
      </c>
      <c r="K426" s="6">
        <f>IF(Benchmark2[[#This Row],[Comparable '#3 Date Check]]="Pass",INDEX(Comp3[Comparable '#3 Price],MATCH(Benchmark2[[#This Row],[Benchmark '#2 Dates]],Comp3[Comparable '#3 Dates],0)),"-")</f>
        <v>141.80000000000001</v>
      </c>
    </row>
    <row r="427" spans="1:11">
      <c r="A427" s="103">
        <v>43903</v>
      </c>
      <c r="B427" s="104">
        <v>10851.98</v>
      </c>
      <c r="C427" s="4">
        <f t="shared" si="6"/>
        <v>7.5703849318767891E-2</v>
      </c>
      <c r="D427" s="1" t="str">
        <f>IF(COUNTIF(Target1[Target Dates],Benchmark2[[#This Row],[Benchmark '#2 Dates]])=1,"Pass","Fail")</f>
        <v>Pass</v>
      </c>
      <c r="E427" s="6">
        <f>IF(Benchmark2[[#This Row],[Target Date Check]]="Pass",INDEX(Target1[Target Price],MATCH(Benchmark2[[#This Row],[Benchmark '#2 Dates]],Target1[Target Dates],0)),"-")</f>
        <v>23.94</v>
      </c>
      <c r="F427" s="1" t="str">
        <f>IF(COUNTIF(Comp1[Comparable '#1 Dates],Benchmark2[[#This Row],[Benchmark '#2 Dates]])=1,"Pass","Fail")</f>
        <v>Pass</v>
      </c>
      <c r="G427" s="6">
        <f>IF(Benchmark2[[#This Row],[Comparable '#1 Date Check]]="Pass",INDEX(Comp1[Comparable '#1 Price],MATCH(Benchmark2[[#This Row],[Benchmark '#2 Dates]],Comp1[Comparable '#1 Dates],0)),"-")</f>
        <v>14.85</v>
      </c>
      <c r="H427" s="1" t="str">
        <f>IF(COUNTIF(Comp2[Comparable '#2 Dates],Benchmark2[[#This Row],[Benchmark '#2 Dates]])=1,"Pass","Fail")</f>
        <v>Pass</v>
      </c>
      <c r="I427" s="6">
        <f>IF(Benchmark2[[#This Row],[Comparable '#2 Date Check]]="Pass",INDEX(Comp2[Comparable '#2 Price],MATCH(Benchmark2[[#This Row],[Benchmark '#2 Dates]],Comp2[Comparable '#2 Dates],0)),"-")</f>
        <v>26.86</v>
      </c>
      <c r="J427" s="1" t="str">
        <f>IF(COUNTIF(Comp3[Comparable '#3 Dates],Benchmark2[[#This Row],[Benchmark '#2 Dates]])=1,"Pass","Fail")</f>
        <v>Pass</v>
      </c>
      <c r="K427" s="6">
        <f>IF(Benchmark2[[#This Row],[Comparable '#3 Date Check]]="Pass",INDEX(Comp3[Comparable '#3 Price],MATCH(Benchmark2[[#This Row],[Benchmark '#2 Dates]],Comp3[Comparable '#3 Dates],0)),"-")</f>
        <v>158.09</v>
      </c>
    </row>
    <row r="428" spans="1:11">
      <c r="A428" s="103">
        <v>43906</v>
      </c>
      <c r="B428" s="104">
        <v>9567.5300000000007</v>
      </c>
      <c r="C428" s="4">
        <f t="shared" si="6"/>
        <v>-0.12597247788856533</v>
      </c>
      <c r="D428" s="1" t="str">
        <f>IF(COUNTIF(Target1[Target Dates],Benchmark2[[#This Row],[Benchmark '#2 Dates]])=1,"Pass","Fail")</f>
        <v>Pass</v>
      </c>
      <c r="E428" s="6">
        <f>IF(Benchmark2[[#This Row],[Target Date Check]]="Pass",INDEX(Target1[Target Price],MATCH(Benchmark2[[#This Row],[Benchmark '#2 Dates]],Target1[Target Dates],0)),"-")</f>
        <v>21.4</v>
      </c>
      <c r="F428" s="1" t="str">
        <f>IF(COUNTIF(Comp1[Comparable '#1 Dates],Benchmark2[[#This Row],[Benchmark '#2 Dates]])=1,"Pass","Fail")</f>
        <v>Pass</v>
      </c>
      <c r="G428" s="6">
        <f>IF(Benchmark2[[#This Row],[Comparable '#1 Date Check]]="Pass",INDEX(Comp1[Comparable '#1 Price],MATCH(Benchmark2[[#This Row],[Benchmark '#2 Dates]],Comp1[Comparable '#1 Dates],0)),"-")</f>
        <v>11.85</v>
      </c>
      <c r="H428" s="1" t="str">
        <f>IF(COUNTIF(Comp2[Comparable '#2 Dates],Benchmark2[[#This Row],[Benchmark '#2 Dates]])=1,"Pass","Fail")</f>
        <v>Pass</v>
      </c>
      <c r="I428" s="6">
        <f>IF(Benchmark2[[#This Row],[Comparable '#2 Date Check]]="Pass",INDEX(Comp2[Comparable '#2 Price],MATCH(Benchmark2[[#This Row],[Benchmark '#2 Dates]],Comp2[Comparable '#2 Dates],0)),"-")</f>
        <v>23.99</v>
      </c>
      <c r="J428" s="1" t="str">
        <f>IF(COUNTIF(Comp3[Comparable '#3 Dates],Benchmark2[[#This Row],[Benchmark '#2 Dates]])=1,"Pass","Fail")</f>
        <v>Pass</v>
      </c>
      <c r="K428" s="6">
        <f>IF(Benchmark2[[#This Row],[Comparable '#3 Date Check]]="Pass",INDEX(Comp3[Comparable '#3 Price],MATCH(Benchmark2[[#This Row],[Benchmark '#2 Dates]],Comp3[Comparable '#3 Dates],0)),"-")</f>
        <v>129</v>
      </c>
    </row>
    <row r="429" spans="1:11">
      <c r="A429" s="103">
        <v>43907</v>
      </c>
      <c r="B429" s="104">
        <v>10063.36</v>
      </c>
      <c r="C429" s="4">
        <f t="shared" si="6"/>
        <v>5.0526031003025579E-2</v>
      </c>
      <c r="D429" s="1" t="str">
        <f>IF(COUNTIF(Target1[Target Dates],Benchmark2[[#This Row],[Benchmark '#2 Dates]])=1,"Pass","Fail")</f>
        <v>Pass</v>
      </c>
      <c r="E429" s="6">
        <f>IF(Benchmark2[[#This Row],[Target Date Check]]="Pass",INDEX(Target1[Target Price],MATCH(Benchmark2[[#This Row],[Benchmark '#2 Dates]],Target1[Target Dates],0)),"-")</f>
        <v>18.61</v>
      </c>
      <c r="F429" s="1" t="str">
        <f>IF(COUNTIF(Comp1[Comparable '#1 Dates],Benchmark2[[#This Row],[Benchmark '#2 Dates]])=1,"Pass","Fail")</f>
        <v>Pass</v>
      </c>
      <c r="G429" s="6">
        <f>IF(Benchmark2[[#This Row],[Comparable '#1 Date Check]]="Pass",INDEX(Comp1[Comparable '#1 Price],MATCH(Benchmark2[[#This Row],[Benchmark '#2 Dates]],Comp1[Comparable '#1 Dates],0)),"-")</f>
        <v>10.68</v>
      </c>
      <c r="H429" s="1" t="str">
        <f>IF(COUNTIF(Comp2[Comparable '#2 Dates],Benchmark2[[#This Row],[Benchmark '#2 Dates]])=1,"Pass","Fail")</f>
        <v>Pass</v>
      </c>
      <c r="I429" s="6">
        <f>IF(Benchmark2[[#This Row],[Comparable '#2 Date Check]]="Pass",INDEX(Comp2[Comparable '#2 Price],MATCH(Benchmark2[[#This Row],[Benchmark '#2 Dates]],Comp2[Comparable '#2 Dates],0)),"-")</f>
        <v>25.98</v>
      </c>
      <c r="J429" s="1" t="str">
        <f>IF(COUNTIF(Comp3[Comparable '#3 Dates],Benchmark2[[#This Row],[Benchmark '#2 Dates]])=1,"Pass","Fail")</f>
        <v>Pass</v>
      </c>
      <c r="K429" s="6">
        <f>IF(Benchmark2[[#This Row],[Comparable '#3 Date Check]]="Pass",INDEX(Comp3[Comparable '#3 Price],MATCH(Benchmark2[[#This Row],[Benchmark '#2 Dates]],Comp3[Comparable '#3 Dates],0)),"-")</f>
        <v>124.36</v>
      </c>
    </row>
    <row r="430" spans="1:11">
      <c r="A430" s="103">
        <v>43908</v>
      </c>
      <c r="B430" s="104">
        <v>9384.6</v>
      </c>
      <c r="C430" s="4">
        <f t="shared" si="6"/>
        <v>-6.9831057005080563E-2</v>
      </c>
      <c r="D430" s="1" t="str">
        <f>IF(COUNTIF(Target1[Target Dates],Benchmark2[[#This Row],[Benchmark '#2 Dates]])=1,"Pass","Fail")</f>
        <v>Pass</v>
      </c>
      <c r="E430" s="6">
        <f>IF(Benchmark2[[#This Row],[Target Date Check]]="Pass",INDEX(Target1[Target Price],MATCH(Benchmark2[[#This Row],[Benchmark '#2 Dates]],Target1[Target Dates],0)),"-")</f>
        <v>16.55</v>
      </c>
      <c r="F430" s="1" t="str">
        <f>IF(COUNTIF(Comp1[Comparable '#1 Dates],Benchmark2[[#This Row],[Benchmark '#2 Dates]])=1,"Pass","Fail")</f>
        <v>Pass</v>
      </c>
      <c r="G430" s="6">
        <f>IF(Benchmark2[[#This Row],[Comparable '#1 Date Check]]="Pass",INDEX(Comp1[Comparable '#1 Price],MATCH(Benchmark2[[#This Row],[Benchmark '#2 Dates]],Comp1[Comparable '#1 Dates],0)),"-")</f>
        <v>7.98</v>
      </c>
      <c r="H430" s="1" t="str">
        <f>IF(COUNTIF(Comp2[Comparable '#2 Dates],Benchmark2[[#This Row],[Benchmark '#2 Dates]])=1,"Pass","Fail")</f>
        <v>Pass</v>
      </c>
      <c r="I430" s="6">
        <f>IF(Benchmark2[[#This Row],[Comparable '#2 Date Check]]="Pass",INDEX(Comp2[Comparable '#2 Price],MATCH(Benchmark2[[#This Row],[Benchmark '#2 Dates]],Comp2[Comparable '#2 Dates],0)),"-")</f>
        <v>21.46</v>
      </c>
      <c r="J430" s="1" t="str">
        <f>IF(COUNTIF(Comp3[Comparable '#3 Dates],Benchmark2[[#This Row],[Benchmark '#2 Dates]])=1,"Pass","Fail")</f>
        <v>Pass</v>
      </c>
      <c r="K430" s="6">
        <f>IF(Benchmark2[[#This Row],[Comparable '#3 Date Check]]="Pass",INDEX(Comp3[Comparable '#3 Price],MATCH(Benchmark2[[#This Row],[Benchmark '#2 Dates]],Comp3[Comparable '#3 Dates],0)),"-")</f>
        <v>117.28</v>
      </c>
    </row>
    <row r="431" spans="1:11">
      <c r="A431" s="103">
        <v>43909</v>
      </c>
      <c r="B431" s="104">
        <v>9461.2999999999993</v>
      </c>
      <c r="C431" s="4">
        <f t="shared" si="6"/>
        <v>8.1397464151269951E-3</v>
      </c>
      <c r="D431" s="1" t="str">
        <f>IF(COUNTIF(Target1[Target Dates],Benchmark2[[#This Row],[Benchmark '#2 Dates]])=1,"Pass","Fail")</f>
        <v>Pass</v>
      </c>
      <c r="E431" s="6">
        <f>IF(Benchmark2[[#This Row],[Target Date Check]]="Pass",INDEX(Target1[Target Price],MATCH(Benchmark2[[#This Row],[Benchmark '#2 Dates]],Target1[Target Dates],0)),"-")</f>
        <v>17.41</v>
      </c>
      <c r="F431" s="1" t="str">
        <f>IF(COUNTIF(Comp1[Comparable '#1 Dates],Benchmark2[[#This Row],[Benchmark '#2 Dates]])=1,"Pass","Fail")</f>
        <v>Pass</v>
      </c>
      <c r="G431" s="6">
        <f>IF(Benchmark2[[#This Row],[Comparable '#1 Date Check]]="Pass",INDEX(Comp1[Comparable '#1 Price],MATCH(Benchmark2[[#This Row],[Benchmark '#2 Dates]],Comp1[Comparable '#1 Dates],0)),"-")</f>
        <v>10.69</v>
      </c>
      <c r="H431" s="1" t="str">
        <f>IF(COUNTIF(Comp2[Comparable '#2 Dates],Benchmark2[[#This Row],[Benchmark '#2 Dates]])=1,"Pass","Fail")</f>
        <v>Pass</v>
      </c>
      <c r="I431" s="6">
        <f>IF(Benchmark2[[#This Row],[Comparable '#2 Date Check]]="Pass",INDEX(Comp2[Comparable '#2 Price],MATCH(Benchmark2[[#This Row],[Benchmark '#2 Dates]],Comp2[Comparable '#2 Dates],0)),"-")</f>
        <v>22.25</v>
      </c>
      <c r="J431" s="1" t="str">
        <f>IF(COUNTIF(Comp3[Comparable '#3 Dates],Benchmark2[[#This Row],[Benchmark '#2 Dates]])=1,"Pass","Fail")</f>
        <v>Pass</v>
      </c>
      <c r="K431" s="6">
        <f>IF(Benchmark2[[#This Row],[Comparable '#3 Date Check]]="Pass",INDEX(Comp3[Comparable '#3 Price],MATCH(Benchmark2[[#This Row],[Benchmark '#2 Dates]],Comp3[Comparable '#3 Dates],0)),"-")</f>
        <v>132.80000000000001</v>
      </c>
    </row>
    <row r="432" spans="1:11">
      <c r="A432" s="103">
        <v>43910</v>
      </c>
      <c r="B432" s="104">
        <v>9133.16</v>
      </c>
      <c r="C432" s="4">
        <f t="shared" si="6"/>
        <v>-3.5298047897602283E-2</v>
      </c>
      <c r="D432" s="1" t="str">
        <f>IF(COUNTIF(Target1[Target Dates],Benchmark2[[#This Row],[Benchmark '#2 Dates]])=1,"Pass","Fail")</f>
        <v>Pass</v>
      </c>
      <c r="E432" s="6">
        <f>IF(Benchmark2[[#This Row],[Target Date Check]]="Pass",INDEX(Target1[Target Price],MATCH(Benchmark2[[#This Row],[Benchmark '#2 Dates]],Target1[Target Dates],0)),"-")</f>
        <v>16.21</v>
      </c>
      <c r="F432" s="1" t="str">
        <f>IF(COUNTIF(Comp1[Comparable '#1 Dates],Benchmark2[[#This Row],[Benchmark '#2 Dates]])=1,"Pass","Fail")</f>
        <v>Pass</v>
      </c>
      <c r="G432" s="6">
        <f>IF(Benchmark2[[#This Row],[Comparable '#1 Date Check]]="Pass",INDEX(Comp1[Comparable '#1 Price],MATCH(Benchmark2[[#This Row],[Benchmark '#2 Dates]],Comp1[Comparable '#1 Dates],0)),"-")</f>
        <v>9</v>
      </c>
      <c r="H432" s="1" t="str">
        <f>IF(COUNTIF(Comp2[Comparable '#2 Dates],Benchmark2[[#This Row],[Benchmark '#2 Dates]])=1,"Pass","Fail")</f>
        <v>Pass</v>
      </c>
      <c r="I432" s="6">
        <f>IF(Benchmark2[[#This Row],[Comparable '#2 Date Check]]="Pass",INDEX(Comp2[Comparable '#2 Price],MATCH(Benchmark2[[#This Row],[Benchmark '#2 Dates]],Comp2[Comparable '#2 Dates],0)),"-")</f>
        <v>22.55</v>
      </c>
      <c r="J432" s="1" t="str">
        <f>IF(COUNTIF(Comp3[Comparable '#3 Dates],Benchmark2[[#This Row],[Benchmark '#2 Dates]])=1,"Pass","Fail")</f>
        <v>Pass</v>
      </c>
      <c r="K432" s="6">
        <f>IF(Benchmark2[[#This Row],[Comparable '#3 Date Check]]="Pass",INDEX(Comp3[Comparable '#3 Price],MATCH(Benchmark2[[#This Row],[Benchmark '#2 Dates]],Comp3[Comparable '#3 Dates],0)),"-")</f>
        <v>115.13</v>
      </c>
    </row>
    <row r="433" spans="1:11">
      <c r="A433" s="103">
        <v>43913</v>
      </c>
      <c r="B433" s="104">
        <v>8777.3799999999992</v>
      </c>
      <c r="C433" s="4">
        <f t="shared" si="6"/>
        <v>-3.9733788795354379E-2</v>
      </c>
      <c r="D433" s="1" t="str">
        <f>IF(COUNTIF(Target1[Target Dates],Benchmark2[[#This Row],[Benchmark '#2 Dates]])=1,"Pass","Fail")</f>
        <v>Pass</v>
      </c>
      <c r="E433" s="6">
        <f>IF(Benchmark2[[#This Row],[Target Date Check]]="Pass",INDEX(Target1[Target Price],MATCH(Benchmark2[[#This Row],[Benchmark '#2 Dates]],Target1[Target Dates],0)),"-")</f>
        <v>16.8</v>
      </c>
      <c r="F433" s="1" t="str">
        <f>IF(COUNTIF(Comp1[Comparable '#1 Dates],Benchmark2[[#This Row],[Benchmark '#2 Dates]])=1,"Pass","Fail")</f>
        <v>Pass</v>
      </c>
      <c r="G433" s="6">
        <f>IF(Benchmark2[[#This Row],[Comparable '#1 Date Check]]="Pass",INDEX(Comp1[Comparable '#1 Price],MATCH(Benchmark2[[#This Row],[Benchmark '#2 Dates]],Comp1[Comparable '#1 Dates],0)),"-")</f>
        <v>8.8800000000000008</v>
      </c>
      <c r="H433" s="1" t="str">
        <f>IF(COUNTIF(Comp2[Comparable '#2 Dates],Benchmark2[[#This Row],[Benchmark '#2 Dates]])=1,"Pass","Fail")</f>
        <v>Pass</v>
      </c>
      <c r="I433" s="6">
        <f>IF(Benchmark2[[#This Row],[Comparable '#2 Date Check]]="Pass",INDEX(Comp2[Comparable '#2 Price],MATCH(Benchmark2[[#This Row],[Benchmark '#2 Dates]],Comp2[Comparable '#2 Dates],0)),"-")</f>
        <v>23.48</v>
      </c>
      <c r="J433" s="1" t="str">
        <f>IF(COUNTIF(Comp3[Comparable '#3 Dates],Benchmark2[[#This Row],[Benchmark '#2 Dates]])=1,"Pass","Fail")</f>
        <v>Pass</v>
      </c>
      <c r="K433" s="6">
        <f>IF(Benchmark2[[#This Row],[Comparable '#3 Date Check]]="Pass",INDEX(Comp3[Comparable '#3 Price],MATCH(Benchmark2[[#This Row],[Benchmark '#2 Dates]],Comp3[Comparable '#3 Dates],0)),"-")</f>
        <v>120.02</v>
      </c>
    </row>
    <row r="434" spans="1:11">
      <c r="A434" s="103">
        <v>43914</v>
      </c>
      <c r="B434" s="104">
        <v>9658.32</v>
      </c>
      <c r="C434" s="4">
        <f t="shared" si="6"/>
        <v>9.5641762408037193E-2</v>
      </c>
      <c r="D434" s="1" t="str">
        <f>IF(COUNTIF(Target1[Target Dates],Benchmark2[[#This Row],[Benchmark '#2 Dates]])=1,"Pass","Fail")</f>
        <v>Pass</v>
      </c>
      <c r="E434" s="6">
        <f>IF(Benchmark2[[#This Row],[Target Date Check]]="Pass",INDEX(Target1[Target Price],MATCH(Benchmark2[[#This Row],[Benchmark '#2 Dates]],Target1[Target Dates],0)),"-")</f>
        <v>16.34</v>
      </c>
      <c r="F434" s="1" t="str">
        <f>IF(COUNTIF(Comp1[Comparable '#1 Dates],Benchmark2[[#This Row],[Benchmark '#2 Dates]])=1,"Pass","Fail")</f>
        <v>Pass</v>
      </c>
      <c r="G434" s="6">
        <f>IF(Benchmark2[[#This Row],[Comparable '#1 Date Check]]="Pass",INDEX(Comp1[Comparable '#1 Price],MATCH(Benchmark2[[#This Row],[Benchmark '#2 Dates]],Comp1[Comparable '#1 Dates],0)),"-")</f>
        <v>9.9700000000000006</v>
      </c>
      <c r="H434" s="1" t="str">
        <f>IF(COUNTIF(Comp2[Comparable '#2 Dates],Benchmark2[[#This Row],[Benchmark '#2 Dates]])=1,"Pass","Fail")</f>
        <v>Pass</v>
      </c>
      <c r="I434" s="6">
        <f>IF(Benchmark2[[#This Row],[Comparable '#2 Date Check]]="Pass",INDEX(Comp2[Comparable '#2 Price],MATCH(Benchmark2[[#This Row],[Benchmark '#2 Dates]],Comp2[Comparable '#2 Dates],0)),"-")</f>
        <v>24.33</v>
      </c>
      <c r="J434" s="1" t="str">
        <f>IF(COUNTIF(Comp3[Comparable '#3 Dates],Benchmark2[[#This Row],[Benchmark '#2 Dates]])=1,"Pass","Fail")</f>
        <v>Pass</v>
      </c>
      <c r="K434" s="6">
        <f>IF(Benchmark2[[#This Row],[Comparable '#3 Date Check]]="Pass",INDEX(Comp3[Comparable '#3 Price],MATCH(Benchmark2[[#This Row],[Benchmark '#2 Dates]],Comp3[Comparable '#3 Dates],0)),"-")</f>
        <v>128.22999999999999</v>
      </c>
    </row>
    <row r="435" spans="1:11">
      <c r="A435" s="103">
        <v>43915</v>
      </c>
      <c r="B435" s="104">
        <v>9961.39</v>
      </c>
      <c r="C435" s="4">
        <f t="shared" si="6"/>
        <v>3.0896900035772949E-2</v>
      </c>
      <c r="D435" s="1" t="str">
        <f>IF(COUNTIF(Target1[Target Dates],Benchmark2[[#This Row],[Benchmark '#2 Dates]])=1,"Pass","Fail")</f>
        <v>Pass</v>
      </c>
      <c r="E435" s="6">
        <f>IF(Benchmark2[[#This Row],[Target Date Check]]="Pass",INDEX(Target1[Target Price],MATCH(Benchmark2[[#This Row],[Benchmark '#2 Dates]],Target1[Target Dates],0)),"-")</f>
        <v>16.98</v>
      </c>
      <c r="F435" s="1" t="str">
        <f>IF(COUNTIF(Comp1[Comparable '#1 Dates],Benchmark2[[#This Row],[Benchmark '#2 Dates]])=1,"Pass","Fail")</f>
        <v>Pass</v>
      </c>
      <c r="G435" s="6">
        <f>IF(Benchmark2[[#This Row],[Comparable '#1 Date Check]]="Pass",INDEX(Comp1[Comparable '#1 Price],MATCH(Benchmark2[[#This Row],[Benchmark '#2 Dates]],Comp1[Comparable '#1 Dates],0)),"-")</f>
        <v>10.28</v>
      </c>
      <c r="H435" s="1" t="str">
        <f>IF(COUNTIF(Comp2[Comparable '#2 Dates],Benchmark2[[#This Row],[Benchmark '#2 Dates]])=1,"Pass","Fail")</f>
        <v>Pass</v>
      </c>
      <c r="I435" s="6">
        <f>IF(Benchmark2[[#This Row],[Comparable '#2 Date Check]]="Pass",INDEX(Comp2[Comparable '#2 Price],MATCH(Benchmark2[[#This Row],[Benchmark '#2 Dates]],Comp2[Comparable '#2 Dates],0)),"-")</f>
        <v>25.14</v>
      </c>
      <c r="J435" s="1" t="str">
        <f>IF(COUNTIF(Comp3[Comparable '#3 Dates],Benchmark2[[#This Row],[Benchmark '#2 Dates]])=1,"Pass","Fail")</f>
        <v>Pass</v>
      </c>
      <c r="K435" s="6">
        <f>IF(Benchmark2[[#This Row],[Comparable '#3 Date Check]]="Pass",INDEX(Comp3[Comparable '#3 Price],MATCH(Benchmark2[[#This Row],[Benchmark '#2 Dates]],Comp3[Comparable '#3 Dates],0)),"-")</f>
        <v>117.12</v>
      </c>
    </row>
    <row r="436" spans="1:11">
      <c r="A436" s="103">
        <v>43916</v>
      </c>
      <c r="B436" s="104">
        <v>10536.28</v>
      </c>
      <c r="C436" s="4">
        <f t="shared" si="6"/>
        <v>5.6107919546255568E-2</v>
      </c>
      <c r="D436" s="1" t="str">
        <f>IF(COUNTIF(Target1[Target Dates],Benchmark2[[#This Row],[Benchmark '#2 Dates]])=1,"Pass","Fail")</f>
        <v>Pass</v>
      </c>
      <c r="E436" s="6">
        <f>IF(Benchmark2[[#This Row],[Target Date Check]]="Pass",INDEX(Target1[Target Price],MATCH(Benchmark2[[#This Row],[Benchmark '#2 Dates]],Target1[Target Dates],0)),"-")</f>
        <v>16.739999999999998</v>
      </c>
      <c r="F436" s="1" t="str">
        <f>IF(COUNTIF(Comp1[Comparable '#1 Dates],Benchmark2[[#This Row],[Benchmark '#2 Dates]])=1,"Pass","Fail")</f>
        <v>Pass</v>
      </c>
      <c r="G436" s="6">
        <f>IF(Benchmark2[[#This Row],[Comparable '#1 Date Check]]="Pass",INDEX(Comp1[Comparable '#1 Price],MATCH(Benchmark2[[#This Row],[Benchmark '#2 Dates]],Comp1[Comparable '#1 Dates],0)),"-")</f>
        <v>10.76</v>
      </c>
      <c r="H436" s="1" t="str">
        <f>IF(COUNTIF(Comp2[Comparable '#2 Dates],Benchmark2[[#This Row],[Benchmark '#2 Dates]])=1,"Pass","Fail")</f>
        <v>Pass</v>
      </c>
      <c r="I436" s="6">
        <f>IF(Benchmark2[[#This Row],[Comparable '#2 Date Check]]="Pass",INDEX(Comp2[Comparable '#2 Price],MATCH(Benchmark2[[#This Row],[Benchmark '#2 Dates]],Comp2[Comparable '#2 Dates],0)),"-")</f>
        <v>25.78</v>
      </c>
      <c r="J436" s="1" t="str">
        <f>IF(COUNTIF(Comp3[Comparable '#3 Dates],Benchmark2[[#This Row],[Benchmark '#2 Dates]])=1,"Pass","Fail")</f>
        <v>Pass</v>
      </c>
      <c r="K436" s="6">
        <f>IF(Benchmark2[[#This Row],[Comparable '#3 Date Check]]="Pass",INDEX(Comp3[Comparable '#3 Price],MATCH(Benchmark2[[#This Row],[Benchmark '#2 Dates]],Comp3[Comparable '#3 Dates],0)),"-")</f>
        <v>130.35</v>
      </c>
    </row>
    <row r="437" spans="1:11">
      <c r="A437" s="103">
        <v>43917</v>
      </c>
      <c r="B437" s="104">
        <v>10187.209999999999</v>
      </c>
      <c r="C437" s="4">
        <f t="shared" si="6"/>
        <v>-3.3691527734209158E-2</v>
      </c>
      <c r="D437" s="1" t="str">
        <f>IF(COUNTIF(Target1[Target Dates],Benchmark2[[#This Row],[Benchmark '#2 Dates]])=1,"Pass","Fail")</f>
        <v>Pass</v>
      </c>
      <c r="E437" s="6">
        <f>IF(Benchmark2[[#This Row],[Target Date Check]]="Pass",INDEX(Target1[Target Price],MATCH(Benchmark2[[#This Row],[Benchmark '#2 Dates]],Target1[Target Dates],0)),"-")</f>
        <v>17.5</v>
      </c>
      <c r="F437" s="1" t="str">
        <f>IF(COUNTIF(Comp1[Comparable '#1 Dates],Benchmark2[[#This Row],[Benchmark '#2 Dates]])=1,"Pass","Fail")</f>
        <v>Pass</v>
      </c>
      <c r="G437" s="6">
        <f>IF(Benchmark2[[#This Row],[Comparable '#1 Date Check]]="Pass",INDEX(Comp1[Comparable '#1 Price],MATCH(Benchmark2[[#This Row],[Benchmark '#2 Dates]],Comp1[Comparable '#1 Dates],0)),"-")</f>
        <v>10.38</v>
      </c>
      <c r="H437" s="1" t="str">
        <f>IF(COUNTIF(Comp2[Comparable '#2 Dates],Benchmark2[[#This Row],[Benchmark '#2 Dates]])=1,"Pass","Fail")</f>
        <v>Pass</v>
      </c>
      <c r="I437" s="6">
        <f>IF(Benchmark2[[#This Row],[Comparable '#2 Date Check]]="Pass",INDEX(Comp2[Comparable '#2 Price],MATCH(Benchmark2[[#This Row],[Benchmark '#2 Dates]],Comp2[Comparable '#2 Dates],0)),"-")</f>
        <v>24.8</v>
      </c>
      <c r="J437" s="1" t="str">
        <f>IF(COUNTIF(Comp3[Comparable '#3 Dates],Benchmark2[[#This Row],[Benchmark '#2 Dates]])=1,"Pass","Fail")</f>
        <v>Pass</v>
      </c>
      <c r="K437" s="6">
        <f>IF(Benchmark2[[#This Row],[Comparable '#3 Date Check]]="Pass",INDEX(Comp3[Comparable '#3 Price],MATCH(Benchmark2[[#This Row],[Benchmark '#2 Dates]],Comp3[Comparable '#3 Dates],0)),"-")</f>
        <v>126.36</v>
      </c>
    </row>
    <row r="438" spans="1:11">
      <c r="A438" s="103">
        <v>43920</v>
      </c>
      <c r="B438" s="104">
        <v>10434.75</v>
      </c>
      <c r="C438" s="4">
        <f t="shared" si="6"/>
        <v>2.400857050381814E-2</v>
      </c>
      <c r="D438" s="1" t="str">
        <f>IF(COUNTIF(Target1[Target Dates],Benchmark2[[#This Row],[Benchmark '#2 Dates]])=1,"Pass","Fail")</f>
        <v>Pass</v>
      </c>
      <c r="E438" s="6">
        <f>IF(Benchmark2[[#This Row],[Target Date Check]]="Pass",INDEX(Target1[Target Price],MATCH(Benchmark2[[#This Row],[Benchmark '#2 Dates]],Target1[Target Dates],0)),"-")</f>
        <v>18.57</v>
      </c>
      <c r="F438" s="1" t="str">
        <f>IF(COUNTIF(Comp1[Comparable '#1 Dates],Benchmark2[[#This Row],[Benchmark '#2 Dates]])=1,"Pass","Fail")</f>
        <v>Pass</v>
      </c>
      <c r="G438" s="6">
        <f>IF(Benchmark2[[#This Row],[Comparable '#1 Date Check]]="Pass",INDEX(Comp1[Comparable '#1 Price],MATCH(Benchmark2[[#This Row],[Benchmark '#2 Dates]],Comp1[Comparable '#1 Dates],0)),"-")</f>
        <v>10.63</v>
      </c>
      <c r="H438" s="1" t="str">
        <f>IF(COUNTIF(Comp2[Comparable '#2 Dates],Benchmark2[[#This Row],[Benchmark '#2 Dates]])=1,"Pass","Fail")</f>
        <v>Pass</v>
      </c>
      <c r="I438" s="6">
        <f>IF(Benchmark2[[#This Row],[Comparable '#2 Date Check]]="Pass",INDEX(Comp2[Comparable '#2 Price],MATCH(Benchmark2[[#This Row],[Benchmark '#2 Dates]],Comp2[Comparable '#2 Dates],0)),"-")</f>
        <v>26.07</v>
      </c>
      <c r="J438" s="1" t="str">
        <f>IF(COUNTIF(Comp3[Comparable '#3 Dates],Benchmark2[[#This Row],[Benchmark '#2 Dates]])=1,"Pass","Fail")</f>
        <v>Pass</v>
      </c>
      <c r="K438" s="6">
        <f>IF(Benchmark2[[#This Row],[Comparable '#3 Date Check]]="Pass",INDEX(Comp3[Comparable '#3 Price],MATCH(Benchmark2[[#This Row],[Benchmark '#2 Dates]],Comp3[Comparable '#3 Dates],0)),"-")</f>
        <v>140.11000000000001</v>
      </c>
    </row>
    <row r="439" spans="1:11">
      <c r="A439" s="103">
        <v>43921</v>
      </c>
      <c r="B439" s="104">
        <v>10301.870000000001</v>
      </c>
      <c r="C439" s="4">
        <f t="shared" si="6"/>
        <v>-1.2816150253134092E-2</v>
      </c>
      <c r="D439" s="1" t="str">
        <f>IF(COUNTIF(Target1[Target Dates],Benchmark2[[#This Row],[Benchmark '#2 Dates]])=1,"Pass","Fail")</f>
        <v>Pass</v>
      </c>
      <c r="E439" s="6">
        <f>IF(Benchmark2[[#This Row],[Target Date Check]]="Pass",INDEX(Target1[Target Price],MATCH(Benchmark2[[#This Row],[Benchmark '#2 Dates]],Target1[Target Dates],0)),"-")</f>
        <v>18.86</v>
      </c>
      <c r="F439" s="1" t="str">
        <f>IF(COUNTIF(Comp1[Comparable '#1 Dates],Benchmark2[[#This Row],[Benchmark '#2 Dates]])=1,"Pass","Fail")</f>
        <v>Pass</v>
      </c>
      <c r="G439" s="6">
        <f>IF(Benchmark2[[#This Row],[Comparable '#1 Date Check]]="Pass",INDEX(Comp1[Comparable '#1 Price],MATCH(Benchmark2[[#This Row],[Benchmark '#2 Dates]],Comp1[Comparable '#1 Dates],0)),"-")</f>
        <v>10.51</v>
      </c>
      <c r="H439" s="1" t="str">
        <f>IF(COUNTIF(Comp2[Comparable '#2 Dates],Benchmark2[[#This Row],[Benchmark '#2 Dates]])=1,"Pass","Fail")</f>
        <v>Pass</v>
      </c>
      <c r="I439" s="6">
        <f>IF(Benchmark2[[#This Row],[Comparable '#2 Date Check]]="Pass",INDEX(Comp2[Comparable '#2 Price],MATCH(Benchmark2[[#This Row],[Benchmark '#2 Dates]],Comp2[Comparable '#2 Dates],0)),"-")</f>
        <v>26.79</v>
      </c>
      <c r="J439" s="1" t="str">
        <f>IF(COUNTIF(Comp3[Comparable '#3 Dates],Benchmark2[[#This Row],[Benchmark '#2 Dates]])=1,"Pass","Fail")</f>
        <v>Pass</v>
      </c>
      <c r="K439" s="6">
        <f>IF(Benchmark2[[#This Row],[Comparable '#3 Date Check]]="Pass",INDEX(Comp3[Comparable '#3 Price],MATCH(Benchmark2[[#This Row],[Benchmark '#2 Dates]],Comp3[Comparable '#3 Dates],0)),"-")</f>
        <v>139.76</v>
      </c>
    </row>
    <row r="440" spans="1:11">
      <c r="A440" s="103">
        <v>43922</v>
      </c>
      <c r="B440" s="104">
        <v>9844.85</v>
      </c>
      <c r="C440" s="4">
        <f t="shared" si="6"/>
        <v>-4.5376956340294823E-2</v>
      </c>
      <c r="D440" s="1" t="str">
        <f>IF(COUNTIF(Target1[Target Dates],Benchmark2[[#This Row],[Benchmark '#2 Dates]])=1,"Pass","Fail")</f>
        <v>Pass</v>
      </c>
      <c r="E440" s="6">
        <f>IF(Benchmark2[[#This Row],[Target Date Check]]="Pass",INDEX(Target1[Target Price],MATCH(Benchmark2[[#This Row],[Benchmark '#2 Dates]],Target1[Target Dates],0)),"-")</f>
        <v>17.850000000000001</v>
      </c>
      <c r="F440" s="1" t="str">
        <f>IF(COUNTIF(Comp1[Comparable '#1 Dates],Benchmark2[[#This Row],[Benchmark '#2 Dates]])=1,"Pass","Fail")</f>
        <v>Pass</v>
      </c>
      <c r="G440" s="6">
        <f>IF(Benchmark2[[#This Row],[Comparable '#1 Date Check]]="Pass",INDEX(Comp1[Comparable '#1 Price],MATCH(Benchmark2[[#This Row],[Benchmark '#2 Dates]],Comp1[Comparable '#1 Dates],0)),"-")</f>
        <v>10.199999999999999</v>
      </c>
      <c r="H440" s="1" t="str">
        <f>IF(COUNTIF(Comp2[Comparable '#2 Dates],Benchmark2[[#This Row],[Benchmark '#2 Dates]])=1,"Pass","Fail")</f>
        <v>Pass</v>
      </c>
      <c r="I440" s="6">
        <f>IF(Benchmark2[[#This Row],[Comparable '#2 Date Check]]="Pass",INDEX(Comp2[Comparable '#2 Price],MATCH(Benchmark2[[#This Row],[Benchmark '#2 Dates]],Comp2[Comparable '#2 Dates],0)),"-")</f>
        <v>26.2</v>
      </c>
      <c r="J440" s="1" t="str">
        <f>IF(COUNTIF(Comp3[Comparable '#3 Dates],Benchmark2[[#This Row],[Benchmark '#2 Dates]])=1,"Pass","Fail")</f>
        <v>Pass</v>
      </c>
      <c r="K440" s="6">
        <f>IF(Benchmark2[[#This Row],[Comparable '#3 Date Check]]="Pass",INDEX(Comp3[Comparable '#3 Price],MATCH(Benchmark2[[#This Row],[Benchmark '#2 Dates]],Comp3[Comparable '#3 Dates],0)),"-")</f>
        <v>123.28</v>
      </c>
    </row>
    <row r="441" spans="1:11">
      <c r="A441" s="103">
        <v>43923</v>
      </c>
      <c r="B441" s="104">
        <v>10062.370000000001</v>
      </c>
      <c r="C441" s="4">
        <f t="shared" si="6"/>
        <v>2.1854247592039341E-2</v>
      </c>
      <c r="D441" s="1" t="str">
        <f>IF(COUNTIF(Target1[Target Dates],Benchmark2[[#This Row],[Benchmark '#2 Dates]])=1,"Pass","Fail")</f>
        <v>Pass</v>
      </c>
      <c r="E441" s="6">
        <f>IF(Benchmark2[[#This Row],[Target Date Check]]="Pass",INDEX(Target1[Target Price],MATCH(Benchmark2[[#This Row],[Benchmark '#2 Dates]],Target1[Target Dates],0)),"-")</f>
        <v>20.47</v>
      </c>
      <c r="F441" s="1" t="str">
        <f>IF(COUNTIF(Comp1[Comparable '#1 Dates],Benchmark2[[#This Row],[Benchmark '#2 Dates]])=1,"Pass","Fail")</f>
        <v>Pass</v>
      </c>
      <c r="G441" s="6">
        <f>IF(Benchmark2[[#This Row],[Comparable '#1 Date Check]]="Pass",INDEX(Comp1[Comparable '#1 Price],MATCH(Benchmark2[[#This Row],[Benchmark '#2 Dates]],Comp1[Comparable '#1 Dates],0)),"-")</f>
        <v>9.81</v>
      </c>
      <c r="H441" s="1" t="str">
        <f>IF(COUNTIF(Comp2[Comparable '#2 Dates],Benchmark2[[#This Row],[Benchmark '#2 Dates]])=1,"Pass","Fail")</f>
        <v>Pass</v>
      </c>
      <c r="I441" s="6">
        <f>IF(Benchmark2[[#This Row],[Comparable '#2 Date Check]]="Pass",INDEX(Comp2[Comparable '#2 Price],MATCH(Benchmark2[[#This Row],[Benchmark '#2 Dates]],Comp2[Comparable '#2 Dates],0)),"-")</f>
        <v>24.97</v>
      </c>
      <c r="J441" s="1" t="str">
        <f>IF(COUNTIF(Comp3[Comparable '#3 Dates],Benchmark2[[#This Row],[Benchmark '#2 Dates]])=1,"Pass","Fail")</f>
        <v>Pass</v>
      </c>
      <c r="K441" s="6">
        <f>IF(Benchmark2[[#This Row],[Comparable '#3 Date Check]]="Pass",INDEX(Comp3[Comparable '#3 Price],MATCH(Benchmark2[[#This Row],[Benchmark '#2 Dates]],Comp3[Comparable '#3 Dates],0)),"-")</f>
        <v>119.42</v>
      </c>
    </row>
    <row r="442" spans="1:11">
      <c r="A442" s="103">
        <v>43924</v>
      </c>
      <c r="B442" s="104">
        <v>9880.6299999999992</v>
      </c>
      <c r="C442" s="4">
        <f t="shared" si="6"/>
        <v>-1.8226448497519396E-2</v>
      </c>
      <c r="D442" s="1" t="str">
        <f>IF(COUNTIF(Target1[Target Dates],Benchmark2[[#This Row],[Benchmark '#2 Dates]])=1,"Pass","Fail")</f>
        <v>Pass</v>
      </c>
      <c r="E442" s="6">
        <f>IF(Benchmark2[[#This Row],[Target Date Check]]="Pass",INDEX(Target1[Target Price],MATCH(Benchmark2[[#This Row],[Benchmark '#2 Dates]],Target1[Target Dates],0)),"-")</f>
        <v>20.74</v>
      </c>
      <c r="F442" s="1" t="str">
        <f>IF(COUNTIF(Comp1[Comparable '#1 Dates],Benchmark2[[#This Row],[Benchmark '#2 Dates]])=1,"Pass","Fail")</f>
        <v>Pass</v>
      </c>
      <c r="G442" s="6">
        <f>IF(Benchmark2[[#This Row],[Comparable '#1 Date Check]]="Pass",INDEX(Comp1[Comparable '#1 Price],MATCH(Benchmark2[[#This Row],[Benchmark '#2 Dates]],Comp1[Comparable '#1 Dates],0)),"-")</f>
        <v>9.24</v>
      </c>
      <c r="H442" s="1" t="str">
        <f>IF(COUNTIF(Comp2[Comparable '#2 Dates],Benchmark2[[#This Row],[Benchmark '#2 Dates]])=1,"Pass","Fail")</f>
        <v>Pass</v>
      </c>
      <c r="I442" s="6">
        <f>IF(Benchmark2[[#This Row],[Comparable '#2 Date Check]]="Pass",INDEX(Comp2[Comparable '#2 Price],MATCH(Benchmark2[[#This Row],[Benchmark '#2 Dates]],Comp2[Comparable '#2 Dates],0)),"-")</f>
        <v>23.57</v>
      </c>
      <c r="J442" s="1" t="str">
        <f>IF(COUNTIF(Comp3[Comparable '#3 Dates],Benchmark2[[#This Row],[Benchmark '#2 Dates]])=1,"Pass","Fail")</f>
        <v>Pass</v>
      </c>
      <c r="K442" s="6">
        <f>IF(Benchmark2[[#This Row],[Comparable '#3 Date Check]]="Pass",INDEX(Comp3[Comparable '#3 Price],MATCH(Benchmark2[[#This Row],[Benchmark '#2 Dates]],Comp3[Comparable '#3 Dates],0)),"-")</f>
        <v>116.66</v>
      </c>
    </row>
    <row r="443" spans="1:11">
      <c r="A443" s="103">
        <v>43927</v>
      </c>
      <c r="B443" s="104">
        <v>10515.24</v>
      </c>
      <c r="C443" s="4">
        <f t="shared" si="6"/>
        <v>6.2249358521514149E-2</v>
      </c>
      <c r="D443" s="1" t="str">
        <f>IF(COUNTIF(Target1[Target Dates],Benchmark2[[#This Row],[Benchmark '#2 Dates]])=1,"Pass","Fail")</f>
        <v>Pass</v>
      </c>
      <c r="E443" s="6">
        <f>IF(Benchmark2[[#This Row],[Target Date Check]]="Pass",INDEX(Target1[Target Price],MATCH(Benchmark2[[#This Row],[Benchmark '#2 Dates]],Target1[Target Dates],0)),"-")</f>
        <v>21.75</v>
      </c>
      <c r="F443" s="1" t="str">
        <f>IF(COUNTIF(Comp1[Comparable '#1 Dates],Benchmark2[[#This Row],[Benchmark '#2 Dates]])=1,"Pass","Fail")</f>
        <v>Pass</v>
      </c>
      <c r="G443" s="6">
        <f>IF(Benchmark2[[#This Row],[Comparable '#1 Date Check]]="Pass",INDEX(Comp1[Comparable '#1 Price],MATCH(Benchmark2[[#This Row],[Benchmark '#2 Dates]],Comp1[Comparable '#1 Dates],0)),"-")</f>
        <v>9.92</v>
      </c>
      <c r="H443" s="1" t="str">
        <f>IF(COUNTIF(Comp2[Comparable '#2 Dates],Benchmark2[[#This Row],[Benchmark '#2 Dates]])=1,"Pass","Fail")</f>
        <v>Pass</v>
      </c>
      <c r="I443" s="6">
        <f>IF(Benchmark2[[#This Row],[Comparable '#2 Date Check]]="Pass",INDEX(Comp2[Comparable '#2 Price],MATCH(Benchmark2[[#This Row],[Benchmark '#2 Dates]],Comp2[Comparable '#2 Dates],0)),"-")</f>
        <v>25.23</v>
      </c>
      <c r="J443" s="1" t="str">
        <f>IF(COUNTIF(Comp3[Comparable '#3 Dates],Benchmark2[[#This Row],[Benchmark '#2 Dates]])=1,"Pass","Fail")</f>
        <v>Pass</v>
      </c>
      <c r="K443" s="6">
        <f>IF(Benchmark2[[#This Row],[Comparable '#3 Date Check]]="Pass",INDEX(Comp3[Comparable '#3 Price],MATCH(Benchmark2[[#This Row],[Benchmark '#2 Dates]],Comp3[Comparable '#3 Dates],0)),"-")</f>
        <v>126.93</v>
      </c>
    </row>
    <row r="444" spans="1:11">
      <c r="A444" s="103">
        <v>43928</v>
      </c>
      <c r="B444" s="104">
        <v>10537.04</v>
      </c>
      <c r="C444" s="4">
        <f t="shared" si="6"/>
        <v>2.0710353265322432E-3</v>
      </c>
      <c r="D444" s="1" t="str">
        <f>IF(COUNTIF(Target1[Target Dates],Benchmark2[[#This Row],[Benchmark '#2 Dates]])=1,"Pass","Fail")</f>
        <v>Pass</v>
      </c>
      <c r="E444" s="6">
        <f>IF(Benchmark2[[#This Row],[Target Date Check]]="Pass",INDEX(Target1[Target Price],MATCH(Benchmark2[[#This Row],[Benchmark '#2 Dates]],Target1[Target Dates],0)),"-")</f>
        <v>21.79</v>
      </c>
      <c r="F444" s="1" t="str">
        <f>IF(COUNTIF(Comp1[Comparable '#1 Dates],Benchmark2[[#This Row],[Benchmark '#2 Dates]])=1,"Pass","Fail")</f>
        <v>Pass</v>
      </c>
      <c r="G444" s="6">
        <f>IF(Benchmark2[[#This Row],[Comparable '#1 Date Check]]="Pass",INDEX(Comp1[Comparable '#1 Price],MATCH(Benchmark2[[#This Row],[Benchmark '#2 Dates]],Comp1[Comparable '#1 Dates],0)),"-")</f>
        <v>10.66</v>
      </c>
      <c r="H444" s="1" t="str">
        <f>IF(COUNTIF(Comp2[Comparable '#2 Dates],Benchmark2[[#This Row],[Benchmark '#2 Dates]])=1,"Pass","Fail")</f>
        <v>Pass</v>
      </c>
      <c r="I444" s="6">
        <f>IF(Benchmark2[[#This Row],[Comparable '#2 Date Check]]="Pass",INDEX(Comp2[Comparable '#2 Price],MATCH(Benchmark2[[#This Row],[Benchmark '#2 Dates]],Comp2[Comparable '#2 Dates],0)),"-")</f>
        <v>25.06</v>
      </c>
      <c r="J444" s="1" t="str">
        <f>IF(COUNTIF(Comp3[Comparable '#3 Dates],Benchmark2[[#This Row],[Benchmark '#2 Dates]])=1,"Pass","Fail")</f>
        <v>Pass</v>
      </c>
      <c r="K444" s="6">
        <f>IF(Benchmark2[[#This Row],[Comparable '#3 Date Check]]="Pass",INDEX(Comp3[Comparable '#3 Price],MATCH(Benchmark2[[#This Row],[Benchmark '#2 Dates]],Comp3[Comparable '#3 Dates],0)),"-")</f>
        <v>127.24</v>
      </c>
    </row>
    <row r="445" spans="1:11">
      <c r="A445" s="103">
        <v>43929</v>
      </c>
      <c r="B445" s="104">
        <v>10902.59</v>
      </c>
      <c r="C445" s="4">
        <f t="shared" si="6"/>
        <v>3.4103706931004223E-2</v>
      </c>
      <c r="D445" s="1" t="str">
        <f>IF(COUNTIF(Target1[Target Dates],Benchmark2[[#This Row],[Benchmark '#2 Dates]])=1,"Pass","Fail")</f>
        <v>Pass</v>
      </c>
      <c r="E445" s="6">
        <f>IF(Benchmark2[[#This Row],[Target Date Check]]="Pass",INDEX(Target1[Target Price],MATCH(Benchmark2[[#This Row],[Benchmark '#2 Dates]],Target1[Target Dates],0)),"-")</f>
        <v>23.24</v>
      </c>
      <c r="F445" s="1" t="str">
        <f>IF(COUNTIF(Comp1[Comparable '#1 Dates],Benchmark2[[#This Row],[Benchmark '#2 Dates]])=1,"Pass","Fail")</f>
        <v>Pass</v>
      </c>
      <c r="G445" s="6">
        <f>IF(Benchmark2[[#This Row],[Comparable '#1 Date Check]]="Pass",INDEX(Comp1[Comparable '#1 Price],MATCH(Benchmark2[[#This Row],[Benchmark '#2 Dates]],Comp1[Comparable '#1 Dates],0)),"-")</f>
        <v>9.91</v>
      </c>
      <c r="H445" s="1" t="str">
        <f>IF(COUNTIF(Comp2[Comparable '#2 Dates],Benchmark2[[#This Row],[Benchmark '#2 Dates]])=1,"Pass","Fail")</f>
        <v>Pass</v>
      </c>
      <c r="I445" s="6">
        <f>IF(Benchmark2[[#This Row],[Comparable '#2 Date Check]]="Pass",INDEX(Comp2[Comparable '#2 Price],MATCH(Benchmark2[[#This Row],[Benchmark '#2 Dates]],Comp2[Comparable '#2 Dates],0)),"-")</f>
        <v>26.22</v>
      </c>
      <c r="J445" s="1" t="str">
        <f>IF(COUNTIF(Comp3[Comparable '#3 Dates],Benchmark2[[#This Row],[Benchmark '#2 Dates]])=1,"Pass","Fail")</f>
        <v>Pass</v>
      </c>
      <c r="K445" s="6">
        <f>IF(Benchmark2[[#This Row],[Comparable '#3 Date Check]]="Pass",INDEX(Comp3[Comparable '#3 Price],MATCH(Benchmark2[[#This Row],[Benchmark '#2 Dates]],Comp3[Comparable '#3 Dates],0)),"-")</f>
        <v>131.11000000000001</v>
      </c>
    </row>
    <row r="446" spans="1:11">
      <c r="A446" s="103">
        <v>43930</v>
      </c>
      <c r="B446" s="104">
        <v>11136.61</v>
      </c>
      <c r="C446" s="4">
        <f t="shared" si="6"/>
        <v>2.1237503702592468E-2</v>
      </c>
      <c r="D446" s="1" t="str">
        <f>IF(COUNTIF(Target1[Target Dates],Benchmark2[[#This Row],[Benchmark '#2 Dates]])=1,"Pass","Fail")</f>
        <v>Pass</v>
      </c>
      <c r="E446" s="6">
        <f>IF(Benchmark2[[#This Row],[Target Date Check]]="Pass",INDEX(Target1[Target Price],MATCH(Benchmark2[[#This Row],[Benchmark '#2 Dates]],Target1[Target Dates],0)),"-")</f>
        <v>22.3</v>
      </c>
      <c r="F446" s="1" t="str">
        <f>IF(COUNTIF(Comp1[Comparable '#1 Dates],Benchmark2[[#This Row],[Benchmark '#2 Dates]])=1,"Pass","Fail")</f>
        <v>Pass</v>
      </c>
      <c r="G446" s="6">
        <f>IF(Benchmark2[[#This Row],[Comparable '#1 Date Check]]="Pass",INDEX(Comp1[Comparable '#1 Price],MATCH(Benchmark2[[#This Row],[Benchmark '#2 Dates]],Comp1[Comparable '#1 Dates],0)),"-")</f>
        <v>10.39</v>
      </c>
      <c r="H446" s="1" t="str">
        <f>IF(COUNTIF(Comp2[Comparable '#2 Dates],Benchmark2[[#This Row],[Benchmark '#2 Dates]])=1,"Pass","Fail")</f>
        <v>Pass</v>
      </c>
      <c r="I446" s="6">
        <f>IF(Benchmark2[[#This Row],[Comparable '#2 Date Check]]="Pass",INDEX(Comp2[Comparable '#2 Price],MATCH(Benchmark2[[#This Row],[Benchmark '#2 Dates]],Comp2[Comparable '#2 Dates],0)),"-")</f>
        <v>26.54</v>
      </c>
      <c r="J446" s="1" t="str">
        <f>IF(COUNTIF(Comp3[Comparable '#3 Dates],Benchmark2[[#This Row],[Benchmark '#2 Dates]])=1,"Pass","Fail")</f>
        <v>Pass</v>
      </c>
      <c r="K446" s="6">
        <f>IF(Benchmark2[[#This Row],[Comparable '#3 Date Check]]="Pass",INDEX(Comp3[Comparable '#3 Price],MATCH(Benchmark2[[#This Row],[Benchmark '#2 Dates]],Comp3[Comparable '#3 Dates],0)),"-")</f>
        <v>134.86000000000001</v>
      </c>
    </row>
    <row r="447" spans="1:11">
      <c r="A447" s="103">
        <v>43934</v>
      </c>
      <c r="B447" s="104">
        <v>10949.5254</v>
      </c>
      <c r="C447" s="4">
        <f t="shared" si="6"/>
        <v>-1.6941766533248425E-2</v>
      </c>
      <c r="D447" s="1" t="str">
        <f>IF(COUNTIF(Target1[Target Dates],Benchmark2[[#This Row],[Benchmark '#2 Dates]])=1,"Pass","Fail")</f>
        <v>Pass</v>
      </c>
      <c r="E447" s="6">
        <f>IF(Benchmark2[[#This Row],[Target Date Check]]="Pass",INDEX(Target1[Target Price],MATCH(Benchmark2[[#This Row],[Benchmark '#2 Dates]],Target1[Target Dates],0)),"-")</f>
        <v>23</v>
      </c>
      <c r="F447" s="1" t="str">
        <f>IF(COUNTIF(Comp1[Comparable '#1 Dates],Benchmark2[[#This Row],[Benchmark '#2 Dates]])=1,"Pass","Fail")</f>
        <v>Pass</v>
      </c>
      <c r="G447" s="6">
        <f>IF(Benchmark2[[#This Row],[Comparable '#1 Date Check]]="Pass",INDEX(Comp1[Comparable '#1 Price],MATCH(Benchmark2[[#This Row],[Benchmark '#2 Dates]],Comp1[Comparable '#1 Dates],0)),"-")</f>
        <v>10.119999999999999</v>
      </c>
      <c r="H447" s="1" t="str">
        <f>IF(COUNTIF(Comp2[Comparable '#2 Dates],Benchmark2[[#This Row],[Benchmark '#2 Dates]])=1,"Pass","Fail")</f>
        <v>Pass</v>
      </c>
      <c r="I447" s="6">
        <f>IF(Benchmark2[[#This Row],[Comparable '#2 Date Check]]="Pass",INDEX(Comp2[Comparable '#2 Price],MATCH(Benchmark2[[#This Row],[Benchmark '#2 Dates]],Comp2[Comparable '#2 Dates],0)),"-")</f>
        <v>26.23</v>
      </c>
      <c r="J447" s="1" t="str">
        <f>IF(COUNTIF(Comp3[Comparable '#3 Dates],Benchmark2[[#This Row],[Benchmark '#2 Dates]])=1,"Pass","Fail")</f>
        <v>Pass</v>
      </c>
      <c r="K447" s="6">
        <f>IF(Benchmark2[[#This Row],[Comparable '#3 Date Check]]="Pass",INDEX(Comp3[Comparable '#3 Price],MATCH(Benchmark2[[#This Row],[Benchmark '#2 Dates]],Comp3[Comparable '#3 Dates],0)),"-")</f>
        <v>138.9</v>
      </c>
    </row>
    <row r="448" spans="1:11">
      <c r="A448" s="103">
        <v>43935</v>
      </c>
      <c r="B448" s="104">
        <v>11172.195100000001</v>
      </c>
      <c r="C448" s="4">
        <f t="shared" si="6"/>
        <v>2.0131998374113915E-2</v>
      </c>
      <c r="D448" s="1" t="str">
        <f>IF(COUNTIF(Target1[Target Dates],Benchmark2[[#This Row],[Benchmark '#2 Dates]])=1,"Pass","Fail")</f>
        <v>Pass</v>
      </c>
      <c r="E448" s="6">
        <f>IF(Benchmark2[[#This Row],[Target Date Check]]="Pass",INDEX(Target1[Target Price],MATCH(Benchmark2[[#This Row],[Benchmark '#2 Dates]],Target1[Target Dates],0)),"-")</f>
        <v>21.72</v>
      </c>
      <c r="F448" s="1" t="str">
        <f>IF(COUNTIF(Comp1[Comparable '#1 Dates],Benchmark2[[#This Row],[Benchmark '#2 Dates]])=1,"Pass","Fail")</f>
        <v>Pass</v>
      </c>
      <c r="G448" s="6">
        <f>IF(Benchmark2[[#This Row],[Comparable '#1 Date Check]]="Pass",INDEX(Comp1[Comparable '#1 Price],MATCH(Benchmark2[[#This Row],[Benchmark '#2 Dates]],Comp1[Comparable '#1 Dates],0)),"-")</f>
        <v>10.45</v>
      </c>
      <c r="H448" s="1" t="str">
        <f>IF(COUNTIF(Comp2[Comparable '#2 Dates],Benchmark2[[#This Row],[Benchmark '#2 Dates]])=1,"Pass","Fail")</f>
        <v>Pass</v>
      </c>
      <c r="I448" s="6">
        <f>IF(Benchmark2[[#This Row],[Comparable '#2 Date Check]]="Pass",INDEX(Comp2[Comparable '#2 Price],MATCH(Benchmark2[[#This Row],[Benchmark '#2 Dates]],Comp2[Comparable '#2 Dates],0)),"-")</f>
        <v>26.88</v>
      </c>
      <c r="J448" s="1" t="str">
        <f>IF(COUNTIF(Comp3[Comparable '#3 Dates],Benchmark2[[#This Row],[Benchmark '#2 Dates]])=1,"Pass","Fail")</f>
        <v>Pass</v>
      </c>
      <c r="K448" s="6">
        <f>IF(Benchmark2[[#This Row],[Comparable '#3 Date Check]]="Pass",INDEX(Comp3[Comparable '#3 Price],MATCH(Benchmark2[[#This Row],[Benchmark '#2 Dates]],Comp3[Comparable '#3 Dates],0)),"-")</f>
        <v>150.55000000000001</v>
      </c>
    </row>
    <row r="449" spans="1:11">
      <c r="A449" s="103">
        <v>43936</v>
      </c>
      <c r="B449" s="104">
        <v>10843.924300000001</v>
      </c>
      <c r="C449" s="4">
        <f t="shared" si="6"/>
        <v>-2.9823160438391588E-2</v>
      </c>
      <c r="D449" s="1" t="str">
        <f>IF(COUNTIF(Target1[Target Dates],Benchmark2[[#This Row],[Benchmark '#2 Dates]])=1,"Pass","Fail")</f>
        <v>Pass</v>
      </c>
      <c r="E449" s="6">
        <f>IF(Benchmark2[[#This Row],[Target Date Check]]="Pass",INDEX(Target1[Target Price],MATCH(Benchmark2[[#This Row],[Benchmark '#2 Dates]],Target1[Target Dates],0)),"-")</f>
        <v>22.92</v>
      </c>
      <c r="F449" s="1" t="str">
        <f>IF(COUNTIF(Comp1[Comparable '#1 Dates],Benchmark2[[#This Row],[Benchmark '#2 Dates]])=1,"Pass","Fail")</f>
        <v>Pass</v>
      </c>
      <c r="G449" s="6">
        <f>IF(Benchmark2[[#This Row],[Comparable '#1 Date Check]]="Pass",INDEX(Comp1[Comparable '#1 Price],MATCH(Benchmark2[[#This Row],[Benchmark '#2 Dates]],Comp1[Comparable '#1 Dates],0)),"-")</f>
        <v>9.6300000000000008</v>
      </c>
      <c r="H449" s="1" t="str">
        <f>IF(COUNTIF(Comp2[Comparable '#2 Dates],Benchmark2[[#This Row],[Benchmark '#2 Dates]])=1,"Pass","Fail")</f>
        <v>Pass</v>
      </c>
      <c r="I449" s="6">
        <f>IF(Benchmark2[[#This Row],[Comparable '#2 Date Check]]="Pass",INDEX(Comp2[Comparable '#2 Price],MATCH(Benchmark2[[#This Row],[Benchmark '#2 Dates]],Comp2[Comparable '#2 Dates],0)),"-")</f>
        <v>26.11</v>
      </c>
      <c r="J449" s="1" t="str">
        <f>IF(COUNTIF(Comp3[Comparable '#3 Dates],Benchmark2[[#This Row],[Benchmark '#2 Dates]])=1,"Pass","Fail")</f>
        <v>Pass</v>
      </c>
      <c r="K449" s="6">
        <f>IF(Benchmark2[[#This Row],[Comparable '#3 Date Check]]="Pass",INDEX(Comp3[Comparable '#3 Price],MATCH(Benchmark2[[#This Row],[Benchmark '#2 Dates]],Comp3[Comparable '#3 Dates],0)),"-")</f>
        <v>144.72</v>
      </c>
    </row>
    <row r="450" spans="1:11">
      <c r="A450" s="103">
        <v>43937</v>
      </c>
      <c r="B450" s="104">
        <v>10818.0254</v>
      </c>
      <c r="C450" s="4">
        <f t="shared" ref="C450:C513" si="7">IFERROR(IF(B450="",NA(),LN(B450/B449)),"-")</f>
        <v>-2.3911894080674212E-3</v>
      </c>
      <c r="D450" s="1" t="str">
        <f>IF(COUNTIF(Target1[Target Dates],Benchmark2[[#This Row],[Benchmark '#2 Dates]])=1,"Pass","Fail")</f>
        <v>Pass</v>
      </c>
      <c r="E450" s="6">
        <f>IF(Benchmark2[[#This Row],[Target Date Check]]="Pass",INDEX(Target1[Target Price],MATCH(Benchmark2[[#This Row],[Benchmark '#2 Dates]],Target1[Target Dates],0)),"-")</f>
        <v>23.59</v>
      </c>
      <c r="F450" s="1" t="str">
        <f>IF(COUNTIF(Comp1[Comparable '#1 Dates],Benchmark2[[#This Row],[Benchmark '#2 Dates]])=1,"Pass","Fail")</f>
        <v>Pass</v>
      </c>
      <c r="G450" s="6">
        <f>IF(Benchmark2[[#This Row],[Comparable '#1 Date Check]]="Pass",INDEX(Comp1[Comparable '#1 Price],MATCH(Benchmark2[[#This Row],[Benchmark '#2 Dates]],Comp1[Comparable '#1 Dates],0)),"-")</f>
        <v>9.24</v>
      </c>
      <c r="H450" s="1" t="str">
        <f>IF(COUNTIF(Comp2[Comparable '#2 Dates],Benchmark2[[#This Row],[Benchmark '#2 Dates]])=1,"Pass","Fail")</f>
        <v>Pass</v>
      </c>
      <c r="I450" s="6">
        <f>IF(Benchmark2[[#This Row],[Comparable '#2 Date Check]]="Pass",INDEX(Comp2[Comparable '#2 Price],MATCH(Benchmark2[[#This Row],[Benchmark '#2 Dates]],Comp2[Comparable '#2 Dates],0)),"-")</f>
        <v>25.71</v>
      </c>
      <c r="J450" s="1" t="str">
        <f>IF(COUNTIF(Comp3[Comparable '#3 Dates],Benchmark2[[#This Row],[Benchmark '#2 Dates]])=1,"Pass","Fail")</f>
        <v>Pass</v>
      </c>
      <c r="K450" s="6">
        <f>IF(Benchmark2[[#This Row],[Comparable '#3 Date Check]]="Pass",INDEX(Comp3[Comparable '#3 Price],MATCH(Benchmark2[[#This Row],[Benchmark '#2 Dates]],Comp3[Comparable '#3 Dates],0)),"-")</f>
        <v>146.75</v>
      </c>
    </row>
    <row r="451" spans="1:11">
      <c r="A451" s="103">
        <v>43938</v>
      </c>
      <c r="B451" s="104">
        <v>11208.2916</v>
      </c>
      <c r="C451" s="4">
        <f t="shared" si="7"/>
        <v>3.5440064441787551E-2</v>
      </c>
      <c r="D451" s="1" t="str">
        <f>IF(COUNTIF(Target1[Target Dates],Benchmark2[[#This Row],[Benchmark '#2 Dates]])=1,"Pass","Fail")</f>
        <v>Pass</v>
      </c>
      <c r="E451" s="6">
        <f>IF(Benchmark2[[#This Row],[Target Date Check]]="Pass",INDEX(Target1[Target Price],MATCH(Benchmark2[[#This Row],[Benchmark '#2 Dates]],Target1[Target Dates],0)),"-")</f>
        <v>24.23</v>
      </c>
      <c r="F451" s="1" t="str">
        <f>IF(COUNTIF(Comp1[Comparable '#1 Dates],Benchmark2[[#This Row],[Benchmark '#2 Dates]])=1,"Pass","Fail")</f>
        <v>Pass</v>
      </c>
      <c r="G451" s="6">
        <f>IF(Benchmark2[[#This Row],[Comparable '#1 Date Check]]="Pass",INDEX(Comp1[Comparable '#1 Price],MATCH(Benchmark2[[#This Row],[Benchmark '#2 Dates]],Comp1[Comparable '#1 Dates],0)),"-")</f>
        <v>9.2899999999999991</v>
      </c>
      <c r="H451" s="1" t="str">
        <f>IF(COUNTIF(Comp2[Comparable '#2 Dates],Benchmark2[[#This Row],[Benchmark '#2 Dates]])=1,"Pass","Fail")</f>
        <v>Pass</v>
      </c>
      <c r="I451" s="6">
        <f>IF(Benchmark2[[#This Row],[Comparable '#2 Date Check]]="Pass",INDEX(Comp2[Comparable '#2 Price],MATCH(Benchmark2[[#This Row],[Benchmark '#2 Dates]],Comp2[Comparable '#2 Dates],0)),"-")</f>
        <v>27.82</v>
      </c>
      <c r="J451" s="1" t="str">
        <f>IF(COUNTIF(Comp3[Comparable '#3 Dates],Benchmark2[[#This Row],[Benchmark '#2 Dates]])=1,"Pass","Fail")</f>
        <v>Pass</v>
      </c>
      <c r="K451" s="6">
        <f>IF(Benchmark2[[#This Row],[Comparable '#3 Date Check]]="Pass",INDEX(Comp3[Comparable '#3 Price],MATCH(Benchmark2[[#This Row],[Benchmark '#2 Dates]],Comp3[Comparable '#3 Dates],0)),"-")</f>
        <v>148.86000000000001</v>
      </c>
    </row>
    <row r="452" spans="1:11">
      <c r="A452" s="103">
        <v>43941</v>
      </c>
      <c r="B452" s="104">
        <v>11003.880300000001</v>
      </c>
      <c r="C452" s="4">
        <f t="shared" si="7"/>
        <v>-1.8405860686318887E-2</v>
      </c>
      <c r="D452" s="1" t="str">
        <f>IF(COUNTIF(Target1[Target Dates],Benchmark2[[#This Row],[Benchmark '#2 Dates]])=1,"Pass","Fail")</f>
        <v>Pass</v>
      </c>
      <c r="E452" s="6">
        <f>IF(Benchmark2[[#This Row],[Target Date Check]]="Pass",INDEX(Target1[Target Price],MATCH(Benchmark2[[#This Row],[Benchmark '#2 Dates]],Target1[Target Dates],0)),"-")</f>
        <v>23.72</v>
      </c>
      <c r="F452" s="1" t="str">
        <f>IF(COUNTIF(Comp1[Comparable '#1 Dates],Benchmark2[[#This Row],[Benchmark '#2 Dates]])=1,"Pass","Fail")</f>
        <v>Pass</v>
      </c>
      <c r="G452" s="6">
        <f>IF(Benchmark2[[#This Row],[Comparable '#1 Date Check]]="Pass",INDEX(Comp1[Comparable '#1 Price],MATCH(Benchmark2[[#This Row],[Benchmark '#2 Dates]],Comp1[Comparable '#1 Dates],0)),"-")</f>
        <v>8.7200000000000006</v>
      </c>
      <c r="H452" s="1" t="str">
        <f>IF(COUNTIF(Comp2[Comparable '#2 Dates],Benchmark2[[#This Row],[Benchmark '#2 Dates]])=1,"Pass","Fail")</f>
        <v>Pass</v>
      </c>
      <c r="I452" s="6">
        <f>IF(Benchmark2[[#This Row],[Comparable '#2 Date Check]]="Pass",INDEX(Comp2[Comparable '#2 Price],MATCH(Benchmark2[[#This Row],[Benchmark '#2 Dates]],Comp2[Comparable '#2 Dates],0)),"-")</f>
        <v>26.88</v>
      </c>
      <c r="J452" s="1" t="str">
        <f>IF(COUNTIF(Comp3[Comparable '#3 Dates],Benchmark2[[#This Row],[Benchmark '#2 Dates]])=1,"Pass","Fail")</f>
        <v>Pass</v>
      </c>
      <c r="K452" s="6">
        <f>IF(Benchmark2[[#This Row],[Comparable '#3 Date Check]]="Pass",INDEX(Comp3[Comparable '#3 Price],MATCH(Benchmark2[[#This Row],[Benchmark '#2 Dates]],Comp3[Comparable '#3 Dates],0)),"-")</f>
        <v>146.58000000000001</v>
      </c>
    </row>
    <row r="453" spans="1:11">
      <c r="A453" s="103">
        <v>43942</v>
      </c>
      <c r="B453" s="104">
        <v>10706.4395</v>
      </c>
      <c r="C453" s="4">
        <f t="shared" si="7"/>
        <v>-2.7402582265294531E-2</v>
      </c>
      <c r="D453" s="1" t="str">
        <f>IF(COUNTIF(Target1[Target Dates],Benchmark2[[#This Row],[Benchmark '#2 Dates]])=1,"Pass","Fail")</f>
        <v>Pass</v>
      </c>
      <c r="E453" s="6">
        <f>IF(Benchmark2[[#This Row],[Target Date Check]]="Pass",INDEX(Target1[Target Price],MATCH(Benchmark2[[#This Row],[Benchmark '#2 Dates]],Target1[Target Dates],0)),"-")</f>
        <v>24.16</v>
      </c>
      <c r="F453" s="1" t="str">
        <f>IF(COUNTIF(Comp1[Comparable '#1 Dates],Benchmark2[[#This Row],[Benchmark '#2 Dates]])=1,"Pass","Fail")</f>
        <v>Pass</v>
      </c>
      <c r="G453" s="6">
        <f>IF(Benchmark2[[#This Row],[Comparable '#1 Date Check]]="Pass",INDEX(Comp1[Comparable '#1 Price],MATCH(Benchmark2[[#This Row],[Benchmark '#2 Dates]],Comp1[Comparable '#1 Dates],0)),"-")</f>
        <v>8.4450000000000003</v>
      </c>
      <c r="H453" s="1" t="str">
        <f>IF(COUNTIF(Comp2[Comparable '#2 Dates],Benchmark2[[#This Row],[Benchmark '#2 Dates]])=1,"Pass","Fail")</f>
        <v>Pass</v>
      </c>
      <c r="I453" s="6">
        <f>IF(Benchmark2[[#This Row],[Comparable '#2 Date Check]]="Pass",INDEX(Comp2[Comparable '#2 Price],MATCH(Benchmark2[[#This Row],[Benchmark '#2 Dates]],Comp2[Comparable '#2 Dates],0)),"-")</f>
        <v>26.57</v>
      </c>
      <c r="J453" s="1" t="str">
        <f>IF(COUNTIF(Comp3[Comparable '#3 Dates],Benchmark2[[#This Row],[Benchmark '#2 Dates]])=1,"Pass","Fail")</f>
        <v>Pass</v>
      </c>
      <c r="K453" s="6">
        <f>IF(Benchmark2[[#This Row],[Comparable '#3 Date Check]]="Pass",INDEX(Comp3[Comparable '#3 Price],MATCH(Benchmark2[[#This Row],[Benchmark '#2 Dates]],Comp3[Comparable '#3 Dates],0)),"-")</f>
        <v>146.37</v>
      </c>
    </row>
    <row r="454" spans="1:11">
      <c r="A454" s="103">
        <v>43943</v>
      </c>
      <c r="B454" s="104">
        <v>10908.564</v>
      </c>
      <c r="C454" s="4">
        <f t="shared" si="7"/>
        <v>1.8702785941919098E-2</v>
      </c>
      <c r="D454" s="1" t="str">
        <f>IF(COUNTIF(Target1[Target Dates],Benchmark2[[#This Row],[Benchmark '#2 Dates]])=1,"Pass","Fail")</f>
        <v>Pass</v>
      </c>
      <c r="E454" s="6">
        <f>IF(Benchmark2[[#This Row],[Target Date Check]]="Pass",INDEX(Target1[Target Price],MATCH(Benchmark2[[#This Row],[Benchmark '#2 Dates]],Target1[Target Dates],0)),"-")</f>
        <v>24.29</v>
      </c>
      <c r="F454" s="1" t="str">
        <f>IF(COUNTIF(Comp1[Comparable '#1 Dates],Benchmark2[[#This Row],[Benchmark '#2 Dates]])=1,"Pass","Fail")</f>
        <v>Pass</v>
      </c>
      <c r="G454" s="6">
        <f>IF(Benchmark2[[#This Row],[Comparable '#1 Date Check]]="Pass",INDEX(Comp1[Comparable '#1 Price],MATCH(Benchmark2[[#This Row],[Benchmark '#2 Dates]],Comp1[Comparable '#1 Dates],0)),"-")</f>
        <v>8.41</v>
      </c>
      <c r="H454" s="1" t="str">
        <f>IF(COUNTIF(Comp2[Comparable '#2 Dates],Benchmark2[[#This Row],[Benchmark '#2 Dates]])=1,"Pass","Fail")</f>
        <v>Pass</v>
      </c>
      <c r="I454" s="6">
        <f>IF(Benchmark2[[#This Row],[Comparable '#2 Date Check]]="Pass",INDEX(Comp2[Comparable '#2 Price],MATCH(Benchmark2[[#This Row],[Benchmark '#2 Dates]],Comp2[Comparable '#2 Dates],0)),"-")</f>
        <v>27.54</v>
      </c>
      <c r="J454" s="1" t="str">
        <f>IF(COUNTIF(Comp3[Comparable '#3 Dates],Benchmark2[[#This Row],[Benchmark '#2 Dates]])=1,"Pass","Fail")</f>
        <v>Pass</v>
      </c>
      <c r="K454" s="6">
        <f>IF(Benchmark2[[#This Row],[Comparable '#3 Date Check]]="Pass",INDEX(Comp3[Comparable '#3 Price],MATCH(Benchmark2[[#This Row],[Benchmark '#2 Dates]],Comp3[Comparable '#3 Dates],0)),"-")</f>
        <v>146.06</v>
      </c>
    </row>
    <row r="455" spans="1:11">
      <c r="A455" s="103">
        <v>43944</v>
      </c>
      <c r="B455" s="104">
        <v>10916.6752</v>
      </c>
      <c r="C455" s="4">
        <f t="shared" si="7"/>
        <v>7.4328627504209545E-4</v>
      </c>
      <c r="D455" s="1" t="str">
        <f>IF(COUNTIF(Target1[Target Dates],Benchmark2[[#This Row],[Benchmark '#2 Dates]])=1,"Pass","Fail")</f>
        <v>Pass</v>
      </c>
      <c r="E455" s="6">
        <f>IF(Benchmark2[[#This Row],[Target Date Check]]="Pass",INDEX(Target1[Target Price],MATCH(Benchmark2[[#This Row],[Benchmark '#2 Dates]],Target1[Target Dates],0)),"-")</f>
        <v>23.5</v>
      </c>
      <c r="F455" s="1" t="str">
        <f>IF(COUNTIF(Comp1[Comparable '#1 Dates],Benchmark2[[#This Row],[Benchmark '#2 Dates]])=1,"Pass","Fail")</f>
        <v>Pass</v>
      </c>
      <c r="G455" s="6">
        <f>IF(Benchmark2[[#This Row],[Comparable '#1 Date Check]]="Pass",INDEX(Comp1[Comparable '#1 Price],MATCH(Benchmark2[[#This Row],[Benchmark '#2 Dates]],Comp1[Comparable '#1 Dates],0)),"-")</f>
        <v>8.33</v>
      </c>
      <c r="H455" s="1" t="str">
        <f>IF(COUNTIF(Comp2[Comparable '#2 Dates],Benchmark2[[#This Row],[Benchmark '#2 Dates]])=1,"Pass","Fail")</f>
        <v>Pass</v>
      </c>
      <c r="I455" s="6">
        <f>IF(Benchmark2[[#This Row],[Comparable '#2 Date Check]]="Pass",INDEX(Comp2[Comparable '#2 Price],MATCH(Benchmark2[[#This Row],[Benchmark '#2 Dates]],Comp2[Comparable '#2 Dates],0)),"-")</f>
        <v>27.82</v>
      </c>
      <c r="J455" s="1" t="str">
        <f>IF(COUNTIF(Comp3[Comparable '#3 Dates],Benchmark2[[#This Row],[Benchmark '#2 Dates]])=1,"Pass","Fail")</f>
        <v>Pass</v>
      </c>
      <c r="K455" s="6">
        <f>IF(Benchmark2[[#This Row],[Comparable '#3 Date Check]]="Pass",INDEX(Comp3[Comparable '#3 Price],MATCH(Benchmark2[[#This Row],[Benchmark '#2 Dates]],Comp3[Comparable '#3 Dates],0)),"-")</f>
        <v>143.41999999999999</v>
      </c>
    </row>
    <row r="456" spans="1:11">
      <c r="A456" s="103">
        <v>43945</v>
      </c>
      <c r="B456" s="104">
        <v>11017.895500000001</v>
      </c>
      <c r="C456" s="4">
        <f t="shared" si="7"/>
        <v>9.2293594333698482E-3</v>
      </c>
      <c r="D456" s="1" t="str">
        <f>IF(COUNTIF(Target1[Target Dates],Benchmark2[[#This Row],[Benchmark '#2 Dates]])=1,"Pass","Fail")</f>
        <v>Pass</v>
      </c>
      <c r="E456" s="6">
        <f>IF(Benchmark2[[#This Row],[Target Date Check]]="Pass",INDEX(Target1[Target Price],MATCH(Benchmark2[[#This Row],[Benchmark '#2 Dates]],Target1[Target Dates],0)),"-")</f>
        <v>24.6</v>
      </c>
      <c r="F456" s="1" t="str">
        <f>IF(COUNTIF(Comp1[Comparable '#1 Dates],Benchmark2[[#This Row],[Benchmark '#2 Dates]])=1,"Pass","Fail")</f>
        <v>Pass</v>
      </c>
      <c r="G456" s="6">
        <f>IF(Benchmark2[[#This Row],[Comparable '#1 Date Check]]="Pass",INDEX(Comp1[Comparable '#1 Price],MATCH(Benchmark2[[#This Row],[Benchmark '#2 Dates]],Comp1[Comparable '#1 Dates],0)),"-")</f>
        <v>8.42</v>
      </c>
      <c r="H456" s="1" t="str">
        <f>IF(COUNTIF(Comp2[Comparable '#2 Dates],Benchmark2[[#This Row],[Benchmark '#2 Dates]])=1,"Pass","Fail")</f>
        <v>Pass</v>
      </c>
      <c r="I456" s="6">
        <f>IF(Benchmark2[[#This Row],[Comparable '#2 Date Check]]="Pass",INDEX(Comp2[Comparable '#2 Price],MATCH(Benchmark2[[#This Row],[Benchmark '#2 Dates]],Comp2[Comparable '#2 Dates],0)),"-")</f>
        <v>28.09</v>
      </c>
      <c r="J456" s="1" t="str">
        <f>IF(COUNTIF(Comp3[Comparable '#3 Dates],Benchmark2[[#This Row],[Benchmark '#2 Dates]])=1,"Pass","Fail")</f>
        <v>Pass</v>
      </c>
      <c r="K456" s="6">
        <f>IF(Benchmark2[[#This Row],[Comparable '#3 Date Check]]="Pass",INDEX(Comp3[Comparable '#3 Price],MATCH(Benchmark2[[#This Row],[Benchmark '#2 Dates]],Comp3[Comparable '#3 Dates],0)),"-")</f>
        <v>143.05000000000001</v>
      </c>
    </row>
    <row r="457" spans="1:11">
      <c r="A457" s="103">
        <v>43948</v>
      </c>
      <c r="B457" s="104">
        <v>11264.8377</v>
      </c>
      <c r="C457" s="4">
        <f t="shared" si="7"/>
        <v>2.2165351798090021E-2</v>
      </c>
      <c r="D457" s="1" t="str">
        <f>IF(COUNTIF(Target1[Target Dates],Benchmark2[[#This Row],[Benchmark '#2 Dates]])=1,"Pass","Fail")</f>
        <v>Pass</v>
      </c>
      <c r="E457" s="6">
        <f>IF(Benchmark2[[#This Row],[Target Date Check]]="Pass",INDEX(Target1[Target Price],MATCH(Benchmark2[[#This Row],[Benchmark '#2 Dates]],Target1[Target Dates],0)),"-")</f>
        <v>25.04</v>
      </c>
      <c r="F457" s="1" t="str">
        <f>IF(COUNTIF(Comp1[Comparable '#1 Dates],Benchmark2[[#This Row],[Benchmark '#2 Dates]])=1,"Pass","Fail")</f>
        <v>Pass</v>
      </c>
      <c r="G457" s="6">
        <f>IF(Benchmark2[[#This Row],[Comparable '#1 Date Check]]="Pass",INDEX(Comp1[Comparable '#1 Price],MATCH(Benchmark2[[#This Row],[Benchmark '#2 Dates]],Comp1[Comparable '#1 Dates],0)),"-")</f>
        <v>8.99</v>
      </c>
      <c r="H457" s="1" t="str">
        <f>IF(COUNTIF(Comp2[Comparable '#2 Dates],Benchmark2[[#This Row],[Benchmark '#2 Dates]])=1,"Pass","Fail")</f>
        <v>Pass</v>
      </c>
      <c r="I457" s="6">
        <f>IF(Benchmark2[[#This Row],[Comparable '#2 Date Check]]="Pass",INDEX(Comp2[Comparable '#2 Price],MATCH(Benchmark2[[#This Row],[Benchmark '#2 Dates]],Comp2[Comparable '#2 Dates],0)),"-")</f>
        <v>30.19</v>
      </c>
      <c r="J457" s="1" t="str">
        <f>IF(COUNTIF(Comp3[Comparable '#3 Dates],Benchmark2[[#This Row],[Benchmark '#2 Dates]])=1,"Pass","Fail")</f>
        <v>Pass</v>
      </c>
      <c r="K457" s="6">
        <f>IF(Benchmark2[[#This Row],[Comparable '#3 Date Check]]="Pass",INDEX(Comp3[Comparable '#3 Price],MATCH(Benchmark2[[#This Row],[Benchmark '#2 Dates]],Comp3[Comparable '#3 Dates],0)),"-")</f>
        <v>147</v>
      </c>
    </row>
    <row r="458" spans="1:11">
      <c r="A458" s="103">
        <v>43949</v>
      </c>
      <c r="B458" s="104">
        <v>11319.696</v>
      </c>
      <c r="C458" s="4">
        <f t="shared" si="7"/>
        <v>4.8580509670617267E-3</v>
      </c>
      <c r="D458" s="1" t="str">
        <f>IF(COUNTIF(Target1[Target Dates],Benchmark2[[#This Row],[Benchmark '#2 Dates]])=1,"Pass","Fail")</f>
        <v>Pass</v>
      </c>
      <c r="E458" s="6">
        <f>IF(Benchmark2[[#This Row],[Target Date Check]]="Pass",INDEX(Target1[Target Price],MATCH(Benchmark2[[#This Row],[Benchmark '#2 Dates]],Target1[Target Dates],0)),"-")</f>
        <v>22.01</v>
      </c>
      <c r="F458" s="1" t="str">
        <f>IF(COUNTIF(Comp1[Comparable '#1 Dates],Benchmark2[[#This Row],[Benchmark '#2 Dates]])=1,"Pass","Fail")</f>
        <v>Pass</v>
      </c>
      <c r="G458" s="6">
        <f>IF(Benchmark2[[#This Row],[Comparable '#1 Date Check]]="Pass",INDEX(Comp1[Comparable '#1 Price],MATCH(Benchmark2[[#This Row],[Benchmark '#2 Dates]],Comp1[Comparable '#1 Dates],0)),"-")</f>
        <v>9.6199999999999992</v>
      </c>
      <c r="H458" s="1" t="str">
        <f>IF(COUNTIF(Comp2[Comparable '#2 Dates],Benchmark2[[#This Row],[Benchmark '#2 Dates]])=1,"Pass","Fail")</f>
        <v>Pass</v>
      </c>
      <c r="I458" s="6">
        <f>IF(Benchmark2[[#This Row],[Comparable '#2 Date Check]]="Pass",INDEX(Comp2[Comparable '#2 Price],MATCH(Benchmark2[[#This Row],[Benchmark '#2 Dates]],Comp2[Comparable '#2 Dates],0)),"-")</f>
        <v>31.36</v>
      </c>
      <c r="J458" s="1" t="str">
        <f>IF(COUNTIF(Comp3[Comparable '#3 Dates],Benchmark2[[#This Row],[Benchmark '#2 Dates]])=1,"Pass","Fail")</f>
        <v>Pass</v>
      </c>
      <c r="K458" s="6">
        <f>IF(Benchmark2[[#This Row],[Comparable '#3 Date Check]]="Pass",INDEX(Comp3[Comparable '#3 Price],MATCH(Benchmark2[[#This Row],[Benchmark '#2 Dates]],Comp3[Comparable '#3 Dates],0)),"-")</f>
        <v>150.15</v>
      </c>
    </row>
    <row r="459" spans="1:11">
      <c r="A459" s="103">
        <v>43950</v>
      </c>
      <c r="B459" s="104">
        <v>11618.2322</v>
      </c>
      <c r="C459" s="4">
        <f t="shared" si="7"/>
        <v>2.6031388308128706E-2</v>
      </c>
      <c r="D459" s="1" t="str">
        <f>IF(COUNTIF(Target1[Target Dates],Benchmark2[[#This Row],[Benchmark '#2 Dates]])=1,"Pass","Fail")</f>
        <v>Pass</v>
      </c>
      <c r="E459" s="6">
        <f>IF(Benchmark2[[#This Row],[Target Date Check]]="Pass",INDEX(Target1[Target Price],MATCH(Benchmark2[[#This Row],[Benchmark '#2 Dates]],Target1[Target Dates],0)),"-")</f>
        <v>21.43</v>
      </c>
      <c r="F459" s="1" t="str">
        <f>IF(COUNTIF(Comp1[Comparable '#1 Dates],Benchmark2[[#This Row],[Benchmark '#2 Dates]])=1,"Pass","Fail")</f>
        <v>Pass</v>
      </c>
      <c r="G459" s="6">
        <f>IF(Benchmark2[[#This Row],[Comparable '#1 Date Check]]="Pass",INDEX(Comp1[Comparable '#1 Price],MATCH(Benchmark2[[#This Row],[Benchmark '#2 Dates]],Comp1[Comparable '#1 Dates],0)),"-")</f>
        <v>9.7100000000000009</v>
      </c>
      <c r="H459" s="1" t="str">
        <f>IF(COUNTIF(Comp2[Comparable '#2 Dates],Benchmark2[[#This Row],[Benchmark '#2 Dates]])=1,"Pass","Fail")</f>
        <v>Pass</v>
      </c>
      <c r="I459" s="6">
        <f>IF(Benchmark2[[#This Row],[Comparable '#2 Date Check]]="Pass",INDEX(Comp2[Comparable '#2 Price],MATCH(Benchmark2[[#This Row],[Benchmark '#2 Dates]],Comp2[Comparable '#2 Dates],0)),"-")</f>
        <v>33.19</v>
      </c>
      <c r="J459" s="1" t="str">
        <f>IF(COUNTIF(Comp3[Comparable '#3 Dates],Benchmark2[[#This Row],[Benchmark '#2 Dates]])=1,"Pass","Fail")</f>
        <v>Pass</v>
      </c>
      <c r="K459" s="6">
        <f>IF(Benchmark2[[#This Row],[Comparable '#3 Date Check]]="Pass",INDEX(Comp3[Comparable '#3 Price],MATCH(Benchmark2[[#This Row],[Benchmark '#2 Dates]],Comp3[Comparable '#3 Dates],0)),"-")</f>
        <v>168.18</v>
      </c>
    </row>
    <row r="460" spans="1:11">
      <c r="A460" s="103">
        <v>43951</v>
      </c>
      <c r="B460" s="104">
        <v>11372.341200000001</v>
      </c>
      <c r="C460" s="4">
        <f t="shared" si="7"/>
        <v>-2.1391408742817215E-2</v>
      </c>
      <c r="D460" s="1" t="str">
        <f>IF(COUNTIF(Target1[Target Dates],Benchmark2[[#This Row],[Benchmark '#2 Dates]])=1,"Pass","Fail")</f>
        <v>Pass</v>
      </c>
      <c r="E460" s="6">
        <f>IF(Benchmark2[[#This Row],[Target Date Check]]="Pass",INDEX(Target1[Target Price],MATCH(Benchmark2[[#This Row],[Benchmark '#2 Dates]],Target1[Target Dates],0)),"-")</f>
        <v>22.71</v>
      </c>
      <c r="F460" s="1" t="str">
        <f>IF(COUNTIF(Comp1[Comparable '#1 Dates],Benchmark2[[#This Row],[Benchmark '#2 Dates]])=1,"Pass","Fail")</f>
        <v>Pass</v>
      </c>
      <c r="G460" s="6">
        <f>IF(Benchmark2[[#This Row],[Comparable '#1 Date Check]]="Pass",INDEX(Comp1[Comparable '#1 Price],MATCH(Benchmark2[[#This Row],[Benchmark '#2 Dates]],Comp1[Comparable '#1 Dates],0)),"-")</f>
        <v>9.4700000000000006</v>
      </c>
      <c r="H460" s="1" t="str">
        <f>IF(COUNTIF(Comp2[Comparable '#2 Dates],Benchmark2[[#This Row],[Benchmark '#2 Dates]])=1,"Pass","Fail")</f>
        <v>Pass</v>
      </c>
      <c r="I460" s="6">
        <f>IF(Benchmark2[[#This Row],[Comparable '#2 Date Check]]="Pass",INDEX(Comp2[Comparable '#2 Price],MATCH(Benchmark2[[#This Row],[Benchmark '#2 Dates]],Comp2[Comparable '#2 Dates],0)),"-")</f>
        <v>31.77</v>
      </c>
      <c r="J460" s="1" t="str">
        <f>IF(COUNTIF(Comp3[Comparable '#3 Dates],Benchmark2[[#This Row],[Benchmark '#2 Dates]])=1,"Pass","Fail")</f>
        <v>Pass</v>
      </c>
      <c r="K460" s="6">
        <f>IF(Benchmark2[[#This Row],[Comparable '#3 Date Check]]="Pass",INDEX(Comp3[Comparable '#3 Price],MATCH(Benchmark2[[#This Row],[Benchmark '#2 Dates]],Comp3[Comparable '#3 Dates],0)),"-")</f>
        <v>159.30000000000001</v>
      </c>
    </row>
    <row r="461" spans="1:11">
      <c r="A461" s="103">
        <v>43952</v>
      </c>
      <c r="B461" s="104">
        <v>11058.5725</v>
      </c>
      <c r="C461" s="4">
        <f t="shared" si="7"/>
        <v>-2.7978277808056815E-2</v>
      </c>
      <c r="D461" s="1" t="str">
        <f>IF(COUNTIF(Target1[Target Dates],Benchmark2[[#This Row],[Benchmark '#2 Dates]])=1,"Pass","Fail")</f>
        <v>Pass</v>
      </c>
      <c r="E461" s="6">
        <f>IF(Benchmark2[[#This Row],[Target Date Check]]="Pass",INDEX(Target1[Target Price],MATCH(Benchmark2[[#This Row],[Benchmark '#2 Dates]],Target1[Target Dates],0)),"-")</f>
        <v>22.97</v>
      </c>
      <c r="F461" s="1" t="str">
        <f>IF(COUNTIF(Comp1[Comparable '#1 Dates],Benchmark2[[#This Row],[Benchmark '#2 Dates]])=1,"Pass","Fail")</f>
        <v>Pass</v>
      </c>
      <c r="G461" s="6">
        <f>IF(Benchmark2[[#This Row],[Comparable '#1 Date Check]]="Pass",INDEX(Comp1[Comparable '#1 Price],MATCH(Benchmark2[[#This Row],[Benchmark '#2 Dates]],Comp1[Comparable '#1 Dates],0)),"-")</f>
        <v>9.2100000000000009</v>
      </c>
      <c r="H461" s="1" t="str">
        <f>IF(COUNTIF(Comp2[Comparable '#2 Dates],Benchmark2[[#This Row],[Benchmark '#2 Dates]])=1,"Pass","Fail")</f>
        <v>Pass</v>
      </c>
      <c r="I461" s="6">
        <f>IF(Benchmark2[[#This Row],[Comparable '#2 Date Check]]="Pass",INDEX(Comp2[Comparable '#2 Price],MATCH(Benchmark2[[#This Row],[Benchmark '#2 Dates]],Comp2[Comparable '#2 Dates],0)),"-")</f>
        <v>31.63</v>
      </c>
      <c r="J461" s="1" t="str">
        <f>IF(COUNTIF(Comp3[Comparable '#3 Dates],Benchmark2[[#This Row],[Benchmark '#2 Dates]])=1,"Pass","Fail")</f>
        <v>Pass</v>
      </c>
      <c r="K461" s="6">
        <f>IF(Benchmark2[[#This Row],[Comparable '#3 Date Check]]="Pass",INDEX(Comp3[Comparable '#3 Price],MATCH(Benchmark2[[#This Row],[Benchmark '#2 Dates]],Comp3[Comparable '#3 Dates],0)),"-")</f>
        <v>150.22</v>
      </c>
    </row>
    <row r="462" spans="1:11">
      <c r="A462" s="103">
        <v>43955</v>
      </c>
      <c r="B462" s="104">
        <v>11056.2835</v>
      </c>
      <c r="C462" s="4">
        <f t="shared" si="7"/>
        <v>-2.0701016621362534E-4</v>
      </c>
      <c r="D462" s="1" t="str">
        <f>IF(COUNTIF(Target1[Target Dates],Benchmark2[[#This Row],[Benchmark '#2 Dates]])=1,"Pass","Fail")</f>
        <v>Pass</v>
      </c>
      <c r="E462" s="6">
        <f>IF(Benchmark2[[#This Row],[Target Date Check]]="Pass",INDEX(Target1[Target Price],MATCH(Benchmark2[[#This Row],[Benchmark '#2 Dates]],Target1[Target Dates],0)),"-")</f>
        <v>22.68</v>
      </c>
      <c r="F462" s="1" t="str">
        <f>IF(COUNTIF(Comp1[Comparable '#1 Dates],Benchmark2[[#This Row],[Benchmark '#2 Dates]])=1,"Pass","Fail")</f>
        <v>Pass</v>
      </c>
      <c r="G462" s="6">
        <f>IF(Benchmark2[[#This Row],[Comparable '#1 Date Check]]="Pass",INDEX(Comp1[Comparable '#1 Price],MATCH(Benchmark2[[#This Row],[Benchmark '#2 Dates]],Comp1[Comparable '#1 Dates],0)),"-")</f>
        <v>9.3650000000000002</v>
      </c>
      <c r="H462" s="1" t="str">
        <f>IF(COUNTIF(Comp2[Comparable '#2 Dates],Benchmark2[[#This Row],[Benchmark '#2 Dates]])=1,"Pass","Fail")</f>
        <v>Pass</v>
      </c>
      <c r="I462" s="6">
        <f>IF(Benchmark2[[#This Row],[Comparable '#2 Date Check]]="Pass",INDEX(Comp2[Comparable '#2 Price],MATCH(Benchmark2[[#This Row],[Benchmark '#2 Dates]],Comp2[Comparable '#2 Dates],0)),"-")</f>
        <v>31.57</v>
      </c>
      <c r="J462" s="1" t="str">
        <f>IF(COUNTIF(Comp3[Comparable '#3 Dates],Benchmark2[[#This Row],[Benchmark '#2 Dates]])=1,"Pass","Fail")</f>
        <v>Pass</v>
      </c>
      <c r="K462" s="6">
        <f>IF(Benchmark2[[#This Row],[Comparable '#3 Date Check]]="Pass",INDEX(Comp3[Comparable '#3 Price],MATCH(Benchmark2[[#This Row],[Benchmark '#2 Dates]],Comp3[Comparable '#3 Dates],0)),"-")</f>
        <v>149.4</v>
      </c>
    </row>
    <row r="463" spans="1:11">
      <c r="A463" s="103">
        <v>43956</v>
      </c>
      <c r="B463" s="104">
        <v>11135.400799999999</v>
      </c>
      <c r="C463" s="4">
        <f t="shared" si="7"/>
        <v>7.1303857913278049E-3</v>
      </c>
      <c r="D463" s="1" t="str">
        <f>IF(COUNTIF(Target1[Target Dates],Benchmark2[[#This Row],[Benchmark '#2 Dates]])=1,"Pass","Fail")</f>
        <v>Pass</v>
      </c>
      <c r="E463" s="6">
        <f>IF(Benchmark2[[#This Row],[Target Date Check]]="Pass",INDEX(Target1[Target Price],MATCH(Benchmark2[[#This Row],[Benchmark '#2 Dates]],Target1[Target Dates],0)),"-")</f>
        <v>23.05</v>
      </c>
      <c r="F463" s="1" t="str">
        <f>IF(COUNTIF(Comp1[Comparable '#1 Dates],Benchmark2[[#This Row],[Benchmark '#2 Dates]])=1,"Pass","Fail")</f>
        <v>Pass</v>
      </c>
      <c r="G463" s="6">
        <f>IF(Benchmark2[[#This Row],[Comparable '#1 Date Check]]="Pass",INDEX(Comp1[Comparable '#1 Price],MATCH(Benchmark2[[#This Row],[Benchmark '#2 Dates]],Comp1[Comparable '#1 Dates],0)),"-")</f>
        <v>9.6</v>
      </c>
      <c r="H463" s="1" t="str">
        <f>IF(COUNTIF(Comp2[Comparable '#2 Dates],Benchmark2[[#This Row],[Benchmark '#2 Dates]])=1,"Pass","Fail")</f>
        <v>Pass</v>
      </c>
      <c r="I463" s="6">
        <f>IF(Benchmark2[[#This Row],[Comparable '#2 Date Check]]="Pass",INDEX(Comp2[Comparable '#2 Price],MATCH(Benchmark2[[#This Row],[Benchmark '#2 Dates]],Comp2[Comparable '#2 Dates],0)),"-")</f>
        <v>31.55</v>
      </c>
      <c r="J463" s="1" t="str">
        <f>IF(COUNTIF(Comp3[Comparable '#3 Dates],Benchmark2[[#This Row],[Benchmark '#2 Dates]])=1,"Pass","Fail")</f>
        <v>Pass</v>
      </c>
      <c r="K463" s="6">
        <f>IF(Benchmark2[[#This Row],[Comparable '#3 Date Check]]="Pass",INDEX(Comp3[Comparable '#3 Price],MATCH(Benchmark2[[#This Row],[Benchmark '#2 Dates]],Comp3[Comparable '#3 Dates],0)),"-")</f>
        <v>157.30000000000001</v>
      </c>
    </row>
    <row r="464" spans="1:11">
      <c r="A464" s="103">
        <v>43957</v>
      </c>
      <c r="B464" s="104">
        <v>10999.987300000001</v>
      </c>
      <c r="C464" s="4">
        <f t="shared" si="7"/>
        <v>-1.2235176420875907E-2</v>
      </c>
      <c r="D464" s="1" t="str">
        <f>IF(COUNTIF(Target1[Target Dates],Benchmark2[[#This Row],[Benchmark '#2 Dates]])=1,"Pass","Fail")</f>
        <v>Pass</v>
      </c>
      <c r="E464" s="6">
        <f>IF(Benchmark2[[#This Row],[Target Date Check]]="Pass",INDEX(Target1[Target Price],MATCH(Benchmark2[[#This Row],[Benchmark '#2 Dates]],Target1[Target Dates],0)),"-")</f>
        <v>22.58</v>
      </c>
      <c r="F464" s="1" t="str">
        <f>IF(COUNTIF(Comp1[Comparable '#1 Dates],Benchmark2[[#This Row],[Benchmark '#2 Dates]])=1,"Pass","Fail")</f>
        <v>Pass</v>
      </c>
      <c r="G464" s="6">
        <f>IF(Benchmark2[[#This Row],[Comparable '#1 Date Check]]="Pass",INDEX(Comp1[Comparable '#1 Price],MATCH(Benchmark2[[#This Row],[Benchmark '#2 Dates]],Comp1[Comparable '#1 Dates],0)),"-")</f>
        <v>9.35</v>
      </c>
      <c r="H464" s="1" t="str">
        <f>IF(COUNTIF(Comp2[Comparable '#2 Dates],Benchmark2[[#This Row],[Benchmark '#2 Dates]])=1,"Pass","Fail")</f>
        <v>Pass</v>
      </c>
      <c r="I464" s="6">
        <f>IF(Benchmark2[[#This Row],[Comparable '#2 Date Check]]="Pass",INDEX(Comp2[Comparable '#2 Price],MATCH(Benchmark2[[#This Row],[Benchmark '#2 Dates]],Comp2[Comparable '#2 Dates],0)),"-")</f>
        <v>32.75</v>
      </c>
      <c r="J464" s="1" t="str">
        <f>IF(COUNTIF(Comp3[Comparable '#3 Dates],Benchmark2[[#This Row],[Benchmark '#2 Dates]])=1,"Pass","Fail")</f>
        <v>Pass</v>
      </c>
      <c r="K464" s="6">
        <f>IF(Benchmark2[[#This Row],[Comparable '#3 Date Check]]="Pass",INDEX(Comp3[Comparable '#3 Price],MATCH(Benchmark2[[#This Row],[Benchmark '#2 Dates]],Comp3[Comparable '#3 Dates],0)),"-")</f>
        <v>161.86000000000001</v>
      </c>
    </row>
    <row r="465" spans="1:11">
      <c r="A465" s="103">
        <v>43958</v>
      </c>
      <c r="B465" s="104">
        <v>11121.6662</v>
      </c>
      <c r="C465" s="4">
        <f t="shared" si="7"/>
        <v>1.1000997475071925E-2</v>
      </c>
      <c r="D465" s="1" t="str">
        <f>IF(COUNTIF(Target1[Target Dates],Benchmark2[[#This Row],[Benchmark '#2 Dates]])=1,"Pass","Fail")</f>
        <v>Pass</v>
      </c>
      <c r="E465" s="6">
        <f>IF(Benchmark2[[#This Row],[Target Date Check]]="Pass",INDEX(Target1[Target Price],MATCH(Benchmark2[[#This Row],[Benchmark '#2 Dates]],Target1[Target Dates],0)),"-")</f>
        <v>22.1</v>
      </c>
      <c r="F465" s="1" t="str">
        <f>IF(COUNTIF(Comp1[Comparable '#1 Dates],Benchmark2[[#This Row],[Benchmark '#2 Dates]])=1,"Pass","Fail")</f>
        <v>Pass</v>
      </c>
      <c r="G465" s="6">
        <f>IF(Benchmark2[[#This Row],[Comparable '#1 Date Check]]="Pass",INDEX(Comp1[Comparable '#1 Price],MATCH(Benchmark2[[#This Row],[Benchmark '#2 Dates]],Comp1[Comparable '#1 Dates],0)),"-")</f>
        <v>8.8000000000000007</v>
      </c>
      <c r="H465" s="1" t="str">
        <f>IF(COUNTIF(Comp2[Comparable '#2 Dates],Benchmark2[[#This Row],[Benchmark '#2 Dates]])=1,"Pass","Fail")</f>
        <v>Pass</v>
      </c>
      <c r="I465" s="6">
        <f>IF(Benchmark2[[#This Row],[Comparable '#2 Date Check]]="Pass",INDEX(Comp2[Comparable '#2 Price],MATCH(Benchmark2[[#This Row],[Benchmark '#2 Dates]],Comp2[Comparable '#2 Dates],0)),"-")</f>
        <v>34.24</v>
      </c>
      <c r="J465" s="1" t="str">
        <f>IF(COUNTIF(Comp3[Comparable '#3 Dates],Benchmark2[[#This Row],[Benchmark '#2 Dates]])=1,"Pass","Fail")</f>
        <v>Pass</v>
      </c>
      <c r="K465" s="6">
        <f>IF(Benchmark2[[#This Row],[Comparable '#3 Date Check]]="Pass",INDEX(Comp3[Comparable '#3 Price],MATCH(Benchmark2[[#This Row],[Benchmark '#2 Dates]],Comp3[Comparable '#3 Dates],0)),"-")</f>
        <v>166.5</v>
      </c>
    </row>
    <row r="466" spans="1:11">
      <c r="A466" s="103">
        <v>43959</v>
      </c>
      <c r="B466" s="104">
        <v>11354.3436</v>
      </c>
      <c r="C466" s="4">
        <f t="shared" si="7"/>
        <v>2.0705251025882377E-2</v>
      </c>
      <c r="D466" s="1" t="str">
        <f>IF(COUNTIF(Target1[Target Dates],Benchmark2[[#This Row],[Benchmark '#2 Dates]])=1,"Pass","Fail")</f>
        <v>Pass</v>
      </c>
      <c r="E466" s="6">
        <f>IF(Benchmark2[[#This Row],[Target Date Check]]="Pass",INDEX(Target1[Target Price],MATCH(Benchmark2[[#This Row],[Benchmark '#2 Dates]],Target1[Target Dates],0)),"-")</f>
        <v>22.97</v>
      </c>
      <c r="F466" s="1" t="str">
        <f>IF(COUNTIF(Comp1[Comparable '#1 Dates],Benchmark2[[#This Row],[Benchmark '#2 Dates]])=1,"Pass","Fail")</f>
        <v>Pass</v>
      </c>
      <c r="G466" s="6">
        <f>IF(Benchmark2[[#This Row],[Comparable '#1 Date Check]]="Pass",INDEX(Comp1[Comparable '#1 Price],MATCH(Benchmark2[[#This Row],[Benchmark '#2 Dates]],Comp1[Comparable '#1 Dates],0)),"-")</f>
        <v>9.11</v>
      </c>
      <c r="H466" s="1" t="str">
        <f>IF(COUNTIF(Comp2[Comparable '#2 Dates],Benchmark2[[#This Row],[Benchmark '#2 Dates]])=1,"Pass","Fail")</f>
        <v>Pass</v>
      </c>
      <c r="I466" s="6">
        <f>IF(Benchmark2[[#This Row],[Comparable '#2 Date Check]]="Pass",INDEX(Comp2[Comparable '#2 Price],MATCH(Benchmark2[[#This Row],[Benchmark '#2 Dates]],Comp2[Comparable '#2 Dates],0)),"-")</f>
        <v>34.65</v>
      </c>
      <c r="J466" s="1" t="str">
        <f>IF(COUNTIF(Comp3[Comparable '#3 Dates],Benchmark2[[#This Row],[Benchmark '#2 Dates]])=1,"Pass","Fail")</f>
        <v>Pass</v>
      </c>
      <c r="K466" s="6">
        <f>IF(Benchmark2[[#This Row],[Comparable '#3 Date Check]]="Pass",INDEX(Comp3[Comparable '#3 Price],MATCH(Benchmark2[[#This Row],[Benchmark '#2 Dates]],Comp3[Comparable '#3 Dates],0)),"-")</f>
        <v>170.57</v>
      </c>
    </row>
    <row r="467" spans="1:11">
      <c r="A467" s="103">
        <v>43962</v>
      </c>
      <c r="B467" s="104">
        <v>11281.365</v>
      </c>
      <c r="C467" s="4">
        <f t="shared" si="7"/>
        <v>-6.4481173661896322E-3</v>
      </c>
      <c r="D467" s="1" t="str">
        <f>IF(COUNTIF(Target1[Target Dates],Benchmark2[[#This Row],[Benchmark '#2 Dates]])=1,"Pass","Fail")</f>
        <v>Pass</v>
      </c>
      <c r="E467" s="6">
        <f>IF(Benchmark2[[#This Row],[Target Date Check]]="Pass",INDEX(Target1[Target Price],MATCH(Benchmark2[[#This Row],[Benchmark '#2 Dates]],Target1[Target Dates],0)),"-")</f>
        <v>23.55</v>
      </c>
      <c r="F467" s="1" t="str">
        <f>IF(COUNTIF(Comp1[Comparable '#1 Dates],Benchmark2[[#This Row],[Benchmark '#2 Dates]])=1,"Pass","Fail")</f>
        <v>Pass</v>
      </c>
      <c r="G467" s="6">
        <f>IF(Benchmark2[[#This Row],[Comparable '#1 Date Check]]="Pass",INDEX(Comp1[Comparable '#1 Price],MATCH(Benchmark2[[#This Row],[Benchmark '#2 Dates]],Comp1[Comparable '#1 Dates],0)),"-")</f>
        <v>8.5500000000000007</v>
      </c>
      <c r="H467" s="1" t="str">
        <f>IF(COUNTIF(Comp2[Comparable '#2 Dates],Benchmark2[[#This Row],[Benchmark '#2 Dates]])=1,"Pass","Fail")</f>
        <v>Pass</v>
      </c>
      <c r="I467" s="6">
        <f>IF(Benchmark2[[#This Row],[Comparable '#2 Date Check]]="Pass",INDEX(Comp2[Comparable '#2 Price],MATCH(Benchmark2[[#This Row],[Benchmark '#2 Dates]],Comp2[Comparable '#2 Dates],0)),"-")</f>
        <v>33.67</v>
      </c>
      <c r="J467" s="1" t="str">
        <f>IF(COUNTIF(Comp3[Comparable '#3 Dates],Benchmark2[[#This Row],[Benchmark '#2 Dates]])=1,"Pass","Fail")</f>
        <v>Pass</v>
      </c>
      <c r="K467" s="6">
        <f>IF(Benchmark2[[#This Row],[Comparable '#3 Date Check]]="Pass",INDEX(Comp3[Comparable '#3 Price],MATCH(Benchmark2[[#This Row],[Benchmark '#2 Dates]],Comp3[Comparable '#3 Dates],0)),"-")</f>
        <v>168.18</v>
      </c>
    </row>
    <row r="468" spans="1:11">
      <c r="A468" s="103">
        <v>43963</v>
      </c>
      <c r="B468" s="104">
        <v>11055.583000000001</v>
      </c>
      <c r="C468" s="4">
        <f t="shared" si="7"/>
        <v>-2.0216700149707178E-2</v>
      </c>
      <c r="D468" s="1" t="str">
        <f>IF(COUNTIF(Target1[Target Dates],Benchmark2[[#This Row],[Benchmark '#2 Dates]])=1,"Pass","Fail")</f>
        <v>Pass</v>
      </c>
      <c r="E468" s="6">
        <f>IF(Benchmark2[[#This Row],[Target Date Check]]="Pass",INDEX(Target1[Target Price],MATCH(Benchmark2[[#This Row],[Benchmark '#2 Dates]],Target1[Target Dates],0)),"-")</f>
        <v>23.41</v>
      </c>
      <c r="F468" s="1" t="str">
        <f>IF(COUNTIF(Comp1[Comparable '#1 Dates],Benchmark2[[#This Row],[Benchmark '#2 Dates]])=1,"Pass","Fail")</f>
        <v>Pass</v>
      </c>
      <c r="G468" s="6">
        <f>IF(Benchmark2[[#This Row],[Comparable '#1 Date Check]]="Pass",INDEX(Comp1[Comparable '#1 Price],MATCH(Benchmark2[[#This Row],[Benchmark '#2 Dates]],Comp1[Comparable '#1 Dates],0)),"-")</f>
        <v>8.26</v>
      </c>
      <c r="H468" s="1" t="str">
        <f>IF(COUNTIF(Comp2[Comparable '#2 Dates],Benchmark2[[#This Row],[Benchmark '#2 Dates]])=1,"Pass","Fail")</f>
        <v>Pass</v>
      </c>
      <c r="I468" s="6">
        <f>IF(Benchmark2[[#This Row],[Comparable '#2 Date Check]]="Pass",INDEX(Comp2[Comparable '#2 Price],MATCH(Benchmark2[[#This Row],[Benchmark '#2 Dates]],Comp2[Comparable '#2 Dates],0)),"-")</f>
        <v>31.77</v>
      </c>
      <c r="J468" s="1" t="str">
        <f>IF(COUNTIF(Comp3[Comparable '#3 Dates],Benchmark2[[#This Row],[Benchmark '#2 Dates]])=1,"Pass","Fail")</f>
        <v>Pass</v>
      </c>
      <c r="K468" s="6">
        <f>IF(Benchmark2[[#This Row],[Comparable '#3 Date Check]]="Pass",INDEX(Comp3[Comparable '#3 Price],MATCH(Benchmark2[[#This Row],[Benchmark '#2 Dates]],Comp3[Comparable '#3 Dates],0)),"-")</f>
        <v>164.19</v>
      </c>
    </row>
    <row r="469" spans="1:11">
      <c r="A469" s="103">
        <v>43964</v>
      </c>
      <c r="B469" s="104">
        <v>10829.442300000001</v>
      </c>
      <c r="C469" s="4">
        <f t="shared" si="7"/>
        <v>-2.0666985395239514E-2</v>
      </c>
      <c r="D469" s="1" t="str">
        <f>IF(COUNTIF(Target1[Target Dates],Benchmark2[[#This Row],[Benchmark '#2 Dates]])=1,"Pass","Fail")</f>
        <v>Pass</v>
      </c>
      <c r="E469" s="6">
        <f>IF(Benchmark2[[#This Row],[Target Date Check]]="Pass",INDEX(Target1[Target Price],MATCH(Benchmark2[[#This Row],[Benchmark '#2 Dates]],Target1[Target Dates],0)),"-")</f>
        <v>23.41</v>
      </c>
      <c r="F469" s="1" t="str">
        <f>IF(COUNTIF(Comp1[Comparable '#1 Dates],Benchmark2[[#This Row],[Benchmark '#2 Dates]])=1,"Pass","Fail")</f>
        <v>Pass</v>
      </c>
      <c r="G469" s="6">
        <f>IF(Benchmark2[[#This Row],[Comparable '#1 Date Check]]="Pass",INDEX(Comp1[Comparable '#1 Price],MATCH(Benchmark2[[#This Row],[Benchmark '#2 Dates]],Comp1[Comparable '#1 Dates],0)),"-")</f>
        <v>7.67</v>
      </c>
      <c r="H469" s="1" t="str">
        <f>IF(COUNTIF(Comp2[Comparable '#2 Dates],Benchmark2[[#This Row],[Benchmark '#2 Dates]])=1,"Pass","Fail")</f>
        <v>Pass</v>
      </c>
      <c r="I469" s="6">
        <f>IF(Benchmark2[[#This Row],[Comparable '#2 Date Check]]="Pass",INDEX(Comp2[Comparable '#2 Price],MATCH(Benchmark2[[#This Row],[Benchmark '#2 Dates]],Comp2[Comparable '#2 Dates],0)),"-")</f>
        <v>31.73</v>
      </c>
      <c r="J469" s="1" t="str">
        <f>IF(COUNTIF(Comp3[Comparable '#3 Dates],Benchmark2[[#This Row],[Benchmark '#2 Dates]])=1,"Pass","Fail")</f>
        <v>Pass</v>
      </c>
      <c r="K469" s="6">
        <f>IF(Benchmark2[[#This Row],[Comparable '#3 Date Check]]="Pass",INDEX(Comp3[Comparable '#3 Price],MATCH(Benchmark2[[#This Row],[Benchmark '#2 Dates]],Comp3[Comparable '#3 Dates],0)),"-")</f>
        <v>163.88</v>
      </c>
    </row>
    <row r="470" spans="1:11">
      <c r="A470" s="103">
        <v>43965</v>
      </c>
      <c r="B470" s="104">
        <v>10927.4087</v>
      </c>
      <c r="C470" s="4">
        <f t="shared" si="7"/>
        <v>9.0056288108709727E-3</v>
      </c>
      <c r="D470" s="1" t="str">
        <f>IF(COUNTIF(Target1[Target Dates],Benchmark2[[#This Row],[Benchmark '#2 Dates]])=1,"Pass","Fail")</f>
        <v>Pass</v>
      </c>
      <c r="E470" s="6">
        <f>IF(Benchmark2[[#This Row],[Target Date Check]]="Pass",INDEX(Target1[Target Price],MATCH(Benchmark2[[#This Row],[Benchmark '#2 Dates]],Target1[Target Dates],0)),"-")</f>
        <v>22.71</v>
      </c>
      <c r="F470" s="1" t="str">
        <f>IF(COUNTIF(Comp1[Comparable '#1 Dates],Benchmark2[[#This Row],[Benchmark '#2 Dates]])=1,"Pass","Fail")</f>
        <v>Pass</v>
      </c>
      <c r="G470" s="6">
        <f>IF(Benchmark2[[#This Row],[Comparable '#1 Date Check]]="Pass",INDEX(Comp1[Comparable '#1 Price],MATCH(Benchmark2[[#This Row],[Benchmark '#2 Dates]],Comp1[Comparable '#1 Dates],0)),"-")</f>
        <v>8.33</v>
      </c>
      <c r="H470" s="1" t="str">
        <f>IF(COUNTIF(Comp2[Comparable '#2 Dates],Benchmark2[[#This Row],[Benchmark '#2 Dates]])=1,"Pass","Fail")</f>
        <v>Pass</v>
      </c>
      <c r="I470" s="6">
        <f>IF(Benchmark2[[#This Row],[Comparable '#2 Date Check]]="Pass",INDEX(Comp2[Comparable '#2 Price],MATCH(Benchmark2[[#This Row],[Benchmark '#2 Dates]],Comp2[Comparable '#2 Dates],0)),"-")</f>
        <v>31.88</v>
      </c>
      <c r="J470" s="1" t="str">
        <f>IF(COUNTIF(Comp3[Comparable '#3 Dates],Benchmark2[[#This Row],[Benchmark '#2 Dates]])=1,"Pass","Fail")</f>
        <v>Pass</v>
      </c>
      <c r="K470" s="6">
        <f>IF(Benchmark2[[#This Row],[Comparable '#3 Date Check]]="Pass",INDEX(Comp3[Comparable '#3 Price],MATCH(Benchmark2[[#This Row],[Benchmark '#2 Dates]],Comp3[Comparable '#3 Dates],0)),"-")</f>
        <v>162.91999999999999</v>
      </c>
    </row>
    <row r="471" spans="1:11">
      <c r="A471" s="103">
        <v>43966</v>
      </c>
      <c r="B471" s="104">
        <v>10947.3212</v>
      </c>
      <c r="C471" s="4">
        <f t="shared" si="7"/>
        <v>1.820594411097672E-3</v>
      </c>
      <c r="D471" s="1" t="str">
        <f>IF(COUNTIF(Target1[Target Dates],Benchmark2[[#This Row],[Benchmark '#2 Dates]])=1,"Pass","Fail")</f>
        <v>Pass</v>
      </c>
      <c r="E471" s="6">
        <f>IF(Benchmark2[[#This Row],[Target Date Check]]="Pass",INDEX(Target1[Target Price],MATCH(Benchmark2[[#This Row],[Benchmark '#2 Dates]],Target1[Target Dates],0)),"-")</f>
        <v>23.73</v>
      </c>
      <c r="F471" s="1" t="str">
        <f>IF(COUNTIF(Comp1[Comparable '#1 Dates],Benchmark2[[#This Row],[Benchmark '#2 Dates]])=1,"Pass","Fail")</f>
        <v>Pass</v>
      </c>
      <c r="G471" s="6">
        <f>IF(Benchmark2[[#This Row],[Comparable '#1 Date Check]]="Pass",INDEX(Comp1[Comparable '#1 Price],MATCH(Benchmark2[[#This Row],[Benchmark '#2 Dates]],Comp1[Comparable '#1 Dates],0)),"-")</f>
        <v>8.51</v>
      </c>
      <c r="H471" s="1" t="str">
        <f>IF(COUNTIF(Comp2[Comparable '#2 Dates],Benchmark2[[#This Row],[Benchmark '#2 Dates]])=1,"Pass","Fail")</f>
        <v>Pass</v>
      </c>
      <c r="I471" s="6">
        <f>IF(Benchmark2[[#This Row],[Comparable '#2 Date Check]]="Pass",INDEX(Comp2[Comparable '#2 Price],MATCH(Benchmark2[[#This Row],[Benchmark '#2 Dates]],Comp2[Comparable '#2 Dates],0)),"-")</f>
        <v>31.91</v>
      </c>
      <c r="J471" s="1" t="str">
        <f>IF(COUNTIF(Comp3[Comparable '#3 Dates],Benchmark2[[#This Row],[Benchmark '#2 Dates]])=1,"Pass","Fail")</f>
        <v>Pass</v>
      </c>
      <c r="K471" s="6">
        <f>IF(Benchmark2[[#This Row],[Comparable '#3 Date Check]]="Pass",INDEX(Comp3[Comparable '#3 Price],MATCH(Benchmark2[[#This Row],[Benchmark '#2 Dates]],Comp3[Comparable '#3 Dates],0)),"-")</f>
        <v>164.64</v>
      </c>
    </row>
    <row r="472" spans="1:11">
      <c r="A472" s="103">
        <v>43969</v>
      </c>
      <c r="B472" s="104">
        <v>11402.2318</v>
      </c>
      <c r="C472" s="4">
        <f t="shared" si="7"/>
        <v>4.0714321105414598E-2</v>
      </c>
      <c r="D472" s="1" t="str">
        <f>IF(COUNTIF(Target1[Target Dates],Benchmark2[[#This Row],[Benchmark '#2 Dates]])=1,"Pass","Fail")</f>
        <v>Pass</v>
      </c>
      <c r="E472" s="6">
        <f>IF(Benchmark2[[#This Row],[Target Date Check]]="Pass",INDEX(Target1[Target Price],MATCH(Benchmark2[[#This Row],[Benchmark '#2 Dates]],Target1[Target Dates],0)),"-")</f>
        <v>23.38</v>
      </c>
      <c r="F472" s="1" t="str">
        <f>IF(COUNTIF(Comp1[Comparable '#1 Dates],Benchmark2[[#This Row],[Benchmark '#2 Dates]])=1,"Pass","Fail")</f>
        <v>Pass</v>
      </c>
      <c r="G472" s="6">
        <f>IF(Benchmark2[[#This Row],[Comparable '#1 Date Check]]="Pass",INDEX(Comp1[Comparable '#1 Price],MATCH(Benchmark2[[#This Row],[Benchmark '#2 Dates]],Comp1[Comparable '#1 Dates],0)),"-")</f>
        <v>8.9700000000000006</v>
      </c>
      <c r="H472" s="1" t="str">
        <f>IF(COUNTIF(Comp2[Comparable '#2 Dates],Benchmark2[[#This Row],[Benchmark '#2 Dates]])=1,"Pass","Fail")</f>
        <v>Pass</v>
      </c>
      <c r="I472" s="6">
        <f>IF(Benchmark2[[#This Row],[Comparable '#2 Date Check]]="Pass",INDEX(Comp2[Comparable '#2 Price],MATCH(Benchmark2[[#This Row],[Benchmark '#2 Dates]],Comp2[Comparable '#2 Dates],0)),"-")</f>
        <v>32.93</v>
      </c>
      <c r="J472" s="1" t="str">
        <f>IF(COUNTIF(Comp3[Comparable '#3 Dates],Benchmark2[[#This Row],[Benchmark '#2 Dates]])=1,"Pass","Fail")</f>
        <v>Pass</v>
      </c>
      <c r="K472" s="6">
        <f>IF(Benchmark2[[#This Row],[Comparable '#3 Date Check]]="Pass",INDEX(Comp3[Comparable '#3 Price],MATCH(Benchmark2[[#This Row],[Benchmark '#2 Dates]],Comp3[Comparable '#3 Dates],0)),"-")</f>
        <v>169.46</v>
      </c>
    </row>
    <row r="473" spans="1:11">
      <c r="A473" s="103">
        <v>43970</v>
      </c>
      <c r="B473" s="104">
        <v>11248.9745</v>
      </c>
      <c r="C473" s="4">
        <f t="shared" si="7"/>
        <v>-1.3532139229497336E-2</v>
      </c>
      <c r="D473" s="1" t="str">
        <f>IF(COUNTIF(Target1[Target Dates],Benchmark2[[#This Row],[Benchmark '#2 Dates]])=1,"Pass","Fail")</f>
        <v>Pass</v>
      </c>
      <c r="E473" s="6">
        <f>IF(Benchmark2[[#This Row],[Target Date Check]]="Pass",INDEX(Target1[Target Price],MATCH(Benchmark2[[#This Row],[Benchmark '#2 Dates]],Target1[Target Dates],0)),"-")</f>
        <v>23</v>
      </c>
      <c r="F473" s="1" t="str">
        <f>IF(COUNTIF(Comp1[Comparable '#1 Dates],Benchmark2[[#This Row],[Benchmark '#2 Dates]])=1,"Pass","Fail")</f>
        <v>Pass</v>
      </c>
      <c r="G473" s="6">
        <f>IF(Benchmark2[[#This Row],[Comparable '#1 Date Check]]="Pass",INDEX(Comp1[Comparable '#1 Price],MATCH(Benchmark2[[#This Row],[Benchmark '#2 Dates]],Comp1[Comparable '#1 Dates],0)),"-")</f>
        <v>8.7200000000000006</v>
      </c>
      <c r="H473" s="1" t="str">
        <f>IF(COUNTIF(Comp2[Comparable '#2 Dates],Benchmark2[[#This Row],[Benchmark '#2 Dates]])=1,"Pass","Fail")</f>
        <v>Pass</v>
      </c>
      <c r="I473" s="6">
        <f>IF(Benchmark2[[#This Row],[Comparable '#2 Date Check]]="Pass",INDEX(Comp2[Comparable '#2 Price],MATCH(Benchmark2[[#This Row],[Benchmark '#2 Dates]],Comp2[Comparable '#2 Dates],0)),"-")</f>
        <v>31.92</v>
      </c>
      <c r="J473" s="1" t="str">
        <f>IF(COUNTIF(Comp3[Comparable '#3 Dates],Benchmark2[[#This Row],[Benchmark '#2 Dates]])=1,"Pass","Fail")</f>
        <v>Pass</v>
      </c>
      <c r="K473" s="6">
        <f>IF(Benchmark2[[#This Row],[Comparable '#3 Date Check]]="Pass",INDEX(Comp3[Comparable '#3 Price],MATCH(Benchmark2[[#This Row],[Benchmark '#2 Dates]],Comp3[Comparable '#3 Dates],0)),"-")</f>
        <v>166.77</v>
      </c>
    </row>
    <row r="474" spans="1:11">
      <c r="A474" s="103">
        <v>43971</v>
      </c>
      <c r="B474" s="104">
        <v>11420.035</v>
      </c>
      <c r="C474" s="4">
        <f t="shared" si="7"/>
        <v>1.5092300081813049E-2</v>
      </c>
      <c r="D474" s="1" t="str">
        <f>IF(COUNTIF(Target1[Target Dates],Benchmark2[[#This Row],[Benchmark '#2 Dates]])=1,"Pass","Fail")</f>
        <v>Pass</v>
      </c>
      <c r="E474" s="6">
        <f>IF(Benchmark2[[#This Row],[Target Date Check]]="Pass",INDEX(Target1[Target Price],MATCH(Benchmark2[[#This Row],[Benchmark '#2 Dates]],Target1[Target Dates],0)),"-")</f>
        <v>23.59</v>
      </c>
      <c r="F474" s="1" t="str">
        <f>IF(COUNTIF(Comp1[Comparable '#1 Dates],Benchmark2[[#This Row],[Benchmark '#2 Dates]])=1,"Pass","Fail")</f>
        <v>Pass</v>
      </c>
      <c r="G474" s="6">
        <f>IF(Benchmark2[[#This Row],[Comparable '#1 Date Check]]="Pass",INDEX(Comp1[Comparable '#1 Price],MATCH(Benchmark2[[#This Row],[Benchmark '#2 Dates]],Comp1[Comparable '#1 Dates],0)),"-")</f>
        <v>8.93</v>
      </c>
      <c r="H474" s="1" t="str">
        <f>IF(COUNTIF(Comp2[Comparable '#2 Dates],Benchmark2[[#This Row],[Benchmark '#2 Dates]])=1,"Pass","Fail")</f>
        <v>Pass</v>
      </c>
      <c r="I474" s="6">
        <f>IF(Benchmark2[[#This Row],[Comparable '#2 Date Check]]="Pass",INDEX(Comp2[Comparable '#2 Price],MATCH(Benchmark2[[#This Row],[Benchmark '#2 Dates]],Comp2[Comparable '#2 Dates],0)),"-")</f>
        <v>32.659999999999997</v>
      </c>
      <c r="J474" s="1" t="str">
        <f>IF(COUNTIF(Comp3[Comparable '#3 Dates],Benchmark2[[#This Row],[Benchmark '#2 Dates]])=1,"Pass","Fail")</f>
        <v>Pass</v>
      </c>
      <c r="K474" s="6">
        <f>IF(Benchmark2[[#This Row],[Comparable '#3 Date Check]]="Pass",INDEX(Comp3[Comparable '#3 Price],MATCH(Benchmark2[[#This Row],[Benchmark '#2 Dates]],Comp3[Comparable '#3 Dates],0)),"-")</f>
        <v>168.14</v>
      </c>
    </row>
    <row r="475" spans="1:11">
      <c r="A475" s="103">
        <v>43972</v>
      </c>
      <c r="B475" s="104">
        <v>11351.597100000001</v>
      </c>
      <c r="C475" s="4">
        <f t="shared" si="7"/>
        <v>-6.0108213372050854E-3</v>
      </c>
      <c r="D475" s="1" t="str">
        <f>IF(COUNTIF(Target1[Target Dates],Benchmark2[[#This Row],[Benchmark '#2 Dates]])=1,"Pass","Fail")</f>
        <v>Pass</v>
      </c>
      <c r="E475" s="6">
        <f>IF(Benchmark2[[#This Row],[Target Date Check]]="Pass",INDEX(Target1[Target Price],MATCH(Benchmark2[[#This Row],[Benchmark '#2 Dates]],Target1[Target Dates],0)),"-")</f>
        <v>24.05</v>
      </c>
      <c r="F475" s="1" t="str">
        <f>IF(COUNTIF(Comp1[Comparable '#1 Dates],Benchmark2[[#This Row],[Benchmark '#2 Dates]])=1,"Pass","Fail")</f>
        <v>Pass</v>
      </c>
      <c r="G475" s="6">
        <f>IF(Benchmark2[[#This Row],[Comparable '#1 Date Check]]="Pass",INDEX(Comp1[Comparable '#1 Price],MATCH(Benchmark2[[#This Row],[Benchmark '#2 Dates]],Comp1[Comparable '#1 Dates],0)),"-")</f>
        <v>9.1300000000000008</v>
      </c>
      <c r="H475" s="1" t="str">
        <f>IF(COUNTIF(Comp2[Comparable '#2 Dates],Benchmark2[[#This Row],[Benchmark '#2 Dates]])=1,"Pass","Fail")</f>
        <v>Pass</v>
      </c>
      <c r="I475" s="6">
        <f>IF(Benchmark2[[#This Row],[Comparable '#2 Date Check]]="Pass",INDEX(Comp2[Comparable '#2 Price],MATCH(Benchmark2[[#This Row],[Benchmark '#2 Dates]],Comp2[Comparable '#2 Dates],0)),"-")</f>
        <v>32.72</v>
      </c>
      <c r="J475" s="1" t="str">
        <f>IF(COUNTIF(Comp3[Comparable '#3 Dates],Benchmark2[[#This Row],[Benchmark '#2 Dates]])=1,"Pass","Fail")</f>
        <v>Pass</v>
      </c>
      <c r="K475" s="6">
        <f>IF(Benchmark2[[#This Row],[Comparable '#3 Date Check]]="Pass",INDEX(Comp3[Comparable '#3 Price],MATCH(Benchmark2[[#This Row],[Benchmark '#2 Dates]],Comp3[Comparable '#3 Dates],0)),"-")</f>
        <v>169.2</v>
      </c>
    </row>
    <row r="476" spans="1:11">
      <c r="A476" s="103">
        <v>43973</v>
      </c>
      <c r="B476" s="104">
        <v>11331.967500000001</v>
      </c>
      <c r="C476" s="4">
        <f t="shared" si="7"/>
        <v>-1.730733704872709E-3</v>
      </c>
      <c r="D476" s="1" t="str">
        <f>IF(COUNTIF(Target1[Target Dates],Benchmark2[[#This Row],[Benchmark '#2 Dates]])=1,"Pass","Fail")</f>
        <v>Pass</v>
      </c>
      <c r="E476" s="6">
        <f>IF(Benchmark2[[#This Row],[Target Date Check]]="Pass",INDEX(Target1[Target Price],MATCH(Benchmark2[[#This Row],[Benchmark '#2 Dates]],Target1[Target Dates],0)),"-")</f>
        <v>24.41</v>
      </c>
      <c r="F476" s="1" t="str">
        <f>IF(COUNTIF(Comp1[Comparable '#1 Dates],Benchmark2[[#This Row],[Benchmark '#2 Dates]])=1,"Pass","Fail")</f>
        <v>Pass</v>
      </c>
      <c r="G476" s="6">
        <f>IF(Benchmark2[[#This Row],[Comparable '#1 Date Check]]="Pass",INDEX(Comp1[Comparable '#1 Price],MATCH(Benchmark2[[#This Row],[Benchmark '#2 Dates]],Comp1[Comparable '#1 Dates],0)),"-")</f>
        <v>9.06</v>
      </c>
      <c r="H476" s="1" t="str">
        <f>IF(COUNTIF(Comp2[Comparable '#2 Dates],Benchmark2[[#This Row],[Benchmark '#2 Dates]])=1,"Pass","Fail")</f>
        <v>Pass</v>
      </c>
      <c r="I476" s="6">
        <f>IF(Benchmark2[[#This Row],[Comparable '#2 Date Check]]="Pass",INDEX(Comp2[Comparable '#2 Price],MATCH(Benchmark2[[#This Row],[Benchmark '#2 Dates]],Comp2[Comparable '#2 Dates],0)),"-")</f>
        <v>32.96</v>
      </c>
      <c r="J476" s="1" t="str">
        <f>IF(COUNTIF(Comp3[Comparable '#3 Dates],Benchmark2[[#This Row],[Benchmark '#2 Dates]])=1,"Pass","Fail")</f>
        <v>Pass</v>
      </c>
      <c r="K476" s="6">
        <f>IF(Benchmark2[[#This Row],[Comparable '#3 Date Check]]="Pass",INDEX(Comp3[Comparable '#3 Price],MATCH(Benchmark2[[#This Row],[Benchmark '#2 Dates]],Comp3[Comparable '#3 Dates],0)),"-")</f>
        <v>169.61</v>
      </c>
    </row>
    <row r="477" spans="1:11">
      <c r="A477" s="103">
        <v>43977</v>
      </c>
      <c r="B477" s="104">
        <v>11602.9967</v>
      </c>
      <c r="C477" s="4">
        <f t="shared" si="7"/>
        <v>2.3635686976474741E-2</v>
      </c>
      <c r="D477" s="1" t="str">
        <f>IF(COUNTIF(Target1[Target Dates],Benchmark2[[#This Row],[Benchmark '#2 Dates]])=1,"Pass","Fail")</f>
        <v>Pass</v>
      </c>
      <c r="E477" s="6">
        <f>IF(Benchmark2[[#This Row],[Target Date Check]]="Pass",INDEX(Target1[Target Price],MATCH(Benchmark2[[#This Row],[Benchmark '#2 Dates]],Target1[Target Dates],0)),"-")</f>
        <v>24.33</v>
      </c>
      <c r="F477" s="1" t="str">
        <f>IF(COUNTIF(Comp1[Comparable '#1 Dates],Benchmark2[[#This Row],[Benchmark '#2 Dates]])=1,"Pass","Fail")</f>
        <v>Pass</v>
      </c>
      <c r="G477" s="6">
        <f>IF(Benchmark2[[#This Row],[Comparable '#1 Date Check]]="Pass",INDEX(Comp1[Comparable '#1 Price],MATCH(Benchmark2[[#This Row],[Benchmark '#2 Dates]],Comp1[Comparable '#1 Dates],0)),"-")</f>
        <v>9.7050000000000001</v>
      </c>
      <c r="H477" s="1" t="str">
        <f>IF(COUNTIF(Comp2[Comparable '#2 Dates],Benchmark2[[#This Row],[Benchmark '#2 Dates]])=1,"Pass","Fail")</f>
        <v>Pass</v>
      </c>
      <c r="I477" s="6">
        <f>IF(Benchmark2[[#This Row],[Comparable '#2 Date Check]]="Pass",INDEX(Comp2[Comparable '#2 Price],MATCH(Benchmark2[[#This Row],[Benchmark '#2 Dates]],Comp2[Comparable '#2 Dates],0)),"-")</f>
        <v>33.15</v>
      </c>
      <c r="J477" s="1" t="str">
        <f>IF(COUNTIF(Comp3[Comparable '#3 Dates],Benchmark2[[#This Row],[Benchmark '#2 Dates]])=1,"Pass","Fail")</f>
        <v>Pass</v>
      </c>
      <c r="K477" s="6">
        <f>IF(Benchmark2[[#This Row],[Comparable '#3 Date Check]]="Pass",INDEX(Comp3[Comparable '#3 Price],MATCH(Benchmark2[[#This Row],[Benchmark '#2 Dates]],Comp3[Comparable '#3 Dates],0)),"-")</f>
        <v>170.98</v>
      </c>
    </row>
    <row r="478" spans="1:11">
      <c r="A478" s="103">
        <v>43978</v>
      </c>
      <c r="B478" s="104">
        <v>11837.5311</v>
      </c>
      <c r="C478" s="4">
        <f t="shared" si="7"/>
        <v>2.0011684796510179E-2</v>
      </c>
      <c r="D478" s="1" t="str">
        <f>IF(COUNTIF(Target1[Target Dates],Benchmark2[[#This Row],[Benchmark '#2 Dates]])=1,"Pass","Fail")</f>
        <v>Pass</v>
      </c>
      <c r="E478" s="6">
        <f>IF(Benchmark2[[#This Row],[Target Date Check]]="Pass",INDEX(Target1[Target Price],MATCH(Benchmark2[[#This Row],[Benchmark '#2 Dates]],Target1[Target Dates],0)),"-")</f>
        <v>24.22</v>
      </c>
      <c r="F478" s="1" t="str">
        <f>IF(COUNTIF(Comp1[Comparable '#1 Dates],Benchmark2[[#This Row],[Benchmark '#2 Dates]])=1,"Pass","Fail")</f>
        <v>Pass</v>
      </c>
      <c r="G478" s="6">
        <f>IF(Benchmark2[[#This Row],[Comparable '#1 Date Check]]="Pass",INDEX(Comp1[Comparable '#1 Price],MATCH(Benchmark2[[#This Row],[Benchmark '#2 Dates]],Comp1[Comparable '#1 Dates],0)),"-")</f>
        <v>10.19</v>
      </c>
      <c r="H478" s="1" t="str">
        <f>IF(COUNTIF(Comp2[Comparable '#2 Dates],Benchmark2[[#This Row],[Benchmark '#2 Dates]])=1,"Pass","Fail")</f>
        <v>Pass</v>
      </c>
      <c r="I478" s="6">
        <f>IF(Benchmark2[[#This Row],[Comparable '#2 Date Check]]="Pass",INDEX(Comp2[Comparable '#2 Price],MATCH(Benchmark2[[#This Row],[Benchmark '#2 Dates]],Comp2[Comparable '#2 Dates],0)),"-")</f>
        <v>33.700000000000003</v>
      </c>
      <c r="J478" s="1" t="str">
        <f>IF(COUNTIF(Comp3[Comparable '#3 Dates],Benchmark2[[#This Row],[Benchmark '#2 Dates]])=1,"Pass","Fail")</f>
        <v>Pass</v>
      </c>
      <c r="K478" s="6">
        <f>IF(Benchmark2[[#This Row],[Comparable '#3 Date Check]]="Pass",INDEX(Comp3[Comparable '#3 Price],MATCH(Benchmark2[[#This Row],[Benchmark '#2 Dates]],Comp3[Comparable '#3 Dates],0)),"-")</f>
        <v>176.22</v>
      </c>
    </row>
    <row r="479" spans="1:11">
      <c r="A479" s="103">
        <v>43979</v>
      </c>
      <c r="B479" s="104">
        <v>11804.914500000001</v>
      </c>
      <c r="C479" s="4">
        <f t="shared" si="7"/>
        <v>-2.7591579351995857E-3</v>
      </c>
      <c r="D479" s="1" t="str">
        <f>IF(COUNTIF(Target1[Target Dates],Benchmark2[[#This Row],[Benchmark '#2 Dates]])=1,"Pass","Fail")</f>
        <v>Pass</v>
      </c>
      <c r="E479" s="6">
        <f>IF(Benchmark2[[#This Row],[Target Date Check]]="Pass",INDEX(Target1[Target Price],MATCH(Benchmark2[[#This Row],[Benchmark '#2 Dates]],Target1[Target Dates],0)),"-")</f>
        <v>24.19</v>
      </c>
      <c r="F479" s="1" t="str">
        <f>IF(COUNTIF(Comp1[Comparable '#1 Dates],Benchmark2[[#This Row],[Benchmark '#2 Dates]])=1,"Pass","Fail")</f>
        <v>Pass</v>
      </c>
      <c r="G479" s="6">
        <f>IF(Benchmark2[[#This Row],[Comparable '#1 Date Check]]="Pass",INDEX(Comp1[Comparable '#1 Price],MATCH(Benchmark2[[#This Row],[Benchmark '#2 Dates]],Comp1[Comparable '#1 Dates],0)),"-")</f>
        <v>9.94</v>
      </c>
      <c r="H479" s="1" t="str">
        <f>IF(COUNTIF(Comp2[Comparable '#2 Dates],Benchmark2[[#This Row],[Benchmark '#2 Dates]])=1,"Pass","Fail")</f>
        <v>Pass</v>
      </c>
      <c r="I479" s="6">
        <f>IF(Benchmark2[[#This Row],[Comparable '#2 Date Check]]="Pass",INDEX(Comp2[Comparable '#2 Price],MATCH(Benchmark2[[#This Row],[Benchmark '#2 Dates]],Comp2[Comparable '#2 Dates],0)),"-")</f>
        <v>33.54</v>
      </c>
      <c r="J479" s="1" t="str">
        <f>IF(COUNTIF(Comp3[Comparable '#3 Dates],Benchmark2[[#This Row],[Benchmark '#2 Dates]])=1,"Pass","Fail")</f>
        <v>Pass</v>
      </c>
      <c r="K479" s="6">
        <f>IF(Benchmark2[[#This Row],[Comparable '#3 Date Check]]="Pass",INDEX(Comp3[Comparable '#3 Price],MATCH(Benchmark2[[#This Row],[Benchmark '#2 Dates]],Comp3[Comparable '#3 Dates],0)),"-")</f>
        <v>170.48</v>
      </c>
    </row>
    <row r="480" spans="1:11">
      <c r="A480" s="103">
        <v>43980</v>
      </c>
      <c r="B480" s="104">
        <v>11802.945</v>
      </c>
      <c r="C480" s="4">
        <f t="shared" si="7"/>
        <v>-1.6685121364524839E-4</v>
      </c>
      <c r="D480" s="1" t="str">
        <f>IF(COUNTIF(Target1[Target Dates],Benchmark2[[#This Row],[Benchmark '#2 Dates]])=1,"Pass","Fail")</f>
        <v>Pass</v>
      </c>
      <c r="E480" s="6">
        <f>IF(Benchmark2[[#This Row],[Target Date Check]]="Pass",INDEX(Target1[Target Price],MATCH(Benchmark2[[#This Row],[Benchmark '#2 Dates]],Target1[Target Dates],0)),"-")</f>
        <v>24.62</v>
      </c>
      <c r="F480" s="1" t="str">
        <f>IF(COUNTIF(Comp1[Comparable '#1 Dates],Benchmark2[[#This Row],[Benchmark '#2 Dates]])=1,"Pass","Fail")</f>
        <v>Pass</v>
      </c>
      <c r="G480" s="6">
        <f>IF(Benchmark2[[#This Row],[Comparable '#1 Date Check]]="Pass",INDEX(Comp1[Comparable '#1 Price],MATCH(Benchmark2[[#This Row],[Benchmark '#2 Dates]],Comp1[Comparable '#1 Dates],0)),"-")</f>
        <v>9.73</v>
      </c>
      <c r="H480" s="1" t="str">
        <f>IF(COUNTIF(Comp2[Comparable '#2 Dates],Benchmark2[[#This Row],[Benchmark '#2 Dates]])=1,"Pass","Fail")</f>
        <v>Pass</v>
      </c>
      <c r="I480" s="6">
        <f>IF(Benchmark2[[#This Row],[Comparable '#2 Date Check]]="Pass",INDEX(Comp2[Comparable '#2 Price],MATCH(Benchmark2[[#This Row],[Benchmark '#2 Dates]],Comp2[Comparable '#2 Dates],0)),"-")</f>
        <v>33.46</v>
      </c>
      <c r="J480" s="1" t="str">
        <f>IF(COUNTIF(Comp3[Comparable '#3 Dates],Benchmark2[[#This Row],[Benchmark '#2 Dates]])=1,"Pass","Fail")</f>
        <v>Pass</v>
      </c>
      <c r="K480" s="6">
        <f>IF(Benchmark2[[#This Row],[Comparable '#3 Date Check]]="Pass",INDEX(Comp3[Comparable '#3 Price],MATCH(Benchmark2[[#This Row],[Benchmark '#2 Dates]],Comp3[Comparable '#3 Dates],0)),"-")</f>
        <v>169.63</v>
      </c>
    </row>
    <row r="481" spans="1:11">
      <c r="A481" s="103">
        <v>43983</v>
      </c>
      <c r="B481" s="104">
        <v>11900.242399999999</v>
      </c>
      <c r="C481" s="4">
        <f t="shared" si="7"/>
        <v>8.2096930540933536E-3</v>
      </c>
      <c r="D481" s="1" t="str">
        <f>IF(COUNTIF(Target1[Target Dates],Benchmark2[[#This Row],[Benchmark '#2 Dates]])=1,"Pass","Fail")</f>
        <v>Pass</v>
      </c>
      <c r="E481" s="6">
        <f>IF(Benchmark2[[#This Row],[Target Date Check]]="Pass",INDEX(Target1[Target Price],MATCH(Benchmark2[[#This Row],[Benchmark '#2 Dates]],Target1[Target Dates],0)),"-")</f>
        <v>25.26</v>
      </c>
      <c r="F481" s="1" t="str">
        <f>IF(COUNTIF(Comp1[Comparable '#1 Dates],Benchmark2[[#This Row],[Benchmark '#2 Dates]])=1,"Pass","Fail")</f>
        <v>Pass</v>
      </c>
      <c r="G481" s="6">
        <f>IF(Benchmark2[[#This Row],[Comparable '#1 Date Check]]="Pass",INDEX(Comp1[Comparable '#1 Price],MATCH(Benchmark2[[#This Row],[Benchmark '#2 Dates]],Comp1[Comparable '#1 Dates],0)),"-")</f>
        <v>10.01</v>
      </c>
      <c r="H481" s="1" t="str">
        <f>IF(COUNTIF(Comp2[Comparable '#2 Dates],Benchmark2[[#This Row],[Benchmark '#2 Dates]])=1,"Pass","Fail")</f>
        <v>Pass</v>
      </c>
      <c r="I481" s="6">
        <f>IF(Benchmark2[[#This Row],[Comparable '#2 Date Check]]="Pass",INDEX(Comp2[Comparable '#2 Price],MATCH(Benchmark2[[#This Row],[Benchmark '#2 Dates]],Comp2[Comparable '#2 Dates],0)),"-")</f>
        <v>34.03</v>
      </c>
      <c r="J481" s="1" t="str">
        <f>IF(COUNTIF(Comp3[Comparable '#3 Dates],Benchmark2[[#This Row],[Benchmark '#2 Dates]])=1,"Pass","Fail")</f>
        <v>Pass</v>
      </c>
      <c r="K481" s="6">
        <f>IF(Benchmark2[[#This Row],[Comparable '#3 Date Check]]="Pass",INDEX(Comp3[Comparable '#3 Price],MATCH(Benchmark2[[#This Row],[Benchmark '#2 Dates]],Comp3[Comparable '#3 Dates],0)),"-")</f>
        <v>172.54</v>
      </c>
    </row>
    <row r="482" spans="1:11">
      <c r="A482" s="103">
        <v>43984</v>
      </c>
      <c r="B482" s="104">
        <v>12046.4069</v>
      </c>
      <c r="C482" s="4">
        <f t="shared" si="7"/>
        <v>1.2207663240864888E-2</v>
      </c>
      <c r="D482" s="1" t="str">
        <f>IF(COUNTIF(Target1[Target Dates],Benchmark2[[#This Row],[Benchmark '#2 Dates]])=1,"Pass","Fail")</f>
        <v>Pass</v>
      </c>
      <c r="E482" s="6">
        <f>IF(Benchmark2[[#This Row],[Target Date Check]]="Pass",INDEX(Target1[Target Price],MATCH(Benchmark2[[#This Row],[Benchmark '#2 Dates]],Target1[Target Dates],0)),"-")</f>
        <v>25.94</v>
      </c>
      <c r="F482" s="1" t="str">
        <f>IF(COUNTIF(Comp1[Comparable '#1 Dates],Benchmark2[[#This Row],[Benchmark '#2 Dates]])=1,"Pass","Fail")</f>
        <v>Pass</v>
      </c>
      <c r="G482" s="6">
        <f>IF(Benchmark2[[#This Row],[Comparable '#1 Date Check]]="Pass",INDEX(Comp1[Comparable '#1 Price],MATCH(Benchmark2[[#This Row],[Benchmark '#2 Dates]],Comp1[Comparable '#1 Dates],0)),"-")</f>
        <v>10.130000000000001</v>
      </c>
      <c r="H482" s="1" t="str">
        <f>IF(COUNTIF(Comp2[Comparable '#2 Dates],Benchmark2[[#This Row],[Benchmark '#2 Dates]])=1,"Pass","Fail")</f>
        <v>Pass</v>
      </c>
      <c r="I482" s="6">
        <f>IF(Benchmark2[[#This Row],[Comparable '#2 Date Check]]="Pass",INDEX(Comp2[Comparable '#2 Price],MATCH(Benchmark2[[#This Row],[Benchmark '#2 Dates]],Comp2[Comparable '#2 Dates],0)),"-")</f>
        <v>34.29</v>
      </c>
      <c r="J482" s="1" t="str">
        <f>IF(COUNTIF(Comp3[Comparable '#3 Dates],Benchmark2[[#This Row],[Benchmark '#2 Dates]])=1,"Pass","Fail")</f>
        <v>Pass</v>
      </c>
      <c r="K482" s="6">
        <f>IF(Benchmark2[[#This Row],[Comparable '#3 Date Check]]="Pass",INDEX(Comp3[Comparable '#3 Price],MATCH(Benchmark2[[#This Row],[Benchmark '#2 Dates]],Comp3[Comparable '#3 Dates],0)),"-")</f>
        <v>171.84</v>
      </c>
    </row>
    <row r="483" spans="1:11">
      <c r="A483" s="103">
        <v>43985</v>
      </c>
      <c r="B483" s="104">
        <v>12302.192300000001</v>
      </c>
      <c r="C483" s="4">
        <f t="shared" si="7"/>
        <v>2.1011049369834226E-2</v>
      </c>
      <c r="D483" s="1" t="str">
        <f>IF(COUNTIF(Target1[Target Dates],Benchmark2[[#This Row],[Benchmark '#2 Dates]])=1,"Pass","Fail")</f>
        <v>Pass</v>
      </c>
      <c r="E483" s="6">
        <f>IF(Benchmark2[[#This Row],[Target Date Check]]="Pass",INDEX(Target1[Target Price],MATCH(Benchmark2[[#This Row],[Benchmark '#2 Dates]],Target1[Target Dates],0)),"-")</f>
        <v>26.03</v>
      </c>
      <c r="F483" s="1" t="str">
        <f>IF(COUNTIF(Comp1[Comparable '#1 Dates],Benchmark2[[#This Row],[Benchmark '#2 Dates]])=1,"Pass","Fail")</f>
        <v>Pass</v>
      </c>
      <c r="G483" s="6">
        <f>IF(Benchmark2[[#This Row],[Comparable '#1 Date Check]]="Pass",INDEX(Comp1[Comparable '#1 Price],MATCH(Benchmark2[[#This Row],[Benchmark '#2 Dates]],Comp1[Comparable '#1 Dates],0)),"-")</f>
        <v>10.85</v>
      </c>
      <c r="H483" s="1" t="str">
        <f>IF(COUNTIF(Comp2[Comparable '#2 Dates],Benchmark2[[#This Row],[Benchmark '#2 Dates]])=1,"Pass","Fail")</f>
        <v>Pass</v>
      </c>
      <c r="I483" s="6">
        <f>IF(Benchmark2[[#This Row],[Comparable '#2 Date Check]]="Pass",INDEX(Comp2[Comparable '#2 Price],MATCH(Benchmark2[[#This Row],[Benchmark '#2 Dates]],Comp2[Comparable '#2 Dates],0)),"-")</f>
        <v>35.21</v>
      </c>
      <c r="J483" s="1" t="str">
        <f>IF(COUNTIF(Comp3[Comparable '#3 Dates],Benchmark2[[#This Row],[Benchmark '#2 Dates]])=1,"Pass","Fail")</f>
        <v>Pass</v>
      </c>
      <c r="K483" s="6">
        <f>IF(Benchmark2[[#This Row],[Comparable '#3 Date Check]]="Pass",INDEX(Comp3[Comparable '#3 Price],MATCH(Benchmark2[[#This Row],[Benchmark '#2 Dates]],Comp3[Comparable '#3 Dates],0)),"-")</f>
        <v>175.28</v>
      </c>
    </row>
    <row r="484" spans="1:11">
      <c r="A484" s="103">
        <v>43986</v>
      </c>
      <c r="B484" s="104">
        <v>12286.9791</v>
      </c>
      <c r="C484" s="4">
        <f t="shared" si="7"/>
        <v>-1.2373903694145635E-3</v>
      </c>
      <c r="D484" s="1" t="str">
        <f>IF(COUNTIF(Target1[Target Dates],Benchmark2[[#This Row],[Benchmark '#2 Dates]])=1,"Pass","Fail")</f>
        <v>Pass</v>
      </c>
      <c r="E484" s="6">
        <f>IF(Benchmark2[[#This Row],[Target Date Check]]="Pass",INDEX(Target1[Target Price],MATCH(Benchmark2[[#This Row],[Benchmark '#2 Dates]],Target1[Target Dates],0)),"-")</f>
        <v>26.65</v>
      </c>
      <c r="F484" s="1" t="str">
        <f>IF(COUNTIF(Comp1[Comparable '#1 Dates],Benchmark2[[#This Row],[Benchmark '#2 Dates]])=1,"Pass","Fail")</f>
        <v>Pass</v>
      </c>
      <c r="G484" s="6">
        <f>IF(Benchmark2[[#This Row],[Comparable '#1 Date Check]]="Pass",INDEX(Comp1[Comparable '#1 Price],MATCH(Benchmark2[[#This Row],[Benchmark '#2 Dates]],Comp1[Comparable '#1 Dates],0)),"-")</f>
        <v>11.055</v>
      </c>
      <c r="H484" s="1" t="str">
        <f>IF(COUNTIF(Comp2[Comparable '#2 Dates],Benchmark2[[#This Row],[Benchmark '#2 Dates]])=1,"Pass","Fail")</f>
        <v>Pass</v>
      </c>
      <c r="I484" s="6">
        <f>IF(Benchmark2[[#This Row],[Comparable '#2 Date Check]]="Pass",INDEX(Comp2[Comparable '#2 Price],MATCH(Benchmark2[[#This Row],[Benchmark '#2 Dates]],Comp2[Comparable '#2 Dates],0)),"-")</f>
        <v>35.19</v>
      </c>
      <c r="J484" s="1" t="str">
        <f>IF(COUNTIF(Comp3[Comparable '#3 Dates],Benchmark2[[#This Row],[Benchmark '#2 Dates]])=1,"Pass","Fail")</f>
        <v>Pass</v>
      </c>
      <c r="K484" s="6">
        <f>IF(Benchmark2[[#This Row],[Comparable '#3 Date Check]]="Pass",INDEX(Comp3[Comparable '#3 Price],MATCH(Benchmark2[[#This Row],[Benchmark '#2 Dates]],Comp3[Comparable '#3 Dates],0)),"-")</f>
        <v>179.07</v>
      </c>
    </row>
    <row r="485" spans="1:11">
      <c r="A485" s="103">
        <v>43987</v>
      </c>
      <c r="B485" s="104">
        <v>12641.4391</v>
      </c>
      <c r="C485" s="4">
        <f t="shared" si="7"/>
        <v>2.8440143186862023E-2</v>
      </c>
      <c r="D485" s="1" t="str">
        <f>IF(COUNTIF(Target1[Target Dates],Benchmark2[[#This Row],[Benchmark '#2 Dates]])=1,"Pass","Fail")</f>
        <v>Pass</v>
      </c>
      <c r="E485" s="6">
        <f>IF(Benchmark2[[#This Row],[Target Date Check]]="Pass",INDEX(Target1[Target Price],MATCH(Benchmark2[[#This Row],[Benchmark '#2 Dates]],Target1[Target Dates],0)),"-")</f>
        <v>27.05</v>
      </c>
      <c r="F485" s="1" t="str">
        <f>IF(COUNTIF(Comp1[Comparable '#1 Dates],Benchmark2[[#This Row],[Benchmark '#2 Dates]])=1,"Pass","Fail")</f>
        <v>Pass</v>
      </c>
      <c r="G485" s="6">
        <f>IF(Benchmark2[[#This Row],[Comparable '#1 Date Check]]="Pass",INDEX(Comp1[Comparable '#1 Price],MATCH(Benchmark2[[#This Row],[Benchmark '#2 Dates]],Comp1[Comparable '#1 Dates],0)),"-")</f>
        <v>11.45</v>
      </c>
      <c r="H485" s="1" t="str">
        <f>IF(COUNTIF(Comp2[Comparable '#2 Dates],Benchmark2[[#This Row],[Benchmark '#2 Dates]])=1,"Pass","Fail")</f>
        <v>Pass</v>
      </c>
      <c r="I485" s="6">
        <f>IF(Benchmark2[[#This Row],[Comparable '#2 Date Check]]="Pass",INDEX(Comp2[Comparable '#2 Price],MATCH(Benchmark2[[#This Row],[Benchmark '#2 Dates]],Comp2[Comparable '#2 Dates],0)),"-")</f>
        <v>35.89</v>
      </c>
      <c r="J485" s="1" t="str">
        <f>IF(COUNTIF(Comp3[Comparable '#3 Dates],Benchmark2[[#This Row],[Benchmark '#2 Dates]])=1,"Pass","Fail")</f>
        <v>Pass</v>
      </c>
      <c r="K485" s="6">
        <f>IF(Benchmark2[[#This Row],[Comparable '#3 Date Check]]="Pass",INDEX(Comp3[Comparable '#3 Price],MATCH(Benchmark2[[#This Row],[Benchmark '#2 Dates]],Comp3[Comparable '#3 Dates],0)),"-")</f>
        <v>183.6</v>
      </c>
    </row>
    <row r="486" spans="1:11">
      <c r="A486" s="103">
        <v>43990</v>
      </c>
      <c r="B486" s="104">
        <v>12836.593999999999</v>
      </c>
      <c r="C486" s="4">
        <f t="shared" si="7"/>
        <v>1.5319763189308781E-2</v>
      </c>
      <c r="D486" s="1" t="str">
        <f>IF(COUNTIF(Target1[Target Dates],Benchmark2[[#This Row],[Benchmark '#2 Dates]])=1,"Pass","Fail")</f>
        <v>Pass</v>
      </c>
      <c r="E486" s="6">
        <f>IF(Benchmark2[[#This Row],[Target Date Check]]="Pass",INDEX(Target1[Target Price],MATCH(Benchmark2[[#This Row],[Benchmark '#2 Dates]],Target1[Target Dates],0)),"-")</f>
        <v>27.98</v>
      </c>
      <c r="F486" s="1" t="str">
        <f>IF(COUNTIF(Comp1[Comparable '#1 Dates],Benchmark2[[#This Row],[Benchmark '#2 Dates]])=1,"Pass","Fail")</f>
        <v>Pass</v>
      </c>
      <c r="G486" s="6">
        <f>IF(Benchmark2[[#This Row],[Comparable '#1 Date Check]]="Pass",INDEX(Comp1[Comparable '#1 Price],MATCH(Benchmark2[[#This Row],[Benchmark '#2 Dates]],Comp1[Comparable '#1 Dates],0)),"-")</f>
        <v>11.98</v>
      </c>
      <c r="H486" s="1" t="str">
        <f>IF(COUNTIF(Comp2[Comparable '#2 Dates],Benchmark2[[#This Row],[Benchmark '#2 Dates]])=1,"Pass","Fail")</f>
        <v>Pass</v>
      </c>
      <c r="I486" s="6">
        <f>IF(Benchmark2[[#This Row],[Comparable '#2 Date Check]]="Pass",INDEX(Comp2[Comparable '#2 Price],MATCH(Benchmark2[[#This Row],[Benchmark '#2 Dates]],Comp2[Comparable '#2 Dates],0)),"-")</f>
        <v>35.840000000000003</v>
      </c>
      <c r="J486" s="1" t="str">
        <f>IF(COUNTIF(Comp3[Comparable '#3 Dates],Benchmark2[[#This Row],[Benchmark '#2 Dates]])=1,"Pass","Fail")</f>
        <v>Pass</v>
      </c>
      <c r="K486" s="6">
        <f>IF(Benchmark2[[#This Row],[Comparable '#3 Date Check]]="Pass",INDEX(Comp3[Comparable '#3 Price],MATCH(Benchmark2[[#This Row],[Benchmark '#2 Dates]],Comp3[Comparable '#3 Dates],0)),"-")</f>
        <v>184.48</v>
      </c>
    </row>
    <row r="487" spans="1:11">
      <c r="A487" s="103">
        <v>43991</v>
      </c>
      <c r="B487" s="104">
        <v>12619.516</v>
      </c>
      <c r="C487" s="4">
        <f t="shared" si="7"/>
        <v>-1.7055493720264624E-2</v>
      </c>
      <c r="D487" s="1" t="str">
        <f>IF(COUNTIF(Target1[Target Dates],Benchmark2[[#This Row],[Benchmark '#2 Dates]])=1,"Pass","Fail")</f>
        <v>Pass</v>
      </c>
      <c r="E487" s="6">
        <f>IF(Benchmark2[[#This Row],[Target Date Check]]="Pass",INDEX(Target1[Target Price],MATCH(Benchmark2[[#This Row],[Benchmark '#2 Dates]],Target1[Target Dates],0)),"-")</f>
        <v>26.84</v>
      </c>
      <c r="F487" s="1" t="str">
        <f>IF(COUNTIF(Comp1[Comparable '#1 Dates],Benchmark2[[#This Row],[Benchmark '#2 Dates]])=1,"Pass","Fail")</f>
        <v>Pass</v>
      </c>
      <c r="G487" s="6">
        <f>IF(Benchmark2[[#This Row],[Comparable '#1 Date Check]]="Pass",INDEX(Comp1[Comparable '#1 Price],MATCH(Benchmark2[[#This Row],[Benchmark '#2 Dates]],Comp1[Comparable '#1 Dates],0)),"-")</f>
        <v>11.664999999999999</v>
      </c>
      <c r="H487" s="1" t="str">
        <f>IF(COUNTIF(Comp2[Comparable '#2 Dates],Benchmark2[[#This Row],[Benchmark '#2 Dates]])=1,"Pass","Fail")</f>
        <v>Pass</v>
      </c>
      <c r="I487" s="6">
        <f>IF(Benchmark2[[#This Row],[Comparable '#2 Date Check]]="Pass",INDEX(Comp2[Comparable '#2 Price],MATCH(Benchmark2[[#This Row],[Benchmark '#2 Dates]],Comp2[Comparable '#2 Dates],0)),"-")</f>
        <v>36.4</v>
      </c>
      <c r="J487" s="1" t="str">
        <f>IF(COUNTIF(Comp3[Comparable '#3 Dates],Benchmark2[[#This Row],[Benchmark '#2 Dates]])=1,"Pass","Fail")</f>
        <v>Pass</v>
      </c>
      <c r="K487" s="6">
        <f>IF(Benchmark2[[#This Row],[Comparable '#3 Date Check]]="Pass",INDEX(Comp3[Comparable '#3 Price],MATCH(Benchmark2[[#This Row],[Benchmark '#2 Dates]],Comp3[Comparable '#3 Dates],0)),"-")</f>
        <v>179.93</v>
      </c>
    </row>
    <row r="488" spans="1:11">
      <c r="A488" s="103">
        <v>43992</v>
      </c>
      <c r="B488" s="104">
        <v>12449.218999999999</v>
      </c>
      <c r="C488" s="4">
        <f t="shared" si="7"/>
        <v>-1.358661453575806E-2</v>
      </c>
      <c r="D488" s="1" t="str">
        <f>IF(COUNTIF(Target1[Target Dates],Benchmark2[[#This Row],[Benchmark '#2 Dates]])=1,"Pass","Fail")</f>
        <v>Pass</v>
      </c>
      <c r="E488" s="6">
        <f>IF(Benchmark2[[#This Row],[Target Date Check]]="Pass",INDEX(Target1[Target Price],MATCH(Benchmark2[[#This Row],[Benchmark '#2 Dates]],Target1[Target Dates],0)),"-")</f>
        <v>26.72</v>
      </c>
      <c r="F488" s="1" t="str">
        <f>IF(COUNTIF(Comp1[Comparable '#1 Dates],Benchmark2[[#This Row],[Benchmark '#2 Dates]])=1,"Pass","Fail")</f>
        <v>Pass</v>
      </c>
      <c r="G488" s="6">
        <f>IF(Benchmark2[[#This Row],[Comparable '#1 Date Check]]="Pass",INDEX(Comp1[Comparable '#1 Price],MATCH(Benchmark2[[#This Row],[Benchmark '#2 Dates]],Comp1[Comparable '#1 Dates],0)),"-")</f>
        <v>11.22</v>
      </c>
      <c r="H488" s="1" t="str">
        <f>IF(COUNTIF(Comp2[Comparable '#2 Dates],Benchmark2[[#This Row],[Benchmark '#2 Dates]])=1,"Pass","Fail")</f>
        <v>Pass</v>
      </c>
      <c r="I488" s="6">
        <f>IF(Benchmark2[[#This Row],[Comparable '#2 Date Check]]="Pass",INDEX(Comp2[Comparable '#2 Price],MATCH(Benchmark2[[#This Row],[Benchmark '#2 Dates]],Comp2[Comparable '#2 Dates],0)),"-")</f>
        <v>35.19</v>
      </c>
      <c r="J488" s="1" t="str">
        <f>IF(COUNTIF(Comp3[Comparable '#3 Dates],Benchmark2[[#This Row],[Benchmark '#2 Dates]])=1,"Pass","Fail")</f>
        <v>Pass</v>
      </c>
      <c r="K488" s="6">
        <f>IF(Benchmark2[[#This Row],[Comparable '#3 Date Check]]="Pass",INDEX(Comp3[Comparable '#3 Price],MATCH(Benchmark2[[#This Row],[Benchmark '#2 Dates]],Comp3[Comparable '#3 Dates],0)),"-")</f>
        <v>175.88</v>
      </c>
    </row>
    <row r="489" spans="1:11">
      <c r="A489" s="103">
        <v>43993</v>
      </c>
      <c r="B489" s="104">
        <v>11659.165499999999</v>
      </c>
      <c r="C489" s="4">
        <f t="shared" si="7"/>
        <v>-6.5565281126492972E-2</v>
      </c>
      <c r="D489" s="1" t="str">
        <f>IF(COUNTIF(Target1[Target Dates],Benchmark2[[#This Row],[Benchmark '#2 Dates]])=1,"Pass","Fail")</f>
        <v>Pass</v>
      </c>
      <c r="E489" s="6">
        <f>IF(Benchmark2[[#This Row],[Target Date Check]]="Pass",INDEX(Target1[Target Price],MATCH(Benchmark2[[#This Row],[Benchmark '#2 Dates]],Target1[Target Dates],0)),"-")</f>
        <v>24.53</v>
      </c>
      <c r="F489" s="1" t="str">
        <f>IF(COUNTIF(Comp1[Comparable '#1 Dates],Benchmark2[[#This Row],[Benchmark '#2 Dates]])=1,"Pass","Fail")</f>
        <v>Pass</v>
      </c>
      <c r="G489" s="6">
        <f>IF(Benchmark2[[#This Row],[Comparable '#1 Date Check]]="Pass",INDEX(Comp1[Comparable '#1 Price],MATCH(Benchmark2[[#This Row],[Benchmark '#2 Dates]],Comp1[Comparable '#1 Dates],0)),"-")</f>
        <v>10.24</v>
      </c>
      <c r="H489" s="1" t="str">
        <f>IF(COUNTIF(Comp2[Comparable '#2 Dates],Benchmark2[[#This Row],[Benchmark '#2 Dates]])=1,"Pass","Fail")</f>
        <v>Pass</v>
      </c>
      <c r="I489" s="6">
        <f>IF(Benchmark2[[#This Row],[Comparable '#2 Date Check]]="Pass",INDEX(Comp2[Comparable '#2 Price],MATCH(Benchmark2[[#This Row],[Benchmark '#2 Dates]],Comp2[Comparable '#2 Dates],0)),"-")</f>
        <v>33.880000000000003</v>
      </c>
      <c r="J489" s="1" t="str">
        <f>IF(COUNTIF(Comp3[Comparable '#3 Dates],Benchmark2[[#This Row],[Benchmark '#2 Dates]])=1,"Pass","Fail")</f>
        <v>Pass</v>
      </c>
      <c r="K489" s="6">
        <f>IF(Benchmark2[[#This Row],[Comparable '#3 Date Check]]="Pass",INDEX(Comp3[Comparable '#3 Price],MATCH(Benchmark2[[#This Row],[Benchmark '#2 Dates]],Comp3[Comparable '#3 Dates],0)),"-")</f>
        <v>164.61</v>
      </c>
    </row>
    <row r="490" spans="1:11">
      <c r="A490" s="103">
        <v>43994</v>
      </c>
      <c r="B490" s="104">
        <v>11867.1682</v>
      </c>
      <c r="C490" s="4">
        <f t="shared" si="7"/>
        <v>1.7683003448857239E-2</v>
      </c>
      <c r="D490" s="1" t="str">
        <f>IF(COUNTIF(Target1[Target Dates],Benchmark2[[#This Row],[Benchmark '#2 Dates]])=1,"Pass","Fail")</f>
        <v>Pass</v>
      </c>
      <c r="E490" s="6">
        <f>IF(Benchmark2[[#This Row],[Target Date Check]]="Pass",INDEX(Target1[Target Price],MATCH(Benchmark2[[#This Row],[Benchmark '#2 Dates]],Target1[Target Dates],0)),"-")</f>
        <v>24.22</v>
      </c>
      <c r="F490" s="1" t="str">
        <f>IF(COUNTIF(Comp1[Comparable '#1 Dates],Benchmark2[[#This Row],[Benchmark '#2 Dates]])=1,"Pass","Fail")</f>
        <v>Pass</v>
      </c>
      <c r="G490" s="6">
        <f>IF(Benchmark2[[#This Row],[Comparable '#1 Date Check]]="Pass",INDEX(Comp1[Comparable '#1 Price],MATCH(Benchmark2[[#This Row],[Benchmark '#2 Dates]],Comp1[Comparable '#1 Dates],0)),"-")</f>
        <v>10.38</v>
      </c>
      <c r="H490" s="1" t="str">
        <f>IF(COUNTIF(Comp2[Comparable '#2 Dates],Benchmark2[[#This Row],[Benchmark '#2 Dates]])=1,"Pass","Fail")</f>
        <v>Pass</v>
      </c>
      <c r="I490" s="6">
        <f>IF(Benchmark2[[#This Row],[Comparable '#2 Date Check]]="Pass",INDEX(Comp2[Comparable '#2 Price],MATCH(Benchmark2[[#This Row],[Benchmark '#2 Dates]],Comp2[Comparable '#2 Dates],0)),"-")</f>
        <v>33.72</v>
      </c>
      <c r="J490" s="1" t="str">
        <f>IF(COUNTIF(Comp3[Comparable '#3 Dates],Benchmark2[[#This Row],[Benchmark '#2 Dates]])=1,"Pass","Fail")</f>
        <v>Pass</v>
      </c>
      <c r="K490" s="6">
        <f>IF(Benchmark2[[#This Row],[Comparable '#3 Date Check]]="Pass",INDEX(Comp3[Comparable '#3 Price],MATCH(Benchmark2[[#This Row],[Benchmark '#2 Dates]],Comp3[Comparable '#3 Dates],0)),"-")</f>
        <v>161.61000000000001</v>
      </c>
    </row>
    <row r="491" spans="1:11">
      <c r="A491" s="103">
        <v>43997</v>
      </c>
      <c r="B491" s="104">
        <v>11942.906199999999</v>
      </c>
      <c r="C491" s="4">
        <f t="shared" si="7"/>
        <v>6.3618663406893585E-3</v>
      </c>
      <c r="D491" s="1" t="str">
        <f>IF(COUNTIF(Target1[Target Dates],Benchmark2[[#This Row],[Benchmark '#2 Dates]])=1,"Pass","Fail")</f>
        <v>Pass</v>
      </c>
      <c r="E491" s="6">
        <f>IF(Benchmark2[[#This Row],[Target Date Check]]="Pass",INDEX(Target1[Target Price],MATCH(Benchmark2[[#This Row],[Benchmark '#2 Dates]],Target1[Target Dates],0)),"-")</f>
        <v>24.52</v>
      </c>
      <c r="F491" s="1" t="str">
        <f>IF(COUNTIF(Comp1[Comparable '#1 Dates],Benchmark2[[#This Row],[Benchmark '#2 Dates]])=1,"Pass","Fail")</f>
        <v>Pass</v>
      </c>
      <c r="G491" s="6">
        <f>IF(Benchmark2[[#This Row],[Comparable '#1 Date Check]]="Pass",INDEX(Comp1[Comparable '#1 Price],MATCH(Benchmark2[[#This Row],[Benchmark '#2 Dates]],Comp1[Comparable '#1 Dates],0)),"-")</f>
        <v>10.15</v>
      </c>
      <c r="H491" s="1" t="str">
        <f>IF(COUNTIF(Comp2[Comparable '#2 Dates],Benchmark2[[#This Row],[Benchmark '#2 Dates]])=1,"Pass","Fail")</f>
        <v>Pass</v>
      </c>
      <c r="I491" s="6">
        <f>IF(Benchmark2[[#This Row],[Comparable '#2 Date Check]]="Pass",INDEX(Comp2[Comparable '#2 Price],MATCH(Benchmark2[[#This Row],[Benchmark '#2 Dates]],Comp2[Comparable '#2 Dates],0)),"-")</f>
        <v>33.78</v>
      </c>
      <c r="J491" s="1" t="str">
        <f>IF(COUNTIF(Comp3[Comparable '#3 Dates],Benchmark2[[#This Row],[Benchmark '#2 Dates]])=1,"Pass","Fail")</f>
        <v>Pass</v>
      </c>
      <c r="K491" s="6">
        <f>IF(Benchmark2[[#This Row],[Comparable '#3 Date Check]]="Pass",INDEX(Comp3[Comparable '#3 Price],MATCH(Benchmark2[[#This Row],[Benchmark '#2 Dates]],Comp3[Comparable '#3 Dates],0)),"-")</f>
        <v>148.13</v>
      </c>
    </row>
    <row r="492" spans="1:11">
      <c r="A492" s="103">
        <v>43998</v>
      </c>
      <c r="B492" s="104">
        <v>12161.474399999999</v>
      </c>
      <c r="C492" s="4">
        <f t="shared" si="7"/>
        <v>1.8135640505425071E-2</v>
      </c>
      <c r="D492" s="1" t="str">
        <f>IF(COUNTIF(Target1[Target Dates],Benchmark2[[#This Row],[Benchmark '#2 Dates]])=1,"Pass","Fail")</f>
        <v>Pass</v>
      </c>
      <c r="E492" s="6">
        <f>IF(Benchmark2[[#This Row],[Target Date Check]]="Pass",INDEX(Target1[Target Price],MATCH(Benchmark2[[#This Row],[Benchmark '#2 Dates]],Target1[Target Dates],0)),"-")</f>
        <v>24.97</v>
      </c>
      <c r="F492" s="1" t="str">
        <f>IF(COUNTIF(Comp1[Comparable '#1 Dates],Benchmark2[[#This Row],[Benchmark '#2 Dates]])=1,"Pass","Fail")</f>
        <v>Pass</v>
      </c>
      <c r="G492" s="6">
        <f>IF(Benchmark2[[#This Row],[Comparable '#1 Date Check]]="Pass",INDEX(Comp1[Comparable '#1 Price],MATCH(Benchmark2[[#This Row],[Benchmark '#2 Dates]],Comp1[Comparable '#1 Dates],0)),"-")</f>
        <v>10.3</v>
      </c>
      <c r="H492" s="1" t="str">
        <f>IF(COUNTIF(Comp2[Comparable '#2 Dates],Benchmark2[[#This Row],[Benchmark '#2 Dates]])=1,"Pass","Fail")</f>
        <v>Pass</v>
      </c>
      <c r="I492" s="6">
        <f>IF(Benchmark2[[#This Row],[Comparable '#2 Date Check]]="Pass",INDEX(Comp2[Comparable '#2 Price],MATCH(Benchmark2[[#This Row],[Benchmark '#2 Dates]],Comp2[Comparable '#2 Dates],0)),"-")</f>
        <v>33.1</v>
      </c>
      <c r="J492" s="1" t="str">
        <f>IF(COUNTIF(Comp3[Comparable '#3 Dates],Benchmark2[[#This Row],[Benchmark '#2 Dates]])=1,"Pass","Fail")</f>
        <v>Pass</v>
      </c>
      <c r="K492" s="6">
        <f>IF(Benchmark2[[#This Row],[Comparable '#3 Date Check]]="Pass",INDEX(Comp3[Comparable '#3 Price],MATCH(Benchmark2[[#This Row],[Benchmark '#2 Dates]],Comp3[Comparable '#3 Dates],0)),"-")</f>
        <v>155.37</v>
      </c>
    </row>
    <row r="493" spans="1:11">
      <c r="A493" s="103">
        <v>43999</v>
      </c>
      <c r="B493" s="104">
        <v>12086.4871</v>
      </c>
      <c r="C493" s="4">
        <f t="shared" si="7"/>
        <v>-6.1850592308838872E-3</v>
      </c>
      <c r="D493" s="1" t="str">
        <f>IF(COUNTIF(Target1[Target Dates],Benchmark2[[#This Row],[Benchmark '#2 Dates]])=1,"Pass","Fail")</f>
        <v>Pass</v>
      </c>
      <c r="E493" s="6">
        <f>IF(Benchmark2[[#This Row],[Target Date Check]]="Pass",INDEX(Target1[Target Price],MATCH(Benchmark2[[#This Row],[Benchmark '#2 Dates]],Target1[Target Dates],0)),"-")</f>
        <v>24.57</v>
      </c>
      <c r="F493" s="1" t="str">
        <f>IF(COUNTIF(Comp1[Comparable '#1 Dates],Benchmark2[[#This Row],[Benchmark '#2 Dates]])=1,"Pass","Fail")</f>
        <v>Pass</v>
      </c>
      <c r="G493" s="6">
        <f>IF(Benchmark2[[#This Row],[Comparable '#1 Date Check]]="Pass",INDEX(Comp1[Comparable '#1 Price],MATCH(Benchmark2[[#This Row],[Benchmark '#2 Dates]],Comp1[Comparable '#1 Dates],0)),"-")</f>
        <v>10.25</v>
      </c>
      <c r="H493" s="1" t="str">
        <f>IF(COUNTIF(Comp2[Comparable '#2 Dates],Benchmark2[[#This Row],[Benchmark '#2 Dates]])=1,"Pass","Fail")</f>
        <v>Pass</v>
      </c>
      <c r="I493" s="6">
        <f>IF(Benchmark2[[#This Row],[Comparable '#2 Date Check]]="Pass",INDEX(Comp2[Comparable '#2 Price],MATCH(Benchmark2[[#This Row],[Benchmark '#2 Dates]],Comp2[Comparable '#2 Dates],0)),"-")</f>
        <v>32.75</v>
      </c>
      <c r="J493" s="1" t="str">
        <f>IF(COUNTIF(Comp3[Comparable '#3 Dates],Benchmark2[[#This Row],[Benchmark '#2 Dates]])=1,"Pass","Fail")</f>
        <v>Pass</v>
      </c>
      <c r="K493" s="6">
        <f>IF(Benchmark2[[#This Row],[Comparable '#3 Date Check]]="Pass",INDEX(Comp3[Comparable '#3 Price],MATCH(Benchmark2[[#This Row],[Benchmark '#2 Dates]],Comp3[Comparable '#3 Dates],0)),"-")</f>
        <v>150.24</v>
      </c>
    </row>
    <row r="494" spans="1:11">
      <c r="A494" s="103">
        <v>44000</v>
      </c>
      <c r="B494" s="104">
        <v>12072.5944</v>
      </c>
      <c r="C494" s="4">
        <f t="shared" si="7"/>
        <v>-1.1501017976500831E-3</v>
      </c>
      <c r="D494" s="1" t="str">
        <f>IF(COUNTIF(Target1[Target Dates],Benchmark2[[#This Row],[Benchmark '#2 Dates]])=1,"Pass","Fail")</f>
        <v>Pass</v>
      </c>
      <c r="E494" s="6">
        <f>IF(Benchmark2[[#This Row],[Target Date Check]]="Pass",INDEX(Target1[Target Price],MATCH(Benchmark2[[#This Row],[Benchmark '#2 Dates]],Target1[Target Dates],0)),"-")</f>
        <v>25.07</v>
      </c>
      <c r="F494" s="1" t="str">
        <f>IF(COUNTIF(Comp1[Comparable '#1 Dates],Benchmark2[[#This Row],[Benchmark '#2 Dates]])=1,"Pass","Fail")</f>
        <v>Pass</v>
      </c>
      <c r="G494" s="6">
        <f>IF(Benchmark2[[#This Row],[Comparable '#1 Date Check]]="Pass",INDEX(Comp1[Comparable '#1 Price],MATCH(Benchmark2[[#This Row],[Benchmark '#2 Dates]],Comp1[Comparable '#1 Dates],0)),"-")</f>
        <v>10.08</v>
      </c>
      <c r="H494" s="1" t="str">
        <f>IF(COUNTIF(Comp2[Comparable '#2 Dates],Benchmark2[[#This Row],[Benchmark '#2 Dates]])=1,"Pass","Fail")</f>
        <v>Pass</v>
      </c>
      <c r="I494" s="6">
        <f>IF(Benchmark2[[#This Row],[Comparable '#2 Date Check]]="Pass",INDEX(Comp2[Comparable '#2 Price],MATCH(Benchmark2[[#This Row],[Benchmark '#2 Dates]],Comp2[Comparable '#2 Dates],0)),"-")</f>
        <v>32.65</v>
      </c>
      <c r="J494" s="1" t="str">
        <f>IF(COUNTIF(Comp3[Comparable '#3 Dates],Benchmark2[[#This Row],[Benchmark '#2 Dates]])=1,"Pass","Fail")</f>
        <v>Pass</v>
      </c>
      <c r="K494" s="6">
        <f>IF(Benchmark2[[#This Row],[Comparable '#3 Date Check]]="Pass",INDEX(Comp3[Comparable '#3 Price],MATCH(Benchmark2[[#This Row],[Benchmark '#2 Dates]],Comp3[Comparable '#3 Dates],0)),"-")</f>
        <v>148.51499999999999</v>
      </c>
    </row>
    <row r="495" spans="1:11">
      <c r="A495" s="103">
        <v>44001</v>
      </c>
      <c r="B495" s="104">
        <v>11980.1178</v>
      </c>
      <c r="C495" s="4">
        <f t="shared" si="7"/>
        <v>-7.68953246524888E-3</v>
      </c>
      <c r="D495" s="1" t="str">
        <f>IF(COUNTIF(Target1[Target Dates],Benchmark2[[#This Row],[Benchmark '#2 Dates]])=1,"Pass","Fail")</f>
        <v>Pass</v>
      </c>
      <c r="E495" s="6">
        <f>IF(Benchmark2[[#This Row],[Target Date Check]]="Pass",INDEX(Target1[Target Price],MATCH(Benchmark2[[#This Row],[Benchmark '#2 Dates]],Target1[Target Dates],0)),"-")</f>
        <v>26.23</v>
      </c>
      <c r="F495" s="1" t="str">
        <f>IF(COUNTIF(Comp1[Comparable '#1 Dates],Benchmark2[[#This Row],[Benchmark '#2 Dates]])=1,"Pass","Fail")</f>
        <v>Pass</v>
      </c>
      <c r="G495" s="6">
        <f>IF(Benchmark2[[#This Row],[Comparable '#1 Date Check]]="Pass",INDEX(Comp1[Comparable '#1 Price],MATCH(Benchmark2[[#This Row],[Benchmark '#2 Dates]],Comp1[Comparable '#1 Dates],0)),"-")</f>
        <v>10.16</v>
      </c>
      <c r="H495" s="1" t="str">
        <f>IF(COUNTIF(Comp2[Comparable '#2 Dates],Benchmark2[[#This Row],[Benchmark '#2 Dates]])=1,"Pass","Fail")</f>
        <v>Pass</v>
      </c>
      <c r="I495" s="6">
        <f>IF(Benchmark2[[#This Row],[Comparable '#2 Date Check]]="Pass",INDEX(Comp2[Comparable '#2 Price],MATCH(Benchmark2[[#This Row],[Benchmark '#2 Dates]],Comp2[Comparable '#2 Dates],0)),"-")</f>
        <v>32.65</v>
      </c>
      <c r="J495" s="1" t="str">
        <f>IF(COUNTIF(Comp3[Comparable '#3 Dates],Benchmark2[[#This Row],[Benchmark '#2 Dates]])=1,"Pass","Fail")</f>
        <v>Pass</v>
      </c>
      <c r="K495" s="6">
        <f>IF(Benchmark2[[#This Row],[Comparable '#3 Date Check]]="Pass",INDEX(Comp3[Comparable '#3 Price],MATCH(Benchmark2[[#This Row],[Benchmark '#2 Dates]],Comp3[Comparable '#3 Dates],0)),"-")</f>
        <v>145.93</v>
      </c>
    </row>
    <row r="496" spans="1:11">
      <c r="A496" s="103">
        <v>44004</v>
      </c>
      <c r="B496" s="104">
        <v>12028.9108</v>
      </c>
      <c r="C496" s="4">
        <f t="shared" si="7"/>
        <v>4.0645598776376688E-3</v>
      </c>
      <c r="D496" s="1" t="str">
        <f>IF(COUNTIF(Target1[Target Dates],Benchmark2[[#This Row],[Benchmark '#2 Dates]])=1,"Pass","Fail")</f>
        <v>Pass</v>
      </c>
      <c r="E496" s="6">
        <f>IF(Benchmark2[[#This Row],[Target Date Check]]="Pass",INDEX(Target1[Target Price],MATCH(Benchmark2[[#This Row],[Benchmark '#2 Dates]],Target1[Target Dates],0)),"-")</f>
        <v>26.51</v>
      </c>
      <c r="F496" s="1" t="str">
        <f>IF(COUNTIF(Comp1[Comparable '#1 Dates],Benchmark2[[#This Row],[Benchmark '#2 Dates]])=1,"Pass","Fail")</f>
        <v>Pass</v>
      </c>
      <c r="G496" s="6">
        <f>IF(Benchmark2[[#This Row],[Comparable '#1 Date Check]]="Pass",INDEX(Comp1[Comparable '#1 Price],MATCH(Benchmark2[[#This Row],[Benchmark '#2 Dates]],Comp1[Comparable '#1 Dates],0)),"-")</f>
        <v>10.19</v>
      </c>
      <c r="H496" s="1" t="str">
        <f>IF(COUNTIF(Comp2[Comparable '#2 Dates],Benchmark2[[#This Row],[Benchmark '#2 Dates]])=1,"Pass","Fail")</f>
        <v>Pass</v>
      </c>
      <c r="I496" s="6">
        <f>IF(Benchmark2[[#This Row],[Comparable '#2 Date Check]]="Pass",INDEX(Comp2[Comparable '#2 Price],MATCH(Benchmark2[[#This Row],[Benchmark '#2 Dates]],Comp2[Comparable '#2 Dates],0)),"-")</f>
        <v>33.26</v>
      </c>
      <c r="J496" s="1" t="str">
        <f>IF(COUNTIF(Comp3[Comparable '#3 Dates],Benchmark2[[#This Row],[Benchmark '#2 Dates]])=1,"Pass","Fail")</f>
        <v>Pass</v>
      </c>
      <c r="K496" s="6">
        <f>IF(Benchmark2[[#This Row],[Comparable '#3 Date Check]]="Pass",INDEX(Comp3[Comparable '#3 Price],MATCH(Benchmark2[[#This Row],[Benchmark '#2 Dates]],Comp3[Comparable '#3 Dates],0)),"-")</f>
        <v>153.29</v>
      </c>
    </row>
    <row r="497" spans="1:11">
      <c r="A497" s="103">
        <v>44005</v>
      </c>
      <c r="B497" s="104">
        <v>12077.7449</v>
      </c>
      <c r="C497" s="4">
        <f t="shared" si="7"/>
        <v>4.0515090444374008E-3</v>
      </c>
      <c r="D497" s="1" t="str">
        <f>IF(COUNTIF(Target1[Target Dates],Benchmark2[[#This Row],[Benchmark '#2 Dates]])=1,"Pass","Fail")</f>
        <v>Pass</v>
      </c>
      <c r="E497" s="6">
        <f>IF(Benchmark2[[#This Row],[Target Date Check]]="Pass",INDEX(Target1[Target Price],MATCH(Benchmark2[[#This Row],[Benchmark '#2 Dates]],Target1[Target Dates],0)),"-")</f>
        <v>25.93</v>
      </c>
      <c r="F497" s="1" t="str">
        <f>IF(COUNTIF(Comp1[Comparable '#1 Dates],Benchmark2[[#This Row],[Benchmark '#2 Dates]])=1,"Pass","Fail")</f>
        <v>Pass</v>
      </c>
      <c r="G497" s="6">
        <f>IF(Benchmark2[[#This Row],[Comparable '#1 Date Check]]="Pass",INDEX(Comp1[Comparable '#1 Price],MATCH(Benchmark2[[#This Row],[Benchmark '#2 Dates]],Comp1[Comparable '#1 Dates],0)),"-")</f>
        <v>10.29</v>
      </c>
      <c r="H497" s="1" t="str">
        <f>IF(COUNTIF(Comp2[Comparable '#2 Dates],Benchmark2[[#This Row],[Benchmark '#2 Dates]])=1,"Pass","Fail")</f>
        <v>Pass</v>
      </c>
      <c r="I497" s="6">
        <f>IF(Benchmark2[[#This Row],[Comparable '#2 Date Check]]="Pass",INDEX(Comp2[Comparable '#2 Price],MATCH(Benchmark2[[#This Row],[Benchmark '#2 Dates]],Comp2[Comparable '#2 Dates],0)),"-")</f>
        <v>33.03</v>
      </c>
      <c r="J497" s="1" t="str">
        <f>IF(COUNTIF(Comp3[Comparable '#3 Dates],Benchmark2[[#This Row],[Benchmark '#2 Dates]])=1,"Pass","Fail")</f>
        <v>Pass</v>
      </c>
      <c r="K497" s="6">
        <f>IF(Benchmark2[[#This Row],[Comparable '#3 Date Check]]="Pass",INDEX(Comp3[Comparable '#3 Price],MATCH(Benchmark2[[#This Row],[Benchmark '#2 Dates]],Comp3[Comparable '#3 Dates],0)),"-")</f>
        <v>151.94999999999999</v>
      </c>
    </row>
    <row r="498" spans="1:11">
      <c r="A498" s="103">
        <v>44006</v>
      </c>
      <c r="B498" s="104">
        <v>11726.5352</v>
      </c>
      <c r="C498" s="4">
        <f t="shared" si="7"/>
        <v>-2.9510254952959235E-2</v>
      </c>
      <c r="D498" s="1" t="str">
        <f>IF(COUNTIF(Target1[Target Dates],Benchmark2[[#This Row],[Benchmark '#2 Dates]])=1,"Pass","Fail")</f>
        <v>Pass</v>
      </c>
      <c r="E498" s="6">
        <f>IF(Benchmark2[[#This Row],[Target Date Check]]="Pass",INDEX(Target1[Target Price],MATCH(Benchmark2[[#This Row],[Benchmark '#2 Dates]],Target1[Target Dates],0)),"-")</f>
        <v>25.69</v>
      </c>
      <c r="F498" s="1" t="str">
        <f>IF(COUNTIF(Comp1[Comparable '#1 Dates],Benchmark2[[#This Row],[Benchmark '#2 Dates]])=1,"Pass","Fail")</f>
        <v>Pass</v>
      </c>
      <c r="G498" s="6">
        <f>IF(Benchmark2[[#This Row],[Comparable '#1 Date Check]]="Pass",INDEX(Comp1[Comparable '#1 Price],MATCH(Benchmark2[[#This Row],[Benchmark '#2 Dates]],Comp1[Comparable '#1 Dates],0)),"-")</f>
        <v>9.75</v>
      </c>
      <c r="H498" s="1" t="str">
        <f>IF(COUNTIF(Comp2[Comparable '#2 Dates],Benchmark2[[#This Row],[Benchmark '#2 Dates]])=1,"Pass","Fail")</f>
        <v>Pass</v>
      </c>
      <c r="I498" s="6">
        <f>IF(Benchmark2[[#This Row],[Comparable '#2 Date Check]]="Pass",INDEX(Comp2[Comparable '#2 Price],MATCH(Benchmark2[[#This Row],[Benchmark '#2 Dates]],Comp2[Comparable '#2 Dates],0)),"-")</f>
        <v>32.31</v>
      </c>
      <c r="J498" s="1" t="str">
        <f>IF(COUNTIF(Comp3[Comparable '#3 Dates],Benchmark2[[#This Row],[Benchmark '#2 Dates]])=1,"Pass","Fail")</f>
        <v>Pass</v>
      </c>
      <c r="K498" s="6">
        <f>IF(Benchmark2[[#This Row],[Comparable '#3 Date Check]]="Pass",INDEX(Comp3[Comparable '#3 Price],MATCH(Benchmark2[[#This Row],[Benchmark '#2 Dates]],Comp3[Comparable '#3 Dates],0)),"-")</f>
        <v>148.28</v>
      </c>
    </row>
    <row r="499" spans="1:11">
      <c r="A499" s="103">
        <v>44007</v>
      </c>
      <c r="B499" s="104">
        <v>11865.1108</v>
      </c>
      <c r="C499" s="4">
        <f t="shared" si="7"/>
        <v>1.1747988571180859E-2</v>
      </c>
      <c r="D499" s="1" t="str">
        <f>IF(COUNTIF(Target1[Target Dates],Benchmark2[[#This Row],[Benchmark '#2 Dates]])=1,"Pass","Fail")</f>
        <v>Pass</v>
      </c>
      <c r="E499" s="6">
        <f>IF(Benchmark2[[#This Row],[Target Date Check]]="Pass",INDEX(Target1[Target Price],MATCH(Benchmark2[[#This Row],[Benchmark '#2 Dates]],Target1[Target Dates],0)),"-")</f>
        <v>26.28</v>
      </c>
      <c r="F499" s="1" t="str">
        <f>IF(COUNTIF(Comp1[Comparable '#1 Dates],Benchmark2[[#This Row],[Benchmark '#2 Dates]])=1,"Pass","Fail")</f>
        <v>Pass</v>
      </c>
      <c r="G499" s="6">
        <f>IF(Benchmark2[[#This Row],[Comparable '#1 Date Check]]="Pass",INDEX(Comp1[Comparable '#1 Price],MATCH(Benchmark2[[#This Row],[Benchmark '#2 Dates]],Comp1[Comparable '#1 Dates],0)),"-")</f>
        <v>9.8000000000000007</v>
      </c>
      <c r="H499" s="1" t="str">
        <f>IF(COUNTIF(Comp2[Comparable '#2 Dates],Benchmark2[[#This Row],[Benchmark '#2 Dates]])=1,"Pass","Fail")</f>
        <v>Pass</v>
      </c>
      <c r="I499" s="6">
        <f>IF(Benchmark2[[#This Row],[Comparable '#2 Date Check]]="Pass",INDEX(Comp2[Comparable '#2 Price],MATCH(Benchmark2[[#This Row],[Benchmark '#2 Dates]],Comp2[Comparable '#2 Dates],0)),"-")</f>
        <v>31.1</v>
      </c>
      <c r="J499" s="1" t="str">
        <f>IF(COUNTIF(Comp3[Comparable '#3 Dates],Benchmark2[[#This Row],[Benchmark '#2 Dates]])=1,"Pass","Fail")</f>
        <v>Pass</v>
      </c>
      <c r="K499" s="6">
        <f>IF(Benchmark2[[#This Row],[Comparable '#3 Date Check]]="Pass",INDEX(Comp3[Comparable '#3 Price],MATCH(Benchmark2[[#This Row],[Benchmark '#2 Dates]],Comp3[Comparable '#3 Dates],0)),"-")</f>
        <v>148.04</v>
      </c>
    </row>
    <row r="500" spans="1:11">
      <c r="A500" s="103">
        <v>44008</v>
      </c>
      <c r="B500" s="104">
        <v>11604.425499999999</v>
      </c>
      <c r="C500" s="4">
        <f t="shared" si="7"/>
        <v>-2.2215694257248921E-2</v>
      </c>
      <c r="D500" s="1" t="str">
        <f>IF(COUNTIF(Target1[Target Dates],Benchmark2[[#This Row],[Benchmark '#2 Dates]])=1,"Pass","Fail")</f>
        <v>Pass</v>
      </c>
      <c r="E500" s="6">
        <f>IF(Benchmark2[[#This Row],[Target Date Check]]="Pass",INDEX(Target1[Target Price],MATCH(Benchmark2[[#This Row],[Benchmark '#2 Dates]],Target1[Target Dates],0)),"-")</f>
        <v>26.41</v>
      </c>
      <c r="F500" s="1" t="str">
        <f>IF(COUNTIF(Comp1[Comparable '#1 Dates],Benchmark2[[#This Row],[Benchmark '#2 Dates]])=1,"Pass","Fail")</f>
        <v>Pass</v>
      </c>
      <c r="G500" s="6">
        <f>IF(Benchmark2[[#This Row],[Comparable '#1 Date Check]]="Pass",INDEX(Comp1[Comparable '#1 Price],MATCH(Benchmark2[[#This Row],[Benchmark '#2 Dates]],Comp1[Comparable '#1 Dates],0)),"-")</f>
        <v>9.6999999999999993</v>
      </c>
      <c r="H500" s="1" t="str">
        <f>IF(COUNTIF(Comp2[Comparable '#2 Dates],Benchmark2[[#This Row],[Benchmark '#2 Dates]])=1,"Pass","Fail")</f>
        <v>Pass</v>
      </c>
      <c r="I500" s="6">
        <f>IF(Benchmark2[[#This Row],[Comparable '#2 Date Check]]="Pass",INDEX(Comp2[Comparable '#2 Price],MATCH(Benchmark2[[#This Row],[Benchmark '#2 Dates]],Comp2[Comparable '#2 Dates],0)),"-")</f>
        <v>30.63</v>
      </c>
      <c r="J500" s="1" t="str">
        <f>IF(COUNTIF(Comp3[Comparable '#3 Dates],Benchmark2[[#This Row],[Benchmark '#2 Dates]])=1,"Pass","Fail")</f>
        <v>Pass</v>
      </c>
      <c r="K500" s="6">
        <f>IF(Benchmark2[[#This Row],[Comparable '#3 Date Check]]="Pass",INDEX(Comp3[Comparable '#3 Price],MATCH(Benchmark2[[#This Row],[Benchmark '#2 Dates]],Comp3[Comparable '#3 Dates],0)),"-")</f>
        <v>147.78</v>
      </c>
    </row>
    <row r="501" spans="1:11">
      <c r="A501" s="103">
        <v>44011</v>
      </c>
      <c r="B501" s="104">
        <v>11777.0838</v>
      </c>
      <c r="C501" s="4">
        <f t="shared" si="7"/>
        <v>1.4769058421232549E-2</v>
      </c>
      <c r="D501" s="1" t="str">
        <f>IF(COUNTIF(Target1[Target Dates],Benchmark2[[#This Row],[Benchmark '#2 Dates]])=1,"Pass","Fail")</f>
        <v>Pass</v>
      </c>
      <c r="E501" s="6">
        <f>IF(Benchmark2[[#This Row],[Target Date Check]]="Pass",INDEX(Target1[Target Price],MATCH(Benchmark2[[#This Row],[Benchmark '#2 Dates]],Target1[Target Dates],0)),"-")</f>
        <v>26.72</v>
      </c>
      <c r="F501" s="1" t="str">
        <f>IF(COUNTIF(Comp1[Comparable '#1 Dates],Benchmark2[[#This Row],[Benchmark '#2 Dates]])=1,"Pass","Fail")</f>
        <v>Pass</v>
      </c>
      <c r="G501" s="6">
        <f>IF(Benchmark2[[#This Row],[Comparable '#1 Date Check]]="Pass",INDEX(Comp1[Comparable '#1 Price],MATCH(Benchmark2[[#This Row],[Benchmark '#2 Dates]],Comp1[Comparable '#1 Dates],0)),"-")</f>
        <v>9.9149999999999991</v>
      </c>
      <c r="H501" s="1" t="str">
        <f>IF(COUNTIF(Comp2[Comparable '#2 Dates],Benchmark2[[#This Row],[Benchmark '#2 Dates]])=1,"Pass","Fail")</f>
        <v>Pass</v>
      </c>
      <c r="I501" s="6">
        <f>IF(Benchmark2[[#This Row],[Comparable '#2 Date Check]]="Pass",INDEX(Comp2[Comparable '#2 Price],MATCH(Benchmark2[[#This Row],[Benchmark '#2 Dates]],Comp2[Comparable '#2 Dates],0)),"-")</f>
        <v>31.42</v>
      </c>
      <c r="J501" s="1" t="str">
        <f>IF(COUNTIF(Comp3[Comparable '#3 Dates],Benchmark2[[#This Row],[Benchmark '#2 Dates]])=1,"Pass","Fail")</f>
        <v>Pass</v>
      </c>
      <c r="K501" s="6">
        <f>IF(Benchmark2[[#This Row],[Comparable '#3 Date Check]]="Pass",INDEX(Comp3[Comparable '#3 Price],MATCH(Benchmark2[[#This Row],[Benchmark '#2 Dates]],Comp3[Comparable '#3 Dates],0)),"-")</f>
        <v>153.66999999999999</v>
      </c>
    </row>
    <row r="502" spans="1:11">
      <c r="A502" s="103">
        <v>44012</v>
      </c>
      <c r="B502" s="104">
        <v>11893.777599999999</v>
      </c>
      <c r="C502" s="4">
        <f t="shared" si="7"/>
        <v>9.859780207804307E-3</v>
      </c>
      <c r="D502" s="1" t="str">
        <f>IF(COUNTIF(Target1[Target Dates],Benchmark2[[#This Row],[Benchmark '#2 Dates]])=1,"Pass","Fail")</f>
        <v>Pass</v>
      </c>
      <c r="E502" s="6">
        <f>IF(Benchmark2[[#This Row],[Target Date Check]]="Pass",INDEX(Target1[Target Price],MATCH(Benchmark2[[#This Row],[Benchmark '#2 Dates]],Target1[Target Dates],0)),"-")</f>
        <v>27.24</v>
      </c>
      <c r="F502" s="1" t="str">
        <f>IF(COUNTIF(Comp1[Comparable '#1 Dates],Benchmark2[[#This Row],[Benchmark '#2 Dates]])=1,"Pass","Fail")</f>
        <v>Pass</v>
      </c>
      <c r="G502" s="6">
        <f>IF(Benchmark2[[#This Row],[Comparable '#1 Date Check]]="Pass",INDEX(Comp1[Comparable '#1 Price],MATCH(Benchmark2[[#This Row],[Benchmark '#2 Dates]],Comp1[Comparable '#1 Dates],0)),"-")</f>
        <v>9.9649999999999999</v>
      </c>
      <c r="H502" s="1" t="str">
        <f>IF(COUNTIF(Comp2[Comparable '#2 Dates],Benchmark2[[#This Row],[Benchmark '#2 Dates]])=1,"Pass","Fail")</f>
        <v>Pass</v>
      </c>
      <c r="I502" s="6">
        <f>IF(Benchmark2[[#This Row],[Comparable '#2 Date Check]]="Pass",INDEX(Comp2[Comparable '#2 Price],MATCH(Benchmark2[[#This Row],[Benchmark '#2 Dates]],Comp2[Comparable '#2 Dates],0)),"-")</f>
        <v>31.15</v>
      </c>
      <c r="J502" s="1" t="str">
        <f>IF(COUNTIF(Comp3[Comparable '#3 Dates],Benchmark2[[#This Row],[Benchmark '#2 Dates]])=1,"Pass","Fail")</f>
        <v>Pass</v>
      </c>
      <c r="K502" s="6">
        <f>IF(Benchmark2[[#This Row],[Comparable '#3 Date Check]]="Pass",INDEX(Comp3[Comparable '#3 Price],MATCH(Benchmark2[[#This Row],[Benchmark '#2 Dates]],Comp3[Comparable '#3 Dates],0)),"-")</f>
        <v>153.65</v>
      </c>
    </row>
    <row r="503" spans="1:11">
      <c r="A503" s="103">
        <v>44013</v>
      </c>
      <c r="B503" s="104">
        <v>11901.5499</v>
      </c>
      <c r="C503" s="4">
        <f t="shared" si="7"/>
        <v>6.5326272785305565E-4</v>
      </c>
      <c r="D503" s="1" t="str">
        <f>IF(COUNTIF(Target1[Target Dates],Benchmark2[[#This Row],[Benchmark '#2 Dates]])=1,"Pass","Fail")</f>
        <v>Pass</v>
      </c>
      <c r="E503" s="6">
        <f>IF(Benchmark2[[#This Row],[Target Date Check]]="Pass",INDEX(Target1[Target Price],MATCH(Benchmark2[[#This Row],[Benchmark '#2 Dates]],Target1[Target Dates],0)),"-")</f>
        <v>28.91</v>
      </c>
      <c r="F503" s="1" t="str">
        <f>IF(COUNTIF(Comp1[Comparable '#1 Dates],Benchmark2[[#This Row],[Benchmark '#2 Dates]])=1,"Pass","Fail")</f>
        <v>Pass</v>
      </c>
      <c r="G503" s="6">
        <f>IF(Benchmark2[[#This Row],[Comparable '#1 Date Check]]="Pass",INDEX(Comp1[Comparable '#1 Price],MATCH(Benchmark2[[#This Row],[Benchmark '#2 Dates]],Comp1[Comparable '#1 Dates],0)),"-")</f>
        <v>9.92</v>
      </c>
      <c r="H503" s="1" t="str">
        <f>IF(COUNTIF(Comp2[Comparable '#2 Dates],Benchmark2[[#This Row],[Benchmark '#2 Dates]])=1,"Pass","Fail")</f>
        <v>Pass</v>
      </c>
      <c r="I503" s="6">
        <f>IF(Benchmark2[[#This Row],[Comparable '#2 Date Check]]="Pass",INDEX(Comp2[Comparable '#2 Price],MATCH(Benchmark2[[#This Row],[Benchmark '#2 Dates]],Comp2[Comparable '#2 Dates],0)),"-")</f>
        <v>31.13</v>
      </c>
      <c r="J503" s="1" t="str">
        <f>IF(COUNTIF(Comp3[Comparable '#3 Dates],Benchmark2[[#This Row],[Benchmark '#2 Dates]])=1,"Pass","Fail")</f>
        <v>Pass</v>
      </c>
      <c r="K503" s="6">
        <f>IF(Benchmark2[[#This Row],[Comparable '#3 Date Check]]="Pass",INDEX(Comp3[Comparable '#3 Price],MATCH(Benchmark2[[#This Row],[Benchmark '#2 Dates]],Comp3[Comparable '#3 Dates],0)),"-")</f>
        <v>158.59</v>
      </c>
    </row>
    <row r="504" spans="1:11">
      <c r="A504" s="103">
        <v>44014</v>
      </c>
      <c r="B504" s="104">
        <v>11991.521699999999</v>
      </c>
      <c r="C504" s="4">
        <f t="shared" si="7"/>
        <v>7.5312397476009138E-3</v>
      </c>
      <c r="D504" s="1" t="str">
        <f>IF(COUNTIF(Target1[Target Dates],Benchmark2[[#This Row],[Benchmark '#2 Dates]])=1,"Pass","Fail")</f>
        <v>Pass</v>
      </c>
      <c r="E504" s="6">
        <f>IF(Benchmark2[[#This Row],[Target Date Check]]="Pass",INDEX(Target1[Target Price],MATCH(Benchmark2[[#This Row],[Benchmark '#2 Dates]],Target1[Target Dates],0)),"-")</f>
        <v>31.33</v>
      </c>
      <c r="F504" s="1" t="str">
        <f>IF(COUNTIF(Comp1[Comparable '#1 Dates],Benchmark2[[#This Row],[Benchmark '#2 Dates]])=1,"Pass","Fail")</f>
        <v>Pass</v>
      </c>
      <c r="G504" s="6">
        <f>IF(Benchmark2[[#This Row],[Comparable '#1 Date Check]]="Pass",INDEX(Comp1[Comparable '#1 Price],MATCH(Benchmark2[[#This Row],[Benchmark '#2 Dates]],Comp1[Comparable '#1 Dates],0)),"-")</f>
        <v>10.15</v>
      </c>
      <c r="H504" s="1" t="str">
        <f>IF(COUNTIF(Comp2[Comparable '#2 Dates],Benchmark2[[#This Row],[Benchmark '#2 Dates]])=1,"Pass","Fail")</f>
        <v>Pass</v>
      </c>
      <c r="I504" s="6">
        <f>IF(Benchmark2[[#This Row],[Comparable '#2 Date Check]]="Pass",INDEX(Comp2[Comparable '#2 Price],MATCH(Benchmark2[[#This Row],[Benchmark '#2 Dates]],Comp2[Comparable '#2 Dates],0)),"-")</f>
        <v>31.5</v>
      </c>
      <c r="J504" s="1" t="str">
        <f>IF(COUNTIF(Comp3[Comparable '#3 Dates],Benchmark2[[#This Row],[Benchmark '#2 Dates]])=1,"Pass","Fail")</f>
        <v>Pass</v>
      </c>
      <c r="K504" s="6">
        <f>IF(Benchmark2[[#This Row],[Comparable '#3 Date Check]]="Pass",INDEX(Comp3[Comparable '#3 Price],MATCH(Benchmark2[[#This Row],[Benchmark '#2 Dates]],Comp3[Comparable '#3 Dates],0)),"-")</f>
        <v>158.52000000000001</v>
      </c>
    </row>
    <row r="505" spans="1:11">
      <c r="A505" s="103">
        <v>44018</v>
      </c>
      <c r="B505" s="104">
        <v>12160.0082</v>
      </c>
      <c r="C505" s="4">
        <f t="shared" si="7"/>
        <v>1.3952675798309135E-2</v>
      </c>
      <c r="D505" s="1" t="str">
        <f>IF(COUNTIF(Target1[Target Dates],Benchmark2[[#This Row],[Benchmark '#2 Dates]])=1,"Pass","Fail")</f>
        <v>Pass</v>
      </c>
      <c r="E505" s="6">
        <f>IF(Benchmark2[[#This Row],[Target Date Check]]="Pass",INDEX(Target1[Target Price],MATCH(Benchmark2[[#This Row],[Benchmark '#2 Dates]],Target1[Target Dates],0)),"-")</f>
        <v>32.479999999999997</v>
      </c>
      <c r="F505" s="1" t="str">
        <f>IF(COUNTIF(Comp1[Comparable '#1 Dates],Benchmark2[[#This Row],[Benchmark '#2 Dates]])=1,"Pass","Fail")</f>
        <v>Pass</v>
      </c>
      <c r="G505" s="6">
        <f>IF(Benchmark2[[#This Row],[Comparable '#1 Date Check]]="Pass",INDEX(Comp1[Comparable '#1 Price],MATCH(Benchmark2[[#This Row],[Benchmark '#2 Dates]],Comp1[Comparable '#1 Dates],0)),"-")</f>
        <v>10.32</v>
      </c>
      <c r="H505" s="1" t="str">
        <f>IF(COUNTIF(Comp2[Comparable '#2 Dates],Benchmark2[[#This Row],[Benchmark '#2 Dates]])=1,"Pass","Fail")</f>
        <v>Pass</v>
      </c>
      <c r="I505" s="6">
        <f>IF(Benchmark2[[#This Row],[Comparable '#2 Date Check]]="Pass",INDEX(Comp2[Comparable '#2 Price],MATCH(Benchmark2[[#This Row],[Benchmark '#2 Dates]],Comp2[Comparable '#2 Dates],0)),"-")</f>
        <v>31.96</v>
      </c>
      <c r="J505" s="1" t="str">
        <f>IF(COUNTIF(Comp3[Comparable '#3 Dates],Benchmark2[[#This Row],[Benchmark '#2 Dates]])=1,"Pass","Fail")</f>
        <v>Pass</v>
      </c>
      <c r="K505" s="6">
        <f>IF(Benchmark2[[#This Row],[Comparable '#3 Date Check]]="Pass",INDEX(Comp3[Comparable '#3 Price],MATCH(Benchmark2[[#This Row],[Benchmark '#2 Dates]],Comp3[Comparable '#3 Dates],0)),"-")</f>
        <v>161.07</v>
      </c>
    </row>
    <row r="506" spans="1:11">
      <c r="A506" s="103">
        <v>44019</v>
      </c>
      <c r="B506" s="104">
        <v>11990.135</v>
      </c>
      <c r="C506" s="4">
        <f t="shared" si="7"/>
        <v>-1.406832252104331E-2</v>
      </c>
      <c r="D506" s="1" t="str">
        <f>IF(COUNTIF(Target1[Target Dates],Benchmark2[[#This Row],[Benchmark '#2 Dates]])=1,"Pass","Fail")</f>
        <v>Pass</v>
      </c>
      <c r="E506" s="6">
        <f>IF(Benchmark2[[#This Row],[Target Date Check]]="Pass",INDEX(Target1[Target Price],MATCH(Benchmark2[[#This Row],[Benchmark '#2 Dates]],Target1[Target Dates],0)),"-")</f>
        <v>32.76</v>
      </c>
      <c r="F506" s="1" t="str">
        <f>IF(COUNTIF(Comp1[Comparable '#1 Dates],Benchmark2[[#This Row],[Benchmark '#2 Dates]])=1,"Pass","Fail")</f>
        <v>Pass</v>
      </c>
      <c r="G506" s="6">
        <f>IF(Benchmark2[[#This Row],[Comparable '#1 Date Check]]="Pass",INDEX(Comp1[Comparable '#1 Price],MATCH(Benchmark2[[#This Row],[Benchmark '#2 Dates]],Comp1[Comparable '#1 Dates],0)),"-")</f>
        <v>9.7799999999999994</v>
      </c>
      <c r="H506" s="1" t="str">
        <f>IF(COUNTIF(Comp2[Comparable '#2 Dates],Benchmark2[[#This Row],[Benchmark '#2 Dates]])=1,"Pass","Fail")</f>
        <v>Pass</v>
      </c>
      <c r="I506" s="6">
        <f>IF(Benchmark2[[#This Row],[Comparable '#2 Date Check]]="Pass",INDEX(Comp2[Comparable '#2 Price],MATCH(Benchmark2[[#This Row],[Benchmark '#2 Dates]],Comp2[Comparable '#2 Dates],0)),"-")</f>
        <v>31.5</v>
      </c>
      <c r="J506" s="1" t="str">
        <f>IF(COUNTIF(Comp3[Comparable '#3 Dates],Benchmark2[[#This Row],[Benchmark '#2 Dates]])=1,"Pass","Fail")</f>
        <v>Pass</v>
      </c>
      <c r="K506" s="6">
        <f>IF(Benchmark2[[#This Row],[Comparable '#3 Date Check]]="Pass",INDEX(Comp3[Comparable '#3 Price],MATCH(Benchmark2[[#This Row],[Benchmark '#2 Dates]],Comp3[Comparable '#3 Dates],0)),"-")</f>
        <v>157.93</v>
      </c>
    </row>
    <row r="507" spans="1:11">
      <c r="A507" s="103">
        <v>44020</v>
      </c>
      <c r="B507" s="104">
        <v>12086.392599999999</v>
      </c>
      <c r="C507" s="4">
        <f t="shared" si="7"/>
        <v>7.9960129185514071E-3</v>
      </c>
      <c r="D507" s="1" t="str">
        <f>IF(COUNTIF(Target1[Target Dates],Benchmark2[[#This Row],[Benchmark '#2 Dates]])=1,"Pass","Fail")</f>
        <v>Pass</v>
      </c>
      <c r="E507" s="6">
        <f>IF(Benchmark2[[#This Row],[Target Date Check]]="Pass",INDEX(Target1[Target Price],MATCH(Benchmark2[[#This Row],[Benchmark '#2 Dates]],Target1[Target Dates],0)),"-")</f>
        <v>34.380000000000003</v>
      </c>
      <c r="F507" s="1" t="str">
        <f>IF(COUNTIF(Comp1[Comparable '#1 Dates],Benchmark2[[#This Row],[Benchmark '#2 Dates]])=1,"Pass","Fail")</f>
        <v>Pass</v>
      </c>
      <c r="G507" s="6">
        <f>IF(Benchmark2[[#This Row],[Comparable '#1 Date Check]]="Pass",INDEX(Comp1[Comparable '#1 Price],MATCH(Benchmark2[[#This Row],[Benchmark '#2 Dates]],Comp1[Comparable '#1 Dates],0)),"-")</f>
        <v>9.57</v>
      </c>
      <c r="H507" s="1" t="str">
        <f>IF(COUNTIF(Comp2[Comparable '#2 Dates],Benchmark2[[#This Row],[Benchmark '#2 Dates]])=1,"Pass","Fail")</f>
        <v>Pass</v>
      </c>
      <c r="I507" s="6">
        <f>IF(Benchmark2[[#This Row],[Comparable '#2 Date Check]]="Pass",INDEX(Comp2[Comparable '#2 Price],MATCH(Benchmark2[[#This Row],[Benchmark '#2 Dates]],Comp2[Comparable '#2 Dates],0)),"-")</f>
        <v>31.72</v>
      </c>
      <c r="J507" s="1" t="str">
        <f>IF(COUNTIF(Comp3[Comparable '#3 Dates],Benchmark2[[#This Row],[Benchmark '#2 Dates]])=1,"Pass","Fail")</f>
        <v>Pass</v>
      </c>
      <c r="K507" s="6">
        <f>IF(Benchmark2[[#This Row],[Comparable '#3 Date Check]]="Pass",INDEX(Comp3[Comparable '#3 Price],MATCH(Benchmark2[[#This Row],[Benchmark '#2 Dates]],Comp3[Comparable '#3 Dates],0)),"-")</f>
        <v>156.85</v>
      </c>
    </row>
    <row r="508" spans="1:11">
      <c r="A508" s="103">
        <v>44021</v>
      </c>
      <c r="B508" s="104">
        <v>11928.630300000001</v>
      </c>
      <c r="C508" s="4">
        <f t="shared" si="7"/>
        <v>-1.313882315874791E-2</v>
      </c>
      <c r="D508" s="1" t="str">
        <f>IF(COUNTIF(Target1[Target Dates],Benchmark2[[#This Row],[Benchmark '#2 Dates]])=1,"Pass","Fail")</f>
        <v>Pass</v>
      </c>
      <c r="E508" s="6">
        <f>IF(Benchmark2[[#This Row],[Target Date Check]]="Pass",INDEX(Target1[Target Price],MATCH(Benchmark2[[#This Row],[Benchmark '#2 Dates]],Target1[Target Dates],0)),"-")</f>
        <v>32.44</v>
      </c>
      <c r="F508" s="1" t="str">
        <f>IF(COUNTIF(Comp1[Comparable '#1 Dates],Benchmark2[[#This Row],[Benchmark '#2 Dates]])=1,"Pass","Fail")</f>
        <v>Pass</v>
      </c>
      <c r="G508" s="6">
        <f>IF(Benchmark2[[#This Row],[Comparable '#1 Date Check]]="Pass",INDEX(Comp1[Comparable '#1 Price],MATCH(Benchmark2[[#This Row],[Benchmark '#2 Dates]],Comp1[Comparable '#1 Dates],0)),"-")</f>
        <v>9.23</v>
      </c>
      <c r="H508" s="1" t="str">
        <f>IF(COUNTIF(Comp2[Comparable '#2 Dates],Benchmark2[[#This Row],[Benchmark '#2 Dates]])=1,"Pass","Fail")</f>
        <v>Pass</v>
      </c>
      <c r="I508" s="6">
        <f>IF(Benchmark2[[#This Row],[Comparable '#2 Date Check]]="Pass",INDEX(Comp2[Comparable '#2 Price],MATCH(Benchmark2[[#This Row],[Benchmark '#2 Dates]],Comp2[Comparable '#2 Dates],0)),"-")</f>
        <v>30.99</v>
      </c>
      <c r="J508" s="1" t="str">
        <f>IF(COUNTIF(Comp3[Comparable '#3 Dates],Benchmark2[[#This Row],[Benchmark '#2 Dates]])=1,"Pass","Fail")</f>
        <v>Pass</v>
      </c>
      <c r="K508" s="6">
        <f>IF(Benchmark2[[#This Row],[Comparable '#3 Date Check]]="Pass",INDEX(Comp3[Comparable '#3 Price],MATCH(Benchmark2[[#This Row],[Benchmark '#2 Dates]],Comp3[Comparable '#3 Dates],0)),"-")</f>
        <v>151.13</v>
      </c>
    </row>
    <row r="509" spans="1:11">
      <c r="A509" s="103">
        <v>44022</v>
      </c>
      <c r="B509" s="104">
        <v>12075.576800000001</v>
      </c>
      <c r="C509" s="4">
        <f t="shared" si="7"/>
        <v>1.2243548395059209E-2</v>
      </c>
      <c r="D509" s="1" t="str">
        <f>IF(COUNTIF(Target1[Target Dates],Benchmark2[[#This Row],[Benchmark '#2 Dates]])=1,"Pass","Fail")</f>
        <v>Pass</v>
      </c>
      <c r="E509" s="6">
        <f>IF(Benchmark2[[#This Row],[Target Date Check]]="Pass",INDEX(Target1[Target Price],MATCH(Benchmark2[[#This Row],[Benchmark '#2 Dates]],Target1[Target Dates],0)),"-")</f>
        <v>33.93</v>
      </c>
      <c r="F509" s="1" t="str">
        <f>IF(COUNTIF(Comp1[Comparable '#1 Dates],Benchmark2[[#This Row],[Benchmark '#2 Dates]])=1,"Pass","Fail")</f>
        <v>Pass</v>
      </c>
      <c r="G509" s="6">
        <f>IF(Benchmark2[[#This Row],[Comparable '#1 Date Check]]="Pass",INDEX(Comp1[Comparable '#1 Price],MATCH(Benchmark2[[#This Row],[Benchmark '#2 Dates]],Comp1[Comparable '#1 Dates],0)),"-")</f>
        <v>9.52</v>
      </c>
      <c r="H509" s="1" t="str">
        <f>IF(COUNTIF(Comp2[Comparable '#2 Dates],Benchmark2[[#This Row],[Benchmark '#2 Dates]])=1,"Pass","Fail")</f>
        <v>Pass</v>
      </c>
      <c r="I509" s="6">
        <f>IF(Benchmark2[[#This Row],[Comparable '#2 Date Check]]="Pass",INDEX(Comp2[Comparable '#2 Price],MATCH(Benchmark2[[#This Row],[Benchmark '#2 Dates]],Comp2[Comparable '#2 Dates],0)),"-")</f>
        <v>31.68</v>
      </c>
      <c r="J509" s="1" t="str">
        <f>IF(COUNTIF(Comp3[Comparable '#3 Dates],Benchmark2[[#This Row],[Benchmark '#2 Dates]])=1,"Pass","Fail")</f>
        <v>Pass</v>
      </c>
      <c r="K509" s="6">
        <f>IF(Benchmark2[[#This Row],[Comparable '#3 Date Check]]="Pass",INDEX(Comp3[Comparable '#3 Price],MATCH(Benchmark2[[#This Row],[Benchmark '#2 Dates]],Comp3[Comparable '#3 Dates],0)),"-")</f>
        <v>152.94999999999999</v>
      </c>
    </row>
    <row r="510" spans="1:11">
      <c r="A510" s="103">
        <v>44025</v>
      </c>
      <c r="B510" s="104">
        <v>12014.6651</v>
      </c>
      <c r="C510" s="4">
        <f t="shared" si="7"/>
        <v>-5.0569712052280355E-3</v>
      </c>
      <c r="D510" s="1" t="str">
        <f>IF(COUNTIF(Target1[Target Dates],Benchmark2[[#This Row],[Benchmark '#2 Dates]])=1,"Pass","Fail")</f>
        <v>Pass</v>
      </c>
      <c r="E510" s="6">
        <f>IF(Benchmark2[[#This Row],[Target Date Check]]="Pass",INDEX(Target1[Target Price],MATCH(Benchmark2[[#This Row],[Benchmark '#2 Dates]],Target1[Target Dates],0)),"-")</f>
        <v>35.08</v>
      </c>
      <c r="F510" s="1" t="str">
        <f>IF(COUNTIF(Comp1[Comparable '#1 Dates],Benchmark2[[#This Row],[Benchmark '#2 Dates]])=1,"Pass","Fail")</f>
        <v>Pass</v>
      </c>
      <c r="G510" s="6">
        <f>IF(Benchmark2[[#This Row],[Comparable '#1 Date Check]]="Pass",INDEX(Comp1[Comparable '#1 Price],MATCH(Benchmark2[[#This Row],[Benchmark '#2 Dates]],Comp1[Comparable '#1 Dates],0)),"-")</f>
        <v>9.39</v>
      </c>
      <c r="H510" s="1" t="str">
        <f>IF(COUNTIF(Comp2[Comparable '#2 Dates],Benchmark2[[#This Row],[Benchmark '#2 Dates]])=1,"Pass","Fail")</f>
        <v>Pass</v>
      </c>
      <c r="I510" s="6">
        <f>IF(Benchmark2[[#This Row],[Comparable '#2 Date Check]]="Pass",INDEX(Comp2[Comparable '#2 Price],MATCH(Benchmark2[[#This Row],[Benchmark '#2 Dates]],Comp2[Comparable '#2 Dates],0)),"-")</f>
        <v>31.81</v>
      </c>
      <c r="J510" s="1" t="str">
        <f>IF(COUNTIF(Comp3[Comparable '#3 Dates],Benchmark2[[#This Row],[Benchmark '#2 Dates]])=1,"Pass","Fail")</f>
        <v>Pass</v>
      </c>
      <c r="K510" s="6">
        <f>IF(Benchmark2[[#This Row],[Comparable '#3 Date Check]]="Pass",INDEX(Comp3[Comparable '#3 Price],MATCH(Benchmark2[[#This Row],[Benchmark '#2 Dates]],Comp3[Comparable '#3 Dates],0)),"-")</f>
        <v>152.4</v>
      </c>
    </row>
    <row r="511" spans="1:11">
      <c r="A511" s="103">
        <v>44026</v>
      </c>
      <c r="B511" s="104">
        <v>12204.2078</v>
      </c>
      <c r="C511" s="4">
        <f t="shared" si="7"/>
        <v>1.5652798605167158E-2</v>
      </c>
      <c r="D511" s="1" t="str">
        <f>IF(COUNTIF(Target1[Target Dates],Benchmark2[[#This Row],[Benchmark '#2 Dates]])=1,"Pass","Fail")</f>
        <v>Pass</v>
      </c>
      <c r="E511" s="6">
        <f>IF(Benchmark2[[#This Row],[Target Date Check]]="Pass",INDEX(Target1[Target Price],MATCH(Benchmark2[[#This Row],[Benchmark '#2 Dates]],Target1[Target Dates],0)),"-")</f>
        <v>39.29</v>
      </c>
      <c r="F511" s="1" t="str">
        <f>IF(COUNTIF(Comp1[Comparable '#1 Dates],Benchmark2[[#This Row],[Benchmark '#2 Dates]])=1,"Pass","Fail")</f>
        <v>Pass</v>
      </c>
      <c r="G511" s="6">
        <f>IF(Benchmark2[[#This Row],[Comparable '#1 Date Check]]="Pass",INDEX(Comp1[Comparable '#1 Price],MATCH(Benchmark2[[#This Row],[Benchmark '#2 Dates]],Comp1[Comparable '#1 Dates],0)),"-")</f>
        <v>9.3000000000000007</v>
      </c>
      <c r="H511" s="1" t="str">
        <f>IF(COUNTIF(Comp2[Comparable '#2 Dates],Benchmark2[[#This Row],[Benchmark '#2 Dates]])=1,"Pass","Fail")</f>
        <v>Pass</v>
      </c>
      <c r="I511" s="6">
        <f>IF(Benchmark2[[#This Row],[Comparable '#2 Date Check]]="Pass",INDEX(Comp2[Comparable '#2 Price],MATCH(Benchmark2[[#This Row],[Benchmark '#2 Dates]],Comp2[Comparable '#2 Dates],0)),"-")</f>
        <v>32.270000000000003</v>
      </c>
      <c r="J511" s="1" t="str">
        <f>IF(COUNTIF(Comp3[Comparable '#3 Dates],Benchmark2[[#This Row],[Benchmark '#2 Dates]])=1,"Pass","Fail")</f>
        <v>Pass</v>
      </c>
      <c r="K511" s="6">
        <f>IF(Benchmark2[[#This Row],[Comparable '#3 Date Check]]="Pass",INDEX(Comp3[Comparable '#3 Price],MATCH(Benchmark2[[#This Row],[Benchmark '#2 Dates]],Comp3[Comparable '#3 Dates],0)),"-")</f>
        <v>153.31</v>
      </c>
    </row>
    <row r="512" spans="1:11">
      <c r="A512" s="103">
        <v>44027</v>
      </c>
      <c r="B512" s="104">
        <v>12391.3182</v>
      </c>
      <c r="C512" s="4">
        <f t="shared" si="7"/>
        <v>1.5215288319955351E-2</v>
      </c>
      <c r="D512" s="1" t="str">
        <f>IF(COUNTIF(Target1[Target Dates],Benchmark2[[#This Row],[Benchmark '#2 Dates]])=1,"Pass","Fail")</f>
        <v>Pass</v>
      </c>
      <c r="E512" s="6">
        <f>IF(Benchmark2[[#This Row],[Target Date Check]]="Pass",INDEX(Target1[Target Price],MATCH(Benchmark2[[#This Row],[Benchmark '#2 Dates]],Target1[Target Dates],0)),"-")</f>
        <v>43.1</v>
      </c>
      <c r="F512" s="1" t="str">
        <f>IF(COUNTIF(Comp1[Comparable '#1 Dates],Benchmark2[[#This Row],[Benchmark '#2 Dates]])=1,"Pass","Fail")</f>
        <v>Pass</v>
      </c>
      <c r="G512" s="6">
        <f>IF(Benchmark2[[#This Row],[Comparable '#1 Date Check]]="Pass",INDEX(Comp1[Comparable '#1 Price],MATCH(Benchmark2[[#This Row],[Benchmark '#2 Dates]],Comp1[Comparable '#1 Dates],0)),"-")</f>
        <v>10.095000000000001</v>
      </c>
      <c r="H512" s="1" t="str">
        <f>IF(COUNTIF(Comp2[Comparable '#2 Dates],Benchmark2[[#This Row],[Benchmark '#2 Dates]])=1,"Pass","Fail")</f>
        <v>Pass</v>
      </c>
      <c r="I512" s="6">
        <f>IF(Benchmark2[[#This Row],[Comparable '#2 Date Check]]="Pass",INDEX(Comp2[Comparable '#2 Price],MATCH(Benchmark2[[#This Row],[Benchmark '#2 Dates]],Comp2[Comparable '#2 Dates],0)),"-")</f>
        <v>34.96</v>
      </c>
      <c r="J512" s="1" t="str">
        <f>IF(COUNTIF(Comp3[Comparable '#3 Dates],Benchmark2[[#This Row],[Benchmark '#2 Dates]])=1,"Pass","Fail")</f>
        <v>Pass</v>
      </c>
      <c r="K512" s="6">
        <f>IF(Benchmark2[[#This Row],[Comparable '#3 Date Check]]="Pass",INDEX(Comp3[Comparable '#3 Price],MATCH(Benchmark2[[#This Row],[Benchmark '#2 Dates]],Comp3[Comparable '#3 Dates],0)),"-")</f>
        <v>163.16</v>
      </c>
    </row>
    <row r="513" spans="1:11">
      <c r="A513" s="103">
        <v>44028</v>
      </c>
      <c r="B513" s="104">
        <v>12350.108</v>
      </c>
      <c r="C513" s="4">
        <f t="shared" si="7"/>
        <v>-3.3312742585920648E-3</v>
      </c>
      <c r="D513" s="1" t="str">
        <f>IF(COUNTIF(Target1[Target Dates],Benchmark2[[#This Row],[Benchmark '#2 Dates]])=1,"Pass","Fail")</f>
        <v>Pass</v>
      </c>
      <c r="E513" s="6">
        <f>IF(Benchmark2[[#This Row],[Target Date Check]]="Pass",INDEX(Target1[Target Price],MATCH(Benchmark2[[#This Row],[Benchmark '#2 Dates]],Target1[Target Dates],0)),"-")</f>
        <v>47.94</v>
      </c>
      <c r="F513" s="1" t="str">
        <f>IF(COUNTIF(Comp1[Comparable '#1 Dates],Benchmark2[[#This Row],[Benchmark '#2 Dates]])=1,"Pass","Fail")</f>
        <v>Pass</v>
      </c>
      <c r="G513" s="6">
        <f>IF(Benchmark2[[#This Row],[Comparable '#1 Date Check]]="Pass",INDEX(Comp1[Comparable '#1 Price],MATCH(Benchmark2[[#This Row],[Benchmark '#2 Dates]],Comp1[Comparable '#1 Dates],0)),"-")</f>
        <v>10</v>
      </c>
      <c r="H513" s="1" t="str">
        <f>IF(COUNTIF(Comp2[Comparable '#2 Dates],Benchmark2[[#This Row],[Benchmark '#2 Dates]])=1,"Pass","Fail")</f>
        <v>Pass</v>
      </c>
      <c r="I513" s="6">
        <f>IF(Benchmark2[[#This Row],[Comparable '#2 Date Check]]="Pass",INDEX(Comp2[Comparable '#2 Price],MATCH(Benchmark2[[#This Row],[Benchmark '#2 Dates]],Comp2[Comparable '#2 Dates],0)),"-")</f>
        <v>34.770000000000003</v>
      </c>
      <c r="J513" s="1" t="str">
        <f>IF(COUNTIF(Comp3[Comparable '#3 Dates],Benchmark2[[#This Row],[Benchmark '#2 Dates]])=1,"Pass","Fail")</f>
        <v>Pass</v>
      </c>
      <c r="K513" s="6">
        <f>IF(Benchmark2[[#This Row],[Comparable '#3 Date Check]]="Pass",INDEX(Comp3[Comparable '#3 Price],MATCH(Benchmark2[[#This Row],[Benchmark '#2 Dates]],Comp3[Comparable '#3 Dates],0)),"-")</f>
        <v>163.27000000000001</v>
      </c>
    </row>
    <row r="514" spans="1:11">
      <c r="A514" s="103">
        <v>44029</v>
      </c>
      <c r="B514" s="104">
        <v>12402.7372</v>
      </c>
      <c r="C514" s="4">
        <f t="shared" ref="C514:C577" si="8">IFERROR(IF(B514="",NA(),LN(B514/B513)),"-")</f>
        <v>4.2523822115381063E-3</v>
      </c>
      <c r="D514" s="1" t="str">
        <f>IF(COUNTIF(Target1[Target Dates],Benchmark2[[#This Row],[Benchmark '#2 Dates]])=1,"Pass","Fail")</f>
        <v>Pass</v>
      </c>
      <c r="E514" s="6">
        <f>IF(Benchmark2[[#This Row],[Target Date Check]]="Pass",INDEX(Target1[Target Price],MATCH(Benchmark2[[#This Row],[Benchmark '#2 Dates]],Target1[Target Dates],0)),"-")</f>
        <v>46.6</v>
      </c>
      <c r="F514" s="1" t="str">
        <f>IF(COUNTIF(Comp1[Comparable '#1 Dates],Benchmark2[[#This Row],[Benchmark '#2 Dates]])=1,"Pass","Fail")</f>
        <v>Pass</v>
      </c>
      <c r="G514" s="6">
        <f>IF(Benchmark2[[#This Row],[Comparable '#1 Date Check]]="Pass",INDEX(Comp1[Comparable '#1 Price],MATCH(Benchmark2[[#This Row],[Benchmark '#2 Dates]],Comp1[Comparable '#1 Dates],0)),"-")</f>
        <v>10.130000000000001</v>
      </c>
      <c r="H514" s="1" t="str">
        <f>IF(COUNTIF(Comp2[Comparable '#2 Dates],Benchmark2[[#This Row],[Benchmark '#2 Dates]])=1,"Pass","Fail")</f>
        <v>Pass</v>
      </c>
      <c r="I514" s="6">
        <f>IF(Benchmark2[[#This Row],[Comparable '#2 Date Check]]="Pass",INDEX(Comp2[Comparable '#2 Price],MATCH(Benchmark2[[#This Row],[Benchmark '#2 Dates]],Comp2[Comparable '#2 Dates],0)),"-")</f>
        <v>35.21</v>
      </c>
      <c r="J514" s="1" t="str">
        <f>IF(COUNTIF(Comp3[Comparable '#3 Dates],Benchmark2[[#This Row],[Benchmark '#2 Dates]])=1,"Pass","Fail")</f>
        <v>Pass</v>
      </c>
      <c r="K514" s="6">
        <f>IF(Benchmark2[[#This Row],[Comparable '#3 Date Check]]="Pass",INDEX(Comp3[Comparable '#3 Price],MATCH(Benchmark2[[#This Row],[Benchmark '#2 Dates]],Comp3[Comparable '#3 Dates],0)),"-")</f>
        <v>164.46</v>
      </c>
    </row>
    <row r="515" spans="1:11">
      <c r="A515" s="103">
        <v>44032</v>
      </c>
      <c r="B515" s="104">
        <v>12392.9845</v>
      </c>
      <c r="C515" s="4">
        <f t="shared" si="8"/>
        <v>-7.8664381064735909E-4</v>
      </c>
      <c r="D515" s="1" t="str">
        <f>IF(COUNTIF(Target1[Target Dates],Benchmark2[[#This Row],[Benchmark '#2 Dates]])=1,"Pass","Fail")</f>
        <v>Pass</v>
      </c>
      <c r="E515" s="6">
        <f>IF(Benchmark2[[#This Row],[Target Date Check]]="Pass",INDEX(Target1[Target Price],MATCH(Benchmark2[[#This Row],[Benchmark '#2 Dates]],Target1[Target Dates],0)),"-")</f>
        <v>45.44</v>
      </c>
      <c r="F515" s="1" t="str">
        <f>IF(COUNTIF(Comp1[Comparable '#1 Dates],Benchmark2[[#This Row],[Benchmark '#2 Dates]])=1,"Pass","Fail")</f>
        <v>Pass</v>
      </c>
      <c r="G515" s="6">
        <f>IF(Benchmark2[[#This Row],[Comparable '#1 Date Check]]="Pass",INDEX(Comp1[Comparable '#1 Price],MATCH(Benchmark2[[#This Row],[Benchmark '#2 Dates]],Comp1[Comparable '#1 Dates],0)),"-")</f>
        <v>10.685</v>
      </c>
      <c r="H515" s="1" t="str">
        <f>IF(COUNTIF(Comp2[Comparable '#2 Dates],Benchmark2[[#This Row],[Benchmark '#2 Dates]])=1,"Pass","Fail")</f>
        <v>Pass</v>
      </c>
      <c r="I515" s="6">
        <f>IF(Benchmark2[[#This Row],[Comparable '#2 Date Check]]="Pass",INDEX(Comp2[Comparable '#2 Price],MATCH(Benchmark2[[#This Row],[Benchmark '#2 Dates]],Comp2[Comparable '#2 Dates],0)),"-")</f>
        <v>35.479999999999997</v>
      </c>
      <c r="J515" s="1" t="str">
        <f>IF(COUNTIF(Comp3[Comparable '#3 Dates],Benchmark2[[#This Row],[Benchmark '#2 Dates]])=1,"Pass","Fail")</f>
        <v>Pass</v>
      </c>
      <c r="K515" s="6">
        <f>IF(Benchmark2[[#This Row],[Comparable '#3 Date Check]]="Pass",INDEX(Comp3[Comparable '#3 Price],MATCH(Benchmark2[[#This Row],[Benchmark '#2 Dates]],Comp3[Comparable '#3 Dates],0)),"-")</f>
        <v>165.58</v>
      </c>
    </row>
    <row r="516" spans="1:11">
      <c r="A516" s="103">
        <v>44033</v>
      </c>
      <c r="B516" s="104">
        <v>12508.683000000001</v>
      </c>
      <c r="C516" s="4">
        <f t="shared" si="8"/>
        <v>9.2924967816482226E-3</v>
      </c>
      <c r="D516" s="1" t="str">
        <f>IF(COUNTIF(Target1[Target Dates],Benchmark2[[#This Row],[Benchmark '#2 Dates]])=1,"Pass","Fail")</f>
        <v>Pass</v>
      </c>
      <c r="E516" s="6">
        <f>IF(Benchmark2[[#This Row],[Target Date Check]]="Pass",INDEX(Target1[Target Price],MATCH(Benchmark2[[#This Row],[Benchmark '#2 Dates]],Target1[Target Dates],0)),"-")</f>
        <v>46.84</v>
      </c>
      <c r="F516" s="1" t="str">
        <f>IF(COUNTIF(Comp1[Comparable '#1 Dates],Benchmark2[[#This Row],[Benchmark '#2 Dates]])=1,"Pass","Fail")</f>
        <v>Pass</v>
      </c>
      <c r="G516" s="6">
        <f>IF(Benchmark2[[#This Row],[Comparable '#1 Date Check]]="Pass",INDEX(Comp1[Comparable '#1 Price],MATCH(Benchmark2[[#This Row],[Benchmark '#2 Dates]],Comp1[Comparable '#1 Dates],0)),"-")</f>
        <v>11.025</v>
      </c>
      <c r="H516" s="1" t="str">
        <f>IF(COUNTIF(Comp2[Comparable '#2 Dates],Benchmark2[[#This Row],[Benchmark '#2 Dates]])=1,"Pass","Fail")</f>
        <v>Pass</v>
      </c>
      <c r="I516" s="6">
        <f>IF(Benchmark2[[#This Row],[Comparable '#2 Date Check]]="Pass",INDEX(Comp2[Comparable '#2 Price],MATCH(Benchmark2[[#This Row],[Benchmark '#2 Dates]],Comp2[Comparable '#2 Dates],0)),"-")</f>
        <v>36.32</v>
      </c>
      <c r="J516" s="1" t="str">
        <f>IF(COUNTIF(Comp3[Comparable '#3 Dates],Benchmark2[[#This Row],[Benchmark '#2 Dates]])=1,"Pass","Fail")</f>
        <v>Pass</v>
      </c>
      <c r="K516" s="6">
        <f>IF(Benchmark2[[#This Row],[Comparable '#3 Date Check]]="Pass",INDEX(Comp3[Comparable '#3 Price],MATCH(Benchmark2[[#This Row],[Benchmark '#2 Dates]],Comp3[Comparable '#3 Dates],0)),"-")</f>
        <v>168.63</v>
      </c>
    </row>
    <row r="517" spans="1:11">
      <c r="A517" s="103">
        <v>44034</v>
      </c>
      <c r="B517" s="104">
        <v>12569.07</v>
      </c>
      <c r="C517" s="4">
        <f t="shared" si="8"/>
        <v>4.8159910273301134E-3</v>
      </c>
      <c r="D517" s="1" t="str">
        <f>IF(COUNTIF(Target1[Target Dates],Benchmark2[[#This Row],[Benchmark '#2 Dates]])=1,"Pass","Fail")</f>
        <v>Pass</v>
      </c>
      <c r="E517" s="6">
        <f>IF(Benchmark2[[#This Row],[Target Date Check]]="Pass",INDEX(Target1[Target Price],MATCH(Benchmark2[[#This Row],[Benchmark '#2 Dates]],Target1[Target Dates],0)),"-")</f>
        <v>49.39</v>
      </c>
      <c r="F517" s="1" t="str">
        <f>IF(COUNTIF(Comp1[Comparable '#1 Dates],Benchmark2[[#This Row],[Benchmark '#2 Dates]])=1,"Pass","Fail")</f>
        <v>Pass</v>
      </c>
      <c r="G517" s="6">
        <f>IF(Benchmark2[[#This Row],[Comparable '#1 Date Check]]="Pass",INDEX(Comp1[Comparable '#1 Price],MATCH(Benchmark2[[#This Row],[Benchmark '#2 Dates]],Comp1[Comparable '#1 Dates],0)),"-")</f>
        <v>11.385</v>
      </c>
      <c r="H517" s="1" t="str">
        <f>IF(COUNTIF(Comp2[Comparable '#2 Dates],Benchmark2[[#This Row],[Benchmark '#2 Dates]])=1,"Pass","Fail")</f>
        <v>Pass</v>
      </c>
      <c r="I517" s="6">
        <f>IF(Benchmark2[[#This Row],[Comparable '#2 Date Check]]="Pass",INDEX(Comp2[Comparable '#2 Price],MATCH(Benchmark2[[#This Row],[Benchmark '#2 Dates]],Comp2[Comparable '#2 Dates],0)),"-")</f>
        <v>36.35</v>
      </c>
      <c r="J517" s="1" t="str">
        <f>IF(COUNTIF(Comp3[Comparable '#3 Dates],Benchmark2[[#This Row],[Benchmark '#2 Dates]])=1,"Pass","Fail")</f>
        <v>Pass</v>
      </c>
      <c r="K517" s="6">
        <f>IF(Benchmark2[[#This Row],[Comparable '#3 Date Check]]="Pass",INDEX(Comp3[Comparable '#3 Price],MATCH(Benchmark2[[#This Row],[Benchmark '#2 Dates]],Comp3[Comparable '#3 Dates],0)),"-")</f>
        <v>167.7</v>
      </c>
    </row>
    <row r="518" spans="1:11">
      <c r="A518" s="103">
        <v>44035</v>
      </c>
      <c r="B518" s="104">
        <v>12510.8667</v>
      </c>
      <c r="C518" s="4">
        <f t="shared" si="8"/>
        <v>-4.6414315303185422E-3</v>
      </c>
      <c r="D518" s="1" t="str">
        <f>IF(COUNTIF(Target1[Target Dates],Benchmark2[[#This Row],[Benchmark '#2 Dates]])=1,"Pass","Fail")</f>
        <v>Pass</v>
      </c>
      <c r="E518" s="6">
        <f>IF(Benchmark2[[#This Row],[Target Date Check]]="Pass",INDEX(Target1[Target Price],MATCH(Benchmark2[[#This Row],[Benchmark '#2 Dates]],Target1[Target Dates],0)),"-")</f>
        <v>46.33</v>
      </c>
      <c r="F518" s="1" t="str">
        <f>IF(COUNTIF(Comp1[Comparable '#1 Dates],Benchmark2[[#This Row],[Benchmark '#2 Dates]])=1,"Pass","Fail")</f>
        <v>Pass</v>
      </c>
      <c r="G518" s="6">
        <f>IF(Benchmark2[[#This Row],[Comparable '#1 Date Check]]="Pass",INDEX(Comp1[Comparable '#1 Price],MATCH(Benchmark2[[#This Row],[Benchmark '#2 Dates]],Comp1[Comparable '#1 Dates],0)),"-")</f>
        <v>11.275</v>
      </c>
      <c r="H518" s="1" t="str">
        <f>IF(COUNTIF(Comp2[Comparable '#2 Dates],Benchmark2[[#This Row],[Benchmark '#2 Dates]])=1,"Pass","Fail")</f>
        <v>Pass</v>
      </c>
      <c r="I518" s="6">
        <f>IF(Benchmark2[[#This Row],[Comparable '#2 Date Check]]="Pass",INDEX(Comp2[Comparable '#2 Price],MATCH(Benchmark2[[#This Row],[Benchmark '#2 Dates]],Comp2[Comparable '#2 Dates],0)),"-")</f>
        <v>36.47</v>
      </c>
      <c r="J518" s="1" t="str">
        <f>IF(COUNTIF(Comp3[Comparable '#3 Dates],Benchmark2[[#This Row],[Benchmark '#2 Dates]])=1,"Pass","Fail")</f>
        <v>Pass</v>
      </c>
      <c r="K518" s="6">
        <f>IF(Benchmark2[[#This Row],[Comparable '#3 Date Check]]="Pass",INDEX(Comp3[Comparable '#3 Price],MATCH(Benchmark2[[#This Row],[Benchmark '#2 Dates]],Comp3[Comparable '#3 Dates],0)),"-")</f>
        <v>166.92</v>
      </c>
    </row>
    <row r="519" spans="1:11">
      <c r="A519" s="103">
        <v>44036</v>
      </c>
      <c r="B519" s="104">
        <v>12461.7781</v>
      </c>
      <c r="C519" s="4">
        <f t="shared" si="8"/>
        <v>-3.9313948217091065E-3</v>
      </c>
      <c r="D519" s="1" t="str">
        <f>IF(COUNTIF(Target1[Target Dates],Benchmark2[[#This Row],[Benchmark '#2 Dates]])=1,"Pass","Fail")</f>
        <v>Pass</v>
      </c>
      <c r="E519" s="6">
        <f>IF(Benchmark2[[#This Row],[Target Date Check]]="Pass",INDEX(Target1[Target Price],MATCH(Benchmark2[[#This Row],[Benchmark '#2 Dates]],Target1[Target Dates],0)),"-")</f>
        <v>47.57</v>
      </c>
      <c r="F519" s="1" t="str">
        <f>IF(COUNTIF(Comp1[Comparable '#1 Dates],Benchmark2[[#This Row],[Benchmark '#2 Dates]])=1,"Pass","Fail")</f>
        <v>Pass</v>
      </c>
      <c r="G519" s="6">
        <f>IF(Benchmark2[[#This Row],[Comparable '#1 Date Check]]="Pass",INDEX(Comp1[Comparable '#1 Price],MATCH(Benchmark2[[#This Row],[Benchmark '#2 Dates]],Comp1[Comparable '#1 Dates],0)),"-")</f>
        <v>11.04</v>
      </c>
      <c r="H519" s="1" t="str">
        <f>IF(COUNTIF(Comp2[Comparable '#2 Dates],Benchmark2[[#This Row],[Benchmark '#2 Dates]])=1,"Pass","Fail")</f>
        <v>Pass</v>
      </c>
      <c r="I519" s="6">
        <f>IF(Benchmark2[[#This Row],[Comparable '#2 Date Check]]="Pass",INDEX(Comp2[Comparable '#2 Price],MATCH(Benchmark2[[#This Row],[Benchmark '#2 Dates]],Comp2[Comparable '#2 Dates],0)),"-")</f>
        <v>36.47</v>
      </c>
      <c r="J519" s="1" t="str">
        <f>IF(COUNTIF(Comp3[Comparable '#3 Dates],Benchmark2[[#This Row],[Benchmark '#2 Dates]])=1,"Pass","Fail")</f>
        <v>Pass</v>
      </c>
      <c r="K519" s="6">
        <f>IF(Benchmark2[[#This Row],[Comparable '#3 Date Check]]="Pass",INDEX(Comp3[Comparable '#3 Price],MATCH(Benchmark2[[#This Row],[Benchmark '#2 Dates]],Comp3[Comparable '#3 Dates],0)),"-")</f>
        <v>163.83000000000001</v>
      </c>
    </row>
    <row r="520" spans="1:11">
      <c r="A520" s="103">
        <v>44039</v>
      </c>
      <c r="B520" s="104">
        <v>12553.1296</v>
      </c>
      <c r="C520" s="4">
        <f t="shared" si="8"/>
        <v>7.3037971751996099E-3</v>
      </c>
      <c r="D520" s="1" t="str">
        <f>IF(COUNTIF(Target1[Target Dates],Benchmark2[[#This Row],[Benchmark '#2 Dates]])=1,"Pass","Fail")</f>
        <v>Pass</v>
      </c>
      <c r="E520" s="6">
        <f>IF(Benchmark2[[#This Row],[Target Date Check]]="Pass",INDEX(Target1[Target Price],MATCH(Benchmark2[[#This Row],[Benchmark '#2 Dates]],Target1[Target Dates],0)),"-")</f>
        <v>46.8</v>
      </c>
      <c r="F520" s="1" t="str">
        <f>IF(COUNTIF(Comp1[Comparable '#1 Dates],Benchmark2[[#This Row],[Benchmark '#2 Dates]])=1,"Pass","Fail")</f>
        <v>Pass</v>
      </c>
      <c r="G520" s="6">
        <f>IF(Benchmark2[[#This Row],[Comparable '#1 Date Check]]="Pass",INDEX(Comp1[Comparable '#1 Price],MATCH(Benchmark2[[#This Row],[Benchmark '#2 Dates]],Comp1[Comparable '#1 Dates],0)),"-")</f>
        <v>11.02</v>
      </c>
      <c r="H520" s="1" t="str">
        <f>IF(COUNTIF(Comp2[Comparable '#2 Dates],Benchmark2[[#This Row],[Benchmark '#2 Dates]])=1,"Pass","Fail")</f>
        <v>Pass</v>
      </c>
      <c r="I520" s="6">
        <f>IF(Benchmark2[[#This Row],[Comparable '#2 Date Check]]="Pass",INDEX(Comp2[Comparable '#2 Price],MATCH(Benchmark2[[#This Row],[Benchmark '#2 Dates]],Comp2[Comparable '#2 Dates],0)),"-")</f>
        <v>36.99</v>
      </c>
      <c r="J520" s="1" t="str">
        <f>IF(COUNTIF(Comp3[Comparable '#3 Dates],Benchmark2[[#This Row],[Benchmark '#2 Dates]])=1,"Pass","Fail")</f>
        <v>Pass</v>
      </c>
      <c r="K520" s="6">
        <f>IF(Benchmark2[[#This Row],[Comparable '#3 Date Check]]="Pass",INDEX(Comp3[Comparable '#3 Price],MATCH(Benchmark2[[#This Row],[Benchmark '#2 Dates]],Comp3[Comparable '#3 Dates],0)),"-")</f>
        <v>165.34</v>
      </c>
    </row>
    <row r="521" spans="1:11">
      <c r="A521" s="103">
        <v>44040</v>
      </c>
      <c r="B521" s="104">
        <v>12491.224200000001</v>
      </c>
      <c r="C521" s="4">
        <f t="shared" si="8"/>
        <v>-4.9436712621447679E-3</v>
      </c>
      <c r="D521" s="1" t="str">
        <f>IF(COUNTIF(Target1[Target Dates],Benchmark2[[#This Row],[Benchmark '#2 Dates]])=1,"Pass","Fail")</f>
        <v>Pass</v>
      </c>
      <c r="E521" s="6">
        <f>IF(Benchmark2[[#This Row],[Target Date Check]]="Pass",INDEX(Target1[Target Price],MATCH(Benchmark2[[#This Row],[Benchmark '#2 Dates]],Target1[Target Dates],0)),"-")</f>
        <v>46.98</v>
      </c>
      <c r="F521" s="1" t="str">
        <f>IF(COUNTIF(Comp1[Comparable '#1 Dates],Benchmark2[[#This Row],[Benchmark '#2 Dates]])=1,"Pass","Fail")</f>
        <v>Pass</v>
      </c>
      <c r="G521" s="6">
        <f>IF(Benchmark2[[#This Row],[Comparable '#1 Date Check]]="Pass",INDEX(Comp1[Comparable '#1 Price],MATCH(Benchmark2[[#This Row],[Benchmark '#2 Dates]],Comp1[Comparable '#1 Dates],0)),"-")</f>
        <v>10.86</v>
      </c>
      <c r="H521" s="1" t="str">
        <f>IF(COUNTIF(Comp2[Comparable '#2 Dates],Benchmark2[[#This Row],[Benchmark '#2 Dates]])=1,"Pass","Fail")</f>
        <v>Pass</v>
      </c>
      <c r="I521" s="6">
        <f>IF(Benchmark2[[#This Row],[Comparable '#2 Date Check]]="Pass",INDEX(Comp2[Comparable '#2 Price],MATCH(Benchmark2[[#This Row],[Benchmark '#2 Dates]],Comp2[Comparable '#2 Dates],0)),"-")</f>
        <v>36.700000000000003</v>
      </c>
      <c r="J521" s="1" t="str">
        <f>IF(COUNTIF(Comp3[Comparable '#3 Dates],Benchmark2[[#This Row],[Benchmark '#2 Dates]])=1,"Pass","Fail")</f>
        <v>Pass</v>
      </c>
      <c r="K521" s="6">
        <f>IF(Benchmark2[[#This Row],[Comparable '#3 Date Check]]="Pass",INDEX(Comp3[Comparable '#3 Price],MATCH(Benchmark2[[#This Row],[Benchmark '#2 Dates]],Comp3[Comparable '#3 Dates],0)),"-")</f>
        <v>163.66</v>
      </c>
    </row>
    <row r="522" spans="1:11">
      <c r="A522" s="103">
        <v>44041</v>
      </c>
      <c r="B522" s="104">
        <v>12669.622300000001</v>
      </c>
      <c r="C522" s="4">
        <f t="shared" si="8"/>
        <v>1.4180849566622605E-2</v>
      </c>
      <c r="D522" s="1" t="str">
        <f>IF(COUNTIF(Target1[Target Dates],Benchmark2[[#This Row],[Benchmark '#2 Dates]])=1,"Pass","Fail")</f>
        <v>Pass</v>
      </c>
      <c r="E522" s="6">
        <f>IF(Benchmark2[[#This Row],[Target Date Check]]="Pass",INDEX(Target1[Target Price],MATCH(Benchmark2[[#This Row],[Benchmark '#2 Dates]],Target1[Target Dates],0)),"-")</f>
        <v>48.6</v>
      </c>
      <c r="F522" s="1" t="str">
        <f>IF(COUNTIF(Comp1[Comparable '#1 Dates],Benchmark2[[#This Row],[Benchmark '#2 Dates]])=1,"Pass","Fail")</f>
        <v>Pass</v>
      </c>
      <c r="G522" s="6">
        <f>IF(Benchmark2[[#This Row],[Comparable '#1 Date Check]]="Pass",INDEX(Comp1[Comparable '#1 Price],MATCH(Benchmark2[[#This Row],[Benchmark '#2 Dates]],Comp1[Comparable '#1 Dates],0)),"-")</f>
        <v>12.824999999999999</v>
      </c>
      <c r="H522" s="1" t="str">
        <f>IF(COUNTIF(Comp2[Comparable '#2 Dates],Benchmark2[[#This Row],[Benchmark '#2 Dates]])=1,"Pass","Fail")</f>
        <v>Pass</v>
      </c>
      <c r="I522" s="6">
        <f>IF(Benchmark2[[#This Row],[Comparable '#2 Date Check]]="Pass",INDEX(Comp2[Comparable '#2 Price],MATCH(Benchmark2[[#This Row],[Benchmark '#2 Dates]],Comp2[Comparable '#2 Dates],0)),"-")</f>
        <v>35.6</v>
      </c>
      <c r="J522" s="1" t="str">
        <f>IF(COUNTIF(Comp3[Comparable '#3 Dates],Benchmark2[[#This Row],[Benchmark '#2 Dates]])=1,"Pass","Fail")</f>
        <v>Pass</v>
      </c>
      <c r="K522" s="6">
        <f>IF(Benchmark2[[#This Row],[Comparable '#3 Date Check]]="Pass",INDEX(Comp3[Comparable '#3 Price],MATCH(Benchmark2[[#This Row],[Benchmark '#2 Dates]],Comp3[Comparable '#3 Dates],0)),"-")</f>
        <v>139.51</v>
      </c>
    </row>
    <row r="523" spans="1:11">
      <c r="A523" s="103">
        <v>44042</v>
      </c>
      <c r="B523" s="104">
        <v>12533.2834</v>
      </c>
      <c r="C523" s="4">
        <f t="shared" si="8"/>
        <v>-1.0819405635289891E-2</v>
      </c>
      <c r="D523" s="1" t="str">
        <f>IF(COUNTIF(Target1[Target Dates],Benchmark2[[#This Row],[Benchmark '#2 Dates]])=1,"Pass","Fail")</f>
        <v>Pass</v>
      </c>
      <c r="E523" s="6">
        <f>IF(Benchmark2[[#This Row],[Target Date Check]]="Pass",INDEX(Target1[Target Price],MATCH(Benchmark2[[#This Row],[Benchmark '#2 Dates]],Target1[Target Dates],0)),"-")</f>
        <v>47.75</v>
      </c>
      <c r="F523" s="1" t="str">
        <f>IF(COUNTIF(Comp1[Comparable '#1 Dates],Benchmark2[[#This Row],[Benchmark '#2 Dates]])=1,"Pass","Fail")</f>
        <v>Pass</v>
      </c>
      <c r="G523" s="6">
        <f>IF(Benchmark2[[#This Row],[Comparable '#1 Date Check]]="Pass",INDEX(Comp1[Comparable '#1 Price],MATCH(Benchmark2[[#This Row],[Benchmark '#2 Dates]],Comp1[Comparable '#1 Dates],0)),"-")</f>
        <v>12.55</v>
      </c>
      <c r="H523" s="1" t="str">
        <f>IF(COUNTIF(Comp2[Comparable '#2 Dates],Benchmark2[[#This Row],[Benchmark '#2 Dates]])=1,"Pass","Fail")</f>
        <v>Pass</v>
      </c>
      <c r="I523" s="6">
        <f>IF(Benchmark2[[#This Row],[Comparable '#2 Date Check]]="Pass",INDEX(Comp2[Comparable '#2 Price],MATCH(Benchmark2[[#This Row],[Benchmark '#2 Dates]],Comp2[Comparable '#2 Dates],0)),"-")</f>
        <v>34.770000000000003</v>
      </c>
      <c r="J523" s="1" t="str">
        <f>IF(COUNTIF(Comp3[Comparable '#3 Dates],Benchmark2[[#This Row],[Benchmark '#2 Dates]])=1,"Pass","Fail")</f>
        <v>Pass</v>
      </c>
      <c r="K523" s="6">
        <f>IF(Benchmark2[[#This Row],[Comparable '#3 Date Check]]="Pass",INDEX(Comp3[Comparable '#3 Price],MATCH(Benchmark2[[#This Row],[Benchmark '#2 Dates]],Comp3[Comparable '#3 Dates],0)),"-")</f>
        <v>134.4</v>
      </c>
    </row>
    <row r="524" spans="1:11">
      <c r="A524" s="103">
        <v>44043</v>
      </c>
      <c r="B524" s="104">
        <v>12465.049000000001</v>
      </c>
      <c r="C524" s="4">
        <f t="shared" si="8"/>
        <v>-5.4591297026357049E-3</v>
      </c>
      <c r="D524" s="1" t="str">
        <f>IF(COUNTIF(Target1[Target Dates],Benchmark2[[#This Row],[Benchmark '#2 Dates]])=1,"Pass","Fail")</f>
        <v>Pass</v>
      </c>
      <c r="E524" s="6">
        <f>IF(Benchmark2[[#This Row],[Target Date Check]]="Pass",INDEX(Target1[Target Price],MATCH(Benchmark2[[#This Row],[Benchmark '#2 Dates]],Target1[Target Dates],0)),"-")</f>
        <v>45.79</v>
      </c>
      <c r="F524" s="1" t="str">
        <f>IF(COUNTIF(Comp1[Comparable '#1 Dates],Benchmark2[[#This Row],[Benchmark '#2 Dates]])=1,"Pass","Fail")</f>
        <v>Pass</v>
      </c>
      <c r="G524" s="6">
        <f>IF(Benchmark2[[#This Row],[Comparable '#1 Date Check]]="Pass",INDEX(Comp1[Comparable '#1 Price],MATCH(Benchmark2[[#This Row],[Benchmark '#2 Dates]],Comp1[Comparable '#1 Dates],0)),"-")</f>
        <v>12.68</v>
      </c>
      <c r="H524" s="1" t="str">
        <f>IF(COUNTIF(Comp2[Comparable '#2 Dates],Benchmark2[[#This Row],[Benchmark '#2 Dates]])=1,"Pass","Fail")</f>
        <v>Pass</v>
      </c>
      <c r="I524" s="6">
        <f>IF(Benchmark2[[#This Row],[Comparable '#2 Date Check]]="Pass",INDEX(Comp2[Comparable '#2 Price],MATCH(Benchmark2[[#This Row],[Benchmark '#2 Dates]],Comp2[Comparable '#2 Dates],0)),"-")</f>
        <v>34.340000000000003</v>
      </c>
      <c r="J524" s="1" t="str">
        <f>IF(COUNTIF(Comp3[Comparable '#3 Dates],Benchmark2[[#This Row],[Benchmark '#2 Dates]])=1,"Pass","Fail")</f>
        <v>Pass</v>
      </c>
      <c r="K524" s="6">
        <f>IF(Benchmark2[[#This Row],[Comparable '#3 Date Check]]="Pass",INDEX(Comp3[Comparable '#3 Price],MATCH(Benchmark2[[#This Row],[Benchmark '#2 Dates]],Comp3[Comparable '#3 Dates],0)),"-")</f>
        <v>126.21</v>
      </c>
    </row>
    <row r="525" spans="1:11">
      <c r="A525" s="103">
        <v>44046</v>
      </c>
      <c r="B525" s="104">
        <v>12536.811900000001</v>
      </c>
      <c r="C525" s="4">
        <f t="shared" si="8"/>
        <v>5.7406204573437428E-3</v>
      </c>
      <c r="D525" s="1" t="str">
        <f>IF(COUNTIF(Target1[Target Dates],Benchmark2[[#This Row],[Benchmark '#2 Dates]])=1,"Pass","Fail")</f>
        <v>Pass</v>
      </c>
      <c r="E525" s="6">
        <f>IF(Benchmark2[[#This Row],[Target Date Check]]="Pass",INDEX(Target1[Target Price],MATCH(Benchmark2[[#This Row],[Benchmark '#2 Dates]],Target1[Target Dates],0)),"-")</f>
        <v>46.54</v>
      </c>
      <c r="F525" s="1" t="str">
        <f>IF(COUNTIF(Comp1[Comparable '#1 Dates],Benchmark2[[#This Row],[Benchmark '#2 Dates]])=1,"Pass","Fail")</f>
        <v>Pass</v>
      </c>
      <c r="G525" s="6">
        <f>IF(Benchmark2[[#This Row],[Comparable '#1 Date Check]]="Pass",INDEX(Comp1[Comparable '#1 Price],MATCH(Benchmark2[[#This Row],[Benchmark '#2 Dates]],Comp1[Comparable '#1 Dates],0)),"-")</f>
        <v>12.18</v>
      </c>
      <c r="H525" s="1" t="str">
        <f>IF(COUNTIF(Comp2[Comparable '#2 Dates],Benchmark2[[#This Row],[Benchmark '#2 Dates]])=1,"Pass","Fail")</f>
        <v>Pass</v>
      </c>
      <c r="I525" s="6">
        <f>IF(Benchmark2[[#This Row],[Comparable '#2 Date Check]]="Pass",INDEX(Comp2[Comparable '#2 Price],MATCH(Benchmark2[[#This Row],[Benchmark '#2 Dates]],Comp2[Comparable '#2 Dates],0)),"-")</f>
        <v>33.94</v>
      </c>
      <c r="J525" s="1" t="str">
        <f>IF(COUNTIF(Comp3[Comparable '#3 Dates],Benchmark2[[#This Row],[Benchmark '#2 Dates]])=1,"Pass","Fail")</f>
        <v>Pass</v>
      </c>
      <c r="K525" s="6">
        <f>IF(Benchmark2[[#This Row],[Comparable '#3 Date Check]]="Pass",INDEX(Comp3[Comparable '#3 Price],MATCH(Benchmark2[[#This Row],[Benchmark '#2 Dates]],Comp3[Comparable '#3 Dates],0)),"-")</f>
        <v>120.49</v>
      </c>
    </row>
    <row r="526" spans="1:11">
      <c r="A526" s="103">
        <v>44047</v>
      </c>
      <c r="B526" s="104">
        <v>12612.091399999999</v>
      </c>
      <c r="C526" s="4">
        <f t="shared" si="8"/>
        <v>5.986720290882791E-3</v>
      </c>
      <c r="D526" s="1" t="str">
        <f>IF(COUNTIF(Target1[Target Dates],Benchmark2[[#This Row],[Benchmark '#2 Dates]])=1,"Pass","Fail")</f>
        <v>Pass</v>
      </c>
      <c r="E526" s="6">
        <f>IF(Benchmark2[[#This Row],[Target Date Check]]="Pass",INDEX(Target1[Target Price],MATCH(Benchmark2[[#This Row],[Benchmark '#2 Dates]],Target1[Target Dates],0)),"-")</f>
        <v>47.08</v>
      </c>
      <c r="F526" s="1" t="str">
        <f>IF(COUNTIF(Comp1[Comparable '#1 Dates],Benchmark2[[#This Row],[Benchmark '#2 Dates]])=1,"Pass","Fail")</f>
        <v>Pass</v>
      </c>
      <c r="G526" s="6">
        <f>IF(Benchmark2[[#This Row],[Comparable '#1 Date Check]]="Pass",INDEX(Comp1[Comparable '#1 Price],MATCH(Benchmark2[[#This Row],[Benchmark '#2 Dates]],Comp1[Comparable '#1 Dates],0)),"-")</f>
        <v>12.03</v>
      </c>
      <c r="H526" s="1" t="str">
        <f>IF(COUNTIF(Comp2[Comparable '#2 Dates],Benchmark2[[#This Row],[Benchmark '#2 Dates]])=1,"Pass","Fail")</f>
        <v>Pass</v>
      </c>
      <c r="I526" s="6">
        <f>IF(Benchmark2[[#This Row],[Comparable '#2 Date Check]]="Pass",INDEX(Comp2[Comparable '#2 Price],MATCH(Benchmark2[[#This Row],[Benchmark '#2 Dates]],Comp2[Comparable '#2 Dates],0)),"-")</f>
        <v>34.659999999999997</v>
      </c>
      <c r="J526" s="1" t="str">
        <f>IF(COUNTIF(Comp3[Comparable '#3 Dates],Benchmark2[[#This Row],[Benchmark '#2 Dates]])=1,"Pass","Fail")</f>
        <v>Pass</v>
      </c>
      <c r="K526" s="6">
        <f>IF(Benchmark2[[#This Row],[Comparable '#3 Date Check]]="Pass",INDEX(Comp3[Comparable '#3 Price],MATCH(Benchmark2[[#This Row],[Benchmark '#2 Dates]],Comp3[Comparable '#3 Dates],0)),"-")</f>
        <v>117.84</v>
      </c>
    </row>
    <row r="527" spans="1:11">
      <c r="A527" s="103">
        <v>44048</v>
      </c>
      <c r="B527" s="104">
        <v>12731.554099999999</v>
      </c>
      <c r="C527" s="4">
        <f t="shared" si="8"/>
        <v>9.4274980918899794E-3</v>
      </c>
      <c r="D527" s="1" t="str">
        <f>IF(COUNTIF(Target1[Target Dates],Benchmark2[[#This Row],[Benchmark '#2 Dates]])=1,"Pass","Fail")</f>
        <v>Pass</v>
      </c>
      <c r="E527" s="6">
        <f>IF(Benchmark2[[#This Row],[Target Date Check]]="Pass",INDEX(Target1[Target Price],MATCH(Benchmark2[[#This Row],[Benchmark '#2 Dates]],Target1[Target Dates],0)),"-")</f>
        <v>51.6</v>
      </c>
      <c r="F527" s="1" t="str">
        <f>IF(COUNTIF(Comp1[Comparable '#1 Dates],Benchmark2[[#This Row],[Benchmark '#2 Dates]])=1,"Pass","Fail")</f>
        <v>Pass</v>
      </c>
      <c r="G527" s="6">
        <f>IF(Benchmark2[[#This Row],[Comparable '#1 Date Check]]="Pass",INDEX(Comp1[Comparable '#1 Price],MATCH(Benchmark2[[#This Row],[Benchmark '#2 Dates]],Comp1[Comparable '#1 Dates],0)),"-")</f>
        <v>12.08</v>
      </c>
      <c r="H527" s="1" t="str">
        <f>IF(COUNTIF(Comp2[Comparable '#2 Dates],Benchmark2[[#This Row],[Benchmark '#2 Dates]])=1,"Pass","Fail")</f>
        <v>Pass</v>
      </c>
      <c r="I527" s="6">
        <f>IF(Benchmark2[[#This Row],[Comparable '#2 Date Check]]="Pass",INDEX(Comp2[Comparable '#2 Price],MATCH(Benchmark2[[#This Row],[Benchmark '#2 Dates]],Comp2[Comparable '#2 Dates],0)),"-")</f>
        <v>35.619999999999997</v>
      </c>
      <c r="J527" s="1" t="str">
        <f>IF(COUNTIF(Comp3[Comparable '#3 Dates],Benchmark2[[#This Row],[Benchmark '#2 Dates]])=1,"Pass","Fail")</f>
        <v>Pass</v>
      </c>
      <c r="K527" s="6">
        <f>IF(Benchmark2[[#This Row],[Comparable '#3 Date Check]]="Pass",INDEX(Comp3[Comparable '#3 Price],MATCH(Benchmark2[[#This Row],[Benchmark '#2 Dates]],Comp3[Comparable '#3 Dates],0)),"-")</f>
        <v>114.35</v>
      </c>
    </row>
    <row r="528" spans="1:11">
      <c r="A528" s="103">
        <v>44049</v>
      </c>
      <c r="B528" s="104">
        <v>12729.1651</v>
      </c>
      <c r="C528" s="4">
        <f t="shared" si="8"/>
        <v>-1.8766162795665344E-4</v>
      </c>
      <c r="D528" s="1" t="str">
        <f>IF(COUNTIF(Target1[Target Dates],Benchmark2[[#This Row],[Benchmark '#2 Dates]])=1,"Pass","Fail")</f>
        <v>Pass</v>
      </c>
      <c r="E528" s="6">
        <f>IF(Benchmark2[[#This Row],[Target Date Check]]="Pass",INDEX(Target1[Target Price],MATCH(Benchmark2[[#This Row],[Benchmark '#2 Dates]],Target1[Target Dates],0)),"-")</f>
        <v>49.36</v>
      </c>
      <c r="F528" s="1" t="str">
        <f>IF(COUNTIF(Comp1[Comparable '#1 Dates],Benchmark2[[#This Row],[Benchmark '#2 Dates]])=1,"Pass","Fail")</f>
        <v>Pass</v>
      </c>
      <c r="G528" s="6">
        <f>IF(Benchmark2[[#This Row],[Comparable '#1 Date Check]]="Pass",INDEX(Comp1[Comparable '#1 Price],MATCH(Benchmark2[[#This Row],[Benchmark '#2 Dates]],Comp1[Comparable '#1 Dates],0)),"-")</f>
        <v>12.72</v>
      </c>
      <c r="H528" s="1" t="str">
        <f>IF(COUNTIF(Comp2[Comparable '#2 Dates],Benchmark2[[#This Row],[Benchmark '#2 Dates]])=1,"Pass","Fail")</f>
        <v>Pass</v>
      </c>
      <c r="I528" s="6">
        <f>IF(Benchmark2[[#This Row],[Comparable '#2 Date Check]]="Pass",INDEX(Comp2[Comparable '#2 Price],MATCH(Benchmark2[[#This Row],[Benchmark '#2 Dates]],Comp2[Comparable '#2 Dates],0)),"-")</f>
        <v>35.78</v>
      </c>
      <c r="J528" s="1" t="str">
        <f>IF(COUNTIF(Comp3[Comparable '#3 Dates],Benchmark2[[#This Row],[Benchmark '#2 Dates]])=1,"Pass","Fail")</f>
        <v>Pass</v>
      </c>
      <c r="K528" s="6">
        <f>IF(Benchmark2[[#This Row],[Comparable '#3 Date Check]]="Pass",INDEX(Comp3[Comparable '#3 Price],MATCH(Benchmark2[[#This Row],[Benchmark '#2 Dates]],Comp3[Comparable '#3 Dates],0)),"-")</f>
        <v>120.37</v>
      </c>
    </row>
    <row r="529" spans="1:11">
      <c r="A529" s="103">
        <v>44050</v>
      </c>
      <c r="B529" s="104">
        <v>12765.843800000001</v>
      </c>
      <c r="C529" s="4">
        <f t="shared" si="8"/>
        <v>2.8773259463548092E-3</v>
      </c>
      <c r="D529" s="1" t="str">
        <f>IF(COUNTIF(Target1[Target Dates],Benchmark2[[#This Row],[Benchmark '#2 Dates]])=1,"Pass","Fail")</f>
        <v>Pass</v>
      </c>
      <c r="E529" s="6">
        <f>IF(Benchmark2[[#This Row],[Target Date Check]]="Pass",INDEX(Target1[Target Price],MATCH(Benchmark2[[#This Row],[Benchmark '#2 Dates]],Target1[Target Dates],0)),"-")</f>
        <v>49.57</v>
      </c>
      <c r="F529" s="1" t="str">
        <f>IF(COUNTIF(Comp1[Comparable '#1 Dates],Benchmark2[[#This Row],[Benchmark '#2 Dates]])=1,"Pass","Fail")</f>
        <v>Pass</v>
      </c>
      <c r="G529" s="6">
        <f>IF(Benchmark2[[#This Row],[Comparable '#1 Date Check]]="Pass",INDEX(Comp1[Comparable '#1 Price],MATCH(Benchmark2[[#This Row],[Benchmark '#2 Dates]],Comp1[Comparable '#1 Dates],0)),"-")</f>
        <v>12.9</v>
      </c>
      <c r="H529" s="1" t="str">
        <f>IF(COUNTIF(Comp2[Comparable '#2 Dates],Benchmark2[[#This Row],[Benchmark '#2 Dates]])=1,"Pass","Fail")</f>
        <v>Pass</v>
      </c>
      <c r="I529" s="6">
        <f>IF(Benchmark2[[#This Row],[Comparable '#2 Date Check]]="Pass",INDEX(Comp2[Comparable '#2 Price],MATCH(Benchmark2[[#This Row],[Benchmark '#2 Dates]],Comp2[Comparable '#2 Dates],0)),"-")</f>
        <v>36.01</v>
      </c>
      <c r="J529" s="1" t="str">
        <f>IF(COUNTIF(Comp3[Comparable '#3 Dates],Benchmark2[[#This Row],[Benchmark '#2 Dates]])=1,"Pass","Fail")</f>
        <v>Pass</v>
      </c>
      <c r="K529" s="6">
        <f>IF(Benchmark2[[#This Row],[Comparable '#3 Date Check]]="Pass",INDEX(Comp3[Comparable '#3 Price],MATCH(Benchmark2[[#This Row],[Benchmark '#2 Dates]],Comp3[Comparable '#3 Dates],0)),"-")</f>
        <v>116.36</v>
      </c>
    </row>
    <row r="530" spans="1:11">
      <c r="A530" s="103">
        <v>44053</v>
      </c>
      <c r="B530" s="104">
        <v>12844.0165</v>
      </c>
      <c r="C530" s="4">
        <f t="shared" si="8"/>
        <v>6.1049097398413622E-3</v>
      </c>
      <c r="D530" s="1" t="str">
        <f>IF(COUNTIF(Target1[Target Dates],Benchmark2[[#This Row],[Benchmark '#2 Dates]])=1,"Pass","Fail")</f>
        <v>Pass</v>
      </c>
      <c r="E530" s="6">
        <f>IF(Benchmark2[[#This Row],[Target Date Check]]="Pass",INDEX(Target1[Target Price],MATCH(Benchmark2[[#This Row],[Benchmark '#2 Dates]],Target1[Target Dates],0)),"-")</f>
        <v>48</v>
      </c>
      <c r="F530" s="1" t="str">
        <f>IF(COUNTIF(Comp1[Comparable '#1 Dates],Benchmark2[[#This Row],[Benchmark '#2 Dates]])=1,"Pass","Fail")</f>
        <v>Pass</v>
      </c>
      <c r="G530" s="6">
        <f>IF(Benchmark2[[#This Row],[Comparable '#1 Date Check]]="Pass",INDEX(Comp1[Comparable '#1 Price],MATCH(Benchmark2[[#This Row],[Benchmark '#2 Dates]],Comp1[Comparable '#1 Dates],0)),"-")</f>
        <v>13.33</v>
      </c>
      <c r="H530" s="1" t="str">
        <f>IF(COUNTIF(Comp2[Comparable '#2 Dates],Benchmark2[[#This Row],[Benchmark '#2 Dates]])=1,"Pass","Fail")</f>
        <v>Pass</v>
      </c>
      <c r="I530" s="6">
        <f>IF(Benchmark2[[#This Row],[Comparable '#2 Date Check]]="Pass",INDEX(Comp2[Comparable '#2 Price],MATCH(Benchmark2[[#This Row],[Benchmark '#2 Dates]],Comp2[Comparable '#2 Dates],0)),"-")</f>
        <v>37.04</v>
      </c>
      <c r="J530" s="1" t="str">
        <f>IF(COUNTIF(Comp3[Comparable '#3 Dates],Benchmark2[[#This Row],[Benchmark '#2 Dates]])=1,"Pass","Fail")</f>
        <v>Pass</v>
      </c>
      <c r="K530" s="6">
        <f>IF(Benchmark2[[#This Row],[Comparable '#3 Date Check]]="Pass",INDEX(Comp3[Comparable '#3 Price],MATCH(Benchmark2[[#This Row],[Benchmark '#2 Dates]],Comp3[Comparable '#3 Dates],0)),"-")</f>
        <v>121.19</v>
      </c>
    </row>
    <row r="531" spans="1:11">
      <c r="A531" s="103">
        <v>44054</v>
      </c>
      <c r="B531" s="104">
        <v>12849.3706</v>
      </c>
      <c r="C531" s="4">
        <f t="shared" si="8"/>
        <v>4.1676872392582465E-4</v>
      </c>
      <c r="D531" s="1" t="str">
        <f>IF(COUNTIF(Target1[Target Dates],Benchmark2[[#This Row],[Benchmark '#2 Dates]])=1,"Pass","Fail")</f>
        <v>Pass</v>
      </c>
      <c r="E531" s="6">
        <f>IF(Benchmark2[[#This Row],[Target Date Check]]="Pass",INDEX(Target1[Target Price],MATCH(Benchmark2[[#This Row],[Benchmark '#2 Dates]],Target1[Target Dates],0)),"-")</f>
        <v>47.07</v>
      </c>
      <c r="F531" s="1" t="str">
        <f>IF(COUNTIF(Comp1[Comparable '#1 Dates],Benchmark2[[#This Row],[Benchmark '#2 Dates]])=1,"Pass","Fail")</f>
        <v>Pass</v>
      </c>
      <c r="G531" s="6">
        <f>IF(Benchmark2[[#This Row],[Comparable '#1 Date Check]]="Pass",INDEX(Comp1[Comparable '#1 Price],MATCH(Benchmark2[[#This Row],[Benchmark '#2 Dates]],Comp1[Comparable '#1 Dates],0)),"-")</f>
        <v>13.31</v>
      </c>
      <c r="H531" s="1" t="str">
        <f>IF(COUNTIF(Comp2[Comparable '#2 Dates],Benchmark2[[#This Row],[Benchmark '#2 Dates]])=1,"Pass","Fail")</f>
        <v>Pass</v>
      </c>
      <c r="I531" s="6">
        <f>IF(Benchmark2[[#This Row],[Comparable '#2 Date Check]]="Pass",INDEX(Comp2[Comparable '#2 Price],MATCH(Benchmark2[[#This Row],[Benchmark '#2 Dates]],Comp2[Comparable '#2 Dates],0)),"-")</f>
        <v>37.520000000000003</v>
      </c>
      <c r="J531" s="1" t="str">
        <f>IF(COUNTIF(Comp3[Comparable '#3 Dates],Benchmark2[[#This Row],[Benchmark '#2 Dates]])=1,"Pass","Fail")</f>
        <v>Pass</v>
      </c>
      <c r="K531" s="6">
        <f>IF(Benchmark2[[#This Row],[Comparable '#3 Date Check]]="Pass",INDEX(Comp3[Comparable '#3 Price],MATCH(Benchmark2[[#This Row],[Benchmark '#2 Dates]],Comp3[Comparable '#3 Dates],0)),"-")</f>
        <v>121.52</v>
      </c>
    </row>
    <row r="532" spans="1:11">
      <c r="A532" s="103">
        <v>44055</v>
      </c>
      <c r="B532" s="104">
        <v>12974.824699999999</v>
      </c>
      <c r="C532" s="4">
        <f t="shared" si="8"/>
        <v>9.7160887664851786E-3</v>
      </c>
      <c r="D532" s="1" t="str">
        <f>IF(COUNTIF(Target1[Target Dates],Benchmark2[[#This Row],[Benchmark '#2 Dates]])=1,"Pass","Fail")</f>
        <v>Pass</v>
      </c>
      <c r="E532" s="6">
        <f>IF(Benchmark2[[#This Row],[Target Date Check]]="Pass",INDEX(Target1[Target Price],MATCH(Benchmark2[[#This Row],[Benchmark '#2 Dates]],Target1[Target Dates],0)),"-")</f>
        <v>45.05</v>
      </c>
      <c r="F532" s="1" t="str">
        <f>IF(COUNTIF(Comp1[Comparable '#1 Dates],Benchmark2[[#This Row],[Benchmark '#2 Dates]])=1,"Pass","Fail")</f>
        <v>Pass</v>
      </c>
      <c r="G532" s="6">
        <f>IF(Benchmark2[[#This Row],[Comparable '#1 Date Check]]="Pass",INDEX(Comp1[Comparable '#1 Price],MATCH(Benchmark2[[#This Row],[Benchmark '#2 Dates]],Comp1[Comparable '#1 Dates],0)),"-")</f>
        <v>13.08</v>
      </c>
      <c r="H532" s="1" t="str">
        <f>IF(COUNTIF(Comp2[Comparable '#2 Dates],Benchmark2[[#This Row],[Benchmark '#2 Dates]])=1,"Pass","Fail")</f>
        <v>Pass</v>
      </c>
      <c r="I532" s="6">
        <f>IF(Benchmark2[[#This Row],[Comparable '#2 Date Check]]="Pass",INDEX(Comp2[Comparable '#2 Price],MATCH(Benchmark2[[#This Row],[Benchmark '#2 Dates]],Comp2[Comparable '#2 Dates],0)),"-")</f>
        <v>36.04</v>
      </c>
      <c r="J532" s="1" t="str">
        <f>IF(COUNTIF(Comp3[Comparable '#3 Dates],Benchmark2[[#This Row],[Benchmark '#2 Dates]])=1,"Pass","Fail")</f>
        <v>Pass</v>
      </c>
      <c r="K532" s="6">
        <f>IF(Benchmark2[[#This Row],[Comparable '#3 Date Check]]="Pass",INDEX(Comp3[Comparable '#3 Price],MATCH(Benchmark2[[#This Row],[Benchmark '#2 Dates]],Comp3[Comparable '#3 Dates],0)),"-")</f>
        <v>117.14</v>
      </c>
    </row>
    <row r="533" spans="1:11">
      <c r="A533" s="103">
        <v>44056</v>
      </c>
      <c r="B533" s="104">
        <v>12919.1451</v>
      </c>
      <c r="C533" s="4">
        <f t="shared" si="8"/>
        <v>-4.3005909288222179E-3</v>
      </c>
      <c r="D533" s="1" t="str">
        <f>IF(COUNTIF(Target1[Target Dates],Benchmark2[[#This Row],[Benchmark '#2 Dates]])=1,"Pass","Fail")</f>
        <v>Pass</v>
      </c>
      <c r="E533" s="6">
        <f>IF(Benchmark2[[#This Row],[Target Date Check]]="Pass",INDEX(Target1[Target Price],MATCH(Benchmark2[[#This Row],[Benchmark '#2 Dates]],Target1[Target Dates],0)),"-")</f>
        <v>45.49</v>
      </c>
      <c r="F533" s="1" t="str">
        <f>IF(COUNTIF(Comp1[Comparable '#1 Dates],Benchmark2[[#This Row],[Benchmark '#2 Dates]])=1,"Pass","Fail")</f>
        <v>Pass</v>
      </c>
      <c r="G533" s="6">
        <f>IF(Benchmark2[[#This Row],[Comparable '#1 Date Check]]="Pass",INDEX(Comp1[Comparable '#1 Price],MATCH(Benchmark2[[#This Row],[Benchmark '#2 Dates]],Comp1[Comparable '#1 Dates],0)),"-")</f>
        <v>13.06</v>
      </c>
      <c r="H533" s="1" t="str">
        <f>IF(COUNTIF(Comp2[Comparable '#2 Dates],Benchmark2[[#This Row],[Benchmark '#2 Dates]])=1,"Pass","Fail")</f>
        <v>Pass</v>
      </c>
      <c r="I533" s="6">
        <f>IF(Benchmark2[[#This Row],[Comparable '#2 Date Check]]="Pass",INDEX(Comp2[Comparable '#2 Price],MATCH(Benchmark2[[#This Row],[Benchmark '#2 Dates]],Comp2[Comparable '#2 Dates],0)),"-")</f>
        <v>35.659999999999997</v>
      </c>
      <c r="J533" s="1" t="str">
        <f>IF(COUNTIF(Comp3[Comparable '#3 Dates],Benchmark2[[#This Row],[Benchmark '#2 Dates]])=1,"Pass","Fail")</f>
        <v>Pass</v>
      </c>
      <c r="K533" s="6">
        <f>IF(Benchmark2[[#This Row],[Comparable '#3 Date Check]]="Pass",INDEX(Comp3[Comparable '#3 Price],MATCH(Benchmark2[[#This Row],[Benchmark '#2 Dates]],Comp3[Comparable '#3 Dates],0)),"-")</f>
        <v>117.07</v>
      </c>
    </row>
    <row r="534" spans="1:11">
      <c r="A534" s="103">
        <v>44057</v>
      </c>
      <c r="B534" s="104">
        <v>12902.500899999999</v>
      </c>
      <c r="C534" s="4">
        <f t="shared" si="8"/>
        <v>-1.2891666398923058E-3</v>
      </c>
      <c r="D534" s="1" t="str">
        <f>IF(COUNTIF(Target1[Target Dates],Benchmark2[[#This Row],[Benchmark '#2 Dates]])=1,"Pass","Fail")</f>
        <v>Pass</v>
      </c>
      <c r="E534" s="6">
        <f>IF(Benchmark2[[#This Row],[Target Date Check]]="Pass",INDEX(Target1[Target Price],MATCH(Benchmark2[[#This Row],[Benchmark '#2 Dates]],Target1[Target Dates],0)),"-")</f>
        <v>45.75</v>
      </c>
      <c r="F534" s="1" t="str">
        <f>IF(COUNTIF(Comp1[Comparable '#1 Dates],Benchmark2[[#This Row],[Benchmark '#2 Dates]])=1,"Pass","Fail")</f>
        <v>Pass</v>
      </c>
      <c r="G534" s="6">
        <f>IF(Benchmark2[[#This Row],[Comparable '#1 Date Check]]="Pass",INDEX(Comp1[Comparable '#1 Price],MATCH(Benchmark2[[#This Row],[Benchmark '#2 Dates]],Comp1[Comparable '#1 Dates],0)),"-")</f>
        <v>13.1</v>
      </c>
      <c r="H534" s="1" t="str">
        <f>IF(COUNTIF(Comp2[Comparable '#2 Dates],Benchmark2[[#This Row],[Benchmark '#2 Dates]])=1,"Pass","Fail")</f>
        <v>Pass</v>
      </c>
      <c r="I534" s="6">
        <f>IF(Benchmark2[[#This Row],[Comparable '#2 Date Check]]="Pass",INDEX(Comp2[Comparable '#2 Price],MATCH(Benchmark2[[#This Row],[Benchmark '#2 Dates]],Comp2[Comparable '#2 Dates],0)),"-")</f>
        <v>35.75</v>
      </c>
      <c r="J534" s="1" t="str">
        <f>IF(COUNTIF(Comp3[Comparable '#3 Dates],Benchmark2[[#This Row],[Benchmark '#2 Dates]])=1,"Pass","Fail")</f>
        <v>Pass</v>
      </c>
      <c r="K534" s="6">
        <f>IF(Benchmark2[[#This Row],[Comparable '#3 Date Check]]="Pass",INDEX(Comp3[Comparable '#3 Price],MATCH(Benchmark2[[#This Row],[Benchmark '#2 Dates]],Comp3[Comparable '#3 Dates],0)),"-")</f>
        <v>117.66</v>
      </c>
    </row>
    <row r="535" spans="1:11">
      <c r="A535" s="103">
        <v>44060</v>
      </c>
      <c r="B535" s="104">
        <v>12936.106400000001</v>
      </c>
      <c r="C535" s="4">
        <f t="shared" si="8"/>
        <v>2.6011865545385762E-3</v>
      </c>
      <c r="D535" s="1" t="str">
        <f>IF(COUNTIF(Target1[Target Dates],Benchmark2[[#This Row],[Benchmark '#2 Dates]])=1,"Pass","Fail")</f>
        <v>Pass</v>
      </c>
      <c r="E535" s="6">
        <f>IF(Benchmark2[[#This Row],[Target Date Check]]="Pass",INDEX(Target1[Target Price],MATCH(Benchmark2[[#This Row],[Benchmark '#2 Dates]],Target1[Target Dates],0)),"-")</f>
        <v>45.22</v>
      </c>
      <c r="F535" s="1" t="str">
        <f>IF(COUNTIF(Comp1[Comparable '#1 Dates],Benchmark2[[#This Row],[Benchmark '#2 Dates]])=1,"Pass","Fail")</f>
        <v>Pass</v>
      </c>
      <c r="G535" s="6">
        <f>IF(Benchmark2[[#This Row],[Comparable '#1 Date Check]]="Pass",INDEX(Comp1[Comparable '#1 Price],MATCH(Benchmark2[[#This Row],[Benchmark '#2 Dates]],Comp1[Comparable '#1 Dates],0)),"-")</f>
        <v>12.86</v>
      </c>
      <c r="H535" s="1" t="str">
        <f>IF(COUNTIF(Comp2[Comparable '#2 Dates],Benchmark2[[#This Row],[Benchmark '#2 Dates]])=1,"Pass","Fail")</f>
        <v>Pass</v>
      </c>
      <c r="I535" s="6">
        <f>IF(Benchmark2[[#This Row],[Comparable '#2 Date Check]]="Pass",INDEX(Comp2[Comparable '#2 Price],MATCH(Benchmark2[[#This Row],[Benchmark '#2 Dates]],Comp2[Comparable '#2 Dates],0)),"-")</f>
        <v>35.47</v>
      </c>
      <c r="J535" s="1" t="str">
        <f>IF(COUNTIF(Comp3[Comparable '#3 Dates],Benchmark2[[#This Row],[Benchmark '#2 Dates]])=1,"Pass","Fail")</f>
        <v>Pass</v>
      </c>
      <c r="K535" s="6">
        <f>IF(Benchmark2[[#This Row],[Comparable '#3 Date Check]]="Pass",INDEX(Comp3[Comparable '#3 Price],MATCH(Benchmark2[[#This Row],[Benchmark '#2 Dates]],Comp3[Comparable '#3 Dates],0)),"-")</f>
        <v>116.07</v>
      </c>
    </row>
    <row r="536" spans="1:11">
      <c r="A536" s="103">
        <v>44061</v>
      </c>
      <c r="B536" s="104">
        <v>12910.331399999999</v>
      </c>
      <c r="C536" s="4">
        <f t="shared" si="8"/>
        <v>-1.9944727968854081E-3</v>
      </c>
      <c r="D536" s="1" t="str">
        <f>IF(COUNTIF(Target1[Target Dates],Benchmark2[[#This Row],[Benchmark '#2 Dates]])=1,"Pass","Fail")</f>
        <v>Pass</v>
      </c>
      <c r="E536" s="6">
        <f>IF(Benchmark2[[#This Row],[Target Date Check]]="Pass",INDEX(Target1[Target Price],MATCH(Benchmark2[[#This Row],[Benchmark '#2 Dates]],Target1[Target Dates],0)),"-")</f>
        <v>44.29</v>
      </c>
      <c r="F536" s="1" t="str">
        <f>IF(COUNTIF(Comp1[Comparable '#1 Dates],Benchmark2[[#This Row],[Benchmark '#2 Dates]])=1,"Pass","Fail")</f>
        <v>Pass</v>
      </c>
      <c r="G536" s="6">
        <f>IF(Benchmark2[[#This Row],[Comparable '#1 Date Check]]="Pass",INDEX(Comp1[Comparable '#1 Price],MATCH(Benchmark2[[#This Row],[Benchmark '#2 Dates]],Comp1[Comparable '#1 Dates],0)),"-")</f>
        <v>12.79</v>
      </c>
      <c r="H536" s="1" t="str">
        <f>IF(COUNTIF(Comp2[Comparable '#2 Dates],Benchmark2[[#This Row],[Benchmark '#2 Dates]])=1,"Pass","Fail")</f>
        <v>Pass</v>
      </c>
      <c r="I536" s="6">
        <f>IF(Benchmark2[[#This Row],[Comparable '#2 Date Check]]="Pass",INDEX(Comp2[Comparable '#2 Price],MATCH(Benchmark2[[#This Row],[Benchmark '#2 Dates]],Comp2[Comparable '#2 Dates],0)),"-")</f>
        <v>35.97</v>
      </c>
      <c r="J536" s="1" t="str">
        <f>IF(COUNTIF(Comp3[Comparable '#3 Dates],Benchmark2[[#This Row],[Benchmark '#2 Dates]])=1,"Pass","Fail")</f>
        <v>Pass</v>
      </c>
      <c r="K536" s="6">
        <f>IF(Benchmark2[[#This Row],[Comparable '#3 Date Check]]="Pass",INDEX(Comp3[Comparable '#3 Price],MATCH(Benchmark2[[#This Row],[Benchmark '#2 Dates]],Comp3[Comparable '#3 Dates],0)),"-")</f>
        <v>113.56</v>
      </c>
    </row>
    <row r="537" spans="1:11">
      <c r="A537" s="103">
        <v>44062</v>
      </c>
      <c r="B537" s="104">
        <v>12859.879800000001</v>
      </c>
      <c r="C537" s="4">
        <f t="shared" si="8"/>
        <v>-3.9155025983473469E-3</v>
      </c>
      <c r="D537" s="1" t="str">
        <f>IF(COUNTIF(Target1[Target Dates],Benchmark2[[#This Row],[Benchmark '#2 Dates]])=1,"Pass","Fail")</f>
        <v>Pass</v>
      </c>
      <c r="E537" s="6">
        <f>IF(Benchmark2[[#This Row],[Target Date Check]]="Pass",INDEX(Target1[Target Price],MATCH(Benchmark2[[#This Row],[Benchmark '#2 Dates]],Target1[Target Dates],0)),"-")</f>
        <v>42.9</v>
      </c>
      <c r="F537" s="1" t="str">
        <f>IF(COUNTIF(Comp1[Comparable '#1 Dates],Benchmark2[[#This Row],[Benchmark '#2 Dates]])=1,"Pass","Fail")</f>
        <v>Pass</v>
      </c>
      <c r="G537" s="6">
        <f>IF(Benchmark2[[#This Row],[Comparable '#1 Date Check]]="Pass",INDEX(Comp1[Comparable '#1 Price],MATCH(Benchmark2[[#This Row],[Benchmark '#2 Dates]],Comp1[Comparable '#1 Dates],0)),"-")</f>
        <v>12.89</v>
      </c>
      <c r="H537" s="1" t="str">
        <f>IF(COUNTIF(Comp2[Comparable '#2 Dates],Benchmark2[[#This Row],[Benchmark '#2 Dates]])=1,"Pass","Fail")</f>
        <v>Pass</v>
      </c>
      <c r="I537" s="6">
        <f>IF(Benchmark2[[#This Row],[Comparable '#2 Date Check]]="Pass",INDEX(Comp2[Comparable '#2 Price],MATCH(Benchmark2[[#This Row],[Benchmark '#2 Dates]],Comp2[Comparable '#2 Dates],0)),"-")</f>
        <v>33.9</v>
      </c>
      <c r="J537" s="1" t="str">
        <f>IF(COUNTIF(Comp3[Comparable '#3 Dates],Benchmark2[[#This Row],[Benchmark '#2 Dates]])=1,"Pass","Fail")</f>
        <v>Pass</v>
      </c>
      <c r="K537" s="6">
        <f>IF(Benchmark2[[#This Row],[Comparable '#3 Date Check]]="Pass",INDEX(Comp3[Comparable '#3 Price],MATCH(Benchmark2[[#This Row],[Benchmark '#2 Dates]],Comp3[Comparable '#3 Dates],0)),"-")</f>
        <v>108.34</v>
      </c>
    </row>
    <row r="538" spans="1:11">
      <c r="A538" s="103">
        <v>44063</v>
      </c>
      <c r="B538" s="104">
        <v>12812.8583</v>
      </c>
      <c r="C538" s="4">
        <f t="shared" si="8"/>
        <v>-3.6631505683062567E-3</v>
      </c>
      <c r="D538" s="1" t="str">
        <f>IF(COUNTIF(Target1[Target Dates],Benchmark2[[#This Row],[Benchmark '#2 Dates]])=1,"Pass","Fail")</f>
        <v>Pass</v>
      </c>
      <c r="E538" s="6">
        <f>IF(Benchmark2[[#This Row],[Target Date Check]]="Pass",INDEX(Target1[Target Price],MATCH(Benchmark2[[#This Row],[Benchmark '#2 Dates]],Target1[Target Dates],0)),"-")</f>
        <v>42.93</v>
      </c>
      <c r="F538" s="1" t="str">
        <f>IF(COUNTIF(Comp1[Comparable '#1 Dates],Benchmark2[[#This Row],[Benchmark '#2 Dates]])=1,"Pass","Fail")</f>
        <v>Pass</v>
      </c>
      <c r="G538" s="6">
        <f>IF(Benchmark2[[#This Row],[Comparable '#1 Date Check]]="Pass",INDEX(Comp1[Comparable '#1 Price],MATCH(Benchmark2[[#This Row],[Benchmark '#2 Dates]],Comp1[Comparable '#1 Dates],0)),"-")</f>
        <v>12.71</v>
      </c>
      <c r="H538" s="1" t="str">
        <f>IF(COUNTIF(Comp2[Comparable '#2 Dates],Benchmark2[[#This Row],[Benchmark '#2 Dates]])=1,"Pass","Fail")</f>
        <v>Pass</v>
      </c>
      <c r="I538" s="6">
        <f>IF(Benchmark2[[#This Row],[Comparable '#2 Date Check]]="Pass",INDEX(Comp2[Comparable '#2 Price],MATCH(Benchmark2[[#This Row],[Benchmark '#2 Dates]],Comp2[Comparable '#2 Dates],0)),"-")</f>
        <v>33.15</v>
      </c>
      <c r="J538" s="1" t="str">
        <f>IF(COUNTIF(Comp3[Comparable '#3 Dates],Benchmark2[[#This Row],[Benchmark '#2 Dates]])=1,"Pass","Fail")</f>
        <v>Pass</v>
      </c>
      <c r="K538" s="6">
        <f>IF(Benchmark2[[#This Row],[Comparable '#3 Date Check]]="Pass",INDEX(Comp3[Comparable '#3 Price],MATCH(Benchmark2[[#This Row],[Benchmark '#2 Dates]],Comp3[Comparable '#3 Dates],0)),"-")</f>
        <v>105.35</v>
      </c>
    </row>
    <row r="539" spans="1:11">
      <c r="A539" s="103">
        <v>44064</v>
      </c>
      <c r="B539" s="104">
        <v>12809.072</v>
      </c>
      <c r="C539" s="4">
        <f t="shared" si="8"/>
        <v>-2.955515047639848E-4</v>
      </c>
      <c r="D539" s="1" t="str">
        <f>IF(COUNTIF(Target1[Target Dates],Benchmark2[[#This Row],[Benchmark '#2 Dates]])=1,"Pass","Fail")</f>
        <v>Pass</v>
      </c>
      <c r="E539" s="6">
        <f>IF(Benchmark2[[#This Row],[Target Date Check]]="Pass",INDEX(Target1[Target Price],MATCH(Benchmark2[[#This Row],[Benchmark '#2 Dates]],Target1[Target Dates],0)),"-")</f>
        <v>41.75</v>
      </c>
      <c r="F539" s="1" t="str">
        <f>IF(COUNTIF(Comp1[Comparable '#1 Dates],Benchmark2[[#This Row],[Benchmark '#2 Dates]])=1,"Pass","Fail")</f>
        <v>Pass</v>
      </c>
      <c r="G539" s="6">
        <f>IF(Benchmark2[[#This Row],[Comparable '#1 Date Check]]="Pass",INDEX(Comp1[Comparable '#1 Price],MATCH(Benchmark2[[#This Row],[Benchmark '#2 Dates]],Comp1[Comparable '#1 Dates],0)),"-")</f>
        <v>12.635</v>
      </c>
      <c r="H539" s="1" t="str">
        <f>IF(COUNTIF(Comp2[Comparable '#2 Dates],Benchmark2[[#This Row],[Benchmark '#2 Dates]])=1,"Pass","Fail")</f>
        <v>Pass</v>
      </c>
      <c r="I539" s="6">
        <f>IF(Benchmark2[[#This Row],[Comparable '#2 Date Check]]="Pass",INDEX(Comp2[Comparable '#2 Price],MATCH(Benchmark2[[#This Row],[Benchmark '#2 Dates]],Comp2[Comparable '#2 Dates],0)),"-")</f>
        <v>33.159999999999997</v>
      </c>
      <c r="J539" s="1" t="str">
        <f>IF(COUNTIF(Comp3[Comparable '#3 Dates],Benchmark2[[#This Row],[Benchmark '#2 Dates]])=1,"Pass","Fail")</f>
        <v>Pass</v>
      </c>
      <c r="K539" s="6">
        <f>IF(Benchmark2[[#This Row],[Comparable '#3 Date Check]]="Pass",INDEX(Comp3[Comparable '#3 Price],MATCH(Benchmark2[[#This Row],[Benchmark '#2 Dates]],Comp3[Comparable '#3 Dates],0)),"-")</f>
        <v>105.27</v>
      </c>
    </row>
    <row r="540" spans="1:11">
      <c r="A540" s="103">
        <v>44067</v>
      </c>
      <c r="B540" s="104">
        <v>12972.8817</v>
      </c>
      <c r="C540" s="4">
        <f t="shared" si="8"/>
        <v>1.2707485727060134E-2</v>
      </c>
      <c r="D540" s="1" t="str">
        <f>IF(COUNTIF(Target1[Target Dates],Benchmark2[[#This Row],[Benchmark '#2 Dates]])=1,"Pass","Fail")</f>
        <v>Pass</v>
      </c>
      <c r="E540" s="6">
        <f>IF(Benchmark2[[#This Row],[Target Date Check]]="Pass",INDEX(Target1[Target Price],MATCH(Benchmark2[[#This Row],[Benchmark '#2 Dates]],Target1[Target Dates],0)),"-")</f>
        <v>40.619999999999997</v>
      </c>
      <c r="F540" s="1" t="str">
        <f>IF(COUNTIF(Comp1[Comparable '#1 Dates],Benchmark2[[#This Row],[Benchmark '#2 Dates]])=1,"Pass","Fail")</f>
        <v>Pass</v>
      </c>
      <c r="G540" s="6">
        <f>IF(Benchmark2[[#This Row],[Comparable '#1 Date Check]]="Pass",INDEX(Comp1[Comparable '#1 Price],MATCH(Benchmark2[[#This Row],[Benchmark '#2 Dates]],Comp1[Comparable '#1 Dates],0)),"-")</f>
        <v>12.87</v>
      </c>
      <c r="H540" s="1" t="str">
        <f>IF(COUNTIF(Comp2[Comparable '#2 Dates],Benchmark2[[#This Row],[Benchmark '#2 Dates]])=1,"Pass","Fail")</f>
        <v>Pass</v>
      </c>
      <c r="I540" s="6">
        <f>IF(Benchmark2[[#This Row],[Comparable '#2 Date Check]]="Pass",INDEX(Comp2[Comparable '#2 Price],MATCH(Benchmark2[[#This Row],[Benchmark '#2 Dates]],Comp2[Comparable '#2 Dates],0)),"-")</f>
        <v>33.19</v>
      </c>
      <c r="J540" s="1" t="str">
        <f>IF(COUNTIF(Comp3[Comparable '#3 Dates],Benchmark2[[#This Row],[Benchmark '#2 Dates]])=1,"Pass","Fail")</f>
        <v>Pass</v>
      </c>
      <c r="K540" s="6">
        <f>IF(Benchmark2[[#This Row],[Comparable '#3 Date Check]]="Pass",INDEX(Comp3[Comparable '#3 Price],MATCH(Benchmark2[[#This Row],[Benchmark '#2 Dates]],Comp3[Comparable '#3 Dates],0)),"-")</f>
        <v>102.1</v>
      </c>
    </row>
    <row r="541" spans="1:11">
      <c r="A541" s="103">
        <v>44068</v>
      </c>
      <c r="B541" s="104">
        <v>13001.9902</v>
      </c>
      <c r="C541" s="4">
        <f t="shared" si="8"/>
        <v>2.2412824438354986E-3</v>
      </c>
      <c r="D541" s="1" t="str">
        <f>IF(COUNTIF(Target1[Target Dates],Benchmark2[[#This Row],[Benchmark '#2 Dates]])=1,"Pass","Fail")</f>
        <v>Pass</v>
      </c>
      <c r="E541" s="6">
        <f>IF(Benchmark2[[#This Row],[Target Date Check]]="Pass",INDEX(Target1[Target Price],MATCH(Benchmark2[[#This Row],[Benchmark '#2 Dates]],Target1[Target Dates],0)),"-")</f>
        <v>43.57</v>
      </c>
      <c r="F541" s="1" t="str">
        <f>IF(COUNTIF(Comp1[Comparable '#1 Dates],Benchmark2[[#This Row],[Benchmark '#2 Dates]])=1,"Pass","Fail")</f>
        <v>Pass</v>
      </c>
      <c r="G541" s="6">
        <f>IF(Benchmark2[[#This Row],[Comparable '#1 Date Check]]="Pass",INDEX(Comp1[Comparable '#1 Price],MATCH(Benchmark2[[#This Row],[Benchmark '#2 Dates]],Comp1[Comparable '#1 Dates],0)),"-")</f>
        <v>12.61</v>
      </c>
      <c r="H541" s="1" t="str">
        <f>IF(COUNTIF(Comp2[Comparable '#2 Dates],Benchmark2[[#This Row],[Benchmark '#2 Dates]])=1,"Pass","Fail")</f>
        <v>Pass</v>
      </c>
      <c r="I541" s="6">
        <f>IF(Benchmark2[[#This Row],[Comparable '#2 Date Check]]="Pass",INDEX(Comp2[Comparable '#2 Price],MATCH(Benchmark2[[#This Row],[Benchmark '#2 Dates]],Comp2[Comparable '#2 Dates],0)),"-")</f>
        <v>32.74</v>
      </c>
      <c r="J541" s="1" t="str">
        <f>IF(COUNTIF(Comp3[Comparable '#3 Dates],Benchmark2[[#This Row],[Benchmark '#2 Dates]])=1,"Pass","Fail")</f>
        <v>Pass</v>
      </c>
      <c r="K541" s="6">
        <f>IF(Benchmark2[[#This Row],[Comparable '#3 Date Check]]="Pass",INDEX(Comp3[Comparable '#3 Price],MATCH(Benchmark2[[#This Row],[Benchmark '#2 Dates]],Comp3[Comparable '#3 Dates],0)),"-")</f>
        <v>102.75</v>
      </c>
    </row>
    <row r="542" spans="1:11">
      <c r="A542" s="103">
        <v>44069</v>
      </c>
      <c r="B542" s="104">
        <v>13042.5381</v>
      </c>
      <c r="C542" s="4">
        <f t="shared" si="8"/>
        <v>3.1137390774378083E-3</v>
      </c>
      <c r="D542" s="1" t="str">
        <f>IF(COUNTIF(Target1[Target Dates],Benchmark2[[#This Row],[Benchmark '#2 Dates]])=1,"Pass","Fail")</f>
        <v>Pass</v>
      </c>
      <c r="E542" s="6">
        <f>IF(Benchmark2[[#This Row],[Target Date Check]]="Pass",INDEX(Target1[Target Price],MATCH(Benchmark2[[#This Row],[Benchmark '#2 Dates]],Target1[Target Dates],0)),"-")</f>
        <v>39.17</v>
      </c>
      <c r="F542" s="1" t="str">
        <f>IF(COUNTIF(Comp1[Comparable '#1 Dates],Benchmark2[[#This Row],[Benchmark '#2 Dates]])=1,"Pass","Fail")</f>
        <v>Pass</v>
      </c>
      <c r="G542" s="6">
        <f>IF(Benchmark2[[#This Row],[Comparable '#1 Date Check]]="Pass",INDEX(Comp1[Comparable '#1 Price],MATCH(Benchmark2[[#This Row],[Benchmark '#2 Dates]],Comp1[Comparable '#1 Dates],0)),"-")</f>
        <v>12.48</v>
      </c>
      <c r="H542" s="1" t="str">
        <f>IF(COUNTIF(Comp2[Comparable '#2 Dates],Benchmark2[[#This Row],[Benchmark '#2 Dates]])=1,"Pass","Fail")</f>
        <v>Pass</v>
      </c>
      <c r="I542" s="6">
        <f>IF(Benchmark2[[#This Row],[Comparable '#2 Date Check]]="Pass",INDEX(Comp2[Comparable '#2 Price],MATCH(Benchmark2[[#This Row],[Benchmark '#2 Dates]],Comp2[Comparable '#2 Dates],0)),"-")</f>
        <v>32.03</v>
      </c>
      <c r="J542" s="1" t="str">
        <f>IF(COUNTIF(Comp3[Comparable '#3 Dates],Benchmark2[[#This Row],[Benchmark '#2 Dates]])=1,"Pass","Fail")</f>
        <v>Pass</v>
      </c>
      <c r="K542" s="6">
        <f>IF(Benchmark2[[#This Row],[Comparable '#3 Date Check]]="Pass",INDEX(Comp3[Comparable '#3 Price],MATCH(Benchmark2[[#This Row],[Benchmark '#2 Dates]],Comp3[Comparable '#3 Dates],0)),"-")</f>
        <v>102.47</v>
      </c>
    </row>
    <row r="543" spans="1:11">
      <c r="A543" s="103">
        <v>44070</v>
      </c>
      <c r="B543" s="104">
        <v>13068.8089</v>
      </c>
      <c r="C543" s="4">
        <f t="shared" si="8"/>
        <v>2.0122139898962306E-3</v>
      </c>
      <c r="D543" s="1" t="str">
        <f>IF(COUNTIF(Target1[Target Dates],Benchmark2[[#This Row],[Benchmark '#2 Dates]])=1,"Pass","Fail")</f>
        <v>Pass</v>
      </c>
      <c r="E543" s="6">
        <f>IF(Benchmark2[[#This Row],[Target Date Check]]="Pass",INDEX(Target1[Target Price],MATCH(Benchmark2[[#This Row],[Benchmark '#2 Dates]],Target1[Target Dates],0)),"-")</f>
        <v>37.700000000000003</v>
      </c>
      <c r="F543" s="1" t="str">
        <f>IF(COUNTIF(Comp1[Comparable '#1 Dates],Benchmark2[[#This Row],[Benchmark '#2 Dates]])=1,"Pass","Fail")</f>
        <v>Pass</v>
      </c>
      <c r="G543" s="6">
        <f>IF(Benchmark2[[#This Row],[Comparable '#1 Date Check]]="Pass",INDEX(Comp1[Comparable '#1 Price],MATCH(Benchmark2[[#This Row],[Benchmark '#2 Dates]],Comp1[Comparable '#1 Dates],0)),"-")</f>
        <v>12.5</v>
      </c>
      <c r="H543" s="1" t="str">
        <f>IF(COUNTIF(Comp2[Comparable '#2 Dates],Benchmark2[[#This Row],[Benchmark '#2 Dates]])=1,"Pass","Fail")</f>
        <v>Pass</v>
      </c>
      <c r="I543" s="6">
        <f>IF(Benchmark2[[#This Row],[Comparable '#2 Date Check]]="Pass",INDEX(Comp2[Comparable '#2 Price],MATCH(Benchmark2[[#This Row],[Benchmark '#2 Dates]],Comp2[Comparable '#2 Dates],0)),"-")</f>
        <v>32.68</v>
      </c>
      <c r="J543" s="1" t="str">
        <f>IF(COUNTIF(Comp3[Comparable '#3 Dates],Benchmark2[[#This Row],[Benchmark '#2 Dates]])=1,"Pass","Fail")</f>
        <v>Pass</v>
      </c>
      <c r="K543" s="6">
        <f>IF(Benchmark2[[#This Row],[Comparable '#3 Date Check]]="Pass",INDEX(Comp3[Comparable '#3 Price],MATCH(Benchmark2[[#This Row],[Benchmark '#2 Dates]],Comp3[Comparable '#3 Dates],0)),"-")</f>
        <v>103.47</v>
      </c>
    </row>
    <row r="544" spans="1:11">
      <c r="A544" s="103">
        <v>44071</v>
      </c>
      <c r="B544" s="104">
        <v>13170.958500000001</v>
      </c>
      <c r="C544" s="4">
        <f t="shared" si="8"/>
        <v>7.7859010310722242E-3</v>
      </c>
      <c r="D544" s="1" t="str">
        <f>IF(COUNTIF(Target1[Target Dates],Benchmark2[[#This Row],[Benchmark '#2 Dates]])=1,"Pass","Fail")</f>
        <v>Pass</v>
      </c>
      <c r="E544" s="6">
        <f>IF(Benchmark2[[#This Row],[Target Date Check]]="Pass",INDEX(Target1[Target Price],MATCH(Benchmark2[[#This Row],[Benchmark '#2 Dates]],Target1[Target Dates],0)),"-")</f>
        <v>36.549999999999997</v>
      </c>
      <c r="F544" s="1" t="str">
        <f>IF(COUNTIF(Comp1[Comparable '#1 Dates],Benchmark2[[#This Row],[Benchmark '#2 Dates]])=1,"Pass","Fail")</f>
        <v>Pass</v>
      </c>
      <c r="G544" s="6">
        <f>IF(Benchmark2[[#This Row],[Comparable '#1 Date Check]]="Pass",INDEX(Comp1[Comparable '#1 Price],MATCH(Benchmark2[[#This Row],[Benchmark '#2 Dates]],Comp1[Comparable '#1 Dates],0)),"-")</f>
        <v>12.81</v>
      </c>
      <c r="H544" s="1" t="str">
        <f>IF(COUNTIF(Comp2[Comparable '#2 Dates],Benchmark2[[#This Row],[Benchmark '#2 Dates]])=1,"Pass","Fail")</f>
        <v>Pass</v>
      </c>
      <c r="I544" s="6">
        <f>IF(Benchmark2[[#This Row],[Comparable '#2 Date Check]]="Pass",INDEX(Comp2[Comparable '#2 Price],MATCH(Benchmark2[[#This Row],[Benchmark '#2 Dates]],Comp2[Comparable '#2 Dates],0)),"-")</f>
        <v>33.409999999999997</v>
      </c>
      <c r="J544" s="1" t="str">
        <f>IF(COUNTIF(Comp3[Comparable '#3 Dates],Benchmark2[[#This Row],[Benchmark '#2 Dates]])=1,"Pass","Fail")</f>
        <v>Pass</v>
      </c>
      <c r="K544" s="6">
        <f>IF(Benchmark2[[#This Row],[Comparable '#3 Date Check]]="Pass",INDEX(Comp3[Comparable '#3 Price],MATCH(Benchmark2[[#This Row],[Benchmark '#2 Dates]],Comp3[Comparable '#3 Dates],0)),"-")</f>
        <v>103.69</v>
      </c>
    </row>
    <row r="545" spans="1:11">
      <c r="A545" s="103">
        <v>44074</v>
      </c>
      <c r="B545" s="104">
        <v>13045.5967</v>
      </c>
      <c r="C545" s="4">
        <f t="shared" si="8"/>
        <v>-9.5636329441574647E-3</v>
      </c>
      <c r="D545" s="1" t="str">
        <f>IF(COUNTIF(Target1[Target Dates],Benchmark2[[#This Row],[Benchmark '#2 Dates]])=1,"Pass","Fail")</f>
        <v>Pass</v>
      </c>
      <c r="E545" s="6">
        <f>IF(Benchmark2[[#This Row],[Target Date Check]]="Pass",INDEX(Target1[Target Price],MATCH(Benchmark2[[#This Row],[Benchmark '#2 Dates]],Target1[Target Dates],0)),"-")</f>
        <v>37.21</v>
      </c>
      <c r="F545" s="1" t="str">
        <f>IF(COUNTIF(Comp1[Comparable '#1 Dates],Benchmark2[[#This Row],[Benchmark '#2 Dates]])=1,"Pass","Fail")</f>
        <v>Pass</v>
      </c>
      <c r="G545" s="6">
        <f>IF(Benchmark2[[#This Row],[Comparable '#1 Date Check]]="Pass",INDEX(Comp1[Comparable '#1 Price],MATCH(Benchmark2[[#This Row],[Benchmark '#2 Dates]],Comp1[Comparable '#1 Dates],0)),"-")</f>
        <v>12.52</v>
      </c>
      <c r="H545" s="1" t="str">
        <f>IF(COUNTIF(Comp2[Comparable '#2 Dates],Benchmark2[[#This Row],[Benchmark '#2 Dates]])=1,"Pass","Fail")</f>
        <v>Pass</v>
      </c>
      <c r="I545" s="6">
        <f>IF(Benchmark2[[#This Row],[Comparable '#2 Date Check]]="Pass",INDEX(Comp2[Comparable '#2 Price],MATCH(Benchmark2[[#This Row],[Benchmark '#2 Dates]],Comp2[Comparable '#2 Dates],0)),"-")</f>
        <v>33.200000000000003</v>
      </c>
      <c r="J545" s="1" t="str">
        <f>IF(COUNTIF(Comp3[Comparable '#3 Dates],Benchmark2[[#This Row],[Benchmark '#2 Dates]])=1,"Pass","Fail")</f>
        <v>Pass</v>
      </c>
      <c r="K545" s="6">
        <f>IF(Benchmark2[[#This Row],[Comparable '#3 Date Check]]="Pass",INDEX(Comp3[Comparable '#3 Price],MATCH(Benchmark2[[#This Row],[Benchmark '#2 Dates]],Comp3[Comparable '#3 Dates],0)),"-")</f>
        <v>102.57</v>
      </c>
    </row>
    <row r="546" spans="1:11">
      <c r="A546" s="103">
        <v>44075</v>
      </c>
      <c r="B546" s="104">
        <v>13113.740299999999</v>
      </c>
      <c r="C546" s="4">
        <f t="shared" si="8"/>
        <v>5.2098991756064344E-3</v>
      </c>
      <c r="D546" s="1" t="str">
        <f>IF(COUNTIF(Target1[Target Dates],Benchmark2[[#This Row],[Benchmark '#2 Dates]])=1,"Pass","Fail")</f>
        <v>Pass</v>
      </c>
      <c r="E546" s="6">
        <f>IF(Benchmark2[[#This Row],[Target Date Check]]="Pass",INDEX(Target1[Target Price],MATCH(Benchmark2[[#This Row],[Benchmark '#2 Dates]],Target1[Target Dates],0)),"-")</f>
        <v>38.85</v>
      </c>
      <c r="F546" s="1" t="str">
        <f>IF(COUNTIF(Comp1[Comparable '#1 Dates],Benchmark2[[#This Row],[Benchmark '#2 Dates]])=1,"Pass","Fail")</f>
        <v>Pass</v>
      </c>
      <c r="G546" s="6">
        <f>IF(Benchmark2[[#This Row],[Comparable '#1 Date Check]]="Pass",INDEX(Comp1[Comparable '#1 Price],MATCH(Benchmark2[[#This Row],[Benchmark '#2 Dates]],Comp1[Comparable '#1 Dates],0)),"-")</f>
        <v>13.04</v>
      </c>
      <c r="H546" s="1" t="str">
        <f>IF(COUNTIF(Comp2[Comparable '#2 Dates],Benchmark2[[#This Row],[Benchmark '#2 Dates]])=1,"Pass","Fail")</f>
        <v>Pass</v>
      </c>
      <c r="I546" s="6">
        <f>IF(Benchmark2[[#This Row],[Comparable '#2 Date Check]]="Pass",INDEX(Comp2[Comparable '#2 Price],MATCH(Benchmark2[[#This Row],[Benchmark '#2 Dates]],Comp2[Comparable '#2 Dates],0)),"-")</f>
        <v>34.54</v>
      </c>
      <c r="J546" s="1" t="str">
        <f>IF(COUNTIF(Comp3[Comparable '#3 Dates],Benchmark2[[#This Row],[Benchmark '#2 Dates]])=1,"Pass","Fail")</f>
        <v>Pass</v>
      </c>
      <c r="K546" s="6">
        <f>IF(Benchmark2[[#This Row],[Comparable '#3 Date Check]]="Pass",INDEX(Comp3[Comparable '#3 Price],MATCH(Benchmark2[[#This Row],[Benchmark '#2 Dates]],Comp3[Comparable '#3 Dates],0)),"-")</f>
        <v>102.6</v>
      </c>
    </row>
    <row r="547" spans="1:11">
      <c r="A547" s="103">
        <v>44076</v>
      </c>
      <c r="B547" s="104">
        <v>13276.741599999999</v>
      </c>
      <c r="C547" s="4">
        <f t="shared" si="8"/>
        <v>1.2353194114807694E-2</v>
      </c>
      <c r="D547" s="1" t="str">
        <f>IF(COUNTIF(Target1[Target Dates],Benchmark2[[#This Row],[Benchmark '#2 Dates]])=1,"Pass","Fail")</f>
        <v>Pass</v>
      </c>
      <c r="E547" s="6">
        <f>IF(Benchmark2[[#This Row],[Target Date Check]]="Pass",INDEX(Target1[Target Price],MATCH(Benchmark2[[#This Row],[Benchmark '#2 Dates]],Target1[Target Dates],0)),"-")</f>
        <v>37.549999999999997</v>
      </c>
      <c r="F547" s="1" t="str">
        <f>IF(COUNTIF(Comp1[Comparable '#1 Dates],Benchmark2[[#This Row],[Benchmark '#2 Dates]])=1,"Pass","Fail")</f>
        <v>Pass</v>
      </c>
      <c r="G547" s="6">
        <f>IF(Benchmark2[[#This Row],[Comparable '#1 Date Check]]="Pass",INDEX(Comp1[Comparable '#1 Price],MATCH(Benchmark2[[#This Row],[Benchmark '#2 Dates]],Comp1[Comparable '#1 Dates],0)),"-")</f>
        <v>12.9</v>
      </c>
      <c r="H547" s="1" t="str">
        <f>IF(COUNTIF(Comp2[Comparable '#2 Dates],Benchmark2[[#This Row],[Benchmark '#2 Dates]])=1,"Pass","Fail")</f>
        <v>Pass</v>
      </c>
      <c r="I547" s="6">
        <f>IF(Benchmark2[[#This Row],[Comparable '#2 Date Check]]="Pass",INDEX(Comp2[Comparable '#2 Price],MATCH(Benchmark2[[#This Row],[Benchmark '#2 Dates]],Comp2[Comparable '#2 Dates],0)),"-")</f>
        <v>34.619999999999997</v>
      </c>
      <c r="J547" s="1" t="str">
        <f>IF(COUNTIF(Comp3[Comparable '#3 Dates],Benchmark2[[#This Row],[Benchmark '#2 Dates]])=1,"Pass","Fail")</f>
        <v>Pass</v>
      </c>
      <c r="K547" s="6">
        <f>IF(Benchmark2[[#This Row],[Comparable '#3 Date Check]]="Pass",INDEX(Comp3[Comparable '#3 Price],MATCH(Benchmark2[[#This Row],[Benchmark '#2 Dates]],Comp3[Comparable '#3 Dates],0)),"-")</f>
        <v>102.01</v>
      </c>
    </row>
    <row r="548" spans="1:11">
      <c r="A548" s="103">
        <v>44077</v>
      </c>
      <c r="B548" s="104">
        <v>12966.1356</v>
      </c>
      <c r="C548" s="4">
        <f t="shared" si="8"/>
        <v>-2.3672747677102118E-2</v>
      </c>
      <c r="D548" s="1" t="str">
        <f>IF(COUNTIF(Target1[Target Dates],Benchmark2[[#This Row],[Benchmark '#2 Dates]])=1,"Pass","Fail")</f>
        <v>Pass</v>
      </c>
      <c r="E548" s="6">
        <f>IF(Benchmark2[[#This Row],[Target Date Check]]="Pass",INDEX(Target1[Target Price],MATCH(Benchmark2[[#This Row],[Benchmark '#2 Dates]],Target1[Target Dates],0)),"-")</f>
        <v>34.89</v>
      </c>
      <c r="F548" s="1" t="str">
        <f>IF(COUNTIF(Comp1[Comparable '#1 Dates],Benchmark2[[#This Row],[Benchmark '#2 Dates]])=1,"Pass","Fail")</f>
        <v>Pass</v>
      </c>
      <c r="G548" s="6">
        <f>IF(Benchmark2[[#This Row],[Comparable '#1 Date Check]]="Pass",INDEX(Comp1[Comparable '#1 Price],MATCH(Benchmark2[[#This Row],[Benchmark '#2 Dates]],Comp1[Comparable '#1 Dates],0)),"-")</f>
        <v>12.54</v>
      </c>
      <c r="H548" s="1" t="str">
        <f>IF(COUNTIF(Comp2[Comparable '#2 Dates],Benchmark2[[#This Row],[Benchmark '#2 Dates]])=1,"Pass","Fail")</f>
        <v>Pass</v>
      </c>
      <c r="I548" s="6">
        <f>IF(Benchmark2[[#This Row],[Comparable '#2 Date Check]]="Pass",INDEX(Comp2[Comparable '#2 Price],MATCH(Benchmark2[[#This Row],[Benchmark '#2 Dates]],Comp2[Comparable '#2 Dates],0)),"-")</f>
        <v>34.01</v>
      </c>
      <c r="J548" s="1" t="str">
        <f>IF(COUNTIF(Comp3[Comparable '#3 Dates],Benchmark2[[#This Row],[Benchmark '#2 Dates]])=1,"Pass","Fail")</f>
        <v>Pass</v>
      </c>
      <c r="K548" s="6">
        <f>IF(Benchmark2[[#This Row],[Comparable '#3 Date Check]]="Pass",INDEX(Comp3[Comparable '#3 Price],MATCH(Benchmark2[[#This Row],[Benchmark '#2 Dates]],Comp3[Comparable '#3 Dates],0)),"-")</f>
        <v>96.13</v>
      </c>
    </row>
    <row r="549" spans="1:11">
      <c r="A549" s="103">
        <v>44078</v>
      </c>
      <c r="B549" s="104">
        <v>12917.147300000001</v>
      </c>
      <c r="C549" s="4">
        <f t="shared" si="8"/>
        <v>-3.7853280578181757E-3</v>
      </c>
      <c r="D549" s="1" t="str">
        <f>IF(COUNTIF(Target1[Target Dates],Benchmark2[[#This Row],[Benchmark '#2 Dates]])=1,"Pass","Fail")</f>
        <v>Pass</v>
      </c>
      <c r="E549" s="6">
        <f>IF(Benchmark2[[#This Row],[Target Date Check]]="Pass",INDEX(Target1[Target Price],MATCH(Benchmark2[[#This Row],[Benchmark '#2 Dates]],Target1[Target Dates],0)),"-")</f>
        <v>34.28</v>
      </c>
      <c r="F549" s="1" t="str">
        <f>IF(COUNTIF(Comp1[Comparable '#1 Dates],Benchmark2[[#This Row],[Benchmark '#2 Dates]])=1,"Pass","Fail")</f>
        <v>Pass</v>
      </c>
      <c r="G549" s="6">
        <f>IF(Benchmark2[[#This Row],[Comparable '#1 Date Check]]="Pass",INDEX(Comp1[Comparable '#1 Price],MATCH(Benchmark2[[#This Row],[Benchmark '#2 Dates]],Comp1[Comparable '#1 Dates],0)),"-")</f>
        <v>12.31</v>
      </c>
      <c r="H549" s="1" t="str">
        <f>IF(COUNTIF(Comp2[Comparable '#2 Dates],Benchmark2[[#This Row],[Benchmark '#2 Dates]])=1,"Pass","Fail")</f>
        <v>Pass</v>
      </c>
      <c r="I549" s="6">
        <f>IF(Benchmark2[[#This Row],[Comparable '#2 Date Check]]="Pass",INDEX(Comp2[Comparable '#2 Price],MATCH(Benchmark2[[#This Row],[Benchmark '#2 Dates]],Comp2[Comparable '#2 Dates],0)),"-")</f>
        <v>33.08</v>
      </c>
      <c r="J549" s="1" t="str">
        <f>IF(COUNTIF(Comp3[Comparable '#3 Dates],Benchmark2[[#This Row],[Benchmark '#2 Dates]])=1,"Pass","Fail")</f>
        <v>Pass</v>
      </c>
      <c r="K549" s="6">
        <f>IF(Benchmark2[[#This Row],[Comparable '#3 Date Check]]="Pass",INDEX(Comp3[Comparable '#3 Price],MATCH(Benchmark2[[#This Row],[Benchmark '#2 Dates]],Comp3[Comparable '#3 Dates],0)),"-")</f>
        <v>94.89</v>
      </c>
    </row>
    <row r="550" spans="1:11">
      <c r="A550" s="103">
        <v>44082</v>
      </c>
      <c r="B550" s="104">
        <v>12688.0731</v>
      </c>
      <c r="C550" s="4">
        <f t="shared" si="8"/>
        <v>-1.7893250536338084E-2</v>
      </c>
      <c r="D550" s="1" t="str">
        <f>IF(COUNTIF(Target1[Target Dates],Benchmark2[[#This Row],[Benchmark '#2 Dates]])=1,"Pass","Fail")</f>
        <v>Pass</v>
      </c>
      <c r="E550" s="6">
        <f>IF(Benchmark2[[#This Row],[Target Date Check]]="Pass",INDEX(Target1[Target Price],MATCH(Benchmark2[[#This Row],[Benchmark '#2 Dates]],Target1[Target Dates],0)),"-")</f>
        <v>33.880000000000003</v>
      </c>
      <c r="F550" s="1" t="str">
        <f>IF(COUNTIF(Comp1[Comparable '#1 Dates],Benchmark2[[#This Row],[Benchmark '#2 Dates]])=1,"Pass","Fail")</f>
        <v>Pass</v>
      </c>
      <c r="G550" s="6">
        <f>IF(Benchmark2[[#This Row],[Comparable '#1 Date Check]]="Pass",INDEX(Comp1[Comparable '#1 Price],MATCH(Benchmark2[[#This Row],[Benchmark '#2 Dates]],Comp1[Comparable '#1 Dates],0)),"-")</f>
        <v>12.3</v>
      </c>
      <c r="H550" s="1" t="str">
        <f>IF(COUNTIF(Comp2[Comparable '#2 Dates],Benchmark2[[#This Row],[Benchmark '#2 Dates]])=1,"Pass","Fail")</f>
        <v>Pass</v>
      </c>
      <c r="I550" s="6">
        <f>IF(Benchmark2[[#This Row],[Comparable '#2 Date Check]]="Pass",INDEX(Comp2[Comparable '#2 Price],MATCH(Benchmark2[[#This Row],[Benchmark '#2 Dates]],Comp2[Comparable '#2 Dates],0)),"-")</f>
        <v>32.03</v>
      </c>
      <c r="J550" s="1" t="str">
        <f>IF(COUNTIF(Comp3[Comparable '#3 Dates],Benchmark2[[#This Row],[Benchmark '#2 Dates]])=1,"Pass","Fail")</f>
        <v>Pass</v>
      </c>
      <c r="K550" s="6">
        <f>IF(Benchmark2[[#This Row],[Comparable '#3 Date Check]]="Pass",INDEX(Comp3[Comparable '#3 Price],MATCH(Benchmark2[[#This Row],[Benchmark '#2 Dates]],Comp3[Comparable '#3 Dates],0)),"-")</f>
        <v>94.63</v>
      </c>
    </row>
    <row r="551" spans="1:11">
      <c r="A551" s="103">
        <v>44083</v>
      </c>
      <c r="B551" s="104">
        <v>12885.801799999999</v>
      </c>
      <c r="C551" s="4">
        <f t="shared" si="8"/>
        <v>1.5463643339279243E-2</v>
      </c>
      <c r="D551" s="1" t="str">
        <f>IF(COUNTIF(Target1[Target Dates],Benchmark2[[#This Row],[Benchmark '#2 Dates]])=1,"Pass","Fail")</f>
        <v>Pass</v>
      </c>
      <c r="E551" s="6">
        <f>IF(Benchmark2[[#This Row],[Target Date Check]]="Pass",INDEX(Target1[Target Price],MATCH(Benchmark2[[#This Row],[Benchmark '#2 Dates]],Target1[Target Dates],0)),"-")</f>
        <v>33.76</v>
      </c>
      <c r="F551" s="1" t="str">
        <f>IF(COUNTIF(Comp1[Comparable '#1 Dates],Benchmark2[[#This Row],[Benchmark '#2 Dates]])=1,"Pass","Fail")</f>
        <v>Pass</v>
      </c>
      <c r="G551" s="6">
        <f>IF(Benchmark2[[#This Row],[Comparable '#1 Date Check]]="Pass",INDEX(Comp1[Comparable '#1 Price],MATCH(Benchmark2[[#This Row],[Benchmark '#2 Dates]],Comp1[Comparable '#1 Dates],0)),"-")</f>
        <v>12.47</v>
      </c>
      <c r="H551" s="1" t="str">
        <f>IF(COUNTIF(Comp2[Comparable '#2 Dates],Benchmark2[[#This Row],[Benchmark '#2 Dates]])=1,"Pass","Fail")</f>
        <v>Pass</v>
      </c>
      <c r="I551" s="6">
        <f>IF(Benchmark2[[#This Row],[Comparable '#2 Date Check]]="Pass",INDEX(Comp2[Comparable '#2 Price],MATCH(Benchmark2[[#This Row],[Benchmark '#2 Dates]],Comp2[Comparable '#2 Dates],0)),"-")</f>
        <v>31.27</v>
      </c>
      <c r="J551" s="1" t="str">
        <f>IF(COUNTIF(Comp3[Comparable '#3 Dates],Benchmark2[[#This Row],[Benchmark '#2 Dates]])=1,"Pass","Fail")</f>
        <v>Pass</v>
      </c>
      <c r="K551" s="6">
        <f>IF(Benchmark2[[#This Row],[Comparable '#3 Date Check]]="Pass",INDEX(Comp3[Comparable '#3 Price],MATCH(Benchmark2[[#This Row],[Benchmark '#2 Dates]],Comp3[Comparable '#3 Dates],0)),"-")</f>
        <v>92.69</v>
      </c>
    </row>
    <row r="552" spans="1:11">
      <c r="A552" s="103">
        <v>44084</v>
      </c>
      <c r="B552" s="104">
        <v>12706.6931</v>
      </c>
      <c r="C552" s="4">
        <f t="shared" si="8"/>
        <v>-1.3997199175930791E-2</v>
      </c>
      <c r="D552" s="1" t="str">
        <f>IF(COUNTIF(Target1[Target Dates],Benchmark2[[#This Row],[Benchmark '#2 Dates]])=1,"Pass","Fail")</f>
        <v>Pass</v>
      </c>
      <c r="E552" s="6">
        <f>IF(Benchmark2[[#This Row],[Target Date Check]]="Pass",INDEX(Target1[Target Price],MATCH(Benchmark2[[#This Row],[Benchmark '#2 Dates]],Target1[Target Dates],0)),"-")</f>
        <v>30.55</v>
      </c>
      <c r="F552" s="1" t="str">
        <f>IF(COUNTIF(Comp1[Comparable '#1 Dates],Benchmark2[[#This Row],[Benchmark '#2 Dates]])=1,"Pass","Fail")</f>
        <v>Pass</v>
      </c>
      <c r="G552" s="6">
        <f>IF(Benchmark2[[#This Row],[Comparable '#1 Date Check]]="Pass",INDEX(Comp1[Comparable '#1 Price],MATCH(Benchmark2[[#This Row],[Benchmark '#2 Dates]],Comp1[Comparable '#1 Dates],0)),"-")</f>
        <v>12.17</v>
      </c>
      <c r="H552" s="1" t="str">
        <f>IF(COUNTIF(Comp2[Comparable '#2 Dates],Benchmark2[[#This Row],[Benchmark '#2 Dates]])=1,"Pass","Fail")</f>
        <v>Pass</v>
      </c>
      <c r="I552" s="6">
        <f>IF(Benchmark2[[#This Row],[Comparable '#2 Date Check]]="Pass",INDEX(Comp2[Comparable '#2 Price],MATCH(Benchmark2[[#This Row],[Benchmark '#2 Dates]],Comp2[Comparable '#2 Dates],0)),"-")</f>
        <v>31.3</v>
      </c>
      <c r="J552" s="1" t="str">
        <f>IF(COUNTIF(Comp3[Comparable '#3 Dates],Benchmark2[[#This Row],[Benchmark '#2 Dates]])=1,"Pass","Fail")</f>
        <v>Pass</v>
      </c>
      <c r="K552" s="6">
        <f>IF(Benchmark2[[#This Row],[Comparable '#3 Date Check]]="Pass",INDEX(Comp3[Comparable '#3 Price],MATCH(Benchmark2[[#This Row],[Benchmark '#2 Dates]],Comp3[Comparable '#3 Dates],0)),"-")</f>
        <v>90.24</v>
      </c>
    </row>
    <row r="553" spans="1:11">
      <c r="A553" s="103">
        <v>44085</v>
      </c>
      <c r="B553" s="104">
        <v>12773.0393</v>
      </c>
      <c r="C553" s="4">
        <f t="shared" si="8"/>
        <v>5.2077744699863529E-3</v>
      </c>
      <c r="D553" s="1" t="str">
        <f>IF(COUNTIF(Target1[Target Dates],Benchmark2[[#This Row],[Benchmark '#2 Dates]])=1,"Pass","Fail")</f>
        <v>Pass</v>
      </c>
      <c r="E553" s="6">
        <f>IF(Benchmark2[[#This Row],[Target Date Check]]="Pass",INDEX(Target1[Target Price],MATCH(Benchmark2[[#This Row],[Benchmark '#2 Dates]],Target1[Target Dates],0)),"-")</f>
        <v>30.86</v>
      </c>
      <c r="F553" s="1" t="str">
        <f>IF(COUNTIF(Comp1[Comparable '#1 Dates],Benchmark2[[#This Row],[Benchmark '#2 Dates]])=1,"Pass","Fail")</f>
        <v>Pass</v>
      </c>
      <c r="G553" s="6">
        <f>IF(Benchmark2[[#This Row],[Comparable '#1 Date Check]]="Pass",INDEX(Comp1[Comparable '#1 Price],MATCH(Benchmark2[[#This Row],[Benchmark '#2 Dates]],Comp1[Comparable '#1 Dates],0)),"-")</f>
        <v>13.29</v>
      </c>
      <c r="H553" s="1" t="str">
        <f>IF(COUNTIF(Comp2[Comparable '#2 Dates],Benchmark2[[#This Row],[Benchmark '#2 Dates]])=1,"Pass","Fail")</f>
        <v>Pass</v>
      </c>
      <c r="I553" s="6">
        <f>IF(Benchmark2[[#This Row],[Comparable '#2 Date Check]]="Pass",INDEX(Comp2[Comparable '#2 Price],MATCH(Benchmark2[[#This Row],[Benchmark '#2 Dates]],Comp2[Comparable '#2 Dates],0)),"-")</f>
        <v>29.04</v>
      </c>
      <c r="J553" s="1" t="str">
        <f>IF(COUNTIF(Comp3[Comparable '#3 Dates],Benchmark2[[#This Row],[Benchmark '#2 Dates]])=1,"Pass","Fail")</f>
        <v>Pass</v>
      </c>
      <c r="K553" s="6">
        <f>IF(Benchmark2[[#This Row],[Comparable '#3 Date Check]]="Pass",INDEX(Comp3[Comparable '#3 Price],MATCH(Benchmark2[[#This Row],[Benchmark '#2 Dates]],Comp3[Comparable '#3 Dates],0)),"-")</f>
        <v>88.53</v>
      </c>
    </row>
    <row r="554" spans="1:11">
      <c r="A554" s="103">
        <v>44088</v>
      </c>
      <c r="B554" s="104">
        <v>12932.688</v>
      </c>
      <c r="C554" s="4">
        <f t="shared" si="8"/>
        <v>1.2421414950472442E-2</v>
      </c>
      <c r="D554" s="1" t="str">
        <f>IF(COUNTIF(Target1[Target Dates],Benchmark2[[#This Row],[Benchmark '#2 Dates]])=1,"Pass","Fail")</f>
        <v>Pass</v>
      </c>
      <c r="E554" s="6">
        <f>IF(Benchmark2[[#This Row],[Target Date Check]]="Pass",INDEX(Target1[Target Price],MATCH(Benchmark2[[#This Row],[Benchmark '#2 Dates]],Target1[Target Dates],0)),"-")</f>
        <v>31.12</v>
      </c>
      <c r="F554" s="1" t="str">
        <f>IF(COUNTIF(Comp1[Comparable '#1 Dates],Benchmark2[[#This Row],[Benchmark '#2 Dates]])=1,"Pass","Fail")</f>
        <v>Pass</v>
      </c>
      <c r="G554" s="6">
        <f>IF(Benchmark2[[#This Row],[Comparable '#1 Date Check]]="Pass",INDEX(Comp1[Comparable '#1 Price],MATCH(Benchmark2[[#This Row],[Benchmark '#2 Dates]],Comp1[Comparable '#1 Dates],0)),"-")</f>
        <v>13.13</v>
      </c>
      <c r="H554" s="1" t="str">
        <f>IF(COUNTIF(Comp2[Comparable '#2 Dates],Benchmark2[[#This Row],[Benchmark '#2 Dates]])=1,"Pass","Fail")</f>
        <v>Pass</v>
      </c>
      <c r="I554" s="6">
        <f>IF(Benchmark2[[#This Row],[Comparable '#2 Date Check]]="Pass",INDEX(Comp2[Comparable '#2 Price],MATCH(Benchmark2[[#This Row],[Benchmark '#2 Dates]],Comp2[Comparable '#2 Dates],0)),"-")</f>
        <v>27.46</v>
      </c>
      <c r="J554" s="1" t="str">
        <f>IF(COUNTIF(Comp3[Comparable '#3 Dates],Benchmark2[[#This Row],[Benchmark '#2 Dates]])=1,"Pass","Fail")</f>
        <v>Pass</v>
      </c>
      <c r="K554" s="6">
        <f>IF(Benchmark2[[#This Row],[Comparable '#3 Date Check]]="Pass",INDEX(Comp3[Comparable '#3 Price],MATCH(Benchmark2[[#This Row],[Benchmark '#2 Dates]],Comp3[Comparable '#3 Dates],0)),"-")</f>
        <v>89.7</v>
      </c>
    </row>
    <row r="555" spans="1:11">
      <c r="A555" s="103">
        <v>44089</v>
      </c>
      <c r="B555" s="104">
        <v>12967.183499999999</v>
      </c>
      <c r="C555" s="4">
        <f t="shared" si="8"/>
        <v>2.6637599647731732E-3</v>
      </c>
      <c r="D555" s="1" t="str">
        <f>IF(COUNTIF(Target1[Target Dates],Benchmark2[[#This Row],[Benchmark '#2 Dates]])=1,"Pass","Fail")</f>
        <v>Pass</v>
      </c>
      <c r="E555" s="6">
        <f>IF(Benchmark2[[#This Row],[Target Date Check]]="Pass",INDEX(Target1[Target Price],MATCH(Benchmark2[[#This Row],[Benchmark '#2 Dates]],Target1[Target Dates],0)),"-")</f>
        <v>30.92</v>
      </c>
      <c r="F555" s="1" t="str">
        <f>IF(COUNTIF(Comp1[Comparable '#1 Dates],Benchmark2[[#This Row],[Benchmark '#2 Dates]])=1,"Pass","Fail")</f>
        <v>Pass</v>
      </c>
      <c r="G555" s="6">
        <f>IF(Benchmark2[[#This Row],[Comparable '#1 Date Check]]="Pass",INDEX(Comp1[Comparable '#1 Price],MATCH(Benchmark2[[#This Row],[Benchmark '#2 Dates]],Comp1[Comparable '#1 Dates],0)),"-")</f>
        <v>12.62</v>
      </c>
      <c r="H555" s="1" t="str">
        <f>IF(COUNTIF(Comp2[Comparable '#2 Dates],Benchmark2[[#This Row],[Benchmark '#2 Dates]])=1,"Pass","Fail")</f>
        <v>Pass</v>
      </c>
      <c r="I555" s="6">
        <f>IF(Benchmark2[[#This Row],[Comparable '#2 Date Check]]="Pass",INDEX(Comp2[Comparable '#2 Price],MATCH(Benchmark2[[#This Row],[Benchmark '#2 Dates]],Comp2[Comparable '#2 Dates],0)),"-")</f>
        <v>26.15</v>
      </c>
      <c r="J555" s="1" t="str">
        <f>IF(COUNTIF(Comp3[Comparable '#3 Dates],Benchmark2[[#This Row],[Benchmark '#2 Dates]])=1,"Pass","Fail")</f>
        <v>Pass</v>
      </c>
      <c r="K555" s="6">
        <f>IF(Benchmark2[[#This Row],[Comparable '#3 Date Check]]="Pass",INDEX(Comp3[Comparable '#3 Price],MATCH(Benchmark2[[#This Row],[Benchmark '#2 Dates]],Comp3[Comparable '#3 Dates],0)),"-")</f>
        <v>90.01</v>
      </c>
    </row>
    <row r="556" spans="1:11">
      <c r="A556" s="103">
        <v>44090</v>
      </c>
      <c r="B556" s="104">
        <v>12997.858</v>
      </c>
      <c r="C556" s="4">
        <f t="shared" si="8"/>
        <v>2.3627548810437561E-3</v>
      </c>
      <c r="D556" s="1" t="str">
        <f>IF(COUNTIF(Target1[Target Dates],Benchmark2[[#This Row],[Benchmark '#2 Dates]])=1,"Pass","Fail")</f>
        <v>Pass</v>
      </c>
      <c r="E556" s="6">
        <f>IF(Benchmark2[[#This Row],[Target Date Check]]="Pass",INDEX(Target1[Target Price],MATCH(Benchmark2[[#This Row],[Benchmark '#2 Dates]],Target1[Target Dates],0)),"-")</f>
        <v>29.62</v>
      </c>
      <c r="F556" s="1" t="str">
        <f>IF(COUNTIF(Comp1[Comparable '#1 Dates],Benchmark2[[#This Row],[Benchmark '#2 Dates]])=1,"Pass","Fail")</f>
        <v>Pass</v>
      </c>
      <c r="G556" s="6">
        <f>IF(Benchmark2[[#This Row],[Comparable '#1 Date Check]]="Pass",INDEX(Comp1[Comparable '#1 Price],MATCH(Benchmark2[[#This Row],[Benchmark '#2 Dates]],Comp1[Comparable '#1 Dates],0)),"-")</f>
        <v>13</v>
      </c>
      <c r="H556" s="1" t="str">
        <f>IF(COUNTIF(Comp2[Comparable '#2 Dates],Benchmark2[[#This Row],[Benchmark '#2 Dates]])=1,"Pass","Fail")</f>
        <v>Pass</v>
      </c>
      <c r="I556" s="6">
        <f>IF(Benchmark2[[#This Row],[Comparable '#2 Date Check]]="Pass",INDEX(Comp2[Comparable '#2 Price],MATCH(Benchmark2[[#This Row],[Benchmark '#2 Dates]],Comp2[Comparable '#2 Dates],0)),"-")</f>
        <v>26.54</v>
      </c>
      <c r="J556" s="1" t="str">
        <f>IF(COUNTIF(Comp3[Comparable '#3 Dates],Benchmark2[[#This Row],[Benchmark '#2 Dates]])=1,"Pass","Fail")</f>
        <v>Pass</v>
      </c>
      <c r="K556" s="6">
        <f>IF(Benchmark2[[#This Row],[Comparable '#3 Date Check]]="Pass",INDEX(Comp3[Comparable '#3 Price],MATCH(Benchmark2[[#This Row],[Benchmark '#2 Dates]],Comp3[Comparable '#3 Dates],0)),"-")</f>
        <v>93</v>
      </c>
    </row>
    <row r="557" spans="1:11">
      <c r="A557" s="103">
        <v>44091</v>
      </c>
      <c r="B557" s="104">
        <v>12948.4498</v>
      </c>
      <c r="C557" s="4">
        <f t="shared" si="8"/>
        <v>-3.8085002383888718E-3</v>
      </c>
      <c r="D557" s="1" t="str">
        <f>IF(COUNTIF(Target1[Target Dates],Benchmark2[[#This Row],[Benchmark '#2 Dates]])=1,"Pass","Fail")</f>
        <v>Pass</v>
      </c>
      <c r="E557" s="6">
        <f>IF(Benchmark2[[#This Row],[Target Date Check]]="Pass",INDEX(Target1[Target Price],MATCH(Benchmark2[[#This Row],[Benchmark '#2 Dates]],Target1[Target Dates],0)),"-")</f>
        <v>28.3</v>
      </c>
      <c r="F557" s="1" t="str">
        <f>IF(COUNTIF(Comp1[Comparable '#1 Dates],Benchmark2[[#This Row],[Benchmark '#2 Dates]])=1,"Pass","Fail")</f>
        <v>Pass</v>
      </c>
      <c r="G557" s="6">
        <f>IF(Benchmark2[[#This Row],[Comparable '#1 Date Check]]="Pass",INDEX(Comp1[Comparable '#1 Price],MATCH(Benchmark2[[#This Row],[Benchmark '#2 Dates]],Comp1[Comparable '#1 Dates],0)),"-")</f>
        <v>13.16</v>
      </c>
      <c r="H557" s="1" t="str">
        <f>IF(COUNTIF(Comp2[Comparable '#2 Dates],Benchmark2[[#This Row],[Benchmark '#2 Dates]])=1,"Pass","Fail")</f>
        <v>Pass</v>
      </c>
      <c r="I557" s="6">
        <f>IF(Benchmark2[[#This Row],[Comparable '#2 Date Check]]="Pass",INDEX(Comp2[Comparable '#2 Price],MATCH(Benchmark2[[#This Row],[Benchmark '#2 Dates]],Comp2[Comparable '#2 Dates],0)),"-")</f>
        <v>26.29</v>
      </c>
      <c r="J557" s="1" t="str">
        <f>IF(COUNTIF(Comp3[Comparable '#3 Dates],Benchmark2[[#This Row],[Benchmark '#2 Dates]])=1,"Pass","Fail")</f>
        <v>Pass</v>
      </c>
      <c r="K557" s="6">
        <f>IF(Benchmark2[[#This Row],[Comparable '#3 Date Check]]="Pass",INDEX(Comp3[Comparable '#3 Price],MATCH(Benchmark2[[#This Row],[Benchmark '#2 Dates]],Comp3[Comparable '#3 Dates],0)),"-")</f>
        <v>93.8</v>
      </c>
    </row>
    <row r="558" spans="1:11">
      <c r="A558" s="103">
        <v>44092</v>
      </c>
      <c r="B558" s="104">
        <v>12833.565500000001</v>
      </c>
      <c r="C558" s="4">
        <f t="shared" si="8"/>
        <v>-8.9120310453564139E-3</v>
      </c>
      <c r="D558" s="1" t="str">
        <f>IF(COUNTIF(Target1[Target Dates],Benchmark2[[#This Row],[Benchmark '#2 Dates]])=1,"Pass","Fail")</f>
        <v>Pass</v>
      </c>
      <c r="E558" s="6">
        <f>IF(Benchmark2[[#This Row],[Target Date Check]]="Pass",INDEX(Target1[Target Price],MATCH(Benchmark2[[#This Row],[Benchmark '#2 Dates]],Target1[Target Dates],0)),"-")</f>
        <v>27.21</v>
      </c>
      <c r="F558" s="1" t="str">
        <f>IF(COUNTIF(Comp1[Comparable '#1 Dates],Benchmark2[[#This Row],[Benchmark '#2 Dates]])=1,"Pass","Fail")</f>
        <v>Pass</v>
      </c>
      <c r="G558" s="6">
        <f>IF(Benchmark2[[#This Row],[Comparable '#1 Date Check]]="Pass",INDEX(Comp1[Comparable '#1 Price],MATCH(Benchmark2[[#This Row],[Benchmark '#2 Dates]],Comp1[Comparable '#1 Dates],0)),"-")</f>
        <v>12.99</v>
      </c>
      <c r="H558" s="1" t="str">
        <f>IF(COUNTIF(Comp2[Comparable '#2 Dates],Benchmark2[[#This Row],[Benchmark '#2 Dates]])=1,"Pass","Fail")</f>
        <v>Pass</v>
      </c>
      <c r="I558" s="6">
        <f>IF(Benchmark2[[#This Row],[Comparable '#2 Date Check]]="Pass",INDEX(Comp2[Comparable '#2 Price],MATCH(Benchmark2[[#This Row],[Benchmark '#2 Dates]],Comp2[Comparable '#2 Dates],0)),"-")</f>
        <v>25.81</v>
      </c>
      <c r="J558" s="1" t="str">
        <f>IF(COUNTIF(Comp3[Comparable '#3 Dates],Benchmark2[[#This Row],[Benchmark '#2 Dates]])=1,"Pass","Fail")</f>
        <v>Pass</v>
      </c>
      <c r="K558" s="6">
        <f>IF(Benchmark2[[#This Row],[Comparable '#3 Date Check]]="Pass",INDEX(Comp3[Comparable '#3 Price],MATCH(Benchmark2[[#This Row],[Benchmark '#2 Dates]],Comp3[Comparable '#3 Dates],0)),"-")</f>
        <v>91.31</v>
      </c>
    </row>
    <row r="559" spans="1:11">
      <c r="A559" s="103">
        <v>44095</v>
      </c>
      <c r="B559" s="104">
        <v>12561.776099999999</v>
      </c>
      <c r="C559" s="4">
        <f t="shared" si="8"/>
        <v>-2.1405483092703459E-2</v>
      </c>
      <c r="D559" s="1" t="str">
        <f>IF(COUNTIF(Target1[Target Dates],Benchmark2[[#This Row],[Benchmark '#2 Dates]])=1,"Pass","Fail")</f>
        <v>Pass</v>
      </c>
      <c r="E559" s="6">
        <f>IF(Benchmark2[[#This Row],[Target Date Check]]="Pass",INDEX(Target1[Target Price],MATCH(Benchmark2[[#This Row],[Benchmark '#2 Dates]],Target1[Target Dates],0)),"-")</f>
        <v>27.95</v>
      </c>
      <c r="F559" s="1" t="str">
        <f>IF(COUNTIF(Comp1[Comparable '#1 Dates],Benchmark2[[#This Row],[Benchmark '#2 Dates]])=1,"Pass","Fail")</f>
        <v>Pass</v>
      </c>
      <c r="G559" s="6">
        <f>IF(Benchmark2[[#This Row],[Comparable '#1 Date Check]]="Pass",INDEX(Comp1[Comparable '#1 Price],MATCH(Benchmark2[[#This Row],[Benchmark '#2 Dates]],Comp1[Comparable '#1 Dates],0)),"-")</f>
        <v>12.625</v>
      </c>
      <c r="H559" s="1" t="str">
        <f>IF(COUNTIF(Comp2[Comparable '#2 Dates],Benchmark2[[#This Row],[Benchmark '#2 Dates]])=1,"Pass","Fail")</f>
        <v>Pass</v>
      </c>
      <c r="I559" s="6">
        <f>IF(Benchmark2[[#This Row],[Comparable '#2 Date Check]]="Pass",INDEX(Comp2[Comparable '#2 Price],MATCH(Benchmark2[[#This Row],[Benchmark '#2 Dates]],Comp2[Comparable '#2 Dates],0)),"-")</f>
        <v>25</v>
      </c>
      <c r="J559" s="1" t="str">
        <f>IF(COUNTIF(Comp3[Comparable '#3 Dates],Benchmark2[[#This Row],[Benchmark '#2 Dates]])=1,"Pass","Fail")</f>
        <v>Pass</v>
      </c>
      <c r="K559" s="6">
        <f>IF(Benchmark2[[#This Row],[Comparable '#3 Date Check]]="Pass",INDEX(Comp3[Comparable '#3 Price],MATCH(Benchmark2[[#This Row],[Benchmark '#2 Dates]],Comp3[Comparable '#3 Dates],0)),"-")</f>
        <v>90.43</v>
      </c>
    </row>
    <row r="560" spans="1:11">
      <c r="A560" s="103">
        <v>44096</v>
      </c>
      <c r="B560" s="104">
        <v>12602.5404</v>
      </c>
      <c r="C560" s="4">
        <f t="shared" si="8"/>
        <v>3.2398524042848548E-3</v>
      </c>
      <c r="D560" s="1" t="str">
        <f>IF(COUNTIF(Target1[Target Dates],Benchmark2[[#This Row],[Benchmark '#2 Dates]])=1,"Pass","Fail")</f>
        <v>Pass</v>
      </c>
      <c r="E560" s="6">
        <f>IF(Benchmark2[[#This Row],[Target Date Check]]="Pass",INDEX(Target1[Target Price],MATCH(Benchmark2[[#This Row],[Benchmark '#2 Dates]],Target1[Target Dates],0)),"-")</f>
        <v>27.26</v>
      </c>
      <c r="F560" s="1" t="str">
        <f>IF(COUNTIF(Comp1[Comparable '#1 Dates],Benchmark2[[#This Row],[Benchmark '#2 Dates]])=1,"Pass","Fail")</f>
        <v>Pass</v>
      </c>
      <c r="G560" s="6">
        <f>IF(Benchmark2[[#This Row],[Comparable '#1 Date Check]]="Pass",INDEX(Comp1[Comparable '#1 Price],MATCH(Benchmark2[[#This Row],[Benchmark '#2 Dates]],Comp1[Comparable '#1 Dates],0)),"-")</f>
        <v>12.67</v>
      </c>
      <c r="H560" s="1" t="str">
        <f>IF(COUNTIF(Comp2[Comparable '#2 Dates],Benchmark2[[#This Row],[Benchmark '#2 Dates]])=1,"Pass","Fail")</f>
        <v>Pass</v>
      </c>
      <c r="I560" s="6">
        <f>IF(Benchmark2[[#This Row],[Comparable '#2 Date Check]]="Pass",INDEX(Comp2[Comparable '#2 Price],MATCH(Benchmark2[[#This Row],[Benchmark '#2 Dates]],Comp2[Comparable '#2 Dates],0)),"-")</f>
        <v>25.04</v>
      </c>
      <c r="J560" s="1" t="str">
        <f>IF(COUNTIF(Comp3[Comparable '#3 Dates],Benchmark2[[#This Row],[Benchmark '#2 Dates]])=1,"Pass","Fail")</f>
        <v>Pass</v>
      </c>
      <c r="K560" s="6">
        <f>IF(Benchmark2[[#This Row],[Comparable '#3 Date Check]]="Pass",INDEX(Comp3[Comparable '#3 Price],MATCH(Benchmark2[[#This Row],[Benchmark '#2 Dates]],Comp3[Comparable '#3 Dates],0)),"-")</f>
        <v>94.18</v>
      </c>
    </row>
    <row r="561" spans="1:11">
      <c r="A561" s="103">
        <v>44097</v>
      </c>
      <c r="B561" s="104">
        <v>12359.1569</v>
      </c>
      <c r="C561" s="4">
        <f t="shared" si="8"/>
        <v>-1.9501174953770562E-2</v>
      </c>
      <c r="D561" s="1" t="str">
        <f>IF(COUNTIF(Target1[Target Dates],Benchmark2[[#This Row],[Benchmark '#2 Dates]])=1,"Pass","Fail")</f>
        <v>Pass</v>
      </c>
      <c r="E561" s="6">
        <f>IF(Benchmark2[[#This Row],[Target Date Check]]="Pass",INDEX(Target1[Target Price],MATCH(Benchmark2[[#This Row],[Benchmark '#2 Dates]],Target1[Target Dates],0)),"-")</f>
        <v>27.09</v>
      </c>
      <c r="F561" s="1" t="str">
        <f>IF(COUNTIF(Comp1[Comparable '#1 Dates],Benchmark2[[#This Row],[Benchmark '#2 Dates]])=1,"Pass","Fail")</f>
        <v>Pass</v>
      </c>
      <c r="G561" s="6">
        <f>IF(Benchmark2[[#This Row],[Comparable '#1 Date Check]]="Pass",INDEX(Comp1[Comparable '#1 Price],MATCH(Benchmark2[[#This Row],[Benchmark '#2 Dates]],Comp1[Comparable '#1 Dates],0)),"-")</f>
        <v>12.33</v>
      </c>
      <c r="H561" s="1" t="str">
        <f>IF(COUNTIF(Comp2[Comparable '#2 Dates],Benchmark2[[#This Row],[Benchmark '#2 Dates]])=1,"Pass","Fail")</f>
        <v>Pass</v>
      </c>
      <c r="I561" s="6">
        <f>IF(Benchmark2[[#This Row],[Comparable '#2 Date Check]]="Pass",INDEX(Comp2[Comparable '#2 Price],MATCH(Benchmark2[[#This Row],[Benchmark '#2 Dates]],Comp2[Comparable '#2 Dates],0)),"-")</f>
        <v>24.15</v>
      </c>
      <c r="J561" s="1" t="str">
        <f>IF(COUNTIF(Comp3[Comparable '#3 Dates],Benchmark2[[#This Row],[Benchmark '#2 Dates]])=1,"Pass","Fail")</f>
        <v>Pass</v>
      </c>
      <c r="K561" s="6">
        <f>IF(Benchmark2[[#This Row],[Comparable '#3 Date Check]]="Pass",INDEX(Comp3[Comparable '#3 Price],MATCH(Benchmark2[[#This Row],[Benchmark '#2 Dates]],Comp3[Comparable '#3 Dates],0)),"-")</f>
        <v>94.41</v>
      </c>
    </row>
    <row r="562" spans="1:11">
      <c r="A562" s="103">
        <v>44098</v>
      </c>
      <c r="B562" s="104">
        <v>12365.544599999999</v>
      </c>
      <c r="C562" s="4">
        <f t="shared" si="8"/>
        <v>5.16705946247082E-4</v>
      </c>
      <c r="D562" s="1" t="str">
        <f>IF(COUNTIF(Target1[Target Dates],Benchmark2[[#This Row],[Benchmark '#2 Dates]])=1,"Pass","Fail")</f>
        <v>Pass</v>
      </c>
      <c r="E562" s="6">
        <f>IF(Benchmark2[[#This Row],[Target Date Check]]="Pass",INDEX(Target1[Target Price],MATCH(Benchmark2[[#This Row],[Benchmark '#2 Dates]],Target1[Target Dates],0)),"-")</f>
        <v>26.35</v>
      </c>
      <c r="F562" s="1" t="str">
        <f>IF(COUNTIF(Comp1[Comparable '#1 Dates],Benchmark2[[#This Row],[Benchmark '#2 Dates]])=1,"Pass","Fail")</f>
        <v>Pass</v>
      </c>
      <c r="G562" s="6">
        <f>IF(Benchmark2[[#This Row],[Comparable '#1 Date Check]]="Pass",INDEX(Comp1[Comparable '#1 Price],MATCH(Benchmark2[[#This Row],[Benchmark '#2 Dates]],Comp1[Comparable '#1 Dates],0)),"-")</f>
        <v>12.7</v>
      </c>
      <c r="H562" s="1" t="str">
        <f>IF(COUNTIF(Comp2[Comparable '#2 Dates],Benchmark2[[#This Row],[Benchmark '#2 Dates]])=1,"Pass","Fail")</f>
        <v>Pass</v>
      </c>
      <c r="I562" s="6">
        <f>IF(Benchmark2[[#This Row],[Comparable '#2 Date Check]]="Pass",INDEX(Comp2[Comparable '#2 Price],MATCH(Benchmark2[[#This Row],[Benchmark '#2 Dates]],Comp2[Comparable '#2 Dates],0)),"-")</f>
        <v>24.23</v>
      </c>
      <c r="J562" s="1" t="str">
        <f>IF(COUNTIF(Comp3[Comparable '#3 Dates],Benchmark2[[#This Row],[Benchmark '#2 Dates]])=1,"Pass","Fail")</f>
        <v>Pass</v>
      </c>
      <c r="K562" s="6">
        <f>IF(Benchmark2[[#This Row],[Comparable '#3 Date Check]]="Pass",INDEX(Comp3[Comparable '#3 Price],MATCH(Benchmark2[[#This Row],[Benchmark '#2 Dates]],Comp3[Comparable '#3 Dates],0)),"-")</f>
        <v>93.79</v>
      </c>
    </row>
    <row r="563" spans="1:11">
      <c r="A563" s="103">
        <v>44099</v>
      </c>
      <c r="B563" s="104">
        <v>12485.3758</v>
      </c>
      <c r="C563" s="4">
        <f t="shared" si="8"/>
        <v>9.6440797237419239E-3</v>
      </c>
      <c r="D563" s="1" t="str">
        <f>IF(COUNTIF(Target1[Target Dates],Benchmark2[[#This Row],[Benchmark '#2 Dates]])=1,"Pass","Fail")</f>
        <v>Pass</v>
      </c>
      <c r="E563" s="6">
        <f>IF(Benchmark2[[#This Row],[Target Date Check]]="Pass",INDEX(Target1[Target Price],MATCH(Benchmark2[[#This Row],[Benchmark '#2 Dates]],Target1[Target Dates],0)),"-")</f>
        <v>26.51</v>
      </c>
      <c r="F563" s="1" t="str">
        <f>IF(COUNTIF(Comp1[Comparable '#1 Dates],Benchmark2[[#This Row],[Benchmark '#2 Dates]])=1,"Pass","Fail")</f>
        <v>Pass</v>
      </c>
      <c r="G563" s="6">
        <f>IF(Benchmark2[[#This Row],[Comparable '#1 Date Check]]="Pass",INDEX(Comp1[Comparable '#1 Price],MATCH(Benchmark2[[#This Row],[Benchmark '#2 Dates]],Comp1[Comparable '#1 Dates],0)),"-")</f>
        <v>12.93</v>
      </c>
      <c r="H563" s="1" t="str">
        <f>IF(COUNTIF(Comp2[Comparable '#2 Dates],Benchmark2[[#This Row],[Benchmark '#2 Dates]])=1,"Pass","Fail")</f>
        <v>Pass</v>
      </c>
      <c r="I563" s="6">
        <f>IF(Benchmark2[[#This Row],[Comparable '#2 Date Check]]="Pass",INDEX(Comp2[Comparable '#2 Price],MATCH(Benchmark2[[#This Row],[Benchmark '#2 Dates]],Comp2[Comparable '#2 Dates],0)),"-")</f>
        <v>24.62</v>
      </c>
      <c r="J563" s="1" t="str">
        <f>IF(COUNTIF(Comp3[Comparable '#3 Dates],Benchmark2[[#This Row],[Benchmark '#2 Dates]])=1,"Pass","Fail")</f>
        <v>Pass</v>
      </c>
      <c r="K563" s="6">
        <f>IF(Benchmark2[[#This Row],[Comparable '#3 Date Check]]="Pass",INDEX(Comp3[Comparable '#3 Price],MATCH(Benchmark2[[#This Row],[Benchmark '#2 Dates]],Comp3[Comparable '#3 Dates],0)),"-")</f>
        <v>94.97</v>
      </c>
    </row>
    <row r="564" spans="1:11">
      <c r="A564" s="103">
        <v>44102</v>
      </c>
      <c r="B564" s="104">
        <v>12677.5363</v>
      </c>
      <c r="C564" s="4">
        <f t="shared" si="8"/>
        <v>1.5273608624620502E-2</v>
      </c>
      <c r="D564" s="1" t="str">
        <f>IF(COUNTIF(Target1[Target Dates],Benchmark2[[#This Row],[Benchmark '#2 Dates]])=1,"Pass","Fail")</f>
        <v>Pass</v>
      </c>
      <c r="E564" s="6">
        <f>IF(Benchmark2[[#This Row],[Target Date Check]]="Pass",INDEX(Target1[Target Price],MATCH(Benchmark2[[#This Row],[Benchmark '#2 Dates]],Target1[Target Dates],0)),"-")</f>
        <v>27.48</v>
      </c>
      <c r="F564" s="1" t="str">
        <f>IF(COUNTIF(Comp1[Comparable '#1 Dates],Benchmark2[[#This Row],[Benchmark '#2 Dates]])=1,"Pass","Fail")</f>
        <v>Pass</v>
      </c>
      <c r="G564" s="6">
        <f>IF(Benchmark2[[#This Row],[Comparable '#1 Date Check]]="Pass",INDEX(Comp1[Comparable '#1 Price],MATCH(Benchmark2[[#This Row],[Benchmark '#2 Dates]],Comp1[Comparable '#1 Dates],0)),"-")</f>
        <v>12.99</v>
      </c>
      <c r="H564" s="1" t="str">
        <f>IF(COUNTIF(Comp2[Comparable '#2 Dates],Benchmark2[[#This Row],[Benchmark '#2 Dates]])=1,"Pass","Fail")</f>
        <v>Pass</v>
      </c>
      <c r="I564" s="6">
        <f>IF(Benchmark2[[#This Row],[Comparable '#2 Date Check]]="Pass",INDEX(Comp2[Comparable '#2 Price],MATCH(Benchmark2[[#This Row],[Benchmark '#2 Dates]],Comp2[Comparable '#2 Dates],0)),"-")</f>
        <v>25.23</v>
      </c>
      <c r="J564" s="1" t="str">
        <f>IF(COUNTIF(Comp3[Comparable '#3 Dates],Benchmark2[[#This Row],[Benchmark '#2 Dates]])=1,"Pass","Fail")</f>
        <v>Pass</v>
      </c>
      <c r="K564" s="6">
        <f>IF(Benchmark2[[#This Row],[Comparable '#3 Date Check]]="Pass",INDEX(Comp3[Comparable '#3 Price],MATCH(Benchmark2[[#This Row],[Benchmark '#2 Dates]],Comp3[Comparable '#3 Dates],0)),"-")</f>
        <v>94.88</v>
      </c>
    </row>
    <row r="565" spans="1:11">
      <c r="A565" s="103">
        <v>44103</v>
      </c>
      <c r="B565" s="104">
        <v>12602.635700000001</v>
      </c>
      <c r="C565" s="4">
        <f t="shared" si="8"/>
        <v>-5.9256574020036161E-3</v>
      </c>
      <c r="D565" s="1" t="str">
        <f>IF(COUNTIF(Target1[Target Dates],Benchmark2[[#This Row],[Benchmark '#2 Dates]])=1,"Pass","Fail")</f>
        <v>Pass</v>
      </c>
      <c r="E565" s="6">
        <f>IF(Benchmark2[[#This Row],[Target Date Check]]="Pass",INDEX(Target1[Target Price],MATCH(Benchmark2[[#This Row],[Benchmark '#2 Dates]],Target1[Target Dates],0)),"-")</f>
        <v>27.08</v>
      </c>
      <c r="F565" s="1" t="str">
        <f>IF(COUNTIF(Comp1[Comparable '#1 Dates],Benchmark2[[#This Row],[Benchmark '#2 Dates]])=1,"Pass","Fail")</f>
        <v>Pass</v>
      </c>
      <c r="G565" s="6">
        <f>IF(Benchmark2[[#This Row],[Comparable '#1 Date Check]]="Pass",INDEX(Comp1[Comparable '#1 Price],MATCH(Benchmark2[[#This Row],[Benchmark '#2 Dates]],Comp1[Comparable '#1 Dates],0)),"-")</f>
        <v>13.03</v>
      </c>
      <c r="H565" s="1" t="str">
        <f>IF(COUNTIF(Comp2[Comparable '#2 Dates],Benchmark2[[#This Row],[Benchmark '#2 Dates]])=1,"Pass","Fail")</f>
        <v>Pass</v>
      </c>
      <c r="I565" s="6">
        <f>IF(Benchmark2[[#This Row],[Comparable '#2 Date Check]]="Pass",INDEX(Comp2[Comparable '#2 Price],MATCH(Benchmark2[[#This Row],[Benchmark '#2 Dates]],Comp2[Comparable '#2 Dates],0)),"-")</f>
        <v>24.81</v>
      </c>
      <c r="J565" s="1" t="str">
        <f>IF(COUNTIF(Comp3[Comparable '#3 Dates],Benchmark2[[#This Row],[Benchmark '#2 Dates]])=1,"Pass","Fail")</f>
        <v>Pass</v>
      </c>
      <c r="K565" s="6">
        <f>IF(Benchmark2[[#This Row],[Comparable '#3 Date Check]]="Pass",INDEX(Comp3[Comparable '#3 Price],MATCH(Benchmark2[[#This Row],[Benchmark '#2 Dates]],Comp3[Comparable '#3 Dates],0)),"-")</f>
        <v>94.14</v>
      </c>
    </row>
    <row r="566" spans="1:11">
      <c r="A566" s="103">
        <v>44104</v>
      </c>
      <c r="B566" s="104">
        <v>12701.8851</v>
      </c>
      <c r="C566" s="4">
        <f t="shared" si="8"/>
        <v>7.8444408988154225E-3</v>
      </c>
      <c r="D566" s="1" t="str">
        <f>IF(COUNTIF(Target1[Target Dates],Benchmark2[[#This Row],[Benchmark '#2 Dates]])=1,"Pass","Fail")</f>
        <v>Pass</v>
      </c>
      <c r="E566" s="6">
        <f>IF(Benchmark2[[#This Row],[Target Date Check]]="Pass",INDEX(Target1[Target Price],MATCH(Benchmark2[[#This Row],[Benchmark '#2 Dates]],Target1[Target Dates],0)),"-")</f>
        <v>26.34</v>
      </c>
      <c r="F566" s="1" t="str">
        <f>IF(COUNTIF(Comp1[Comparable '#1 Dates],Benchmark2[[#This Row],[Benchmark '#2 Dates]])=1,"Pass","Fail")</f>
        <v>Pass</v>
      </c>
      <c r="G566" s="6">
        <f>IF(Benchmark2[[#This Row],[Comparable '#1 Date Check]]="Pass",INDEX(Comp1[Comparable '#1 Price],MATCH(Benchmark2[[#This Row],[Benchmark '#2 Dates]],Comp1[Comparable '#1 Dates],0)),"-")</f>
        <v>13.28</v>
      </c>
      <c r="H566" s="1" t="str">
        <f>IF(COUNTIF(Comp2[Comparable '#2 Dates],Benchmark2[[#This Row],[Benchmark '#2 Dates]])=1,"Pass","Fail")</f>
        <v>Pass</v>
      </c>
      <c r="I566" s="6">
        <f>IF(Benchmark2[[#This Row],[Comparable '#2 Date Check]]="Pass",INDEX(Comp2[Comparable '#2 Price],MATCH(Benchmark2[[#This Row],[Benchmark '#2 Dates]],Comp2[Comparable '#2 Dates],0)),"-")</f>
        <v>24.54</v>
      </c>
      <c r="J566" s="1" t="str">
        <f>IF(COUNTIF(Comp3[Comparable '#3 Dates],Benchmark2[[#This Row],[Benchmark '#2 Dates]])=1,"Pass","Fail")</f>
        <v>Pass</v>
      </c>
      <c r="K566" s="6">
        <f>IF(Benchmark2[[#This Row],[Comparable '#3 Date Check]]="Pass",INDEX(Comp3[Comparable '#3 Price],MATCH(Benchmark2[[#This Row],[Benchmark '#2 Dates]],Comp3[Comparable '#3 Dates],0)),"-")</f>
        <v>91.47</v>
      </c>
    </row>
    <row r="567" spans="1:11">
      <c r="A567" s="103">
        <v>44105</v>
      </c>
      <c r="B567" s="104">
        <v>12726.8382</v>
      </c>
      <c r="C567" s="4">
        <f t="shared" si="8"/>
        <v>1.9625922792171043E-3</v>
      </c>
      <c r="D567" s="1" t="str">
        <f>IF(COUNTIF(Target1[Target Dates],Benchmark2[[#This Row],[Benchmark '#2 Dates]])=1,"Pass","Fail")</f>
        <v>Pass</v>
      </c>
      <c r="E567" s="6">
        <f>IF(Benchmark2[[#This Row],[Target Date Check]]="Pass",INDEX(Target1[Target Price],MATCH(Benchmark2[[#This Row],[Benchmark '#2 Dates]],Target1[Target Dates],0)),"-")</f>
        <v>27.05</v>
      </c>
      <c r="F567" s="1" t="str">
        <f>IF(COUNTIF(Comp1[Comparable '#1 Dates],Benchmark2[[#This Row],[Benchmark '#2 Dates]])=1,"Pass","Fail")</f>
        <v>Pass</v>
      </c>
      <c r="G567" s="6">
        <f>IF(Benchmark2[[#This Row],[Comparable '#1 Date Check]]="Pass",INDEX(Comp1[Comparable '#1 Price],MATCH(Benchmark2[[#This Row],[Benchmark '#2 Dates]],Comp1[Comparable '#1 Dates],0)),"-")</f>
        <v>13.57</v>
      </c>
      <c r="H567" s="1" t="str">
        <f>IF(COUNTIF(Comp2[Comparable '#2 Dates],Benchmark2[[#This Row],[Benchmark '#2 Dates]])=1,"Pass","Fail")</f>
        <v>Pass</v>
      </c>
      <c r="I567" s="6">
        <f>IF(Benchmark2[[#This Row],[Comparable '#2 Date Check]]="Pass",INDEX(Comp2[Comparable '#2 Price],MATCH(Benchmark2[[#This Row],[Benchmark '#2 Dates]],Comp2[Comparable '#2 Dates],0)),"-")</f>
        <v>24.57</v>
      </c>
      <c r="J567" s="1" t="str">
        <f>IF(COUNTIF(Comp3[Comparable '#3 Dates],Benchmark2[[#This Row],[Benchmark '#2 Dates]])=1,"Pass","Fail")</f>
        <v>Pass</v>
      </c>
      <c r="K567" s="6">
        <f>IF(Benchmark2[[#This Row],[Comparable '#3 Date Check]]="Pass",INDEX(Comp3[Comparable '#3 Price],MATCH(Benchmark2[[#This Row],[Benchmark '#2 Dates]],Comp3[Comparable '#3 Dates],0)),"-")</f>
        <v>91.49</v>
      </c>
    </row>
    <row r="568" spans="1:11">
      <c r="A568" s="103">
        <v>44106</v>
      </c>
      <c r="B568" s="104">
        <v>12749.7875</v>
      </c>
      <c r="C568" s="4">
        <f t="shared" si="8"/>
        <v>1.8015969993475103E-3</v>
      </c>
      <c r="D568" s="1" t="str">
        <f>IF(COUNTIF(Target1[Target Dates],Benchmark2[[#This Row],[Benchmark '#2 Dates]])=1,"Pass","Fail")</f>
        <v>Pass</v>
      </c>
      <c r="E568" s="6">
        <f>IF(Benchmark2[[#This Row],[Target Date Check]]="Pass",INDEX(Target1[Target Price],MATCH(Benchmark2[[#This Row],[Benchmark '#2 Dates]],Target1[Target Dates],0)),"-")</f>
        <v>26.74</v>
      </c>
      <c r="F568" s="1" t="str">
        <f>IF(COUNTIF(Comp1[Comparable '#1 Dates],Benchmark2[[#This Row],[Benchmark '#2 Dates]])=1,"Pass","Fail")</f>
        <v>Pass</v>
      </c>
      <c r="G568" s="6">
        <f>IF(Benchmark2[[#This Row],[Comparable '#1 Date Check]]="Pass",INDEX(Comp1[Comparable '#1 Price],MATCH(Benchmark2[[#This Row],[Benchmark '#2 Dates]],Comp1[Comparable '#1 Dates],0)),"-")</f>
        <v>13.47</v>
      </c>
      <c r="H568" s="1" t="str">
        <f>IF(COUNTIF(Comp2[Comparable '#2 Dates],Benchmark2[[#This Row],[Benchmark '#2 Dates]])=1,"Pass","Fail")</f>
        <v>Pass</v>
      </c>
      <c r="I568" s="6">
        <f>IF(Benchmark2[[#This Row],[Comparable '#2 Date Check]]="Pass",INDEX(Comp2[Comparable '#2 Price],MATCH(Benchmark2[[#This Row],[Benchmark '#2 Dates]],Comp2[Comparable '#2 Dates],0)),"-")</f>
        <v>24.58</v>
      </c>
      <c r="J568" s="1" t="str">
        <f>IF(COUNTIF(Comp3[Comparable '#3 Dates],Benchmark2[[#This Row],[Benchmark '#2 Dates]])=1,"Pass","Fail")</f>
        <v>Pass</v>
      </c>
      <c r="K568" s="6">
        <f>IF(Benchmark2[[#This Row],[Comparable '#3 Date Check]]="Pass",INDEX(Comp3[Comparable '#3 Price],MATCH(Benchmark2[[#This Row],[Benchmark '#2 Dates]],Comp3[Comparable '#3 Dates],0)),"-")</f>
        <v>91.11</v>
      </c>
    </row>
    <row r="569" spans="1:11">
      <c r="A569" s="103">
        <v>44109</v>
      </c>
      <c r="B569" s="104">
        <v>12949.6484</v>
      </c>
      <c r="C569" s="4">
        <f t="shared" si="8"/>
        <v>1.5554032398934462E-2</v>
      </c>
      <c r="D569" s="1" t="str">
        <f>IF(COUNTIF(Target1[Target Dates],Benchmark2[[#This Row],[Benchmark '#2 Dates]])=1,"Pass","Fail")</f>
        <v>Pass</v>
      </c>
      <c r="E569" s="6">
        <f>IF(Benchmark2[[#This Row],[Target Date Check]]="Pass",INDEX(Target1[Target Price],MATCH(Benchmark2[[#This Row],[Benchmark '#2 Dates]],Target1[Target Dates],0)),"-")</f>
        <v>28.94</v>
      </c>
      <c r="F569" s="1" t="str">
        <f>IF(COUNTIF(Comp1[Comparable '#1 Dates],Benchmark2[[#This Row],[Benchmark '#2 Dates]])=1,"Pass","Fail")</f>
        <v>Pass</v>
      </c>
      <c r="G569" s="6">
        <f>IF(Benchmark2[[#This Row],[Comparable '#1 Date Check]]="Pass",INDEX(Comp1[Comparable '#1 Price],MATCH(Benchmark2[[#This Row],[Benchmark '#2 Dates]],Comp1[Comparable '#1 Dates],0)),"-")</f>
        <v>13.24</v>
      </c>
      <c r="H569" s="1" t="str">
        <f>IF(COUNTIF(Comp2[Comparable '#2 Dates],Benchmark2[[#This Row],[Benchmark '#2 Dates]])=1,"Pass","Fail")</f>
        <v>Pass</v>
      </c>
      <c r="I569" s="6">
        <f>IF(Benchmark2[[#This Row],[Comparable '#2 Date Check]]="Pass",INDEX(Comp2[Comparable '#2 Price],MATCH(Benchmark2[[#This Row],[Benchmark '#2 Dates]],Comp2[Comparable '#2 Dates],0)),"-")</f>
        <v>25.29</v>
      </c>
      <c r="J569" s="1" t="str">
        <f>IF(COUNTIF(Comp3[Comparable '#3 Dates],Benchmark2[[#This Row],[Benchmark '#2 Dates]])=1,"Pass","Fail")</f>
        <v>Pass</v>
      </c>
      <c r="K569" s="6">
        <f>IF(Benchmark2[[#This Row],[Comparable '#3 Date Check]]="Pass",INDEX(Comp3[Comparable '#3 Price],MATCH(Benchmark2[[#This Row],[Benchmark '#2 Dates]],Comp3[Comparable '#3 Dates],0)),"-")</f>
        <v>91.96</v>
      </c>
    </row>
    <row r="570" spans="1:11">
      <c r="A570" s="103">
        <v>44110</v>
      </c>
      <c r="B570" s="104">
        <v>12837.882299999999</v>
      </c>
      <c r="C570" s="4">
        <f t="shared" si="8"/>
        <v>-8.6682824449722338E-3</v>
      </c>
      <c r="D570" s="1" t="str">
        <f>IF(COUNTIF(Target1[Target Dates],Benchmark2[[#This Row],[Benchmark '#2 Dates]])=1,"Pass","Fail")</f>
        <v>Pass</v>
      </c>
      <c r="E570" s="6">
        <f>IF(Benchmark2[[#This Row],[Target Date Check]]="Pass",INDEX(Target1[Target Price],MATCH(Benchmark2[[#This Row],[Benchmark '#2 Dates]],Target1[Target Dates],0)),"-")</f>
        <v>29.04</v>
      </c>
      <c r="F570" s="1" t="str">
        <f>IF(COUNTIF(Comp1[Comparable '#1 Dates],Benchmark2[[#This Row],[Benchmark '#2 Dates]])=1,"Pass","Fail")</f>
        <v>Pass</v>
      </c>
      <c r="G570" s="6">
        <f>IF(Benchmark2[[#This Row],[Comparable '#1 Date Check]]="Pass",INDEX(Comp1[Comparable '#1 Price],MATCH(Benchmark2[[#This Row],[Benchmark '#2 Dates]],Comp1[Comparable '#1 Dates],0)),"-")</f>
        <v>13.14</v>
      </c>
      <c r="H570" s="1" t="str">
        <f>IF(COUNTIF(Comp2[Comparable '#2 Dates],Benchmark2[[#This Row],[Benchmark '#2 Dates]])=1,"Pass","Fail")</f>
        <v>Pass</v>
      </c>
      <c r="I570" s="6">
        <f>IF(Benchmark2[[#This Row],[Comparable '#2 Date Check]]="Pass",INDEX(Comp2[Comparable '#2 Price],MATCH(Benchmark2[[#This Row],[Benchmark '#2 Dates]],Comp2[Comparable '#2 Dates],0)),"-")</f>
        <v>26.09</v>
      </c>
      <c r="J570" s="1" t="str">
        <f>IF(COUNTIF(Comp3[Comparable '#3 Dates],Benchmark2[[#This Row],[Benchmark '#2 Dates]])=1,"Pass","Fail")</f>
        <v>Pass</v>
      </c>
      <c r="K570" s="6">
        <f>IF(Benchmark2[[#This Row],[Comparable '#3 Date Check]]="Pass",INDEX(Comp3[Comparable '#3 Price],MATCH(Benchmark2[[#This Row],[Benchmark '#2 Dates]],Comp3[Comparable '#3 Dates],0)),"-")</f>
        <v>93.65</v>
      </c>
    </row>
    <row r="571" spans="1:11">
      <c r="A571" s="103">
        <v>44111</v>
      </c>
      <c r="B571" s="104">
        <v>13042.329100000001</v>
      </c>
      <c r="C571" s="4">
        <f t="shared" si="8"/>
        <v>1.5799797759639349E-2</v>
      </c>
      <c r="D571" s="1" t="str">
        <f>IF(COUNTIF(Target1[Target Dates],Benchmark2[[#This Row],[Benchmark '#2 Dates]])=1,"Pass","Fail")</f>
        <v>Pass</v>
      </c>
      <c r="E571" s="6">
        <f>IF(Benchmark2[[#This Row],[Target Date Check]]="Pass",INDEX(Target1[Target Price],MATCH(Benchmark2[[#This Row],[Benchmark '#2 Dates]],Target1[Target Dates],0)),"-")</f>
        <v>29.83</v>
      </c>
      <c r="F571" s="1" t="str">
        <f>IF(COUNTIF(Comp1[Comparable '#1 Dates],Benchmark2[[#This Row],[Benchmark '#2 Dates]])=1,"Pass","Fail")</f>
        <v>Pass</v>
      </c>
      <c r="G571" s="6">
        <f>IF(Benchmark2[[#This Row],[Comparable '#1 Date Check]]="Pass",INDEX(Comp1[Comparable '#1 Price],MATCH(Benchmark2[[#This Row],[Benchmark '#2 Dates]],Comp1[Comparable '#1 Dates],0)),"-")</f>
        <v>12.99</v>
      </c>
      <c r="H571" s="1" t="str">
        <f>IF(COUNTIF(Comp2[Comparable '#2 Dates],Benchmark2[[#This Row],[Benchmark '#2 Dates]])=1,"Pass","Fail")</f>
        <v>Pass</v>
      </c>
      <c r="I571" s="6">
        <f>IF(Benchmark2[[#This Row],[Comparable '#2 Date Check]]="Pass",INDEX(Comp2[Comparable '#2 Price],MATCH(Benchmark2[[#This Row],[Benchmark '#2 Dates]],Comp2[Comparable '#2 Dates],0)),"-")</f>
        <v>26.19</v>
      </c>
      <c r="J571" s="1" t="str">
        <f>IF(COUNTIF(Comp3[Comparable '#3 Dates],Benchmark2[[#This Row],[Benchmark '#2 Dates]])=1,"Pass","Fail")</f>
        <v>Pass</v>
      </c>
      <c r="K571" s="6">
        <f>IF(Benchmark2[[#This Row],[Comparable '#3 Date Check]]="Pass",INDEX(Comp3[Comparable '#3 Price],MATCH(Benchmark2[[#This Row],[Benchmark '#2 Dates]],Comp3[Comparable '#3 Dates],0)),"-")</f>
        <v>93.99</v>
      </c>
    </row>
    <row r="572" spans="1:11">
      <c r="A572" s="103">
        <v>44112</v>
      </c>
      <c r="B572" s="104">
        <v>13190.5785</v>
      </c>
      <c r="C572" s="4">
        <f t="shared" si="8"/>
        <v>1.1302672239045445E-2</v>
      </c>
      <c r="D572" s="1" t="str">
        <f>IF(COUNTIF(Target1[Target Dates],Benchmark2[[#This Row],[Benchmark '#2 Dates]])=1,"Pass","Fail")</f>
        <v>Pass</v>
      </c>
      <c r="E572" s="6">
        <f>IF(Benchmark2[[#This Row],[Target Date Check]]="Pass",INDEX(Target1[Target Price],MATCH(Benchmark2[[#This Row],[Benchmark '#2 Dates]],Target1[Target Dates],0)),"-")</f>
        <v>29.57</v>
      </c>
      <c r="F572" s="1" t="str">
        <f>IF(COUNTIF(Comp1[Comparable '#1 Dates],Benchmark2[[#This Row],[Benchmark '#2 Dates]])=1,"Pass","Fail")</f>
        <v>Pass</v>
      </c>
      <c r="G572" s="6">
        <f>IF(Benchmark2[[#This Row],[Comparable '#1 Date Check]]="Pass",INDEX(Comp1[Comparable '#1 Price],MATCH(Benchmark2[[#This Row],[Benchmark '#2 Dates]],Comp1[Comparable '#1 Dates],0)),"-")</f>
        <v>13.34</v>
      </c>
      <c r="H572" s="1" t="str">
        <f>IF(COUNTIF(Comp2[Comparable '#2 Dates],Benchmark2[[#This Row],[Benchmark '#2 Dates]])=1,"Pass","Fail")</f>
        <v>Pass</v>
      </c>
      <c r="I572" s="6">
        <f>IF(Benchmark2[[#This Row],[Comparable '#2 Date Check]]="Pass",INDEX(Comp2[Comparable '#2 Price],MATCH(Benchmark2[[#This Row],[Benchmark '#2 Dates]],Comp2[Comparable '#2 Dates],0)),"-")</f>
        <v>26.92</v>
      </c>
      <c r="J572" s="1" t="str">
        <f>IF(COUNTIF(Comp3[Comparable '#3 Dates],Benchmark2[[#This Row],[Benchmark '#2 Dates]])=1,"Pass","Fail")</f>
        <v>Pass</v>
      </c>
      <c r="K572" s="6">
        <f>IF(Benchmark2[[#This Row],[Comparable '#3 Date Check]]="Pass",INDEX(Comp3[Comparable '#3 Price],MATCH(Benchmark2[[#This Row],[Benchmark '#2 Dates]],Comp3[Comparable '#3 Dates],0)),"-")</f>
        <v>95.51</v>
      </c>
    </row>
    <row r="573" spans="1:11">
      <c r="A573" s="103">
        <v>44113</v>
      </c>
      <c r="B573" s="104">
        <v>13252.6217</v>
      </c>
      <c r="C573" s="4">
        <f t="shared" si="8"/>
        <v>4.6925722591203024E-3</v>
      </c>
      <c r="D573" s="1" t="str">
        <f>IF(COUNTIF(Target1[Target Dates],Benchmark2[[#This Row],[Benchmark '#2 Dates]])=1,"Pass","Fail")</f>
        <v>Pass</v>
      </c>
      <c r="E573" s="6">
        <f>IF(Benchmark2[[#This Row],[Target Date Check]]="Pass",INDEX(Target1[Target Price],MATCH(Benchmark2[[#This Row],[Benchmark '#2 Dates]],Target1[Target Dates],0)),"-")</f>
        <v>30.44</v>
      </c>
      <c r="F573" s="1" t="str">
        <f>IF(COUNTIF(Comp1[Comparable '#1 Dates],Benchmark2[[#This Row],[Benchmark '#2 Dates]])=1,"Pass","Fail")</f>
        <v>Pass</v>
      </c>
      <c r="G573" s="6">
        <f>IF(Benchmark2[[#This Row],[Comparable '#1 Date Check]]="Pass",INDEX(Comp1[Comparable '#1 Price],MATCH(Benchmark2[[#This Row],[Benchmark '#2 Dates]],Comp1[Comparable '#1 Dates],0)),"-")</f>
        <v>13.62</v>
      </c>
      <c r="H573" s="1" t="str">
        <f>IF(COUNTIF(Comp2[Comparable '#2 Dates],Benchmark2[[#This Row],[Benchmark '#2 Dates]])=1,"Pass","Fail")</f>
        <v>Pass</v>
      </c>
      <c r="I573" s="6">
        <f>IF(Benchmark2[[#This Row],[Comparable '#2 Date Check]]="Pass",INDEX(Comp2[Comparable '#2 Price],MATCH(Benchmark2[[#This Row],[Benchmark '#2 Dates]],Comp2[Comparable '#2 Dates],0)),"-")</f>
        <v>26.63</v>
      </c>
      <c r="J573" s="1" t="str">
        <f>IF(COUNTIF(Comp3[Comparable '#3 Dates],Benchmark2[[#This Row],[Benchmark '#2 Dates]])=1,"Pass","Fail")</f>
        <v>Pass</v>
      </c>
      <c r="K573" s="6">
        <f>IF(Benchmark2[[#This Row],[Comparable '#3 Date Check]]="Pass",INDEX(Comp3[Comparable '#3 Price],MATCH(Benchmark2[[#This Row],[Benchmark '#2 Dates]],Comp3[Comparable '#3 Dates],0)),"-")</f>
        <v>96.43</v>
      </c>
    </row>
    <row r="574" spans="1:11">
      <c r="A574" s="103">
        <v>44116</v>
      </c>
      <c r="B574" s="104">
        <v>13324.873799999999</v>
      </c>
      <c r="C574" s="4">
        <f t="shared" si="8"/>
        <v>5.4371020770889464E-3</v>
      </c>
      <c r="D574" s="1" t="str">
        <f>IF(COUNTIF(Target1[Target Dates],Benchmark2[[#This Row],[Benchmark '#2 Dates]])=1,"Pass","Fail")</f>
        <v>Pass</v>
      </c>
      <c r="E574" s="6">
        <f>IF(Benchmark2[[#This Row],[Target Date Check]]="Pass",INDEX(Target1[Target Price],MATCH(Benchmark2[[#This Row],[Benchmark '#2 Dates]],Target1[Target Dates],0)),"-")</f>
        <v>30.46</v>
      </c>
      <c r="F574" s="1" t="str">
        <f>IF(COUNTIF(Comp1[Comparable '#1 Dates],Benchmark2[[#This Row],[Benchmark '#2 Dates]])=1,"Pass","Fail")</f>
        <v>Pass</v>
      </c>
      <c r="G574" s="6">
        <f>IF(Benchmark2[[#This Row],[Comparable '#1 Date Check]]="Pass",INDEX(Comp1[Comparable '#1 Price],MATCH(Benchmark2[[#This Row],[Benchmark '#2 Dates]],Comp1[Comparable '#1 Dates],0)),"-")</f>
        <v>13.71</v>
      </c>
      <c r="H574" s="1" t="str">
        <f>IF(COUNTIF(Comp2[Comparable '#2 Dates],Benchmark2[[#This Row],[Benchmark '#2 Dates]])=1,"Pass","Fail")</f>
        <v>Pass</v>
      </c>
      <c r="I574" s="6">
        <f>IF(Benchmark2[[#This Row],[Comparable '#2 Date Check]]="Pass",INDEX(Comp2[Comparable '#2 Price],MATCH(Benchmark2[[#This Row],[Benchmark '#2 Dates]],Comp2[Comparable '#2 Dates],0)),"-")</f>
        <v>26.39</v>
      </c>
      <c r="J574" s="1" t="str">
        <f>IF(COUNTIF(Comp3[Comparable '#3 Dates],Benchmark2[[#This Row],[Benchmark '#2 Dates]])=1,"Pass","Fail")</f>
        <v>Pass</v>
      </c>
      <c r="K574" s="6">
        <f>IF(Benchmark2[[#This Row],[Comparable '#3 Date Check]]="Pass",INDEX(Comp3[Comparable '#3 Price],MATCH(Benchmark2[[#This Row],[Benchmark '#2 Dates]],Comp3[Comparable '#3 Dates],0)),"-")</f>
        <v>97.53</v>
      </c>
    </row>
    <row r="575" spans="1:11">
      <c r="A575" s="103">
        <v>44117</v>
      </c>
      <c r="B575" s="104">
        <v>13211.9485</v>
      </c>
      <c r="C575" s="4">
        <f t="shared" si="8"/>
        <v>-8.5108895383290226E-3</v>
      </c>
      <c r="D575" s="1" t="str">
        <f>IF(COUNTIF(Target1[Target Dates],Benchmark2[[#This Row],[Benchmark '#2 Dates]])=1,"Pass","Fail")</f>
        <v>Pass</v>
      </c>
      <c r="E575" s="6">
        <f>IF(Benchmark2[[#This Row],[Target Date Check]]="Pass",INDEX(Target1[Target Price],MATCH(Benchmark2[[#This Row],[Benchmark '#2 Dates]],Target1[Target Dates],0)),"-")</f>
        <v>30.99</v>
      </c>
      <c r="F575" s="1" t="str">
        <f>IF(COUNTIF(Comp1[Comparable '#1 Dates],Benchmark2[[#This Row],[Benchmark '#2 Dates]])=1,"Pass","Fail")</f>
        <v>Pass</v>
      </c>
      <c r="G575" s="6">
        <f>IF(Benchmark2[[#This Row],[Comparable '#1 Date Check]]="Pass",INDEX(Comp1[Comparable '#1 Price],MATCH(Benchmark2[[#This Row],[Benchmark '#2 Dates]],Comp1[Comparable '#1 Dates],0)),"-")</f>
        <v>13.46</v>
      </c>
      <c r="H575" s="1" t="str">
        <f>IF(COUNTIF(Comp2[Comparable '#2 Dates],Benchmark2[[#This Row],[Benchmark '#2 Dates]])=1,"Pass","Fail")</f>
        <v>Pass</v>
      </c>
      <c r="I575" s="6">
        <f>IF(Benchmark2[[#This Row],[Comparable '#2 Date Check]]="Pass",INDEX(Comp2[Comparable '#2 Price],MATCH(Benchmark2[[#This Row],[Benchmark '#2 Dates]],Comp2[Comparable '#2 Dates],0)),"-")</f>
        <v>26.45</v>
      </c>
      <c r="J575" s="1" t="str">
        <f>IF(COUNTIF(Comp3[Comparable '#3 Dates],Benchmark2[[#This Row],[Benchmark '#2 Dates]])=1,"Pass","Fail")</f>
        <v>Pass</v>
      </c>
      <c r="K575" s="6">
        <f>IF(Benchmark2[[#This Row],[Comparable '#3 Date Check]]="Pass",INDEX(Comp3[Comparable '#3 Price],MATCH(Benchmark2[[#This Row],[Benchmark '#2 Dates]],Comp3[Comparable '#3 Dates],0)),"-")</f>
        <v>95.9</v>
      </c>
    </row>
    <row r="576" spans="1:11">
      <c r="A576" s="103">
        <v>44118</v>
      </c>
      <c r="B576" s="104">
        <v>13143.1626</v>
      </c>
      <c r="C576" s="4">
        <f t="shared" si="8"/>
        <v>-5.2199405214052837E-3</v>
      </c>
      <c r="D576" s="1" t="str">
        <f>IF(COUNTIF(Target1[Target Dates],Benchmark2[[#This Row],[Benchmark '#2 Dates]])=1,"Pass","Fail")</f>
        <v>Pass</v>
      </c>
      <c r="E576" s="6">
        <f>IF(Benchmark2[[#This Row],[Target Date Check]]="Pass",INDEX(Target1[Target Price],MATCH(Benchmark2[[#This Row],[Benchmark '#2 Dates]],Target1[Target Dates],0)),"-")</f>
        <v>30.2</v>
      </c>
      <c r="F576" s="1" t="str">
        <f>IF(COUNTIF(Comp1[Comparable '#1 Dates],Benchmark2[[#This Row],[Benchmark '#2 Dates]])=1,"Pass","Fail")</f>
        <v>Pass</v>
      </c>
      <c r="G576" s="6">
        <f>IF(Benchmark2[[#This Row],[Comparable '#1 Date Check]]="Pass",INDEX(Comp1[Comparable '#1 Price],MATCH(Benchmark2[[#This Row],[Benchmark '#2 Dates]],Comp1[Comparable '#1 Dates],0)),"-")</f>
        <v>13.67</v>
      </c>
      <c r="H576" s="1" t="str">
        <f>IF(COUNTIF(Comp2[Comparable '#2 Dates],Benchmark2[[#This Row],[Benchmark '#2 Dates]])=1,"Pass","Fail")</f>
        <v>Pass</v>
      </c>
      <c r="I576" s="6">
        <f>IF(Benchmark2[[#This Row],[Comparable '#2 Date Check]]="Pass",INDEX(Comp2[Comparable '#2 Price],MATCH(Benchmark2[[#This Row],[Benchmark '#2 Dates]],Comp2[Comparable '#2 Dates],0)),"-")</f>
        <v>26.93</v>
      </c>
      <c r="J576" s="1" t="str">
        <f>IF(COUNTIF(Comp3[Comparable '#3 Dates],Benchmark2[[#This Row],[Benchmark '#2 Dates]])=1,"Pass","Fail")</f>
        <v>Pass</v>
      </c>
      <c r="K576" s="6">
        <f>IF(Benchmark2[[#This Row],[Comparable '#3 Date Check]]="Pass",INDEX(Comp3[Comparable '#3 Price],MATCH(Benchmark2[[#This Row],[Benchmark '#2 Dates]],Comp3[Comparable '#3 Dates],0)),"-")</f>
        <v>96.15</v>
      </c>
    </row>
    <row r="577" spans="1:11">
      <c r="A577" s="103">
        <v>44119</v>
      </c>
      <c r="B577" s="104">
        <v>13137.2464</v>
      </c>
      <c r="C577" s="4">
        <f t="shared" si="8"/>
        <v>-4.5023653170239058E-4</v>
      </c>
      <c r="D577" s="1" t="str">
        <f>IF(COUNTIF(Target1[Target Dates],Benchmark2[[#This Row],[Benchmark '#2 Dates]])=1,"Pass","Fail")</f>
        <v>Pass</v>
      </c>
      <c r="E577" s="6">
        <f>IF(Benchmark2[[#This Row],[Target Date Check]]="Pass",INDEX(Target1[Target Price],MATCH(Benchmark2[[#This Row],[Benchmark '#2 Dates]],Target1[Target Dates],0)),"-")</f>
        <v>30.09</v>
      </c>
      <c r="F577" s="1" t="str">
        <f>IF(COUNTIF(Comp1[Comparable '#1 Dates],Benchmark2[[#This Row],[Benchmark '#2 Dates]])=1,"Pass","Fail")</f>
        <v>Pass</v>
      </c>
      <c r="G577" s="6">
        <f>IF(Benchmark2[[#This Row],[Comparable '#1 Date Check]]="Pass",INDEX(Comp1[Comparable '#1 Price],MATCH(Benchmark2[[#This Row],[Benchmark '#2 Dates]],Comp1[Comparable '#1 Dates],0)),"-")</f>
        <v>13.62</v>
      </c>
      <c r="H577" s="1" t="str">
        <f>IF(COUNTIF(Comp2[Comparable '#2 Dates],Benchmark2[[#This Row],[Benchmark '#2 Dates]])=1,"Pass","Fail")</f>
        <v>Pass</v>
      </c>
      <c r="I577" s="6">
        <f>IF(Benchmark2[[#This Row],[Comparable '#2 Date Check]]="Pass",INDEX(Comp2[Comparable '#2 Price],MATCH(Benchmark2[[#This Row],[Benchmark '#2 Dates]],Comp2[Comparable '#2 Dates],0)),"-")</f>
        <v>27.4</v>
      </c>
      <c r="J577" s="1" t="str">
        <f>IF(COUNTIF(Comp3[Comparable '#3 Dates],Benchmark2[[#This Row],[Benchmark '#2 Dates]])=1,"Pass","Fail")</f>
        <v>Pass</v>
      </c>
      <c r="K577" s="6">
        <f>IF(Benchmark2[[#This Row],[Comparable '#3 Date Check]]="Pass",INDEX(Comp3[Comparable '#3 Price],MATCH(Benchmark2[[#This Row],[Benchmark '#2 Dates]],Comp3[Comparable '#3 Dates],0)),"-")</f>
        <v>96.64</v>
      </c>
    </row>
    <row r="578" spans="1:11">
      <c r="A578" s="103">
        <v>44120</v>
      </c>
      <c r="B578" s="104">
        <v>13169.3184</v>
      </c>
      <c r="C578" s="4">
        <f t="shared" ref="C578:C641" si="9">IFERROR(IF(B578="",NA(),LN(B578/B577)),"-")</f>
        <v>2.4383279332759354E-3</v>
      </c>
      <c r="D578" s="1" t="str">
        <f>IF(COUNTIF(Target1[Target Dates],Benchmark2[[#This Row],[Benchmark '#2 Dates]])=1,"Pass","Fail")</f>
        <v>Pass</v>
      </c>
      <c r="E578" s="6">
        <f>IF(Benchmark2[[#This Row],[Target Date Check]]="Pass",INDEX(Target1[Target Price],MATCH(Benchmark2[[#This Row],[Benchmark '#2 Dates]],Target1[Target Dates],0)),"-")</f>
        <v>29.36</v>
      </c>
      <c r="F578" s="1" t="str">
        <f>IF(COUNTIF(Comp1[Comparable '#1 Dates],Benchmark2[[#This Row],[Benchmark '#2 Dates]])=1,"Pass","Fail")</f>
        <v>Pass</v>
      </c>
      <c r="G578" s="6">
        <f>IF(Benchmark2[[#This Row],[Comparable '#1 Date Check]]="Pass",INDEX(Comp1[Comparable '#1 Price],MATCH(Benchmark2[[#This Row],[Benchmark '#2 Dates]],Comp1[Comparable '#1 Dates],0)),"-")</f>
        <v>13.59</v>
      </c>
      <c r="H578" s="1" t="str">
        <f>IF(COUNTIF(Comp2[Comparable '#2 Dates],Benchmark2[[#This Row],[Benchmark '#2 Dates]])=1,"Pass","Fail")</f>
        <v>Pass</v>
      </c>
      <c r="I578" s="6">
        <f>IF(Benchmark2[[#This Row],[Comparable '#2 Date Check]]="Pass",INDEX(Comp2[Comparable '#2 Price],MATCH(Benchmark2[[#This Row],[Benchmark '#2 Dates]],Comp2[Comparable '#2 Dates],0)),"-")</f>
        <v>26.6</v>
      </c>
      <c r="J578" s="1" t="str">
        <f>IF(COUNTIF(Comp3[Comparable '#3 Dates],Benchmark2[[#This Row],[Benchmark '#2 Dates]])=1,"Pass","Fail")</f>
        <v>Pass</v>
      </c>
      <c r="K578" s="6">
        <f>IF(Benchmark2[[#This Row],[Comparable '#3 Date Check]]="Pass",INDEX(Comp3[Comparable '#3 Price],MATCH(Benchmark2[[#This Row],[Benchmark '#2 Dates]],Comp3[Comparable '#3 Dates],0)),"-")</f>
        <v>96.73</v>
      </c>
    </row>
    <row r="579" spans="1:11">
      <c r="A579" s="103">
        <v>44123</v>
      </c>
      <c r="B579" s="104">
        <v>13018.506600000001</v>
      </c>
      <c r="C579" s="4">
        <f t="shared" si="9"/>
        <v>-1.1517830688580527E-2</v>
      </c>
      <c r="D579" s="1" t="str">
        <f>IF(COUNTIF(Target1[Target Dates],Benchmark2[[#This Row],[Benchmark '#2 Dates]])=1,"Pass","Fail")</f>
        <v>Pass</v>
      </c>
      <c r="E579" s="6">
        <f>IF(Benchmark2[[#This Row],[Target Date Check]]="Pass",INDEX(Target1[Target Price],MATCH(Benchmark2[[#This Row],[Benchmark '#2 Dates]],Target1[Target Dates],0)),"-")</f>
        <v>29.01</v>
      </c>
      <c r="F579" s="1" t="str">
        <f>IF(COUNTIF(Comp1[Comparable '#1 Dates],Benchmark2[[#This Row],[Benchmark '#2 Dates]])=1,"Pass","Fail")</f>
        <v>Pass</v>
      </c>
      <c r="G579" s="6">
        <f>IF(Benchmark2[[#This Row],[Comparable '#1 Date Check]]="Pass",INDEX(Comp1[Comparable '#1 Price],MATCH(Benchmark2[[#This Row],[Benchmark '#2 Dates]],Comp1[Comparable '#1 Dates],0)),"-")</f>
        <v>13.61</v>
      </c>
      <c r="H579" s="1" t="str">
        <f>IF(COUNTIF(Comp2[Comparable '#2 Dates],Benchmark2[[#This Row],[Benchmark '#2 Dates]])=1,"Pass","Fail")</f>
        <v>Pass</v>
      </c>
      <c r="I579" s="6">
        <f>IF(Benchmark2[[#This Row],[Comparable '#2 Date Check]]="Pass",INDEX(Comp2[Comparable '#2 Price],MATCH(Benchmark2[[#This Row],[Benchmark '#2 Dates]],Comp2[Comparable '#2 Dates],0)),"-")</f>
        <v>26.32</v>
      </c>
      <c r="J579" s="1" t="str">
        <f>IF(COUNTIF(Comp3[Comparable '#3 Dates],Benchmark2[[#This Row],[Benchmark '#2 Dates]])=1,"Pass","Fail")</f>
        <v>Pass</v>
      </c>
      <c r="K579" s="6">
        <f>IF(Benchmark2[[#This Row],[Comparable '#3 Date Check]]="Pass",INDEX(Comp3[Comparable '#3 Price],MATCH(Benchmark2[[#This Row],[Benchmark '#2 Dates]],Comp3[Comparable '#3 Dates],0)),"-")</f>
        <v>97.89</v>
      </c>
    </row>
    <row r="580" spans="1:11">
      <c r="A580" s="103">
        <v>44124</v>
      </c>
      <c r="B580" s="104">
        <v>13092.161700000001</v>
      </c>
      <c r="C580" s="4">
        <f t="shared" si="9"/>
        <v>5.6417778757465835E-3</v>
      </c>
      <c r="D580" s="1" t="str">
        <f>IF(COUNTIF(Target1[Target Dates],Benchmark2[[#This Row],[Benchmark '#2 Dates]])=1,"Pass","Fail")</f>
        <v>Pass</v>
      </c>
      <c r="E580" s="6">
        <f>IF(Benchmark2[[#This Row],[Target Date Check]]="Pass",INDEX(Target1[Target Price],MATCH(Benchmark2[[#This Row],[Benchmark '#2 Dates]],Target1[Target Dates],0)),"-")</f>
        <v>29.15</v>
      </c>
      <c r="F580" s="1" t="str">
        <f>IF(COUNTIF(Comp1[Comparable '#1 Dates],Benchmark2[[#This Row],[Benchmark '#2 Dates]])=1,"Pass","Fail")</f>
        <v>Pass</v>
      </c>
      <c r="G580" s="6">
        <f>IF(Benchmark2[[#This Row],[Comparable '#1 Date Check]]="Pass",INDEX(Comp1[Comparable '#1 Price],MATCH(Benchmark2[[#This Row],[Benchmark '#2 Dates]],Comp1[Comparable '#1 Dates],0)),"-")</f>
        <v>13.74</v>
      </c>
      <c r="H580" s="1" t="str">
        <f>IF(COUNTIF(Comp2[Comparable '#2 Dates],Benchmark2[[#This Row],[Benchmark '#2 Dates]])=1,"Pass","Fail")</f>
        <v>Pass</v>
      </c>
      <c r="I580" s="6">
        <f>IF(Benchmark2[[#This Row],[Comparable '#2 Date Check]]="Pass",INDEX(Comp2[Comparable '#2 Price],MATCH(Benchmark2[[#This Row],[Benchmark '#2 Dates]],Comp2[Comparable '#2 Dates],0)),"-")</f>
        <v>26.83</v>
      </c>
      <c r="J580" s="1" t="str">
        <f>IF(COUNTIF(Comp3[Comparable '#3 Dates],Benchmark2[[#This Row],[Benchmark '#2 Dates]])=1,"Pass","Fail")</f>
        <v>Pass</v>
      </c>
      <c r="K580" s="6">
        <f>IF(Benchmark2[[#This Row],[Comparable '#3 Date Check]]="Pass",INDEX(Comp3[Comparable '#3 Price],MATCH(Benchmark2[[#This Row],[Benchmark '#2 Dates]],Comp3[Comparable '#3 Dates],0)),"-")</f>
        <v>97.15</v>
      </c>
    </row>
    <row r="581" spans="1:11">
      <c r="A581" s="103">
        <v>44125</v>
      </c>
      <c r="B581" s="104">
        <v>13040.1284</v>
      </c>
      <c r="C581" s="4">
        <f t="shared" si="9"/>
        <v>-3.9823045409432501E-3</v>
      </c>
      <c r="D581" s="1" t="str">
        <f>IF(COUNTIF(Target1[Target Dates],Benchmark2[[#This Row],[Benchmark '#2 Dates]])=1,"Pass","Fail")</f>
        <v>Pass</v>
      </c>
      <c r="E581" s="6">
        <f>IF(Benchmark2[[#This Row],[Target Date Check]]="Pass",INDEX(Target1[Target Price],MATCH(Benchmark2[[#This Row],[Benchmark '#2 Dates]],Target1[Target Dates],0)),"-")</f>
        <v>28.47</v>
      </c>
      <c r="F581" s="1" t="str">
        <f>IF(COUNTIF(Comp1[Comparable '#1 Dates],Benchmark2[[#This Row],[Benchmark '#2 Dates]])=1,"Pass","Fail")</f>
        <v>Pass</v>
      </c>
      <c r="G581" s="6">
        <f>IF(Benchmark2[[#This Row],[Comparable '#1 Date Check]]="Pass",INDEX(Comp1[Comparable '#1 Price],MATCH(Benchmark2[[#This Row],[Benchmark '#2 Dates]],Comp1[Comparable '#1 Dates],0)),"-")</f>
        <v>13.83</v>
      </c>
      <c r="H581" s="1" t="str">
        <f>IF(COUNTIF(Comp2[Comparable '#2 Dates],Benchmark2[[#This Row],[Benchmark '#2 Dates]])=1,"Pass","Fail")</f>
        <v>Pass</v>
      </c>
      <c r="I581" s="6">
        <f>IF(Benchmark2[[#This Row],[Comparable '#2 Date Check]]="Pass",INDEX(Comp2[Comparable '#2 Price],MATCH(Benchmark2[[#This Row],[Benchmark '#2 Dates]],Comp2[Comparable '#2 Dates],0)),"-")</f>
        <v>26.87</v>
      </c>
      <c r="J581" s="1" t="str">
        <f>IF(COUNTIF(Comp3[Comparable '#3 Dates],Benchmark2[[#This Row],[Benchmark '#2 Dates]])=1,"Pass","Fail")</f>
        <v>Pass</v>
      </c>
      <c r="K581" s="6">
        <f>IF(Benchmark2[[#This Row],[Comparable '#3 Date Check]]="Pass",INDEX(Comp3[Comparable '#3 Price],MATCH(Benchmark2[[#This Row],[Benchmark '#2 Dates]],Comp3[Comparable '#3 Dates],0)),"-")</f>
        <v>96.05</v>
      </c>
    </row>
    <row r="582" spans="1:11">
      <c r="A582" s="103">
        <v>44126</v>
      </c>
      <c r="B582" s="104">
        <v>13145.921</v>
      </c>
      <c r="C582" s="4">
        <f t="shared" si="9"/>
        <v>8.080117315004803E-3</v>
      </c>
      <c r="D582" s="1" t="str">
        <f>IF(COUNTIF(Target1[Target Dates],Benchmark2[[#This Row],[Benchmark '#2 Dates]])=1,"Pass","Fail")</f>
        <v>Pass</v>
      </c>
      <c r="E582" s="6">
        <f>IF(Benchmark2[[#This Row],[Target Date Check]]="Pass",INDEX(Target1[Target Price],MATCH(Benchmark2[[#This Row],[Benchmark '#2 Dates]],Target1[Target Dates],0)),"-")</f>
        <v>28.93</v>
      </c>
      <c r="F582" s="1" t="str">
        <f>IF(COUNTIF(Comp1[Comparable '#1 Dates],Benchmark2[[#This Row],[Benchmark '#2 Dates]])=1,"Pass","Fail")</f>
        <v>Pass</v>
      </c>
      <c r="G582" s="6">
        <f>IF(Benchmark2[[#This Row],[Comparable '#1 Date Check]]="Pass",INDEX(Comp1[Comparable '#1 Price],MATCH(Benchmark2[[#This Row],[Benchmark '#2 Dates]],Comp1[Comparable '#1 Dates],0)),"-")</f>
        <v>13.77</v>
      </c>
      <c r="H582" s="1" t="str">
        <f>IF(COUNTIF(Comp2[Comparable '#2 Dates],Benchmark2[[#This Row],[Benchmark '#2 Dates]])=1,"Pass","Fail")</f>
        <v>Pass</v>
      </c>
      <c r="I582" s="6">
        <f>IF(Benchmark2[[#This Row],[Comparable '#2 Date Check]]="Pass",INDEX(Comp2[Comparable '#2 Price],MATCH(Benchmark2[[#This Row],[Benchmark '#2 Dates]],Comp2[Comparable '#2 Dates],0)),"-")</f>
        <v>27.24</v>
      </c>
      <c r="J582" s="1" t="str">
        <f>IF(COUNTIF(Comp3[Comparable '#3 Dates],Benchmark2[[#This Row],[Benchmark '#2 Dates]])=1,"Pass","Fail")</f>
        <v>Pass</v>
      </c>
      <c r="K582" s="6">
        <f>IF(Benchmark2[[#This Row],[Comparable '#3 Date Check]]="Pass",INDEX(Comp3[Comparable '#3 Price],MATCH(Benchmark2[[#This Row],[Benchmark '#2 Dates]],Comp3[Comparable '#3 Dates],0)),"-")</f>
        <v>95.79</v>
      </c>
    </row>
    <row r="583" spans="1:11">
      <c r="A583" s="103">
        <v>44127</v>
      </c>
      <c r="B583" s="104">
        <v>13199.864299999999</v>
      </c>
      <c r="C583" s="4">
        <f t="shared" si="9"/>
        <v>4.0950288456512857E-3</v>
      </c>
      <c r="D583" s="1" t="str">
        <f>IF(COUNTIF(Target1[Target Dates],Benchmark2[[#This Row],[Benchmark '#2 Dates]])=1,"Pass","Fail")</f>
        <v>Pass</v>
      </c>
      <c r="E583" s="6">
        <f>IF(Benchmark2[[#This Row],[Target Date Check]]="Pass",INDEX(Target1[Target Price],MATCH(Benchmark2[[#This Row],[Benchmark '#2 Dates]],Target1[Target Dates],0)),"-")</f>
        <v>28.7</v>
      </c>
      <c r="F583" s="1" t="str">
        <f>IF(COUNTIF(Comp1[Comparable '#1 Dates],Benchmark2[[#This Row],[Benchmark '#2 Dates]])=1,"Pass","Fail")</f>
        <v>Pass</v>
      </c>
      <c r="G583" s="6">
        <f>IF(Benchmark2[[#This Row],[Comparable '#1 Date Check]]="Pass",INDEX(Comp1[Comparable '#1 Price],MATCH(Benchmark2[[#This Row],[Benchmark '#2 Dates]],Comp1[Comparable '#1 Dates],0)),"-")</f>
        <v>13.81</v>
      </c>
      <c r="H583" s="1" t="str">
        <f>IF(COUNTIF(Comp2[Comparable '#2 Dates],Benchmark2[[#This Row],[Benchmark '#2 Dates]])=1,"Pass","Fail")</f>
        <v>Pass</v>
      </c>
      <c r="I583" s="6">
        <f>IF(Benchmark2[[#This Row],[Comparable '#2 Date Check]]="Pass",INDEX(Comp2[Comparable '#2 Price],MATCH(Benchmark2[[#This Row],[Benchmark '#2 Dates]],Comp2[Comparable '#2 Dates],0)),"-")</f>
        <v>26.93</v>
      </c>
      <c r="J583" s="1" t="str">
        <f>IF(COUNTIF(Comp3[Comparable '#3 Dates],Benchmark2[[#This Row],[Benchmark '#2 Dates]])=1,"Pass","Fail")</f>
        <v>Pass</v>
      </c>
      <c r="K583" s="6">
        <f>IF(Benchmark2[[#This Row],[Comparable '#3 Date Check]]="Pass",INDEX(Comp3[Comparable '#3 Price],MATCH(Benchmark2[[#This Row],[Benchmark '#2 Dates]],Comp3[Comparable '#3 Dates],0)),"-")</f>
        <v>96.16</v>
      </c>
    </row>
    <row r="584" spans="1:11">
      <c r="A584" s="103">
        <v>44130</v>
      </c>
      <c r="B584" s="104">
        <v>12936.385</v>
      </c>
      <c r="C584" s="4">
        <f t="shared" si="9"/>
        <v>-2.016266549976118E-2</v>
      </c>
      <c r="D584" s="1" t="str">
        <f>IF(COUNTIF(Target1[Target Dates],Benchmark2[[#This Row],[Benchmark '#2 Dates]])=1,"Pass","Fail")</f>
        <v>Pass</v>
      </c>
      <c r="E584" s="6">
        <f>IF(Benchmark2[[#This Row],[Target Date Check]]="Pass",INDEX(Target1[Target Price],MATCH(Benchmark2[[#This Row],[Benchmark '#2 Dates]],Target1[Target Dates],0)),"-")</f>
        <v>28.23</v>
      </c>
      <c r="F584" s="1" t="str">
        <f>IF(COUNTIF(Comp1[Comparable '#1 Dates],Benchmark2[[#This Row],[Benchmark '#2 Dates]])=1,"Pass","Fail")</f>
        <v>Pass</v>
      </c>
      <c r="G584" s="6">
        <f>IF(Benchmark2[[#This Row],[Comparable '#1 Date Check]]="Pass",INDEX(Comp1[Comparable '#1 Price],MATCH(Benchmark2[[#This Row],[Benchmark '#2 Dates]],Comp1[Comparable '#1 Dates],0)),"-")</f>
        <v>13.46</v>
      </c>
      <c r="H584" s="1" t="str">
        <f>IF(COUNTIF(Comp2[Comparable '#2 Dates],Benchmark2[[#This Row],[Benchmark '#2 Dates]])=1,"Pass","Fail")</f>
        <v>Pass</v>
      </c>
      <c r="I584" s="6">
        <f>IF(Benchmark2[[#This Row],[Comparable '#2 Date Check]]="Pass",INDEX(Comp2[Comparable '#2 Price],MATCH(Benchmark2[[#This Row],[Benchmark '#2 Dates]],Comp2[Comparable '#2 Dates],0)),"-")</f>
        <v>26.6</v>
      </c>
      <c r="J584" s="1" t="str">
        <f>IF(COUNTIF(Comp3[Comparable '#3 Dates],Benchmark2[[#This Row],[Benchmark '#2 Dates]])=1,"Pass","Fail")</f>
        <v>Pass</v>
      </c>
      <c r="K584" s="6">
        <f>IF(Benchmark2[[#This Row],[Comparable '#3 Date Check]]="Pass",INDEX(Comp3[Comparable '#3 Price],MATCH(Benchmark2[[#This Row],[Benchmark '#2 Dates]],Comp3[Comparable '#3 Dates],0)),"-")</f>
        <v>93.86</v>
      </c>
    </row>
    <row r="585" spans="1:11">
      <c r="A585" s="103">
        <v>44131</v>
      </c>
      <c r="B585" s="104">
        <v>12817.8688</v>
      </c>
      <c r="C585" s="4">
        <f t="shared" si="9"/>
        <v>-9.2036863132187851E-3</v>
      </c>
      <c r="D585" s="1" t="str">
        <f>IF(COUNTIF(Target1[Target Dates],Benchmark2[[#This Row],[Benchmark '#2 Dates]])=1,"Pass","Fail")</f>
        <v>Pass</v>
      </c>
      <c r="E585" s="6">
        <f>IF(Benchmark2[[#This Row],[Target Date Check]]="Pass",INDEX(Target1[Target Price],MATCH(Benchmark2[[#This Row],[Benchmark '#2 Dates]],Target1[Target Dates],0)),"-")</f>
        <v>28.93</v>
      </c>
      <c r="F585" s="1" t="str">
        <f>IF(COUNTIF(Comp1[Comparable '#1 Dates],Benchmark2[[#This Row],[Benchmark '#2 Dates]])=1,"Pass","Fail")</f>
        <v>Pass</v>
      </c>
      <c r="G585" s="6">
        <f>IF(Benchmark2[[#This Row],[Comparable '#1 Date Check]]="Pass",INDEX(Comp1[Comparable '#1 Price],MATCH(Benchmark2[[#This Row],[Benchmark '#2 Dates]],Comp1[Comparable '#1 Dates],0)),"-")</f>
        <v>13.21</v>
      </c>
      <c r="H585" s="1" t="str">
        <f>IF(COUNTIF(Comp2[Comparable '#2 Dates],Benchmark2[[#This Row],[Benchmark '#2 Dates]])=1,"Pass","Fail")</f>
        <v>Pass</v>
      </c>
      <c r="I585" s="6">
        <f>IF(Benchmark2[[#This Row],[Comparable '#2 Date Check]]="Pass",INDEX(Comp2[Comparable '#2 Price],MATCH(Benchmark2[[#This Row],[Benchmark '#2 Dates]],Comp2[Comparable '#2 Dates],0)),"-")</f>
        <v>25.25</v>
      </c>
      <c r="J585" s="1" t="str">
        <f>IF(COUNTIF(Comp3[Comparable '#3 Dates],Benchmark2[[#This Row],[Benchmark '#2 Dates]])=1,"Pass","Fail")</f>
        <v>Pass</v>
      </c>
      <c r="K585" s="6">
        <f>IF(Benchmark2[[#This Row],[Comparable '#3 Date Check]]="Pass",INDEX(Comp3[Comparable '#3 Price],MATCH(Benchmark2[[#This Row],[Benchmark '#2 Dates]],Comp3[Comparable '#3 Dates],0)),"-")</f>
        <v>89.99</v>
      </c>
    </row>
    <row r="586" spans="1:11">
      <c r="A586" s="103">
        <v>44132</v>
      </c>
      <c r="B586" s="104">
        <v>12415.416499999999</v>
      </c>
      <c r="C586" s="4">
        <f t="shared" si="9"/>
        <v>-3.1901230898802729E-2</v>
      </c>
      <c r="D586" s="1" t="str">
        <f>IF(COUNTIF(Target1[Target Dates],Benchmark2[[#This Row],[Benchmark '#2 Dates]])=1,"Pass","Fail")</f>
        <v>Pass</v>
      </c>
      <c r="E586" s="6">
        <f>IF(Benchmark2[[#This Row],[Target Date Check]]="Pass",INDEX(Target1[Target Price],MATCH(Benchmark2[[#This Row],[Benchmark '#2 Dates]],Target1[Target Dates],0)),"-")</f>
        <v>27.08</v>
      </c>
      <c r="F586" s="1" t="str">
        <f>IF(COUNTIF(Comp1[Comparable '#1 Dates],Benchmark2[[#This Row],[Benchmark '#2 Dates]])=1,"Pass","Fail")</f>
        <v>Pass</v>
      </c>
      <c r="G586" s="6">
        <f>IF(Benchmark2[[#This Row],[Comparable '#1 Date Check]]="Pass",INDEX(Comp1[Comparable '#1 Price],MATCH(Benchmark2[[#This Row],[Benchmark '#2 Dates]],Comp1[Comparable '#1 Dates],0)),"-")</f>
        <v>12.7</v>
      </c>
      <c r="H586" s="1" t="str">
        <f>IF(COUNTIF(Comp2[Comparable '#2 Dates],Benchmark2[[#This Row],[Benchmark '#2 Dates]])=1,"Pass","Fail")</f>
        <v>Pass</v>
      </c>
      <c r="I586" s="6">
        <f>IF(Benchmark2[[#This Row],[Comparable '#2 Date Check]]="Pass",INDEX(Comp2[Comparable '#2 Price],MATCH(Benchmark2[[#This Row],[Benchmark '#2 Dates]],Comp2[Comparable '#2 Dates],0)),"-")</f>
        <v>23.61</v>
      </c>
      <c r="J586" s="1" t="str">
        <f>IF(COUNTIF(Comp3[Comparable '#3 Dates],Benchmark2[[#This Row],[Benchmark '#2 Dates]])=1,"Pass","Fail")</f>
        <v>Pass</v>
      </c>
      <c r="K586" s="6">
        <f>IF(Benchmark2[[#This Row],[Comparable '#3 Date Check]]="Pass",INDEX(Comp3[Comparable '#3 Price],MATCH(Benchmark2[[#This Row],[Benchmark '#2 Dates]],Comp3[Comparable '#3 Dates],0)),"-")</f>
        <v>83.37</v>
      </c>
    </row>
    <row r="587" spans="1:11">
      <c r="A587" s="103">
        <v>44133</v>
      </c>
      <c r="B587" s="104">
        <v>12502.2858</v>
      </c>
      <c r="C587" s="4">
        <f t="shared" si="9"/>
        <v>6.9725250660027096E-3</v>
      </c>
      <c r="D587" s="1" t="str">
        <f>IF(COUNTIF(Target1[Target Dates],Benchmark2[[#This Row],[Benchmark '#2 Dates]])=1,"Pass","Fail")</f>
        <v>Pass</v>
      </c>
      <c r="E587" s="6">
        <f>IF(Benchmark2[[#This Row],[Target Date Check]]="Pass",INDEX(Target1[Target Price],MATCH(Benchmark2[[#This Row],[Benchmark '#2 Dates]],Target1[Target Dates],0)),"-")</f>
        <v>25.18</v>
      </c>
      <c r="F587" s="1" t="str">
        <f>IF(COUNTIF(Comp1[Comparable '#1 Dates],Benchmark2[[#This Row],[Benchmark '#2 Dates]])=1,"Pass","Fail")</f>
        <v>Pass</v>
      </c>
      <c r="G587" s="6">
        <f>IF(Benchmark2[[#This Row],[Comparable '#1 Date Check]]="Pass",INDEX(Comp1[Comparable '#1 Price],MATCH(Benchmark2[[#This Row],[Benchmark '#2 Dates]],Comp1[Comparable '#1 Dates],0)),"-")</f>
        <v>12.76</v>
      </c>
      <c r="H587" s="1" t="str">
        <f>IF(COUNTIF(Comp2[Comparable '#2 Dates],Benchmark2[[#This Row],[Benchmark '#2 Dates]])=1,"Pass","Fail")</f>
        <v>Pass</v>
      </c>
      <c r="I587" s="6">
        <f>IF(Benchmark2[[#This Row],[Comparable '#2 Date Check]]="Pass",INDEX(Comp2[Comparable '#2 Price],MATCH(Benchmark2[[#This Row],[Benchmark '#2 Dates]],Comp2[Comparable '#2 Dates],0)),"-")</f>
        <v>23.9</v>
      </c>
      <c r="J587" s="1" t="str">
        <f>IF(COUNTIF(Comp3[Comparable '#3 Dates],Benchmark2[[#This Row],[Benchmark '#2 Dates]])=1,"Pass","Fail")</f>
        <v>Pass</v>
      </c>
      <c r="K587" s="6">
        <f>IF(Benchmark2[[#This Row],[Comparable '#3 Date Check]]="Pass",INDEX(Comp3[Comparable '#3 Price],MATCH(Benchmark2[[#This Row],[Benchmark '#2 Dates]],Comp3[Comparable '#3 Dates],0)),"-")</f>
        <v>84.31</v>
      </c>
    </row>
    <row r="588" spans="1:11">
      <c r="A588" s="103">
        <v>44134</v>
      </c>
      <c r="B588" s="104">
        <v>12429.2801</v>
      </c>
      <c r="C588" s="4">
        <f t="shared" si="9"/>
        <v>-5.856504076724083E-3</v>
      </c>
      <c r="D588" s="1" t="str">
        <f>IF(COUNTIF(Target1[Target Dates],Benchmark2[[#This Row],[Benchmark '#2 Dates]])=1,"Pass","Fail")</f>
        <v>Pass</v>
      </c>
      <c r="E588" s="6">
        <f>IF(Benchmark2[[#This Row],[Target Date Check]]="Pass",INDEX(Target1[Target Price],MATCH(Benchmark2[[#This Row],[Benchmark '#2 Dates]],Target1[Target Dates],0)),"-")</f>
        <v>23.87</v>
      </c>
      <c r="F588" s="1" t="str">
        <f>IF(COUNTIF(Comp1[Comparable '#1 Dates],Benchmark2[[#This Row],[Benchmark '#2 Dates]])=1,"Pass","Fail")</f>
        <v>Pass</v>
      </c>
      <c r="G588" s="6">
        <f>IF(Benchmark2[[#This Row],[Comparable '#1 Date Check]]="Pass",INDEX(Comp1[Comparable '#1 Price],MATCH(Benchmark2[[#This Row],[Benchmark '#2 Dates]],Comp1[Comparable '#1 Dates],0)),"-")</f>
        <v>13</v>
      </c>
      <c r="H588" s="1" t="str">
        <f>IF(COUNTIF(Comp2[Comparable '#2 Dates],Benchmark2[[#This Row],[Benchmark '#2 Dates]])=1,"Pass","Fail")</f>
        <v>Pass</v>
      </c>
      <c r="I588" s="6">
        <f>IF(Benchmark2[[#This Row],[Comparable '#2 Date Check]]="Pass",INDEX(Comp2[Comparable '#2 Price],MATCH(Benchmark2[[#This Row],[Benchmark '#2 Dates]],Comp2[Comparable '#2 Dates],0)),"-")</f>
        <v>23.44</v>
      </c>
      <c r="J588" s="1" t="str">
        <f>IF(COUNTIF(Comp3[Comparable '#3 Dates],Benchmark2[[#This Row],[Benchmark '#2 Dates]])=1,"Pass","Fail")</f>
        <v>Pass</v>
      </c>
      <c r="K588" s="6">
        <f>IF(Benchmark2[[#This Row],[Comparable '#3 Date Check]]="Pass",INDEX(Comp3[Comparable '#3 Price],MATCH(Benchmark2[[#This Row],[Benchmark '#2 Dates]],Comp3[Comparable '#3 Dates],0)),"-")</f>
        <v>83.06</v>
      </c>
    </row>
    <row r="589" spans="1:11">
      <c r="A589" s="103">
        <v>44137</v>
      </c>
      <c r="B589" s="104">
        <v>12662.1656</v>
      </c>
      <c r="C589" s="4">
        <f t="shared" si="9"/>
        <v>1.856347302506995E-2</v>
      </c>
      <c r="D589" s="1" t="str">
        <f>IF(COUNTIF(Target1[Target Dates],Benchmark2[[#This Row],[Benchmark '#2 Dates]])=1,"Pass","Fail")</f>
        <v>Pass</v>
      </c>
      <c r="E589" s="6">
        <f>IF(Benchmark2[[#This Row],[Target Date Check]]="Pass",INDEX(Target1[Target Price],MATCH(Benchmark2[[#This Row],[Benchmark '#2 Dates]],Target1[Target Dates],0)),"-")</f>
        <v>23.6</v>
      </c>
      <c r="F589" s="1" t="str">
        <f>IF(COUNTIF(Comp1[Comparable '#1 Dates],Benchmark2[[#This Row],[Benchmark '#2 Dates]])=1,"Pass","Fail")</f>
        <v>Pass</v>
      </c>
      <c r="G589" s="6">
        <f>IF(Benchmark2[[#This Row],[Comparable '#1 Date Check]]="Pass",INDEX(Comp1[Comparable '#1 Price],MATCH(Benchmark2[[#This Row],[Benchmark '#2 Dates]],Comp1[Comparable '#1 Dates],0)),"-")</f>
        <v>13.07</v>
      </c>
      <c r="H589" s="1" t="str">
        <f>IF(COUNTIF(Comp2[Comparable '#2 Dates],Benchmark2[[#This Row],[Benchmark '#2 Dates]])=1,"Pass","Fail")</f>
        <v>Pass</v>
      </c>
      <c r="I589" s="6">
        <f>IF(Benchmark2[[#This Row],[Comparable '#2 Date Check]]="Pass",INDEX(Comp2[Comparable '#2 Price],MATCH(Benchmark2[[#This Row],[Benchmark '#2 Dates]],Comp2[Comparable '#2 Dates],0)),"-")</f>
        <v>23.49</v>
      </c>
      <c r="J589" s="1" t="str">
        <f>IF(COUNTIF(Comp3[Comparable '#3 Dates],Benchmark2[[#This Row],[Benchmark '#2 Dates]])=1,"Pass","Fail")</f>
        <v>Pass</v>
      </c>
      <c r="K589" s="6">
        <f>IF(Benchmark2[[#This Row],[Comparable '#3 Date Check]]="Pass",INDEX(Comp3[Comparable '#3 Price],MATCH(Benchmark2[[#This Row],[Benchmark '#2 Dates]],Comp3[Comparable '#3 Dates],0)),"-")</f>
        <v>84.24</v>
      </c>
    </row>
    <row r="590" spans="1:11">
      <c r="A590" s="103">
        <v>44138</v>
      </c>
      <c r="B590" s="104">
        <v>12877.4539</v>
      </c>
      <c r="C590" s="4">
        <f t="shared" si="9"/>
        <v>1.6859562024776859E-2</v>
      </c>
      <c r="D590" s="1" t="str">
        <f>IF(COUNTIF(Target1[Target Dates],Benchmark2[[#This Row],[Benchmark '#2 Dates]])=1,"Pass","Fail")</f>
        <v>Pass</v>
      </c>
      <c r="E590" s="6">
        <f>IF(Benchmark2[[#This Row],[Target Date Check]]="Pass",INDEX(Target1[Target Price],MATCH(Benchmark2[[#This Row],[Benchmark '#2 Dates]],Target1[Target Dates],0)),"-")</f>
        <v>24.31</v>
      </c>
      <c r="F590" s="1" t="str">
        <f>IF(COUNTIF(Comp1[Comparable '#1 Dates],Benchmark2[[#This Row],[Benchmark '#2 Dates]])=1,"Pass","Fail")</f>
        <v>Pass</v>
      </c>
      <c r="G590" s="6">
        <f>IF(Benchmark2[[#This Row],[Comparable '#1 Date Check]]="Pass",INDEX(Comp1[Comparable '#1 Price],MATCH(Benchmark2[[#This Row],[Benchmark '#2 Dates]],Comp1[Comparable '#1 Dates],0)),"-")</f>
        <v>13.15</v>
      </c>
      <c r="H590" s="1" t="str">
        <f>IF(COUNTIF(Comp2[Comparable '#2 Dates],Benchmark2[[#This Row],[Benchmark '#2 Dates]])=1,"Pass","Fail")</f>
        <v>Pass</v>
      </c>
      <c r="I590" s="6">
        <f>IF(Benchmark2[[#This Row],[Comparable '#2 Date Check]]="Pass",INDEX(Comp2[Comparable '#2 Price],MATCH(Benchmark2[[#This Row],[Benchmark '#2 Dates]],Comp2[Comparable '#2 Dates],0)),"-")</f>
        <v>24.23</v>
      </c>
      <c r="J590" s="1" t="str">
        <f>IF(COUNTIF(Comp3[Comparable '#3 Dates],Benchmark2[[#This Row],[Benchmark '#2 Dates]])=1,"Pass","Fail")</f>
        <v>Pass</v>
      </c>
      <c r="K590" s="6">
        <f>IF(Benchmark2[[#This Row],[Comparable '#3 Date Check]]="Pass",INDEX(Comp3[Comparable '#3 Price],MATCH(Benchmark2[[#This Row],[Benchmark '#2 Dates]],Comp3[Comparable '#3 Dates],0)),"-")</f>
        <v>86.8</v>
      </c>
    </row>
    <row r="591" spans="1:11">
      <c r="A591" s="103">
        <v>44139</v>
      </c>
      <c r="B591" s="104">
        <v>12978.948399999999</v>
      </c>
      <c r="C591" s="4">
        <f t="shared" si="9"/>
        <v>7.8506684809461439E-3</v>
      </c>
      <c r="D591" s="1" t="str">
        <f>IF(COUNTIF(Target1[Target Dates],Benchmark2[[#This Row],[Benchmark '#2 Dates]])=1,"Pass","Fail")</f>
        <v>Pass</v>
      </c>
      <c r="E591" s="6">
        <f>IF(Benchmark2[[#This Row],[Target Date Check]]="Pass",INDEX(Target1[Target Price],MATCH(Benchmark2[[#This Row],[Benchmark '#2 Dates]],Target1[Target Dates],0)),"-")</f>
        <v>25.62</v>
      </c>
      <c r="F591" s="1" t="str">
        <f>IF(COUNTIF(Comp1[Comparable '#1 Dates],Benchmark2[[#This Row],[Benchmark '#2 Dates]])=1,"Pass","Fail")</f>
        <v>Pass</v>
      </c>
      <c r="G591" s="6">
        <f>IF(Benchmark2[[#This Row],[Comparable '#1 Date Check]]="Pass",INDEX(Comp1[Comparable '#1 Price],MATCH(Benchmark2[[#This Row],[Benchmark '#2 Dates]],Comp1[Comparable '#1 Dates],0)),"-")</f>
        <v>13</v>
      </c>
      <c r="H591" s="1" t="str">
        <f>IF(COUNTIF(Comp2[Comparable '#2 Dates],Benchmark2[[#This Row],[Benchmark '#2 Dates]])=1,"Pass","Fail")</f>
        <v>Pass</v>
      </c>
      <c r="I591" s="6">
        <f>IF(Benchmark2[[#This Row],[Comparable '#2 Date Check]]="Pass",INDEX(Comp2[Comparable '#2 Price],MATCH(Benchmark2[[#This Row],[Benchmark '#2 Dates]],Comp2[Comparable '#2 Dates],0)),"-")</f>
        <v>25.1</v>
      </c>
      <c r="J591" s="1" t="str">
        <f>IF(COUNTIF(Comp3[Comparable '#3 Dates],Benchmark2[[#This Row],[Benchmark '#2 Dates]])=1,"Pass","Fail")</f>
        <v>Pass</v>
      </c>
      <c r="K591" s="6">
        <f>IF(Benchmark2[[#This Row],[Comparable '#3 Date Check]]="Pass",INDEX(Comp3[Comparable '#3 Price],MATCH(Benchmark2[[#This Row],[Benchmark '#2 Dates]],Comp3[Comparable '#3 Dates],0)),"-")</f>
        <v>100</v>
      </c>
    </row>
    <row r="592" spans="1:11">
      <c r="A592" s="103">
        <v>44140</v>
      </c>
      <c r="B592" s="104">
        <v>13199.1212</v>
      </c>
      <c r="C592" s="4">
        <f t="shared" si="9"/>
        <v>1.6821560573744135E-2</v>
      </c>
      <c r="D592" s="1" t="str">
        <f>IF(COUNTIF(Target1[Target Dates],Benchmark2[[#This Row],[Benchmark '#2 Dates]])=1,"Pass","Fail")</f>
        <v>Pass</v>
      </c>
      <c r="E592" s="6">
        <f>IF(Benchmark2[[#This Row],[Target Date Check]]="Pass",INDEX(Target1[Target Price],MATCH(Benchmark2[[#This Row],[Benchmark '#2 Dates]],Target1[Target Dates],0)),"-")</f>
        <v>25.14</v>
      </c>
      <c r="F592" s="1" t="str">
        <f>IF(COUNTIF(Comp1[Comparable '#1 Dates],Benchmark2[[#This Row],[Benchmark '#2 Dates]])=1,"Pass","Fail")</f>
        <v>Pass</v>
      </c>
      <c r="G592" s="6">
        <f>IF(Benchmark2[[#This Row],[Comparable '#1 Date Check]]="Pass",INDEX(Comp1[Comparable '#1 Price],MATCH(Benchmark2[[#This Row],[Benchmark '#2 Dates]],Comp1[Comparable '#1 Dates],0)),"-")</f>
        <v>14.23</v>
      </c>
      <c r="H592" s="1" t="str">
        <f>IF(COUNTIF(Comp2[Comparable '#2 Dates],Benchmark2[[#This Row],[Benchmark '#2 Dates]])=1,"Pass","Fail")</f>
        <v>Pass</v>
      </c>
      <c r="I592" s="6">
        <f>IF(Benchmark2[[#This Row],[Comparable '#2 Date Check]]="Pass",INDEX(Comp2[Comparable '#2 Price],MATCH(Benchmark2[[#This Row],[Benchmark '#2 Dates]],Comp2[Comparable '#2 Dates],0)),"-")</f>
        <v>24.18</v>
      </c>
      <c r="J592" s="1" t="str">
        <f>IF(COUNTIF(Comp3[Comparable '#3 Dates],Benchmark2[[#This Row],[Benchmark '#2 Dates]])=1,"Pass","Fail")</f>
        <v>Pass</v>
      </c>
      <c r="K592" s="6">
        <f>IF(Benchmark2[[#This Row],[Comparable '#3 Date Check]]="Pass",INDEX(Comp3[Comparable '#3 Price],MATCH(Benchmark2[[#This Row],[Benchmark '#2 Dates]],Comp3[Comparable '#3 Dates],0)),"-")</f>
        <v>89.96</v>
      </c>
    </row>
    <row r="593" spans="1:11">
      <c r="A593" s="103">
        <v>44141</v>
      </c>
      <c r="B593" s="104">
        <v>13218.6741</v>
      </c>
      <c r="C593" s="4">
        <f t="shared" si="9"/>
        <v>1.480282767610191E-3</v>
      </c>
      <c r="D593" s="1" t="str">
        <f>IF(COUNTIF(Target1[Target Dates],Benchmark2[[#This Row],[Benchmark '#2 Dates]])=1,"Pass","Fail")</f>
        <v>Pass</v>
      </c>
      <c r="E593" s="6">
        <f>IF(Benchmark2[[#This Row],[Target Date Check]]="Pass",INDEX(Target1[Target Price],MATCH(Benchmark2[[#This Row],[Benchmark '#2 Dates]],Target1[Target Dates],0)),"-")</f>
        <v>25.03</v>
      </c>
      <c r="F593" s="1" t="str">
        <f>IF(COUNTIF(Comp1[Comparable '#1 Dates],Benchmark2[[#This Row],[Benchmark '#2 Dates]])=1,"Pass","Fail")</f>
        <v>Pass</v>
      </c>
      <c r="G593" s="6">
        <f>IF(Benchmark2[[#This Row],[Comparable '#1 Date Check]]="Pass",INDEX(Comp1[Comparable '#1 Price],MATCH(Benchmark2[[#This Row],[Benchmark '#2 Dates]],Comp1[Comparable '#1 Dates],0)),"-")</f>
        <v>14.03</v>
      </c>
      <c r="H593" s="1" t="str">
        <f>IF(COUNTIF(Comp2[Comparable '#2 Dates],Benchmark2[[#This Row],[Benchmark '#2 Dates]])=1,"Pass","Fail")</f>
        <v>Pass</v>
      </c>
      <c r="I593" s="6">
        <f>IF(Benchmark2[[#This Row],[Comparable '#2 Date Check]]="Pass",INDEX(Comp2[Comparable '#2 Price],MATCH(Benchmark2[[#This Row],[Benchmark '#2 Dates]],Comp2[Comparable '#2 Dates],0)),"-")</f>
        <v>26.03</v>
      </c>
      <c r="J593" s="1" t="str">
        <f>IF(COUNTIF(Comp3[Comparable '#3 Dates],Benchmark2[[#This Row],[Benchmark '#2 Dates]])=1,"Pass","Fail")</f>
        <v>Pass</v>
      </c>
      <c r="K593" s="6">
        <f>IF(Benchmark2[[#This Row],[Comparable '#3 Date Check]]="Pass",INDEX(Comp3[Comparable '#3 Price],MATCH(Benchmark2[[#This Row],[Benchmark '#2 Dates]],Comp3[Comparable '#3 Dates],0)),"-")</f>
        <v>87.55</v>
      </c>
    </row>
    <row r="594" spans="1:11">
      <c r="A594" s="103">
        <v>44144</v>
      </c>
      <c r="B594" s="104">
        <v>13611.6451</v>
      </c>
      <c r="C594" s="4">
        <f t="shared" si="9"/>
        <v>2.9295149329653276E-2</v>
      </c>
      <c r="D594" s="1" t="str">
        <f>IF(COUNTIF(Target1[Target Dates],Benchmark2[[#This Row],[Benchmark '#2 Dates]])=1,"Pass","Fail")</f>
        <v>Pass</v>
      </c>
      <c r="E594" s="6">
        <f>IF(Benchmark2[[#This Row],[Target Date Check]]="Pass",INDEX(Target1[Target Price],MATCH(Benchmark2[[#This Row],[Benchmark '#2 Dates]],Target1[Target Dates],0)),"-")</f>
        <v>21.6</v>
      </c>
      <c r="F594" s="1" t="str">
        <f>IF(COUNTIF(Comp1[Comparable '#1 Dates],Benchmark2[[#This Row],[Benchmark '#2 Dates]])=1,"Pass","Fail")</f>
        <v>Pass</v>
      </c>
      <c r="G594" s="6">
        <f>IF(Benchmark2[[#This Row],[Comparable '#1 Date Check]]="Pass",INDEX(Comp1[Comparable '#1 Price],MATCH(Benchmark2[[#This Row],[Benchmark '#2 Dates]],Comp1[Comparable '#1 Dates],0)),"-")</f>
        <v>14.17</v>
      </c>
      <c r="H594" s="1" t="str">
        <f>IF(COUNTIF(Comp2[Comparable '#2 Dates],Benchmark2[[#This Row],[Benchmark '#2 Dates]])=1,"Pass","Fail")</f>
        <v>Pass</v>
      </c>
      <c r="I594" s="6">
        <f>IF(Benchmark2[[#This Row],[Comparable '#2 Date Check]]="Pass",INDEX(Comp2[Comparable '#2 Price],MATCH(Benchmark2[[#This Row],[Benchmark '#2 Dates]],Comp2[Comparable '#2 Dates],0)),"-")</f>
        <v>26.77</v>
      </c>
      <c r="J594" s="1" t="str">
        <f>IF(COUNTIF(Comp3[Comparable '#3 Dates],Benchmark2[[#This Row],[Benchmark '#2 Dates]])=1,"Pass","Fail")</f>
        <v>Pass</v>
      </c>
      <c r="K594" s="6">
        <f>IF(Benchmark2[[#This Row],[Comparable '#3 Date Check]]="Pass",INDEX(Comp3[Comparable '#3 Price],MATCH(Benchmark2[[#This Row],[Benchmark '#2 Dates]],Comp3[Comparable '#3 Dates],0)),"-")</f>
        <v>90</v>
      </c>
    </row>
    <row r="595" spans="1:11">
      <c r="A595" s="103">
        <v>44145</v>
      </c>
      <c r="B595" s="104">
        <v>13707.9928</v>
      </c>
      <c r="C595" s="4">
        <f t="shared" si="9"/>
        <v>7.0533950557405784E-3</v>
      </c>
      <c r="D595" s="1" t="str">
        <f>IF(COUNTIF(Target1[Target Dates],Benchmark2[[#This Row],[Benchmark '#2 Dates]])=1,"Pass","Fail")</f>
        <v>Pass</v>
      </c>
      <c r="E595" s="6">
        <f>IF(Benchmark2[[#This Row],[Target Date Check]]="Pass",INDEX(Target1[Target Price],MATCH(Benchmark2[[#This Row],[Benchmark '#2 Dates]],Target1[Target Dates],0)),"-")</f>
        <v>21.05</v>
      </c>
      <c r="F595" s="1" t="str">
        <f>IF(COUNTIF(Comp1[Comparable '#1 Dates],Benchmark2[[#This Row],[Benchmark '#2 Dates]])=1,"Pass","Fail")</f>
        <v>Pass</v>
      </c>
      <c r="G595" s="6">
        <f>IF(Benchmark2[[#This Row],[Comparable '#1 Date Check]]="Pass",INDEX(Comp1[Comparable '#1 Price],MATCH(Benchmark2[[#This Row],[Benchmark '#2 Dates]],Comp1[Comparable '#1 Dates],0)),"-")</f>
        <v>13.98</v>
      </c>
      <c r="H595" s="1" t="str">
        <f>IF(COUNTIF(Comp2[Comparable '#2 Dates],Benchmark2[[#This Row],[Benchmark '#2 Dates]])=1,"Pass","Fail")</f>
        <v>Pass</v>
      </c>
      <c r="I595" s="6">
        <f>IF(Benchmark2[[#This Row],[Comparable '#2 Date Check]]="Pass",INDEX(Comp2[Comparable '#2 Price],MATCH(Benchmark2[[#This Row],[Benchmark '#2 Dates]],Comp2[Comparable '#2 Dates],0)),"-")</f>
        <v>27.85</v>
      </c>
      <c r="J595" s="1" t="str">
        <f>IF(COUNTIF(Comp3[Comparable '#3 Dates],Benchmark2[[#This Row],[Benchmark '#2 Dates]])=1,"Pass","Fail")</f>
        <v>Pass</v>
      </c>
      <c r="K595" s="6">
        <f>IF(Benchmark2[[#This Row],[Comparable '#3 Date Check]]="Pass",INDEX(Comp3[Comparable '#3 Price],MATCH(Benchmark2[[#This Row],[Benchmark '#2 Dates]],Comp3[Comparable '#3 Dates],0)),"-")</f>
        <v>90</v>
      </c>
    </row>
    <row r="596" spans="1:11">
      <c r="A596" s="103">
        <v>44146</v>
      </c>
      <c r="B596" s="104">
        <v>13724.781499999999</v>
      </c>
      <c r="C596" s="4">
        <f t="shared" si="9"/>
        <v>1.2239886431025129E-3</v>
      </c>
      <c r="D596" s="1" t="str">
        <f>IF(COUNTIF(Target1[Target Dates],Benchmark2[[#This Row],[Benchmark '#2 Dates]])=1,"Pass","Fail")</f>
        <v>Pass</v>
      </c>
      <c r="E596" s="6">
        <f>IF(Benchmark2[[#This Row],[Target Date Check]]="Pass",INDEX(Target1[Target Price],MATCH(Benchmark2[[#This Row],[Benchmark '#2 Dates]],Target1[Target Dates],0)),"-")</f>
        <v>21.57</v>
      </c>
      <c r="F596" s="1" t="str">
        <f>IF(COUNTIF(Comp1[Comparable '#1 Dates],Benchmark2[[#This Row],[Benchmark '#2 Dates]])=1,"Pass","Fail")</f>
        <v>Pass</v>
      </c>
      <c r="G596" s="6">
        <f>IF(Benchmark2[[#This Row],[Comparable '#1 Date Check]]="Pass",INDEX(Comp1[Comparable '#1 Price],MATCH(Benchmark2[[#This Row],[Benchmark '#2 Dates]],Comp1[Comparable '#1 Dates],0)),"-")</f>
        <v>13.98</v>
      </c>
      <c r="H596" s="1" t="str">
        <f>IF(COUNTIF(Comp2[Comparable '#2 Dates],Benchmark2[[#This Row],[Benchmark '#2 Dates]])=1,"Pass","Fail")</f>
        <v>Pass</v>
      </c>
      <c r="I596" s="6">
        <f>IF(Benchmark2[[#This Row],[Comparable '#2 Date Check]]="Pass",INDEX(Comp2[Comparable '#2 Price],MATCH(Benchmark2[[#This Row],[Benchmark '#2 Dates]],Comp2[Comparable '#2 Dates],0)),"-")</f>
        <v>27.94</v>
      </c>
      <c r="J596" s="1" t="str">
        <f>IF(COUNTIF(Comp3[Comparable '#3 Dates],Benchmark2[[#This Row],[Benchmark '#2 Dates]])=1,"Pass","Fail")</f>
        <v>Pass</v>
      </c>
      <c r="K596" s="6">
        <f>IF(Benchmark2[[#This Row],[Comparable '#3 Date Check]]="Pass",INDEX(Comp3[Comparable '#3 Price],MATCH(Benchmark2[[#This Row],[Benchmark '#2 Dates]],Comp3[Comparable '#3 Dates],0)),"-")</f>
        <v>86.95</v>
      </c>
    </row>
    <row r="597" spans="1:11">
      <c r="A597" s="103">
        <v>44147</v>
      </c>
      <c r="B597" s="104">
        <v>13551.4653</v>
      </c>
      <c r="C597" s="4">
        <f t="shared" si="9"/>
        <v>-1.2708385714211607E-2</v>
      </c>
      <c r="D597" s="1" t="str">
        <f>IF(COUNTIF(Target1[Target Dates],Benchmark2[[#This Row],[Benchmark '#2 Dates]])=1,"Pass","Fail")</f>
        <v>Pass</v>
      </c>
      <c r="E597" s="6">
        <f>IF(Benchmark2[[#This Row],[Target Date Check]]="Pass",INDEX(Target1[Target Price],MATCH(Benchmark2[[#This Row],[Benchmark '#2 Dates]],Target1[Target Dates],0)),"-")</f>
        <v>21.76</v>
      </c>
      <c r="F597" s="1" t="str">
        <f>IF(COUNTIF(Comp1[Comparable '#1 Dates],Benchmark2[[#This Row],[Benchmark '#2 Dates]])=1,"Pass","Fail")</f>
        <v>Pass</v>
      </c>
      <c r="G597" s="6">
        <f>IF(Benchmark2[[#This Row],[Comparable '#1 Date Check]]="Pass",INDEX(Comp1[Comparable '#1 Price],MATCH(Benchmark2[[#This Row],[Benchmark '#2 Dates]],Comp1[Comparable '#1 Dates],0)),"-")</f>
        <v>14.01</v>
      </c>
      <c r="H597" s="1" t="str">
        <f>IF(COUNTIF(Comp2[Comparable '#2 Dates],Benchmark2[[#This Row],[Benchmark '#2 Dates]])=1,"Pass","Fail")</f>
        <v>Pass</v>
      </c>
      <c r="I597" s="6">
        <f>IF(Benchmark2[[#This Row],[Comparable '#2 Date Check]]="Pass",INDEX(Comp2[Comparable '#2 Price],MATCH(Benchmark2[[#This Row],[Benchmark '#2 Dates]],Comp2[Comparable '#2 Dates],0)),"-")</f>
        <v>27.81</v>
      </c>
      <c r="J597" s="1" t="str">
        <f>IF(COUNTIF(Comp3[Comparable '#3 Dates],Benchmark2[[#This Row],[Benchmark '#2 Dates]])=1,"Pass","Fail")</f>
        <v>Pass</v>
      </c>
      <c r="K597" s="6">
        <f>IF(Benchmark2[[#This Row],[Comparable '#3 Date Check]]="Pass",INDEX(Comp3[Comparable '#3 Price],MATCH(Benchmark2[[#This Row],[Benchmark '#2 Dates]],Comp3[Comparable '#3 Dates],0)),"-")</f>
        <v>86.16</v>
      </c>
    </row>
    <row r="598" spans="1:11">
      <c r="A598" s="103">
        <v>44148</v>
      </c>
      <c r="B598" s="104">
        <v>13761.3217</v>
      </c>
      <c r="C598" s="4">
        <f t="shared" si="9"/>
        <v>1.5367199971018569E-2</v>
      </c>
      <c r="D598" s="1" t="str">
        <f>IF(COUNTIF(Target1[Target Dates],Benchmark2[[#This Row],[Benchmark '#2 Dates]])=1,"Pass","Fail")</f>
        <v>Pass</v>
      </c>
      <c r="E598" s="6">
        <f>IF(Benchmark2[[#This Row],[Target Date Check]]="Pass",INDEX(Target1[Target Price],MATCH(Benchmark2[[#This Row],[Benchmark '#2 Dates]],Target1[Target Dates],0)),"-")</f>
        <v>23.09</v>
      </c>
      <c r="F598" s="1" t="str">
        <f>IF(COUNTIF(Comp1[Comparable '#1 Dates],Benchmark2[[#This Row],[Benchmark '#2 Dates]])=1,"Pass","Fail")</f>
        <v>Pass</v>
      </c>
      <c r="G598" s="6">
        <f>IF(Benchmark2[[#This Row],[Comparable '#1 Date Check]]="Pass",INDEX(Comp1[Comparable '#1 Price],MATCH(Benchmark2[[#This Row],[Benchmark '#2 Dates]],Comp1[Comparable '#1 Dates],0)),"-")</f>
        <v>14.22</v>
      </c>
      <c r="H598" s="1" t="str">
        <f>IF(COUNTIF(Comp2[Comparable '#2 Dates],Benchmark2[[#This Row],[Benchmark '#2 Dates]])=1,"Pass","Fail")</f>
        <v>Pass</v>
      </c>
      <c r="I598" s="6">
        <f>IF(Benchmark2[[#This Row],[Comparable '#2 Date Check]]="Pass",INDEX(Comp2[Comparable '#2 Price],MATCH(Benchmark2[[#This Row],[Benchmark '#2 Dates]],Comp2[Comparable '#2 Dates],0)),"-")</f>
        <v>28.57</v>
      </c>
      <c r="J598" s="1" t="str">
        <f>IF(COUNTIF(Comp3[Comparable '#3 Dates],Benchmark2[[#This Row],[Benchmark '#2 Dates]])=1,"Pass","Fail")</f>
        <v>Pass</v>
      </c>
      <c r="K598" s="6">
        <f>IF(Benchmark2[[#This Row],[Comparable '#3 Date Check]]="Pass",INDEX(Comp3[Comparable '#3 Price],MATCH(Benchmark2[[#This Row],[Benchmark '#2 Dates]],Comp3[Comparable '#3 Dates],0)),"-")</f>
        <v>87.92</v>
      </c>
    </row>
    <row r="599" spans="1:11">
      <c r="A599" s="103">
        <v>44151</v>
      </c>
      <c r="B599" s="104">
        <v>13982.1862</v>
      </c>
      <c r="C599" s="4">
        <f t="shared" si="9"/>
        <v>1.5922223451736918E-2</v>
      </c>
      <c r="D599" s="1" t="str">
        <f>IF(COUNTIF(Target1[Target Dates],Benchmark2[[#This Row],[Benchmark '#2 Dates]])=1,"Pass","Fail")</f>
        <v>Pass</v>
      </c>
      <c r="E599" s="6">
        <f>IF(Benchmark2[[#This Row],[Target Date Check]]="Pass",INDEX(Target1[Target Price],MATCH(Benchmark2[[#This Row],[Benchmark '#2 Dates]],Target1[Target Dates],0)),"-")</f>
        <v>22.64</v>
      </c>
      <c r="F599" s="1" t="str">
        <f>IF(COUNTIF(Comp1[Comparable '#1 Dates],Benchmark2[[#This Row],[Benchmark '#2 Dates]])=1,"Pass","Fail")</f>
        <v>Pass</v>
      </c>
      <c r="G599" s="6">
        <f>IF(Benchmark2[[#This Row],[Comparable '#1 Date Check]]="Pass",INDEX(Comp1[Comparable '#1 Price],MATCH(Benchmark2[[#This Row],[Benchmark '#2 Dates]],Comp1[Comparable '#1 Dates],0)),"-")</f>
        <v>14.3</v>
      </c>
      <c r="H599" s="1" t="str">
        <f>IF(COUNTIF(Comp2[Comparable '#2 Dates],Benchmark2[[#This Row],[Benchmark '#2 Dates]])=1,"Pass","Fail")</f>
        <v>Pass</v>
      </c>
      <c r="I599" s="6">
        <f>IF(Benchmark2[[#This Row],[Comparable '#2 Date Check]]="Pass",INDEX(Comp2[Comparable '#2 Price],MATCH(Benchmark2[[#This Row],[Benchmark '#2 Dates]],Comp2[Comparable '#2 Dates],0)),"-")</f>
        <v>28.8</v>
      </c>
      <c r="J599" s="1" t="str">
        <f>IF(COUNTIF(Comp3[Comparable '#3 Dates],Benchmark2[[#This Row],[Benchmark '#2 Dates]])=1,"Pass","Fail")</f>
        <v>Pass</v>
      </c>
      <c r="K599" s="6">
        <f>IF(Benchmark2[[#This Row],[Comparable '#3 Date Check]]="Pass",INDEX(Comp3[Comparable '#3 Price],MATCH(Benchmark2[[#This Row],[Benchmark '#2 Dates]],Comp3[Comparable '#3 Dates],0)),"-")</f>
        <v>89.99</v>
      </c>
    </row>
    <row r="600" spans="1:11">
      <c r="A600" s="103">
        <v>44152</v>
      </c>
      <c r="B600" s="104">
        <v>13949.0977</v>
      </c>
      <c r="C600" s="4">
        <f t="shared" si="9"/>
        <v>-2.3692799512512216E-3</v>
      </c>
      <c r="D600" s="1" t="str">
        <f>IF(COUNTIF(Target1[Target Dates],Benchmark2[[#This Row],[Benchmark '#2 Dates]])=1,"Pass","Fail")</f>
        <v>Pass</v>
      </c>
      <c r="E600" s="6">
        <f>IF(Benchmark2[[#This Row],[Target Date Check]]="Pass",INDEX(Target1[Target Price],MATCH(Benchmark2[[#This Row],[Benchmark '#2 Dates]],Target1[Target Dates],0)),"-")</f>
        <v>22.19</v>
      </c>
      <c r="F600" s="1" t="str">
        <f>IF(COUNTIF(Comp1[Comparable '#1 Dates],Benchmark2[[#This Row],[Benchmark '#2 Dates]])=1,"Pass","Fail")</f>
        <v>Pass</v>
      </c>
      <c r="G600" s="6">
        <f>IF(Benchmark2[[#This Row],[Comparable '#1 Date Check]]="Pass",INDEX(Comp1[Comparable '#1 Price],MATCH(Benchmark2[[#This Row],[Benchmark '#2 Dates]],Comp1[Comparable '#1 Dates],0)),"-")</f>
        <v>14.12</v>
      </c>
      <c r="H600" s="1" t="str">
        <f>IF(COUNTIF(Comp2[Comparable '#2 Dates],Benchmark2[[#This Row],[Benchmark '#2 Dates]])=1,"Pass","Fail")</f>
        <v>Pass</v>
      </c>
      <c r="I600" s="6">
        <f>IF(Benchmark2[[#This Row],[Comparable '#2 Date Check]]="Pass",INDEX(Comp2[Comparable '#2 Price],MATCH(Benchmark2[[#This Row],[Benchmark '#2 Dates]],Comp2[Comparable '#2 Dates],0)),"-")</f>
        <v>28.61</v>
      </c>
      <c r="J600" s="1" t="str">
        <f>IF(COUNTIF(Comp3[Comparable '#3 Dates],Benchmark2[[#This Row],[Benchmark '#2 Dates]])=1,"Pass","Fail")</f>
        <v>Pass</v>
      </c>
      <c r="K600" s="6">
        <f>IF(Benchmark2[[#This Row],[Comparable '#3 Date Check]]="Pass",INDEX(Comp3[Comparable '#3 Price],MATCH(Benchmark2[[#This Row],[Benchmark '#2 Dates]],Comp3[Comparable '#3 Dates],0)),"-")</f>
        <v>90.5</v>
      </c>
    </row>
    <row r="601" spans="1:11">
      <c r="A601" s="103">
        <v>44153</v>
      </c>
      <c r="B601" s="104">
        <v>13808.649299999999</v>
      </c>
      <c r="C601" s="4">
        <f t="shared" si="9"/>
        <v>-1.0119668471722293E-2</v>
      </c>
      <c r="D601" s="1" t="str">
        <f>IF(COUNTIF(Target1[Target Dates],Benchmark2[[#This Row],[Benchmark '#2 Dates]])=1,"Pass","Fail")</f>
        <v>Pass</v>
      </c>
      <c r="E601" s="6">
        <f>IF(Benchmark2[[#This Row],[Target Date Check]]="Pass",INDEX(Target1[Target Price],MATCH(Benchmark2[[#This Row],[Benchmark '#2 Dates]],Target1[Target Dates],0)),"-")</f>
        <v>23.92</v>
      </c>
      <c r="F601" s="1" t="str">
        <f>IF(COUNTIF(Comp1[Comparable '#1 Dates],Benchmark2[[#This Row],[Benchmark '#2 Dates]])=1,"Pass","Fail")</f>
        <v>Pass</v>
      </c>
      <c r="G601" s="6">
        <f>IF(Benchmark2[[#This Row],[Comparable '#1 Date Check]]="Pass",INDEX(Comp1[Comparable '#1 Price],MATCH(Benchmark2[[#This Row],[Benchmark '#2 Dates]],Comp1[Comparable '#1 Dates],0)),"-")</f>
        <v>14.18</v>
      </c>
      <c r="H601" s="1" t="str">
        <f>IF(COUNTIF(Comp2[Comparable '#2 Dates],Benchmark2[[#This Row],[Benchmark '#2 Dates]])=1,"Pass","Fail")</f>
        <v>Pass</v>
      </c>
      <c r="I601" s="6">
        <f>IF(Benchmark2[[#This Row],[Comparable '#2 Date Check]]="Pass",INDEX(Comp2[Comparable '#2 Price],MATCH(Benchmark2[[#This Row],[Benchmark '#2 Dates]],Comp2[Comparable '#2 Dates],0)),"-")</f>
        <v>28.29</v>
      </c>
      <c r="J601" s="1" t="str">
        <f>IF(COUNTIF(Comp3[Comparable '#3 Dates],Benchmark2[[#This Row],[Benchmark '#2 Dates]])=1,"Pass","Fail")</f>
        <v>Pass</v>
      </c>
      <c r="K601" s="6">
        <f>IF(Benchmark2[[#This Row],[Comparable '#3 Date Check]]="Pass",INDEX(Comp3[Comparable '#3 Price],MATCH(Benchmark2[[#This Row],[Benchmark '#2 Dates]],Comp3[Comparable '#3 Dates],0)),"-")</f>
        <v>88.58</v>
      </c>
    </row>
    <row r="602" spans="1:11">
      <c r="A602" s="103">
        <v>44154</v>
      </c>
      <c r="B602" s="104">
        <v>13863.2328</v>
      </c>
      <c r="C602" s="4">
        <f t="shared" si="9"/>
        <v>3.9450566170471952E-3</v>
      </c>
      <c r="D602" s="1" t="str">
        <f>IF(COUNTIF(Target1[Target Dates],Benchmark2[[#This Row],[Benchmark '#2 Dates]])=1,"Pass","Fail")</f>
        <v>Pass</v>
      </c>
      <c r="E602" s="6">
        <f>IF(Benchmark2[[#This Row],[Target Date Check]]="Pass",INDEX(Target1[Target Price],MATCH(Benchmark2[[#This Row],[Benchmark '#2 Dates]],Target1[Target Dates],0)),"-")</f>
        <v>24.15</v>
      </c>
      <c r="F602" s="1" t="str">
        <f>IF(COUNTIF(Comp1[Comparable '#1 Dates],Benchmark2[[#This Row],[Benchmark '#2 Dates]])=1,"Pass","Fail")</f>
        <v>Pass</v>
      </c>
      <c r="G602" s="6">
        <f>IF(Benchmark2[[#This Row],[Comparable '#1 Date Check]]="Pass",INDEX(Comp1[Comparable '#1 Price],MATCH(Benchmark2[[#This Row],[Benchmark '#2 Dates]],Comp1[Comparable '#1 Dates],0)),"-")</f>
        <v>14.17</v>
      </c>
      <c r="H602" s="1" t="str">
        <f>IF(COUNTIF(Comp2[Comparable '#2 Dates],Benchmark2[[#This Row],[Benchmark '#2 Dates]])=1,"Pass","Fail")</f>
        <v>Pass</v>
      </c>
      <c r="I602" s="6">
        <f>IF(Benchmark2[[#This Row],[Comparable '#2 Date Check]]="Pass",INDEX(Comp2[Comparable '#2 Price],MATCH(Benchmark2[[#This Row],[Benchmark '#2 Dates]],Comp2[Comparable '#2 Dates],0)),"-")</f>
        <v>28.07</v>
      </c>
      <c r="J602" s="1" t="str">
        <f>IF(COUNTIF(Comp3[Comparable '#3 Dates],Benchmark2[[#This Row],[Benchmark '#2 Dates]])=1,"Pass","Fail")</f>
        <v>Pass</v>
      </c>
      <c r="K602" s="6">
        <f>IF(Benchmark2[[#This Row],[Comparable '#3 Date Check]]="Pass",INDEX(Comp3[Comparable '#3 Price],MATCH(Benchmark2[[#This Row],[Benchmark '#2 Dates]],Comp3[Comparable '#3 Dates],0)),"-")</f>
        <v>88.42</v>
      </c>
    </row>
    <row r="603" spans="1:11">
      <c r="A603" s="103">
        <v>44155</v>
      </c>
      <c r="B603" s="104">
        <v>13827.000700000001</v>
      </c>
      <c r="C603" s="4">
        <f t="shared" si="9"/>
        <v>-2.6169602851418053E-3</v>
      </c>
      <c r="D603" s="1" t="str">
        <f>IF(COUNTIF(Target1[Target Dates],Benchmark2[[#This Row],[Benchmark '#2 Dates]])=1,"Pass","Fail")</f>
        <v>Pass</v>
      </c>
      <c r="E603" s="6">
        <f>IF(Benchmark2[[#This Row],[Target Date Check]]="Pass",INDEX(Target1[Target Price],MATCH(Benchmark2[[#This Row],[Benchmark '#2 Dates]],Target1[Target Dates],0)),"-")</f>
        <v>23.81</v>
      </c>
      <c r="F603" s="1" t="str">
        <f>IF(COUNTIF(Comp1[Comparable '#1 Dates],Benchmark2[[#This Row],[Benchmark '#2 Dates]])=1,"Pass","Fail")</f>
        <v>Pass</v>
      </c>
      <c r="G603" s="6">
        <f>IF(Benchmark2[[#This Row],[Comparable '#1 Date Check]]="Pass",INDEX(Comp1[Comparable '#1 Price],MATCH(Benchmark2[[#This Row],[Benchmark '#2 Dates]],Comp1[Comparable '#1 Dates],0)),"-")</f>
        <v>14.13</v>
      </c>
      <c r="H603" s="1" t="str">
        <f>IF(COUNTIF(Comp2[Comparable '#2 Dates],Benchmark2[[#This Row],[Benchmark '#2 Dates]])=1,"Pass","Fail")</f>
        <v>Pass</v>
      </c>
      <c r="I603" s="6">
        <f>IF(Benchmark2[[#This Row],[Comparable '#2 Date Check]]="Pass",INDEX(Comp2[Comparable '#2 Price],MATCH(Benchmark2[[#This Row],[Benchmark '#2 Dates]],Comp2[Comparable '#2 Dates],0)),"-")</f>
        <v>27.93</v>
      </c>
      <c r="J603" s="1" t="str">
        <f>IF(COUNTIF(Comp3[Comparable '#3 Dates],Benchmark2[[#This Row],[Benchmark '#2 Dates]])=1,"Pass","Fail")</f>
        <v>Pass</v>
      </c>
      <c r="K603" s="6">
        <f>IF(Benchmark2[[#This Row],[Comparable '#3 Date Check]]="Pass",INDEX(Comp3[Comparable '#3 Price],MATCH(Benchmark2[[#This Row],[Benchmark '#2 Dates]],Comp3[Comparable '#3 Dates],0)),"-")</f>
        <v>89.12</v>
      </c>
    </row>
    <row r="604" spans="1:11">
      <c r="A604" s="103">
        <v>44158</v>
      </c>
      <c r="B604" s="104">
        <v>13998.239100000001</v>
      </c>
      <c r="C604" s="4">
        <f t="shared" si="9"/>
        <v>1.2308290100974881E-2</v>
      </c>
      <c r="D604" s="1" t="str">
        <f>IF(COUNTIF(Target1[Target Dates],Benchmark2[[#This Row],[Benchmark '#2 Dates]])=1,"Pass","Fail")</f>
        <v>Pass</v>
      </c>
      <c r="E604" s="6">
        <f>IF(Benchmark2[[#This Row],[Target Date Check]]="Pass",INDEX(Target1[Target Price],MATCH(Benchmark2[[#This Row],[Benchmark '#2 Dates]],Target1[Target Dates],0)),"-")</f>
        <v>23.56</v>
      </c>
      <c r="F604" s="1" t="str">
        <f>IF(COUNTIF(Comp1[Comparable '#1 Dates],Benchmark2[[#This Row],[Benchmark '#2 Dates]])=1,"Pass","Fail")</f>
        <v>Pass</v>
      </c>
      <c r="G604" s="6">
        <f>IF(Benchmark2[[#This Row],[Comparable '#1 Date Check]]="Pass",INDEX(Comp1[Comparable '#1 Price],MATCH(Benchmark2[[#This Row],[Benchmark '#2 Dates]],Comp1[Comparable '#1 Dates],0)),"-")</f>
        <v>14.21</v>
      </c>
      <c r="H604" s="1" t="str">
        <f>IF(COUNTIF(Comp2[Comparable '#2 Dates],Benchmark2[[#This Row],[Benchmark '#2 Dates]])=1,"Pass","Fail")</f>
        <v>Pass</v>
      </c>
      <c r="I604" s="6">
        <f>IF(Benchmark2[[#This Row],[Comparable '#2 Date Check]]="Pass",INDEX(Comp2[Comparable '#2 Price],MATCH(Benchmark2[[#This Row],[Benchmark '#2 Dates]],Comp2[Comparable '#2 Dates],0)),"-")</f>
        <v>28.37</v>
      </c>
      <c r="J604" s="1" t="str">
        <f>IF(COUNTIF(Comp3[Comparable '#3 Dates],Benchmark2[[#This Row],[Benchmark '#2 Dates]])=1,"Pass","Fail")</f>
        <v>Pass</v>
      </c>
      <c r="K604" s="6">
        <f>IF(Benchmark2[[#This Row],[Comparable '#3 Date Check]]="Pass",INDEX(Comp3[Comparable '#3 Price],MATCH(Benchmark2[[#This Row],[Benchmark '#2 Dates]],Comp3[Comparable '#3 Dates],0)),"-")</f>
        <v>90.15</v>
      </c>
    </row>
    <row r="605" spans="1:11">
      <c r="A605" s="103">
        <v>44159</v>
      </c>
      <c r="B605" s="104">
        <v>14249.503000000001</v>
      </c>
      <c r="C605" s="4">
        <f t="shared" si="9"/>
        <v>1.7790485780411341E-2</v>
      </c>
      <c r="D605" s="1" t="str">
        <f>IF(COUNTIF(Target1[Target Dates],Benchmark2[[#This Row],[Benchmark '#2 Dates]])=1,"Pass","Fail")</f>
        <v>Pass</v>
      </c>
      <c r="E605" s="6">
        <f>IF(Benchmark2[[#This Row],[Target Date Check]]="Pass",INDEX(Target1[Target Price],MATCH(Benchmark2[[#This Row],[Benchmark '#2 Dates]],Target1[Target Dates],0)),"-")</f>
        <v>22.83</v>
      </c>
      <c r="F605" s="1" t="str">
        <f>IF(COUNTIF(Comp1[Comparable '#1 Dates],Benchmark2[[#This Row],[Benchmark '#2 Dates]])=1,"Pass","Fail")</f>
        <v>Pass</v>
      </c>
      <c r="G605" s="6">
        <f>IF(Benchmark2[[#This Row],[Comparable '#1 Date Check]]="Pass",INDEX(Comp1[Comparable '#1 Price],MATCH(Benchmark2[[#This Row],[Benchmark '#2 Dates]],Comp1[Comparable '#1 Dates],0)),"-")</f>
        <v>14.79</v>
      </c>
      <c r="H605" s="1" t="str">
        <f>IF(COUNTIF(Comp2[Comparable '#2 Dates],Benchmark2[[#This Row],[Benchmark '#2 Dates]])=1,"Pass","Fail")</f>
        <v>Pass</v>
      </c>
      <c r="I605" s="6">
        <f>IF(Benchmark2[[#This Row],[Comparable '#2 Date Check]]="Pass",INDEX(Comp2[Comparable '#2 Price],MATCH(Benchmark2[[#This Row],[Benchmark '#2 Dates]],Comp2[Comparable '#2 Dates],0)),"-")</f>
        <v>29.07</v>
      </c>
      <c r="J605" s="1" t="str">
        <f>IF(COUNTIF(Comp3[Comparable '#3 Dates],Benchmark2[[#This Row],[Benchmark '#2 Dates]])=1,"Pass","Fail")</f>
        <v>Pass</v>
      </c>
      <c r="K605" s="6">
        <f>IF(Benchmark2[[#This Row],[Comparable '#3 Date Check]]="Pass",INDEX(Comp3[Comparable '#3 Price],MATCH(Benchmark2[[#This Row],[Benchmark '#2 Dates]],Comp3[Comparable '#3 Dates],0)),"-")</f>
        <v>92.66</v>
      </c>
    </row>
    <row r="606" spans="1:11">
      <c r="A606" s="103">
        <v>44160</v>
      </c>
      <c r="B606" s="104">
        <v>14191.5831</v>
      </c>
      <c r="C606" s="4">
        <f t="shared" si="9"/>
        <v>-4.0729794823267653E-3</v>
      </c>
      <c r="D606" s="1" t="str">
        <f>IF(COUNTIF(Target1[Target Dates],Benchmark2[[#This Row],[Benchmark '#2 Dates]])=1,"Pass","Fail")</f>
        <v>Pass</v>
      </c>
      <c r="E606" s="6">
        <f>IF(Benchmark2[[#This Row],[Target Date Check]]="Pass",INDEX(Target1[Target Price],MATCH(Benchmark2[[#This Row],[Benchmark '#2 Dates]],Target1[Target Dates],0)),"-")</f>
        <v>23.03</v>
      </c>
      <c r="F606" s="1" t="str">
        <f>IF(COUNTIF(Comp1[Comparable '#1 Dates],Benchmark2[[#This Row],[Benchmark '#2 Dates]])=1,"Pass","Fail")</f>
        <v>Pass</v>
      </c>
      <c r="G606" s="6">
        <f>IF(Benchmark2[[#This Row],[Comparable '#1 Date Check]]="Pass",INDEX(Comp1[Comparable '#1 Price],MATCH(Benchmark2[[#This Row],[Benchmark '#2 Dates]],Comp1[Comparable '#1 Dates],0)),"-")</f>
        <v>14.79</v>
      </c>
      <c r="H606" s="1" t="str">
        <f>IF(COUNTIF(Comp2[Comparable '#2 Dates],Benchmark2[[#This Row],[Benchmark '#2 Dates]])=1,"Pass","Fail")</f>
        <v>Pass</v>
      </c>
      <c r="I606" s="6">
        <f>IF(Benchmark2[[#This Row],[Comparable '#2 Date Check]]="Pass",INDEX(Comp2[Comparable '#2 Price],MATCH(Benchmark2[[#This Row],[Benchmark '#2 Dates]],Comp2[Comparable '#2 Dates],0)),"-")</f>
        <v>29.26</v>
      </c>
      <c r="J606" s="1" t="str">
        <f>IF(COUNTIF(Comp3[Comparable '#3 Dates],Benchmark2[[#This Row],[Benchmark '#2 Dates]])=1,"Pass","Fail")</f>
        <v>Pass</v>
      </c>
      <c r="K606" s="6">
        <f>IF(Benchmark2[[#This Row],[Comparable '#3 Date Check]]="Pass",INDEX(Comp3[Comparable '#3 Price],MATCH(Benchmark2[[#This Row],[Benchmark '#2 Dates]],Comp3[Comparable '#3 Dates],0)),"-")</f>
        <v>91.39</v>
      </c>
    </row>
    <row r="607" spans="1:11">
      <c r="A607" s="103">
        <v>44162</v>
      </c>
      <c r="B607" s="104">
        <v>14198.495999999999</v>
      </c>
      <c r="C607" s="4">
        <f t="shared" si="9"/>
        <v>4.8699407368849544E-4</v>
      </c>
      <c r="D607" s="1" t="str">
        <f>IF(COUNTIF(Target1[Target Dates],Benchmark2[[#This Row],[Benchmark '#2 Dates]])=1,"Pass","Fail")</f>
        <v>Pass</v>
      </c>
      <c r="E607" s="6">
        <f>IF(Benchmark2[[#This Row],[Target Date Check]]="Pass",INDEX(Target1[Target Price],MATCH(Benchmark2[[#This Row],[Benchmark '#2 Dates]],Target1[Target Dates],0)),"-")</f>
        <v>23.75</v>
      </c>
      <c r="F607" s="1" t="str">
        <f>IF(COUNTIF(Comp1[Comparable '#1 Dates],Benchmark2[[#This Row],[Benchmark '#2 Dates]])=1,"Pass","Fail")</f>
        <v>Pass</v>
      </c>
      <c r="G607" s="6">
        <f>IF(Benchmark2[[#This Row],[Comparable '#1 Date Check]]="Pass",INDEX(Comp1[Comparable '#1 Price],MATCH(Benchmark2[[#This Row],[Benchmark '#2 Dates]],Comp1[Comparable '#1 Dates],0)),"-")</f>
        <v>14.57</v>
      </c>
      <c r="H607" s="1" t="str">
        <f>IF(COUNTIF(Comp2[Comparable '#2 Dates],Benchmark2[[#This Row],[Benchmark '#2 Dates]])=1,"Pass","Fail")</f>
        <v>Pass</v>
      </c>
      <c r="I607" s="6">
        <f>IF(Benchmark2[[#This Row],[Comparable '#2 Date Check]]="Pass",INDEX(Comp2[Comparable '#2 Price],MATCH(Benchmark2[[#This Row],[Benchmark '#2 Dates]],Comp2[Comparable '#2 Dates],0)),"-")</f>
        <v>29.91</v>
      </c>
      <c r="J607" s="1" t="str">
        <f>IF(COUNTIF(Comp3[Comparable '#3 Dates],Benchmark2[[#This Row],[Benchmark '#2 Dates]])=1,"Pass","Fail")</f>
        <v>Pass</v>
      </c>
      <c r="K607" s="6">
        <f>IF(Benchmark2[[#This Row],[Comparable '#3 Date Check]]="Pass",INDEX(Comp3[Comparable '#3 Price],MATCH(Benchmark2[[#This Row],[Benchmark '#2 Dates]],Comp3[Comparable '#3 Dates],0)),"-")</f>
        <v>93.18</v>
      </c>
    </row>
    <row r="608" spans="1:11">
      <c r="A608" s="103">
        <v>44165</v>
      </c>
      <c r="B608" s="104">
        <v>14006.463599999999</v>
      </c>
      <c r="C608" s="4">
        <f t="shared" si="9"/>
        <v>-1.361713471932848E-2</v>
      </c>
      <c r="D608" s="1" t="str">
        <f>IF(COUNTIF(Target1[Target Dates],Benchmark2[[#This Row],[Benchmark '#2 Dates]])=1,"Pass","Fail")</f>
        <v>Pass</v>
      </c>
      <c r="E608" s="6">
        <f>IF(Benchmark2[[#This Row],[Target Date Check]]="Pass",INDEX(Target1[Target Price],MATCH(Benchmark2[[#This Row],[Benchmark '#2 Dates]],Target1[Target Dates],0)),"-")</f>
        <v>23.33</v>
      </c>
      <c r="F608" s="1" t="str">
        <f>IF(COUNTIF(Comp1[Comparable '#1 Dates],Benchmark2[[#This Row],[Benchmark '#2 Dates]])=1,"Pass","Fail")</f>
        <v>Pass</v>
      </c>
      <c r="G608" s="6">
        <f>IF(Benchmark2[[#This Row],[Comparable '#1 Date Check]]="Pass",INDEX(Comp1[Comparable '#1 Price],MATCH(Benchmark2[[#This Row],[Benchmark '#2 Dates]],Comp1[Comparable '#1 Dates],0)),"-")</f>
        <v>14.2</v>
      </c>
      <c r="H608" s="1" t="str">
        <f>IF(COUNTIF(Comp2[Comparable '#2 Dates],Benchmark2[[#This Row],[Benchmark '#2 Dates]])=1,"Pass","Fail")</f>
        <v>Pass</v>
      </c>
      <c r="I608" s="6">
        <f>IF(Benchmark2[[#This Row],[Comparable '#2 Date Check]]="Pass",INDEX(Comp2[Comparable '#2 Price],MATCH(Benchmark2[[#This Row],[Benchmark '#2 Dates]],Comp2[Comparable '#2 Dates],0)),"-")</f>
        <v>28.63</v>
      </c>
      <c r="J608" s="1" t="str">
        <f>IF(COUNTIF(Comp3[Comparable '#3 Dates],Benchmark2[[#This Row],[Benchmark '#2 Dates]])=1,"Pass","Fail")</f>
        <v>Pass</v>
      </c>
      <c r="K608" s="6">
        <f>IF(Benchmark2[[#This Row],[Comparable '#3 Date Check]]="Pass",INDEX(Comp3[Comparable '#3 Price],MATCH(Benchmark2[[#This Row],[Benchmark '#2 Dates]],Comp3[Comparable '#3 Dates],0)),"-")</f>
        <v>93.89</v>
      </c>
    </row>
    <row r="609" spans="1:11">
      <c r="A609" s="103">
        <v>44166</v>
      </c>
      <c r="B609" s="104">
        <v>14146.6422</v>
      </c>
      <c r="C609" s="4">
        <f t="shared" si="9"/>
        <v>9.9583867902190114E-3</v>
      </c>
      <c r="D609" s="1" t="str">
        <f>IF(COUNTIF(Target1[Target Dates],Benchmark2[[#This Row],[Benchmark '#2 Dates]])=1,"Pass","Fail")</f>
        <v>Pass</v>
      </c>
      <c r="E609" s="6">
        <f>IF(Benchmark2[[#This Row],[Target Date Check]]="Pass",INDEX(Target1[Target Price],MATCH(Benchmark2[[#This Row],[Benchmark '#2 Dates]],Target1[Target Dates],0)),"-")</f>
        <v>23.29</v>
      </c>
      <c r="F609" s="1" t="str">
        <f>IF(COUNTIF(Comp1[Comparable '#1 Dates],Benchmark2[[#This Row],[Benchmark '#2 Dates]])=1,"Pass","Fail")</f>
        <v>Pass</v>
      </c>
      <c r="G609" s="6">
        <f>IF(Benchmark2[[#This Row],[Comparable '#1 Date Check]]="Pass",INDEX(Comp1[Comparable '#1 Price],MATCH(Benchmark2[[#This Row],[Benchmark '#2 Dates]],Comp1[Comparable '#1 Dates],0)),"-")</f>
        <v>14.45</v>
      </c>
      <c r="H609" s="1" t="str">
        <f>IF(COUNTIF(Comp2[Comparable '#2 Dates],Benchmark2[[#This Row],[Benchmark '#2 Dates]])=1,"Pass","Fail")</f>
        <v>Pass</v>
      </c>
      <c r="I609" s="6">
        <f>IF(Benchmark2[[#This Row],[Comparable '#2 Date Check]]="Pass",INDEX(Comp2[Comparable '#2 Price],MATCH(Benchmark2[[#This Row],[Benchmark '#2 Dates]],Comp2[Comparable '#2 Dates],0)),"-")</f>
        <v>28.64</v>
      </c>
      <c r="J609" s="1" t="str">
        <f>IF(COUNTIF(Comp3[Comparable '#3 Dates],Benchmark2[[#This Row],[Benchmark '#2 Dates]])=1,"Pass","Fail")</f>
        <v>Pass</v>
      </c>
      <c r="K609" s="6">
        <f>IF(Benchmark2[[#This Row],[Comparable '#3 Date Check]]="Pass",INDEX(Comp3[Comparable '#3 Price],MATCH(Benchmark2[[#This Row],[Benchmark '#2 Dates]],Comp3[Comparable '#3 Dates],0)),"-")</f>
        <v>94.25</v>
      </c>
    </row>
    <row r="610" spans="1:11">
      <c r="A610" s="103">
        <v>44167</v>
      </c>
      <c r="B610" s="104">
        <v>14188.2423</v>
      </c>
      <c r="C610" s="4">
        <f t="shared" si="9"/>
        <v>2.9363190020809623E-3</v>
      </c>
      <c r="D610" s="1" t="str">
        <f>IF(COUNTIF(Target1[Target Dates],Benchmark2[[#This Row],[Benchmark '#2 Dates]])=1,"Pass","Fail")</f>
        <v>Pass</v>
      </c>
      <c r="E610" s="6">
        <f>IF(Benchmark2[[#This Row],[Target Date Check]]="Pass",INDEX(Target1[Target Price],MATCH(Benchmark2[[#This Row],[Benchmark '#2 Dates]],Target1[Target Dates],0)),"-")</f>
        <v>22.23</v>
      </c>
      <c r="F610" s="1" t="str">
        <f>IF(COUNTIF(Comp1[Comparable '#1 Dates],Benchmark2[[#This Row],[Benchmark '#2 Dates]])=1,"Pass","Fail")</f>
        <v>Pass</v>
      </c>
      <c r="G610" s="6">
        <f>IF(Benchmark2[[#This Row],[Comparable '#1 Date Check]]="Pass",INDEX(Comp1[Comparable '#1 Price],MATCH(Benchmark2[[#This Row],[Benchmark '#2 Dates]],Comp1[Comparable '#1 Dates],0)),"-")</f>
        <v>14.43</v>
      </c>
      <c r="H610" s="1" t="str">
        <f>IF(COUNTIF(Comp2[Comparable '#2 Dates],Benchmark2[[#This Row],[Benchmark '#2 Dates]])=1,"Pass","Fail")</f>
        <v>Pass</v>
      </c>
      <c r="I610" s="6">
        <f>IF(Benchmark2[[#This Row],[Comparable '#2 Date Check]]="Pass",INDEX(Comp2[Comparable '#2 Price],MATCH(Benchmark2[[#This Row],[Benchmark '#2 Dates]],Comp2[Comparable '#2 Dates],0)),"-")</f>
        <v>28.61</v>
      </c>
      <c r="J610" s="1" t="str">
        <f>IF(COUNTIF(Comp3[Comparable '#3 Dates],Benchmark2[[#This Row],[Benchmark '#2 Dates]])=1,"Pass","Fail")</f>
        <v>Pass</v>
      </c>
      <c r="K610" s="6">
        <f>IF(Benchmark2[[#This Row],[Comparable '#3 Date Check]]="Pass",INDEX(Comp3[Comparable '#3 Price],MATCH(Benchmark2[[#This Row],[Benchmark '#2 Dates]],Comp3[Comparable '#3 Dates],0)),"-")</f>
        <v>90.665000000000006</v>
      </c>
    </row>
    <row r="611" spans="1:11">
      <c r="A611" s="103">
        <v>44168</v>
      </c>
      <c r="B611" s="104">
        <v>14217.1847</v>
      </c>
      <c r="C611" s="4">
        <f t="shared" si="9"/>
        <v>2.0378084804478095E-3</v>
      </c>
      <c r="D611" s="1" t="str">
        <f>IF(COUNTIF(Target1[Target Dates],Benchmark2[[#This Row],[Benchmark '#2 Dates]])=1,"Pass","Fail")</f>
        <v>Pass</v>
      </c>
      <c r="E611" s="6">
        <f>IF(Benchmark2[[#This Row],[Target Date Check]]="Pass",INDEX(Target1[Target Price],MATCH(Benchmark2[[#This Row],[Benchmark '#2 Dates]],Target1[Target Dates],0)),"-")</f>
        <v>21.98</v>
      </c>
      <c r="F611" s="1" t="str">
        <f>IF(COUNTIF(Comp1[Comparable '#1 Dates],Benchmark2[[#This Row],[Benchmark '#2 Dates]])=1,"Pass","Fail")</f>
        <v>Pass</v>
      </c>
      <c r="G611" s="6">
        <f>IF(Benchmark2[[#This Row],[Comparable '#1 Date Check]]="Pass",INDEX(Comp1[Comparable '#1 Price],MATCH(Benchmark2[[#This Row],[Benchmark '#2 Dates]],Comp1[Comparable '#1 Dates],0)),"-")</f>
        <v>14.525</v>
      </c>
      <c r="H611" s="1" t="str">
        <f>IF(COUNTIF(Comp2[Comparable '#2 Dates],Benchmark2[[#This Row],[Benchmark '#2 Dates]])=1,"Pass","Fail")</f>
        <v>Pass</v>
      </c>
      <c r="I611" s="6">
        <f>IF(Benchmark2[[#This Row],[Comparable '#2 Date Check]]="Pass",INDEX(Comp2[Comparable '#2 Price],MATCH(Benchmark2[[#This Row],[Benchmark '#2 Dates]],Comp2[Comparable '#2 Dates],0)),"-")</f>
        <v>28.93</v>
      </c>
      <c r="J611" s="1" t="str">
        <f>IF(COUNTIF(Comp3[Comparable '#3 Dates],Benchmark2[[#This Row],[Benchmark '#2 Dates]])=1,"Pass","Fail")</f>
        <v>Pass</v>
      </c>
      <c r="K611" s="6">
        <f>IF(Benchmark2[[#This Row],[Comparable '#3 Date Check]]="Pass",INDEX(Comp3[Comparable '#3 Price],MATCH(Benchmark2[[#This Row],[Benchmark '#2 Dates]],Comp3[Comparable '#3 Dates],0)),"-")</f>
        <v>93.17</v>
      </c>
    </row>
    <row r="612" spans="1:11">
      <c r="A612" s="103">
        <v>44169</v>
      </c>
      <c r="B612" s="104">
        <v>14417.3271</v>
      </c>
      <c r="C612" s="4">
        <f t="shared" si="9"/>
        <v>1.3979331006903732E-2</v>
      </c>
      <c r="D612" s="1" t="str">
        <f>IF(COUNTIF(Target1[Target Dates],Benchmark2[[#This Row],[Benchmark '#2 Dates]])=1,"Pass","Fail")</f>
        <v>Pass</v>
      </c>
      <c r="E612" s="6">
        <f>IF(Benchmark2[[#This Row],[Target Date Check]]="Pass",INDEX(Target1[Target Price],MATCH(Benchmark2[[#This Row],[Benchmark '#2 Dates]],Target1[Target Dates],0)),"-")</f>
        <v>22.33</v>
      </c>
      <c r="F612" s="1" t="str">
        <f>IF(COUNTIF(Comp1[Comparable '#1 Dates],Benchmark2[[#This Row],[Benchmark '#2 Dates]])=1,"Pass","Fail")</f>
        <v>Pass</v>
      </c>
      <c r="G612" s="6">
        <f>IF(Benchmark2[[#This Row],[Comparable '#1 Date Check]]="Pass",INDEX(Comp1[Comparable '#1 Price],MATCH(Benchmark2[[#This Row],[Benchmark '#2 Dates]],Comp1[Comparable '#1 Dates],0)),"-")</f>
        <v>14.64</v>
      </c>
      <c r="H612" s="1" t="str">
        <f>IF(COUNTIF(Comp2[Comparable '#2 Dates],Benchmark2[[#This Row],[Benchmark '#2 Dates]])=1,"Pass","Fail")</f>
        <v>Pass</v>
      </c>
      <c r="I612" s="6">
        <f>IF(Benchmark2[[#This Row],[Comparable '#2 Date Check]]="Pass",INDEX(Comp2[Comparable '#2 Price],MATCH(Benchmark2[[#This Row],[Benchmark '#2 Dates]],Comp2[Comparable '#2 Dates],0)),"-")</f>
        <v>29.26</v>
      </c>
      <c r="J612" s="1" t="str">
        <f>IF(COUNTIF(Comp3[Comparable '#3 Dates],Benchmark2[[#This Row],[Benchmark '#2 Dates]])=1,"Pass","Fail")</f>
        <v>Pass</v>
      </c>
      <c r="K612" s="6">
        <f>IF(Benchmark2[[#This Row],[Comparable '#3 Date Check]]="Pass",INDEX(Comp3[Comparable '#3 Price],MATCH(Benchmark2[[#This Row],[Benchmark '#2 Dates]],Comp3[Comparable '#3 Dates],0)),"-")</f>
        <v>93.2</v>
      </c>
    </row>
    <row r="613" spans="1:11">
      <c r="A613" s="103">
        <v>44172</v>
      </c>
      <c r="B613" s="104">
        <v>14354.9661</v>
      </c>
      <c r="C613" s="4">
        <f t="shared" si="9"/>
        <v>-4.3348020413990556E-3</v>
      </c>
      <c r="D613" s="1" t="str">
        <f>IF(COUNTIF(Target1[Target Dates],Benchmark2[[#This Row],[Benchmark '#2 Dates]])=1,"Pass","Fail")</f>
        <v>Pass</v>
      </c>
      <c r="E613" s="6">
        <f>IF(Benchmark2[[#This Row],[Target Date Check]]="Pass",INDEX(Target1[Target Price],MATCH(Benchmark2[[#This Row],[Benchmark '#2 Dates]],Target1[Target Dates],0)),"-")</f>
        <v>22.14</v>
      </c>
      <c r="F613" s="1" t="str">
        <f>IF(COUNTIF(Comp1[Comparable '#1 Dates],Benchmark2[[#This Row],[Benchmark '#2 Dates]])=1,"Pass","Fail")</f>
        <v>Pass</v>
      </c>
      <c r="G613" s="6">
        <f>IF(Benchmark2[[#This Row],[Comparable '#1 Date Check]]="Pass",INDEX(Comp1[Comparable '#1 Price],MATCH(Benchmark2[[#This Row],[Benchmark '#2 Dates]],Comp1[Comparable '#1 Dates],0)),"-")</f>
        <v>14.56</v>
      </c>
      <c r="H613" s="1" t="str">
        <f>IF(COUNTIF(Comp2[Comparable '#2 Dates],Benchmark2[[#This Row],[Benchmark '#2 Dates]])=1,"Pass","Fail")</f>
        <v>Pass</v>
      </c>
      <c r="I613" s="6">
        <f>IF(Benchmark2[[#This Row],[Comparable '#2 Date Check]]="Pass",INDEX(Comp2[Comparable '#2 Price],MATCH(Benchmark2[[#This Row],[Benchmark '#2 Dates]],Comp2[Comparable '#2 Dates],0)),"-")</f>
        <v>29.22</v>
      </c>
      <c r="J613" s="1" t="str">
        <f>IF(COUNTIF(Comp3[Comparable '#3 Dates],Benchmark2[[#This Row],[Benchmark '#2 Dates]])=1,"Pass","Fail")</f>
        <v>Pass</v>
      </c>
      <c r="K613" s="6">
        <f>IF(Benchmark2[[#This Row],[Comparable '#3 Date Check]]="Pass",INDEX(Comp3[Comparable '#3 Price],MATCH(Benchmark2[[#This Row],[Benchmark '#2 Dates]],Comp3[Comparable '#3 Dates],0)),"-")</f>
        <v>93.18</v>
      </c>
    </row>
    <row r="614" spans="1:11">
      <c r="A614" s="103">
        <v>44173</v>
      </c>
      <c r="B614" s="104">
        <v>14402.1692</v>
      </c>
      <c r="C614" s="4">
        <f t="shared" si="9"/>
        <v>3.2828821022064286E-3</v>
      </c>
      <c r="D614" s="1" t="str">
        <f>IF(COUNTIF(Target1[Target Dates],Benchmark2[[#This Row],[Benchmark '#2 Dates]])=1,"Pass","Fail")</f>
        <v>Pass</v>
      </c>
      <c r="E614" s="6">
        <f>IF(Benchmark2[[#This Row],[Target Date Check]]="Pass",INDEX(Target1[Target Price],MATCH(Benchmark2[[#This Row],[Benchmark '#2 Dates]],Target1[Target Dates],0)),"-")</f>
        <v>22.12</v>
      </c>
      <c r="F614" s="1" t="str">
        <f>IF(COUNTIF(Comp1[Comparable '#1 Dates],Benchmark2[[#This Row],[Benchmark '#2 Dates]])=1,"Pass","Fail")</f>
        <v>Pass</v>
      </c>
      <c r="G614" s="6">
        <f>IF(Benchmark2[[#This Row],[Comparable '#1 Date Check]]="Pass",INDEX(Comp1[Comparable '#1 Price],MATCH(Benchmark2[[#This Row],[Benchmark '#2 Dates]],Comp1[Comparable '#1 Dates],0)),"-")</f>
        <v>14.66</v>
      </c>
      <c r="H614" s="1" t="str">
        <f>IF(COUNTIF(Comp2[Comparable '#2 Dates],Benchmark2[[#This Row],[Benchmark '#2 Dates]])=1,"Pass","Fail")</f>
        <v>Pass</v>
      </c>
      <c r="I614" s="6">
        <f>IF(Benchmark2[[#This Row],[Comparable '#2 Date Check]]="Pass",INDEX(Comp2[Comparable '#2 Price],MATCH(Benchmark2[[#This Row],[Benchmark '#2 Dates]],Comp2[Comparable '#2 Dates],0)),"-")</f>
        <v>30.3</v>
      </c>
      <c r="J614" s="1" t="str">
        <f>IF(COUNTIF(Comp3[Comparable '#3 Dates],Benchmark2[[#This Row],[Benchmark '#2 Dates]])=1,"Pass","Fail")</f>
        <v>Pass</v>
      </c>
      <c r="K614" s="6">
        <f>IF(Benchmark2[[#This Row],[Comparable '#3 Date Check]]="Pass",INDEX(Comp3[Comparable '#3 Price],MATCH(Benchmark2[[#This Row],[Benchmark '#2 Dates]],Comp3[Comparable '#3 Dates],0)),"-")</f>
        <v>93.3</v>
      </c>
    </row>
    <row r="615" spans="1:11">
      <c r="A615" s="103">
        <v>44174</v>
      </c>
      <c r="B615" s="104">
        <v>14374.080599999999</v>
      </c>
      <c r="C615" s="4">
        <f t="shared" si="9"/>
        <v>-1.9522077488179691E-3</v>
      </c>
      <c r="D615" s="1" t="str">
        <f>IF(COUNTIF(Target1[Target Dates],Benchmark2[[#This Row],[Benchmark '#2 Dates]])=1,"Pass","Fail")</f>
        <v>Pass</v>
      </c>
      <c r="E615" s="6">
        <f>IF(Benchmark2[[#This Row],[Target Date Check]]="Pass",INDEX(Target1[Target Price],MATCH(Benchmark2[[#This Row],[Benchmark '#2 Dates]],Target1[Target Dates],0)),"-")</f>
        <v>21.99</v>
      </c>
      <c r="F615" s="1" t="str">
        <f>IF(COUNTIF(Comp1[Comparable '#1 Dates],Benchmark2[[#This Row],[Benchmark '#2 Dates]])=1,"Pass","Fail")</f>
        <v>Pass</v>
      </c>
      <c r="G615" s="6">
        <f>IF(Benchmark2[[#This Row],[Comparable '#1 Date Check]]="Pass",INDEX(Comp1[Comparable '#1 Price],MATCH(Benchmark2[[#This Row],[Benchmark '#2 Dates]],Comp1[Comparable '#1 Dates],0)),"-")</f>
        <v>14.74</v>
      </c>
      <c r="H615" s="1" t="str">
        <f>IF(COUNTIF(Comp2[Comparable '#2 Dates],Benchmark2[[#This Row],[Benchmark '#2 Dates]])=1,"Pass","Fail")</f>
        <v>Pass</v>
      </c>
      <c r="I615" s="6">
        <f>IF(Benchmark2[[#This Row],[Comparable '#2 Date Check]]="Pass",INDEX(Comp2[Comparable '#2 Price],MATCH(Benchmark2[[#This Row],[Benchmark '#2 Dates]],Comp2[Comparable '#2 Dates],0)),"-")</f>
        <v>31.5</v>
      </c>
      <c r="J615" s="1" t="str">
        <f>IF(COUNTIF(Comp3[Comparable '#3 Dates],Benchmark2[[#This Row],[Benchmark '#2 Dates]])=1,"Pass","Fail")</f>
        <v>Pass</v>
      </c>
      <c r="K615" s="6">
        <f>IF(Benchmark2[[#This Row],[Comparable '#3 Date Check]]="Pass",INDEX(Comp3[Comparable '#3 Price],MATCH(Benchmark2[[#This Row],[Benchmark '#2 Dates]],Comp3[Comparable '#3 Dates],0)),"-")</f>
        <v>92.36</v>
      </c>
    </row>
    <row r="616" spans="1:11">
      <c r="A616" s="103">
        <v>44175</v>
      </c>
      <c r="B616" s="104">
        <v>14394.3428</v>
      </c>
      <c r="C616" s="4">
        <f t="shared" si="9"/>
        <v>1.4086419035724761E-3</v>
      </c>
      <c r="D616" s="1" t="str">
        <f>IF(COUNTIF(Target1[Target Dates],Benchmark2[[#This Row],[Benchmark '#2 Dates]])=1,"Pass","Fail")</f>
        <v>Pass</v>
      </c>
      <c r="E616" s="6">
        <f>IF(Benchmark2[[#This Row],[Target Date Check]]="Pass",INDEX(Target1[Target Price],MATCH(Benchmark2[[#This Row],[Benchmark '#2 Dates]],Target1[Target Dates],0)),"-")</f>
        <v>22.65</v>
      </c>
      <c r="F616" s="1" t="str">
        <f>IF(COUNTIF(Comp1[Comparable '#1 Dates],Benchmark2[[#This Row],[Benchmark '#2 Dates]])=1,"Pass","Fail")</f>
        <v>Pass</v>
      </c>
      <c r="G616" s="6">
        <f>IF(Benchmark2[[#This Row],[Comparable '#1 Date Check]]="Pass",INDEX(Comp1[Comparable '#1 Price],MATCH(Benchmark2[[#This Row],[Benchmark '#2 Dates]],Comp1[Comparable '#1 Dates],0)),"-")</f>
        <v>14.97</v>
      </c>
      <c r="H616" s="1" t="str">
        <f>IF(COUNTIF(Comp2[Comparable '#2 Dates],Benchmark2[[#This Row],[Benchmark '#2 Dates]])=1,"Pass","Fail")</f>
        <v>Pass</v>
      </c>
      <c r="I616" s="6">
        <f>IF(Benchmark2[[#This Row],[Comparable '#2 Date Check]]="Pass",INDEX(Comp2[Comparable '#2 Price],MATCH(Benchmark2[[#This Row],[Benchmark '#2 Dates]],Comp2[Comparable '#2 Dates],0)),"-")</f>
        <v>31.66</v>
      </c>
      <c r="J616" s="1" t="str">
        <f>IF(COUNTIF(Comp3[Comparable '#3 Dates],Benchmark2[[#This Row],[Benchmark '#2 Dates]])=1,"Pass","Fail")</f>
        <v>Pass</v>
      </c>
      <c r="K616" s="6">
        <f>IF(Benchmark2[[#This Row],[Comparable '#3 Date Check]]="Pass",INDEX(Comp3[Comparable '#3 Price],MATCH(Benchmark2[[#This Row],[Benchmark '#2 Dates]],Comp3[Comparable '#3 Dates],0)),"-")</f>
        <v>96.25</v>
      </c>
    </row>
    <row r="617" spans="1:11">
      <c r="A617" s="103">
        <v>44176</v>
      </c>
      <c r="B617" s="104">
        <v>14355.2916</v>
      </c>
      <c r="C617" s="4">
        <f t="shared" si="9"/>
        <v>-2.7166414343650254E-3</v>
      </c>
      <c r="D617" s="1" t="str">
        <f>IF(COUNTIF(Target1[Target Dates],Benchmark2[[#This Row],[Benchmark '#2 Dates]])=1,"Pass","Fail")</f>
        <v>Pass</v>
      </c>
      <c r="E617" s="6">
        <f>IF(Benchmark2[[#This Row],[Target Date Check]]="Pass",INDEX(Target1[Target Price],MATCH(Benchmark2[[#This Row],[Benchmark '#2 Dates]],Target1[Target Dates],0)),"-")</f>
        <v>22.72</v>
      </c>
      <c r="F617" s="1" t="str">
        <f>IF(COUNTIF(Comp1[Comparable '#1 Dates],Benchmark2[[#This Row],[Benchmark '#2 Dates]])=1,"Pass","Fail")</f>
        <v>Pass</v>
      </c>
      <c r="G617" s="6">
        <f>IF(Benchmark2[[#This Row],[Comparable '#1 Date Check]]="Pass",INDEX(Comp1[Comparable '#1 Price],MATCH(Benchmark2[[#This Row],[Benchmark '#2 Dates]],Comp1[Comparable '#1 Dates],0)),"-")</f>
        <v>15.2</v>
      </c>
      <c r="H617" s="1" t="str">
        <f>IF(COUNTIF(Comp2[Comparable '#2 Dates],Benchmark2[[#This Row],[Benchmark '#2 Dates]])=1,"Pass","Fail")</f>
        <v>Pass</v>
      </c>
      <c r="I617" s="6">
        <f>IF(Benchmark2[[#This Row],[Comparable '#2 Date Check]]="Pass",INDEX(Comp2[Comparable '#2 Price],MATCH(Benchmark2[[#This Row],[Benchmark '#2 Dates]],Comp2[Comparable '#2 Dates],0)),"-")</f>
        <v>31.46</v>
      </c>
      <c r="J617" s="1" t="str">
        <f>IF(COUNTIF(Comp3[Comparable '#3 Dates],Benchmark2[[#This Row],[Benchmark '#2 Dates]])=1,"Pass","Fail")</f>
        <v>Pass</v>
      </c>
      <c r="K617" s="6">
        <f>IF(Benchmark2[[#This Row],[Comparable '#3 Date Check]]="Pass",INDEX(Comp3[Comparable '#3 Price],MATCH(Benchmark2[[#This Row],[Benchmark '#2 Dates]],Comp3[Comparable '#3 Dates],0)),"-")</f>
        <v>94.78</v>
      </c>
    </row>
    <row r="618" spans="1:11">
      <c r="A618" s="103">
        <v>44179</v>
      </c>
      <c r="B618" s="104">
        <v>14214.9336</v>
      </c>
      <c r="C618" s="4">
        <f t="shared" si="9"/>
        <v>-9.8255528763359946E-3</v>
      </c>
      <c r="D618" s="1" t="str">
        <f>IF(COUNTIF(Target1[Target Dates],Benchmark2[[#This Row],[Benchmark '#2 Dates]])=1,"Pass","Fail")</f>
        <v>Pass</v>
      </c>
      <c r="E618" s="6">
        <f>IF(Benchmark2[[#This Row],[Target Date Check]]="Pass",INDEX(Target1[Target Price],MATCH(Benchmark2[[#This Row],[Benchmark '#2 Dates]],Target1[Target Dates],0)),"-")</f>
        <v>23.46</v>
      </c>
      <c r="F618" s="1" t="str">
        <f>IF(COUNTIF(Comp1[Comparable '#1 Dates],Benchmark2[[#This Row],[Benchmark '#2 Dates]])=1,"Pass","Fail")</f>
        <v>Pass</v>
      </c>
      <c r="G618" s="6">
        <f>IF(Benchmark2[[#This Row],[Comparable '#1 Date Check]]="Pass",INDEX(Comp1[Comparable '#1 Price],MATCH(Benchmark2[[#This Row],[Benchmark '#2 Dates]],Comp1[Comparable '#1 Dates],0)),"-")</f>
        <v>15.11</v>
      </c>
      <c r="H618" s="1" t="str">
        <f>IF(COUNTIF(Comp2[Comparable '#2 Dates],Benchmark2[[#This Row],[Benchmark '#2 Dates]])=1,"Pass","Fail")</f>
        <v>Pass</v>
      </c>
      <c r="I618" s="6">
        <f>IF(Benchmark2[[#This Row],[Comparable '#2 Date Check]]="Pass",INDEX(Comp2[Comparable '#2 Price],MATCH(Benchmark2[[#This Row],[Benchmark '#2 Dates]],Comp2[Comparable '#2 Dates],0)),"-")</f>
        <v>32.130000000000003</v>
      </c>
      <c r="J618" s="1" t="str">
        <f>IF(COUNTIF(Comp3[Comparable '#3 Dates],Benchmark2[[#This Row],[Benchmark '#2 Dates]])=1,"Pass","Fail")</f>
        <v>Pass</v>
      </c>
      <c r="K618" s="6">
        <f>IF(Benchmark2[[#This Row],[Comparable '#3 Date Check]]="Pass",INDEX(Comp3[Comparable '#3 Price],MATCH(Benchmark2[[#This Row],[Benchmark '#2 Dates]],Comp3[Comparable '#3 Dates],0)),"-")</f>
        <v>93.77</v>
      </c>
    </row>
    <row r="619" spans="1:11">
      <c r="A619" s="103">
        <v>44180</v>
      </c>
      <c r="B619" s="104">
        <v>14402.320100000001</v>
      </c>
      <c r="C619" s="4">
        <f t="shared" si="9"/>
        <v>1.3096237689391449E-2</v>
      </c>
      <c r="D619" s="1" t="str">
        <f>IF(COUNTIF(Target1[Target Dates],Benchmark2[[#This Row],[Benchmark '#2 Dates]])=1,"Pass","Fail")</f>
        <v>Pass</v>
      </c>
      <c r="E619" s="6">
        <f>IF(Benchmark2[[#This Row],[Target Date Check]]="Pass",INDEX(Target1[Target Price],MATCH(Benchmark2[[#This Row],[Benchmark '#2 Dates]],Target1[Target Dates],0)),"-")</f>
        <v>23.84</v>
      </c>
      <c r="F619" s="1" t="str">
        <f>IF(COUNTIF(Comp1[Comparable '#1 Dates],Benchmark2[[#This Row],[Benchmark '#2 Dates]])=1,"Pass","Fail")</f>
        <v>Pass</v>
      </c>
      <c r="G619" s="6">
        <f>IF(Benchmark2[[#This Row],[Comparable '#1 Date Check]]="Pass",INDEX(Comp1[Comparable '#1 Price],MATCH(Benchmark2[[#This Row],[Benchmark '#2 Dates]],Comp1[Comparable '#1 Dates],0)),"-")</f>
        <v>15.36</v>
      </c>
      <c r="H619" s="1" t="str">
        <f>IF(COUNTIF(Comp2[Comparable '#2 Dates],Benchmark2[[#This Row],[Benchmark '#2 Dates]])=1,"Pass","Fail")</f>
        <v>Pass</v>
      </c>
      <c r="I619" s="6">
        <f>IF(Benchmark2[[#This Row],[Comparable '#2 Date Check]]="Pass",INDEX(Comp2[Comparable '#2 Price],MATCH(Benchmark2[[#This Row],[Benchmark '#2 Dates]],Comp2[Comparable '#2 Dates],0)),"-")</f>
        <v>33.64</v>
      </c>
      <c r="J619" s="1" t="str">
        <f>IF(COUNTIF(Comp3[Comparable '#3 Dates],Benchmark2[[#This Row],[Benchmark '#2 Dates]])=1,"Pass","Fail")</f>
        <v>Pass</v>
      </c>
      <c r="K619" s="6">
        <f>IF(Benchmark2[[#This Row],[Comparable '#3 Date Check]]="Pass",INDEX(Comp3[Comparable '#3 Price],MATCH(Benchmark2[[#This Row],[Benchmark '#2 Dates]],Comp3[Comparable '#3 Dates],0)),"-")</f>
        <v>98.59</v>
      </c>
    </row>
    <row r="620" spans="1:11">
      <c r="A620" s="103">
        <v>44181</v>
      </c>
      <c r="B620" s="104">
        <v>14408.9359</v>
      </c>
      <c r="C620" s="4">
        <f t="shared" si="9"/>
        <v>4.592510730028004E-4</v>
      </c>
      <c r="D620" s="1" t="str">
        <f>IF(COUNTIF(Target1[Target Dates],Benchmark2[[#This Row],[Benchmark '#2 Dates]])=1,"Pass","Fail")</f>
        <v>Pass</v>
      </c>
      <c r="E620" s="6">
        <f>IF(Benchmark2[[#This Row],[Target Date Check]]="Pass",INDEX(Target1[Target Price],MATCH(Benchmark2[[#This Row],[Benchmark '#2 Dates]],Target1[Target Dates],0)),"-")</f>
        <v>23.15</v>
      </c>
      <c r="F620" s="1" t="str">
        <f>IF(COUNTIF(Comp1[Comparable '#1 Dates],Benchmark2[[#This Row],[Benchmark '#2 Dates]])=1,"Pass","Fail")</f>
        <v>Pass</v>
      </c>
      <c r="G620" s="6">
        <f>IF(Benchmark2[[#This Row],[Comparable '#1 Date Check]]="Pass",INDEX(Comp1[Comparable '#1 Price],MATCH(Benchmark2[[#This Row],[Benchmark '#2 Dates]],Comp1[Comparable '#1 Dates],0)),"-")</f>
        <v>15.164999999999999</v>
      </c>
      <c r="H620" s="1" t="str">
        <f>IF(COUNTIF(Comp2[Comparable '#2 Dates],Benchmark2[[#This Row],[Benchmark '#2 Dates]])=1,"Pass","Fail")</f>
        <v>Pass</v>
      </c>
      <c r="I620" s="6">
        <f>IF(Benchmark2[[#This Row],[Comparable '#2 Date Check]]="Pass",INDEX(Comp2[Comparable '#2 Price],MATCH(Benchmark2[[#This Row],[Benchmark '#2 Dates]],Comp2[Comparable '#2 Dates],0)),"-")</f>
        <v>33.1</v>
      </c>
      <c r="J620" s="1" t="str">
        <f>IF(COUNTIF(Comp3[Comparable '#3 Dates],Benchmark2[[#This Row],[Benchmark '#2 Dates]])=1,"Pass","Fail")</f>
        <v>Pass</v>
      </c>
      <c r="K620" s="6">
        <f>IF(Benchmark2[[#This Row],[Comparable '#3 Date Check]]="Pass",INDEX(Comp3[Comparable '#3 Price],MATCH(Benchmark2[[#This Row],[Benchmark '#2 Dates]],Comp3[Comparable '#3 Dates],0)),"-")</f>
        <v>95.51</v>
      </c>
    </row>
    <row r="621" spans="1:11">
      <c r="A621" s="103">
        <v>44182</v>
      </c>
      <c r="B621" s="104">
        <v>14516.7323</v>
      </c>
      <c r="C621" s="4">
        <f t="shared" si="9"/>
        <v>7.4533731277420133E-3</v>
      </c>
      <c r="D621" s="1" t="str">
        <f>IF(COUNTIF(Target1[Target Dates],Benchmark2[[#This Row],[Benchmark '#2 Dates]])=1,"Pass","Fail")</f>
        <v>Pass</v>
      </c>
      <c r="E621" s="6">
        <f>IF(Benchmark2[[#This Row],[Target Date Check]]="Pass",INDEX(Target1[Target Price],MATCH(Benchmark2[[#This Row],[Benchmark '#2 Dates]],Target1[Target Dates],0)),"-")</f>
        <v>22.95</v>
      </c>
      <c r="F621" s="1" t="str">
        <f>IF(COUNTIF(Comp1[Comparable '#1 Dates],Benchmark2[[#This Row],[Benchmark '#2 Dates]])=1,"Pass","Fail")</f>
        <v>Pass</v>
      </c>
      <c r="G621" s="6">
        <f>IF(Benchmark2[[#This Row],[Comparable '#1 Date Check]]="Pass",INDEX(Comp1[Comparable '#1 Price],MATCH(Benchmark2[[#This Row],[Benchmark '#2 Dates]],Comp1[Comparable '#1 Dates],0)),"-")</f>
        <v>15.14</v>
      </c>
      <c r="H621" s="1" t="str">
        <f>IF(COUNTIF(Comp2[Comparable '#2 Dates],Benchmark2[[#This Row],[Benchmark '#2 Dates]])=1,"Pass","Fail")</f>
        <v>Pass</v>
      </c>
      <c r="I621" s="6">
        <f>IF(Benchmark2[[#This Row],[Comparable '#2 Date Check]]="Pass",INDEX(Comp2[Comparable '#2 Price],MATCH(Benchmark2[[#This Row],[Benchmark '#2 Dates]],Comp2[Comparable '#2 Dates],0)),"-")</f>
        <v>33.43</v>
      </c>
      <c r="J621" s="1" t="str">
        <f>IF(COUNTIF(Comp3[Comparable '#3 Dates],Benchmark2[[#This Row],[Benchmark '#2 Dates]])=1,"Pass","Fail")</f>
        <v>Pass</v>
      </c>
      <c r="K621" s="6">
        <f>IF(Benchmark2[[#This Row],[Comparable '#3 Date Check]]="Pass",INDEX(Comp3[Comparable '#3 Price],MATCH(Benchmark2[[#This Row],[Benchmark '#2 Dates]],Comp3[Comparable '#3 Dates],0)),"-")</f>
        <v>96.15</v>
      </c>
    </row>
    <row r="622" spans="1:11">
      <c r="A622" s="103">
        <v>44183</v>
      </c>
      <c r="B622" s="104">
        <v>14467.819100000001</v>
      </c>
      <c r="C622" s="4">
        <f t="shared" si="9"/>
        <v>-3.3751253043553813E-3</v>
      </c>
      <c r="D622" s="1" t="str">
        <f>IF(COUNTIF(Target1[Target Dates],Benchmark2[[#This Row],[Benchmark '#2 Dates]])=1,"Pass","Fail")</f>
        <v>Pass</v>
      </c>
      <c r="E622" s="6">
        <f>IF(Benchmark2[[#This Row],[Target Date Check]]="Pass",INDEX(Target1[Target Price],MATCH(Benchmark2[[#This Row],[Benchmark '#2 Dates]],Target1[Target Dates],0)),"-")</f>
        <v>22.83</v>
      </c>
      <c r="F622" s="1" t="str">
        <f>IF(COUNTIF(Comp1[Comparable '#1 Dates],Benchmark2[[#This Row],[Benchmark '#2 Dates]])=1,"Pass","Fail")</f>
        <v>Pass</v>
      </c>
      <c r="G622" s="6">
        <f>IF(Benchmark2[[#This Row],[Comparable '#1 Date Check]]="Pass",INDEX(Comp1[Comparable '#1 Price],MATCH(Benchmark2[[#This Row],[Benchmark '#2 Dates]],Comp1[Comparable '#1 Dates],0)),"-")</f>
        <v>15.06</v>
      </c>
      <c r="H622" s="1" t="str">
        <f>IF(COUNTIF(Comp2[Comparable '#2 Dates],Benchmark2[[#This Row],[Benchmark '#2 Dates]])=1,"Pass","Fail")</f>
        <v>Pass</v>
      </c>
      <c r="I622" s="6">
        <f>IF(Benchmark2[[#This Row],[Comparable '#2 Date Check]]="Pass",INDEX(Comp2[Comparable '#2 Price],MATCH(Benchmark2[[#This Row],[Benchmark '#2 Dates]],Comp2[Comparable '#2 Dates],0)),"-")</f>
        <v>33.93</v>
      </c>
      <c r="J622" s="1" t="str">
        <f>IF(COUNTIF(Comp3[Comparable '#3 Dates],Benchmark2[[#This Row],[Benchmark '#2 Dates]])=1,"Pass","Fail")</f>
        <v>Pass</v>
      </c>
      <c r="K622" s="6">
        <f>IF(Benchmark2[[#This Row],[Comparable '#3 Date Check]]="Pass",INDEX(Comp3[Comparable '#3 Price],MATCH(Benchmark2[[#This Row],[Benchmark '#2 Dates]],Comp3[Comparable '#3 Dates],0)),"-")</f>
        <v>97.58</v>
      </c>
    </row>
    <row r="623" spans="1:11">
      <c r="A623" s="103">
        <v>44186</v>
      </c>
      <c r="B623" s="104">
        <v>14378.8493</v>
      </c>
      <c r="C623" s="4">
        <f t="shared" si="9"/>
        <v>-6.1684823270281722E-3</v>
      </c>
      <c r="D623" s="1" t="str">
        <f>IF(COUNTIF(Target1[Target Dates],Benchmark2[[#This Row],[Benchmark '#2 Dates]])=1,"Pass","Fail")</f>
        <v>Pass</v>
      </c>
      <c r="E623" s="6">
        <f>IF(Benchmark2[[#This Row],[Target Date Check]]="Pass",INDEX(Target1[Target Price],MATCH(Benchmark2[[#This Row],[Benchmark '#2 Dates]],Target1[Target Dates],0)),"-")</f>
        <v>22.72</v>
      </c>
      <c r="F623" s="1" t="str">
        <f>IF(COUNTIF(Comp1[Comparable '#1 Dates],Benchmark2[[#This Row],[Benchmark '#2 Dates]])=1,"Pass","Fail")</f>
        <v>Pass</v>
      </c>
      <c r="G623" s="6">
        <f>IF(Benchmark2[[#This Row],[Comparable '#1 Date Check]]="Pass",INDEX(Comp1[Comparable '#1 Price],MATCH(Benchmark2[[#This Row],[Benchmark '#2 Dates]],Comp1[Comparable '#1 Dates],0)),"-")</f>
        <v>15.03</v>
      </c>
      <c r="H623" s="1" t="str">
        <f>IF(COUNTIF(Comp2[Comparable '#2 Dates],Benchmark2[[#This Row],[Benchmark '#2 Dates]])=1,"Pass","Fail")</f>
        <v>Pass</v>
      </c>
      <c r="I623" s="6">
        <f>IF(Benchmark2[[#This Row],[Comparable '#2 Date Check]]="Pass",INDEX(Comp2[Comparable '#2 Price],MATCH(Benchmark2[[#This Row],[Benchmark '#2 Dates]],Comp2[Comparable '#2 Dates],0)),"-")</f>
        <v>33.93</v>
      </c>
      <c r="J623" s="1" t="str">
        <f>IF(COUNTIF(Comp3[Comparable '#3 Dates],Benchmark2[[#This Row],[Benchmark '#2 Dates]])=1,"Pass","Fail")</f>
        <v>Pass</v>
      </c>
      <c r="K623" s="6">
        <f>IF(Benchmark2[[#This Row],[Comparable '#3 Date Check]]="Pass",INDEX(Comp3[Comparable '#3 Price],MATCH(Benchmark2[[#This Row],[Benchmark '#2 Dates]],Comp3[Comparable '#3 Dates],0)),"-")</f>
        <v>96.19</v>
      </c>
    </row>
    <row r="624" spans="1:11">
      <c r="A624" s="103">
        <v>44187</v>
      </c>
      <c r="B624" s="104">
        <v>14321.338400000001</v>
      </c>
      <c r="C624" s="4">
        <f t="shared" si="9"/>
        <v>-4.0077073765597358E-3</v>
      </c>
      <c r="D624" s="1" t="str">
        <f>IF(COUNTIF(Target1[Target Dates],Benchmark2[[#This Row],[Benchmark '#2 Dates]])=1,"Pass","Fail")</f>
        <v>Pass</v>
      </c>
      <c r="E624" s="6">
        <f>IF(Benchmark2[[#This Row],[Target Date Check]]="Pass",INDEX(Target1[Target Price],MATCH(Benchmark2[[#This Row],[Benchmark '#2 Dates]],Target1[Target Dates],0)),"-")</f>
        <v>22.49</v>
      </c>
      <c r="F624" s="1" t="str">
        <f>IF(COUNTIF(Comp1[Comparable '#1 Dates],Benchmark2[[#This Row],[Benchmark '#2 Dates]])=1,"Pass","Fail")</f>
        <v>Pass</v>
      </c>
      <c r="G624" s="6">
        <f>IF(Benchmark2[[#This Row],[Comparable '#1 Date Check]]="Pass",INDEX(Comp1[Comparable '#1 Price],MATCH(Benchmark2[[#This Row],[Benchmark '#2 Dates]],Comp1[Comparable '#1 Dates],0)),"-")</f>
        <v>14.9</v>
      </c>
      <c r="H624" s="1" t="str">
        <f>IF(COUNTIF(Comp2[Comparable '#2 Dates],Benchmark2[[#This Row],[Benchmark '#2 Dates]])=1,"Pass","Fail")</f>
        <v>Pass</v>
      </c>
      <c r="I624" s="6">
        <f>IF(Benchmark2[[#This Row],[Comparable '#2 Date Check]]="Pass",INDEX(Comp2[Comparable '#2 Price],MATCH(Benchmark2[[#This Row],[Benchmark '#2 Dates]],Comp2[Comparable '#2 Dates],0)),"-")</f>
        <v>33.270000000000003</v>
      </c>
      <c r="J624" s="1" t="str">
        <f>IF(COUNTIF(Comp3[Comparable '#3 Dates],Benchmark2[[#This Row],[Benchmark '#2 Dates]])=1,"Pass","Fail")</f>
        <v>Pass</v>
      </c>
      <c r="K624" s="6">
        <f>IF(Benchmark2[[#This Row],[Comparable '#3 Date Check]]="Pass",INDEX(Comp3[Comparable '#3 Price],MATCH(Benchmark2[[#This Row],[Benchmark '#2 Dates]],Comp3[Comparable '#3 Dates],0)),"-")</f>
        <v>93.12</v>
      </c>
    </row>
    <row r="625" spans="1:11">
      <c r="A625" s="103">
        <v>44188</v>
      </c>
      <c r="B625" s="104">
        <v>14398.617</v>
      </c>
      <c r="C625" s="4">
        <f t="shared" si="9"/>
        <v>5.3815394507999662E-3</v>
      </c>
      <c r="D625" s="1" t="str">
        <f>IF(COUNTIF(Target1[Target Dates],Benchmark2[[#This Row],[Benchmark '#2 Dates]])=1,"Pass","Fail")</f>
        <v>Pass</v>
      </c>
      <c r="E625" s="6">
        <f>IF(Benchmark2[[#This Row],[Target Date Check]]="Pass",INDEX(Target1[Target Price],MATCH(Benchmark2[[#This Row],[Benchmark '#2 Dates]],Target1[Target Dates],0)),"-")</f>
        <v>22.23</v>
      </c>
      <c r="F625" s="1" t="str">
        <f>IF(COUNTIF(Comp1[Comparable '#1 Dates],Benchmark2[[#This Row],[Benchmark '#2 Dates]])=1,"Pass","Fail")</f>
        <v>Pass</v>
      </c>
      <c r="G625" s="6">
        <f>IF(Benchmark2[[#This Row],[Comparable '#1 Date Check]]="Pass",INDEX(Comp1[Comparable '#1 Price],MATCH(Benchmark2[[#This Row],[Benchmark '#2 Dates]],Comp1[Comparable '#1 Dates],0)),"-")</f>
        <v>15</v>
      </c>
      <c r="H625" s="1" t="str">
        <f>IF(COUNTIF(Comp2[Comparable '#2 Dates],Benchmark2[[#This Row],[Benchmark '#2 Dates]])=1,"Pass","Fail")</f>
        <v>Pass</v>
      </c>
      <c r="I625" s="6">
        <f>IF(Benchmark2[[#This Row],[Comparable '#2 Date Check]]="Pass",INDEX(Comp2[Comparable '#2 Price],MATCH(Benchmark2[[#This Row],[Benchmark '#2 Dates]],Comp2[Comparable '#2 Dates],0)),"-")</f>
        <v>33.51</v>
      </c>
      <c r="J625" s="1" t="str">
        <f>IF(COUNTIF(Comp3[Comparable '#3 Dates],Benchmark2[[#This Row],[Benchmark '#2 Dates]])=1,"Pass","Fail")</f>
        <v>Pass</v>
      </c>
      <c r="K625" s="6">
        <f>IF(Benchmark2[[#This Row],[Comparable '#3 Date Check]]="Pass",INDEX(Comp3[Comparable '#3 Price],MATCH(Benchmark2[[#This Row],[Benchmark '#2 Dates]],Comp3[Comparable '#3 Dates],0)),"-")</f>
        <v>98.01</v>
      </c>
    </row>
    <row r="626" spans="1:11">
      <c r="A626" s="103">
        <v>44189</v>
      </c>
      <c r="B626" s="104">
        <v>14382.5036</v>
      </c>
      <c r="C626" s="4">
        <f t="shared" si="9"/>
        <v>-1.1197202435228202E-3</v>
      </c>
      <c r="D626" s="1" t="str">
        <f>IF(COUNTIF(Target1[Target Dates],Benchmark2[[#This Row],[Benchmark '#2 Dates]])=1,"Pass","Fail")</f>
        <v>Pass</v>
      </c>
      <c r="E626" s="6">
        <f>IF(Benchmark2[[#This Row],[Target Date Check]]="Pass",INDEX(Target1[Target Price],MATCH(Benchmark2[[#This Row],[Benchmark '#2 Dates]],Target1[Target Dates],0)),"-")</f>
        <v>22.25</v>
      </c>
      <c r="F626" s="1" t="str">
        <f>IF(COUNTIF(Comp1[Comparable '#1 Dates],Benchmark2[[#This Row],[Benchmark '#2 Dates]])=1,"Pass","Fail")</f>
        <v>Pass</v>
      </c>
      <c r="G626" s="6">
        <f>IF(Benchmark2[[#This Row],[Comparable '#1 Date Check]]="Pass",INDEX(Comp1[Comparable '#1 Price],MATCH(Benchmark2[[#This Row],[Benchmark '#2 Dates]],Comp1[Comparable '#1 Dates],0)),"-")</f>
        <v>14.96</v>
      </c>
      <c r="H626" s="1" t="str">
        <f>IF(COUNTIF(Comp2[Comparable '#2 Dates],Benchmark2[[#This Row],[Benchmark '#2 Dates]])=1,"Pass","Fail")</f>
        <v>Pass</v>
      </c>
      <c r="I626" s="6">
        <f>IF(Benchmark2[[#This Row],[Comparable '#2 Date Check]]="Pass",INDEX(Comp2[Comparable '#2 Price],MATCH(Benchmark2[[#This Row],[Benchmark '#2 Dates]],Comp2[Comparable '#2 Dates],0)),"-")</f>
        <v>34.42</v>
      </c>
      <c r="J626" s="1" t="str">
        <f>IF(COUNTIF(Comp3[Comparable '#3 Dates],Benchmark2[[#This Row],[Benchmark '#2 Dates]])=1,"Pass","Fail")</f>
        <v>Pass</v>
      </c>
      <c r="K626" s="6">
        <f>IF(Benchmark2[[#This Row],[Comparable '#3 Date Check]]="Pass",INDEX(Comp3[Comparable '#3 Price],MATCH(Benchmark2[[#This Row],[Benchmark '#2 Dates]],Comp3[Comparable '#3 Dates],0)),"-")</f>
        <v>97.09</v>
      </c>
    </row>
    <row r="627" spans="1:11">
      <c r="A627" s="103">
        <v>44193</v>
      </c>
      <c r="B627" s="104">
        <v>14405.771199999999</v>
      </c>
      <c r="C627" s="4">
        <f t="shared" si="9"/>
        <v>1.6164640103014448E-3</v>
      </c>
      <c r="D627" s="1" t="str">
        <f>IF(COUNTIF(Target1[Target Dates],Benchmark2[[#This Row],[Benchmark '#2 Dates]])=1,"Pass","Fail")</f>
        <v>Pass</v>
      </c>
      <c r="E627" s="6">
        <f>IF(Benchmark2[[#This Row],[Target Date Check]]="Pass",INDEX(Target1[Target Price],MATCH(Benchmark2[[#This Row],[Benchmark '#2 Dates]],Target1[Target Dates],0)),"-")</f>
        <v>21.75</v>
      </c>
      <c r="F627" s="1" t="str">
        <f>IF(COUNTIF(Comp1[Comparable '#1 Dates],Benchmark2[[#This Row],[Benchmark '#2 Dates]])=1,"Pass","Fail")</f>
        <v>Pass</v>
      </c>
      <c r="G627" s="6">
        <f>IF(Benchmark2[[#This Row],[Comparable '#1 Date Check]]="Pass",INDEX(Comp1[Comparable '#1 Price],MATCH(Benchmark2[[#This Row],[Benchmark '#2 Dates]],Comp1[Comparable '#1 Dates],0)),"-")</f>
        <v>15.07</v>
      </c>
      <c r="H627" s="1" t="str">
        <f>IF(COUNTIF(Comp2[Comparable '#2 Dates],Benchmark2[[#This Row],[Benchmark '#2 Dates]])=1,"Pass","Fail")</f>
        <v>Pass</v>
      </c>
      <c r="I627" s="6">
        <f>IF(Benchmark2[[#This Row],[Comparable '#2 Date Check]]="Pass",INDEX(Comp2[Comparable '#2 Price],MATCH(Benchmark2[[#This Row],[Benchmark '#2 Dates]],Comp2[Comparable '#2 Dates],0)),"-")</f>
        <v>34.049999999999997</v>
      </c>
      <c r="J627" s="1" t="str">
        <f>IF(COUNTIF(Comp3[Comparable '#3 Dates],Benchmark2[[#This Row],[Benchmark '#2 Dates]])=1,"Pass","Fail")</f>
        <v>Pass</v>
      </c>
      <c r="K627" s="6">
        <f>IF(Benchmark2[[#This Row],[Comparable '#3 Date Check]]="Pass",INDEX(Comp3[Comparable '#3 Price],MATCH(Benchmark2[[#This Row],[Benchmark '#2 Dates]],Comp3[Comparable '#3 Dates],0)),"-")</f>
        <v>97.14</v>
      </c>
    </row>
    <row r="628" spans="1:11">
      <c r="A628" s="103">
        <v>44194</v>
      </c>
      <c r="B628" s="104">
        <v>14397.9218</v>
      </c>
      <c r="C628" s="4">
        <f t="shared" si="9"/>
        <v>-5.4502734731320024E-4</v>
      </c>
      <c r="D628" s="1" t="str">
        <f>IF(COUNTIF(Target1[Target Dates],Benchmark2[[#This Row],[Benchmark '#2 Dates]])=1,"Pass","Fail")</f>
        <v>Pass</v>
      </c>
      <c r="E628" s="6">
        <f>IF(Benchmark2[[#This Row],[Target Date Check]]="Pass",INDEX(Target1[Target Price],MATCH(Benchmark2[[#This Row],[Benchmark '#2 Dates]],Target1[Target Dates],0)),"-")</f>
        <v>21.06</v>
      </c>
      <c r="F628" s="1" t="str">
        <f>IF(COUNTIF(Comp1[Comparable '#1 Dates],Benchmark2[[#This Row],[Benchmark '#2 Dates]])=1,"Pass","Fail")</f>
        <v>Pass</v>
      </c>
      <c r="G628" s="6">
        <f>IF(Benchmark2[[#This Row],[Comparable '#1 Date Check]]="Pass",INDEX(Comp1[Comparable '#1 Price],MATCH(Benchmark2[[#This Row],[Benchmark '#2 Dates]],Comp1[Comparable '#1 Dates],0)),"-")</f>
        <v>14.84</v>
      </c>
      <c r="H628" s="1" t="str">
        <f>IF(COUNTIF(Comp2[Comparable '#2 Dates],Benchmark2[[#This Row],[Benchmark '#2 Dates]])=1,"Pass","Fail")</f>
        <v>Pass</v>
      </c>
      <c r="I628" s="6">
        <f>IF(Benchmark2[[#This Row],[Comparable '#2 Date Check]]="Pass",INDEX(Comp2[Comparable '#2 Price],MATCH(Benchmark2[[#This Row],[Benchmark '#2 Dates]],Comp2[Comparable '#2 Dates],0)),"-")</f>
        <v>32.89</v>
      </c>
      <c r="J628" s="1" t="str">
        <f>IF(COUNTIF(Comp3[Comparable '#3 Dates],Benchmark2[[#This Row],[Benchmark '#2 Dates]])=1,"Pass","Fail")</f>
        <v>Pass</v>
      </c>
      <c r="K628" s="6">
        <f>IF(Benchmark2[[#This Row],[Comparable '#3 Date Check]]="Pass",INDEX(Comp3[Comparable '#3 Price],MATCH(Benchmark2[[#This Row],[Benchmark '#2 Dates]],Comp3[Comparable '#3 Dates],0)),"-")</f>
        <v>93.81</v>
      </c>
    </row>
    <row r="629" spans="1:11">
      <c r="A629" s="103">
        <v>44195</v>
      </c>
      <c r="B629" s="104">
        <v>14477.4764</v>
      </c>
      <c r="C629" s="4">
        <f t="shared" si="9"/>
        <v>5.5102132783248926E-3</v>
      </c>
      <c r="D629" s="1" t="str">
        <f>IF(COUNTIF(Target1[Target Dates],Benchmark2[[#This Row],[Benchmark '#2 Dates]])=1,"Pass","Fail")</f>
        <v>Pass</v>
      </c>
      <c r="E629" s="6">
        <f>IF(Benchmark2[[#This Row],[Target Date Check]]="Pass",INDEX(Target1[Target Price],MATCH(Benchmark2[[#This Row],[Benchmark '#2 Dates]],Target1[Target Dates],0)),"-")</f>
        <v>21.58</v>
      </c>
      <c r="F629" s="1" t="str">
        <f>IF(COUNTIF(Comp1[Comparable '#1 Dates],Benchmark2[[#This Row],[Benchmark '#2 Dates]])=1,"Pass","Fail")</f>
        <v>Pass</v>
      </c>
      <c r="G629" s="6">
        <f>IF(Benchmark2[[#This Row],[Comparable '#1 Date Check]]="Pass",INDEX(Comp1[Comparable '#1 Price],MATCH(Benchmark2[[#This Row],[Benchmark '#2 Dates]],Comp1[Comparable '#1 Dates],0)),"-")</f>
        <v>14.74</v>
      </c>
      <c r="H629" s="1" t="str">
        <f>IF(COUNTIF(Comp2[Comparable '#2 Dates],Benchmark2[[#This Row],[Benchmark '#2 Dates]])=1,"Pass","Fail")</f>
        <v>Pass</v>
      </c>
      <c r="I629" s="6">
        <f>IF(Benchmark2[[#This Row],[Comparable '#2 Date Check]]="Pass",INDEX(Comp2[Comparable '#2 Price],MATCH(Benchmark2[[#This Row],[Benchmark '#2 Dates]],Comp2[Comparable '#2 Dates],0)),"-")</f>
        <v>32.909999999999997</v>
      </c>
      <c r="J629" s="1" t="str">
        <f>IF(COUNTIF(Comp3[Comparable '#3 Dates],Benchmark2[[#This Row],[Benchmark '#2 Dates]])=1,"Pass","Fail")</f>
        <v>Pass</v>
      </c>
      <c r="K629" s="6">
        <f>IF(Benchmark2[[#This Row],[Comparable '#3 Date Check]]="Pass",INDEX(Comp3[Comparable '#3 Price],MATCH(Benchmark2[[#This Row],[Benchmark '#2 Dates]],Comp3[Comparable '#3 Dates],0)),"-")</f>
        <v>96</v>
      </c>
    </row>
    <row r="630" spans="1:11">
      <c r="A630" s="103">
        <v>44196</v>
      </c>
      <c r="B630" s="104">
        <v>14524.8027</v>
      </c>
      <c r="C630" s="4">
        <f t="shared" si="9"/>
        <v>3.2636291681720233E-3</v>
      </c>
      <c r="D630" s="1" t="str">
        <f>IF(COUNTIF(Target1[Target Dates],Benchmark2[[#This Row],[Benchmark '#2 Dates]])=1,"Pass","Fail")</f>
        <v>Pass</v>
      </c>
      <c r="E630" s="6">
        <f>IF(Benchmark2[[#This Row],[Target Date Check]]="Pass",INDEX(Target1[Target Price],MATCH(Benchmark2[[#This Row],[Benchmark '#2 Dates]],Target1[Target Dates],0)),"-")</f>
        <v>21.23</v>
      </c>
      <c r="F630" s="1" t="str">
        <f>IF(COUNTIF(Comp1[Comparable '#1 Dates],Benchmark2[[#This Row],[Benchmark '#2 Dates]])=1,"Pass","Fail")</f>
        <v>Pass</v>
      </c>
      <c r="G630" s="6">
        <f>IF(Benchmark2[[#This Row],[Comparable '#1 Date Check]]="Pass",INDEX(Comp1[Comparable '#1 Price],MATCH(Benchmark2[[#This Row],[Benchmark '#2 Dates]],Comp1[Comparable '#1 Dates],0)),"-")</f>
        <v>14.56</v>
      </c>
      <c r="H630" s="1" t="str">
        <f>IF(COUNTIF(Comp2[Comparable '#2 Dates],Benchmark2[[#This Row],[Benchmark '#2 Dates]])=1,"Pass","Fail")</f>
        <v>Pass</v>
      </c>
      <c r="I630" s="6">
        <f>IF(Benchmark2[[#This Row],[Comparable '#2 Date Check]]="Pass",INDEX(Comp2[Comparable '#2 Price],MATCH(Benchmark2[[#This Row],[Benchmark '#2 Dates]],Comp2[Comparable '#2 Dates],0)),"-")</f>
        <v>33.950000000000003</v>
      </c>
      <c r="J630" s="1" t="str">
        <f>IF(COUNTIF(Comp3[Comparable '#3 Dates],Benchmark2[[#This Row],[Benchmark '#2 Dates]])=1,"Pass","Fail")</f>
        <v>Pass</v>
      </c>
      <c r="K630" s="6">
        <f>IF(Benchmark2[[#This Row],[Comparable '#3 Date Check]]="Pass",INDEX(Comp3[Comparable '#3 Price],MATCH(Benchmark2[[#This Row],[Benchmark '#2 Dates]],Comp3[Comparable '#3 Dates],0)),"-")</f>
        <v>95.33</v>
      </c>
    </row>
    <row r="631" spans="1:11">
      <c r="A631" s="103">
        <v>44200</v>
      </c>
      <c r="B631" s="104">
        <v>14376.702600000001</v>
      </c>
      <c r="C631" s="4">
        <f t="shared" si="9"/>
        <v>-1.0248697760078898E-2</v>
      </c>
      <c r="D631" s="1" t="str">
        <f>IF(COUNTIF(Target1[Target Dates],Benchmark2[[#This Row],[Benchmark '#2 Dates]])=1,"Pass","Fail")</f>
        <v>Pass</v>
      </c>
      <c r="E631" s="6">
        <f>IF(Benchmark2[[#This Row],[Target Date Check]]="Pass",INDEX(Target1[Target Price],MATCH(Benchmark2[[#This Row],[Benchmark '#2 Dates]],Target1[Target Dates],0)),"-")</f>
        <v>21.01</v>
      </c>
      <c r="F631" s="1" t="str">
        <f>IF(COUNTIF(Comp1[Comparable '#1 Dates],Benchmark2[[#This Row],[Benchmark '#2 Dates]])=1,"Pass","Fail")</f>
        <v>Pass</v>
      </c>
      <c r="G631" s="6">
        <f>IF(Benchmark2[[#This Row],[Comparable '#1 Date Check]]="Pass",INDEX(Comp1[Comparable '#1 Price],MATCH(Benchmark2[[#This Row],[Benchmark '#2 Dates]],Comp1[Comparable '#1 Dates],0)),"-")</f>
        <v>14.31</v>
      </c>
      <c r="H631" s="1" t="str">
        <f>IF(COUNTIF(Comp2[Comparable '#2 Dates],Benchmark2[[#This Row],[Benchmark '#2 Dates]])=1,"Pass","Fail")</f>
        <v>Pass</v>
      </c>
      <c r="I631" s="6">
        <f>IF(Benchmark2[[#This Row],[Comparable '#2 Date Check]]="Pass",INDEX(Comp2[Comparable '#2 Price],MATCH(Benchmark2[[#This Row],[Benchmark '#2 Dates]],Comp2[Comparable '#2 Dates],0)),"-")</f>
        <v>32.03</v>
      </c>
      <c r="J631" s="1" t="str">
        <f>IF(COUNTIF(Comp3[Comparable '#3 Dates],Benchmark2[[#This Row],[Benchmark '#2 Dates]])=1,"Pass","Fail")</f>
        <v>Pass</v>
      </c>
      <c r="K631" s="6">
        <f>IF(Benchmark2[[#This Row],[Comparable '#3 Date Check]]="Pass",INDEX(Comp3[Comparable '#3 Price],MATCH(Benchmark2[[#This Row],[Benchmark '#2 Dates]],Comp3[Comparable '#3 Dates],0)),"-")</f>
        <v>91.84</v>
      </c>
    </row>
    <row r="632" spans="1:11">
      <c r="A632" s="103">
        <v>44201</v>
      </c>
      <c r="B632" s="104">
        <v>14536.530699999999</v>
      </c>
      <c r="C632" s="4">
        <f t="shared" si="9"/>
        <v>1.1055818374625529E-2</v>
      </c>
      <c r="D632" s="1" t="str">
        <f>IF(COUNTIF(Target1[Target Dates],Benchmark2[[#This Row],[Benchmark '#2 Dates]])=1,"Pass","Fail")</f>
        <v>Pass</v>
      </c>
      <c r="E632" s="6">
        <f>IF(Benchmark2[[#This Row],[Target Date Check]]="Pass",INDEX(Target1[Target Price],MATCH(Benchmark2[[#This Row],[Benchmark '#2 Dates]],Target1[Target Dates],0)),"-")</f>
        <v>21.63</v>
      </c>
      <c r="F632" s="1" t="str">
        <f>IF(COUNTIF(Comp1[Comparable '#1 Dates],Benchmark2[[#This Row],[Benchmark '#2 Dates]])=1,"Pass","Fail")</f>
        <v>Pass</v>
      </c>
      <c r="G632" s="6">
        <f>IF(Benchmark2[[#This Row],[Comparable '#1 Date Check]]="Pass",INDEX(Comp1[Comparable '#1 Price],MATCH(Benchmark2[[#This Row],[Benchmark '#2 Dates]],Comp1[Comparable '#1 Dates],0)),"-")</f>
        <v>14.27</v>
      </c>
      <c r="H632" s="1" t="str">
        <f>IF(COUNTIF(Comp2[Comparable '#2 Dates],Benchmark2[[#This Row],[Benchmark '#2 Dates]])=1,"Pass","Fail")</f>
        <v>Pass</v>
      </c>
      <c r="I632" s="6">
        <f>IF(Benchmark2[[#This Row],[Comparable '#2 Date Check]]="Pass",INDEX(Comp2[Comparable '#2 Price],MATCH(Benchmark2[[#This Row],[Benchmark '#2 Dates]],Comp2[Comparable '#2 Dates],0)),"-")</f>
        <v>32.590000000000003</v>
      </c>
      <c r="J632" s="1" t="str">
        <f>IF(COUNTIF(Comp3[Comparable '#3 Dates],Benchmark2[[#This Row],[Benchmark '#2 Dates]])=1,"Pass","Fail")</f>
        <v>Pass</v>
      </c>
      <c r="K632" s="6">
        <f>IF(Benchmark2[[#This Row],[Comparable '#3 Date Check]]="Pass",INDEX(Comp3[Comparable '#3 Price],MATCH(Benchmark2[[#This Row],[Benchmark '#2 Dates]],Comp3[Comparable '#3 Dates],0)),"-")</f>
        <v>94.81</v>
      </c>
    </row>
    <row r="633" spans="1:11">
      <c r="A633" s="103">
        <v>44202</v>
      </c>
      <c r="B633" s="104">
        <v>14788.835300000001</v>
      </c>
      <c r="C633" s="4">
        <f t="shared" si="9"/>
        <v>1.7207684683495518E-2</v>
      </c>
      <c r="D633" s="1" t="str">
        <f>IF(COUNTIF(Target1[Target Dates],Benchmark2[[#This Row],[Benchmark '#2 Dates]])=1,"Pass","Fail")</f>
        <v>Pass</v>
      </c>
      <c r="E633" s="6">
        <f>IF(Benchmark2[[#This Row],[Target Date Check]]="Pass",INDEX(Target1[Target Price],MATCH(Benchmark2[[#This Row],[Benchmark '#2 Dates]],Target1[Target Dates],0)),"-")</f>
        <v>20.89</v>
      </c>
      <c r="F633" s="1" t="str">
        <f>IF(COUNTIF(Comp1[Comparable '#1 Dates],Benchmark2[[#This Row],[Benchmark '#2 Dates]])=1,"Pass","Fail")</f>
        <v>Pass</v>
      </c>
      <c r="G633" s="6">
        <f>IF(Benchmark2[[#This Row],[Comparable '#1 Date Check]]="Pass",INDEX(Comp1[Comparable '#1 Price],MATCH(Benchmark2[[#This Row],[Benchmark '#2 Dates]],Comp1[Comparable '#1 Dates],0)),"-")</f>
        <v>14.36</v>
      </c>
      <c r="H633" s="1" t="str">
        <f>IF(COUNTIF(Comp2[Comparable '#2 Dates],Benchmark2[[#This Row],[Benchmark '#2 Dates]])=1,"Pass","Fail")</f>
        <v>Pass</v>
      </c>
      <c r="I633" s="6">
        <f>IF(Benchmark2[[#This Row],[Comparable '#2 Date Check]]="Pass",INDEX(Comp2[Comparable '#2 Price],MATCH(Benchmark2[[#This Row],[Benchmark '#2 Dates]],Comp2[Comparable '#2 Dates],0)),"-")</f>
        <v>33.159999999999997</v>
      </c>
      <c r="J633" s="1" t="str">
        <f>IF(COUNTIF(Comp3[Comparable '#3 Dates],Benchmark2[[#This Row],[Benchmark '#2 Dates]])=1,"Pass","Fail")</f>
        <v>Pass</v>
      </c>
      <c r="K633" s="6">
        <f>IF(Benchmark2[[#This Row],[Comparable '#3 Date Check]]="Pass",INDEX(Comp3[Comparable '#3 Price],MATCH(Benchmark2[[#This Row],[Benchmark '#2 Dates]],Comp3[Comparable '#3 Dates],0)),"-")</f>
        <v>91.7</v>
      </c>
    </row>
    <row r="634" spans="1:11">
      <c r="A634" s="103">
        <v>44203</v>
      </c>
      <c r="B634" s="104">
        <v>14928.7502</v>
      </c>
      <c r="C634" s="4">
        <f t="shared" si="9"/>
        <v>9.4163729304719331E-3</v>
      </c>
      <c r="D634" s="1" t="str">
        <f>IF(COUNTIF(Target1[Target Dates],Benchmark2[[#This Row],[Benchmark '#2 Dates]])=1,"Pass","Fail")</f>
        <v>Pass</v>
      </c>
      <c r="E634" s="6">
        <f>IF(Benchmark2[[#This Row],[Target Date Check]]="Pass",INDEX(Target1[Target Price],MATCH(Benchmark2[[#This Row],[Benchmark '#2 Dates]],Target1[Target Dates],0)),"-")</f>
        <v>21.7</v>
      </c>
      <c r="F634" s="1" t="str">
        <f>IF(COUNTIF(Comp1[Comparable '#1 Dates],Benchmark2[[#This Row],[Benchmark '#2 Dates]])=1,"Pass","Fail")</f>
        <v>Pass</v>
      </c>
      <c r="G634" s="6">
        <f>IF(Benchmark2[[#This Row],[Comparable '#1 Date Check]]="Pass",INDEX(Comp1[Comparable '#1 Price],MATCH(Benchmark2[[#This Row],[Benchmark '#2 Dates]],Comp1[Comparable '#1 Dates],0)),"-")</f>
        <v>14.244999999999999</v>
      </c>
      <c r="H634" s="1" t="str">
        <f>IF(COUNTIF(Comp2[Comparable '#2 Dates],Benchmark2[[#This Row],[Benchmark '#2 Dates]])=1,"Pass","Fail")</f>
        <v>Pass</v>
      </c>
      <c r="I634" s="6">
        <f>IF(Benchmark2[[#This Row],[Comparable '#2 Date Check]]="Pass",INDEX(Comp2[Comparable '#2 Price],MATCH(Benchmark2[[#This Row],[Benchmark '#2 Dates]],Comp2[Comparable '#2 Dates],0)),"-")</f>
        <v>33.18</v>
      </c>
      <c r="J634" s="1" t="str">
        <f>IF(COUNTIF(Comp3[Comparable '#3 Dates],Benchmark2[[#This Row],[Benchmark '#2 Dates]])=1,"Pass","Fail")</f>
        <v>Pass</v>
      </c>
      <c r="K634" s="6">
        <f>IF(Benchmark2[[#This Row],[Comparable '#3 Date Check]]="Pass",INDEX(Comp3[Comparable '#3 Price],MATCH(Benchmark2[[#This Row],[Benchmark '#2 Dates]],Comp3[Comparable '#3 Dates],0)),"-")</f>
        <v>89.59</v>
      </c>
    </row>
    <row r="635" spans="1:11">
      <c r="A635" s="103">
        <v>44204</v>
      </c>
      <c r="B635" s="104">
        <v>14966.830900000001</v>
      </c>
      <c r="C635" s="4">
        <f t="shared" si="9"/>
        <v>2.5475818963666325E-3</v>
      </c>
      <c r="D635" s="1" t="str">
        <f>IF(COUNTIF(Target1[Target Dates],Benchmark2[[#This Row],[Benchmark '#2 Dates]])=1,"Pass","Fail")</f>
        <v>Pass</v>
      </c>
      <c r="E635" s="6">
        <f>IF(Benchmark2[[#This Row],[Target Date Check]]="Pass",INDEX(Target1[Target Price],MATCH(Benchmark2[[#This Row],[Benchmark '#2 Dates]],Target1[Target Dates],0)),"-")</f>
        <v>21.91</v>
      </c>
      <c r="F635" s="1" t="str">
        <f>IF(COUNTIF(Comp1[Comparable '#1 Dates],Benchmark2[[#This Row],[Benchmark '#2 Dates]])=1,"Pass","Fail")</f>
        <v>Pass</v>
      </c>
      <c r="G635" s="6">
        <f>IF(Benchmark2[[#This Row],[Comparable '#1 Date Check]]="Pass",INDEX(Comp1[Comparable '#1 Price],MATCH(Benchmark2[[#This Row],[Benchmark '#2 Dates]],Comp1[Comparable '#1 Dates],0)),"-")</f>
        <v>14.37</v>
      </c>
      <c r="H635" s="1" t="str">
        <f>IF(COUNTIF(Comp2[Comparable '#2 Dates],Benchmark2[[#This Row],[Benchmark '#2 Dates]])=1,"Pass","Fail")</f>
        <v>Pass</v>
      </c>
      <c r="I635" s="6">
        <f>IF(Benchmark2[[#This Row],[Comparable '#2 Date Check]]="Pass",INDEX(Comp2[Comparable '#2 Price],MATCH(Benchmark2[[#This Row],[Benchmark '#2 Dates]],Comp2[Comparable '#2 Dates],0)),"-")</f>
        <v>34.229999999999997</v>
      </c>
      <c r="J635" s="1" t="str">
        <f>IF(COUNTIF(Comp3[Comparable '#3 Dates],Benchmark2[[#This Row],[Benchmark '#2 Dates]])=1,"Pass","Fail")</f>
        <v>Pass</v>
      </c>
      <c r="K635" s="6">
        <f>IF(Benchmark2[[#This Row],[Comparable '#3 Date Check]]="Pass",INDEX(Comp3[Comparable '#3 Price],MATCH(Benchmark2[[#This Row],[Benchmark '#2 Dates]],Comp3[Comparable '#3 Dates],0)),"-")</f>
        <v>90.75</v>
      </c>
    </row>
    <row r="636" spans="1:11">
      <c r="A636" s="103">
        <v>44207</v>
      </c>
      <c r="B636" s="104">
        <v>14937.9643</v>
      </c>
      <c r="C636" s="4">
        <f t="shared" si="9"/>
        <v>-1.9305672399790234E-3</v>
      </c>
      <c r="D636" s="1" t="str">
        <f>IF(COUNTIF(Target1[Target Dates],Benchmark2[[#This Row],[Benchmark '#2 Dates]])=1,"Pass","Fail")</f>
        <v>Pass</v>
      </c>
      <c r="E636" s="6">
        <f>IF(Benchmark2[[#This Row],[Target Date Check]]="Pass",INDEX(Target1[Target Price],MATCH(Benchmark2[[#This Row],[Benchmark '#2 Dates]],Target1[Target Dates],0)),"-")</f>
        <v>22.36</v>
      </c>
      <c r="F636" s="1" t="str">
        <f>IF(COUNTIF(Comp1[Comparable '#1 Dates],Benchmark2[[#This Row],[Benchmark '#2 Dates]])=1,"Pass","Fail")</f>
        <v>Pass</v>
      </c>
      <c r="G636" s="6">
        <f>IF(Benchmark2[[#This Row],[Comparable '#1 Date Check]]="Pass",INDEX(Comp1[Comparable '#1 Price],MATCH(Benchmark2[[#This Row],[Benchmark '#2 Dates]],Comp1[Comparable '#1 Dates],0)),"-")</f>
        <v>14.305</v>
      </c>
      <c r="H636" s="1" t="str">
        <f>IF(COUNTIF(Comp2[Comparable '#2 Dates],Benchmark2[[#This Row],[Benchmark '#2 Dates]])=1,"Pass","Fail")</f>
        <v>Pass</v>
      </c>
      <c r="I636" s="6">
        <f>IF(Benchmark2[[#This Row],[Comparable '#2 Date Check]]="Pass",INDEX(Comp2[Comparable '#2 Price],MATCH(Benchmark2[[#This Row],[Benchmark '#2 Dates]],Comp2[Comparable '#2 Dates],0)),"-")</f>
        <v>35.840000000000003</v>
      </c>
      <c r="J636" s="1" t="str">
        <f>IF(COUNTIF(Comp3[Comparable '#3 Dates],Benchmark2[[#This Row],[Benchmark '#2 Dates]])=1,"Pass","Fail")</f>
        <v>Pass</v>
      </c>
      <c r="K636" s="6">
        <f>IF(Benchmark2[[#This Row],[Comparable '#3 Date Check]]="Pass",INDEX(Comp3[Comparable '#3 Price],MATCH(Benchmark2[[#This Row],[Benchmark '#2 Dates]],Comp3[Comparable '#3 Dates],0)),"-")</f>
        <v>93.25</v>
      </c>
    </row>
    <row r="637" spans="1:11">
      <c r="A637" s="103">
        <v>44208</v>
      </c>
      <c r="B637" s="104">
        <v>15010.286400000001</v>
      </c>
      <c r="C637" s="4">
        <f t="shared" si="9"/>
        <v>4.8298140224067657E-3</v>
      </c>
      <c r="D637" s="1" t="str">
        <f>IF(COUNTIF(Target1[Target Dates],Benchmark2[[#This Row],[Benchmark '#2 Dates]])=1,"Pass","Fail")</f>
        <v>Pass</v>
      </c>
      <c r="E637" s="6">
        <f>IF(Benchmark2[[#This Row],[Target Date Check]]="Pass",INDEX(Target1[Target Price],MATCH(Benchmark2[[#This Row],[Benchmark '#2 Dates]],Target1[Target Dates],0)),"-")</f>
        <v>22.7</v>
      </c>
      <c r="F637" s="1" t="str">
        <f>IF(COUNTIF(Comp1[Comparable '#1 Dates],Benchmark2[[#This Row],[Benchmark '#2 Dates]])=1,"Pass","Fail")</f>
        <v>Pass</v>
      </c>
      <c r="G637" s="6">
        <f>IF(Benchmark2[[#This Row],[Comparable '#1 Date Check]]="Pass",INDEX(Comp1[Comparable '#1 Price],MATCH(Benchmark2[[#This Row],[Benchmark '#2 Dates]],Comp1[Comparable '#1 Dates],0)),"-")</f>
        <v>14.33</v>
      </c>
      <c r="H637" s="1" t="str">
        <f>IF(COUNTIF(Comp2[Comparable '#2 Dates],Benchmark2[[#This Row],[Benchmark '#2 Dates]])=1,"Pass","Fail")</f>
        <v>Pass</v>
      </c>
      <c r="I637" s="6">
        <f>IF(Benchmark2[[#This Row],[Comparable '#2 Date Check]]="Pass",INDEX(Comp2[Comparable '#2 Price],MATCH(Benchmark2[[#This Row],[Benchmark '#2 Dates]],Comp2[Comparable '#2 Dates],0)),"-")</f>
        <v>36.33</v>
      </c>
      <c r="J637" s="1" t="str">
        <f>IF(COUNTIF(Comp3[Comparable '#3 Dates],Benchmark2[[#This Row],[Benchmark '#2 Dates]])=1,"Pass","Fail")</f>
        <v>Pass</v>
      </c>
      <c r="K637" s="6">
        <f>IF(Benchmark2[[#This Row],[Comparable '#3 Date Check]]="Pass",INDEX(Comp3[Comparable '#3 Price],MATCH(Benchmark2[[#This Row],[Benchmark '#2 Dates]],Comp3[Comparable '#3 Dates],0)),"-")</f>
        <v>91.05</v>
      </c>
    </row>
    <row r="638" spans="1:11">
      <c r="A638" s="103">
        <v>44209</v>
      </c>
      <c r="B638" s="104">
        <v>14983.608399999999</v>
      </c>
      <c r="C638" s="4">
        <f t="shared" si="9"/>
        <v>-1.7788958195016128E-3</v>
      </c>
      <c r="D638" s="1" t="str">
        <f>IF(COUNTIF(Target1[Target Dates],Benchmark2[[#This Row],[Benchmark '#2 Dates]])=1,"Pass","Fail")</f>
        <v>Pass</v>
      </c>
      <c r="E638" s="6">
        <f>IF(Benchmark2[[#This Row],[Target Date Check]]="Pass",INDEX(Target1[Target Price],MATCH(Benchmark2[[#This Row],[Benchmark '#2 Dates]],Target1[Target Dates],0)),"-")</f>
        <v>23.25</v>
      </c>
      <c r="F638" s="1" t="str">
        <f>IF(COUNTIF(Comp1[Comparable '#1 Dates],Benchmark2[[#This Row],[Benchmark '#2 Dates]])=1,"Pass","Fail")</f>
        <v>Pass</v>
      </c>
      <c r="G638" s="6">
        <f>IF(Benchmark2[[#This Row],[Comparable '#1 Date Check]]="Pass",INDEX(Comp1[Comparable '#1 Price],MATCH(Benchmark2[[#This Row],[Benchmark '#2 Dates]],Comp1[Comparable '#1 Dates],0)),"-")</f>
        <v>14.215</v>
      </c>
      <c r="H638" s="1" t="str">
        <f>IF(COUNTIF(Comp2[Comparable '#2 Dates],Benchmark2[[#This Row],[Benchmark '#2 Dates]])=1,"Pass","Fail")</f>
        <v>Pass</v>
      </c>
      <c r="I638" s="6">
        <f>IF(Benchmark2[[#This Row],[Comparable '#2 Date Check]]="Pass",INDEX(Comp2[Comparable '#2 Price],MATCH(Benchmark2[[#This Row],[Benchmark '#2 Dates]],Comp2[Comparable '#2 Dates],0)),"-")</f>
        <v>36.89</v>
      </c>
      <c r="J638" s="1" t="str">
        <f>IF(COUNTIF(Comp3[Comparable '#3 Dates],Benchmark2[[#This Row],[Benchmark '#2 Dates]])=1,"Pass","Fail")</f>
        <v>Pass</v>
      </c>
      <c r="K638" s="6">
        <f>IF(Benchmark2[[#This Row],[Comparable '#3 Date Check]]="Pass",INDEX(Comp3[Comparable '#3 Price],MATCH(Benchmark2[[#This Row],[Benchmark '#2 Dates]],Comp3[Comparable '#3 Dates],0)),"-")</f>
        <v>89.42</v>
      </c>
    </row>
    <row r="639" spans="1:11">
      <c r="A639" s="103">
        <v>44210</v>
      </c>
      <c r="B639" s="104">
        <v>15044.383099999999</v>
      </c>
      <c r="C639" s="4">
        <f t="shared" si="9"/>
        <v>4.0478753288748816E-3</v>
      </c>
      <c r="D639" s="1" t="str">
        <f>IF(COUNTIF(Target1[Target Dates],Benchmark2[[#This Row],[Benchmark '#2 Dates]])=1,"Pass","Fail")</f>
        <v>Pass</v>
      </c>
      <c r="E639" s="6">
        <f>IF(Benchmark2[[#This Row],[Target Date Check]]="Pass",INDEX(Target1[Target Price],MATCH(Benchmark2[[#This Row],[Benchmark '#2 Dates]],Target1[Target Dates],0)),"-")</f>
        <v>23.7</v>
      </c>
      <c r="F639" s="1" t="str">
        <f>IF(COUNTIF(Comp1[Comparable '#1 Dates],Benchmark2[[#This Row],[Benchmark '#2 Dates]])=1,"Pass","Fail")</f>
        <v>Pass</v>
      </c>
      <c r="G639" s="6">
        <f>IF(Benchmark2[[#This Row],[Comparable '#1 Date Check]]="Pass",INDEX(Comp1[Comparable '#1 Price],MATCH(Benchmark2[[#This Row],[Benchmark '#2 Dates]],Comp1[Comparable '#1 Dates],0)),"-")</f>
        <v>14.26</v>
      </c>
      <c r="H639" s="1" t="str">
        <f>IF(COUNTIF(Comp2[Comparable '#2 Dates],Benchmark2[[#This Row],[Benchmark '#2 Dates]])=1,"Pass","Fail")</f>
        <v>Pass</v>
      </c>
      <c r="I639" s="6">
        <f>IF(Benchmark2[[#This Row],[Comparable '#2 Date Check]]="Pass",INDEX(Comp2[Comparable '#2 Price],MATCH(Benchmark2[[#This Row],[Benchmark '#2 Dates]],Comp2[Comparable '#2 Dates],0)),"-")</f>
        <v>38.03</v>
      </c>
      <c r="J639" s="1" t="str">
        <f>IF(COUNTIF(Comp3[Comparable '#3 Dates],Benchmark2[[#This Row],[Benchmark '#2 Dates]])=1,"Pass","Fail")</f>
        <v>Pass</v>
      </c>
      <c r="K639" s="6">
        <f>IF(Benchmark2[[#This Row],[Comparable '#3 Date Check]]="Pass",INDEX(Comp3[Comparable '#3 Price],MATCH(Benchmark2[[#This Row],[Benchmark '#2 Dates]],Comp3[Comparable '#3 Dates],0)),"-")</f>
        <v>91.69</v>
      </c>
    </row>
    <row r="640" spans="1:11">
      <c r="A640" s="103">
        <v>44211</v>
      </c>
      <c r="B640" s="104">
        <v>14894.167600000001</v>
      </c>
      <c r="C640" s="4">
        <f t="shared" si="9"/>
        <v>-1.0035005506997064E-2</v>
      </c>
      <c r="D640" s="1" t="str">
        <f>IF(COUNTIF(Target1[Target Dates],Benchmark2[[#This Row],[Benchmark '#2 Dates]])=1,"Pass","Fail")</f>
        <v>Pass</v>
      </c>
      <c r="E640" s="6">
        <f>IF(Benchmark2[[#This Row],[Target Date Check]]="Pass",INDEX(Target1[Target Price],MATCH(Benchmark2[[#This Row],[Benchmark '#2 Dates]],Target1[Target Dates],0)),"-")</f>
        <v>23.84</v>
      </c>
      <c r="F640" s="1" t="str">
        <f>IF(COUNTIF(Comp1[Comparable '#1 Dates],Benchmark2[[#This Row],[Benchmark '#2 Dates]])=1,"Pass","Fail")</f>
        <v>Pass</v>
      </c>
      <c r="G640" s="6">
        <f>IF(Benchmark2[[#This Row],[Comparable '#1 Date Check]]="Pass",INDEX(Comp1[Comparable '#1 Price],MATCH(Benchmark2[[#This Row],[Benchmark '#2 Dates]],Comp1[Comparable '#1 Dates],0)),"-")</f>
        <v>14.21</v>
      </c>
      <c r="H640" s="1" t="str">
        <f>IF(COUNTIF(Comp2[Comparable '#2 Dates],Benchmark2[[#This Row],[Benchmark '#2 Dates]])=1,"Pass","Fail")</f>
        <v>Pass</v>
      </c>
      <c r="I640" s="6">
        <f>IF(Benchmark2[[#This Row],[Comparable '#2 Date Check]]="Pass",INDEX(Comp2[Comparable '#2 Price],MATCH(Benchmark2[[#This Row],[Benchmark '#2 Dates]],Comp2[Comparable '#2 Dates],0)),"-")</f>
        <v>36.9</v>
      </c>
      <c r="J640" s="1" t="str">
        <f>IF(COUNTIF(Comp3[Comparable '#3 Dates],Benchmark2[[#This Row],[Benchmark '#2 Dates]])=1,"Pass","Fail")</f>
        <v>Pass</v>
      </c>
      <c r="K640" s="6">
        <f>IF(Benchmark2[[#This Row],[Comparable '#3 Date Check]]="Pass",INDEX(Comp3[Comparable '#3 Price],MATCH(Benchmark2[[#This Row],[Benchmark '#2 Dates]],Comp3[Comparable '#3 Dates],0)),"-")</f>
        <v>93.05</v>
      </c>
    </row>
    <row r="641" spans="1:11">
      <c r="A641" s="103">
        <v>44215</v>
      </c>
      <c r="B641" s="104">
        <v>14987.3411</v>
      </c>
      <c r="C641" s="4">
        <f t="shared" si="9"/>
        <v>6.2362180503164914E-3</v>
      </c>
      <c r="D641" s="1" t="str">
        <f>IF(COUNTIF(Target1[Target Dates],Benchmark2[[#This Row],[Benchmark '#2 Dates]])=1,"Pass","Fail")</f>
        <v>Pass</v>
      </c>
      <c r="E641" s="6">
        <f>IF(Benchmark2[[#This Row],[Target Date Check]]="Pass",INDEX(Target1[Target Price],MATCH(Benchmark2[[#This Row],[Benchmark '#2 Dates]],Target1[Target Dates],0)),"-")</f>
        <v>25.08</v>
      </c>
      <c r="F641" s="1" t="str">
        <f>IF(COUNTIF(Comp1[Comparable '#1 Dates],Benchmark2[[#This Row],[Benchmark '#2 Dates]])=1,"Pass","Fail")</f>
        <v>Pass</v>
      </c>
      <c r="G641" s="6">
        <f>IF(Benchmark2[[#This Row],[Comparable '#1 Date Check]]="Pass",INDEX(Comp1[Comparable '#1 Price],MATCH(Benchmark2[[#This Row],[Benchmark '#2 Dates]],Comp1[Comparable '#1 Dates],0)),"-")</f>
        <v>14.62</v>
      </c>
      <c r="H641" s="1" t="str">
        <f>IF(COUNTIF(Comp2[Comparable '#2 Dates],Benchmark2[[#This Row],[Benchmark '#2 Dates]])=1,"Pass","Fail")</f>
        <v>Pass</v>
      </c>
      <c r="I641" s="6">
        <f>IF(Benchmark2[[#This Row],[Comparable '#2 Date Check]]="Pass",INDEX(Comp2[Comparable '#2 Price],MATCH(Benchmark2[[#This Row],[Benchmark '#2 Dates]],Comp2[Comparable '#2 Dates],0)),"-")</f>
        <v>38.68</v>
      </c>
      <c r="J641" s="1" t="str">
        <f>IF(COUNTIF(Comp3[Comparable '#3 Dates],Benchmark2[[#This Row],[Benchmark '#2 Dates]])=1,"Pass","Fail")</f>
        <v>Pass</v>
      </c>
      <c r="K641" s="6">
        <f>IF(Benchmark2[[#This Row],[Comparable '#3 Date Check]]="Pass",INDEX(Comp3[Comparable '#3 Price],MATCH(Benchmark2[[#This Row],[Benchmark '#2 Dates]],Comp3[Comparable '#3 Dates],0)),"-")</f>
        <v>92.13</v>
      </c>
    </row>
    <row r="642" spans="1:11">
      <c r="A642" s="103">
        <v>44216</v>
      </c>
      <c r="B642" s="104">
        <v>15097.276400000001</v>
      </c>
      <c r="C642" s="4">
        <f t="shared" ref="C642:C705" si="10">IFERROR(IF(B642="",NA(),LN(B642/B641)),"-")</f>
        <v>7.3084385622160684E-3</v>
      </c>
      <c r="D642" s="1" t="str">
        <f>IF(COUNTIF(Target1[Target Dates],Benchmark2[[#This Row],[Benchmark '#2 Dates]])=1,"Pass","Fail")</f>
        <v>Pass</v>
      </c>
      <c r="E642" s="6">
        <f>IF(Benchmark2[[#This Row],[Target Date Check]]="Pass",INDEX(Target1[Target Price],MATCH(Benchmark2[[#This Row],[Benchmark '#2 Dates]],Target1[Target Dates],0)),"-")</f>
        <v>24.41</v>
      </c>
      <c r="F642" s="1" t="str">
        <f>IF(COUNTIF(Comp1[Comparable '#1 Dates],Benchmark2[[#This Row],[Benchmark '#2 Dates]])=1,"Pass","Fail")</f>
        <v>Pass</v>
      </c>
      <c r="G642" s="6">
        <f>IF(Benchmark2[[#This Row],[Comparable '#1 Date Check]]="Pass",INDEX(Comp1[Comparable '#1 Price],MATCH(Benchmark2[[#This Row],[Benchmark '#2 Dates]],Comp1[Comparable '#1 Dates],0)),"-")</f>
        <v>14.91</v>
      </c>
      <c r="H642" s="1" t="str">
        <f>IF(COUNTIF(Comp2[Comparable '#2 Dates],Benchmark2[[#This Row],[Benchmark '#2 Dates]])=1,"Pass","Fail")</f>
        <v>Pass</v>
      </c>
      <c r="I642" s="6">
        <f>IF(Benchmark2[[#This Row],[Comparable '#2 Date Check]]="Pass",INDEX(Comp2[Comparable '#2 Price],MATCH(Benchmark2[[#This Row],[Benchmark '#2 Dates]],Comp2[Comparable '#2 Dates],0)),"-")</f>
        <v>38.369999999999997</v>
      </c>
      <c r="J642" s="1" t="str">
        <f>IF(COUNTIF(Comp3[Comparable '#3 Dates],Benchmark2[[#This Row],[Benchmark '#2 Dates]])=1,"Pass","Fail")</f>
        <v>Pass</v>
      </c>
      <c r="K642" s="6">
        <f>IF(Benchmark2[[#This Row],[Comparable '#3 Date Check]]="Pass",INDEX(Comp3[Comparable '#3 Price],MATCH(Benchmark2[[#This Row],[Benchmark '#2 Dates]],Comp3[Comparable '#3 Dates],0)),"-")</f>
        <v>89.7</v>
      </c>
    </row>
    <row r="643" spans="1:11">
      <c r="A643" s="103">
        <v>44217</v>
      </c>
      <c r="B643" s="104">
        <v>15019.0494</v>
      </c>
      <c r="C643" s="4">
        <f t="shared" si="10"/>
        <v>-5.1950013060819969E-3</v>
      </c>
      <c r="D643" s="1" t="str">
        <f>IF(COUNTIF(Target1[Target Dates],Benchmark2[[#This Row],[Benchmark '#2 Dates]])=1,"Pass","Fail")</f>
        <v>Pass</v>
      </c>
      <c r="E643" s="6">
        <f>IF(Benchmark2[[#This Row],[Target Date Check]]="Pass",INDEX(Target1[Target Price],MATCH(Benchmark2[[#This Row],[Benchmark '#2 Dates]],Target1[Target Dates],0)),"-")</f>
        <v>24.72</v>
      </c>
      <c r="F643" s="1" t="str">
        <f>IF(COUNTIF(Comp1[Comparable '#1 Dates],Benchmark2[[#This Row],[Benchmark '#2 Dates]])=1,"Pass","Fail")</f>
        <v>Pass</v>
      </c>
      <c r="G643" s="6">
        <f>IF(Benchmark2[[#This Row],[Comparable '#1 Date Check]]="Pass",INDEX(Comp1[Comparable '#1 Price],MATCH(Benchmark2[[#This Row],[Benchmark '#2 Dates]],Comp1[Comparable '#1 Dates],0)),"-")</f>
        <v>14.324999999999999</v>
      </c>
      <c r="H643" s="1" t="str">
        <f>IF(COUNTIF(Comp2[Comparable '#2 Dates],Benchmark2[[#This Row],[Benchmark '#2 Dates]])=1,"Pass","Fail")</f>
        <v>Pass</v>
      </c>
      <c r="I643" s="6">
        <f>IF(Benchmark2[[#This Row],[Comparable '#2 Date Check]]="Pass",INDEX(Comp2[Comparable '#2 Price],MATCH(Benchmark2[[#This Row],[Benchmark '#2 Dates]],Comp2[Comparable '#2 Dates],0)),"-")</f>
        <v>38.56</v>
      </c>
      <c r="J643" s="1" t="str">
        <f>IF(COUNTIF(Comp3[Comparable '#3 Dates],Benchmark2[[#This Row],[Benchmark '#2 Dates]])=1,"Pass","Fail")</f>
        <v>Pass</v>
      </c>
      <c r="K643" s="6">
        <f>IF(Benchmark2[[#This Row],[Comparable '#3 Date Check]]="Pass",INDEX(Comp3[Comparable '#3 Price],MATCH(Benchmark2[[#This Row],[Benchmark '#2 Dates]],Comp3[Comparable '#3 Dates],0)),"-")</f>
        <v>90.55</v>
      </c>
    </row>
    <row r="644" spans="1:11">
      <c r="A644" s="103">
        <v>44218</v>
      </c>
      <c r="B644" s="104">
        <v>14951.843999999999</v>
      </c>
      <c r="C644" s="4">
        <f t="shared" si="10"/>
        <v>-4.484718673093877E-3</v>
      </c>
      <c r="D644" s="1" t="str">
        <f>IF(COUNTIF(Target1[Target Dates],Benchmark2[[#This Row],[Benchmark '#2 Dates]])=1,"Pass","Fail")</f>
        <v>Pass</v>
      </c>
      <c r="E644" s="6">
        <f>IF(Benchmark2[[#This Row],[Target Date Check]]="Pass",INDEX(Target1[Target Price],MATCH(Benchmark2[[#This Row],[Benchmark '#2 Dates]],Target1[Target Dates],0)),"-")</f>
        <v>24.7</v>
      </c>
      <c r="F644" s="1" t="str">
        <f>IF(COUNTIF(Comp1[Comparable '#1 Dates],Benchmark2[[#This Row],[Benchmark '#2 Dates]])=1,"Pass","Fail")</f>
        <v>Pass</v>
      </c>
      <c r="G644" s="6">
        <f>IF(Benchmark2[[#This Row],[Comparable '#1 Date Check]]="Pass",INDEX(Comp1[Comparable '#1 Price],MATCH(Benchmark2[[#This Row],[Benchmark '#2 Dates]],Comp1[Comparable '#1 Dates],0)),"-")</f>
        <v>13.84</v>
      </c>
      <c r="H644" s="1" t="str">
        <f>IF(COUNTIF(Comp2[Comparable '#2 Dates],Benchmark2[[#This Row],[Benchmark '#2 Dates]])=1,"Pass","Fail")</f>
        <v>Pass</v>
      </c>
      <c r="I644" s="6">
        <f>IF(Benchmark2[[#This Row],[Comparable '#2 Date Check]]="Pass",INDEX(Comp2[Comparable '#2 Price],MATCH(Benchmark2[[#This Row],[Benchmark '#2 Dates]],Comp2[Comparable '#2 Dates],0)),"-")</f>
        <v>38.75</v>
      </c>
      <c r="J644" s="1" t="str">
        <f>IF(COUNTIF(Comp3[Comparable '#3 Dates],Benchmark2[[#This Row],[Benchmark '#2 Dates]])=1,"Pass","Fail")</f>
        <v>Pass</v>
      </c>
      <c r="K644" s="6">
        <f>IF(Benchmark2[[#This Row],[Comparable '#3 Date Check]]="Pass",INDEX(Comp3[Comparable '#3 Price],MATCH(Benchmark2[[#This Row],[Benchmark '#2 Dates]],Comp3[Comparable '#3 Dates],0)),"-")</f>
        <v>88.85</v>
      </c>
    </row>
    <row r="645" spans="1:11">
      <c r="A645" s="103">
        <v>44221</v>
      </c>
      <c r="B645" s="104">
        <v>14935.2922</v>
      </c>
      <c r="C645" s="4">
        <f t="shared" si="10"/>
        <v>-1.1076204545939108E-3</v>
      </c>
      <c r="D645" s="1" t="str">
        <f>IF(COUNTIF(Target1[Target Dates],Benchmark2[[#This Row],[Benchmark '#2 Dates]])=1,"Pass","Fail")</f>
        <v>Pass</v>
      </c>
      <c r="E645" s="6">
        <f>IF(Benchmark2[[#This Row],[Target Date Check]]="Pass",INDEX(Target1[Target Price],MATCH(Benchmark2[[#This Row],[Benchmark '#2 Dates]],Target1[Target Dates],0)),"-")</f>
        <v>25.33</v>
      </c>
      <c r="F645" s="1" t="str">
        <f>IF(COUNTIF(Comp1[Comparable '#1 Dates],Benchmark2[[#This Row],[Benchmark '#2 Dates]])=1,"Pass","Fail")</f>
        <v>Pass</v>
      </c>
      <c r="G645" s="6">
        <f>IF(Benchmark2[[#This Row],[Comparable '#1 Date Check]]="Pass",INDEX(Comp1[Comparable '#1 Price],MATCH(Benchmark2[[#This Row],[Benchmark '#2 Dates]],Comp1[Comparable '#1 Dates],0)),"-")</f>
        <v>13.43</v>
      </c>
      <c r="H645" s="1" t="str">
        <f>IF(COUNTIF(Comp2[Comparable '#2 Dates],Benchmark2[[#This Row],[Benchmark '#2 Dates]])=1,"Pass","Fail")</f>
        <v>Pass</v>
      </c>
      <c r="I645" s="6">
        <f>IF(Benchmark2[[#This Row],[Comparable '#2 Date Check]]="Pass",INDEX(Comp2[Comparable '#2 Price],MATCH(Benchmark2[[#This Row],[Benchmark '#2 Dates]],Comp2[Comparable '#2 Dates],0)),"-")</f>
        <v>39</v>
      </c>
      <c r="J645" s="1" t="str">
        <f>IF(COUNTIF(Comp3[Comparable '#3 Dates],Benchmark2[[#This Row],[Benchmark '#2 Dates]])=1,"Pass","Fail")</f>
        <v>Pass</v>
      </c>
      <c r="K645" s="6">
        <f>IF(Benchmark2[[#This Row],[Comparable '#3 Date Check]]="Pass",INDEX(Comp3[Comparable '#3 Price],MATCH(Benchmark2[[#This Row],[Benchmark '#2 Dates]],Comp3[Comparable '#3 Dates],0)),"-")</f>
        <v>90.99</v>
      </c>
    </row>
    <row r="646" spans="1:11">
      <c r="A646" s="103">
        <v>44222</v>
      </c>
      <c r="B646" s="104">
        <v>14867.3737</v>
      </c>
      <c r="C646" s="4">
        <f t="shared" si="10"/>
        <v>-4.5578887343887846E-3</v>
      </c>
      <c r="D646" s="1" t="str">
        <f>IF(COUNTIF(Target1[Target Dates],Benchmark2[[#This Row],[Benchmark '#2 Dates]])=1,"Pass","Fail")</f>
        <v>Pass</v>
      </c>
      <c r="E646" s="6">
        <f>IF(Benchmark2[[#This Row],[Target Date Check]]="Pass",INDEX(Target1[Target Price],MATCH(Benchmark2[[#This Row],[Benchmark '#2 Dates]],Target1[Target Dates],0)),"-")</f>
        <v>25.99</v>
      </c>
      <c r="F646" s="1" t="str">
        <f>IF(COUNTIF(Comp1[Comparable '#1 Dates],Benchmark2[[#This Row],[Benchmark '#2 Dates]])=1,"Pass","Fail")</f>
        <v>Pass</v>
      </c>
      <c r="G646" s="6">
        <f>IF(Benchmark2[[#This Row],[Comparable '#1 Date Check]]="Pass",INDEX(Comp1[Comparable '#1 Price],MATCH(Benchmark2[[#This Row],[Benchmark '#2 Dates]],Comp1[Comparable '#1 Dates],0)),"-")</f>
        <v>13.74</v>
      </c>
      <c r="H646" s="1" t="str">
        <f>IF(COUNTIF(Comp2[Comparable '#2 Dates],Benchmark2[[#This Row],[Benchmark '#2 Dates]])=1,"Pass","Fail")</f>
        <v>Pass</v>
      </c>
      <c r="I646" s="6">
        <f>IF(Benchmark2[[#This Row],[Comparable '#2 Date Check]]="Pass",INDEX(Comp2[Comparable '#2 Price],MATCH(Benchmark2[[#This Row],[Benchmark '#2 Dates]],Comp2[Comparable '#2 Dates],0)),"-")</f>
        <v>39.58</v>
      </c>
      <c r="J646" s="1" t="str">
        <f>IF(COUNTIF(Comp3[Comparable '#3 Dates],Benchmark2[[#This Row],[Benchmark '#2 Dates]])=1,"Pass","Fail")</f>
        <v>Pass</v>
      </c>
      <c r="K646" s="6">
        <f>IF(Benchmark2[[#This Row],[Comparable '#3 Date Check]]="Pass",INDEX(Comp3[Comparable '#3 Price],MATCH(Benchmark2[[#This Row],[Benchmark '#2 Dates]],Comp3[Comparable '#3 Dates],0)),"-")</f>
        <v>88.91</v>
      </c>
    </row>
    <row r="647" spans="1:11">
      <c r="A647" s="103">
        <v>44223</v>
      </c>
      <c r="B647" s="104">
        <v>14487.7335</v>
      </c>
      <c r="C647" s="4">
        <f t="shared" si="10"/>
        <v>-2.5866801644489117E-2</v>
      </c>
      <c r="D647" s="1" t="str">
        <f>IF(COUNTIF(Target1[Target Dates],Benchmark2[[#This Row],[Benchmark '#2 Dates]])=1,"Pass","Fail")</f>
        <v>Pass</v>
      </c>
      <c r="E647" s="6">
        <f>IF(Benchmark2[[#This Row],[Target Date Check]]="Pass",INDEX(Target1[Target Price],MATCH(Benchmark2[[#This Row],[Benchmark '#2 Dates]],Target1[Target Dates],0)),"-")</f>
        <v>24.87</v>
      </c>
      <c r="F647" s="1" t="str">
        <f>IF(COUNTIF(Comp1[Comparable '#1 Dates],Benchmark2[[#This Row],[Benchmark '#2 Dates]])=1,"Pass","Fail")</f>
        <v>Pass</v>
      </c>
      <c r="G647" s="6">
        <f>IF(Benchmark2[[#This Row],[Comparable '#1 Date Check]]="Pass",INDEX(Comp1[Comparable '#1 Price],MATCH(Benchmark2[[#This Row],[Benchmark '#2 Dates]],Comp1[Comparable '#1 Dates],0)),"-")</f>
        <v>13.36</v>
      </c>
      <c r="H647" s="1" t="str">
        <f>IF(COUNTIF(Comp2[Comparable '#2 Dates],Benchmark2[[#This Row],[Benchmark '#2 Dates]])=1,"Pass","Fail")</f>
        <v>Pass</v>
      </c>
      <c r="I647" s="6">
        <f>IF(Benchmark2[[#This Row],[Comparable '#2 Date Check]]="Pass",INDEX(Comp2[Comparable '#2 Price],MATCH(Benchmark2[[#This Row],[Benchmark '#2 Dates]],Comp2[Comparable '#2 Dates],0)),"-")</f>
        <v>39.450000000000003</v>
      </c>
      <c r="J647" s="1" t="str">
        <f>IF(COUNTIF(Comp3[Comparable '#3 Dates],Benchmark2[[#This Row],[Benchmark '#2 Dates]])=1,"Pass","Fail")</f>
        <v>Pass</v>
      </c>
      <c r="K647" s="6">
        <f>IF(Benchmark2[[#This Row],[Comparable '#3 Date Check]]="Pass",INDEX(Comp3[Comparable '#3 Price],MATCH(Benchmark2[[#This Row],[Benchmark '#2 Dates]],Comp3[Comparable '#3 Dates],0)),"-")</f>
        <v>89.07</v>
      </c>
    </row>
    <row r="648" spans="1:11">
      <c r="A648" s="103">
        <v>44224</v>
      </c>
      <c r="B648" s="104">
        <v>14669.5198</v>
      </c>
      <c r="C648" s="4">
        <f t="shared" si="10"/>
        <v>1.2469532270948921E-2</v>
      </c>
      <c r="D648" s="1" t="str">
        <f>IF(COUNTIF(Target1[Target Dates],Benchmark2[[#This Row],[Benchmark '#2 Dates]])=1,"Pass","Fail")</f>
        <v>Pass</v>
      </c>
      <c r="E648" s="6">
        <f>IF(Benchmark2[[#This Row],[Target Date Check]]="Pass",INDEX(Target1[Target Price],MATCH(Benchmark2[[#This Row],[Benchmark '#2 Dates]],Target1[Target Dates],0)),"-")</f>
        <v>24.03</v>
      </c>
      <c r="F648" s="1" t="str">
        <f>IF(COUNTIF(Comp1[Comparable '#1 Dates],Benchmark2[[#This Row],[Benchmark '#2 Dates]])=1,"Pass","Fail")</f>
        <v>Pass</v>
      </c>
      <c r="G648" s="6">
        <f>IF(Benchmark2[[#This Row],[Comparable '#1 Date Check]]="Pass",INDEX(Comp1[Comparable '#1 Price],MATCH(Benchmark2[[#This Row],[Benchmark '#2 Dates]],Comp1[Comparable '#1 Dates],0)),"-")</f>
        <v>13.25</v>
      </c>
      <c r="H648" s="1" t="str">
        <f>IF(COUNTIF(Comp2[Comparable '#2 Dates],Benchmark2[[#This Row],[Benchmark '#2 Dates]])=1,"Pass","Fail")</f>
        <v>Pass</v>
      </c>
      <c r="I648" s="6">
        <f>IF(Benchmark2[[#This Row],[Comparable '#2 Date Check]]="Pass",INDEX(Comp2[Comparable '#2 Price],MATCH(Benchmark2[[#This Row],[Benchmark '#2 Dates]],Comp2[Comparable '#2 Dates],0)),"-")</f>
        <v>38.840000000000003</v>
      </c>
      <c r="J648" s="1" t="str">
        <f>IF(COUNTIF(Comp3[Comparable '#3 Dates],Benchmark2[[#This Row],[Benchmark '#2 Dates]])=1,"Pass","Fail")</f>
        <v>Pass</v>
      </c>
      <c r="K648" s="6">
        <f>IF(Benchmark2[[#This Row],[Comparable '#3 Date Check]]="Pass",INDEX(Comp3[Comparable '#3 Price],MATCH(Benchmark2[[#This Row],[Benchmark '#2 Dates]],Comp3[Comparable '#3 Dates],0)),"-")</f>
        <v>86.62</v>
      </c>
    </row>
    <row r="649" spans="1:11">
      <c r="A649" s="103">
        <v>44225</v>
      </c>
      <c r="B649" s="104">
        <v>14397.1986</v>
      </c>
      <c r="C649" s="4">
        <f t="shared" si="10"/>
        <v>-1.8738212159869025E-2</v>
      </c>
      <c r="D649" s="1" t="str">
        <f>IF(COUNTIF(Target1[Target Dates],Benchmark2[[#This Row],[Benchmark '#2 Dates]])=1,"Pass","Fail")</f>
        <v>Pass</v>
      </c>
      <c r="E649" s="6">
        <f>IF(Benchmark2[[#This Row],[Target Date Check]]="Pass",INDEX(Target1[Target Price],MATCH(Benchmark2[[#This Row],[Benchmark '#2 Dates]],Target1[Target Dates],0)),"-")</f>
        <v>25.75</v>
      </c>
      <c r="F649" s="1" t="str">
        <f>IF(COUNTIF(Comp1[Comparable '#1 Dates],Benchmark2[[#This Row],[Benchmark '#2 Dates]])=1,"Pass","Fail")</f>
        <v>Pass</v>
      </c>
      <c r="G649" s="6">
        <f>IF(Benchmark2[[#This Row],[Comparable '#1 Date Check]]="Pass",INDEX(Comp1[Comparable '#1 Price],MATCH(Benchmark2[[#This Row],[Benchmark '#2 Dates]],Comp1[Comparable '#1 Dates],0)),"-")</f>
        <v>13.01</v>
      </c>
      <c r="H649" s="1" t="str">
        <f>IF(COUNTIF(Comp2[Comparable '#2 Dates],Benchmark2[[#This Row],[Benchmark '#2 Dates]])=1,"Pass","Fail")</f>
        <v>Pass</v>
      </c>
      <c r="I649" s="6">
        <f>IF(Benchmark2[[#This Row],[Comparable '#2 Date Check]]="Pass",INDEX(Comp2[Comparable '#2 Price],MATCH(Benchmark2[[#This Row],[Benchmark '#2 Dates]],Comp2[Comparable '#2 Dates],0)),"-")</f>
        <v>38.590000000000003</v>
      </c>
      <c r="J649" s="1" t="str">
        <f>IF(COUNTIF(Comp3[Comparable '#3 Dates],Benchmark2[[#This Row],[Benchmark '#2 Dates]])=1,"Pass","Fail")</f>
        <v>Pass</v>
      </c>
      <c r="K649" s="6">
        <f>IF(Benchmark2[[#This Row],[Comparable '#3 Date Check]]="Pass",INDEX(Comp3[Comparable '#3 Price],MATCH(Benchmark2[[#This Row],[Benchmark '#2 Dates]],Comp3[Comparable '#3 Dates],0)),"-")</f>
        <v>88.37</v>
      </c>
    </row>
    <row r="650" spans="1:11">
      <c r="A650" s="103">
        <v>44228</v>
      </c>
      <c r="B650" s="104">
        <v>14596.1803</v>
      </c>
      <c r="C650" s="4">
        <f t="shared" si="10"/>
        <v>1.3726225207673351E-2</v>
      </c>
      <c r="D650" s="1" t="str">
        <f>IF(COUNTIF(Target1[Target Dates],Benchmark2[[#This Row],[Benchmark '#2 Dates]])=1,"Pass","Fail")</f>
        <v>Pass</v>
      </c>
      <c r="E650" s="6">
        <f>IF(Benchmark2[[#This Row],[Target Date Check]]="Pass",INDEX(Target1[Target Price],MATCH(Benchmark2[[#This Row],[Benchmark '#2 Dates]],Target1[Target Dates],0)),"-")</f>
        <v>27.16</v>
      </c>
      <c r="F650" s="1" t="str">
        <f>IF(COUNTIF(Comp1[Comparable '#1 Dates],Benchmark2[[#This Row],[Benchmark '#2 Dates]])=1,"Pass","Fail")</f>
        <v>Pass</v>
      </c>
      <c r="G650" s="6">
        <f>IF(Benchmark2[[#This Row],[Comparable '#1 Date Check]]="Pass",INDEX(Comp1[Comparable '#1 Price],MATCH(Benchmark2[[#This Row],[Benchmark '#2 Dates]],Comp1[Comparable '#1 Dates],0)),"-")</f>
        <v>13.59</v>
      </c>
      <c r="H650" s="1" t="str">
        <f>IF(COUNTIF(Comp2[Comparable '#2 Dates],Benchmark2[[#This Row],[Benchmark '#2 Dates]])=1,"Pass","Fail")</f>
        <v>Pass</v>
      </c>
      <c r="I650" s="6">
        <f>IF(Benchmark2[[#This Row],[Comparable '#2 Date Check]]="Pass",INDEX(Comp2[Comparable '#2 Price],MATCH(Benchmark2[[#This Row],[Benchmark '#2 Dates]],Comp2[Comparable '#2 Dates],0)),"-")</f>
        <v>39.130000000000003</v>
      </c>
      <c r="J650" s="1" t="str">
        <f>IF(COUNTIF(Comp3[Comparable '#3 Dates],Benchmark2[[#This Row],[Benchmark '#2 Dates]])=1,"Pass","Fail")</f>
        <v>Pass</v>
      </c>
      <c r="K650" s="6">
        <f>IF(Benchmark2[[#This Row],[Comparable '#3 Date Check]]="Pass",INDEX(Comp3[Comparable '#3 Price],MATCH(Benchmark2[[#This Row],[Benchmark '#2 Dates]],Comp3[Comparable '#3 Dates],0)),"-")</f>
        <v>90.3</v>
      </c>
    </row>
    <row r="651" spans="1:11">
      <c r="A651" s="103">
        <v>44229</v>
      </c>
      <c r="B651" s="104">
        <v>14768.575199999999</v>
      </c>
      <c r="C651" s="4">
        <f t="shared" si="10"/>
        <v>1.1741754883813682E-2</v>
      </c>
      <c r="D651" s="1" t="str">
        <f>IF(COUNTIF(Target1[Target Dates],Benchmark2[[#This Row],[Benchmark '#2 Dates]])=1,"Pass","Fail")</f>
        <v>Pass</v>
      </c>
      <c r="E651" s="6">
        <f>IF(Benchmark2[[#This Row],[Target Date Check]]="Pass",INDEX(Target1[Target Price],MATCH(Benchmark2[[#This Row],[Benchmark '#2 Dates]],Target1[Target Dates],0)),"-")</f>
        <v>27.32</v>
      </c>
      <c r="F651" s="1" t="str">
        <f>IF(COUNTIF(Comp1[Comparable '#1 Dates],Benchmark2[[#This Row],[Benchmark '#2 Dates]])=1,"Pass","Fail")</f>
        <v>Pass</v>
      </c>
      <c r="G651" s="6">
        <f>IF(Benchmark2[[#This Row],[Comparable '#1 Date Check]]="Pass",INDEX(Comp1[Comparable '#1 Price],MATCH(Benchmark2[[#This Row],[Benchmark '#2 Dates]],Comp1[Comparable '#1 Dates],0)),"-")</f>
        <v>13.62</v>
      </c>
      <c r="H651" s="1" t="str">
        <f>IF(COUNTIF(Comp2[Comparable '#2 Dates],Benchmark2[[#This Row],[Benchmark '#2 Dates]])=1,"Pass","Fail")</f>
        <v>Pass</v>
      </c>
      <c r="I651" s="6">
        <f>IF(Benchmark2[[#This Row],[Comparable '#2 Date Check]]="Pass",INDEX(Comp2[Comparable '#2 Price],MATCH(Benchmark2[[#This Row],[Benchmark '#2 Dates]],Comp2[Comparable '#2 Dates],0)),"-")</f>
        <v>40.409999999999997</v>
      </c>
      <c r="J651" s="1" t="str">
        <f>IF(COUNTIF(Comp3[Comparable '#3 Dates],Benchmark2[[#This Row],[Benchmark '#2 Dates]])=1,"Pass","Fail")</f>
        <v>Pass</v>
      </c>
      <c r="K651" s="6">
        <f>IF(Benchmark2[[#This Row],[Comparable '#3 Date Check]]="Pass",INDEX(Comp3[Comparable '#3 Price],MATCH(Benchmark2[[#This Row],[Benchmark '#2 Dates]],Comp3[Comparable '#3 Dates],0)),"-")</f>
        <v>91.7</v>
      </c>
    </row>
    <row r="652" spans="1:11">
      <c r="A652" s="103">
        <v>44230</v>
      </c>
      <c r="B652" s="104">
        <v>14839.0589</v>
      </c>
      <c r="C652" s="4">
        <f t="shared" si="10"/>
        <v>4.7611932051877404E-3</v>
      </c>
      <c r="D652" s="1" t="str">
        <f>IF(COUNTIF(Target1[Target Dates],Benchmark2[[#This Row],[Benchmark '#2 Dates]])=1,"Pass","Fail")</f>
        <v>Pass</v>
      </c>
      <c r="E652" s="6">
        <f>IF(Benchmark2[[#This Row],[Target Date Check]]="Pass",INDEX(Target1[Target Price],MATCH(Benchmark2[[#This Row],[Benchmark '#2 Dates]],Target1[Target Dates],0)),"-")</f>
        <v>27.72</v>
      </c>
      <c r="F652" s="1" t="str">
        <f>IF(COUNTIF(Comp1[Comparable '#1 Dates],Benchmark2[[#This Row],[Benchmark '#2 Dates]])=1,"Pass","Fail")</f>
        <v>Pass</v>
      </c>
      <c r="G652" s="6">
        <f>IF(Benchmark2[[#This Row],[Comparable '#1 Date Check]]="Pass",INDEX(Comp1[Comparable '#1 Price],MATCH(Benchmark2[[#This Row],[Benchmark '#2 Dates]],Comp1[Comparable '#1 Dates],0)),"-")</f>
        <v>14.03</v>
      </c>
      <c r="H652" s="1" t="str">
        <f>IF(COUNTIF(Comp2[Comparable '#2 Dates],Benchmark2[[#This Row],[Benchmark '#2 Dates]])=1,"Pass","Fail")</f>
        <v>Pass</v>
      </c>
      <c r="I652" s="6">
        <f>IF(Benchmark2[[#This Row],[Comparable '#2 Date Check]]="Pass",INDEX(Comp2[Comparable '#2 Price],MATCH(Benchmark2[[#This Row],[Benchmark '#2 Dates]],Comp2[Comparable '#2 Dates],0)),"-")</f>
        <v>39.159999999999997</v>
      </c>
      <c r="J652" s="1" t="str">
        <f>IF(COUNTIF(Comp3[Comparable '#3 Dates],Benchmark2[[#This Row],[Benchmark '#2 Dates]])=1,"Pass","Fail")</f>
        <v>Pass</v>
      </c>
      <c r="K652" s="6">
        <f>IF(Benchmark2[[#This Row],[Comparable '#3 Date Check]]="Pass",INDEX(Comp3[Comparable '#3 Price],MATCH(Benchmark2[[#This Row],[Benchmark '#2 Dates]],Comp3[Comparable '#3 Dates],0)),"-")</f>
        <v>88.92</v>
      </c>
    </row>
    <row r="653" spans="1:11">
      <c r="A653" s="103">
        <v>44231</v>
      </c>
      <c r="B653" s="104">
        <v>14975.434800000001</v>
      </c>
      <c r="C653" s="4">
        <f t="shared" si="10"/>
        <v>9.1483593521563024E-3</v>
      </c>
      <c r="D653" s="1" t="str">
        <f>IF(COUNTIF(Target1[Target Dates],Benchmark2[[#This Row],[Benchmark '#2 Dates]])=1,"Pass","Fail")</f>
        <v>Pass</v>
      </c>
      <c r="E653" s="6">
        <f>IF(Benchmark2[[#This Row],[Target Date Check]]="Pass",INDEX(Target1[Target Price],MATCH(Benchmark2[[#This Row],[Benchmark '#2 Dates]],Target1[Target Dates],0)),"-")</f>
        <v>27.23</v>
      </c>
      <c r="F653" s="1" t="str">
        <f>IF(COUNTIF(Comp1[Comparable '#1 Dates],Benchmark2[[#This Row],[Benchmark '#2 Dates]])=1,"Pass","Fail")</f>
        <v>Pass</v>
      </c>
      <c r="G653" s="6">
        <f>IF(Benchmark2[[#This Row],[Comparable '#1 Date Check]]="Pass",INDEX(Comp1[Comparable '#1 Price],MATCH(Benchmark2[[#This Row],[Benchmark '#2 Dates]],Comp1[Comparable '#1 Dates],0)),"-")</f>
        <v>14</v>
      </c>
      <c r="H653" s="1" t="str">
        <f>IF(COUNTIF(Comp2[Comparable '#2 Dates],Benchmark2[[#This Row],[Benchmark '#2 Dates]])=1,"Pass","Fail")</f>
        <v>Pass</v>
      </c>
      <c r="I653" s="6">
        <f>IF(Benchmark2[[#This Row],[Comparable '#2 Date Check]]="Pass",INDEX(Comp2[Comparable '#2 Price],MATCH(Benchmark2[[#This Row],[Benchmark '#2 Dates]],Comp2[Comparable '#2 Dates],0)),"-")</f>
        <v>39.54</v>
      </c>
      <c r="J653" s="1" t="str">
        <f>IF(COUNTIF(Comp3[Comparable '#3 Dates],Benchmark2[[#This Row],[Benchmark '#2 Dates]])=1,"Pass","Fail")</f>
        <v>Pass</v>
      </c>
      <c r="K653" s="6">
        <f>IF(Benchmark2[[#This Row],[Comparable '#3 Date Check]]="Pass",INDEX(Comp3[Comparable '#3 Price],MATCH(Benchmark2[[#This Row],[Benchmark '#2 Dates]],Comp3[Comparable '#3 Dates],0)),"-")</f>
        <v>90.1</v>
      </c>
    </row>
    <row r="654" spans="1:11">
      <c r="A654" s="103">
        <v>44232</v>
      </c>
      <c r="B654" s="104">
        <v>15069.602199999999</v>
      </c>
      <c r="C654" s="4">
        <f t="shared" si="10"/>
        <v>6.2684368367033347E-3</v>
      </c>
      <c r="D654" s="1" t="str">
        <f>IF(COUNTIF(Target1[Target Dates],Benchmark2[[#This Row],[Benchmark '#2 Dates]])=1,"Pass","Fail")</f>
        <v>Pass</v>
      </c>
      <c r="E654" s="6">
        <f>IF(Benchmark2[[#This Row],[Target Date Check]]="Pass",INDEX(Target1[Target Price],MATCH(Benchmark2[[#This Row],[Benchmark '#2 Dates]],Target1[Target Dates],0)),"-")</f>
        <v>27.22</v>
      </c>
      <c r="F654" s="1" t="str">
        <f>IF(COUNTIF(Comp1[Comparable '#1 Dates],Benchmark2[[#This Row],[Benchmark '#2 Dates]])=1,"Pass","Fail")</f>
        <v>Pass</v>
      </c>
      <c r="G654" s="6">
        <f>IF(Benchmark2[[#This Row],[Comparable '#1 Date Check]]="Pass",INDEX(Comp1[Comparable '#1 Price],MATCH(Benchmark2[[#This Row],[Benchmark '#2 Dates]],Comp1[Comparable '#1 Dates],0)),"-")</f>
        <v>13.98</v>
      </c>
      <c r="H654" s="1" t="str">
        <f>IF(COUNTIF(Comp2[Comparable '#2 Dates],Benchmark2[[#This Row],[Benchmark '#2 Dates]])=1,"Pass","Fail")</f>
        <v>Pass</v>
      </c>
      <c r="I654" s="6">
        <f>IF(Benchmark2[[#This Row],[Comparable '#2 Date Check]]="Pass",INDEX(Comp2[Comparable '#2 Price],MATCH(Benchmark2[[#This Row],[Benchmark '#2 Dates]],Comp2[Comparable '#2 Dates],0)),"-")</f>
        <v>39.5</v>
      </c>
      <c r="J654" s="1" t="str">
        <f>IF(COUNTIF(Comp3[Comparable '#3 Dates],Benchmark2[[#This Row],[Benchmark '#2 Dates]])=1,"Pass","Fail")</f>
        <v>Pass</v>
      </c>
      <c r="K654" s="6">
        <f>IF(Benchmark2[[#This Row],[Comparable '#3 Date Check]]="Pass",INDEX(Comp3[Comparable '#3 Price],MATCH(Benchmark2[[#This Row],[Benchmark '#2 Dates]],Comp3[Comparable '#3 Dates],0)),"-")</f>
        <v>90.41</v>
      </c>
    </row>
    <row r="655" spans="1:11">
      <c r="A655" s="103">
        <v>44235</v>
      </c>
      <c r="B655" s="104">
        <v>15226.608899999999</v>
      </c>
      <c r="C655" s="4">
        <f t="shared" si="10"/>
        <v>1.0364867414473431E-2</v>
      </c>
      <c r="D655" s="1" t="str">
        <f>IF(COUNTIF(Target1[Target Dates],Benchmark2[[#This Row],[Benchmark '#2 Dates]])=1,"Pass","Fail")</f>
        <v>Pass</v>
      </c>
      <c r="E655" s="6">
        <f>IF(Benchmark2[[#This Row],[Target Date Check]]="Pass",INDEX(Target1[Target Price],MATCH(Benchmark2[[#This Row],[Benchmark '#2 Dates]],Target1[Target Dates],0)),"-")</f>
        <v>27.69</v>
      </c>
      <c r="F655" s="1" t="str">
        <f>IF(COUNTIF(Comp1[Comparable '#1 Dates],Benchmark2[[#This Row],[Benchmark '#2 Dates]])=1,"Pass","Fail")</f>
        <v>Pass</v>
      </c>
      <c r="G655" s="6">
        <f>IF(Benchmark2[[#This Row],[Comparable '#1 Date Check]]="Pass",INDEX(Comp1[Comparable '#1 Price],MATCH(Benchmark2[[#This Row],[Benchmark '#2 Dates]],Comp1[Comparable '#1 Dates],0)),"-")</f>
        <v>14.53</v>
      </c>
      <c r="H655" s="1" t="str">
        <f>IF(COUNTIF(Comp2[Comparable '#2 Dates],Benchmark2[[#This Row],[Benchmark '#2 Dates]])=1,"Pass","Fail")</f>
        <v>Pass</v>
      </c>
      <c r="I655" s="6">
        <f>IF(Benchmark2[[#This Row],[Comparable '#2 Date Check]]="Pass",INDEX(Comp2[Comparable '#2 Price],MATCH(Benchmark2[[#This Row],[Benchmark '#2 Dates]],Comp2[Comparable '#2 Dates],0)),"-")</f>
        <v>41.54</v>
      </c>
      <c r="J655" s="1" t="str">
        <f>IF(COUNTIF(Comp3[Comparable '#3 Dates],Benchmark2[[#This Row],[Benchmark '#2 Dates]])=1,"Pass","Fail")</f>
        <v>Pass</v>
      </c>
      <c r="K655" s="6">
        <f>IF(Benchmark2[[#This Row],[Comparable '#3 Date Check]]="Pass",INDEX(Comp3[Comparable '#3 Price],MATCH(Benchmark2[[#This Row],[Benchmark '#2 Dates]],Comp3[Comparable '#3 Dates],0)),"-")</f>
        <v>94.29</v>
      </c>
    </row>
    <row r="656" spans="1:11">
      <c r="A656" s="103">
        <v>44236</v>
      </c>
      <c r="B656" s="104">
        <v>15244.400299999999</v>
      </c>
      <c r="C656" s="4">
        <f t="shared" si="10"/>
        <v>1.1677592891665204E-3</v>
      </c>
      <c r="D656" s="1" t="str">
        <f>IF(COUNTIF(Target1[Target Dates],Benchmark2[[#This Row],[Benchmark '#2 Dates]])=1,"Pass","Fail")</f>
        <v>Pass</v>
      </c>
      <c r="E656" s="6">
        <f>IF(Benchmark2[[#This Row],[Target Date Check]]="Pass",INDEX(Target1[Target Price],MATCH(Benchmark2[[#This Row],[Benchmark '#2 Dates]],Target1[Target Dates],0)),"-")</f>
        <v>28.16</v>
      </c>
      <c r="F656" s="1" t="str">
        <f>IF(COUNTIF(Comp1[Comparable '#1 Dates],Benchmark2[[#This Row],[Benchmark '#2 Dates]])=1,"Pass","Fail")</f>
        <v>Pass</v>
      </c>
      <c r="G656" s="6">
        <f>IF(Benchmark2[[#This Row],[Comparable '#1 Date Check]]="Pass",INDEX(Comp1[Comparable '#1 Price],MATCH(Benchmark2[[#This Row],[Benchmark '#2 Dates]],Comp1[Comparable '#1 Dates],0)),"-")</f>
        <v>14.55</v>
      </c>
      <c r="H656" s="1" t="str">
        <f>IF(COUNTIF(Comp2[Comparable '#2 Dates],Benchmark2[[#This Row],[Benchmark '#2 Dates]])=1,"Pass","Fail")</f>
        <v>Pass</v>
      </c>
      <c r="I656" s="6">
        <f>IF(Benchmark2[[#This Row],[Comparable '#2 Date Check]]="Pass",INDEX(Comp2[Comparable '#2 Price],MATCH(Benchmark2[[#This Row],[Benchmark '#2 Dates]],Comp2[Comparable '#2 Dates],0)),"-")</f>
        <v>41.3</v>
      </c>
      <c r="J656" s="1" t="str">
        <f>IF(COUNTIF(Comp3[Comparable '#3 Dates],Benchmark2[[#This Row],[Benchmark '#2 Dates]])=1,"Pass","Fail")</f>
        <v>Pass</v>
      </c>
      <c r="K656" s="6">
        <f>IF(Benchmark2[[#This Row],[Comparable '#3 Date Check]]="Pass",INDEX(Comp3[Comparable '#3 Price],MATCH(Benchmark2[[#This Row],[Benchmark '#2 Dates]],Comp3[Comparable '#3 Dates],0)),"-")</f>
        <v>94.15</v>
      </c>
    </row>
    <row r="657" spans="1:11">
      <c r="A657" s="103">
        <v>44237</v>
      </c>
      <c r="B657" s="104">
        <v>15273.897199999999</v>
      </c>
      <c r="C657" s="4">
        <f t="shared" si="10"/>
        <v>1.9330638732502452E-3</v>
      </c>
      <c r="D657" s="1" t="str">
        <f>IF(COUNTIF(Target1[Target Dates],Benchmark2[[#This Row],[Benchmark '#2 Dates]])=1,"Pass","Fail")</f>
        <v>Pass</v>
      </c>
      <c r="E657" s="6">
        <f>IF(Benchmark2[[#This Row],[Target Date Check]]="Pass",INDEX(Target1[Target Price],MATCH(Benchmark2[[#This Row],[Benchmark '#2 Dates]],Target1[Target Dates],0)),"-")</f>
        <v>28.57</v>
      </c>
      <c r="F657" s="1" t="str">
        <f>IF(COUNTIF(Comp1[Comparable '#1 Dates],Benchmark2[[#This Row],[Benchmark '#2 Dates]])=1,"Pass","Fail")</f>
        <v>Pass</v>
      </c>
      <c r="G657" s="6">
        <f>IF(Benchmark2[[#This Row],[Comparable '#1 Date Check]]="Pass",INDEX(Comp1[Comparable '#1 Price],MATCH(Benchmark2[[#This Row],[Benchmark '#2 Dates]],Comp1[Comparable '#1 Dates],0)),"-")</f>
        <v>14.52</v>
      </c>
      <c r="H657" s="1" t="str">
        <f>IF(COUNTIF(Comp2[Comparable '#2 Dates],Benchmark2[[#This Row],[Benchmark '#2 Dates]])=1,"Pass","Fail")</f>
        <v>Pass</v>
      </c>
      <c r="I657" s="6">
        <f>IF(Benchmark2[[#This Row],[Comparable '#2 Date Check]]="Pass",INDEX(Comp2[Comparable '#2 Price],MATCH(Benchmark2[[#This Row],[Benchmark '#2 Dates]],Comp2[Comparable '#2 Dates],0)),"-")</f>
        <v>41.09</v>
      </c>
      <c r="J657" s="1" t="str">
        <f>IF(COUNTIF(Comp3[Comparable '#3 Dates],Benchmark2[[#This Row],[Benchmark '#2 Dates]])=1,"Pass","Fail")</f>
        <v>Pass</v>
      </c>
      <c r="K657" s="6">
        <f>IF(Benchmark2[[#This Row],[Comparable '#3 Date Check]]="Pass",INDEX(Comp3[Comparable '#3 Price],MATCH(Benchmark2[[#This Row],[Benchmark '#2 Dates]],Comp3[Comparable '#3 Dates],0)),"-")</f>
        <v>95.24</v>
      </c>
    </row>
    <row r="658" spans="1:11">
      <c r="A658" s="103">
        <v>44238</v>
      </c>
      <c r="B658" s="104">
        <v>15297.0875</v>
      </c>
      <c r="C658" s="4">
        <f t="shared" si="10"/>
        <v>1.5171447485725035E-3</v>
      </c>
      <c r="D658" s="1" t="str">
        <f>IF(COUNTIF(Target1[Target Dates],Benchmark2[[#This Row],[Benchmark '#2 Dates]])=1,"Pass","Fail")</f>
        <v>Pass</v>
      </c>
      <c r="E658" s="6">
        <f>IF(Benchmark2[[#This Row],[Target Date Check]]="Pass",INDEX(Target1[Target Price],MATCH(Benchmark2[[#This Row],[Benchmark '#2 Dates]],Target1[Target Dates],0)),"-")</f>
        <v>28.45</v>
      </c>
      <c r="F658" s="1" t="str">
        <f>IF(COUNTIF(Comp1[Comparable '#1 Dates],Benchmark2[[#This Row],[Benchmark '#2 Dates]])=1,"Pass","Fail")</f>
        <v>Pass</v>
      </c>
      <c r="G658" s="6">
        <f>IF(Benchmark2[[#This Row],[Comparable '#1 Date Check]]="Pass",INDEX(Comp1[Comparable '#1 Price],MATCH(Benchmark2[[#This Row],[Benchmark '#2 Dates]],Comp1[Comparable '#1 Dates],0)),"-")</f>
        <v>14.625</v>
      </c>
      <c r="H658" s="1" t="str">
        <f>IF(COUNTIF(Comp2[Comparable '#2 Dates],Benchmark2[[#This Row],[Benchmark '#2 Dates]])=1,"Pass","Fail")</f>
        <v>Pass</v>
      </c>
      <c r="I658" s="6">
        <f>IF(Benchmark2[[#This Row],[Comparable '#2 Date Check]]="Pass",INDEX(Comp2[Comparable '#2 Price],MATCH(Benchmark2[[#This Row],[Benchmark '#2 Dates]],Comp2[Comparable '#2 Dates],0)),"-")</f>
        <v>40.799999999999997</v>
      </c>
      <c r="J658" s="1" t="str">
        <f>IF(COUNTIF(Comp3[Comparable '#3 Dates],Benchmark2[[#This Row],[Benchmark '#2 Dates]])=1,"Pass","Fail")</f>
        <v>Pass</v>
      </c>
      <c r="K658" s="6">
        <f>IF(Benchmark2[[#This Row],[Comparable '#3 Date Check]]="Pass",INDEX(Comp3[Comparable '#3 Price],MATCH(Benchmark2[[#This Row],[Benchmark '#2 Dates]],Comp3[Comparable '#3 Dates],0)),"-")</f>
        <v>96.22</v>
      </c>
    </row>
    <row r="659" spans="1:11">
      <c r="A659" s="103">
        <v>44239</v>
      </c>
      <c r="B659" s="104">
        <v>15369.604600000001</v>
      </c>
      <c r="C659" s="4">
        <f t="shared" si="10"/>
        <v>4.7293809798319708E-3</v>
      </c>
      <c r="D659" s="1" t="str">
        <f>IF(COUNTIF(Target1[Target Dates],Benchmark2[[#This Row],[Benchmark '#2 Dates]])=1,"Pass","Fail")</f>
        <v>Pass</v>
      </c>
      <c r="E659" s="6">
        <f>IF(Benchmark2[[#This Row],[Target Date Check]]="Pass",INDEX(Target1[Target Price],MATCH(Benchmark2[[#This Row],[Benchmark '#2 Dates]],Target1[Target Dates],0)),"-")</f>
        <v>28.27</v>
      </c>
      <c r="F659" s="1" t="str">
        <f>IF(COUNTIF(Comp1[Comparable '#1 Dates],Benchmark2[[#This Row],[Benchmark '#2 Dates]])=1,"Pass","Fail")</f>
        <v>Pass</v>
      </c>
      <c r="G659" s="6">
        <f>IF(Benchmark2[[#This Row],[Comparable '#1 Date Check]]="Pass",INDEX(Comp1[Comparable '#1 Price],MATCH(Benchmark2[[#This Row],[Benchmark '#2 Dates]],Comp1[Comparable '#1 Dates],0)),"-")</f>
        <v>14.56</v>
      </c>
      <c r="H659" s="1" t="str">
        <f>IF(COUNTIF(Comp2[Comparable '#2 Dates],Benchmark2[[#This Row],[Benchmark '#2 Dates]])=1,"Pass","Fail")</f>
        <v>Pass</v>
      </c>
      <c r="I659" s="6">
        <f>IF(Benchmark2[[#This Row],[Comparable '#2 Date Check]]="Pass",INDEX(Comp2[Comparable '#2 Price],MATCH(Benchmark2[[#This Row],[Benchmark '#2 Dates]],Comp2[Comparable '#2 Dates],0)),"-")</f>
        <v>40.659999999999997</v>
      </c>
      <c r="J659" s="1" t="str">
        <f>IF(COUNTIF(Comp3[Comparable '#3 Dates],Benchmark2[[#This Row],[Benchmark '#2 Dates]])=1,"Pass","Fail")</f>
        <v>Pass</v>
      </c>
      <c r="K659" s="6">
        <f>IF(Benchmark2[[#This Row],[Comparable '#3 Date Check]]="Pass",INDEX(Comp3[Comparable '#3 Price],MATCH(Benchmark2[[#This Row],[Benchmark '#2 Dates]],Comp3[Comparable '#3 Dates],0)),"-")</f>
        <v>94.41</v>
      </c>
    </row>
    <row r="660" spans="1:11">
      <c r="A660" s="103">
        <v>44243</v>
      </c>
      <c r="B660" s="104">
        <v>15423.020699999999</v>
      </c>
      <c r="C660" s="4">
        <f t="shared" si="10"/>
        <v>3.4694121114765227E-3</v>
      </c>
      <c r="D660" s="1" t="str">
        <f>IF(COUNTIF(Target1[Target Dates],Benchmark2[[#This Row],[Benchmark '#2 Dates]])=1,"Pass","Fail")</f>
        <v>Pass</v>
      </c>
      <c r="E660" s="6">
        <f>IF(Benchmark2[[#This Row],[Target Date Check]]="Pass",INDEX(Target1[Target Price],MATCH(Benchmark2[[#This Row],[Benchmark '#2 Dates]],Target1[Target Dates],0)),"-")</f>
        <v>27.37</v>
      </c>
      <c r="F660" s="1" t="str">
        <f>IF(COUNTIF(Comp1[Comparable '#1 Dates],Benchmark2[[#This Row],[Benchmark '#2 Dates]])=1,"Pass","Fail")</f>
        <v>Pass</v>
      </c>
      <c r="G660" s="6">
        <f>IF(Benchmark2[[#This Row],[Comparable '#1 Date Check]]="Pass",INDEX(Comp1[Comparable '#1 Price],MATCH(Benchmark2[[#This Row],[Benchmark '#2 Dates]],Comp1[Comparable '#1 Dates],0)),"-")</f>
        <v>14.45</v>
      </c>
      <c r="H660" s="1" t="str">
        <f>IF(COUNTIF(Comp2[Comparable '#2 Dates],Benchmark2[[#This Row],[Benchmark '#2 Dates]])=1,"Pass","Fail")</f>
        <v>Pass</v>
      </c>
      <c r="I660" s="6">
        <f>IF(Benchmark2[[#This Row],[Comparable '#2 Date Check]]="Pass",INDEX(Comp2[Comparable '#2 Price],MATCH(Benchmark2[[#This Row],[Benchmark '#2 Dates]],Comp2[Comparable '#2 Dates],0)),"-")</f>
        <v>38.950000000000003</v>
      </c>
      <c r="J660" s="1" t="str">
        <f>IF(COUNTIF(Comp3[Comparable '#3 Dates],Benchmark2[[#This Row],[Benchmark '#2 Dates]])=1,"Pass","Fail")</f>
        <v>Pass</v>
      </c>
      <c r="K660" s="6">
        <f>IF(Benchmark2[[#This Row],[Comparable '#3 Date Check]]="Pass",INDEX(Comp3[Comparable '#3 Price],MATCH(Benchmark2[[#This Row],[Benchmark '#2 Dates]],Comp3[Comparable '#3 Dates],0)),"-")</f>
        <v>93.12</v>
      </c>
    </row>
    <row r="661" spans="1:11">
      <c r="A661" s="103">
        <v>44244</v>
      </c>
      <c r="B661" s="104">
        <v>15402.587</v>
      </c>
      <c r="C661" s="4">
        <f t="shared" si="10"/>
        <v>-1.3257615675768167E-3</v>
      </c>
      <c r="D661" s="1" t="str">
        <f>IF(COUNTIF(Target1[Target Dates],Benchmark2[[#This Row],[Benchmark '#2 Dates]])=1,"Pass","Fail")</f>
        <v>Pass</v>
      </c>
      <c r="E661" s="6">
        <f>IF(Benchmark2[[#This Row],[Target Date Check]]="Pass",INDEX(Target1[Target Price],MATCH(Benchmark2[[#This Row],[Benchmark '#2 Dates]],Target1[Target Dates],0)),"-")</f>
        <v>26.24</v>
      </c>
      <c r="F661" s="1" t="str">
        <f>IF(COUNTIF(Comp1[Comparable '#1 Dates],Benchmark2[[#This Row],[Benchmark '#2 Dates]])=1,"Pass","Fail")</f>
        <v>Pass</v>
      </c>
      <c r="G661" s="6">
        <f>IF(Benchmark2[[#This Row],[Comparable '#1 Date Check]]="Pass",INDEX(Comp1[Comparable '#1 Price],MATCH(Benchmark2[[#This Row],[Benchmark '#2 Dates]],Comp1[Comparable '#1 Dates],0)),"-")</f>
        <v>14.4</v>
      </c>
      <c r="H661" s="1" t="str">
        <f>IF(COUNTIF(Comp2[Comparable '#2 Dates],Benchmark2[[#This Row],[Benchmark '#2 Dates]])=1,"Pass","Fail")</f>
        <v>Pass</v>
      </c>
      <c r="I661" s="6">
        <f>IF(Benchmark2[[#This Row],[Comparable '#2 Date Check]]="Pass",INDEX(Comp2[Comparable '#2 Price],MATCH(Benchmark2[[#This Row],[Benchmark '#2 Dates]],Comp2[Comparable '#2 Dates],0)),"-")</f>
        <v>39.75</v>
      </c>
      <c r="J661" s="1" t="str">
        <f>IF(COUNTIF(Comp3[Comparable '#3 Dates],Benchmark2[[#This Row],[Benchmark '#2 Dates]])=1,"Pass","Fail")</f>
        <v>Pass</v>
      </c>
      <c r="K661" s="6">
        <f>IF(Benchmark2[[#This Row],[Comparable '#3 Date Check]]="Pass",INDEX(Comp3[Comparable '#3 Price],MATCH(Benchmark2[[#This Row],[Benchmark '#2 Dates]],Comp3[Comparable '#3 Dates],0)),"-")</f>
        <v>92.42</v>
      </c>
    </row>
    <row r="662" spans="1:11">
      <c r="A662" s="103">
        <v>44245</v>
      </c>
      <c r="B662" s="104">
        <v>15290.636399999999</v>
      </c>
      <c r="C662" s="4">
        <f t="shared" si="10"/>
        <v>-7.2948412743844707E-3</v>
      </c>
      <c r="D662" s="1" t="str">
        <f>IF(COUNTIF(Target1[Target Dates],Benchmark2[[#This Row],[Benchmark '#2 Dates]])=1,"Pass","Fail")</f>
        <v>Pass</v>
      </c>
      <c r="E662" s="6">
        <f>IF(Benchmark2[[#This Row],[Target Date Check]]="Pass",INDEX(Target1[Target Price],MATCH(Benchmark2[[#This Row],[Benchmark '#2 Dates]],Target1[Target Dates],0)),"-")</f>
        <v>26.35</v>
      </c>
      <c r="F662" s="1" t="str">
        <f>IF(COUNTIF(Comp1[Comparable '#1 Dates],Benchmark2[[#This Row],[Benchmark '#2 Dates]])=1,"Pass","Fail")</f>
        <v>Pass</v>
      </c>
      <c r="G662" s="6">
        <f>IF(Benchmark2[[#This Row],[Comparable '#1 Date Check]]="Pass",INDEX(Comp1[Comparable '#1 Price],MATCH(Benchmark2[[#This Row],[Benchmark '#2 Dates]],Comp1[Comparable '#1 Dates],0)),"-")</f>
        <v>14.5</v>
      </c>
      <c r="H662" s="1" t="str">
        <f>IF(COUNTIF(Comp2[Comparable '#2 Dates],Benchmark2[[#This Row],[Benchmark '#2 Dates]])=1,"Pass","Fail")</f>
        <v>Pass</v>
      </c>
      <c r="I662" s="6">
        <f>IF(Benchmark2[[#This Row],[Comparable '#2 Date Check]]="Pass",INDEX(Comp2[Comparable '#2 Price],MATCH(Benchmark2[[#This Row],[Benchmark '#2 Dates]],Comp2[Comparable '#2 Dates],0)),"-")</f>
        <v>40.630000000000003</v>
      </c>
      <c r="J662" s="1" t="str">
        <f>IF(COUNTIF(Comp3[Comparable '#3 Dates],Benchmark2[[#This Row],[Benchmark '#2 Dates]])=1,"Pass","Fail")</f>
        <v>Pass</v>
      </c>
      <c r="K662" s="6">
        <f>IF(Benchmark2[[#This Row],[Comparable '#3 Date Check]]="Pass",INDEX(Comp3[Comparable '#3 Price],MATCH(Benchmark2[[#This Row],[Benchmark '#2 Dates]],Comp3[Comparable '#3 Dates],0)),"-")</f>
        <v>94.74</v>
      </c>
    </row>
    <row r="663" spans="1:11">
      <c r="A663" s="103">
        <v>44246</v>
      </c>
      <c r="B663" s="104">
        <v>15362.6913</v>
      </c>
      <c r="C663" s="4">
        <f t="shared" si="10"/>
        <v>4.7012861650006397E-3</v>
      </c>
      <c r="D663" s="1" t="str">
        <f>IF(COUNTIF(Target1[Target Dates],Benchmark2[[#This Row],[Benchmark '#2 Dates]])=1,"Pass","Fail")</f>
        <v>Pass</v>
      </c>
      <c r="E663" s="6">
        <f>IF(Benchmark2[[#This Row],[Target Date Check]]="Pass",INDEX(Target1[Target Price],MATCH(Benchmark2[[#This Row],[Benchmark '#2 Dates]],Target1[Target Dates],0)),"-")</f>
        <v>25.56</v>
      </c>
      <c r="F663" s="1" t="str">
        <f>IF(COUNTIF(Comp1[Comparable '#1 Dates],Benchmark2[[#This Row],[Benchmark '#2 Dates]])=1,"Pass","Fail")</f>
        <v>Pass</v>
      </c>
      <c r="G663" s="6">
        <f>IF(Benchmark2[[#This Row],[Comparable '#1 Date Check]]="Pass",INDEX(Comp1[Comparable '#1 Price],MATCH(Benchmark2[[#This Row],[Benchmark '#2 Dates]],Comp1[Comparable '#1 Dates],0)),"-")</f>
        <v>14.6</v>
      </c>
      <c r="H663" s="1" t="str">
        <f>IF(COUNTIF(Comp2[Comparable '#2 Dates],Benchmark2[[#This Row],[Benchmark '#2 Dates]])=1,"Pass","Fail")</f>
        <v>Pass</v>
      </c>
      <c r="I663" s="6">
        <f>IF(Benchmark2[[#This Row],[Comparable '#2 Date Check]]="Pass",INDEX(Comp2[Comparable '#2 Price],MATCH(Benchmark2[[#This Row],[Benchmark '#2 Dates]],Comp2[Comparable '#2 Dates],0)),"-")</f>
        <v>41.33</v>
      </c>
      <c r="J663" s="1" t="str">
        <f>IF(COUNTIF(Comp3[Comparable '#3 Dates],Benchmark2[[#This Row],[Benchmark '#2 Dates]])=1,"Pass","Fail")</f>
        <v>Pass</v>
      </c>
      <c r="K663" s="6">
        <f>IF(Benchmark2[[#This Row],[Comparable '#3 Date Check]]="Pass",INDEX(Comp3[Comparable '#3 Price],MATCH(Benchmark2[[#This Row],[Benchmark '#2 Dates]],Comp3[Comparable '#3 Dates],0)),"-")</f>
        <v>94.22</v>
      </c>
    </row>
    <row r="664" spans="1:11">
      <c r="A664" s="103">
        <v>44249</v>
      </c>
      <c r="B664" s="104">
        <v>15340.4746</v>
      </c>
      <c r="C664" s="4">
        <f t="shared" si="10"/>
        <v>-1.447193032135906E-3</v>
      </c>
      <c r="D664" s="1" t="str">
        <f>IF(COUNTIF(Target1[Target Dates],Benchmark2[[#This Row],[Benchmark '#2 Dates]])=1,"Pass","Fail")</f>
        <v>Pass</v>
      </c>
      <c r="E664" s="6">
        <f>IF(Benchmark2[[#This Row],[Target Date Check]]="Pass",INDEX(Target1[Target Price],MATCH(Benchmark2[[#This Row],[Benchmark '#2 Dates]],Target1[Target Dates],0)),"-")</f>
        <v>25.07</v>
      </c>
      <c r="F664" s="1" t="str">
        <f>IF(COUNTIF(Comp1[Comparable '#1 Dates],Benchmark2[[#This Row],[Benchmark '#2 Dates]])=1,"Pass","Fail")</f>
        <v>Pass</v>
      </c>
      <c r="G664" s="6">
        <f>IF(Benchmark2[[#This Row],[Comparable '#1 Date Check]]="Pass",INDEX(Comp1[Comparable '#1 Price],MATCH(Benchmark2[[#This Row],[Benchmark '#2 Dates]],Comp1[Comparable '#1 Dates],0)),"-")</f>
        <v>14.35</v>
      </c>
      <c r="H664" s="1" t="str">
        <f>IF(COUNTIF(Comp2[Comparable '#2 Dates],Benchmark2[[#This Row],[Benchmark '#2 Dates]])=1,"Pass","Fail")</f>
        <v>Pass</v>
      </c>
      <c r="I664" s="6">
        <f>IF(Benchmark2[[#This Row],[Comparable '#2 Date Check]]="Pass",INDEX(Comp2[Comparable '#2 Price],MATCH(Benchmark2[[#This Row],[Benchmark '#2 Dates]],Comp2[Comparable '#2 Dates],0)),"-")</f>
        <v>41.1</v>
      </c>
      <c r="J664" s="1" t="str">
        <f>IF(COUNTIF(Comp3[Comparable '#3 Dates],Benchmark2[[#This Row],[Benchmark '#2 Dates]])=1,"Pass","Fail")</f>
        <v>Pass</v>
      </c>
      <c r="K664" s="6">
        <f>IF(Benchmark2[[#This Row],[Comparable '#3 Date Check]]="Pass",INDEX(Comp3[Comparable '#3 Price],MATCH(Benchmark2[[#This Row],[Benchmark '#2 Dates]],Comp3[Comparable '#3 Dates],0)),"-")</f>
        <v>90.67</v>
      </c>
    </row>
    <row r="665" spans="1:11">
      <c r="A665" s="103">
        <v>44250</v>
      </c>
      <c r="B665" s="104">
        <v>15359.134400000001</v>
      </c>
      <c r="C665" s="4">
        <f t="shared" si="10"/>
        <v>1.2156377820915377E-3</v>
      </c>
      <c r="D665" s="1" t="str">
        <f>IF(COUNTIF(Target1[Target Dates],Benchmark2[[#This Row],[Benchmark '#2 Dates]])=1,"Pass","Fail")</f>
        <v>Pass</v>
      </c>
      <c r="E665" s="6">
        <f>IF(Benchmark2[[#This Row],[Target Date Check]]="Pass",INDEX(Target1[Target Price],MATCH(Benchmark2[[#This Row],[Benchmark '#2 Dates]],Target1[Target Dates],0)),"-")</f>
        <v>24.72</v>
      </c>
      <c r="F665" s="1" t="str">
        <f>IF(COUNTIF(Comp1[Comparable '#1 Dates],Benchmark2[[#This Row],[Benchmark '#2 Dates]])=1,"Pass","Fail")</f>
        <v>Pass</v>
      </c>
      <c r="G665" s="6">
        <f>IF(Benchmark2[[#This Row],[Comparable '#1 Date Check]]="Pass",INDEX(Comp1[Comparable '#1 Price],MATCH(Benchmark2[[#This Row],[Benchmark '#2 Dates]],Comp1[Comparable '#1 Dates],0)),"-")</f>
        <v>14.35</v>
      </c>
      <c r="H665" s="1" t="str">
        <f>IF(COUNTIF(Comp2[Comparable '#2 Dates],Benchmark2[[#This Row],[Benchmark '#2 Dates]])=1,"Pass","Fail")</f>
        <v>Pass</v>
      </c>
      <c r="I665" s="6">
        <f>IF(Benchmark2[[#This Row],[Comparable '#2 Date Check]]="Pass",INDEX(Comp2[Comparable '#2 Price],MATCH(Benchmark2[[#This Row],[Benchmark '#2 Dates]],Comp2[Comparable '#2 Dates],0)),"-")</f>
        <v>40.619999999999997</v>
      </c>
      <c r="J665" s="1" t="str">
        <f>IF(COUNTIF(Comp3[Comparable '#3 Dates],Benchmark2[[#This Row],[Benchmark '#2 Dates]])=1,"Pass","Fail")</f>
        <v>Pass</v>
      </c>
      <c r="K665" s="6">
        <f>IF(Benchmark2[[#This Row],[Comparable '#3 Date Check]]="Pass",INDEX(Comp3[Comparable '#3 Price],MATCH(Benchmark2[[#This Row],[Benchmark '#2 Dates]],Comp3[Comparable '#3 Dates],0)),"-")</f>
        <v>92.87</v>
      </c>
    </row>
    <row r="666" spans="1:11">
      <c r="A666" s="103">
        <v>44251</v>
      </c>
      <c r="B666" s="104">
        <v>15539.418799999999</v>
      </c>
      <c r="C666" s="4">
        <f t="shared" si="10"/>
        <v>1.1669572017790312E-2</v>
      </c>
      <c r="D666" s="1" t="str">
        <f>IF(COUNTIF(Target1[Target Dates],Benchmark2[[#This Row],[Benchmark '#2 Dates]])=1,"Pass","Fail")</f>
        <v>Pass</v>
      </c>
      <c r="E666" s="6">
        <f>IF(Benchmark2[[#This Row],[Target Date Check]]="Pass",INDEX(Target1[Target Price],MATCH(Benchmark2[[#This Row],[Benchmark '#2 Dates]],Target1[Target Dates],0)),"-")</f>
        <v>25.19</v>
      </c>
      <c r="F666" s="1" t="str">
        <f>IF(COUNTIF(Comp1[Comparable '#1 Dates],Benchmark2[[#This Row],[Benchmark '#2 Dates]])=1,"Pass","Fail")</f>
        <v>Pass</v>
      </c>
      <c r="G666" s="6">
        <f>IF(Benchmark2[[#This Row],[Comparable '#1 Date Check]]="Pass",INDEX(Comp1[Comparable '#1 Price],MATCH(Benchmark2[[#This Row],[Benchmark '#2 Dates]],Comp1[Comparable '#1 Dates],0)),"-")</f>
        <v>14.82</v>
      </c>
      <c r="H666" s="1" t="str">
        <f>IF(COUNTIF(Comp2[Comparable '#2 Dates],Benchmark2[[#This Row],[Benchmark '#2 Dates]])=1,"Pass","Fail")</f>
        <v>Pass</v>
      </c>
      <c r="I666" s="6">
        <f>IF(Benchmark2[[#This Row],[Comparable '#2 Date Check]]="Pass",INDEX(Comp2[Comparable '#2 Price],MATCH(Benchmark2[[#This Row],[Benchmark '#2 Dates]],Comp2[Comparable '#2 Dates],0)),"-")</f>
        <v>41.33</v>
      </c>
      <c r="J666" s="1" t="str">
        <f>IF(COUNTIF(Comp3[Comparable '#3 Dates],Benchmark2[[#This Row],[Benchmark '#2 Dates]])=1,"Pass","Fail")</f>
        <v>Pass</v>
      </c>
      <c r="K666" s="6">
        <f>IF(Benchmark2[[#This Row],[Comparable '#3 Date Check]]="Pass",INDEX(Comp3[Comparable '#3 Price],MATCH(Benchmark2[[#This Row],[Benchmark '#2 Dates]],Comp3[Comparable '#3 Dates],0)),"-")</f>
        <v>93.93</v>
      </c>
    </row>
    <row r="667" spans="1:11">
      <c r="A667" s="103">
        <v>44252</v>
      </c>
      <c r="B667" s="104">
        <v>15206.6672</v>
      </c>
      <c r="C667" s="4">
        <f t="shared" si="10"/>
        <v>-2.1645980722225667E-2</v>
      </c>
      <c r="D667" s="1" t="str">
        <f>IF(COUNTIF(Target1[Target Dates],Benchmark2[[#This Row],[Benchmark '#2 Dates]])=1,"Pass","Fail")</f>
        <v>Pass</v>
      </c>
      <c r="E667" s="6">
        <f>IF(Benchmark2[[#This Row],[Target Date Check]]="Pass",INDEX(Target1[Target Price],MATCH(Benchmark2[[#This Row],[Benchmark '#2 Dates]],Target1[Target Dates],0)),"-")</f>
        <v>25.09</v>
      </c>
      <c r="F667" s="1" t="str">
        <f>IF(COUNTIF(Comp1[Comparable '#1 Dates],Benchmark2[[#This Row],[Benchmark '#2 Dates]])=1,"Pass","Fail")</f>
        <v>Pass</v>
      </c>
      <c r="G667" s="6">
        <f>IF(Benchmark2[[#This Row],[Comparable '#1 Date Check]]="Pass",INDEX(Comp1[Comparable '#1 Price],MATCH(Benchmark2[[#This Row],[Benchmark '#2 Dates]],Comp1[Comparable '#1 Dates],0)),"-")</f>
        <v>13.74</v>
      </c>
      <c r="H667" s="1" t="str">
        <f>IF(COUNTIF(Comp2[Comparable '#2 Dates],Benchmark2[[#This Row],[Benchmark '#2 Dates]])=1,"Pass","Fail")</f>
        <v>Pass</v>
      </c>
      <c r="I667" s="6">
        <f>IF(Benchmark2[[#This Row],[Comparable '#2 Date Check]]="Pass",INDEX(Comp2[Comparable '#2 Price],MATCH(Benchmark2[[#This Row],[Benchmark '#2 Dates]],Comp2[Comparable '#2 Dates],0)),"-")</f>
        <v>39.67</v>
      </c>
      <c r="J667" s="1" t="str">
        <f>IF(COUNTIF(Comp3[Comparable '#3 Dates],Benchmark2[[#This Row],[Benchmark '#2 Dates]])=1,"Pass","Fail")</f>
        <v>Pass</v>
      </c>
      <c r="K667" s="6">
        <f>IF(Benchmark2[[#This Row],[Comparable '#3 Date Check]]="Pass",INDEX(Comp3[Comparable '#3 Price],MATCH(Benchmark2[[#This Row],[Benchmark '#2 Dates]],Comp3[Comparable '#3 Dates],0)),"-")</f>
        <v>90.47</v>
      </c>
    </row>
    <row r="668" spans="1:11">
      <c r="A668" s="103">
        <v>44253</v>
      </c>
      <c r="B668" s="104">
        <v>15010.4656</v>
      </c>
      <c r="C668" s="4">
        <f t="shared" si="10"/>
        <v>-1.2986298775733983E-2</v>
      </c>
      <c r="D668" s="1" t="str">
        <f>IF(COUNTIF(Target1[Target Dates],Benchmark2[[#This Row],[Benchmark '#2 Dates]])=1,"Pass","Fail")</f>
        <v>Pass</v>
      </c>
      <c r="E668" s="6">
        <f>IF(Benchmark2[[#This Row],[Target Date Check]]="Pass",INDEX(Target1[Target Price],MATCH(Benchmark2[[#This Row],[Benchmark '#2 Dates]],Target1[Target Dates],0)),"-")</f>
        <v>24.05</v>
      </c>
      <c r="F668" s="1" t="str">
        <f>IF(COUNTIF(Comp1[Comparable '#1 Dates],Benchmark2[[#This Row],[Benchmark '#2 Dates]])=1,"Pass","Fail")</f>
        <v>Pass</v>
      </c>
      <c r="G668" s="6">
        <f>IF(Benchmark2[[#This Row],[Comparable '#1 Date Check]]="Pass",INDEX(Comp1[Comparable '#1 Price],MATCH(Benchmark2[[#This Row],[Benchmark '#2 Dates]],Comp1[Comparable '#1 Dates],0)),"-")</f>
        <v>13.75</v>
      </c>
      <c r="H668" s="1" t="str">
        <f>IF(COUNTIF(Comp2[Comparable '#2 Dates],Benchmark2[[#This Row],[Benchmark '#2 Dates]])=1,"Pass","Fail")</f>
        <v>Pass</v>
      </c>
      <c r="I668" s="6">
        <f>IF(Benchmark2[[#This Row],[Comparable '#2 Date Check]]="Pass",INDEX(Comp2[Comparable '#2 Price],MATCH(Benchmark2[[#This Row],[Benchmark '#2 Dates]],Comp2[Comparable '#2 Dates],0)),"-")</f>
        <v>39.299999999999997</v>
      </c>
      <c r="J668" s="1" t="str">
        <f>IF(COUNTIF(Comp3[Comparable '#3 Dates],Benchmark2[[#This Row],[Benchmark '#2 Dates]])=1,"Pass","Fail")</f>
        <v>Pass</v>
      </c>
      <c r="K668" s="6">
        <f>IF(Benchmark2[[#This Row],[Comparable '#3 Date Check]]="Pass",INDEX(Comp3[Comparable '#3 Price],MATCH(Benchmark2[[#This Row],[Benchmark '#2 Dates]],Comp3[Comparable '#3 Dates],0)),"-")</f>
        <v>90.92</v>
      </c>
    </row>
    <row r="669" spans="1:11">
      <c r="A669" s="103">
        <v>44256</v>
      </c>
      <c r="B669" s="104">
        <v>15327.773999999999</v>
      </c>
      <c r="C669" s="4">
        <f t="shared" si="10"/>
        <v>2.091881237620008E-2</v>
      </c>
      <c r="D669" s="1" t="str">
        <f>IF(COUNTIF(Target1[Target Dates],Benchmark2[[#This Row],[Benchmark '#2 Dates]])=1,"Pass","Fail")</f>
        <v>Pass</v>
      </c>
      <c r="E669" s="6">
        <f>IF(Benchmark2[[#This Row],[Target Date Check]]="Pass",INDEX(Target1[Target Price],MATCH(Benchmark2[[#This Row],[Benchmark '#2 Dates]],Target1[Target Dates],0)),"-")</f>
        <v>25.33</v>
      </c>
      <c r="F669" s="1" t="str">
        <f>IF(COUNTIF(Comp1[Comparable '#1 Dates],Benchmark2[[#This Row],[Benchmark '#2 Dates]])=1,"Pass","Fail")</f>
        <v>Pass</v>
      </c>
      <c r="G669" s="6">
        <f>IF(Benchmark2[[#This Row],[Comparable '#1 Date Check]]="Pass",INDEX(Comp1[Comparable '#1 Price],MATCH(Benchmark2[[#This Row],[Benchmark '#2 Dates]],Comp1[Comparable '#1 Dates],0)),"-")</f>
        <v>13.56</v>
      </c>
      <c r="H669" s="1" t="str">
        <f>IF(COUNTIF(Comp2[Comparable '#2 Dates],Benchmark2[[#This Row],[Benchmark '#2 Dates]])=1,"Pass","Fail")</f>
        <v>Pass</v>
      </c>
      <c r="I669" s="6">
        <f>IF(Benchmark2[[#This Row],[Comparable '#2 Date Check]]="Pass",INDEX(Comp2[Comparable '#2 Price],MATCH(Benchmark2[[#This Row],[Benchmark '#2 Dates]],Comp2[Comparable '#2 Dates],0)),"-")</f>
        <v>38.99</v>
      </c>
      <c r="J669" s="1" t="str">
        <f>IF(COUNTIF(Comp3[Comparable '#3 Dates],Benchmark2[[#This Row],[Benchmark '#2 Dates]])=1,"Pass","Fail")</f>
        <v>Pass</v>
      </c>
      <c r="K669" s="6">
        <f>IF(Benchmark2[[#This Row],[Comparable '#3 Date Check]]="Pass",INDEX(Comp3[Comparable '#3 Price],MATCH(Benchmark2[[#This Row],[Benchmark '#2 Dates]],Comp3[Comparable '#3 Dates],0)),"-")</f>
        <v>86.49</v>
      </c>
    </row>
    <row r="670" spans="1:11">
      <c r="A670" s="103">
        <v>44257</v>
      </c>
      <c r="B670" s="104">
        <v>15277.020699999999</v>
      </c>
      <c r="C670" s="4">
        <f t="shared" si="10"/>
        <v>-3.3166925001950837E-3</v>
      </c>
      <c r="D670" s="1" t="str">
        <f>IF(COUNTIF(Target1[Target Dates],Benchmark2[[#This Row],[Benchmark '#2 Dates]])=1,"Pass","Fail")</f>
        <v>Pass</v>
      </c>
      <c r="E670" s="6">
        <f>IF(Benchmark2[[#This Row],[Target Date Check]]="Pass",INDEX(Target1[Target Price],MATCH(Benchmark2[[#This Row],[Benchmark '#2 Dates]],Target1[Target Dates],0)),"-")</f>
        <v>24.13</v>
      </c>
      <c r="F670" s="1" t="str">
        <f>IF(COUNTIF(Comp1[Comparable '#1 Dates],Benchmark2[[#This Row],[Benchmark '#2 Dates]])=1,"Pass","Fail")</f>
        <v>Pass</v>
      </c>
      <c r="G670" s="6">
        <f>IF(Benchmark2[[#This Row],[Comparable '#1 Date Check]]="Pass",INDEX(Comp1[Comparable '#1 Price],MATCH(Benchmark2[[#This Row],[Benchmark '#2 Dates]],Comp1[Comparable '#1 Dates],0)),"-")</f>
        <v>13.76</v>
      </c>
      <c r="H670" s="1" t="str">
        <f>IF(COUNTIF(Comp2[Comparable '#2 Dates],Benchmark2[[#This Row],[Benchmark '#2 Dates]])=1,"Pass","Fail")</f>
        <v>Pass</v>
      </c>
      <c r="I670" s="6">
        <f>IF(Benchmark2[[#This Row],[Comparable '#2 Date Check]]="Pass",INDEX(Comp2[Comparable '#2 Price],MATCH(Benchmark2[[#This Row],[Benchmark '#2 Dates]],Comp2[Comparable '#2 Dates],0)),"-")</f>
        <v>38.35</v>
      </c>
      <c r="J670" s="1" t="str">
        <f>IF(COUNTIF(Comp3[Comparable '#3 Dates],Benchmark2[[#This Row],[Benchmark '#2 Dates]])=1,"Pass","Fail")</f>
        <v>Pass</v>
      </c>
      <c r="K670" s="6">
        <f>IF(Benchmark2[[#This Row],[Comparable '#3 Date Check]]="Pass",INDEX(Comp3[Comparable '#3 Price],MATCH(Benchmark2[[#This Row],[Benchmark '#2 Dates]],Comp3[Comparable '#3 Dates],0)),"-")</f>
        <v>79.709999999999994</v>
      </c>
    </row>
    <row r="671" spans="1:11">
      <c r="A671" s="103">
        <v>44258</v>
      </c>
      <c r="B671" s="104">
        <v>15199.1945</v>
      </c>
      <c r="C671" s="4">
        <f t="shared" si="10"/>
        <v>-5.1073513337622058E-3</v>
      </c>
      <c r="D671" s="1" t="str">
        <f>IF(COUNTIF(Target1[Target Dates],Benchmark2[[#This Row],[Benchmark '#2 Dates]])=1,"Pass","Fail")</f>
        <v>Pass</v>
      </c>
      <c r="E671" s="6">
        <f>IF(Benchmark2[[#This Row],[Target Date Check]]="Pass",INDEX(Target1[Target Price],MATCH(Benchmark2[[#This Row],[Benchmark '#2 Dates]],Target1[Target Dates],0)),"-")</f>
        <v>24.15</v>
      </c>
      <c r="F671" s="1" t="str">
        <f>IF(COUNTIF(Comp1[Comparable '#1 Dates],Benchmark2[[#This Row],[Benchmark '#2 Dates]])=1,"Pass","Fail")</f>
        <v>Pass</v>
      </c>
      <c r="G671" s="6">
        <f>IF(Benchmark2[[#This Row],[Comparable '#1 Date Check]]="Pass",INDEX(Comp1[Comparable '#1 Price],MATCH(Benchmark2[[#This Row],[Benchmark '#2 Dates]],Comp1[Comparable '#1 Dates],0)),"-")</f>
        <v>13.12</v>
      </c>
      <c r="H671" s="1" t="str">
        <f>IF(COUNTIF(Comp2[Comparable '#2 Dates],Benchmark2[[#This Row],[Benchmark '#2 Dates]])=1,"Pass","Fail")</f>
        <v>Pass</v>
      </c>
      <c r="I671" s="6">
        <f>IF(Benchmark2[[#This Row],[Comparable '#2 Date Check]]="Pass",INDEX(Comp2[Comparable '#2 Price],MATCH(Benchmark2[[#This Row],[Benchmark '#2 Dates]],Comp2[Comparable '#2 Dates],0)),"-")</f>
        <v>38.299999999999997</v>
      </c>
      <c r="J671" s="1" t="str">
        <f>IF(COUNTIF(Comp3[Comparable '#3 Dates],Benchmark2[[#This Row],[Benchmark '#2 Dates]])=1,"Pass","Fail")</f>
        <v>Pass</v>
      </c>
      <c r="K671" s="6">
        <f>IF(Benchmark2[[#This Row],[Comparable '#3 Date Check]]="Pass",INDEX(Comp3[Comparable '#3 Price],MATCH(Benchmark2[[#This Row],[Benchmark '#2 Dates]],Comp3[Comparable '#3 Dates],0)),"-")</f>
        <v>79.06</v>
      </c>
    </row>
    <row r="672" spans="1:11">
      <c r="A672" s="103">
        <v>44259</v>
      </c>
      <c r="B672" s="104">
        <v>14959.4115</v>
      </c>
      <c r="C672" s="4">
        <f t="shared" si="10"/>
        <v>-1.5901799489708723E-2</v>
      </c>
      <c r="D672" s="1" t="str">
        <f>IF(COUNTIF(Target1[Target Dates],Benchmark2[[#This Row],[Benchmark '#2 Dates]])=1,"Pass","Fail")</f>
        <v>Pass</v>
      </c>
      <c r="E672" s="6">
        <f>IF(Benchmark2[[#This Row],[Target Date Check]]="Pass",INDEX(Target1[Target Price],MATCH(Benchmark2[[#This Row],[Benchmark '#2 Dates]],Target1[Target Dates],0)),"-")</f>
        <v>24.36</v>
      </c>
      <c r="F672" s="1" t="str">
        <f>IF(COUNTIF(Comp1[Comparable '#1 Dates],Benchmark2[[#This Row],[Benchmark '#2 Dates]])=1,"Pass","Fail")</f>
        <v>Pass</v>
      </c>
      <c r="G672" s="6">
        <f>IF(Benchmark2[[#This Row],[Comparable '#1 Date Check]]="Pass",INDEX(Comp1[Comparable '#1 Price],MATCH(Benchmark2[[#This Row],[Benchmark '#2 Dates]],Comp1[Comparable '#1 Dates],0)),"-")</f>
        <v>13.59</v>
      </c>
      <c r="H672" s="1" t="str">
        <f>IF(COUNTIF(Comp2[Comparable '#2 Dates],Benchmark2[[#This Row],[Benchmark '#2 Dates]])=1,"Pass","Fail")</f>
        <v>Pass</v>
      </c>
      <c r="I672" s="6">
        <f>IF(Benchmark2[[#This Row],[Comparable '#2 Date Check]]="Pass",INDEX(Comp2[Comparable '#2 Price],MATCH(Benchmark2[[#This Row],[Benchmark '#2 Dates]],Comp2[Comparable '#2 Dates],0)),"-")</f>
        <v>38.020000000000003</v>
      </c>
      <c r="J672" s="1" t="str">
        <f>IF(COUNTIF(Comp3[Comparable '#3 Dates],Benchmark2[[#This Row],[Benchmark '#2 Dates]])=1,"Pass","Fail")</f>
        <v>Pass</v>
      </c>
      <c r="K672" s="6">
        <f>IF(Benchmark2[[#This Row],[Comparable '#3 Date Check]]="Pass",INDEX(Comp3[Comparable '#3 Price],MATCH(Benchmark2[[#This Row],[Benchmark '#2 Dates]],Comp3[Comparable '#3 Dates],0)),"-")</f>
        <v>80.680000000000007</v>
      </c>
    </row>
    <row r="673" spans="1:11">
      <c r="A673" s="103">
        <v>44260</v>
      </c>
      <c r="B673" s="104">
        <v>15251.8331</v>
      </c>
      <c r="C673" s="4">
        <f t="shared" si="10"/>
        <v>1.9359065571005592E-2</v>
      </c>
      <c r="D673" s="1" t="str">
        <f>IF(COUNTIF(Target1[Target Dates],Benchmark2[[#This Row],[Benchmark '#2 Dates]])=1,"Pass","Fail")</f>
        <v>Pass</v>
      </c>
      <c r="E673" s="6">
        <f>IF(Benchmark2[[#This Row],[Target Date Check]]="Pass",INDEX(Target1[Target Price],MATCH(Benchmark2[[#This Row],[Benchmark '#2 Dates]],Target1[Target Dates],0)),"-")</f>
        <v>24.79</v>
      </c>
      <c r="F673" s="1" t="str">
        <f>IF(COUNTIF(Comp1[Comparable '#1 Dates],Benchmark2[[#This Row],[Benchmark '#2 Dates]])=1,"Pass","Fail")</f>
        <v>Pass</v>
      </c>
      <c r="G673" s="6">
        <f>IF(Benchmark2[[#This Row],[Comparable '#1 Date Check]]="Pass",INDEX(Comp1[Comparable '#1 Price],MATCH(Benchmark2[[#This Row],[Benchmark '#2 Dates]],Comp1[Comparable '#1 Dates],0)),"-")</f>
        <v>13.93</v>
      </c>
      <c r="H673" s="1" t="str">
        <f>IF(COUNTIF(Comp2[Comparable '#2 Dates],Benchmark2[[#This Row],[Benchmark '#2 Dates]])=1,"Pass","Fail")</f>
        <v>Pass</v>
      </c>
      <c r="I673" s="6">
        <f>IF(Benchmark2[[#This Row],[Comparable '#2 Date Check]]="Pass",INDEX(Comp2[Comparable '#2 Price],MATCH(Benchmark2[[#This Row],[Benchmark '#2 Dates]],Comp2[Comparable '#2 Dates],0)),"-")</f>
        <v>38.799999999999997</v>
      </c>
      <c r="J673" s="1" t="str">
        <f>IF(COUNTIF(Comp3[Comparable '#3 Dates],Benchmark2[[#This Row],[Benchmark '#2 Dates]])=1,"Pass","Fail")</f>
        <v>Pass</v>
      </c>
      <c r="K673" s="6">
        <f>IF(Benchmark2[[#This Row],[Comparable '#3 Date Check]]="Pass",INDEX(Comp3[Comparable '#3 Price],MATCH(Benchmark2[[#This Row],[Benchmark '#2 Dates]],Comp3[Comparable '#3 Dates],0)),"-")</f>
        <v>80.599999999999994</v>
      </c>
    </row>
    <row r="674" spans="1:11">
      <c r="A674" s="103">
        <v>44263</v>
      </c>
      <c r="B674" s="104">
        <v>15288.3832</v>
      </c>
      <c r="C674" s="4">
        <f t="shared" si="10"/>
        <v>2.3935729263455025E-3</v>
      </c>
      <c r="D674" s="1" t="str">
        <f>IF(COUNTIF(Target1[Target Dates],Benchmark2[[#This Row],[Benchmark '#2 Dates]])=1,"Pass","Fail")</f>
        <v>Pass</v>
      </c>
      <c r="E674" s="6">
        <f>IF(Benchmark2[[#This Row],[Target Date Check]]="Pass",INDEX(Target1[Target Price],MATCH(Benchmark2[[#This Row],[Benchmark '#2 Dates]],Target1[Target Dates],0)),"-")</f>
        <v>23.6</v>
      </c>
      <c r="F674" s="1" t="str">
        <f>IF(COUNTIF(Comp1[Comparable '#1 Dates],Benchmark2[[#This Row],[Benchmark '#2 Dates]])=1,"Pass","Fail")</f>
        <v>Pass</v>
      </c>
      <c r="G674" s="6">
        <f>IF(Benchmark2[[#This Row],[Comparable '#1 Date Check]]="Pass",INDEX(Comp1[Comparable '#1 Price],MATCH(Benchmark2[[#This Row],[Benchmark '#2 Dates]],Comp1[Comparable '#1 Dates],0)),"-")</f>
        <v>13.82</v>
      </c>
      <c r="H674" s="1" t="str">
        <f>IF(COUNTIF(Comp2[Comparable '#2 Dates],Benchmark2[[#This Row],[Benchmark '#2 Dates]])=1,"Pass","Fail")</f>
        <v>Pass</v>
      </c>
      <c r="I674" s="6">
        <f>IF(Benchmark2[[#This Row],[Comparable '#2 Date Check]]="Pass",INDEX(Comp2[Comparable '#2 Price],MATCH(Benchmark2[[#This Row],[Benchmark '#2 Dates]],Comp2[Comparable '#2 Dates],0)),"-")</f>
        <v>38.35</v>
      </c>
      <c r="J674" s="1" t="str">
        <f>IF(COUNTIF(Comp3[Comparable '#3 Dates],Benchmark2[[#This Row],[Benchmark '#2 Dates]])=1,"Pass","Fail")</f>
        <v>Pass</v>
      </c>
      <c r="K674" s="6">
        <f>IF(Benchmark2[[#This Row],[Comparable '#3 Date Check]]="Pass",INDEX(Comp3[Comparable '#3 Price],MATCH(Benchmark2[[#This Row],[Benchmark '#2 Dates]],Comp3[Comparable '#3 Dates],0)),"-")</f>
        <v>83.51</v>
      </c>
    </row>
    <row r="675" spans="1:11">
      <c r="A675" s="103">
        <v>44264</v>
      </c>
      <c r="B675" s="104">
        <v>15375.632100000001</v>
      </c>
      <c r="C675" s="4">
        <f t="shared" si="10"/>
        <v>5.6906530080009371E-3</v>
      </c>
      <c r="D675" s="1" t="str">
        <f>IF(COUNTIF(Target1[Target Dates],Benchmark2[[#This Row],[Benchmark '#2 Dates]])=1,"Pass","Fail")</f>
        <v>Pass</v>
      </c>
      <c r="E675" s="6">
        <f>IF(Benchmark2[[#This Row],[Target Date Check]]="Pass",INDEX(Target1[Target Price],MATCH(Benchmark2[[#This Row],[Benchmark '#2 Dates]],Target1[Target Dates],0)),"-")</f>
        <v>24.27</v>
      </c>
      <c r="F675" s="1" t="str">
        <f>IF(COUNTIF(Comp1[Comparable '#1 Dates],Benchmark2[[#This Row],[Benchmark '#2 Dates]])=1,"Pass","Fail")</f>
        <v>Pass</v>
      </c>
      <c r="G675" s="6">
        <f>IF(Benchmark2[[#This Row],[Comparable '#1 Date Check]]="Pass",INDEX(Comp1[Comparable '#1 Price],MATCH(Benchmark2[[#This Row],[Benchmark '#2 Dates]],Comp1[Comparable '#1 Dates],0)),"-")</f>
        <v>13.79</v>
      </c>
      <c r="H675" s="1" t="str">
        <f>IF(COUNTIF(Comp2[Comparable '#2 Dates],Benchmark2[[#This Row],[Benchmark '#2 Dates]])=1,"Pass","Fail")</f>
        <v>Pass</v>
      </c>
      <c r="I675" s="6">
        <f>IF(Benchmark2[[#This Row],[Comparable '#2 Date Check]]="Pass",INDEX(Comp2[Comparable '#2 Price],MATCH(Benchmark2[[#This Row],[Benchmark '#2 Dates]],Comp2[Comparable '#2 Dates],0)),"-")</f>
        <v>39.51</v>
      </c>
      <c r="J675" s="1" t="str">
        <f>IF(COUNTIF(Comp3[Comparable '#3 Dates],Benchmark2[[#This Row],[Benchmark '#2 Dates]])=1,"Pass","Fail")</f>
        <v>Pass</v>
      </c>
      <c r="K675" s="6">
        <f>IF(Benchmark2[[#This Row],[Comparable '#3 Date Check]]="Pass",INDEX(Comp3[Comparable '#3 Price],MATCH(Benchmark2[[#This Row],[Benchmark '#2 Dates]],Comp3[Comparable '#3 Dates],0)),"-")</f>
        <v>82.91</v>
      </c>
    </row>
    <row r="676" spans="1:11">
      <c r="A676" s="103">
        <v>44265</v>
      </c>
      <c r="B676" s="104">
        <v>15521.8351</v>
      </c>
      <c r="C676" s="4">
        <f t="shared" si="10"/>
        <v>9.4638237019201432E-3</v>
      </c>
      <c r="D676" s="1" t="str">
        <f>IF(COUNTIF(Target1[Target Dates],Benchmark2[[#This Row],[Benchmark '#2 Dates]])=1,"Pass","Fail")</f>
        <v>Pass</v>
      </c>
      <c r="E676" s="6">
        <f>IF(Benchmark2[[#This Row],[Target Date Check]]="Pass",INDEX(Target1[Target Price],MATCH(Benchmark2[[#This Row],[Benchmark '#2 Dates]],Target1[Target Dates],0)),"-")</f>
        <v>24.84</v>
      </c>
      <c r="F676" s="1" t="str">
        <f>IF(COUNTIF(Comp1[Comparable '#1 Dates],Benchmark2[[#This Row],[Benchmark '#2 Dates]])=1,"Pass","Fail")</f>
        <v>Pass</v>
      </c>
      <c r="G676" s="6">
        <f>IF(Benchmark2[[#This Row],[Comparable '#1 Date Check]]="Pass",INDEX(Comp1[Comparable '#1 Price],MATCH(Benchmark2[[#This Row],[Benchmark '#2 Dates]],Comp1[Comparable '#1 Dates],0)),"-")</f>
        <v>13.92</v>
      </c>
      <c r="H676" s="1" t="str">
        <f>IF(COUNTIF(Comp2[Comparable '#2 Dates],Benchmark2[[#This Row],[Benchmark '#2 Dates]])=1,"Pass","Fail")</f>
        <v>Pass</v>
      </c>
      <c r="I676" s="6">
        <f>IF(Benchmark2[[#This Row],[Comparable '#2 Date Check]]="Pass",INDEX(Comp2[Comparable '#2 Price],MATCH(Benchmark2[[#This Row],[Benchmark '#2 Dates]],Comp2[Comparable '#2 Dates],0)),"-")</f>
        <v>39.22</v>
      </c>
      <c r="J676" s="1" t="str">
        <f>IF(COUNTIF(Comp3[Comparable '#3 Dates],Benchmark2[[#This Row],[Benchmark '#2 Dates]])=1,"Pass","Fail")</f>
        <v>Pass</v>
      </c>
      <c r="K676" s="6">
        <f>IF(Benchmark2[[#This Row],[Comparable '#3 Date Check]]="Pass",INDEX(Comp3[Comparable '#3 Price],MATCH(Benchmark2[[#This Row],[Benchmark '#2 Dates]],Comp3[Comparable '#3 Dates],0)),"-")</f>
        <v>83.82</v>
      </c>
    </row>
    <row r="677" spans="1:11">
      <c r="A677" s="103">
        <v>44266</v>
      </c>
      <c r="B677" s="104">
        <v>15648.0049</v>
      </c>
      <c r="C677" s="4">
        <f t="shared" si="10"/>
        <v>8.0956776869312262E-3</v>
      </c>
      <c r="D677" s="1" t="str">
        <f>IF(COUNTIF(Target1[Target Dates],Benchmark2[[#This Row],[Benchmark '#2 Dates]])=1,"Pass","Fail")</f>
        <v>Pass</v>
      </c>
      <c r="E677" s="6">
        <f>IF(Benchmark2[[#This Row],[Target Date Check]]="Pass",INDEX(Target1[Target Price],MATCH(Benchmark2[[#This Row],[Benchmark '#2 Dates]],Target1[Target Dates],0)),"-")</f>
        <v>27.08</v>
      </c>
      <c r="F677" s="1" t="str">
        <f>IF(COUNTIF(Comp1[Comparable '#1 Dates],Benchmark2[[#This Row],[Benchmark '#2 Dates]])=1,"Pass","Fail")</f>
        <v>Pass</v>
      </c>
      <c r="G677" s="6">
        <f>IF(Benchmark2[[#This Row],[Comparable '#1 Date Check]]="Pass",INDEX(Comp1[Comparable '#1 Price],MATCH(Benchmark2[[#This Row],[Benchmark '#2 Dates]],Comp1[Comparable '#1 Dates],0)),"-")</f>
        <v>14.35</v>
      </c>
      <c r="H677" s="1" t="str">
        <f>IF(COUNTIF(Comp2[Comparable '#2 Dates],Benchmark2[[#This Row],[Benchmark '#2 Dates]])=1,"Pass","Fail")</f>
        <v>Pass</v>
      </c>
      <c r="I677" s="6">
        <f>IF(Benchmark2[[#This Row],[Comparable '#2 Date Check]]="Pass",INDEX(Comp2[Comparable '#2 Price],MATCH(Benchmark2[[#This Row],[Benchmark '#2 Dates]],Comp2[Comparable '#2 Dates],0)),"-")</f>
        <v>40.119999999999997</v>
      </c>
      <c r="J677" s="1" t="str">
        <f>IF(COUNTIF(Comp3[Comparable '#3 Dates],Benchmark2[[#This Row],[Benchmark '#2 Dates]])=1,"Pass","Fail")</f>
        <v>Pass</v>
      </c>
      <c r="K677" s="6">
        <f>IF(Benchmark2[[#This Row],[Comparable '#3 Date Check]]="Pass",INDEX(Comp3[Comparable '#3 Price],MATCH(Benchmark2[[#This Row],[Benchmark '#2 Dates]],Comp3[Comparable '#3 Dates],0)),"-")</f>
        <v>87.39</v>
      </c>
    </row>
    <row r="678" spans="1:11">
      <c r="A678" s="103">
        <v>44267</v>
      </c>
      <c r="B678" s="104">
        <v>15715.206700000001</v>
      </c>
      <c r="C678" s="4">
        <f t="shared" si="10"/>
        <v>4.2853967700568893E-3</v>
      </c>
      <c r="D678" s="1" t="str">
        <f>IF(COUNTIF(Target1[Target Dates],Benchmark2[[#This Row],[Benchmark '#2 Dates]])=1,"Pass","Fail")</f>
        <v>Pass</v>
      </c>
      <c r="E678" s="6">
        <f>IF(Benchmark2[[#This Row],[Target Date Check]]="Pass",INDEX(Target1[Target Price],MATCH(Benchmark2[[#This Row],[Benchmark '#2 Dates]],Target1[Target Dates],0)),"-")</f>
        <v>28.73</v>
      </c>
      <c r="F678" s="1" t="str">
        <f>IF(COUNTIF(Comp1[Comparable '#1 Dates],Benchmark2[[#This Row],[Benchmark '#2 Dates]])=1,"Pass","Fail")</f>
        <v>Pass</v>
      </c>
      <c r="G678" s="6">
        <f>IF(Benchmark2[[#This Row],[Comparable '#1 Date Check]]="Pass",INDEX(Comp1[Comparable '#1 Price],MATCH(Benchmark2[[#This Row],[Benchmark '#2 Dates]],Comp1[Comparable '#1 Dates],0)),"-")</f>
        <v>14.56</v>
      </c>
      <c r="H678" s="1" t="str">
        <f>IF(COUNTIF(Comp2[Comparable '#2 Dates],Benchmark2[[#This Row],[Benchmark '#2 Dates]])=1,"Pass","Fail")</f>
        <v>Pass</v>
      </c>
      <c r="I678" s="6">
        <f>IF(Benchmark2[[#This Row],[Comparable '#2 Date Check]]="Pass",INDEX(Comp2[Comparable '#2 Price],MATCH(Benchmark2[[#This Row],[Benchmark '#2 Dates]],Comp2[Comparable '#2 Dates],0)),"-")</f>
        <v>41.69</v>
      </c>
      <c r="J678" s="1" t="str">
        <f>IF(COUNTIF(Comp3[Comparable '#3 Dates],Benchmark2[[#This Row],[Benchmark '#2 Dates]])=1,"Pass","Fail")</f>
        <v>Pass</v>
      </c>
      <c r="K678" s="6">
        <f>IF(Benchmark2[[#This Row],[Comparable '#3 Date Check]]="Pass",INDEX(Comp3[Comparable '#3 Price],MATCH(Benchmark2[[#This Row],[Benchmark '#2 Dates]],Comp3[Comparable '#3 Dates],0)),"-")</f>
        <v>88.84</v>
      </c>
    </row>
    <row r="679" spans="1:11">
      <c r="A679" s="103">
        <v>44270</v>
      </c>
      <c r="B679" s="104">
        <v>15775.502500000001</v>
      </c>
      <c r="C679" s="4">
        <f t="shared" si="10"/>
        <v>3.8294389180969939E-3</v>
      </c>
      <c r="D679" s="1" t="str">
        <f>IF(COUNTIF(Target1[Target Dates],Benchmark2[[#This Row],[Benchmark '#2 Dates]])=1,"Pass","Fail")</f>
        <v>Pass</v>
      </c>
      <c r="E679" s="6">
        <f>IF(Benchmark2[[#This Row],[Target Date Check]]="Pass",INDEX(Target1[Target Price],MATCH(Benchmark2[[#This Row],[Benchmark '#2 Dates]],Target1[Target Dates],0)),"-")</f>
        <v>28.24</v>
      </c>
      <c r="F679" s="1" t="str">
        <f>IF(COUNTIF(Comp1[Comparable '#1 Dates],Benchmark2[[#This Row],[Benchmark '#2 Dates]])=1,"Pass","Fail")</f>
        <v>Pass</v>
      </c>
      <c r="G679" s="6">
        <f>IF(Benchmark2[[#This Row],[Comparable '#1 Date Check]]="Pass",INDEX(Comp1[Comparable '#1 Price],MATCH(Benchmark2[[#This Row],[Benchmark '#2 Dates]],Comp1[Comparable '#1 Dates],0)),"-")</f>
        <v>14.41</v>
      </c>
      <c r="H679" s="1" t="str">
        <f>IF(COUNTIF(Comp2[Comparable '#2 Dates],Benchmark2[[#This Row],[Benchmark '#2 Dates]])=1,"Pass","Fail")</f>
        <v>Pass</v>
      </c>
      <c r="I679" s="6">
        <f>IF(Benchmark2[[#This Row],[Comparable '#2 Date Check]]="Pass",INDEX(Comp2[Comparable '#2 Price],MATCH(Benchmark2[[#This Row],[Benchmark '#2 Dates]],Comp2[Comparable '#2 Dates],0)),"-")</f>
        <v>41.27</v>
      </c>
      <c r="J679" s="1" t="str">
        <f>IF(COUNTIF(Comp3[Comparable '#3 Dates],Benchmark2[[#This Row],[Benchmark '#2 Dates]])=1,"Pass","Fail")</f>
        <v>Pass</v>
      </c>
      <c r="K679" s="6">
        <f>IF(Benchmark2[[#This Row],[Comparable '#3 Date Check]]="Pass",INDEX(Comp3[Comparable '#3 Price],MATCH(Benchmark2[[#This Row],[Benchmark '#2 Dates]],Comp3[Comparable '#3 Dates],0)),"-")</f>
        <v>87.85</v>
      </c>
    </row>
    <row r="680" spans="1:11">
      <c r="A680" s="103">
        <v>44271</v>
      </c>
      <c r="B680" s="104">
        <v>15669.2961</v>
      </c>
      <c r="C680" s="4">
        <f t="shared" si="10"/>
        <v>-6.7551269903783047E-3</v>
      </c>
      <c r="D680" s="1" t="str">
        <f>IF(COUNTIF(Target1[Target Dates],Benchmark2[[#This Row],[Benchmark '#2 Dates]])=1,"Pass","Fail")</f>
        <v>Pass</v>
      </c>
      <c r="E680" s="6">
        <f>IF(Benchmark2[[#This Row],[Target Date Check]]="Pass",INDEX(Target1[Target Price],MATCH(Benchmark2[[#This Row],[Benchmark '#2 Dates]],Target1[Target Dates],0)),"-")</f>
        <v>28.56</v>
      </c>
      <c r="F680" s="1" t="str">
        <f>IF(COUNTIF(Comp1[Comparable '#1 Dates],Benchmark2[[#This Row],[Benchmark '#2 Dates]])=1,"Pass","Fail")</f>
        <v>Pass</v>
      </c>
      <c r="G680" s="6">
        <f>IF(Benchmark2[[#This Row],[Comparable '#1 Date Check]]="Pass",INDEX(Comp1[Comparable '#1 Price],MATCH(Benchmark2[[#This Row],[Benchmark '#2 Dates]],Comp1[Comparable '#1 Dates],0)),"-")</f>
        <v>14.19</v>
      </c>
      <c r="H680" s="1" t="str">
        <f>IF(COUNTIF(Comp2[Comparable '#2 Dates],Benchmark2[[#This Row],[Benchmark '#2 Dates]])=1,"Pass","Fail")</f>
        <v>Pass</v>
      </c>
      <c r="I680" s="6">
        <f>IF(Benchmark2[[#This Row],[Comparable '#2 Date Check]]="Pass",INDEX(Comp2[Comparable '#2 Price],MATCH(Benchmark2[[#This Row],[Benchmark '#2 Dates]],Comp2[Comparable '#2 Dates],0)),"-")</f>
        <v>40.44</v>
      </c>
      <c r="J680" s="1" t="str">
        <f>IF(COUNTIF(Comp3[Comparable '#3 Dates],Benchmark2[[#This Row],[Benchmark '#2 Dates]])=1,"Pass","Fail")</f>
        <v>Pass</v>
      </c>
      <c r="K680" s="6">
        <f>IF(Benchmark2[[#This Row],[Comparable '#3 Date Check]]="Pass",INDEX(Comp3[Comparable '#3 Price],MATCH(Benchmark2[[#This Row],[Benchmark '#2 Dates]],Comp3[Comparable '#3 Dates],0)),"-")</f>
        <v>86.47</v>
      </c>
    </row>
    <row r="681" spans="1:11">
      <c r="A681" s="103">
        <v>44272</v>
      </c>
      <c r="B681" s="104">
        <v>15731.145500000001</v>
      </c>
      <c r="C681" s="4">
        <f t="shared" si="10"/>
        <v>3.9394019214134511E-3</v>
      </c>
      <c r="D681" s="1" t="str">
        <f>IF(COUNTIF(Target1[Target Dates],Benchmark2[[#This Row],[Benchmark '#2 Dates]])=1,"Pass","Fail")</f>
        <v>Pass</v>
      </c>
      <c r="E681" s="6">
        <f>IF(Benchmark2[[#This Row],[Target Date Check]]="Pass",INDEX(Target1[Target Price],MATCH(Benchmark2[[#This Row],[Benchmark '#2 Dates]],Target1[Target Dates],0)),"-")</f>
        <v>28.16</v>
      </c>
      <c r="F681" s="1" t="str">
        <f>IF(COUNTIF(Comp1[Comparable '#1 Dates],Benchmark2[[#This Row],[Benchmark '#2 Dates]])=1,"Pass","Fail")</f>
        <v>Pass</v>
      </c>
      <c r="G681" s="6">
        <f>IF(Benchmark2[[#This Row],[Comparable '#1 Date Check]]="Pass",INDEX(Comp1[Comparable '#1 Price],MATCH(Benchmark2[[#This Row],[Benchmark '#2 Dates]],Comp1[Comparable '#1 Dates],0)),"-")</f>
        <v>14.18</v>
      </c>
      <c r="H681" s="1" t="str">
        <f>IF(COUNTIF(Comp2[Comparable '#2 Dates],Benchmark2[[#This Row],[Benchmark '#2 Dates]])=1,"Pass","Fail")</f>
        <v>Pass</v>
      </c>
      <c r="I681" s="6">
        <f>IF(Benchmark2[[#This Row],[Comparable '#2 Date Check]]="Pass",INDEX(Comp2[Comparable '#2 Price],MATCH(Benchmark2[[#This Row],[Benchmark '#2 Dates]],Comp2[Comparable '#2 Dates],0)),"-")</f>
        <v>40.97</v>
      </c>
      <c r="J681" s="1" t="str">
        <f>IF(COUNTIF(Comp3[Comparable '#3 Dates],Benchmark2[[#This Row],[Benchmark '#2 Dates]])=1,"Pass","Fail")</f>
        <v>Pass</v>
      </c>
      <c r="K681" s="6">
        <f>IF(Benchmark2[[#This Row],[Comparable '#3 Date Check]]="Pass",INDEX(Comp3[Comparable '#3 Price],MATCH(Benchmark2[[#This Row],[Benchmark '#2 Dates]],Comp3[Comparable '#3 Dates],0)),"-")</f>
        <v>87.7</v>
      </c>
    </row>
    <row r="682" spans="1:11">
      <c r="A682" s="103">
        <v>44273</v>
      </c>
      <c r="B682" s="104">
        <v>15589.072399999999</v>
      </c>
      <c r="C682" s="4">
        <f t="shared" si="10"/>
        <v>-9.0723554304335315E-3</v>
      </c>
      <c r="D682" s="1" t="str">
        <f>IF(COUNTIF(Target1[Target Dates],Benchmark2[[#This Row],[Benchmark '#2 Dates]])=1,"Pass","Fail")</f>
        <v>Pass</v>
      </c>
      <c r="E682" s="6">
        <f>IF(Benchmark2[[#This Row],[Target Date Check]]="Pass",INDEX(Target1[Target Price],MATCH(Benchmark2[[#This Row],[Benchmark '#2 Dates]],Target1[Target Dates],0)),"-")</f>
        <v>27.69</v>
      </c>
      <c r="F682" s="1" t="str">
        <f>IF(COUNTIF(Comp1[Comparable '#1 Dates],Benchmark2[[#This Row],[Benchmark '#2 Dates]])=1,"Pass","Fail")</f>
        <v>Pass</v>
      </c>
      <c r="G682" s="6">
        <f>IF(Benchmark2[[#This Row],[Comparable '#1 Date Check]]="Pass",INDEX(Comp1[Comparable '#1 Price],MATCH(Benchmark2[[#This Row],[Benchmark '#2 Dates]],Comp1[Comparable '#1 Dates],0)),"-")</f>
        <v>14.22</v>
      </c>
      <c r="H682" s="1" t="str">
        <f>IF(COUNTIF(Comp2[Comparable '#2 Dates],Benchmark2[[#This Row],[Benchmark '#2 Dates]])=1,"Pass","Fail")</f>
        <v>Pass</v>
      </c>
      <c r="I682" s="6">
        <f>IF(Benchmark2[[#This Row],[Comparable '#2 Date Check]]="Pass",INDEX(Comp2[Comparable '#2 Price],MATCH(Benchmark2[[#This Row],[Benchmark '#2 Dates]],Comp2[Comparable '#2 Dates],0)),"-")</f>
        <v>40.880000000000003</v>
      </c>
      <c r="J682" s="1" t="str">
        <f>IF(COUNTIF(Comp3[Comparable '#3 Dates],Benchmark2[[#This Row],[Benchmark '#2 Dates]])=1,"Pass","Fail")</f>
        <v>Pass</v>
      </c>
      <c r="K682" s="6">
        <f>IF(Benchmark2[[#This Row],[Comparable '#3 Date Check]]="Pass",INDEX(Comp3[Comparable '#3 Price],MATCH(Benchmark2[[#This Row],[Benchmark '#2 Dates]],Comp3[Comparable '#3 Dates],0)),"-")</f>
        <v>87.17</v>
      </c>
    </row>
    <row r="683" spans="1:11">
      <c r="A683" s="103">
        <v>44274</v>
      </c>
      <c r="B683" s="104">
        <v>15562.2582</v>
      </c>
      <c r="C683" s="4">
        <f t="shared" si="10"/>
        <v>-1.7215448654044853E-3</v>
      </c>
      <c r="D683" s="1" t="str">
        <f>IF(COUNTIF(Target1[Target Dates],Benchmark2[[#This Row],[Benchmark '#2 Dates]])=1,"Pass","Fail")</f>
        <v>Pass</v>
      </c>
      <c r="E683" s="6">
        <f>IF(Benchmark2[[#This Row],[Target Date Check]]="Pass",INDEX(Target1[Target Price],MATCH(Benchmark2[[#This Row],[Benchmark '#2 Dates]],Target1[Target Dates],0)),"-")</f>
        <v>28.2</v>
      </c>
      <c r="F683" s="1" t="str">
        <f>IF(COUNTIF(Comp1[Comparable '#1 Dates],Benchmark2[[#This Row],[Benchmark '#2 Dates]])=1,"Pass","Fail")</f>
        <v>Pass</v>
      </c>
      <c r="G683" s="6">
        <f>IF(Benchmark2[[#This Row],[Comparable '#1 Date Check]]="Pass",INDEX(Comp1[Comparable '#1 Price],MATCH(Benchmark2[[#This Row],[Benchmark '#2 Dates]],Comp1[Comparable '#1 Dates],0)),"-")</f>
        <v>14.154999999999999</v>
      </c>
      <c r="H683" s="1" t="str">
        <f>IF(COUNTIF(Comp2[Comparable '#2 Dates],Benchmark2[[#This Row],[Benchmark '#2 Dates]])=1,"Pass","Fail")</f>
        <v>Pass</v>
      </c>
      <c r="I683" s="6">
        <f>IF(Benchmark2[[#This Row],[Comparable '#2 Date Check]]="Pass",INDEX(Comp2[Comparable '#2 Price],MATCH(Benchmark2[[#This Row],[Benchmark '#2 Dates]],Comp2[Comparable '#2 Dates],0)),"-")</f>
        <v>41.43</v>
      </c>
      <c r="J683" s="1" t="str">
        <f>IF(COUNTIF(Comp3[Comparable '#3 Dates],Benchmark2[[#This Row],[Benchmark '#2 Dates]])=1,"Pass","Fail")</f>
        <v>Pass</v>
      </c>
      <c r="K683" s="6">
        <f>IF(Benchmark2[[#This Row],[Comparable '#3 Date Check]]="Pass",INDEX(Comp3[Comparable '#3 Price],MATCH(Benchmark2[[#This Row],[Benchmark '#2 Dates]],Comp3[Comparable '#3 Dates],0)),"-")</f>
        <v>87.52</v>
      </c>
    </row>
    <row r="684" spans="1:11">
      <c r="A684" s="103">
        <v>44277</v>
      </c>
      <c r="B684" s="104">
        <v>15551.575500000001</v>
      </c>
      <c r="C684" s="4">
        <f t="shared" si="10"/>
        <v>-6.8668493396059052E-4</v>
      </c>
      <c r="D684" s="1" t="str">
        <f>IF(COUNTIF(Target1[Target Dates],Benchmark2[[#This Row],[Benchmark '#2 Dates]])=1,"Pass","Fail")</f>
        <v>Pass</v>
      </c>
      <c r="E684" s="6">
        <f>IF(Benchmark2[[#This Row],[Target Date Check]]="Pass",INDEX(Target1[Target Price],MATCH(Benchmark2[[#This Row],[Benchmark '#2 Dates]],Target1[Target Dates],0)),"-")</f>
        <v>28.77</v>
      </c>
      <c r="F684" s="1" t="str">
        <f>IF(COUNTIF(Comp1[Comparable '#1 Dates],Benchmark2[[#This Row],[Benchmark '#2 Dates]])=1,"Pass","Fail")</f>
        <v>Pass</v>
      </c>
      <c r="G684" s="6">
        <f>IF(Benchmark2[[#This Row],[Comparable '#1 Date Check]]="Pass",INDEX(Comp1[Comparable '#1 Price],MATCH(Benchmark2[[#This Row],[Benchmark '#2 Dates]],Comp1[Comparable '#1 Dates],0)),"-")</f>
        <v>14.09</v>
      </c>
      <c r="H684" s="1" t="str">
        <f>IF(COUNTIF(Comp2[Comparable '#2 Dates],Benchmark2[[#This Row],[Benchmark '#2 Dates]])=1,"Pass","Fail")</f>
        <v>Pass</v>
      </c>
      <c r="I684" s="6">
        <f>IF(Benchmark2[[#This Row],[Comparable '#2 Date Check]]="Pass",INDEX(Comp2[Comparable '#2 Price],MATCH(Benchmark2[[#This Row],[Benchmark '#2 Dates]],Comp2[Comparable '#2 Dates],0)),"-")</f>
        <v>41.02</v>
      </c>
      <c r="J684" s="1" t="str">
        <f>IF(COUNTIF(Comp3[Comparable '#3 Dates],Benchmark2[[#This Row],[Benchmark '#2 Dates]])=1,"Pass","Fail")</f>
        <v>Pass</v>
      </c>
      <c r="K684" s="6">
        <f>IF(Benchmark2[[#This Row],[Comparable '#3 Date Check]]="Pass",INDEX(Comp3[Comparable '#3 Price],MATCH(Benchmark2[[#This Row],[Benchmark '#2 Dates]],Comp3[Comparable '#3 Dates],0)),"-")</f>
        <v>85.6</v>
      </c>
    </row>
    <row r="685" spans="1:11">
      <c r="A685" s="103">
        <v>44278</v>
      </c>
      <c r="B685" s="104">
        <v>15346.5255</v>
      </c>
      <c r="C685" s="4">
        <f t="shared" si="10"/>
        <v>-1.3272855200620312E-2</v>
      </c>
      <c r="D685" s="1" t="str">
        <f>IF(COUNTIF(Target1[Target Dates],Benchmark2[[#This Row],[Benchmark '#2 Dates]])=1,"Pass","Fail")</f>
        <v>Pass</v>
      </c>
      <c r="E685" s="6">
        <f>IF(Benchmark2[[#This Row],[Target Date Check]]="Pass",INDEX(Target1[Target Price],MATCH(Benchmark2[[#This Row],[Benchmark '#2 Dates]],Target1[Target Dates],0)),"-")</f>
        <v>28.39</v>
      </c>
      <c r="F685" s="1" t="str">
        <f>IF(COUNTIF(Comp1[Comparable '#1 Dates],Benchmark2[[#This Row],[Benchmark '#2 Dates]])=1,"Pass","Fail")</f>
        <v>Pass</v>
      </c>
      <c r="G685" s="6">
        <f>IF(Benchmark2[[#This Row],[Comparable '#1 Date Check]]="Pass",INDEX(Comp1[Comparable '#1 Price],MATCH(Benchmark2[[#This Row],[Benchmark '#2 Dates]],Comp1[Comparable '#1 Dates],0)),"-")</f>
        <v>13.73</v>
      </c>
      <c r="H685" s="1" t="str">
        <f>IF(COUNTIF(Comp2[Comparable '#2 Dates],Benchmark2[[#This Row],[Benchmark '#2 Dates]])=1,"Pass","Fail")</f>
        <v>Pass</v>
      </c>
      <c r="I685" s="6">
        <f>IF(Benchmark2[[#This Row],[Comparable '#2 Date Check]]="Pass",INDEX(Comp2[Comparable '#2 Price],MATCH(Benchmark2[[#This Row],[Benchmark '#2 Dates]],Comp2[Comparable '#2 Dates],0)),"-")</f>
        <v>38.729999999999997</v>
      </c>
      <c r="J685" s="1" t="str">
        <f>IF(COUNTIF(Comp3[Comparable '#3 Dates],Benchmark2[[#This Row],[Benchmark '#2 Dates]])=1,"Pass","Fail")</f>
        <v>Pass</v>
      </c>
      <c r="K685" s="6">
        <f>IF(Benchmark2[[#This Row],[Comparable '#3 Date Check]]="Pass",INDEX(Comp3[Comparable '#3 Price],MATCH(Benchmark2[[#This Row],[Benchmark '#2 Dates]],Comp3[Comparable '#3 Dates],0)),"-")</f>
        <v>87.6</v>
      </c>
    </row>
    <row r="686" spans="1:11">
      <c r="A686" s="103">
        <v>44279</v>
      </c>
      <c r="B686" s="104">
        <v>15276.561900000001</v>
      </c>
      <c r="C686" s="4">
        <f t="shared" si="10"/>
        <v>-4.5693447441405603E-3</v>
      </c>
      <c r="D686" s="1" t="str">
        <f>IF(COUNTIF(Target1[Target Dates],Benchmark2[[#This Row],[Benchmark '#2 Dates]])=1,"Pass","Fail")</f>
        <v>Pass</v>
      </c>
      <c r="E686" s="6">
        <f>IF(Benchmark2[[#This Row],[Target Date Check]]="Pass",INDEX(Target1[Target Price],MATCH(Benchmark2[[#This Row],[Benchmark '#2 Dates]],Target1[Target Dates],0)),"-")</f>
        <v>28.23</v>
      </c>
      <c r="F686" s="1" t="str">
        <f>IF(COUNTIF(Comp1[Comparable '#1 Dates],Benchmark2[[#This Row],[Benchmark '#2 Dates]])=1,"Pass","Fail")</f>
        <v>Pass</v>
      </c>
      <c r="G686" s="6">
        <f>IF(Benchmark2[[#This Row],[Comparable '#1 Date Check]]="Pass",INDEX(Comp1[Comparable '#1 Price],MATCH(Benchmark2[[#This Row],[Benchmark '#2 Dates]],Comp1[Comparable '#1 Dates],0)),"-")</f>
        <v>13.63</v>
      </c>
      <c r="H686" s="1" t="str">
        <f>IF(COUNTIF(Comp2[Comparable '#2 Dates],Benchmark2[[#This Row],[Benchmark '#2 Dates]])=1,"Pass","Fail")</f>
        <v>Pass</v>
      </c>
      <c r="I686" s="6">
        <f>IF(Benchmark2[[#This Row],[Comparable '#2 Date Check]]="Pass",INDEX(Comp2[Comparable '#2 Price],MATCH(Benchmark2[[#This Row],[Benchmark '#2 Dates]],Comp2[Comparable '#2 Dates],0)),"-")</f>
        <v>38.54</v>
      </c>
      <c r="J686" s="1" t="str">
        <f>IF(COUNTIF(Comp3[Comparable '#3 Dates],Benchmark2[[#This Row],[Benchmark '#2 Dates]])=1,"Pass","Fail")</f>
        <v>Pass</v>
      </c>
      <c r="K686" s="6">
        <f>IF(Benchmark2[[#This Row],[Comparable '#3 Date Check]]="Pass",INDEX(Comp3[Comparable '#3 Price],MATCH(Benchmark2[[#This Row],[Benchmark '#2 Dates]],Comp3[Comparable '#3 Dates],0)),"-")</f>
        <v>89.2</v>
      </c>
    </row>
    <row r="687" spans="1:11">
      <c r="A687" s="103">
        <v>44280</v>
      </c>
      <c r="B687" s="104">
        <v>15410.3734</v>
      </c>
      <c r="C687" s="4">
        <f t="shared" si="10"/>
        <v>8.7211281811754946E-3</v>
      </c>
      <c r="D687" s="1" t="str">
        <f>IF(COUNTIF(Target1[Target Dates],Benchmark2[[#This Row],[Benchmark '#2 Dates]])=1,"Pass","Fail")</f>
        <v>Pass</v>
      </c>
      <c r="E687" s="6">
        <f>IF(Benchmark2[[#This Row],[Target Date Check]]="Pass",INDEX(Target1[Target Price],MATCH(Benchmark2[[#This Row],[Benchmark '#2 Dates]],Target1[Target Dates],0)),"-")</f>
        <v>30.9</v>
      </c>
      <c r="F687" s="1" t="str">
        <f>IF(COUNTIF(Comp1[Comparable '#1 Dates],Benchmark2[[#This Row],[Benchmark '#2 Dates]])=1,"Pass","Fail")</f>
        <v>Pass</v>
      </c>
      <c r="G687" s="6">
        <f>IF(Benchmark2[[#This Row],[Comparable '#1 Date Check]]="Pass",INDEX(Comp1[Comparable '#1 Price],MATCH(Benchmark2[[#This Row],[Benchmark '#2 Dates]],Comp1[Comparable '#1 Dates],0)),"-")</f>
        <v>13.59</v>
      </c>
      <c r="H687" s="1" t="str">
        <f>IF(COUNTIF(Comp2[Comparable '#2 Dates],Benchmark2[[#This Row],[Benchmark '#2 Dates]])=1,"Pass","Fail")</f>
        <v>Pass</v>
      </c>
      <c r="I687" s="6">
        <f>IF(Benchmark2[[#This Row],[Comparable '#2 Date Check]]="Pass",INDEX(Comp2[Comparable '#2 Price],MATCH(Benchmark2[[#This Row],[Benchmark '#2 Dates]],Comp2[Comparable '#2 Dates],0)),"-")</f>
        <v>40.06</v>
      </c>
      <c r="J687" s="1" t="str">
        <f>IF(COUNTIF(Comp3[Comparable '#3 Dates],Benchmark2[[#This Row],[Benchmark '#2 Dates]])=1,"Pass","Fail")</f>
        <v>Pass</v>
      </c>
      <c r="K687" s="6">
        <f>IF(Benchmark2[[#This Row],[Comparable '#3 Date Check]]="Pass",INDEX(Comp3[Comparable '#3 Price],MATCH(Benchmark2[[#This Row],[Benchmark '#2 Dates]],Comp3[Comparable '#3 Dates],0)),"-")</f>
        <v>92.22</v>
      </c>
    </row>
    <row r="688" spans="1:11">
      <c r="A688" s="103">
        <v>44281</v>
      </c>
      <c r="B688" s="104">
        <v>15682.5388</v>
      </c>
      <c r="C688" s="4">
        <f t="shared" si="10"/>
        <v>1.7507035023752983E-2</v>
      </c>
      <c r="D688" s="1" t="str">
        <f>IF(COUNTIF(Target1[Target Dates],Benchmark2[[#This Row],[Benchmark '#2 Dates]])=1,"Pass","Fail")</f>
        <v>Pass</v>
      </c>
      <c r="E688" s="6">
        <f>IF(Benchmark2[[#This Row],[Target Date Check]]="Pass",INDEX(Target1[Target Price],MATCH(Benchmark2[[#This Row],[Benchmark '#2 Dates]],Target1[Target Dates],0)),"-")</f>
        <v>31.2</v>
      </c>
      <c r="F688" s="1" t="str">
        <f>IF(COUNTIF(Comp1[Comparable '#1 Dates],Benchmark2[[#This Row],[Benchmark '#2 Dates]])=1,"Pass","Fail")</f>
        <v>Pass</v>
      </c>
      <c r="G688" s="6">
        <f>IF(Benchmark2[[#This Row],[Comparable '#1 Date Check]]="Pass",INDEX(Comp1[Comparable '#1 Price],MATCH(Benchmark2[[#This Row],[Benchmark '#2 Dates]],Comp1[Comparable '#1 Dates],0)),"-")</f>
        <v>13.96</v>
      </c>
      <c r="H688" s="1" t="str">
        <f>IF(COUNTIF(Comp2[Comparable '#2 Dates],Benchmark2[[#This Row],[Benchmark '#2 Dates]])=1,"Pass","Fail")</f>
        <v>Pass</v>
      </c>
      <c r="I688" s="6">
        <f>IF(Benchmark2[[#This Row],[Comparable '#2 Date Check]]="Pass",INDEX(Comp2[Comparable '#2 Price],MATCH(Benchmark2[[#This Row],[Benchmark '#2 Dates]],Comp2[Comparable '#2 Dates],0)),"-")</f>
        <v>40.92</v>
      </c>
      <c r="J688" s="1" t="str">
        <f>IF(COUNTIF(Comp3[Comparable '#3 Dates],Benchmark2[[#This Row],[Benchmark '#2 Dates]])=1,"Pass","Fail")</f>
        <v>Pass</v>
      </c>
      <c r="K688" s="6">
        <f>IF(Benchmark2[[#This Row],[Comparable '#3 Date Check]]="Pass",INDEX(Comp3[Comparable '#3 Price],MATCH(Benchmark2[[#This Row],[Benchmark '#2 Dates]],Comp3[Comparable '#3 Dates],0)),"-")</f>
        <v>93.11</v>
      </c>
    </row>
    <row r="689" spans="1:11">
      <c r="A689" s="103">
        <v>44284</v>
      </c>
      <c r="B689" s="104">
        <v>15611.8837</v>
      </c>
      <c r="C689" s="4">
        <f t="shared" si="10"/>
        <v>-4.5155151883072711E-3</v>
      </c>
      <c r="D689" s="1" t="str">
        <f>IF(COUNTIF(Target1[Target Dates],Benchmark2[[#This Row],[Benchmark '#2 Dates]])=1,"Pass","Fail")</f>
        <v>Pass</v>
      </c>
      <c r="E689" s="6">
        <f>IF(Benchmark2[[#This Row],[Target Date Check]]="Pass",INDEX(Target1[Target Price],MATCH(Benchmark2[[#This Row],[Benchmark '#2 Dates]],Target1[Target Dates],0)),"-")</f>
        <v>29.05</v>
      </c>
      <c r="F689" s="1" t="str">
        <f>IF(COUNTIF(Comp1[Comparable '#1 Dates],Benchmark2[[#This Row],[Benchmark '#2 Dates]])=1,"Pass","Fail")</f>
        <v>Pass</v>
      </c>
      <c r="G689" s="6">
        <f>IF(Benchmark2[[#This Row],[Comparable '#1 Date Check]]="Pass",INDEX(Comp1[Comparable '#1 Price],MATCH(Benchmark2[[#This Row],[Benchmark '#2 Dates]],Comp1[Comparable '#1 Dates],0)),"-")</f>
        <v>13.63</v>
      </c>
      <c r="H689" s="1" t="str">
        <f>IF(COUNTIF(Comp2[Comparable '#2 Dates],Benchmark2[[#This Row],[Benchmark '#2 Dates]])=1,"Pass","Fail")</f>
        <v>Pass</v>
      </c>
      <c r="I689" s="6">
        <f>IF(Benchmark2[[#This Row],[Comparable '#2 Date Check]]="Pass",INDEX(Comp2[Comparable '#2 Price],MATCH(Benchmark2[[#This Row],[Benchmark '#2 Dates]],Comp2[Comparable '#2 Dates],0)),"-")</f>
        <v>39.42</v>
      </c>
      <c r="J689" s="1" t="str">
        <f>IF(COUNTIF(Comp3[Comparable '#3 Dates],Benchmark2[[#This Row],[Benchmark '#2 Dates]])=1,"Pass","Fail")</f>
        <v>Pass</v>
      </c>
      <c r="K689" s="6">
        <f>IF(Benchmark2[[#This Row],[Comparable '#3 Date Check]]="Pass",INDEX(Comp3[Comparable '#3 Price],MATCH(Benchmark2[[#This Row],[Benchmark '#2 Dates]],Comp3[Comparable '#3 Dates],0)),"-")</f>
        <v>90</v>
      </c>
    </row>
    <row r="690" spans="1:11">
      <c r="A690" s="103">
        <v>44285</v>
      </c>
      <c r="B690" s="104">
        <v>15626.1062</v>
      </c>
      <c r="C690" s="4">
        <f t="shared" si="10"/>
        <v>9.1059002376736662E-4</v>
      </c>
      <c r="D690" s="1" t="str">
        <f>IF(COUNTIF(Target1[Target Dates],Benchmark2[[#This Row],[Benchmark '#2 Dates]])=1,"Pass","Fail")</f>
        <v>Pass</v>
      </c>
      <c r="E690" s="6">
        <f>IF(Benchmark2[[#This Row],[Target Date Check]]="Pass",INDEX(Target1[Target Price],MATCH(Benchmark2[[#This Row],[Benchmark '#2 Dates]],Target1[Target Dates],0)),"-")</f>
        <v>29.6</v>
      </c>
      <c r="F690" s="1" t="str">
        <f>IF(COUNTIF(Comp1[Comparable '#1 Dates],Benchmark2[[#This Row],[Benchmark '#2 Dates]])=1,"Pass","Fail")</f>
        <v>Pass</v>
      </c>
      <c r="G690" s="6">
        <f>IF(Benchmark2[[#This Row],[Comparable '#1 Date Check]]="Pass",INDEX(Comp1[Comparable '#1 Price],MATCH(Benchmark2[[#This Row],[Benchmark '#2 Dates]],Comp1[Comparable '#1 Dates],0)),"-")</f>
        <v>13.68</v>
      </c>
      <c r="H690" s="1" t="str">
        <f>IF(COUNTIF(Comp2[Comparable '#2 Dates],Benchmark2[[#This Row],[Benchmark '#2 Dates]])=1,"Pass","Fail")</f>
        <v>Pass</v>
      </c>
      <c r="I690" s="6">
        <f>IF(Benchmark2[[#This Row],[Comparable '#2 Date Check]]="Pass",INDEX(Comp2[Comparable '#2 Price],MATCH(Benchmark2[[#This Row],[Benchmark '#2 Dates]],Comp2[Comparable '#2 Dates],0)),"-")</f>
        <v>39.119999999999997</v>
      </c>
      <c r="J690" s="1" t="str">
        <f>IF(COUNTIF(Comp3[Comparable '#3 Dates],Benchmark2[[#This Row],[Benchmark '#2 Dates]])=1,"Pass","Fail")</f>
        <v>Pass</v>
      </c>
      <c r="K690" s="6">
        <f>IF(Benchmark2[[#This Row],[Comparable '#3 Date Check]]="Pass",INDEX(Comp3[Comparable '#3 Price],MATCH(Benchmark2[[#This Row],[Benchmark '#2 Dates]],Comp3[Comparable '#3 Dates],0)),"-")</f>
        <v>91.01</v>
      </c>
    </row>
    <row r="691" spans="1:11">
      <c r="A691" s="103">
        <v>44286</v>
      </c>
      <c r="B691" s="104">
        <v>15601.7389</v>
      </c>
      <c r="C691" s="4">
        <f t="shared" si="10"/>
        <v>-1.5606139243708643E-3</v>
      </c>
      <c r="D691" s="1" t="str">
        <f>IF(COUNTIF(Target1[Target Dates],Benchmark2[[#This Row],[Benchmark '#2 Dates]])=1,"Pass","Fail")</f>
        <v>Pass</v>
      </c>
      <c r="E691" s="6">
        <f>IF(Benchmark2[[#This Row],[Target Date Check]]="Pass",INDEX(Target1[Target Price],MATCH(Benchmark2[[#This Row],[Benchmark '#2 Dates]],Target1[Target Dates],0)),"-")</f>
        <v>30.11</v>
      </c>
      <c r="F691" s="1" t="str">
        <f>IF(COUNTIF(Comp1[Comparable '#1 Dates],Benchmark2[[#This Row],[Benchmark '#2 Dates]])=1,"Pass","Fail")</f>
        <v>Pass</v>
      </c>
      <c r="G691" s="6">
        <f>IF(Benchmark2[[#This Row],[Comparable '#1 Date Check]]="Pass",INDEX(Comp1[Comparable '#1 Price],MATCH(Benchmark2[[#This Row],[Benchmark '#2 Dates]],Comp1[Comparable '#1 Dates],0)),"-")</f>
        <v>13.59</v>
      </c>
      <c r="H691" s="1" t="str">
        <f>IF(COUNTIF(Comp2[Comparable '#2 Dates],Benchmark2[[#This Row],[Benchmark '#2 Dates]])=1,"Pass","Fail")</f>
        <v>Pass</v>
      </c>
      <c r="I691" s="6">
        <f>IF(Benchmark2[[#This Row],[Comparable '#2 Date Check]]="Pass",INDEX(Comp2[Comparable '#2 Price],MATCH(Benchmark2[[#This Row],[Benchmark '#2 Dates]],Comp2[Comparable '#2 Dates],0)),"-")</f>
        <v>39.54</v>
      </c>
      <c r="J691" s="1" t="str">
        <f>IF(COUNTIF(Comp3[Comparable '#3 Dates],Benchmark2[[#This Row],[Benchmark '#2 Dates]])=1,"Pass","Fail")</f>
        <v>Pass</v>
      </c>
      <c r="K691" s="6">
        <f>IF(Benchmark2[[#This Row],[Comparable '#3 Date Check]]="Pass",INDEX(Comp3[Comparable '#3 Price],MATCH(Benchmark2[[#This Row],[Benchmark '#2 Dates]],Comp3[Comparable '#3 Dates],0)),"-")</f>
        <v>91.91</v>
      </c>
    </row>
    <row r="692" spans="1:11">
      <c r="A692" s="103">
        <v>44287</v>
      </c>
      <c r="B692" s="104">
        <v>15752.2436</v>
      </c>
      <c r="C692" s="4">
        <f t="shared" si="10"/>
        <v>9.6004299280228918E-3</v>
      </c>
      <c r="D692" s="1" t="str">
        <f>IF(COUNTIF(Target1[Target Dates],Benchmark2[[#This Row],[Benchmark '#2 Dates]])=1,"Pass","Fail")</f>
        <v>Pass</v>
      </c>
      <c r="E692" s="6">
        <f>IF(Benchmark2[[#This Row],[Target Date Check]]="Pass",INDEX(Target1[Target Price],MATCH(Benchmark2[[#This Row],[Benchmark '#2 Dates]],Target1[Target Dates],0)),"-")</f>
        <v>31.75</v>
      </c>
      <c r="F692" s="1" t="str">
        <f>IF(COUNTIF(Comp1[Comparable '#1 Dates],Benchmark2[[#This Row],[Benchmark '#2 Dates]])=1,"Pass","Fail")</f>
        <v>Pass</v>
      </c>
      <c r="G692" s="6">
        <f>IF(Benchmark2[[#This Row],[Comparable '#1 Date Check]]="Pass",INDEX(Comp1[Comparable '#1 Price],MATCH(Benchmark2[[#This Row],[Benchmark '#2 Dates]],Comp1[Comparable '#1 Dates],0)),"-")</f>
        <v>13.96</v>
      </c>
      <c r="H692" s="1" t="str">
        <f>IF(COUNTIF(Comp2[Comparable '#2 Dates],Benchmark2[[#This Row],[Benchmark '#2 Dates]])=1,"Pass","Fail")</f>
        <v>Pass</v>
      </c>
      <c r="I692" s="6">
        <f>IF(Benchmark2[[#This Row],[Comparable '#2 Date Check]]="Pass",INDEX(Comp2[Comparable '#2 Price],MATCH(Benchmark2[[#This Row],[Benchmark '#2 Dates]],Comp2[Comparable '#2 Dates],0)),"-")</f>
        <v>40.1</v>
      </c>
      <c r="J692" s="1" t="str">
        <f>IF(COUNTIF(Comp3[Comparable '#3 Dates],Benchmark2[[#This Row],[Benchmark '#2 Dates]])=1,"Pass","Fail")</f>
        <v>Pass</v>
      </c>
      <c r="K692" s="6">
        <f>IF(Benchmark2[[#This Row],[Comparable '#3 Date Check]]="Pass",INDEX(Comp3[Comparable '#3 Price],MATCH(Benchmark2[[#This Row],[Benchmark '#2 Dates]],Comp3[Comparable '#3 Dates],0)),"-")</f>
        <v>92.89</v>
      </c>
    </row>
    <row r="693" spans="1:11">
      <c r="A693" s="103">
        <v>44291</v>
      </c>
      <c r="B693" s="104">
        <v>15870.336600000001</v>
      </c>
      <c r="C693" s="4">
        <f t="shared" si="10"/>
        <v>7.4689382231182154E-3</v>
      </c>
      <c r="D693" s="1" t="str">
        <f>IF(COUNTIF(Target1[Target Dates],Benchmark2[[#This Row],[Benchmark '#2 Dates]])=1,"Pass","Fail")</f>
        <v>Pass</v>
      </c>
      <c r="E693" s="6">
        <f>IF(Benchmark2[[#This Row],[Target Date Check]]="Pass",INDEX(Target1[Target Price],MATCH(Benchmark2[[#This Row],[Benchmark '#2 Dates]],Target1[Target Dates],0)),"-")</f>
        <v>32.39</v>
      </c>
      <c r="F693" s="1" t="str">
        <f>IF(COUNTIF(Comp1[Comparable '#1 Dates],Benchmark2[[#This Row],[Benchmark '#2 Dates]])=1,"Pass","Fail")</f>
        <v>Pass</v>
      </c>
      <c r="G693" s="6">
        <f>IF(Benchmark2[[#This Row],[Comparable '#1 Date Check]]="Pass",INDEX(Comp1[Comparable '#1 Price],MATCH(Benchmark2[[#This Row],[Benchmark '#2 Dates]],Comp1[Comparable '#1 Dates],0)),"-")</f>
        <v>14</v>
      </c>
      <c r="H693" s="1" t="str">
        <f>IF(COUNTIF(Comp2[Comparable '#2 Dates],Benchmark2[[#This Row],[Benchmark '#2 Dates]])=1,"Pass","Fail")</f>
        <v>Pass</v>
      </c>
      <c r="I693" s="6">
        <f>IF(Benchmark2[[#This Row],[Comparable '#2 Date Check]]="Pass",INDEX(Comp2[Comparable '#2 Price],MATCH(Benchmark2[[#This Row],[Benchmark '#2 Dates]],Comp2[Comparable '#2 Dates],0)),"-")</f>
        <v>40.340000000000003</v>
      </c>
      <c r="J693" s="1" t="str">
        <f>IF(COUNTIF(Comp3[Comparable '#3 Dates],Benchmark2[[#This Row],[Benchmark '#2 Dates]])=1,"Pass","Fail")</f>
        <v>Pass</v>
      </c>
      <c r="K693" s="6">
        <f>IF(Benchmark2[[#This Row],[Comparable '#3 Date Check]]="Pass",INDEX(Comp3[Comparable '#3 Price],MATCH(Benchmark2[[#This Row],[Benchmark '#2 Dates]],Comp3[Comparable '#3 Dates],0)),"-")</f>
        <v>92.44</v>
      </c>
    </row>
    <row r="694" spans="1:11">
      <c r="A694" s="103">
        <v>44292</v>
      </c>
      <c r="B694" s="104">
        <v>15877.9566</v>
      </c>
      <c r="C694" s="4">
        <f t="shared" si="10"/>
        <v>4.8002581419514108E-4</v>
      </c>
      <c r="D694" s="1" t="str">
        <f>IF(COUNTIF(Target1[Target Dates],Benchmark2[[#This Row],[Benchmark '#2 Dates]])=1,"Pass","Fail")</f>
        <v>Pass</v>
      </c>
      <c r="E694" s="6">
        <f>IF(Benchmark2[[#This Row],[Target Date Check]]="Pass",INDEX(Target1[Target Price],MATCH(Benchmark2[[#This Row],[Benchmark '#2 Dates]],Target1[Target Dates],0)),"-")</f>
        <v>32.93</v>
      </c>
      <c r="F694" s="1" t="str">
        <f>IF(COUNTIF(Comp1[Comparable '#1 Dates],Benchmark2[[#This Row],[Benchmark '#2 Dates]])=1,"Pass","Fail")</f>
        <v>Pass</v>
      </c>
      <c r="G694" s="6">
        <f>IF(Benchmark2[[#This Row],[Comparable '#1 Date Check]]="Pass",INDEX(Comp1[Comparable '#1 Price],MATCH(Benchmark2[[#This Row],[Benchmark '#2 Dates]],Comp1[Comparable '#1 Dates],0)),"-")</f>
        <v>13.9</v>
      </c>
      <c r="H694" s="1" t="str">
        <f>IF(COUNTIF(Comp2[Comparable '#2 Dates],Benchmark2[[#This Row],[Benchmark '#2 Dates]])=1,"Pass","Fail")</f>
        <v>Pass</v>
      </c>
      <c r="I694" s="6">
        <f>IF(Benchmark2[[#This Row],[Comparable '#2 Date Check]]="Pass",INDEX(Comp2[Comparable '#2 Price],MATCH(Benchmark2[[#This Row],[Benchmark '#2 Dates]],Comp2[Comparable '#2 Dates],0)),"-")</f>
        <v>40.26</v>
      </c>
      <c r="J694" s="1" t="str">
        <f>IF(COUNTIF(Comp3[Comparable '#3 Dates],Benchmark2[[#This Row],[Benchmark '#2 Dates]])=1,"Pass","Fail")</f>
        <v>Pass</v>
      </c>
      <c r="K694" s="6">
        <f>IF(Benchmark2[[#This Row],[Comparable '#3 Date Check]]="Pass",INDEX(Comp3[Comparable '#3 Price],MATCH(Benchmark2[[#This Row],[Benchmark '#2 Dates]],Comp3[Comparable '#3 Dates],0)),"-")</f>
        <v>91.42</v>
      </c>
    </row>
    <row r="695" spans="1:11">
      <c r="A695" s="103">
        <v>44293</v>
      </c>
      <c r="B695" s="104">
        <v>15838.8467</v>
      </c>
      <c r="C695" s="4">
        <f t="shared" si="10"/>
        <v>-2.4661955653388127E-3</v>
      </c>
      <c r="D695" s="1" t="str">
        <f>IF(COUNTIF(Target1[Target Dates],Benchmark2[[#This Row],[Benchmark '#2 Dates]])=1,"Pass","Fail")</f>
        <v>Pass</v>
      </c>
      <c r="E695" s="6">
        <f>IF(Benchmark2[[#This Row],[Target Date Check]]="Pass",INDEX(Target1[Target Price],MATCH(Benchmark2[[#This Row],[Benchmark '#2 Dates]],Target1[Target Dates],0)),"-")</f>
        <v>32.75</v>
      </c>
      <c r="F695" s="1" t="str">
        <f>IF(COUNTIF(Comp1[Comparable '#1 Dates],Benchmark2[[#This Row],[Benchmark '#2 Dates]])=1,"Pass","Fail")</f>
        <v>Pass</v>
      </c>
      <c r="G695" s="6">
        <f>IF(Benchmark2[[#This Row],[Comparable '#1 Date Check]]="Pass",INDEX(Comp1[Comparable '#1 Price],MATCH(Benchmark2[[#This Row],[Benchmark '#2 Dates]],Comp1[Comparable '#1 Dates],0)),"-")</f>
        <v>13.33</v>
      </c>
      <c r="H695" s="1" t="str">
        <f>IF(COUNTIF(Comp2[Comparable '#2 Dates],Benchmark2[[#This Row],[Benchmark '#2 Dates]])=1,"Pass","Fail")</f>
        <v>Pass</v>
      </c>
      <c r="I695" s="6">
        <f>IF(Benchmark2[[#This Row],[Comparable '#2 Date Check]]="Pass",INDEX(Comp2[Comparable '#2 Price],MATCH(Benchmark2[[#This Row],[Benchmark '#2 Dates]],Comp2[Comparable '#2 Dates],0)),"-")</f>
        <v>39.46</v>
      </c>
      <c r="J695" s="1" t="str">
        <f>IF(COUNTIF(Comp3[Comparable '#3 Dates],Benchmark2[[#This Row],[Benchmark '#2 Dates]])=1,"Pass","Fail")</f>
        <v>Pass</v>
      </c>
      <c r="K695" s="6">
        <f>IF(Benchmark2[[#This Row],[Comparable '#3 Date Check]]="Pass",INDEX(Comp3[Comparable '#3 Price],MATCH(Benchmark2[[#This Row],[Benchmark '#2 Dates]],Comp3[Comparable '#3 Dates],0)),"-")</f>
        <v>91.86</v>
      </c>
    </row>
    <row r="696" spans="1:11">
      <c r="A696" s="103">
        <v>44294</v>
      </c>
      <c r="B696" s="104">
        <v>15886.562599999999</v>
      </c>
      <c r="C696" s="4">
        <f t="shared" si="10"/>
        <v>3.0080580224018561E-3</v>
      </c>
      <c r="D696" s="1" t="str">
        <f>IF(COUNTIF(Target1[Target Dates],Benchmark2[[#This Row],[Benchmark '#2 Dates]])=1,"Pass","Fail")</f>
        <v>Pass</v>
      </c>
      <c r="E696" s="6">
        <f>IF(Benchmark2[[#This Row],[Target Date Check]]="Pass",INDEX(Target1[Target Price],MATCH(Benchmark2[[#This Row],[Benchmark '#2 Dates]],Target1[Target Dates],0)),"-")</f>
        <v>34.44</v>
      </c>
      <c r="F696" s="1" t="str">
        <f>IF(COUNTIF(Comp1[Comparable '#1 Dates],Benchmark2[[#This Row],[Benchmark '#2 Dates]])=1,"Pass","Fail")</f>
        <v>Pass</v>
      </c>
      <c r="G696" s="6">
        <f>IF(Benchmark2[[#This Row],[Comparable '#1 Date Check]]="Pass",INDEX(Comp1[Comparable '#1 Price],MATCH(Benchmark2[[#This Row],[Benchmark '#2 Dates]],Comp1[Comparable '#1 Dates],0)),"-")</f>
        <v>13.27</v>
      </c>
      <c r="H696" s="1" t="str">
        <f>IF(COUNTIF(Comp2[Comparable '#2 Dates],Benchmark2[[#This Row],[Benchmark '#2 Dates]])=1,"Pass","Fail")</f>
        <v>Pass</v>
      </c>
      <c r="I696" s="6">
        <f>IF(Benchmark2[[#This Row],[Comparable '#2 Date Check]]="Pass",INDEX(Comp2[Comparable '#2 Price],MATCH(Benchmark2[[#This Row],[Benchmark '#2 Dates]],Comp2[Comparable '#2 Dates],0)),"-")</f>
        <v>39.880000000000003</v>
      </c>
      <c r="J696" s="1" t="str">
        <f>IF(COUNTIF(Comp3[Comparable '#3 Dates],Benchmark2[[#This Row],[Benchmark '#2 Dates]])=1,"Pass","Fail")</f>
        <v>Pass</v>
      </c>
      <c r="K696" s="6">
        <f>IF(Benchmark2[[#This Row],[Comparable '#3 Date Check]]="Pass",INDEX(Comp3[Comparable '#3 Price],MATCH(Benchmark2[[#This Row],[Benchmark '#2 Dates]],Comp3[Comparable '#3 Dates],0)),"-")</f>
        <v>92.43</v>
      </c>
    </row>
    <row r="697" spans="1:11">
      <c r="A697" s="103">
        <v>44295</v>
      </c>
      <c r="B697" s="104">
        <v>15956.3719</v>
      </c>
      <c r="C697" s="4">
        <f t="shared" si="10"/>
        <v>4.3846092035962243E-3</v>
      </c>
      <c r="D697" s="1" t="str">
        <f>IF(COUNTIF(Target1[Target Dates],Benchmark2[[#This Row],[Benchmark '#2 Dates]])=1,"Pass","Fail")</f>
        <v>Pass</v>
      </c>
      <c r="E697" s="6">
        <f>IF(Benchmark2[[#This Row],[Target Date Check]]="Pass",INDEX(Target1[Target Price],MATCH(Benchmark2[[#This Row],[Benchmark '#2 Dates]],Target1[Target Dates],0)),"-")</f>
        <v>32.92</v>
      </c>
      <c r="F697" s="1" t="str">
        <f>IF(COUNTIF(Comp1[Comparable '#1 Dates],Benchmark2[[#This Row],[Benchmark '#2 Dates]])=1,"Pass","Fail")</f>
        <v>Pass</v>
      </c>
      <c r="G697" s="6">
        <f>IF(Benchmark2[[#This Row],[Comparable '#1 Date Check]]="Pass",INDEX(Comp1[Comparable '#1 Price],MATCH(Benchmark2[[#This Row],[Benchmark '#2 Dates]],Comp1[Comparable '#1 Dates],0)),"-")</f>
        <v>13.18</v>
      </c>
      <c r="H697" s="1" t="str">
        <f>IF(COUNTIF(Comp2[Comparable '#2 Dates],Benchmark2[[#This Row],[Benchmark '#2 Dates]])=1,"Pass","Fail")</f>
        <v>Pass</v>
      </c>
      <c r="I697" s="6">
        <f>IF(Benchmark2[[#This Row],[Comparable '#2 Date Check]]="Pass",INDEX(Comp2[Comparable '#2 Price],MATCH(Benchmark2[[#This Row],[Benchmark '#2 Dates]],Comp2[Comparable '#2 Dates],0)),"-")</f>
        <v>39.36</v>
      </c>
      <c r="J697" s="1" t="str">
        <f>IF(COUNTIF(Comp3[Comparable '#3 Dates],Benchmark2[[#This Row],[Benchmark '#2 Dates]])=1,"Pass","Fail")</f>
        <v>Pass</v>
      </c>
      <c r="K697" s="6">
        <f>IF(Benchmark2[[#This Row],[Comparable '#3 Date Check]]="Pass",INDEX(Comp3[Comparable '#3 Price],MATCH(Benchmark2[[#This Row],[Benchmark '#2 Dates]],Comp3[Comparable '#3 Dates],0)),"-")</f>
        <v>90.5</v>
      </c>
    </row>
    <row r="698" spans="1:11">
      <c r="A698" s="103">
        <v>44298</v>
      </c>
      <c r="B698" s="104">
        <v>15977.4584</v>
      </c>
      <c r="C698" s="4">
        <f t="shared" si="10"/>
        <v>1.3206372593968208E-3</v>
      </c>
      <c r="D698" s="1" t="str">
        <f>IF(COUNTIF(Target1[Target Dates],Benchmark2[[#This Row],[Benchmark '#2 Dates]])=1,"Pass","Fail")</f>
        <v>Pass</v>
      </c>
      <c r="E698" s="6">
        <f>IF(Benchmark2[[#This Row],[Target Date Check]]="Pass",INDEX(Target1[Target Price],MATCH(Benchmark2[[#This Row],[Benchmark '#2 Dates]],Target1[Target Dates],0)),"-")</f>
        <v>32.42</v>
      </c>
      <c r="F698" s="1" t="str">
        <f>IF(COUNTIF(Comp1[Comparable '#1 Dates],Benchmark2[[#This Row],[Benchmark '#2 Dates]])=1,"Pass","Fail")</f>
        <v>Pass</v>
      </c>
      <c r="G698" s="6">
        <f>IF(Benchmark2[[#This Row],[Comparable '#1 Date Check]]="Pass",INDEX(Comp1[Comparable '#1 Price],MATCH(Benchmark2[[#This Row],[Benchmark '#2 Dates]],Comp1[Comparable '#1 Dates],0)),"-")</f>
        <v>13.23</v>
      </c>
      <c r="H698" s="1" t="str">
        <f>IF(COUNTIF(Comp2[Comparable '#2 Dates],Benchmark2[[#This Row],[Benchmark '#2 Dates]])=1,"Pass","Fail")</f>
        <v>Pass</v>
      </c>
      <c r="I698" s="6">
        <f>IF(Benchmark2[[#This Row],[Comparable '#2 Date Check]]="Pass",INDEX(Comp2[Comparable '#2 Price],MATCH(Benchmark2[[#This Row],[Benchmark '#2 Dates]],Comp2[Comparable '#2 Dates],0)),"-")</f>
        <v>39.369999999999997</v>
      </c>
      <c r="J698" s="1" t="str">
        <f>IF(COUNTIF(Comp3[Comparable '#3 Dates],Benchmark2[[#This Row],[Benchmark '#2 Dates]])=1,"Pass","Fail")</f>
        <v>Pass</v>
      </c>
      <c r="K698" s="6">
        <f>IF(Benchmark2[[#This Row],[Comparable '#3 Date Check]]="Pass",INDEX(Comp3[Comparable '#3 Price],MATCH(Benchmark2[[#This Row],[Benchmark '#2 Dates]],Comp3[Comparable '#3 Dates],0)),"-")</f>
        <v>86.8</v>
      </c>
    </row>
    <row r="699" spans="1:11">
      <c r="A699" s="103">
        <v>44299</v>
      </c>
      <c r="B699" s="104">
        <v>15962.3444</v>
      </c>
      <c r="C699" s="4">
        <f t="shared" si="10"/>
        <v>-9.4640541287953882E-4</v>
      </c>
      <c r="D699" s="1" t="str">
        <f>IF(COUNTIF(Target1[Target Dates],Benchmark2[[#This Row],[Benchmark '#2 Dates]])=1,"Pass","Fail")</f>
        <v>Pass</v>
      </c>
      <c r="E699" s="6">
        <f>IF(Benchmark2[[#This Row],[Target Date Check]]="Pass",INDEX(Target1[Target Price],MATCH(Benchmark2[[#This Row],[Benchmark '#2 Dates]],Target1[Target Dates],0)),"-")</f>
        <v>32.32</v>
      </c>
      <c r="F699" s="1" t="str">
        <f>IF(COUNTIF(Comp1[Comparable '#1 Dates],Benchmark2[[#This Row],[Benchmark '#2 Dates]])=1,"Pass","Fail")</f>
        <v>Pass</v>
      </c>
      <c r="G699" s="6">
        <f>IF(Benchmark2[[#This Row],[Comparable '#1 Date Check]]="Pass",INDEX(Comp1[Comparable '#1 Price],MATCH(Benchmark2[[#This Row],[Benchmark '#2 Dates]],Comp1[Comparable '#1 Dates],0)),"-")</f>
        <v>13.04</v>
      </c>
      <c r="H699" s="1" t="str">
        <f>IF(COUNTIF(Comp2[Comparable '#2 Dates],Benchmark2[[#This Row],[Benchmark '#2 Dates]])=1,"Pass","Fail")</f>
        <v>Pass</v>
      </c>
      <c r="I699" s="6">
        <f>IF(Benchmark2[[#This Row],[Comparable '#2 Date Check]]="Pass",INDEX(Comp2[Comparable '#2 Price],MATCH(Benchmark2[[#This Row],[Benchmark '#2 Dates]],Comp2[Comparable '#2 Dates],0)),"-")</f>
        <v>38.85</v>
      </c>
      <c r="J699" s="1" t="str">
        <f>IF(COUNTIF(Comp3[Comparable '#3 Dates],Benchmark2[[#This Row],[Benchmark '#2 Dates]])=1,"Pass","Fail")</f>
        <v>Pass</v>
      </c>
      <c r="K699" s="6">
        <f>IF(Benchmark2[[#This Row],[Comparable '#3 Date Check]]="Pass",INDEX(Comp3[Comparable '#3 Price],MATCH(Benchmark2[[#This Row],[Benchmark '#2 Dates]],Comp3[Comparable '#3 Dates],0)),"-")</f>
        <v>87.2</v>
      </c>
    </row>
    <row r="700" spans="1:11">
      <c r="A700" s="103">
        <v>44300</v>
      </c>
      <c r="B700" s="104">
        <v>16000.147999999999</v>
      </c>
      <c r="C700" s="4">
        <f t="shared" si="10"/>
        <v>2.3654987323682912E-3</v>
      </c>
      <c r="D700" s="1" t="str">
        <f>IF(COUNTIF(Target1[Target Dates],Benchmark2[[#This Row],[Benchmark '#2 Dates]])=1,"Pass","Fail")</f>
        <v>Pass</v>
      </c>
      <c r="E700" s="6">
        <f>IF(Benchmark2[[#This Row],[Target Date Check]]="Pass",INDEX(Target1[Target Price],MATCH(Benchmark2[[#This Row],[Benchmark '#2 Dates]],Target1[Target Dates],0)),"-")</f>
        <v>31.66</v>
      </c>
      <c r="F700" s="1" t="str">
        <f>IF(COUNTIF(Comp1[Comparable '#1 Dates],Benchmark2[[#This Row],[Benchmark '#2 Dates]])=1,"Pass","Fail")</f>
        <v>Pass</v>
      </c>
      <c r="G700" s="6">
        <f>IF(Benchmark2[[#This Row],[Comparable '#1 Date Check]]="Pass",INDEX(Comp1[Comparable '#1 Price],MATCH(Benchmark2[[#This Row],[Benchmark '#2 Dates]],Comp1[Comparable '#1 Dates],0)),"-")</f>
        <v>13.08</v>
      </c>
      <c r="H700" s="1" t="str">
        <f>IF(COUNTIF(Comp2[Comparable '#2 Dates],Benchmark2[[#This Row],[Benchmark '#2 Dates]])=1,"Pass","Fail")</f>
        <v>Pass</v>
      </c>
      <c r="I700" s="6">
        <f>IF(Benchmark2[[#This Row],[Comparable '#2 Date Check]]="Pass",INDEX(Comp2[Comparable '#2 Price],MATCH(Benchmark2[[#This Row],[Benchmark '#2 Dates]],Comp2[Comparable '#2 Dates],0)),"-")</f>
        <v>39.17</v>
      </c>
      <c r="J700" s="1" t="str">
        <f>IF(COUNTIF(Comp3[Comparable '#3 Dates],Benchmark2[[#This Row],[Benchmark '#2 Dates]])=1,"Pass","Fail")</f>
        <v>Pass</v>
      </c>
      <c r="K700" s="6">
        <f>IF(Benchmark2[[#This Row],[Comparable '#3 Date Check]]="Pass",INDEX(Comp3[Comparable '#3 Price],MATCH(Benchmark2[[#This Row],[Benchmark '#2 Dates]],Comp3[Comparable '#3 Dates],0)),"-")</f>
        <v>85.57</v>
      </c>
    </row>
    <row r="701" spans="1:11">
      <c r="A701" s="103">
        <v>44301</v>
      </c>
      <c r="B701" s="104">
        <v>16116.845499999999</v>
      </c>
      <c r="C701" s="4">
        <f t="shared" si="10"/>
        <v>7.2670571463645302E-3</v>
      </c>
      <c r="D701" s="1" t="str">
        <f>IF(COUNTIF(Target1[Target Dates],Benchmark2[[#This Row],[Benchmark '#2 Dates]])=1,"Pass","Fail")</f>
        <v>Pass</v>
      </c>
      <c r="E701" s="6">
        <f>IF(Benchmark2[[#This Row],[Target Date Check]]="Pass",INDEX(Target1[Target Price],MATCH(Benchmark2[[#This Row],[Benchmark '#2 Dates]],Target1[Target Dates],0)),"-")</f>
        <v>31.42</v>
      </c>
      <c r="F701" s="1" t="str">
        <f>IF(COUNTIF(Comp1[Comparable '#1 Dates],Benchmark2[[#This Row],[Benchmark '#2 Dates]])=1,"Pass","Fail")</f>
        <v>Pass</v>
      </c>
      <c r="G701" s="6">
        <f>IF(Benchmark2[[#This Row],[Comparable '#1 Date Check]]="Pass",INDEX(Comp1[Comparable '#1 Price],MATCH(Benchmark2[[#This Row],[Benchmark '#2 Dates]],Comp1[Comparable '#1 Dates],0)),"-")</f>
        <v>13.34</v>
      </c>
      <c r="H701" s="1" t="str">
        <f>IF(COUNTIF(Comp2[Comparable '#2 Dates],Benchmark2[[#This Row],[Benchmark '#2 Dates]])=1,"Pass","Fail")</f>
        <v>Pass</v>
      </c>
      <c r="I701" s="6">
        <f>IF(Benchmark2[[#This Row],[Comparable '#2 Date Check]]="Pass",INDEX(Comp2[Comparable '#2 Price],MATCH(Benchmark2[[#This Row],[Benchmark '#2 Dates]],Comp2[Comparable '#2 Dates],0)),"-")</f>
        <v>40</v>
      </c>
      <c r="J701" s="1" t="str">
        <f>IF(COUNTIF(Comp3[Comparable '#3 Dates],Benchmark2[[#This Row],[Benchmark '#2 Dates]])=1,"Pass","Fail")</f>
        <v>Pass</v>
      </c>
      <c r="K701" s="6">
        <f>IF(Benchmark2[[#This Row],[Comparable '#3 Date Check]]="Pass",INDEX(Comp3[Comparable '#3 Price],MATCH(Benchmark2[[#This Row],[Benchmark '#2 Dates]],Comp3[Comparable '#3 Dates],0)),"-")</f>
        <v>86.89</v>
      </c>
    </row>
    <row r="702" spans="1:11">
      <c r="A702" s="103">
        <v>44302</v>
      </c>
      <c r="B702" s="104">
        <v>16186.294599999999</v>
      </c>
      <c r="C702" s="4">
        <f t="shared" si="10"/>
        <v>4.2998424788812271E-3</v>
      </c>
      <c r="D702" s="1" t="str">
        <f>IF(COUNTIF(Target1[Target Dates],Benchmark2[[#This Row],[Benchmark '#2 Dates]])=1,"Pass","Fail")</f>
        <v>Pass</v>
      </c>
      <c r="E702" s="6">
        <f>IF(Benchmark2[[#This Row],[Target Date Check]]="Pass",INDEX(Target1[Target Price],MATCH(Benchmark2[[#This Row],[Benchmark '#2 Dates]],Target1[Target Dates],0)),"-")</f>
        <v>32.340000000000003</v>
      </c>
      <c r="F702" s="1" t="str">
        <f>IF(COUNTIF(Comp1[Comparable '#1 Dates],Benchmark2[[#This Row],[Benchmark '#2 Dates]])=1,"Pass","Fail")</f>
        <v>Pass</v>
      </c>
      <c r="G702" s="6">
        <f>IF(Benchmark2[[#This Row],[Comparable '#1 Date Check]]="Pass",INDEX(Comp1[Comparable '#1 Price],MATCH(Benchmark2[[#This Row],[Benchmark '#2 Dates]],Comp1[Comparable '#1 Dates],0)),"-")</f>
        <v>13.42</v>
      </c>
      <c r="H702" s="1" t="str">
        <f>IF(COUNTIF(Comp2[Comparable '#2 Dates],Benchmark2[[#This Row],[Benchmark '#2 Dates]])=1,"Pass","Fail")</f>
        <v>Pass</v>
      </c>
      <c r="I702" s="6">
        <f>IF(Benchmark2[[#This Row],[Comparable '#2 Date Check]]="Pass",INDEX(Comp2[Comparable '#2 Price],MATCH(Benchmark2[[#This Row],[Benchmark '#2 Dates]],Comp2[Comparable '#2 Dates],0)),"-")</f>
        <v>40.020000000000003</v>
      </c>
      <c r="J702" s="1" t="str">
        <f>IF(COUNTIF(Comp3[Comparable '#3 Dates],Benchmark2[[#This Row],[Benchmark '#2 Dates]])=1,"Pass","Fail")</f>
        <v>Pass</v>
      </c>
      <c r="K702" s="6">
        <f>IF(Benchmark2[[#This Row],[Comparable '#3 Date Check]]="Pass",INDEX(Comp3[Comparable '#3 Price],MATCH(Benchmark2[[#This Row],[Benchmark '#2 Dates]],Comp3[Comparable '#3 Dates],0)),"-")</f>
        <v>89.26</v>
      </c>
    </row>
    <row r="703" spans="1:11">
      <c r="A703" s="103">
        <v>44305</v>
      </c>
      <c r="B703" s="104">
        <v>16107.5586</v>
      </c>
      <c r="C703" s="4">
        <f t="shared" si="10"/>
        <v>-4.8762317413973211E-3</v>
      </c>
      <c r="D703" s="1" t="str">
        <f>IF(COUNTIF(Target1[Target Dates],Benchmark2[[#This Row],[Benchmark '#2 Dates]])=1,"Pass","Fail")</f>
        <v>Pass</v>
      </c>
      <c r="E703" s="6">
        <f>IF(Benchmark2[[#This Row],[Target Date Check]]="Pass",INDEX(Target1[Target Price],MATCH(Benchmark2[[#This Row],[Benchmark '#2 Dates]],Target1[Target Dates],0)),"-")</f>
        <v>30.62</v>
      </c>
      <c r="F703" s="1" t="str">
        <f>IF(COUNTIF(Comp1[Comparable '#1 Dates],Benchmark2[[#This Row],[Benchmark '#2 Dates]])=1,"Pass","Fail")</f>
        <v>Pass</v>
      </c>
      <c r="G703" s="6">
        <f>IF(Benchmark2[[#This Row],[Comparable '#1 Date Check]]="Pass",INDEX(Comp1[Comparable '#1 Price],MATCH(Benchmark2[[#This Row],[Benchmark '#2 Dates]],Comp1[Comparable '#1 Dates],0)),"-")</f>
        <v>13.06</v>
      </c>
      <c r="H703" s="1" t="str">
        <f>IF(COUNTIF(Comp2[Comparable '#2 Dates],Benchmark2[[#This Row],[Benchmark '#2 Dates]])=1,"Pass","Fail")</f>
        <v>Pass</v>
      </c>
      <c r="I703" s="6">
        <f>IF(Benchmark2[[#This Row],[Comparable '#2 Date Check]]="Pass",INDEX(Comp2[Comparable '#2 Price],MATCH(Benchmark2[[#This Row],[Benchmark '#2 Dates]],Comp2[Comparable '#2 Dates],0)),"-")</f>
        <v>39.85</v>
      </c>
      <c r="J703" s="1" t="str">
        <f>IF(COUNTIF(Comp3[Comparable '#3 Dates],Benchmark2[[#This Row],[Benchmark '#2 Dates]])=1,"Pass","Fail")</f>
        <v>Pass</v>
      </c>
      <c r="K703" s="6">
        <f>IF(Benchmark2[[#This Row],[Comparable '#3 Date Check]]="Pass",INDEX(Comp3[Comparable '#3 Price],MATCH(Benchmark2[[#This Row],[Benchmark '#2 Dates]],Comp3[Comparable '#3 Dates],0)),"-")</f>
        <v>85.92</v>
      </c>
    </row>
    <row r="704" spans="1:11">
      <c r="A704" s="103">
        <v>44306</v>
      </c>
      <c r="B704" s="104">
        <v>15944.614600000001</v>
      </c>
      <c r="C704" s="4">
        <f t="shared" si="10"/>
        <v>-1.0167510497331663E-2</v>
      </c>
      <c r="D704" s="1" t="str">
        <f>IF(COUNTIF(Target1[Target Dates],Benchmark2[[#This Row],[Benchmark '#2 Dates]])=1,"Pass","Fail")</f>
        <v>Pass</v>
      </c>
      <c r="E704" s="6">
        <f>IF(Benchmark2[[#This Row],[Target Date Check]]="Pass",INDEX(Target1[Target Price],MATCH(Benchmark2[[#This Row],[Benchmark '#2 Dates]],Target1[Target Dates],0)),"-")</f>
        <v>30.51</v>
      </c>
      <c r="F704" s="1" t="str">
        <f>IF(COUNTIF(Comp1[Comparable '#1 Dates],Benchmark2[[#This Row],[Benchmark '#2 Dates]])=1,"Pass","Fail")</f>
        <v>Pass</v>
      </c>
      <c r="G704" s="6">
        <f>IF(Benchmark2[[#This Row],[Comparable '#1 Date Check]]="Pass",INDEX(Comp1[Comparable '#1 Price],MATCH(Benchmark2[[#This Row],[Benchmark '#2 Dates]],Comp1[Comparable '#1 Dates],0)),"-")</f>
        <v>12.86</v>
      </c>
      <c r="H704" s="1" t="str">
        <f>IF(COUNTIF(Comp2[Comparable '#2 Dates],Benchmark2[[#This Row],[Benchmark '#2 Dates]])=1,"Pass","Fail")</f>
        <v>Pass</v>
      </c>
      <c r="I704" s="6">
        <f>IF(Benchmark2[[#This Row],[Comparable '#2 Date Check]]="Pass",INDEX(Comp2[Comparable '#2 Price],MATCH(Benchmark2[[#This Row],[Benchmark '#2 Dates]],Comp2[Comparable '#2 Dates],0)),"-")</f>
        <v>38.94</v>
      </c>
      <c r="J704" s="1" t="str">
        <f>IF(COUNTIF(Comp3[Comparable '#3 Dates],Benchmark2[[#This Row],[Benchmark '#2 Dates]])=1,"Pass","Fail")</f>
        <v>Pass</v>
      </c>
      <c r="K704" s="6">
        <f>IF(Benchmark2[[#This Row],[Comparable '#3 Date Check]]="Pass",INDEX(Comp3[Comparable '#3 Price],MATCH(Benchmark2[[#This Row],[Benchmark '#2 Dates]],Comp3[Comparable '#3 Dates],0)),"-")</f>
        <v>86.24</v>
      </c>
    </row>
    <row r="705" spans="1:11">
      <c r="A705" s="103">
        <v>44307</v>
      </c>
      <c r="B705" s="104">
        <v>16121.6137</v>
      </c>
      <c r="C705" s="4">
        <f t="shared" si="10"/>
        <v>1.1039707943805231E-2</v>
      </c>
      <c r="D705" s="1" t="str">
        <f>IF(COUNTIF(Target1[Target Dates],Benchmark2[[#This Row],[Benchmark '#2 Dates]])=1,"Pass","Fail")</f>
        <v>Pass</v>
      </c>
      <c r="E705" s="6">
        <f>IF(Benchmark2[[#This Row],[Target Date Check]]="Pass",INDEX(Target1[Target Price],MATCH(Benchmark2[[#This Row],[Benchmark '#2 Dates]],Target1[Target Dates],0)),"-")</f>
        <v>30</v>
      </c>
      <c r="F705" s="1" t="str">
        <f>IF(COUNTIF(Comp1[Comparable '#1 Dates],Benchmark2[[#This Row],[Benchmark '#2 Dates]])=1,"Pass","Fail")</f>
        <v>Pass</v>
      </c>
      <c r="G705" s="6">
        <f>IF(Benchmark2[[#This Row],[Comparable '#1 Date Check]]="Pass",INDEX(Comp1[Comparable '#1 Price],MATCH(Benchmark2[[#This Row],[Benchmark '#2 Dates]],Comp1[Comparable '#1 Dates],0)),"-")</f>
        <v>12.85</v>
      </c>
      <c r="H705" s="1" t="str">
        <f>IF(COUNTIF(Comp2[Comparable '#2 Dates],Benchmark2[[#This Row],[Benchmark '#2 Dates]])=1,"Pass","Fail")</f>
        <v>Pass</v>
      </c>
      <c r="I705" s="6">
        <f>IF(Benchmark2[[#This Row],[Comparable '#2 Date Check]]="Pass",INDEX(Comp2[Comparable '#2 Price],MATCH(Benchmark2[[#This Row],[Benchmark '#2 Dates]],Comp2[Comparable '#2 Dates],0)),"-")</f>
        <v>38.61</v>
      </c>
      <c r="J705" s="1" t="str">
        <f>IF(COUNTIF(Comp3[Comparable '#3 Dates],Benchmark2[[#This Row],[Benchmark '#2 Dates]])=1,"Pass","Fail")</f>
        <v>Pass</v>
      </c>
      <c r="K705" s="6">
        <f>IF(Benchmark2[[#This Row],[Comparable '#3 Date Check]]="Pass",INDEX(Comp3[Comparable '#3 Price],MATCH(Benchmark2[[#This Row],[Benchmark '#2 Dates]],Comp3[Comparable '#3 Dates],0)),"-")</f>
        <v>84.35</v>
      </c>
    </row>
    <row r="706" spans="1:11">
      <c r="A706" s="103">
        <v>44308</v>
      </c>
      <c r="B706" s="104">
        <v>16030.624</v>
      </c>
      <c r="C706" s="4">
        <f t="shared" ref="C706:C769" si="11">IFERROR(IF(B706="",NA(),LN(B706/B705)),"-")</f>
        <v>-5.6599446516443193E-3</v>
      </c>
      <c r="D706" s="1" t="str">
        <f>IF(COUNTIF(Target1[Target Dates],Benchmark2[[#This Row],[Benchmark '#2 Dates]])=1,"Pass","Fail")</f>
        <v>Pass</v>
      </c>
      <c r="E706" s="6">
        <f>IF(Benchmark2[[#This Row],[Target Date Check]]="Pass",INDEX(Target1[Target Price],MATCH(Benchmark2[[#This Row],[Benchmark '#2 Dates]],Target1[Target Dates],0)),"-")</f>
        <v>31.03</v>
      </c>
      <c r="F706" s="1" t="str">
        <f>IF(COUNTIF(Comp1[Comparable '#1 Dates],Benchmark2[[#This Row],[Benchmark '#2 Dates]])=1,"Pass","Fail")</f>
        <v>Pass</v>
      </c>
      <c r="G706" s="6">
        <f>IF(Benchmark2[[#This Row],[Comparable '#1 Date Check]]="Pass",INDEX(Comp1[Comparable '#1 Price],MATCH(Benchmark2[[#This Row],[Benchmark '#2 Dates]],Comp1[Comparable '#1 Dates],0)),"-")</f>
        <v>12.16</v>
      </c>
      <c r="H706" s="1" t="str">
        <f>IF(COUNTIF(Comp2[Comparable '#2 Dates],Benchmark2[[#This Row],[Benchmark '#2 Dates]])=1,"Pass","Fail")</f>
        <v>Pass</v>
      </c>
      <c r="I706" s="6">
        <f>IF(Benchmark2[[#This Row],[Comparable '#2 Date Check]]="Pass",INDEX(Comp2[Comparable '#2 Price],MATCH(Benchmark2[[#This Row],[Benchmark '#2 Dates]],Comp2[Comparable '#2 Dates],0)),"-")</f>
        <v>38.799999999999997</v>
      </c>
      <c r="J706" s="1" t="str">
        <f>IF(COUNTIF(Comp3[Comparable '#3 Dates],Benchmark2[[#This Row],[Benchmark '#2 Dates]])=1,"Pass","Fail")</f>
        <v>Pass</v>
      </c>
      <c r="K706" s="6">
        <f>IF(Benchmark2[[#This Row],[Comparable '#3 Date Check]]="Pass",INDEX(Comp3[Comparable '#3 Price],MATCH(Benchmark2[[#This Row],[Benchmark '#2 Dates]],Comp3[Comparable '#3 Dates],0)),"-")</f>
        <v>84.86</v>
      </c>
    </row>
    <row r="707" spans="1:11">
      <c r="A707" s="103">
        <v>44309</v>
      </c>
      <c r="B707" s="104">
        <v>16206.002200000001</v>
      </c>
      <c r="C707" s="4">
        <f t="shared" si="11"/>
        <v>1.0880786915037077E-2</v>
      </c>
      <c r="D707" s="1" t="str">
        <f>IF(COUNTIF(Target1[Target Dates],Benchmark2[[#This Row],[Benchmark '#2 Dates]])=1,"Pass","Fail")</f>
        <v>Pass</v>
      </c>
      <c r="E707" s="6">
        <f>IF(Benchmark2[[#This Row],[Target Date Check]]="Pass",INDEX(Target1[Target Price],MATCH(Benchmark2[[#This Row],[Benchmark '#2 Dates]],Target1[Target Dates],0)),"-")</f>
        <v>31.39</v>
      </c>
      <c r="F707" s="1" t="str">
        <f>IF(COUNTIF(Comp1[Comparable '#1 Dates],Benchmark2[[#This Row],[Benchmark '#2 Dates]])=1,"Pass","Fail")</f>
        <v>Pass</v>
      </c>
      <c r="G707" s="6">
        <f>IF(Benchmark2[[#This Row],[Comparable '#1 Date Check]]="Pass",INDEX(Comp1[Comparable '#1 Price],MATCH(Benchmark2[[#This Row],[Benchmark '#2 Dates]],Comp1[Comparable '#1 Dates],0)),"-")</f>
        <v>12.47</v>
      </c>
      <c r="H707" s="1" t="str">
        <f>IF(COUNTIF(Comp2[Comparable '#2 Dates],Benchmark2[[#This Row],[Benchmark '#2 Dates]])=1,"Pass","Fail")</f>
        <v>Pass</v>
      </c>
      <c r="I707" s="6">
        <f>IF(Benchmark2[[#This Row],[Comparable '#2 Date Check]]="Pass",INDEX(Comp2[Comparable '#2 Price],MATCH(Benchmark2[[#This Row],[Benchmark '#2 Dates]],Comp2[Comparable '#2 Dates],0)),"-")</f>
        <v>38.69</v>
      </c>
      <c r="J707" s="1" t="str">
        <f>IF(COUNTIF(Comp3[Comparable '#3 Dates],Benchmark2[[#This Row],[Benchmark '#2 Dates]])=1,"Pass","Fail")</f>
        <v>Pass</v>
      </c>
      <c r="K707" s="6">
        <f>IF(Benchmark2[[#This Row],[Comparable '#3 Date Check]]="Pass",INDEX(Comp3[Comparable '#3 Price],MATCH(Benchmark2[[#This Row],[Benchmark '#2 Dates]],Comp3[Comparable '#3 Dates],0)),"-")</f>
        <v>85.43</v>
      </c>
    </row>
    <row r="708" spans="1:11">
      <c r="A708" s="103">
        <v>44312</v>
      </c>
      <c r="B708" s="104">
        <v>16241.2057</v>
      </c>
      <c r="C708" s="4">
        <f t="shared" si="11"/>
        <v>2.1698947978081645E-3</v>
      </c>
      <c r="D708" s="1" t="str">
        <f>IF(COUNTIF(Target1[Target Dates],Benchmark2[[#This Row],[Benchmark '#2 Dates]])=1,"Pass","Fail")</f>
        <v>Pass</v>
      </c>
      <c r="E708" s="6">
        <f>IF(Benchmark2[[#This Row],[Target Date Check]]="Pass",INDEX(Target1[Target Price],MATCH(Benchmark2[[#This Row],[Benchmark '#2 Dates]],Target1[Target Dates],0)),"-")</f>
        <v>31.12</v>
      </c>
      <c r="F708" s="1" t="str">
        <f>IF(COUNTIF(Comp1[Comparable '#1 Dates],Benchmark2[[#This Row],[Benchmark '#2 Dates]])=1,"Pass","Fail")</f>
        <v>Pass</v>
      </c>
      <c r="G708" s="6">
        <f>IF(Benchmark2[[#This Row],[Comparable '#1 Date Check]]="Pass",INDEX(Comp1[Comparable '#1 Price],MATCH(Benchmark2[[#This Row],[Benchmark '#2 Dates]],Comp1[Comparable '#1 Dates],0)),"-")</f>
        <v>12.42</v>
      </c>
      <c r="H708" s="1" t="str">
        <f>IF(COUNTIF(Comp2[Comparable '#2 Dates],Benchmark2[[#This Row],[Benchmark '#2 Dates]])=1,"Pass","Fail")</f>
        <v>Pass</v>
      </c>
      <c r="I708" s="6">
        <f>IF(Benchmark2[[#This Row],[Comparable '#2 Date Check]]="Pass",INDEX(Comp2[Comparable '#2 Price],MATCH(Benchmark2[[#This Row],[Benchmark '#2 Dates]],Comp2[Comparable '#2 Dates],0)),"-")</f>
        <v>38.840000000000003</v>
      </c>
      <c r="J708" s="1" t="str">
        <f>IF(COUNTIF(Comp3[Comparable '#3 Dates],Benchmark2[[#This Row],[Benchmark '#2 Dates]])=1,"Pass","Fail")</f>
        <v>Pass</v>
      </c>
      <c r="K708" s="6">
        <f>IF(Benchmark2[[#This Row],[Comparable '#3 Date Check]]="Pass",INDEX(Comp3[Comparable '#3 Price],MATCH(Benchmark2[[#This Row],[Benchmark '#2 Dates]],Comp3[Comparable '#3 Dates],0)),"-")</f>
        <v>85.92</v>
      </c>
    </row>
    <row r="709" spans="1:11">
      <c r="A709" s="103">
        <v>44313</v>
      </c>
      <c r="B709" s="104">
        <v>16273.3102</v>
      </c>
      <c r="C709" s="4">
        <f t="shared" si="11"/>
        <v>1.9747801586250265E-3</v>
      </c>
      <c r="D709" s="1" t="str">
        <f>IF(COUNTIF(Target1[Target Dates],Benchmark2[[#This Row],[Benchmark '#2 Dates]])=1,"Pass","Fail")</f>
        <v>Pass</v>
      </c>
      <c r="E709" s="6">
        <f>IF(Benchmark2[[#This Row],[Target Date Check]]="Pass",INDEX(Target1[Target Price],MATCH(Benchmark2[[#This Row],[Benchmark '#2 Dates]],Target1[Target Dates],0)),"-")</f>
        <v>30.37</v>
      </c>
      <c r="F709" s="1" t="str">
        <f>IF(COUNTIF(Comp1[Comparable '#1 Dates],Benchmark2[[#This Row],[Benchmark '#2 Dates]])=1,"Pass","Fail")</f>
        <v>Pass</v>
      </c>
      <c r="G709" s="6">
        <f>IF(Benchmark2[[#This Row],[Comparable '#1 Date Check]]="Pass",INDEX(Comp1[Comparable '#1 Price],MATCH(Benchmark2[[#This Row],[Benchmark '#2 Dates]],Comp1[Comparable '#1 Dates],0)),"-")</f>
        <v>12</v>
      </c>
      <c r="H709" s="1" t="str">
        <f>IF(COUNTIF(Comp2[Comparable '#2 Dates],Benchmark2[[#This Row],[Benchmark '#2 Dates]])=1,"Pass","Fail")</f>
        <v>Pass</v>
      </c>
      <c r="I709" s="6">
        <f>IF(Benchmark2[[#This Row],[Comparable '#2 Date Check]]="Pass",INDEX(Comp2[Comparable '#2 Price],MATCH(Benchmark2[[#This Row],[Benchmark '#2 Dates]],Comp2[Comparable '#2 Dates],0)),"-")</f>
        <v>37.94</v>
      </c>
      <c r="J709" s="1" t="str">
        <f>IF(COUNTIF(Comp3[Comparable '#3 Dates],Benchmark2[[#This Row],[Benchmark '#2 Dates]])=1,"Pass","Fail")</f>
        <v>Pass</v>
      </c>
      <c r="K709" s="6">
        <f>IF(Benchmark2[[#This Row],[Comparable '#3 Date Check]]="Pass",INDEX(Comp3[Comparable '#3 Price],MATCH(Benchmark2[[#This Row],[Benchmark '#2 Dates]],Comp3[Comparable '#3 Dates],0)),"-")</f>
        <v>81.78</v>
      </c>
    </row>
    <row r="710" spans="1:11">
      <c r="A710" s="103">
        <v>44314</v>
      </c>
      <c r="B710" s="104">
        <v>16322.130800000001</v>
      </c>
      <c r="C710" s="4">
        <f t="shared" si="11"/>
        <v>2.995549991601652E-3</v>
      </c>
      <c r="D710" s="1" t="str">
        <f>IF(COUNTIF(Target1[Target Dates],Benchmark2[[#This Row],[Benchmark '#2 Dates]])=1,"Pass","Fail")</f>
        <v>Pass</v>
      </c>
      <c r="E710" s="6">
        <f>IF(Benchmark2[[#This Row],[Target Date Check]]="Pass",INDEX(Target1[Target Price],MATCH(Benchmark2[[#This Row],[Benchmark '#2 Dates]],Target1[Target Dates],0)),"-")</f>
        <v>29.4</v>
      </c>
      <c r="F710" s="1" t="str">
        <f>IF(COUNTIF(Comp1[Comparable '#1 Dates],Benchmark2[[#This Row],[Benchmark '#2 Dates]])=1,"Pass","Fail")</f>
        <v>Pass</v>
      </c>
      <c r="G710" s="6">
        <f>IF(Benchmark2[[#This Row],[Comparable '#1 Date Check]]="Pass",INDEX(Comp1[Comparable '#1 Price],MATCH(Benchmark2[[#This Row],[Benchmark '#2 Dates]],Comp1[Comparable '#1 Dates],0)),"-")</f>
        <v>12.12</v>
      </c>
      <c r="H710" s="1" t="str">
        <f>IF(COUNTIF(Comp2[Comparable '#2 Dates],Benchmark2[[#This Row],[Benchmark '#2 Dates]])=1,"Pass","Fail")</f>
        <v>Pass</v>
      </c>
      <c r="I710" s="6">
        <f>IF(Benchmark2[[#This Row],[Comparable '#2 Date Check]]="Pass",INDEX(Comp2[Comparable '#2 Price],MATCH(Benchmark2[[#This Row],[Benchmark '#2 Dates]],Comp2[Comparable '#2 Dates],0)),"-")</f>
        <v>36.869999999999997</v>
      </c>
      <c r="J710" s="1" t="str">
        <f>IF(COUNTIF(Comp3[Comparable '#3 Dates],Benchmark2[[#This Row],[Benchmark '#2 Dates]])=1,"Pass","Fail")</f>
        <v>Pass</v>
      </c>
      <c r="K710" s="6">
        <f>IF(Benchmark2[[#This Row],[Comparable '#3 Date Check]]="Pass",INDEX(Comp3[Comparable '#3 Price],MATCH(Benchmark2[[#This Row],[Benchmark '#2 Dates]],Comp3[Comparable '#3 Dates],0)),"-")</f>
        <v>82.75</v>
      </c>
    </row>
    <row r="711" spans="1:11">
      <c r="A711" s="103">
        <v>44315</v>
      </c>
      <c r="B711" s="104">
        <v>16376.000099999999</v>
      </c>
      <c r="C711" s="4">
        <f t="shared" si="11"/>
        <v>3.2949497267357564E-3</v>
      </c>
      <c r="D711" s="1" t="str">
        <f>IF(COUNTIF(Target1[Target Dates],Benchmark2[[#This Row],[Benchmark '#2 Dates]])=1,"Pass","Fail")</f>
        <v>Pass</v>
      </c>
      <c r="E711" s="6">
        <f>IF(Benchmark2[[#This Row],[Target Date Check]]="Pass",INDEX(Target1[Target Price],MATCH(Benchmark2[[#This Row],[Benchmark '#2 Dates]],Target1[Target Dates],0)),"-")</f>
        <v>29.1</v>
      </c>
      <c r="F711" s="1" t="str">
        <f>IF(COUNTIF(Comp1[Comparable '#1 Dates],Benchmark2[[#This Row],[Benchmark '#2 Dates]])=1,"Pass","Fail")</f>
        <v>Pass</v>
      </c>
      <c r="G711" s="6">
        <f>IF(Benchmark2[[#This Row],[Comparable '#1 Date Check]]="Pass",INDEX(Comp1[Comparable '#1 Price],MATCH(Benchmark2[[#This Row],[Benchmark '#2 Dates]],Comp1[Comparable '#1 Dates],0)),"-")</f>
        <v>11.87</v>
      </c>
      <c r="H711" s="1" t="str">
        <f>IF(COUNTIF(Comp2[Comparable '#2 Dates],Benchmark2[[#This Row],[Benchmark '#2 Dates]])=1,"Pass","Fail")</f>
        <v>Pass</v>
      </c>
      <c r="I711" s="6">
        <f>IF(Benchmark2[[#This Row],[Comparable '#2 Date Check]]="Pass",INDEX(Comp2[Comparable '#2 Price],MATCH(Benchmark2[[#This Row],[Benchmark '#2 Dates]],Comp2[Comparable '#2 Dates],0)),"-")</f>
        <v>36.950000000000003</v>
      </c>
      <c r="J711" s="1" t="str">
        <f>IF(COUNTIF(Comp3[Comparable '#3 Dates],Benchmark2[[#This Row],[Benchmark '#2 Dates]])=1,"Pass","Fail")</f>
        <v>Pass</v>
      </c>
      <c r="K711" s="6">
        <f>IF(Benchmark2[[#This Row],[Comparable '#3 Date Check]]="Pass",INDEX(Comp3[Comparable '#3 Price],MATCH(Benchmark2[[#This Row],[Benchmark '#2 Dates]],Comp3[Comparable '#3 Dates],0)),"-")</f>
        <v>78.099999999999994</v>
      </c>
    </row>
    <row r="712" spans="1:11">
      <c r="A712" s="103">
        <v>44316</v>
      </c>
      <c r="B712" s="104">
        <v>16219.329900000001</v>
      </c>
      <c r="C712" s="4">
        <f t="shared" si="11"/>
        <v>-9.6131198252203884E-3</v>
      </c>
      <c r="D712" s="1" t="str">
        <f>IF(COUNTIF(Target1[Target Dates],Benchmark2[[#This Row],[Benchmark '#2 Dates]])=1,"Pass","Fail")</f>
        <v>Pass</v>
      </c>
      <c r="E712" s="6">
        <f>IF(Benchmark2[[#This Row],[Target Date Check]]="Pass",INDEX(Target1[Target Price],MATCH(Benchmark2[[#This Row],[Benchmark '#2 Dates]],Target1[Target Dates],0)),"-")</f>
        <v>28.63</v>
      </c>
      <c r="F712" s="1" t="str">
        <f>IF(COUNTIF(Comp1[Comparable '#1 Dates],Benchmark2[[#This Row],[Benchmark '#2 Dates]])=1,"Pass","Fail")</f>
        <v>Pass</v>
      </c>
      <c r="G712" s="6">
        <f>IF(Benchmark2[[#This Row],[Comparable '#1 Date Check]]="Pass",INDEX(Comp1[Comparable '#1 Price],MATCH(Benchmark2[[#This Row],[Benchmark '#2 Dates]],Comp1[Comparable '#1 Dates],0)),"-")</f>
        <v>13.75</v>
      </c>
      <c r="H712" s="1" t="str">
        <f>IF(COUNTIF(Comp2[Comparable '#2 Dates],Benchmark2[[#This Row],[Benchmark '#2 Dates]])=1,"Pass","Fail")</f>
        <v>Pass</v>
      </c>
      <c r="I712" s="6">
        <f>IF(Benchmark2[[#This Row],[Comparable '#2 Date Check]]="Pass",INDEX(Comp2[Comparable '#2 Price],MATCH(Benchmark2[[#This Row],[Benchmark '#2 Dates]],Comp2[Comparable '#2 Dates],0)),"-")</f>
        <v>34.31</v>
      </c>
      <c r="J712" s="1" t="str">
        <f>IF(COUNTIF(Comp3[Comparable '#3 Dates],Benchmark2[[#This Row],[Benchmark '#2 Dates]])=1,"Pass","Fail")</f>
        <v>Pass</v>
      </c>
      <c r="K712" s="6">
        <f>IF(Benchmark2[[#This Row],[Comparable '#3 Date Check]]="Pass",INDEX(Comp3[Comparable '#3 Price],MATCH(Benchmark2[[#This Row],[Benchmark '#2 Dates]],Comp3[Comparable '#3 Dates],0)),"-")</f>
        <v>75.06</v>
      </c>
    </row>
    <row r="713" spans="1:11">
      <c r="A713" s="103">
        <v>44319</v>
      </c>
      <c r="B713" s="104">
        <v>16325.2358</v>
      </c>
      <c r="C713" s="4">
        <f t="shared" si="11"/>
        <v>6.5083845220491425E-3</v>
      </c>
      <c r="D713" s="1" t="str">
        <f>IF(COUNTIF(Target1[Target Dates],Benchmark2[[#This Row],[Benchmark '#2 Dates]])=1,"Pass","Fail")</f>
        <v>Pass</v>
      </c>
      <c r="E713" s="6">
        <f>IF(Benchmark2[[#This Row],[Target Date Check]]="Pass",INDEX(Target1[Target Price],MATCH(Benchmark2[[#This Row],[Benchmark '#2 Dates]],Target1[Target Dates],0)),"-")</f>
        <v>28.5</v>
      </c>
      <c r="F713" s="1" t="str">
        <f>IF(COUNTIF(Comp1[Comparable '#1 Dates],Benchmark2[[#This Row],[Benchmark '#2 Dates]])=1,"Pass","Fail")</f>
        <v>Pass</v>
      </c>
      <c r="G713" s="6">
        <f>IF(Benchmark2[[#This Row],[Comparable '#1 Date Check]]="Pass",INDEX(Comp1[Comparable '#1 Price],MATCH(Benchmark2[[#This Row],[Benchmark '#2 Dates]],Comp1[Comparable '#1 Dates],0)),"-")</f>
        <v>13.61</v>
      </c>
      <c r="H713" s="1" t="str">
        <f>IF(COUNTIF(Comp2[Comparable '#2 Dates],Benchmark2[[#This Row],[Benchmark '#2 Dates]])=1,"Pass","Fail")</f>
        <v>Pass</v>
      </c>
      <c r="I713" s="6">
        <f>IF(Benchmark2[[#This Row],[Comparable '#2 Date Check]]="Pass",INDEX(Comp2[Comparable '#2 Price],MATCH(Benchmark2[[#This Row],[Benchmark '#2 Dates]],Comp2[Comparable '#2 Dates],0)),"-")</f>
        <v>34.76</v>
      </c>
      <c r="J713" s="1" t="str">
        <f>IF(COUNTIF(Comp3[Comparable '#3 Dates],Benchmark2[[#This Row],[Benchmark '#2 Dates]])=1,"Pass","Fail")</f>
        <v>Pass</v>
      </c>
      <c r="K713" s="6">
        <f>IF(Benchmark2[[#This Row],[Comparable '#3 Date Check]]="Pass",INDEX(Comp3[Comparable '#3 Price],MATCH(Benchmark2[[#This Row],[Benchmark '#2 Dates]],Comp3[Comparable '#3 Dates],0)),"-")</f>
        <v>76.959999999999994</v>
      </c>
    </row>
    <row r="714" spans="1:11">
      <c r="A714" s="103">
        <v>44320</v>
      </c>
      <c r="B714" s="104">
        <v>16289.2711</v>
      </c>
      <c r="C714" s="4">
        <f t="shared" si="11"/>
        <v>-2.2054427919389608E-3</v>
      </c>
      <c r="D714" s="1" t="str">
        <f>IF(COUNTIF(Target1[Target Dates],Benchmark2[[#This Row],[Benchmark '#2 Dates]])=1,"Pass","Fail")</f>
        <v>Pass</v>
      </c>
      <c r="E714" s="6">
        <f>IF(Benchmark2[[#This Row],[Target Date Check]]="Pass",INDEX(Target1[Target Price],MATCH(Benchmark2[[#This Row],[Benchmark '#2 Dates]],Target1[Target Dates],0)),"-")</f>
        <v>27.93</v>
      </c>
      <c r="F714" s="1" t="str">
        <f>IF(COUNTIF(Comp1[Comparable '#1 Dates],Benchmark2[[#This Row],[Benchmark '#2 Dates]])=1,"Pass","Fail")</f>
        <v>Pass</v>
      </c>
      <c r="G714" s="6">
        <f>IF(Benchmark2[[#This Row],[Comparable '#1 Date Check]]="Pass",INDEX(Comp1[Comparable '#1 Price],MATCH(Benchmark2[[#This Row],[Benchmark '#2 Dates]],Comp1[Comparable '#1 Dates],0)),"-")</f>
        <v>13.525</v>
      </c>
      <c r="H714" s="1" t="str">
        <f>IF(COUNTIF(Comp2[Comparable '#2 Dates],Benchmark2[[#This Row],[Benchmark '#2 Dates]])=1,"Pass","Fail")</f>
        <v>Pass</v>
      </c>
      <c r="I714" s="6">
        <f>IF(Benchmark2[[#This Row],[Comparable '#2 Date Check]]="Pass",INDEX(Comp2[Comparable '#2 Price],MATCH(Benchmark2[[#This Row],[Benchmark '#2 Dates]],Comp2[Comparable '#2 Dates],0)),"-")</f>
        <v>33.799999999999997</v>
      </c>
      <c r="J714" s="1" t="str">
        <f>IF(COUNTIF(Comp3[Comparable '#3 Dates],Benchmark2[[#This Row],[Benchmark '#2 Dates]])=1,"Pass","Fail")</f>
        <v>Pass</v>
      </c>
      <c r="K714" s="6">
        <f>IF(Benchmark2[[#This Row],[Comparable '#3 Date Check]]="Pass",INDEX(Comp3[Comparable '#3 Price],MATCH(Benchmark2[[#This Row],[Benchmark '#2 Dates]],Comp3[Comparable '#3 Dates],0)),"-")</f>
        <v>77.5</v>
      </c>
    </row>
    <row r="715" spans="1:11">
      <c r="A715" s="103">
        <v>44321</v>
      </c>
      <c r="B715" s="104">
        <v>16348.4144</v>
      </c>
      <c r="C715" s="4">
        <f t="shared" si="11"/>
        <v>3.6242376768869525E-3</v>
      </c>
      <c r="D715" s="1" t="str">
        <f>IF(COUNTIF(Target1[Target Dates],Benchmark2[[#This Row],[Benchmark '#2 Dates]])=1,"Pass","Fail")</f>
        <v>Pass</v>
      </c>
      <c r="E715" s="6">
        <f>IF(Benchmark2[[#This Row],[Target Date Check]]="Pass",INDEX(Target1[Target Price],MATCH(Benchmark2[[#This Row],[Benchmark '#2 Dates]],Target1[Target Dates],0)),"-")</f>
        <v>28.02</v>
      </c>
      <c r="F715" s="1" t="str">
        <f>IF(COUNTIF(Comp1[Comparable '#1 Dates],Benchmark2[[#This Row],[Benchmark '#2 Dates]])=1,"Pass","Fail")</f>
        <v>Pass</v>
      </c>
      <c r="G715" s="6">
        <f>IF(Benchmark2[[#This Row],[Comparable '#1 Date Check]]="Pass",INDEX(Comp1[Comparable '#1 Price],MATCH(Benchmark2[[#This Row],[Benchmark '#2 Dates]],Comp1[Comparable '#1 Dates],0)),"-")</f>
        <v>13.39</v>
      </c>
      <c r="H715" s="1" t="str">
        <f>IF(COUNTIF(Comp2[Comparable '#2 Dates],Benchmark2[[#This Row],[Benchmark '#2 Dates]])=1,"Pass","Fail")</f>
        <v>Pass</v>
      </c>
      <c r="I715" s="6">
        <f>IF(Benchmark2[[#This Row],[Comparable '#2 Date Check]]="Pass",INDEX(Comp2[Comparable '#2 Price],MATCH(Benchmark2[[#This Row],[Benchmark '#2 Dates]],Comp2[Comparable '#2 Dates],0)),"-")</f>
        <v>33.75</v>
      </c>
      <c r="J715" s="1" t="str">
        <f>IF(COUNTIF(Comp3[Comparable '#3 Dates],Benchmark2[[#This Row],[Benchmark '#2 Dates]])=1,"Pass","Fail")</f>
        <v>Pass</v>
      </c>
      <c r="K715" s="6">
        <f>IF(Benchmark2[[#This Row],[Comparable '#3 Date Check]]="Pass",INDEX(Comp3[Comparable '#3 Price],MATCH(Benchmark2[[#This Row],[Benchmark '#2 Dates]],Comp3[Comparable '#3 Dates],0)),"-")</f>
        <v>76.180000000000007</v>
      </c>
    </row>
    <row r="716" spans="1:11">
      <c r="A716" s="103">
        <v>44322</v>
      </c>
      <c r="B716" s="104">
        <v>16459.600200000001</v>
      </c>
      <c r="C716" s="4">
        <f t="shared" si="11"/>
        <v>6.7779917207692469E-3</v>
      </c>
      <c r="D716" s="1" t="str">
        <f>IF(COUNTIF(Target1[Target Dates],Benchmark2[[#This Row],[Benchmark '#2 Dates]])=1,"Pass","Fail")</f>
        <v>Pass</v>
      </c>
      <c r="E716" s="6">
        <f>IF(Benchmark2[[#This Row],[Target Date Check]]="Pass",INDEX(Target1[Target Price],MATCH(Benchmark2[[#This Row],[Benchmark '#2 Dates]],Target1[Target Dates],0)),"-")</f>
        <v>27.42</v>
      </c>
      <c r="F716" s="1" t="str">
        <f>IF(COUNTIF(Comp1[Comparable '#1 Dates],Benchmark2[[#This Row],[Benchmark '#2 Dates]])=1,"Pass","Fail")</f>
        <v>Pass</v>
      </c>
      <c r="G716" s="6">
        <f>IF(Benchmark2[[#This Row],[Comparable '#1 Date Check]]="Pass",INDEX(Comp1[Comparable '#1 Price],MATCH(Benchmark2[[#This Row],[Benchmark '#2 Dates]],Comp1[Comparable '#1 Dates],0)),"-")</f>
        <v>13.7</v>
      </c>
      <c r="H716" s="1" t="str">
        <f>IF(COUNTIF(Comp2[Comparable '#2 Dates],Benchmark2[[#This Row],[Benchmark '#2 Dates]])=1,"Pass","Fail")</f>
        <v>Pass</v>
      </c>
      <c r="I716" s="6">
        <f>IF(Benchmark2[[#This Row],[Comparable '#2 Date Check]]="Pass",INDEX(Comp2[Comparable '#2 Price],MATCH(Benchmark2[[#This Row],[Benchmark '#2 Dates]],Comp2[Comparable '#2 Dates],0)),"-")</f>
        <v>33.450000000000003</v>
      </c>
      <c r="J716" s="1" t="str">
        <f>IF(COUNTIF(Comp3[Comparable '#3 Dates],Benchmark2[[#This Row],[Benchmark '#2 Dates]])=1,"Pass","Fail")</f>
        <v>Pass</v>
      </c>
      <c r="K716" s="6">
        <f>IF(Benchmark2[[#This Row],[Comparable '#3 Date Check]]="Pass",INDEX(Comp3[Comparable '#3 Price],MATCH(Benchmark2[[#This Row],[Benchmark '#2 Dates]],Comp3[Comparable '#3 Dates],0)),"-")</f>
        <v>75.77</v>
      </c>
    </row>
    <row r="717" spans="1:11">
      <c r="A717" s="103">
        <v>44323</v>
      </c>
      <c r="B717" s="104">
        <v>16590.434700000002</v>
      </c>
      <c r="C717" s="4">
        <f t="shared" si="11"/>
        <v>7.9174006226868723E-3</v>
      </c>
      <c r="D717" s="1" t="str">
        <f>IF(COUNTIF(Target1[Target Dates],Benchmark2[[#This Row],[Benchmark '#2 Dates]])=1,"Pass","Fail")</f>
        <v>Pass</v>
      </c>
      <c r="E717" s="6">
        <f>IF(Benchmark2[[#This Row],[Target Date Check]]="Pass",INDEX(Target1[Target Price],MATCH(Benchmark2[[#This Row],[Benchmark '#2 Dates]],Target1[Target Dates],0)),"-")</f>
        <v>28.38</v>
      </c>
      <c r="F717" s="1" t="str">
        <f>IF(COUNTIF(Comp1[Comparable '#1 Dates],Benchmark2[[#This Row],[Benchmark '#2 Dates]])=1,"Pass","Fail")</f>
        <v>Pass</v>
      </c>
      <c r="G717" s="6">
        <f>IF(Benchmark2[[#This Row],[Comparable '#1 Date Check]]="Pass",INDEX(Comp1[Comparable '#1 Price],MATCH(Benchmark2[[#This Row],[Benchmark '#2 Dates]],Comp1[Comparable '#1 Dates],0)),"-")</f>
        <v>13.97</v>
      </c>
      <c r="H717" s="1" t="str">
        <f>IF(COUNTIF(Comp2[Comparable '#2 Dates],Benchmark2[[#This Row],[Benchmark '#2 Dates]])=1,"Pass","Fail")</f>
        <v>Pass</v>
      </c>
      <c r="I717" s="6">
        <f>IF(Benchmark2[[#This Row],[Comparable '#2 Date Check]]="Pass",INDEX(Comp2[Comparable '#2 Price],MATCH(Benchmark2[[#This Row],[Benchmark '#2 Dates]],Comp2[Comparable '#2 Dates],0)),"-")</f>
        <v>36.89</v>
      </c>
      <c r="J717" s="1" t="str">
        <f>IF(COUNTIF(Comp3[Comparable '#3 Dates],Benchmark2[[#This Row],[Benchmark '#2 Dates]])=1,"Pass","Fail")</f>
        <v>Pass</v>
      </c>
      <c r="K717" s="6">
        <f>IF(Benchmark2[[#This Row],[Comparable '#3 Date Check]]="Pass",INDEX(Comp3[Comparable '#3 Price],MATCH(Benchmark2[[#This Row],[Benchmark '#2 Dates]],Comp3[Comparable '#3 Dates],0)),"-")</f>
        <v>77.31</v>
      </c>
    </row>
    <row r="718" spans="1:11">
      <c r="A718" s="103">
        <v>44326</v>
      </c>
      <c r="B718" s="104">
        <v>16516.8279</v>
      </c>
      <c r="C718" s="4">
        <f t="shared" si="11"/>
        <v>-4.4465724737673936E-3</v>
      </c>
      <c r="D718" s="1" t="str">
        <f>IF(COUNTIF(Target1[Target Dates],Benchmark2[[#This Row],[Benchmark '#2 Dates]])=1,"Pass","Fail")</f>
        <v>Pass</v>
      </c>
      <c r="E718" s="6">
        <f>IF(Benchmark2[[#This Row],[Target Date Check]]="Pass",INDEX(Target1[Target Price],MATCH(Benchmark2[[#This Row],[Benchmark '#2 Dates]],Target1[Target Dates],0)),"-")</f>
        <v>27.5</v>
      </c>
      <c r="F718" s="1" t="str">
        <f>IF(COUNTIF(Comp1[Comparable '#1 Dates],Benchmark2[[#This Row],[Benchmark '#2 Dates]])=1,"Pass","Fail")</f>
        <v>Pass</v>
      </c>
      <c r="G718" s="6">
        <f>IF(Benchmark2[[#This Row],[Comparable '#1 Date Check]]="Pass",INDEX(Comp1[Comparable '#1 Price],MATCH(Benchmark2[[#This Row],[Benchmark '#2 Dates]],Comp1[Comparable '#1 Dates],0)),"-")</f>
        <v>14.14</v>
      </c>
      <c r="H718" s="1" t="str">
        <f>IF(COUNTIF(Comp2[Comparable '#2 Dates],Benchmark2[[#This Row],[Benchmark '#2 Dates]])=1,"Pass","Fail")</f>
        <v>Pass</v>
      </c>
      <c r="I718" s="6">
        <f>IF(Benchmark2[[#This Row],[Comparable '#2 Date Check]]="Pass",INDEX(Comp2[Comparable '#2 Price],MATCH(Benchmark2[[#This Row],[Benchmark '#2 Dates]],Comp2[Comparable '#2 Dates],0)),"-")</f>
        <v>37.28</v>
      </c>
      <c r="J718" s="1" t="str">
        <f>IF(COUNTIF(Comp3[Comparable '#3 Dates],Benchmark2[[#This Row],[Benchmark '#2 Dates]])=1,"Pass","Fail")</f>
        <v>Pass</v>
      </c>
      <c r="K718" s="6">
        <f>IF(Benchmark2[[#This Row],[Comparable '#3 Date Check]]="Pass",INDEX(Comp3[Comparable '#3 Price],MATCH(Benchmark2[[#This Row],[Benchmark '#2 Dates]],Comp3[Comparable '#3 Dates],0)),"-")</f>
        <v>79.19</v>
      </c>
    </row>
    <row r="719" spans="1:11">
      <c r="A719" s="103">
        <v>44327</v>
      </c>
      <c r="B719" s="104">
        <v>16355.6163</v>
      </c>
      <c r="C719" s="4">
        <f t="shared" si="11"/>
        <v>-9.8083909707262426E-3</v>
      </c>
      <c r="D719" s="1" t="str">
        <f>IF(COUNTIF(Target1[Target Dates],Benchmark2[[#This Row],[Benchmark '#2 Dates]])=1,"Pass","Fail")</f>
        <v>Pass</v>
      </c>
      <c r="E719" s="6">
        <f>IF(Benchmark2[[#This Row],[Target Date Check]]="Pass",INDEX(Target1[Target Price],MATCH(Benchmark2[[#This Row],[Benchmark '#2 Dates]],Target1[Target Dates],0)),"-")</f>
        <v>27.09</v>
      </c>
      <c r="F719" s="1" t="str">
        <f>IF(COUNTIF(Comp1[Comparable '#1 Dates],Benchmark2[[#This Row],[Benchmark '#2 Dates]])=1,"Pass","Fail")</f>
        <v>Pass</v>
      </c>
      <c r="G719" s="6">
        <f>IF(Benchmark2[[#This Row],[Comparable '#1 Date Check]]="Pass",INDEX(Comp1[Comparable '#1 Price],MATCH(Benchmark2[[#This Row],[Benchmark '#2 Dates]],Comp1[Comparable '#1 Dates],0)),"-")</f>
        <v>14.45</v>
      </c>
      <c r="H719" s="1" t="str">
        <f>IF(COUNTIF(Comp2[Comparable '#2 Dates],Benchmark2[[#This Row],[Benchmark '#2 Dates]])=1,"Pass","Fail")</f>
        <v>Pass</v>
      </c>
      <c r="I719" s="6">
        <f>IF(Benchmark2[[#This Row],[Comparable '#2 Date Check]]="Pass",INDEX(Comp2[Comparable '#2 Price],MATCH(Benchmark2[[#This Row],[Benchmark '#2 Dates]],Comp2[Comparable '#2 Dates],0)),"-")</f>
        <v>36.94</v>
      </c>
      <c r="J719" s="1" t="str">
        <f>IF(COUNTIF(Comp3[Comparable '#3 Dates],Benchmark2[[#This Row],[Benchmark '#2 Dates]])=1,"Pass","Fail")</f>
        <v>Pass</v>
      </c>
      <c r="K719" s="6">
        <f>IF(Benchmark2[[#This Row],[Comparable '#3 Date Check]]="Pass",INDEX(Comp3[Comparable '#3 Price],MATCH(Benchmark2[[#This Row],[Benchmark '#2 Dates]],Comp3[Comparable '#3 Dates],0)),"-")</f>
        <v>78.05</v>
      </c>
    </row>
    <row r="720" spans="1:11">
      <c r="A720" s="103">
        <v>44328</v>
      </c>
      <c r="B720" s="104">
        <v>16042.967500000001</v>
      </c>
      <c r="C720" s="4">
        <f t="shared" si="11"/>
        <v>-1.930075138498526E-2</v>
      </c>
      <c r="D720" s="1" t="str">
        <f>IF(COUNTIF(Target1[Target Dates],Benchmark2[[#This Row],[Benchmark '#2 Dates]])=1,"Pass","Fail")</f>
        <v>Pass</v>
      </c>
      <c r="E720" s="6">
        <f>IF(Benchmark2[[#This Row],[Target Date Check]]="Pass",INDEX(Target1[Target Price],MATCH(Benchmark2[[#This Row],[Benchmark '#2 Dates]],Target1[Target Dates],0)),"-")</f>
        <v>26.65</v>
      </c>
      <c r="F720" s="1" t="str">
        <f>IF(COUNTIF(Comp1[Comparable '#1 Dates],Benchmark2[[#This Row],[Benchmark '#2 Dates]])=1,"Pass","Fail")</f>
        <v>Pass</v>
      </c>
      <c r="G720" s="6">
        <f>IF(Benchmark2[[#This Row],[Comparable '#1 Date Check]]="Pass",INDEX(Comp1[Comparable '#1 Price],MATCH(Benchmark2[[#This Row],[Benchmark '#2 Dates]],Comp1[Comparable '#1 Dates],0)),"-")</f>
        <v>14.27</v>
      </c>
      <c r="H720" s="1" t="str">
        <f>IF(COUNTIF(Comp2[Comparable '#2 Dates],Benchmark2[[#This Row],[Benchmark '#2 Dates]])=1,"Pass","Fail")</f>
        <v>Pass</v>
      </c>
      <c r="I720" s="6">
        <f>IF(Benchmark2[[#This Row],[Comparable '#2 Date Check]]="Pass",INDEX(Comp2[Comparable '#2 Price],MATCH(Benchmark2[[#This Row],[Benchmark '#2 Dates]],Comp2[Comparable '#2 Dates],0)),"-")</f>
        <v>36.79</v>
      </c>
      <c r="J720" s="1" t="str">
        <f>IF(COUNTIF(Comp3[Comparable '#3 Dates],Benchmark2[[#This Row],[Benchmark '#2 Dates]])=1,"Pass","Fail")</f>
        <v>Pass</v>
      </c>
      <c r="K720" s="6">
        <f>IF(Benchmark2[[#This Row],[Comparable '#3 Date Check]]="Pass",INDEX(Comp3[Comparable '#3 Price],MATCH(Benchmark2[[#This Row],[Benchmark '#2 Dates]],Comp3[Comparable '#3 Dates],0)),"-")</f>
        <v>78.33</v>
      </c>
    </row>
    <row r="721" spans="1:11">
      <c r="A721" s="103">
        <v>44329</v>
      </c>
      <c r="B721" s="104">
        <v>16181.627200000001</v>
      </c>
      <c r="C721" s="4">
        <f t="shared" si="11"/>
        <v>8.6058836156369476E-3</v>
      </c>
      <c r="D721" s="1" t="str">
        <f>IF(COUNTIF(Target1[Target Dates],Benchmark2[[#This Row],[Benchmark '#2 Dates]])=1,"Pass","Fail")</f>
        <v>Pass</v>
      </c>
      <c r="E721" s="6">
        <f>IF(Benchmark2[[#This Row],[Target Date Check]]="Pass",INDEX(Target1[Target Price],MATCH(Benchmark2[[#This Row],[Benchmark '#2 Dates]],Target1[Target Dates],0)),"-")</f>
        <v>26.77</v>
      </c>
      <c r="F721" s="1" t="str">
        <f>IF(COUNTIF(Comp1[Comparable '#1 Dates],Benchmark2[[#This Row],[Benchmark '#2 Dates]])=1,"Pass","Fail")</f>
        <v>Pass</v>
      </c>
      <c r="G721" s="6">
        <f>IF(Benchmark2[[#This Row],[Comparable '#1 Date Check]]="Pass",INDEX(Comp1[Comparable '#1 Price],MATCH(Benchmark2[[#This Row],[Benchmark '#2 Dates]],Comp1[Comparable '#1 Dates],0)),"-")</f>
        <v>14.25</v>
      </c>
      <c r="H721" s="1" t="str">
        <f>IF(COUNTIF(Comp2[Comparable '#2 Dates],Benchmark2[[#This Row],[Benchmark '#2 Dates]])=1,"Pass","Fail")</f>
        <v>Pass</v>
      </c>
      <c r="I721" s="6">
        <f>IF(Benchmark2[[#This Row],[Comparable '#2 Date Check]]="Pass",INDEX(Comp2[Comparable '#2 Price],MATCH(Benchmark2[[#This Row],[Benchmark '#2 Dates]],Comp2[Comparable '#2 Dates],0)),"-")</f>
        <v>36.69</v>
      </c>
      <c r="J721" s="1" t="str">
        <f>IF(COUNTIF(Comp3[Comparable '#3 Dates],Benchmark2[[#This Row],[Benchmark '#2 Dates]])=1,"Pass","Fail")</f>
        <v>Pass</v>
      </c>
      <c r="K721" s="6">
        <f>IF(Benchmark2[[#This Row],[Comparable '#3 Date Check]]="Pass",INDEX(Comp3[Comparable '#3 Price],MATCH(Benchmark2[[#This Row],[Benchmark '#2 Dates]],Comp3[Comparable '#3 Dates],0)),"-")</f>
        <v>78.069999999999993</v>
      </c>
    </row>
    <row r="722" spans="1:11">
      <c r="A722" s="103">
        <v>44330</v>
      </c>
      <c r="B722" s="104">
        <v>16415.355599999999</v>
      </c>
      <c r="C722" s="4">
        <f t="shared" si="11"/>
        <v>1.4340738655043875E-2</v>
      </c>
      <c r="D722" s="1" t="str">
        <f>IF(COUNTIF(Target1[Target Dates],Benchmark2[[#This Row],[Benchmark '#2 Dates]])=1,"Pass","Fail")</f>
        <v>Pass</v>
      </c>
      <c r="E722" s="6">
        <f>IF(Benchmark2[[#This Row],[Target Date Check]]="Pass",INDEX(Target1[Target Price],MATCH(Benchmark2[[#This Row],[Benchmark '#2 Dates]],Target1[Target Dates],0)),"-")</f>
        <v>27.57</v>
      </c>
      <c r="F722" s="1" t="str">
        <f>IF(COUNTIF(Comp1[Comparable '#1 Dates],Benchmark2[[#This Row],[Benchmark '#2 Dates]])=1,"Pass","Fail")</f>
        <v>Pass</v>
      </c>
      <c r="G722" s="6">
        <f>IF(Benchmark2[[#This Row],[Comparable '#1 Date Check]]="Pass",INDEX(Comp1[Comparable '#1 Price],MATCH(Benchmark2[[#This Row],[Benchmark '#2 Dates]],Comp1[Comparable '#1 Dates],0)),"-")</f>
        <v>14.56</v>
      </c>
      <c r="H722" s="1" t="str">
        <f>IF(COUNTIF(Comp2[Comparable '#2 Dates],Benchmark2[[#This Row],[Benchmark '#2 Dates]])=1,"Pass","Fail")</f>
        <v>Pass</v>
      </c>
      <c r="I722" s="6">
        <f>IF(Benchmark2[[#This Row],[Comparable '#2 Date Check]]="Pass",INDEX(Comp2[Comparable '#2 Price],MATCH(Benchmark2[[#This Row],[Benchmark '#2 Dates]],Comp2[Comparable '#2 Dates],0)),"-")</f>
        <v>38.049999999999997</v>
      </c>
      <c r="J722" s="1" t="str">
        <f>IF(COUNTIF(Comp3[Comparable '#3 Dates],Benchmark2[[#This Row],[Benchmark '#2 Dates]])=1,"Pass","Fail")</f>
        <v>Pass</v>
      </c>
      <c r="K722" s="6">
        <f>IF(Benchmark2[[#This Row],[Comparable '#3 Date Check]]="Pass",INDEX(Comp3[Comparable '#3 Price],MATCH(Benchmark2[[#This Row],[Benchmark '#2 Dates]],Comp3[Comparable '#3 Dates],0)),"-")</f>
        <v>76.61</v>
      </c>
    </row>
    <row r="723" spans="1:11">
      <c r="A723" s="103">
        <v>44333</v>
      </c>
      <c r="B723" s="104">
        <v>16422.963800000001</v>
      </c>
      <c r="C723" s="4">
        <f t="shared" si="11"/>
        <v>4.6337329529319945E-4</v>
      </c>
      <c r="D723" s="1" t="str">
        <f>IF(COUNTIF(Target1[Target Dates],Benchmark2[[#This Row],[Benchmark '#2 Dates]])=1,"Pass","Fail")</f>
        <v>Pass</v>
      </c>
      <c r="E723" s="6">
        <f>IF(Benchmark2[[#This Row],[Target Date Check]]="Pass",INDEX(Target1[Target Price],MATCH(Benchmark2[[#This Row],[Benchmark '#2 Dates]],Target1[Target Dates],0)),"-")</f>
        <v>28.44</v>
      </c>
      <c r="F723" s="1" t="str">
        <f>IF(COUNTIF(Comp1[Comparable '#1 Dates],Benchmark2[[#This Row],[Benchmark '#2 Dates]])=1,"Pass","Fail")</f>
        <v>Pass</v>
      </c>
      <c r="G723" s="6">
        <f>IF(Benchmark2[[#This Row],[Comparable '#1 Date Check]]="Pass",INDEX(Comp1[Comparable '#1 Price],MATCH(Benchmark2[[#This Row],[Benchmark '#2 Dates]],Comp1[Comparable '#1 Dates],0)),"-")</f>
        <v>14.58</v>
      </c>
      <c r="H723" s="1" t="str">
        <f>IF(COUNTIF(Comp2[Comparable '#2 Dates],Benchmark2[[#This Row],[Benchmark '#2 Dates]])=1,"Pass","Fail")</f>
        <v>Pass</v>
      </c>
      <c r="I723" s="6">
        <f>IF(Benchmark2[[#This Row],[Comparable '#2 Date Check]]="Pass",INDEX(Comp2[Comparable '#2 Price],MATCH(Benchmark2[[#This Row],[Benchmark '#2 Dates]],Comp2[Comparable '#2 Dates],0)),"-")</f>
        <v>37.96</v>
      </c>
      <c r="J723" s="1" t="str">
        <f>IF(COUNTIF(Comp3[Comparable '#3 Dates],Benchmark2[[#This Row],[Benchmark '#2 Dates]])=1,"Pass","Fail")</f>
        <v>Pass</v>
      </c>
      <c r="K723" s="6">
        <f>IF(Benchmark2[[#This Row],[Comparable '#3 Date Check]]="Pass",INDEX(Comp3[Comparable '#3 Price],MATCH(Benchmark2[[#This Row],[Benchmark '#2 Dates]],Comp3[Comparable '#3 Dates],0)),"-")</f>
        <v>76.95</v>
      </c>
    </row>
    <row r="724" spans="1:11">
      <c r="A724" s="103">
        <v>44334</v>
      </c>
      <c r="B724" s="104">
        <v>16337.730600000001</v>
      </c>
      <c r="C724" s="4">
        <f t="shared" si="11"/>
        <v>-5.2033935098445699E-3</v>
      </c>
      <c r="D724" s="1" t="str">
        <f>IF(COUNTIF(Target1[Target Dates],Benchmark2[[#This Row],[Benchmark '#2 Dates]])=1,"Pass","Fail")</f>
        <v>Pass</v>
      </c>
      <c r="E724" s="6">
        <f>IF(Benchmark2[[#This Row],[Target Date Check]]="Pass",INDEX(Target1[Target Price],MATCH(Benchmark2[[#This Row],[Benchmark '#2 Dates]],Target1[Target Dates],0)),"-")</f>
        <v>28.77</v>
      </c>
      <c r="F724" s="1" t="str">
        <f>IF(COUNTIF(Comp1[Comparable '#1 Dates],Benchmark2[[#This Row],[Benchmark '#2 Dates]])=1,"Pass","Fail")</f>
        <v>Pass</v>
      </c>
      <c r="G724" s="6">
        <f>IF(Benchmark2[[#This Row],[Comparable '#1 Date Check]]="Pass",INDEX(Comp1[Comparable '#1 Price],MATCH(Benchmark2[[#This Row],[Benchmark '#2 Dates]],Comp1[Comparable '#1 Dates],0)),"-")</f>
        <v>14.53</v>
      </c>
      <c r="H724" s="1" t="str">
        <f>IF(COUNTIF(Comp2[Comparable '#2 Dates],Benchmark2[[#This Row],[Benchmark '#2 Dates]])=1,"Pass","Fail")</f>
        <v>Pass</v>
      </c>
      <c r="I724" s="6">
        <f>IF(Benchmark2[[#This Row],[Comparable '#2 Date Check]]="Pass",INDEX(Comp2[Comparable '#2 Price],MATCH(Benchmark2[[#This Row],[Benchmark '#2 Dates]],Comp2[Comparable '#2 Dates],0)),"-")</f>
        <v>38.130000000000003</v>
      </c>
      <c r="J724" s="1" t="str">
        <f>IF(COUNTIF(Comp3[Comparable '#3 Dates],Benchmark2[[#This Row],[Benchmark '#2 Dates]])=1,"Pass","Fail")</f>
        <v>Pass</v>
      </c>
      <c r="K724" s="6">
        <f>IF(Benchmark2[[#This Row],[Comparable '#3 Date Check]]="Pass",INDEX(Comp3[Comparable '#3 Price],MATCH(Benchmark2[[#This Row],[Benchmark '#2 Dates]],Comp3[Comparable '#3 Dates],0)),"-")</f>
        <v>76.430000000000007</v>
      </c>
    </row>
    <row r="725" spans="1:11">
      <c r="A725" s="103">
        <v>44335</v>
      </c>
      <c r="B725" s="104">
        <v>16233.318600000001</v>
      </c>
      <c r="C725" s="4">
        <f t="shared" si="11"/>
        <v>-6.4113597948824968E-3</v>
      </c>
      <c r="D725" s="1" t="str">
        <f>IF(COUNTIF(Target1[Target Dates],Benchmark2[[#This Row],[Benchmark '#2 Dates]])=1,"Pass","Fail")</f>
        <v>Pass</v>
      </c>
      <c r="E725" s="6">
        <f>IF(Benchmark2[[#This Row],[Target Date Check]]="Pass",INDEX(Target1[Target Price],MATCH(Benchmark2[[#This Row],[Benchmark '#2 Dates]],Target1[Target Dates],0)),"-")</f>
        <v>27.71</v>
      </c>
      <c r="F725" s="1" t="str">
        <f>IF(COUNTIF(Comp1[Comparable '#1 Dates],Benchmark2[[#This Row],[Benchmark '#2 Dates]])=1,"Pass","Fail")</f>
        <v>Pass</v>
      </c>
      <c r="G725" s="6">
        <f>IF(Benchmark2[[#This Row],[Comparable '#1 Date Check]]="Pass",INDEX(Comp1[Comparable '#1 Price],MATCH(Benchmark2[[#This Row],[Benchmark '#2 Dates]],Comp1[Comparable '#1 Dates],0)),"-")</f>
        <v>14.48</v>
      </c>
      <c r="H725" s="1" t="str">
        <f>IF(COUNTIF(Comp2[Comparable '#2 Dates],Benchmark2[[#This Row],[Benchmark '#2 Dates]])=1,"Pass","Fail")</f>
        <v>Pass</v>
      </c>
      <c r="I725" s="6">
        <f>IF(Benchmark2[[#This Row],[Comparable '#2 Date Check]]="Pass",INDEX(Comp2[Comparable '#2 Price],MATCH(Benchmark2[[#This Row],[Benchmark '#2 Dates]],Comp2[Comparable '#2 Dates],0)),"-")</f>
        <v>37.270000000000003</v>
      </c>
      <c r="J725" s="1" t="str">
        <f>IF(COUNTIF(Comp3[Comparable '#3 Dates],Benchmark2[[#This Row],[Benchmark '#2 Dates]])=1,"Pass","Fail")</f>
        <v>Pass</v>
      </c>
      <c r="K725" s="6">
        <f>IF(Benchmark2[[#This Row],[Comparable '#3 Date Check]]="Pass",INDEX(Comp3[Comparable '#3 Price],MATCH(Benchmark2[[#This Row],[Benchmark '#2 Dates]],Comp3[Comparable '#3 Dates],0)),"-")</f>
        <v>76.14</v>
      </c>
    </row>
    <row r="726" spans="1:11">
      <c r="A726" s="103">
        <v>44336</v>
      </c>
      <c r="B726" s="104">
        <v>16350.448700000001</v>
      </c>
      <c r="C726" s="4">
        <f t="shared" si="11"/>
        <v>7.189506569288278E-3</v>
      </c>
      <c r="D726" s="1" t="str">
        <f>IF(COUNTIF(Target1[Target Dates],Benchmark2[[#This Row],[Benchmark '#2 Dates]])=1,"Pass","Fail")</f>
        <v>Pass</v>
      </c>
      <c r="E726" s="6">
        <f>IF(Benchmark2[[#This Row],[Target Date Check]]="Pass",INDEX(Target1[Target Price],MATCH(Benchmark2[[#This Row],[Benchmark '#2 Dates]],Target1[Target Dates],0)),"-")</f>
        <v>27.98</v>
      </c>
      <c r="F726" s="1" t="str">
        <f>IF(COUNTIF(Comp1[Comparable '#1 Dates],Benchmark2[[#This Row],[Benchmark '#2 Dates]])=1,"Pass","Fail")</f>
        <v>Pass</v>
      </c>
      <c r="G726" s="6">
        <f>IF(Benchmark2[[#This Row],[Comparable '#1 Date Check]]="Pass",INDEX(Comp1[Comparable '#1 Price],MATCH(Benchmark2[[#This Row],[Benchmark '#2 Dates]],Comp1[Comparable '#1 Dates],0)),"-")</f>
        <v>14.62</v>
      </c>
      <c r="H726" s="1" t="str">
        <f>IF(COUNTIF(Comp2[Comparable '#2 Dates],Benchmark2[[#This Row],[Benchmark '#2 Dates]])=1,"Pass","Fail")</f>
        <v>Pass</v>
      </c>
      <c r="I726" s="6">
        <f>IF(Benchmark2[[#This Row],[Comparable '#2 Date Check]]="Pass",INDEX(Comp2[Comparable '#2 Price],MATCH(Benchmark2[[#This Row],[Benchmark '#2 Dates]],Comp2[Comparable '#2 Dates],0)),"-")</f>
        <v>37.86</v>
      </c>
      <c r="J726" s="1" t="str">
        <f>IF(COUNTIF(Comp3[Comparable '#3 Dates],Benchmark2[[#This Row],[Benchmark '#2 Dates]])=1,"Pass","Fail")</f>
        <v>Pass</v>
      </c>
      <c r="K726" s="6">
        <f>IF(Benchmark2[[#This Row],[Comparable '#3 Date Check]]="Pass",INDEX(Comp3[Comparable '#3 Price],MATCH(Benchmark2[[#This Row],[Benchmark '#2 Dates]],Comp3[Comparable '#3 Dates],0)),"-")</f>
        <v>76.47</v>
      </c>
    </row>
    <row r="727" spans="1:11">
      <c r="A727" s="103">
        <v>44337</v>
      </c>
      <c r="B727" s="104">
        <v>16374.9998</v>
      </c>
      <c r="C727" s="4">
        <f t="shared" si="11"/>
        <v>1.5004289158001571E-3</v>
      </c>
      <c r="D727" s="1" t="str">
        <f>IF(COUNTIF(Target1[Target Dates],Benchmark2[[#This Row],[Benchmark '#2 Dates]])=1,"Pass","Fail")</f>
        <v>Pass</v>
      </c>
      <c r="E727" s="6">
        <f>IF(Benchmark2[[#This Row],[Target Date Check]]="Pass",INDEX(Target1[Target Price],MATCH(Benchmark2[[#This Row],[Benchmark '#2 Dates]],Target1[Target Dates],0)),"-")</f>
        <v>27.95</v>
      </c>
      <c r="F727" s="1" t="str">
        <f>IF(COUNTIF(Comp1[Comparable '#1 Dates],Benchmark2[[#This Row],[Benchmark '#2 Dates]])=1,"Pass","Fail")</f>
        <v>Pass</v>
      </c>
      <c r="G727" s="6">
        <f>IF(Benchmark2[[#This Row],[Comparable '#1 Date Check]]="Pass",INDEX(Comp1[Comparable '#1 Price],MATCH(Benchmark2[[#This Row],[Benchmark '#2 Dates]],Comp1[Comparable '#1 Dates],0)),"-")</f>
        <v>14.32</v>
      </c>
      <c r="H727" s="1" t="str">
        <f>IF(COUNTIF(Comp2[Comparable '#2 Dates],Benchmark2[[#This Row],[Benchmark '#2 Dates]])=1,"Pass","Fail")</f>
        <v>Pass</v>
      </c>
      <c r="I727" s="6">
        <f>IF(Benchmark2[[#This Row],[Comparable '#2 Date Check]]="Pass",INDEX(Comp2[Comparable '#2 Price],MATCH(Benchmark2[[#This Row],[Benchmark '#2 Dates]],Comp2[Comparable '#2 Dates],0)),"-")</f>
        <v>37.880000000000003</v>
      </c>
      <c r="J727" s="1" t="str">
        <f>IF(COUNTIF(Comp3[Comparable '#3 Dates],Benchmark2[[#This Row],[Benchmark '#2 Dates]])=1,"Pass","Fail")</f>
        <v>Pass</v>
      </c>
      <c r="K727" s="6">
        <f>IF(Benchmark2[[#This Row],[Comparable '#3 Date Check]]="Pass",INDEX(Comp3[Comparable '#3 Price],MATCH(Benchmark2[[#This Row],[Benchmark '#2 Dates]],Comp3[Comparable '#3 Dates],0)),"-")</f>
        <v>74.099999999999994</v>
      </c>
    </row>
    <row r="728" spans="1:11">
      <c r="A728" s="103">
        <v>44340</v>
      </c>
      <c r="B728" s="104">
        <v>16464.6944</v>
      </c>
      <c r="C728" s="4">
        <f t="shared" si="11"/>
        <v>5.4625857654479531E-3</v>
      </c>
      <c r="D728" s="1" t="str">
        <f>IF(COUNTIF(Target1[Target Dates],Benchmark2[[#This Row],[Benchmark '#2 Dates]])=1,"Pass","Fail")</f>
        <v>Pass</v>
      </c>
      <c r="E728" s="6">
        <f>IF(Benchmark2[[#This Row],[Target Date Check]]="Pass",INDEX(Target1[Target Price],MATCH(Benchmark2[[#This Row],[Benchmark '#2 Dates]],Target1[Target Dates],0)),"-")</f>
        <v>27.64</v>
      </c>
      <c r="F728" s="1" t="str">
        <f>IF(COUNTIF(Comp1[Comparable '#1 Dates],Benchmark2[[#This Row],[Benchmark '#2 Dates]])=1,"Pass","Fail")</f>
        <v>Pass</v>
      </c>
      <c r="G728" s="6">
        <f>IF(Benchmark2[[#This Row],[Comparable '#1 Date Check]]="Pass",INDEX(Comp1[Comparable '#1 Price],MATCH(Benchmark2[[#This Row],[Benchmark '#2 Dates]],Comp1[Comparable '#1 Dates],0)),"-")</f>
        <v>14.26</v>
      </c>
      <c r="H728" s="1" t="str">
        <f>IF(COUNTIF(Comp2[Comparable '#2 Dates],Benchmark2[[#This Row],[Benchmark '#2 Dates]])=1,"Pass","Fail")</f>
        <v>Pass</v>
      </c>
      <c r="I728" s="6">
        <f>IF(Benchmark2[[#This Row],[Comparable '#2 Date Check]]="Pass",INDEX(Comp2[Comparable '#2 Price],MATCH(Benchmark2[[#This Row],[Benchmark '#2 Dates]],Comp2[Comparable '#2 Dates],0)),"-")</f>
        <v>36.15</v>
      </c>
      <c r="J728" s="1" t="str">
        <f>IF(COUNTIF(Comp3[Comparable '#3 Dates],Benchmark2[[#This Row],[Benchmark '#2 Dates]])=1,"Pass","Fail")</f>
        <v>Pass</v>
      </c>
      <c r="K728" s="6">
        <f>IF(Benchmark2[[#This Row],[Comparable '#3 Date Check]]="Pass",INDEX(Comp3[Comparable '#3 Price],MATCH(Benchmark2[[#This Row],[Benchmark '#2 Dates]],Comp3[Comparable '#3 Dates],0)),"-")</f>
        <v>73.459999999999994</v>
      </c>
    </row>
    <row r="729" spans="1:11">
      <c r="A729" s="103">
        <v>44341</v>
      </c>
      <c r="B729" s="104">
        <v>16390.194299999999</v>
      </c>
      <c r="C729" s="4">
        <f t="shared" si="11"/>
        <v>-4.5351075980463E-3</v>
      </c>
      <c r="D729" s="1" t="str">
        <f>IF(COUNTIF(Target1[Target Dates],Benchmark2[[#This Row],[Benchmark '#2 Dates]])=1,"Pass","Fail")</f>
        <v>Pass</v>
      </c>
      <c r="E729" s="6">
        <f>IF(Benchmark2[[#This Row],[Target Date Check]]="Pass",INDEX(Target1[Target Price],MATCH(Benchmark2[[#This Row],[Benchmark '#2 Dates]],Target1[Target Dates],0)),"-")</f>
        <v>27.07</v>
      </c>
      <c r="F729" s="1" t="str">
        <f>IF(COUNTIF(Comp1[Comparable '#1 Dates],Benchmark2[[#This Row],[Benchmark '#2 Dates]])=1,"Pass","Fail")</f>
        <v>Pass</v>
      </c>
      <c r="G729" s="6">
        <f>IF(Benchmark2[[#This Row],[Comparable '#1 Date Check]]="Pass",INDEX(Comp1[Comparable '#1 Price],MATCH(Benchmark2[[#This Row],[Benchmark '#2 Dates]],Comp1[Comparable '#1 Dates],0)),"-")</f>
        <v>14.21</v>
      </c>
      <c r="H729" s="1" t="str">
        <f>IF(COUNTIF(Comp2[Comparable '#2 Dates],Benchmark2[[#This Row],[Benchmark '#2 Dates]])=1,"Pass","Fail")</f>
        <v>Pass</v>
      </c>
      <c r="I729" s="6">
        <f>IF(Benchmark2[[#This Row],[Comparable '#2 Date Check]]="Pass",INDEX(Comp2[Comparable '#2 Price],MATCH(Benchmark2[[#This Row],[Benchmark '#2 Dates]],Comp2[Comparable '#2 Dates],0)),"-")</f>
        <v>35.65</v>
      </c>
      <c r="J729" s="1" t="str">
        <f>IF(COUNTIF(Comp3[Comparable '#3 Dates],Benchmark2[[#This Row],[Benchmark '#2 Dates]])=1,"Pass","Fail")</f>
        <v>Pass</v>
      </c>
      <c r="K729" s="6">
        <f>IF(Benchmark2[[#This Row],[Comparable '#3 Date Check]]="Pass",INDEX(Comp3[Comparable '#3 Price],MATCH(Benchmark2[[#This Row],[Benchmark '#2 Dates]],Comp3[Comparable '#3 Dates],0)),"-")</f>
        <v>73.22</v>
      </c>
    </row>
    <row r="730" spans="1:11">
      <c r="A730" s="103">
        <v>44342</v>
      </c>
      <c r="B730" s="104">
        <v>16451.960999999999</v>
      </c>
      <c r="C730" s="4">
        <f t="shared" si="11"/>
        <v>3.7614323579332376E-3</v>
      </c>
      <c r="D730" s="1" t="str">
        <f>IF(COUNTIF(Target1[Target Dates],Benchmark2[[#This Row],[Benchmark '#2 Dates]])=1,"Pass","Fail")</f>
        <v>Pass</v>
      </c>
      <c r="E730" s="6">
        <f>IF(Benchmark2[[#This Row],[Target Date Check]]="Pass",INDEX(Target1[Target Price],MATCH(Benchmark2[[#This Row],[Benchmark '#2 Dates]],Target1[Target Dates],0)),"-")</f>
        <v>26.34</v>
      </c>
      <c r="F730" s="1" t="str">
        <f>IF(COUNTIF(Comp1[Comparable '#1 Dates],Benchmark2[[#This Row],[Benchmark '#2 Dates]])=1,"Pass","Fail")</f>
        <v>Pass</v>
      </c>
      <c r="G730" s="6">
        <f>IF(Benchmark2[[#This Row],[Comparable '#1 Date Check]]="Pass",INDEX(Comp1[Comparable '#1 Price],MATCH(Benchmark2[[#This Row],[Benchmark '#2 Dates]],Comp1[Comparable '#1 Dates],0)),"-")</f>
        <v>14.42</v>
      </c>
      <c r="H730" s="1" t="str">
        <f>IF(COUNTIF(Comp2[Comparable '#2 Dates],Benchmark2[[#This Row],[Benchmark '#2 Dates]])=1,"Pass","Fail")</f>
        <v>Pass</v>
      </c>
      <c r="I730" s="6">
        <f>IF(Benchmark2[[#This Row],[Comparable '#2 Date Check]]="Pass",INDEX(Comp2[Comparable '#2 Price],MATCH(Benchmark2[[#This Row],[Benchmark '#2 Dates]],Comp2[Comparable '#2 Dates],0)),"-")</f>
        <v>35.81</v>
      </c>
      <c r="J730" s="1" t="str">
        <f>IF(COUNTIF(Comp3[Comparable '#3 Dates],Benchmark2[[#This Row],[Benchmark '#2 Dates]])=1,"Pass","Fail")</f>
        <v>Pass</v>
      </c>
      <c r="K730" s="6">
        <f>IF(Benchmark2[[#This Row],[Comparable '#3 Date Check]]="Pass",INDEX(Comp3[Comparable '#3 Price],MATCH(Benchmark2[[#This Row],[Benchmark '#2 Dates]],Comp3[Comparable '#3 Dates],0)),"-")</f>
        <v>73.739999999999995</v>
      </c>
    </row>
    <row r="731" spans="1:11">
      <c r="A731" s="103">
        <v>44343</v>
      </c>
      <c r="B731" s="104">
        <v>16531.945</v>
      </c>
      <c r="C731" s="4">
        <f t="shared" si="11"/>
        <v>4.8498899298418012E-3</v>
      </c>
      <c r="D731" s="1" t="str">
        <f>IF(COUNTIF(Target1[Target Dates],Benchmark2[[#This Row],[Benchmark '#2 Dates]])=1,"Pass","Fail")</f>
        <v>Pass</v>
      </c>
      <c r="E731" s="6">
        <f>IF(Benchmark2[[#This Row],[Target Date Check]]="Pass",INDEX(Target1[Target Price],MATCH(Benchmark2[[#This Row],[Benchmark '#2 Dates]],Target1[Target Dates],0)),"-")</f>
        <v>26.93</v>
      </c>
      <c r="F731" s="1" t="str">
        <f>IF(COUNTIF(Comp1[Comparable '#1 Dates],Benchmark2[[#This Row],[Benchmark '#2 Dates]])=1,"Pass","Fail")</f>
        <v>Pass</v>
      </c>
      <c r="G731" s="6">
        <f>IF(Benchmark2[[#This Row],[Comparable '#1 Date Check]]="Pass",INDEX(Comp1[Comparable '#1 Price],MATCH(Benchmark2[[#This Row],[Benchmark '#2 Dates]],Comp1[Comparable '#1 Dates],0)),"-")</f>
        <v>14.53</v>
      </c>
      <c r="H731" s="1" t="str">
        <f>IF(COUNTIF(Comp2[Comparable '#2 Dates],Benchmark2[[#This Row],[Benchmark '#2 Dates]])=1,"Pass","Fail")</f>
        <v>Pass</v>
      </c>
      <c r="I731" s="6">
        <f>IF(Benchmark2[[#This Row],[Comparable '#2 Date Check]]="Pass",INDEX(Comp2[Comparable '#2 Price],MATCH(Benchmark2[[#This Row],[Benchmark '#2 Dates]],Comp2[Comparable '#2 Dates],0)),"-")</f>
        <v>36.93</v>
      </c>
      <c r="J731" s="1" t="str">
        <f>IF(COUNTIF(Comp3[Comparable '#3 Dates],Benchmark2[[#This Row],[Benchmark '#2 Dates]])=1,"Pass","Fail")</f>
        <v>Pass</v>
      </c>
      <c r="K731" s="6">
        <f>IF(Benchmark2[[#This Row],[Comparable '#3 Date Check]]="Pass",INDEX(Comp3[Comparable '#3 Price],MATCH(Benchmark2[[#This Row],[Benchmark '#2 Dates]],Comp3[Comparable '#3 Dates],0)),"-")</f>
        <v>74.7</v>
      </c>
    </row>
    <row r="732" spans="1:11">
      <c r="A732" s="103">
        <v>44344</v>
      </c>
      <c r="B732" s="104">
        <v>16555.6571</v>
      </c>
      <c r="C732" s="4">
        <f t="shared" si="11"/>
        <v>1.4332923847248159E-3</v>
      </c>
      <c r="D732" s="1" t="str">
        <f>IF(COUNTIF(Target1[Target Dates],Benchmark2[[#This Row],[Benchmark '#2 Dates]])=1,"Pass","Fail")</f>
        <v>Pass</v>
      </c>
      <c r="E732" s="6">
        <f>IF(Benchmark2[[#This Row],[Target Date Check]]="Pass",INDEX(Target1[Target Price],MATCH(Benchmark2[[#This Row],[Benchmark '#2 Dates]],Target1[Target Dates],0)),"-")</f>
        <v>26.88</v>
      </c>
      <c r="F732" s="1" t="str">
        <f>IF(COUNTIF(Comp1[Comparable '#1 Dates],Benchmark2[[#This Row],[Benchmark '#2 Dates]])=1,"Pass","Fail")</f>
        <v>Pass</v>
      </c>
      <c r="G732" s="6">
        <f>IF(Benchmark2[[#This Row],[Comparable '#1 Date Check]]="Pass",INDEX(Comp1[Comparable '#1 Price],MATCH(Benchmark2[[#This Row],[Benchmark '#2 Dates]],Comp1[Comparable '#1 Dates],0)),"-")</f>
        <v>14.61</v>
      </c>
      <c r="H732" s="1" t="str">
        <f>IF(COUNTIF(Comp2[Comparable '#2 Dates],Benchmark2[[#This Row],[Benchmark '#2 Dates]])=1,"Pass","Fail")</f>
        <v>Pass</v>
      </c>
      <c r="I732" s="6">
        <f>IF(Benchmark2[[#This Row],[Comparable '#2 Date Check]]="Pass",INDEX(Comp2[Comparable '#2 Price],MATCH(Benchmark2[[#This Row],[Benchmark '#2 Dates]],Comp2[Comparable '#2 Dates],0)),"-")</f>
        <v>36.380000000000003</v>
      </c>
      <c r="J732" s="1" t="str">
        <f>IF(COUNTIF(Comp3[Comparable '#3 Dates],Benchmark2[[#This Row],[Benchmark '#2 Dates]])=1,"Pass","Fail")</f>
        <v>Pass</v>
      </c>
      <c r="K732" s="6">
        <f>IF(Benchmark2[[#This Row],[Comparable '#3 Date Check]]="Pass",INDEX(Comp3[Comparable '#3 Price],MATCH(Benchmark2[[#This Row],[Benchmark '#2 Dates]],Comp3[Comparable '#3 Dates],0)),"-")</f>
        <v>70.84</v>
      </c>
    </row>
    <row r="733" spans="1:11">
      <c r="A733" s="103">
        <v>44348</v>
      </c>
      <c r="B733" s="104">
        <v>16643.320500000002</v>
      </c>
      <c r="C733" s="4">
        <f t="shared" si="11"/>
        <v>5.2811026171231019E-3</v>
      </c>
      <c r="D733" s="1" t="str">
        <f>IF(COUNTIF(Target1[Target Dates],Benchmark2[[#This Row],[Benchmark '#2 Dates]])=1,"Pass","Fail")</f>
        <v>Pass</v>
      </c>
      <c r="E733" s="6">
        <f>IF(Benchmark2[[#This Row],[Target Date Check]]="Pass",INDEX(Target1[Target Price],MATCH(Benchmark2[[#This Row],[Benchmark '#2 Dates]],Target1[Target Dates],0)),"-")</f>
        <v>27.57</v>
      </c>
      <c r="F733" s="1" t="str">
        <f>IF(COUNTIF(Comp1[Comparable '#1 Dates],Benchmark2[[#This Row],[Benchmark '#2 Dates]])=1,"Pass","Fail")</f>
        <v>Pass</v>
      </c>
      <c r="G733" s="6">
        <f>IF(Benchmark2[[#This Row],[Comparable '#1 Date Check]]="Pass",INDEX(Comp1[Comparable '#1 Price],MATCH(Benchmark2[[#This Row],[Benchmark '#2 Dates]],Comp1[Comparable '#1 Dates],0)),"-")</f>
        <v>15.16</v>
      </c>
      <c r="H733" s="1" t="str">
        <f>IF(COUNTIF(Comp2[Comparable '#2 Dates],Benchmark2[[#This Row],[Benchmark '#2 Dates]])=1,"Pass","Fail")</f>
        <v>Pass</v>
      </c>
      <c r="I733" s="6">
        <f>IF(Benchmark2[[#This Row],[Comparable '#2 Date Check]]="Pass",INDEX(Comp2[Comparable '#2 Price],MATCH(Benchmark2[[#This Row],[Benchmark '#2 Dates]],Comp2[Comparable '#2 Dates],0)),"-")</f>
        <v>37.630000000000003</v>
      </c>
      <c r="J733" s="1" t="str">
        <f>IF(COUNTIF(Comp3[Comparable '#3 Dates],Benchmark2[[#This Row],[Benchmark '#2 Dates]])=1,"Pass","Fail")</f>
        <v>Pass</v>
      </c>
      <c r="K733" s="6">
        <f>IF(Benchmark2[[#This Row],[Comparable '#3 Date Check]]="Pass",INDEX(Comp3[Comparable '#3 Price],MATCH(Benchmark2[[#This Row],[Benchmark '#2 Dates]],Comp3[Comparable '#3 Dates],0)),"-")</f>
        <v>73.42</v>
      </c>
    </row>
    <row r="734" spans="1:11">
      <c r="A734" s="103">
        <v>44349</v>
      </c>
      <c r="B734" s="104">
        <v>16673.9617</v>
      </c>
      <c r="C734" s="4">
        <f t="shared" si="11"/>
        <v>1.8393582318592377E-3</v>
      </c>
      <c r="D734" s="1" t="str">
        <f>IF(COUNTIF(Target1[Target Dates],Benchmark2[[#This Row],[Benchmark '#2 Dates]])=1,"Pass","Fail")</f>
        <v>Pass</v>
      </c>
      <c r="E734" s="6">
        <f>IF(Benchmark2[[#This Row],[Target Date Check]]="Pass",INDEX(Target1[Target Price],MATCH(Benchmark2[[#This Row],[Benchmark '#2 Dates]],Target1[Target Dates],0)),"-")</f>
        <v>27.65</v>
      </c>
      <c r="F734" s="1" t="str">
        <f>IF(COUNTIF(Comp1[Comparable '#1 Dates],Benchmark2[[#This Row],[Benchmark '#2 Dates]])=1,"Pass","Fail")</f>
        <v>Pass</v>
      </c>
      <c r="G734" s="6">
        <f>IF(Benchmark2[[#This Row],[Comparable '#1 Date Check]]="Pass",INDEX(Comp1[Comparable '#1 Price],MATCH(Benchmark2[[#This Row],[Benchmark '#2 Dates]],Comp1[Comparable '#1 Dates],0)),"-")</f>
        <v>15.49</v>
      </c>
      <c r="H734" s="1" t="str">
        <f>IF(COUNTIF(Comp2[Comparable '#2 Dates],Benchmark2[[#This Row],[Benchmark '#2 Dates]])=1,"Pass","Fail")</f>
        <v>Pass</v>
      </c>
      <c r="I734" s="6">
        <f>IF(Benchmark2[[#This Row],[Comparable '#2 Date Check]]="Pass",INDEX(Comp2[Comparable '#2 Price],MATCH(Benchmark2[[#This Row],[Benchmark '#2 Dates]],Comp2[Comparable '#2 Dates],0)),"-")</f>
        <v>37.36</v>
      </c>
      <c r="J734" s="1" t="str">
        <f>IF(COUNTIF(Comp3[Comparable '#3 Dates],Benchmark2[[#This Row],[Benchmark '#2 Dates]])=1,"Pass","Fail")</f>
        <v>Pass</v>
      </c>
      <c r="K734" s="6">
        <f>IF(Benchmark2[[#This Row],[Comparable '#3 Date Check]]="Pass",INDEX(Comp3[Comparable '#3 Price],MATCH(Benchmark2[[#This Row],[Benchmark '#2 Dates]],Comp3[Comparable '#3 Dates],0)),"-")</f>
        <v>72.05</v>
      </c>
    </row>
    <row r="735" spans="1:11">
      <c r="A735" s="103">
        <v>44350</v>
      </c>
      <c r="B735" s="104">
        <v>16632.339800000002</v>
      </c>
      <c r="C735" s="4">
        <f t="shared" si="11"/>
        <v>-2.4993421540162168E-3</v>
      </c>
      <c r="D735" s="1" t="str">
        <f>IF(COUNTIF(Target1[Target Dates],Benchmark2[[#This Row],[Benchmark '#2 Dates]])=1,"Pass","Fail")</f>
        <v>Pass</v>
      </c>
      <c r="E735" s="6">
        <f>IF(Benchmark2[[#This Row],[Target Date Check]]="Pass",INDEX(Target1[Target Price],MATCH(Benchmark2[[#This Row],[Benchmark '#2 Dates]],Target1[Target Dates],0)),"-")</f>
        <v>28.22</v>
      </c>
      <c r="F735" s="1" t="str">
        <f>IF(COUNTIF(Comp1[Comparable '#1 Dates],Benchmark2[[#This Row],[Benchmark '#2 Dates]])=1,"Pass","Fail")</f>
        <v>Pass</v>
      </c>
      <c r="G735" s="6">
        <f>IF(Benchmark2[[#This Row],[Comparable '#1 Date Check]]="Pass",INDEX(Comp1[Comparable '#1 Price],MATCH(Benchmark2[[#This Row],[Benchmark '#2 Dates]],Comp1[Comparable '#1 Dates],0)),"-")</f>
        <v>15.21</v>
      </c>
      <c r="H735" s="1" t="str">
        <f>IF(COUNTIF(Comp2[Comparable '#2 Dates],Benchmark2[[#This Row],[Benchmark '#2 Dates]])=1,"Pass","Fail")</f>
        <v>Pass</v>
      </c>
      <c r="I735" s="6">
        <f>IF(Benchmark2[[#This Row],[Comparable '#2 Date Check]]="Pass",INDEX(Comp2[Comparable '#2 Price],MATCH(Benchmark2[[#This Row],[Benchmark '#2 Dates]],Comp2[Comparable '#2 Dates],0)),"-")</f>
        <v>37</v>
      </c>
      <c r="J735" s="1" t="str">
        <f>IF(COUNTIF(Comp3[Comparable '#3 Dates],Benchmark2[[#This Row],[Benchmark '#2 Dates]])=1,"Pass","Fail")</f>
        <v>Pass</v>
      </c>
      <c r="K735" s="6">
        <f>IF(Benchmark2[[#This Row],[Comparable '#3 Date Check]]="Pass",INDEX(Comp3[Comparable '#3 Price],MATCH(Benchmark2[[#This Row],[Benchmark '#2 Dates]],Comp3[Comparable '#3 Dates],0)),"-")</f>
        <v>72.599999999999994</v>
      </c>
    </row>
    <row r="736" spans="1:11">
      <c r="A736" s="103">
        <v>44351</v>
      </c>
      <c r="B736" s="104">
        <v>16708.742699999999</v>
      </c>
      <c r="C736" s="4">
        <f t="shared" si="11"/>
        <v>4.5831165641719842E-3</v>
      </c>
      <c r="D736" s="1" t="str">
        <f>IF(COUNTIF(Target1[Target Dates],Benchmark2[[#This Row],[Benchmark '#2 Dates]])=1,"Pass","Fail")</f>
        <v>Pass</v>
      </c>
      <c r="E736" s="6">
        <f>IF(Benchmark2[[#This Row],[Target Date Check]]="Pass",INDEX(Target1[Target Price],MATCH(Benchmark2[[#This Row],[Benchmark '#2 Dates]],Target1[Target Dates],0)),"-")</f>
        <v>28.78</v>
      </c>
      <c r="F736" s="1" t="str">
        <f>IF(COUNTIF(Comp1[Comparable '#1 Dates],Benchmark2[[#This Row],[Benchmark '#2 Dates]])=1,"Pass","Fail")</f>
        <v>Pass</v>
      </c>
      <c r="G736" s="6">
        <f>IF(Benchmark2[[#This Row],[Comparable '#1 Date Check]]="Pass",INDEX(Comp1[Comparable '#1 Price],MATCH(Benchmark2[[#This Row],[Benchmark '#2 Dates]],Comp1[Comparable '#1 Dates],0)),"-")</f>
        <v>15.31</v>
      </c>
      <c r="H736" s="1" t="str">
        <f>IF(COUNTIF(Comp2[Comparable '#2 Dates],Benchmark2[[#This Row],[Benchmark '#2 Dates]])=1,"Pass","Fail")</f>
        <v>Pass</v>
      </c>
      <c r="I736" s="6">
        <f>IF(Benchmark2[[#This Row],[Comparable '#2 Date Check]]="Pass",INDEX(Comp2[Comparable '#2 Price],MATCH(Benchmark2[[#This Row],[Benchmark '#2 Dates]],Comp2[Comparable '#2 Dates],0)),"-")</f>
        <v>37.130000000000003</v>
      </c>
      <c r="J736" s="1" t="str">
        <f>IF(COUNTIF(Comp3[Comparable '#3 Dates],Benchmark2[[#This Row],[Benchmark '#2 Dates]])=1,"Pass","Fail")</f>
        <v>Pass</v>
      </c>
      <c r="K736" s="6">
        <f>IF(Benchmark2[[#This Row],[Comparable '#3 Date Check]]="Pass",INDEX(Comp3[Comparable '#3 Price],MATCH(Benchmark2[[#This Row],[Benchmark '#2 Dates]],Comp3[Comparable '#3 Dates],0)),"-")</f>
        <v>72.930000000000007</v>
      </c>
    </row>
    <row r="737" spans="1:11">
      <c r="A737" s="103">
        <v>44354</v>
      </c>
      <c r="B737" s="104">
        <v>16685.1433</v>
      </c>
      <c r="C737" s="4">
        <f t="shared" si="11"/>
        <v>-1.4133966875667467E-3</v>
      </c>
      <c r="D737" s="1" t="str">
        <f>IF(COUNTIF(Target1[Target Dates],Benchmark2[[#This Row],[Benchmark '#2 Dates]])=1,"Pass","Fail")</f>
        <v>Pass</v>
      </c>
      <c r="E737" s="6">
        <f>IF(Benchmark2[[#This Row],[Target Date Check]]="Pass",INDEX(Target1[Target Price],MATCH(Benchmark2[[#This Row],[Benchmark '#2 Dates]],Target1[Target Dates],0)),"-")</f>
        <v>29.27</v>
      </c>
      <c r="F737" s="1" t="str">
        <f>IF(COUNTIF(Comp1[Comparable '#1 Dates],Benchmark2[[#This Row],[Benchmark '#2 Dates]])=1,"Pass","Fail")</f>
        <v>Pass</v>
      </c>
      <c r="G737" s="6">
        <f>IF(Benchmark2[[#This Row],[Comparable '#1 Date Check]]="Pass",INDEX(Comp1[Comparable '#1 Price],MATCH(Benchmark2[[#This Row],[Benchmark '#2 Dates]],Comp1[Comparable '#1 Dates],0)),"-")</f>
        <v>15.34</v>
      </c>
      <c r="H737" s="1" t="str">
        <f>IF(COUNTIF(Comp2[Comparable '#2 Dates],Benchmark2[[#This Row],[Benchmark '#2 Dates]])=1,"Pass","Fail")</f>
        <v>Pass</v>
      </c>
      <c r="I737" s="6">
        <f>IF(Benchmark2[[#This Row],[Comparable '#2 Date Check]]="Pass",INDEX(Comp2[Comparable '#2 Price],MATCH(Benchmark2[[#This Row],[Benchmark '#2 Dates]],Comp2[Comparable '#2 Dates],0)),"-")</f>
        <v>37.75</v>
      </c>
      <c r="J737" s="1" t="str">
        <f>IF(COUNTIF(Comp3[Comparable '#3 Dates],Benchmark2[[#This Row],[Benchmark '#2 Dates]])=1,"Pass","Fail")</f>
        <v>Pass</v>
      </c>
      <c r="K737" s="6">
        <f>IF(Benchmark2[[#This Row],[Comparable '#3 Date Check]]="Pass",INDEX(Comp3[Comparable '#3 Price],MATCH(Benchmark2[[#This Row],[Benchmark '#2 Dates]],Comp3[Comparable '#3 Dates],0)),"-")</f>
        <v>73.37</v>
      </c>
    </row>
    <row r="738" spans="1:11">
      <c r="A738" s="103">
        <v>44355</v>
      </c>
      <c r="B738" s="104">
        <v>16685.477699999999</v>
      </c>
      <c r="C738" s="4">
        <f t="shared" si="11"/>
        <v>2.0041580887056992E-5</v>
      </c>
      <c r="D738" s="1" t="str">
        <f>IF(COUNTIF(Target1[Target Dates],Benchmark2[[#This Row],[Benchmark '#2 Dates]])=1,"Pass","Fail")</f>
        <v>Pass</v>
      </c>
      <c r="E738" s="6">
        <f>IF(Benchmark2[[#This Row],[Target Date Check]]="Pass",INDEX(Target1[Target Price],MATCH(Benchmark2[[#This Row],[Benchmark '#2 Dates]],Target1[Target Dates],0)),"-")</f>
        <v>29.84</v>
      </c>
      <c r="F738" s="1" t="str">
        <f>IF(COUNTIF(Comp1[Comparable '#1 Dates],Benchmark2[[#This Row],[Benchmark '#2 Dates]])=1,"Pass","Fail")</f>
        <v>Pass</v>
      </c>
      <c r="G738" s="6">
        <f>IF(Benchmark2[[#This Row],[Comparable '#1 Date Check]]="Pass",INDEX(Comp1[Comparable '#1 Price],MATCH(Benchmark2[[#This Row],[Benchmark '#2 Dates]],Comp1[Comparable '#1 Dates],0)),"-")</f>
        <v>15.28</v>
      </c>
      <c r="H738" s="1" t="str">
        <f>IF(COUNTIF(Comp2[Comparable '#2 Dates],Benchmark2[[#This Row],[Benchmark '#2 Dates]])=1,"Pass","Fail")</f>
        <v>Pass</v>
      </c>
      <c r="I738" s="6">
        <f>IF(Benchmark2[[#This Row],[Comparable '#2 Date Check]]="Pass",INDEX(Comp2[Comparable '#2 Price],MATCH(Benchmark2[[#This Row],[Benchmark '#2 Dates]],Comp2[Comparable '#2 Dates],0)),"-")</f>
        <v>38.39</v>
      </c>
      <c r="J738" s="1" t="str">
        <f>IF(COUNTIF(Comp3[Comparable '#3 Dates],Benchmark2[[#This Row],[Benchmark '#2 Dates]])=1,"Pass","Fail")</f>
        <v>Pass</v>
      </c>
      <c r="K738" s="6">
        <f>IF(Benchmark2[[#This Row],[Comparable '#3 Date Check]]="Pass",INDEX(Comp3[Comparable '#3 Price],MATCH(Benchmark2[[#This Row],[Benchmark '#2 Dates]],Comp3[Comparable '#3 Dates],0)),"-")</f>
        <v>73.7</v>
      </c>
    </row>
    <row r="739" spans="1:11">
      <c r="A739" s="103">
        <v>44356</v>
      </c>
      <c r="B739" s="104">
        <v>16620.0046</v>
      </c>
      <c r="C739" s="4">
        <f t="shared" si="11"/>
        <v>-3.9316760977013325E-3</v>
      </c>
      <c r="D739" s="1" t="str">
        <f>IF(COUNTIF(Target1[Target Dates],Benchmark2[[#This Row],[Benchmark '#2 Dates]])=1,"Pass","Fail")</f>
        <v>Pass</v>
      </c>
      <c r="E739" s="6">
        <f>IF(Benchmark2[[#This Row],[Target Date Check]]="Pass",INDEX(Target1[Target Price],MATCH(Benchmark2[[#This Row],[Benchmark '#2 Dates]],Target1[Target Dates],0)),"-")</f>
        <v>29.7</v>
      </c>
      <c r="F739" s="1" t="str">
        <f>IF(COUNTIF(Comp1[Comparable '#1 Dates],Benchmark2[[#This Row],[Benchmark '#2 Dates]])=1,"Pass","Fail")</f>
        <v>Pass</v>
      </c>
      <c r="G739" s="6">
        <f>IF(Benchmark2[[#This Row],[Comparable '#1 Date Check]]="Pass",INDEX(Comp1[Comparable '#1 Price],MATCH(Benchmark2[[#This Row],[Benchmark '#2 Dates]],Comp1[Comparable '#1 Dates],0)),"-")</f>
        <v>15.2</v>
      </c>
      <c r="H739" s="1" t="str">
        <f>IF(COUNTIF(Comp2[Comparable '#2 Dates],Benchmark2[[#This Row],[Benchmark '#2 Dates]])=1,"Pass","Fail")</f>
        <v>Pass</v>
      </c>
      <c r="I739" s="6">
        <f>IF(Benchmark2[[#This Row],[Comparable '#2 Date Check]]="Pass",INDEX(Comp2[Comparable '#2 Price],MATCH(Benchmark2[[#This Row],[Benchmark '#2 Dates]],Comp2[Comparable '#2 Dates],0)),"-")</f>
        <v>37.94</v>
      </c>
      <c r="J739" s="1" t="str">
        <f>IF(COUNTIF(Comp3[Comparable '#3 Dates],Benchmark2[[#This Row],[Benchmark '#2 Dates]])=1,"Pass","Fail")</f>
        <v>Pass</v>
      </c>
      <c r="K739" s="6">
        <f>IF(Benchmark2[[#This Row],[Comparable '#3 Date Check]]="Pass",INDEX(Comp3[Comparable '#3 Price],MATCH(Benchmark2[[#This Row],[Benchmark '#2 Dates]],Comp3[Comparable '#3 Dates],0)),"-")</f>
        <v>75.67</v>
      </c>
    </row>
    <row r="740" spans="1:11">
      <c r="A740" s="103">
        <v>44357</v>
      </c>
      <c r="B740" s="104">
        <v>16651.428400000001</v>
      </c>
      <c r="C740" s="4">
        <f t="shared" si="11"/>
        <v>1.8889363342753916E-3</v>
      </c>
      <c r="D740" s="1" t="str">
        <f>IF(COUNTIF(Target1[Target Dates],Benchmark2[[#This Row],[Benchmark '#2 Dates]])=1,"Pass","Fail")</f>
        <v>Pass</v>
      </c>
      <c r="E740" s="6">
        <f>IF(Benchmark2[[#This Row],[Target Date Check]]="Pass",INDEX(Target1[Target Price],MATCH(Benchmark2[[#This Row],[Benchmark '#2 Dates]],Target1[Target Dates],0)),"-")</f>
        <v>30.18</v>
      </c>
      <c r="F740" s="1" t="str">
        <f>IF(COUNTIF(Comp1[Comparable '#1 Dates],Benchmark2[[#This Row],[Benchmark '#2 Dates]])=1,"Pass","Fail")</f>
        <v>Pass</v>
      </c>
      <c r="G740" s="6">
        <f>IF(Benchmark2[[#This Row],[Comparable '#1 Date Check]]="Pass",INDEX(Comp1[Comparable '#1 Price],MATCH(Benchmark2[[#This Row],[Benchmark '#2 Dates]],Comp1[Comparable '#1 Dates],0)),"-")</f>
        <v>15.47</v>
      </c>
      <c r="H740" s="1" t="str">
        <f>IF(COUNTIF(Comp2[Comparable '#2 Dates],Benchmark2[[#This Row],[Benchmark '#2 Dates]])=1,"Pass","Fail")</f>
        <v>Pass</v>
      </c>
      <c r="I740" s="6">
        <f>IF(Benchmark2[[#This Row],[Comparable '#2 Date Check]]="Pass",INDEX(Comp2[Comparable '#2 Price],MATCH(Benchmark2[[#This Row],[Benchmark '#2 Dates]],Comp2[Comparable '#2 Dates],0)),"-")</f>
        <v>38.86</v>
      </c>
      <c r="J740" s="1" t="str">
        <f>IF(COUNTIF(Comp3[Comparable '#3 Dates],Benchmark2[[#This Row],[Benchmark '#2 Dates]])=1,"Pass","Fail")</f>
        <v>Pass</v>
      </c>
      <c r="K740" s="6">
        <f>IF(Benchmark2[[#This Row],[Comparable '#3 Date Check]]="Pass",INDEX(Comp3[Comparable '#3 Price],MATCH(Benchmark2[[#This Row],[Benchmark '#2 Dates]],Comp3[Comparable '#3 Dates],0)),"-")</f>
        <v>78.17</v>
      </c>
    </row>
    <row r="741" spans="1:11">
      <c r="A741" s="103">
        <v>44358</v>
      </c>
      <c r="B741" s="104">
        <v>16694.931499999999</v>
      </c>
      <c r="C741" s="4">
        <f t="shared" si="11"/>
        <v>2.6091678258335477E-3</v>
      </c>
      <c r="D741" s="1" t="str">
        <f>IF(COUNTIF(Target1[Target Dates],Benchmark2[[#This Row],[Benchmark '#2 Dates]])=1,"Pass","Fail")</f>
        <v>Pass</v>
      </c>
      <c r="E741" s="6">
        <f>IF(Benchmark2[[#This Row],[Target Date Check]]="Pass",INDEX(Target1[Target Price],MATCH(Benchmark2[[#This Row],[Benchmark '#2 Dates]],Target1[Target Dates],0)),"-")</f>
        <v>30.44</v>
      </c>
      <c r="F741" s="1" t="str">
        <f>IF(COUNTIF(Comp1[Comparable '#1 Dates],Benchmark2[[#This Row],[Benchmark '#2 Dates]])=1,"Pass","Fail")</f>
        <v>Pass</v>
      </c>
      <c r="G741" s="6">
        <f>IF(Benchmark2[[#This Row],[Comparable '#1 Date Check]]="Pass",INDEX(Comp1[Comparable '#1 Price],MATCH(Benchmark2[[#This Row],[Benchmark '#2 Dates]],Comp1[Comparable '#1 Dates],0)),"-")</f>
        <v>15.43</v>
      </c>
      <c r="H741" s="1" t="str">
        <f>IF(COUNTIF(Comp2[Comparable '#2 Dates],Benchmark2[[#This Row],[Benchmark '#2 Dates]])=1,"Pass","Fail")</f>
        <v>Pass</v>
      </c>
      <c r="I741" s="6">
        <f>IF(Benchmark2[[#This Row],[Comparable '#2 Date Check]]="Pass",INDEX(Comp2[Comparable '#2 Price],MATCH(Benchmark2[[#This Row],[Benchmark '#2 Dates]],Comp2[Comparable '#2 Dates],0)),"-")</f>
        <v>39.21</v>
      </c>
      <c r="J741" s="1" t="str">
        <f>IF(COUNTIF(Comp3[Comparable '#3 Dates],Benchmark2[[#This Row],[Benchmark '#2 Dates]])=1,"Pass","Fail")</f>
        <v>Pass</v>
      </c>
      <c r="K741" s="6">
        <f>IF(Benchmark2[[#This Row],[Comparable '#3 Date Check]]="Pass",INDEX(Comp3[Comparable '#3 Price],MATCH(Benchmark2[[#This Row],[Benchmark '#2 Dates]],Comp3[Comparable '#3 Dates],0)),"-")</f>
        <v>79.44</v>
      </c>
    </row>
    <row r="742" spans="1:11">
      <c r="A742" s="103">
        <v>44361</v>
      </c>
      <c r="B742" s="104">
        <v>16662.423500000001</v>
      </c>
      <c r="C742" s="4">
        <f t="shared" si="11"/>
        <v>-1.9490760158418175E-3</v>
      </c>
      <c r="D742" s="1" t="str">
        <f>IF(COUNTIF(Target1[Target Dates],Benchmark2[[#This Row],[Benchmark '#2 Dates]])=1,"Pass","Fail")</f>
        <v>Pass</v>
      </c>
      <c r="E742" s="6">
        <f>IF(Benchmark2[[#This Row],[Target Date Check]]="Pass",INDEX(Target1[Target Price],MATCH(Benchmark2[[#This Row],[Benchmark '#2 Dates]],Target1[Target Dates],0)),"-")</f>
        <v>30.17</v>
      </c>
      <c r="F742" s="1" t="str">
        <f>IF(COUNTIF(Comp1[Comparable '#1 Dates],Benchmark2[[#This Row],[Benchmark '#2 Dates]])=1,"Pass","Fail")</f>
        <v>Pass</v>
      </c>
      <c r="G742" s="6">
        <f>IF(Benchmark2[[#This Row],[Comparable '#1 Date Check]]="Pass",INDEX(Comp1[Comparable '#1 Price],MATCH(Benchmark2[[#This Row],[Benchmark '#2 Dates]],Comp1[Comparable '#1 Dates],0)),"-")</f>
        <v>15.43</v>
      </c>
      <c r="H742" s="1" t="str">
        <f>IF(COUNTIF(Comp2[Comparable '#2 Dates],Benchmark2[[#This Row],[Benchmark '#2 Dates]])=1,"Pass","Fail")</f>
        <v>Pass</v>
      </c>
      <c r="I742" s="6">
        <f>IF(Benchmark2[[#This Row],[Comparable '#2 Date Check]]="Pass",INDEX(Comp2[Comparable '#2 Price],MATCH(Benchmark2[[#This Row],[Benchmark '#2 Dates]],Comp2[Comparable '#2 Dates],0)),"-")</f>
        <v>38.53</v>
      </c>
      <c r="J742" s="1" t="str">
        <f>IF(COUNTIF(Comp3[Comparable '#3 Dates],Benchmark2[[#This Row],[Benchmark '#2 Dates]])=1,"Pass","Fail")</f>
        <v>Pass</v>
      </c>
      <c r="K742" s="6">
        <f>IF(Benchmark2[[#This Row],[Comparable '#3 Date Check]]="Pass",INDEX(Comp3[Comparable '#3 Price],MATCH(Benchmark2[[#This Row],[Benchmark '#2 Dates]],Comp3[Comparable '#3 Dates],0)),"-")</f>
        <v>78.34</v>
      </c>
    </row>
    <row r="743" spans="1:11">
      <c r="A743" s="103">
        <v>44362</v>
      </c>
      <c r="B743" s="104">
        <v>16655.812699999999</v>
      </c>
      <c r="C743" s="4">
        <f t="shared" si="11"/>
        <v>-3.9682773404159215E-4</v>
      </c>
      <c r="D743" s="1" t="str">
        <f>IF(COUNTIF(Target1[Target Dates],Benchmark2[[#This Row],[Benchmark '#2 Dates]])=1,"Pass","Fail")</f>
        <v>Pass</v>
      </c>
      <c r="E743" s="6">
        <f>IF(Benchmark2[[#This Row],[Target Date Check]]="Pass",INDEX(Target1[Target Price],MATCH(Benchmark2[[#This Row],[Benchmark '#2 Dates]],Target1[Target Dates],0)),"-")</f>
        <v>30.27</v>
      </c>
      <c r="F743" s="1" t="str">
        <f>IF(COUNTIF(Comp1[Comparable '#1 Dates],Benchmark2[[#This Row],[Benchmark '#2 Dates]])=1,"Pass","Fail")</f>
        <v>Pass</v>
      </c>
      <c r="G743" s="6">
        <f>IF(Benchmark2[[#This Row],[Comparable '#1 Date Check]]="Pass",INDEX(Comp1[Comparable '#1 Price],MATCH(Benchmark2[[#This Row],[Benchmark '#2 Dates]],Comp1[Comparable '#1 Dates],0)),"-")</f>
        <v>15.47</v>
      </c>
      <c r="H743" s="1" t="str">
        <f>IF(COUNTIF(Comp2[Comparable '#2 Dates],Benchmark2[[#This Row],[Benchmark '#2 Dates]])=1,"Pass","Fail")</f>
        <v>Pass</v>
      </c>
      <c r="I743" s="6">
        <f>IF(Benchmark2[[#This Row],[Comparable '#2 Date Check]]="Pass",INDEX(Comp2[Comparable '#2 Price],MATCH(Benchmark2[[#This Row],[Benchmark '#2 Dates]],Comp2[Comparable '#2 Dates],0)),"-")</f>
        <v>38.549999999999997</v>
      </c>
      <c r="J743" s="1" t="str">
        <f>IF(COUNTIF(Comp3[Comparable '#3 Dates],Benchmark2[[#This Row],[Benchmark '#2 Dates]])=1,"Pass","Fail")</f>
        <v>Pass</v>
      </c>
      <c r="K743" s="6">
        <f>IF(Benchmark2[[#This Row],[Comparable '#3 Date Check]]="Pass",INDEX(Comp3[Comparable '#3 Price],MATCH(Benchmark2[[#This Row],[Benchmark '#2 Dates]],Comp3[Comparable '#3 Dates],0)),"-")</f>
        <v>78.27</v>
      </c>
    </row>
    <row r="744" spans="1:11">
      <c r="A744" s="103">
        <v>44363</v>
      </c>
      <c r="B744" s="104">
        <v>16542.7585</v>
      </c>
      <c r="C744" s="4">
        <f t="shared" si="11"/>
        <v>-6.8108134136677361E-3</v>
      </c>
      <c r="D744" s="1" t="str">
        <f>IF(COUNTIF(Target1[Target Dates],Benchmark2[[#This Row],[Benchmark '#2 Dates]])=1,"Pass","Fail")</f>
        <v>Pass</v>
      </c>
      <c r="E744" s="6">
        <f>IF(Benchmark2[[#This Row],[Target Date Check]]="Pass",INDEX(Target1[Target Price],MATCH(Benchmark2[[#This Row],[Benchmark '#2 Dates]],Target1[Target Dates],0)),"-")</f>
        <v>30.2</v>
      </c>
      <c r="F744" s="1" t="str">
        <f>IF(COUNTIF(Comp1[Comparable '#1 Dates],Benchmark2[[#This Row],[Benchmark '#2 Dates]])=1,"Pass","Fail")</f>
        <v>Pass</v>
      </c>
      <c r="G744" s="6">
        <f>IF(Benchmark2[[#This Row],[Comparable '#1 Date Check]]="Pass",INDEX(Comp1[Comparable '#1 Price],MATCH(Benchmark2[[#This Row],[Benchmark '#2 Dates]],Comp1[Comparable '#1 Dates],0)),"-")</f>
        <v>15.38</v>
      </c>
      <c r="H744" s="1" t="str">
        <f>IF(COUNTIF(Comp2[Comparable '#2 Dates],Benchmark2[[#This Row],[Benchmark '#2 Dates]])=1,"Pass","Fail")</f>
        <v>Pass</v>
      </c>
      <c r="I744" s="6">
        <f>IF(Benchmark2[[#This Row],[Comparable '#2 Date Check]]="Pass",INDEX(Comp2[Comparable '#2 Price],MATCH(Benchmark2[[#This Row],[Benchmark '#2 Dates]],Comp2[Comparable '#2 Dates],0)),"-")</f>
        <v>37.69</v>
      </c>
      <c r="J744" s="1" t="str">
        <f>IF(COUNTIF(Comp3[Comparable '#3 Dates],Benchmark2[[#This Row],[Benchmark '#2 Dates]])=1,"Pass","Fail")</f>
        <v>Pass</v>
      </c>
      <c r="K744" s="6">
        <f>IF(Benchmark2[[#This Row],[Comparable '#3 Date Check]]="Pass",INDEX(Comp3[Comparable '#3 Price],MATCH(Benchmark2[[#This Row],[Benchmark '#2 Dates]],Comp3[Comparable '#3 Dates],0)),"-")</f>
        <v>78.91</v>
      </c>
    </row>
    <row r="745" spans="1:11">
      <c r="A745" s="103">
        <v>44364</v>
      </c>
      <c r="B745" s="104">
        <v>16411.647199999999</v>
      </c>
      <c r="C745" s="4">
        <f t="shared" si="11"/>
        <v>-7.9571753159047003E-3</v>
      </c>
      <c r="D745" s="1" t="str">
        <f>IF(COUNTIF(Target1[Target Dates],Benchmark2[[#This Row],[Benchmark '#2 Dates]])=1,"Pass","Fail")</f>
        <v>Pass</v>
      </c>
      <c r="E745" s="6">
        <f>IF(Benchmark2[[#This Row],[Target Date Check]]="Pass",INDEX(Target1[Target Price],MATCH(Benchmark2[[#This Row],[Benchmark '#2 Dates]],Target1[Target Dates],0)),"-")</f>
        <v>29.65</v>
      </c>
      <c r="F745" s="1" t="str">
        <f>IF(COUNTIF(Comp1[Comparable '#1 Dates],Benchmark2[[#This Row],[Benchmark '#2 Dates]])=1,"Pass","Fail")</f>
        <v>Pass</v>
      </c>
      <c r="G745" s="6">
        <f>IF(Benchmark2[[#This Row],[Comparable '#1 Date Check]]="Pass",INDEX(Comp1[Comparable '#1 Price],MATCH(Benchmark2[[#This Row],[Benchmark '#2 Dates]],Comp1[Comparable '#1 Dates],0)),"-")</f>
        <v>15.2</v>
      </c>
      <c r="H745" s="1" t="str">
        <f>IF(COUNTIF(Comp2[Comparable '#2 Dates],Benchmark2[[#This Row],[Benchmark '#2 Dates]])=1,"Pass","Fail")</f>
        <v>Pass</v>
      </c>
      <c r="I745" s="6">
        <f>IF(Benchmark2[[#This Row],[Comparable '#2 Date Check]]="Pass",INDEX(Comp2[Comparable '#2 Price],MATCH(Benchmark2[[#This Row],[Benchmark '#2 Dates]],Comp2[Comparable '#2 Dates],0)),"-")</f>
        <v>37.380000000000003</v>
      </c>
      <c r="J745" s="1" t="str">
        <f>IF(COUNTIF(Comp3[Comparable '#3 Dates],Benchmark2[[#This Row],[Benchmark '#2 Dates]])=1,"Pass","Fail")</f>
        <v>Pass</v>
      </c>
      <c r="K745" s="6">
        <f>IF(Benchmark2[[#This Row],[Comparable '#3 Date Check]]="Pass",INDEX(Comp3[Comparable '#3 Price],MATCH(Benchmark2[[#This Row],[Benchmark '#2 Dates]],Comp3[Comparable '#3 Dates],0)),"-")</f>
        <v>78.95</v>
      </c>
    </row>
    <row r="746" spans="1:11">
      <c r="A746" s="103">
        <v>44365</v>
      </c>
      <c r="B746" s="104">
        <v>16143.9509</v>
      </c>
      <c r="C746" s="4">
        <f t="shared" si="11"/>
        <v>-1.6445855653860218E-2</v>
      </c>
      <c r="D746" s="1" t="str">
        <f>IF(COUNTIF(Target1[Target Dates],Benchmark2[[#This Row],[Benchmark '#2 Dates]])=1,"Pass","Fail")</f>
        <v>Pass</v>
      </c>
      <c r="E746" s="6">
        <f>IF(Benchmark2[[#This Row],[Target Date Check]]="Pass",INDEX(Target1[Target Price],MATCH(Benchmark2[[#This Row],[Benchmark '#2 Dates]],Target1[Target Dates],0)),"-")</f>
        <v>29.17</v>
      </c>
      <c r="F746" s="1" t="str">
        <f>IF(COUNTIF(Comp1[Comparable '#1 Dates],Benchmark2[[#This Row],[Benchmark '#2 Dates]])=1,"Pass","Fail")</f>
        <v>Pass</v>
      </c>
      <c r="G746" s="6">
        <f>IF(Benchmark2[[#This Row],[Comparable '#1 Date Check]]="Pass",INDEX(Comp1[Comparable '#1 Price],MATCH(Benchmark2[[#This Row],[Benchmark '#2 Dates]],Comp1[Comparable '#1 Dates],0)),"-")</f>
        <v>14.89</v>
      </c>
      <c r="H746" s="1" t="str">
        <f>IF(COUNTIF(Comp2[Comparable '#2 Dates],Benchmark2[[#This Row],[Benchmark '#2 Dates]])=1,"Pass","Fail")</f>
        <v>Pass</v>
      </c>
      <c r="I746" s="6">
        <f>IF(Benchmark2[[#This Row],[Comparable '#2 Date Check]]="Pass",INDEX(Comp2[Comparable '#2 Price],MATCH(Benchmark2[[#This Row],[Benchmark '#2 Dates]],Comp2[Comparable '#2 Dates],0)),"-")</f>
        <v>36.6</v>
      </c>
      <c r="J746" s="1" t="str">
        <f>IF(COUNTIF(Comp3[Comparable '#3 Dates],Benchmark2[[#This Row],[Benchmark '#2 Dates]])=1,"Pass","Fail")</f>
        <v>Pass</v>
      </c>
      <c r="K746" s="6">
        <f>IF(Benchmark2[[#This Row],[Comparable '#3 Date Check]]="Pass",INDEX(Comp3[Comparable '#3 Price],MATCH(Benchmark2[[#This Row],[Benchmark '#2 Dates]],Comp3[Comparable '#3 Dates],0)),"-")</f>
        <v>78.41</v>
      </c>
    </row>
    <row r="747" spans="1:11">
      <c r="A747" s="103">
        <v>44368</v>
      </c>
      <c r="B747" s="104">
        <v>16411.977500000001</v>
      </c>
      <c r="C747" s="4">
        <f t="shared" si="11"/>
        <v>1.6465981401886664E-2</v>
      </c>
      <c r="D747" s="1" t="str">
        <f>IF(COUNTIF(Target1[Target Dates],Benchmark2[[#This Row],[Benchmark '#2 Dates]])=1,"Pass","Fail")</f>
        <v>Pass</v>
      </c>
      <c r="E747" s="6">
        <f>IF(Benchmark2[[#This Row],[Target Date Check]]="Pass",INDEX(Target1[Target Price],MATCH(Benchmark2[[#This Row],[Benchmark '#2 Dates]],Target1[Target Dates],0)),"-")</f>
        <v>30.28</v>
      </c>
      <c r="F747" s="1" t="str">
        <f>IF(COUNTIF(Comp1[Comparable '#1 Dates],Benchmark2[[#This Row],[Benchmark '#2 Dates]])=1,"Pass","Fail")</f>
        <v>Pass</v>
      </c>
      <c r="G747" s="6">
        <f>IF(Benchmark2[[#This Row],[Comparable '#1 Date Check]]="Pass",INDEX(Comp1[Comparable '#1 Price],MATCH(Benchmark2[[#This Row],[Benchmark '#2 Dates]],Comp1[Comparable '#1 Dates],0)),"-")</f>
        <v>15.08</v>
      </c>
      <c r="H747" s="1" t="str">
        <f>IF(COUNTIF(Comp2[Comparable '#2 Dates],Benchmark2[[#This Row],[Benchmark '#2 Dates]])=1,"Pass","Fail")</f>
        <v>Pass</v>
      </c>
      <c r="I747" s="6">
        <f>IF(Benchmark2[[#This Row],[Comparable '#2 Date Check]]="Pass",INDEX(Comp2[Comparable '#2 Price],MATCH(Benchmark2[[#This Row],[Benchmark '#2 Dates]],Comp2[Comparable '#2 Dates],0)),"-")</f>
        <v>37.04</v>
      </c>
      <c r="J747" s="1" t="str">
        <f>IF(COUNTIF(Comp3[Comparable '#3 Dates],Benchmark2[[#This Row],[Benchmark '#2 Dates]])=1,"Pass","Fail")</f>
        <v>Pass</v>
      </c>
      <c r="K747" s="6">
        <f>IF(Benchmark2[[#This Row],[Comparable '#3 Date Check]]="Pass",INDEX(Comp3[Comparable '#3 Price],MATCH(Benchmark2[[#This Row],[Benchmark '#2 Dates]],Comp3[Comparable '#3 Dates],0)),"-")</f>
        <v>81.010000000000005</v>
      </c>
    </row>
    <row r="748" spans="1:11">
      <c r="A748" s="103">
        <v>44369</v>
      </c>
      <c r="B748" s="104">
        <v>16449.013599999998</v>
      </c>
      <c r="C748" s="4">
        <f t="shared" si="11"/>
        <v>2.254108256747578E-3</v>
      </c>
      <c r="D748" s="1" t="str">
        <f>IF(COUNTIF(Target1[Target Dates],Benchmark2[[#This Row],[Benchmark '#2 Dates]])=1,"Pass","Fail")</f>
        <v>Pass</v>
      </c>
      <c r="E748" s="6">
        <f>IF(Benchmark2[[#This Row],[Target Date Check]]="Pass",INDEX(Target1[Target Price],MATCH(Benchmark2[[#This Row],[Benchmark '#2 Dates]],Target1[Target Dates],0)),"-")</f>
        <v>30.55</v>
      </c>
      <c r="F748" s="1" t="str">
        <f>IF(COUNTIF(Comp1[Comparable '#1 Dates],Benchmark2[[#This Row],[Benchmark '#2 Dates]])=1,"Pass","Fail")</f>
        <v>Pass</v>
      </c>
      <c r="G748" s="6">
        <f>IF(Benchmark2[[#This Row],[Comparable '#1 Date Check]]="Pass",INDEX(Comp1[Comparable '#1 Price],MATCH(Benchmark2[[#This Row],[Benchmark '#2 Dates]],Comp1[Comparable '#1 Dates],0)),"-")</f>
        <v>14.88</v>
      </c>
      <c r="H748" s="1" t="str">
        <f>IF(COUNTIF(Comp2[Comparable '#2 Dates],Benchmark2[[#This Row],[Benchmark '#2 Dates]])=1,"Pass","Fail")</f>
        <v>Pass</v>
      </c>
      <c r="I748" s="6">
        <f>IF(Benchmark2[[#This Row],[Comparable '#2 Date Check]]="Pass",INDEX(Comp2[Comparable '#2 Price],MATCH(Benchmark2[[#This Row],[Benchmark '#2 Dates]],Comp2[Comparable '#2 Dates],0)),"-")</f>
        <v>35.950000000000003</v>
      </c>
      <c r="J748" s="1" t="str">
        <f>IF(COUNTIF(Comp3[Comparable '#3 Dates],Benchmark2[[#This Row],[Benchmark '#2 Dates]])=1,"Pass","Fail")</f>
        <v>Pass</v>
      </c>
      <c r="K748" s="6">
        <f>IF(Benchmark2[[#This Row],[Comparable '#3 Date Check]]="Pass",INDEX(Comp3[Comparable '#3 Price],MATCH(Benchmark2[[#This Row],[Benchmark '#2 Dates]],Comp3[Comparable '#3 Dates],0)),"-")</f>
        <v>77.02</v>
      </c>
    </row>
    <row r="749" spans="1:11">
      <c r="A749" s="103">
        <v>44370</v>
      </c>
      <c r="B749" s="104">
        <v>16437.627</v>
      </c>
      <c r="C749" s="4">
        <f t="shared" si="11"/>
        <v>-6.9247574378326058E-4</v>
      </c>
      <c r="D749" s="1" t="str">
        <f>IF(COUNTIF(Target1[Target Dates],Benchmark2[[#This Row],[Benchmark '#2 Dates]])=1,"Pass","Fail")</f>
        <v>Pass</v>
      </c>
      <c r="E749" s="6">
        <f>IF(Benchmark2[[#This Row],[Target Date Check]]="Pass",INDEX(Target1[Target Price],MATCH(Benchmark2[[#This Row],[Benchmark '#2 Dates]],Target1[Target Dates],0)),"-")</f>
        <v>31.64</v>
      </c>
      <c r="F749" s="1" t="str">
        <f>IF(COUNTIF(Comp1[Comparable '#1 Dates],Benchmark2[[#This Row],[Benchmark '#2 Dates]])=1,"Pass","Fail")</f>
        <v>Pass</v>
      </c>
      <c r="G749" s="6">
        <f>IF(Benchmark2[[#This Row],[Comparable '#1 Date Check]]="Pass",INDEX(Comp1[Comparable '#1 Price],MATCH(Benchmark2[[#This Row],[Benchmark '#2 Dates]],Comp1[Comparable '#1 Dates],0)),"-")</f>
        <v>14.89</v>
      </c>
      <c r="H749" s="1" t="str">
        <f>IF(COUNTIF(Comp2[Comparable '#2 Dates],Benchmark2[[#This Row],[Benchmark '#2 Dates]])=1,"Pass","Fail")</f>
        <v>Pass</v>
      </c>
      <c r="I749" s="6">
        <f>IF(Benchmark2[[#This Row],[Comparable '#2 Date Check]]="Pass",INDEX(Comp2[Comparable '#2 Price],MATCH(Benchmark2[[#This Row],[Benchmark '#2 Dates]],Comp2[Comparable '#2 Dates],0)),"-")</f>
        <v>35.880000000000003</v>
      </c>
      <c r="J749" s="1" t="str">
        <f>IF(COUNTIF(Comp3[Comparable '#3 Dates],Benchmark2[[#This Row],[Benchmark '#2 Dates]])=1,"Pass","Fail")</f>
        <v>Pass</v>
      </c>
      <c r="K749" s="6">
        <f>IF(Benchmark2[[#This Row],[Comparable '#3 Date Check]]="Pass",INDEX(Comp3[Comparable '#3 Price],MATCH(Benchmark2[[#This Row],[Benchmark '#2 Dates]],Comp3[Comparable '#3 Dates],0)),"-")</f>
        <v>77.569999999999993</v>
      </c>
    </row>
    <row r="750" spans="1:11">
      <c r="A750" s="103">
        <v>44371</v>
      </c>
      <c r="B750" s="104">
        <v>16558.6234</v>
      </c>
      <c r="C750" s="4">
        <f t="shared" si="11"/>
        <v>7.3339813385871269E-3</v>
      </c>
      <c r="D750" s="1" t="str">
        <f>IF(COUNTIF(Target1[Target Dates],Benchmark2[[#This Row],[Benchmark '#2 Dates]])=1,"Pass","Fail")</f>
        <v>Pass</v>
      </c>
      <c r="E750" s="6">
        <f>IF(Benchmark2[[#This Row],[Target Date Check]]="Pass",INDEX(Target1[Target Price],MATCH(Benchmark2[[#This Row],[Benchmark '#2 Dates]],Target1[Target Dates],0)),"-")</f>
        <v>33.229999999999997</v>
      </c>
      <c r="F750" s="1" t="str">
        <f>IF(COUNTIF(Comp1[Comparable '#1 Dates],Benchmark2[[#This Row],[Benchmark '#2 Dates]])=1,"Pass","Fail")</f>
        <v>Pass</v>
      </c>
      <c r="G750" s="6">
        <f>IF(Benchmark2[[#This Row],[Comparable '#1 Date Check]]="Pass",INDEX(Comp1[Comparable '#1 Price],MATCH(Benchmark2[[#This Row],[Benchmark '#2 Dates]],Comp1[Comparable '#1 Dates],0)),"-")</f>
        <v>15.05</v>
      </c>
      <c r="H750" s="1" t="str">
        <f>IF(COUNTIF(Comp2[Comparable '#2 Dates],Benchmark2[[#This Row],[Benchmark '#2 Dates]])=1,"Pass","Fail")</f>
        <v>Pass</v>
      </c>
      <c r="I750" s="6">
        <f>IF(Benchmark2[[#This Row],[Comparable '#2 Date Check]]="Pass",INDEX(Comp2[Comparable '#2 Price],MATCH(Benchmark2[[#This Row],[Benchmark '#2 Dates]],Comp2[Comparable '#2 Dates],0)),"-")</f>
        <v>36.880000000000003</v>
      </c>
      <c r="J750" s="1" t="str">
        <f>IF(COUNTIF(Comp3[Comparable '#3 Dates],Benchmark2[[#This Row],[Benchmark '#2 Dates]])=1,"Pass","Fail")</f>
        <v>Pass</v>
      </c>
      <c r="K750" s="6">
        <f>IF(Benchmark2[[#This Row],[Comparable '#3 Date Check]]="Pass",INDEX(Comp3[Comparable '#3 Price],MATCH(Benchmark2[[#This Row],[Benchmark '#2 Dates]],Comp3[Comparable '#3 Dates],0)),"-")</f>
        <v>80.680000000000007</v>
      </c>
    </row>
    <row r="751" spans="1:11">
      <c r="A751" s="103">
        <v>44372</v>
      </c>
      <c r="B751" s="104">
        <v>16658.786700000001</v>
      </c>
      <c r="C751" s="4">
        <f t="shared" si="11"/>
        <v>6.0307894733553479E-3</v>
      </c>
      <c r="D751" s="1" t="str">
        <f>IF(COUNTIF(Target1[Target Dates],Benchmark2[[#This Row],[Benchmark '#2 Dates]])=1,"Pass","Fail")</f>
        <v>Pass</v>
      </c>
      <c r="E751" s="6">
        <f>IF(Benchmark2[[#This Row],[Target Date Check]]="Pass",INDEX(Target1[Target Price],MATCH(Benchmark2[[#This Row],[Benchmark '#2 Dates]],Target1[Target Dates],0)),"-")</f>
        <v>32.39</v>
      </c>
      <c r="F751" s="1" t="str">
        <f>IF(COUNTIF(Comp1[Comparable '#1 Dates],Benchmark2[[#This Row],[Benchmark '#2 Dates]])=1,"Pass","Fail")</f>
        <v>Pass</v>
      </c>
      <c r="G751" s="6">
        <f>IF(Benchmark2[[#This Row],[Comparable '#1 Date Check]]="Pass",INDEX(Comp1[Comparable '#1 Price],MATCH(Benchmark2[[#This Row],[Benchmark '#2 Dates]],Comp1[Comparable '#1 Dates],0)),"-")</f>
        <v>15</v>
      </c>
      <c r="H751" s="1" t="str">
        <f>IF(COUNTIF(Comp2[Comparable '#2 Dates],Benchmark2[[#This Row],[Benchmark '#2 Dates]])=1,"Pass","Fail")</f>
        <v>Pass</v>
      </c>
      <c r="I751" s="6">
        <f>IF(Benchmark2[[#This Row],[Comparable '#2 Date Check]]="Pass",INDEX(Comp2[Comparable '#2 Price],MATCH(Benchmark2[[#This Row],[Benchmark '#2 Dates]],Comp2[Comparable '#2 Dates],0)),"-")</f>
        <v>36.28</v>
      </c>
      <c r="J751" s="1" t="str">
        <f>IF(COUNTIF(Comp3[Comparable '#3 Dates],Benchmark2[[#This Row],[Benchmark '#2 Dates]])=1,"Pass","Fail")</f>
        <v>Pass</v>
      </c>
      <c r="K751" s="6">
        <f>IF(Benchmark2[[#This Row],[Comparable '#3 Date Check]]="Pass",INDEX(Comp3[Comparable '#3 Price],MATCH(Benchmark2[[#This Row],[Benchmark '#2 Dates]],Comp3[Comparable '#3 Dates],0)),"-")</f>
        <v>79.010000000000005</v>
      </c>
    </row>
    <row r="752" spans="1:11">
      <c r="A752" s="103">
        <v>44375</v>
      </c>
      <c r="B752" s="104">
        <v>16573.722399999999</v>
      </c>
      <c r="C752" s="4">
        <f t="shared" si="11"/>
        <v>-5.1193537943733814E-3</v>
      </c>
      <c r="D752" s="1" t="str">
        <f>IF(COUNTIF(Target1[Target Dates],Benchmark2[[#This Row],[Benchmark '#2 Dates]])=1,"Pass","Fail")</f>
        <v>Pass</v>
      </c>
      <c r="E752" s="6">
        <f>IF(Benchmark2[[#This Row],[Target Date Check]]="Pass",INDEX(Target1[Target Price],MATCH(Benchmark2[[#This Row],[Benchmark '#2 Dates]],Target1[Target Dates],0)),"-")</f>
        <v>32.99</v>
      </c>
      <c r="F752" s="1" t="str">
        <f>IF(COUNTIF(Comp1[Comparable '#1 Dates],Benchmark2[[#This Row],[Benchmark '#2 Dates]])=1,"Pass","Fail")</f>
        <v>Pass</v>
      </c>
      <c r="G752" s="6">
        <f>IF(Benchmark2[[#This Row],[Comparable '#1 Date Check]]="Pass",INDEX(Comp1[Comparable '#1 Price],MATCH(Benchmark2[[#This Row],[Benchmark '#2 Dates]],Comp1[Comparable '#1 Dates],0)),"-")</f>
        <v>14.6</v>
      </c>
      <c r="H752" s="1" t="str">
        <f>IF(COUNTIF(Comp2[Comparable '#2 Dates],Benchmark2[[#This Row],[Benchmark '#2 Dates]])=1,"Pass","Fail")</f>
        <v>Pass</v>
      </c>
      <c r="I752" s="6">
        <f>IF(Benchmark2[[#This Row],[Comparable '#2 Date Check]]="Pass",INDEX(Comp2[Comparable '#2 Price],MATCH(Benchmark2[[#This Row],[Benchmark '#2 Dates]],Comp2[Comparable '#2 Dates],0)),"-")</f>
        <v>35.78</v>
      </c>
      <c r="J752" s="1" t="str">
        <f>IF(COUNTIF(Comp3[Comparable '#3 Dates],Benchmark2[[#This Row],[Benchmark '#2 Dates]])=1,"Pass","Fail")</f>
        <v>Pass</v>
      </c>
      <c r="K752" s="6">
        <f>IF(Benchmark2[[#This Row],[Comparable '#3 Date Check]]="Pass",INDEX(Comp3[Comparable '#3 Price],MATCH(Benchmark2[[#This Row],[Benchmark '#2 Dates]],Comp3[Comparable '#3 Dates],0)),"-")</f>
        <v>75.739999999999995</v>
      </c>
    </row>
    <row r="753" spans="1:11">
      <c r="A753" s="103">
        <v>44376</v>
      </c>
      <c r="B753" s="104">
        <v>16547.573100000001</v>
      </c>
      <c r="C753" s="4">
        <f t="shared" si="11"/>
        <v>-1.5790025745253385E-3</v>
      </c>
      <c r="D753" s="1" t="str">
        <f>IF(COUNTIF(Target1[Target Dates],Benchmark2[[#This Row],[Benchmark '#2 Dates]])=1,"Pass","Fail")</f>
        <v>Pass</v>
      </c>
      <c r="E753" s="6">
        <f>IF(Benchmark2[[#This Row],[Target Date Check]]="Pass",INDEX(Target1[Target Price],MATCH(Benchmark2[[#This Row],[Benchmark '#2 Dates]],Target1[Target Dates],0)),"-")</f>
        <v>32.630000000000003</v>
      </c>
      <c r="F753" s="1" t="str">
        <f>IF(COUNTIF(Comp1[Comparable '#1 Dates],Benchmark2[[#This Row],[Benchmark '#2 Dates]])=1,"Pass","Fail")</f>
        <v>Pass</v>
      </c>
      <c r="G753" s="6">
        <f>IF(Benchmark2[[#This Row],[Comparable '#1 Date Check]]="Pass",INDEX(Comp1[Comparable '#1 Price],MATCH(Benchmark2[[#This Row],[Benchmark '#2 Dates]],Comp1[Comparable '#1 Dates],0)),"-")</f>
        <v>14.48</v>
      </c>
      <c r="H753" s="1" t="str">
        <f>IF(COUNTIF(Comp2[Comparable '#2 Dates],Benchmark2[[#This Row],[Benchmark '#2 Dates]])=1,"Pass","Fail")</f>
        <v>Pass</v>
      </c>
      <c r="I753" s="6">
        <f>IF(Benchmark2[[#This Row],[Comparable '#2 Date Check]]="Pass",INDEX(Comp2[Comparable '#2 Price],MATCH(Benchmark2[[#This Row],[Benchmark '#2 Dates]],Comp2[Comparable '#2 Dates],0)),"-")</f>
        <v>35.770000000000003</v>
      </c>
      <c r="J753" s="1" t="str">
        <f>IF(COUNTIF(Comp3[Comparable '#3 Dates],Benchmark2[[#This Row],[Benchmark '#2 Dates]])=1,"Pass","Fail")</f>
        <v>Pass</v>
      </c>
      <c r="K753" s="6">
        <f>IF(Benchmark2[[#This Row],[Comparable '#3 Date Check]]="Pass",INDEX(Comp3[Comparable '#3 Price],MATCH(Benchmark2[[#This Row],[Benchmark '#2 Dates]],Comp3[Comparable '#3 Dates],0)),"-")</f>
        <v>75.849999999999994</v>
      </c>
    </row>
    <row r="754" spans="1:11">
      <c r="A754" s="103">
        <v>44377</v>
      </c>
      <c r="B754" s="104">
        <v>16555.3518</v>
      </c>
      <c r="C754" s="4">
        <f t="shared" si="11"/>
        <v>4.6997056403164713E-4</v>
      </c>
      <c r="D754" s="1" t="str">
        <f>IF(COUNTIF(Target1[Target Dates],Benchmark2[[#This Row],[Benchmark '#2 Dates]])=1,"Pass","Fail")</f>
        <v>Pass</v>
      </c>
      <c r="E754" s="6">
        <f>IF(Benchmark2[[#This Row],[Target Date Check]]="Pass",INDEX(Target1[Target Price],MATCH(Benchmark2[[#This Row],[Benchmark '#2 Dates]],Target1[Target Dates],0)),"-")</f>
        <v>32.130000000000003</v>
      </c>
      <c r="F754" s="1" t="str">
        <f>IF(COUNTIF(Comp1[Comparable '#1 Dates],Benchmark2[[#This Row],[Benchmark '#2 Dates]])=1,"Pass","Fail")</f>
        <v>Pass</v>
      </c>
      <c r="G754" s="6">
        <f>IF(Benchmark2[[#This Row],[Comparable '#1 Date Check]]="Pass",INDEX(Comp1[Comparable '#1 Price],MATCH(Benchmark2[[#This Row],[Benchmark '#2 Dates]],Comp1[Comparable '#1 Dates],0)),"-")</f>
        <v>14.51</v>
      </c>
      <c r="H754" s="1" t="str">
        <f>IF(COUNTIF(Comp2[Comparable '#2 Dates],Benchmark2[[#This Row],[Benchmark '#2 Dates]])=1,"Pass","Fail")</f>
        <v>Pass</v>
      </c>
      <c r="I754" s="6">
        <f>IF(Benchmark2[[#This Row],[Comparable '#2 Date Check]]="Pass",INDEX(Comp2[Comparable '#2 Price],MATCH(Benchmark2[[#This Row],[Benchmark '#2 Dates]],Comp2[Comparable '#2 Dates],0)),"-")</f>
        <v>35.64</v>
      </c>
      <c r="J754" s="1" t="str">
        <f>IF(COUNTIF(Comp3[Comparable '#3 Dates],Benchmark2[[#This Row],[Benchmark '#2 Dates]])=1,"Pass","Fail")</f>
        <v>Pass</v>
      </c>
      <c r="K754" s="6">
        <f>IF(Benchmark2[[#This Row],[Comparable '#3 Date Check]]="Pass",INDEX(Comp3[Comparable '#3 Price],MATCH(Benchmark2[[#This Row],[Benchmark '#2 Dates]],Comp3[Comparable '#3 Dates],0)),"-")</f>
        <v>76.06</v>
      </c>
    </row>
    <row r="755" spans="1:11">
      <c r="A755" s="103">
        <v>44378</v>
      </c>
      <c r="B755" s="104">
        <v>16640.9588</v>
      </c>
      <c r="C755" s="4">
        <f t="shared" si="11"/>
        <v>5.1576327744378486E-3</v>
      </c>
      <c r="D755" s="1" t="str">
        <f>IF(COUNTIF(Target1[Target Dates],Benchmark2[[#This Row],[Benchmark '#2 Dates]])=1,"Pass","Fail")</f>
        <v>Pass</v>
      </c>
      <c r="E755" s="6">
        <f>IF(Benchmark2[[#This Row],[Target Date Check]]="Pass",INDEX(Target1[Target Price],MATCH(Benchmark2[[#This Row],[Benchmark '#2 Dates]],Target1[Target Dates],0)),"-")</f>
        <v>32.78</v>
      </c>
      <c r="F755" s="1" t="str">
        <f>IF(COUNTIF(Comp1[Comparable '#1 Dates],Benchmark2[[#This Row],[Benchmark '#2 Dates]])=1,"Pass","Fail")</f>
        <v>Pass</v>
      </c>
      <c r="G755" s="6">
        <f>IF(Benchmark2[[#This Row],[Comparable '#1 Date Check]]="Pass",INDEX(Comp1[Comparable '#1 Price],MATCH(Benchmark2[[#This Row],[Benchmark '#2 Dates]],Comp1[Comparable '#1 Dates],0)),"-")</f>
        <v>14.76</v>
      </c>
      <c r="H755" s="1" t="str">
        <f>IF(COUNTIF(Comp2[Comparable '#2 Dates],Benchmark2[[#This Row],[Benchmark '#2 Dates]])=1,"Pass","Fail")</f>
        <v>Pass</v>
      </c>
      <c r="I755" s="6">
        <f>IF(Benchmark2[[#This Row],[Comparable '#2 Date Check]]="Pass",INDEX(Comp2[Comparable '#2 Price],MATCH(Benchmark2[[#This Row],[Benchmark '#2 Dates]],Comp2[Comparable '#2 Dates],0)),"-")</f>
        <v>36.69</v>
      </c>
      <c r="J755" s="1" t="str">
        <f>IF(COUNTIF(Comp3[Comparable '#3 Dates],Benchmark2[[#This Row],[Benchmark '#2 Dates]])=1,"Pass","Fail")</f>
        <v>Pass</v>
      </c>
      <c r="K755" s="6">
        <f>IF(Benchmark2[[#This Row],[Comparable '#3 Date Check]]="Pass",INDEX(Comp3[Comparable '#3 Price],MATCH(Benchmark2[[#This Row],[Benchmark '#2 Dates]],Comp3[Comparable '#3 Dates],0)),"-")</f>
        <v>77.16</v>
      </c>
    </row>
    <row r="756" spans="1:11">
      <c r="A756" s="103">
        <v>44379</v>
      </c>
      <c r="B756" s="104">
        <v>16674.845499999999</v>
      </c>
      <c r="C756" s="4">
        <f t="shared" si="11"/>
        <v>2.034272466056627E-3</v>
      </c>
      <c r="D756" s="1" t="str">
        <f>IF(COUNTIF(Target1[Target Dates],Benchmark2[[#This Row],[Benchmark '#2 Dates]])=1,"Pass","Fail")</f>
        <v>Pass</v>
      </c>
      <c r="E756" s="6">
        <f>IF(Benchmark2[[#This Row],[Target Date Check]]="Pass",INDEX(Target1[Target Price],MATCH(Benchmark2[[#This Row],[Benchmark '#2 Dates]],Target1[Target Dates],0)),"-")</f>
        <v>32.590000000000003</v>
      </c>
      <c r="F756" s="1" t="str">
        <f>IF(COUNTIF(Comp1[Comparable '#1 Dates],Benchmark2[[#This Row],[Benchmark '#2 Dates]])=1,"Pass","Fail")</f>
        <v>Pass</v>
      </c>
      <c r="G756" s="6">
        <f>IF(Benchmark2[[#This Row],[Comparable '#1 Date Check]]="Pass",INDEX(Comp1[Comparable '#1 Price],MATCH(Benchmark2[[#This Row],[Benchmark '#2 Dates]],Comp1[Comparable '#1 Dates],0)),"-")</f>
        <v>14.79</v>
      </c>
      <c r="H756" s="1" t="str">
        <f>IF(COUNTIF(Comp2[Comparable '#2 Dates],Benchmark2[[#This Row],[Benchmark '#2 Dates]])=1,"Pass","Fail")</f>
        <v>Pass</v>
      </c>
      <c r="I756" s="6">
        <f>IF(Benchmark2[[#This Row],[Comparable '#2 Date Check]]="Pass",INDEX(Comp2[Comparable '#2 Price],MATCH(Benchmark2[[#This Row],[Benchmark '#2 Dates]],Comp2[Comparable '#2 Dates],0)),"-")</f>
        <v>39.61</v>
      </c>
      <c r="J756" s="1" t="str">
        <f>IF(COUNTIF(Comp3[Comparable '#3 Dates],Benchmark2[[#This Row],[Benchmark '#2 Dates]])=1,"Pass","Fail")</f>
        <v>Pass</v>
      </c>
      <c r="K756" s="6">
        <f>IF(Benchmark2[[#This Row],[Comparable '#3 Date Check]]="Pass",INDEX(Comp3[Comparable '#3 Price],MATCH(Benchmark2[[#This Row],[Benchmark '#2 Dates]],Comp3[Comparable '#3 Dates],0)),"-")</f>
        <v>76.150000000000006</v>
      </c>
    </row>
    <row r="757" spans="1:11">
      <c r="A757" s="103">
        <v>44383</v>
      </c>
      <c r="B757" s="104">
        <v>16542.754199999999</v>
      </c>
      <c r="C757" s="4">
        <f t="shared" si="11"/>
        <v>-7.9531331251548477E-3</v>
      </c>
      <c r="D757" s="1" t="str">
        <f>IF(COUNTIF(Target1[Target Dates],Benchmark2[[#This Row],[Benchmark '#2 Dates]])=1,"Pass","Fail")</f>
        <v>Pass</v>
      </c>
      <c r="E757" s="6">
        <f>IF(Benchmark2[[#This Row],[Target Date Check]]="Pass",INDEX(Target1[Target Price],MATCH(Benchmark2[[#This Row],[Benchmark '#2 Dates]],Target1[Target Dates],0)),"-")</f>
        <v>28.63</v>
      </c>
      <c r="F757" s="1" t="str">
        <f>IF(COUNTIF(Comp1[Comparable '#1 Dates],Benchmark2[[#This Row],[Benchmark '#2 Dates]])=1,"Pass","Fail")</f>
        <v>Pass</v>
      </c>
      <c r="G757" s="6">
        <f>IF(Benchmark2[[#This Row],[Comparable '#1 Date Check]]="Pass",INDEX(Comp1[Comparable '#1 Price],MATCH(Benchmark2[[#This Row],[Benchmark '#2 Dates]],Comp1[Comparable '#1 Dates],0)),"-")</f>
        <v>14.86</v>
      </c>
      <c r="H757" s="1" t="str">
        <f>IF(COUNTIF(Comp2[Comparable '#2 Dates],Benchmark2[[#This Row],[Benchmark '#2 Dates]])=1,"Pass","Fail")</f>
        <v>Pass</v>
      </c>
      <c r="I757" s="6">
        <f>IF(Benchmark2[[#This Row],[Comparable '#2 Date Check]]="Pass",INDEX(Comp2[Comparable '#2 Price],MATCH(Benchmark2[[#This Row],[Benchmark '#2 Dates]],Comp2[Comparable '#2 Dates],0)),"-")</f>
        <v>38.61</v>
      </c>
      <c r="J757" s="1" t="str">
        <f>IF(COUNTIF(Comp3[Comparable '#3 Dates],Benchmark2[[#This Row],[Benchmark '#2 Dates]])=1,"Pass","Fail")</f>
        <v>Pass</v>
      </c>
      <c r="K757" s="6">
        <f>IF(Benchmark2[[#This Row],[Comparable '#3 Date Check]]="Pass",INDEX(Comp3[Comparable '#3 Price],MATCH(Benchmark2[[#This Row],[Benchmark '#2 Dates]],Comp3[Comparable '#3 Dates],0)),"-")</f>
        <v>75.98</v>
      </c>
    </row>
    <row r="758" spans="1:11">
      <c r="A758" s="103">
        <v>44384</v>
      </c>
      <c r="B758" s="104">
        <v>16559.310300000001</v>
      </c>
      <c r="C758" s="4">
        <f t="shared" si="11"/>
        <v>1.0003062727717931E-3</v>
      </c>
      <c r="D758" s="1" t="str">
        <f>IF(COUNTIF(Target1[Target Dates],Benchmark2[[#This Row],[Benchmark '#2 Dates]])=1,"Pass","Fail")</f>
        <v>Pass</v>
      </c>
      <c r="E758" s="6">
        <f>IF(Benchmark2[[#This Row],[Target Date Check]]="Pass",INDEX(Target1[Target Price],MATCH(Benchmark2[[#This Row],[Benchmark '#2 Dates]],Target1[Target Dates],0)),"-")</f>
        <v>29.52</v>
      </c>
      <c r="F758" s="1" t="str">
        <f>IF(COUNTIF(Comp1[Comparable '#1 Dates],Benchmark2[[#This Row],[Benchmark '#2 Dates]])=1,"Pass","Fail")</f>
        <v>Pass</v>
      </c>
      <c r="G758" s="6">
        <f>IF(Benchmark2[[#This Row],[Comparable '#1 Date Check]]="Pass",INDEX(Comp1[Comparable '#1 Price],MATCH(Benchmark2[[#This Row],[Benchmark '#2 Dates]],Comp1[Comparable '#1 Dates],0)),"-")</f>
        <v>14.87</v>
      </c>
      <c r="H758" s="1" t="str">
        <f>IF(COUNTIF(Comp2[Comparable '#2 Dates],Benchmark2[[#This Row],[Benchmark '#2 Dates]])=1,"Pass","Fail")</f>
        <v>Pass</v>
      </c>
      <c r="I758" s="6">
        <f>IF(Benchmark2[[#This Row],[Comparable '#2 Date Check]]="Pass",INDEX(Comp2[Comparable '#2 Price],MATCH(Benchmark2[[#This Row],[Benchmark '#2 Dates]],Comp2[Comparable '#2 Dates],0)),"-")</f>
        <v>37.630000000000003</v>
      </c>
      <c r="J758" s="1" t="str">
        <f>IF(COUNTIF(Comp3[Comparable '#3 Dates],Benchmark2[[#This Row],[Benchmark '#2 Dates]])=1,"Pass","Fail")</f>
        <v>Pass</v>
      </c>
      <c r="K758" s="6">
        <f>IF(Benchmark2[[#This Row],[Comparable '#3 Date Check]]="Pass",INDEX(Comp3[Comparable '#3 Price],MATCH(Benchmark2[[#This Row],[Benchmark '#2 Dates]],Comp3[Comparable '#3 Dates],0)),"-")</f>
        <v>74.19</v>
      </c>
    </row>
    <row r="759" spans="1:11">
      <c r="A759" s="103">
        <v>44385</v>
      </c>
      <c r="B759" s="104">
        <v>16359.6975</v>
      </c>
      <c r="C759" s="4">
        <f t="shared" si="11"/>
        <v>-1.2127658755458149E-2</v>
      </c>
      <c r="D759" s="1" t="str">
        <f>IF(COUNTIF(Target1[Target Dates],Benchmark2[[#This Row],[Benchmark '#2 Dates]])=1,"Pass","Fail")</f>
        <v>Pass</v>
      </c>
      <c r="E759" s="6">
        <f>IF(Benchmark2[[#This Row],[Target Date Check]]="Pass",INDEX(Target1[Target Price],MATCH(Benchmark2[[#This Row],[Benchmark '#2 Dates]],Target1[Target Dates],0)),"-")</f>
        <v>28.68</v>
      </c>
      <c r="F759" s="1" t="str">
        <f>IF(COUNTIF(Comp1[Comparable '#1 Dates],Benchmark2[[#This Row],[Benchmark '#2 Dates]])=1,"Pass","Fail")</f>
        <v>Pass</v>
      </c>
      <c r="G759" s="6">
        <f>IF(Benchmark2[[#This Row],[Comparable '#1 Date Check]]="Pass",INDEX(Comp1[Comparable '#1 Price],MATCH(Benchmark2[[#This Row],[Benchmark '#2 Dates]],Comp1[Comparable '#1 Dates],0)),"-")</f>
        <v>14.49</v>
      </c>
      <c r="H759" s="1" t="str">
        <f>IF(COUNTIF(Comp2[Comparable '#2 Dates],Benchmark2[[#This Row],[Benchmark '#2 Dates]])=1,"Pass","Fail")</f>
        <v>Pass</v>
      </c>
      <c r="I759" s="6">
        <f>IF(Benchmark2[[#This Row],[Comparable '#2 Date Check]]="Pass",INDEX(Comp2[Comparable '#2 Price],MATCH(Benchmark2[[#This Row],[Benchmark '#2 Dates]],Comp2[Comparable '#2 Dates],0)),"-")</f>
        <v>36.94</v>
      </c>
      <c r="J759" s="1" t="str">
        <f>IF(COUNTIF(Comp3[Comparable '#3 Dates],Benchmark2[[#This Row],[Benchmark '#2 Dates]])=1,"Pass","Fail")</f>
        <v>Pass</v>
      </c>
      <c r="K759" s="6">
        <f>IF(Benchmark2[[#This Row],[Comparable '#3 Date Check]]="Pass",INDEX(Comp3[Comparable '#3 Price],MATCH(Benchmark2[[#This Row],[Benchmark '#2 Dates]],Comp3[Comparable '#3 Dates],0)),"-")</f>
        <v>71.61</v>
      </c>
    </row>
    <row r="760" spans="1:11">
      <c r="A760" s="103">
        <v>44386</v>
      </c>
      <c r="B760" s="104">
        <v>16633.299299999999</v>
      </c>
      <c r="C760" s="4">
        <f t="shared" si="11"/>
        <v>1.6585827211479661E-2</v>
      </c>
      <c r="D760" s="1" t="str">
        <f>IF(COUNTIF(Target1[Target Dates],Benchmark2[[#This Row],[Benchmark '#2 Dates]])=1,"Pass","Fail")</f>
        <v>Pass</v>
      </c>
      <c r="E760" s="6">
        <f>IF(Benchmark2[[#This Row],[Target Date Check]]="Pass",INDEX(Target1[Target Price],MATCH(Benchmark2[[#This Row],[Benchmark '#2 Dates]],Target1[Target Dates],0)),"-")</f>
        <v>29.86</v>
      </c>
      <c r="F760" s="1" t="str">
        <f>IF(COUNTIF(Comp1[Comparable '#1 Dates],Benchmark2[[#This Row],[Benchmark '#2 Dates]])=1,"Pass","Fail")</f>
        <v>Pass</v>
      </c>
      <c r="G760" s="6">
        <f>IF(Benchmark2[[#This Row],[Comparable '#1 Date Check]]="Pass",INDEX(Comp1[Comparable '#1 Price],MATCH(Benchmark2[[#This Row],[Benchmark '#2 Dates]],Comp1[Comparable '#1 Dates],0)),"-")</f>
        <v>14.62</v>
      </c>
      <c r="H760" s="1" t="str">
        <f>IF(COUNTIF(Comp2[Comparable '#2 Dates],Benchmark2[[#This Row],[Benchmark '#2 Dates]])=1,"Pass","Fail")</f>
        <v>Pass</v>
      </c>
      <c r="I760" s="6">
        <f>IF(Benchmark2[[#This Row],[Comparable '#2 Date Check]]="Pass",INDEX(Comp2[Comparable '#2 Price],MATCH(Benchmark2[[#This Row],[Benchmark '#2 Dates]],Comp2[Comparable '#2 Dates],0)),"-")</f>
        <v>37.49</v>
      </c>
      <c r="J760" s="1" t="str">
        <f>IF(COUNTIF(Comp3[Comparable '#3 Dates],Benchmark2[[#This Row],[Benchmark '#2 Dates]])=1,"Pass","Fail")</f>
        <v>Pass</v>
      </c>
      <c r="K760" s="6">
        <f>IF(Benchmark2[[#This Row],[Comparable '#3 Date Check]]="Pass",INDEX(Comp3[Comparable '#3 Price],MATCH(Benchmark2[[#This Row],[Benchmark '#2 Dates]],Comp3[Comparable '#3 Dates],0)),"-")</f>
        <v>72.959999999999994</v>
      </c>
    </row>
    <row r="761" spans="1:11">
      <c r="A761" s="103">
        <v>44389</v>
      </c>
      <c r="B761" s="104">
        <v>16673.144100000001</v>
      </c>
      <c r="C761" s="4">
        <f t="shared" si="11"/>
        <v>2.3926192616562487E-3</v>
      </c>
      <c r="D761" s="1" t="str">
        <f>IF(COUNTIF(Target1[Target Dates],Benchmark2[[#This Row],[Benchmark '#2 Dates]])=1,"Pass","Fail")</f>
        <v>Pass</v>
      </c>
      <c r="E761" s="6">
        <f>IF(Benchmark2[[#This Row],[Target Date Check]]="Pass",INDEX(Target1[Target Price],MATCH(Benchmark2[[#This Row],[Benchmark '#2 Dates]],Target1[Target Dates],0)),"-")</f>
        <v>30.86</v>
      </c>
      <c r="F761" s="1" t="str">
        <f>IF(COUNTIF(Comp1[Comparable '#1 Dates],Benchmark2[[#This Row],[Benchmark '#2 Dates]])=1,"Pass","Fail")</f>
        <v>Pass</v>
      </c>
      <c r="G761" s="6">
        <f>IF(Benchmark2[[#This Row],[Comparable '#1 Date Check]]="Pass",INDEX(Comp1[Comparable '#1 Price],MATCH(Benchmark2[[#This Row],[Benchmark '#2 Dates]],Comp1[Comparable '#1 Dates],0)),"-")</f>
        <v>14.75</v>
      </c>
      <c r="H761" s="1" t="str">
        <f>IF(COUNTIF(Comp2[Comparable '#2 Dates],Benchmark2[[#This Row],[Benchmark '#2 Dates]])=1,"Pass","Fail")</f>
        <v>Pass</v>
      </c>
      <c r="I761" s="6">
        <f>IF(Benchmark2[[#This Row],[Comparable '#2 Date Check]]="Pass",INDEX(Comp2[Comparable '#2 Price],MATCH(Benchmark2[[#This Row],[Benchmark '#2 Dates]],Comp2[Comparable '#2 Dates],0)),"-")</f>
        <v>37.93</v>
      </c>
      <c r="J761" s="1" t="str">
        <f>IF(COUNTIF(Comp3[Comparable '#3 Dates],Benchmark2[[#This Row],[Benchmark '#2 Dates]])=1,"Pass","Fail")</f>
        <v>Pass</v>
      </c>
      <c r="K761" s="6">
        <f>IF(Benchmark2[[#This Row],[Comparable '#3 Date Check]]="Pass",INDEX(Comp3[Comparable '#3 Price],MATCH(Benchmark2[[#This Row],[Benchmark '#2 Dates]],Comp3[Comparable '#3 Dates],0)),"-")</f>
        <v>72.94</v>
      </c>
    </row>
    <row r="762" spans="1:11">
      <c r="A762" s="103">
        <v>44390</v>
      </c>
      <c r="B762" s="104">
        <v>16575.7726</v>
      </c>
      <c r="C762" s="4">
        <f t="shared" si="11"/>
        <v>-5.857139903114145E-3</v>
      </c>
      <c r="D762" s="1" t="str">
        <f>IF(COUNTIF(Target1[Target Dates],Benchmark2[[#This Row],[Benchmark '#2 Dates]])=1,"Pass","Fail")</f>
        <v>Pass</v>
      </c>
      <c r="E762" s="6">
        <f>IF(Benchmark2[[#This Row],[Target Date Check]]="Pass",INDEX(Target1[Target Price],MATCH(Benchmark2[[#This Row],[Benchmark '#2 Dates]],Target1[Target Dates],0)),"-")</f>
        <v>31.54</v>
      </c>
      <c r="F762" s="1" t="str">
        <f>IF(COUNTIF(Comp1[Comparable '#1 Dates],Benchmark2[[#This Row],[Benchmark '#2 Dates]])=1,"Pass","Fail")</f>
        <v>Pass</v>
      </c>
      <c r="G762" s="6">
        <f>IF(Benchmark2[[#This Row],[Comparable '#1 Date Check]]="Pass",INDEX(Comp1[Comparable '#1 Price],MATCH(Benchmark2[[#This Row],[Benchmark '#2 Dates]],Comp1[Comparable '#1 Dates],0)),"-")</f>
        <v>14.62</v>
      </c>
      <c r="H762" s="1" t="str">
        <f>IF(COUNTIF(Comp2[Comparable '#2 Dates],Benchmark2[[#This Row],[Benchmark '#2 Dates]])=1,"Pass","Fail")</f>
        <v>Pass</v>
      </c>
      <c r="I762" s="6">
        <f>IF(Benchmark2[[#This Row],[Comparable '#2 Date Check]]="Pass",INDEX(Comp2[Comparable '#2 Price],MATCH(Benchmark2[[#This Row],[Benchmark '#2 Dates]],Comp2[Comparable '#2 Dates],0)),"-")</f>
        <v>37.56</v>
      </c>
      <c r="J762" s="1" t="str">
        <f>IF(COUNTIF(Comp3[Comparable '#3 Dates],Benchmark2[[#This Row],[Benchmark '#2 Dates]])=1,"Pass","Fail")</f>
        <v>Pass</v>
      </c>
      <c r="K762" s="6">
        <f>IF(Benchmark2[[#This Row],[Comparable '#3 Date Check]]="Pass",INDEX(Comp3[Comparable '#3 Price],MATCH(Benchmark2[[#This Row],[Benchmark '#2 Dates]],Comp3[Comparable '#3 Dates],0)),"-")</f>
        <v>72.09</v>
      </c>
    </row>
    <row r="763" spans="1:11">
      <c r="A763" s="103">
        <v>44391</v>
      </c>
      <c r="B763" s="104">
        <v>16543.777699999999</v>
      </c>
      <c r="C763" s="4">
        <f t="shared" si="11"/>
        <v>-1.9320860134362458E-3</v>
      </c>
      <c r="D763" s="1" t="str">
        <f>IF(COUNTIF(Target1[Target Dates],Benchmark2[[#This Row],[Benchmark '#2 Dates]])=1,"Pass","Fail")</f>
        <v>Pass</v>
      </c>
      <c r="E763" s="6">
        <f>IF(Benchmark2[[#This Row],[Target Date Check]]="Pass",INDEX(Target1[Target Price],MATCH(Benchmark2[[#This Row],[Benchmark '#2 Dates]],Target1[Target Dates],0)),"-")</f>
        <v>30.92</v>
      </c>
      <c r="F763" s="1" t="str">
        <f>IF(COUNTIF(Comp1[Comparable '#1 Dates],Benchmark2[[#This Row],[Benchmark '#2 Dates]])=1,"Pass","Fail")</f>
        <v>Pass</v>
      </c>
      <c r="G763" s="6">
        <f>IF(Benchmark2[[#This Row],[Comparable '#1 Date Check]]="Pass",INDEX(Comp1[Comparable '#1 Price],MATCH(Benchmark2[[#This Row],[Benchmark '#2 Dates]],Comp1[Comparable '#1 Dates],0)),"-")</f>
        <v>14.59</v>
      </c>
      <c r="H763" s="1" t="str">
        <f>IF(COUNTIF(Comp2[Comparable '#2 Dates],Benchmark2[[#This Row],[Benchmark '#2 Dates]])=1,"Pass","Fail")</f>
        <v>Pass</v>
      </c>
      <c r="I763" s="6">
        <f>IF(Benchmark2[[#This Row],[Comparable '#2 Date Check]]="Pass",INDEX(Comp2[Comparable '#2 Price],MATCH(Benchmark2[[#This Row],[Benchmark '#2 Dates]],Comp2[Comparable '#2 Dates],0)),"-")</f>
        <v>36.65</v>
      </c>
      <c r="J763" s="1" t="str">
        <f>IF(COUNTIF(Comp3[Comparable '#3 Dates],Benchmark2[[#This Row],[Benchmark '#2 Dates]])=1,"Pass","Fail")</f>
        <v>Pass</v>
      </c>
      <c r="K763" s="6">
        <f>IF(Benchmark2[[#This Row],[Comparable '#3 Date Check]]="Pass",INDEX(Comp3[Comparable '#3 Price],MATCH(Benchmark2[[#This Row],[Benchmark '#2 Dates]],Comp3[Comparable '#3 Dates],0)),"-")</f>
        <v>72.06</v>
      </c>
    </row>
    <row r="764" spans="1:11">
      <c r="A764" s="103">
        <v>44392</v>
      </c>
      <c r="B764" s="104">
        <v>16499.055899999999</v>
      </c>
      <c r="C764" s="4">
        <f t="shared" si="11"/>
        <v>-2.7069002524972669E-3</v>
      </c>
      <c r="D764" s="1" t="str">
        <f>IF(COUNTIF(Target1[Target Dates],Benchmark2[[#This Row],[Benchmark '#2 Dates]])=1,"Pass","Fail")</f>
        <v>Pass</v>
      </c>
      <c r="E764" s="6">
        <f>IF(Benchmark2[[#This Row],[Target Date Check]]="Pass",INDEX(Target1[Target Price],MATCH(Benchmark2[[#This Row],[Benchmark '#2 Dates]],Target1[Target Dates],0)),"-")</f>
        <v>31.14</v>
      </c>
      <c r="F764" s="1" t="str">
        <f>IF(COUNTIF(Comp1[Comparable '#1 Dates],Benchmark2[[#This Row],[Benchmark '#2 Dates]])=1,"Pass","Fail")</f>
        <v>Pass</v>
      </c>
      <c r="G764" s="6">
        <f>IF(Benchmark2[[#This Row],[Comparable '#1 Date Check]]="Pass",INDEX(Comp1[Comparable '#1 Price],MATCH(Benchmark2[[#This Row],[Benchmark '#2 Dates]],Comp1[Comparable '#1 Dates],0)),"-")</f>
        <v>14.57</v>
      </c>
      <c r="H764" s="1" t="str">
        <f>IF(COUNTIF(Comp2[Comparable '#2 Dates],Benchmark2[[#This Row],[Benchmark '#2 Dates]])=1,"Pass","Fail")</f>
        <v>Pass</v>
      </c>
      <c r="I764" s="6">
        <f>IF(Benchmark2[[#This Row],[Comparable '#2 Date Check]]="Pass",INDEX(Comp2[Comparable '#2 Price],MATCH(Benchmark2[[#This Row],[Benchmark '#2 Dates]],Comp2[Comparable '#2 Dates],0)),"-")</f>
        <v>35.83</v>
      </c>
      <c r="J764" s="1" t="str">
        <f>IF(COUNTIF(Comp3[Comparable '#3 Dates],Benchmark2[[#This Row],[Benchmark '#2 Dates]])=1,"Pass","Fail")</f>
        <v>Pass</v>
      </c>
      <c r="K764" s="6">
        <f>IF(Benchmark2[[#This Row],[Comparable '#3 Date Check]]="Pass",INDEX(Comp3[Comparable '#3 Price],MATCH(Benchmark2[[#This Row],[Benchmark '#2 Dates]],Comp3[Comparable '#3 Dates],0)),"-")</f>
        <v>71.25</v>
      </c>
    </row>
    <row r="765" spans="1:11">
      <c r="A765" s="103">
        <v>44393</v>
      </c>
      <c r="B765" s="104">
        <v>16364.662399999999</v>
      </c>
      <c r="C765" s="4">
        <f t="shared" si="11"/>
        <v>-8.1788827393342086E-3</v>
      </c>
      <c r="D765" s="1" t="str">
        <f>IF(COUNTIF(Target1[Target Dates],Benchmark2[[#This Row],[Benchmark '#2 Dates]])=1,"Pass","Fail")</f>
        <v>Pass</v>
      </c>
      <c r="E765" s="6">
        <f>IF(Benchmark2[[#This Row],[Target Date Check]]="Pass",INDEX(Target1[Target Price],MATCH(Benchmark2[[#This Row],[Benchmark '#2 Dates]],Target1[Target Dates],0)),"-")</f>
        <v>31.63</v>
      </c>
      <c r="F765" s="1" t="str">
        <f>IF(COUNTIF(Comp1[Comparable '#1 Dates],Benchmark2[[#This Row],[Benchmark '#2 Dates]])=1,"Pass","Fail")</f>
        <v>Pass</v>
      </c>
      <c r="G765" s="6">
        <f>IF(Benchmark2[[#This Row],[Comparable '#1 Date Check]]="Pass",INDEX(Comp1[Comparable '#1 Price],MATCH(Benchmark2[[#This Row],[Benchmark '#2 Dates]],Comp1[Comparable '#1 Dates],0)),"-")</f>
        <v>14.48</v>
      </c>
      <c r="H765" s="1" t="str">
        <f>IF(COUNTIF(Comp2[Comparable '#2 Dates],Benchmark2[[#This Row],[Benchmark '#2 Dates]])=1,"Pass","Fail")</f>
        <v>Pass</v>
      </c>
      <c r="I765" s="6">
        <f>IF(Benchmark2[[#This Row],[Comparable '#2 Date Check]]="Pass",INDEX(Comp2[Comparable '#2 Price],MATCH(Benchmark2[[#This Row],[Benchmark '#2 Dates]],Comp2[Comparable '#2 Dates],0)),"-")</f>
        <v>35.24</v>
      </c>
      <c r="J765" s="1" t="str">
        <f>IF(COUNTIF(Comp3[Comparable '#3 Dates],Benchmark2[[#This Row],[Benchmark '#2 Dates]])=1,"Pass","Fail")</f>
        <v>Pass</v>
      </c>
      <c r="K765" s="6">
        <f>IF(Benchmark2[[#This Row],[Comparable '#3 Date Check]]="Pass",INDEX(Comp3[Comparable '#3 Price],MATCH(Benchmark2[[#This Row],[Benchmark '#2 Dates]],Comp3[Comparable '#3 Dates],0)),"-")</f>
        <v>70.69</v>
      </c>
    </row>
    <row r="766" spans="1:11">
      <c r="A766" s="103">
        <v>44396</v>
      </c>
      <c r="B766" s="104">
        <v>16052.714900000001</v>
      </c>
      <c r="C766" s="4">
        <f t="shared" si="11"/>
        <v>-1.924629042905596E-2</v>
      </c>
      <c r="D766" s="1" t="str">
        <f>IF(COUNTIF(Target1[Target Dates],Benchmark2[[#This Row],[Benchmark '#2 Dates]])=1,"Pass","Fail")</f>
        <v>Pass</v>
      </c>
      <c r="E766" s="6">
        <f>IF(Benchmark2[[#This Row],[Target Date Check]]="Pass",INDEX(Target1[Target Price],MATCH(Benchmark2[[#This Row],[Benchmark '#2 Dates]],Target1[Target Dates],0)),"-")</f>
        <v>33.549999999999997</v>
      </c>
      <c r="F766" s="1" t="str">
        <f>IF(COUNTIF(Comp1[Comparable '#1 Dates],Benchmark2[[#This Row],[Benchmark '#2 Dates]])=1,"Pass","Fail")</f>
        <v>Pass</v>
      </c>
      <c r="G766" s="6">
        <f>IF(Benchmark2[[#This Row],[Comparable '#1 Date Check]]="Pass",INDEX(Comp1[Comparable '#1 Price],MATCH(Benchmark2[[#This Row],[Benchmark '#2 Dates]],Comp1[Comparable '#1 Dates],0)),"-")</f>
        <v>14.5</v>
      </c>
      <c r="H766" s="1" t="str">
        <f>IF(COUNTIF(Comp2[Comparable '#2 Dates],Benchmark2[[#This Row],[Benchmark '#2 Dates]])=1,"Pass","Fail")</f>
        <v>Pass</v>
      </c>
      <c r="I766" s="6">
        <f>IF(Benchmark2[[#This Row],[Comparable '#2 Date Check]]="Pass",INDEX(Comp2[Comparable '#2 Price],MATCH(Benchmark2[[#This Row],[Benchmark '#2 Dates]],Comp2[Comparable '#2 Dates],0)),"-")</f>
        <v>35.01</v>
      </c>
      <c r="J766" s="1" t="str">
        <f>IF(COUNTIF(Comp3[Comparable '#3 Dates],Benchmark2[[#This Row],[Benchmark '#2 Dates]])=1,"Pass","Fail")</f>
        <v>Pass</v>
      </c>
      <c r="K766" s="6">
        <f>IF(Benchmark2[[#This Row],[Comparable '#3 Date Check]]="Pass",INDEX(Comp3[Comparable '#3 Price],MATCH(Benchmark2[[#This Row],[Benchmark '#2 Dates]],Comp3[Comparable '#3 Dates],0)),"-")</f>
        <v>70.72</v>
      </c>
    </row>
    <row r="767" spans="1:11">
      <c r="A767" s="103">
        <v>44397</v>
      </c>
      <c r="B767" s="104">
        <v>16321.9375</v>
      </c>
      <c r="C767" s="4">
        <f t="shared" si="11"/>
        <v>1.6632073932816193E-2</v>
      </c>
      <c r="D767" s="1" t="str">
        <f>IF(COUNTIF(Target1[Target Dates],Benchmark2[[#This Row],[Benchmark '#2 Dates]])=1,"Pass","Fail")</f>
        <v>Pass</v>
      </c>
      <c r="E767" s="6">
        <f>IF(Benchmark2[[#This Row],[Target Date Check]]="Pass",INDEX(Target1[Target Price],MATCH(Benchmark2[[#This Row],[Benchmark '#2 Dates]],Target1[Target Dates],0)),"-")</f>
        <v>32</v>
      </c>
      <c r="F767" s="1" t="str">
        <f>IF(COUNTIF(Comp1[Comparable '#1 Dates],Benchmark2[[#This Row],[Benchmark '#2 Dates]])=1,"Pass","Fail")</f>
        <v>Pass</v>
      </c>
      <c r="G767" s="6">
        <f>IF(Benchmark2[[#This Row],[Comparable '#1 Date Check]]="Pass",INDEX(Comp1[Comparable '#1 Price],MATCH(Benchmark2[[#This Row],[Benchmark '#2 Dates]],Comp1[Comparable '#1 Dates],0)),"-")</f>
        <v>14.75</v>
      </c>
      <c r="H767" s="1" t="str">
        <f>IF(COUNTIF(Comp2[Comparable '#2 Dates],Benchmark2[[#This Row],[Benchmark '#2 Dates]])=1,"Pass","Fail")</f>
        <v>Pass</v>
      </c>
      <c r="I767" s="6">
        <f>IF(Benchmark2[[#This Row],[Comparable '#2 Date Check]]="Pass",INDEX(Comp2[Comparable '#2 Price],MATCH(Benchmark2[[#This Row],[Benchmark '#2 Dates]],Comp2[Comparable '#2 Dates],0)),"-")</f>
        <v>36.03</v>
      </c>
      <c r="J767" s="1" t="str">
        <f>IF(COUNTIF(Comp3[Comparable '#3 Dates],Benchmark2[[#This Row],[Benchmark '#2 Dates]])=1,"Pass","Fail")</f>
        <v>Pass</v>
      </c>
      <c r="K767" s="6">
        <f>IF(Benchmark2[[#This Row],[Comparable '#3 Date Check]]="Pass",INDEX(Comp3[Comparable '#3 Price],MATCH(Benchmark2[[#This Row],[Benchmark '#2 Dates]],Comp3[Comparable '#3 Dates],0)),"-")</f>
        <v>71.349999999999994</v>
      </c>
    </row>
    <row r="768" spans="1:11">
      <c r="A768" s="103">
        <v>44398</v>
      </c>
      <c r="B768" s="104">
        <v>16503.467100000002</v>
      </c>
      <c r="C768" s="4">
        <f t="shared" si="11"/>
        <v>1.106042425349878E-2</v>
      </c>
      <c r="D768" s="1" t="str">
        <f>IF(COUNTIF(Target1[Target Dates],Benchmark2[[#This Row],[Benchmark '#2 Dates]])=1,"Pass","Fail")</f>
        <v>Pass</v>
      </c>
      <c r="E768" s="6">
        <f>IF(Benchmark2[[#This Row],[Target Date Check]]="Pass",INDEX(Target1[Target Price],MATCH(Benchmark2[[#This Row],[Benchmark '#2 Dates]],Target1[Target Dates],0)),"-")</f>
        <v>32.18</v>
      </c>
      <c r="F768" s="1" t="str">
        <f>IF(COUNTIF(Comp1[Comparable '#1 Dates],Benchmark2[[#This Row],[Benchmark '#2 Dates]])=1,"Pass","Fail")</f>
        <v>Pass</v>
      </c>
      <c r="G768" s="6">
        <f>IF(Benchmark2[[#This Row],[Comparable '#1 Date Check]]="Pass",INDEX(Comp1[Comparable '#1 Price],MATCH(Benchmark2[[#This Row],[Benchmark '#2 Dates]],Comp1[Comparable '#1 Dates],0)),"-")</f>
        <v>14.67</v>
      </c>
      <c r="H768" s="1" t="str">
        <f>IF(COUNTIF(Comp2[Comparable '#2 Dates],Benchmark2[[#This Row],[Benchmark '#2 Dates]])=1,"Pass","Fail")</f>
        <v>Pass</v>
      </c>
      <c r="I768" s="6">
        <f>IF(Benchmark2[[#This Row],[Comparable '#2 Date Check]]="Pass",INDEX(Comp2[Comparable '#2 Price],MATCH(Benchmark2[[#This Row],[Benchmark '#2 Dates]],Comp2[Comparable '#2 Dates],0)),"-")</f>
        <v>36.4</v>
      </c>
      <c r="J768" s="1" t="str">
        <f>IF(COUNTIF(Comp3[Comparable '#3 Dates],Benchmark2[[#This Row],[Benchmark '#2 Dates]])=1,"Pass","Fail")</f>
        <v>Pass</v>
      </c>
      <c r="K768" s="6">
        <f>IF(Benchmark2[[#This Row],[Comparable '#3 Date Check]]="Pass",INDEX(Comp3[Comparable '#3 Price],MATCH(Benchmark2[[#This Row],[Benchmark '#2 Dates]],Comp3[Comparable '#3 Dates],0)),"-")</f>
        <v>71.36</v>
      </c>
    </row>
    <row r="769" spans="1:11">
      <c r="A769" s="103">
        <v>44399</v>
      </c>
      <c r="B769" s="104">
        <v>16455.916300000001</v>
      </c>
      <c r="C769" s="4">
        <f t="shared" si="11"/>
        <v>-2.8854200586127957E-3</v>
      </c>
      <c r="D769" s="1" t="str">
        <f>IF(COUNTIF(Target1[Target Dates],Benchmark2[[#This Row],[Benchmark '#2 Dates]])=1,"Pass","Fail")</f>
        <v>Pass</v>
      </c>
      <c r="E769" s="6">
        <f>IF(Benchmark2[[#This Row],[Target Date Check]]="Pass",INDEX(Target1[Target Price],MATCH(Benchmark2[[#This Row],[Benchmark '#2 Dates]],Target1[Target Dates],0)),"-")</f>
        <v>31.32</v>
      </c>
      <c r="F769" s="1" t="str">
        <f>IF(COUNTIF(Comp1[Comparable '#1 Dates],Benchmark2[[#This Row],[Benchmark '#2 Dates]])=1,"Pass","Fail")</f>
        <v>Pass</v>
      </c>
      <c r="G769" s="6">
        <f>IF(Benchmark2[[#This Row],[Comparable '#1 Date Check]]="Pass",INDEX(Comp1[Comparable '#1 Price],MATCH(Benchmark2[[#This Row],[Benchmark '#2 Dates]],Comp1[Comparable '#1 Dates],0)),"-")</f>
        <v>14.46</v>
      </c>
      <c r="H769" s="1" t="str">
        <f>IF(COUNTIF(Comp2[Comparable '#2 Dates],Benchmark2[[#This Row],[Benchmark '#2 Dates]])=1,"Pass","Fail")</f>
        <v>Pass</v>
      </c>
      <c r="I769" s="6">
        <f>IF(Benchmark2[[#This Row],[Comparable '#2 Date Check]]="Pass",INDEX(Comp2[Comparable '#2 Price],MATCH(Benchmark2[[#This Row],[Benchmark '#2 Dates]],Comp2[Comparable '#2 Dates],0)),"-")</f>
        <v>35.07</v>
      </c>
      <c r="J769" s="1" t="str">
        <f>IF(COUNTIF(Comp3[Comparable '#3 Dates],Benchmark2[[#This Row],[Benchmark '#2 Dates]])=1,"Pass","Fail")</f>
        <v>Pass</v>
      </c>
      <c r="K769" s="6">
        <f>IF(Benchmark2[[#This Row],[Comparable '#3 Date Check]]="Pass",INDEX(Comp3[Comparable '#3 Price],MATCH(Benchmark2[[#This Row],[Benchmark '#2 Dates]],Comp3[Comparable '#3 Dates],0)),"-")</f>
        <v>70.91</v>
      </c>
    </row>
    <row r="770" spans="1:11">
      <c r="A770" s="103">
        <v>44400</v>
      </c>
      <c r="B770" s="104">
        <v>16552.378400000001</v>
      </c>
      <c r="C770" s="4">
        <f t="shared" ref="C770:C833" si="12">IFERROR(IF(B770="",NA(),LN(B770/B769)),"-")</f>
        <v>5.8447354205656945E-3</v>
      </c>
      <c r="D770" s="1" t="str">
        <f>IF(COUNTIF(Target1[Target Dates],Benchmark2[[#This Row],[Benchmark '#2 Dates]])=1,"Pass","Fail")</f>
        <v>Pass</v>
      </c>
      <c r="E770" s="6">
        <f>IF(Benchmark2[[#This Row],[Target Date Check]]="Pass",INDEX(Target1[Target Price],MATCH(Benchmark2[[#This Row],[Benchmark '#2 Dates]],Target1[Target Dates],0)),"-")</f>
        <v>30.98</v>
      </c>
      <c r="F770" s="1" t="str">
        <f>IF(COUNTIF(Comp1[Comparable '#1 Dates],Benchmark2[[#This Row],[Benchmark '#2 Dates]])=1,"Pass","Fail")</f>
        <v>Pass</v>
      </c>
      <c r="G770" s="6">
        <f>IF(Benchmark2[[#This Row],[Comparable '#1 Date Check]]="Pass",INDEX(Comp1[Comparable '#1 Price],MATCH(Benchmark2[[#This Row],[Benchmark '#2 Dates]],Comp1[Comparable '#1 Dates],0)),"-")</f>
        <v>14.53</v>
      </c>
      <c r="H770" s="1" t="str">
        <f>IF(COUNTIF(Comp2[Comparable '#2 Dates],Benchmark2[[#This Row],[Benchmark '#2 Dates]])=1,"Pass","Fail")</f>
        <v>Pass</v>
      </c>
      <c r="I770" s="6">
        <f>IF(Benchmark2[[#This Row],[Comparable '#2 Date Check]]="Pass",INDEX(Comp2[Comparable '#2 Price],MATCH(Benchmark2[[#This Row],[Benchmark '#2 Dates]],Comp2[Comparable '#2 Dates],0)),"-")</f>
        <v>35.520000000000003</v>
      </c>
      <c r="J770" s="1" t="str">
        <f>IF(COUNTIF(Comp3[Comparable '#3 Dates],Benchmark2[[#This Row],[Benchmark '#2 Dates]])=1,"Pass","Fail")</f>
        <v>Pass</v>
      </c>
      <c r="K770" s="6">
        <f>IF(Benchmark2[[#This Row],[Comparable '#3 Date Check]]="Pass",INDEX(Comp3[Comparable '#3 Price],MATCH(Benchmark2[[#This Row],[Benchmark '#2 Dates]],Comp3[Comparable '#3 Dates],0)),"-")</f>
        <v>70.81</v>
      </c>
    </row>
    <row r="771" spans="1:11">
      <c r="A771" s="103">
        <v>44403</v>
      </c>
      <c r="B771" s="104">
        <v>16565.312099999999</v>
      </c>
      <c r="C771" s="4">
        <f t="shared" si="12"/>
        <v>7.8107503647010482E-4</v>
      </c>
      <c r="D771" s="1" t="str">
        <f>IF(COUNTIF(Target1[Target Dates],Benchmark2[[#This Row],[Benchmark '#2 Dates]])=1,"Pass","Fail")</f>
        <v>Pass</v>
      </c>
      <c r="E771" s="6">
        <f>IF(Benchmark2[[#This Row],[Target Date Check]]="Pass",INDEX(Target1[Target Price],MATCH(Benchmark2[[#This Row],[Benchmark '#2 Dates]],Target1[Target Dates],0)),"-")</f>
        <v>30.28</v>
      </c>
      <c r="F771" s="1" t="str">
        <f>IF(COUNTIF(Comp1[Comparable '#1 Dates],Benchmark2[[#This Row],[Benchmark '#2 Dates]])=1,"Pass","Fail")</f>
        <v>Pass</v>
      </c>
      <c r="G771" s="6">
        <f>IF(Benchmark2[[#This Row],[Comparable '#1 Date Check]]="Pass",INDEX(Comp1[Comparable '#1 Price],MATCH(Benchmark2[[#This Row],[Benchmark '#2 Dates]],Comp1[Comparable '#1 Dates],0)),"-")</f>
        <v>14.49</v>
      </c>
      <c r="H771" s="1" t="str">
        <f>IF(COUNTIF(Comp2[Comparable '#2 Dates],Benchmark2[[#This Row],[Benchmark '#2 Dates]])=1,"Pass","Fail")</f>
        <v>Pass</v>
      </c>
      <c r="I771" s="6">
        <f>IF(Benchmark2[[#This Row],[Comparable '#2 Date Check]]="Pass",INDEX(Comp2[Comparable '#2 Price],MATCH(Benchmark2[[#This Row],[Benchmark '#2 Dates]],Comp2[Comparable '#2 Dates],0)),"-")</f>
        <v>35.369999999999997</v>
      </c>
      <c r="J771" s="1" t="str">
        <f>IF(COUNTIF(Comp3[Comparable '#3 Dates],Benchmark2[[#This Row],[Benchmark '#2 Dates]])=1,"Pass","Fail")</f>
        <v>Pass</v>
      </c>
      <c r="K771" s="6">
        <f>IF(Benchmark2[[#This Row],[Comparable '#3 Date Check]]="Pass",INDEX(Comp3[Comparable '#3 Price],MATCH(Benchmark2[[#This Row],[Benchmark '#2 Dates]],Comp3[Comparable '#3 Dates],0)),"-")</f>
        <v>70.86</v>
      </c>
    </row>
    <row r="772" spans="1:11">
      <c r="A772" s="103">
        <v>44404</v>
      </c>
      <c r="B772" s="104">
        <v>16520.962899999999</v>
      </c>
      <c r="C772" s="4">
        <f t="shared" si="12"/>
        <v>-2.6808231848874627E-3</v>
      </c>
      <c r="D772" s="1" t="str">
        <f>IF(COUNTIF(Target1[Target Dates],Benchmark2[[#This Row],[Benchmark '#2 Dates]])=1,"Pass","Fail")</f>
        <v>Pass</v>
      </c>
      <c r="E772" s="6">
        <f>IF(Benchmark2[[#This Row],[Target Date Check]]="Pass",INDEX(Target1[Target Price],MATCH(Benchmark2[[#This Row],[Benchmark '#2 Dates]],Target1[Target Dates],0)),"-")</f>
        <v>29.28</v>
      </c>
      <c r="F772" s="1" t="str">
        <f>IF(COUNTIF(Comp1[Comparable '#1 Dates],Benchmark2[[#This Row],[Benchmark '#2 Dates]])=1,"Pass","Fail")</f>
        <v>Pass</v>
      </c>
      <c r="G772" s="6">
        <f>IF(Benchmark2[[#This Row],[Comparable '#1 Date Check]]="Pass",INDEX(Comp1[Comparable '#1 Price],MATCH(Benchmark2[[#This Row],[Benchmark '#2 Dates]],Comp1[Comparable '#1 Dates],0)),"-")</f>
        <v>14.44</v>
      </c>
      <c r="H772" s="1" t="str">
        <f>IF(COUNTIF(Comp2[Comparable '#2 Dates],Benchmark2[[#This Row],[Benchmark '#2 Dates]])=1,"Pass","Fail")</f>
        <v>Pass</v>
      </c>
      <c r="I772" s="6">
        <f>IF(Benchmark2[[#This Row],[Comparable '#2 Date Check]]="Pass",INDEX(Comp2[Comparable '#2 Price],MATCH(Benchmark2[[#This Row],[Benchmark '#2 Dates]],Comp2[Comparable '#2 Dates],0)),"-")</f>
        <v>35.22</v>
      </c>
      <c r="J772" s="1" t="str">
        <f>IF(COUNTIF(Comp3[Comparable '#3 Dates],Benchmark2[[#This Row],[Benchmark '#2 Dates]])=1,"Pass","Fail")</f>
        <v>Pass</v>
      </c>
      <c r="K772" s="6">
        <f>IF(Benchmark2[[#This Row],[Comparable '#3 Date Check]]="Pass",INDEX(Comp3[Comparable '#3 Price],MATCH(Benchmark2[[#This Row],[Benchmark '#2 Dates]],Comp3[Comparable '#3 Dates],0)),"-")</f>
        <v>72.27</v>
      </c>
    </row>
    <row r="773" spans="1:11">
      <c r="A773" s="103">
        <v>44405</v>
      </c>
      <c r="B773" s="104">
        <v>16573.5602</v>
      </c>
      <c r="C773" s="4">
        <f t="shared" si="12"/>
        <v>3.1786132180336023E-3</v>
      </c>
      <c r="D773" s="1" t="str">
        <f>IF(COUNTIF(Target1[Target Dates],Benchmark2[[#This Row],[Benchmark '#2 Dates]])=1,"Pass","Fail")</f>
        <v>Pass</v>
      </c>
      <c r="E773" s="6">
        <f>IF(Benchmark2[[#This Row],[Target Date Check]]="Pass",INDEX(Target1[Target Price],MATCH(Benchmark2[[#This Row],[Benchmark '#2 Dates]],Target1[Target Dates],0)),"-")</f>
        <v>30.17</v>
      </c>
      <c r="F773" s="1" t="str">
        <f>IF(COUNTIF(Comp1[Comparable '#1 Dates],Benchmark2[[#This Row],[Benchmark '#2 Dates]])=1,"Pass","Fail")</f>
        <v>Pass</v>
      </c>
      <c r="G773" s="6">
        <f>IF(Benchmark2[[#This Row],[Comparable '#1 Date Check]]="Pass",INDEX(Comp1[Comparable '#1 Price],MATCH(Benchmark2[[#This Row],[Benchmark '#2 Dates]],Comp1[Comparable '#1 Dates],0)),"-")</f>
        <v>14.74</v>
      </c>
      <c r="H773" s="1" t="str">
        <f>IF(COUNTIF(Comp2[Comparable '#2 Dates],Benchmark2[[#This Row],[Benchmark '#2 Dates]])=1,"Pass","Fail")</f>
        <v>Pass</v>
      </c>
      <c r="I773" s="6">
        <f>IF(Benchmark2[[#This Row],[Comparable '#2 Date Check]]="Pass",INDEX(Comp2[Comparable '#2 Price],MATCH(Benchmark2[[#This Row],[Benchmark '#2 Dates]],Comp2[Comparable '#2 Dates],0)),"-")</f>
        <v>36.479999999999997</v>
      </c>
      <c r="J773" s="1" t="str">
        <f>IF(COUNTIF(Comp3[Comparable '#3 Dates],Benchmark2[[#This Row],[Benchmark '#2 Dates]])=1,"Pass","Fail")</f>
        <v>Pass</v>
      </c>
      <c r="K773" s="6">
        <f>IF(Benchmark2[[#This Row],[Comparable '#3 Date Check]]="Pass",INDEX(Comp3[Comparable '#3 Price],MATCH(Benchmark2[[#This Row],[Benchmark '#2 Dates]],Comp3[Comparable '#3 Dates],0)),"-")</f>
        <v>78.03</v>
      </c>
    </row>
    <row r="774" spans="1:11">
      <c r="A774" s="103">
        <v>44406</v>
      </c>
      <c r="B774" s="104">
        <v>16697.136600000002</v>
      </c>
      <c r="C774" s="4">
        <f t="shared" si="12"/>
        <v>7.4285771065459635E-3</v>
      </c>
      <c r="D774" s="1" t="str">
        <f>IF(COUNTIF(Target1[Target Dates],Benchmark2[[#This Row],[Benchmark '#2 Dates]])=1,"Pass","Fail")</f>
        <v>Pass</v>
      </c>
      <c r="E774" s="6">
        <f>IF(Benchmark2[[#This Row],[Target Date Check]]="Pass",INDEX(Target1[Target Price],MATCH(Benchmark2[[#This Row],[Benchmark '#2 Dates]],Target1[Target Dates],0)),"-")</f>
        <v>30.55</v>
      </c>
      <c r="F774" s="1" t="str">
        <f>IF(COUNTIF(Comp1[Comparable '#1 Dates],Benchmark2[[#This Row],[Benchmark '#2 Dates]])=1,"Pass","Fail")</f>
        <v>Pass</v>
      </c>
      <c r="G774" s="6">
        <f>IF(Benchmark2[[#This Row],[Comparable '#1 Date Check]]="Pass",INDEX(Comp1[Comparable '#1 Price],MATCH(Benchmark2[[#This Row],[Benchmark '#2 Dates]],Comp1[Comparable '#1 Dates],0)),"-")</f>
        <v>15.02</v>
      </c>
      <c r="H774" s="1" t="str">
        <f>IF(COUNTIF(Comp2[Comparable '#2 Dates],Benchmark2[[#This Row],[Benchmark '#2 Dates]])=1,"Pass","Fail")</f>
        <v>Pass</v>
      </c>
      <c r="I774" s="6">
        <f>IF(Benchmark2[[#This Row],[Comparable '#2 Date Check]]="Pass",INDEX(Comp2[Comparable '#2 Price],MATCH(Benchmark2[[#This Row],[Benchmark '#2 Dates]],Comp2[Comparable '#2 Dates],0)),"-")</f>
        <v>36.369999999999997</v>
      </c>
      <c r="J774" s="1" t="str">
        <f>IF(COUNTIF(Comp3[Comparable '#3 Dates],Benchmark2[[#This Row],[Benchmark '#2 Dates]])=1,"Pass","Fail")</f>
        <v>Pass</v>
      </c>
      <c r="K774" s="6">
        <f>IF(Benchmark2[[#This Row],[Comparable '#3 Date Check]]="Pass",INDEX(Comp3[Comparable '#3 Price],MATCH(Benchmark2[[#This Row],[Benchmark '#2 Dates]],Comp3[Comparable '#3 Dates],0)),"-")</f>
        <v>80.31</v>
      </c>
    </row>
    <row r="775" spans="1:11">
      <c r="A775" s="103">
        <v>44407</v>
      </c>
      <c r="B775" s="104">
        <v>16602.288</v>
      </c>
      <c r="C775" s="4">
        <f t="shared" si="12"/>
        <v>-5.6967264537997409E-3</v>
      </c>
      <c r="D775" s="1" t="str">
        <f>IF(COUNTIF(Target1[Target Dates],Benchmark2[[#This Row],[Benchmark '#2 Dates]])=1,"Pass","Fail")</f>
        <v>Pass</v>
      </c>
      <c r="E775" s="6">
        <f>IF(Benchmark2[[#This Row],[Target Date Check]]="Pass",INDEX(Target1[Target Price],MATCH(Benchmark2[[#This Row],[Benchmark '#2 Dates]],Target1[Target Dates],0)),"-")</f>
        <v>30.66</v>
      </c>
      <c r="F775" s="1" t="str">
        <f>IF(COUNTIF(Comp1[Comparable '#1 Dates],Benchmark2[[#This Row],[Benchmark '#2 Dates]])=1,"Pass","Fail")</f>
        <v>Pass</v>
      </c>
      <c r="G775" s="6">
        <f>IF(Benchmark2[[#This Row],[Comparable '#1 Date Check]]="Pass",INDEX(Comp1[Comparable '#1 Price],MATCH(Benchmark2[[#This Row],[Benchmark '#2 Dates]],Comp1[Comparable '#1 Dates],0)),"-")</f>
        <v>14.81</v>
      </c>
      <c r="H775" s="1" t="str">
        <f>IF(COUNTIF(Comp2[Comparable '#2 Dates],Benchmark2[[#This Row],[Benchmark '#2 Dates]])=1,"Pass","Fail")</f>
        <v>Pass</v>
      </c>
      <c r="I775" s="6">
        <f>IF(Benchmark2[[#This Row],[Comparable '#2 Date Check]]="Pass",INDEX(Comp2[Comparable '#2 Price],MATCH(Benchmark2[[#This Row],[Benchmark '#2 Dates]],Comp2[Comparable '#2 Dates],0)),"-")</f>
        <v>36.340000000000003</v>
      </c>
      <c r="J775" s="1" t="str">
        <f>IF(COUNTIF(Comp3[Comparable '#3 Dates],Benchmark2[[#This Row],[Benchmark '#2 Dates]])=1,"Pass","Fail")</f>
        <v>Pass</v>
      </c>
      <c r="K775" s="6">
        <f>IF(Benchmark2[[#This Row],[Comparable '#3 Date Check]]="Pass",INDEX(Comp3[Comparable '#3 Price],MATCH(Benchmark2[[#This Row],[Benchmark '#2 Dates]],Comp3[Comparable '#3 Dates],0)),"-")</f>
        <v>79.290000000000006</v>
      </c>
    </row>
    <row r="776" spans="1:11">
      <c r="A776" s="103">
        <v>44410</v>
      </c>
      <c r="B776" s="104">
        <v>16576.205999999998</v>
      </c>
      <c r="C776" s="4">
        <f t="shared" si="12"/>
        <v>-1.5722235839063961E-3</v>
      </c>
      <c r="D776" s="1" t="str">
        <f>IF(COUNTIF(Target1[Target Dates],Benchmark2[[#This Row],[Benchmark '#2 Dates]])=1,"Pass","Fail")</f>
        <v>Pass</v>
      </c>
      <c r="E776" s="6">
        <f>IF(Benchmark2[[#This Row],[Target Date Check]]="Pass",INDEX(Target1[Target Price],MATCH(Benchmark2[[#This Row],[Benchmark '#2 Dates]],Target1[Target Dates],0)),"-")</f>
        <v>30.71</v>
      </c>
      <c r="F776" s="1" t="str">
        <f>IF(COUNTIF(Comp1[Comparable '#1 Dates],Benchmark2[[#This Row],[Benchmark '#2 Dates]])=1,"Pass","Fail")</f>
        <v>Pass</v>
      </c>
      <c r="G776" s="6">
        <f>IF(Benchmark2[[#This Row],[Comparable '#1 Date Check]]="Pass",INDEX(Comp1[Comparable '#1 Price],MATCH(Benchmark2[[#This Row],[Benchmark '#2 Dates]],Comp1[Comparable '#1 Dates],0)),"-")</f>
        <v>14.9</v>
      </c>
      <c r="H776" s="1" t="str">
        <f>IF(COUNTIF(Comp2[Comparable '#2 Dates],Benchmark2[[#This Row],[Benchmark '#2 Dates]])=1,"Pass","Fail")</f>
        <v>Pass</v>
      </c>
      <c r="I776" s="6">
        <f>IF(Benchmark2[[#This Row],[Comparable '#2 Date Check]]="Pass",INDEX(Comp2[Comparable '#2 Price],MATCH(Benchmark2[[#This Row],[Benchmark '#2 Dates]],Comp2[Comparable '#2 Dates],0)),"-")</f>
        <v>36.64</v>
      </c>
      <c r="J776" s="1" t="str">
        <f>IF(COUNTIF(Comp3[Comparable '#3 Dates],Benchmark2[[#This Row],[Benchmark '#2 Dates]])=1,"Pass","Fail")</f>
        <v>Pass</v>
      </c>
      <c r="K776" s="6">
        <f>IF(Benchmark2[[#This Row],[Comparable '#3 Date Check]]="Pass",INDEX(Comp3[Comparable '#3 Price],MATCH(Benchmark2[[#This Row],[Benchmark '#2 Dates]],Comp3[Comparable '#3 Dates],0)),"-")</f>
        <v>78.959999999999994</v>
      </c>
    </row>
    <row r="777" spans="1:11">
      <c r="A777" s="103">
        <v>44411</v>
      </c>
      <c r="B777" s="104">
        <v>16713.462500000001</v>
      </c>
      <c r="C777" s="4">
        <f t="shared" si="12"/>
        <v>8.2462387867364619E-3</v>
      </c>
      <c r="D777" s="1" t="str">
        <f>IF(COUNTIF(Target1[Target Dates],Benchmark2[[#This Row],[Benchmark '#2 Dates]])=1,"Pass","Fail")</f>
        <v>Pass</v>
      </c>
      <c r="E777" s="6">
        <f>IF(Benchmark2[[#This Row],[Target Date Check]]="Pass",INDEX(Target1[Target Price],MATCH(Benchmark2[[#This Row],[Benchmark '#2 Dates]],Target1[Target Dates],0)),"-")</f>
        <v>31.26</v>
      </c>
      <c r="F777" s="1" t="str">
        <f>IF(COUNTIF(Comp1[Comparable '#1 Dates],Benchmark2[[#This Row],[Benchmark '#2 Dates]])=1,"Pass","Fail")</f>
        <v>Pass</v>
      </c>
      <c r="G777" s="6">
        <f>IF(Benchmark2[[#This Row],[Comparable '#1 Date Check]]="Pass",INDEX(Comp1[Comparable '#1 Price],MATCH(Benchmark2[[#This Row],[Benchmark '#2 Dates]],Comp1[Comparable '#1 Dates],0)),"-")</f>
        <v>15.13</v>
      </c>
      <c r="H777" s="1" t="str">
        <f>IF(COUNTIF(Comp2[Comparable '#2 Dates],Benchmark2[[#This Row],[Benchmark '#2 Dates]])=1,"Pass","Fail")</f>
        <v>Pass</v>
      </c>
      <c r="I777" s="6">
        <f>IF(Benchmark2[[#This Row],[Comparable '#2 Date Check]]="Pass",INDEX(Comp2[Comparable '#2 Price],MATCH(Benchmark2[[#This Row],[Benchmark '#2 Dates]],Comp2[Comparable '#2 Dates],0)),"-")</f>
        <v>37.56</v>
      </c>
      <c r="J777" s="1" t="str">
        <f>IF(COUNTIF(Comp3[Comparable '#3 Dates],Benchmark2[[#This Row],[Benchmark '#2 Dates]])=1,"Pass","Fail")</f>
        <v>Pass</v>
      </c>
      <c r="K777" s="6">
        <f>IF(Benchmark2[[#This Row],[Comparable '#3 Date Check]]="Pass",INDEX(Comp3[Comparable '#3 Price],MATCH(Benchmark2[[#This Row],[Benchmark '#2 Dates]],Comp3[Comparable '#3 Dates],0)),"-")</f>
        <v>79</v>
      </c>
    </row>
    <row r="778" spans="1:11">
      <c r="A778" s="103">
        <v>44412</v>
      </c>
      <c r="B778" s="104">
        <v>16594.479800000001</v>
      </c>
      <c r="C778" s="4">
        <f t="shared" si="12"/>
        <v>-7.1444345033495893E-3</v>
      </c>
      <c r="D778" s="1" t="str">
        <f>IF(COUNTIF(Target1[Target Dates],Benchmark2[[#This Row],[Benchmark '#2 Dates]])=1,"Pass","Fail")</f>
        <v>Pass</v>
      </c>
      <c r="E778" s="6">
        <f>IF(Benchmark2[[#This Row],[Target Date Check]]="Pass",INDEX(Target1[Target Price],MATCH(Benchmark2[[#This Row],[Benchmark '#2 Dates]],Target1[Target Dates],0)),"-")</f>
        <v>30.27</v>
      </c>
      <c r="F778" s="1" t="str">
        <f>IF(COUNTIF(Comp1[Comparable '#1 Dates],Benchmark2[[#This Row],[Benchmark '#2 Dates]])=1,"Pass","Fail")</f>
        <v>Pass</v>
      </c>
      <c r="G778" s="6">
        <f>IF(Benchmark2[[#This Row],[Comparable '#1 Date Check]]="Pass",INDEX(Comp1[Comparable '#1 Price],MATCH(Benchmark2[[#This Row],[Benchmark '#2 Dates]],Comp1[Comparable '#1 Dates],0)),"-")</f>
        <v>15</v>
      </c>
      <c r="H778" s="1" t="str">
        <f>IF(COUNTIF(Comp2[Comparable '#2 Dates],Benchmark2[[#This Row],[Benchmark '#2 Dates]])=1,"Pass","Fail")</f>
        <v>Pass</v>
      </c>
      <c r="I778" s="6">
        <f>IF(Benchmark2[[#This Row],[Comparable '#2 Date Check]]="Pass",INDEX(Comp2[Comparable '#2 Price],MATCH(Benchmark2[[#This Row],[Benchmark '#2 Dates]],Comp2[Comparable '#2 Dates],0)),"-")</f>
        <v>36.979999999999997</v>
      </c>
      <c r="J778" s="1" t="str">
        <f>IF(COUNTIF(Comp3[Comparable '#3 Dates],Benchmark2[[#This Row],[Benchmark '#2 Dates]])=1,"Pass","Fail")</f>
        <v>Pass</v>
      </c>
      <c r="K778" s="6">
        <f>IF(Benchmark2[[#This Row],[Comparable '#3 Date Check]]="Pass",INDEX(Comp3[Comparable '#3 Price],MATCH(Benchmark2[[#This Row],[Benchmark '#2 Dates]],Comp3[Comparable '#3 Dates],0)),"-")</f>
        <v>78.489999999999995</v>
      </c>
    </row>
    <row r="779" spans="1:11">
      <c r="A779" s="103">
        <v>44413</v>
      </c>
      <c r="B779" s="104">
        <v>16695.503000000001</v>
      </c>
      <c r="C779" s="4">
        <f t="shared" si="12"/>
        <v>6.0693038334124509E-3</v>
      </c>
      <c r="D779" s="1" t="str">
        <f>IF(COUNTIF(Target1[Target Dates],Benchmark2[[#This Row],[Benchmark '#2 Dates]])=1,"Pass","Fail")</f>
        <v>Pass</v>
      </c>
      <c r="E779" s="6">
        <f>IF(Benchmark2[[#This Row],[Target Date Check]]="Pass",INDEX(Target1[Target Price],MATCH(Benchmark2[[#This Row],[Benchmark '#2 Dates]],Target1[Target Dates],0)),"-")</f>
        <v>30.42</v>
      </c>
      <c r="F779" s="1" t="str">
        <f>IF(COUNTIF(Comp1[Comparable '#1 Dates],Benchmark2[[#This Row],[Benchmark '#2 Dates]])=1,"Pass","Fail")</f>
        <v>Pass</v>
      </c>
      <c r="G779" s="6">
        <f>IF(Benchmark2[[#This Row],[Comparable '#1 Date Check]]="Pass",INDEX(Comp1[Comparable '#1 Price],MATCH(Benchmark2[[#This Row],[Benchmark '#2 Dates]],Comp1[Comparable '#1 Dates],0)),"-")</f>
        <v>15.45</v>
      </c>
      <c r="H779" s="1" t="str">
        <f>IF(COUNTIF(Comp2[Comparable '#2 Dates],Benchmark2[[#This Row],[Benchmark '#2 Dates]])=1,"Pass","Fail")</f>
        <v>Pass</v>
      </c>
      <c r="I779" s="6">
        <f>IF(Benchmark2[[#This Row],[Comparable '#2 Date Check]]="Pass",INDEX(Comp2[Comparable '#2 Price],MATCH(Benchmark2[[#This Row],[Benchmark '#2 Dates]],Comp2[Comparable '#2 Dates],0)),"-")</f>
        <v>37.33</v>
      </c>
      <c r="J779" s="1" t="str">
        <f>IF(COUNTIF(Comp3[Comparable '#3 Dates],Benchmark2[[#This Row],[Benchmark '#2 Dates]])=1,"Pass","Fail")</f>
        <v>Pass</v>
      </c>
      <c r="K779" s="6">
        <f>IF(Benchmark2[[#This Row],[Comparable '#3 Date Check]]="Pass",INDEX(Comp3[Comparable '#3 Price],MATCH(Benchmark2[[#This Row],[Benchmark '#2 Dates]],Comp3[Comparable '#3 Dates],0)),"-")</f>
        <v>78.97</v>
      </c>
    </row>
    <row r="780" spans="1:11">
      <c r="A780" s="103">
        <v>44414</v>
      </c>
      <c r="B780" s="104">
        <v>16748.078600000001</v>
      </c>
      <c r="C780" s="4">
        <f t="shared" si="12"/>
        <v>3.14413952074014E-3</v>
      </c>
      <c r="D780" s="1" t="str">
        <f>IF(COUNTIF(Target1[Target Dates],Benchmark2[[#This Row],[Benchmark '#2 Dates]])=1,"Pass","Fail")</f>
        <v>Pass</v>
      </c>
      <c r="E780" s="6">
        <f>IF(Benchmark2[[#This Row],[Target Date Check]]="Pass",INDEX(Target1[Target Price],MATCH(Benchmark2[[#This Row],[Benchmark '#2 Dates]],Target1[Target Dates],0)),"-")</f>
        <v>30.03</v>
      </c>
      <c r="F780" s="1" t="str">
        <f>IF(COUNTIF(Comp1[Comparable '#1 Dates],Benchmark2[[#This Row],[Benchmark '#2 Dates]])=1,"Pass","Fail")</f>
        <v>Pass</v>
      </c>
      <c r="G780" s="6">
        <f>IF(Benchmark2[[#This Row],[Comparable '#1 Date Check]]="Pass",INDEX(Comp1[Comparable '#1 Price],MATCH(Benchmark2[[#This Row],[Benchmark '#2 Dates]],Comp1[Comparable '#1 Dates],0)),"-")</f>
        <v>15.62</v>
      </c>
      <c r="H780" s="1" t="str">
        <f>IF(COUNTIF(Comp2[Comparable '#2 Dates],Benchmark2[[#This Row],[Benchmark '#2 Dates]])=1,"Pass","Fail")</f>
        <v>Pass</v>
      </c>
      <c r="I780" s="6">
        <f>IF(Benchmark2[[#This Row],[Comparable '#2 Date Check]]="Pass",INDEX(Comp2[Comparable '#2 Price],MATCH(Benchmark2[[#This Row],[Benchmark '#2 Dates]],Comp2[Comparable '#2 Dates],0)),"-")</f>
        <v>36.69</v>
      </c>
      <c r="J780" s="1" t="str">
        <f>IF(COUNTIF(Comp3[Comparable '#3 Dates],Benchmark2[[#This Row],[Benchmark '#2 Dates]])=1,"Pass","Fail")</f>
        <v>Pass</v>
      </c>
      <c r="K780" s="6">
        <f>IF(Benchmark2[[#This Row],[Comparable '#3 Date Check]]="Pass",INDEX(Comp3[Comparable '#3 Price],MATCH(Benchmark2[[#This Row],[Benchmark '#2 Dates]],Comp3[Comparable '#3 Dates],0)),"-")</f>
        <v>76.14</v>
      </c>
    </row>
    <row r="781" spans="1:11">
      <c r="A781" s="103">
        <v>44417</v>
      </c>
      <c r="B781" s="104">
        <v>16726.949000000001</v>
      </c>
      <c r="C781" s="4">
        <f t="shared" si="12"/>
        <v>-1.2624098810989756E-3</v>
      </c>
      <c r="D781" s="1" t="str">
        <f>IF(COUNTIF(Target1[Target Dates],Benchmark2[[#This Row],[Benchmark '#2 Dates]])=1,"Pass","Fail")</f>
        <v>Pass</v>
      </c>
      <c r="E781" s="6">
        <f>IF(Benchmark2[[#This Row],[Target Date Check]]="Pass",INDEX(Target1[Target Price],MATCH(Benchmark2[[#This Row],[Benchmark '#2 Dates]],Target1[Target Dates],0)),"-")</f>
        <v>30.75</v>
      </c>
      <c r="F781" s="1" t="str">
        <f>IF(COUNTIF(Comp1[Comparable '#1 Dates],Benchmark2[[#This Row],[Benchmark '#2 Dates]])=1,"Pass","Fail")</f>
        <v>Pass</v>
      </c>
      <c r="G781" s="6">
        <f>IF(Benchmark2[[#This Row],[Comparable '#1 Date Check]]="Pass",INDEX(Comp1[Comparable '#1 Price],MATCH(Benchmark2[[#This Row],[Benchmark '#2 Dates]],Comp1[Comparable '#1 Dates],0)),"-")</f>
        <v>15.36</v>
      </c>
      <c r="H781" s="1" t="str">
        <f>IF(COUNTIF(Comp2[Comparable '#2 Dates],Benchmark2[[#This Row],[Benchmark '#2 Dates]])=1,"Pass","Fail")</f>
        <v>Pass</v>
      </c>
      <c r="I781" s="6">
        <f>IF(Benchmark2[[#This Row],[Comparable '#2 Date Check]]="Pass",INDEX(Comp2[Comparable '#2 Price],MATCH(Benchmark2[[#This Row],[Benchmark '#2 Dates]],Comp2[Comparable '#2 Dates],0)),"-")</f>
        <v>36.35</v>
      </c>
      <c r="J781" s="1" t="str">
        <f>IF(COUNTIF(Comp3[Comparable '#3 Dates],Benchmark2[[#This Row],[Benchmark '#2 Dates]])=1,"Pass","Fail")</f>
        <v>Pass</v>
      </c>
      <c r="K781" s="6">
        <f>IF(Benchmark2[[#This Row],[Comparable '#3 Date Check]]="Pass",INDEX(Comp3[Comparable '#3 Price],MATCH(Benchmark2[[#This Row],[Benchmark '#2 Dates]],Comp3[Comparable '#3 Dates],0)),"-")</f>
        <v>76.239999999999995</v>
      </c>
    </row>
    <row r="782" spans="1:11">
      <c r="A782" s="103">
        <v>44418</v>
      </c>
      <c r="B782" s="104">
        <v>16792.777900000001</v>
      </c>
      <c r="C782" s="4">
        <f t="shared" si="12"/>
        <v>3.9277757141172069E-3</v>
      </c>
      <c r="D782" s="1" t="str">
        <f>IF(COUNTIF(Target1[Target Dates],Benchmark2[[#This Row],[Benchmark '#2 Dates]])=1,"Pass","Fail")</f>
        <v>Pass</v>
      </c>
      <c r="E782" s="6">
        <f>IF(Benchmark2[[#This Row],[Target Date Check]]="Pass",INDEX(Target1[Target Price],MATCH(Benchmark2[[#This Row],[Benchmark '#2 Dates]],Target1[Target Dates],0)),"-")</f>
        <v>30.7</v>
      </c>
      <c r="F782" s="1" t="str">
        <f>IF(COUNTIF(Comp1[Comparable '#1 Dates],Benchmark2[[#This Row],[Benchmark '#2 Dates]])=1,"Pass","Fail")</f>
        <v>Pass</v>
      </c>
      <c r="G782" s="6">
        <f>IF(Benchmark2[[#This Row],[Comparable '#1 Date Check]]="Pass",INDEX(Comp1[Comparable '#1 Price],MATCH(Benchmark2[[#This Row],[Benchmark '#2 Dates]],Comp1[Comparable '#1 Dates],0)),"-")</f>
        <v>15.32</v>
      </c>
      <c r="H782" s="1" t="str">
        <f>IF(COUNTIF(Comp2[Comparable '#2 Dates],Benchmark2[[#This Row],[Benchmark '#2 Dates]])=1,"Pass","Fail")</f>
        <v>Pass</v>
      </c>
      <c r="I782" s="6">
        <f>IF(Benchmark2[[#This Row],[Comparable '#2 Date Check]]="Pass",INDEX(Comp2[Comparable '#2 Price],MATCH(Benchmark2[[#This Row],[Benchmark '#2 Dates]],Comp2[Comparable '#2 Dates],0)),"-")</f>
        <v>36.43</v>
      </c>
      <c r="J782" s="1" t="str">
        <f>IF(COUNTIF(Comp3[Comparable '#3 Dates],Benchmark2[[#This Row],[Benchmark '#2 Dates]])=1,"Pass","Fail")</f>
        <v>Pass</v>
      </c>
      <c r="K782" s="6">
        <f>IF(Benchmark2[[#This Row],[Comparable '#3 Date Check]]="Pass",INDEX(Comp3[Comparable '#3 Price],MATCH(Benchmark2[[#This Row],[Benchmark '#2 Dates]],Comp3[Comparable '#3 Dates],0)),"-")</f>
        <v>75.17</v>
      </c>
    </row>
    <row r="783" spans="1:11">
      <c r="A783" s="103">
        <v>44419</v>
      </c>
      <c r="B783" s="104">
        <v>16875.389899999998</v>
      </c>
      <c r="C783" s="4">
        <f t="shared" si="12"/>
        <v>4.9074346002719038E-3</v>
      </c>
      <c r="D783" s="1" t="str">
        <f>IF(COUNTIF(Target1[Target Dates],Benchmark2[[#This Row],[Benchmark '#2 Dates]])=1,"Pass","Fail")</f>
        <v>Pass</v>
      </c>
      <c r="E783" s="6">
        <f>IF(Benchmark2[[#This Row],[Target Date Check]]="Pass",INDEX(Target1[Target Price],MATCH(Benchmark2[[#This Row],[Benchmark '#2 Dates]],Target1[Target Dates],0)),"-")</f>
        <v>33.090000000000003</v>
      </c>
      <c r="F783" s="1" t="str">
        <f>IF(COUNTIF(Comp1[Comparable '#1 Dates],Benchmark2[[#This Row],[Benchmark '#2 Dates]])=1,"Pass","Fail")</f>
        <v>Pass</v>
      </c>
      <c r="G783" s="6">
        <f>IF(Benchmark2[[#This Row],[Comparable '#1 Date Check]]="Pass",INDEX(Comp1[Comparable '#1 Price],MATCH(Benchmark2[[#This Row],[Benchmark '#2 Dates]],Comp1[Comparable '#1 Dates],0)),"-")</f>
        <v>15.37</v>
      </c>
      <c r="H783" s="1" t="str">
        <f>IF(COUNTIF(Comp2[Comparable '#2 Dates],Benchmark2[[#This Row],[Benchmark '#2 Dates]])=1,"Pass","Fail")</f>
        <v>Pass</v>
      </c>
      <c r="I783" s="6">
        <f>IF(Benchmark2[[#This Row],[Comparable '#2 Date Check]]="Pass",INDEX(Comp2[Comparable '#2 Price],MATCH(Benchmark2[[#This Row],[Benchmark '#2 Dates]],Comp2[Comparable '#2 Dates],0)),"-")</f>
        <v>37.19</v>
      </c>
      <c r="J783" s="1" t="str">
        <f>IF(COUNTIF(Comp3[Comparable '#3 Dates],Benchmark2[[#This Row],[Benchmark '#2 Dates]])=1,"Pass","Fail")</f>
        <v>Pass</v>
      </c>
      <c r="K783" s="6">
        <f>IF(Benchmark2[[#This Row],[Comparable '#3 Date Check]]="Pass",INDEX(Comp3[Comparable '#3 Price],MATCH(Benchmark2[[#This Row],[Benchmark '#2 Dates]],Comp3[Comparable '#3 Dates],0)),"-")</f>
        <v>75.52</v>
      </c>
    </row>
    <row r="784" spans="1:11">
      <c r="A784" s="103">
        <v>44420</v>
      </c>
      <c r="B784" s="104">
        <v>16871.1158</v>
      </c>
      <c r="C784" s="4">
        <f t="shared" si="12"/>
        <v>-2.5330622736759694E-4</v>
      </c>
      <c r="D784" s="1" t="str">
        <f>IF(COUNTIF(Target1[Target Dates],Benchmark2[[#This Row],[Benchmark '#2 Dates]])=1,"Pass","Fail")</f>
        <v>Pass</v>
      </c>
      <c r="E784" s="6">
        <f>IF(Benchmark2[[#This Row],[Target Date Check]]="Pass",INDEX(Target1[Target Price],MATCH(Benchmark2[[#This Row],[Benchmark '#2 Dates]],Target1[Target Dates],0)),"-")</f>
        <v>33.39</v>
      </c>
      <c r="F784" s="1" t="str">
        <f>IF(COUNTIF(Comp1[Comparable '#1 Dates],Benchmark2[[#This Row],[Benchmark '#2 Dates]])=1,"Pass","Fail")</f>
        <v>Pass</v>
      </c>
      <c r="G784" s="6">
        <f>IF(Benchmark2[[#This Row],[Comparable '#1 Date Check]]="Pass",INDEX(Comp1[Comparable '#1 Price],MATCH(Benchmark2[[#This Row],[Benchmark '#2 Dates]],Comp1[Comparable '#1 Dates],0)),"-")</f>
        <v>15.65</v>
      </c>
      <c r="H784" s="1" t="str">
        <f>IF(COUNTIF(Comp2[Comparable '#2 Dates],Benchmark2[[#This Row],[Benchmark '#2 Dates]])=1,"Pass","Fail")</f>
        <v>Pass</v>
      </c>
      <c r="I784" s="6">
        <f>IF(Benchmark2[[#This Row],[Comparable '#2 Date Check]]="Pass",INDEX(Comp2[Comparable '#2 Price],MATCH(Benchmark2[[#This Row],[Benchmark '#2 Dates]],Comp2[Comparable '#2 Dates],0)),"-")</f>
        <v>37.57</v>
      </c>
      <c r="J784" s="1" t="str">
        <f>IF(COUNTIF(Comp3[Comparable '#3 Dates],Benchmark2[[#This Row],[Benchmark '#2 Dates]])=1,"Pass","Fail")</f>
        <v>Pass</v>
      </c>
      <c r="K784" s="6">
        <f>IF(Benchmark2[[#This Row],[Comparable '#3 Date Check]]="Pass",INDEX(Comp3[Comparable '#3 Price],MATCH(Benchmark2[[#This Row],[Benchmark '#2 Dates]],Comp3[Comparable '#3 Dates],0)),"-")</f>
        <v>75.38</v>
      </c>
    </row>
    <row r="785" spans="1:11">
      <c r="A785" s="103">
        <v>44421</v>
      </c>
      <c r="B785" s="104">
        <v>16868.111799999999</v>
      </c>
      <c r="C785" s="4">
        <f t="shared" si="12"/>
        <v>-1.7807165259106536E-4</v>
      </c>
      <c r="D785" s="1" t="str">
        <f>IF(COUNTIF(Target1[Target Dates],Benchmark2[[#This Row],[Benchmark '#2 Dates]])=1,"Pass","Fail")</f>
        <v>Pass</v>
      </c>
      <c r="E785" s="6">
        <f>IF(Benchmark2[[#This Row],[Target Date Check]]="Pass",INDEX(Target1[Target Price],MATCH(Benchmark2[[#This Row],[Benchmark '#2 Dates]],Target1[Target Dates],0)),"-")</f>
        <v>35.619999999999997</v>
      </c>
      <c r="F785" s="1" t="str">
        <f>IF(COUNTIF(Comp1[Comparable '#1 Dates],Benchmark2[[#This Row],[Benchmark '#2 Dates]])=1,"Pass","Fail")</f>
        <v>Pass</v>
      </c>
      <c r="G785" s="6">
        <f>IF(Benchmark2[[#This Row],[Comparable '#1 Date Check]]="Pass",INDEX(Comp1[Comparable '#1 Price],MATCH(Benchmark2[[#This Row],[Benchmark '#2 Dates]],Comp1[Comparable '#1 Dates],0)),"-")</f>
        <v>16.100000000000001</v>
      </c>
      <c r="H785" s="1" t="str">
        <f>IF(COUNTIF(Comp2[Comparable '#2 Dates],Benchmark2[[#This Row],[Benchmark '#2 Dates]])=1,"Pass","Fail")</f>
        <v>Pass</v>
      </c>
      <c r="I785" s="6">
        <f>IF(Benchmark2[[#This Row],[Comparable '#2 Date Check]]="Pass",INDEX(Comp2[Comparable '#2 Price],MATCH(Benchmark2[[#This Row],[Benchmark '#2 Dates]],Comp2[Comparable '#2 Dates],0)),"-")</f>
        <v>37.74</v>
      </c>
      <c r="J785" s="1" t="str">
        <f>IF(COUNTIF(Comp3[Comparable '#3 Dates],Benchmark2[[#This Row],[Benchmark '#2 Dates]])=1,"Pass","Fail")</f>
        <v>Pass</v>
      </c>
      <c r="K785" s="6">
        <f>IF(Benchmark2[[#This Row],[Comparable '#3 Date Check]]="Pass",INDEX(Comp3[Comparable '#3 Price],MATCH(Benchmark2[[#This Row],[Benchmark '#2 Dates]],Comp3[Comparable '#3 Dates],0)),"-")</f>
        <v>76.260000000000005</v>
      </c>
    </row>
    <row r="786" spans="1:11">
      <c r="A786" s="103">
        <v>44424</v>
      </c>
      <c r="B786" s="104">
        <v>16836.7428</v>
      </c>
      <c r="C786" s="4">
        <f t="shared" si="12"/>
        <v>-1.8613941184153924E-3</v>
      </c>
      <c r="D786" s="1" t="str">
        <f>IF(COUNTIF(Target1[Target Dates],Benchmark2[[#This Row],[Benchmark '#2 Dates]])=1,"Pass","Fail")</f>
        <v>Pass</v>
      </c>
      <c r="E786" s="6">
        <f>IF(Benchmark2[[#This Row],[Target Date Check]]="Pass",INDEX(Target1[Target Price],MATCH(Benchmark2[[#This Row],[Benchmark '#2 Dates]],Target1[Target Dates],0)),"-")</f>
        <v>35.06</v>
      </c>
      <c r="F786" s="1" t="str">
        <f>IF(COUNTIF(Comp1[Comparable '#1 Dates],Benchmark2[[#This Row],[Benchmark '#2 Dates]])=1,"Pass","Fail")</f>
        <v>Pass</v>
      </c>
      <c r="G786" s="6">
        <f>IF(Benchmark2[[#This Row],[Comparable '#1 Date Check]]="Pass",INDEX(Comp1[Comparable '#1 Price],MATCH(Benchmark2[[#This Row],[Benchmark '#2 Dates]],Comp1[Comparable '#1 Dates],0)),"-")</f>
        <v>15.96</v>
      </c>
      <c r="H786" s="1" t="str">
        <f>IF(COUNTIF(Comp2[Comparable '#2 Dates],Benchmark2[[#This Row],[Benchmark '#2 Dates]])=1,"Pass","Fail")</f>
        <v>Pass</v>
      </c>
      <c r="I786" s="6">
        <f>IF(Benchmark2[[#This Row],[Comparable '#2 Date Check]]="Pass",INDEX(Comp2[Comparable '#2 Price],MATCH(Benchmark2[[#This Row],[Benchmark '#2 Dates]],Comp2[Comparable '#2 Dates],0)),"-")</f>
        <v>36.79</v>
      </c>
      <c r="J786" s="1" t="str">
        <f>IF(COUNTIF(Comp3[Comparable '#3 Dates],Benchmark2[[#This Row],[Benchmark '#2 Dates]])=1,"Pass","Fail")</f>
        <v>Pass</v>
      </c>
      <c r="K786" s="6">
        <f>IF(Benchmark2[[#This Row],[Comparable '#3 Date Check]]="Pass",INDEX(Comp3[Comparable '#3 Price],MATCH(Benchmark2[[#This Row],[Benchmark '#2 Dates]],Comp3[Comparable '#3 Dates],0)),"-")</f>
        <v>75.11</v>
      </c>
    </row>
    <row r="787" spans="1:11">
      <c r="A787" s="103">
        <v>44425</v>
      </c>
      <c r="B787" s="104">
        <v>16707.13</v>
      </c>
      <c r="C787" s="4">
        <f t="shared" si="12"/>
        <v>-7.7279952635461221E-3</v>
      </c>
      <c r="D787" s="1" t="str">
        <f>IF(COUNTIF(Target1[Target Dates],Benchmark2[[#This Row],[Benchmark '#2 Dates]])=1,"Pass","Fail")</f>
        <v>Pass</v>
      </c>
      <c r="E787" s="6">
        <f>IF(Benchmark2[[#This Row],[Target Date Check]]="Pass",INDEX(Target1[Target Price],MATCH(Benchmark2[[#This Row],[Benchmark '#2 Dates]],Target1[Target Dates],0)),"-")</f>
        <v>33.96</v>
      </c>
      <c r="F787" s="1" t="str">
        <f>IF(COUNTIF(Comp1[Comparable '#1 Dates],Benchmark2[[#This Row],[Benchmark '#2 Dates]])=1,"Pass","Fail")</f>
        <v>Pass</v>
      </c>
      <c r="G787" s="6">
        <f>IF(Benchmark2[[#This Row],[Comparable '#1 Date Check]]="Pass",INDEX(Comp1[Comparable '#1 Price],MATCH(Benchmark2[[#This Row],[Benchmark '#2 Dates]],Comp1[Comparable '#1 Dates],0)),"-")</f>
        <v>15.68</v>
      </c>
      <c r="H787" s="1" t="str">
        <f>IF(COUNTIF(Comp2[Comparable '#2 Dates],Benchmark2[[#This Row],[Benchmark '#2 Dates]])=1,"Pass","Fail")</f>
        <v>Pass</v>
      </c>
      <c r="I787" s="6">
        <f>IF(Benchmark2[[#This Row],[Comparable '#2 Date Check]]="Pass",INDEX(Comp2[Comparable '#2 Price],MATCH(Benchmark2[[#This Row],[Benchmark '#2 Dates]],Comp2[Comparable '#2 Dates],0)),"-")</f>
        <v>36.01</v>
      </c>
      <c r="J787" s="1" t="str">
        <f>IF(COUNTIF(Comp3[Comparable '#3 Dates],Benchmark2[[#This Row],[Benchmark '#2 Dates]])=1,"Pass","Fail")</f>
        <v>Pass</v>
      </c>
      <c r="K787" s="6">
        <f>IF(Benchmark2[[#This Row],[Comparable '#3 Date Check]]="Pass",INDEX(Comp3[Comparable '#3 Price],MATCH(Benchmark2[[#This Row],[Benchmark '#2 Dates]],Comp3[Comparable '#3 Dates],0)),"-")</f>
        <v>74.94</v>
      </c>
    </row>
    <row r="788" spans="1:11">
      <c r="A788" s="103">
        <v>44426</v>
      </c>
      <c r="B788" s="104">
        <v>16550.341</v>
      </c>
      <c r="C788" s="4">
        <f t="shared" si="12"/>
        <v>-9.428868574522806E-3</v>
      </c>
      <c r="D788" s="1" t="str">
        <f>IF(COUNTIF(Target1[Target Dates],Benchmark2[[#This Row],[Benchmark '#2 Dates]])=1,"Pass","Fail")</f>
        <v>Pass</v>
      </c>
      <c r="E788" s="6">
        <f>IF(Benchmark2[[#This Row],[Target Date Check]]="Pass",INDEX(Target1[Target Price],MATCH(Benchmark2[[#This Row],[Benchmark '#2 Dates]],Target1[Target Dates],0)),"-")</f>
        <v>33.200000000000003</v>
      </c>
      <c r="F788" s="1" t="str">
        <f>IF(COUNTIF(Comp1[Comparable '#1 Dates],Benchmark2[[#This Row],[Benchmark '#2 Dates]])=1,"Pass","Fail")</f>
        <v>Pass</v>
      </c>
      <c r="G788" s="6">
        <f>IF(Benchmark2[[#This Row],[Comparable '#1 Date Check]]="Pass",INDEX(Comp1[Comparable '#1 Price],MATCH(Benchmark2[[#This Row],[Benchmark '#2 Dates]],Comp1[Comparable '#1 Dates],0)),"-")</f>
        <v>15.59</v>
      </c>
      <c r="H788" s="1" t="str">
        <f>IF(COUNTIF(Comp2[Comparable '#2 Dates],Benchmark2[[#This Row],[Benchmark '#2 Dates]])=1,"Pass","Fail")</f>
        <v>Pass</v>
      </c>
      <c r="I788" s="6">
        <f>IF(Benchmark2[[#This Row],[Comparable '#2 Date Check]]="Pass",INDEX(Comp2[Comparable '#2 Price],MATCH(Benchmark2[[#This Row],[Benchmark '#2 Dates]],Comp2[Comparable '#2 Dates],0)),"-")</f>
        <v>35.47</v>
      </c>
      <c r="J788" s="1" t="str">
        <f>IF(COUNTIF(Comp3[Comparable '#3 Dates],Benchmark2[[#This Row],[Benchmark '#2 Dates]])=1,"Pass","Fail")</f>
        <v>Pass</v>
      </c>
      <c r="K788" s="6">
        <f>IF(Benchmark2[[#This Row],[Comparable '#3 Date Check]]="Pass",INDEX(Comp3[Comparable '#3 Price],MATCH(Benchmark2[[#This Row],[Benchmark '#2 Dates]],Comp3[Comparable '#3 Dates],0)),"-")</f>
        <v>73.180000000000007</v>
      </c>
    </row>
    <row r="789" spans="1:11">
      <c r="A789" s="103">
        <v>44427</v>
      </c>
      <c r="B789" s="104">
        <v>16429.137599999998</v>
      </c>
      <c r="C789" s="4">
        <f t="shared" si="12"/>
        <v>-7.3502645176047139E-3</v>
      </c>
      <c r="D789" s="1" t="str">
        <f>IF(COUNTIF(Target1[Target Dates],Benchmark2[[#This Row],[Benchmark '#2 Dates]])=1,"Pass","Fail")</f>
        <v>Pass</v>
      </c>
      <c r="E789" s="6">
        <f>IF(Benchmark2[[#This Row],[Target Date Check]]="Pass",INDEX(Target1[Target Price],MATCH(Benchmark2[[#This Row],[Benchmark '#2 Dates]],Target1[Target Dates],0)),"-")</f>
        <v>34.03</v>
      </c>
      <c r="F789" s="1" t="str">
        <f>IF(COUNTIF(Comp1[Comparable '#1 Dates],Benchmark2[[#This Row],[Benchmark '#2 Dates]])=1,"Pass","Fail")</f>
        <v>Pass</v>
      </c>
      <c r="G789" s="6">
        <f>IF(Benchmark2[[#This Row],[Comparable '#1 Date Check]]="Pass",INDEX(Comp1[Comparable '#1 Price],MATCH(Benchmark2[[#This Row],[Benchmark '#2 Dates]],Comp1[Comparable '#1 Dates],0)),"-")</f>
        <v>15.35</v>
      </c>
      <c r="H789" s="1" t="str">
        <f>IF(COUNTIF(Comp2[Comparable '#2 Dates],Benchmark2[[#This Row],[Benchmark '#2 Dates]])=1,"Pass","Fail")</f>
        <v>Pass</v>
      </c>
      <c r="I789" s="6">
        <f>IF(Benchmark2[[#This Row],[Comparable '#2 Date Check]]="Pass",INDEX(Comp2[Comparable '#2 Price],MATCH(Benchmark2[[#This Row],[Benchmark '#2 Dates]],Comp2[Comparable '#2 Dates],0)),"-")</f>
        <v>34.6</v>
      </c>
      <c r="J789" s="1" t="str">
        <f>IF(COUNTIF(Comp3[Comparable '#3 Dates],Benchmark2[[#This Row],[Benchmark '#2 Dates]])=1,"Pass","Fail")</f>
        <v>Pass</v>
      </c>
      <c r="K789" s="6">
        <f>IF(Benchmark2[[#This Row],[Comparable '#3 Date Check]]="Pass",INDEX(Comp3[Comparable '#3 Price],MATCH(Benchmark2[[#This Row],[Benchmark '#2 Dates]],Comp3[Comparable '#3 Dates],0)),"-")</f>
        <v>73.38</v>
      </c>
    </row>
    <row r="790" spans="1:11">
      <c r="A790" s="103">
        <v>44428</v>
      </c>
      <c r="B790" s="104">
        <v>16516.678599999999</v>
      </c>
      <c r="C790" s="4">
        <f t="shared" si="12"/>
        <v>5.3142532873386812E-3</v>
      </c>
      <c r="D790" s="1" t="str">
        <f>IF(COUNTIF(Target1[Target Dates],Benchmark2[[#This Row],[Benchmark '#2 Dates]])=1,"Pass","Fail")</f>
        <v>Pass</v>
      </c>
      <c r="E790" s="6">
        <f>IF(Benchmark2[[#This Row],[Target Date Check]]="Pass",INDEX(Target1[Target Price],MATCH(Benchmark2[[#This Row],[Benchmark '#2 Dates]],Target1[Target Dates],0)),"-")</f>
        <v>34.1</v>
      </c>
      <c r="F790" s="1" t="str">
        <f>IF(COUNTIF(Comp1[Comparable '#1 Dates],Benchmark2[[#This Row],[Benchmark '#2 Dates]])=1,"Pass","Fail")</f>
        <v>Pass</v>
      </c>
      <c r="G790" s="6">
        <f>IF(Benchmark2[[#This Row],[Comparable '#1 Date Check]]="Pass",INDEX(Comp1[Comparable '#1 Price],MATCH(Benchmark2[[#This Row],[Benchmark '#2 Dates]],Comp1[Comparable '#1 Dates],0)),"-")</f>
        <v>15.62</v>
      </c>
      <c r="H790" s="1" t="str">
        <f>IF(COUNTIF(Comp2[Comparable '#2 Dates],Benchmark2[[#This Row],[Benchmark '#2 Dates]])=1,"Pass","Fail")</f>
        <v>Pass</v>
      </c>
      <c r="I790" s="6">
        <f>IF(Benchmark2[[#This Row],[Comparable '#2 Date Check]]="Pass",INDEX(Comp2[Comparable '#2 Price],MATCH(Benchmark2[[#This Row],[Benchmark '#2 Dates]],Comp2[Comparable '#2 Dates],0)),"-")</f>
        <v>35.94</v>
      </c>
      <c r="J790" s="1" t="str">
        <f>IF(COUNTIF(Comp3[Comparable '#3 Dates],Benchmark2[[#This Row],[Benchmark '#2 Dates]])=1,"Pass","Fail")</f>
        <v>Pass</v>
      </c>
      <c r="K790" s="6">
        <f>IF(Benchmark2[[#This Row],[Comparable '#3 Date Check]]="Pass",INDEX(Comp3[Comparable '#3 Price],MATCH(Benchmark2[[#This Row],[Benchmark '#2 Dates]],Comp3[Comparable '#3 Dates],0)),"-")</f>
        <v>76.239999999999995</v>
      </c>
    </row>
    <row r="791" spans="1:11">
      <c r="A791" s="103">
        <v>44431</v>
      </c>
      <c r="B791" s="104">
        <v>16648.5484</v>
      </c>
      <c r="C791" s="4">
        <f t="shared" si="12"/>
        <v>7.952334832446015E-3</v>
      </c>
      <c r="D791" s="1" t="str">
        <f>IF(COUNTIF(Target1[Target Dates],Benchmark2[[#This Row],[Benchmark '#2 Dates]])=1,"Pass","Fail")</f>
        <v>Pass</v>
      </c>
      <c r="E791" s="6">
        <f>IF(Benchmark2[[#This Row],[Target Date Check]]="Pass",INDEX(Target1[Target Price],MATCH(Benchmark2[[#This Row],[Benchmark '#2 Dates]],Target1[Target Dates],0)),"-")</f>
        <v>34.39</v>
      </c>
      <c r="F791" s="1" t="str">
        <f>IF(COUNTIF(Comp1[Comparable '#1 Dates],Benchmark2[[#This Row],[Benchmark '#2 Dates]])=1,"Pass","Fail")</f>
        <v>Pass</v>
      </c>
      <c r="G791" s="6">
        <f>IF(Benchmark2[[#This Row],[Comparable '#1 Date Check]]="Pass",INDEX(Comp1[Comparable '#1 Price],MATCH(Benchmark2[[#This Row],[Benchmark '#2 Dates]],Comp1[Comparable '#1 Dates],0)),"-")</f>
        <v>15.78</v>
      </c>
      <c r="H791" s="1" t="str">
        <f>IF(COUNTIF(Comp2[Comparable '#2 Dates],Benchmark2[[#This Row],[Benchmark '#2 Dates]])=1,"Pass","Fail")</f>
        <v>Pass</v>
      </c>
      <c r="I791" s="6">
        <f>IF(Benchmark2[[#This Row],[Comparable '#2 Date Check]]="Pass",INDEX(Comp2[Comparable '#2 Price],MATCH(Benchmark2[[#This Row],[Benchmark '#2 Dates]],Comp2[Comparable '#2 Dates],0)),"-")</f>
        <v>36.85</v>
      </c>
      <c r="J791" s="1" t="str">
        <f>IF(COUNTIF(Comp3[Comparable '#3 Dates],Benchmark2[[#This Row],[Benchmark '#2 Dates]])=1,"Pass","Fail")</f>
        <v>Pass</v>
      </c>
      <c r="K791" s="6">
        <f>IF(Benchmark2[[#This Row],[Comparable '#3 Date Check]]="Pass",INDEX(Comp3[Comparable '#3 Price],MATCH(Benchmark2[[#This Row],[Benchmark '#2 Dates]],Comp3[Comparable '#3 Dates],0)),"-")</f>
        <v>77.239999999999995</v>
      </c>
    </row>
    <row r="792" spans="1:11">
      <c r="A792" s="103">
        <v>44432</v>
      </c>
      <c r="B792" s="104">
        <v>16741.1649</v>
      </c>
      <c r="C792" s="4">
        <f t="shared" si="12"/>
        <v>5.547621011234718E-3</v>
      </c>
      <c r="D792" s="1" t="str">
        <f>IF(COUNTIF(Target1[Target Dates],Benchmark2[[#This Row],[Benchmark '#2 Dates]])=1,"Pass","Fail")</f>
        <v>Pass</v>
      </c>
      <c r="E792" s="6">
        <f>IF(Benchmark2[[#This Row],[Target Date Check]]="Pass",INDEX(Target1[Target Price],MATCH(Benchmark2[[#This Row],[Benchmark '#2 Dates]],Target1[Target Dates],0)),"-")</f>
        <v>33.58</v>
      </c>
      <c r="F792" s="1" t="str">
        <f>IF(COUNTIF(Comp1[Comparable '#1 Dates],Benchmark2[[#This Row],[Benchmark '#2 Dates]])=1,"Pass","Fail")</f>
        <v>Pass</v>
      </c>
      <c r="G792" s="6">
        <f>IF(Benchmark2[[#This Row],[Comparable '#1 Date Check]]="Pass",INDEX(Comp1[Comparable '#1 Price],MATCH(Benchmark2[[#This Row],[Benchmark '#2 Dates]],Comp1[Comparable '#1 Dates],0)),"-")</f>
        <v>16.010000000000002</v>
      </c>
      <c r="H792" s="1" t="str">
        <f>IF(COUNTIF(Comp2[Comparable '#2 Dates],Benchmark2[[#This Row],[Benchmark '#2 Dates]])=1,"Pass","Fail")</f>
        <v>Pass</v>
      </c>
      <c r="I792" s="6">
        <f>IF(Benchmark2[[#This Row],[Comparable '#2 Date Check]]="Pass",INDEX(Comp2[Comparable '#2 Price],MATCH(Benchmark2[[#This Row],[Benchmark '#2 Dates]],Comp2[Comparable '#2 Dates],0)),"-")</f>
        <v>35.58</v>
      </c>
      <c r="J792" s="1" t="str">
        <f>IF(COUNTIF(Comp3[Comparable '#3 Dates],Benchmark2[[#This Row],[Benchmark '#2 Dates]])=1,"Pass","Fail")</f>
        <v>Pass</v>
      </c>
      <c r="K792" s="6">
        <f>IF(Benchmark2[[#This Row],[Comparable '#3 Date Check]]="Pass",INDEX(Comp3[Comparable '#3 Price],MATCH(Benchmark2[[#This Row],[Benchmark '#2 Dates]],Comp3[Comparable '#3 Dates],0)),"-")</f>
        <v>77.81</v>
      </c>
    </row>
    <row r="793" spans="1:11">
      <c r="A793" s="103">
        <v>44433</v>
      </c>
      <c r="B793" s="104">
        <v>16812.838</v>
      </c>
      <c r="C793" s="4">
        <f t="shared" si="12"/>
        <v>4.2721107953629473E-3</v>
      </c>
      <c r="D793" s="1" t="str">
        <f>IF(COUNTIF(Target1[Target Dates],Benchmark2[[#This Row],[Benchmark '#2 Dates]])=1,"Pass","Fail")</f>
        <v>Pass</v>
      </c>
      <c r="E793" s="6">
        <f>IF(Benchmark2[[#This Row],[Target Date Check]]="Pass",INDEX(Target1[Target Price],MATCH(Benchmark2[[#This Row],[Benchmark '#2 Dates]],Target1[Target Dates],0)),"-")</f>
        <v>34.57</v>
      </c>
      <c r="F793" s="1" t="str">
        <f>IF(COUNTIF(Comp1[Comparable '#1 Dates],Benchmark2[[#This Row],[Benchmark '#2 Dates]])=1,"Pass","Fail")</f>
        <v>Pass</v>
      </c>
      <c r="G793" s="6">
        <f>IF(Benchmark2[[#This Row],[Comparable '#1 Date Check]]="Pass",INDEX(Comp1[Comparable '#1 Price],MATCH(Benchmark2[[#This Row],[Benchmark '#2 Dates]],Comp1[Comparable '#1 Dates],0)),"-")</f>
        <v>15.994999999999999</v>
      </c>
      <c r="H793" s="1" t="str">
        <f>IF(COUNTIF(Comp2[Comparable '#2 Dates],Benchmark2[[#This Row],[Benchmark '#2 Dates]])=1,"Pass","Fail")</f>
        <v>Pass</v>
      </c>
      <c r="I793" s="6">
        <f>IF(Benchmark2[[#This Row],[Comparable '#2 Date Check]]="Pass",INDEX(Comp2[Comparable '#2 Price],MATCH(Benchmark2[[#This Row],[Benchmark '#2 Dates]],Comp2[Comparable '#2 Dates],0)),"-")</f>
        <v>36.46</v>
      </c>
      <c r="J793" s="1" t="str">
        <f>IF(COUNTIF(Comp3[Comparable '#3 Dates],Benchmark2[[#This Row],[Benchmark '#2 Dates]])=1,"Pass","Fail")</f>
        <v>Pass</v>
      </c>
      <c r="K793" s="6">
        <f>IF(Benchmark2[[#This Row],[Comparable '#3 Date Check]]="Pass",INDEX(Comp3[Comparable '#3 Price],MATCH(Benchmark2[[#This Row],[Benchmark '#2 Dates]],Comp3[Comparable '#3 Dates],0)),"-")</f>
        <v>77.180000000000007</v>
      </c>
    </row>
    <row r="794" spans="1:11">
      <c r="A794" s="103">
        <v>44434</v>
      </c>
      <c r="B794" s="104">
        <v>16694.322800000002</v>
      </c>
      <c r="C794" s="4">
        <f t="shared" si="12"/>
        <v>-7.0740517191044535E-3</v>
      </c>
      <c r="D794" s="1" t="str">
        <f>IF(COUNTIF(Target1[Target Dates],Benchmark2[[#This Row],[Benchmark '#2 Dates]])=1,"Pass","Fail")</f>
        <v>Pass</v>
      </c>
      <c r="E794" s="6">
        <f>IF(Benchmark2[[#This Row],[Target Date Check]]="Pass",INDEX(Target1[Target Price],MATCH(Benchmark2[[#This Row],[Benchmark '#2 Dates]],Target1[Target Dates],0)),"-")</f>
        <v>34.5</v>
      </c>
      <c r="F794" s="1" t="str">
        <f>IF(COUNTIF(Comp1[Comparable '#1 Dates],Benchmark2[[#This Row],[Benchmark '#2 Dates]])=1,"Pass","Fail")</f>
        <v>Pass</v>
      </c>
      <c r="G794" s="6">
        <f>IF(Benchmark2[[#This Row],[Comparable '#1 Date Check]]="Pass",INDEX(Comp1[Comparable '#1 Price],MATCH(Benchmark2[[#This Row],[Benchmark '#2 Dates]],Comp1[Comparable '#1 Dates],0)),"-")</f>
        <v>15.86</v>
      </c>
      <c r="H794" s="1" t="str">
        <f>IF(COUNTIF(Comp2[Comparable '#2 Dates],Benchmark2[[#This Row],[Benchmark '#2 Dates]])=1,"Pass","Fail")</f>
        <v>Pass</v>
      </c>
      <c r="I794" s="6">
        <f>IF(Benchmark2[[#This Row],[Comparable '#2 Date Check]]="Pass",INDEX(Comp2[Comparable '#2 Price],MATCH(Benchmark2[[#This Row],[Benchmark '#2 Dates]],Comp2[Comparable '#2 Dates],0)),"-")</f>
        <v>36.82</v>
      </c>
      <c r="J794" s="1" t="str">
        <f>IF(COUNTIF(Comp3[Comparable '#3 Dates],Benchmark2[[#This Row],[Benchmark '#2 Dates]])=1,"Pass","Fail")</f>
        <v>Pass</v>
      </c>
      <c r="K794" s="6">
        <f>IF(Benchmark2[[#This Row],[Comparable '#3 Date Check]]="Pass",INDEX(Comp3[Comparable '#3 Price],MATCH(Benchmark2[[#This Row],[Benchmark '#2 Dates]],Comp3[Comparable '#3 Dates],0)),"-")</f>
        <v>75.64</v>
      </c>
    </row>
    <row r="795" spans="1:11">
      <c r="A795" s="103">
        <v>44435</v>
      </c>
      <c r="B795" s="104">
        <v>16844.747800000001</v>
      </c>
      <c r="C795" s="4">
        <f t="shared" si="12"/>
        <v>8.9701954146278427E-3</v>
      </c>
      <c r="D795" s="1" t="str">
        <f>IF(COUNTIF(Target1[Target Dates],Benchmark2[[#This Row],[Benchmark '#2 Dates]])=1,"Pass","Fail")</f>
        <v>Pass</v>
      </c>
      <c r="E795" s="6">
        <f>IF(Benchmark2[[#This Row],[Target Date Check]]="Pass",INDEX(Target1[Target Price],MATCH(Benchmark2[[#This Row],[Benchmark '#2 Dates]],Target1[Target Dates],0)),"-")</f>
        <v>34.409999999999997</v>
      </c>
      <c r="F795" s="1" t="str">
        <f>IF(COUNTIF(Comp1[Comparable '#1 Dates],Benchmark2[[#This Row],[Benchmark '#2 Dates]])=1,"Pass","Fail")</f>
        <v>Pass</v>
      </c>
      <c r="G795" s="6">
        <f>IF(Benchmark2[[#This Row],[Comparable '#1 Date Check]]="Pass",INDEX(Comp1[Comparable '#1 Price],MATCH(Benchmark2[[#This Row],[Benchmark '#2 Dates]],Comp1[Comparable '#1 Dates],0)),"-")</f>
        <v>15.99</v>
      </c>
      <c r="H795" s="1" t="str">
        <f>IF(COUNTIF(Comp2[Comparable '#2 Dates],Benchmark2[[#This Row],[Benchmark '#2 Dates]])=1,"Pass","Fail")</f>
        <v>Pass</v>
      </c>
      <c r="I795" s="6">
        <f>IF(Benchmark2[[#This Row],[Comparable '#2 Date Check]]="Pass",INDEX(Comp2[Comparable '#2 Price],MATCH(Benchmark2[[#This Row],[Benchmark '#2 Dates]],Comp2[Comparable '#2 Dates],0)),"-")</f>
        <v>37.58</v>
      </c>
      <c r="J795" s="1" t="str">
        <f>IF(COUNTIF(Comp3[Comparable '#3 Dates],Benchmark2[[#This Row],[Benchmark '#2 Dates]])=1,"Pass","Fail")</f>
        <v>Pass</v>
      </c>
      <c r="K795" s="6">
        <f>IF(Benchmark2[[#This Row],[Comparable '#3 Date Check]]="Pass",INDEX(Comp3[Comparable '#3 Price],MATCH(Benchmark2[[#This Row],[Benchmark '#2 Dates]],Comp3[Comparable '#3 Dates],0)),"-")</f>
        <v>76.91</v>
      </c>
    </row>
    <row r="796" spans="1:11">
      <c r="A796" s="103">
        <v>44438</v>
      </c>
      <c r="B796" s="104">
        <v>16819.629199999999</v>
      </c>
      <c r="C796" s="4">
        <f t="shared" si="12"/>
        <v>-1.4922958272172633E-3</v>
      </c>
      <c r="D796" s="1" t="str">
        <f>IF(COUNTIF(Target1[Target Dates],Benchmark2[[#This Row],[Benchmark '#2 Dates]])=1,"Pass","Fail")</f>
        <v>Pass</v>
      </c>
      <c r="E796" s="6">
        <f>IF(Benchmark2[[#This Row],[Target Date Check]]="Pass",INDEX(Target1[Target Price],MATCH(Benchmark2[[#This Row],[Benchmark '#2 Dates]],Target1[Target Dates],0)),"-")</f>
        <v>34.5</v>
      </c>
      <c r="F796" s="1" t="str">
        <f>IF(COUNTIF(Comp1[Comparable '#1 Dates],Benchmark2[[#This Row],[Benchmark '#2 Dates]])=1,"Pass","Fail")</f>
        <v>Pass</v>
      </c>
      <c r="G796" s="6">
        <f>IF(Benchmark2[[#This Row],[Comparable '#1 Date Check]]="Pass",INDEX(Comp1[Comparable '#1 Price],MATCH(Benchmark2[[#This Row],[Benchmark '#2 Dates]],Comp1[Comparable '#1 Dates],0)),"-")</f>
        <v>15.94</v>
      </c>
      <c r="H796" s="1" t="str">
        <f>IF(COUNTIF(Comp2[Comparable '#2 Dates],Benchmark2[[#This Row],[Benchmark '#2 Dates]])=1,"Pass","Fail")</f>
        <v>Pass</v>
      </c>
      <c r="I796" s="6">
        <f>IF(Benchmark2[[#This Row],[Comparable '#2 Date Check]]="Pass",INDEX(Comp2[Comparable '#2 Price],MATCH(Benchmark2[[#This Row],[Benchmark '#2 Dates]],Comp2[Comparable '#2 Dates],0)),"-")</f>
        <v>36.75</v>
      </c>
      <c r="J796" s="1" t="str">
        <f>IF(COUNTIF(Comp3[Comparable '#3 Dates],Benchmark2[[#This Row],[Benchmark '#2 Dates]])=1,"Pass","Fail")</f>
        <v>Pass</v>
      </c>
      <c r="K796" s="6">
        <f>IF(Benchmark2[[#This Row],[Comparable '#3 Date Check]]="Pass",INDEX(Comp3[Comparable '#3 Price],MATCH(Benchmark2[[#This Row],[Benchmark '#2 Dates]],Comp3[Comparable '#3 Dates],0)),"-")</f>
        <v>77.94</v>
      </c>
    </row>
    <row r="797" spans="1:11">
      <c r="A797" s="103">
        <v>44439</v>
      </c>
      <c r="B797" s="104">
        <v>16806.436099999999</v>
      </c>
      <c r="C797" s="4">
        <f t="shared" si="12"/>
        <v>-7.8469488233382965E-4</v>
      </c>
      <c r="D797" s="1" t="str">
        <f>IF(COUNTIF(Target1[Target Dates],Benchmark2[[#This Row],[Benchmark '#2 Dates]])=1,"Pass","Fail")</f>
        <v>Pass</v>
      </c>
      <c r="E797" s="6">
        <f>IF(Benchmark2[[#This Row],[Target Date Check]]="Pass",INDEX(Target1[Target Price],MATCH(Benchmark2[[#This Row],[Benchmark '#2 Dates]],Target1[Target Dates],0)),"-")</f>
        <v>34.24</v>
      </c>
      <c r="F797" s="1" t="str">
        <f>IF(COUNTIF(Comp1[Comparable '#1 Dates],Benchmark2[[#This Row],[Benchmark '#2 Dates]])=1,"Pass","Fail")</f>
        <v>Pass</v>
      </c>
      <c r="G797" s="6">
        <f>IF(Benchmark2[[#This Row],[Comparable '#1 Date Check]]="Pass",INDEX(Comp1[Comparable '#1 Price],MATCH(Benchmark2[[#This Row],[Benchmark '#2 Dates]],Comp1[Comparable '#1 Dates],0)),"-")</f>
        <v>15.93</v>
      </c>
      <c r="H797" s="1" t="str">
        <f>IF(COUNTIF(Comp2[Comparable '#2 Dates],Benchmark2[[#This Row],[Benchmark '#2 Dates]])=1,"Pass","Fail")</f>
        <v>Pass</v>
      </c>
      <c r="I797" s="6">
        <f>IF(Benchmark2[[#This Row],[Comparable '#2 Date Check]]="Pass",INDEX(Comp2[Comparable '#2 Price],MATCH(Benchmark2[[#This Row],[Benchmark '#2 Dates]],Comp2[Comparable '#2 Dates],0)),"-")</f>
        <v>37</v>
      </c>
      <c r="J797" s="1" t="str">
        <f>IF(COUNTIF(Comp3[Comparable '#3 Dates],Benchmark2[[#This Row],[Benchmark '#2 Dates]])=1,"Pass","Fail")</f>
        <v>Pass</v>
      </c>
      <c r="K797" s="6">
        <f>IF(Benchmark2[[#This Row],[Comparable '#3 Date Check]]="Pass",INDEX(Comp3[Comparable '#3 Price],MATCH(Benchmark2[[#This Row],[Benchmark '#2 Dates]],Comp3[Comparable '#3 Dates],0)),"-")</f>
        <v>78.28</v>
      </c>
    </row>
    <row r="798" spans="1:11">
      <c r="A798" s="103">
        <v>44440</v>
      </c>
      <c r="B798" s="104">
        <v>16845.985400000001</v>
      </c>
      <c r="C798" s="4">
        <f t="shared" si="12"/>
        <v>2.3504589830498825E-3</v>
      </c>
      <c r="D798" s="1" t="str">
        <f>IF(COUNTIF(Target1[Target Dates],Benchmark2[[#This Row],[Benchmark '#2 Dates]])=1,"Pass","Fail")</f>
        <v>Pass</v>
      </c>
      <c r="E798" s="6">
        <f>IF(Benchmark2[[#This Row],[Target Date Check]]="Pass",INDEX(Target1[Target Price],MATCH(Benchmark2[[#This Row],[Benchmark '#2 Dates]],Target1[Target Dates],0)),"-")</f>
        <v>34.46</v>
      </c>
      <c r="F798" s="1" t="str">
        <f>IF(COUNTIF(Comp1[Comparable '#1 Dates],Benchmark2[[#This Row],[Benchmark '#2 Dates]])=1,"Pass","Fail")</f>
        <v>Pass</v>
      </c>
      <c r="G798" s="6">
        <f>IF(Benchmark2[[#This Row],[Comparable '#1 Date Check]]="Pass",INDEX(Comp1[Comparable '#1 Price],MATCH(Benchmark2[[#This Row],[Benchmark '#2 Dates]],Comp1[Comparable '#1 Dates],0)),"-")</f>
        <v>15.91</v>
      </c>
      <c r="H798" s="1" t="str">
        <f>IF(COUNTIF(Comp2[Comparable '#2 Dates],Benchmark2[[#This Row],[Benchmark '#2 Dates]])=1,"Pass","Fail")</f>
        <v>Pass</v>
      </c>
      <c r="I798" s="6">
        <f>IF(Benchmark2[[#This Row],[Comparable '#2 Date Check]]="Pass",INDEX(Comp2[Comparable '#2 Price],MATCH(Benchmark2[[#This Row],[Benchmark '#2 Dates]],Comp2[Comparable '#2 Dates],0)),"-")</f>
        <v>37.090000000000003</v>
      </c>
      <c r="J798" s="1" t="str">
        <f>IF(COUNTIF(Comp3[Comparable '#3 Dates],Benchmark2[[#This Row],[Benchmark '#2 Dates]])=1,"Pass","Fail")</f>
        <v>Pass</v>
      </c>
      <c r="K798" s="6">
        <f>IF(Benchmark2[[#This Row],[Comparable '#3 Date Check]]="Pass",INDEX(Comp3[Comparable '#3 Price],MATCH(Benchmark2[[#This Row],[Benchmark '#2 Dates]],Comp3[Comparable '#3 Dates],0)),"-")</f>
        <v>77.84</v>
      </c>
    </row>
    <row r="799" spans="1:11">
      <c r="A799" s="103">
        <v>44441</v>
      </c>
      <c r="B799" s="104">
        <v>16926.715800000002</v>
      </c>
      <c r="C799" s="4">
        <f t="shared" si="12"/>
        <v>4.7808171036003155E-3</v>
      </c>
      <c r="D799" s="1" t="str">
        <f>IF(COUNTIF(Target1[Target Dates],Benchmark2[[#This Row],[Benchmark '#2 Dates]])=1,"Pass","Fail")</f>
        <v>Pass</v>
      </c>
      <c r="E799" s="6">
        <f>IF(Benchmark2[[#This Row],[Target Date Check]]="Pass",INDEX(Target1[Target Price],MATCH(Benchmark2[[#This Row],[Benchmark '#2 Dates]],Target1[Target Dates],0)),"-")</f>
        <v>34.42</v>
      </c>
      <c r="F799" s="1" t="str">
        <f>IF(COUNTIF(Comp1[Comparable '#1 Dates],Benchmark2[[#This Row],[Benchmark '#2 Dates]])=1,"Pass","Fail")</f>
        <v>Pass</v>
      </c>
      <c r="G799" s="6">
        <f>IF(Benchmark2[[#This Row],[Comparable '#1 Date Check]]="Pass",INDEX(Comp1[Comparable '#1 Price],MATCH(Benchmark2[[#This Row],[Benchmark '#2 Dates]],Comp1[Comparable '#1 Dates],0)),"-")</f>
        <v>15.86</v>
      </c>
      <c r="H799" s="1" t="str">
        <f>IF(COUNTIF(Comp2[Comparable '#2 Dates],Benchmark2[[#This Row],[Benchmark '#2 Dates]])=1,"Pass","Fail")</f>
        <v>Pass</v>
      </c>
      <c r="I799" s="6">
        <f>IF(Benchmark2[[#This Row],[Comparable '#2 Date Check]]="Pass",INDEX(Comp2[Comparable '#2 Price],MATCH(Benchmark2[[#This Row],[Benchmark '#2 Dates]],Comp2[Comparable '#2 Dates],0)),"-")</f>
        <v>37.369999999999997</v>
      </c>
      <c r="J799" s="1" t="str">
        <f>IF(COUNTIF(Comp3[Comparable '#3 Dates],Benchmark2[[#This Row],[Benchmark '#2 Dates]])=1,"Pass","Fail")</f>
        <v>Pass</v>
      </c>
      <c r="K799" s="6">
        <f>IF(Benchmark2[[#This Row],[Comparable '#3 Date Check]]="Pass",INDEX(Comp3[Comparable '#3 Price],MATCH(Benchmark2[[#This Row],[Benchmark '#2 Dates]],Comp3[Comparable '#3 Dates],0)),"-")</f>
        <v>77.400000000000006</v>
      </c>
    </row>
    <row r="800" spans="1:11">
      <c r="A800" s="103">
        <v>44442</v>
      </c>
      <c r="B800" s="104">
        <v>16909.7199</v>
      </c>
      <c r="C800" s="4">
        <f t="shared" si="12"/>
        <v>-1.0045917117306041E-3</v>
      </c>
      <c r="D800" s="1" t="str">
        <f>IF(COUNTIF(Target1[Target Dates],Benchmark2[[#This Row],[Benchmark '#2 Dates]])=1,"Pass","Fail")</f>
        <v>Pass</v>
      </c>
      <c r="E800" s="6">
        <f>IF(Benchmark2[[#This Row],[Target Date Check]]="Pass",INDEX(Target1[Target Price],MATCH(Benchmark2[[#This Row],[Benchmark '#2 Dates]],Target1[Target Dates],0)),"-")</f>
        <v>34.049999999999997</v>
      </c>
      <c r="F800" s="1" t="str">
        <f>IF(COUNTIF(Comp1[Comparable '#1 Dates],Benchmark2[[#This Row],[Benchmark '#2 Dates]])=1,"Pass","Fail")</f>
        <v>Pass</v>
      </c>
      <c r="G800" s="6">
        <f>IF(Benchmark2[[#This Row],[Comparable '#1 Date Check]]="Pass",INDEX(Comp1[Comparable '#1 Price],MATCH(Benchmark2[[#This Row],[Benchmark '#2 Dates]],Comp1[Comparable '#1 Dates],0)),"-")</f>
        <v>15.61</v>
      </c>
      <c r="H800" s="1" t="str">
        <f>IF(COUNTIF(Comp2[Comparable '#2 Dates],Benchmark2[[#This Row],[Benchmark '#2 Dates]])=1,"Pass","Fail")</f>
        <v>Pass</v>
      </c>
      <c r="I800" s="6">
        <f>IF(Benchmark2[[#This Row],[Comparable '#2 Date Check]]="Pass",INDEX(Comp2[Comparable '#2 Price],MATCH(Benchmark2[[#This Row],[Benchmark '#2 Dates]],Comp2[Comparable '#2 Dates],0)),"-")</f>
        <v>37.1</v>
      </c>
      <c r="J800" s="1" t="str">
        <f>IF(COUNTIF(Comp3[Comparable '#3 Dates],Benchmark2[[#This Row],[Benchmark '#2 Dates]])=1,"Pass","Fail")</f>
        <v>Pass</v>
      </c>
      <c r="K800" s="6">
        <f>IF(Benchmark2[[#This Row],[Comparable '#3 Date Check]]="Pass",INDEX(Comp3[Comparable '#3 Price],MATCH(Benchmark2[[#This Row],[Benchmark '#2 Dates]],Comp3[Comparable '#3 Dates],0)),"-")</f>
        <v>77.25</v>
      </c>
    </row>
    <row r="801" spans="1:11">
      <c r="A801" s="103">
        <v>44446</v>
      </c>
      <c r="B801" s="104">
        <v>16801.179</v>
      </c>
      <c r="C801" s="4">
        <f t="shared" si="12"/>
        <v>-6.4395360918435441E-3</v>
      </c>
      <c r="D801" s="1" t="str">
        <f>IF(COUNTIF(Target1[Target Dates],Benchmark2[[#This Row],[Benchmark '#2 Dates]])=1,"Pass","Fail")</f>
        <v>Pass</v>
      </c>
      <c r="E801" s="6">
        <f>IF(Benchmark2[[#This Row],[Target Date Check]]="Pass",INDEX(Target1[Target Price],MATCH(Benchmark2[[#This Row],[Benchmark '#2 Dates]],Target1[Target Dates],0)),"-")</f>
        <v>33.36</v>
      </c>
      <c r="F801" s="1" t="str">
        <f>IF(COUNTIF(Comp1[Comparable '#1 Dates],Benchmark2[[#This Row],[Benchmark '#2 Dates]])=1,"Pass","Fail")</f>
        <v>Pass</v>
      </c>
      <c r="G801" s="6">
        <f>IF(Benchmark2[[#This Row],[Comparable '#1 Date Check]]="Pass",INDEX(Comp1[Comparable '#1 Price],MATCH(Benchmark2[[#This Row],[Benchmark '#2 Dates]],Comp1[Comparable '#1 Dates],0)),"-")</f>
        <v>16.02</v>
      </c>
      <c r="H801" s="1" t="str">
        <f>IF(COUNTIF(Comp2[Comparable '#2 Dates],Benchmark2[[#This Row],[Benchmark '#2 Dates]])=1,"Pass","Fail")</f>
        <v>Pass</v>
      </c>
      <c r="I801" s="6">
        <f>IF(Benchmark2[[#This Row],[Comparable '#2 Date Check]]="Pass",INDEX(Comp2[Comparable '#2 Price],MATCH(Benchmark2[[#This Row],[Benchmark '#2 Dates]],Comp2[Comparable '#2 Dates],0)),"-")</f>
        <v>37.200000000000003</v>
      </c>
      <c r="J801" s="1" t="str">
        <f>IF(COUNTIF(Comp3[Comparable '#3 Dates],Benchmark2[[#This Row],[Benchmark '#2 Dates]])=1,"Pass","Fail")</f>
        <v>Pass</v>
      </c>
      <c r="K801" s="6">
        <f>IF(Benchmark2[[#This Row],[Comparable '#3 Date Check]]="Pass",INDEX(Comp3[Comparable '#3 Price],MATCH(Benchmark2[[#This Row],[Benchmark '#2 Dates]],Comp3[Comparable '#3 Dates],0)),"-")</f>
        <v>77.180000000000007</v>
      </c>
    </row>
    <row r="802" spans="1:11">
      <c r="A802" s="103">
        <v>44447</v>
      </c>
      <c r="B802" s="104">
        <v>16731.044999999998</v>
      </c>
      <c r="C802" s="4">
        <f t="shared" si="12"/>
        <v>-4.1830868282576525E-3</v>
      </c>
      <c r="D802" s="1" t="str">
        <f>IF(COUNTIF(Target1[Target Dates],Benchmark2[[#This Row],[Benchmark '#2 Dates]])=1,"Pass","Fail")</f>
        <v>Pass</v>
      </c>
      <c r="E802" s="6">
        <f>IF(Benchmark2[[#This Row],[Target Date Check]]="Pass",INDEX(Target1[Target Price],MATCH(Benchmark2[[#This Row],[Benchmark '#2 Dates]],Target1[Target Dates],0)),"-")</f>
        <v>33.229999999999997</v>
      </c>
      <c r="F802" s="1" t="str">
        <f>IF(COUNTIF(Comp1[Comparable '#1 Dates],Benchmark2[[#This Row],[Benchmark '#2 Dates]])=1,"Pass","Fail")</f>
        <v>Pass</v>
      </c>
      <c r="G802" s="6">
        <f>IF(Benchmark2[[#This Row],[Comparable '#1 Date Check]]="Pass",INDEX(Comp1[Comparable '#1 Price],MATCH(Benchmark2[[#This Row],[Benchmark '#2 Dates]],Comp1[Comparable '#1 Dates],0)),"-")</f>
        <v>16.260000000000002</v>
      </c>
      <c r="H802" s="1" t="str">
        <f>IF(COUNTIF(Comp2[Comparable '#2 Dates],Benchmark2[[#This Row],[Benchmark '#2 Dates]])=1,"Pass","Fail")</f>
        <v>Pass</v>
      </c>
      <c r="I802" s="6">
        <f>IF(Benchmark2[[#This Row],[Comparable '#2 Date Check]]="Pass",INDEX(Comp2[Comparable '#2 Price],MATCH(Benchmark2[[#This Row],[Benchmark '#2 Dates]],Comp2[Comparable '#2 Dates],0)),"-")</f>
        <v>37.79</v>
      </c>
      <c r="J802" s="1" t="str">
        <f>IF(COUNTIF(Comp3[Comparable '#3 Dates],Benchmark2[[#This Row],[Benchmark '#2 Dates]])=1,"Pass","Fail")</f>
        <v>Pass</v>
      </c>
      <c r="K802" s="6">
        <f>IF(Benchmark2[[#This Row],[Comparable '#3 Date Check]]="Pass",INDEX(Comp3[Comparable '#3 Price],MATCH(Benchmark2[[#This Row],[Benchmark '#2 Dates]],Comp3[Comparable '#3 Dates],0)),"-")</f>
        <v>78.849999999999994</v>
      </c>
    </row>
    <row r="803" spans="1:11">
      <c r="A803" s="103">
        <v>44448</v>
      </c>
      <c r="B803" s="104">
        <v>16663.124</v>
      </c>
      <c r="C803" s="4">
        <f t="shared" si="12"/>
        <v>-4.0678415240257065E-3</v>
      </c>
      <c r="D803" s="1" t="str">
        <f>IF(COUNTIF(Target1[Target Dates],Benchmark2[[#This Row],[Benchmark '#2 Dates]])=1,"Pass","Fail")</f>
        <v>Pass</v>
      </c>
      <c r="E803" s="6">
        <f>IF(Benchmark2[[#This Row],[Target Date Check]]="Pass",INDEX(Target1[Target Price],MATCH(Benchmark2[[#This Row],[Benchmark '#2 Dates]],Target1[Target Dates],0)),"-")</f>
        <v>33.880000000000003</v>
      </c>
      <c r="F803" s="1" t="str">
        <f>IF(COUNTIF(Comp1[Comparable '#1 Dates],Benchmark2[[#This Row],[Benchmark '#2 Dates]])=1,"Pass","Fail")</f>
        <v>Pass</v>
      </c>
      <c r="G803" s="6">
        <f>IF(Benchmark2[[#This Row],[Comparable '#1 Date Check]]="Pass",INDEX(Comp1[Comparable '#1 Price],MATCH(Benchmark2[[#This Row],[Benchmark '#2 Dates]],Comp1[Comparable '#1 Dates],0)),"-")</f>
        <v>16.329999999999998</v>
      </c>
      <c r="H803" s="1" t="str">
        <f>IF(COUNTIF(Comp2[Comparable '#2 Dates],Benchmark2[[#This Row],[Benchmark '#2 Dates]])=1,"Pass","Fail")</f>
        <v>Pass</v>
      </c>
      <c r="I803" s="6">
        <f>IF(Benchmark2[[#This Row],[Comparable '#2 Date Check]]="Pass",INDEX(Comp2[Comparable '#2 Price],MATCH(Benchmark2[[#This Row],[Benchmark '#2 Dates]],Comp2[Comparable '#2 Dates],0)),"-")</f>
        <v>38.24</v>
      </c>
      <c r="J803" s="1" t="str">
        <f>IF(COUNTIF(Comp3[Comparable '#3 Dates],Benchmark2[[#This Row],[Benchmark '#2 Dates]])=1,"Pass","Fail")</f>
        <v>Pass</v>
      </c>
      <c r="K803" s="6">
        <f>IF(Benchmark2[[#This Row],[Comparable '#3 Date Check]]="Pass",INDEX(Comp3[Comparable '#3 Price],MATCH(Benchmark2[[#This Row],[Benchmark '#2 Dates]],Comp3[Comparable '#3 Dates],0)),"-")</f>
        <v>77.8</v>
      </c>
    </row>
    <row r="804" spans="1:11">
      <c r="A804" s="103">
        <v>44449</v>
      </c>
      <c r="B804" s="104">
        <v>16563.478999999999</v>
      </c>
      <c r="C804" s="4">
        <f t="shared" si="12"/>
        <v>-5.997922732448294E-3</v>
      </c>
      <c r="D804" s="1" t="str">
        <f>IF(COUNTIF(Target1[Target Dates],Benchmark2[[#This Row],[Benchmark '#2 Dates]])=1,"Pass","Fail")</f>
        <v>Pass</v>
      </c>
      <c r="E804" s="6">
        <f>IF(Benchmark2[[#This Row],[Target Date Check]]="Pass",INDEX(Target1[Target Price],MATCH(Benchmark2[[#This Row],[Benchmark '#2 Dates]],Target1[Target Dates],0)),"-")</f>
        <v>33.450000000000003</v>
      </c>
      <c r="F804" s="1" t="str">
        <f>IF(COUNTIF(Comp1[Comparable '#1 Dates],Benchmark2[[#This Row],[Benchmark '#2 Dates]])=1,"Pass","Fail")</f>
        <v>Pass</v>
      </c>
      <c r="G804" s="6">
        <f>IF(Benchmark2[[#This Row],[Comparable '#1 Date Check]]="Pass",INDEX(Comp1[Comparable '#1 Price],MATCH(Benchmark2[[#This Row],[Benchmark '#2 Dates]],Comp1[Comparable '#1 Dates],0)),"-")</f>
        <v>16.8</v>
      </c>
      <c r="H804" s="1" t="str">
        <f>IF(COUNTIF(Comp2[Comparable '#2 Dates],Benchmark2[[#This Row],[Benchmark '#2 Dates]])=1,"Pass","Fail")</f>
        <v>Pass</v>
      </c>
      <c r="I804" s="6">
        <f>IF(Benchmark2[[#This Row],[Comparable '#2 Date Check]]="Pass",INDEX(Comp2[Comparable '#2 Price],MATCH(Benchmark2[[#This Row],[Benchmark '#2 Dates]],Comp2[Comparable '#2 Dates],0)),"-")</f>
        <v>37.44</v>
      </c>
      <c r="J804" s="1" t="str">
        <f>IF(COUNTIF(Comp3[Comparable '#3 Dates],Benchmark2[[#This Row],[Benchmark '#2 Dates]])=1,"Pass","Fail")</f>
        <v>Pass</v>
      </c>
      <c r="K804" s="6">
        <f>IF(Benchmark2[[#This Row],[Comparable '#3 Date Check]]="Pass",INDEX(Comp3[Comparable '#3 Price],MATCH(Benchmark2[[#This Row],[Benchmark '#2 Dates]],Comp3[Comparable '#3 Dates],0)),"-")</f>
        <v>75.45</v>
      </c>
    </row>
    <row r="805" spans="1:11">
      <c r="A805" s="103">
        <v>44452</v>
      </c>
      <c r="B805" s="104">
        <v>16635.3874</v>
      </c>
      <c r="C805" s="4">
        <f t="shared" si="12"/>
        <v>4.3319860134340502E-3</v>
      </c>
      <c r="D805" s="1" t="str">
        <f>IF(COUNTIF(Target1[Target Dates],Benchmark2[[#This Row],[Benchmark '#2 Dates]])=1,"Pass","Fail")</f>
        <v>Pass</v>
      </c>
      <c r="E805" s="6">
        <f>IF(Benchmark2[[#This Row],[Target Date Check]]="Pass",INDEX(Target1[Target Price],MATCH(Benchmark2[[#This Row],[Benchmark '#2 Dates]],Target1[Target Dates],0)),"-")</f>
        <v>33.29</v>
      </c>
      <c r="F805" s="1" t="str">
        <f>IF(COUNTIF(Comp1[Comparable '#1 Dates],Benchmark2[[#This Row],[Benchmark '#2 Dates]])=1,"Pass","Fail")</f>
        <v>Pass</v>
      </c>
      <c r="G805" s="6">
        <f>IF(Benchmark2[[#This Row],[Comparable '#1 Date Check]]="Pass",INDEX(Comp1[Comparable '#1 Price],MATCH(Benchmark2[[#This Row],[Benchmark '#2 Dates]],Comp1[Comparable '#1 Dates],0)),"-")</f>
        <v>17</v>
      </c>
      <c r="H805" s="1" t="str">
        <f>IF(COUNTIF(Comp2[Comparable '#2 Dates],Benchmark2[[#This Row],[Benchmark '#2 Dates]])=1,"Pass","Fail")</f>
        <v>Pass</v>
      </c>
      <c r="I805" s="6">
        <f>IF(Benchmark2[[#This Row],[Comparable '#2 Date Check]]="Pass",INDEX(Comp2[Comparable '#2 Price],MATCH(Benchmark2[[#This Row],[Benchmark '#2 Dates]],Comp2[Comparable '#2 Dates],0)),"-")</f>
        <v>38.25</v>
      </c>
      <c r="J805" s="1" t="str">
        <f>IF(COUNTIF(Comp3[Comparable '#3 Dates],Benchmark2[[#This Row],[Benchmark '#2 Dates]])=1,"Pass","Fail")</f>
        <v>Pass</v>
      </c>
      <c r="K805" s="6">
        <f>IF(Benchmark2[[#This Row],[Comparable '#3 Date Check]]="Pass",INDEX(Comp3[Comparable '#3 Price],MATCH(Benchmark2[[#This Row],[Benchmark '#2 Dates]],Comp3[Comparable '#3 Dates],0)),"-")</f>
        <v>73.459999999999994</v>
      </c>
    </row>
    <row r="806" spans="1:11">
      <c r="A806" s="103">
        <v>44453</v>
      </c>
      <c r="B806" s="104">
        <v>16497.231599999999</v>
      </c>
      <c r="C806" s="4">
        <f t="shared" si="12"/>
        <v>-8.3396124355343895E-3</v>
      </c>
      <c r="D806" s="1" t="str">
        <f>IF(COUNTIF(Target1[Target Dates],Benchmark2[[#This Row],[Benchmark '#2 Dates]])=1,"Pass","Fail")</f>
        <v>Pass</v>
      </c>
      <c r="E806" s="6">
        <f>IF(Benchmark2[[#This Row],[Target Date Check]]="Pass",INDEX(Target1[Target Price],MATCH(Benchmark2[[#This Row],[Benchmark '#2 Dates]],Target1[Target Dates],0)),"-")</f>
        <v>33.79</v>
      </c>
      <c r="F806" s="1" t="str">
        <f>IF(COUNTIF(Comp1[Comparable '#1 Dates],Benchmark2[[#This Row],[Benchmark '#2 Dates]])=1,"Pass","Fail")</f>
        <v>Pass</v>
      </c>
      <c r="G806" s="6">
        <f>IF(Benchmark2[[#This Row],[Comparable '#1 Date Check]]="Pass",INDEX(Comp1[Comparable '#1 Price],MATCH(Benchmark2[[#This Row],[Benchmark '#2 Dates]],Comp1[Comparable '#1 Dates],0)),"-")</f>
        <v>16.96</v>
      </c>
      <c r="H806" s="1" t="str">
        <f>IF(COUNTIF(Comp2[Comparable '#2 Dates],Benchmark2[[#This Row],[Benchmark '#2 Dates]])=1,"Pass","Fail")</f>
        <v>Pass</v>
      </c>
      <c r="I806" s="6">
        <f>IF(Benchmark2[[#This Row],[Comparable '#2 Date Check]]="Pass",INDEX(Comp2[Comparable '#2 Price],MATCH(Benchmark2[[#This Row],[Benchmark '#2 Dates]],Comp2[Comparable '#2 Dates],0)),"-")</f>
        <v>38.01</v>
      </c>
      <c r="J806" s="1" t="str">
        <f>IF(COUNTIF(Comp3[Comparable '#3 Dates],Benchmark2[[#This Row],[Benchmark '#2 Dates]])=1,"Pass","Fail")</f>
        <v>Pass</v>
      </c>
      <c r="K806" s="6">
        <f>IF(Benchmark2[[#This Row],[Comparable '#3 Date Check]]="Pass",INDEX(Comp3[Comparable '#3 Price],MATCH(Benchmark2[[#This Row],[Benchmark '#2 Dates]],Comp3[Comparable '#3 Dates],0)),"-")</f>
        <v>73.64</v>
      </c>
    </row>
    <row r="807" spans="1:11">
      <c r="A807" s="103">
        <v>44454</v>
      </c>
      <c r="B807" s="104">
        <v>16626.883900000001</v>
      </c>
      <c r="C807" s="4">
        <f t="shared" si="12"/>
        <v>7.8283124038222521E-3</v>
      </c>
      <c r="D807" s="1" t="str">
        <f>IF(COUNTIF(Target1[Target Dates],Benchmark2[[#This Row],[Benchmark '#2 Dates]])=1,"Pass","Fail")</f>
        <v>Pass</v>
      </c>
      <c r="E807" s="6">
        <f>IF(Benchmark2[[#This Row],[Target Date Check]]="Pass",INDEX(Target1[Target Price],MATCH(Benchmark2[[#This Row],[Benchmark '#2 Dates]],Target1[Target Dates],0)),"-")</f>
        <v>34.79</v>
      </c>
      <c r="F807" s="1" t="str">
        <f>IF(COUNTIF(Comp1[Comparable '#1 Dates],Benchmark2[[#This Row],[Benchmark '#2 Dates]])=1,"Pass","Fail")</f>
        <v>Pass</v>
      </c>
      <c r="G807" s="6">
        <f>IF(Benchmark2[[#This Row],[Comparable '#1 Date Check]]="Pass",INDEX(Comp1[Comparable '#1 Price],MATCH(Benchmark2[[#This Row],[Benchmark '#2 Dates]],Comp1[Comparable '#1 Dates],0)),"-")</f>
        <v>16.96</v>
      </c>
      <c r="H807" s="1" t="str">
        <f>IF(COUNTIF(Comp2[Comparable '#2 Dates],Benchmark2[[#This Row],[Benchmark '#2 Dates]])=1,"Pass","Fail")</f>
        <v>Pass</v>
      </c>
      <c r="I807" s="6">
        <f>IF(Benchmark2[[#This Row],[Comparable '#2 Date Check]]="Pass",INDEX(Comp2[Comparable '#2 Price],MATCH(Benchmark2[[#This Row],[Benchmark '#2 Dates]],Comp2[Comparable '#2 Dates],0)),"-")</f>
        <v>38.21</v>
      </c>
      <c r="J807" s="1" t="str">
        <f>IF(COUNTIF(Comp3[Comparable '#3 Dates],Benchmark2[[#This Row],[Benchmark '#2 Dates]])=1,"Pass","Fail")</f>
        <v>Pass</v>
      </c>
      <c r="K807" s="6">
        <f>IF(Benchmark2[[#This Row],[Comparable '#3 Date Check]]="Pass",INDEX(Comp3[Comparable '#3 Price],MATCH(Benchmark2[[#This Row],[Benchmark '#2 Dates]],Comp3[Comparable '#3 Dates],0)),"-")</f>
        <v>71.55</v>
      </c>
    </row>
    <row r="808" spans="1:11">
      <c r="A808" s="103">
        <v>44455</v>
      </c>
      <c r="B808" s="104">
        <v>16576.771199999999</v>
      </c>
      <c r="C808" s="4">
        <f t="shared" si="12"/>
        <v>-3.0185073238925713E-3</v>
      </c>
      <c r="D808" s="1" t="str">
        <f>IF(COUNTIF(Target1[Target Dates],Benchmark2[[#This Row],[Benchmark '#2 Dates]])=1,"Pass","Fail")</f>
        <v>Pass</v>
      </c>
      <c r="E808" s="6">
        <f>IF(Benchmark2[[#This Row],[Target Date Check]]="Pass",INDEX(Target1[Target Price],MATCH(Benchmark2[[#This Row],[Benchmark '#2 Dates]],Target1[Target Dates],0)),"-")</f>
        <v>34.93</v>
      </c>
      <c r="F808" s="1" t="str">
        <f>IF(COUNTIF(Comp1[Comparable '#1 Dates],Benchmark2[[#This Row],[Benchmark '#2 Dates]])=1,"Pass","Fail")</f>
        <v>Pass</v>
      </c>
      <c r="G808" s="6">
        <f>IF(Benchmark2[[#This Row],[Comparable '#1 Date Check]]="Pass",INDEX(Comp1[Comparable '#1 Price],MATCH(Benchmark2[[#This Row],[Benchmark '#2 Dates]],Comp1[Comparable '#1 Dates],0)),"-")</f>
        <v>17.5</v>
      </c>
      <c r="H808" s="1" t="str">
        <f>IF(COUNTIF(Comp2[Comparable '#2 Dates],Benchmark2[[#This Row],[Benchmark '#2 Dates]])=1,"Pass","Fail")</f>
        <v>Pass</v>
      </c>
      <c r="I808" s="6">
        <f>IF(Benchmark2[[#This Row],[Comparable '#2 Date Check]]="Pass",INDEX(Comp2[Comparable '#2 Price],MATCH(Benchmark2[[#This Row],[Benchmark '#2 Dates]],Comp2[Comparable '#2 Dates],0)),"-")</f>
        <v>38.1</v>
      </c>
      <c r="J808" s="1" t="str">
        <f>IF(COUNTIF(Comp3[Comparable '#3 Dates],Benchmark2[[#This Row],[Benchmark '#2 Dates]])=1,"Pass","Fail")</f>
        <v>Pass</v>
      </c>
      <c r="K808" s="6">
        <f>IF(Benchmark2[[#This Row],[Comparable '#3 Date Check]]="Pass",INDEX(Comp3[Comparable '#3 Price],MATCH(Benchmark2[[#This Row],[Benchmark '#2 Dates]],Comp3[Comparable '#3 Dates],0)),"-")</f>
        <v>71.33</v>
      </c>
    </row>
    <row r="809" spans="1:11">
      <c r="A809" s="103">
        <v>44456</v>
      </c>
      <c r="B809" s="104">
        <v>16460.3524</v>
      </c>
      <c r="C809" s="4">
        <f t="shared" si="12"/>
        <v>-7.0477855940734588E-3</v>
      </c>
      <c r="D809" s="1" t="str">
        <f>IF(COUNTIF(Target1[Target Dates],Benchmark2[[#This Row],[Benchmark '#2 Dates]])=1,"Pass","Fail")</f>
        <v>Pass</v>
      </c>
      <c r="E809" s="6">
        <f>IF(Benchmark2[[#This Row],[Target Date Check]]="Pass",INDEX(Target1[Target Price],MATCH(Benchmark2[[#This Row],[Benchmark '#2 Dates]],Target1[Target Dates],0)),"-")</f>
        <v>35.68</v>
      </c>
      <c r="F809" s="1" t="str">
        <f>IF(COUNTIF(Comp1[Comparable '#1 Dates],Benchmark2[[#This Row],[Benchmark '#2 Dates]])=1,"Pass","Fail")</f>
        <v>Pass</v>
      </c>
      <c r="G809" s="6">
        <f>IF(Benchmark2[[#This Row],[Comparable '#1 Date Check]]="Pass",INDEX(Comp1[Comparable '#1 Price],MATCH(Benchmark2[[#This Row],[Benchmark '#2 Dates]],Comp1[Comparable '#1 Dates],0)),"-")</f>
        <v>17.489999999999998</v>
      </c>
      <c r="H809" s="1" t="str">
        <f>IF(COUNTIF(Comp2[Comparable '#2 Dates],Benchmark2[[#This Row],[Benchmark '#2 Dates]])=1,"Pass","Fail")</f>
        <v>Pass</v>
      </c>
      <c r="I809" s="6">
        <f>IF(Benchmark2[[#This Row],[Comparable '#2 Date Check]]="Pass",INDEX(Comp2[Comparable '#2 Price],MATCH(Benchmark2[[#This Row],[Benchmark '#2 Dates]],Comp2[Comparable '#2 Dates],0)),"-")</f>
        <v>39.659999999999997</v>
      </c>
      <c r="J809" s="1" t="str">
        <f>IF(COUNTIF(Comp3[Comparable '#3 Dates],Benchmark2[[#This Row],[Benchmark '#2 Dates]])=1,"Pass","Fail")</f>
        <v>Pass</v>
      </c>
      <c r="K809" s="6">
        <f>IF(Benchmark2[[#This Row],[Comparable '#3 Date Check]]="Pass",INDEX(Comp3[Comparable '#3 Price],MATCH(Benchmark2[[#This Row],[Benchmark '#2 Dates]],Comp3[Comparable '#3 Dates],0)),"-")</f>
        <v>70.89</v>
      </c>
    </row>
    <row r="810" spans="1:11">
      <c r="A810" s="103">
        <v>44459</v>
      </c>
      <c r="B810" s="104">
        <v>16168.165300000001</v>
      </c>
      <c r="C810" s="4">
        <f t="shared" si="12"/>
        <v>-1.7910400549149292E-2</v>
      </c>
      <c r="D810" s="1" t="str">
        <f>IF(COUNTIF(Target1[Target Dates],Benchmark2[[#This Row],[Benchmark '#2 Dates]])=1,"Pass","Fail")</f>
        <v>Pass</v>
      </c>
      <c r="E810" s="6">
        <f>IF(Benchmark2[[#This Row],[Target Date Check]]="Pass",INDEX(Target1[Target Price],MATCH(Benchmark2[[#This Row],[Benchmark '#2 Dates]],Target1[Target Dates],0)),"-")</f>
        <v>32.770000000000003</v>
      </c>
      <c r="F810" s="1" t="str">
        <f>IF(COUNTIF(Comp1[Comparable '#1 Dates],Benchmark2[[#This Row],[Benchmark '#2 Dates]])=1,"Pass","Fail")</f>
        <v>Pass</v>
      </c>
      <c r="G810" s="6">
        <f>IF(Benchmark2[[#This Row],[Comparable '#1 Date Check]]="Pass",INDEX(Comp1[Comparable '#1 Price],MATCH(Benchmark2[[#This Row],[Benchmark '#2 Dates]],Comp1[Comparable '#1 Dates],0)),"-")</f>
        <v>17.190000000000001</v>
      </c>
      <c r="H810" s="1" t="str">
        <f>IF(COUNTIF(Comp2[Comparable '#2 Dates],Benchmark2[[#This Row],[Benchmark '#2 Dates]])=1,"Pass","Fail")</f>
        <v>Pass</v>
      </c>
      <c r="I810" s="6">
        <f>IF(Benchmark2[[#This Row],[Comparable '#2 Date Check]]="Pass",INDEX(Comp2[Comparable '#2 Price],MATCH(Benchmark2[[#This Row],[Benchmark '#2 Dates]],Comp2[Comparable '#2 Dates],0)),"-")</f>
        <v>38.56</v>
      </c>
      <c r="J810" s="1" t="str">
        <f>IF(COUNTIF(Comp3[Comparable '#3 Dates],Benchmark2[[#This Row],[Benchmark '#2 Dates]])=1,"Pass","Fail")</f>
        <v>Pass</v>
      </c>
      <c r="K810" s="6">
        <f>IF(Benchmark2[[#This Row],[Comparable '#3 Date Check]]="Pass",INDEX(Comp3[Comparable '#3 Price],MATCH(Benchmark2[[#This Row],[Benchmark '#2 Dates]],Comp3[Comparable '#3 Dates],0)),"-")</f>
        <v>70.72</v>
      </c>
    </row>
    <row r="811" spans="1:11">
      <c r="A811" s="103">
        <v>44460</v>
      </c>
      <c r="B811" s="104">
        <v>16184.503000000001</v>
      </c>
      <c r="C811" s="4">
        <f t="shared" si="12"/>
        <v>1.009975513443001E-3</v>
      </c>
      <c r="D811" s="1" t="str">
        <f>IF(COUNTIF(Target1[Target Dates],Benchmark2[[#This Row],[Benchmark '#2 Dates]])=1,"Pass","Fail")</f>
        <v>Pass</v>
      </c>
      <c r="E811" s="6">
        <f>IF(Benchmark2[[#This Row],[Target Date Check]]="Pass",INDEX(Target1[Target Price],MATCH(Benchmark2[[#This Row],[Benchmark '#2 Dates]],Target1[Target Dates],0)),"-")</f>
        <v>33.6</v>
      </c>
      <c r="F811" s="1" t="str">
        <f>IF(COUNTIF(Comp1[Comparable '#1 Dates],Benchmark2[[#This Row],[Benchmark '#2 Dates]])=1,"Pass","Fail")</f>
        <v>Pass</v>
      </c>
      <c r="G811" s="6">
        <f>IF(Benchmark2[[#This Row],[Comparable '#1 Date Check]]="Pass",INDEX(Comp1[Comparable '#1 Price],MATCH(Benchmark2[[#This Row],[Benchmark '#2 Dates]],Comp1[Comparable '#1 Dates],0)),"-")</f>
        <v>17.170000000000002</v>
      </c>
      <c r="H811" s="1" t="str">
        <f>IF(COUNTIF(Comp2[Comparable '#2 Dates],Benchmark2[[#This Row],[Benchmark '#2 Dates]])=1,"Pass","Fail")</f>
        <v>Pass</v>
      </c>
      <c r="I811" s="6">
        <f>IF(Benchmark2[[#This Row],[Comparable '#2 Date Check]]="Pass",INDEX(Comp2[Comparable '#2 Price],MATCH(Benchmark2[[#This Row],[Benchmark '#2 Dates]],Comp2[Comparable '#2 Dates],0)),"-")</f>
        <v>38.17</v>
      </c>
      <c r="J811" s="1" t="str">
        <f>IF(COUNTIF(Comp3[Comparable '#3 Dates],Benchmark2[[#This Row],[Benchmark '#2 Dates]])=1,"Pass","Fail")</f>
        <v>Pass</v>
      </c>
      <c r="K811" s="6">
        <f>IF(Benchmark2[[#This Row],[Comparable '#3 Date Check]]="Pass",INDEX(Comp3[Comparable '#3 Price],MATCH(Benchmark2[[#This Row],[Benchmark '#2 Dates]],Comp3[Comparable '#3 Dates],0)),"-")</f>
        <v>69.78</v>
      </c>
    </row>
    <row r="812" spans="1:11">
      <c r="A812" s="103">
        <v>44461</v>
      </c>
      <c r="B812" s="104">
        <v>16352.180399999999</v>
      </c>
      <c r="C812" s="4">
        <f t="shared" si="12"/>
        <v>1.0307066788507652E-2</v>
      </c>
      <c r="D812" s="1" t="str">
        <f>IF(COUNTIF(Target1[Target Dates],Benchmark2[[#This Row],[Benchmark '#2 Dates]])=1,"Pass","Fail")</f>
        <v>Pass</v>
      </c>
      <c r="E812" s="6">
        <f>IF(Benchmark2[[#This Row],[Target Date Check]]="Pass",INDEX(Target1[Target Price],MATCH(Benchmark2[[#This Row],[Benchmark '#2 Dates]],Target1[Target Dates],0)),"-")</f>
        <v>34.229999999999997</v>
      </c>
      <c r="F812" s="1" t="str">
        <f>IF(COUNTIF(Comp1[Comparable '#1 Dates],Benchmark2[[#This Row],[Benchmark '#2 Dates]])=1,"Pass","Fail")</f>
        <v>Pass</v>
      </c>
      <c r="G812" s="6">
        <f>IF(Benchmark2[[#This Row],[Comparable '#1 Date Check]]="Pass",INDEX(Comp1[Comparable '#1 Price],MATCH(Benchmark2[[#This Row],[Benchmark '#2 Dates]],Comp1[Comparable '#1 Dates],0)),"-")</f>
        <v>17.149999999999999</v>
      </c>
      <c r="H812" s="1" t="str">
        <f>IF(COUNTIF(Comp2[Comparable '#2 Dates],Benchmark2[[#This Row],[Benchmark '#2 Dates]])=1,"Pass","Fail")</f>
        <v>Pass</v>
      </c>
      <c r="I812" s="6">
        <f>IF(Benchmark2[[#This Row],[Comparable '#2 Date Check]]="Pass",INDEX(Comp2[Comparable '#2 Price],MATCH(Benchmark2[[#This Row],[Benchmark '#2 Dates]],Comp2[Comparable '#2 Dates],0)),"-")</f>
        <v>38.24</v>
      </c>
      <c r="J812" s="1" t="str">
        <f>IF(COUNTIF(Comp3[Comparable '#3 Dates],Benchmark2[[#This Row],[Benchmark '#2 Dates]])=1,"Pass","Fail")</f>
        <v>Pass</v>
      </c>
      <c r="K812" s="6">
        <f>IF(Benchmark2[[#This Row],[Comparable '#3 Date Check]]="Pass",INDEX(Comp3[Comparable '#3 Price],MATCH(Benchmark2[[#This Row],[Benchmark '#2 Dates]],Comp3[Comparable '#3 Dates],0)),"-")</f>
        <v>69.83</v>
      </c>
    </row>
    <row r="813" spans="1:11">
      <c r="A813" s="103">
        <v>44462</v>
      </c>
      <c r="B813" s="104">
        <v>16567.2641</v>
      </c>
      <c r="C813" s="4">
        <f t="shared" si="12"/>
        <v>1.3067459908420306E-2</v>
      </c>
      <c r="D813" s="1" t="str">
        <f>IF(COUNTIF(Target1[Target Dates],Benchmark2[[#This Row],[Benchmark '#2 Dates]])=1,"Pass","Fail")</f>
        <v>Pass</v>
      </c>
      <c r="E813" s="6">
        <f>IF(Benchmark2[[#This Row],[Target Date Check]]="Pass",INDEX(Target1[Target Price],MATCH(Benchmark2[[#This Row],[Benchmark '#2 Dates]],Target1[Target Dates],0)),"-")</f>
        <v>35.03</v>
      </c>
      <c r="F813" s="1" t="str">
        <f>IF(COUNTIF(Comp1[Comparable '#1 Dates],Benchmark2[[#This Row],[Benchmark '#2 Dates]])=1,"Pass","Fail")</f>
        <v>Pass</v>
      </c>
      <c r="G813" s="6">
        <f>IF(Benchmark2[[#This Row],[Comparable '#1 Date Check]]="Pass",INDEX(Comp1[Comparable '#1 Price],MATCH(Benchmark2[[#This Row],[Benchmark '#2 Dates]],Comp1[Comparable '#1 Dates],0)),"-")</f>
        <v>17.54</v>
      </c>
      <c r="H813" s="1" t="str">
        <f>IF(COUNTIF(Comp2[Comparable '#2 Dates],Benchmark2[[#This Row],[Benchmark '#2 Dates]])=1,"Pass","Fail")</f>
        <v>Pass</v>
      </c>
      <c r="I813" s="6">
        <f>IF(Benchmark2[[#This Row],[Comparable '#2 Date Check]]="Pass",INDEX(Comp2[Comparable '#2 Price],MATCH(Benchmark2[[#This Row],[Benchmark '#2 Dates]],Comp2[Comparable '#2 Dates],0)),"-")</f>
        <v>38.5</v>
      </c>
      <c r="J813" s="1" t="str">
        <f>IF(COUNTIF(Comp3[Comparable '#3 Dates],Benchmark2[[#This Row],[Benchmark '#2 Dates]])=1,"Pass","Fail")</f>
        <v>Pass</v>
      </c>
      <c r="K813" s="6">
        <f>IF(Benchmark2[[#This Row],[Comparable '#3 Date Check]]="Pass",INDEX(Comp3[Comparable '#3 Price],MATCH(Benchmark2[[#This Row],[Benchmark '#2 Dates]],Comp3[Comparable '#3 Dates],0)),"-")</f>
        <v>71.349999999999994</v>
      </c>
    </row>
    <row r="814" spans="1:11">
      <c r="A814" s="103">
        <v>44463</v>
      </c>
      <c r="B814" s="104">
        <v>16539.148399999998</v>
      </c>
      <c r="C814" s="4">
        <f t="shared" si="12"/>
        <v>-1.6985051919653044E-3</v>
      </c>
      <c r="D814" s="1" t="str">
        <f>IF(COUNTIF(Target1[Target Dates],Benchmark2[[#This Row],[Benchmark '#2 Dates]])=1,"Pass","Fail")</f>
        <v>Pass</v>
      </c>
      <c r="E814" s="6">
        <f>IF(Benchmark2[[#This Row],[Target Date Check]]="Pass",INDEX(Target1[Target Price],MATCH(Benchmark2[[#This Row],[Benchmark '#2 Dates]],Target1[Target Dates],0)),"-")</f>
        <v>36.020000000000003</v>
      </c>
      <c r="F814" s="1" t="str">
        <f>IF(COUNTIF(Comp1[Comparable '#1 Dates],Benchmark2[[#This Row],[Benchmark '#2 Dates]])=1,"Pass","Fail")</f>
        <v>Pass</v>
      </c>
      <c r="G814" s="6">
        <f>IF(Benchmark2[[#This Row],[Comparable '#1 Date Check]]="Pass",INDEX(Comp1[Comparable '#1 Price],MATCH(Benchmark2[[#This Row],[Benchmark '#2 Dates]],Comp1[Comparable '#1 Dates],0)),"-")</f>
        <v>17.239999999999998</v>
      </c>
      <c r="H814" s="1" t="str">
        <f>IF(COUNTIF(Comp2[Comparable '#2 Dates],Benchmark2[[#This Row],[Benchmark '#2 Dates]])=1,"Pass","Fail")</f>
        <v>Pass</v>
      </c>
      <c r="I814" s="6">
        <f>IF(Benchmark2[[#This Row],[Comparable '#2 Date Check]]="Pass",INDEX(Comp2[Comparable '#2 Price],MATCH(Benchmark2[[#This Row],[Benchmark '#2 Dates]],Comp2[Comparable '#2 Dates],0)),"-")</f>
        <v>38.68</v>
      </c>
      <c r="J814" s="1" t="str">
        <f>IF(COUNTIF(Comp3[Comparable '#3 Dates],Benchmark2[[#This Row],[Benchmark '#2 Dates]])=1,"Pass","Fail")</f>
        <v>Pass</v>
      </c>
      <c r="K814" s="6">
        <f>IF(Benchmark2[[#This Row],[Comparable '#3 Date Check]]="Pass",INDEX(Comp3[Comparable '#3 Price],MATCH(Benchmark2[[#This Row],[Benchmark '#2 Dates]],Comp3[Comparable '#3 Dates],0)),"-")</f>
        <v>71.88</v>
      </c>
    </row>
    <row r="815" spans="1:11">
      <c r="A815" s="103">
        <v>44466</v>
      </c>
      <c r="B815" s="104">
        <v>16599.7942</v>
      </c>
      <c r="C815" s="4">
        <f t="shared" si="12"/>
        <v>3.660096728763568E-3</v>
      </c>
      <c r="D815" s="1" t="str">
        <f>IF(COUNTIF(Target1[Target Dates],Benchmark2[[#This Row],[Benchmark '#2 Dates]])=1,"Pass","Fail")</f>
        <v>Pass</v>
      </c>
      <c r="E815" s="6">
        <f>IF(Benchmark2[[#This Row],[Target Date Check]]="Pass",INDEX(Target1[Target Price],MATCH(Benchmark2[[#This Row],[Benchmark '#2 Dates]],Target1[Target Dates],0)),"-")</f>
        <v>36.369999999999997</v>
      </c>
      <c r="F815" s="1" t="str">
        <f>IF(COUNTIF(Comp1[Comparable '#1 Dates],Benchmark2[[#This Row],[Benchmark '#2 Dates]])=1,"Pass","Fail")</f>
        <v>Pass</v>
      </c>
      <c r="G815" s="6">
        <f>IF(Benchmark2[[#This Row],[Comparable '#1 Date Check]]="Pass",INDEX(Comp1[Comparable '#1 Price],MATCH(Benchmark2[[#This Row],[Benchmark '#2 Dates]],Comp1[Comparable '#1 Dates],0)),"-")</f>
        <v>17.739999999999998</v>
      </c>
      <c r="H815" s="1" t="str">
        <f>IF(COUNTIF(Comp2[Comparable '#2 Dates],Benchmark2[[#This Row],[Benchmark '#2 Dates]])=1,"Pass","Fail")</f>
        <v>Pass</v>
      </c>
      <c r="I815" s="6">
        <f>IF(Benchmark2[[#This Row],[Comparable '#2 Date Check]]="Pass",INDEX(Comp2[Comparable '#2 Price],MATCH(Benchmark2[[#This Row],[Benchmark '#2 Dates]],Comp2[Comparable '#2 Dates],0)),"-")</f>
        <v>38.96</v>
      </c>
      <c r="J815" s="1" t="str">
        <f>IF(COUNTIF(Comp3[Comparable '#3 Dates],Benchmark2[[#This Row],[Benchmark '#2 Dates]])=1,"Pass","Fail")</f>
        <v>Pass</v>
      </c>
      <c r="K815" s="6">
        <f>IF(Benchmark2[[#This Row],[Comparable '#3 Date Check]]="Pass",INDEX(Comp3[Comparable '#3 Price],MATCH(Benchmark2[[#This Row],[Benchmark '#2 Dates]],Comp3[Comparable '#3 Dates],0)),"-")</f>
        <v>72.75</v>
      </c>
    </row>
    <row r="816" spans="1:11">
      <c r="A816" s="103">
        <v>44467</v>
      </c>
      <c r="B816" s="104">
        <v>16328.784799999999</v>
      </c>
      <c r="C816" s="4">
        <f t="shared" si="12"/>
        <v>-1.6460808668631793E-2</v>
      </c>
      <c r="D816" s="1" t="str">
        <f>IF(COUNTIF(Target1[Target Dates],Benchmark2[[#This Row],[Benchmark '#2 Dates]])=1,"Pass","Fail")</f>
        <v>Pass</v>
      </c>
      <c r="E816" s="6">
        <f>IF(Benchmark2[[#This Row],[Target Date Check]]="Pass",INDEX(Target1[Target Price],MATCH(Benchmark2[[#This Row],[Benchmark '#2 Dates]],Target1[Target Dates],0)),"-")</f>
        <v>35.33</v>
      </c>
      <c r="F816" s="1" t="str">
        <f>IF(COUNTIF(Comp1[Comparable '#1 Dates],Benchmark2[[#This Row],[Benchmark '#2 Dates]])=1,"Pass","Fail")</f>
        <v>Pass</v>
      </c>
      <c r="G816" s="6">
        <f>IF(Benchmark2[[#This Row],[Comparable '#1 Date Check]]="Pass",INDEX(Comp1[Comparable '#1 Price],MATCH(Benchmark2[[#This Row],[Benchmark '#2 Dates]],Comp1[Comparable '#1 Dates],0)),"-")</f>
        <v>17.52</v>
      </c>
      <c r="H816" s="1" t="str">
        <f>IF(COUNTIF(Comp2[Comparable '#2 Dates],Benchmark2[[#This Row],[Benchmark '#2 Dates]])=1,"Pass","Fail")</f>
        <v>Pass</v>
      </c>
      <c r="I816" s="6">
        <f>IF(Benchmark2[[#This Row],[Comparable '#2 Date Check]]="Pass",INDEX(Comp2[Comparable '#2 Price],MATCH(Benchmark2[[#This Row],[Benchmark '#2 Dates]],Comp2[Comparable '#2 Dates],0)),"-")</f>
        <v>39.04</v>
      </c>
      <c r="J816" s="1" t="str">
        <f>IF(COUNTIF(Comp3[Comparable '#3 Dates],Benchmark2[[#This Row],[Benchmark '#2 Dates]])=1,"Pass","Fail")</f>
        <v>Pass</v>
      </c>
      <c r="K816" s="6">
        <f>IF(Benchmark2[[#This Row],[Comparable '#3 Date Check]]="Pass",INDEX(Comp3[Comparable '#3 Price],MATCH(Benchmark2[[#This Row],[Benchmark '#2 Dates]],Comp3[Comparable '#3 Dates],0)),"-")</f>
        <v>71.510000000000005</v>
      </c>
    </row>
    <row r="817" spans="1:11">
      <c r="A817" s="103">
        <v>44468</v>
      </c>
      <c r="B817" s="104">
        <v>16344.888300000001</v>
      </c>
      <c r="C817" s="4">
        <f t="shared" si="12"/>
        <v>9.8571723201203729E-4</v>
      </c>
      <c r="D817" s="1" t="str">
        <f>IF(COUNTIF(Target1[Target Dates],Benchmark2[[#This Row],[Benchmark '#2 Dates]])=1,"Pass","Fail")</f>
        <v>Pass</v>
      </c>
      <c r="E817" s="6">
        <f>IF(Benchmark2[[#This Row],[Target Date Check]]="Pass",INDEX(Target1[Target Price],MATCH(Benchmark2[[#This Row],[Benchmark '#2 Dates]],Target1[Target Dates],0)),"-")</f>
        <v>35.07</v>
      </c>
      <c r="F817" s="1" t="str">
        <f>IF(COUNTIF(Comp1[Comparable '#1 Dates],Benchmark2[[#This Row],[Benchmark '#2 Dates]])=1,"Pass","Fail")</f>
        <v>Pass</v>
      </c>
      <c r="G817" s="6">
        <f>IF(Benchmark2[[#This Row],[Comparable '#1 Date Check]]="Pass",INDEX(Comp1[Comparable '#1 Price],MATCH(Benchmark2[[#This Row],[Benchmark '#2 Dates]],Comp1[Comparable '#1 Dates],0)),"-")</f>
        <v>17.170000000000002</v>
      </c>
      <c r="H817" s="1" t="str">
        <f>IF(COUNTIF(Comp2[Comparable '#2 Dates],Benchmark2[[#This Row],[Benchmark '#2 Dates]])=1,"Pass","Fail")</f>
        <v>Pass</v>
      </c>
      <c r="I817" s="6">
        <f>IF(Benchmark2[[#This Row],[Comparable '#2 Date Check]]="Pass",INDEX(Comp2[Comparable '#2 Price],MATCH(Benchmark2[[#This Row],[Benchmark '#2 Dates]],Comp2[Comparable '#2 Dates],0)),"-")</f>
        <v>38.31</v>
      </c>
      <c r="J817" s="1" t="str">
        <f>IF(COUNTIF(Comp3[Comparable '#3 Dates],Benchmark2[[#This Row],[Benchmark '#2 Dates]])=1,"Pass","Fail")</f>
        <v>Pass</v>
      </c>
      <c r="K817" s="6">
        <f>IF(Benchmark2[[#This Row],[Comparable '#3 Date Check]]="Pass",INDEX(Comp3[Comparable '#3 Price],MATCH(Benchmark2[[#This Row],[Benchmark '#2 Dates]],Comp3[Comparable '#3 Dates],0)),"-")</f>
        <v>71.680000000000007</v>
      </c>
    </row>
    <row r="818" spans="1:11">
      <c r="A818" s="103">
        <v>44469</v>
      </c>
      <c r="B818" s="104">
        <v>16144.923699999999</v>
      </c>
      <c r="C818" s="4">
        <f t="shared" si="12"/>
        <v>-1.2309527980932159E-2</v>
      </c>
      <c r="D818" s="1" t="str">
        <f>IF(COUNTIF(Target1[Target Dates],Benchmark2[[#This Row],[Benchmark '#2 Dates]])=1,"Pass","Fail")</f>
        <v>Pass</v>
      </c>
      <c r="E818" s="6">
        <f>IF(Benchmark2[[#This Row],[Target Date Check]]="Pass",INDEX(Target1[Target Price],MATCH(Benchmark2[[#This Row],[Benchmark '#2 Dates]],Target1[Target Dates],0)),"-")</f>
        <v>35.94</v>
      </c>
      <c r="F818" s="1" t="str">
        <f>IF(COUNTIF(Comp1[Comparable '#1 Dates],Benchmark2[[#This Row],[Benchmark '#2 Dates]])=1,"Pass","Fail")</f>
        <v>Pass</v>
      </c>
      <c r="G818" s="6">
        <f>IF(Benchmark2[[#This Row],[Comparable '#1 Date Check]]="Pass",INDEX(Comp1[Comparable '#1 Price],MATCH(Benchmark2[[#This Row],[Benchmark '#2 Dates]],Comp1[Comparable '#1 Dates],0)),"-")</f>
        <v>16.989999999999998</v>
      </c>
      <c r="H818" s="1" t="str">
        <f>IF(COUNTIF(Comp2[Comparable '#2 Dates],Benchmark2[[#This Row],[Benchmark '#2 Dates]])=1,"Pass","Fail")</f>
        <v>Pass</v>
      </c>
      <c r="I818" s="6">
        <f>IF(Benchmark2[[#This Row],[Comparable '#2 Date Check]]="Pass",INDEX(Comp2[Comparable '#2 Price],MATCH(Benchmark2[[#This Row],[Benchmark '#2 Dates]],Comp2[Comparable '#2 Dates],0)),"-")</f>
        <v>37.81</v>
      </c>
      <c r="J818" s="1" t="str">
        <f>IF(COUNTIF(Comp3[Comparable '#3 Dates],Benchmark2[[#This Row],[Benchmark '#2 Dates]])=1,"Pass","Fail")</f>
        <v>Pass</v>
      </c>
      <c r="K818" s="6">
        <f>IF(Benchmark2[[#This Row],[Comparable '#3 Date Check]]="Pass",INDEX(Comp3[Comparable '#3 Price],MATCH(Benchmark2[[#This Row],[Benchmark '#2 Dates]],Comp3[Comparable '#3 Dates],0)),"-")</f>
        <v>70.5</v>
      </c>
    </row>
    <row r="819" spans="1:11">
      <c r="A819" s="103">
        <v>44470</v>
      </c>
      <c r="B819" s="104">
        <v>16323.7441</v>
      </c>
      <c r="C819" s="4">
        <f t="shared" si="12"/>
        <v>1.1015062838123981E-2</v>
      </c>
      <c r="D819" s="1" t="str">
        <f>IF(COUNTIF(Target1[Target Dates],Benchmark2[[#This Row],[Benchmark '#2 Dates]])=1,"Pass","Fail")</f>
        <v>Pass</v>
      </c>
      <c r="E819" s="6">
        <f>IF(Benchmark2[[#This Row],[Target Date Check]]="Pass",INDEX(Target1[Target Price],MATCH(Benchmark2[[#This Row],[Benchmark '#2 Dates]],Target1[Target Dates],0)),"-")</f>
        <v>35.72</v>
      </c>
      <c r="F819" s="1" t="str">
        <f>IF(COUNTIF(Comp1[Comparable '#1 Dates],Benchmark2[[#This Row],[Benchmark '#2 Dates]])=1,"Pass","Fail")</f>
        <v>Pass</v>
      </c>
      <c r="G819" s="6">
        <f>IF(Benchmark2[[#This Row],[Comparable '#1 Date Check]]="Pass",INDEX(Comp1[Comparable '#1 Price],MATCH(Benchmark2[[#This Row],[Benchmark '#2 Dates]],Comp1[Comparable '#1 Dates],0)),"-")</f>
        <v>17.989999999999998</v>
      </c>
      <c r="H819" s="1" t="str">
        <f>IF(COUNTIF(Comp2[Comparable '#2 Dates],Benchmark2[[#This Row],[Benchmark '#2 Dates]])=1,"Pass","Fail")</f>
        <v>Pass</v>
      </c>
      <c r="I819" s="6">
        <f>IF(Benchmark2[[#This Row],[Comparable '#2 Date Check]]="Pass",INDEX(Comp2[Comparable '#2 Price],MATCH(Benchmark2[[#This Row],[Benchmark '#2 Dates]],Comp2[Comparable '#2 Dates],0)),"-")</f>
        <v>37.54</v>
      </c>
      <c r="J819" s="1" t="str">
        <f>IF(COUNTIF(Comp3[Comparable '#3 Dates],Benchmark2[[#This Row],[Benchmark '#2 Dates]])=1,"Pass","Fail")</f>
        <v>Pass</v>
      </c>
      <c r="K819" s="6">
        <f>IF(Benchmark2[[#This Row],[Comparable '#3 Date Check]]="Pass",INDEX(Comp3[Comparable '#3 Price],MATCH(Benchmark2[[#This Row],[Benchmark '#2 Dates]],Comp3[Comparable '#3 Dates],0)),"-")</f>
        <v>71.95</v>
      </c>
    </row>
    <row r="820" spans="1:11">
      <c r="A820" s="103">
        <v>44473</v>
      </c>
      <c r="B820" s="104">
        <v>16198.5581</v>
      </c>
      <c r="C820" s="4">
        <f t="shared" si="12"/>
        <v>-7.6985090116430104E-3</v>
      </c>
      <c r="D820" s="1" t="str">
        <f>IF(COUNTIF(Target1[Target Dates],Benchmark2[[#This Row],[Benchmark '#2 Dates]])=1,"Pass","Fail")</f>
        <v>Pass</v>
      </c>
      <c r="E820" s="6">
        <f>IF(Benchmark2[[#This Row],[Target Date Check]]="Pass",INDEX(Target1[Target Price],MATCH(Benchmark2[[#This Row],[Benchmark '#2 Dates]],Target1[Target Dates],0)),"-")</f>
        <v>35.97</v>
      </c>
      <c r="F820" s="1" t="str">
        <f>IF(COUNTIF(Comp1[Comparable '#1 Dates],Benchmark2[[#This Row],[Benchmark '#2 Dates]])=1,"Pass","Fail")</f>
        <v>Pass</v>
      </c>
      <c r="G820" s="6">
        <f>IF(Benchmark2[[#This Row],[Comparable '#1 Date Check]]="Pass",INDEX(Comp1[Comparable '#1 Price],MATCH(Benchmark2[[#This Row],[Benchmark '#2 Dates]],Comp1[Comparable '#1 Dates],0)),"-")</f>
        <v>17.84</v>
      </c>
      <c r="H820" s="1" t="str">
        <f>IF(COUNTIF(Comp2[Comparable '#2 Dates],Benchmark2[[#This Row],[Benchmark '#2 Dates]])=1,"Pass","Fail")</f>
        <v>Pass</v>
      </c>
      <c r="I820" s="6">
        <f>IF(Benchmark2[[#This Row],[Comparable '#2 Date Check]]="Pass",INDEX(Comp2[Comparable '#2 Price],MATCH(Benchmark2[[#This Row],[Benchmark '#2 Dates]],Comp2[Comparable '#2 Dates],0)),"-")</f>
        <v>38.25</v>
      </c>
      <c r="J820" s="1" t="str">
        <f>IF(COUNTIF(Comp3[Comparable '#3 Dates],Benchmark2[[#This Row],[Benchmark '#2 Dates]])=1,"Pass","Fail")</f>
        <v>Pass</v>
      </c>
      <c r="K820" s="6">
        <f>IF(Benchmark2[[#This Row],[Comparable '#3 Date Check]]="Pass",INDEX(Comp3[Comparable '#3 Price],MATCH(Benchmark2[[#This Row],[Benchmark '#2 Dates]],Comp3[Comparable '#3 Dates],0)),"-")</f>
        <v>72.92</v>
      </c>
    </row>
    <row r="821" spans="1:11">
      <c r="A821" s="103">
        <v>44474</v>
      </c>
      <c r="B821" s="104">
        <v>16327.0856</v>
      </c>
      <c r="C821" s="4">
        <f t="shared" si="12"/>
        <v>7.9031898753373925E-3</v>
      </c>
      <c r="D821" s="1" t="str">
        <f>IF(COUNTIF(Target1[Target Dates],Benchmark2[[#This Row],[Benchmark '#2 Dates]])=1,"Pass","Fail")</f>
        <v>Pass</v>
      </c>
      <c r="E821" s="6">
        <f>IF(Benchmark2[[#This Row],[Target Date Check]]="Pass",INDEX(Target1[Target Price],MATCH(Benchmark2[[#This Row],[Benchmark '#2 Dates]],Target1[Target Dates],0)),"-")</f>
        <v>36.380000000000003</v>
      </c>
      <c r="F821" s="1" t="str">
        <f>IF(COUNTIF(Comp1[Comparable '#1 Dates],Benchmark2[[#This Row],[Benchmark '#2 Dates]])=1,"Pass","Fail")</f>
        <v>Pass</v>
      </c>
      <c r="G821" s="6">
        <f>IF(Benchmark2[[#This Row],[Comparable '#1 Date Check]]="Pass",INDEX(Comp1[Comparable '#1 Price],MATCH(Benchmark2[[#This Row],[Benchmark '#2 Dates]],Comp1[Comparable '#1 Dates],0)),"-")</f>
        <v>18.170000000000002</v>
      </c>
      <c r="H821" s="1" t="str">
        <f>IF(COUNTIF(Comp2[Comparable '#2 Dates],Benchmark2[[#This Row],[Benchmark '#2 Dates]])=1,"Pass","Fail")</f>
        <v>Pass</v>
      </c>
      <c r="I821" s="6">
        <f>IF(Benchmark2[[#This Row],[Comparable '#2 Date Check]]="Pass",INDEX(Comp2[Comparable '#2 Price],MATCH(Benchmark2[[#This Row],[Benchmark '#2 Dates]],Comp2[Comparable '#2 Dates],0)),"-")</f>
        <v>39.07</v>
      </c>
      <c r="J821" s="1" t="str">
        <f>IF(COUNTIF(Comp3[Comparable '#3 Dates],Benchmark2[[#This Row],[Benchmark '#2 Dates]])=1,"Pass","Fail")</f>
        <v>Pass</v>
      </c>
      <c r="K821" s="6">
        <f>IF(Benchmark2[[#This Row],[Comparable '#3 Date Check]]="Pass",INDEX(Comp3[Comparable '#3 Price],MATCH(Benchmark2[[#This Row],[Benchmark '#2 Dates]],Comp3[Comparable '#3 Dates],0)),"-")</f>
        <v>72.290000000000006</v>
      </c>
    </row>
    <row r="822" spans="1:11">
      <c r="A822" s="103">
        <v>44475</v>
      </c>
      <c r="B822" s="104">
        <v>16338.4553</v>
      </c>
      <c r="C822" s="4">
        <f t="shared" si="12"/>
        <v>6.9612809988039753E-4</v>
      </c>
      <c r="D822" s="1" t="str">
        <f>IF(COUNTIF(Target1[Target Dates],Benchmark2[[#This Row],[Benchmark '#2 Dates]])=1,"Pass","Fail")</f>
        <v>Pass</v>
      </c>
      <c r="E822" s="6">
        <f>IF(Benchmark2[[#This Row],[Target Date Check]]="Pass",INDEX(Target1[Target Price],MATCH(Benchmark2[[#This Row],[Benchmark '#2 Dates]],Target1[Target Dates],0)),"-")</f>
        <v>36.49</v>
      </c>
      <c r="F822" s="1" t="str">
        <f>IF(COUNTIF(Comp1[Comparable '#1 Dates],Benchmark2[[#This Row],[Benchmark '#2 Dates]])=1,"Pass","Fail")</f>
        <v>Pass</v>
      </c>
      <c r="G822" s="6">
        <f>IF(Benchmark2[[#This Row],[Comparable '#1 Date Check]]="Pass",INDEX(Comp1[Comparable '#1 Price],MATCH(Benchmark2[[#This Row],[Benchmark '#2 Dates]],Comp1[Comparable '#1 Dates],0)),"-")</f>
        <v>17.48</v>
      </c>
      <c r="H822" s="1" t="str">
        <f>IF(COUNTIF(Comp2[Comparable '#2 Dates],Benchmark2[[#This Row],[Benchmark '#2 Dates]])=1,"Pass","Fail")</f>
        <v>Pass</v>
      </c>
      <c r="I822" s="6">
        <f>IF(Benchmark2[[#This Row],[Comparable '#2 Date Check]]="Pass",INDEX(Comp2[Comparable '#2 Price],MATCH(Benchmark2[[#This Row],[Benchmark '#2 Dates]],Comp2[Comparable '#2 Dates],0)),"-")</f>
        <v>38.700000000000003</v>
      </c>
      <c r="J822" s="1" t="str">
        <f>IF(COUNTIF(Comp3[Comparable '#3 Dates],Benchmark2[[#This Row],[Benchmark '#2 Dates]])=1,"Pass","Fail")</f>
        <v>Pass</v>
      </c>
      <c r="K822" s="6">
        <f>IF(Benchmark2[[#This Row],[Comparable '#3 Date Check]]="Pass",INDEX(Comp3[Comparable '#3 Price],MATCH(Benchmark2[[#This Row],[Benchmark '#2 Dates]],Comp3[Comparable '#3 Dates],0)),"-")</f>
        <v>71.959999999999994</v>
      </c>
    </row>
    <row r="823" spans="1:11">
      <c r="A823" s="103">
        <v>44476</v>
      </c>
      <c r="B823" s="104">
        <v>16511.8069</v>
      </c>
      <c r="C823" s="4">
        <f t="shared" si="12"/>
        <v>1.05541446261447E-2</v>
      </c>
      <c r="D823" s="1" t="str">
        <f>IF(COUNTIF(Target1[Target Dates],Benchmark2[[#This Row],[Benchmark '#2 Dates]])=1,"Pass","Fail")</f>
        <v>Pass</v>
      </c>
      <c r="E823" s="6">
        <f>IF(Benchmark2[[#This Row],[Target Date Check]]="Pass",INDEX(Target1[Target Price],MATCH(Benchmark2[[#This Row],[Benchmark '#2 Dates]],Target1[Target Dates],0)),"-")</f>
        <v>36.659999999999997</v>
      </c>
      <c r="F823" s="1" t="str">
        <f>IF(COUNTIF(Comp1[Comparable '#1 Dates],Benchmark2[[#This Row],[Benchmark '#2 Dates]])=1,"Pass","Fail")</f>
        <v>Pass</v>
      </c>
      <c r="G823" s="6">
        <f>IF(Benchmark2[[#This Row],[Comparable '#1 Date Check]]="Pass",INDEX(Comp1[Comparable '#1 Price],MATCH(Benchmark2[[#This Row],[Benchmark '#2 Dates]],Comp1[Comparable '#1 Dates],0)),"-")</f>
        <v>17.579999999999998</v>
      </c>
      <c r="H823" s="1" t="str">
        <f>IF(COUNTIF(Comp2[Comparable '#2 Dates],Benchmark2[[#This Row],[Benchmark '#2 Dates]])=1,"Pass","Fail")</f>
        <v>Pass</v>
      </c>
      <c r="I823" s="6">
        <f>IF(Benchmark2[[#This Row],[Comparable '#2 Date Check]]="Pass",INDEX(Comp2[Comparable '#2 Price],MATCH(Benchmark2[[#This Row],[Benchmark '#2 Dates]],Comp2[Comparable '#2 Dates],0)),"-")</f>
        <v>38.18</v>
      </c>
      <c r="J823" s="1" t="str">
        <f>IF(COUNTIF(Comp3[Comparable '#3 Dates],Benchmark2[[#This Row],[Benchmark '#2 Dates]])=1,"Pass","Fail")</f>
        <v>Pass</v>
      </c>
      <c r="K823" s="6">
        <f>IF(Benchmark2[[#This Row],[Comparable '#3 Date Check]]="Pass",INDEX(Comp3[Comparable '#3 Price],MATCH(Benchmark2[[#This Row],[Benchmark '#2 Dates]],Comp3[Comparable '#3 Dates],0)),"-")</f>
        <v>72.22</v>
      </c>
    </row>
    <row r="824" spans="1:11">
      <c r="A824" s="103">
        <v>44477</v>
      </c>
      <c r="B824" s="104">
        <v>16517.2333</v>
      </c>
      <c r="C824" s="4">
        <f t="shared" si="12"/>
        <v>3.2858357469446565E-4</v>
      </c>
      <c r="D824" s="1" t="str">
        <f>IF(COUNTIF(Target1[Target Dates],Benchmark2[[#This Row],[Benchmark '#2 Dates]])=1,"Pass","Fail")</f>
        <v>Pass</v>
      </c>
      <c r="E824" s="6">
        <f>IF(Benchmark2[[#This Row],[Target Date Check]]="Pass",INDEX(Target1[Target Price],MATCH(Benchmark2[[#This Row],[Benchmark '#2 Dates]],Target1[Target Dates],0)),"-")</f>
        <v>36.950000000000003</v>
      </c>
      <c r="F824" s="1" t="str">
        <f>IF(COUNTIF(Comp1[Comparable '#1 Dates],Benchmark2[[#This Row],[Benchmark '#2 Dates]])=1,"Pass","Fail")</f>
        <v>Pass</v>
      </c>
      <c r="G824" s="6">
        <f>IF(Benchmark2[[#This Row],[Comparable '#1 Date Check]]="Pass",INDEX(Comp1[Comparable '#1 Price],MATCH(Benchmark2[[#This Row],[Benchmark '#2 Dates]],Comp1[Comparable '#1 Dates],0)),"-")</f>
        <v>17.399999999999999</v>
      </c>
      <c r="H824" s="1" t="str">
        <f>IF(COUNTIF(Comp2[Comparable '#2 Dates],Benchmark2[[#This Row],[Benchmark '#2 Dates]])=1,"Pass","Fail")</f>
        <v>Pass</v>
      </c>
      <c r="I824" s="6">
        <f>IF(Benchmark2[[#This Row],[Comparable '#2 Date Check]]="Pass",INDEX(Comp2[Comparable '#2 Price],MATCH(Benchmark2[[#This Row],[Benchmark '#2 Dates]],Comp2[Comparable '#2 Dates],0)),"-")</f>
        <v>37.76</v>
      </c>
      <c r="J824" s="1" t="str">
        <f>IF(COUNTIF(Comp3[Comparable '#3 Dates],Benchmark2[[#This Row],[Benchmark '#2 Dates]])=1,"Pass","Fail")</f>
        <v>Pass</v>
      </c>
      <c r="K824" s="6">
        <f>IF(Benchmark2[[#This Row],[Comparable '#3 Date Check]]="Pass",INDEX(Comp3[Comparable '#3 Price],MATCH(Benchmark2[[#This Row],[Benchmark '#2 Dates]],Comp3[Comparable '#3 Dates],0)),"-")</f>
        <v>71.81</v>
      </c>
    </row>
    <row r="825" spans="1:11">
      <c r="A825" s="103">
        <v>44480</v>
      </c>
      <c r="B825" s="104">
        <v>16430.067200000001</v>
      </c>
      <c r="C825" s="4">
        <f t="shared" si="12"/>
        <v>-5.2912561603355047E-3</v>
      </c>
      <c r="D825" s="1" t="str">
        <f>IF(COUNTIF(Target1[Target Dates],Benchmark2[[#This Row],[Benchmark '#2 Dates]])=1,"Pass","Fail")</f>
        <v>Pass</v>
      </c>
      <c r="E825" s="6">
        <f>IF(Benchmark2[[#This Row],[Target Date Check]]="Pass",INDEX(Target1[Target Price],MATCH(Benchmark2[[#This Row],[Benchmark '#2 Dates]],Target1[Target Dates],0)),"-")</f>
        <v>35.270000000000003</v>
      </c>
      <c r="F825" s="1" t="str">
        <f>IF(COUNTIF(Comp1[Comparable '#1 Dates],Benchmark2[[#This Row],[Benchmark '#2 Dates]])=1,"Pass","Fail")</f>
        <v>Pass</v>
      </c>
      <c r="G825" s="6">
        <f>IF(Benchmark2[[#This Row],[Comparable '#1 Date Check]]="Pass",INDEX(Comp1[Comparable '#1 Price],MATCH(Benchmark2[[#This Row],[Benchmark '#2 Dates]],Comp1[Comparable '#1 Dates],0)),"-")</f>
        <v>17.3</v>
      </c>
      <c r="H825" s="1" t="str">
        <f>IF(COUNTIF(Comp2[Comparable '#2 Dates],Benchmark2[[#This Row],[Benchmark '#2 Dates]])=1,"Pass","Fail")</f>
        <v>Pass</v>
      </c>
      <c r="I825" s="6">
        <f>IF(Benchmark2[[#This Row],[Comparable '#2 Date Check]]="Pass",INDEX(Comp2[Comparable '#2 Price],MATCH(Benchmark2[[#This Row],[Benchmark '#2 Dates]],Comp2[Comparable '#2 Dates],0)),"-")</f>
        <v>37.49</v>
      </c>
      <c r="J825" s="1" t="str">
        <f>IF(COUNTIF(Comp3[Comparable '#3 Dates],Benchmark2[[#This Row],[Benchmark '#2 Dates]])=1,"Pass","Fail")</f>
        <v>Pass</v>
      </c>
      <c r="K825" s="6">
        <f>IF(Benchmark2[[#This Row],[Comparable '#3 Date Check]]="Pass",INDEX(Comp3[Comparable '#3 Price],MATCH(Benchmark2[[#This Row],[Benchmark '#2 Dates]],Comp3[Comparable '#3 Dates],0)),"-")</f>
        <v>69.180000000000007</v>
      </c>
    </row>
    <row r="826" spans="1:11">
      <c r="A826" s="103">
        <v>44481</v>
      </c>
      <c r="B826" s="104">
        <v>16441.751700000001</v>
      </c>
      <c r="C826" s="4">
        <f t="shared" si="12"/>
        <v>7.109129268237374E-4</v>
      </c>
      <c r="D826" s="1" t="str">
        <f>IF(COUNTIF(Target1[Target Dates],Benchmark2[[#This Row],[Benchmark '#2 Dates]])=1,"Pass","Fail")</f>
        <v>Pass</v>
      </c>
      <c r="E826" s="6">
        <f>IF(Benchmark2[[#This Row],[Target Date Check]]="Pass",INDEX(Target1[Target Price],MATCH(Benchmark2[[#This Row],[Benchmark '#2 Dates]],Target1[Target Dates],0)),"-")</f>
        <v>34.51</v>
      </c>
      <c r="F826" s="1" t="str">
        <f>IF(COUNTIF(Comp1[Comparable '#1 Dates],Benchmark2[[#This Row],[Benchmark '#2 Dates]])=1,"Pass","Fail")</f>
        <v>Pass</v>
      </c>
      <c r="G826" s="6">
        <f>IF(Benchmark2[[#This Row],[Comparable '#1 Date Check]]="Pass",INDEX(Comp1[Comparable '#1 Price],MATCH(Benchmark2[[#This Row],[Benchmark '#2 Dates]],Comp1[Comparable '#1 Dates],0)),"-")</f>
        <v>17.149999999999999</v>
      </c>
      <c r="H826" s="1" t="str">
        <f>IF(COUNTIF(Comp2[Comparable '#2 Dates],Benchmark2[[#This Row],[Benchmark '#2 Dates]])=1,"Pass","Fail")</f>
        <v>Pass</v>
      </c>
      <c r="I826" s="6">
        <f>IF(Benchmark2[[#This Row],[Comparable '#2 Date Check]]="Pass",INDEX(Comp2[Comparable '#2 Price],MATCH(Benchmark2[[#This Row],[Benchmark '#2 Dates]],Comp2[Comparable '#2 Dates],0)),"-")</f>
        <v>35.11</v>
      </c>
      <c r="J826" s="1" t="str">
        <f>IF(COUNTIF(Comp3[Comparable '#3 Dates],Benchmark2[[#This Row],[Benchmark '#2 Dates]])=1,"Pass","Fail")</f>
        <v>Pass</v>
      </c>
      <c r="K826" s="6">
        <f>IF(Benchmark2[[#This Row],[Comparable '#3 Date Check]]="Pass",INDEX(Comp3[Comparable '#3 Price],MATCH(Benchmark2[[#This Row],[Benchmark '#2 Dates]],Comp3[Comparable '#3 Dates],0)),"-")</f>
        <v>69.38</v>
      </c>
    </row>
    <row r="827" spans="1:11">
      <c r="A827" s="103">
        <v>44482</v>
      </c>
      <c r="B827" s="104">
        <v>16513.155500000001</v>
      </c>
      <c r="C827" s="4">
        <f t="shared" si="12"/>
        <v>4.3334312128626663E-3</v>
      </c>
      <c r="D827" s="1" t="str">
        <f>IF(COUNTIF(Target1[Target Dates],Benchmark2[[#This Row],[Benchmark '#2 Dates]])=1,"Pass","Fail")</f>
        <v>Pass</v>
      </c>
      <c r="E827" s="6">
        <f>IF(Benchmark2[[#This Row],[Target Date Check]]="Pass",INDEX(Target1[Target Price],MATCH(Benchmark2[[#This Row],[Benchmark '#2 Dates]],Target1[Target Dates],0)),"-")</f>
        <v>33.78</v>
      </c>
      <c r="F827" s="1" t="str">
        <f>IF(COUNTIF(Comp1[Comparable '#1 Dates],Benchmark2[[#This Row],[Benchmark '#2 Dates]])=1,"Pass","Fail")</f>
        <v>Pass</v>
      </c>
      <c r="G827" s="6">
        <f>IF(Benchmark2[[#This Row],[Comparable '#1 Date Check]]="Pass",INDEX(Comp1[Comparable '#1 Price],MATCH(Benchmark2[[#This Row],[Benchmark '#2 Dates]],Comp1[Comparable '#1 Dates],0)),"-")</f>
        <v>17.29</v>
      </c>
      <c r="H827" s="1" t="str">
        <f>IF(COUNTIF(Comp2[Comparable '#2 Dates],Benchmark2[[#This Row],[Benchmark '#2 Dates]])=1,"Pass","Fail")</f>
        <v>Pass</v>
      </c>
      <c r="I827" s="6">
        <f>IF(Benchmark2[[#This Row],[Comparable '#2 Date Check]]="Pass",INDEX(Comp2[Comparable '#2 Price],MATCH(Benchmark2[[#This Row],[Benchmark '#2 Dates]],Comp2[Comparable '#2 Dates],0)),"-")</f>
        <v>35.61</v>
      </c>
      <c r="J827" s="1" t="str">
        <f>IF(COUNTIF(Comp3[Comparable '#3 Dates],Benchmark2[[#This Row],[Benchmark '#2 Dates]])=1,"Pass","Fail")</f>
        <v>Pass</v>
      </c>
      <c r="K827" s="6">
        <f>IF(Benchmark2[[#This Row],[Comparable '#3 Date Check]]="Pass",INDEX(Comp3[Comparable '#3 Price],MATCH(Benchmark2[[#This Row],[Benchmark '#2 Dates]],Comp3[Comparable '#3 Dates],0)),"-")</f>
        <v>68.95</v>
      </c>
    </row>
    <row r="828" spans="1:11">
      <c r="A828" s="103">
        <v>44483</v>
      </c>
      <c r="B828" s="104">
        <v>16744.2883</v>
      </c>
      <c r="C828" s="4">
        <f t="shared" si="12"/>
        <v>1.3899836843825362E-2</v>
      </c>
      <c r="D828" s="1" t="str">
        <f>IF(COUNTIF(Target1[Target Dates],Benchmark2[[#This Row],[Benchmark '#2 Dates]])=1,"Pass","Fail")</f>
        <v>Pass</v>
      </c>
      <c r="E828" s="6">
        <f>IF(Benchmark2[[#This Row],[Target Date Check]]="Pass",INDEX(Target1[Target Price],MATCH(Benchmark2[[#This Row],[Benchmark '#2 Dates]],Target1[Target Dates],0)),"-")</f>
        <v>34.56</v>
      </c>
      <c r="F828" s="1" t="str">
        <f>IF(COUNTIF(Comp1[Comparable '#1 Dates],Benchmark2[[#This Row],[Benchmark '#2 Dates]])=1,"Pass","Fail")</f>
        <v>Pass</v>
      </c>
      <c r="G828" s="6">
        <f>IF(Benchmark2[[#This Row],[Comparable '#1 Date Check]]="Pass",INDEX(Comp1[Comparable '#1 Price],MATCH(Benchmark2[[#This Row],[Benchmark '#2 Dates]],Comp1[Comparable '#1 Dates],0)),"-")</f>
        <v>17.350000000000001</v>
      </c>
      <c r="H828" s="1" t="str">
        <f>IF(COUNTIF(Comp2[Comparable '#2 Dates],Benchmark2[[#This Row],[Benchmark '#2 Dates]])=1,"Pass","Fail")</f>
        <v>Pass</v>
      </c>
      <c r="I828" s="6">
        <f>IF(Benchmark2[[#This Row],[Comparable '#2 Date Check]]="Pass",INDEX(Comp2[Comparable '#2 Price],MATCH(Benchmark2[[#This Row],[Benchmark '#2 Dates]],Comp2[Comparable '#2 Dates],0)),"-")</f>
        <v>36.51</v>
      </c>
      <c r="J828" s="1" t="str">
        <f>IF(COUNTIF(Comp3[Comparable '#3 Dates],Benchmark2[[#This Row],[Benchmark '#2 Dates]])=1,"Pass","Fail")</f>
        <v>Pass</v>
      </c>
      <c r="K828" s="6">
        <f>IF(Benchmark2[[#This Row],[Comparable '#3 Date Check]]="Pass",INDEX(Comp3[Comparable '#3 Price],MATCH(Benchmark2[[#This Row],[Benchmark '#2 Dates]],Comp3[Comparable '#3 Dates],0)),"-")</f>
        <v>70.25</v>
      </c>
    </row>
    <row r="829" spans="1:11">
      <c r="A829" s="103">
        <v>44484</v>
      </c>
      <c r="B829" s="104">
        <v>16871.741699999999</v>
      </c>
      <c r="C829" s="4">
        <f t="shared" si="12"/>
        <v>7.5829305675000564E-3</v>
      </c>
      <c r="D829" s="1" t="str">
        <f>IF(COUNTIF(Target1[Target Dates],Benchmark2[[#This Row],[Benchmark '#2 Dates]])=1,"Pass","Fail")</f>
        <v>Pass</v>
      </c>
      <c r="E829" s="6">
        <f>IF(Benchmark2[[#This Row],[Target Date Check]]="Pass",INDEX(Target1[Target Price],MATCH(Benchmark2[[#This Row],[Benchmark '#2 Dates]],Target1[Target Dates],0)),"-")</f>
        <v>34.29</v>
      </c>
      <c r="F829" s="1" t="str">
        <f>IF(COUNTIF(Comp1[Comparable '#1 Dates],Benchmark2[[#This Row],[Benchmark '#2 Dates]])=1,"Pass","Fail")</f>
        <v>Pass</v>
      </c>
      <c r="G829" s="6">
        <f>IF(Benchmark2[[#This Row],[Comparable '#1 Date Check]]="Pass",INDEX(Comp1[Comparable '#1 Price],MATCH(Benchmark2[[#This Row],[Benchmark '#2 Dates]],Comp1[Comparable '#1 Dates],0)),"-")</f>
        <v>17.3</v>
      </c>
      <c r="H829" s="1" t="str">
        <f>IF(COUNTIF(Comp2[Comparable '#2 Dates],Benchmark2[[#This Row],[Benchmark '#2 Dates]])=1,"Pass","Fail")</f>
        <v>Pass</v>
      </c>
      <c r="I829" s="6">
        <f>IF(Benchmark2[[#This Row],[Comparable '#2 Date Check]]="Pass",INDEX(Comp2[Comparable '#2 Price],MATCH(Benchmark2[[#This Row],[Benchmark '#2 Dates]],Comp2[Comparable '#2 Dates],0)),"-")</f>
        <v>36.409999999999997</v>
      </c>
      <c r="J829" s="1" t="str">
        <f>IF(COUNTIF(Comp3[Comparable '#3 Dates],Benchmark2[[#This Row],[Benchmark '#2 Dates]])=1,"Pass","Fail")</f>
        <v>Pass</v>
      </c>
      <c r="K829" s="6">
        <f>IF(Benchmark2[[#This Row],[Comparable '#3 Date Check]]="Pass",INDEX(Comp3[Comparable '#3 Price],MATCH(Benchmark2[[#This Row],[Benchmark '#2 Dates]],Comp3[Comparable '#3 Dates],0)),"-")</f>
        <v>71.25</v>
      </c>
    </row>
    <row r="830" spans="1:11">
      <c r="A830" s="103">
        <v>44487</v>
      </c>
      <c r="B830" s="104">
        <v>16862.004700000001</v>
      </c>
      <c r="C830" s="4">
        <f t="shared" si="12"/>
        <v>-5.7728543725627847E-4</v>
      </c>
      <c r="D830" s="1" t="str">
        <f>IF(COUNTIF(Target1[Target Dates],Benchmark2[[#This Row],[Benchmark '#2 Dates]])=1,"Pass","Fail")</f>
        <v>Pass</v>
      </c>
      <c r="E830" s="6">
        <f>IF(Benchmark2[[#This Row],[Target Date Check]]="Pass",INDEX(Target1[Target Price],MATCH(Benchmark2[[#This Row],[Benchmark '#2 Dates]],Target1[Target Dates],0)),"-")</f>
        <v>33.17</v>
      </c>
      <c r="F830" s="1" t="str">
        <f>IF(COUNTIF(Comp1[Comparable '#1 Dates],Benchmark2[[#This Row],[Benchmark '#2 Dates]])=1,"Pass","Fail")</f>
        <v>Pass</v>
      </c>
      <c r="G830" s="6">
        <f>IF(Benchmark2[[#This Row],[Comparable '#1 Date Check]]="Pass",INDEX(Comp1[Comparable '#1 Price],MATCH(Benchmark2[[#This Row],[Benchmark '#2 Dates]],Comp1[Comparable '#1 Dates],0)),"-")</f>
        <v>17.13</v>
      </c>
      <c r="H830" s="1" t="str">
        <f>IF(COUNTIF(Comp2[Comparable '#2 Dates],Benchmark2[[#This Row],[Benchmark '#2 Dates]])=1,"Pass","Fail")</f>
        <v>Pass</v>
      </c>
      <c r="I830" s="6">
        <f>IF(Benchmark2[[#This Row],[Comparable '#2 Date Check]]="Pass",INDEX(Comp2[Comparable '#2 Price],MATCH(Benchmark2[[#This Row],[Benchmark '#2 Dates]],Comp2[Comparable '#2 Dates],0)),"-")</f>
        <v>36.549999999999997</v>
      </c>
      <c r="J830" s="1" t="str">
        <f>IF(COUNTIF(Comp3[Comparable '#3 Dates],Benchmark2[[#This Row],[Benchmark '#2 Dates]])=1,"Pass","Fail")</f>
        <v>Pass</v>
      </c>
      <c r="K830" s="6">
        <f>IF(Benchmark2[[#This Row],[Comparable '#3 Date Check]]="Pass",INDEX(Comp3[Comparable '#3 Price],MATCH(Benchmark2[[#This Row],[Benchmark '#2 Dates]],Comp3[Comparable '#3 Dates],0)),"-")</f>
        <v>69.78</v>
      </c>
    </row>
    <row r="831" spans="1:11">
      <c r="A831" s="103">
        <v>44488</v>
      </c>
      <c r="B831" s="104">
        <v>16988.156200000001</v>
      </c>
      <c r="C831" s="4">
        <f t="shared" si="12"/>
        <v>7.4535589007506953E-3</v>
      </c>
      <c r="D831" s="1" t="str">
        <f>IF(COUNTIF(Target1[Target Dates],Benchmark2[[#This Row],[Benchmark '#2 Dates]])=1,"Pass","Fail")</f>
        <v>Pass</v>
      </c>
      <c r="E831" s="6">
        <f>IF(Benchmark2[[#This Row],[Target Date Check]]="Pass",INDEX(Target1[Target Price],MATCH(Benchmark2[[#This Row],[Benchmark '#2 Dates]],Target1[Target Dates],0)),"-")</f>
        <v>34.19</v>
      </c>
      <c r="F831" s="1" t="str">
        <f>IF(COUNTIF(Comp1[Comparable '#1 Dates],Benchmark2[[#This Row],[Benchmark '#2 Dates]])=1,"Pass","Fail")</f>
        <v>Pass</v>
      </c>
      <c r="G831" s="6">
        <f>IF(Benchmark2[[#This Row],[Comparable '#1 Date Check]]="Pass",INDEX(Comp1[Comparable '#1 Price],MATCH(Benchmark2[[#This Row],[Benchmark '#2 Dates]],Comp1[Comparable '#1 Dates],0)),"-")</f>
        <v>17.34</v>
      </c>
      <c r="H831" s="1" t="str">
        <f>IF(COUNTIF(Comp2[Comparable '#2 Dates],Benchmark2[[#This Row],[Benchmark '#2 Dates]])=1,"Pass","Fail")</f>
        <v>Pass</v>
      </c>
      <c r="I831" s="6">
        <f>IF(Benchmark2[[#This Row],[Comparable '#2 Date Check]]="Pass",INDEX(Comp2[Comparable '#2 Price],MATCH(Benchmark2[[#This Row],[Benchmark '#2 Dates]],Comp2[Comparable '#2 Dates],0)),"-")</f>
        <v>36.32</v>
      </c>
      <c r="J831" s="1" t="str">
        <f>IF(COUNTIF(Comp3[Comparable '#3 Dates],Benchmark2[[#This Row],[Benchmark '#2 Dates]])=1,"Pass","Fail")</f>
        <v>Pass</v>
      </c>
      <c r="K831" s="6">
        <f>IF(Benchmark2[[#This Row],[Comparable '#3 Date Check]]="Pass",INDEX(Comp3[Comparable '#3 Price],MATCH(Benchmark2[[#This Row],[Benchmark '#2 Dates]],Comp3[Comparable '#3 Dates],0)),"-")</f>
        <v>71.03</v>
      </c>
    </row>
    <row r="832" spans="1:11">
      <c r="A832" s="103">
        <v>44489</v>
      </c>
      <c r="B832" s="104">
        <v>17099.205699999999</v>
      </c>
      <c r="C832" s="4">
        <f t="shared" si="12"/>
        <v>6.5156050029259492E-3</v>
      </c>
      <c r="D832" s="1" t="str">
        <f>IF(COUNTIF(Target1[Target Dates],Benchmark2[[#This Row],[Benchmark '#2 Dates]])=1,"Pass","Fail")</f>
        <v>Pass</v>
      </c>
      <c r="E832" s="6">
        <f>IF(Benchmark2[[#This Row],[Target Date Check]]="Pass",INDEX(Target1[Target Price],MATCH(Benchmark2[[#This Row],[Benchmark '#2 Dates]],Target1[Target Dates],0)),"-")</f>
        <v>35.24</v>
      </c>
      <c r="F832" s="1" t="str">
        <f>IF(COUNTIF(Comp1[Comparable '#1 Dates],Benchmark2[[#This Row],[Benchmark '#2 Dates]])=1,"Pass","Fail")</f>
        <v>Pass</v>
      </c>
      <c r="G832" s="6">
        <f>IF(Benchmark2[[#This Row],[Comparable '#1 Date Check]]="Pass",INDEX(Comp1[Comparable '#1 Price],MATCH(Benchmark2[[#This Row],[Benchmark '#2 Dates]],Comp1[Comparable '#1 Dates],0)),"-")</f>
        <v>17.059999999999999</v>
      </c>
      <c r="H832" s="1" t="str">
        <f>IF(COUNTIF(Comp2[Comparable '#2 Dates],Benchmark2[[#This Row],[Benchmark '#2 Dates]])=1,"Pass","Fail")</f>
        <v>Pass</v>
      </c>
      <c r="I832" s="6">
        <f>IF(Benchmark2[[#This Row],[Comparable '#2 Date Check]]="Pass",INDEX(Comp2[Comparable '#2 Price],MATCH(Benchmark2[[#This Row],[Benchmark '#2 Dates]],Comp2[Comparable '#2 Dates],0)),"-")</f>
        <v>35.799999999999997</v>
      </c>
      <c r="J832" s="1" t="str">
        <f>IF(COUNTIF(Comp3[Comparable '#3 Dates],Benchmark2[[#This Row],[Benchmark '#2 Dates]])=1,"Pass","Fail")</f>
        <v>Pass</v>
      </c>
      <c r="K832" s="6">
        <f>IF(Benchmark2[[#This Row],[Comparable '#3 Date Check]]="Pass",INDEX(Comp3[Comparable '#3 Price],MATCH(Benchmark2[[#This Row],[Benchmark '#2 Dates]],Comp3[Comparable '#3 Dates],0)),"-")</f>
        <v>70.67</v>
      </c>
    </row>
    <row r="833" spans="1:11">
      <c r="A833" s="103">
        <v>44490</v>
      </c>
      <c r="B833" s="104">
        <v>17083.150699999998</v>
      </c>
      <c r="C833" s="4">
        <f t="shared" si="12"/>
        <v>-9.3937357581395963E-4</v>
      </c>
      <c r="D833" s="1" t="str">
        <f>IF(COUNTIF(Target1[Target Dates],Benchmark2[[#This Row],[Benchmark '#2 Dates]])=1,"Pass","Fail")</f>
        <v>Pass</v>
      </c>
      <c r="E833" s="6">
        <f>IF(Benchmark2[[#This Row],[Target Date Check]]="Pass",INDEX(Target1[Target Price],MATCH(Benchmark2[[#This Row],[Benchmark '#2 Dates]],Target1[Target Dates],0)),"-")</f>
        <v>34.32</v>
      </c>
      <c r="F833" s="1" t="str">
        <f>IF(COUNTIF(Comp1[Comparable '#1 Dates],Benchmark2[[#This Row],[Benchmark '#2 Dates]])=1,"Pass","Fail")</f>
        <v>Pass</v>
      </c>
      <c r="G833" s="6">
        <f>IF(Benchmark2[[#This Row],[Comparable '#1 Date Check]]="Pass",INDEX(Comp1[Comparable '#1 Price],MATCH(Benchmark2[[#This Row],[Benchmark '#2 Dates]],Comp1[Comparable '#1 Dates],0)),"-")</f>
        <v>17.36</v>
      </c>
      <c r="H833" s="1" t="str">
        <f>IF(COUNTIF(Comp2[Comparable '#2 Dates],Benchmark2[[#This Row],[Benchmark '#2 Dates]])=1,"Pass","Fail")</f>
        <v>Pass</v>
      </c>
      <c r="I833" s="6">
        <f>IF(Benchmark2[[#This Row],[Comparable '#2 Date Check]]="Pass",INDEX(Comp2[Comparable '#2 Price],MATCH(Benchmark2[[#This Row],[Benchmark '#2 Dates]],Comp2[Comparable '#2 Dates],0)),"-")</f>
        <v>36.729999999999997</v>
      </c>
      <c r="J833" s="1" t="str">
        <f>IF(COUNTIF(Comp3[Comparable '#3 Dates],Benchmark2[[#This Row],[Benchmark '#2 Dates]])=1,"Pass","Fail")</f>
        <v>Pass</v>
      </c>
      <c r="K833" s="6">
        <f>IF(Benchmark2[[#This Row],[Comparable '#3 Date Check]]="Pass",INDEX(Comp3[Comparable '#3 Price],MATCH(Benchmark2[[#This Row],[Benchmark '#2 Dates]],Comp3[Comparable '#3 Dates],0)),"-")</f>
        <v>71.849999999999994</v>
      </c>
    </row>
    <row r="834" spans="1:11">
      <c r="A834" s="103">
        <v>44491</v>
      </c>
      <c r="B834" s="104">
        <v>17122.2415</v>
      </c>
      <c r="C834" s="4">
        <f t="shared" ref="C834:C897" si="13">IFERROR(IF(B834="",NA(),LN(B834/B833)),"-")</f>
        <v>2.2856523199404058E-3</v>
      </c>
      <c r="D834" s="1" t="str">
        <f>IF(COUNTIF(Target1[Target Dates],Benchmark2[[#This Row],[Benchmark '#2 Dates]])=1,"Pass","Fail")</f>
        <v>Pass</v>
      </c>
      <c r="E834" s="6">
        <f>IF(Benchmark2[[#This Row],[Target Date Check]]="Pass",INDEX(Target1[Target Price],MATCH(Benchmark2[[#This Row],[Benchmark '#2 Dates]],Target1[Target Dates],0)),"-")</f>
        <v>33.369999999999997</v>
      </c>
      <c r="F834" s="1" t="str">
        <f>IF(COUNTIF(Comp1[Comparable '#1 Dates],Benchmark2[[#This Row],[Benchmark '#2 Dates]])=1,"Pass","Fail")</f>
        <v>Pass</v>
      </c>
      <c r="G834" s="6">
        <f>IF(Benchmark2[[#This Row],[Comparable '#1 Date Check]]="Pass",INDEX(Comp1[Comparable '#1 Price],MATCH(Benchmark2[[#This Row],[Benchmark '#2 Dates]],Comp1[Comparable '#1 Dates],0)),"-")</f>
        <v>17.329999999999998</v>
      </c>
      <c r="H834" s="1" t="str">
        <f>IF(COUNTIF(Comp2[Comparable '#2 Dates],Benchmark2[[#This Row],[Benchmark '#2 Dates]])=1,"Pass","Fail")</f>
        <v>Pass</v>
      </c>
      <c r="I834" s="6">
        <f>IF(Benchmark2[[#This Row],[Comparable '#2 Date Check]]="Pass",INDEX(Comp2[Comparable '#2 Price],MATCH(Benchmark2[[#This Row],[Benchmark '#2 Dates]],Comp2[Comparable '#2 Dates],0)),"-")</f>
        <v>36.799999999999997</v>
      </c>
      <c r="J834" s="1" t="str">
        <f>IF(COUNTIF(Comp3[Comparable '#3 Dates],Benchmark2[[#This Row],[Benchmark '#2 Dates]])=1,"Pass","Fail")</f>
        <v>Pass</v>
      </c>
      <c r="K834" s="6">
        <f>IF(Benchmark2[[#This Row],[Comparable '#3 Date Check]]="Pass",INDEX(Comp3[Comparable '#3 Price],MATCH(Benchmark2[[#This Row],[Benchmark '#2 Dates]],Comp3[Comparable '#3 Dates],0)),"-")</f>
        <v>71.09</v>
      </c>
    </row>
    <row r="835" spans="1:11">
      <c r="A835" s="103">
        <v>44494</v>
      </c>
      <c r="B835" s="104">
        <v>17169.072499999998</v>
      </c>
      <c r="C835" s="4">
        <f t="shared" si="13"/>
        <v>2.7313639316723995E-3</v>
      </c>
      <c r="D835" s="1" t="str">
        <f>IF(COUNTIF(Target1[Target Dates],Benchmark2[[#This Row],[Benchmark '#2 Dates]])=1,"Pass","Fail")</f>
        <v>Pass</v>
      </c>
      <c r="E835" s="6">
        <f>IF(Benchmark2[[#This Row],[Target Date Check]]="Pass",INDEX(Target1[Target Price],MATCH(Benchmark2[[#This Row],[Benchmark '#2 Dates]],Target1[Target Dates],0)),"-")</f>
        <v>33.799999999999997</v>
      </c>
      <c r="F835" s="1" t="str">
        <f>IF(COUNTIF(Comp1[Comparable '#1 Dates],Benchmark2[[#This Row],[Benchmark '#2 Dates]])=1,"Pass","Fail")</f>
        <v>Pass</v>
      </c>
      <c r="G835" s="6">
        <f>IF(Benchmark2[[#This Row],[Comparable '#1 Date Check]]="Pass",INDEX(Comp1[Comparable '#1 Price],MATCH(Benchmark2[[#This Row],[Benchmark '#2 Dates]],Comp1[Comparable '#1 Dates],0)),"-")</f>
        <v>17.12</v>
      </c>
      <c r="H835" s="1" t="str">
        <f>IF(COUNTIF(Comp2[Comparable '#2 Dates],Benchmark2[[#This Row],[Benchmark '#2 Dates]])=1,"Pass","Fail")</f>
        <v>Pass</v>
      </c>
      <c r="I835" s="6">
        <f>IF(Benchmark2[[#This Row],[Comparable '#2 Date Check]]="Pass",INDEX(Comp2[Comparable '#2 Price],MATCH(Benchmark2[[#This Row],[Benchmark '#2 Dates]],Comp2[Comparable '#2 Dates],0)),"-")</f>
        <v>37.53</v>
      </c>
      <c r="J835" s="1" t="str">
        <f>IF(COUNTIF(Comp3[Comparable '#3 Dates],Benchmark2[[#This Row],[Benchmark '#2 Dates]])=1,"Pass","Fail")</f>
        <v>Pass</v>
      </c>
      <c r="K835" s="6">
        <f>IF(Benchmark2[[#This Row],[Comparable '#3 Date Check]]="Pass",INDEX(Comp3[Comparable '#3 Price],MATCH(Benchmark2[[#This Row],[Benchmark '#2 Dates]],Comp3[Comparable '#3 Dates],0)),"-")</f>
        <v>71.739999999999995</v>
      </c>
    </row>
    <row r="836" spans="1:11">
      <c r="A836" s="103">
        <v>44495</v>
      </c>
      <c r="B836" s="104">
        <v>17145.1463</v>
      </c>
      <c r="C836" s="4">
        <f t="shared" si="13"/>
        <v>-1.3945358346609516E-3</v>
      </c>
      <c r="D836" s="1" t="str">
        <f>IF(COUNTIF(Target1[Target Dates],Benchmark2[[#This Row],[Benchmark '#2 Dates]])=1,"Pass","Fail")</f>
        <v>Pass</v>
      </c>
      <c r="E836" s="6">
        <f>IF(Benchmark2[[#This Row],[Target Date Check]]="Pass",INDEX(Target1[Target Price],MATCH(Benchmark2[[#This Row],[Benchmark '#2 Dates]],Target1[Target Dates],0)),"-")</f>
        <v>34.21</v>
      </c>
      <c r="F836" s="1" t="str">
        <f>IF(COUNTIF(Comp1[Comparable '#1 Dates],Benchmark2[[#This Row],[Benchmark '#2 Dates]])=1,"Pass","Fail")</f>
        <v>Pass</v>
      </c>
      <c r="G836" s="6">
        <f>IF(Benchmark2[[#This Row],[Comparable '#1 Date Check]]="Pass",INDEX(Comp1[Comparable '#1 Price],MATCH(Benchmark2[[#This Row],[Benchmark '#2 Dates]],Comp1[Comparable '#1 Dates],0)),"-")</f>
        <v>17.03</v>
      </c>
      <c r="H836" s="1" t="str">
        <f>IF(COUNTIF(Comp2[Comparable '#2 Dates],Benchmark2[[#This Row],[Benchmark '#2 Dates]])=1,"Pass","Fail")</f>
        <v>Pass</v>
      </c>
      <c r="I836" s="6">
        <f>IF(Benchmark2[[#This Row],[Comparable '#2 Date Check]]="Pass",INDEX(Comp2[Comparable '#2 Price],MATCH(Benchmark2[[#This Row],[Benchmark '#2 Dates]],Comp2[Comparable '#2 Dates],0)),"-")</f>
        <v>37.19</v>
      </c>
      <c r="J836" s="1" t="str">
        <f>IF(COUNTIF(Comp3[Comparable '#3 Dates],Benchmark2[[#This Row],[Benchmark '#2 Dates]])=1,"Pass","Fail")</f>
        <v>Pass</v>
      </c>
      <c r="K836" s="6">
        <f>IF(Benchmark2[[#This Row],[Comparable '#3 Date Check]]="Pass",INDEX(Comp3[Comparable '#3 Price],MATCH(Benchmark2[[#This Row],[Benchmark '#2 Dates]],Comp3[Comparable '#3 Dates],0)),"-")</f>
        <v>70.430000000000007</v>
      </c>
    </row>
    <row r="837" spans="1:11">
      <c r="A837" s="103">
        <v>44496</v>
      </c>
      <c r="B837" s="104">
        <v>16920.3819</v>
      </c>
      <c r="C837" s="4">
        <f t="shared" si="13"/>
        <v>-1.3196194133162489E-2</v>
      </c>
      <c r="D837" s="1" t="str">
        <f>IF(COUNTIF(Target1[Target Dates],Benchmark2[[#This Row],[Benchmark '#2 Dates]])=1,"Pass","Fail")</f>
        <v>Pass</v>
      </c>
      <c r="E837" s="6">
        <f>IF(Benchmark2[[#This Row],[Target Date Check]]="Pass",INDEX(Target1[Target Price],MATCH(Benchmark2[[#This Row],[Benchmark '#2 Dates]],Target1[Target Dates],0)),"-")</f>
        <v>33.85</v>
      </c>
      <c r="F837" s="1" t="str">
        <f>IF(COUNTIF(Comp1[Comparable '#1 Dates],Benchmark2[[#This Row],[Benchmark '#2 Dates]])=1,"Pass","Fail")</f>
        <v>Pass</v>
      </c>
      <c r="G837" s="6">
        <f>IF(Benchmark2[[#This Row],[Comparable '#1 Date Check]]="Pass",INDEX(Comp1[Comparable '#1 Price],MATCH(Benchmark2[[#This Row],[Benchmark '#2 Dates]],Comp1[Comparable '#1 Dates],0)),"-")</f>
        <v>16.600000000000001</v>
      </c>
      <c r="H837" s="1" t="str">
        <f>IF(COUNTIF(Comp2[Comparable '#2 Dates],Benchmark2[[#This Row],[Benchmark '#2 Dates]])=1,"Pass","Fail")</f>
        <v>Pass</v>
      </c>
      <c r="I837" s="6">
        <f>IF(Benchmark2[[#This Row],[Comparable '#2 Date Check]]="Pass",INDEX(Comp2[Comparable '#2 Price],MATCH(Benchmark2[[#This Row],[Benchmark '#2 Dates]],Comp2[Comparable '#2 Dates],0)),"-")</f>
        <v>37.31</v>
      </c>
      <c r="J837" s="1" t="str">
        <f>IF(COUNTIF(Comp3[Comparable '#3 Dates],Benchmark2[[#This Row],[Benchmark '#2 Dates]])=1,"Pass","Fail")</f>
        <v>Pass</v>
      </c>
      <c r="K837" s="6">
        <f>IF(Benchmark2[[#This Row],[Comparable '#3 Date Check]]="Pass",INDEX(Comp3[Comparable '#3 Price],MATCH(Benchmark2[[#This Row],[Benchmark '#2 Dates]],Comp3[Comparable '#3 Dates],0)),"-")</f>
        <v>69.239999999999995</v>
      </c>
    </row>
    <row r="838" spans="1:11">
      <c r="A838" s="103">
        <v>44497</v>
      </c>
      <c r="B838" s="104">
        <v>17076.995599999998</v>
      </c>
      <c r="C838" s="4">
        <f t="shared" si="13"/>
        <v>9.213346403227976E-3</v>
      </c>
      <c r="D838" s="1" t="str">
        <f>IF(COUNTIF(Target1[Target Dates],Benchmark2[[#This Row],[Benchmark '#2 Dates]])=1,"Pass","Fail")</f>
        <v>Pass</v>
      </c>
      <c r="E838" s="6">
        <f>IF(Benchmark2[[#This Row],[Target Date Check]]="Pass",INDEX(Target1[Target Price],MATCH(Benchmark2[[#This Row],[Benchmark '#2 Dates]],Target1[Target Dates],0)),"-")</f>
        <v>33.96</v>
      </c>
      <c r="F838" s="1" t="str">
        <f>IF(COUNTIF(Comp1[Comparable '#1 Dates],Benchmark2[[#This Row],[Benchmark '#2 Dates]])=1,"Pass","Fail")</f>
        <v>Pass</v>
      </c>
      <c r="G838" s="6">
        <f>IF(Benchmark2[[#This Row],[Comparable '#1 Date Check]]="Pass",INDEX(Comp1[Comparable '#1 Price],MATCH(Benchmark2[[#This Row],[Benchmark '#2 Dates]],Comp1[Comparable '#1 Dates],0)),"-")</f>
        <v>16.82</v>
      </c>
      <c r="H838" s="1" t="str">
        <f>IF(COUNTIF(Comp2[Comparable '#2 Dates],Benchmark2[[#This Row],[Benchmark '#2 Dates]])=1,"Pass","Fail")</f>
        <v>Pass</v>
      </c>
      <c r="I838" s="6">
        <f>IF(Benchmark2[[#This Row],[Comparable '#2 Date Check]]="Pass",INDEX(Comp2[Comparable '#2 Price],MATCH(Benchmark2[[#This Row],[Benchmark '#2 Dates]],Comp2[Comparable '#2 Dates],0)),"-")</f>
        <v>38.03</v>
      </c>
      <c r="J838" s="1" t="str">
        <f>IF(COUNTIF(Comp3[Comparable '#3 Dates],Benchmark2[[#This Row],[Benchmark '#2 Dates]])=1,"Pass","Fail")</f>
        <v>Pass</v>
      </c>
      <c r="K838" s="6">
        <f>IF(Benchmark2[[#This Row],[Comparable '#3 Date Check]]="Pass",INDEX(Comp3[Comparable '#3 Price],MATCH(Benchmark2[[#This Row],[Benchmark '#2 Dates]],Comp3[Comparable '#3 Dates],0)),"-")</f>
        <v>69.75</v>
      </c>
    </row>
    <row r="839" spans="1:11">
      <c r="A839" s="103">
        <v>44498</v>
      </c>
      <c r="B839" s="104">
        <v>17016.4087</v>
      </c>
      <c r="C839" s="4">
        <f t="shared" si="13"/>
        <v>-3.5541750683199067E-3</v>
      </c>
      <c r="D839" s="1" t="str">
        <f>IF(COUNTIF(Target1[Target Dates],Benchmark2[[#This Row],[Benchmark '#2 Dates]])=1,"Pass","Fail")</f>
        <v>Pass</v>
      </c>
      <c r="E839" s="6">
        <f>IF(Benchmark2[[#This Row],[Target Date Check]]="Pass",INDEX(Target1[Target Price],MATCH(Benchmark2[[#This Row],[Benchmark '#2 Dates]],Target1[Target Dates],0)),"-")</f>
        <v>35.5</v>
      </c>
      <c r="F839" s="1" t="str">
        <f>IF(COUNTIF(Comp1[Comparable '#1 Dates],Benchmark2[[#This Row],[Benchmark '#2 Dates]])=1,"Pass","Fail")</f>
        <v>Pass</v>
      </c>
      <c r="G839" s="6">
        <f>IF(Benchmark2[[#This Row],[Comparable '#1 Date Check]]="Pass",INDEX(Comp1[Comparable '#1 Price],MATCH(Benchmark2[[#This Row],[Benchmark '#2 Dates]],Comp1[Comparable '#1 Dates],0)),"-")</f>
        <v>17.32</v>
      </c>
      <c r="H839" s="1" t="str">
        <f>IF(COUNTIF(Comp2[Comparable '#2 Dates],Benchmark2[[#This Row],[Benchmark '#2 Dates]])=1,"Pass","Fail")</f>
        <v>Pass</v>
      </c>
      <c r="I839" s="6">
        <f>IF(Benchmark2[[#This Row],[Comparable '#2 Date Check]]="Pass",INDEX(Comp2[Comparable '#2 Price],MATCH(Benchmark2[[#This Row],[Benchmark '#2 Dates]],Comp2[Comparable '#2 Dates],0)),"-")</f>
        <v>36.93</v>
      </c>
      <c r="J839" s="1" t="str">
        <f>IF(COUNTIF(Comp3[Comparable '#3 Dates],Benchmark2[[#This Row],[Benchmark '#2 Dates]])=1,"Pass","Fail")</f>
        <v>Pass</v>
      </c>
      <c r="K839" s="6">
        <f>IF(Benchmark2[[#This Row],[Comparable '#3 Date Check]]="Pass",INDEX(Comp3[Comparable '#3 Price],MATCH(Benchmark2[[#This Row],[Benchmark '#2 Dates]],Comp3[Comparable '#3 Dates],0)),"-")</f>
        <v>68.209999999999994</v>
      </c>
    </row>
    <row r="840" spans="1:11">
      <c r="A840" s="103">
        <v>44501</v>
      </c>
      <c r="B840" s="104">
        <v>17131.082900000001</v>
      </c>
      <c r="C840" s="4">
        <f t="shared" si="13"/>
        <v>6.7164307367941489E-3</v>
      </c>
      <c r="D840" s="1" t="str">
        <f>IF(COUNTIF(Target1[Target Dates],Benchmark2[[#This Row],[Benchmark '#2 Dates]])=1,"Pass","Fail")</f>
        <v>Pass</v>
      </c>
      <c r="E840" s="6">
        <f>IF(Benchmark2[[#This Row],[Target Date Check]]="Pass",INDEX(Target1[Target Price],MATCH(Benchmark2[[#This Row],[Benchmark '#2 Dates]],Target1[Target Dates],0)),"-")</f>
        <v>37.700000000000003</v>
      </c>
      <c r="F840" s="1" t="str">
        <f>IF(COUNTIF(Comp1[Comparable '#1 Dates],Benchmark2[[#This Row],[Benchmark '#2 Dates]])=1,"Pass","Fail")</f>
        <v>Pass</v>
      </c>
      <c r="G840" s="6">
        <f>IF(Benchmark2[[#This Row],[Comparable '#1 Date Check]]="Pass",INDEX(Comp1[Comparable '#1 Price],MATCH(Benchmark2[[#This Row],[Benchmark '#2 Dates]],Comp1[Comparable '#1 Dates],0)),"-")</f>
        <v>10.1</v>
      </c>
      <c r="H840" s="1" t="str">
        <f>IF(COUNTIF(Comp2[Comparable '#2 Dates],Benchmark2[[#This Row],[Benchmark '#2 Dates]])=1,"Pass","Fail")</f>
        <v>Pass</v>
      </c>
      <c r="I840" s="6">
        <f>IF(Benchmark2[[#This Row],[Comparable '#2 Date Check]]="Pass",INDEX(Comp2[Comparable '#2 Price],MATCH(Benchmark2[[#This Row],[Benchmark '#2 Dates]],Comp2[Comparable '#2 Dates],0)),"-")</f>
        <v>38.869999999999997</v>
      </c>
      <c r="J840" s="1" t="str">
        <f>IF(COUNTIF(Comp3[Comparable '#3 Dates],Benchmark2[[#This Row],[Benchmark '#2 Dates]])=1,"Pass","Fail")</f>
        <v>Pass</v>
      </c>
      <c r="K840" s="6">
        <f>IF(Benchmark2[[#This Row],[Comparable '#3 Date Check]]="Pass",INDEX(Comp3[Comparable '#3 Price],MATCH(Benchmark2[[#This Row],[Benchmark '#2 Dates]],Comp3[Comparable '#3 Dates],0)),"-")</f>
        <v>71.48</v>
      </c>
    </row>
    <row r="841" spans="1:11">
      <c r="A841" s="103">
        <v>44502</v>
      </c>
      <c r="B841" s="104">
        <v>17116.24928</v>
      </c>
      <c r="C841" s="4">
        <f t="shared" si="13"/>
        <v>-8.662643180292292E-4</v>
      </c>
      <c r="D841" s="1" t="str">
        <f>IF(COUNTIF(Target1[Target Dates],Benchmark2[[#This Row],[Benchmark '#2 Dates]])=1,"Pass","Fail")</f>
        <v>Pass</v>
      </c>
      <c r="E841" s="6">
        <f>IF(Benchmark2[[#This Row],[Target Date Check]]="Pass",INDEX(Target1[Target Price],MATCH(Benchmark2[[#This Row],[Benchmark '#2 Dates]],Target1[Target Dates],0)),"-")</f>
        <v>36.270000000000003</v>
      </c>
      <c r="F841" s="1" t="str">
        <f>IF(COUNTIF(Comp1[Comparable '#1 Dates],Benchmark2[[#This Row],[Benchmark '#2 Dates]])=1,"Pass","Fail")</f>
        <v>Pass</v>
      </c>
      <c r="G841" s="6">
        <f>IF(Benchmark2[[#This Row],[Comparable '#1 Date Check]]="Pass",INDEX(Comp1[Comparable '#1 Price],MATCH(Benchmark2[[#This Row],[Benchmark '#2 Dates]],Comp1[Comparable '#1 Dates],0)),"-")</f>
        <v>9.6199999999999992</v>
      </c>
      <c r="H841" s="1" t="str">
        <f>IF(COUNTIF(Comp2[Comparable '#2 Dates],Benchmark2[[#This Row],[Benchmark '#2 Dates]])=1,"Pass","Fail")</f>
        <v>Pass</v>
      </c>
      <c r="I841" s="6">
        <f>IF(Benchmark2[[#This Row],[Comparable '#2 Date Check]]="Pass",INDEX(Comp2[Comparable '#2 Price],MATCH(Benchmark2[[#This Row],[Benchmark '#2 Dates]],Comp2[Comparable '#2 Dates],0)),"-")</f>
        <v>34.909999999999997</v>
      </c>
      <c r="J841" s="1" t="str">
        <f>IF(COUNTIF(Comp3[Comparable '#3 Dates],Benchmark2[[#This Row],[Benchmark '#2 Dates]])=1,"Pass","Fail")</f>
        <v>Pass</v>
      </c>
      <c r="K841" s="6">
        <f>IF(Benchmark2[[#This Row],[Comparable '#3 Date Check]]="Pass",INDEX(Comp3[Comparable '#3 Price],MATCH(Benchmark2[[#This Row],[Benchmark '#2 Dates]],Comp3[Comparable '#3 Dates],0)),"-")</f>
        <v>67.45</v>
      </c>
    </row>
    <row r="842" spans="1:11">
      <c r="A842" s="103">
        <v>44503</v>
      </c>
      <c r="B842" s="104">
        <v>17209.749299999999</v>
      </c>
      <c r="C842" s="4">
        <f t="shared" si="13"/>
        <v>5.4477804061858611E-3</v>
      </c>
      <c r="D842" s="1" t="str">
        <f>IF(COUNTIF(Target1[Target Dates],Benchmark2[[#This Row],[Benchmark '#2 Dates]])=1,"Pass","Fail")</f>
        <v>Pass</v>
      </c>
      <c r="E842" s="6">
        <f>IF(Benchmark2[[#This Row],[Target Date Check]]="Pass",INDEX(Target1[Target Price],MATCH(Benchmark2[[#This Row],[Benchmark '#2 Dates]],Target1[Target Dates],0)),"-")</f>
        <v>37</v>
      </c>
      <c r="F842" s="1" t="str">
        <f>IF(COUNTIF(Comp1[Comparable '#1 Dates],Benchmark2[[#This Row],[Benchmark '#2 Dates]])=1,"Pass","Fail")</f>
        <v>Pass</v>
      </c>
      <c r="G842" s="6">
        <f>IF(Benchmark2[[#This Row],[Comparable '#1 Date Check]]="Pass",INDEX(Comp1[Comparable '#1 Price],MATCH(Benchmark2[[#This Row],[Benchmark '#2 Dates]],Comp1[Comparable '#1 Dates],0)),"-")</f>
        <v>10.18</v>
      </c>
      <c r="H842" s="1" t="str">
        <f>IF(COUNTIF(Comp2[Comparable '#2 Dates],Benchmark2[[#This Row],[Benchmark '#2 Dates]])=1,"Pass","Fail")</f>
        <v>Pass</v>
      </c>
      <c r="I842" s="6">
        <f>IF(Benchmark2[[#This Row],[Comparable '#2 Date Check]]="Pass",INDEX(Comp2[Comparable '#2 Price],MATCH(Benchmark2[[#This Row],[Benchmark '#2 Dates]],Comp2[Comparable '#2 Dates],0)),"-")</f>
        <v>36.24</v>
      </c>
      <c r="J842" s="1" t="str">
        <f>IF(COUNTIF(Comp3[Comparable '#3 Dates],Benchmark2[[#This Row],[Benchmark '#2 Dates]])=1,"Pass","Fail")</f>
        <v>Pass</v>
      </c>
      <c r="K842" s="6">
        <f>IF(Benchmark2[[#This Row],[Comparable '#3 Date Check]]="Pass",INDEX(Comp3[Comparable '#3 Price],MATCH(Benchmark2[[#This Row],[Benchmark '#2 Dates]],Comp3[Comparable '#3 Dates],0)),"-")</f>
        <v>70</v>
      </c>
    </row>
    <row r="843" spans="1:11">
      <c r="A843" s="103">
        <v>44504</v>
      </c>
      <c r="B843" s="104">
        <v>17168.866900000001</v>
      </c>
      <c r="C843" s="4">
        <f t="shared" si="13"/>
        <v>-2.3783632845186197E-3</v>
      </c>
      <c r="D843" s="1" t="str">
        <f>IF(COUNTIF(Target1[Target Dates],Benchmark2[[#This Row],[Benchmark '#2 Dates]])=1,"Pass","Fail")</f>
        <v>Pass</v>
      </c>
      <c r="E843" s="6">
        <f>IF(Benchmark2[[#This Row],[Target Date Check]]="Pass",INDEX(Target1[Target Price],MATCH(Benchmark2[[#This Row],[Benchmark '#2 Dates]],Target1[Target Dates],0)),"-")</f>
        <v>36.47</v>
      </c>
      <c r="F843" s="1" t="str">
        <f>IF(COUNTIF(Comp1[Comparable '#1 Dates],Benchmark2[[#This Row],[Benchmark '#2 Dates]])=1,"Pass","Fail")</f>
        <v>Pass</v>
      </c>
      <c r="G843" s="6">
        <f>IF(Benchmark2[[#This Row],[Comparable '#1 Date Check]]="Pass",INDEX(Comp1[Comparable '#1 Price],MATCH(Benchmark2[[#This Row],[Benchmark '#2 Dates]],Comp1[Comparable '#1 Dates],0)),"-")</f>
        <v>11.26</v>
      </c>
      <c r="H843" s="1" t="str">
        <f>IF(COUNTIF(Comp2[Comparable '#2 Dates],Benchmark2[[#This Row],[Benchmark '#2 Dates]])=1,"Pass","Fail")</f>
        <v>Pass</v>
      </c>
      <c r="I843" s="6">
        <f>IF(Benchmark2[[#This Row],[Comparable '#2 Date Check]]="Pass",INDEX(Comp2[Comparable '#2 Price],MATCH(Benchmark2[[#This Row],[Benchmark '#2 Dates]],Comp2[Comparable '#2 Dates],0)),"-")</f>
        <v>30.42</v>
      </c>
      <c r="J843" s="1" t="str">
        <f>IF(COUNTIF(Comp3[Comparable '#3 Dates],Benchmark2[[#This Row],[Benchmark '#2 Dates]])=1,"Pass","Fail")</f>
        <v>Pass</v>
      </c>
      <c r="K843" s="6">
        <f>IF(Benchmark2[[#This Row],[Comparable '#3 Date Check]]="Pass",INDEX(Comp3[Comparable '#3 Price],MATCH(Benchmark2[[#This Row],[Benchmark '#2 Dates]],Comp3[Comparable '#3 Dates],0)),"-")</f>
        <v>64.63</v>
      </c>
    </row>
    <row r="844" spans="1:11">
      <c r="A844" s="103">
        <v>44505</v>
      </c>
      <c r="B844" s="104">
        <v>17242.358899999999</v>
      </c>
      <c r="C844" s="4">
        <f t="shared" si="13"/>
        <v>4.271403301054669E-3</v>
      </c>
      <c r="D844" s="1" t="str">
        <f>IF(COUNTIF(Target1[Target Dates],Benchmark2[[#This Row],[Benchmark '#2 Dates]])=1,"Pass","Fail")</f>
        <v>Pass</v>
      </c>
      <c r="E844" s="6">
        <f>IF(Benchmark2[[#This Row],[Target Date Check]]="Pass",INDEX(Target1[Target Price],MATCH(Benchmark2[[#This Row],[Benchmark '#2 Dates]],Target1[Target Dates],0)),"-")</f>
        <v>36.21</v>
      </c>
      <c r="F844" s="1" t="str">
        <f>IF(COUNTIF(Comp1[Comparable '#1 Dates],Benchmark2[[#This Row],[Benchmark '#2 Dates]])=1,"Pass","Fail")</f>
        <v>Pass</v>
      </c>
      <c r="G844" s="6">
        <f>IF(Benchmark2[[#This Row],[Comparable '#1 Date Check]]="Pass",INDEX(Comp1[Comparable '#1 Price],MATCH(Benchmark2[[#This Row],[Benchmark '#2 Dates]],Comp1[Comparable '#1 Dates],0)),"-")</f>
        <v>11.83</v>
      </c>
      <c r="H844" s="1" t="str">
        <f>IF(COUNTIF(Comp2[Comparable '#2 Dates],Benchmark2[[#This Row],[Benchmark '#2 Dates]])=1,"Pass","Fail")</f>
        <v>Pass</v>
      </c>
      <c r="I844" s="6">
        <f>IF(Benchmark2[[#This Row],[Comparable '#2 Date Check]]="Pass",INDEX(Comp2[Comparable '#2 Price],MATCH(Benchmark2[[#This Row],[Benchmark '#2 Dates]],Comp2[Comparable '#2 Dates],0)),"-")</f>
        <v>31.86</v>
      </c>
      <c r="J844" s="1" t="str">
        <f>IF(COUNTIF(Comp3[Comparable '#3 Dates],Benchmark2[[#This Row],[Benchmark '#2 Dates]])=1,"Pass","Fail")</f>
        <v>Pass</v>
      </c>
      <c r="K844" s="6">
        <f>IF(Benchmark2[[#This Row],[Comparable '#3 Date Check]]="Pass",INDEX(Comp3[Comparable '#3 Price],MATCH(Benchmark2[[#This Row],[Benchmark '#2 Dates]],Comp3[Comparable '#3 Dates],0)),"-")</f>
        <v>64.239999999999995</v>
      </c>
    </row>
    <row r="845" spans="1:11">
      <c r="A845" s="103">
        <v>44508</v>
      </c>
      <c r="B845" s="104">
        <v>17310.506600000001</v>
      </c>
      <c r="C845" s="4">
        <f t="shared" si="13"/>
        <v>3.9445520581752802E-3</v>
      </c>
      <c r="D845" s="1" t="str">
        <f>IF(COUNTIF(Target1[Target Dates],Benchmark2[[#This Row],[Benchmark '#2 Dates]])=1,"Pass","Fail")</f>
        <v>Pass</v>
      </c>
      <c r="E845" s="6">
        <f>IF(Benchmark2[[#This Row],[Target Date Check]]="Pass",INDEX(Target1[Target Price],MATCH(Benchmark2[[#This Row],[Benchmark '#2 Dates]],Target1[Target Dates],0)),"-")</f>
        <v>35.909999999999997</v>
      </c>
      <c r="F845" s="1" t="str">
        <f>IF(COUNTIF(Comp1[Comparable '#1 Dates],Benchmark2[[#This Row],[Benchmark '#2 Dates]])=1,"Pass","Fail")</f>
        <v>Pass</v>
      </c>
      <c r="G845" s="6">
        <f>IF(Benchmark2[[#This Row],[Comparable '#1 Date Check]]="Pass",INDEX(Comp1[Comparable '#1 Price],MATCH(Benchmark2[[#This Row],[Benchmark '#2 Dates]],Comp1[Comparable '#1 Dates],0)),"-")</f>
        <v>12.13</v>
      </c>
      <c r="H845" s="1" t="str">
        <f>IF(COUNTIF(Comp2[Comparable '#2 Dates],Benchmark2[[#This Row],[Benchmark '#2 Dates]])=1,"Pass","Fail")</f>
        <v>Pass</v>
      </c>
      <c r="I845" s="6">
        <f>IF(Benchmark2[[#This Row],[Comparable '#2 Date Check]]="Pass",INDEX(Comp2[Comparable '#2 Price],MATCH(Benchmark2[[#This Row],[Benchmark '#2 Dates]],Comp2[Comparable '#2 Dates],0)),"-")</f>
        <v>32.82</v>
      </c>
      <c r="J845" s="1" t="str">
        <f>IF(COUNTIF(Comp3[Comparable '#3 Dates],Benchmark2[[#This Row],[Benchmark '#2 Dates]])=1,"Pass","Fail")</f>
        <v>Pass</v>
      </c>
      <c r="K845" s="6">
        <f>IF(Benchmark2[[#This Row],[Comparable '#3 Date Check]]="Pass",INDEX(Comp3[Comparable '#3 Price],MATCH(Benchmark2[[#This Row],[Benchmark '#2 Dates]],Comp3[Comparable '#3 Dates],0)),"-")</f>
        <v>61.85</v>
      </c>
    </row>
    <row r="846" spans="1:11">
      <c r="A846" s="103">
        <v>44509</v>
      </c>
      <c r="B846" s="104">
        <v>17286.912799999998</v>
      </c>
      <c r="C846" s="4">
        <f t="shared" si="13"/>
        <v>-1.3639054048932115E-3</v>
      </c>
      <c r="D846" s="1" t="str">
        <f>IF(COUNTIF(Target1[Target Dates],Benchmark2[[#This Row],[Benchmark '#2 Dates]])=1,"Pass","Fail")</f>
        <v>Pass</v>
      </c>
      <c r="E846" s="6">
        <f>IF(Benchmark2[[#This Row],[Target Date Check]]="Pass",INDEX(Target1[Target Price],MATCH(Benchmark2[[#This Row],[Benchmark '#2 Dates]],Target1[Target Dates],0)),"-")</f>
        <v>35.659999999999997</v>
      </c>
      <c r="F846" s="1" t="str">
        <f>IF(COUNTIF(Comp1[Comparable '#1 Dates],Benchmark2[[#This Row],[Benchmark '#2 Dates]])=1,"Pass","Fail")</f>
        <v>Pass</v>
      </c>
      <c r="G846" s="6">
        <f>IF(Benchmark2[[#This Row],[Comparable '#1 Date Check]]="Pass",INDEX(Comp1[Comparable '#1 Price],MATCH(Benchmark2[[#This Row],[Benchmark '#2 Dates]],Comp1[Comparable '#1 Dates],0)),"-")</f>
        <v>12.01</v>
      </c>
      <c r="H846" s="1" t="str">
        <f>IF(COUNTIF(Comp2[Comparable '#2 Dates],Benchmark2[[#This Row],[Benchmark '#2 Dates]])=1,"Pass","Fail")</f>
        <v>Pass</v>
      </c>
      <c r="I846" s="6">
        <f>IF(Benchmark2[[#This Row],[Comparable '#2 Date Check]]="Pass",INDEX(Comp2[Comparable '#2 Price],MATCH(Benchmark2[[#This Row],[Benchmark '#2 Dates]],Comp2[Comparable '#2 Dates],0)),"-")</f>
        <v>33.520000000000003</v>
      </c>
      <c r="J846" s="1" t="str">
        <f>IF(COUNTIF(Comp3[Comparable '#3 Dates],Benchmark2[[#This Row],[Benchmark '#2 Dates]])=1,"Pass","Fail")</f>
        <v>Pass</v>
      </c>
      <c r="K846" s="6">
        <f>IF(Benchmark2[[#This Row],[Comparable '#3 Date Check]]="Pass",INDEX(Comp3[Comparable '#3 Price],MATCH(Benchmark2[[#This Row],[Benchmark '#2 Dates]],Comp3[Comparable '#3 Dates],0)),"-")</f>
        <v>61.65</v>
      </c>
    </row>
    <row r="847" spans="1:11">
      <c r="A847" s="103">
        <v>44510</v>
      </c>
      <c r="B847" s="104">
        <v>17192.034500000002</v>
      </c>
      <c r="C847" s="4">
        <f t="shared" si="13"/>
        <v>-5.5035635895002511E-3</v>
      </c>
      <c r="D847" s="1" t="str">
        <f>IF(COUNTIF(Target1[Target Dates],Benchmark2[[#This Row],[Benchmark '#2 Dates]])=1,"Pass","Fail")</f>
        <v>Pass</v>
      </c>
      <c r="E847" s="6">
        <f>IF(Benchmark2[[#This Row],[Target Date Check]]="Pass",INDEX(Target1[Target Price],MATCH(Benchmark2[[#This Row],[Benchmark '#2 Dates]],Target1[Target Dates],0)),"-")</f>
        <v>35.75</v>
      </c>
      <c r="F847" s="1" t="str">
        <f>IF(COUNTIF(Comp1[Comparable '#1 Dates],Benchmark2[[#This Row],[Benchmark '#2 Dates]])=1,"Pass","Fail")</f>
        <v>Pass</v>
      </c>
      <c r="G847" s="6">
        <f>IF(Benchmark2[[#This Row],[Comparable '#1 Date Check]]="Pass",INDEX(Comp1[Comparable '#1 Price],MATCH(Benchmark2[[#This Row],[Benchmark '#2 Dates]],Comp1[Comparable '#1 Dates],0)),"-")</f>
        <v>11.78</v>
      </c>
      <c r="H847" s="1" t="str">
        <f>IF(COUNTIF(Comp2[Comparable '#2 Dates],Benchmark2[[#This Row],[Benchmark '#2 Dates]])=1,"Pass","Fail")</f>
        <v>Pass</v>
      </c>
      <c r="I847" s="6">
        <f>IF(Benchmark2[[#This Row],[Comparable '#2 Date Check]]="Pass",INDEX(Comp2[Comparable '#2 Price],MATCH(Benchmark2[[#This Row],[Benchmark '#2 Dates]],Comp2[Comparable '#2 Dates],0)),"-")</f>
        <v>33.840000000000003</v>
      </c>
      <c r="J847" s="1" t="str">
        <f>IF(COUNTIF(Comp3[Comparable '#3 Dates],Benchmark2[[#This Row],[Benchmark '#2 Dates]])=1,"Pass","Fail")</f>
        <v>Pass</v>
      </c>
      <c r="K847" s="6">
        <f>IF(Benchmark2[[#This Row],[Comparable '#3 Date Check]]="Pass",INDEX(Comp3[Comparable '#3 Price],MATCH(Benchmark2[[#This Row],[Benchmark '#2 Dates]],Comp3[Comparable '#3 Dates],0)),"-")</f>
        <v>60.9</v>
      </c>
    </row>
    <row r="848" spans="1:11">
      <c r="A848" s="103">
        <v>44511</v>
      </c>
      <c r="B848" s="104">
        <v>17220.413199999999</v>
      </c>
      <c r="C848" s="4">
        <f t="shared" si="13"/>
        <v>1.6493279804198179E-3</v>
      </c>
      <c r="D848" s="1" t="str">
        <f>IF(COUNTIF(Target1[Target Dates],Benchmark2[[#This Row],[Benchmark '#2 Dates]])=1,"Pass","Fail")</f>
        <v>Pass</v>
      </c>
      <c r="E848" s="6">
        <f>IF(Benchmark2[[#This Row],[Target Date Check]]="Pass",INDEX(Target1[Target Price],MATCH(Benchmark2[[#This Row],[Benchmark '#2 Dates]],Target1[Target Dates],0)),"-")</f>
        <v>35.71</v>
      </c>
      <c r="F848" s="1" t="str">
        <f>IF(COUNTIF(Comp1[Comparable '#1 Dates],Benchmark2[[#This Row],[Benchmark '#2 Dates]])=1,"Pass","Fail")</f>
        <v>Pass</v>
      </c>
      <c r="G848" s="6">
        <f>IF(Benchmark2[[#This Row],[Comparable '#1 Date Check]]="Pass",INDEX(Comp1[Comparable '#1 Price],MATCH(Benchmark2[[#This Row],[Benchmark '#2 Dates]],Comp1[Comparable '#1 Dates],0)),"-")</f>
        <v>11.27</v>
      </c>
      <c r="H848" s="1" t="str">
        <f>IF(COUNTIF(Comp2[Comparable '#2 Dates],Benchmark2[[#This Row],[Benchmark '#2 Dates]])=1,"Pass","Fail")</f>
        <v>Pass</v>
      </c>
      <c r="I848" s="6">
        <f>IF(Benchmark2[[#This Row],[Comparable '#2 Date Check]]="Pass",INDEX(Comp2[Comparable '#2 Price],MATCH(Benchmark2[[#This Row],[Benchmark '#2 Dates]],Comp2[Comparable '#2 Dates],0)),"-")</f>
        <v>33.340000000000003</v>
      </c>
      <c r="J848" s="1" t="str">
        <f>IF(COUNTIF(Comp3[Comparable '#3 Dates],Benchmark2[[#This Row],[Benchmark '#2 Dates]])=1,"Pass","Fail")</f>
        <v>Pass</v>
      </c>
      <c r="K848" s="6">
        <f>IF(Benchmark2[[#This Row],[Comparable '#3 Date Check]]="Pass",INDEX(Comp3[Comparable '#3 Price],MATCH(Benchmark2[[#This Row],[Benchmark '#2 Dates]],Comp3[Comparable '#3 Dates],0)),"-")</f>
        <v>60.38</v>
      </c>
    </row>
    <row r="849" spans="1:11">
      <c r="A849" s="103">
        <v>44512</v>
      </c>
      <c r="B849" s="104">
        <v>17297.657500000001</v>
      </c>
      <c r="C849" s="4">
        <f t="shared" si="13"/>
        <v>4.4755936454820584E-3</v>
      </c>
      <c r="D849" s="1" t="str">
        <f>IF(COUNTIF(Target1[Target Dates],Benchmark2[[#This Row],[Benchmark '#2 Dates]])=1,"Pass","Fail")</f>
        <v>Pass</v>
      </c>
      <c r="E849" s="6">
        <f>IF(Benchmark2[[#This Row],[Target Date Check]]="Pass",INDEX(Target1[Target Price],MATCH(Benchmark2[[#This Row],[Benchmark '#2 Dates]],Target1[Target Dates],0)),"-")</f>
        <v>36.22</v>
      </c>
      <c r="F849" s="1" t="str">
        <f>IF(COUNTIF(Comp1[Comparable '#1 Dates],Benchmark2[[#This Row],[Benchmark '#2 Dates]])=1,"Pass","Fail")</f>
        <v>Pass</v>
      </c>
      <c r="G849" s="6">
        <f>IF(Benchmark2[[#This Row],[Comparable '#1 Date Check]]="Pass",INDEX(Comp1[Comparable '#1 Price],MATCH(Benchmark2[[#This Row],[Benchmark '#2 Dates]],Comp1[Comparable '#1 Dates],0)),"-")</f>
        <v>11.17</v>
      </c>
      <c r="H849" s="1" t="str">
        <f>IF(COUNTIF(Comp2[Comparable '#2 Dates],Benchmark2[[#This Row],[Benchmark '#2 Dates]])=1,"Pass","Fail")</f>
        <v>Pass</v>
      </c>
      <c r="I849" s="6">
        <f>IF(Benchmark2[[#This Row],[Comparable '#2 Date Check]]="Pass",INDEX(Comp2[Comparable '#2 Price],MATCH(Benchmark2[[#This Row],[Benchmark '#2 Dates]],Comp2[Comparable '#2 Dates],0)),"-")</f>
        <v>32.9</v>
      </c>
      <c r="J849" s="1" t="str">
        <f>IF(COUNTIF(Comp3[Comparable '#3 Dates],Benchmark2[[#This Row],[Benchmark '#2 Dates]])=1,"Pass","Fail")</f>
        <v>Pass</v>
      </c>
      <c r="K849" s="6">
        <f>IF(Benchmark2[[#This Row],[Comparable '#3 Date Check]]="Pass",INDEX(Comp3[Comparable '#3 Price],MATCH(Benchmark2[[#This Row],[Benchmark '#2 Dates]],Comp3[Comparable '#3 Dates],0)),"-")</f>
        <v>61.3</v>
      </c>
    </row>
    <row r="850" spans="1:11">
      <c r="A850" s="103">
        <v>44515</v>
      </c>
      <c r="B850" s="104">
        <v>17285.5527</v>
      </c>
      <c r="C850" s="4">
        <f t="shared" si="13"/>
        <v>-7.0003914757082542E-4</v>
      </c>
      <c r="D850" s="1" t="str">
        <f>IF(COUNTIF(Target1[Target Dates],Benchmark2[[#This Row],[Benchmark '#2 Dates]])=1,"Pass","Fail")</f>
        <v>Pass</v>
      </c>
      <c r="E850" s="6">
        <f>IF(Benchmark2[[#This Row],[Target Date Check]]="Pass",INDEX(Target1[Target Price],MATCH(Benchmark2[[#This Row],[Benchmark '#2 Dates]],Target1[Target Dates],0)),"-")</f>
        <v>36.020000000000003</v>
      </c>
      <c r="F850" s="1" t="str">
        <f>IF(COUNTIF(Comp1[Comparable '#1 Dates],Benchmark2[[#This Row],[Benchmark '#2 Dates]])=1,"Pass","Fail")</f>
        <v>Pass</v>
      </c>
      <c r="G850" s="6">
        <f>IF(Benchmark2[[#This Row],[Comparable '#1 Date Check]]="Pass",INDEX(Comp1[Comparable '#1 Price],MATCH(Benchmark2[[#This Row],[Benchmark '#2 Dates]],Comp1[Comparable '#1 Dates],0)),"-")</f>
        <v>10.98</v>
      </c>
      <c r="H850" s="1" t="str">
        <f>IF(COUNTIF(Comp2[Comparable '#2 Dates],Benchmark2[[#This Row],[Benchmark '#2 Dates]])=1,"Pass","Fail")</f>
        <v>Pass</v>
      </c>
      <c r="I850" s="6">
        <f>IF(Benchmark2[[#This Row],[Comparable '#2 Date Check]]="Pass",INDEX(Comp2[Comparable '#2 Price],MATCH(Benchmark2[[#This Row],[Benchmark '#2 Dates]],Comp2[Comparable '#2 Dates],0)),"-")</f>
        <v>32.68</v>
      </c>
      <c r="J850" s="1" t="str">
        <f>IF(COUNTIF(Comp3[Comparable '#3 Dates],Benchmark2[[#This Row],[Benchmark '#2 Dates]])=1,"Pass","Fail")</f>
        <v>Pass</v>
      </c>
      <c r="K850" s="6">
        <f>IF(Benchmark2[[#This Row],[Comparable '#3 Date Check]]="Pass",INDEX(Comp3[Comparable '#3 Price],MATCH(Benchmark2[[#This Row],[Benchmark '#2 Dates]],Comp3[Comparable '#3 Dates],0)),"-")</f>
        <v>60.53</v>
      </c>
    </row>
    <row r="851" spans="1:11">
      <c r="A851" s="103">
        <v>44516</v>
      </c>
      <c r="B851" s="104">
        <v>17302.788199999999</v>
      </c>
      <c r="C851" s="4">
        <f t="shared" si="13"/>
        <v>9.9660758383252231E-4</v>
      </c>
      <c r="D851" s="1" t="str">
        <f>IF(COUNTIF(Target1[Target Dates],Benchmark2[[#This Row],[Benchmark '#2 Dates]])=1,"Pass","Fail")</f>
        <v>Pass</v>
      </c>
      <c r="E851" s="6">
        <f>IF(Benchmark2[[#This Row],[Target Date Check]]="Pass",INDEX(Target1[Target Price],MATCH(Benchmark2[[#This Row],[Benchmark '#2 Dates]],Target1[Target Dates],0)),"-")</f>
        <v>36.29</v>
      </c>
      <c r="F851" s="1" t="str">
        <f>IF(COUNTIF(Comp1[Comparable '#1 Dates],Benchmark2[[#This Row],[Benchmark '#2 Dates]])=1,"Pass","Fail")</f>
        <v>Pass</v>
      </c>
      <c r="G851" s="6">
        <f>IF(Benchmark2[[#This Row],[Comparable '#1 Date Check]]="Pass",INDEX(Comp1[Comparable '#1 Price],MATCH(Benchmark2[[#This Row],[Benchmark '#2 Dates]],Comp1[Comparable '#1 Dates],0)),"-")</f>
        <v>11.15</v>
      </c>
      <c r="H851" s="1" t="str">
        <f>IF(COUNTIF(Comp2[Comparable '#2 Dates],Benchmark2[[#This Row],[Benchmark '#2 Dates]])=1,"Pass","Fail")</f>
        <v>Pass</v>
      </c>
      <c r="I851" s="6">
        <f>IF(Benchmark2[[#This Row],[Comparable '#2 Date Check]]="Pass",INDEX(Comp2[Comparable '#2 Price],MATCH(Benchmark2[[#This Row],[Benchmark '#2 Dates]],Comp2[Comparable '#2 Dates],0)),"-")</f>
        <v>32.31</v>
      </c>
      <c r="J851" s="1" t="str">
        <f>IF(COUNTIF(Comp3[Comparable '#3 Dates],Benchmark2[[#This Row],[Benchmark '#2 Dates]])=1,"Pass","Fail")</f>
        <v>Pass</v>
      </c>
      <c r="K851" s="6">
        <f>IF(Benchmark2[[#This Row],[Comparable '#3 Date Check]]="Pass",INDEX(Comp3[Comparable '#3 Price],MATCH(Benchmark2[[#This Row],[Benchmark '#2 Dates]],Comp3[Comparable '#3 Dates],0)),"-")</f>
        <v>60.56</v>
      </c>
    </row>
    <row r="852" spans="1:11">
      <c r="A852" s="103">
        <v>44517</v>
      </c>
      <c r="B852" s="104">
        <v>17192.658899999999</v>
      </c>
      <c r="C852" s="4">
        <f t="shared" si="13"/>
        <v>-6.3851715763302347E-3</v>
      </c>
      <c r="D852" s="1" t="str">
        <f>IF(COUNTIF(Target1[Target Dates],Benchmark2[[#This Row],[Benchmark '#2 Dates]])=1,"Pass","Fail")</f>
        <v>Pass</v>
      </c>
      <c r="E852" s="6">
        <f>IF(Benchmark2[[#This Row],[Target Date Check]]="Pass",INDEX(Target1[Target Price],MATCH(Benchmark2[[#This Row],[Benchmark '#2 Dates]],Target1[Target Dates],0)),"-")</f>
        <v>36.06</v>
      </c>
      <c r="F852" s="1" t="str">
        <f>IF(COUNTIF(Comp1[Comparable '#1 Dates],Benchmark2[[#This Row],[Benchmark '#2 Dates]])=1,"Pass","Fail")</f>
        <v>Pass</v>
      </c>
      <c r="G852" s="6">
        <f>IF(Benchmark2[[#This Row],[Comparable '#1 Date Check]]="Pass",INDEX(Comp1[Comparable '#1 Price],MATCH(Benchmark2[[#This Row],[Benchmark '#2 Dates]],Comp1[Comparable '#1 Dates],0)),"-")</f>
        <v>11.1</v>
      </c>
      <c r="H852" s="1" t="str">
        <f>IF(COUNTIF(Comp2[Comparable '#2 Dates],Benchmark2[[#This Row],[Benchmark '#2 Dates]])=1,"Pass","Fail")</f>
        <v>Pass</v>
      </c>
      <c r="I852" s="6">
        <f>IF(Benchmark2[[#This Row],[Comparable '#2 Date Check]]="Pass",INDEX(Comp2[Comparable '#2 Price],MATCH(Benchmark2[[#This Row],[Benchmark '#2 Dates]],Comp2[Comparable '#2 Dates],0)),"-")</f>
        <v>31.73</v>
      </c>
      <c r="J852" s="1" t="str">
        <f>IF(COUNTIF(Comp3[Comparable '#3 Dates],Benchmark2[[#This Row],[Benchmark '#2 Dates]])=1,"Pass","Fail")</f>
        <v>Pass</v>
      </c>
      <c r="K852" s="6">
        <f>IF(Benchmark2[[#This Row],[Comparable '#3 Date Check]]="Pass",INDEX(Comp3[Comparable '#3 Price],MATCH(Benchmark2[[#This Row],[Benchmark '#2 Dates]],Comp3[Comparable '#3 Dates],0)),"-")</f>
        <v>59.24</v>
      </c>
    </row>
    <row r="853" spans="1:11">
      <c r="A853" s="103">
        <v>44518</v>
      </c>
      <c r="B853" s="104">
        <v>17117.742699999999</v>
      </c>
      <c r="C853" s="4">
        <f t="shared" si="13"/>
        <v>-4.366974186462709E-3</v>
      </c>
      <c r="D853" s="1" t="str">
        <f>IF(COUNTIF(Target1[Target Dates],Benchmark2[[#This Row],[Benchmark '#2 Dates]])=1,"Pass","Fail")</f>
        <v>Pass</v>
      </c>
      <c r="E853" s="6">
        <f>IF(Benchmark2[[#This Row],[Target Date Check]]="Pass",INDEX(Target1[Target Price],MATCH(Benchmark2[[#This Row],[Benchmark '#2 Dates]],Target1[Target Dates],0)),"-")</f>
        <v>36.81</v>
      </c>
      <c r="F853" s="1" t="str">
        <f>IF(COUNTIF(Comp1[Comparable '#1 Dates],Benchmark2[[#This Row],[Benchmark '#2 Dates]])=1,"Pass","Fail")</f>
        <v>Pass</v>
      </c>
      <c r="G853" s="6">
        <f>IF(Benchmark2[[#This Row],[Comparable '#1 Date Check]]="Pass",INDEX(Comp1[Comparable '#1 Price],MATCH(Benchmark2[[#This Row],[Benchmark '#2 Dates]],Comp1[Comparable '#1 Dates],0)),"-")</f>
        <v>10.82</v>
      </c>
      <c r="H853" s="1" t="str">
        <f>IF(COUNTIF(Comp2[Comparable '#2 Dates],Benchmark2[[#This Row],[Benchmark '#2 Dates]])=1,"Pass","Fail")</f>
        <v>Pass</v>
      </c>
      <c r="I853" s="6">
        <f>IF(Benchmark2[[#This Row],[Comparable '#2 Date Check]]="Pass",INDEX(Comp2[Comparable '#2 Price],MATCH(Benchmark2[[#This Row],[Benchmark '#2 Dates]],Comp2[Comparable '#2 Dates],0)),"-")</f>
        <v>30.48</v>
      </c>
      <c r="J853" s="1" t="str">
        <f>IF(COUNTIF(Comp3[Comparable '#3 Dates],Benchmark2[[#This Row],[Benchmark '#2 Dates]])=1,"Pass","Fail")</f>
        <v>Pass</v>
      </c>
      <c r="K853" s="6">
        <f>IF(Benchmark2[[#This Row],[Comparable '#3 Date Check]]="Pass",INDEX(Comp3[Comparable '#3 Price],MATCH(Benchmark2[[#This Row],[Benchmark '#2 Dates]],Comp3[Comparable '#3 Dates],0)),"-")</f>
        <v>57.8</v>
      </c>
    </row>
    <row r="854" spans="1:11">
      <c r="A854" s="103">
        <v>44519</v>
      </c>
      <c r="B854" s="104">
        <v>16973.964</v>
      </c>
      <c r="C854" s="4">
        <f t="shared" si="13"/>
        <v>-8.4348697304290031E-3</v>
      </c>
      <c r="D854" s="1" t="str">
        <f>IF(COUNTIF(Target1[Target Dates],Benchmark2[[#This Row],[Benchmark '#2 Dates]])=1,"Pass","Fail")</f>
        <v>Pass</v>
      </c>
      <c r="E854" s="6">
        <f>IF(Benchmark2[[#This Row],[Target Date Check]]="Pass",INDEX(Target1[Target Price],MATCH(Benchmark2[[#This Row],[Benchmark '#2 Dates]],Target1[Target Dates],0)),"-")</f>
        <v>37.1</v>
      </c>
      <c r="F854" s="1" t="str">
        <f>IF(COUNTIF(Comp1[Comparable '#1 Dates],Benchmark2[[#This Row],[Benchmark '#2 Dates]])=1,"Pass","Fail")</f>
        <v>Pass</v>
      </c>
      <c r="G854" s="6">
        <f>IF(Benchmark2[[#This Row],[Comparable '#1 Date Check]]="Pass",INDEX(Comp1[Comparable '#1 Price],MATCH(Benchmark2[[#This Row],[Benchmark '#2 Dates]],Comp1[Comparable '#1 Dates],0)),"-")</f>
        <v>11</v>
      </c>
      <c r="H854" s="1" t="str">
        <f>IF(COUNTIF(Comp2[Comparable '#2 Dates],Benchmark2[[#This Row],[Benchmark '#2 Dates]])=1,"Pass","Fail")</f>
        <v>Pass</v>
      </c>
      <c r="I854" s="6">
        <f>IF(Benchmark2[[#This Row],[Comparable '#2 Date Check]]="Pass",INDEX(Comp2[Comparable '#2 Price],MATCH(Benchmark2[[#This Row],[Benchmark '#2 Dates]],Comp2[Comparable '#2 Dates],0)),"-")</f>
        <v>30.61</v>
      </c>
      <c r="J854" s="1" t="str">
        <f>IF(COUNTIF(Comp3[Comparable '#3 Dates],Benchmark2[[#This Row],[Benchmark '#2 Dates]])=1,"Pass","Fail")</f>
        <v>Pass</v>
      </c>
      <c r="K854" s="6">
        <f>IF(Benchmark2[[#This Row],[Comparable '#3 Date Check]]="Pass",INDEX(Comp3[Comparable '#3 Price],MATCH(Benchmark2[[#This Row],[Benchmark '#2 Dates]],Comp3[Comparable '#3 Dates],0)),"-")</f>
        <v>57.65</v>
      </c>
    </row>
    <row r="855" spans="1:11">
      <c r="A855" s="103">
        <v>44522</v>
      </c>
      <c r="B855" s="104">
        <v>16945.776000000002</v>
      </c>
      <c r="C855" s="4">
        <f t="shared" si="13"/>
        <v>-1.6620414241873853E-3</v>
      </c>
      <c r="D855" s="1" t="str">
        <f>IF(COUNTIF(Target1[Target Dates],Benchmark2[[#This Row],[Benchmark '#2 Dates]])=1,"Pass","Fail")</f>
        <v>Pass</v>
      </c>
      <c r="E855" s="6">
        <f>IF(Benchmark2[[#This Row],[Target Date Check]]="Pass",INDEX(Target1[Target Price],MATCH(Benchmark2[[#This Row],[Benchmark '#2 Dates]],Target1[Target Dates],0)),"-")</f>
        <v>36.39</v>
      </c>
      <c r="F855" s="1" t="str">
        <f>IF(COUNTIF(Comp1[Comparable '#1 Dates],Benchmark2[[#This Row],[Benchmark '#2 Dates]])=1,"Pass","Fail")</f>
        <v>Pass</v>
      </c>
      <c r="G855" s="6">
        <f>IF(Benchmark2[[#This Row],[Comparable '#1 Date Check]]="Pass",INDEX(Comp1[Comparable '#1 Price],MATCH(Benchmark2[[#This Row],[Benchmark '#2 Dates]],Comp1[Comparable '#1 Dates],0)),"-")</f>
        <v>10.93</v>
      </c>
      <c r="H855" s="1" t="str">
        <f>IF(COUNTIF(Comp2[Comparable '#2 Dates],Benchmark2[[#This Row],[Benchmark '#2 Dates]])=1,"Pass","Fail")</f>
        <v>Pass</v>
      </c>
      <c r="I855" s="6">
        <f>IF(Benchmark2[[#This Row],[Comparable '#2 Date Check]]="Pass",INDEX(Comp2[Comparable '#2 Price],MATCH(Benchmark2[[#This Row],[Benchmark '#2 Dates]],Comp2[Comparable '#2 Dates],0)),"-")</f>
        <v>30.78</v>
      </c>
      <c r="J855" s="1" t="str">
        <f>IF(COUNTIF(Comp3[Comparable '#3 Dates],Benchmark2[[#This Row],[Benchmark '#2 Dates]])=1,"Pass","Fail")</f>
        <v>Pass</v>
      </c>
      <c r="K855" s="6">
        <f>IF(Benchmark2[[#This Row],[Comparable '#3 Date Check]]="Pass",INDEX(Comp3[Comparable '#3 Price],MATCH(Benchmark2[[#This Row],[Benchmark '#2 Dates]],Comp3[Comparable '#3 Dates],0)),"-")</f>
        <v>59.39</v>
      </c>
    </row>
    <row r="856" spans="1:11">
      <c r="A856" s="103">
        <v>44523</v>
      </c>
      <c r="B856" s="104">
        <v>17007.902399999999</v>
      </c>
      <c r="C856" s="4">
        <f t="shared" si="13"/>
        <v>3.6594838768410553E-3</v>
      </c>
      <c r="D856" s="1" t="str">
        <f>IF(COUNTIF(Target1[Target Dates],Benchmark2[[#This Row],[Benchmark '#2 Dates]])=1,"Pass","Fail")</f>
        <v>Pass</v>
      </c>
      <c r="E856" s="6">
        <f>IF(Benchmark2[[#This Row],[Target Date Check]]="Pass",INDEX(Target1[Target Price],MATCH(Benchmark2[[#This Row],[Benchmark '#2 Dates]],Target1[Target Dates],0)),"-")</f>
        <v>35.5</v>
      </c>
      <c r="F856" s="1" t="str">
        <f>IF(COUNTIF(Comp1[Comparable '#1 Dates],Benchmark2[[#This Row],[Benchmark '#2 Dates]])=1,"Pass","Fail")</f>
        <v>Pass</v>
      </c>
      <c r="G856" s="6">
        <f>IF(Benchmark2[[#This Row],[Comparable '#1 Date Check]]="Pass",INDEX(Comp1[Comparable '#1 Price],MATCH(Benchmark2[[#This Row],[Benchmark '#2 Dates]],Comp1[Comparable '#1 Dates],0)),"-")</f>
        <v>11.14</v>
      </c>
      <c r="H856" s="1" t="str">
        <f>IF(COUNTIF(Comp2[Comparable '#2 Dates],Benchmark2[[#This Row],[Benchmark '#2 Dates]])=1,"Pass","Fail")</f>
        <v>Pass</v>
      </c>
      <c r="I856" s="6">
        <f>IF(Benchmark2[[#This Row],[Comparable '#2 Date Check]]="Pass",INDEX(Comp2[Comparable '#2 Price],MATCH(Benchmark2[[#This Row],[Benchmark '#2 Dates]],Comp2[Comparable '#2 Dates],0)),"-")</f>
        <v>31.01</v>
      </c>
      <c r="J856" s="1" t="str">
        <f>IF(COUNTIF(Comp3[Comparable '#3 Dates],Benchmark2[[#This Row],[Benchmark '#2 Dates]])=1,"Pass","Fail")</f>
        <v>Pass</v>
      </c>
      <c r="K856" s="6">
        <f>IF(Benchmark2[[#This Row],[Comparable '#3 Date Check]]="Pass",INDEX(Comp3[Comparable '#3 Price],MATCH(Benchmark2[[#This Row],[Benchmark '#2 Dates]],Comp3[Comparable '#3 Dates],0)),"-")</f>
        <v>59.05</v>
      </c>
    </row>
    <row r="857" spans="1:11">
      <c r="A857" s="103">
        <v>44524</v>
      </c>
      <c r="B857" s="104">
        <v>17036.8079</v>
      </c>
      <c r="C857" s="4">
        <f t="shared" si="13"/>
        <v>1.6980909334264711E-3</v>
      </c>
      <c r="D857" s="1" t="str">
        <f>IF(COUNTIF(Target1[Target Dates],Benchmark2[[#This Row],[Benchmark '#2 Dates]])=1,"Pass","Fail")</f>
        <v>Pass</v>
      </c>
      <c r="E857" s="6">
        <f>IF(Benchmark2[[#This Row],[Target Date Check]]="Pass",INDEX(Target1[Target Price],MATCH(Benchmark2[[#This Row],[Benchmark '#2 Dates]],Target1[Target Dates],0)),"-")</f>
        <v>35.57</v>
      </c>
      <c r="F857" s="1" t="str">
        <f>IF(COUNTIF(Comp1[Comparable '#1 Dates],Benchmark2[[#This Row],[Benchmark '#2 Dates]])=1,"Pass","Fail")</f>
        <v>Pass</v>
      </c>
      <c r="G857" s="6">
        <f>IF(Benchmark2[[#This Row],[Comparable '#1 Date Check]]="Pass",INDEX(Comp1[Comparable '#1 Price],MATCH(Benchmark2[[#This Row],[Benchmark '#2 Dates]],Comp1[Comparable '#1 Dates],0)),"-")</f>
        <v>11.08</v>
      </c>
      <c r="H857" s="1" t="str">
        <f>IF(COUNTIF(Comp2[Comparable '#2 Dates],Benchmark2[[#This Row],[Benchmark '#2 Dates]])=1,"Pass","Fail")</f>
        <v>Pass</v>
      </c>
      <c r="I857" s="6">
        <f>IF(Benchmark2[[#This Row],[Comparable '#2 Date Check]]="Pass",INDEX(Comp2[Comparable '#2 Price],MATCH(Benchmark2[[#This Row],[Benchmark '#2 Dates]],Comp2[Comparable '#2 Dates],0)),"-")</f>
        <v>31.72</v>
      </c>
      <c r="J857" s="1" t="str">
        <f>IF(COUNTIF(Comp3[Comparable '#3 Dates],Benchmark2[[#This Row],[Benchmark '#2 Dates]])=1,"Pass","Fail")</f>
        <v>Pass</v>
      </c>
      <c r="K857" s="6">
        <f>IF(Benchmark2[[#This Row],[Comparable '#3 Date Check]]="Pass",INDEX(Comp3[Comparable '#3 Price],MATCH(Benchmark2[[#This Row],[Benchmark '#2 Dates]],Comp3[Comparable '#3 Dates],0)),"-")</f>
        <v>59.61</v>
      </c>
    </row>
    <row r="858" spans="1:11">
      <c r="A858" s="103">
        <v>44526</v>
      </c>
      <c r="B858" s="104">
        <v>16624.871800000001</v>
      </c>
      <c r="C858" s="4">
        <f t="shared" si="13"/>
        <v>-2.4476298806551888E-2</v>
      </c>
      <c r="D858" s="1" t="str">
        <f>IF(COUNTIF(Target1[Target Dates],Benchmark2[[#This Row],[Benchmark '#2 Dates]])=1,"Pass","Fail")</f>
        <v>Pass</v>
      </c>
      <c r="E858" s="6">
        <f>IF(Benchmark2[[#This Row],[Target Date Check]]="Pass",INDEX(Target1[Target Price],MATCH(Benchmark2[[#This Row],[Benchmark '#2 Dates]],Target1[Target Dates],0)),"-")</f>
        <v>36.36</v>
      </c>
      <c r="F858" s="1" t="str">
        <f>IF(COUNTIF(Comp1[Comparable '#1 Dates],Benchmark2[[#This Row],[Benchmark '#2 Dates]])=1,"Pass","Fail")</f>
        <v>Pass</v>
      </c>
      <c r="G858" s="6">
        <f>IF(Benchmark2[[#This Row],[Comparable '#1 Date Check]]="Pass",INDEX(Comp1[Comparable '#1 Price],MATCH(Benchmark2[[#This Row],[Benchmark '#2 Dates]],Comp1[Comparable '#1 Dates],0)),"-")</f>
        <v>10.8</v>
      </c>
      <c r="H858" s="1" t="str">
        <f>IF(COUNTIF(Comp2[Comparable '#2 Dates],Benchmark2[[#This Row],[Benchmark '#2 Dates]])=1,"Pass","Fail")</f>
        <v>Pass</v>
      </c>
      <c r="I858" s="6">
        <f>IF(Benchmark2[[#This Row],[Comparable '#2 Date Check]]="Pass",INDEX(Comp2[Comparable '#2 Price],MATCH(Benchmark2[[#This Row],[Benchmark '#2 Dates]],Comp2[Comparable '#2 Dates],0)),"-")</f>
        <v>30.66</v>
      </c>
      <c r="J858" s="1" t="str">
        <f>IF(COUNTIF(Comp3[Comparable '#3 Dates],Benchmark2[[#This Row],[Benchmark '#2 Dates]])=1,"Pass","Fail")</f>
        <v>Pass</v>
      </c>
      <c r="K858" s="6">
        <f>IF(Benchmark2[[#This Row],[Comparable '#3 Date Check]]="Pass",INDEX(Comp3[Comparable '#3 Price],MATCH(Benchmark2[[#This Row],[Benchmark '#2 Dates]],Comp3[Comparable '#3 Dates],0)),"-")</f>
        <v>57.76</v>
      </c>
    </row>
    <row r="859" spans="1:11">
      <c r="A859" s="103">
        <v>44529</v>
      </c>
      <c r="B859" s="104">
        <v>16683.982899999999</v>
      </c>
      <c r="C859" s="4">
        <f t="shared" si="13"/>
        <v>3.549276166114535E-3</v>
      </c>
      <c r="D859" s="1" t="str">
        <f>IF(COUNTIF(Target1[Target Dates],Benchmark2[[#This Row],[Benchmark '#2 Dates]])=1,"Pass","Fail")</f>
        <v>Pass</v>
      </c>
      <c r="E859" s="6">
        <f>IF(Benchmark2[[#This Row],[Target Date Check]]="Pass",INDEX(Target1[Target Price],MATCH(Benchmark2[[#This Row],[Benchmark '#2 Dates]],Target1[Target Dates],0)),"-")</f>
        <v>34.43</v>
      </c>
      <c r="F859" s="1" t="str">
        <f>IF(COUNTIF(Comp1[Comparable '#1 Dates],Benchmark2[[#This Row],[Benchmark '#2 Dates]])=1,"Pass","Fail")</f>
        <v>Pass</v>
      </c>
      <c r="G859" s="6">
        <f>IF(Benchmark2[[#This Row],[Comparable '#1 Date Check]]="Pass",INDEX(Comp1[Comparable '#1 Price],MATCH(Benchmark2[[#This Row],[Benchmark '#2 Dates]],Comp1[Comparable '#1 Dates],0)),"-")</f>
        <v>10.54</v>
      </c>
      <c r="H859" s="1" t="str">
        <f>IF(COUNTIF(Comp2[Comparable '#2 Dates],Benchmark2[[#This Row],[Benchmark '#2 Dates]])=1,"Pass","Fail")</f>
        <v>Pass</v>
      </c>
      <c r="I859" s="6">
        <f>IF(Benchmark2[[#This Row],[Comparable '#2 Date Check]]="Pass",INDEX(Comp2[Comparable '#2 Price],MATCH(Benchmark2[[#This Row],[Benchmark '#2 Dates]],Comp2[Comparable '#2 Dates],0)),"-")</f>
        <v>29.84</v>
      </c>
      <c r="J859" s="1" t="str">
        <f>IF(COUNTIF(Comp3[Comparable '#3 Dates],Benchmark2[[#This Row],[Benchmark '#2 Dates]])=1,"Pass","Fail")</f>
        <v>Pass</v>
      </c>
      <c r="K859" s="6">
        <f>IF(Benchmark2[[#This Row],[Comparable '#3 Date Check]]="Pass",INDEX(Comp3[Comparable '#3 Price],MATCH(Benchmark2[[#This Row],[Benchmark '#2 Dates]],Comp3[Comparable '#3 Dates],0)),"-")</f>
        <v>55.58</v>
      </c>
    </row>
    <row r="860" spans="1:11">
      <c r="A860" s="103">
        <v>44530</v>
      </c>
      <c r="B860" s="104">
        <v>16318.972299999999</v>
      </c>
      <c r="C860" s="4">
        <f t="shared" si="13"/>
        <v>-2.2120775660677394E-2</v>
      </c>
      <c r="D860" s="1" t="str">
        <f>IF(COUNTIF(Target1[Target Dates],Benchmark2[[#This Row],[Benchmark '#2 Dates]])=1,"Pass","Fail")</f>
        <v>Pass</v>
      </c>
      <c r="E860" s="6">
        <f>IF(Benchmark2[[#This Row],[Target Date Check]]="Pass",INDEX(Target1[Target Price],MATCH(Benchmark2[[#This Row],[Benchmark '#2 Dates]],Target1[Target Dates],0)),"-")</f>
        <v>34.130000000000003</v>
      </c>
      <c r="F860" s="1" t="str">
        <f>IF(COUNTIF(Comp1[Comparable '#1 Dates],Benchmark2[[#This Row],[Benchmark '#2 Dates]])=1,"Pass","Fail")</f>
        <v>Pass</v>
      </c>
      <c r="G860" s="6">
        <f>IF(Benchmark2[[#This Row],[Comparable '#1 Date Check]]="Pass",INDEX(Comp1[Comparable '#1 Price],MATCH(Benchmark2[[#This Row],[Benchmark '#2 Dates]],Comp1[Comparable '#1 Dates],0)),"-")</f>
        <v>10</v>
      </c>
      <c r="H860" s="1" t="str">
        <f>IF(COUNTIF(Comp2[Comparable '#2 Dates],Benchmark2[[#This Row],[Benchmark '#2 Dates]])=1,"Pass","Fail")</f>
        <v>Pass</v>
      </c>
      <c r="I860" s="6">
        <f>IF(Benchmark2[[#This Row],[Comparable '#2 Date Check]]="Pass",INDEX(Comp2[Comparable '#2 Price],MATCH(Benchmark2[[#This Row],[Benchmark '#2 Dates]],Comp2[Comparable '#2 Dates],0)),"-")</f>
        <v>29.67</v>
      </c>
      <c r="J860" s="1" t="str">
        <f>IF(COUNTIF(Comp3[Comparable '#3 Dates],Benchmark2[[#This Row],[Benchmark '#2 Dates]])=1,"Pass","Fail")</f>
        <v>Pass</v>
      </c>
      <c r="K860" s="6">
        <f>IF(Benchmark2[[#This Row],[Comparable '#3 Date Check]]="Pass",INDEX(Comp3[Comparable '#3 Price],MATCH(Benchmark2[[#This Row],[Benchmark '#2 Dates]],Comp3[Comparable '#3 Dates],0)),"-")</f>
        <v>53.5</v>
      </c>
    </row>
    <row r="861" spans="1:11">
      <c r="A861" s="103">
        <v>44531</v>
      </c>
      <c r="B861" s="104">
        <v>16133.8943</v>
      </c>
      <c r="C861" s="4">
        <f t="shared" si="13"/>
        <v>-1.1406080628279587E-2</v>
      </c>
      <c r="D861" s="1" t="str">
        <f>IF(COUNTIF(Target1[Target Dates],Benchmark2[[#This Row],[Benchmark '#2 Dates]])=1,"Pass","Fail")</f>
        <v>Pass</v>
      </c>
      <c r="E861" s="6">
        <f>IF(Benchmark2[[#This Row],[Target Date Check]]="Pass",INDEX(Target1[Target Price],MATCH(Benchmark2[[#This Row],[Benchmark '#2 Dates]],Target1[Target Dates],0)),"-")</f>
        <v>33.22</v>
      </c>
      <c r="F861" s="1" t="str">
        <f>IF(COUNTIF(Comp1[Comparable '#1 Dates],Benchmark2[[#This Row],[Benchmark '#2 Dates]])=1,"Pass","Fail")</f>
        <v>Pass</v>
      </c>
      <c r="G861" s="6">
        <f>IF(Benchmark2[[#This Row],[Comparable '#1 Date Check]]="Pass",INDEX(Comp1[Comparable '#1 Price],MATCH(Benchmark2[[#This Row],[Benchmark '#2 Dates]],Comp1[Comparable '#1 Dates],0)),"-")</f>
        <v>9.75</v>
      </c>
      <c r="H861" s="1" t="str">
        <f>IF(COUNTIF(Comp2[Comparable '#2 Dates],Benchmark2[[#This Row],[Benchmark '#2 Dates]])=1,"Pass","Fail")</f>
        <v>Pass</v>
      </c>
      <c r="I861" s="6">
        <f>IF(Benchmark2[[#This Row],[Comparable '#2 Date Check]]="Pass",INDEX(Comp2[Comparable '#2 Price],MATCH(Benchmark2[[#This Row],[Benchmark '#2 Dates]],Comp2[Comparable '#2 Dates],0)),"-")</f>
        <v>28.83</v>
      </c>
      <c r="J861" s="1" t="str">
        <f>IF(COUNTIF(Comp3[Comparable '#3 Dates],Benchmark2[[#This Row],[Benchmark '#2 Dates]])=1,"Pass","Fail")</f>
        <v>Pass</v>
      </c>
      <c r="K861" s="6">
        <f>IF(Benchmark2[[#This Row],[Comparable '#3 Date Check]]="Pass",INDEX(Comp3[Comparable '#3 Price],MATCH(Benchmark2[[#This Row],[Benchmark '#2 Dates]],Comp3[Comparable '#3 Dates],0)),"-")</f>
        <v>52.85</v>
      </c>
    </row>
    <row r="862" spans="1:11">
      <c r="A862" s="103">
        <v>44532</v>
      </c>
      <c r="B862" s="104">
        <v>16475.2536</v>
      </c>
      <c r="C862" s="4">
        <f t="shared" si="13"/>
        <v>2.0937178178678597E-2</v>
      </c>
      <c r="D862" s="1" t="str">
        <f>IF(COUNTIF(Target1[Target Dates],Benchmark2[[#This Row],[Benchmark '#2 Dates]])=1,"Pass","Fail")</f>
        <v>Pass</v>
      </c>
      <c r="E862" s="6">
        <f>IF(Benchmark2[[#This Row],[Target Date Check]]="Pass",INDEX(Target1[Target Price],MATCH(Benchmark2[[#This Row],[Benchmark '#2 Dates]],Target1[Target Dates],0)),"-")</f>
        <v>33.479999999999997</v>
      </c>
      <c r="F862" s="1" t="str">
        <f>IF(COUNTIF(Comp1[Comparable '#1 Dates],Benchmark2[[#This Row],[Benchmark '#2 Dates]])=1,"Pass","Fail")</f>
        <v>Pass</v>
      </c>
      <c r="G862" s="6">
        <f>IF(Benchmark2[[#This Row],[Comparable '#1 Date Check]]="Pass",INDEX(Comp1[Comparable '#1 Price],MATCH(Benchmark2[[#This Row],[Benchmark '#2 Dates]],Comp1[Comparable '#1 Dates],0)),"-")</f>
        <v>10.16</v>
      </c>
      <c r="H862" s="1" t="str">
        <f>IF(COUNTIF(Comp2[Comparable '#2 Dates],Benchmark2[[#This Row],[Benchmark '#2 Dates]])=1,"Pass","Fail")</f>
        <v>Pass</v>
      </c>
      <c r="I862" s="6">
        <f>IF(Benchmark2[[#This Row],[Comparable '#2 Date Check]]="Pass",INDEX(Comp2[Comparable '#2 Price],MATCH(Benchmark2[[#This Row],[Benchmark '#2 Dates]],Comp2[Comparable '#2 Dates],0)),"-")</f>
        <v>28.56</v>
      </c>
      <c r="J862" s="1" t="str">
        <f>IF(COUNTIF(Comp3[Comparable '#3 Dates],Benchmark2[[#This Row],[Benchmark '#2 Dates]])=1,"Pass","Fail")</f>
        <v>Pass</v>
      </c>
      <c r="K862" s="6">
        <f>IF(Benchmark2[[#This Row],[Comparable '#3 Date Check]]="Pass",INDEX(Comp3[Comparable '#3 Price],MATCH(Benchmark2[[#This Row],[Benchmark '#2 Dates]],Comp3[Comparable '#3 Dates],0)),"-")</f>
        <v>54</v>
      </c>
    </row>
    <row r="863" spans="1:11">
      <c r="A863" s="103">
        <v>44533</v>
      </c>
      <c r="B863" s="104">
        <v>16347.8732</v>
      </c>
      <c r="C863" s="4">
        <f t="shared" si="13"/>
        <v>-7.7616639183407847E-3</v>
      </c>
      <c r="D863" s="1" t="str">
        <f>IF(COUNTIF(Target1[Target Dates],Benchmark2[[#This Row],[Benchmark '#2 Dates]])=1,"Pass","Fail")</f>
        <v>Pass</v>
      </c>
      <c r="E863" s="6">
        <f>IF(Benchmark2[[#This Row],[Target Date Check]]="Pass",INDEX(Target1[Target Price],MATCH(Benchmark2[[#This Row],[Benchmark '#2 Dates]],Target1[Target Dates],0)),"-")</f>
        <v>32.6</v>
      </c>
      <c r="F863" s="1" t="str">
        <f>IF(COUNTIF(Comp1[Comparable '#1 Dates],Benchmark2[[#This Row],[Benchmark '#2 Dates]])=1,"Pass","Fail")</f>
        <v>Pass</v>
      </c>
      <c r="G863" s="6">
        <f>IF(Benchmark2[[#This Row],[Comparable '#1 Date Check]]="Pass",INDEX(Comp1[Comparable '#1 Price],MATCH(Benchmark2[[#This Row],[Benchmark '#2 Dates]],Comp1[Comparable '#1 Dates],0)),"-")</f>
        <v>10.1</v>
      </c>
      <c r="H863" s="1" t="str">
        <f>IF(COUNTIF(Comp2[Comparable '#2 Dates],Benchmark2[[#This Row],[Benchmark '#2 Dates]])=1,"Pass","Fail")</f>
        <v>Pass</v>
      </c>
      <c r="I863" s="6">
        <f>IF(Benchmark2[[#This Row],[Comparable '#2 Date Check]]="Pass",INDEX(Comp2[Comparable '#2 Price],MATCH(Benchmark2[[#This Row],[Benchmark '#2 Dates]],Comp2[Comparable '#2 Dates],0)),"-")</f>
        <v>29.12</v>
      </c>
      <c r="J863" s="1" t="str">
        <f>IF(COUNTIF(Comp3[Comparable '#3 Dates],Benchmark2[[#This Row],[Benchmark '#2 Dates]])=1,"Pass","Fail")</f>
        <v>Pass</v>
      </c>
      <c r="K863" s="6">
        <f>IF(Benchmark2[[#This Row],[Comparable '#3 Date Check]]="Pass",INDEX(Comp3[Comparable '#3 Price],MATCH(Benchmark2[[#This Row],[Benchmark '#2 Dates]],Comp3[Comparable '#3 Dates],0)),"-")</f>
        <v>53.9</v>
      </c>
    </row>
    <row r="864" spans="1:11">
      <c r="A864" s="103">
        <v>44536</v>
      </c>
      <c r="B864" s="104">
        <v>16591.965899999999</v>
      </c>
      <c r="C864" s="4">
        <f t="shared" si="13"/>
        <v>1.4820786906244908E-2</v>
      </c>
      <c r="D864" s="1" t="str">
        <f>IF(COUNTIF(Target1[Target Dates],Benchmark2[[#This Row],[Benchmark '#2 Dates]])=1,"Pass","Fail")</f>
        <v>Pass</v>
      </c>
      <c r="E864" s="6">
        <f>IF(Benchmark2[[#This Row],[Target Date Check]]="Pass",INDEX(Target1[Target Price],MATCH(Benchmark2[[#This Row],[Benchmark '#2 Dates]],Target1[Target Dates],0)),"-")</f>
        <v>32.630000000000003</v>
      </c>
      <c r="F864" s="1" t="str">
        <f>IF(COUNTIF(Comp1[Comparable '#1 Dates],Benchmark2[[#This Row],[Benchmark '#2 Dates]])=1,"Pass","Fail")</f>
        <v>Pass</v>
      </c>
      <c r="G864" s="6">
        <f>IF(Benchmark2[[#This Row],[Comparable '#1 Date Check]]="Pass",INDEX(Comp1[Comparable '#1 Price],MATCH(Benchmark2[[#This Row],[Benchmark '#2 Dates]],Comp1[Comparable '#1 Dates],0)),"-")</f>
        <v>10.47</v>
      </c>
      <c r="H864" s="1" t="str">
        <f>IF(COUNTIF(Comp2[Comparable '#2 Dates],Benchmark2[[#This Row],[Benchmark '#2 Dates]])=1,"Pass","Fail")</f>
        <v>Pass</v>
      </c>
      <c r="I864" s="6">
        <f>IF(Benchmark2[[#This Row],[Comparable '#2 Date Check]]="Pass",INDEX(Comp2[Comparable '#2 Price],MATCH(Benchmark2[[#This Row],[Benchmark '#2 Dates]],Comp2[Comparable '#2 Dates],0)),"-")</f>
        <v>30.35</v>
      </c>
      <c r="J864" s="1" t="str">
        <f>IF(COUNTIF(Comp3[Comparable '#3 Dates],Benchmark2[[#This Row],[Benchmark '#2 Dates]])=1,"Pass","Fail")</f>
        <v>Pass</v>
      </c>
      <c r="K864" s="6">
        <f>IF(Benchmark2[[#This Row],[Comparable '#3 Date Check]]="Pass",INDEX(Comp3[Comparable '#3 Price],MATCH(Benchmark2[[#This Row],[Benchmark '#2 Dates]],Comp3[Comparable '#3 Dates],0)),"-")</f>
        <v>55</v>
      </c>
    </row>
    <row r="865" spans="1:11">
      <c r="A865" s="103">
        <v>44537</v>
      </c>
      <c r="B865" s="104">
        <v>16853.5749</v>
      </c>
      <c r="C865" s="4">
        <f t="shared" si="13"/>
        <v>1.5644198255228402E-2</v>
      </c>
      <c r="D865" s="1" t="str">
        <f>IF(COUNTIF(Target1[Target Dates],Benchmark2[[#This Row],[Benchmark '#2 Dates]])=1,"Pass","Fail")</f>
        <v>Pass</v>
      </c>
      <c r="E865" s="6">
        <f>IF(Benchmark2[[#This Row],[Target Date Check]]="Pass",INDEX(Target1[Target Price],MATCH(Benchmark2[[#This Row],[Benchmark '#2 Dates]],Target1[Target Dates],0)),"-")</f>
        <v>33.369999999999997</v>
      </c>
      <c r="F865" s="1" t="str">
        <f>IF(COUNTIF(Comp1[Comparable '#1 Dates],Benchmark2[[#This Row],[Benchmark '#2 Dates]])=1,"Pass","Fail")</f>
        <v>Pass</v>
      </c>
      <c r="G865" s="6">
        <f>IF(Benchmark2[[#This Row],[Comparable '#1 Date Check]]="Pass",INDEX(Comp1[Comparable '#1 Price],MATCH(Benchmark2[[#This Row],[Benchmark '#2 Dates]],Comp1[Comparable '#1 Dates],0)),"-")</f>
        <v>10.55</v>
      </c>
      <c r="H865" s="1" t="str">
        <f>IF(COUNTIF(Comp2[Comparable '#2 Dates],Benchmark2[[#This Row],[Benchmark '#2 Dates]])=1,"Pass","Fail")</f>
        <v>Pass</v>
      </c>
      <c r="I865" s="6">
        <f>IF(Benchmark2[[#This Row],[Comparable '#2 Date Check]]="Pass",INDEX(Comp2[Comparable '#2 Price],MATCH(Benchmark2[[#This Row],[Benchmark '#2 Dates]],Comp2[Comparable '#2 Dates],0)),"-")</f>
        <v>31.07</v>
      </c>
      <c r="J865" s="1" t="str">
        <f>IF(COUNTIF(Comp3[Comparable '#3 Dates],Benchmark2[[#This Row],[Benchmark '#2 Dates]])=1,"Pass","Fail")</f>
        <v>Pass</v>
      </c>
      <c r="K865" s="6">
        <f>IF(Benchmark2[[#This Row],[Comparable '#3 Date Check]]="Pass",INDEX(Comp3[Comparable '#3 Price],MATCH(Benchmark2[[#This Row],[Benchmark '#2 Dates]],Comp3[Comparable '#3 Dates],0)),"-")</f>
        <v>54.35</v>
      </c>
    </row>
    <row r="866" spans="1:11">
      <c r="A866" s="103">
        <v>44538</v>
      </c>
      <c r="B866" s="104">
        <v>16899.919999999998</v>
      </c>
      <c r="C866" s="4">
        <f t="shared" si="13"/>
        <v>2.7460936570540056E-3</v>
      </c>
      <c r="D866" s="1" t="str">
        <f>IF(COUNTIF(Target1[Target Dates],Benchmark2[[#This Row],[Benchmark '#2 Dates]])=1,"Pass","Fail")</f>
        <v>Pass</v>
      </c>
      <c r="E866" s="6">
        <f>IF(Benchmark2[[#This Row],[Target Date Check]]="Pass",INDEX(Target1[Target Price],MATCH(Benchmark2[[#This Row],[Benchmark '#2 Dates]],Target1[Target Dates],0)),"-")</f>
        <v>34.090000000000003</v>
      </c>
      <c r="F866" s="1" t="str">
        <f>IF(COUNTIF(Comp1[Comparable '#1 Dates],Benchmark2[[#This Row],[Benchmark '#2 Dates]])=1,"Pass","Fail")</f>
        <v>Pass</v>
      </c>
      <c r="G866" s="6">
        <f>IF(Benchmark2[[#This Row],[Comparable '#1 Date Check]]="Pass",INDEX(Comp1[Comparable '#1 Price],MATCH(Benchmark2[[#This Row],[Benchmark '#2 Dates]],Comp1[Comparable '#1 Dates],0)),"-")</f>
        <v>10.95</v>
      </c>
      <c r="H866" s="1" t="str">
        <f>IF(COUNTIF(Comp2[Comparable '#2 Dates],Benchmark2[[#This Row],[Benchmark '#2 Dates]])=1,"Pass","Fail")</f>
        <v>Pass</v>
      </c>
      <c r="I866" s="6">
        <f>IF(Benchmark2[[#This Row],[Comparable '#2 Date Check]]="Pass",INDEX(Comp2[Comparable '#2 Price],MATCH(Benchmark2[[#This Row],[Benchmark '#2 Dates]],Comp2[Comparable '#2 Dates],0)),"-")</f>
        <v>31.7</v>
      </c>
      <c r="J866" s="1" t="str">
        <f>IF(COUNTIF(Comp3[Comparable '#3 Dates],Benchmark2[[#This Row],[Benchmark '#2 Dates]])=1,"Pass","Fail")</f>
        <v>Pass</v>
      </c>
      <c r="K866" s="6">
        <f>IF(Benchmark2[[#This Row],[Comparable '#3 Date Check]]="Pass",INDEX(Comp3[Comparable '#3 Price],MATCH(Benchmark2[[#This Row],[Benchmark '#2 Dates]],Comp3[Comparable '#3 Dates],0)),"-")</f>
        <v>56</v>
      </c>
    </row>
    <row r="867" spans="1:11">
      <c r="A867" s="103">
        <v>44539</v>
      </c>
      <c r="B867" s="104">
        <v>16780.4738</v>
      </c>
      <c r="C867" s="4">
        <f t="shared" si="13"/>
        <v>-7.0929515543485915E-3</v>
      </c>
      <c r="D867" s="1" t="str">
        <f>IF(COUNTIF(Target1[Target Dates],Benchmark2[[#This Row],[Benchmark '#2 Dates]])=1,"Pass","Fail")</f>
        <v>Pass</v>
      </c>
      <c r="E867" s="6">
        <f>IF(Benchmark2[[#This Row],[Target Date Check]]="Pass",INDEX(Target1[Target Price],MATCH(Benchmark2[[#This Row],[Benchmark '#2 Dates]],Target1[Target Dates],0)),"-")</f>
        <v>31.56</v>
      </c>
      <c r="F867" s="1" t="str">
        <f>IF(COUNTIF(Comp1[Comparable '#1 Dates],Benchmark2[[#This Row],[Benchmark '#2 Dates]])=1,"Pass","Fail")</f>
        <v>Pass</v>
      </c>
      <c r="G867" s="6">
        <f>IF(Benchmark2[[#This Row],[Comparable '#1 Date Check]]="Pass",INDEX(Comp1[Comparable '#1 Price],MATCH(Benchmark2[[#This Row],[Benchmark '#2 Dates]],Comp1[Comparable '#1 Dates],0)),"-")</f>
        <v>10.51</v>
      </c>
      <c r="H867" s="1" t="str">
        <f>IF(COUNTIF(Comp2[Comparable '#2 Dates],Benchmark2[[#This Row],[Benchmark '#2 Dates]])=1,"Pass","Fail")</f>
        <v>Pass</v>
      </c>
      <c r="I867" s="6">
        <f>IF(Benchmark2[[#This Row],[Comparable '#2 Date Check]]="Pass",INDEX(Comp2[Comparable '#2 Price],MATCH(Benchmark2[[#This Row],[Benchmark '#2 Dates]],Comp2[Comparable '#2 Dates],0)),"-")</f>
        <v>30.39</v>
      </c>
      <c r="J867" s="1" t="str">
        <f>IF(COUNTIF(Comp3[Comparable '#3 Dates],Benchmark2[[#This Row],[Benchmark '#2 Dates]])=1,"Pass","Fail")</f>
        <v>Pass</v>
      </c>
      <c r="K867" s="6">
        <f>IF(Benchmark2[[#This Row],[Comparable '#3 Date Check]]="Pass",INDEX(Comp3[Comparable '#3 Price],MATCH(Benchmark2[[#This Row],[Benchmark '#2 Dates]],Comp3[Comparable '#3 Dates],0)),"-")</f>
        <v>54.99</v>
      </c>
    </row>
    <row r="868" spans="1:11">
      <c r="A868" s="103">
        <v>44540</v>
      </c>
      <c r="B868" s="104">
        <v>16856.627899999999</v>
      </c>
      <c r="C868" s="4">
        <f t="shared" si="13"/>
        <v>4.5279900029933668E-3</v>
      </c>
      <c r="D868" s="1" t="str">
        <f>IF(COUNTIF(Target1[Target Dates],Benchmark2[[#This Row],[Benchmark '#2 Dates]])=1,"Pass","Fail")</f>
        <v>Pass</v>
      </c>
      <c r="E868" s="6">
        <f>IF(Benchmark2[[#This Row],[Target Date Check]]="Pass",INDEX(Target1[Target Price],MATCH(Benchmark2[[#This Row],[Benchmark '#2 Dates]],Target1[Target Dates],0)),"-")</f>
        <v>31.75</v>
      </c>
      <c r="F868" s="1" t="str">
        <f>IF(COUNTIF(Comp1[Comparable '#1 Dates],Benchmark2[[#This Row],[Benchmark '#2 Dates]])=1,"Pass","Fail")</f>
        <v>Pass</v>
      </c>
      <c r="G868" s="6">
        <f>IF(Benchmark2[[#This Row],[Comparable '#1 Date Check]]="Pass",INDEX(Comp1[Comparable '#1 Price],MATCH(Benchmark2[[#This Row],[Benchmark '#2 Dates]],Comp1[Comparable '#1 Dates],0)),"-")</f>
        <v>10.48</v>
      </c>
      <c r="H868" s="1" t="str">
        <f>IF(COUNTIF(Comp2[Comparable '#2 Dates],Benchmark2[[#This Row],[Benchmark '#2 Dates]])=1,"Pass","Fail")</f>
        <v>Pass</v>
      </c>
      <c r="I868" s="6">
        <f>IF(Benchmark2[[#This Row],[Comparable '#2 Date Check]]="Pass",INDEX(Comp2[Comparable '#2 Price],MATCH(Benchmark2[[#This Row],[Benchmark '#2 Dates]],Comp2[Comparable '#2 Dates],0)),"-")</f>
        <v>30.15</v>
      </c>
      <c r="J868" s="1" t="str">
        <f>IF(COUNTIF(Comp3[Comparable '#3 Dates],Benchmark2[[#This Row],[Benchmark '#2 Dates]])=1,"Pass","Fail")</f>
        <v>Pass</v>
      </c>
      <c r="K868" s="6">
        <f>IF(Benchmark2[[#This Row],[Comparable '#3 Date Check]]="Pass",INDEX(Comp3[Comparable '#3 Price],MATCH(Benchmark2[[#This Row],[Benchmark '#2 Dates]],Comp3[Comparable '#3 Dates],0)),"-")</f>
        <v>55.35</v>
      </c>
    </row>
    <row r="869" spans="1:11">
      <c r="A869" s="103">
        <v>44543</v>
      </c>
      <c r="B869" s="104">
        <v>16719.573400000001</v>
      </c>
      <c r="C869" s="4">
        <f t="shared" si="13"/>
        <v>-8.1638336616657436E-3</v>
      </c>
      <c r="D869" s="1" t="str">
        <f>IF(COUNTIF(Target1[Target Dates],Benchmark2[[#This Row],[Benchmark '#2 Dates]])=1,"Pass","Fail")</f>
        <v>Pass</v>
      </c>
      <c r="E869" s="6">
        <f>IF(Benchmark2[[#This Row],[Target Date Check]]="Pass",INDEX(Target1[Target Price],MATCH(Benchmark2[[#This Row],[Benchmark '#2 Dates]],Target1[Target Dates],0)),"-")</f>
        <v>31.75</v>
      </c>
      <c r="F869" s="1" t="str">
        <f>IF(COUNTIF(Comp1[Comparable '#1 Dates],Benchmark2[[#This Row],[Benchmark '#2 Dates]])=1,"Pass","Fail")</f>
        <v>Pass</v>
      </c>
      <c r="G869" s="6">
        <f>IF(Benchmark2[[#This Row],[Comparable '#1 Date Check]]="Pass",INDEX(Comp1[Comparable '#1 Price],MATCH(Benchmark2[[#This Row],[Benchmark '#2 Dates]],Comp1[Comparable '#1 Dates],0)),"-")</f>
        <v>10.14</v>
      </c>
      <c r="H869" s="1" t="str">
        <f>IF(COUNTIF(Comp2[Comparable '#2 Dates],Benchmark2[[#This Row],[Benchmark '#2 Dates]])=1,"Pass","Fail")</f>
        <v>Pass</v>
      </c>
      <c r="I869" s="6">
        <f>IF(Benchmark2[[#This Row],[Comparable '#2 Date Check]]="Pass",INDEX(Comp2[Comparable '#2 Price],MATCH(Benchmark2[[#This Row],[Benchmark '#2 Dates]],Comp2[Comparable '#2 Dates],0)),"-")</f>
        <v>29.94</v>
      </c>
      <c r="J869" s="1" t="str">
        <f>IF(COUNTIF(Comp3[Comparable '#3 Dates],Benchmark2[[#This Row],[Benchmark '#2 Dates]])=1,"Pass","Fail")</f>
        <v>Pass</v>
      </c>
      <c r="K869" s="6">
        <f>IF(Benchmark2[[#This Row],[Comparable '#3 Date Check]]="Pass",INDEX(Comp3[Comparable '#3 Price],MATCH(Benchmark2[[#This Row],[Benchmark '#2 Dates]],Comp3[Comparable '#3 Dates],0)),"-")</f>
        <v>55.63</v>
      </c>
    </row>
    <row r="870" spans="1:11">
      <c r="A870" s="103">
        <v>44544</v>
      </c>
      <c r="B870" s="104">
        <v>16652.580999999998</v>
      </c>
      <c r="C870" s="4">
        <f t="shared" si="13"/>
        <v>-4.0148735491101614E-3</v>
      </c>
      <c r="D870" s="1" t="str">
        <f>IF(COUNTIF(Target1[Target Dates],Benchmark2[[#This Row],[Benchmark '#2 Dates]])=1,"Pass","Fail")</f>
        <v>Pass</v>
      </c>
      <c r="E870" s="6">
        <f>IF(Benchmark2[[#This Row],[Target Date Check]]="Pass",INDEX(Target1[Target Price],MATCH(Benchmark2[[#This Row],[Benchmark '#2 Dates]],Target1[Target Dates],0)),"-")</f>
        <v>31.65</v>
      </c>
      <c r="F870" s="1" t="str">
        <f>IF(COUNTIF(Comp1[Comparable '#1 Dates],Benchmark2[[#This Row],[Benchmark '#2 Dates]])=1,"Pass","Fail")</f>
        <v>Pass</v>
      </c>
      <c r="G870" s="6">
        <f>IF(Benchmark2[[#This Row],[Comparable '#1 Date Check]]="Pass",INDEX(Comp1[Comparable '#1 Price],MATCH(Benchmark2[[#This Row],[Benchmark '#2 Dates]],Comp1[Comparable '#1 Dates],0)),"-")</f>
        <v>10.16</v>
      </c>
      <c r="H870" s="1" t="str">
        <f>IF(COUNTIF(Comp2[Comparable '#2 Dates],Benchmark2[[#This Row],[Benchmark '#2 Dates]])=1,"Pass","Fail")</f>
        <v>Pass</v>
      </c>
      <c r="I870" s="6">
        <f>IF(Benchmark2[[#This Row],[Comparable '#2 Date Check]]="Pass",INDEX(Comp2[Comparable '#2 Price],MATCH(Benchmark2[[#This Row],[Benchmark '#2 Dates]],Comp2[Comparable '#2 Dates],0)),"-")</f>
        <v>29.25</v>
      </c>
      <c r="J870" s="1" t="str">
        <f>IF(COUNTIF(Comp3[Comparable '#3 Dates],Benchmark2[[#This Row],[Benchmark '#2 Dates]])=1,"Pass","Fail")</f>
        <v>Pass</v>
      </c>
      <c r="K870" s="6">
        <f>IF(Benchmark2[[#This Row],[Comparable '#3 Date Check]]="Pass",INDEX(Comp3[Comparable '#3 Price],MATCH(Benchmark2[[#This Row],[Benchmark '#2 Dates]],Comp3[Comparable '#3 Dates],0)),"-")</f>
        <v>56.2</v>
      </c>
    </row>
    <row r="871" spans="1:11">
      <c r="A871" s="103">
        <v>44545</v>
      </c>
      <c r="B871" s="104">
        <v>16813.572100000001</v>
      </c>
      <c r="C871" s="4">
        <f t="shared" si="13"/>
        <v>9.621203930821479E-3</v>
      </c>
      <c r="D871" s="1" t="str">
        <f>IF(COUNTIF(Target1[Target Dates],Benchmark2[[#This Row],[Benchmark '#2 Dates]])=1,"Pass","Fail")</f>
        <v>Pass</v>
      </c>
      <c r="E871" s="6">
        <f>IF(Benchmark2[[#This Row],[Target Date Check]]="Pass",INDEX(Target1[Target Price],MATCH(Benchmark2[[#This Row],[Benchmark '#2 Dates]],Target1[Target Dates],0)),"-")</f>
        <v>32.090000000000003</v>
      </c>
      <c r="F871" s="1" t="str">
        <f>IF(COUNTIF(Comp1[Comparable '#1 Dates],Benchmark2[[#This Row],[Benchmark '#2 Dates]])=1,"Pass","Fail")</f>
        <v>Pass</v>
      </c>
      <c r="G871" s="6">
        <f>IF(Benchmark2[[#This Row],[Comparable '#1 Date Check]]="Pass",INDEX(Comp1[Comparable '#1 Price],MATCH(Benchmark2[[#This Row],[Benchmark '#2 Dates]],Comp1[Comparable '#1 Dates],0)),"-")</f>
        <v>10.38</v>
      </c>
      <c r="H871" s="1" t="str">
        <f>IF(COUNTIF(Comp2[Comparable '#2 Dates],Benchmark2[[#This Row],[Benchmark '#2 Dates]])=1,"Pass","Fail")</f>
        <v>Pass</v>
      </c>
      <c r="I871" s="6">
        <f>IF(Benchmark2[[#This Row],[Comparable '#2 Date Check]]="Pass",INDEX(Comp2[Comparable '#2 Price],MATCH(Benchmark2[[#This Row],[Benchmark '#2 Dates]],Comp2[Comparable '#2 Dates],0)),"-")</f>
        <v>29.07</v>
      </c>
      <c r="J871" s="1" t="str">
        <f>IF(COUNTIF(Comp3[Comparable '#3 Dates],Benchmark2[[#This Row],[Benchmark '#2 Dates]])=1,"Pass","Fail")</f>
        <v>Pass</v>
      </c>
      <c r="K871" s="6">
        <f>IF(Benchmark2[[#This Row],[Comparable '#3 Date Check]]="Pass",INDEX(Comp3[Comparable '#3 Price],MATCH(Benchmark2[[#This Row],[Benchmark '#2 Dates]],Comp3[Comparable '#3 Dates],0)),"-")</f>
        <v>57.33</v>
      </c>
    </row>
    <row r="872" spans="1:11">
      <c r="A872" s="103">
        <v>44546</v>
      </c>
      <c r="B872" s="104">
        <v>16849.093099999998</v>
      </c>
      <c r="C872" s="4">
        <f t="shared" si="13"/>
        <v>2.1104100327567336E-3</v>
      </c>
      <c r="D872" s="1" t="str">
        <f>IF(COUNTIF(Target1[Target Dates],Benchmark2[[#This Row],[Benchmark '#2 Dates]])=1,"Pass","Fail")</f>
        <v>Pass</v>
      </c>
      <c r="E872" s="6">
        <f>IF(Benchmark2[[#This Row],[Target Date Check]]="Pass",INDEX(Target1[Target Price],MATCH(Benchmark2[[#This Row],[Benchmark '#2 Dates]],Target1[Target Dates],0)),"-")</f>
        <v>31.68</v>
      </c>
      <c r="F872" s="1" t="str">
        <f>IF(COUNTIF(Comp1[Comparable '#1 Dates],Benchmark2[[#This Row],[Benchmark '#2 Dates]])=1,"Pass","Fail")</f>
        <v>Pass</v>
      </c>
      <c r="G872" s="6">
        <f>IF(Benchmark2[[#This Row],[Comparable '#1 Date Check]]="Pass",INDEX(Comp1[Comparable '#1 Price],MATCH(Benchmark2[[#This Row],[Benchmark '#2 Dates]],Comp1[Comparable '#1 Dates],0)),"-")</f>
        <v>10.64</v>
      </c>
      <c r="H872" s="1" t="str">
        <f>IF(COUNTIF(Comp2[Comparable '#2 Dates],Benchmark2[[#This Row],[Benchmark '#2 Dates]])=1,"Pass","Fail")</f>
        <v>Pass</v>
      </c>
      <c r="I872" s="6">
        <f>IF(Benchmark2[[#This Row],[Comparable '#2 Date Check]]="Pass",INDEX(Comp2[Comparable '#2 Price],MATCH(Benchmark2[[#This Row],[Benchmark '#2 Dates]],Comp2[Comparable '#2 Dates],0)),"-")</f>
        <v>28.23</v>
      </c>
      <c r="J872" s="1" t="str">
        <f>IF(COUNTIF(Comp3[Comparable '#3 Dates],Benchmark2[[#This Row],[Benchmark '#2 Dates]])=1,"Pass","Fail")</f>
        <v>Pass</v>
      </c>
      <c r="K872" s="6">
        <f>IF(Benchmark2[[#This Row],[Comparable '#3 Date Check]]="Pass",INDEX(Comp3[Comparable '#3 Price],MATCH(Benchmark2[[#This Row],[Benchmark '#2 Dates]],Comp3[Comparable '#3 Dates],0)),"-")</f>
        <v>57.03</v>
      </c>
    </row>
    <row r="873" spans="1:11">
      <c r="A873" s="103">
        <v>44547</v>
      </c>
      <c r="B873" s="104">
        <v>16668.640299999999</v>
      </c>
      <c r="C873" s="4">
        <f t="shared" si="13"/>
        <v>-1.0767705642281683E-2</v>
      </c>
      <c r="D873" s="1" t="str">
        <f>IF(COUNTIF(Target1[Target Dates],Benchmark2[[#This Row],[Benchmark '#2 Dates]])=1,"Pass","Fail")</f>
        <v>Pass</v>
      </c>
      <c r="E873" s="6">
        <f>IF(Benchmark2[[#This Row],[Target Date Check]]="Pass",INDEX(Target1[Target Price],MATCH(Benchmark2[[#This Row],[Benchmark '#2 Dates]],Target1[Target Dates],0)),"-")</f>
        <v>31.84</v>
      </c>
      <c r="F873" s="1" t="str">
        <f>IF(COUNTIF(Comp1[Comparable '#1 Dates],Benchmark2[[#This Row],[Benchmark '#2 Dates]])=1,"Pass","Fail")</f>
        <v>Pass</v>
      </c>
      <c r="G873" s="6">
        <f>IF(Benchmark2[[#This Row],[Comparable '#1 Date Check]]="Pass",INDEX(Comp1[Comparable '#1 Price],MATCH(Benchmark2[[#This Row],[Benchmark '#2 Dates]],Comp1[Comparable '#1 Dates],0)),"-")</f>
        <v>11.17</v>
      </c>
      <c r="H873" s="1" t="str">
        <f>IF(COUNTIF(Comp2[Comparable '#2 Dates],Benchmark2[[#This Row],[Benchmark '#2 Dates]])=1,"Pass","Fail")</f>
        <v>Pass</v>
      </c>
      <c r="I873" s="6">
        <f>IF(Benchmark2[[#This Row],[Comparable '#2 Date Check]]="Pass",INDEX(Comp2[Comparable '#2 Price],MATCH(Benchmark2[[#This Row],[Benchmark '#2 Dates]],Comp2[Comparable '#2 Dates],0)),"-")</f>
        <v>28.21</v>
      </c>
      <c r="J873" s="1" t="str">
        <f>IF(COUNTIF(Comp3[Comparable '#3 Dates],Benchmark2[[#This Row],[Benchmark '#2 Dates]])=1,"Pass","Fail")</f>
        <v>Pass</v>
      </c>
      <c r="K873" s="6">
        <f>IF(Benchmark2[[#This Row],[Comparable '#3 Date Check]]="Pass",INDEX(Comp3[Comparable '#3 Price],MATCH(Benchmark2[[#This Row],[Benchmark '#2 Dates]],Comp3[Comparable '#3 Dates],0)),"-")</f>
        <v>58.3</v>
      </c>
    </row>
    <row r="874" spans="1:11">
      <c r="A874" s="103">
        <v>44550</v>
      </c>
      <c r="B874" s="104">
        <v>16442.314299999998</v>
      </c>
      <c r="C874" s="4">
        <f t="shared" si="13"/>
        <v>-1.367097552258136E-2</v>
      </c>
      <c r="D874" s="1" t="str">
        <f>IF(COUNTIF(Target1[Target Dates],Benchmark2[[#This Row],[Benchmark '#2 Dates]])=1,"Pass","Fail")</f>
        <v>Pass</v>
      </c>
      <c r="E874" s="6">
        <f>IF(Benchmark2[[#This Row],[Target Date Check]]="Pass",INDEX(Target1[Target Price],MATCH(Benchmark2[[#This Row],[Benchmark '#2 Dates]],Target1[Target Dates],0)),"-")</f>
        <v>31.97</v>
      </c>
      <c r="F874" s="1" t="str">
        <f>IF(COUNTIF(Comp1[Comparable '#1 Dates],Benchmark2[[#This Row],[Benchmark '#2 Dates]])=1,"Pass","Fail")</f>
        <v>Pass</v>
      </c>
      <c r="G874" s="6">
        <f>IF(Benchmark2[[#This Row],[Comparable '#1 Date Check]]="Pass",INDEX(Comp1[Comparable '#1 Price],MATCH(Benchmark2[[#This Row],[Benchmark '#2 Dates]],Comp1[Comparable '#1 Dates],0)),"-")</f>
        <v>11.46</v>
      </c>
      <c r="H874" s="1" t="str">
        <f>IF(COUNTIF(Comp2[Comparable '#2 Dates],Benchmark2[[#This Row],[Benchmark '#2 Dates]])=1,"Pass","Fail")</f>
        <v>Pass</v>
      </c>
      <c r="I874" s="6">
        <f>IF(Benchmark2[[#This Row],[Comparable '#2 Date Check]]="Pass",INDEX(Comp2[Comparable '#2 Price],MATCH(Benchmark2[[#This Row],[Benchmark '#2 Dates]],Comp2[Comparable '#2 Dates],0)),"-")</f>
        <v>27.57</v>
      </c>
      <c r="J874" s="1" t="str">
        <f>IF(COUNTIF(Comp3[Comparable '#3 Dates],Benchmark2[[#This Row],[Benchmark '#2 Dates]])=1,"Pass","Fail")</f>
        <v>Pass</v>
      </c>
      <c r="K874" s="6">
        <f>IF(Benchmark2[[#This Row],[Comparable '#3 Date Check]]="Pass",INDEX(Comp3[Comparable '#3 Price],MATCH(Benchmark2[[#This Row],[Benchmark '#2 Dates]],Comp3[Comparable '#3 Dates],0)),"-")</f>
        <v>57</v>
      </c>
    </row>
    <row r="875" spans="1:11">
      <c r="A875" s="103">
        <v>44551</v>
      </c>
      <c r="B875" s="104">
        <v>16744.272700000001</v>
      </c>
      <c r="C875" s="4">
        <f t="shared" si="13"/>
        <v>1.8198119215439453E-2</v>
      </c>
      <c r="D875" s="1" t="str">
        <f>IF(COUNTIF(Target1[Target Dates],Benchmark2[[#This Row],[Benchmark '#2 Dates]])=1,"Pass","Fail")</f>
        <v>Pass</v>
      </c>
      <c r="E875" s="6">
        <f>IF(Benchmark2[[#This Row],[Target Date Check]]="Pass",INDEX(Target1[Target Price],MATCH(Benchmark2[[#This Row],[Benchmark '#2 Dates]],Target1[Target Dates],0)),"-")</f>
        <v>32.909999999999997</v>
      </c>
      <c r="F875" s="1" t="str">
        <f>IF(COUNTIF(Comp1[Comparable '#1 Dates],Benchmark2[[#This Row],[Benchmark '#2 Dates]])=1,"Pass","Fail")</f>
        <v>Pass</v>
      </c>
      <c r="G875" s="6">
        <f>IF(Benchmark2[[#This Row],[Comparable '#1 Date Check]]="Pass",INDEX(Comp1[Comparable '#1 Price],MATCH(Benchmark2[[#This Row],[Benchmark '#2 Dates]],Comp1[Comparable '#1 Dates],0)),"-")</f>
        <v>12.38</v>
      </c>
      <c r="H875" s="1" t="str">
        <f>IF(COUNTIF(Comp2[Comparable '#2 Dates],Benchmark2[[#This Row],[Benchmark '#2 Dates]])=1,"Pass","Fail")</f>
        <v>Pass</v>
      </c>
      <c r="I875" s="6">
        <f>IF(Benchmark2[[#This Row],[Comparable '#2 Date Check]]="Pass",INDEX(Comp2[Comparable '#2 Price],MATCH(Benchmark2[[#This Row],[Benchmark '#2 Dates]],Comp2[Comparable '#2 Dates],0)),"-")</f>
        <v>29.17</v>
      </c>
      <c r="J875" s="1" t="str">
        <f>IF(COUNTIF(Comp3[Comparable '#3 Dates],Benchmark2[[#This Row],[Benchmark '#2 Dates]])=1,"Pass","Fail")</f>
        <v>Pass</v>
      </c>
      <c r="K875" s="6">
        <f>IF(Benchmark2[[#This Row],[Comparable '#3 Date Check]]="Pass",INDEX(Comp3[Comparable '#3 Price],MATCH(Benchmark2[[#This Row],[Benchmark '#2 Dates]],Comp3[Comparable '#3 Dates],0)),"-")</f>
        <v>58.76</v>
      </c>
    </row>
    <row r="876" spans="1:11">
      <c r="A876" s="103">
        <v>44552</v>
      </c>
      <c r="B876" s="104">
        <v>16874.884300000002</v>
      </c>
      <c r="C876" s="4">
        <f t="shared" si="13"/>
        <v>7.7701089967562613E-3</v>
      </c>
      <c r="D876" s="1" t="str">
        <f>IF(COUNTIF(Target1[Target Dates],Benchmark2[[#This Row],[Benchmark '#2 Dates]])=1,"Pass","Fail")</f>
        <v>Pass</v>
      </c>
      <c r="E876" s="6">
        <f>IF(Benchmark2[[#This Row],[Target Date Check]]="Pass",INDEX(Target1[Target Price],MATCH(Benchmark2[[#This Row],[Benchmark '#2 Dates]],Target1[Target Dates],0)),"-")</f>
        <v>32.97</v>
      </c>
      <c r="F876" s="1" t="str">
        <f>IF(COUNTIF(Comp1[Comparable '#1 Dates],Benchmark2[[#This Row],[Benchmark '#2 Dates]])=1,"Pass","Fail")</f>
        <v>Pass</v>
      </c>
      <c r="G876" s="6">
        <f>IF(Benchmark2[[#This Row],[Comparable '#1 Date Check]]="Pass",INDEX(Comp1[Comparable '#1 Price],MATCH(Benchmark2[[#This Row],[Benchmark '#2 Dates]],Comp1[Comparable '#1 Dates],0)),"-")</f>
        <v>11.99</v>
      </c>
      <c r="H876" s="1" t="str">
        <f>IF(COUNTIF(Comp2[Comparable '#2 Dates],Benchmark2[[#This Row],[Benchmark '#2 Dates]])=1,"Pass","Fail")</f>
        <v>Pass</v>
      </c>
      <c r="I876" s="6">
        <f>IF(Benchmark2[[#This Row],[Comparable '#2 Date Check]]="Pass",INDEX(Comp2[Comparable '#2 Price],MATCH(Benchmark2[[#This Row],[Benchmark '#2 Dates]],Comp2[Comparable '#2 Dates],0)),"-")</f>
        <v>29.39</v>
      </c>
      <c r="J876" s="1" t="str">
        <f>IF(COUNTIF(Comp3[Comparable '#3 Dates],Benchmark2[[#This Row],[Benchmark '#2 Dates]])=1,"Pass","Fail")</f>
        <v>Pass</v>
      </c>
      <c r="K876" s="6">
        <f>IF(Benchmark2[[#This Row],[Comparable '#3 Date Check]]="Pass",INDEX(Comp3[Comparable '#3 Price],MATCH(Benchmark2[[#This Row],[Benchmark '#2 Dates]],Comp3[Comparable '#3 Dates],0)),"-")</f>
        <v>58.37</v>
      </c>
    </row>
    <row r="877" spans="1:11">
      <c r="A877" s="103">
        <v>44553</v>
      </c>
      <c r="B877" s="104">
        <v>16963.443500000001</v>
      </c>
      <c r="C877" s="4">
        <f t="shared" si="13"/>
        <v>5.234265872436015E-3</v>
      </c>
      <c r="D877" s="1" t="str">
        <f>IF(COUNTIF(Target1[Target Dates],Benchmark2[[#This Row],[Benchmark '#2 Dates]])=1,"Pass","Fail")</f>
        <v>Pass</v>
      </c>
      <c r="E877" s="6">
        <f>IF(Benchmark2[[#This Row],[Target Date Check]]="Pass",INDEX(Target1[Target Price],MATCH(Benchmark2[[#This Row],[Benchmark '#2 Dates]],Target1[Target Dates],0)),"-")</f>
        <v>33.619999999999997</v>
      </c>
      <c r="F877" s="1" t="str">
        <f>IF(COUNTIF(Comp1[Comparable '#1 Dates],Benchmark2[[#This Row],[Benchmark '#2 Dates]])=1,"Pass","Fail")</f>
        <v>Pass</v>
      </c>
      <c r="G877" s="6">
        <f>IF(Benchmark2[[#This Row],[Comparable '#1 Date Check]]="Pass",INDEX(Comp1[Comparable '#1 Price],MATCH(Benchmark2[[#This Row],[Benchmark '#2 Dates]],Comp1[Comparable '#1 Dates],0)),"-")</f>
        <v>12.18</v>
      </c>
      <c r="H877" s="1" t="str">
        <f>IF(COUNTIF(Comp2[Comparable '#2 Dates],Benchmark2[[#This Row],[Benchmark '#2 Dates]])=1,"Pass","Fail")</f>
        <v>Pass</v>
      </c>
      <c r="I877" s="6">
        <f>IF(Benchmark2[[#This Row],[Comparable '#2 Date Check]]="Pass",INDEX(Comp2[Comparable '#2 Price],MATCH(Benchmark2[[#This Row],[Benchmark '#2 Dates]],Comp2[Comparable '#2 Dates],0)),"-")</f>
        <v>30.02</v>
      </c>
      <c r="J877" s="1" t="str">
        <f>IF(COUNTIF(Comp3[Comparable '#3 Dates],Benchmark2[[#This Row],[Benchmark '#2 Dates]])=1,"Pass","Fail")</f>
        <v>Pass</v>
      </c>
      <c r="K877" s="6">
        <f>IF(Benchmark2[[#This Row],[Comparable '#3 Date Check]]="Pass",INDEX(Comp3[Comparable '#3 Price],MATCH(Benchmark2[[#This Row],[Benchmark '#2 Dates]],Comp3[Comparable '#3 Dates],0)),"-")</f>
        <v>58.56</v>
      </c>
    </row>
    <row r="878" spans="1:11">
      <c r="A878" s="103">
        <v>44557</v>
      </c>
      <c r="B878" s="104">
        <v>17141.090899999999</v>
      </c>
      <c r="C878" s="4">
        <f t="shared" si="13"/>
        <v>1.0417911274129658E-2</v>
      </c>
      <c r="D878" s="1" t="str">
        <f>IF(COUNTIF(Target1[Target Dates],Benchmark2[[#This Row],[Benchmark '#2 Dates]])=1,"Pass","Fail")</f>
        <v>Pass</v>
      </c>
      <c r="E878" s="6">
        <f>IF(Benchmark2[[#This Row],[Target Date Check]]="Pass",INDEX(Target1[Target Price],MATCH(Benchmark2[[#This Row],[Benchmark '#2 Dates]],Target1[Target Dates],0)),"-")</f>
        <v>33.729999999999997</v>
      </c>
      <c r="F878" s="1" t="str">
        <f>IF(COUNTIF(Comp1[Comparable '#1 Dates],Benchmark2[[#This Row],[Benchmark '#2 Dates]])=1,"Pass","Fail")</f>
        <v>Pass</v>
      </c>
      <c r="G878" s="6">
        <f>IF(Benchmark2[[#This Row],[Comparable '#1 Date Check]]="Pass",INDEX(Comp1[Comparable '#1 Price],MATCH(Benchmark2[[#This Row],[Benchmark '#2 Dates]],Comp1[Comparable '#1 Dates],0)),"-")</f>
        <v>12.05</v>
      </c>
      <c r="H878" s="1" t="str">
        <f>IF(COUNTIF(Comp2[Comparable '#2 Dates],Benchmark2[[#This Row],[Benchmark '#2 Dates]])=1,"Pass","Fail")</f>
        <v>Pass</v>
      </c>
      <c r="I878" s="6">
        <f>IF(Benchmark2[[#This Row],[Comparable '#2 Date Check]]="Pass",INDEX(Comp2[Comparable '#2 Price],MATCH(Benchmark2[[#This Row],[Benchmark '#2 Dates]],Comp2[Comparable '#2 Dates],0)),"-")</f>
        <v>30.4</v>
      </c>
      <c r="J878" s="1" t="str">
        <f>IF(COUNTIF(Comp3[Comparable '#3 Dates],Benchmark2[[#This Row],[Benchmark '#2 Dates]])=1,"Pass","Fail")</f>
        <v>Pass</v>
      </c>
      <c r="K878" s="6">
        <f>IF(Benchmark2[[#This Row],[Comparable '#3 Date Check]]="Pass",INDEX(Comp3[Comparable '#3 Price],MATCH(Benchmark2[[#This Row],[Benchmark '#2 Dates]],Comp3[Comparable '#3 Dates],0)),"-")</f>
        <v>58.15</v>
      </c>
    </row>
    <row r="879" spans="1:11">
      <c r="A879" s="103">
        <v>44558</v>
      </c>
      <c r="B879" s="104">
        <v>17134.156500000001</v>
      </c>
      <c r="C879" s="4">
        <f t="shared" si="13"/>
        <v>-4.0463019937879197E-4</v>
      </c>
      <c r="D879" s="1" t="str">
        <f>IF(COUNTIF(Target1[Target Dates],Benchmark2[[#This Row],[Benchmark '#2 Dates]])=1,"Pass","Fail")</f>
        <v>Pass</v>
      </c>
      <c r="E879" s="6">
        <f>IF(Benchmark2[[#This Row],[Target Date Check]]="Pass",INDEX(Target1[Target Price],MATCH(Benchmark2[[#This Row],[Benchmark '#2 Dates]],Target1[Target Dates],0)),"-")</f>
        <v>33.24</v>
      </c>
      <c r="F879" s="1" t="str">
        <f>IF(COUNTIF(Comp1[Comparable '#1 Dates],Benchmark2[[#This Row],[Benchmark '#2 Dates]])=1,"Pass","Fail")</f>
        <v>Pass</v>
      </c>
      <c r="G879" s="6">
        <f>IF(Benchmark2[[#This Row],[Comparable '#1 Date Check]]="Pass",INDEX(Comp1[Comparable '#1 Price],MATCH(Benchmark2[[#This Row],[Benchmark '#2 Dates]],Comp1[Comparable '#1 Dates],0)),"-")</f>
        <v>11.98</v>
      </c>
      <c r="H879" s="1" t="str">
        <f>IF(COUNTIF(Comp2[Comparable '#2 Dates],Benchmark2[[#This Row],[Benchmark '#2 Dates]])=1,"Pass","Fail")</f>
        <v>Pass</v>
      </c>
      <c r="I879" s="6">
        <f>IF(Benchmark2[[#This Row],[Comparable '#2 Date Check]]="Pass",INDEX(Comp2[Comparable '#2 Price],MATCH(Benchmark2[[#This Row],[Benchmark '#2 Dates]],Comp2[Comparable '#2 Dates],0)),"-")</f>
        <v>29.82</v>
      </c>
      <c r="J879" s="1" t="str">
        <f>IF(COUNTIF(Comp3[Comparable '#3 Dates],Benchmark2[[#This Row],[Benchmark '#2 Dates]])=1,"Pass","Fail")</f>
        <v>Pass</v>
      </c>
      <c r="K879" s="6">
        <f>IF(Benchmark2[[#This Row],[Comparable '#3 Date Check]]="Pass",INDEX(Comp3[Comparable '#3 Price],MATCH(Benchmark2[[#This Row],[Benchmark '#2 Dates]],Comp3[Comparable '#3 Dates],0)),"-")</f>
        <v>58.13</v>
      </c>
    </row>
    <row r="880" spans="1:11">
      <c r="A880" s="103">
        <v>44559</v>
      </c>
      <c r="B880" s="104">
        <v>17149.9306</v>
      </c>
      <c r="C880" s="4">
        <f t="shared" si="13"/>
        <v>9.2019957055119105E-4</v>
      </c>
      <c r="D880" s="1" t="str">
        <f>IF(COUNTIF(Target1[Target Dates],Benchmark2[[#This Row],[Benchmark '#2 Dates]])=1,"Pass","Fail")</f>
        <v>Pass</v>
      </c>
      <c r="E880" s="6">
        <f>IF(Benchmark2[[#This Row],[Target Date Check]]="Pass",INDEX(Target1[Target Price],MATCH(Benchmark2[[#This Row],[Benchmark '#2 Dates]],Target1[Target Dates],0)),"-")</f>
        <v>32.9</v>
      </c>
      <c r="F880" s="1" t="str">
        <f>IF(COUNTIF(Comp1[Comparable '#1 Dates],Benchmark2[[#This Row],[Benchmark '#2 Dates]])=1,"Pass","Fail")</f>
        <v>Pass</v>
      </c>
      <c r="G880" s="6">
        <f>IF(Benchmark2[[#This Row],[Comparable '#1 Date Check]]="Pass",INDEX(Comp1[Comparable '#1 Price],MATCH(Benchmark2[[#This Row],[Benchmark '#2 Dates]],Comp1[Comparable '#1 Dates],0)),"-")</f>
        <v>12.04</v>
      </c>
      <c r="H880" s="1" t="str">
        <f>IF(COUNTIF(Comp2[Comparable '#2 Dates],Benchmark2[[#This Row],[Benchmark '#2 Dates]])=1,"Pass","Fail")</f>
        <v>Pass</v>
      </c>
      <c r="I880" s="6">
        <f>IF(Benchmark2[[#This Row],[Comparable '#2 Date Check]]="Pass",INDEX(Comp2[Comparable '#2 Price],MATCH(Benchmark2[[#This Row],[Benchmark '#2 Dates]],Comp2[Comparable '#2 Dates],0)),"-")</f>
        <v>29.16</v>
      </c>
      <c r="J880" s="1" t="str">
        <f>IF(COUNTIF(Comp3[Comparable '#3 Dates],Benchmark2[[#This Row],[Benchmark '#2 Dates]])=1,"Pass","Fail")</f>
        <v>Pass</v>
      </c>
      <c r="K880" s="6">
        <f>IF(Benchmark2[[#This Row],[Comparable '#3 Date Check]]="Pass",INDEX(Comp3[Comparable '#3 Price],MATCH(Benchmark2[[#This Row],[Benchmark '#2 Dates]],Comp3[Comparable '#3 Dates],0)),"-")</f>
        <v>57.83</v>
      </c>
    </row>
    <row r="881" spans="1:11">
      <c r="A881" s="103">
        <v>44560</v>
      </c>
      <c r="B881" s="104">
        <v>17164.2382</v>
      </c>
      <c r="C881" s="4">
        <f t="shared" si="13"/>
        <v>8.3391796039355753E-4</v>
      </c>
      <c r="D881" s="1" t="str">
        <f>IF(COUNTIF(Target1[Target Dates],Benchmark2[[#This Row],[Benchmark '#2 Dates]])=1,"Pass","Fail")</f>
        <v>Pass</v>
      </c>
      <c r="E881" s="6">
        <f>IF(Benchmark2[[#This Row],[Target Date Check]]="Pass",INDEX(Target1[Target Price],MATCH(Benchmark2[[#This Row],[Benchmark '#2 Dates]],Target1[Target Dates],0)),"-")</f>
        <v>33.11</v>
      </c>
      <c r="F881" s="1" t="str">
        <f>IF(COUNTIF(Comp1[Comparable '#1 Dates],Benchmark2[[#This Row],[Benchmark '#2 Dates]])=1,"Pass","Fail")</f>
        <v>Pass</v>
      </c>
      <c r="G881" s="6">
        <f>IF(Benchmark2[[#This Row],[Comparable '#1 Date Check]]="Pass",INDEX(Comp1[Comparable '#1 Price],MATCH(Benchmark2[[#This Row],[Benchmark '#2 Dates]],Comp1[Comparable '#1 Dates],0)),"-")</f>
        <v>12.11</v>
      </c>
      <c r="H881" s="1" t="str">
        <f>IF(COUNTIF(Comp2[Comparable '#2 Dates],Benchmark2[[#This Row],[Benchmark '#2 Dates]])=1,"Pass","Fail")</f>
        <v>Pass</v>
      </c>
      <c r="I881" s="6">
        <f>IF(Benchmark2[[#This Row],[Comparable '#2 Date Check]]="Pass",INDEX(Comp2[Comparable '#2 Price],MATCH(Benchmark2[[#This Row],[Benchmark '#2 Dates]],Comp2[Comparable '#2 Dates],0)),"-")</f>
        <v>29.63</v>
      </c>
      <c r="J881" s="1" t="str">
        <f>IF(COUNTIF(Comp3[Comparable '#3 Dates],Benchmark2[[#This Row],[Benchmark '#2 Dates]])=1,"Pass","Fail")</f>
        <v>Pass</v>
      </c>
      <c r="K881" s="6">
        <f>IF(Benchmark2[[#This Row],[Comparable '#3 Date Check]]="Pass",INDEX(Comp3[Comparable '#3 Price],MATCH(Benchmark2[[#This Row],[Benchmark '#2 Dates]],Comp3[Comparable '#3 Dates],0)),"-")</f>
        <v>58.32</v>
      </c>
    </row>
    <row r="882" spans="1:11">
      <c r="A882" s="103">
        <v>44561</v>
      </c>
      <c r="B882" s="104">
        <v>17164.128700000001</v>
      </c>
      <c r="C882" s="4">
        <f t="shared" si="13"/>
        <v>-6.3795636021495019E-6</v>
      </c>
      <c r="D882" s="1" t="str">
        <f>IF(COUNTIF(Target1[Target Dates],Benchmark2[[#This Row],[Benchmark '#2 Dates]])=1,"Pass","Fail")</f>
        <v>Pass</v>
      </c>
      <c r="E882" s="6">
        <f>IF(Benchmark2[[#This Row],[Target Date Check]]="Pass",INDEX(Target1[Target Price],MATCH(Benchmark2[[#This Row],[Benchmark '#2 Dates]],Target1[Target Dates],0)),"-")</f>
        <v>33.33</v>
      </c>
      <c r="F882" s="1" t="str">
        <f>IF(COUNTIF(Comp1[Comparable '#1 Dates],Benchmark2[[#This Row],[Benchmark '#2 Dates]])=1,"Pass","Fail")</f>
        <v>Pass</v>
      </c>
      <c r="G882" s="6">
        <f>IF(Benchmark2[[#This Row],[Comparable '#1 Date Check]]="Pass",INDEX(Comp1[Comparable '#1 Price],MATCH(Benchmark2[[#This Row],[Benchmark '#2 Dates]],Comp1[Comparable '#1 Dates],0)),"-")</f>
        <v>12.24</v>
      </c>
      <c r="H882" s="1" t="str">
        <f>IF(COUNTIF(Comp2[Comparable '#2 Dates],Benchmark2[[#This Row],[Benchmark '#2 Dates]])=1,"Pass","Fail")</f>
        <v>Pass</v>
      </c>
      <c r="I882" s="6">
        <f>IF(Benchmark2[[#This Row],[Comparable '#2 Date Check]]="Pass",INDEX(Comp2[Comparable '#2 Price],MATCH(Benchmark2[[#This Row],[Benchmark '#2 Dates]],Comp2[Comparable '#2 Dates],0)),"-")</f>
        <v>29.56</v>
      </c>
      <c r="J882" s="1" t="str">
        <f>IF(COUNTIF(Comp3[Comparable '#3 Dates],Benchmark2[[#This Row],[Benchmark '#2 Dates]])=1,"Pass","Fail")</f>
        <v>Pass</v>
      </c>
      <c r="K882" s="6">
        <f>IF(Benchmark2[[#This Row],[Comparable '#3 Date Check]]="Pass",INDEX(Comp3[Comparable '#3 Price],MATCH(Benchmark2[[#This Row],[Benchmark '#2 Dates]],Comp3[Comparable '#3 Dates],0)),"-")</f>
        <v>57.84</v>
      </c>
    </row>
    <row r="883" spans="1:11">
      <c r="A883" s="103">
        <v>44564</v>
      </c>
      <c r="B883" s="104">
        <v>17226.104899999998</v>
      </c>
      <c r="C883" s="4">
        <f t="shared" si="13"/>
        <v>3.6042946270694459E-3</v>
      </c>
      <c r="D883" s="1" t="str">
        <f>IF(COUNTIF(Target1[Target Dates],Benchmark2[[#This Row],[Benchmark '#2 Dates]])=1,"Pass","Fail")</f>
        <v>Pass</v>
      </c>
      <c r="E883" s="6">
        <f>IF(Benchmark2[[#This Row],[Target Date Check]]="Pass",INDEX(Target1[Target Price],MATCH(Benchmark2[[#This Row],[Benchmark '#2 Dates]],Target1[Target Dates],0)),"-")</f>
        <v>33.24</v>
      </c>
      <c r="F883" s="1" t="str">
        <f>IF(COUNTIF(Comp1[Comparable '#1 Dates],Benchmark2[[#This Row],[Benchmark '#2 Dates]])=1,"Pass","Fail")</f>
        <v>Pass</v>
      </c>
      <c r="G883" s="6">
        <f>IF(Benchmark2[[#This Row],[Comparable '#1 Date Check]]="Pass",INDEX(Comp1[Comparable '#1 Price],MATCH(Benchmark2[[#This Row],[Benchmark '#2 Dates]],Comp1[Comparable '#1 Dates],0)),"-")</f>
        <v>12.01</v>
      </c>
      <c r="H883" s="1" t="str">
        <f>IF(COUNTIF(Comp2[Comparable '#2 Dates],Benchmark2[[#This Row],[Benchmark '#2 Dates]])=1,"Pass","Fail")</f>
        <v>Pass</v>
      </c>
      <c r="I883" s="6">
        <f>IF(Benchmark2[[#This Row],[Comparable '#2 Date Check]]="Pass",INDEX(Comp2[Comparable '#2 Price],MATCH(Benchmark2[[#This Row],[Benchmark '#2 Dates]],Comp2[Comparable '#2 Dates],0)),"-")</f>
        <v>30.65</v>
      </c>
      <c r="J883" s="1" t="str">
        <f>IF(COUNTIF(Comp3[Comparable '#3 Dates],Benchmark2[[#This Row],[Benchmark '#2 Dates]])=1,"Pass","Fail")</f>
        <v>Pass</v>
      </c>
      <c r="K883" s="6">
        <f>IF(Benchmark2[[#This Row],[Comparable '#3 Date Check]]="Pass",INDEX(Comp3[Comparable '#3 Price],MATCH(Benchmark2[[#This Row],[Benchmark '#2 Dates]],Comp3[Comparable '#3 Dates],0)),"-")</f>
        <v>58.63</v>
      </c>
    </row>
    <row r="884" spans="1:11">
      <c r="A884" s="103">
        <v>44565</v>
      </c>
      <c r="B884" s="104">
        <v>17336.763200000001</v>
      </c>
      <c r="C884" s="4">
        <f t="shared" si="13"/>
        <v>6.4033272809467376E-3</v>
      </c>
      <c r="D884" s="1" t="str">
        <f>IF(COUNTIF(Target1[Target Dates],Benchmark2[[#This Row],[Benchmark '#2 Dates]])=1,"Pass","Fail")</f>
        <v>Pass</v>
      </c>
      <c r="E884" s="6">
        <f>IF(Benchmark2[[#This Row],[Target Date Check]]="Pass",INDEX(Target1[Target Price],MATCH(Benchmark2[[#This Row],[Benchmark '#2 Dates]],Target1[Target Dates],0)),"-")</f>
        <v>33.200000000000003</v>
      </c>
      <c r="F884" s="1" t="str">
        <f>IF(COUNTIF(Comp1[Comparable '#1 Dates],Benchmark2[[#This Row],[Benchmark '#2 Dates]])=1,"Pass","Fail")</f>
        <v>Pass</v>
      </c>
      <c r="G884" s="6">
        <f>IF(Benchmark2[[#This Row],[Comparable '#1 Date Check]]="Pass",INDEX(Comp1[Comparable '#1 Price],MATCH(Benchmark2[[#This Row],[Benchmark '#2 Dates]],Comp1[Comparable '#1 Dates],0)),"-")</f>
        <v>12.01</v>
      </c>
      <c r="H884" s="1" t="str">
        <f>IF(COUNTIF(Comp2[Comparable '#2 Dates],Benchmark2[[#This Row],[Benchmark '#2 Dates]])=1,"Pass","Fail")</f>
        <v>Pass</v>
      </c>
      <c r="I884" s="6">
        <f>IF(Benchmark2[[#This Row],[Comparable '#2 Date Check]]="Pass",INDEX(Comp2[Comparable '#2 Price],MATCH(Benchmark2[[#This Row],[Benchmark '#2 Dates]],Comp2[Comparable '#2 Dates],0)),"-")</f>
        <v>31.5</v>
      </c>
      <c r="J884" s="1" t="str">
        <f>IF(COUNTIF(Comp3[Comparable '#3 Dates],Benchmark2[[#This Row],[Benchmark '#2 Dates]])=1,"Pass","Fail")</f>
        <v>Pass</v>
      </c>
      <c r="K884" s="6">
        <f>IF(Benchmark2[[#This Row],[Comparable '#3 Date Check]]="Pass",INDEX(Comp3[Comparable '#3 Price],MATCH(Benchmark2[[#This Row],[Benchmark '#2 Dates]],Comp3[Comparable '#3 Dates],0)),"-")</f>
        <v>59.89</v>
      </c>
    </row>
    <row r="885" spans="1:11">
      <c r="A885" s="103">
        <v>44566</v>
      </c>
      <c r="B885" s="104">
        <v>17112.604500000001</v>
      </c>
      <c r="C885" s="4">
        <f t="shared" si="13"/>
        <v>-1.3013990018228932E-2</v>
      </c>
      <c r="D885" s="1" t="str">
        <f>IF(COUNTIF(Target1[Target Dates],Benchmark2[[#This Row],[Benchmark '#2 Dates]])=1,"Pass","Fail")</f>
        <v>Pass</v>
      </c>
      <c r="E885" s="6">
        <f>IF(Benchmark2[[#This Row],[Target Date Check]]="Pass",INDEX(Target1[Target Price],MATCH(Benchmark2[[#This Row],[Benchmark '#2 Dates]],Target1[Target Dates],0)),"-")</f>
        <v>31.46</v>
      </c>
      <c r="F885" s="1" t="str">
        <f>IF(COUNTIF(Comp1[Comparable '#1 Dates],Benchmark2[[#This Row],[Benchmark '#2 Dates]])=1,"Pass","Fail")</f>
        <v>Pass</v>
      </c>
      <c r="G885" s="6">
        <f>IF(Benchmark2[[#This Row],[Comparable '#1 Date Check]]="Pass",INDEX(Comp1[Comparable '#1 Price],MATCH(Benchmark2[[#This Row],[Benchmark '#2 Dates]],Comp1[Comparable '#1 Dates],0)),"-")</f>
        <v>11.93</v>
      </c>
      <c r="H885" s="1" t="str">
        <f>IF(COUNTIF(Comp2[Comparable '#2 Dates],Benchmark2[[#This Row],[Benchmark '#2 Dates]])=1,"Pass","Fail")</f>
        <v>Pass</v>
      </c>
      <c r="I885" s="6">
        <f>IF(Benchmark2[[#This Row],[Comparable '#2 Date Check]]="Pass",INDEX(Comp2[Comparable '#2 Price],MATCH(Benchmark2[[#This Row],[Benchmark '#2 Dates]],Comp2[Comparable '#2 Dates],0)),"-")</f>
        <v>30.64</v>
      </c>
      <c r="J885" s="1" t="str">
        <f>IF(COUNTIF(Comp3[Comparable '#3 Dates],Benchmark2[[#This Row],[Benchmark '#2 Dates]])=1,"Pass","Fail")</f>
        <v>Pass</v>
      </c>
      <c r="K885" s="6">
        <f>IF(Benchmark2[[#This Row],[Comparable '#3 Date Check]]="Pass",INDEX(Comp3[Comparable '#3 Price],MATCH(Benchmark2[[#This Row],[Benchmark '#2 Dates]],Comp3[Comparable '#3 Dates],0)),"-")</f>
        <v>58.18</v>
      </c>
    </row>
    <row r="886" spans="1:11">
      <c r="A886" s="103">
        <v>44567</v>
      </c>
      <c r="B886" s="104">
        <v>17156.52</v>
      </c>
      <c r="C886" s="4">
        <f t="shared" si="13"/>
        <v>2.5629790477760912E-3</v>
      </c>
      <c r="D886" s="1" t="str">
        <f>IF(COUNTIF(Target1[Target Dates],Benchmark2[[#This Row],[Benchmark '#2 Dates]])=1,"Pass","Fail")</f>
        <v>Pass</v>
      </c>
      <c r="E886" s="6">
        <f>IF(Benchmark2[[#This Row],[Target Date Check]]="Pass",INDEX(Target1[Target Price],MATCH(Benchmark2[[#This Row],[Benchmark '#2 Dates]],Target1[Target Dates],0)),"-")</f>
        <v>31.95</v>
      </c>
      <c r="F886" s="1" t="str">
        <f>IF(COUNTIF(Comp1[Comparable '#1 Dates],Benchmark2[[#This Row],[Benchmark '#2 Dates]])=1,"Pass","Fail")</f>
        <v>Pass</v>
      </c>
      <c r="G886" s="6">
        <f>IF(Benchmark2[[#This Row],[Comparable '#1 Date Check]]="Pass",INDEX(Comp1[Comparable '#1 Price],MATCH(Benchmark2[[#This Row],[Benchmark '#2 Dates]],Comp1[Comparable '#1 Dates],0)),"-")</f>
        <v>12.07</v>
      </c>
      <c r="H886" s="1" t="str">
        <f>IF(COUNTIF(Comp2[Comparable '#2 Dates],Benchmark2[[#This Row],[Benchmark '#2 Dates]])=1,"Pass","Fail")</f>
        <v>Pass</v>
      </c>
      <c r="I886" s="6">
        <f>IF(Benchmark2[[#This Row],[Comparable '#2 Date Check]]="Pass",INDEX(Comp2[Comparable '#2 Price],MATCH(Benchmark2[[#This Row],[Benchmark '#2 Dates]],Comp2[Comparable '#2 Dates],0)),"-")</f>
        <v>30.58</v>
      </c>
      <c r="J886" s="1" t="str">
        <f>IF(COUNTIF(Comp3[Comparable '#3 Dates],Benchmark2[[#This Row],[Benchmark '#2 Dates]])=1,"Pass","Fail")</f>
        <v>Pass</v>
      </c>
      <c r="K886" s="6">
        <f>IF(Benchmark2[[#This Row],[Comparable '#3 Date Check]]="Pass",INDEX(Comp3[Comparable '#3 Price],MATCH(Benchmark2[[#This Row],[Benchmark '#2 Dates]],Comp3[Comparable '#3 Dates],0)),"-")</f>
        <v>58.43</v>
      </c>
    </row>
    <row r="887" spans="1:11">
      <c r="A887" s="103">
        <v>44568</v>
      </c>
      <c r="B887" s="104">
        <v>17166.278600000001</v>
      </c>
      <c r="C887" s="4">
        <f t="shared" si="13"/>
        <v>5.6863662993691174E-4</v>
      </c>
      <c r="D887" s="1" t="str">
        <f>IF(COUNTIF(Target1[Target Dates],Benchmark2[[#This Row],[Benchmark '#2 Dates]])=1,"Pass","Fail")</f>
        <v>Pass</v>
      </c>
      <c r="E887" s="6">
        <f>IF(Benchmark2[[#This Row],[Target Date Check]]="Pass",INDEX(Target1[Target Price],MATCH(Benchmark2[[#This Row],[Benchmark '#2 Dates]],Target1[Target Dates],0)),"-")</f>
        <v>31.55</v>
      </c>
      <c r="F887" s="1" t="str">
        <f>IF(COUNTIF(Comp1[Comparable '#1 Dates],Benchmark2[[#This Row],[Benchmark '#2 Dates]])=1,"Pass","Fail")</f>
        <v>Pass</v>
      </c>
      <c r="G887" s="6">
        <f>IF(Benchmark2[[#This Row],[Comparable '#1 Date Check]]="Pass",INDEX(Comp1[Comparable '#1 Price],MATCH(Benchmark2[[#This Row],[Benchmark '#2 Dates]],Comp1[Comparable '#1 Dates],0)),"-")</f>
        <v>12.14</v>
      </c>
      <c r="H887" s="1" t="str">
        <f>IF(COUNTIF(Comp2[Comparable '#2 Dates],Benchmark2[[#This Row],[Benchmark '#2 Dates]])=1,"Pass","Fail")</f>
        <v>Pass</v>
      </c>
      <c r="I887" s="6">
        <f>IF(Benchmark2[[#This Row],[Comparable '#2 Date Check]]="Pass",INDEX(Comp2[Comparable '#2 Price],MATCH(Benchmark2[[#This Row],[Benchmark '#2 Dates]],Comp2[Comparable '#2 Dates],0)),"-")</f>
        <v>30.18</v>
      </c>
      <c r="J887" s="1" t="str">
        <f>IF(COUNTIF(Comp3[Comparable '#3 Dates],Benchmark2[[#This Row],[Benchmark '#2 Dates]])=1,"Pass","Fail")</f>
        <v>Pass</v>
      </c>
      <c r="K887" s="6">
        <f>IF(Benchmark2[[#This Row],[Comparable '#3 Date Check]]="Pass",INDEX(Comp3[Comparable '#3 Price],MATCH(Benchmark2[[#This Row],[Benchmark '#2 Dates]],Comp3[Comparable '#3 Dates],0)),"-")</f>
        <v>58.61</v>
      </c>
    </row>
    <row r="888" spans="1:11">
      <c r="A888" s="103">
        <v>44571</v>
      </c>
      <c r="B888" s="104">
        <v>17119.557799999999</v>
      </c>
      <c r="C888" s="4">
        <f t="shared" si="13"/>
        <v>-2.7253719800647081E-3</v>
      </c>
      <c r="D888" s="1" t="str">
        <f>IF(COUNTIF(Target1[Target Dates],Benchmark2[[#This Row],[Benchmark '#2 Dates]])=1,"Pass","Fail")</f>
        <v>Pass</v>
      </c>
      <c r="E888" s="6">
        <f>IF(Benchmark2[[#This Row],[Target Date Check]]="Pass",INDEX(Target1[Target Price],MATCH(Benchmark2[[#This Row],[Benchmark '#2 Dates]],Target1[Target Dates],0)),"-")</f>
        <v>31.56</v>
      </c>
      <c r="F888" s="1" t="str">
        <f>IF(COUNTIF(Comp1[Comparable '#1 Dates],Benchmark2[[#This Row],[Benchmark '#2 Dates]])=1,"Pass","Fail")</f>
        <v>Pass</v>
      </c>
      <c r="G888" s="6">
        <f>IF(Benchmark2[[#This Row],[Comparable '#1 Date Check]]="Pass",INDEX(Comp1[Comparable '#1 Price],MATCH(Benchmark2[[#This Row],[Benchmark '#2 Dates]],Comp1[Comparable '#1 Dates],0)),"-")</f>
        <v>12.06</v>
      </c>
      <c r="H888" s="1" t="str">
        <f>IF(COUNTIF(Comp2[Comparable '#2 Dates],Benchmark2[[#This Row],[Benchmark '#2 Dates]])=1,"Pass","Fail")</f>
        <v>Pass</v>
      </c>
      <c r="I888" s="6">
        <f>IF(Benchmark2[[#This Row],[Comparable '#2 Date Check]]="Pass",INDEX(Comp2[Comparable '#2 Price],MATCH(Benchmark2[[#This Row],[Benchmark '#2 Dates]],Comp2[Comparable '#2 Dates],0)),"-")</f>
        <v>30.21</v>
      </c>
      <c r="J888" s="1" t="str">
        <f>IF(COUNTIF(Comp3[Comparable '#3 Dates],Benchmark2[[#This Row],[Benchmark '#2 Dates]])=1,"Pass","Fail")</f>
        <v>Pass</v>
      </c>
      <c r="K888" s="6">
        <f>IF(Benchmark2[[#This Row],[Comparable '#3 Date Check]]="Pass",INDEX(Comp3[Comparable '#3 Price],MATCH(Benchmark2[[#This Row],[Benchmark '#2 Dates]],Comp3[Comparable '#3 Dates],0)),"-")</f>
        <v>60.33</v>
      </c>
    </row>
    <row r="889" spans="1:11">
      <c r="A889" s="103">
        <v>44572</v>
      </c>
      <c r="B889" s="104">
        <v>17294.5419</v>
      </c>
      <c r="C889" s="4">
        <f t="shared" si="13"/>
        <v>1.0169413673465027E-2</v>
      </c>
      <c r="D889" s="1" t="str">
        <f>IF(COUNTIF(Target1[Target Dates],Benchmark2[[#This Row],[Benchmark '#2 Dates]])=1,"Pass","Fail")</f>
        <v>Pass</v>
      </c>
      <c r="E889" s="6">
        <f>IF(Benchmark2[[#This Row],[Target Date Check]]="Pass",INDEX(Target1[Target Price],MATCH(Benchmark2[[#This Row],[Benchmark '#2 Dates]],Target1[Target Dates],0)),"-")</f>
        <v>31.79</v>
      </c>
      <c r="F889" s="1" t="str">
        <f>IF(COUNTIF(Comp1[Comparable '#1 Dates],Benchmark2[[#This Row],[Benchmark '#2 Dates]])=1,"Pass","Fail")</f>
        <v>Pass</v>
      </c>
      <c r="G889" s="6">
        <f>IF(Benchmark2[[#This Row],[Comparable '#1 Date Check]]="Pass",INDEX(Comp1[Comparable '#1 Price],MATCH(Benchmark2[[#This Row],[Benchmark '#2 Dates]],Comp1[Comparable '#1 Dates],0)),"-")</f>
        <v>12.1</v>
      </c>
      <c r="H889" s="1" t="str">
        <f>IF(COUNTIF(Comp2[Comparable '#2 Dates],Benchmark2[[#This Row],[Benchmark '#2 Dates]])=1,"Pass","Fail")</f>
        <v>Pass</v>
      </c>
      <c r="I889" s="6">
        <f>IF(Benchmark2[[#This Row],[Comparable '#2 Date Check]]="Pass",INDEX(Comp2[Comparable '#2 Price],MATCH(Benchmark2[[#This Row],[Benchmark '#2 Dates]],Comp2[Comparable '#2 Dates],0)),"-")</f>
        <v>30.53</v>
      </c>
      <c r="J889" s="1" t="str">
        <f>IF(COUNTIF(Comp3[Comparable '#3 Dates],Benchmark2[[#This Row],[Benchmark '#2 Dates]])=1,"Pass","Fail")</f>
        <v>Pass</v>
      </c>
      <c r="K889" s="6">
        <f>IF(Benchmark2[[#This Row],[Comparable '#3 Date Check]]="Pass",INDEX(Comp3[Comparable '#3 Price],MATCH(Benchmark2[[#This Row],[Benchmark '#2 Dates]],Comp3[Comparable '#3 Dates],0)),"-")</f>
        <v>60.17</v>
      </c>
    </row>
    <row r="890" spans="1:11">
      <c r="A890" s="103">
        <v>44573</v>
      </c>
      <c r="B890" s="104">
        <v>17353.763500000001</v>
      </c>
      <c r="C890" s="4">
        <f t="shared" si="13"/>
        <v>3.4184446821917689E-3</v>
      </c>
      <c r="D890" s="1" t="str">
        <f>IF(COUNTIF(Target1[Target Dates],Benchmark2[[#This Row],[Benchmark '#2 Dates]])=1,"Pass","Fail")</f>
        <v>Pass</v>
      </c>
      <c r="E890" s="6">
        <f>IF(Benchmark2[[#This Row],[Target Date Check]]="Pass",INDEX(Target1[Target Price],MATCH(Benchmark2[[#This Row],[Benchmark '#2 Dates]],Target1[Target Dates],0)),"-")</f>
        <v>31.27</v>
      </c>
      <c r="F890" s="1" t="str">
        <f>IF(COUNTIF(Comp1[Comparable '#1 Dates],Benchmark2[[#This Row],[Benchmark '#2 Dates]])=1,"Pass","Fail")</f>
        <v>Pass</v>
      </c>
      <c r="G890" s="6">
        <f>IF(Benchmark2[[#This Row],[Comparable '#1 Date Check]]="Pass",INDEX(Comp1[Comparable '#1 Price],MATCH(Benchmark2[[#This Row],[Benchmark '#2 Dates]],Comp1[Comparable '#1 Dates],0)),"-")</f>
        <v>12</v>
      </c>
      <c r="H890" s="1" t="str">
        <f>IF(COUNTIF(Comp2[Comparable '#2 Dates],Benchmark2[[#This Row],[Benchmark '#2 Dates]])=1,"Pass","Fail")</f>
        <v>Pass</v>
      </c>
      <c r="I890" s="6">
        <f>IF(Benchmark2[[#This Row],[Comparable '#2 Date Check]]="Pass",INDEX(Comp2[Comparable '#2 Price],MATCH(Benchmark2[[#This Row],[Benchmark '#2 Dates]],Comp2[Comparable '#2 Dates],0)),"-")</f>
        <v>29.49</v>
      </c>
      <c r="J890" s="1" t="str">
        <f>IF(COUNTIF(Comp3[Comparable '#3 Dates],Benchmark2[[#This Row],[Benchmark '#2 Dates]])=1,"Pass","Fail")</f>
        <v>Pass</v>
      </c>
      <c r="K890" s="6">
        <f>IF(Benchmark2[[#This Row],[Comparable '#3 Date Check]]="Pass",INDEX(Comp3[Comparable '#3 Price],MATCH(Benchmark2[[#This Row],[Benchmark '#2 Dates]],Comp3[Comparable '#3 Dates],0)),"-")</f>
        <v>58.46</v>
      </c>
    </row>
    <row r="891" spans="1:11">
      <c r="A891" s="103">
        <v>44574</v>
      </c>
      <c r="B891" s="104">
        <v>17259.017599999999</v>
      </c>
      <c r="C891" s="4">
        <f t="shared" si="13"/>
        <v>-5.474632989861161E-3</v>
      </c>
      <c r="D891" s="1" t="str">
        <f>IF(COUNTIF(Target1[Target Dates],Benchmark2[[#This Row],[Benchmark '#2 Dates]])=1,"Pass","Fail")</f>
        <v>Pass</v>
      </c>
      <c r="E891" s="6">
        <f>IF(Benchmark2[[#This Row],[Target Date Check]]="Pass",INDEX(Target1[Target Price],MATCH(Benchmark2[[#This Row],[Benchmark '#2 Dates]],Target1[Target Dates],0)),"-")</f>
        <v>30.17</v>
      </c>
      <c r="F891" s="1" t="str">
        <f>IF(COUNTIF(Comp1[Comparable '#1 Dates],Benchmark2[[#This Row],[Benchmark '#2 Dates]])=1,"Pass","Fail")</f>
        <v>Pass</v>
      </c>
      <c r="G891" s="6">
        <f>IF(Benchmark2[[#This Row],[Comparable '#1 Date Check]]="Pass",INDEX(Comp1[Comparable '#1 Price],MATCH(Benchmark2[[#This Row],[Benchmark '#2 Dates]],Comp1[Comparable '#1 Dates],0)),"-")</f>
        <v>11.85</v>
      </c>
      <c r="H891" s="1" t="str">
        <f>IF(COUNTIF(Comp2[Comparable '#2 Dates],Benchmark2[[#This Row],[Benchmark '#2 Dates]])=1,"Pass","Fail")</f>
        <v>Pass</v>
      </c>
      <c r="I891" s="6">
        <f>IF(Benchmark2[[#This Row],[Comparable '#2 Date Check]]="Pass",INDEX(Comp2[Comparable '#2 Price],MATCH(Benchmark2[[#This Row],[Benchmark '#2 Dates]],Comp2[Comparable '#2 Dates],0)),"-")</f>
        <v>29.42</v>
      </c>
      <c r="J891" s="1" t="str">
        <f>IF(COUNTIF(Comp3[Comparable '#3 Dates],Benchmark2[[#This Row],[Benchmark '#2 Dates]])=1,"Pass","Fail")</f>
        <v>Pass</v>
      </c>
      <c r="K891" s="6">
        <f>IF(Benchmark2[[#This Row],[Comparable '#3 Date Check]]="Pass",INDEX(Comp3[Comparable '#3 Price],MATCH(Benchmark2[[#This Row],[Benchmark '#2 Dates]],Comp3[Comparable '#3 Dates],0)),"-")</f>
        <v>56.72</v>
      </c>
    </row>
    <row r="892" spans="1:11">
      <c r="A892" s="103">
        <v>44575</v>
      </c>
      <c r="B892" s="104">
        <v>17219.063300000002</v>
      </c>
      <c r="C892" s="4">
        <f t="shared" si="13"/>
        <v>-2.3176648375910309E-3</v>
      </c>
      <c r="D892" s="1" t="str">
        <f>IF(COUNTIF(Target1[Target Dates],Benchmark2[[#This Row],[Benchmark '#2 Dates]])=1,"Pass","Fail")</f>
        <v>Pass</v>
      </c>
      <c r="E892" s="6">
        <f>IF(Benchmark2[[#This Row],[Target Date Check]]="Pass",INDEX(Target1[Target Price],MATCH(Benchmark2[[#This Row],[Benchmark '#2 Dates]],Target1[Target Dates],0)),"-")</f>
        <v>30.25</v>
      </c>
      <c r="F892" s="1" t="str">
        <f>IF(COUNTIF(Comp1[Comparable '#1 Dates],Benchmark2[[#This Row],[Benchmark '#2 Dates]])=1,"Pass","Fail")</f>
        <v>Pass</v>
      </c>
      <c r="G892" s="6">
        <f>IF(Benchmark2[[#This Row],[Comparable '#1 Date Check]]="Pass",INDEX(Comp1[Comparable '#1 Price],MATCH(Benchmark2[[#This Row],[Benchmark '#2 Dates]],Comp1[Comparable '#1 Dates],0)),"-")</f>
        <v>11.91</v>
      </c>
      <c r="H892" s="1" t="str">
        <f>IF(COUNTIF(Comp2[Comparable '#2 Dates],Benchmark2[[#This Row],[Benchmark '#2 Dates]])=1,"Pass","Fail")</f>
        <v>Pass</v>
      </c>
      <c r="I892" s="6">
        <f>IF(Benchmark2[[#This Row],[Comparable '#2 Date Check]]="Pass",INDEX(Comp2[Comparable '#2 Price],MATCH(Benchmark2[[#This Row],[Benchmark '#2 Dates]],Comp2[Comparable '#2 Dates],0)),"-")</f>
        <v>29.7</v>
      </c>
      <c r="J892" s="1" t="str">
        <f>IF(COUNTIF(Comp3[Comparable '#3 Dates],Benchmark2[[#This Row],[Benchmark '#2 Dates]])=1,"Pass","Fail")</f>
        <v>Pass</v>
      </c>
      <c r="K892" s="6">
        <f>IF(Benchmark2[[#This Row],[Comparable '#3 Date Check]]="Pass",INDEX(Comp3[Comparable '#3 Price],MATCH(Benchmark2[[#This Row],[Benchmark '#2 Dates]],Comp3[Comparable '#3 Dates],0)),"-")</f>
        <v>58.02</v>
      </c>
    </row>
    <row r="893" spans="1:11">
      <c r="A893" s="103">
        <v>44579</v>
      </c>
      <c r="B893" s="104">
        <v>16950.912</v>
      </c>
      <c r="C893" s="4">
        <f t="shared" si="13"/>
        <v>-1.5695463780222591E-2</v>
      </c>
      <c r="D893" s="1" t="str">
        <f>IF(COUNTIF(Target1[Target Dates],Benchmark2[[#This Row],[Benchmark '#2 Dates]])=1,"Pass","Fail")</f>
        <v>Pass</v>
      </c>
      <c r="E893" s="6">
        <f>IF(Benchmark2[[#This Row],[Target Date Check]]="Pass",INDEX(Target1[Target Price],MATCH(Benchmark2[[#This Row],[Benchmark '#2 Dates]],Target1[Target Dates],0)),"-")</f>
        <v>29.53</v>
      </c>
      <c r="F893" s="1" t="str">
        <f>IF(COUNTIF(Comp1[Comparable '#1 Dates],Benchmark2[[#This Row],[Benchmark '#2 Dates]])=1,"Pass","Fail")</f>
        <v>Pass</v>
      </c>
      <c r="G893" s="6">
        <f>IF(Benchmark2[[#This Row],[Comparable '#1 Date Check]]="Pass",INDEX(Comp1[Comparable '#1 Price],MATCH(Benchmark2[[#This Row],[Benchmark '#2 Dates]],Comp1[Comparable '#1 Dates],0)),"-")</f>
        <v>11.76</v>
      </c>
      <c r="H893" s="1" t="str">
        <f>IF(COUNTIF(Comp2[Comparable '#2 Dates],Benchmark2[[#This Row],[Benchmark '#2 Dates]])=1,"Pass","Fail")</f>
        <v>Pass</v>
      </c>
      <c r="I893" s="6">
        <f>IF(Benchmark2[[#This Row],[Comparable '#2 Date Check]]="Pass",INDEX(Comp2[Comparable '#2 Price],MATCH(Benchmark2[[#This Row],[Benchmark '#2 Dates]],Comp2[Comparable '#2 Dates],0)),"-")</f>
        <v>29.37</v>
      </c>
      <c r="J893" s="1" t="str">
        <f>IF(COUNTIF(Comp3[Comparable '#3 Dates],Benchmark2[[#This Row],[Benchmark '#2 Dates]])=1,"Pass","Fail")</f>
        <v>Pass</v>
      </c>
      <c r="K893" s="6">
        <f>IF(Benchmark2[[#This Row],[Comparable '#3 Date Check]]="Pass",INDEX(Comp3[Comparable '#3 Price],MATCH(Benchmark2[[#This Row],[Benchmark '#2 Dates]],Comp3[Comparable '#3 Dates],0)),"-")</f>
        <v>57.96</v>
      </c>
    </row>
    <row r="894" spans="1:11">
      <c r="A894" s="103">
        <v>44580</v>
      </c>
      <c r="B894" s="104">
        <v>16818.977699999999</v>
      </c>
      <c r="C894" s="4">
        <f t="shared" si="13"/>
        <v>-7.813763825766885E-3</v>
      </c>
      <c r="D894" s="1" t="str">
        <f>IF(COUNTIF(Target1[Target Dates],Benchmark2[[#This Row],[Benchmark '#2 Dates]])=1,"Pass","Fail")</f>
        <v>Pass</v>
      </c>
      <c r="E894" s="6">
        <f>IF(Benchmark2[[#This Row],[Target Date Check]]="Pass",INDEX(Target1[Target Price],MATCH(Benchmark2[[#This Row],[Benchmark '#2 Dates]],Target1[Target Dates],0)),"-")</f>
        <v>28.83</v>
      </c>
      <c r="F894" s="1" t="str">
        <f>IF(COUNTIF(Comp1[Comparable '#1 Dates],Benchmark2[[#This Row],[Benchmark '#2 Dates]])=1,"Pass","Fail")</f>
        <v>Pass</v>
      </c>
      <c r="G894" s="6">
        <f>IF(Benchmark2[[#This Row],[Comparable '#1 Date Check]]="Pass",INDEX(Comp1[Comparable '#1 Price],MATCH(Benchmark2[[#This Row],[Benchmark '#2 Dates]],Comp1[Comparable '#1 Dates],0)),"-")</f>
        <v>11.78</v>
      </c>
      <c r="H894" s="1" t="str">
        <f>IF(COUNTIF(Comp2[Comparable '#2 Dates],Benchmark2[[#This Row],[Benchmark '#2 Dates]])=1,"Pass","Fail")</f>
        <v>Pass</v>
      </c>
      <c r="I894" s="6">
        <f>IF(Benchmark2[[#This Row],[Comparable '#2 Date Check]]="Pass",INDEX(Comp2[Comparable '#2 Price],MATCH(Benchmark2[[#This Row],[Benchmark '#2 Dates]],Comp2[Comparable '#2 Dates],0)),"-")</f>
        <v>28.58</v>
      </c>
      <c r="J894" s="1" t="str">
        <f>IF(COUNTIF(Comp3[Comparable '#3 Dates],Benchmark2[[#This Row],[Benchmark '#2 Dates]])=1,"Pass","Fail")</f>
        <v>Pass</v>
      </c>
      <c r="K894" s="6">
        <f>IF(Benchmark2[[#This Row],[Comparable '#3 Date Check]]="Pass",INDEX(Comp3[Comparable '#3 Price],MATCH(Benchmark2[[#This Row],[Benchmark '#2 Dates]],Comp3[Comparable '#3 Dates],0)),"-")</f>
        <v>55.27</v>
      </c>
    </row>
    <row r="895" spans="1:11">
      <c r="A895" s="103">
        <v>44581</v>
      </c>
      <c r="B895" s="104">
        <v>16663.767199999998</v>
      </c>
      <c r="C895" s="4">
        <f t="shared" si="13"/>
        <v>-9.27114023712464E-3</v>
      </c>
      <c r="D895" s="1" t="str">
        <f>IF(COUNTIF(Target1[Target Dates],Benchmark2[[#This Row],[Benchmark '#2 Dates]])=1,"Pass","Fail")</f>
        <v>Pass</v>
      </c>
      <c r="E895" s="6">
        <f>IF(Benchmark2[[#This Row],[Target Date Check]]="Pass",INDEX(Target1[Target Price],MATCH(Benchmark2[[#This Row],[Benchmark '#2 Dates]],Target1[Target Dates],0)),"-")</f>
        <v>27.81</v>
      </c>
      <c r="F895" s="1" t="str">
        <f>IF(COUNTIF(Comp1[Comparable '#1 Dates],Benchmark2[[#This Row],[Benchmark '#2 Dates]])=1,"Pass","Fail")</f>
        <v>Pass</v>
      </c>
      <c r="G895" s="6">
        <f>IF(Benchmark2[[#This Row],[Comparable '#1 Date Check]]="Pass",INDEX(Comp1[Comparable '#1 Price],MATCH(Benchmark2[[#This Row],[Benchmark '#2 Dates]],Comp1[Comparable '#1 Dates],0)),"-")</f>
        <v>11.81</v>
      </c>
      <c r="H895" s="1" t="str">
        <f>IF(COUNTIF(Comp2[Comparable '#2 Dates],Benchmark2[[#This Row],[Benchmark '#2 Dates]])=1,"Pass","Fail")</f>
        <v>Pass</v>
      </c>
      <c r="I895" s="6">
        <f>IF(Benchmark2[[#This Row],[Comparable '#2 Date Check]]="Pass",INDEX(Comp2[Comparable '#2 Price],MATCH(Benchmark2[[#This Row],[Benchmark '#2 Dates]],Comp2[Comparable '#2 Dates],0)),"-")</f>
        <v>28.29</v>
      </c>
      <c r="J895" s="1" t="str">
        <f>IF(COUNTIF(Comp3[Comparable '#3 Dates],Benchmark2[[#This Row],[Benchmark '#2 Dates]])=1,"Pass","Fail")</f>
        <v>Pass</v>
      </c>
      <c r="K895" s="6">
        <f>IF(Benchmark2[[#This Row],[Comparable '#3 Date Check]]="Pass",INDEX(Comp3[Comparable '#3 Price],MATCH(Benchmark2[[#This Row],[Benchmark '#2 Dates]],Comp3[Comparable '#3 Dates],0)),"-")</f>
        <v>54.83</v>
      </c>
    </row>
    <row r="896" spans="1:11">
      <c r="A896" s="103">
        <v>44582</v>
      </c>
      <c r="B896" s="104">
        <v>16397.3406</v>
      </c>
      <c r="C896" s="4">
        <f t="shared" si="13"/>
        <v>-1.6117570481398179E-2</v>
      </c>
      <c r="D896" s="1" t="str">
        <f>IF(COUNTIF(Target1[Target Dates],Benchmark2[[#This Row],[Benchmark '#2 Dates]])=1,"Pass","Fail")</f>
        <v>Pass</v>
      </c>
      <c r="E896" s="6">
        <f>IF(Benchmark2[[#This Row],[Target Date Check]]="Pass",INDEX(Target1[Target Price],MATCH(Benchmark2[[#This Row],[Benchmark '#2 Dates]],Target1[Target Dates],0)),"-")</f>
        <v>26.86</v>
      </c>
      <c r="F896" s="1" t="str">
        <f>IF(COUNTIF(Comp1[Comparable '#1 Dates],Benchmark2[[#This Row],[Benchmark '#2 Dates]])=1,"Pass","Fail")</f>
        <v>Pass</v>
      </c>
      <c r="G896" s="6">
        <f>IF(Benchmark2[[#This Row],[Comparable '#1 Date Check]]="Pass",INDEX(Comp1[Comparable '#1 Price],MATCH(Benchmark2[[#This Row],[Benchmark '#2 Dates]],Comp1[Comparable '#1 Dates],0)),"-")</f>
        <v>11.71</v>
      </c>
      <c r="H896" s="1" t="str">
        <f>IF(COUNTIF(Comp2[Comparable '#2 Dates],Benchmark2[[#This Row],[Benchmark '#2 Dates]])=1,"Pass","Fail")</f>
        <v>Pass</v>
      </c>
      <c r="I896" s="6">
        <f>IF(Benchmark2[[#This Row],[Comparable '#2 Date Check]]="Pass",INDEX(Comp2[Comparable '#2 Price],MATCH(Benchmark2[[#This Row],[Benchmark '#2 Dates]],Comp2[Comparable '#2 Dates],0)),"-")</f>
        <v>27.9</v>
      </c>
      <c r="J896" s="1" t="str">
        <f>IF(COUNTIF(Comp3[Comparable '#3 Dates],Benchmark2[[#This Row],[Benchmark '#2 Dates]])=1,"Pass","Fail")</f>
        <v>Pass</v>
      </c>
      <c r="K896" s="6">
        <f>IF(Benchmark2[[#This Row],[Comparable '#3 Date Check]]="Pass",INDEX(Comp3[Comparable '#3 Price],MATCH(Benchmark2[[#This Row],[Benchmark '#2 Dates]],Comp3[Comparable '#3 Dates],0)),"-")</f>
        <v>54.93</v>
      </c>
    </row>
    <row r="897" spans="1:11">
      <c r="A897" s="103">
        <v>44585</v>
      </c>
      <c r="B897" s="104">
        <v>16413.966400000001</v>
      </c>
      <c r="C897" s="4">
        <f t="shared" si="13"/>
        <v>1.0134190279539462E-3</v>
      </c>
      <c r="D897" s="1" t="str">
        <f>IF(COUNTIF(Target1[Target Dates],Benchmark2[[#This Row],[Benchmark '#2 Dates]])=1,"Pass","Fail")</f>
        <v>Pass</v>
      </c>
      <c r="E897" s="6">
        <f>IF(Benchmark2[[#This Row],[Target Date Check]]="Pass",INDEX(Target1[Target Price],MATCH(Benchmark2[[#This Row],[Benchmark '#2 Dates]],Target1[Target Dates],0)),"-")</f>
        <v>27.56</v>
      </c>
      <c r="F897" s="1" t="str">
        <f>IF(COUNTIF(Comp1[Comparable '#1 Dates],Benchmark2[[#This Row],[Benchmark '#2 Dates]])=1,"Pass","Fail")</f>
        <v>Pass</v>
      </c>
      <c r="G897" s="6">
        <f>IF(Benchmark2[[#This Row],[Comparable '#1 Date Check]]="Pass",INDEX(Comp1[Comparable '#1 Price],MATCH(Benchmark2[[#This Row],[Benchmark '#2 Dates]],Comp1[Comparable '#1 Dates],0)),"-")</f>
        <v>11.81</v>
      </c>
      <c r="H897" s="1" t="str">
        <f>IF(COUNTIF(Comp2[Comparable '#2 Dates],Benchmark2[[#This Row],[Benchmark '#2 Dates]])=1,"Pass","Fail")</f>
        <v>Pass</v>
      </c>
      <c r="I897" s="6">
        <f>IF(Benchmark2[[#This Row],[Comparable '#2 Date Check]]="Pass",INDEX(Comp2[Comparable '#2 Price],MATCH(Benchmark2[[#This Row],[Benchmark '#2 Dates]],Comp2[Comparable '#2 Dates],0)),"-")</f>
        <v>31.71</v>
      </c>
      <c r="J897" s="1" t="str">
        <f>IF(COUNTIF(Comp3[Comparable '#3 Dates],Benchmark2[[#This Row],[Benchmark '#2 Dates]])=1,"Pass","Fail")</f>
        <v>Pass</v>
      </c>
      <c r="K897" s="6">
        <f>IF(Benchmark2[[#This Row],[Comparable '#3 Date Check]]="Pass",INDEX(Comp3[Comparable '#3 Price],MATCH(Benchmark2[[#This Row],[Benchmark '#2 Dates]],Comp3[Comparable '#3 Dates],0)),"-")</f>
        <v>56.68</v>
      </c>
    </row>
    <row r="898" spans="1:11">
      <c r="A898" s="103">
        <v>44586</v>
      </c>
      <c r="B898" s="104">
        <v>16340.3231</v>
      </c>
      <c r="C898" s="4">
        <f t="shared" ref="C898:C961" si="14">IFERROR(IF(B898="",NA(),LN(B898/B897)),"-")</f>
        <v>-4.4967193742302385E-3</v>
      </c>
      <c r="D898" s="1" t="str">
        <f>IF(COUNTIF(Target1[Target Dates],Benchmark2[[#This Row],[Benchmark '#2 Dates]])=1,"Pass","Fail")</f>
        <v>Pass</v>
      </c>
      <c r="E898" s="6">
        <f>IF(Benchmark2[[#This Row],[Target Date Check]]="Pass",INDEX(Target1[Target Price],MATCH(Benchmark2[[#This Row],[Benchmark '#2 Dates]],Target1[Target Dates],0)),"-")</f>
        <v>27</v>
      </c>
      <c r="F898" s="1" t="str">
        <f>IF(COUNTIF(Comp1[Comparable '#1 Dates],Benchmark2[[#This Row],[Benchmark '#2 Dates]])=1,"Pass","Fail")</f>
        <v>Pass</v>
      </c>
      <c r="G898" s="6">
        <f>IF(Benchmark2[[#This Row],[Comparable '#1 Date Check]]="Pass",INDEX(Comp1[Comparable '#1 Price],MATCH(Benchmark2[[#This Row],[Benchmark '#2 Dates]],Comp1[Comparable '#1 Dates],0)),"-")</f>
        <v>11.75</v>
      </c>
      <c r="H898" s="1" t="str">
        <f>IF(COUNTIF(Comp2[Comparable '#2 Dates],Benchmark2[[#This Row],[Benchmark '#2 Dates]])=1,"Pass","Fail")</f>
        <v>Pass</v>
      </c>
      <c r="I898" s="6">
        <f>IF(Benchmark2[[#This Row],[Comparable '#2 Date Check]]="Pass",INDEX(Comp2[Comparable '#2 Price],MATCH(Benchmark2[[#This Row],[Benchmark '#2 Dates]],Comp2[Comparable '#2 Dates],0)),"-")</f>
        <v>30.5</v>
      </c>
      <c r="J898" s="1" t="str">
        <f>IF(COUNTIF(Comp3[Comparable '#3 Dates],Benchmark2[[#This Row],[Benchmark '#2 Dates]])=1,"Pass","Fail")</f>
        <v>Pass</v>
      </c>
      <c r="K898" s="6">
        <f>IF(Benchmark2[[#This Row],[Comparable '#3 Date Check]]="Pass",INDEX(Comp3[Comparable '#3 Price],MATCH(Benchmark2[[#This Row],[Benchmark '#2 Dates]],Comp3[Comparable '#3 Dates],0)),"-")</f>
        <v>56.79</v>
      </c>
    </row>
    <row r="899" spans="1:11">
      <c r="A899" s="103">
        <v>44587</v>
      </c>
      <c r="B899" s="104">
        <v>16236.511</v>
      </c>
      <c r="C899" s="4">
        <f t="shared" si="14"/>
        <v>-6.3733910475174899E-3</v>
      </c>
      <c r="D899" s="1" t="str">
        <f>IF(COUNTIF(Target1[Target Dates],Benchmark2[[#This Row],[Benchmark '#2 Dates]])=1,"Pass","Fail")</f>
        <v>Pass</v>
      </c>
      <c r="E899" s="6">
        <f>IF(Benchmark2[[#This Row],[Target Date Check]]="Pass",INDEX(Target1[Target Price],MATCH(Benchmark2[[#This Row],[Benchmark '#2 Dates]],Target1[Target Dates],0)),"-")</f>
        <v>33.76</v>
      </c>
      <c r="F899" s="1" t="str">
        <f>IF(COUNTIF(Comp1[Comparable '#1 Dates],Benchmark2[[#This Row],[Benchmark '#2 Dates]])=1,"Pass","Fail")</f>
        <v>Pass</v>
      </c>
      <c r="G899" s="6">
        <f>IF(Benchmark2[[#This Row],[Comparable '#1 Date Check]]="Pass",INDEX(Comp1[Comparable '#1 Price],MATCH(Benchmark2[[#This Row],[Benchmark '#2 Dates]],Comp1[Comparable '#1 Dates],0)),"-")</f>
        <v>11.79</v>
      </c>
      <c r="H899" s="1" t="str">
        <f>IF(COUNTIF(Comp2[Comparable '#2 Dates],Benchmark2[[#This Row],[Benchmark '#2 Dates]])=1,"Pass","Fail")</f>
        <v>Pass</v>
      </c>
      <c r="I899" s="6">
        <f>IF(Benchmark2[[#This Row],[Comparable '#2 Date Check]]="Pass",INDEX(Comp2[Comparable '#2 Price],MATCH(Benchmark2[[#This Row],[Benchmark '#2 Dates]],Comp2[Comparable '#2 Dates],0)),"-")</f>
        <v>29.66</v>
      </c>
      <c r="J899" s="1" t="str">
        <f>IF(COUNTIF(Comp3[Comparable '#3 Dates],Benchmark2[[#This Row],[Benchmark '#2 Dates]])=1,"Pass","Fail")</f>
        <v>Pass</v>
      </c>
      <c r="K899" s="6">
        <f>IF(Benchmark2[[#This Row],[Comparable '#3 Date Check]]="Pass",INDEX(Comp3[Comparable '#3 Price],MATCH(Benchmark2[[#This Row],[Benchmark '#2 Dates]],Comp3[Comparable '#3 Dates],0)),"-")</f>
        <v>56.78</v>
      </c>
    </row>
    <row r="900" spans="1:11">
      <c r="A900" s="103">
        <v>44588</v>
      </c>
      <c r="B900" s="104">
        <v>16152.1186</v>
      </c>
      <c r="C900" s="4">
        <f t="shared" si="14"/>
        <v>-5.2112480231453701E-3</v>
      </c>
      <c r="D900" s="1" t="str">
        <f>IF(COUNTIF(Target1[Target Dates],Benchmark2[[#This Row],[Benchmark '#2 Dates]])=1,"Pass","Fail")</f>
        <v>Pass</v>
      </c>
      <c r="E900" s="6">
        <f>IF(Benchmark2[[#This Row],[Target Date Check]]="Pass",INDEX(Target1[Target Price],MATCH(Benchmark2[[#This Row],[Benchmark '#2 Dates]],Target1[Target Dates],0)),"-")</f>
        <v>33.950000000000003</v>
      </c>
      <c r="F900" s="1" t="str">
        <f>IF(COUNTIF(Comp1[Comparable '#1 Dates],Benchmark2[[#This Row],[Benchmark '#2 Dates]])=1,"Pass","Fail")</f>
        <v>Pass</v>
      </c>
      <c r="G900" s="6">
        <f>IF(Benchmark2[[#This Row],[Comparable '#1 Date Check]]="Pass",INDEX(Comp1[Comparable '#1 Price],MATCH(Benchmark2[[#This Row],[Benchmark '#2 Dates]],Comp1[Comparable '#1 Dates],0)),"-")</f>
        <v>11.53</v>
      </c>
      <c r="H900" s="1" t="str">
        <f>IF(COUNTIF(Comp2[Comparable '#2 Dates],Benchmark2[[#This Row],[Benchmark '#2 Dates]])=1,"Pass","Fail")</f>
        <v>Pass</v>
      </c>
      <c r="I900" s="6">
        <f>IF(Benchmark2[[#This Row],[Comparable '#2 Date Check]]="Pass",INDEX(Comp2[Comparable '#2 Price],MATCH(Benchmark2[[#This Row],[Benchmark '#2 Dates]],Comp2[Comparable '#2 Dates],0)),"-")</f>
        <v>28.55</v>
      </c>
      <c r="J900" s="1" t="str">
        <f>IF(COUNTIF(Comp3[Comparable '#3 Dates],Benchmark2[[#This Row],[Benchmark '#2 Dates]])=1,"Pass","Fail")</f>
        <v>Pass</v>
      </c>
      <c r="K900" s="6">
        <f>IF(Benchmark2[[#This Row],[Comparable '#3 Date Check]]="Pass",INDEX(Comp3[Comparable '#3 Price],MATCH(Benchmark2[[#This Row],[Benchmark '#2 Dates]],Comp3[Comparable '#3 Dates],0)),"-")</f>
        <v>57.3</v>
      </c>
    </row>
    <row r="901" spans="1:11">
      <c r="A901" s="103">
        <v>44589</v>
      </c>
      <c r="B901" s="104">
        <v>16397.863399999998</v>
      </c>
      <c r="C901" s="4">
        <f t="shared" si="14"/>
        <v>1.5099822127596762E-2</v>
      </c>
      <c r="D901" s="1" t="str">
        <f>IF(COUNTIF(Target1[Target Dates],Benchmark2[[#This Row],[Benchmark '#2 Dates]])=1,"Pass","Fail")</f>
        <v>Pass</v>
      </c>
      <c r="E901" s="6">
        <f>IF(Benchmark2[[#This Row],[Target Date Check]]="Pass",INDEX(Target1[Target Price],MATCH(Benchmark2[[#This Row],[Benchmark '#2 Dates]],Target1[Target Dates],0)),"-")</f>
        <v>34.44</v>
      </c>
      <c r="F901" s="1" t="str">
        <f>IF(COUNTIF(Comp1[Comparable '#1 Dates],Benchmark2[[#This Row],[Benchmark '#2 Dates]])=1,"Pass","Fail")</f>
        <v>Pass</v>
      </c>
      <c r="G901" s="6">
        <f>IF(Benchmark2[[#This Row],[Comparable '#1 Date Check]]="Pass",INDEX(Comp1[Comparable '#1 Price],MATCH(Benchmark2[[#This Row],[Benchmark '#2 Dates]],Comp1[Comparable '#1 Dates],0)),"-")</f>
        <v>12.07</v>
      </c>
      <c r="H901" s="1" t="str">
        <f>IF(COUNTIF(Comp2[Comparable '#2 Dates],Benchmark2[[#This Row],[Benchmark '#2 Dates]])=1,"Pass","Fail")</f>
        <v>Pass</v>
      </c>
      <c r="I901" s="6">
        <f>IF(Benchmark2[[#This Row],[Comparable '#2 Date Check]]="Pass",INDEX(Comp2[Comparable '#2 Price],MATCH(Benchmark2[[#This Row],[Benchmark '#2 Dates]],Comp2[Comparable '#2 Dates],0)),"-")</f>
        <v>28.48</v>
      </c>
      <c r="J901" s="1" t="str">
        <f>IF(COUNTIF(Comp3[Comparable '#3 Dates],Benchmark2[[#This Row],[Benchmark '#2 Dates]])=1,"Pass","Fail")</f>
        <v>Pass</v>
      </c>
      <c r="K901" s="6">
        <f>IF(Benchmark2[[#This Row],[Comparable '#3 Date Check]]="Pass",INDEX(Comp3[Comparable '#3 Price],MATCH(Benchmark2[[#This Row],[Benchmark '#2 Dates]],Comp3[Comparable '#3 Dates],0)),"-")</f>
        <v>60.08</v>
      </c>
    </row>
    <row r="902" spans="1:11">
      <c r="A902" s="103">
        <v>44592</v>
      </c>
      <c r="B902" s="104">
        <v>16659.774799999999</v>
      </c>
      <c r="C902" s="4">
        <f t="shared" si="14"/>
        <v>1.5846073385264933E-2</v>
      </c>
      <c r="D902" s="1" t="str">
        <f>IF(COUNTIF(Target1[Target Dates],Benchmark2[[#This Row],[Benchmark '#2 Dates]])=1,"Pass","Fail")</f>
        <v>Pass</v>
      </c>
      <c r="E902" s="6">
        <f>IF(Benchmark2[[#This Row],[Target Date Check]]="Pass",INDEX(Target1[Target Price],MATCH(Benchmark2[[#This Row],[Benchmark '#2 Dates]],Target1[Target Dates],0)),"-")</f>
        <v>35.07</v>
      </c>
      <c r="F902" s="1" t="str">
        <f>IF(COUNTIF(Comp1[Comparable '#1 Dates],Benchmark2[[#This Row],[Benchmark '#2 Dates]])=1,"Pass","Fail")</f>
        <v>Pass</v>
      </c>
      <c r="G902" s="6">
        <f>IF(Benchmark2[[#This Row],[Comparable '#1 Date Check]]="Pass",INDEX(Comp1[Comparable '#1 Price],MATCH(Benchmark2[[#This Row],[Benchmark '#2 Dates]],Comp1[Comparable '#1 Dates],0)),"-")</f>
        <v>12.65</v>
      </c>
      <c r="H902" s="1" t="str">
        <f>IF(COUNTIF(Comp2[Comparable '#2 Dates],Benchmark2[[#This Row],[Benchmark '#2 Dates]])=1,"Pass","Fail")</f>
        <v>Pass</v>
      </c>
      <c r="I902" s="6">
        <f>IF(Benchmark2[[#This Row],[Comparable '#2 Date Check]]="Pass",INDEX(Comp2[Comparable '#2 Price],MATCH(Benchmark2[[#This Row],[Benchmark '#2 Dates]],Comp2[Comparable '#2 Dates],0)),"-")</f>
        <v>29.42</v>
      </c>
      <c r="J902" s="1" t="str">
        <f>IF(COUNTIF(Comp3[Comparable '#3 Dates],Benchmark2[[#This Row],[Benchmark '#2 Dates]])=1,"Pass","Fail")</f>
        <v>Pass</v>
      </c>
      <c r="K902" s="6">
        <f>IF(Benchmark2[[#This Row],[Comparable '#3 Date Check]]="Pass",INDEX(Comp3[Comparable '#3 Price],MATCH(Benchmark2[[#This Row],[Benchmark '#2 Dates]],Comp3[Comparable '#3 Dates],0)),"-")</f>
        <v>59.66</v>
      </c>
    </row>
    <row r="903" spans="1:11">
      <c r="A903" s="103">
        <v>44593</v>
      </c>
      <c r="B903" s="104">
        <v>16829.715700000001</v>
      </c>
      <c r="C903" s="4">
        <f t="shared" si="14"/>
        <v>1.0148996365711434E-2</v>
      </c>
      <c r="D903" s="1" t="str">
        <f>IF(COUNTIF(Target1[Target Dates],Benchmark2[[#This Row],[Benchmark '#2 Dates]])=1,"Pass","Fail")</f>
        <v>Pass</v>
      </c>
      <c r="E903" s="6">
        <f>IF(Benchmark2[[#This Row],[Target Date Check]]="Pass",INDEX(Target1[Target Price],MATCH(Benchmark2[[#This Row],[Benchmark '#2 Dates]],Target1[Target Dates],0)),"-")</f>
        <v>36.06</v>
      </c>
      <c r="F903" s="1" t="str">
        <f>IF(COUNTIF(Comp1[Comparable '#1 Dates],Benchmark2[[#This Row],[Benchmark '#2 Dates]])=1,"Pass","Fail")</f>
        <v>Pass</v>
      </c>
      <c r="G903" s="6">
        <f>IF(Benchmark2[[#This Row],[Comparable '#1 Date Check]]="Pass",INDEX(Comp1[Comparable '#1 Price],MATCH(Benchmark2[[#This Row],[Benchmark '#2 Dates]],Comp1[Comparable '#1 Dates],0)),"-")</f>
        <v>12.25</v>
      </c>
      <c r="H903" s="1" t="str">
        <f>IF(COUNTIF(Comp2[Comparable '#2 Dates],Benchmark2[[#This Row],[Benchmark '#2 Dates]])=1,"Pass","Fail")</f>
        <v>Pass</v>
      </c>
      <c r="I903" s="6">
        <f>IF(Benchmark2[[#This Row],[Comparable '#2 Date Check]]="Pass",INDEX(Comp2[Comparable '#2 Price],MATCH(Benchmark2[[#This Row],[Benchmark '#2 Dates]],Comp2[Comparable '#2 Dates],0)),"-")</f>
        <v>29.37</v>
      </c>
      <c r="J903" s="1" t="str">
        <f>IF(COUNTIF(Comp3[Comparable '#3 Dates],Benchmark2[[#This Row],[Benchmark '#2 Dates]])=1,"Pass","Fail")</f>
        <v>Pass</v>
      </c>
      <c r="K903" s="6">
        <f>IF(Benchmark2[[#This Row],[Comparable '#3 Date Check]]="Pass",INDEX(Comp3[Comparable '#3 Price],MATCH(Benchmark2[[#This Row],[Benchmark '#2 Dates]],Comp3[Comparable '#3 Dates],0)),"-")</f>
        <v>60.28</v>
      </c>
    </row>
    <row r="904" spans="1:11">
      <c r="A904" s="103">
        <v>44594</v>
      </c>
      <c r="B904" s="104">
        <v>16904.518199999999</v>
      </c>
      <c r="C904" s="4">
        <f t="shared" si="14"/>
        <v>4.4348197039638026E-3</v>
      </c>
      <c r="D904" s="1" t="str">
        <f>IF(COUNTIF(Target1[Target Dates],Benchmark2[[#This Row],[Benchmark '#2 Dates]])=1,"Pass","Fail")</f>
        <v>Pass</v>
      </c>
      <c r="E904" s="6">
        <f>IF(Benchmark2[[#This Row],[Target Date Check]]="Pass",INDEX(Target1[Target Price],MATCH(Benchmark2[[#This Row],[Benchmark '#2 Dates]],Target1[Target Dates],0)),"-")</f>
        <v>36.22</v>
      </c>
      <c r="F904" s="1" t="str">
        <f>IF(COUNTIF(Comp1[Comparable '#1 Dates],Benchmark2[[#This Row],[Benchmark '#2 Dates]])=1,"Pass","Fail")</f>
        <v>Pass</v>
      </c>
      <c r="G904" s="6">
        <f>IF(Benchmark2[[#This Row],[Comparable '#1 Date Check]]="Pass",INDEX(Comp1[Comparable '#1 Price],MATCH(Benchmark2[[#This Row],[Benchmark '#2 Dates]],Comp1[Comparable '#1 Dates],0)),"-")</f>
        <v>12.37</v>
      </c>
      <c r="H904" s="1" t="str">
        <f>IF(COUNTIF(Comp2[Comparable '#2 Dates],Benchmark2[[#This Row],[Benchmark '#2 Dates]])=1,"Pass","Fail")</f>
        <v>Pass</v>
      </c>
      <c r="I904" s="6">
        <f>IF(Benchmark2[[#This Row],[Comparable '#2 Date Check]]="Pass",INDEX(Comp2[Comparable '#2 Price],MATCH(Benchmark2[[#This Row],[Benchmark '#2 Dates]],Comp2[Comparable '#2 Dates],0)),"-")</f>
        <v>28.58</v>
      </c>
      <c r="J904" s="1" t="str">
        <f>IF(COUNTIF(Comp3[Comparable '#3 Dates],Benchmark2[[#This Row],[Benchmark '#2 Dates]])=1,"Pass","Fail")</f>
        <v>Pass</v>
      </c>
      <c r="K904" s="6">
        <f>IF(Benchmark2[[#This Row],[Comparable '#3 Date Check]]="Pass",INDEX(Comp3[Comparable '#3 Price],MATCH(Benchmark2[[#This Row],[Benchmark '#2 Dates]],Comp3[Comparable '#3 Dates],0)),"-")</f>
        <v>58.94</v>
      </c>
    </row>
    <row r="905" spans="1:11">
      <c r="A905" s="103">
        <v>44595</v>
      </c>
      <c r="B905" s="104">
        <v>16677.394100000001</v>
      </c>
      <c r="C905" s="4">
        <f t="shared" si="14"/>
        <v>-1.3526779601257945E-2</v>
      </c>
      <c r="D905" s="1" t="str">
        <f>IF(COUNTIF(Target1[Target Dates],Benchmark2[[#This Row],[Benchmark '#2 Dates]])=1,"Pass","Fail")</f>
        <v>Pass</v>
      </c>
      <c r="E905" s="6">
        <f>IF(Benchmark2[[#This Row],[Target Date Check]]="Pass",INDEX(Target1[Target Price],MATCH(Benchmark2[[#This Row],[Benchmark '#2 Dates]],Target1[Target Dates],0)),"-")</f>
        <v>35.229999999999997</v>
      </c>
      <c r="F905" s="1" t="str">
        <f>IF(COUNTIF(Comp1[Comparable '#1 Dates],Benchmark2[[#This Row],[Benchmark '#2 Dates]])=1,"Pass","Fail")</f>
        <v>Pass</v>
      </c>
      <c r="G905" s="6">
        <f>IF(Benchmark2[[#This Row],[Comparable '#1 Date Check]]="Pass",INDEX(Comp1[Comparable '#1 Price],MATCH(Benchmark2[[#This Row],[Benchmark '#2 Dates]],Comp1[Comparable '#1 Dates],0)),"-")</f>
        <v>12.25</v>
      </c>
      <c r="H905" s="1" t="str">
        <f>IF(COUNTIF(Comp2[Comparable '#2 Dates],Benchmark2[[#This Row],[Benchmark '#2 Dates]])=1,"Pass","Fail")</f>
        <v>Pass</v>
      </c>
      <c r="I905" s="6">
        <f>IF(Benchmark2[[#This Row],[Comparable '#2 Date Check]]="Pass",INDEX(Comp2[Comparable '#2 Price],MATCH(Benchmark2[[#This Row],[Benchmark '#2 Dates]],Comp2[Comparable '#2 Dates],0)),"-")</f>
        <v>27.98</v>
      </c>
      <c r="J905" s="1" t="str">
        <f>IF(COUNTIF(Comp3[Comparable '#3 Dates],Benchmark2[[#This Row],[Benchmark '#2 Dates]])=1,"Pass","Fail")</f>
        <v>Pass</v>
      </c>
      <c r="K905" s="6">
        <f>IF(Benchmark2[[#This Row],[Comparable '#3 Date Check]]="Pass",INDEX(Comp3[Comparable '#3 Price],MATCH(Benchmark2[[#This Row],[Benchmark '#2 Dates]],Comp3[Comparable '#3 Dates],0)),"-")</f>
        <v>57.91</v>
      </c>
    </row>
    <row r="906" spans="1:11">
      <c r="A906" s="103">
        <v>44596</v>
      </c>
      <c r="B906" s="104">
        <v>16701.5825</v>
      </c>
      <c r="C906" s="4">
        <f t="shared" si="14"/>
        <v>1.4493197034705274E-3</v>
      </c>
      <c r="D906" s="1" t="str">
        <f>IF(COUNTIF(Target1[Target Dates],Benchmark2[[#This Row],[Benchmark '#2 Dates]])=1,"Pass","Fail")</f>
        <v>Pass</v>
      </c>
      <c r="E906" s="6">
        <f>IF(Benchmark2[[#This Row],[Target Date Check]]="Pass",INDEX(Target1[Target Price],MATCH(Benchmark2[[#This Row],[Benchmark '#2 Dates]],Target1[Target Dates],0)),"-")</f>
        <v>34.99</v>
      </c>
      <c r="F906" s="1" t="str">
        <f>IF(COUNTIF(Comp1[Comparable '#1 Dates],Benchmark2[[#This Row],[Benchmark '#2 Dates]])=1,"Pass","Fail")</f>
        <v>Pass</v>
      </c>
      <c r="G906" s="6">
        <f>IF(Benchmark2[[#This Row],[Comparable '#1 Date Check]]="Pass",INDEX(Comp1[Comparable '#1 Price],MATCH(Benchmark2[[#This Row],[Benchmark '#2 Dates]],Comp1[Comparable '#1 Dates],0)),"-")</f>
        <v>12.55</v>
      </c>
      <c r="H906" s="1" t="str">
        <f>IF(COUNTIF(Comp2[Comparable '#2 Dates],Benchmark2[[#This Row],[Benchmark '#2 Dates]])=1,"Pass","Fail")</f>
        <v>Pass</v>
      </c>
      <c r="I906" s="6">
        <f>IF(Benchmark2[[#This Row],[Comparable '#2 Date Check]]="Pass",INDEX(Comp2[Comparable '#2 Price],MATCH(Benchmark2[[#This Row],[Benchmark '#2 Dates]],Comp2[Comparable '#2 Dates],0)),"-")</f>
        <v>28.22</v>
      </c>
      <c r="J906" s="1" t="str">
        <f>IF(COUNTIF(Comp3[Comparable '#3 Dates],Benchmark2[[#This Row],[Benchmark '#2 Dates]])=1,"Pass","Fail")</f>
        <v>Pass</v>
      </c>
      <c r="K906" s="6">
        <f>IF(Benchmark2[[#This Row],[Comparable '#3 Date Check]]="Pass",INDEX(Comp3[Comparable '#3 Price],MATCH(Benchmark2[[#This Row],[Benchmark '#2 Dates]],Comp3[Comparable '#3 Dates],0)),"-")</f>
        <v>59.6</v>
      </c>
    </row>
    <row r="907" spans="1:11">
      <c r="A907" s="103">
        <v>44599</v>
      </c>
      <c r="B907" s="104">
        <v>16722.7559</v>
      </c>
      <c r="C907" s="4">
        <f t="shared" si="14"/>
        <v>1.2669452169145219E-3</v>
      </c>
      <c r="D907" s="1" t="str">
        <f>IF(COUNTIF(Target1[Target Dates],Benchmark2[[#This Row],[Benchmark '#2 Dates]])=1,"Pass","Fail")</f>
        <v>Pass</v>
      </c>
      <c r="E907" s="6">
        <f>IF(Benchmark2[[#This Row],[Target Date Check]]="Pass",INDEX(Target1[Target Price],MATCH(Benchmark2[[#This Row],[Benchmark '#2 Dates]],Target1[Target Dates],0)),"-")</f>
        <v>34.82</v>
      </c>
      <c r="F907" s="1" t="str">
        <f>IF(COUNTIF(Comp1[Comparable '#1 Dates],Benchmark2[[#This Row],[Benchmark '#2 Dates]])=1,"Pass","Fail")</f>
        <v>Pass</v>
      </c>
      <c r="G907" s="6">
        <f>IF(Benchmark2[[#This Row],[Comparable '#1 Date Check]]="Pass",INDEX(Comp1[Comparable '#1 Price],MATCH(Benchmark2[[#This Row],[Benchmark '#2 Dates]],Comp1[Comparable '#1 Dates],0)),"-")</f>
        <v>12.34</v>
      </c>
      <c r="H907" s="1" t="str">
        <f>IF(COUNTIF(Comp2[Comparable '#2 Dates],Benchmark2[[#This Row],[Benchmark '#2 Dates]])=1,"Pass","Fail")</f>
        <v>Pass</v>
      </c>
      <c r="I907" s="6">
        <f>IF(Benchmark2[[#This Row],[Comparable '#2 Date Check]]="Pass",INDEX(Comp2[Comparable '#2 Price],MATCH(Benchmark2[[#This Row],[Benchmark '#2 Dates]],Comp2[Comparable '#2 Dates],0)),"-")</f>
        <v>28.3</v>
      </c>
      <c r="J907" s="1" t="str">
        <f>IF(COUNTIF(Comp3[Comparable '#3 Dates],Benchmark2[[#This Row],[Benchmark '#2 Dates]])=1,"Pass","Fail")</f>
        <v>Pass</v>
      </c>
      <c r="K907" s="6">
        <f>IF(Benchmark2[[#This Row],[Comparable '#3 Date Check]]="Pass",INDEX(Comp3[Comparable '#3 Price],MATCH(Benchmark2[[#This Row],[Benchmark '#2 Dates]],Comp3[Comparable '#3 Dates],0)),"-")</f>
        <v>59.75</v>
      </c>
    </row>
    <row r="908" spans="1:11">
      <c r="A908" s="103">
        <v>44600</v>
      </c>
      <c r="B908" s="104">
        <v>16853.7058</v>
      </c>
      <c r="C908" s="4">
        <f t="shared" si="14"/>
        <v>7.8001407717885017E-3</v>
      </c>
      <c r="D908" s="1" t="str">
        <f>IF(COUNTIF(Target1[Target Dates],Benchmark2[[#This Row],[Benchmark '#2 Dates]])=1,"Pass","Fail")</f>
        <v>Pass</v>
      </c>
      <c r="E908" s="6">
        <f>IF(Benchmark2[[#This Row],[Target Date Check]]="Pass",INDEX(Target1[Target Price],MATCH(Benchmark2[[#This Row],[Benchmark '#2 Dates]],Target1[Target Dates],0)),"-")</f>
        <v>36.020000000000003</v>
      </c>
      <c r="F908" s="1" t="str">
        <f>IF(COUNTIF(Comp1[Comparable '#1 Dates],Benchmark2[[#This Row],[Benchmark '#2 Dates]])=1,"Pass","Fail")</f>
        <v>Pass</v>
      </c>
      <c r="G908" s="6">
        <f>IF(Benchmark2[[#This Row],[Comparable '#1 Date Check]]="Pass",INDEX(Comp1[Comparable '#1 Price],MATCH(Benchmark2[[#This Row],[Benchmark '#2 Dates]],Comp1[Comparable '#1 Dates],0)),"-")</f>
        <v>12.49</v>
      </c>
      <c r="H908" s="1" t="str">
        <f>IF(COUNTIF(Comp2[Comparable '#2 Dates],Benchmark2[[#This Row],[Benchmark '#2 Dates]])=1,"Pass","Fail")</f>
        <v>Pass</v>
      </c>
      <c r="I908" s="6">
        <f>IF(Benchmark2[[#This Row],[Comparable '#2 Date Check]]="Pass",INDEX(Comp2[Comparable '#2 Price],MATCH(Benchmark2[[#This Row],[Benchmark '#2 Dates]],Comp2[Comparable '#2 Dates],0)),"-")</f>
        <v>28.75</v>
      </c>
      <c r="J908" s="1" t="str">
        <f>IF(COUNTIF(Comp3[Comparable '#3 Dates],Benchmark2[[#This Row],[Benchmark '#2 Dates]])=1,"Pass","Fail")</f>
        <v>Pass</v>
      </c>
      <c r="K908" s="6">
        <f>IF(Benchmark2[[#This Row],[Comparable '#3 Date Check]]="Pass",INDEX(Comp3[Comparable '#3 Price],MATCH(Benchmark2[[#This Row],[Benchmark '#2 Dates]],Comp3[Comparable '#3 Dates],0)),"-")</f>
        <v>59.96</v>
      </c>
    </row>
    <row r="909" spans="1:11">
      <c r="A909" s="103">
        <v>44601</v>
      </c>
      <c r="B909" s="104">
        <v>17069.6567</v>
      </c>
      <c r="C909" s="4">
        <f t="shared" si="14"/>
        <v>1.2731863896764768E-2</v>
      </c>
      <c r="D909" s="1" t="str">
        <f>IF(COUNTIF(Target1[Target Dates],Benchmark2[[#This Row],[Benchmark '#2 Dates]])=1,"Pass","Fail")</f>
        <v>Pass</v>
      </c>
      <c r="E909" s="6">
        <f>IF(Benchmark2[[#This Row],[Target Date Check]]="Pass",INDEX(Target1[Target Price],MATCH(Benchmark2[[#This Row],[Benchmark '#2 Dates]],Target1[Target Dates],0)),"-")</f>
        <v>35.51</v>
      </c>
      <c r="F909" s="1" t="str">
        <f>IF(COUNTIF(Comp1[Comparable '#1 Dates],Benchmark2[[#This Row],[Benchmark '#2 Dates]])=1,"Pass","Fail")</f>
        <v>Pass</v>
      </c>
      <c r="G909" s="6">
        <f>IF(Benchmark2[[#This Row],[Comparable '#1 Date Check]]="Pass",INDEX(Comp1[Comparable '#1 Price],MATCH(Benchmark2[[#This Row],[Benchmark '#2 Dates]],Comp1[Comparable '#1 Dates],0)),"-")</f>
        <v>13.03</v>
      </c>
      <c r="H909" s="1" t="str">
        <f>IF(COUNTIF(Comp2[Comparable '#2 Dates],Benchmark2[[#This Row],[Benchmark '#2 Dates]])=1,"Pass","Fail")</f>
        <v>Pass</v>
      </c>
      <c r="I909" s="6">
        <f>IF(Benchmark2[[#This Row],[Comparable '#2 Date Check]]="Pass",INDEX(Comp2[Comparable '#2 Price],MATCH(Benchmark2[[#This Row],[Benchmark '#2 Dates]],Comp2[Comparable '#2 Dates],0)),"-")</f>
        <v>24.7</v>
      </c>
      <c r="J909" s="1" t="str">
        <f>IF(COUNTIF(Comp3[Comparable '#3 Dates],Benchmark2[[#This Row],[Benchmark '#2 Dates]])=1,"Pass","Fail")</f>
        <v>Pass</v>
      </c>
      <c r="K909" s="6">
        <f>IF(Benchmark2[[#This Row],[Comparable '#3 Date Check]]="Pass",INDEX(Comp3[Comparable '#3 Price],MATCH(Benchmark2[[#This Row],[Benchmark '#2 Dates]],Comp3[Comparable '#3 Dates],0)),"-")</f>
        <v>56.86</v>
      </c>
    </row>
    <row r="910" spans="1:11">
      <c r="A910" s="103">
        <v>44602</v>
      </c>
      <c r="B910" s="104">
        <v>16855.958200000001</v>
      </c>
      <c r="C910" s="4">
        <f t="shared" si="14"/>
        <v>-1.2598228628056499E-2</v>
      </c>
      <c r="D910" s="1" t="str">
        <f>IF(COUNTIF(Target1[Target Dates],Benchmark2[[#This Row],[Benchmark '#2 Dates]])=1,"Pass","Fail")</f>
        <v>Pass</v>
      </c>
      <c r="E910" s="6">
        <f>IF(Benchmark2[[#This Row],[Target Date Check]]="Pass",INDEX(Target1[Target Price],MATCH(Benchmark2[[#This Row],[Benchmark '#2 Dates]],Target1[Target Dates],0)),"-")</f>
        <v>34.46</v>
      </c>
      <c r="F910" s="1" t="str">
        <f>IF(COUNTIF(Comp1[Comparable '#1 Dates],Benchmark2[[#This Row],[Benchmark '#2 Dates]])=1,"Pass","Fail")</f>
        <v>Pass</v>
      </c>
      <c r="G910" s="6">
        <f>IF(Benchmark2[[#This Row],[Comparable '#1 Date Check]]="Pass",INDEX(Comp1[Comparable '#1 Price],MATCH(Benchmark2[[#This Row],[Benchmark '#2 Dates]],Comp1[Comparable '#1 Dates],0)),"-")</f>
        <v>12.57</v>
      </c>
      <c r="H910" s="1" t="str">
        <f>IF(COUNTIF(Comp2[Comparable '#2 Dates],Benchmark2[[#This Row],[Benchmark '#2 Dates]])=1,"Pass","Fail")</f>
        <v>Pass</v>
      </c>
      <c r="I910" s="6">
        <f>IF(Benchmark2[[#This Row],[Comparable '#2 Date Check]]="Pass",INDEX(Comp2[Comparable '#2 Price],MATCH(Benchmark2[[#This Row],[Benchmark '#2 Dates]],Comp2[Comparable '#2 Dates],0)),"-")</f>
        <v>22.77</v>
      </c>
      <c r="J910" s="1" t="str">
        <f>IF(COUNTIF(Comp3[Comparable '#3 Dates],Benchmark2[[#This Row],[Benchmark '#2 Dates]])=1,"Pass","Fail")</f>
        <v>Pass</v>
      </c>
      <c r="K910" s="6">
        <f>IF(Benchmark2[[#This Row],[Comparable '#3 Date Check]]="Pass",INDEX(Comp3[Comparable '#3 Price],MATCH(Benchmark2[[#This Row],[Benchmark '#2 Dates]],Comp3[Comparable '#3 Dates],0)),"-")</f>
        <v>52.85</v>
      </c>
    </row>
    <row r="911" spans="1:11">
      <c r="A911" s="103">
        <v>44603</v>
      </c>
      <c r="B911" s="104">
        <v>16664.991999999998</v>
      </c>
      <c r="C911" s="4">
        <f t="shared" si="14"/>
        <v>-1.1393964958089368E-2</v>
      </c>
      <c r="D911" s="1" t="str">
        <f>IF(COUNTIF(Target1[Target Dates],Benchmark2[[#This Row],[Benchmark '#2 Dates]])=1,"Pass","Fail")</f>
        <v>Pass</v>
      </c>
      <c r="E911" s="6">
        <f>IF(Benchmark2[[#This Row],[Target Date Check]]="Pass",INDEX(Target1[Target Price],MATCH(Benchmark2[[#This Row],[Benchmark '#2 Dates]],Target1[Target Dates],0)),"-")</f>
        <v>33.840000000000003</v>
      </c>
      <c r="F911" s="1" t="str">
        <f>IF(COUNTIF(Comp1[Comparable '#1 Dates],Benchmark2[[#This Row],[Benchmark '#2 Dates]])=1,"Pass","Fail")</f>
        <v>Pass</v>
      </c>
      <c r="G911" s="6">
        <f>IF(Benchmark2[[#This Row],[Comparable '#1 Date Check]]="Pass",INDEX(Comp1[Comparable '#1 Price],MATCH(Benchmark2[[#This Row],[Benchmark '#2 Dates]],Comp1[Comparable '#1 Dates],0)),"-")</f>
        <v>12.27</v>
      </c>
      <c r="H911" s="1" t="str">
        <f>IF(COUNTIF(Comp2[Comparable '#2 Dates],Benchmark2[[#This Row],[Benchmark '#2 Dates]])=1,"Pass","Fail")</f>
        <v>Pass</v>
      </c>
      <c r="I911" s="6">
        <f>IF(Benchmark2[[#This Row],[Comparable '#2 Date Check]]="Pass",INDEX(Comp2[Comparable '#2 Price],MATCH(Benchmark2[[#This Row],[Benchmark '#2 Dates]],Comp2[Comparable '#2 Dates],0)),"-")</f>
        <v>23.76</v>
      </c>
      <c r="J911" s="1" t="str">
        <f>IF(COUNTIF(Comp3[Comparable '#3 Dates],Benchmark2[[#This Row],[Benchmark '#2 Dates]])=1,"Pass","Fail")</f>
        <v>Pass</v>
      </c>
      <c r="K911" s="6">
        <f>IF(Benchmark2[[#This Row],[Comparable '#3 Date Check]]="Pass",INDEX(Comp3[Comparable '#3 Price],MATCH(Benchmark2[[#This Row],[Benchmark '#2 Dates]],Comp3[Comparable '#3 Dates],0)),"-")</f>
        <v>54.17</v>
      </c>
    </row>
    <row r="912" spans="1:11">
      <c r="A912" s="103">
        <v>44606</v>
      </c>
      <c r="B912" s="104">
        <v>16531.310700000002</v>
      </c>
      <c r="C912" s="4">
        <f t="shared" si="14"/>
        <v>-8.0540308261026934E-3</v>
      </c>
      <c r="D912" s="1" t="str">
        <f>IF(COUNTIF(Target1[Target Dates],Benchmark2[[#This Row],[Benchmark '#2 Dates]])=1,"Pass","Fail")</f>
        <v>Pass</v>
      </c>
      <c r="E912" s="6">
        <f>IF(Benchmark2[[#This Row],[Target Date Check]]="Pass",INDEX(Target1[Target Price],MATCH(Benchmark2[[#This Row],[Benchmark '#2 Dates]],Target1[Target Dates],0)),"-")</f>
        <v>33.840000000000003</v>
      </c>
      <c r="F912" s="1" t="str">
        <f>IF(COUNTIF(Comp1[Comparable '#1 Dates],Benchmark2[[#This Row],[Benchmark '#2 Dates]])=1,"Pass","Fail")</f>
        <v>Pass</v>
      </c>
      <c r="G912" s="6">
        <f>IF(Benchmark2[[#This Row],[Comparable '#1 Date Check]]="Pass",INDEX(Comp1[Comparable '#1 Price],MATCH(Benchmark2[[#This Row],[Benchmark '#2 Dates]],Comp1[Comparable '#1 Dates],0)),"-")</f>
        <v>12.49</v>
      </c>
      <c r="H912" s="1" t="str">
        <f>IF(COUNTIF(Comp2[Comparable '#2 Dates],Benchmark2[[#This Row],[Benchmark '#2 Dates]])=1,"Pass","Fail")</f>
        <v>Pass</v>
      </c>
      <c r="I912" s="6">
        <f>IF(Benchmark2[[#This Row],[Comparable '#2 Date Check]]="Pass",INDEX(Comp2[Comparable '#2 Price],MATCH(Benchmark2[[#This Row],[Benchmark '#2 Dates]],Comp2[Comparable '#2 Dates],0)),"-")</f>
        <v>23.49</v>
      </c>
      <c r="J912" s="1" t="str">
        <f>IF(COUNTIF(Comp3[Comparable '#3 Dates],Benchmark2[[#This Row],[Benchmark '#2 Dates]])=1,"Pass","Fail")</f>
        <v>Pass</v>
      </c>
      <c r="K912" s="6">
        <f>IF(Benchmark2[[#This Row],[Comparable '#3 Date Check]]="Pass",INDEX(Comp3[Comparable '#3 Price],MATCH(Benchmark2[[#This Row],[Benchmark '#2 Dates]],Comp3[Comparable '#3 Dates],0)),"-")</f>
        <v>53.68</v>
      </c>
    </row>
    <row r="913" spans="1:11">
      <c r="A913" s="103">
        <v>44607</v>
      </c>
      <c r="B913" s="104">
        <v>16745.830099999999</v>
      </c>
      <c r="C913" s="4">
        <f t="shared" si="14"/>
        <v>1.2893077138854438E-2</v>
      </c>
      <c r="D913" s="1" t="str">
        <f>IF(COUNTIF(Target1[Target Dates],Benchmark2[[#This Row],[Benchmark '#2 Dates]])=1,"Pass","Fail")</f>
        <v>Pass</v>
      </c>
      <c r="E913" s="6">
        <f>IF(Benchmark2[[#This Row],[Target Date Check]]="Pass",INDEX(Target1[Target Price],MATCH(Benchmark2[[#This Row],[Benchmark '#2 Dates]],Target1[Target Dates],0)),"-")</f>
        <v>34.229999999999997</v>
      </c>
      <c r="F913" s="1" t="str">
        <f>IF(COUNTIF(Comp1[Comparable '#1 Dates],Benchmark2[[#This Row],[Benchmark '#2 Dates]])=1,"Pass","Fail")</f>
        <v>Pass</v>
      </c>
      <c r="G913" s="6">
        <f>IF(Benchmark2[[#This Row],[Comparable '#1 Date Check]]="Pass",INDEX(Comp1[Comparable '#1 Price],MATCH(Benchmark2[[#This Row],[Benchmark '#2 Dates]],Comp1[Comparable '#1 Dates],0)),"-")</f>
        <v>12.45</v>
      </c>
      <c r="H913" s="1" t="str">
        <f>IF(COUNTIF(Comp2[Comparable '#2 Dates],Benchmark2[[#This Row],[Benchmark '#2 Dates]])=1,"Pass","Fail")</f>
        <v>Pass</v>
      </c>
      <c r="I913" s="6">
        <f>IF(Benchmark2[[#This Row],[Comparable '#2 Date Check]]="Pass",INDEX(Comp2[Comparable '#2 Price],MATCH(Benchmark2[[#This Row],[Benchmark '#2 Dates]],Comp2[Comparable '#2 Dates],0)),"-")</f>
        <v>23.69</v>
      </c>
      <c r="J913" s="1" t="str">
        <f>IF(COUNTIF(Comp3[Comparable '#3 Dates],Benchmark2[[#This Row],[Benchmark '#2 Dates]])=1,"Pass","Fail")</f>
        <v>Pass</v>
      </c>
      <c r="K913" s="6">
        <f>IF(Benchmark2[[#This Row],[Comparable '#3 Date Check]]="Pass",INDEX(Comp3[Comparable '#3 Price],MATCH(Benchmark2[[#This Row],[Benchmark '#2 Dates]],Comp3[Comparable '#3 Dates],0)),"-")</f>
        <v>54.56</v>
      </c>
    </row>
    <row r="914" spans="1:11">
      <c r="A914" s="103">
        <v>44608</v>
      </c>
      <c r="B914" s="104">
        <v>16770.357100000001</v>
      </c>
      <c r="C914" s="4">
        <f t="shared" si="14"/>
        <v>1.4635915614097657E-3</v>
      </c>
      <c r="D914" s="1" t="str">
        <f>IF(COUNTIF(Target1[Target Dates],Benchmark2[[#This Row],[Benchmark '#2 Dates]])=1,"Pass","Fail")</f>
        <v>Pass</v>
      </c>
      <c r="E914" s="6">
        <f>IF(Benchmark2[[#This Row],[Target Date Check]]="Pass",INDEX(Target1[Target Price],MATCH(Benchmark2[[#This Row],[Benchmark '#2 Dates]],Target1[Target Dates],0)),"-")</f>
        <v>34.369999999999997</v>
      </c>
      <c r="F914" s="1" t="str">
        <f>IF(COUNTIF(Comp1[Comparable '#1 Dates],Benchmark2[[#This Row],[Benchmark '#2 Dates]])=1,"Pass","Fail")</f>
        <v>Pass</v>
      </c>
      <c r="G914" s="6">
        <f>IF(Benchmark2[[#This Row],[Comparable '#1 Date Check]]="Pass",INDEX(Comp1[Comparable '#1 Price],MATCH(Benchmark2[[#This Row],[Benchmark '#2 Dates]],Comp1[Comparable '#1 Dates],0)),"-")</f>
        <v>12.57</v>
      </c>
      <c r="H914" s="1" t="str">
        <f>IF(COUNTIF(Comp2[Comparable '#2 Dates],Benchmark2[[#This Row],[Benchmark '#2 Dates]])=1,"Pass","Fail")</f>
        <v>Pass</v>
      </c>
      <c r="I914" s="6">
        <f>IF(Benchmark2[[#This Row],[Comparable '#2 Date Check]]="Pass",INDEX(Comp2[Comparable '#2 Price],MATCH(Benchmark2[[#This Row],[Benchmark '#2 Dates]],Comp2[Comparable '#2 Dates],0)),"-")</f>
        <v>23.1</v>
      </c>
      <c r="J914" s="1" t="str">
        <f>IF(COUNTIF(Comp3[Comparable '#3 Dates],Benchmark2[[#This Row],[Benchmark '#2 Dates]])=1,"Pass","Fail")</f>
        <v>Pass</v>
      </c>
      <c r="K914" s="6">
        <f>IF(Benchmark2[[#This Row],[Comparable '#3 Date Check]]="Pass",INDEX(Comp3[Comparable '#3 Price],MATCH(Benchmark2[[#This Row],[Benchmark '#2 Dates]],Comp3[Comparable '#3 Dates],0)),"-")</f>
        <v>54.58</v>
      </c>
    </row>
    <row r="915" spans="1:11">
      <c r="A915" s="103">
        <v>44609</v>
      </c>
      <c r="B915" s="104">
        <v>16492.046300000002</v>
      </c>
      <c r="C915" s="4">
        <f t="shared" si="14"/>
        <v>-1.67346473232514E-2</v>
      </c>
      <c r="D915" s="1" t="str">
        <f>IF(COUNTIF(Target1[Target Dates],Benchmark2[[#This Row],[Benchmark '#2 Dates]])=1,"Pass","Fail")</f>
        <v>Pass</v>
      </c>
      <c r="E915" s="6">
        <f>IF(Benchmark2[[#This Row],[Target Date Check]]="Pass",INDEX(Target1[Target Price],MATCH(Benchmark2[[#This Row],[Benchmark '#2 Dates]],Target1[Target Dates],0)),"-")</f>
        <v>33.659999999999997</v>
      </c>
      <c r="F915" s="1" t="str">
        <f>IF(COUNTIF(Comp1[Comparable '#1 Dates],Benchmark2[[#This Row],[Benchmark '#2 Dates]])=1,"Pass","Fail")</f>
        <v>Pass</v>
      </c>
      <c r="G915" s="6">
        <f>IF(Benchmark2[[#This Row],[Comparable '#1 Date Check]]="Pass",INDEX(Comp1[Comparable '#1 Price],MATCH(Benchmark2[[#This Row],[Benchmark '#2 Dates]],Comp1[Comparable '#1 Dates],0)),"-")</f>
        <v>12.22</v>
      </c>
      <c r="H915" s="1" t="str">
        <f>IF(COUNTIF(Comp2[Comparable '#2 Dates],Benchmark2[[#This Row],[Benchmark '#2 Dates]])=1,"Pass","Fail")</f>
        <v>Pass</v>
      </c>
      <c r="I915" s="6">
        <f>IF(Benchmark2[[#This Row],[Comparable '#2 Date Check]]="Pass",INDEX(Comp2[Comparable '#2 Price],MATCH(Benchmark2[[#This Row],[Benchmark '#2 Dates]],Comp2[Comparable '#2 Dates],0)),"-")</f>
        <v>21.1</v>
      </c>
      <c r="J915" s="1" t="str">
        <f>IF(COUNTIF(Comp3[Comparable '#3 Dates],Benchmark2[[#This Row],[Benchmark '#2 Dates]])=1,"Pass","Fail")</f>
        <v>Pass</v>
      </c>
      <c r="K915" s="6">
        <f>IF(Benchmark2[[#This Row],[Comparable '#3 Date Check]]="Pass",INDEX(Comp3[Comparable '#3 Price],MATCH(Benchmark2[[#This Row],[Benchmark '#2 Dates]],Comp3[Comparable '#3 Dates],0)),"-")</f>
        <v>51.24</v>
      </c>
    </row>
    <row r="916" spans="1:11">
      <c r="A916" s="103">
        <v>44610</v>
      </c>
      <c r="B916" s="104">
        <v>16392.323199999999</v>
      </c>
      <c r="C916" s="4">
        <f t="shared" si="14"/>
        <v>-6.0650945851804623E-3</v>
      </c>
      <c r="D916" s="1" t="str">
        <f>IF(COUNTIF(Target1[Target Dates],Benchmark2[[#This Row],[Benchmark '#2 Dates]])=1,"Pass","Fail")</f>
        <v>Pass</v>
      </c>
      <c r="E916" s="6">
        <f>IF(Benchmark2[[#This Row],[Target Date Check]]="Pass",INDEX(Target1[Target Price],MATCH(Benchmark2[[#This Row],[Benchmark '#2 Dates]],Target1[Target Dates],0)),"-")</f>
        <v>33.99</v>
      </c>
      <c r="F916" s="1" t="str">
        <f>IF(COUNTIF(Comp1[Comparable '#1 Dates],Benchmark2[[#This Row],[Benchmark '#2 Dates]])=1,"Pass","Fail")</f>
        <v>Pass</v>
      </c>
      <c r="G916" s="6">
        <f>IF(Benchmark2[[#This Row],[Comparable '#1 Date Check]]="Pass",INDEX(Comp1[Comparable '#1 Price],MATCH(Benchmark2[[#This Row],[Benchmark '#2 Dates]],Comp1[Comparable '#1 Dates],0)),"-")</f>
        <v>12.04</v>
      </c>
      <c r="H916" s="1" t="str">
        <f>IF(COUNTIF(Comp2[Comparable '#2 Dates],Benchmark2[[#This Row],[Benchmark '#2 Dates]])=1,"Pass","Fail")</f>
        <v>Pass</v>
      </c>
      <c r="I916" s="6">
        <f>IF(Benchmark2[[#This Row],[Comparable '#2 Date Check]]="Pass",INDEX(Comp2[Comparable '#2 Price],MATCH(Benchmark2[[#This Row],[Benchmark '#2 Dates]],Comp2[Comparable '#2 Dates],0)),"-")</f>
        <v>20.83</v>
      </c>
      <c r="J916" s="1" t="str">
        <f>IF(COUNTIF(Comp3[Comparable '#3 Dates],Benchmark2[[#This Row],[Benchmark '#2 Dates]])=1,"Pass","Fail")</f>
        <v>Pass</v>
      </c>
      <c r="K916" s="6">
        <f>IF(Benchmark2[[#This Row],[Comparable '#3 Date Check]]="Pass",INDEX(Comp3[Comparable '#3 Price],MATCH(Benchmark2[[#This Row],[Benchmark '#2 Dates]],Comp3[Comparable '#3 Dates],0)),"-")</f>
        <v>51.75</v>
      </c>
    </row>
    <row r="917" spans="1:11">
      <c r="A917" s="103">
        <v>44614</v>
      </c>
      <c r="B917" s="104">
        <v>16215.6173</v>
      </c>
      <c r="C917" s="4">
        <f t="shared" si="14"/>
        <v>-1.0838318954103594E-2</v>
      </c>
      <c r="D917" s="1" t="str">
        <f>IF(COUNTIF(Target1[Target Dates],Benchmark2[[#This Row],[Benchmark '#2 Dates]])=1,"Pass","Fail")</f>
        <v>Pass</v>
      </c>
      <c r="E917" s="6">
        <f>IF(Benchmark2[[#This Row],[Target Date Check]]="Pass",INDEX(Target1[Target Price],MATCH(Benchmark2[[#This Row],[Benchmark '#2 Dates]],Target1[Target Dates],0)),"-")</f>
        <v>33.11</v>
      </c>
      <c r="F917" s="1" t="str">
        <f>IF(COUNTIF(Comp1[Comparable '#1 Dates],Benchmark2[[#This Row],[Benchmark '#2 Dates]])=1,"Pass","Fail")</f>
        <v>Pass</v>
      </c>
      <c r="G917" s="6">
        <f>IF(Benchmark2[[#This Row],[Comparable '#1 Date Check]]="Pass",INDEX(Comp1[Comparable '#1 Price],MATCH(Benchmark2[[#This Row],[Benchmark '#2 Dates]],Comp1[Comparable '#1 Dates],0)),"-")</f>
        <v>11.95</v>
      </c>
      <c r="H917" s="1" t="str">
        <f>IF(COUNTIF(Comp2[Comparable '#2 Dates],Benchmark2[[#This Row],[Benchmark '#2 Dates]])=1,"Pass","Fail")</f>
        <v>Pass</v>
      </c>
      <c r="I917" s="6">
        <f>IF(Benchmark2[[#This Row],[Comparable '#2 Date Check]]="Pass",INDEX(Comp2[Comparable '#2 Price],MATCH(Benchmark2[[#This Row],[Benchmark '#2 Dates]],Comp2[Comparable '#2 Dates],0)),"-")</f>
        <v>20.43</v>
      </c>
      <c r="J917" s="1" t="str">
        <f>IF(COUNTIF(Comp3[Comparable '#3 Dates],Benchmark2[[#This Row],[Benchmark '#2 Dates]])=1,"Pass","Fail")</f>
        <v>Pass</v>
      </c>
      <c r="K917" s="6">
        <f>IF(Benchmark2[[#This Row],[Comparable '#3 Date Check]]="Pass",INDEX(Comp3[Comparable '#3 Price],MATCH(Benchmark2[[#This Row],[Benchmark '#2 Dates]],Comp3[Comparable '#3 Dates],0)),"-")</f>
        <v>51.67</v>
      </c>
    </row>
    <row r="918" spans="1:11">
      <c r="A918" s="103">
        <v>44615</v>
      </c>
      <c r="B918" s="104">
        <v>16019.5849</v>
      </c>
      <c r="C918" s="4">
        <f t="shared" si="14"/>
        <v>-1.2162778779500071E-2</v>
      </c>
      <c r="D918" s="1" t="str">
        <f>IF(COUNTIF(Target1[Target Dates],Benchmark2[[#This Row],[Benchmark '#2 Dates]])=1,"Pass","Fail")</f>
        <v>Pass</v>
      </c>
      <c r="E918" s="6">
        <f>IF(Benchmark2[[#This Row],[Target Date Check]]="Pass",INDEX(Target1[Target Price],MATCH(Benchmark2[[#This Row],[Benchmark '#2 Dates]],Target1[Target Dates],0)),"-")</f>
        <v>32.86</v>
      </c>
      <c r="F918" s="1" t="str">
        <f>IF(COUNTIF(Comp1[Comparable '#1 Dates],Benchmark2[[#This Row],[Benchmark '#2 Dates]])=1,"Pass","Fail")</f>
        <v>Pass</v>
      </c>
      <c r="G918" s="6">
        <f>IF(Benchmark2[[#This Row],[Comparable '#1 Date Check]]="Pass",INDEX(Comp1[Comparable '#1 Price],MATCH(Benchmark2[[#This Row],[Benchmark '#2 Dates]],Comp1[Comparable '#1 Dates],0)),"-")</f>
        <v>11.92</v>
      </c>
      <c r="H918" s="1" t="str">
        <f>IF(COUNTIF(Comp2[Comparable '#2 Dates],Benchmark2[[#This Row],[Benchmark '#2 Dates]])=1,"Pass","Fail")</f>
        <v>Pass</v>
      </c>
      <c r="I918" s="6">
        <f>IF(Benchmark2[[#This Row],[Comparable '#2 Date Check]]="Pass",INDEX(Comp2[Comparable '#2 Price],MATCH(Benchmark2[[#This Row],[Benchmark '#2 Dates]],Comp2[Comparable '#2 Dates],0)),"-")</f>
        <v>19.739999999999998</v>
      </c>
      <c r="J918" s="1" t="str">
        <f>IF(COUNTIF(Comp3[Comparable '#3 Dates],Benchmark2[[#This Row],[Benchmark '#2 Dates]])=1,"Pass","Fail")</f>
        <v>Pass</v>
      </c>
      <c r="K918" s="6">
        <f>IF(Benchmark2[[#This Row],[Comparable '#3 Date Check]]="Pass",INDEX(Comp3[Comparable '#3 Price],MATCH(Benchmark2[[#This Row],[Benchmark '#2 Dates]],Comp3[Comparable '#3 Dates],0)),"-")</f>
        <v>49.8</v>
      </c>
    </row>
    <row r="919" spans="1:11">
      <c r="A919" s="103">
        <v>44616</v>
      </c>
      <c r="B919" s="104">
        <v>15995.9949</v>
      </c>
      <c r="C919" s="4">
        <f t="shared" si="14"/>
        <v>-1.473657788895337E-3</v>
      </c>
      <c r="D919" s="1" t="str">
        <f>IF(COUNTIF(Target1[Target Dates],Benchmark2[[#This Row],[Benchmark '#2 Dates]])=1,"Pass","Fail")</f>
        <v>Pass</v>
      </c>
      <c r="E919" s="6">
        <f>IF(Benchmark2[[#This Row],[Target Date Check]]="Pass",INDEX(Target1[Target Price],MATCH(Benchmark2[[#This Row],[Benchmark '#2 Dates]],Target1[Target Dates],0)),"-")</f>
        <v>33.380000000000003</v>
      </c>
      <c r="F919" s="1" t="str">
        <f>IF(COUNTIF(Comp1[Comparable '#1 Dates],Benchmark2[[#This Row],[Benchmark '#2 Dates]])=1,"Pass","Fail")</f>
        <v>Pass</v>
      </c>
      <c r="G919" s="6">
        <f>IF(Benchmark2[[#This Row],[Comparable '#1 Date Check]]="Pass",INDEX(Comp1[Comparable '#1 Price],MATCH(Benchmark2[[#This Row],[Benchmark '#2 Dates]],Comp1[Comparable '#1 Dates],0)),"-")</f>
        <v>11.72</v>
      </c>
      <c r="H919" s="1" t="str">
        <f>IF(COUNTIF(Comp2[Comparable '#2 Dates],Benchmark2[[#This Row],[Benchmark '#2 Dates]])=1,"Pass","Fail")</f>
        <v>Pass</v>
      </c>
      <c r="I919" s="6">
        <f>IF(Benchmark2[[#This Row],[Comparable '#2 Date Check]]="Pass",INDEX(Comp2[Comparable '#2 Price],MATCH(Benchmark2[[#This Row],[Benchmark '#2 Dates]],Comp2[Comparable '#2 Dates],0)),"-")</f>
        <v>20.12</v>
      </c>
      <c r="J919" s="1" t="str">
        <f>IF(COUNTIF(Comp3[Comparable '#3 Dates],Benchmark2[[#This Row],[Benchmark '#2 Dates]])=1,"Pass","Fail")</f>
        <v>Pass</v>
      </c>
      <c r="K919" s="6">
        <f>IF(Benchmark2[[#This Row],[Comparable '#3 Date Check]]="Pass",INDEX(Comp3[Comparable '#3 Price],MATCH(Benchmark2[[#This Row],[Benchmark '#2 Dates]],Comp3[Comparable '#3 Dates],0)),"-")</f>
        <v>50.05</v>
      </c>
    </row>
    <row r="920" spans="1:11">
      <c r="A920" s="103">
        <v>44617</v>
      </c>
      <c r="B920" s="104">
        <v>16427.955699999999</v>
      </c>
      <c r="C920" s="4">
        <f t="shared" si="14"/>
        <v>2.6646127320328141E-2</v>
      </c>
      <c r="D920" s="1" t="str">
        <f>IF(COUNTIF(Target1[Target Dates],Benchmark2[[#This Row],[Benchmark '#2 Dates]])=1,"Pass","Fail")</f>
        <v>Pass</v>
      </c>
      <c r="E920" s="6">
        <f>IF(Benchmark2[[#This Row],[Target Date Check]]="Pass",INDEX(Target1[Target Price],MATCH(Benchmark2[[#This Row],[Benchmark '#2 Dates]],Target1[Target Dates],0)),"-")</f>
        <v>34.72</v>
      </c>
      <c r="F920" s="1" t="str">
        <f>IF(COUNTIF(Comp1[Comparable '#1 Dates],Benchmark2[[#This Row],[Benchmark '#2 Dates]])=1,"Pass","Fail")</f>
        <v>Pass</v>
      </c>
      <c r="G920" s="6">
        <f>IF(Benchmark2[[#This Row],[Comparable '#1 Date Check]]="Pass",INDEX(Comp1[Comparable '#1 Price],MATCH(Benchmark2[[#This Row],[Benchmark '#2 Dates]],Comp1[Comparable '#1 Dates],0)),"-")</f>
        <v>11.34</v>
      </c>
      <c r="H920" s="1" t="str">
        <f>IF(COUNTIF(Comp2[Comparable '#2 Dates],Benchmark2[[#This Row],[Benchmark '#2 Dates]])=1,"Pass","Fail")</f>
        <v>Pass</v>
      </c>
      <c r="I920" s="6">
        <f>IF(Benchmark2[[#This Row],[Comparable '#2 Date Check]]="Pass",INDEX(Comp2[Comparable '#2 Price],MATCH(Benchmark2[[#This Row],[Benchmark '#2 Dates]],Comp2[Comparable '#2 Dates],0)),"-")</f>
        <v>20.77</v>
      </c>
      <c r="J920" s="1" t="str">
        <f>IF(COUNTIF(Comp3[Comparable '#3 Dates],Benchmark2[[#This Row],[Benchmark '#2 Dates]])=1,"Pass","Fail")</f>
        <v>Pass</v>
      </c>
      <c r="K920" s="6">
        <f>IF(Benchmark2[[#This Row],[Comparable '#3 Date Check]]="Pass",INDEX(Comp3[Comparable '#3 Price],MATCH(Benchmark2[[#This Row],[Benchmark '#2 Dates]],Comp3[Comparable '#3 Dates],0)),"-")</f>
        <v>60.74</v>
      </c>
    </row>
    <row r="921" spans="1:11">
      <c r="A921" s="103">
        <v>44620</v>
      </c>
      <c r="B921" s="104">
        <v>16313.8932</v>
      </c>
      <c r="C921" s="4">
        <f t="shared" si="14"/>
        <v>-6.9674111426391884E-3</v>
      </c>
      <c r="D921" s="1" t="str">
        <f>IF(COUNTIF(Target1[Target Dates],Benchmark2[[#This Row],[Benchmark '#2 Dates]])=1,"Pass","Fail")</f>
        <v>Pass</v>
      </c>
      <c r="E921" s="6">
        <f>IF(Benchmark2[[#This Row],[Target Date Check]]="Pass",INDEX(Target1[Target Price],MATCH(Benchmark2[[#This Row],[Benchmark '#2 Dates]],Target1[Target Dates],0)),"-")</f>
        <v>33.58</v>
      </c>
      <c r="F921" s="1" t="str">
        <f>IF(COUNTIF(Comp1[Comparable '#1 Dates],Benchmark2[[#This Row],[Benchmark '#2 Dates]])=1,"Pass","Fail")</f>
        <v>Pass</v>
      </c>
      <c r="G921" s="6">
        <f>IF(Benchmark2[[#This Row],[Comparable '#1 Date Check]]="Pass",INDEX(Comp1[Comparable '#1 Price],MATCH(Benchmark2[[#This Row],[Benchmark '#2 Dates]],Comp1[Comparable '#1 Dates],0)),"-")</f>
        <v>10.84</v>
      </c>
      <c r="H921" s="1" t="str">
        <f>IF(COUNTIF(Comp2[Comparable '#2 Dates],Benchmark2[[#This Row],[Benchmark '#2 Dates]])=1,"Pass","Fail")</f>
        <v>Pass</v>
      </c>
      <c r="I921" s="6">
        <f>IF(Benchmark2[[#This Row],[Comparable '#2 Date Check]]="Pass",INDEX(Comp2[Comparable '#2 Price],MATCH(Benchmark2[[#This Row],[Benchmark '#2 Dates]],Comp2[Comparable '#2 Dates],0)),"-")</f>
        <v>20.78</v>
      </c>
      <c r="J921" s="1" t="str">
        <f>IF(COUNTIF(Comp3[Comparable '#3 Dates],Benchmark2[[#This Row],[Benchmark '#2 Dates]])=1,"Pass","Fail")</f>
        <v>Pass</v>
      </c>
      <c r="K921" s="6">
        <f>IF(Benchmark2[[#This Row],[Comparable '#3 Date Check]]="Pass",INDEX(Comp3[Comparable '#3 Price],MATCH(Benchmark2[[#This Row],[Benchmark '#2 Dates]],Comp3[Comparable '#3 Dates],0)),"-")</f>
        <v>59.02</v>
      </c>
    </row>
    <row r="922" spans="1:11">
      <c r="A922" s="103">
        <v>44621</v>
      </c>
      <c r="B922" s="104">
        <v>16069.159799999999</v>
      </c>
      <c r="C922" s="4">
        <f t="shared" si="14"/>
        <v>-1.5115193708481047E-2</v>
      </c>
      <c r="D922" s="1" t="str">
        <f>IF(COUNTIF(Target1[Target Dates],Benchmark2[[#This Row],[Benchmark '#2 Dates]])=1,"Pass","Fail")</f>
        <v>Pass</v>
      </c>
      <c r="E922" s="6">
        <f>IF(Benchmark2[[#This Row],[Target Date Check]]="Pass",INDEX(Target1[Target Price],MATCH(Benchmark2[[#This Row],[Benchmark '#2 Dates]],Target1[Target Dates],0)),"-")</f>
        <v>33.619999999999997</v>
      </c>
      <c r="F922" s="1" t="str">
        <f>IF(COUNTIF(Comp1[Comparable '#1 Dates],Benchmark2[[#This Row],[Benchmark '#2 Dates]])=1,"Pass","Fail")</f>
        <v>Pass</v>
      </c>
      <c r="G922" s="6">
        <f>IF(Benchmark2[[#This Row],[Comparable '#1 Date Check]]="Pass",INDEX(Comp1[Comparable '#1 Price],MATCH(Benchmark2[[#This Row],[Benchmark '#2 Dates]],Comp1[Comparable '#1 Dates],0)),"-")</f>
        <v>11.34</v>
      </c>
      <c r="H922" s="1" t="str">
        <f>IF(COUNTIF(Comp2[Comparable '#2 Dates],Benchmark2[[#This Row],[Benchmark '#2 Dates]])=1,"Pass","Fail")</f>
        <v>Pass</v>
      </c>
      <c r="I922" s="6">
        <f>IF(Benchmark2[[#This Row],[Comparable '#2 Date Check]]="Pass",INDEX(Comp2[Comparable '#2 Price],MATCH(Benchmark2[[#This Row],[Benchmark '#2 Dates]],Comp2[Comparable '#2 Dates],0)),"-")</f>
        <v>22.43</v>
      </c>
      <c r="J922" s="1" t="str">
        <f>IF(COUNTIF(Comp3[Comparable '#3 Dates],Benchmark2[[#This Row],[Benchmark '#2 Dates]])=1,"Pass","Fail")</f>
        <v>Pass</v>
      </c>
      <c r="K922" s="6">
        <f>IF(Benchmark2[[#This Row],[Comparable '#3 Date Check]]="Pass",INDEX(Comp3[Comparable '#3 Price],MATCH(Benchmark2[[#This Row],[Benchmark '#2 Dates]],Comp3[Comparable '#3 Dates],0)),"-")</f>
        <v>58.9</v>
      </c>
    </row>
    <row r="923" spans="1:11">
      <c r="A923" s="103">
        <v>44622</v>
      </c>
      <c r="B923" s="104">
        <v>16380.9133</v>
      </c>
      <c r="C923" s="4">
        <f t="shared" si="14"/>
        <v>1.9214939267294041E-2</v>
      </c>
      <c r="D923" s="1" t="str">
        <f>IF(COUNTIF(Target1[Target Dates],Benchmark2[[#This Row],[Benchmark '#2 Dates]])=1,"Pass","Fail")</f>
        <v>Pass</v>
      </c>
      <c r="E923" s="6">
        <f>IF(Benchmark2[[#This Row],[Target Date Check]]="Pass",INDEX(Target1[Target Price],MATCH(Benchmark2[[#This Row],[Benchmark '#2 Dates]],Target1[Target Dates],0)),"-")</f>
        <v>33.89</v>
      </c>
      <c r="F923" s="1" t="str">
        <f>IF(COUNTIF(Comp1[Comparable '#1 Dates],Benchmark2[[#This Row],[Benchmark '#2 Dates]])=1,"Pass","Fail")</f>
        <v>Pass</v>
      </c>
      <c r="G923" s="6">
        <f>IF(Benchmark2[[#This Row],[Comparable '#1 Date Check]]="Pass",INDEX(Comp1[Comparable '#1 Price],MATCH(Benchmark2[[#This Row],[Benchmark '#2 Dates]],Comp1[Comparable '#1 Dates],0)),"-")</f>
        <v>11.34</v>
      </c>
      <c r="H923" s="1" t="str">
        <f>IF(COUNTIF(Comp2[Comparable '#2 Dates],Benchmark2[[#This Row],[Benchmark '#2 Dates]])=1,"Pass","Fail")</f>
        <v>Pass</v>
      </c>
      <c r="I923" s="6">
        <f>IF(Benchmark2[[#This Row],[Comparable '#2 Date Check]]="Pass",INDEX(Comp2[Comparable '#2 Price],MATCH(Benchmark2[[#This Row],[Benchmark '#2 Dates]],Comp2[Comparable '#2 Dates],0)),"-")</f>
        <v>23.09</v>
      </c>
      <c r="J923" s="1" t="str">
        <f>IF(COUNTIF(Comp3[Comparable '#3 Dates],Benchmark2[[#This Row],[Benchmark '#2 Dates]])=1,"Pass","Fail")</f>
        <v>Pass</v>
      </c>
      <c r="K923" s="6">
        <f>IF(Benchmark2[[#This Row],[Comparable '#3 Date Check]]="Pass",INDEX(Comp3[Comparable '#3 Price],MATCH(Benchmark2[[#This Row],[Benchmark '#2 Dates]],Comp3[Comparable '#3 Dates],0)),"-")</f>
        <v>60.45</v>
      </c>
    </row>
    <row r="924" spans="1:11">
      <c r="A924" s="103">
        <v>44623</v>
      </c>
      <c r="B924" s="104">
        <v>16287.4931</v>
      </c>
      <c r="C924" s="4">
        <f t="shared" si="14"/>
        <v>-5.719315078200715E-3</v>
      </c>
      <c r="D924" s="1" t="str">
        <f>IF(COUNTIF(Target1[Target Dates],Benchmark2[[#This Row],[Benchmark '#2 Dates]])=1,"Pass","Fail")</f>
        <v>Pass</v>
      </c>
      <c r="E924" s="6">
        <f>IF(Benchmark2[[#This Row],[Target Date Check]]="Pass",INDEX(Target1[Target Price],MATCH(Benchmark2[[#This Row],[Benchmark '#2 Dates]],Target1[Target Dates],0)),"-")</f>
        <v>33.04</v>
      </c>
      <c r="F924" s="1" t="str">
        <f>IF(COUNTIF(Comp1[Comparable '#1 Dates],Benchmark2[[#This Row],[Benchmark '#2 Dates]])=1,"Pass","Fail")</f>
        <v>Pass</v>
      </c>
      <c r="G924" s="6">
        <f>IF(Benchmark2[[#This Row],[Comparable '#1 Date Check]]="Pass",INDEX(Comp1[Comparable '#1 Price],MATCH(Benchmark2[[#This Row],[Benchmark '#2 Dates]],Comp1[Comparable '#1 Dates],0)),"-")</f>
        <v>11.45</v>
      </c>
      <c r="H924" s="1" t="str">
        <f>IF(COUNTIF(Comp2[Comparable '#2 Dates],Benchmark2[[#This Row],[Benchmark '#2 Dates]])=1,"Pass","Fail")</f>
        <v>Pass</v>
      </c>
      <c r="I924" s="6">
        <f>IF(Benchmark2[[#This Row],[Comparable '#2 Date Check]]="Pass",INDEX(Comp2[Comparable '#2 Price],MATCH(Benchmark2[[#This Row],[Benchmark '#2 Dates]],Comp2[Comparable '#2 Dates],0)),"-")</f>
        <v>22.75</v>
      </c>
      <c r="J924" s="1" t="str">
        <f>IF(COUNTIF(Comp3[Comparable '#3 Dates],Benchmark2[[#This Row],[Benchmark '#2 Dates]])=1,"Pass","Fail")</f>
        <v>Pass</v>
      </c>
      <c r="K924" s="6">
        <f>IF(Benchmark2[[#This Row],[Comparable '#3 Date Check]]="Pass",INDEX(Comp3[Comparable '#3 Price],MATCH(Benchmark2[[#This Row],[Benchmark '#2 Dates]],Comp3[Comparable '#3 Dates],0)),"-")</f>
        <v>58.8</v>
      </c>
    </row>
    <row r="925" spans="1:11">
      <c r="A925" s="103">
        <v>44624</v>
      </c>
      <c r="B925" s="104">
        <v>16129.6639</v>
      </c>
      <c r="C925" s="4">
        <f t="shared" si="14"/>
        <v>-9.7374638428725686E-3</v>
      </c>
      <c r="D925" s="1" t="str">
        <f>IF(COUNTIF(Target1[Target Dates],Benchmark2[[#This Row],[Benchmark '#2 Dates]])=1,"Pass","Fail")</f>
        <v>Pass</v>
      </c>
      <c r="E925" s="6">
        <f>IF(Benchmark2[[#This Row],[Target Date Check]]="Pass",INDEX(Target1[Target Price],MATCH(Benchmark2[[#This Row],[Benchmark '#2 Dates]],Target1[Target Dates],0)),"-")</f>
        <v>32.39</v>
      </c>
      <c r="F925" s="1" t="str">
        <f>IF(COUNTIF(Comp1[Comparable '#1 Dates],Benchmark2[[#This Row],[Benchmark '#2 Dates]])=1,"Pass","Fail")</f>
        <v>Pass</v>
      </c>
      <c r="G925" s="6">
        <f>IF(Benchmark2[[#This Row],[Comparable '#1 Date Check]]="Pass",INDEX(Comp1[Comparable '#1 Price],MATCH(Benchmark2[[#This Row],[Benchmark '#2 Dates]],Comp1[Comparable '#1 Dates],0)),"-")</f>
        <v>11.36</v>
      </c>
      <c r="H925" s="1" t="str">
        <f>IF(COUNTIF(Comp2[Comparable '#2 Dates],Benchmark2[[#This Row],[Benchmark '#2 Dates]])=1,"Pass","Fail")</f>
        <v>Pass</v>
      </c>
      <c r="I925" s="6">
        <f>IF(Benchmark2[[#This Row],[Comparable '#2 Date Check]]="Pass",INDEX(Comp2[Comparable '#2 Price],MATCH(Benchmark2[[#This Row],[Benchmark '#2 Dates]],Comp2[Comparable '#2 Dates],0)),"-")</f>
        <v>22.54</v>
      </c>
      <c r="J925" s="1" t="str">
        <f>IF(COUNTIF(Comp3[Comparable '#3 Dates],Benchmark2[[#This Row],[Benchmark '#2 Dates]])=1,"Pass","Fail")</f>
        <v>Pass</v>
      </c>
      <c r="K925" s="6">
        <f>IF(Benchmark2[[#This Row],[Comparable '#3 Date Check]]="Pass",INDEX(Comp3[Comparable '#3 Price],MATCH(Benchmark2[[#This Row],[Benchmark '#2 Dates]],Comp3[Comparable '#3 Dates],0)),"-")</f>
        <v>58.28</v>
      </c>
    </row>
    <row r="926" spans="1:11">
      <c r="A926" s="103">
        <v>44627</v>
      </c>
      <c r="B926" s="104">
        <v>15708.232</v>
      </c>
      <c r="C926" s="4">
        <f t="shared" si="14"/>
        <v>-2.6475148819366384E-2</v>
      </c>
      <c r="D926" s="1" t="str">
        <f>IF(COUNTIF(Target1[Target Dates],Benchmark2[[#This Row],[Benchmark '#2 Dates]])=1,"Pass","Fail")</f>
        <v>Pass</v>
      </c>
      <c r="E926" s="6">
        <f>IF(Benchmark2[[#This Row],[Target Date Check]]="Pass",INDEX(Target1[Target Price],MATCH(Benchmark2[[#This Row],[Benchmark '#2 Dates]],Target1[Target Dates],0)),"-")</f>
        <v>31.43</v>
      </c>
      <c r="F926" s="1" t="str">
        <f>IF(COUNTIF(Comp1[Comparable '#1 Dates],Benchmark2[[#This Row],[Benchmark '#2 Dates]])=1,"Pass","Fail")</f>
        <v>Pass</v>
      </c>
      <c r="G926" s="6">
        <f>IF(Benchmark2[[#This Row],[Comparable '#1 Date Check]]="Pass",INDEX(Comp1[Comparable '#1 Price],MATCH(Benchmark2[[#This Row],[Benchmark '#2 Dates]],Comp1[Comparable '#1 Dates],0)),"-")</f>
        <v>11.58</v>
      </c>
      <c r="H926" s="1" t="str">
        <f>IF(COUNTIF(Comp2[Comparable '#2 Dates],Benchmark2[[#This Row],[Benchmark '#2 Dates]])=1,"Pass","Fail")</f>
        <v>Pass</v>
      </c>
      <c r="I926" s="6">
        <f>IF(Benchmark2[[#This Row],[Comparable '#2 Date Check]]="Pass",INDEX(Comp2[Comparable '#2 Price],MATCH(Benchmark2[[#This Row],[Benchmark '#2 Dates]],Comp2[Comparable '#2 Dates],0)),"-")</f>
        <v>22.86</v>
      </c>
      <c r="J926" s="1" t="str">
        <f>IF(COUNTIF(Comp3[Comparable '#3 Dates],Benchmark2[[#This Row],[Benchmark '#2 Dates]])=1,"Pass","Fail")</f>
        <v>Pass</v>
      </c>
      <c r="K926" s="6">
        <f>IF(Benchmark2[[#This Row],[Comparable '#3 Date Check]]="Pass",INDEX(Comp3[Comparable '#3 Price],MATCH(Benchmark2[[#This Row],[Benchmark '#2 Dates]],Comp3[Comparable '#3 Dates],0)),"-")</f>
        <v>57.29</v>
      </c>
    </row>
    <row r="927" spans="1:11">
      <c r="A927" s="103">
        <v>44628</v>
      </c>
      <c r="B927" s="104">
        <v>15625.930399999999</v>
      </c>
      <c r="C927" s="4">
        <f t="shared" si="14"/>
        <v>-5.2531667011796223E-3</v>
      </c>
      <c r="D927" s="1" t="str">
        <f>IF(COUNTIF(Target1[Target Dates],Benchmark2[[#This Row],[Benchmark '#2 Dates]])=1,"Pass","Fail")</f>
        <v>Pass</v>
      </c>
      <c r="E927" s="6">
        <f>IF(Benchmark2[[#This Row],[Target Date Check]]="Pass",INDEX(Target1[Target Price],MATCH(Benchmark2[[#This Row],[Benchmark '#2 Dates]],Target1[Target Dates],0)),"-")</f>
        <v>31.86</v>
      </c>
      <c r="F927" s="1" t="str">
        <f>IF(COUNTIF(Comp1[Comparable '#1 Dates],Benchmark2[[#This Row],[Benchmark '#2 Dates]])=1,"Pass","Fail")</f>
        <v>Pass</v>
      </c>
      <c r="G927" s="6">
        <f>IF(Benchmark2[[#This Row],[Comparable '#1 Date Check]]="Pass",INDEX(Comp1[Comparable '#1 Price],MATCH(Benchmark2[[#This Row],[Benchmark '#2 Dates]],Comp1[Comparable '#1 Dates],0)),"-")</f>
        <v>11.77</v>
      </c>
      <c r="H927" s="1" t="str">
        <f>IF(COUNTIF(Comp2[Comparable '#2 Dates],Benchmark2[[#This Row],[Benchmark '#2 Dates]])=1,"Pass","Fail")</f>
        <v>Pass</v>
      </c>
      <c r="I927" s="6">
        <f>IF(Benchmark2[[#This Row],[Comparable '#2 Date Check]]="Pass",INDEX(Comp2[Comparable '#2 Price],MATCH(Benchmark2[[#This Row],[Benchmark '#2 Dates]],Comp2[Comparable '#2 Dates],0)),"-")</f>
        <v>23.39</v>
      </c>
      <c r="J927" s="1" t="str">
        <f>IF(COUNTIF(Comp3[Comparable '#3 Dates],Benchmark2[[#This Row],[Benchmark '#2 Dates]])=1,"Pass","Fail")</f>
        <v>Pass</v>
      </c>
      <c r="K927" s="6">
        <f>IF(Benchmark2[[#This Row],[Comparable '#3 Date Check]]="Pass",INDEX(Comp3[Comparable '#3 Price],MATCH(Benchmark2[[#This Row],[Benchmark '#2 Dates]],Comp3[Comparable '#3 Dates],0)),"-")</f>
        <v>56.56</v>
      </c>
    </row>
    <row r="928" spans="1:11">
      <c r="A928" s="103">
        <v>44629</v>
      </c>
      <c r="B928" s="104">
        <v>15977.541999999999</v>
      </c>
      <c r="C928" s="4">
        <f t="shared" si="14"/>
        <v>2.2252371785753088E-2</v>
      </c>
      <c r="D928" s="1" t="str">
        <f>IF(COUNTIF(Target1[Target Dates],Benchmark2[[#This Row],[Benchmark '#2 Dates]])=1,"Pass","Fail")</f>
        <v>Pass</v>
      </c>
      <c r="E928" s="6">
        <f>IF(Benchmark2[[#This Row],[Target Date Check]]="Pass",INDEX(Target1[Target Price],MATCH(Benchmark2[[#This Row],[Benchmark '#2 Dates]],Target1[Target Dates],0)),"-")</f>
        <v>32.4</v>
      </c>
      <c r="F928" s="1" t="str">
        <f>IF(COUNTIF(Comp1[Comparable '#1 Dates],Benchmark2[[#This Row],[Benchmark '#2 Dates]])=1,"Pass","Fail")</f>
        <v>Pass</v>
      </c>
      <c r="G928" s="6">
        <f>IF(Benchmark2[[#This Row],[Comparable '#1 Date Check]]="Pass",INDEX(Comp1[Comparable '#1 Price],MATCH(Benchmark2[[#This Row],[Benchmark '#2 Dates]],Comp1[Comparable '#1 Dates],0)),"-")</f>
        <v>11.95</v>
      </c>
      <c r="H928" s="1" t="str">
        <f>IF(COUNTIF(Comp2[Comparable '#2 Dates],Benchmark2[[#This Row],[Benchmark '#2 Dates]])=1,"Pass","Fail")</f>
        <v>Pass</v>
      </c>
      <c r="I928" s="6">
        <f>IF(Benchmark2[[#This Row],[Comparable '#2 Date Check]]="Pass",INDEX(Comp2[Comparable '#2 Price],MATCH(Benchmark2[[#This Row],[Benchmark '#2 Dates]],Comp2[Comparable '#2 Dates],0)),"-")</f>
        <v>23.9</v>
      </c>
      <c r="J928" s="1" t="str">
        <f>IF(COUNTIF(Comp3[Comparable '#3 Dates],Benchmark2[[#This Row],[Benchmark '#2 Dates]])=1,"Pass","Fail")</f>
        <v>Pass</v>
      </c>
      <c r="K928" s="6">
        <f>IF(Benchmark2[[#This Row],[Comparable '#3 Date Check]]="Pass",INDEX(Comp3[Comparable '#3 Price],MATCH(Benchmark2[[#This Row],[Benchmark '#2 Dates]],Comp3[Comparable '#3 Dates],0)),"-")</f>
        <v>57.12</v>
      </c>
    </row>
    <row r="929" spans="1:11">
      <c r="A929" s="103">
        <v>44630</v>
      </c>
      <c r="B929" s="104">
        <v>15929.560799999999</v>
      </c>
      <c r="C929" s="4">
        <f t="shared" si="14"/>
        <v>-3.0075583150377234E-3</v>
      </c>
      <c r="D929" s="1" t="str">
        <f>IF(COUNTIF(Target1[Target Dates],Benchmark2[[#This Row],[Benchmark '#2 Dates]])=1,"Pass","Fail")</f>
        <v>Pass</v>
      </c>
      <c r="E929" s="6">
        <f>IF(Benchmark2[[#This Row],[Target Date Check]]="Pass",INDEX(Target1[Target Price],MATCH(Benchmark2[[#This Row],[Benchmark '#2 Dates]],Target1[Target Dates],0)),"-")</f>
        <v>32.75</v>
      </c>
      <c r="F929" s="1" t="str">
        <f>IF(COUNTIF(Comp1[Comparable '#1 Dates],Benchmark2[[#This Row],[Benchmark '#2 Dates]])=1,"Pass","Fail")</f>
        <v>Pass</v>
      </c>
      <c r="G929" s="6">
        <f>IF(Benchmark2[[#This Row],[Comparable '#1 Date Check]]="Pass",INDEX(Comp1[Comparable '#1 Price],MATCH(Benchmark2[[#This Row],[Benchmark '#2 Dates]],Comp1[Comparable '#1 Dates],0)),"-")</f>
        <v>12.16</v>
      </c>
      <c r="H929" s="1" t="str">
        <f>IF(COUNTIF(Comp2[Comparable '#2 Dates],Benchmark2[[#This Row],[Benchmark '#2 Dates]])=1,"Pass","Fail")</f>
        <v>Pass</v>
      </c>
      <c r="I929" s="6">
        <f>IF(Benchmark2[[#This Row],[Comparable '#2 Date Check]]="Pass",INDEX(Comp2[Comparable '#2 Price],MATCH(Benchmark2[[#This Row],[Benchmark '#2 Dates]],Comp2[Comparable '#2 Dates],0)),"-")</f>
        <v>24.01</v>
      </c>
      <c r="J929" s="1" t="str">
        <f>IF(COUNTIF(Comp3[Comparable '#3 Dates],Benchmark2[[#This Row],[Benchmark '#2 Dates]])=1,"Pass","Fail")</f>
        <v>Pass</v>
      </c>
      <c r="K929" s="6">
        <f>IF(Benchmark2[[#This Row],[Comparable '#3 Date Check]]="Pass",INDEX(Comp3[Comparable '#3 Price],MATCH(Benchmark2[[#This Row],[Benchmark '#2 Dates]],Comp3[Comparable '#3 Dates],0)),"-")</f>
        <v>58.53</v>
      </c>
    </row>
    <row r="930" spans="1:11">
      <c r="A930" s="103">
        <v>44631</v>
      </c>
      <c r="B930" s="104">
        <v>15753.7032</v>
      </c>
      <c r="C930" s="4">
        <f t="shared" si="14"/>
        <v>-1.1101091476516587E-2</v>
      </c>
      <c r="D930" s="1" t="str">
        <f>IF(COUNTIF(Target1[Target Dates],Benchmark2[[#This Row],[Benchmark '#2 Dates]])=1,"Pass","Fail")</f>
        <v>Pass</v>
      </c>
      <c r="E930" s="6">
        <f>IF(Benchmark2[[#This Row],[Target Date Check]]="Pass",INDEX(Target1[Target Price],MATCH(Benchmark2[[#This Row],[Benchmark '#2 Dates]],Target1[Target Dates],0)),"-")</f>
        <v>32.29</v>
      </c>
      <c r="F930" s="1" t="str">
        <f>IF(COUNTIF(Comp1[Comparable '#1 Dates],Benchmark2[[#This Row],[Benchmark '#2 Dates]])=1,"Pass","Fail")</f>
        <v>Pass</v>
      </c>
      <c r="G930" s="6">
        <f>IF(Benchmark2[[#This Row],[Comparable '#1 Date Check]]="Pass",INDEX(Comp1[Comparable '#1 Price],MATCH(Benchmark2[[#This Row],[Benchmark '#2 Dates]],Comp1[Comparable '#1 Dates],0)),"-")</f>
        <v>12.15</v>
      </c>
      <c r="H930" s="1" t="str">
        <f>IF(COUNTIF(Comp2[Comparable '#2 Dates],Benchmark2[[#This Row],[Benchmark '#2 Dates]])=1,"Pass","Fail")</f>
        <v>Pass</v>
      </c>
      <c r="I930" s="6">
        <f>IF(Benchmark2[[#This Row],[Comparable '#2 Date Check]]="Pass",INDEX(Comp2[Comparable '#2 Price],MATCH(Benchmark2[[#This Row],[Benchmark '#2 Dates]],Comp2[Comparable '#2 Dates],0)),"-")</f>
        <v>24.15</v>
      </c>
      <c r="J930" s="1" t="str">
        <f>IF(COUNTIF(Comp3[Comparable '#3 Dates],Benchmark2[[#This Row],[Benchmark '#2 Dates]])=1,"Pass","Fail")</f>
        <v>Pass</v>
      </c>
      <c r="K930" s="6">
        <f>IF(Benchmark2[[#This Row],[Comparable '#3 Date Check]]="Pass",INDEX(Comp3[Comparable '#3 Price],MATCH(Benchmark2[[#This Row],[Benchmark '#2 Dates]],Comp3[Comparable '#3 Dates],0)),"-")</f>
        <v>59.29</v>
      </c>
    </row>
    <row r="931" spans="1:11">
      <c r="A931" s="103">
        <v>44634</v>
      </c>
      <c r="B931" s="104">
        <v>15694.350200000001</v>
      </c>
      <c r="C931" s="4">
        <f t="shared" si="14"/>
        <v>-3.7746737273461014E-3</v>
      </c>
      <c r="D931" s="1" t="str">
        <f>IF(COUNTIF(Target1[Target Dates],Benchmark2[[#This Row],[Benchmark '#2 Dates]])=1,"Pass","Fail")</f>
        <v>Pass</v>
      </c>
      <c r="E931" s="6">
        <f>IF(Benchmark2[[#This Row],[Target Date Check]]="Pass",INDEX(Target1[Target Price],MATCH(Benchmark2[[#This Row],[Benchmark '#2 Dates]],Target1[Target Dates],0)),"-")</f>
        <v>32.01</v>
      </c>
      <c r="F931" s="1" t="str">
        <f>IF(COUNTIF(Comp1[Comparable '#1 Dates],Benchmark2[[#This Row],[Benchmark '#2 Dates]])=1,"Pass","Fail")</f>
        <v>Pass</v>
      </c>
      <c r="G931" s="6">
        <f>IF(Benchmark2[[#This Row],[Comparable '#1 Date Check]]="Pass",INDEX(Comp1[Comparable '#1 Price],MATCH(Benchmark2[[#This Row],[Benchmark '#2 Dates]],Comp1[Comparable '#1 Dates],0)),"-")</f>
        <v>11.98</v>
      </c>
      <c r="H931" s="1" t="str">
        <f>IF(COUNTIF(Comp2[Comparable '#2 Dates],Benchmark2[[#This Row],[Benchmark '#2 Dates]])=1,"Pass","Fail")</f>
        <v>Pass</v>
      </c>
      <c r="I931" s="6">
        <f>IF(Benchmark2[[#This Row],[Comparable '#2 Date Check]]="Pass",INDEX(Comp2[Comparable '#2 Price],MATCH(Benchmark2[[#This Row],[Benchmark '#2 Dates]],Comp2[Comparable '#2 Dates],0)),"-")</f>
        <v>25.48</v>
      </c>
      <c r="J931" s="1" t="str">
        <f>IF(COUNTIF(Comp3[Comparable '#3 Dates],Benchmark2[[#This Row],[Benchmark '#2 Dates]])=1,"Pass","Fail")</f>
        <v>Pass</v>
      </c>
      <c r="K931" s="6">
        <f>IF(Benchmark2[[#This Row],[Comparable '#3 Date Check]]="Pass",INDEX(Comp3[Comparable '#3 Price],MATCH(Benchmark2[[#This Row],[Benchmark '#2 Dates]],Comp3[Comparable '#3 Dates],0)),"-")</f>
        <v>58.41</v>
      </c>
    </row>
    <row r="932" spans="1:11">
      <c r="A932" s="103">
        <v>44635</v>
      </c>
      <c r="B932" s="104">
        <v>15895.668799999999</v>
      </c>
      <c r="C932" s="4">
        <f t="shared" si="14"/>
        <v>1.2745881885609222E-2</v>
      </c>
      <c r="D932" s="1" t="str">
        <f>IF(COUNTIF(Target1[Target Dates],Benchmark2[[#This Row],[Benchmark '#2 Dates]])=1,"Pass","Fail")</f>
        <v>Pass</v>
      </c>
      <c r="E932" s="6">
        <f>IF(Benchmark2[[#This Row],[Target Date Check]]="Pass",INDEX(Target1[Target Price],MATCH(Benchmark2[[#This Row],[Benchmark '#2 Dates]],Target1[Target Dates],0)),"-")</f>
        <v>32.53</v>
      </c>
      <c r="F932" s="1" t="str">
        <f>IF(COUNTIF(Comp1[Comparable '#1 Dates],Benchmark2[[#This Row],[Benchmark '#2 Dates]])=1,"Pass","Fail")</f>
        <v>Pass</v>
      </c>
      <c r="G932" s="6">
        <f>IF(Benchmark2[[#This Row],[Comparable '#1 Date Check]]="Pass",INDEX(Comp1[Comparable '#1 Price],MATCH(Benchmark2[[#This Row],[Benchmark '#2 Dates]],Comp1[Comparable '#1 Dates],0)),"-")</f>
        <v>12.68</v>
      </c>
      <c r="H932" s="1" t="str">
        <f>IF(COUNTIF(Comp2[Comparable '#2 Dates],Benchmark2[[#This Row],[Benchmark '#2 Dates]])=1,"Pass","Fail")</f>
        <v>Pass</v>
      </c>
      <c r="I932" s="6">
        <f>IF(Benchmark2[[#This Row],[Comparable '#2 Date Check]]="Pass",INDEX(Comp2[Comparable '#2 Price],MATCH(Benchmark2[[#This Row],[Benchmark '#2 Dates]],Comp2[Comparable '#2 Dates],0)),"-")</f>
        <v>26.85</v>
      </c>
      <c r="J932" s="1" t="str">
        <f>IF(COUNTIF(Comp3[Comparable '#3 Dates],Benchmark2[[#This Row],[Benchmark '#2 Dates]])=1,"Pass","Fail")</f>
        <v>Pass</v>
      </c>
      <c r="K932" s="6">
        <f>IF(Benchmark2[[#This Row],[Comparable '#3 Date Check]]="Pass",INDEX(Comp3[Comparable '#3 Price],MATCH(Benchmark2[[#This Row],[Benchmark '#2 Dates]],Comp3[Comparable '#3 Dates],0)),"-")</f>
        <v>61.47</v>
      </c>
    </row>
    <row r="933" spans="1:11">
      <c r="A933" s="103">
        <v>44636</v>
      </c>
      <c r="B933" s="104">
        <v>16261.499900000001</v>
      </c>
      <c r="C933" s="4">
        <f t="shared" si="14"/>
        <v>2.2753675035666696E-2</v>
      </c>
      <c r="D933" s="1" t="str">
        <f>IF(COUNTIF(Target1[Target Dates],Benchmark2[[#This Row],[Benchmark '#2 Dates]])=1,"Pass","Fail")</f>
        <v>Pass</v>
      </c>
      <c r="E933" s="6">
        <f>IF(Benchmark2[[#This Row],[Target Date Check]]="Pass",INDEX(Target1[Target Price],MATCH(Benchmark2[[#This Row],[Benchmark '#2 Dates]],Target1[Target Dates],0)),"-")</f>
        <v>33.869999999999997</v>
      </c>
      <c r="F933" s="1" t="str">
        <f>IF(COUNTIF(Comp1[Comparable '#1 Dates],Benchmark2[[#This Row],[Benchmark '#2 Dates]])=1,"Pass","Fail")</f>
        <v>Pass</v>
      </c>
      <c r="G933" s="6">
        <f>IF(Benchmark2[[#This Row],[Comparable '#1 Date Check]]="Pass",INDEX(Comp1[Comparable '#1 Price],MATCH(Benchmark2[[#This Row],[Benchmark '#2 Dates]],Comp1[Comparable '#1 Dates],0)),"-")</f>
        <v>12.68</v>
      </c>
      <c r="H933" s="1" t="str">
        <f>IF(COUNTIF(Comp2[Comparable '#2 Dates],Benchmark2[[#This Row],[Benchmark '#2 Dates]])=1,"Pass","Fail")</f>
        <v>Pass</v>
      </c>
      <c r="I933" s="6">
        <f>IF(Benchmark2[[#This Row],[Comparable '#2 Date Check]]="Pass",INDEX(Comp2[Comparable '#2 Price],MATCH(Benchmark2[[#This Row],[Benchmark '#2 Dates]],Comp2[Comparable '#2 Dates],0)),"-")</f>
        <v>27.62</v>
      </c>
      <c r="J933" s="1" t="str">
        <f>IF(COUNTIF(Comp3[Comparable '#3 Dates],Benchmark2[[#This Row],[Benchmark '#2 Dates]])=1,"Pass","Fail")</f>
        <v>Pass</v>
      </c>
      <c r="K933" s="6">
        <f>IF(Benchmark2[[#This Row],[Comparable '#3 Date Check]]="Pass",INDEX(Comp3[Comparable '#3 Price],MATCH(Benchmark2[[#This Row],[Benchmark '#2 Dates]],Comp3[Comparable '#3 Dates],0)),"-")</f>
        <v>60.83</v>
      </c>
    </row>
    <row r="934" spans="1:11">
      <c r="A934" s="103">
        <v>44637</v>
      </c>
      <c r="B934" s="104">
        <v>16483.5785</v>
      </c>
      <c r="C934" s="4">
        <f t="shared" si="14"/>
        <v>1.3564298261882228E-2</v>
      </c>
      <c r="D934" s="1" t="str">
        <f>IF(COUNTIF(Target1[Target Dates],Benchmark2[[#This Row],[Benchmark '#2 Dates]])=1,"Pass","Fail")</f>
        <v>Pass</v>
      </c>
      <c r="E934" s="6">
        <f>IF(Benchmark2[[#This Row],[Target Date Check]]="Pass",INDEX(Target1[Target Price],MATCH(Benchmark2[[#This Row],[Benchmark '#2 Dates]],Target1[Target Dates],0)),"-")</f>
        <v>34.450000000000003</v>
      </c>
      <c r="F934" s="1" t="str">
        <f>IF(COUNTIF(Comp1[Comparable '#1 Dates],Benchmark2[[#This Row],[Benchmark '#2 Dates]])=1,"Pass","Fail")</f>
        <v>Pass</v>
      </c>
      <c r="G934" s="6">
        <f>IF(Benchmark2[[#This Row],[Comparable '#1 Date Check]]="Pass",INDEX(Comp1[Comparable '#1 Price],MATCH(Benchmark2[[#This Row],[Benchmark '#2 Dates]],Comp1[Comparable '#1 Dates],0)),"-")</f>
        <v>12.52</v>
      </c>
      <c r="H934" s="1" t="str">
        <f>IF(COUNTIF(Comp2[Comparable '#2 Dates],Benchmark2[[#This Row],[Benchmark '#2 Dates]])=1,"Pass","Fail")</f>
        <v>Pass</v>
      </c>
      <c r="I934" s="6">
        <f>IF(Benchmark2[[#This Row],[Comparable '#2 Date Check]]="Pass",INDEX(Comp2[Comparable '#2 Price],MATCH(Benchmark2[[#This Row],[Benchmark '#2 Dates]],Comp2[Comparable '#2 Dates],0)),"-")</f>
        <v>28.63</v>
      </c>
      <c r="J934" s="1" t="str">
        <f>IF(COUNTIF(Comp3[Comparable '#3 Dates],Benchmark2[[#This Row],[Benchmark '#2 Dates]])=1,"Pass","Fail")</f>
        <v>Pass</v>
      </c>
      <c r="K934" s="6">
        <f>IF(Benchmark2[[#This Row],[Comparable '#3 Date Check]]="Pass",INDEX(Comp3[Comparable '#3 Price],MATCH(Benchmark2[[#This Row],[Benchmark '#2 Dates]],Comp3[Comparable '#3 Dates],0)),"-")</f>
        <v>61.54</v>
      </c>
    </row>
    <row r="935" spans="1:11">
      <c r="A935" s="103">
        <v>44638</v>
      </c>
      <c r="B935" s="104">
        <v>16612.641599999999</v>
      </c>
      <c r="C935" s="4">
        <f t="shared" si="14"/>
        <v>7.7993048053616619E-3</v>
      </c>
      <c r="D935" s="1" t="str">
        <f>IF(COUNTIF(Target1[Target Dates],Benchmark2[[#This Row],[Benchmark '#2 Dates]])=1,"Pass","Fail")</f>
        <v>Pass</v>
      </c>
      <c r="E935" s="6">
        <f>IF(Benchmark2[[#This Row],[Target Date Check]]="Pass",INDEX(Target1[Target Price],MATCH(Benchmark2[[#This Row],[Benchmark '#2 Dates]],Target1[Target Dates],0)),"-")</f>
        <v>34.51</v>
      </c>
      <c r="F935" s="1" t="str">
        <f>IF(COUNTIF(Comp1[Comparable '#1 Dates],Benchmark2[[#This Row],[Benchmark '#2 Dates]])=1,"Pass","Fail")</f>
        <v>Pass</v>
      </c>
      <c r="G935" s="6">
        <f>IF(Benchmark2[[#This Row],[Comparable '#1 Date Check]]="Pass",INDEX(Comp1[Comparable '#1 Price],MATCH(Benchmark2[[#This Row],[Benchmark '#2 Dates]],Comp1[Comparable '#1 Dates],0)),"-")</f>
        <v>12.49</v>
      </c>
      <c r="H935" s="1" t="str">
        <f>IF(COUNTIF(Comp2[Comparable '#2 Dates],Benchmark2[[#This Row],[Benchmark '#2 Dates]])=1,"Pass","Fail")</f>
        <v>Pass</v>
      </c>
      <c r="I935" s="6">
        <f>IF(Benchmark2[[#This Row],[Comparable '#2 Date Check]]="Pass",INDEX(Comp2[Comparable '#2 Price],MATCH(Benchmark2[[#This Row],[Benchmark '#2 Dates]],Comp2[Comparable '#2 Dates],0)),"-")</f>
        <v>29.25</v>
      </c>
      <c r="J935" s="1" t="str">
        <f>IF(COUNTIF(Comp3[Comparable '#3 Dates],Benchmark2[[#This Row],[Benchmark '#2 Dates]])=1,"Pass","Fail")</f>
        <v>Pass</v>
      </c>
      <c r="K935" s="6">
        <f>IF(Benchmark2[[#This Row],[Comparable '#3 Date Check]]="Pass",INDEX(Comp3[Comparable '#3 Price],MATCH(Benchmark2[[#This Row],[Benchmark '#2 Dates]],Comp3[Comparable '#3 Dates],0)),"-")</f>
        <v>63.5</v>
      </c>
    </row>
    <row r="936" spans="1:11">
      <c r="A936" s="103">
        <v>44641</v>
      </c>
      <c r="B936" s="104">
        <v>16606.665799999999</v>
      </c>
      <c r="C936" s="4">
        <f t="shared" si="14"/>
        <v>-3.5977872702182647E-4</v>
      </c>
      <c r="D936" s="1" t="str">
        <f>IF(COUNTIF(Target1[Target Dates],Benchmark2[[#This Row],[Benchmark '#2 Dates]])=1,"Pass","Fail")</f>
        <v>Pass</v>
      </c>
      <c r="E936" s="6">
        <f>IF(Benchmark2[[#This Row],[Target Date Check]]="Pass",INDEX(Target1[Target Price],MATCH(Benchmark2[[#This Row],[Benchmark '#2 Dates]],Target1[Target Dates],0)),"-")</f>
        <v>34.35</v>
      </c>
      <c r="F936" s="1" t="str">
        <f>IF(COUNTIF(Comp1[Comparable '#1 Dates],Benchmark2[[#This Row],[Benchmark '#2 Dates]])=1,"Pass","Fail")</f>
        <v>Pass</v>
      </c>
      <c r="G936" s="6">
        <f>IF(Benchmark2[[#This Row],[Comparable '#1 Date Check]]="Pass",INDEX(Comp1[Comparable '#1 Price],MATCH(Benchmark2[[#This Row],[Benchmark '#2 Dates]],Comp1[Comparable '#1 Dates],0)),"-")</f>
        <v>12.69</v>
      </c>
      <c r="H936" s="1" t="str">
        <f>IF(COUNTIF(Comp2[Comparable '#2 Dates],Benchmark2[[#This Row],[Benchmark '#2 Dates]])=1,"Pass","Fail")</f>
        <v>Pass</v>
      </c>
      <c r="I936" s="6">
        <f>IF(Benchmark2[[#This Row],[Comparable '#2 Date Check]]="Pass",INDEX(Comp2[Comparable '#2 Price],MATCH(Benchmark2[[#This Row],[Benchmark '#2 Dates]],Comp2[Comparable '#2 Dates],0)),"-")</f>
        <v>29.43</v>
      </c>
      <c r="J936" s="1" t="str">
        <f>IF(COUNTIF(Comp3[Comparable '#3 Dates],Benchmark2[[#This Row],[Benchmark '#2 Dates]])=1,"Pass","Fail")</f>
        <v>Pass</v>
      </c>
      <c r="K936" s="6">
        <f>IF(Benchmark2[[#This Row],[Comparable '#3 Date Check]]="Pass",INDEX(Comp3[Comparable '#3 Price],MATCH(Benchmark2[[#This Row],[Benchmark '#2 Dates]],Comp3[Comparable '#3 Dates],0)),"-")</f>
        <v>65.08</v>
      </c>
    </row>
    <row r="937" spans="1:11">
      <c r="A937" s="103">
        <v>44642</v>
      </c>
      <c r="B937" s="104">
        <v>16735.479899999998</v>
      </c>
      <c r="C937" s="4">
        <f t="shared" si="14"/>
        <v>7.7268417007328146E-3</v>
      </c>
      <c r="D937" s="1" t="str">
        <f>IF(COUNTIF(Target1[Target Dates],Benchmark2[[#This Row],[Benchmark '#2 Dates]])=1,"Pass","Fail")</f>
        <v>Pass</v>
      </c>
      <c r="E937" s="6">
        <f>IF(Benchmark2[[#This Row],[Target Date Check]]="Pass",INDEX(Target1[Target Price],MATCH(Benchmark2[[#This Row],[Benchmark '#2 Dates]],Target1[Target Dates],0)),"-")</f>
        <v>35.04</v>
      </c>
      <c r="F937" s="1" t="str">
        <f>IF(COUNTIF(Comp1[Comparable '#1 Dates],Benchmark2[[#This Row],[Benchmark '#2 Dates]])=1,"Pass","Fail")</f>
        <v>Pass</v>
      </c>
      <c r="G937" s="6">
        <f>IF(Benchmark2[[#This Row],[Comparable '#1 Date Check]]="Pass",INDEX(Comp1[Comparable '#1 Price],MATCH(Benchmark2[[#This Row],[Benchmark '#2 Dates]],Comp1[Comparable '#1 Dates],0)),"-")</f>
        <v>12.7</v>
      </c>
      <c r="H937" s="1" t="str">
        <f>IF(COUNTIF(Comp2[Comparable '#2 Dates],Benchmark2[[#This Row],[Benchmark '#2 Dates]])=1,"Pass","Fail")</f>
        <v>Pass</v>
      </c>
      <c r="I937" s="6">
        <f>IF(Benchmark2[[#This Row],[Comparable '#2 Date Check]]="Pass",INDEX(Comp2[Comparable '#2 Price],MATCH(Benchmark2[[#This Row],[Benchmark '#2 Dates]],Comp2[Comparable '#2 Dates],0)),"-")</f>
        <v>28.85</v>
      </c>
      <c r="J937" s="1" t="str">
        <f>IF(COUNTIF(Comp3[Comparable '#3 Dates],Benchmark2[[#This Row],[Benchmark '#2 Dates]])=1,"Pass","Fail")</f>
        <v>Pass</v>
      </c>
      <c r="K937" s="6">
        <f>IF(Benchmark2[[#This Row],[Comparable '#3 Date Check]]="Pass",INDEX(Comp3[Comparable '#3 Price],MATCH(Benchmark2[[#This Row],[Benchmark '#2 Dates]],Comp3[Comparable '#3 Dates],0)),"-")</f>
        <v>64.22</v>
      </c>
    </row>
    <row r="938" spans="1:11">
      <c r="A938" s="103">
        <v>44643</v>
      </c>
      <c r="B938" s="104">
        <v>16558.528399999999</v>
      </c>
      <c r="C938" s="4">
        <f t="shared" si="14"/>
        <v>-1.0629730404670114E-2</v>
      </c>
      <c r="D938" s="1" t="str">
        <f>IF(COUNTIF(Target1[Target Dates],Benchmark2[[#This Row],[Benchmark '#2 Dates]])=1,"Pass","Fail")</f>
        <v>Pass</v>
      </c>
      <c r="E938" s="6">
        <f>IF(Benchmark2[[#This Row],[Target Date Check]]="Pass",INDEX(Target1[Target Price],MATCH(Benchmark2[[#This Row],[Benchmark '#2 Dates]],Target1[Target Dates],0)),"-")</f>
        <v>34.49</v>
      </c>
      <c r="F938" s="1" t="str">
        <f>IF(COUNTIF(Comp1[Comparable '#1 Dates],Benchmark2[[#This Row],[Benchmark '#2 Dates]])=1,"Pass","Fail")</f>
        <v>Pass</v>
      </c>
      <c r="G938" s="6">
        <f>IF(Benchmark2[[#This Row],[Comparable '#1 Date Check]]="Pass",INDEX(Comp1[Comparable '#1 Price],MATCH(Benchmark2[[#This Row],[Benchmark '#2 Dates]],Comp1[Comparable '#1 Dates],0)),"-")</f>
        <v>12.78</v>
      </c>
      <c r="H938" s="1" t="str">
        <f>IF(COUNTIF(Comp2[Comparable '#2 Dates],Benchmark2[[#This Row],[Benchmark '#2 Dates]])=1,"Pass","Fail")</f>
        <v>Pass</v>
      </c>
      <c r="I938" s="6">
        <f>IF(Benchmark2[[#This Row],[Comparable '#2 Date Check]]="Pass",INDEX(Comp2[Comparable '#2 Price],MATCH(Benchmark2[[#This Row],[Benchmark '#2 Dates]],Comp2[Comparable '#2 Dates],0)),"-")</f>
        <v>28.64</v>
      </c>
      <c r="J938" s="1" t="str">
        <f>IF(COUNTIF(Comp3[Comparable '#3 Dates],Benchmark2[[#This Row],[Benchmark '#2 Dates]])=1,"Pass","Fail")</f>
        <v>Pass</v>
      </c>
      <c r="K938" s="6">
        <f>IF(Benchmark2[[#This Row],[Comparable '#3 Date Check]]="Pass",INDEX(Comp3[Comparable '#3 Price],MATCH(Benchmark2[[#This Row],[Benchmark '#2 Dates]],Comp3[Comparable '#3 Dates],0)),"-")</f>
        <v>62.96</v>
      </c>
    </row>
    <row r="939" spans="1:11">
      <c r="A939" s="103">
        <v>44644</v>
      </c>
      <c r="B939" s="104">
        <v>16701.823100000001</v>
      </c>
      <c r="C939" s="4">
        <f t="shared" si="14"/>
        <v>8.6166008549147712E-3</v>
      </c>
      <c r="D939" s="1" t="str">
        <f>IF(COUNTIF(Target1[Target Dates],Benchmark2[[#This Row],[Benchmark '#2 Dates]])=1,"Pass","Fail")</f>
        <v>Pass</v>
      </c>
      <c r="E939" s="6">
        <f>IF(Benchmark2[[#This Row],[Target Date Check]]="Pass",INDEX(Target1[Target Price],MATCH(Benchmark2[[#This Row],[Benchmark '#2 Dates]],Target1[Target Dates],0)),"-")</f>
        <v>35.82</v>
      </c>
      <c r="F939" s="1" t="str">
        <f>IF(COUNTIF(Comp1[Comparable '#1 Dates],Benchmark2[[#This Row],[Benchmark '#2 Dates]])=1,"Pass","Fail")</f>
        <v>Pass</v>
      </c>
      <c r="G939" s="6">
        <f>IF(Benchmark2[[#This Row],[Comparable '#1 Date Check]]="Pass",INDEX(Comp1[Comparable '#1 Price],MATCH(Benchmark2[[#This Row],[Benchmark '#2 Dates]],Comp1[Comparable '#1 Dates],0)),"-")</f>
        <v>12.98</v>
      </c>
      <c r="H939" s="1" t="str">
        <f>IF(COUNTIF(Comp2[Comparable '#2 Dates],Benchmark2[[#This Row],[Benchmark '#2 Dates]])=1,"Pass","Fail")</f>
        <v>Pass</v>
      </c>
      <c r="I939" s="6">
        <f>IF(Benchmark2[[#This Row],[Comparable '#2 Date Check]]="Pass",INDEX(Comp2[Comparable '#2 Price],MATCH(Benchmark2[[#This Row],[Benchmark '#2 Dates]],Comp2[Comparable '#2 Dates],0)),"-")</f>
        <v>29.85</v>
      </c>
      <c r="J939" s="1" t="str">
        <f>IF(COUNTIF(Comp3[Comparable '#3 Dates],Benchmark2[[#This Row],[Benchmark '#2 Dates]])=1,"Pass","Fail")</f>
        <v>Pass</v>
      </c>
      <c r="K939" s="6">
        <f>IF(Benchmark2[[#This Row],[Comparable '#3 Date Check]]="Pass",INDEX(Comp3[Comparable '#3 Price],MATCH(Benchmark2[[#This Row],[Benchmark '#2 Dates]],Comp3[Comparable '#3 Dates],0)),"-")</f>
        <v>65.540000000000006</v>
      </c>
    </row>
    <row r="940" spans="1:11">
      <c r="A940" s="103">
        <v>44645</v>
      </c>
      <c r="B940" s="104">
        <v>16792.804199999999</v>
      </c>
      <c r="C940" s="4">
        <f t="shared" si="14"/>
        <v>5.4325920957927461E-3</v>
      </c>
      <c r="D940" s="1" t="str">
        <f>IF(COUNTIF(Target1[Target Dates],Benchmark2[[#This Row],[Benchmark '#2 Dates]])=1,"Pass","Fail")</f>
        <v>Pass</v>
      </c>
      <c r="E940" s="6">
        <f>IF(Benchmark2[[#This Row],[Target Date Check]]="Pass",INDEX(Target1[Target Price],MATCH(Benchmark2[[#This Row],[Benchmark '#2 Dates]],Target1[Target Dates],0)),"-")</f>
        <v>36.68</v>
      </c>
      <c r="F940" s="1" t="str">
        <f>IF(COUNTIF(Comp1[Comparable '#1 Dates],Benchmark2[[#This Row],[Benchmark '#2 Dates]])=1,"Pass","Fail")</f>
        <v>Pass</v>
      </c>
      <c r="G940" s="6">
        <f>IF(Benchmark2[[#This Row],[Comparable '#1 Date Check]]="Pass",INDEX(Comp1[Comparable '#1 Price],MATCH(Benchmark2[[#This Row],[Benchmark '#2 Dates]],Comp1[Comparable '#1 Dates],0)),"-")</f>
        <v>13.11</v>
      </c>
      <c r="H940" s="1" t="str">
        <f>IF(COUNTIF(Comp2[Comparable '#2 Dates],Benchmark2[[#This Row],[Benchmark '#2 Dates]])=1,"Pass","Fail")</f>
        <v>Pass</v>
      </c>
      <c r="I940" s="6">
        <f>IF(Benchmark2[[#This Row],[Comparable '#2 Date Check]]="Pass",INDEX(Comp2[Comparable '#2 Price],MATCH(Benchmark2[[#This Row],[Benchmark '#2 Dates]],Comp2[Comparable '#2 Dates],0)),"-")</f>
        <v>30.08</v>
      </c>
      <c r="J940" s="1" t="str">
        <f>IF(COUNTIF(Comp3[Comparable '#3 Dates],Benchmark2[[#This Row],[Benchmark '#2 Dates]])=1,"Pass","Fail")</f>
        <v>Pass</v>
      </c>
      <c r="K940" s="6">
        <f>IF(Benchmark2[[#This Row],[Comparable '#3 Date Check]]="Pass",INDEX(Comp3[Comparable '#3 Price],MATCH(Benchmark2[[#This Row],[Benchmark '#2 Dates]],Comp3[Comparable '#3 Dates],0)),"-")</f>
        <v>67.489999999999995</v>
      </c>
    </row>
    <row r="941" spans="1:11">
      <c r="A941" s="103">
        <v>44648</v>
      </c>
      <c r="B941" s="104">
        <v>16798.715</v>
      </c>
      <c r="C941" s="4">
        <f t="shared" si="14"/>
        <v>3.5192216379452195E-4</v>
      </c>
      <c r="D941" s="1" t="str">
        <f>IF(COUNTIF(Target1[Target Dates],Benchmark2[[#This Row],[Benchmark '#2 Dates]])=1,"Pass","Fail")</f>
        <v>Pass</v>
      </c>
      <c r="E941" s="6">
        <f>IF(Benchmark2[[#This Row],[Target Date Check]]="Pass",INDEX(Target1[Target Price],MATCH(Benchmark2[[#This Row],[Benchmark '#2 Dates]],Target1[Target Dates],0)),"-")</f>
        <v>35.700000000000003</v>
      </c>
      <c r="F941" s="1" t="str">
        <f>IF(COUNTIF(Comp1[Comparable '#1 Dates],Benchmark2[[#This Row],[Benchmark '#2 Dates]])=1,"Pass","Fail")</f>
        <v>Pass</v>
      </c>
      <c r="G941" s="6">
        <f>IF(Benchmark2[[#This Row],[Comparable '#1 Date Check]]="Pass",INDEX(Comp1[Comparable '#1 Price],MATCH(Benchmark2[[#This Row],[Benchmark '#2 Dates]],Comp1[Comparable '#1 Dates],0)),"-")</f>
        <v>13.04</v>
      </c>
      <c r="H941" s="1" t="str">
        <f>IF(COUNTIF(Comp2[Comparable '#2 Dates],Benchmark2[[#This Row],[Benchmark '#2 Dates]])=1,"Pass","Fail")</f>
        <v>Pass</v>
      </c>
      <c r="I941" s="6">
        <f>IF(Benchmark2[[#This Row],[Comparable '#2 Date Check]]="Pass",INDEX(Comp2[Comparable '#2 Price],MATCH(Benchmark2[[#This Row],[Benchmark '#2 Dates]],Comp2[Comparable '#2 Dates],0)),"-")</f>
        <v>30.07</v>
      </c>
      <c r="J941" s="1" t="str">
        <f>IF(COUNTIF(Comp3[Comparable '#3 Dates],Benchmark2[[#This Row],[Benchmark '#2 Dates]])=1,"Pass","Fail")</f>
        <v>Pass</v>
      </c>
      <c r="K941" s="6">
        <f>IF(Benchmark2[[#This Row],[Comparable '#3 Date Check]]="Pass",INDEX(Comp3[Comparable '#3 Price],MATCH(Benchmark2[[#This Row],[Benchmark '#2 Dates]],Comp3[Comparable '#3 Dates],0)),"-")</f>
        <v>66.66</v>
      </c>
    </row>
    <row r="942" spans="1:11">
      <c r="A942" s="103">
        <v>44649</v>
      </c>
      <c r="B942" s="104">
        <v>17014.759900000001</v>
      </c>
      <c r="C942" s="4">
        <f t="shared" si="14"/>
        <v>1.2778801386235163E-2</v>
      </c>
      <c r="D942" s="1" t="str">
        <f>IF(COUNTIF(Target1[Target Dates],Benchmark2[[#This Row],[Benchmark '#2 Dates]])=1,"Pass","Fail")</f>
        <v>Pass</v>
      </c>
      <c r="E942" s="6">
        <f>IF(Benchmark2[[#This Row],[Target Date Check]]="Pass",INDEX(Target1[Target Price],MATCH(Benchmark2[[#This Row],[Benchmark '#2 Dates]],Target1[Target Dates],0)),"-")</f>
        <v>36.340000000000003</v>
      </c>
      <c r="F942" s="1" t="str">
        <f>IF(COUNTIF(Comp1[Comparable '#1 Dates],Benchmark2[[#This Row],[Benchmark '#2 Dates]])=1,"Pass","Fail")</f>
        <v>Pass</v>
      </c>
      <c r="G942" s="6">
        <f>IF(Benchmark2[[#This Row],[Comparable '#1 Date Check]]="Pass",INDEX(Comp1[Comparable '#1 Price],MATCH(Benchmark2[[#This Row],[Benchmark '#2 Dates]],Comp1[Comparable '#1 Dates],0)),"-")</f>
        <v>12.82</v>
      </c>
      <c r="H942" s="1" t="str">
        <f>IF(COUNTIF(Comp2[Comparable '#2 Dates],Benchmark2[[#This Row],[Benchmark '#2 Dates]])=1,"Pass","Fail")</f>
        <v>Pass</v>
      </c>
      <c r="I942" s="6">
        <f>IF(Benchmark2[[#This Row],[Comparable '#2 Date Check]]="Pass",INDEX(Comp2[Comparable '#2 Price],MATCH(Benchmark2[[#This Row],[Benchmark '#2 Dates]],Comp2[Comparable '#2 Dates],0)),"-")</f>
        <v>30.1</v>
      </c>
      <c r="J942" s="1" t="str">
        <f>IF(COUNTIF(Comp3[Comparable '#3 Dates],Benchmark2[[#This Row],[Benchmark '#2 Dates]])=1,"Pass","Fail")</f>
        <v>Pass</v>
      </c>
      <c r="K942" s="6">
        <f>IF(Benchmark2[[#This Row],[Comparable '#3 Date Check]]="Pass",INDEX(Comp3[Comparable '#3 Price],MATCH(Benchmark2[[#This Row],[Benchmark '#2 Dates]],Comp3[Comparable '#3 Dates],0)),"-")</f>
        <v>68.400000000000006</v>
      </c>
    </row>
    <row r="943" spans="1:11">
      <c r="A943" s="103">
        <v>44650</v>
      </c>
      <c r="B943" s="104">
        <v>16932.762200000001</v>
      </c>
      <c r="C943" s="4">
        <f t="shared" si="14"/>
        <v>-4.8308597737903242E-3</v>
      </c>
      <c r="D943" s="1" t="str">
        <f>IF(COUNTIF(Target1[Target Dates],Benchmark2[[#This Row],[Benchmark '#2 Dates]])=1,"Pass","Fail")</f>
        <v>Pass</v>
      </c>
      <c r="E943" s="6">
        <f>IF(Benchmark2[[#This Row],[Target Date Check]]="Pass",INDEX(Target1[Target Price],MATCH(Benchmark2[[#This Row],[Benchmark '#2 Dates]],Target1[Target Dates],0)),"-")</f>
        <v>35.770000000000003</v>
      </c>
      <c r="F943" s="1" t="str">
        <f>IF(COUNTIF(Comp1[Comparable '#1 Dates],Benchmark2[[#This Row],[Benchmark '#2 Dates]])=1,"Pass","Fail")</f>
        <v>Pass</v>
      </c>
      <c r="G943" s="6">
        <f>IF(Benchmark2[[#This Row],[Comparable '#1 Date Check]]="Pass",INDEX(Comp1[Comparable '#1 Price],MATCH(Benchmark2[[#This Row],[Benchmark '#2 Dates]],Comp1[Comparable '#1 Dates],0)),"-")</f>
        <v>12.23</v>
      </c>
      <c r="H943" s="1" t="str">
        <f>IF(COUNTIF(Comp2[Comparable '#2 Dates],Benchmark2[[#This Row],[Benchmark '#2 Dates]])=1,"Pass","Fail")</f>
        <v>Pass</v>
      </c>
      <c r="I943" s="6">
        <f>IF(Benchmark2[[#This Row],[Comparable '#2 Date Check]]="Pass",INDEX(Comp2[Comparable '#2 Price],MATCH(Benchmark2[[#This Row],[Benchmark '#2 Dates]],Comp2[Comparable '#2 Dates],0)),"-")</f>
        <v>30.24</v>
      </c>
      <c r="J943" s="1" t="str">
        <f>IF(COUNTIF(Comp3[Comparable '#3 Dates],Benchmark2[[#This Row],[Benchmark '#2 Dates]])=1,"Pass","Fail")</f>
        <v>Pass</v>
      </c>
      <c r="K943" s="6">
        <f>IF(Benchmark2[[#This Row],[Comparable '#3 Date Check]]="Pass",INDEX(Comp3[Comparable '#3 Price],MATCH(Benchmark2[[#This Row],[Benchmark '#2 Dates]],Comp3[Comparable '#3 Dates],0)),"-")</f>
        <v>67.33</v>
      </c>
    </row>
    <row r="944" spans="1:11">
      <c r="A944" s="103">
        <v>44651</v>
      </c>
      <c r="B944" s="104">
        <v>16670.9077</v>
      </c>
      <c r="C944" s="4">
        <f t="shared" si="14"/>
        <v>-1.5585190610983578E-2</v>
      </c>
      <c r="D944" s="1" t="str">
        <f>IF(COUNTIF(Target1[Target Dates],Benchmark2[[#This Row],[Benchmark '#2 Dates]])=1,"Pass","Fail")</f>
        <v>Pass</v>
      </c>
      <c r="E944" s="6">
        <f>IF(Benchmark2[[#This Row],[Target Date Check]]="Pass",INDEX(Target1[Target Price],MATCH(Benchmark2[[#This Row],[Benchmark '#2 Dates]],Target1[Target Dates],0)),"-")</f>
        <v>36.33</v>
      </c>
      <c r="F944" s="1" t="str">
        <f>IF(COUNTIF(Comp1[Comparable '#1 Dates],Benchmark2[[#This Row],[Benchmark '#2 Dates]])=1,"Pass","Fail")</f>
        <v>Pass</v>
      </c>
      <c r="G944" s="6">
        <f>IF(Benchmark2[[#This Row],[Comparable '#1 Date Check]]="Pass",INDEX(Comp1[Comparable '#1 Price],MATCH(Benchmark2[[#This Row],[Benchmark '#2 Dates]],Comp1[Comparable '#1 Dates],0)),"-")</f>
        <v>11.85</v>
      </c>
      <c r="H944" s="1" t="str">
        <f>IF(COUNTIF(Comp2[Comparable '#2 Dates],Benchmark2[[#This Row],[Benchmark '#2 Dates]])=1,"Pass","Fail")</f>
        <v>Pass</v>
      </c>
      <c r="I944" s="6">
        <f>IF(Benchmark2[[#This Row],[Comparable '#2 Date Check]]="Pass",INDEX(Comp2[Comparable '#2 Price],MATCH(Benchmark2[[#This Row],[Benchmark '#2 Dates]],Comp2[Comparable '#2 Dates],0)),"-")</f>
        <v>29.71</v>
      </c>
      <c r="J944" s="1" t="str">
        <f>IF(COUNTIF(Comp3[Comparable '#3 Dates],Benchmark2[[#This Row],[Benchmark '#2 Dates]])=1,"Pass","Fail")</f>
        <v>Pass</v>
      </c>
      <c r="K944" s="6">
        <f>IF(Benchmark2[[#This Row],[Comparable '#3 Date Check]]="Pass",INDEX(Comp3[Comparable '#3 Price],MATCH(Benchmark2[[#This Row],[Benchmark '#2 Dates]],Comp3[Comparable '#3 Dates],0)),"-")</f>
        <v>66.38</v>
      </c>
    </row>
    <row r="945" spans="1:11">
      <c r="A945" s="103">
        <v>44652</v>
      </c>
      <c r="B945" s="104">
        <v>16787.750199999999</v>
      </c>
      <c r="C945" s="4">
        <f t="shared" si="14"/>
        <v>6.9843192946090638E-3</v>
      </c>
      <c r="D945" s="1" t="str">
        <f>IF(COUNTIF(Target1[Target Dates],Benchmark2[[#This Row],[Benchmark '#2 Dates]])=1,"Pass","Fail")</f>
        <v>Pass</v>
      </c>
      <c r="E945" s="6">
        <f>IF(Benchmark2[[#This Row],[Target Date Check]]="Pass",INDEX(Target1[Target Price],MATCH(Benchmark2[[#This Row],[Benchmark '#2 Dates]],Target1[Target Dates],0)),"-")</f>
        <v>36.81</v>
      </c>
      <c r="F945" s="1" t="str">
        <f>IF(COUNTIF(Comp1[Comparable '#1 Dates],Benchmark2[[#This Row],[Benchmark '#2 Dates]])=1,"Pass","Fail")</f>
        <v>Pass</v>
      </c>
      <c r="G945" s="6">
        <f>IF(Benchmark2[[#This Row],[Comparable '#1 Date Check]]="Pass",INDEX(Comp1[Comparable '#1 Price],MATCH(Benchmark2[[#This Row],[Benchmark '#2 Dates]],Comp1[Comparable '#1 Dates],0)),"-")</f>
        <v>11.95</v>
      </c>
      <c r="H945" s="1" t="str">
        <f>IF(COUNTIF(Comp2[Comparable '#2 Dates],Benchmark2[[#This Row],[Benchmark '#2 Dates]])=1,"Pass","Fail")</f>
        <v>Pass</v>
      </c>
      <c r="I945" s="6">
        <f>IF(Benchmark2[[#This Row],[Comparable '#2 Date Check]]="Pass",INDEX(Comp2[Comparable '#2 Price],MATCH(Benchmark2[[#This Row],[Benchmark '#2 Dates]],Comp2[Comparable '#2 Dates],0)),"-")</f>
        <v>31</v>
      </c>
      <c r="J945" s="1" t="str">
        <f>IF(COUNTIF(Comp3[Comparable '#3 Dates],Benchmark2[[#This Row],[Benchmark '#2 Dates]])=1,"Pass","Fail")</f>
        <v>Pass</v>
      </c>
      <c r="K945" s="6">
        <f>IF(Benchmark2[[#This Row],[Comparable '#3 Date Check]]="Pass",INDEX(Comp3[Comparable '#3 Price],MATCH(Benchmark2[[#This Row],[Benchmark '#2 Dates]],Comp3[Comparable '#3 Dates],0)),"-")</f>
        <v>67.81</v>
      </c>
    </row>
    <row r="946" spans="1:11">
      <c r="A946" s="103">
        <v>44655</v>
      </c>
      <c r="B946" s="104">
        <v>16829.750199999999</v>
      </c>
      <c r="C946" s="4">
        <f t="shared" si="14"/>
        <v>2.4986998648032967E-3</v>
      </c>
      <c r="D946" s="1" t="str">
        <f>IF(COUNTIF(Target1[Target Dates],Benchmark2[[#This Row],[Benchmark '#2 Dates]])=1,"Pass","Fail")</f>
        <v>Pass</v>
      </c>
      <c r="E946" s="6">
        <f>IF(Benchmark2[[#This Row],[Target Date Check]]="Pass",INDEX(Target1[Target Price],MATCH(Benchmark2[[#This Row],[Benchmark '#2 Dates]],Target1[Target Dates],0)),"-")</f>
        <v>36.729999999999997</v>
      </c>
      <c r="F946" s="1" t="str">
        <f>IF(COUNTIF(Comp1[Comparable '#1 Dates],Benchmark2[[#This Row],[Benchmark '#2 Dates]])=1,"Pass","Fail")</f>
        <v>Pass</v>
      </c>
      <c r="G946" s="6">
        <f>IF(Benchmark2[[#This Row],[Comparable '#1 Date Check]]="Pass",INDEX(Comp1[Comparable '#1 Price],MATCH(Benchmark2[[#This Row],[Benchmark '#2 Dates]],Comp1[Comparable '#1 Dates],0)),"-")</f>
        <v>11.77</v>
      </c>
      <c r="H946" s="1" t="str">
        <f>IF(COUNTIF(Comp2[Comparable '#2 Dates],Benchmark2[[#This Row],[Benchmark '#2 Dates]])=1,"Pass","Fail")</f>
        <v>Pass</v>
      </c>
      <c r="I946" s="6">
        <f>IF(Benchmark2[[#This Row],[Comparable '#2 Date Check]]="Pass",INDEX(Comp2[Comparable '#2 Price],MATCH(Benchmark2[[#This Row],[Benchmark '#2 Dates]],Comp2[Comparable '#2 Dates],0)),"-")</f>
        <v>30.35</v>
      </c>
      <c r="J946" s="1" t="str">
        <f>IF(COUNTIF(Comp3[Comparable '#3 Dates],Benchmark2[[#This Row],[Benchmark '#2 Dates]])=1,"Pass","Fail")</f>
        <v>Pass</v>
      </c>
      <c r="K946" s="6">
        <f>IF(Benchmark2[[#This Row],[Comparable '#3 Date Check]]="Pass",INDEX(Comp3[Comparable '#3 Price],MATCH(Benchmark2[[#This Row],[Benchmark '#2 Dates]],Comp3[Comparable '#3 Dates],0)),"-")</f>
        <v>68.709999999999994</v>
      </c>
    </row>
    <row r="947" spans="1:11">
      <c r="A947" s="103">
        <v>44656</v>
      </c>
      <c r="B947" s="104">
        <v>16645.0458</v>
      </c>
      <c r="C947" s="4">
        <f t="shared" si="14"/>
        <v>-1.1035542949232292E-2</v>
      </c>
      <c r="D947" s="1" t="str">
        <f>IF(COUNTIF(Target1[Target Dates],Benchmark2[[#This Row],[Benchmark '#2 Dates]])=1,"Pass","Fail")</f>
        <v>Pass</v>
      </c>
      <c r="E947" s="6">
        <f>IF(Benchmark2[[#This Row],[Target Date Check]]="Pass",INDEX(Target1[Target Price],MATCH(Benchmark2[[#This Row],[Benchmark '#2 Dates]],Target1[Target Dates],0)),"-")</f>
        <v>36.03</v>
      </c>
      <c r="F947" s="1" t="str">
        <f>IF(COUNTIF(Comp1[Comparable '#1 Dates],Benchmark2[[#This Row],[Benchmark '#2 Dates]])=1,"Pass","Fail")</f>
        <v>Pass</v>
      </c>
      <c r="G947" s="6">
        <f>IF(Benchmark2[[#This Row],[Comparable '#1 Date Check]]="Pass",INDEX(Comp1[Comparable '#1 Price],MATCH(Benchmark2[[#This Row],[Benchmark '#2 Dates]],Comp1[Comparable '#1 Dates],0)),"-")</f>
        <v>11.55</v>
      </c>
      <c r="H947" s="1" t="str">
        <f>IF(COUNTIF(Comp2[Comparable '#2 Dates],Benchmark2[[#This Row],[Benchmark '#2 Dates]])=1,"Pass","Fail")</f>
        <v>Pass</v>
      </c>
      <c r="I947" s="6">
        <f>IF(Benchmark2[[#This Row],[Comparable '#2 Date Check]]="Pass",INDEX(Comp2[Comparable '#2 Price],MATCH(Benchmark2[[#This Row],[Benchmark '#2 Dates]],Comp2[Comparable '#2 Dates],0)),"-")</f>
        <v>29.38</v>
      </c>
      <c r="J947" s="1" t="str">
        <f>IF(COUNTIF(Comp3[Comparable '#3 Dates],Benchmark2[[#This Row],[Benchmark '#2 Dates]])=1,"Pass","Fail")</f>
        <v>Pass</v>
      </c>
      <c r="K947" s="6">
        <f>IF(Benchmark2[[#This Row],[Comparable '#3 Date Check]]="Pass",INDEX(Comp3[Comparable '#3 Price],MATCH(Benchmark2[[#This Row],[Benchmark '#2 Dates]],Comp3[Comparable '#3 Dates],0)),"-")</f>
        <v>68.430000000000007</v>
      </c>
    </row>
    <row r="948" spans="1:11">
      <c r="A948" s="103">
        <v>44657</v>
      </c>
      <c r="B948" s="104">
        <v>16587.103899999998</v>
      </c>
      <c r="C948" s="4">
        <f t="shared" si="14"/>
        <v>-3.487102654324655E-3</v>
      </c>
      <c r="D948" s="1" t="str">
        <f>IF(COUNTIF(Target1[Target Dates],Benchmark2[[#This Row],[Benchmark '#2 Dates]])=1,"Pass","Fail")</f>
        <v>Pass</v>
      </c>
      <c r="E948" s="6">
        <f>IF(Benchmark2[[#This Row],[Target Date Check]]="Pass",INDEX(Target1[Target Price],MATCH(Benchmark2[[#This Row],[Benchmark '#2 Dates]],Target1[Target Dates],0)),"-")</f>
        <v>35.75</v>
      </c>
      <c r="F948" s="1" t="str">
        <f>IF(COUNTIF(Comp1[Comparable '#1 Dates],Benchmark2[[#This Row],[Benchmark '#2 Dates]])=1,"Pass","Fail")</f>
        <v>Pass</v>
      </c>
      <c r="G948" s="6">
        <f>IF(Benchmark2[[#This Row],[Comparable '#1 Date Check]]="Pass",INDEX(Comp1[Comparable '#1 Price],MATCH(Benchmark2[[#This Row],[Benchmark '#2 Dates]],Comp1[Comparable '#1 Dates],0)),"-")</f>
        <v>11.36</v>
      </c>
      <c r="H948" s="1" t="str">
        <f>IF(COUNTIF(Comp2[Comparable '#2 Dates],Benchmark2[[#This Row],[Benchmark '#2 Dates]])=1,"Pass","Fail")</f>
        <v>Pass</v>
      </c>
      <c r="I948" s="6">
        <f>IF(Benchmark2[[#This Row],[Comparable '#2 Date Check]]="Pass",INDEX(Comp2[Comparable '#2 Price],MATCH(Benchmark2[[#This Row],[Benchmark '#2 Dates]],Comp2[Comparable '#2 Dates],0)),"-")</f>
        <v>29.08</v>
      </c>
      <c r="J948" s="1" t="str">
        <f>IF(COUNTIF(Comp3[Comparable '#3 Dates],Benchmark2[[#This Row],[Benchmark '#2 Dates]])=1,"Pass","Fail")</f>
        <v>Pass</v>
      </c>
      <c r="K948" s="6">
        <f>IF(Benchmark2[[#This Row],[Comparable '#3 Date Check]]="Pass",INDEX(Comp3[Comparable '#3 Price],MATCH(Benchmark2[[#This Row],[Benchmark '#2 Dates]],Comp3[Comparable '#3 Dates],0)),"-")</f>
        <v>68.59</v>
      </c>
    </row>
    <row r="949" spans="1:11">
      <c r="A949" s="103">
        <v>44658</v>
      </c>
      <c r="B949" s="104">
        <v>16631.4473</v>
      </c>
      <c r="C949" s="4">
        <f t="shared" si="14"/>
        <v>2.6697989368866626E-3</v>
      </c>
      <c r="D949" s="1" t="str">
        <f>IF(COUNTIF(Target1[Target Dates],Benchmark2[[#This Row],[Benchmark '#2 Dates]])=1,"Pass","Fail")</f>
        <v>Pass</v>
      </c>
      <c r="E949" s="6">
        <f>IF(Benchmark2[[#This Row],[Target Date Check]]="Pass",INDEX(Target1[Target Price],MATCH(Benchmark2[[#This Row],[Benchmark '#2 Dates]],Target1[Target Dates],0)),"-")</f>
        <v>34.9</v>
      </c>
      <c r="F949" s="1" t="str">
        <f>IF(COUNTIF(Comp1[Comparable '#1 Dates],Benchmark2[[#This Row],[Benchmark '#2 Dates]])=1,"Pass","Fail")</f>
        <v>Pass</v>
      </c>
      <c r="G949" s="6">
        <f>IF(Benchmark2[[#This Row],[Comparable '#1 Date Check]]="Pass",INDEX(Comp1[Comparable '#1 Price],MATCH(Benchmark2[[#This Row],[Benchmark '#2 Dates]],Comp1[Comparable '#1 Dates],0)),"-")</f>
        <v>11.45</v>
      </c>
      <c r="H949" s="1" t="str">
        <f>IF(COUNTIF(Comp2[Comparable '#2 Dates],Benchmark2[[#This Row],[Benchmark '#2 Dates]])=1,"Pass","Fail")</f>
        <v>Pass</v>
      </c>
      <c r="I949" s="6">
        <f>IF(Benchmark2[[#This Row],[Comparable '#2 Date Check]]="Pass",INDEX(Comp2[Comparable '#2 Price],MATCH(Benchmark2[[#This Row],[Benchmark '#2 Dates]],Comp2[Comparable '#2 Dates],0)),"-")</f>
        <v>29.04</v>
      </c>
      <c r="J949" s="1" t="str">
        <f>IF(COUNTIF(Comp3[Comparable '#3 Dates],Benchmark2[[#This Row],[Benchmark '#2 Dates]])=1,"Pass","Fail")</f>
        <v>Pass</v>
      </c>
      <c r="K949" s="6">
        <f>IF(Benchmark2[[#This Row],[Comparable '#3 Date Check]]="Pass",INDEX(Comp3[Comparable '#3 Price],MATCH(Benchmark2[[#This Row],[Benchmark '#2 Dates]],Comp3[Comparable '#3 Dates],0)),"-")</f>
        <v>69.650000000000006</v>
      </c>
    </row>
    <row r="950" spans="1:11">
      <c r="A950" s="103">
        <v>44659</v>
      </c>
      <c r="B950" s="104">
        <v>16689.9539</v>
      </c>
      <c r="C950" s="4">
        <f t="shared" si="14"/>
        <v>3.5116566541005304E-3</v>
      </c>
      <c r="D950" s="1" t="str">
        <f>IF(COUNTIF(Target1[Target Dates],Benchmark2[[#This Row],[Benchmark '#2 Dates]])=1,"Pass","Fail")</f>
        <v>Pass</v>
      </c>
      <c r="E950" s="6">
        <f>IF(Benchmark2[[#This Row],[Target Date Check]]="Pass",INDEX(Target1[Target Price],MATCH(Benchmark2[[#This Row],[Benchmark '#2 Dates]],Target1[Target Dates],0)),"-")</f>
        <v>34.46</v>
      </c>
      <c r="F950" s="1" t="str">
        <f>IF(COUNTIF(Comp1[Comparable '#1 Dates],Benchmark2[[#This Row],[Benchmark '#2 Dates]])=1,"Pass","Fail")</f>
        <v>Pass</v>
      </c>
      <c r="G950" s="6">
        <f>IF(Benchmark2[[#This Row],[Comparable '#1 Date Check]]="Pass",INDEX(Comp1[Comparable '#1 Price],MATCH(Benchmark2[[#This Row],[Benchmark '#2 Dates]],Comp1[Comparable '#1 Dates],0)),"-")</f>
        <v>11.59</v>
      </c>
      <c r="H950" s="1" t="str">
        <f>IF(COUNTIF(Comp2[Comparable '#2 Dates],Benchmark2[[#This Row],[Benchmark '#2 Dates]])=1,"Pass","Fail")</f>
        <v>Pass</v>
      </c>
      <c r="I950" s="6">
        <f>IF(Benchmark2[[#This Row],[Comparable '#2 Date Check]]="Pass",INDEX(Comp2[Comparable '#2 Price],MATCH(Benchmark2[[#This Row],[Benchmark '#2 Dates]],Comp2[Comparable '#2 Dates],0)),"-")</f>
        <v>28.98</v>
      </c>
      <c r="J950" s="1" t="str">
        <f>IF(COUNTIF(Comp3[Comparable '#3 Dates],Benchmark2[[#This Row],[Benchmark '#2 Dates]])=1,"Pass","Fail")</f>
        <v>Pass</v>
      </c>
      <c r="K950" s="6">
        <f>IF(Benchmark2[[#This Row],[Comparable '#3 Date Check]]="Pass",INDEX(Comp3[Comparable '#3 Price],MATCH(Benchmark2[[#This Row],[Benchmark '#2 Dates]],Comp3[Comparable '#3 Dates],0)),"-")</f>
        <v>69.790000000000006</v>
      </c>
    </row>
    <row r="951" spans="1:11">
      <c r="A951" s="103">
        <v>44662</v>
      </c>
      <c r="B951" s="104">
        <v>16534.2042</v>
      </c>
      <c r="C951" s="4">
        <f t="shared" si="14"/>
        <v>-9.3757584742405111E-3</v>
      </c>
      <c r="D951" s="1" t="str">
        <f>IF(COUNTIF(Target1[Target Dates],Benchmark2[[#This Row],[Benchmark '#2 Dates]])=1,"Pass","Fail")</f>
        <v>Pass</v>
      </c>
      <c r="E951" s="6">
        <f>IF(Benchmark2[[#This Row],[Target Date Check]]="Pass",INDEX(Target1[Target Price],MATCH(Benchmark2[[#This Row],[Benchmark '#2 Dates]],Target1[Target Dates],0)),"-")</f>
        <v>33.46</v>
      </c>
      <c r="F951" s="1" t="str">
        <f>IF(COUNTIF(Comp1[Comparable '#1 Dates],Benchmark2[[#This Row],[Benchmark '#2 Dates]])=1,"Pass","Fail")</f>
        <v>Pass</v>
      </c>
      <c r="G951" s="6">
        <f>IF(Benchmark2[[#This Row],[Comparable '#1 Date Check]]="Pass",INDEX(Comp1[Comparable '#1 Price],MATCH(Benchmark2[[#This Row],[Benchmark '#2 Dates]],Comp1[Comparable '#1 Dates],0)),"-")</f>
        <v>11.53</v>
      </c>
      <c r="H951" s="1" t="str">
        <f>IF(COUNTIF(Comp2[Comparable '#2 Dates],Benchmark2[[#This Row],[Benchmark '#2 Dates]])=1,"Pass","Fail")</f>
        <v>Pass</v>
      </c>
      <c r="I951" s="6">
        <f>IF(Benchmark2[[#This Row],[Comparable '#2 Date Check]]="Pass",INDEX(Comp2[Comparable '#2 Price],MATCH(Benchmark2[[#This Row],[Benchmark '#2 Dates]],Comp2[Comparable '#2 Dates],0)),"-")</f>
        <v>28.71</v>
      </c>
      <c r="J951" s="1" t="str">
        <f>IF(COUNTIF(Comp3[Comparable '#3 Dates],Benchmark2[[#This Row],[Benchmark '#2 Dates]])=1,"Pass","Fail")</f>
        <v>Pass</v>
      </c>
      <c r="K951" s="6">
        <f>IF(Benchmark2[[#This Row],[Comparable '#3 Date Check]]="Pass",INDEX(Comp3[Comparable '#3 Price],MATCH(Benchmark2[[#This Row],[Benchmark '#2 Dates]],Comp3[Comparable '#3 Dates],0)),"-")</f>
        <v>69.11</v>
      </c>
    </row>
    <row r="952" spans="1:11">
      <c r="A952" s="103">
        <v>44663</v>
      </c>
      <c r="B952" s="104">
        <v>16465.991900000001</v>
      </c>
      <c r="C952" s="4">
        <f t="shared" si="14"/>
        <v>-4.1340601093113145E-3</v>
      </c>
      <c r="D952" s="1" t="str">
        <f>IF(COUNTIF(Target1[Target Dates],Benchmark2[[#This Row],[Benchmark '#2 Dates]])=1,"Pass","Fail")</f>
        <v>Pass</v>
      </c>
      <c r="E952" s="6">
        <f>IF(Benchmark2[[#This Row],[Target Date Check]]="Pass",INDEX(Target1[Target Price],MATCH(Benchmark2[[#This Row],[Benchmark '#2 Dates]],Target1[Target Dates],0)),"-")</f>
        <v>34.21</v>
      </c>
      <c r="F952" s="1" t="str">
        <f>IF(COUNTIF(Comp1[Comparable '#1 Dates],Benchmark2[[#This Row],[Benchmark '#2 Dates]])=1,"Pass","Fail")</f>
        <v>Pass</v>
      </c>
      <c r="G952" s="6">
        <f>IF(Benchmark2[[#This Row],[Comparable '#1 Date Check]]="Pass",INDEX(Comp1[Comparable '#1 Price],MATCH(Benchmark2[[#This Row],[Benchmark '#2 Dates]],Comp1[Comparable '#1 Dates],0)),"-")</f>
        <v>11.61</v>
      </c>
      <c r="H952" s="1" t="str">
        <f>IF(COUNTIF(Comp2[Comparable '#2 Dates],Benchmark2[[#This Row],[Benchmark '#2 Dates]])=1,"Pass","Fail")</f>
        <v>Pass</v>
      </c>
      <c r="I952" s="6">
        <f>IF(Benchmark2[[#This Row],[Comparable '#2 Date Check]]="Pass",INDEX(Comp2[Comparable '#2 Price],MATCH(Benchmark2[[#This Row],[Benchmark '#2 Dates]],Comp2[Comparable '#2 Dates],0)),"-")</f>
        <v>29.18</v>
      </c>
      <c r="J952" s="1" t="str">
        <f>IF(COUNTIF(Comp3[Comparable '#3 Dates],Benchmark2[[#This Row],[Benchmark '#2 Dates]])=1,"Pass","Fail")</f>
        <v>Pass</v>
      </c>
      <c r="K952" s="6">
        <f>IF(Benchmark2[[#This Row],[Comparable '#3 Date Check]]="Pass",INDEX(Comp3[Comparable '#3 Price],MATCH(Benchmark2[[#This Row],[Benchmark '#2 Dates]],Comp3[Comparable '#3 Dates],0)),"-")</f>
        <v>69.88</v>
      </c>
    </row>
    <row r="953" spans="1:11">
      <c r="A953" s="103">
        <v>44664</v>
      </c>
      <c r="B953" s="104">
        <v>16614.792700000002</v>
      </c>
      <c r="C953" s="4">
        <f t="shared" si="14"/>
        <v>8.9962680976589902E-3</v>
      </c>
      <c r="D953" s="1" t="str">
        <f>IF(COUNTIF(Target1[Target Dates],Benchmark2[[#This Row],[Benchmark '#2 Dates]])=1,"Pass","Fail")</f>
        <v>Pass</v>
      </c>
      <c r="E953" s="6">
        <f>IF(Benchmark2[[#This Row],[Target Date Check]]="Pass",INDEX(Target1[Target Price],MATCH(Benchmark2[[#This Row],[Benchmark '#2 Dates]],Target1[Target Dates],0)),"-")</f>
        <v>35.090000000000003</v>
      </c>
      <c r="F953" s="1" t="str">
        <f>IF(COUNTIF(Comp1[Comparable '#1 Dates],Benchmark2[[#This Row],[Benchmark '#2 Dates]])=1,"Pass","Fail")</f>
        <v>Pass</v>
      </c>
      <c r="G953" s="6">
        <f>IF(Benchmark2[[#This Row],[Comparable '#1 Date Check]]="Pass",INDEX(Comp1[Comparable '#1 Price],MATCH(Benchmark2[[#This Row],[Benchmark '#2 Dates]],Comp1[Comparable '#1 Dates],0)),"-")</f>
        <v>11.91</v>
      </c>
      <c r="H953" s="1" t="str">
        <f>IF(COUNTIF(Comp2[Comparable '#2 Dates],Benchmark2[[#This Row],[Benchmark '#2 Dates]])=1,"Pass","Fail")</f>
        <v>Pass</v>
      </c>
      <c r="I953" s="6">
        <f>IF(Benchmark2[[#This Row],[Comparable '#2 Date Check]]="Pass",INDEX(Comp2[Comparable '#2 Price],MATCH(Benchmark2[[#This Row],[Benchmark '#2 Dates]],Comp2[Comparable '#2 Dates],0)),"-")</f>
        <v>29.32</v>
      </c>
      <c r="J953" s="1" t="str">
        <f>IF(COUNTIF(Comp3[Comparable '#3 Dates],Benchmark2[[#This Row],[Benchmark '#2 Dates]])=1,"Pass","Fail")</f>
        <v>Pass</v>
      </c>
      <c r="K953" s="6">
        <f>IF(Benchmark2[[#This Row],[Comparable '#3 Date Check]]="Pass",INDEX(Comp3[Comparable '#3 Price],MATCH(Benchmark2[[#This Row],[Benchmark '#2 Dates]],Comp3[Comparable '#3 Dates],0)),"-")</f>
        <v>71.64</v>
      </c>
    </row>
    <row r="954" spans="1:11">
      <c r="A954" s="103">
        <v>44665</v>
      </c>
      <c r="B954" s="104">
        <v>16511.511999999999</v>
      </c>
      <c r="C954" s="4">
        <f t="shared" si="14"/>
        <v>-6.2355904521719961E-3</v>
      </c>
      <c r="D954" s="1" t="str">
        <f>IF(COUNTIF(Target1[Target Dates],Benchmark2[[#This Row],[Benchmark '#2 Dates]])=1,"Pass","Fail")</f>
        <v>Pass</v>
      </c>
      <c r="E954" s="6">
        <f>IF(Benchmark2[[#This Row],[Target Date Check]]="Pass",INDEX(Target1[Target Price],MATCH(Benchmark2[[#This Row],[Benchmark '#2 Dates]],Target1[Target Dates],0)),"-")</f>
        <v>34.54</v>
      </c>
      <c r="F954" s="1" t="str">
        <f>IF(COUNTIF(Comp1[Comparable '#1 Dates],Benchmark2[[#This Row],[Benchmark '#2 Dates]])=1,"Pass","Fail")</f>
        <v>Pass</v>
      </c>
      <c r="G954" s="6">
        <f>IF(Benchmark2[[#This Row],[Comparable '#1 Date Check]]="Pass",INDEX(Comp1[Comparable '#1 Price],MATCH(Benchmark2[[#This Row],[Benchmark '#2 Dates]],Comp1[Comparable '#1 Dates],0)),"-")</f>
        <v>12.05</v>
      </c>
      <c r="H954" s="1" t="str">
        <f>IF(COUNTIF(Comp2[Comparable '#2 Dates],Benchmark2[[#This Row],[Benchmark '#2 Dates]])=1,"Pass","Fail")</f>
        <v>Pass</v>
      </c>
      <c r="I954" s="6">
        <f>IF(Benchmark2[[#This Row],[Comparable '#2 Date Check]]="Pass",INDEX(Comp2[Comparable '#2 Price],MATCH(Benchmark2[[#This Row],[Benchmark '#2 Dates]],Comp2[Comparable '#2 Dates],0)),"-")</f>
        <v>29.67</v>
      </c>
      <c r="J954" s="1" t="str">
        <f>IF(COUNTIF(Comp3[Comparable '#3 Dates],Benchmark2[[#This Row],[Benchmark '#2 Dates]])=1,"Pass","Fail")</f>
        <v>Pass</v>
      </c>
      <c r="K954" s="6">
        <f>IF(Benchmark2[[#This Row],[Comparable '#3 Date Check]]="Pass",INDEX(Comp3[Comparable '#3 Price],MATCH(Benchmark2[[#This Row],[Benchmark '#2 Dates]],Comp3[Comparable '#3 Dates],0)),"-")</f>
        <v>72.3</v>
      </c>
    </row>
    <row r="955" spans="1:11">
      <c r="A955" s="103">
        <v>44669</v>
      </c>
      <c r="B955" s="104">
        <v>16466.212100000001</v>
      </c>
      <c r="C955" s="4">
        <f t="shared" si="14"/>
        <v>-2.7473047172733938E-3</v>
      </c>
      <c r="D955" s="1" t="str">
        <f>IF(COUNTIF(Target1[Target Dates],Benchmark2[[#This Row],[Benchmark '#2 Dates]])=1,"Pass","Fail")</f>
        <v>Pass</v>
      </c>
      <c r="E955" s="6">
        <f>IF(Benchmark2[[#This Row],[Target Date Check]]="Pass",INDEX(Target1[Target Price],MATCH(Benchmark2[[#This Row],[Benchmark '#2 Dates]],Target1[Target Dates],0)),"-")</f>
        <v>34.86</v>
      </c>
      <c r="F955" s="1" t="str">
        <f>IF(COUNTIF(Comp1[Comparable '#1 Dates],Benchmark2[[#This Row],[Benchmark '#2 Dates]])=1,"Pass","Fail")</f>
        <v>Pass</v>
      </c>
      <c r="G955" s="6">
        <f>IF(Benchmark2[[#This Row],[Comparable '#1 Date Check]]="Pass",INDEX(Comp1[Comparable '#1 Price],MATCH(Benchmark2[[#This Row],[Benchmark '#2 Dates]],Comp1[Comparable '#1 Dates],0)),"-")</f>
        <v>12.06</v>
      </c>
      <c r="H955" s="1" t="str">
        <f>IF(COUNTIF(Comp2[Comparable '#2 Dates],Benchmark2[[#This Row],[Benchmark '#2 Dates]])=1,"Pass","Fail")</f>
        <v>Pass</v>
      </c>
      <c r="I955" s="6">
        <f>IF(Benchmark2[[#This Row],[Comparable '#2 Date Check]]="Pass",INDEX(Comp2[Comparable '#2 Price],MATCH(Benchmark2[[#This Row],[Benchmark '#2 Dates]],Comp2[Comparable '#2 Dates],0)),"-")</f>
        <v>30.25</v>
      </c>
      <c r="J955" s="1" t="str">
        <f>IF(COUNTIF(Comp3[Comparable '#3 Dates],Benchmark2[[#This Row],[Benchmark '#2 Dates]])=1,"Pass","Fail")</f>
        <v>Pass</v>
      </c>
      <c r="K955" s="6">
        <f>IF(Benchmark2[[#This Row],[Comparable '#3 Date Check]]="Pass",INDEX(Comp3[Comparable '#3 Price],MATCH(Benchmark2[[#This Row],[Benchmark '#2 Dates]],Comp3[Comparable '#3 Dates],0)),"-")</f>
        <v>71.78</v>
      </c>
    </row>
    <row r="956" spans="1:11">
      <c r="A956" s="103">
        <v>44670</v>
      </c>
      <c r="B956" s="104">
        <v>16658.900300000001</v>
      </c>
      <c r="C956" s="4">
        <f t="shared" si="14"/>
        <v>1.1634096275107857E-2</v>
      </c>
      <c r="D956" s="1" t="str">
        <f>IF(COUNTIF(Target1[Target Dates],Benchmark2[[#This Row],[Benchmark '#2 Dates]])=1,"Pass","Fail")</f>
        <v>Pass</v>
      </c>
      <c r="E956" s="6">
        <f>IF(Benchmark2[[#This Row],[Target Date Check]]="Pass",INDEX(Target1[Target Price],MATCH(Benchmark2[[#This Row],[Benchmark '#2 Dates]],Target1[Target Dates],0)),"-")</f>
        <v>35.409999999999997</v>
      </c>
      <c r="F956" s="1" t="str">
        <f>IF(COUNTIF(Comp1[Comparable '#1 Dates],Benchmark2[[#This Row],[Benchmark '#2 Dates]])=1,"Pass","Fail")</f>
        <v>Pass</v>
      </c>
      <c r="G956" s="6">
        <f>IF(Benchmark2[[#This Row],[Comparable '#1 Date Check]]="Pass",INDEX(Comp1[Comparable '#1 Price],MATCH(Benchmark2[[#This Row],[Benchmark '#2 Dates]],Comp1[Comparable '#1 Dates],0)),"-")</f>
        <v>11.56</v>
      </c>
      <c r="H956" s="1" t="str">
        <f>IF(COUNTIF(Comp2[Comparable '#2 Dates],Benchmark2[[#This Row],[Benchmark '#2 Dates]])=1,"Pass","Fail")</f>
        <v>Pass</v>
      </c>
      <c r="I956" s="6">
        <f>IF(Benchmark2[[#This Row],[Comparable '#2 Date Check]]="Pass",INDEX(Comp2[Comparable '#2 Price],MATCH(Benchmark2[[#This Row],[Benchmark '#2 Dates]],Comp2[Comparable '#2 Dates],0)),"-")</f>
        <v>30.62</v>
      </c>
      <c r="J956" s="1" t="str">
        <f>IF(COUNTIF(Comp3[Comparable '#3 Dates],Benchmark2[[#This Row],[Benchmark '#2 Dates]])=1,"Pass","Fail")</f>
        <v>Pass</v>
      </c>
      <c r="K956" s="6">
        <f>IF(Benchmark2[[#This Row],[Comparable '#3 Date Check]]="Pass",INDEX(Comp3[Comparable '#3 Price],MATCH(Benchmark2[[#This Row],[Benchmark '#2 Dates]],Comp3[Comparable '#3 Dates],0)),"-")</f>
        <v>72.180000000000007</v>
      </c>
    </row>
    <row r="957" spans="1:11">
      <c r="A957" s="103">
        <v>44671</v>
      </c>
      <c r="B957" s="104">
        <v>16761.347099999999</v>
      </c>
      <c r="C957" s="4">
        <f t="shared" si="14"/>
        <v>6.1308415622709309E-3</v>
      </c>
      <c r="D957" s="1" t="str">
        <f>IF(COUNTIF(Target1[Target Dates],Benchmark2[[#This Row],[Benchmark '#2 Dates]])=1,"Pass","Fail")</f>
        <v>Pass</v>
      </c>
      <c r="E957" s="6">
        <f>IF(Benchmark2[[#This Row],[Target Date Check]]="Pass",INDEX(Target1[Target Price],MATCH(Benchmark2[[#This Row],[Benchmark '#2 Dates]],Target1[Target Dates],0)),"-")</f>
        <v>40.6</v>
      </c>
      <c r="F957" s="1" t="str">
        <f>IF(COUNTIF(Comp1[Comparable '#1 Dates],Benchmark2[[#This Row],[Benchmark '#2 Dates]])=1,"Pass","Fail")</f>
        <v>Pass</v>
      </c>
      <c r="G957" s="6">
        <f>IF(Benchmark2[[#This Row],[Comparable '#1 Date Check]]="Pass",INDEX(Comp1[Comparable '#1 Price],MATCH(Benchmark2[[#This Row],[Benchmark '#2 Dates]],Comp1[Comparable '#1 Dates],0)),"-")</f>
        <v>11.72</v>
      </c>
      <c r="H957" s="1" t="str">
        <f>IF(COUNTIF(Comp2[Comparable '#2 Dates],Benchmark2[[#This Row],[Benchmark '#2 Dates]])=1,"Pass","Fail")</f>
        <v>Pass</v>
      </c>
      <c r="I957" s="6">
        <f>IF(Benchmark2[[#This Row],[Comparable '#2 Date Check]]="Pass",INDEX(Comp2[Comparable '#2 Price],MATCH(Benchmark2[[#This Row],[Benchmark '#2 Dates]],Comp2[Comparable '#2 Dates],0)),"-")</f>
        <v>30.89</v>
      </c>
      <c r="J957" s="1" t="str">
        <f>IF(COUNTIF(Comp3[Comparable '#3 Dates],Benchmark2[[#This Row],[Benchmark '#2 Dates]])=1,"Pass","Fail")</f>
        <v>Pass</v>
      </c>
      <c r="K957" s="6">
        <f>IF(Benchmark2[[#This Row],[Comparable '#3 Date Check]]="Pass",INDEX(Comp3[Comparable '#3 Price],MATCH(Benchmark2[[#This Row],[Benchmark '#2 Dates]],Comp3[Comparable '#3 Dates],0)),"-")</f>
        <v>72.459999999999994</v>
      </c>
    </row>
    <row r="958" spans="1:11">
      <c r="A958" s="103">
        <v>44672</v>
      </c>
      <c r="B958" s="104">
        <v>16499.334599999998</v>
      </c>
      <c r="C958" s="4">
        <f t="shared" si="14"/>
        <v>-1.5755414898314581E-2</v>
      </c>
      <c r="D958" s="1" t="str">
        <f>IF(COUNTIF(Target1[Target Dates],Benchmark2[[#This Row],[Benchmark '#2 Dates]])=1,"Pass","Fail")</f>
        <v>Pass</v>
      </c>
      <c r="E958" s="6">
        <f>IF(Benchmark2[[#This Row],[Target Date Check]]="Pass",INDEX(Target1[Target Price],MATCH(Benchmark2[[#This Row],[Benchmark '#2 Dates]],Target1[Target Dates],0)),"-")</f>
        <v>37.21</v>
      </c>
      <c r="F958" s="1" t="str">
        <f>IF(COUNTIF(Comp1[Comparable '#1 Dates],Benchmark2[[#This Row],[Benchmark '#2 Dates]])=1,"Pass","Fail")</f>
        <v>Pass</v>
      </c>
      <c r="G958" s="6">
        <f>IF(Benchmark2[[#This Row],[Comparable '#1 Date Check]]="Pass",INDEX(Comp1[Comparable '#1 Price],MATCH(Benchmark2[[#This Row],[Benchmark '#2 Dates]],Comp1[Comparable '#1 Dates],0)),"-")</f>
        <v>11.6</v>
      </c>
      <c r="H958" s="1" t="str">
        <f>IF(COUNTIF(Comp2[Comparable '#2 Dates],Benchmark2[[#This Row],[Benchmark '#2 Dates]])=1,"Pass","Fail")</f>
        <v>Pass</v>
      </c>
      <c r="I958" s="6">
        <f>IF(Benchmark2[[#This Row],[Comparable '#2 Date Check]]="Pass",INDEX(Comp2[Comparable '#2 Price],MATCH(Benchmark2[[#This Row],[Benchmark '#2 Dates]],Comp2[Comparable '#2 Dates],0)),"-")</f>
        <v>30.25</v>
      </c>
      <c r="J958" s="1" t="str">
        <f>IF(COUNTIF(Comp3[Comparable '#3 Dates],Benchmark2[[#This Row],[Benchmark '#2 Dates]])=1,"Pass","Fail")</f>
        <v>Pass</v>
      </c>
      <c r="K958" s="6">
        <f>IF(Benchmark2[[#This Row],[Comparable '#3 Date Check]]="Pass",INDEX(Comp3[Comparable '#3 Price],MATCH(Benchmark2[[#This Row],[Benchmark '#2 Dates]],Comp3[Comparable '#3 Dates],0)),"-")</f>
        <v>71.06</v>
      </c>
    </row>
    <row r="959" spans="1:11">
      <c r="A959" s="103">
        <v>44673</v>
      </c>
      <c r="B959" s="104">
        <v>16056.866599999999</v>
      </c>
      <c r="C959" s="4">
        <f t="shared" si="14"/>
        <v>-2.7183469190699718E-2</v>
      </c>
      <c r="D959" s="1" t="str">
        <f>IF(COUNTIF(Target1[Target Dates],Benchmark2[[#This Row],[Benchmark '#2 Dates]])=1,"Pass","Fail")</f>
        <v>Pass</v>
      </c>
      <c r="E959" s="6">
        <f>IF(Benchmark2[[#This Row],[Target Date Check]]="Pass",INDEX(Target1[Target Price],MATCH(Benchmark2[[#This Row],[Benchmark '#2 Dates]],Target1[Target Dates],0)),"-")</f>
        <v>36.85</v>
      </c>
      <c r="F959" s="1" t="str">
        <f>IF(COUNTIF(Comp1[Comparable '#1 Dates],Benchmark2[[#This Row],[Benchmark '#2 Dates]])=1,"Pass","Fail")</f>
        <v>Pass</v>
      </c>
      <c r="G959" s="6">
        <f>IF(Benchmark2[[#This Row],[Comparable '#1 Date Check]]="Pass",INDEX(Comp1[Comparable '#1 Price],MATCH(Benchmark2[[#This Row],[Benchmark '#2 Dates]],Comp1[Comparable '#1 Dates],0)),"-")</f>
        <v>11.35</v>
      </c>
      <c r="H959" s="1" t="str">
        <f>IF(COUNTIF(Comp2[Comparable '#2 Dates],Benchmark2[[#This Row],[Benchmark '#2 Dates]])=1,"Pass","Fail")</f>
        <v>Pass</v>
      </c>
      <c r="I959" s="6">
        <f>IF(Benchmark2[[#This Row],[Comparable '#2 Date Check]]="Pass",INDEX(Comp2[Comparable '#2 Price],MATCH(Benchmark2[[#This Row],[Benchmark '#2 Dates]],Comp2[Comparable '#2 Dates],0)),"-")</f>
        <v>29.88</v>
      </c>
      <c r="J959" s="1" t="str">
        <f>IF(COUNTIF(Comp3[Comparable '#3 Dates],Benchmark2[[#This Row],[Benchmark '#2 Dates]])=1,"Pass","Fail")</f>
        <v>Pass</v>
      </c>
      <c r="K959" s="6">
        <f>IF(Benchmark2[[#This Row],[Comparable '#3 Date Check]]="Pass",INDEX(Comp3[Comparable '#3 Price],MATCH(Benchmark2[[#This Row],[Benchmark '#2 Dates]],Comp3[Comparable '#3 Dates],0)),"-")</f>
        <v>69.849999999999994</v>
      </c>
    </row>
    <row r="960" spans="1:11">
      <c r="A960" s="103">
        <v>44676</v>
      </c>
      <c r="B960" s="104">
        <v>16054.7647</v>
      </c>
      <c r="C960" s="4">
        <f t="shared" si="14"/>
        <v>-1.3091206630803579E-4</v>
      </c>
      <c r="D960" s="1" t="str">
        <f>IF(COUNTIF(Target1[Target Dates],Benchmark2[[#This Row],[Benchmark '#2 Dates]])=1,"Pass","Fail")</f>
        <v>Pass</v>
      </c>
      <c r="E960" s="6">
        <f>IF(Benchmark2[[#This Row],[Target Date Check]]="Pass",INDEX(Target1[Target Price],MATCH(Benchmark2[[#This Row],[Benchmark '#2 Dates]],Target1[Target Dates],0)),"-")</f>
        <v>37.1</v>
      </c>
      <c r="F960" s="1" t="str">
        <f>IF(COUNTIF(Comp1[Comparable '#1 Dates],Benchmark2[[#This Row],[Benchmark '#2 Dates]])=1,"Pass","Fail")</f>
        <v>Pass</v>
      </c>
      <c r="G960" s="6">
        <f>IF(Benchmark2[[#This Row],[Comparable '#1 Date Check]]="Pass",INDEX(Comp1[Comparable '#1 Price],MATCH(Benchmark2[[#This Row],[Benchmark '#2 Dates]],Comp1[Comparable '#1 Dates],0)),"-")</f>
        <v>11.64</v>
      </c>
      <c r="H960" s="1" t="str">
        <f>IF(COUNTIF(Comp2[Comparable '#2 Dates],Benchmark2[[#This Row],[Benchmark '#2 Dates]])=1,"Pass","Fail")</f>
        <v>Pass</v>
      </c>
      <c r="I960" s="6">
        <f>IF(Benchmark2[[#This Row],[Comparable '#2 Date Check]]="Pass",INDEX(Comp2[Comparable '#2 Price],MATCH(Benchmark2[[#This Row],[Benchmark '#2 Dates]],Comp2[Comparable '#2 Dates],0)),"-")</f>
        <v>30.07</v>
      </c>
      <c r="J960" s="1" t="str">
        <f>IF(COUNTIF(Comp3[Comparable '#3 Dates],Benchmark2[[#This Row],[Benchmark '#2 Dates]])=1,"Pass","Fail")</f>
        <v>Pass</v>
      </c>
      <c r="K960" s="6">
        <f>IF(Benchmark2[[#This Row],[Comparable '#3 Date Check]]="Pass",INDEX(Comp3[Comparable '#3 Price],MATCH(Benchmark2[[#This Row],[Benchmark '#2 Dates]],Comp3[Comparable '#3 Dates],0)),"-")</f>
        <v>71.06</v>
      </c>
    </row>
    <row r="961" spans="1:11">
      <c r="A961" s="103">
        <v>44677</v>
      </c>
      <c r="B961" s="104">
        <v>15694.237800000001</v>
      </c>
      <c r="C961" s="4">
        <f t="shared" si="14"/>
        <v>-2.2712045685648441E-2</v>
      </c>
      <c r="D961" s="1" t="str">
        <f>IF(COUNTIF(Target1[Target Dates],Benchmark2[[#This Row],[Benchmark '#2 Dates]])=1,"Pass","Fail")</f>
        <v>Pass</v>
      </c>
      <c r="E961" s="6">
        <f>IF(Benchmark2[[#This Row],[Target Date Check]]="Pass",INDEX(Target1[Target Price],MATCH(Benchmark2[[#This Row],[Benchmark '#2 Dates]],Target1[Target Dates],0)),"-")</f>
        <v>36.9</v>
      </c>
      <c r="F961" s="1" t="str">
        <f>IF(COUNTIF(Comp1[Comparable '#1 Dates],Benchmark2[[#This Row],[Benchmark '#2 Dates]])=1,"Pass","Fail")</f>
        <v>Pass</v>
      </c>
      <c r="G961" s="6">
        <f>IF(Benchmark2[[#This Row],[Comparable '#1 Date Check]]="Pass",INDEX(Comp1[Comparable '#1 Price],MATCH(Benchmark2[[#This Row],[Benchmark '#2 Dates]],Comp1[Comparable '#1 Dates],0)),"-")</f>
        <v>11.63</v>
      </c>
      <c r="H961" s="1" t="str">
        <f>IF(COUNTIF(Comp2[Comparable '#2 Dates],Benchmark2[[#This Row],[Benchmark '#2 Dates]])=1,"Pass","Fail")</f>
        <v>Pass</v>
      </c>
      <c r="I961" s="6">
        <f>IF(Benchmark2[[#This Row],[Comparable '#2 Date Check]]="Pass",INDEX(Comp2[Comparable '#2 Price],MATCH(Benchmark2[[#This Row],[Benchmark '#2 Dates]],Comp2[Comparable '#2 Dates],0)),"-")</f>
        <v>30.12</v>
      </c>
      <c r="J961" s="1" t="str">
        <f>IF(COUNTIF(Comp3[Comparable '#3 Dates],Benchmark2[[#This Row],[Benchmark '#2 Dates]])=1,"Pass","Fail")</f>
        <v>Pass</v>
      </c>
      <c r="K961" s="6">
        <f>IF(Benchmark2[[#This Row],[Comparable '#3 Date Check]]="Pass",INDEX(Comp3[Comparable '#3 Price],MATCH(Benchmark2[[#This Row],[Benchmark '#2 Dates]],Comp3[Comparable '#3 Dates],0)),"-")</f>
        <v>69.98</v>
      </c>
    </row>
    <row r="962" spans="1:11">
      <c r="A962" s="103">
        <v>44678</v>
      </c>
      <c r="B962" s="104">
        <v>15741.818499999999</v>
      </c>
      <c r="C962" s="4">
        <f t="shared" ref="C962:C1025" si="15">IFERROR(IF(B962="",NA(),LN(B962/B961)),"-")</f>
        <v>3.0271441099440671E-3</v>
      </c>
      <c r="D962" s="1" t="str">
        <f>IF(COUNTIF(Target1[Target Dates],Benchmark2[[#This Row],[Benchmark '#2 Dates]])=1,"Pass","Fail")</f>
        <v>Pass</v>
      </c>
      <c r="E962" s="6">
        <f>IF(Benchmark2[[#This Row],[Target Date Check]]="Pass",INDEX(Target1[Target Price],MATCH(Benchmark2[[#This Row],[Benchmark '#2 Dates]],Target1[Target Dates],0)),"-")</f>
        <v>37.659999999999997</v>
      </c>
      <c r="F962" s="1" t="str">
        <f>IF(COUNTIF(Comp1[Comparable '#1 Dates],Benchmark2[[#This Row],[Benchmark '#2 Dates]])=1,"Pass","Fail")</f>
        <v>Pass</v>
      </c>
      <c r="G962" s="6">
        <f>IF(Benchmark2[[#This Row],[Comparable '#1 Date Check]]="Pass",INDEX(Comp1[Comparable '#1 Price],MATCH(Benchmark2[[#This Row],[Benchmark '#2 Dates]],Comp1[Comparable '#1 Dates],0)),"-")</f>
        <v>11.68</v>
      </c>
      <c r="H962" s="1" t="str">
        <f>IF(COUNTIF(Comp2[Comparable '#2 Dates],Benchmark2[[#This Row],[Benchmark '#2 Dates]])=1,"Pass","Fail")</f>
        <v>Pass</v>
      </c>
      <c r="I962" s="6">
        <f>IF(Benchmark2[[#This Row],[Comparable '#2 Date Check]]="Pass",INDEX(Comp2[Comparable '#2 Price],MATCH(Benchmark2[[#This Row],[Benchmark '#2 Dates]],Comp2[Comparable '#2 Dates],0)),"-")</f>
        <v>29.81</v>
      </c>
      <c r="J962" s="1" t="str">
        <f>IF(COUNTIF(Comp3[Comparable '#3 Dates],Benchmark2[[#This Row],[Benchmark '#2 Dates]])=1,"Pass","Fail")</f>
        <v>Pass</v>
      </c>
      <c r="K962" s="6">
        <f>IF(Benchmark2[[#This Row],[Comparable '#3 Date Check]]="Pass",INDEX(Comp3[Comparable '#3 Price],MATCH(Benchmark2[[#This Row],[Benchmark '#2 Dates]],Comp3[Comparable '#3 Dates],0)),"-")</f>
        <v>69.89</v>
      </c>
    </row>
    <row r="963" spans="1:11">
      <c r="A963" s="103">
        <v>44679</v>
      </c>
      <c r="B963" s="104">
        <v>16032.6759</v>
      </c>
      <c r="C963" s="4">
        <f t="shared" si="15"/>
        <v>1.8308113456978924E-2</v>
      </c>
      <c r="D963" s="1" t="str">
        <f>IF(COUNTIF(Target1[Target Dates],Benchmark2[[#This Row],[Benchmark '#2 Dates]])=1,"Pass","Fail")</f>
        <v>Pass</v>
      </c>
      <c r="E963" s="6">
        <f>IF(Benchmark2[[#This Row],[Target Date Check]]="Pass",INDEX(Target1[Target Price],MATCH(Benchmark2[[#This Row],[Benchmark '#2 Dates]],Target1[Target Dates],0)),"-")</f>
        <v>38.96</v>
      </c>
      <c r="F963" s="1" t="str">
        <f>IF(COUNTIF(Comp1[Comparable '#1 Dates],Benchmark2[[#This Row],[Benchmark '#2 Dates]])=1,"Pass","Fail")</f>
        <v>Pass</v>
      </c>
      <c r="G963" s="6">
        <f>IF(Benchmark2[[#This Row],[Comparable '#1 Date Check]]="Pass",INDEX(Comp1[Comparable '#1 Price],MATCH(Benchmark2[[#This Row],[Benchmark '#2 Dates]],Comp1[Comparable '#1 Dates],0)),"-")</f>
        <v>11.58</v>
      </c>
      <c r="H963" s="1" t="str">
        <f>IF(COUNTIF(Comp2[Comparable '#2 Dates],Benchmark2[[#This Row],[Benchmark '#2 Dates]])=1,"Pass","Fail")</f>
        <v>Pass</v>
      </c>
      <c r="I963" s="6">
        <f>IF(Benchmark2[[#This Row],[Comparable '#2 Date Check]]="Pass",INDEX(Comp2[Comparable '#2 Price],MATCH(Benchmark2[[#This Row],[Benchmark '#2 Dates]],Comp2[Comparable '#2 Dates],0)),"-")</f>
        <v>30.13</v>
      </c>
      <c r="J963" s="1" t="str">
        <f>IF(COUNTIF(Comp3[Comparable '#3 Dates],Benchmark2[[#This Row],[Benchmark '#2 Dates]])=1,"Pass","Fail")</f>
        <v>Pass</v>
      </c>
      <c r="K963" s="6">
        <f>IF(Benchmark2[[#This Row],[Comparable '#3 Date Check]]="Pass",INDEX(Comp3[Comparable '#3 Price],MATCH(Benchmark2[[#This Row],[Benchmark '#2 Dates]],Comp3[Comparable '#3 Dates],0)),"-")</f>
        <v>66.86</v>
      </c>
    </row>
    <row r="964" spans="1:11">
      <c r="A964" s="103">
        <v>44680</v>
      </c>
      <c r="B964" s="104">
        <v>15615.2508</v>
      </c>
      <c r="C964" s="4">
        <f t="shared" si="15"/>
        <v>-2.6380831359503653E-2</v>
      </c>
      <c r="D964" s="1" t="str">
        <f>IF(COUNTIF(Target1[Target Dates],Benchmark2[[#This Row],[Benchmark '#2 Dates]])=1,"Pass","Fail")</f>
        <v>Pass</v>
      </c>
      <c r="E964" s="6">
        <f>IF(Benchmark2[[#This Row],[Target Date Check]]="Pass",INDEX(Target1[Target Price],MATCH(Benchmark2[[#This Row],[Benchmark '#2 Dates]],Target1[Target Dates],0)),"-")</f>
        <v>39.299999999999997</v>
      </c>
      <c r="F964" s="1" t="str">
        <f>IF(COUNTIF(Comp1[Comparable '#1 Dates],Benchmark2[[#This Row],[Benchmark '#2 Dates]])=1,"Pass","Fail")</f>
        <v>Pass</v>
      </c>
      <c r="G964" s="6">
        <f>IF(Benchmark2[[#This Row],[Comparable '#1 Date Check]]="Pass",INDEX(Comp1[Comparable '#1 Price],MATCH(Benchmark2[[#This Row],[Benchmark '#2 Dates]],Comp1[Comparable '#1 Dates],0)),"-")</f>
        <v>11.33</v>
      </c>
      <c r="H964" s="1" t="str">
        <f>IF(COUNTIF(Comp2[Comparable '#2 Dates],Benchmark2[[#This Row],[Benchmark '#2 Dates]])=1,"Pass","Fail")</f>
        <v>Pass</v>
      </c>
      <c r="I964" s="6">
        <f>IF(Benchmark2[[#This Row],[Comparable '#2 Date Check]]="Pass",INDEX(Comp2[Comparable '#2 Price],MATCH(Benchmark2[[#This Row],[Benchmark '#2 Dates]],Comp2[Comparable '#2 Dates],0)),"-")</f>
        <v>29.31</v>
      </c>
      <c r="J964" s="1" t="str">
        <f>IF(COUNTIF(Comp3[Comparable '#3 Dates],Benchmark2[[#This Row],[Benchmark '#2 Dates]])=1,"Pass","Fail")</f>
        <v>Pass</v>
      </c>
      <c r="K964" s="6">
        <f>IF(Benchmark2[[#This Row],[Comparable '#3 Date Check]]="Pass",INDEX(Comp3[Comparable '#3 Price],MATCH(Benchmark2[[#This Row],[Benchmark '#2 Dates]],Comp3[Comparable '#3 Dates],0)),"-")</f>
        <v>64.599999999999994</v>
      </c>
    </row>
    <row r="965" spans="1:11">
      <c r="A965" s="103">
        <v>44683</v>
      </c>
      <c r="B965" s="104">
        <v>15609.2811</v>
      </c>
      <c r="C965" s="4">
        <f t="shared" si="15"/>
        <v>-3.8237243023228612E-4</v>
      </c>
      <c r="D965" s="1" t="str">
        <f>IF(COUNTIF(Target1[Target Dates],Benchmark2[[#This Row],[Benchmark '#2 Dates]])=1,"Pass","Fail")</f>
        <v>Pass</v>
      </c>
      <c r="E965" s="6">
        <f>IF(Benchmark2[[#This Row],[Target Date Check]]="Pass",INDEX(Target1[Target Price],MATCH(Benchmark2[[#This Row],[Benchmark '#2 Dates]],Target1[Target Dates],0)),"-")</f>
        <v>38.79</v>
      </c>
      <c r="F965" s="1" t="str">
        <f>IF(COUNTIF(Comp1[Comparable '#1 Dates],Benchmark2[[#This Row],[Benchmark '#2 Dates]])=1,"Pass","Fail")</f>
        <v>Pass</v>
      </c>
      <c r="G965" s="6">
        <f>IF(Benchmark2[[#This Row],[Comparable '#1 Date Check]]="Pass",INDEX(Comp1[Comparable '#1 Price],MATCH(Benchmark2[[#This Row],[Benchmark '#2 Dates]],Comp1[Comparable '#1 Dates],0)),"-")</f>
        <v>11.32</v>
      </c>
      <c r="H965" s="1" t="str">
        <f>IF(COUNTIF(Comp2[Comparable '#2 Dates],Benchmark2[[#This Row],[Benchmark '#2 Dates]])=1,"Pass","Fail")</f>
        <v>Pass</v>
      </c>
      <c r="I965" s="6">
        <f>IF(Benchmark2[[#This Row],[Comparable '#2 Date Check]]="Pass",INDEX(Comp2[Comparable '#2 Price],MATCH(Benchmark2[[#This Row],[Benchmark '#2 Dates]],Comp2[Comparable '#2 Dates],0)),"-")</f>
        <v>29.67</v>
      </c>
      <c r="J965" s="1" t="str">
        <f>IF(COUNTIF(Comp3[Comparable '#3 Dates],Benchmark2[[#This Row],[Benchmark '#2 Dates]])=1,"Pass","Fail")</f>
        <v>Pass</v>
      </c>
      <c r="K965" s="6">
        <f>IF(Benchmark2[[#This Row],[Comparable '#3 Date Check]]="Pass",INDEX(Comp3[Comparable '#3 Price],MATCH(Benchmark2[[#This Row],[Benchmark '#2 Dates]],Comp3[Comparable '#3 Dates],0)),"-")</f>
        <v>66.89</v>
      </c>
    </row>
    <row r="966" spans="1:11">
      <c r="A966" s="103">
        <v>44684</v>
      </c>
      <c r="B966" s="104">
        <v>15729.525100000001</v>
      </c>
      <c r="C966" s="4">
        <f t="shared" si="15"/>
        <v>7.6738462408927812E-3</v>
      </c>
      <c r="D966" s="1" t="str">
        <f>IF(COUNTIF(Target1[Target Dates],Benchmark2[[#This Row],[Benchmark '#2 Dates]])=1,"Pass","Fail")</f>
        <v>Pass</v>
      </c>
      <c r="E966" s="6">
        <f>IF(Benchmark2[[#This Row],[Target Date Check]]="Pass",INDEX(Target1[Target Price],MATCH(Benchmark2[[#This Row],[Benchmark '#2 Dates]],Target1[Target Dates],0)),"-")</f>
        <v>38.11</v>
      </c>
      <c r="F966" s="1" t="str">
        <f>IF(COUNTIF(Comp1[Comparable '#1 Dates],Benchmark2[[#This Row],[Benchmark '#2 Dates]])=1,"Pass","Fail")</f>
        <v>Pass</v>
      </c>
      <c r="G966" s="6">
        <f>IF(Benchmark2[[#This Row],[Comparable '#1 Date Check]]="Pass",INDEX(Comp1[Comparable '#1 Price],MATCH(Benchmark2[[#This Row],[Benchmark '#2 Dates]],Comp1[Comparable '#1 Dates],0)),"-")</f>
        <v>11.33</v>
      </c>
      <c r="H966" s="1" t="str">
        <f>IF(COUNTIF(Comp2[Comparable '#2 Dates],Benchmark2[[#This Row],[Benchmark '#2 Dates]])=1,"Pass","Fail")</f>
        <v>Pass</v>
      </c>
      <c r="I966" s="6">
        <f>IF(Benchmark2[[#This Row],[Comparable '#2 Date Check]]="Pass",INDEX(Comp2[Comparable '#2 Price],MATCH(Benchmark2[[#This Row],[Benchmark '#2 Dates]],Comp2[Comparable '#2 Dates],0)),"-")</f>
        <v>28.92</v>
      </c>
      <c r="J966" s="1" t="str">
        <f>IF(COUNTIF(Comp3[Comparable '#3 Dates],Benchmark2[[#This Row],[Benchmark '#2 Dates]])=1,"Pass","Fail")</f>
        <v>Pass</v>
      </c>
      <c r="K966" s="6">
        <f>IF(Benchmark2[[#This Row],[Comparable '#3 Date Check]]="Pass",INDEX(Comp3[Comparable '#3 Price],MATCH(Benchmark2[[#This Row],[Benchmark '#2 Dates]],Comp3[Comparable '#3 Dates],0)),"-")</f>
        <v>64.849999999999994</v>
      </c>
    </row>
    <row r="967" spans="1:11">
      <c r="A967" s="103">
        <v>44685</v>
      </c>
      <c r="B967" s="104">
        <v>16119.6077</v>
      </c>
      <c r="C967" s="4">
        <f t="shared" si="15"/>
        <v>2.4496874657998473E-2</v>
      </c>
      <c r="D967" s="1" t="str">
        <f>IF(COUNTIF(Target1[Target Dates],Benchmark2[[#This Row],[Benchmark '#2 Dates]])=1,"Pass","Fail")</f>
        <v>Pass</v>
      </c>
      <c r="E967" s="6">
        <f>IF(Benchmark2[[#This Row],[Target Date Check]]="Pass",INDEX(Target1[Target Price],MATCH(Benchmark2[[#This Row],[Benchmark '#2 Dates]],Target1[Target Dates],0)),"-")</f>
        <v>38.6</v>
      </c>
      <c r="F967" s="1" t="str">
        <f>IF(COUNTIF(Comp1[Comparable '#1 Dates],Benchmark2[[#This Row],[Benchmark '#2 Dates]])=1,"Pass","Fail")</f>
        <v>Pass</v>
      </c>
      <c r="G967" s="6">
        <f>IF(Benchmark2[[#This Row],[Comparable '#1 Date Check]]="Pass",INDEX(Comp1[Comparable '#1 Price],MATCH(Benchmark2[[#This Row],[Benchmark '#2 Dates]],Comp1[Comparable '#1 Dates],0)),"-")</f>
        <v>11.36</v>
      </c>
      <c r="H967" s="1" t="str">
        <f>IF(COUNTIF(Comp2[Comparable '#2 Dates],Benchmark2[[#This Row],[Benchmark '#2 Dates]])=1,"Pass","Fail")</f>
        <v>Pass</v>
      </c>
      <c r="I967" s="6">
        <f>IF(Benchmark2[[#This Row],[Comparable '#2 Date Check]]="Pass",INDEX(Comp2[Comparable '#2 Price],MATCH(Benchmark2[[#This Row],[Benchmark '#2 Dates]],Comp2[Comparable '#2 Dates],0)),"-")</f>
        <v>29.02</v>
      </c>
      <c r="J967" s="1" t="str">
        <f>IF(COUNTIF(Comp3[Comparable '#3 Dates],Benchmark2[[#This Row],[Benchmark '#2 Dates]])=1,"Pass","Fail")</f>
        <v>Pass</v>
      </c>
      <c r="K967" s="6">
        <f>IF(Benchmark2[[#This Row],[Comparable '#3 Date Check]]="Pass",INDEX(Comp3[Comparable '#3 Price],MATCH(Benchmark2[[#This Row],[Benchmark '#2 Dates]],Comp3[Comparable '#3 Dates],0)),"-")</f>
        <v>65.430000000000007</v>
      </c>
    </row>
    <row r="968" spans="1:11">
      <c r="A968" s="103">
        <v>44686</v>
      </c>
      <c r="B968" s="104">
        <v>15652.606900000001</v>
      </c>
      <c r="C968" s="4">
        <f t="shared" si="15"/>
        <v>-2.9398922360117281E-2</v>
      </c>
      <c r="D968" s="1" t="str">
        <f>IF(COUNTIF(Target1[Target Dates],Benchmark2[[#This Row],[Benchmark '#2 Dates]])=1,"Pass","Fail")</f>
        <v>Pass</v>
      </c>
      <c r="E968" s="6">
        <f>IF(Benchmark2[[#This Row],[Target Date Check]]="Pass",INDEX(Target1[Target Price],MATCH(Benchmark2[[#This Row],[Benchmark '#2 Dates]],Target1[Target Dates],0)),"-")</f>
        <v>37.61</v>
      </c>
      <c r="F968" s="1" t="str">
        <f>IF(COUNTIF(Comp1[Comparable '#1 Dates],Benchmark2[[#This Row],[Benchmark '#2 Dates]])=1,"Pass","Fail")</f>
        <v>Pass</v>
      </c>
      <c r="G968" s="6">
        <f>IF(Benchmark2[[#This Row],[Comparable '#1 Date Check]]="Pass",INDEX(Comp1[Comparable '#1 Price],MATCH(Benchmark2[[#This Row],[Benchmark '#2 Dates]],Comp1[Comparable '#1 Dates],0)),"-")</f>
        <v>11.97</v>
      </c>
      <c r="H968" s="1" t="str">
        <f>IF(COUNTIF(Comp2[Comparable '#2 Dates],Benchmark2[[#This Row],[Benchmark '#2 Dates]])=1,"Pass","Fail")</f>
        <v>Pass</v>
      </c>
      <c r="I968" s="6">
        <f>IF(Benchmark2[[#This Row],[Comparable '#2 Date Check]]="Pass",INDEX(Comp2[Comparable '#2 Price],MATCH(Benchmark2[[#This Row],[Benchmark '#2 Dates]],Comp2[Comparable '#2 Dates],0)),"-")</f>
        <v>28.22</v>
      </c>
      <c r="J968" s="1" t="str">
        <f>IF(COUNTIF(Comp3[Comparable '#3 Dates],Benchmark2[[#This Row],[Benchmark '#2 Dates]])=1,"Pass","Fail")</f>
        <v>Pass</v>
      </c>
      <c r="K968" s="6">
        <f>IF(Benchmark2[[#This Row],[Comparable '#3 Date Check]]="Pass",INDEX(Comp3[Comparable '#3 Price],MATCH(Benchmark2[[#This Row],[Benchmark '#2 Dates]],Comp3[Comparable '#3 Dates],0)),"-")</f>
        <v>64.48</v>
      </c>
    </row>
    <row r="969" spans="1:11">
      <c r="A969" s="103">
        <v>44687</v>
      </c>
      <c r="B969" s="104">
        <v>15566.555</v>
      </c>
      <c r="C969" s="4">
        <f t="shared" si="15"/>
        <v>-5.5127756604711727E-3</v>
      </c>
      <c r="D969" s="1" t="str">
        <f>IF(COUNTIF(Target1[Target Dates],Benchmark2[[#This Row],[Benchmark '#2 Dates]])=1,"Pass","Fail")</f>
        <v>Pass</v>
      </c>
      <c r="E969" s="6">
        <f>IF(Benchmark2[[#This Row],[Target Date Check]]="Pass",INDEX(Target1[Target Price],MATCH(Benchmark2[[#This Row],[Benchmark '#2 Dates]],Target1[Target Dates],0)),"-")</f>
        <v>37.51</v>
      </c>
      <c r="F969" s="1" t="str">
        <f>IF(COUNTIF(Comp1[Comparable '#1 Dates],Benchmark2[[#This Row],[Benchmark '#2 Dates]])=1,"Pass","Fail")</f>
        <v>Pass</v>
      </c>
      <c r="G969" s="6">
        <f>IF(Benchmark2[[#This Row],[Comparable '#1 Date Check]]="Pass",INDEX(Comp1[Comparable '#1 Price],MATCH(Benchmark2[[#This Row],[Benchmark '#2 Dates]],Comp1[Comparable '#1 Dates],0)),"-")</f>
        <v>11.69</v>
      </c>
      <c r="H969" s="1" t="str">
        <f>IF(COUNTIF(Comp2[Comparable '#2 Dates],Benchmark2[[#This Row],[Benchmark '#2 Dates]])=1,"Pass","Fail")</f>
        <v>Pass</v>
      </c>
      <c r="I969" s="6">
        <f>IF(Benchmark2[[#This Row],[Comparable '#2 Date Check]]="Pass",INDEX(Comp2[Comparable '#2 Price],MATCH(Benchmark2[[#This Row],[Benchmark '#2 Dates]],Comp2[Comparable '#2 Dates],0)),"-")</f>
        <v>30.87</v>
      </c>
      <c r="J969" s="1" t="str">
        <f>IF(COUNTIF(Comp3[Comparable '#3 Dates],Benchmark2[[#This Row],[Benchmark '#2 Dates]])=1,"Pass","Fail")</f>
        <v>Pass</v>
      </c>
      <c r="K969" s="6">
        <f>IF(Benchmark2[[#This Row],[Comparable '#3 Date Check]]="Pass",INDEX(Comp3[Comparable '#3 Price],MATCH(Benchmark2[[#This Row],[Benchmark '#2 Dates]],Comp3[Comparable '#3 Dates],0)),"-")</f>
        <v>63.51</v>
      </c>
    </row>
    <row r="970" spans="1:11">
      <c r="A970" s="103">
        <v>44690</v>
      </c>
      <c r="B970" s="104">
        <v>15057.8732</v>
      </c>
      <c r="C970" s="4">
        <f t="shared" si="15"/>
        <v>-3.3223711914010579E-2</v>
      </c>
      <c r="D970" s="1" t="str">
        <f>IF(COUNTIF(Target1[Target Dates],Benchmark2[[#This Row],[Benchmark '#2 Dates]])=1,"Pass","Fail")</f>
        <v>Pass</v>
      </c>
      <c r="E970" s="6">
        <f>IF(Benchmark2[[#This Row],[Target Date Check]]="Pass",INDEX(Target1[Target Price],MATCH(Benchmark2[[#This Row],[Benchmark '#2 Dates]],Target1[Target Dates],0)),"-")</f>
        <v>36.61</v>
      </c>
      <c r="F970" s="1" t="str">
        <f>IF(COUNTIF(Comp1[Comparable '#1 Dates],Benchmark2[[#This Row],[Benchmark '#2 Dates]])=1,"Pass","Fail")</f>
        <v>Pass</v>
      </c>
      <c r="G970" s="6">
        <f>IF(Benchmark2[[#This Row],[Comparable '#1 Date Check]]="Pass",INDEX(Comp1[Comparable '#1 Price],MATCH(Benchmark2[[#This Row],[Benchmark '#2 Dates]],Comp1[Comparable '#1 Dates],0)),"-")</f>
        <v>11.48</v>
      </c>
      <c r="H970" s="1" t="str">
        <f>IF(COUNTIF(Comp2[Comparable '#2 Dates],Benchmark2[[#This Row],[Benchmark '#2 Dates]])=1,"Pass","Fail")</f>
        <v>Pass</v>
      </c>
      <c r="I970" s="6">
        <f>IF(Benchmark2[[#This Row],[Comparable '#2 Date Check]]="Pass",INDEX(Comp2[Comparable '#2 Price],MATCH(Benchmark2[[#This Row],[Benchmark '#2 Dates]],Comp2[Comparable '#2 Dates],0)),"-")</f>
        <v>31.47</v>
      </c>
      <c r="J970" s="1" t="str">
        <f>IF(COUNTIF(Comp3[Comparable '#3 Dates],Benchmark2[[#This Row],[Benchmark '#2 Dates]])=1,"Pass","Fail")</f>
        <v>Pass</v>
      </c>
      <c r="K970" s="6">
        <f>IF(Benchmark2[[#This Row],[Comparable '#3 Date Check]]="Pass",INDEX(Comp3[Comparable '#3 Price],MATCH(Benchmark2[[#This Row],[Benchmark '#2 Dates]],Comp3[Comparable '#3 Dates],0)),"-")</f>
        <v>63.14</v>
      </c>
    </row>
    <row r="971" spans="1:11">
      <c r="A971" s="103">
        <v>44691</v>
      </c>
      <c r="B971" s="104">
        <v>15025.742399999999</v>
      </c>
      <c r="C971" s="4">
        <f t="shared" si="15"/>
        <v>-2.1361004371785808E-3</v>
      </c>
      <c r="D971" s="1" t="str">
        <f>IF(COUNTIF(Target1[Target Dates],Benchmark2[[#This Row],[Benchmark '#2 Dates]])=1,"Pass","Fail")</f>
        <v>Pass</v>
      </c>
      <c r="E971" s="6">
        <f>IF(Benchmark2[[#This Row],[Target Date Check]]="Pass",INDEX(Target1[Target Price],MATCH(Benchmark2[[#This Row],[Benchmark '#2 Dates]],Target1[Target Dates],0)),"-")</f>
        <v>36.090000000000003</v>
      </c>
      <c r="F971" s="1" t="str">
        <f>IF(COUNTIF(Comp1[Comparable '#1 Dates],Benchmark2[[#This Row],[Benchmark '#2 Dates]])=1,"Pass","Fail")</f>
        <v>Pass</v>
      </c>
      <c r="G971" s="6">
        <f>IF(Benchmark2[[#This Row],[Comparable '#1 Date Check]]="Pass",INDEX(Comp1[Comparable '#1 Price],MATCH(Benchmark2[[#This Row],[Benchmark '#2 Dates]],Comp1[Comparable '#1 Dates],0)),"-")</f>
        <v>11.49</v>
      </c>
      <c r="H971" s="1" t="str">
        <f>IF(COUNTIF(Comp2[Comparable '#2 Dates],Benchmark2[[#This Row],[Benchmark '#2 Dates]])=1,"Pass","Fail")</f>
        <v>Pass</v>
      </c>
      <c r="I971" s="6">
        <f>IF(Benchmark2[[#This Row],[Comparable '#2 Date Check]]="Pass",INDEX(Comp2[Comparable '#2 Price],MATCH(Benchmark2[[#This Row],[Benchmark '#2 Dates]],Comp2[Comparable '#2 Dates],0)),"-")</f>
        <v>32.18</v>
      </c>
      <c r="J971" s="1" t="str">
        <f>IF(COUNTIF(Comp3[Comparable '#3 Dates],Benchmark2[[#This Row],[Benchmark '#2 Dates]])=1,"Pass","Fail")</f>
        <v>Pass</v>
      </c>
      <c r="K971" s="6">
        <f>IF(Benchmark2[[#This Row],[Comparable '#3 Date Check]]="Pass",INDEX(Comp3[Comparable '#3 Price],MATCH(Benchmark2[[#This Row],[Benchmark '#2 Dates]],Comp3[Comparable '#3 Dates],0)),"-")</f>
        <v>62.88</v>
      </c>
    </row>
    <row r="972" spans="1:11">
      <c r="A972" s="103">
        <v>44692</v>
      </c>
      <c r="B972" s="104">
        <v>14902.1414</v>
      </c>
      <c r="C972" s="4">
        <f t="shared" si="15"/>
        <v>-8.2599694365269836E-3</v>
      </c>
      <c r="D972" s="1" t="str">
        <f>IF(COUNTIF(Target1[Target Dates],Benchmark2[[#This Row],[Benchmark '#2 Dates]])=1,"Pass","Fail")</f>
        <v>Pass</v>
      </c>
      <c r="E972" s="6">
        <f>IF(Benchmark2[[#This Row],[Target Date Check]]="Pass",INDEX(Target1[Target Price],MATCH(Benchmark2[[#This Row],[Benchmark '#2 Dates]],Target1[Target Dates],0)),"-")</f>
        <v>35.6</v>
      </c>
      <c r="F972" s="1" t="str">
        <f>IF(COUNTIF(Comp1[Comparable '#1 Dates],Benchmark2[[#This Row],[Benchmark '#2 Dates]])=1,"Pass","Fail")</f>
        <v>Pass</v>
      </c>
      <c r="G972" s="6">
        <f>IF(Benchmark2[[#This Row],[Comparable '#1 Date Check]]="Pass",INDEX(Comp1[Comparable '#1 Price],MATCH(Benchmark2[[#This Row],[Benchmark '#2 Dates]],Comp1[Comparable '#1 Dates],0)),"-")</f>
        <v>11.29</v>
      </c>
      <c r="H972" s="1" t="str">
        <f>IF(COUNTIF(Comp2[Comparable '#2 Dates],Benchmark2[[#This Row],[Benchmark '#2 Dates]])=1,"Pass","Fail")</f>
        <v>Pass</v>
      </c>
      <c r="I972" s="6">
        <f>IF(Benchmark2[[#This Row],[Comparable '#2 Date Check]]="Pass",INDEX(Comp2[Comparable '#2 Price],MATCH(Benchmark2[[#This Row],[Benchmark '#2 Dates]],Comp2[Comparable '#2 Dates],0)),"-")</f>
        <v>30.74</v>
      </c>
      <c r="J972" s="1" t="str">
        <f>IF(COUNTIF(Comp3[Comparable '#3 Dates],Benchmark2[[#This Row],[Benchmark '#2 Dates]])=1,"Pass","Fail")</f>
        <v>Pass</v>
      </c>
      <c r="K972" s="6">
        <f>IF(Benchmark2[[#This Row],[Comparable '#3 Date Check]]="Pass",INDEX(Comp3[Comparable '#3 Price],MATCH(Benchmark2[[#This Row],[Benchmark '#2 Dates]],Comp3[Comparable '#3 Dates],0)),"-")</f>
        <v>61.69</v>
      </c>
    </row>
    <row r="973" spans="1:11">
      <c r="A973" s="103">
        <v>44693</v>
      </c>
      <c r="B973" s="104">
        <v>14931.095799999999</v>
      </c>
      <c r="C973" s="4">
        <f t="shared" si="15"/>
        <v>1.9410839592838014E-3</v>
      </c>
      <c r="D973" s="1" t="str">
        <f>IF(COUNTIF(Target1[Target Dates],Benchmark2[[#This Row],[Benchmark '#2 Dates]])=1,"Pass","Fail")</f>
        <v>Pass</v>
      </c>
      <c r="E973" s="6">
        <f>IF(Benchmark2[[#This Row],[Target Date Check]]="Pass",INDEX(Target1[Target Price],MATCH(Benchmark2[[#This Row],[Benchmark '#2 Dates]],Target1[Target Dates],0)),"-")</f>
        <v>36.15</v>
      </c>
      <c r="F973" s="1" t="str">
        <f>IF(COUNTIF(Comp1[Comparable '#1 Dates],Benchmark2[[#This Row],[Benchmark '#2 Dates]])=1,"Pass","Fail")</f>
        <v>Pass</v>
      </c>
      <c r="G973" s="6">
        <f>IF(Benchmark2[[#This Row],[Comparable '#1 Date Check]]="Pass",INDEX(Comp1[Comparable '#1 Price],MATCH(Benchmark2[[#This Row],[Benchmark '#2 Dates]],Comp1[Comparable '#1 Dates],0)),"-")</f>
        <v>11.51</v>
      </c>
      <c r="H973" s="1" t="str">
        <f>IF(COUNTIF(Comp2[Comparable '#2 Dates],Benchmark2[[#This Row],[Benchmark '#2 Dates]])=1,"Pass","Fail")</f>
        <v>Pass</v>
      </c>
      <c r="I973" s="6">
        <f>IF(Benchmark2[[#This Row],[Comparable '#2 Date Check]]="Pass",INDEX(Comp2[Comparable '#2 Price],MATCH(Benchmark2[[#This Row],[Benchmark '#2 Dates]],Comp2[Comparable '#2 Dates],0)),"-")</f>
        <v>30.79</v>
      </c>
      <c r="J973" s="1" t="str">
        <f>IF(COUNTIF(Comp3[Comparable '#3 Dates],Benchmark2[[#This Row],[Benchmark '#2 Dates]])=1,"Pass","Fail")</f>
        <v>Pass</v>
      </c>
      <c r="K973" s="6">
        <f>IF(Benchmark2[[#This Row],[Comparable '#3 Date Check]]="Pass",INDEX(Comp3[Comparable '#3 Price],MATCH(Benchmark2[[#This Row],[Benchmark '#2 Dates]],Comp3[Comparable '#3 Dates],0)),"-")</f>
        <v>62.35</v>
      </c>
    </row>
    <row r="974" spans="1:11">
      <c r="A974" s="103">
        <v>44694</v>
      </c>
      <c r="B974" s="104">
        <v>15257.360699999999</v>
      </c>
      <c r="C974" s="4">
        <f t="shared" si="15"/>
        <v>2.1616050753694927E-2</v>
      </c>
      <c r="D974" s="1" t="str">
        <f>IF(COUNTIF(Target1[Target Dates],Benchmark2[[#This Row],[Benchmark '#2 Dates]])=1,"Pass","Fail")</f>
        <v>Pass</v>
      </c>
      <c r="E974" s="6">
        <f>IF(Benchmark2[[#This Row],[Target Date Check]]="Pass",INDEX(Target1[Target Price],MATCH(Benchmark2[[#This Row],[Benchmark '#2 Dates]],Target1[Target Dates],0)),"-")</f>
        <v>36.58</v>
      </c>
      <c r="F974" s="1" t="str">
        <f>IF(COUNTIF(Comp1[Comparable '#1 Dates],Benchmark2[[#This Row],[Benchmark '#2 Dates]])=1,"Pass","Fail")</f>
        <v>Pass</v>
      </c>
      <c r="G974" s="6">
        <f>IF(Benchmark2[[#This Row],[Comparable '#1 Date Check]]="Pass",INDEX(Comp1[Comparable '#1 Price],MATCH(Benchmark2[[#This Row],[Benchmark '#2 Dates]],Comp1[Comparable '#1 Dates],0)),"-")</f>
        <v>11.49</v>
      </c>
      <c r="H974" s="1" t="str">
        <f>IF(COUNTIF(Comp2[Comparable '#2 Dates],Benchmark2[[#This Row],[Benchmark '#2 Dates]])=1,"Pass","Fail")</f>
        <v>Pass</v>
      </c>
      <c r="I974" s="6">
        <f>IF(Benchmark2[[#This Row],[Comparable '#2 Date Check]]="Pass",INDEX(Comp2[Comparable '#2 Price],MATCH(Benchmark2[[#This Row],[Benchmark '#2 Dates]],Comp2[Comparable '#2 Dates],0)),"-")</f>
        <v>30.43</v>
      </c>
      <c r="J974" s="1" t="str">
        <f>IF(COUNTIF(Comp3[Comparable '#3 Dates],Benchmark2[[#This Row],[Benchmark '#2 Dates]])=1,"Pass","Fail")</f>
        <v>Pass</v>
      </c>
      <c r="K974" s="6">
        <f>IF(Benchmark2[[#This Row],[Comparable '#3 Date Check]]="Pass",INDEX(Comp3[Comparable '#3 Price],MATCH(Benchmark2[[#This Row],[Benchmark '#2 Dates]],Comp3[Comparable '#3 Dates],0)),"-")</f>
        <v>62.5</v>
      </c>
    </row>
    <row r="975" spans="1:11">
      <c r="A975" s="103">
        <v>44697</v>
      </c>
      <c r="B975" s="104">
        <v>15259.815199999999</v>
      </c>
      <c r="C975" s="4">
        <f t="shared" si="15"/>
        <v>1.6086023250231439E-4</v>
      </c>
      <c r="D975" s="1" t="str">
        <f>IF(COUNTIF(Target1[Target Dates],Benchmark2[[#This Row],[Benchmark '#2 Dates]])=1,"Pass","Fail")</f>
        <v>Pass</v>
      </c>
      <c r="E975" s="6">
        <f>IF(Benchmark2[[#This Row],[Target Date Check]]="Pass",INDEX(Target1[Target Price],MATCH(Benchmark2[[#This Row],[Benchmark '#2 Dates]],Target1[Target Dates],0)),"-")</f>
        <v>37.119999999999997</v>
      </c>
      <c r="F975" s="1" t="str">
        <f>IF(COUNTIF(Comp1[Comparable '#1 Dates],Benchmark2[[#This Row],[Benchmark '#2 Dates]])=1,"Pass","Fail")</f>
        <v>Pass</v>
      </c>
      <c r="G975" s="6">
        <f>IF(Benchmark2[[#This Row],[Comparable '#1 Date Check]]="Pass",INDEX(Comp1[Comparable '#1 Price],MATCH(Benchmark2[[#This Row],[Benchmark '#2 Dates]],Comp1[Comparable '#1 Dates],0)),"-")</f>
        <v>11.69</v>
      </c>
      <c r="H975" s="1" t="str">
        <f>IF(COUNTIF(Comp2[Comparable '#2 Dates],Benchmark2[[#This Row],[Benchmark '#2 Dates]])=1,"Pass","Fail")</f>
        <v>Pass</v>
      </c>
      <c r="I975" s="6">
        <f>IF(Benchmark2[[#This Row],[Comparable '#2 Date Check]]="Pass",INDEX(Comp2[Comparable '#2 Price],MATCH(Benchmark2[[#This Row],[Benchmark '#2 Dates]],Comp2[Comparable '#2 Dates],0)),"-")</f>
        <v>30.39</v>
      </c>
      <c r="J975" s="1" t="str">
        <f>IF(COUNTIF(Comp3[Comparable '#3 Dates],Benchmark2[[#This Row],[Benchmark '#2 Dates]])=1,"Pass","Fail")</f>
        <v>Pass</v>
      </c>
      <c r="K975" s="6">
        <f>IF(Benchmark2[[#This Row],[Comparable '#3 Date Check]]="Pass",INDEX(Comp3[Comparable '#3 Price],MATCH(Benchmark2[[#This Row],[Benchmark '#2 Dates]],Comp3[Comparable '#3 Dates],0)),"-")</f>
        <v>63.43</v>
      </c>
    </row>
    <row r="976" spans="1:11">
      <c r="A976" s="103">
        <v>44698</v>
      </c>
      <c r="B976" s="104">
        <v>15541.911599999999</v>
      </c>
      <c r="C976" s="4">
        <f t="shared" si="15"/>
        <v>1.8317433265968491E-2</v>
      </c>
      <c r="D976" s="1" t="str">
        <f>IF(COUNTIF(Target1[Target Dates],Benchmark2[[#This Row],[Benchmark '#2 Dates]])=1,"Pass","Fail")</f>
        <v>Pass</v>
      </c>
      <c r="E976" s="6">
        <f>IF(Benchmark2[[#This Row],[Target Date Check]]="Pass",INDEX(Target1[Target Price],MATCH(Benchmark2[[#This Row],[Benchmark '#2 Dates]],Target1[Target Dates],0)),"-")</f>
        <v>38.229999999999997</v>
      </c>
      <c r="F976" s="1" t="str">
        <f>IF(COUNTIF(Comp1[Comparable '#1 Dates],Benchmark2[[#This Row],[Benchmark '#2 Dates]])=1,"Pass","Fail")</f>
        <v>Pass</v>
      </c>
      <c r="G976" s="6">
        <f>IF(Benchmark2[[#This Row],[Comparable '#1 Date Check]]="Pass",INDEX(Comp1[Comparable '#1 Price],MATCH(Benchmark2[[#This Row],[Benchmark '#2 Dates]],Comp1[Comparable '#1 Dates],0)),"-")</f>
        <v>12.19</v>
      </c>
      <c r="H976" s="1" t="str">
        <f>IF(COUNTIF(Comp2[Comparable '#2 Dates],Benchmark2[[#This Row],[Benchmark '#2 Dates]])=1,"Pass","Fail")</f>
        <v>Pass</v>
      </c>
      <c r="I976" s="6">
        <f>IF(Benchmark2[[#This Row],[Comparable '#2 Date Check]]="Pass",INDEX(Comp2[Comparable '#2 Price],MATCH(Benchmark2[[#This Row],[Benchmark '#2 Dates]],Comp2[Comparable '#2 Dates],0)),"-")</f>
        <v>31.17</v>
      </c>
      <c r="J976" s="1" t="str">
        <f>IF(COUNTIF(Comp3[Comparable '#3 Dates],Benchmark2[[#This Row],[Benchmark '#2 Dates]])=1,"Pass","Fail")</f>
        <v>Pass</v>
      </c>
      <c r="K976" s="6">
        <f>IF(Benchmark2[[#This Row],[Comparable '#3 Date Check]]="Pass",INDEX(Comp3[Comparable '#3 Price],MATCH(Benchmark2[[#This Row],[Benchmark '#2 Dates]],Comp3[Comparable '#3 Dates],0)),"-")</f>
        <v>64.87</v>
      </c>
    </row>
    <row r="977" spans="1:11">
      <c r="A977" s="103">
        <v>44699</v>
      </c>
      <c r="B977" s="104">
        <v>15044.5213</v>
      </c>
      <c r="C977" s="4">
        <f t="shared" si="15"/>
        <v>-3.2526457261093676E-2</v>
      </c>
      <c r="D977" s="1" t="str">
        <f>IF(COUNTIF(Target1[Target Dates],Benchmark2[[#This Row],[Benchmark '#2 Dates]])=1,"Pass","Fail")</f>
        <v>Pass</v>
      </c>
      <c r="E977" s="6">
        <f>IF(Benchmark2[[#This Row],[Target Date Check]]="Pass",INDEX(Target1[Target Price],MATCH(Benchmark2[[#This Row],[Benchmark '#2 Dates]],Target1[Target Dates],0)),"-")</f>
        <v>37.21</v>
      </c>
      <c r="F977" s="1" t="str">
        <f>IF(COUNTIF(Comp1[Comparable '#1 Dates],Benchmark2[[#This Row],[Benchmark '#2 Dates]])=1,"Pass","Fail")</f>
        <v>Pass</v>
      </c>
      <c r="G977" s="6">
        <f>IF(Benchmark2[[#This Row],[Comparable '#1 Date Check]]="Pass",INDEX(Comp1[Comparable '#1 Price],MATCH(Benchmark2[[#This Row],[Benchmark '#2 Dates]],Comp1[Comparable '#1 Dates],0)),"-")</f>
        <v>12.14</v>
      </c>
      <c r="H977" s="1" t="str">
        <f>IF(COUNTIF(Comp2[Comparable '#2 Dates],Benchmark2[[#This Row],[Benchmark '#2 Dates]])=1,"Pass","Fail")</f>
        <v>Pass</v>
      </c>
      <c r="I977" s="6">
        <f>IF(Benchmark2[[#This Row],[Comparable '#2 Date Check]]="Pass",INDEX(Comp2[Comparable '#2 Price],MATCH(Benchmark2[[#This Row],[Benchmark '#2 Dates]],Comp2[Comparable '#2 Dates],0)),"-")</f>
        <v>31.7</v>
      </c>
      <c r="J977" s="1" t="str">
        <f>IF(COUNTIF(Comp3[Comparable '#3 Dates],Benchmark2[[#This Row],[Benchmark '#2 Dates]])=1,"Pass","Fail")</f>
        <v>Pass</v>
      </c>
      <c r="K977" s="6">
        <f>IF(Benchmark2[[#This Row],[Comparable '#3 Date Check]]="Pass",INDEX(Comp3[Comparable '#3 Price],MATCH(Benchmark2[[#This Row],[Benchmark '#2 Dates]],Comp3[Comparable '#3 Dates],0)),"-")</f>
        <v>64.45</v>
      </c>
    </row>
    <row r="978" spans="1:11">
      <c r="A978" s="103">
        <v>44700</v>
      </c>
      <c r="B978" s="104">
        <v>15035.8742</v>
      </c>
      <c r="C978" s="4">
        <f t="shared" si="15"/>
        <v>-5.7493261604152097E-4</v>
      </c>
      <c r="D978" s="1" t="str">
        <f>IF(COUNTIF(Target1[Target Dates],Benchmark2[[#This Row],[Benchmark '#2 Dates]])=1,"Pass","Fail")</f>
        <v>Pass</v>
      </c>
      <c r="E978" s="6">
        <f>IF(Benchmark2[[#This Row],[Target Date Check]]="Pass",INDEX(Target1[Target Price],MATCH(Benchmark2[[#This Row],[Benchmark '#2 Dates]],Target1[Target Dates],0)),"-")</f>
        <v>36.29</v>
      </c>
      <c r="F978" s="1" t="str">
        <f>IF(COUNTIF(Comp1[Comparable '#1 Dates],Benchmark2[[#This Row],[Benchmark '#2 Dates]])=1,"Pass","Fail")</f>
        <v>Pass</v>
      </c>
      <c r="G978" s="6">
        <f>IF(Benchmark2[[#This Row],[Comparable '#1 Date Check]]="Pass",INDEX(Comp1[Comparable '#1 Price],MATCH(Benchmark2[[#This Row],[Benchmark '#2 Dates]],Comp1[Comparable '#1 Dates],0)),"-")</f>
        <v>12.4</v>
      </c>
      <c r="H978" s="1" t="str">
        <f>IF(COUNTIF(Comp2[Comparable '#2 Dates],Benchmark2[[#This Row],[Benchmark '#2 Dates]])=1,"Pass","Fail")</f>
        <v>Pass</v>
      </c>
      <c r="I978" s="6">
        <f>IF(Benchmark2[[#This Row],[Comparable '#2 Date Check]]="Pass",INDEX(Comp2[Comparable '#2 Price],MATCH(Benchmark2[[#This Row],[Benchmark '#2 Dates]],Comp2[Comparable '#2 Dates],0)),"-")</f>
        <v>31.99</v>
      </c>
      <c r="J978" s="1" t="str">
        <f>IF(COUNTIF(Comp3[Comparable '#3 Dates],Benchmark2[[#This Row],[Benchmark '#2 Dates]])=1,"Pass","Fail")</f>
        <v>Pass</v>
      </c>
      <c r="K978" s="6">
        <f>IF(Benchmark2[[#This Row],[Comparable '#3 Date Check]]="Pass",INDEX(Comp3[Comparable '#3 Price],MATCH(Benchmark2[[#This Row],[Benchmark '#2 Dates]],Comp3[Comparable '#3 Dates],0)),"-")</f>
        <v>63.44</v>
      </c>
    </row>
    <row r="979" spans="1:11">
      <c r="A979" s="103">
        <v>44701</v>
      </c>
      <c r="B979" s="104">
        <v>15080.979300000001</v>
      </c>
      <c r="C979" s="4">
        <f t="shared" si="15"/>
        <v>2.995341709508098E-3</v>
      </c>
      <c r="D979" s="1" t="str">
        <f>IF(COUNTIF(Target1[Target Dates],Benchmark2[[#This Row],[Benchmark '#2 Dates]])=1,"Pass","Fail")</f>
        <v>Pass</v>
      </c>
      <c r="E979" s="6">
        <f>IF(Benchmark2[[#This Row],[Target Date Check]]="Pass",INDEX(Target1[Target Price],MATCH(Benchmark2[[#This Row],[Benchmark '#2 Dates]],Target1[Target Dates],0)),"-")</f>
        <v>36.950000000000003</v>
      </c>
      <c r="F979" s="1" t="str">
        <f>IF(COUNTIF(Comp1[Comparable '#1 Dates],Benchmark2[[#This Row],[Benchmark '#2 Dates]])=1,"Pass","Fail")</f>
        <v>Pass</v>
      </c>
      <c r="G979" s="6">
        <f>IF(Benchmark2[[#This Row],[Comparable '#1 Date Check]]="Pass",INDEX(Comp1[Comparable '#1 Price],MATCH(Benchmark2[[#This Row],[Benchmark '#2 Dates]],Comp1[Comparable '#1 Dates],0)),"-")</f>
        <v>12.54</v>
      </c>
      <c r="H979" s="1" t="str">
        <f>IF(COUNTIF(Comp2[Comparable '#2 Dates],Benchmark2[[#This Row],[Benchmark '#2 Dates]])=1,"Pass","Fail")</f>
        <v>Pass</v>
      </c>
      <c r="I979" s="6">
        <f>IF(Benchmark2[[#This Row],[Comparable '#2 Date Check]]="Pass",INDEX(Comp2[Comparable '#2 Price],MATCH(Benchmark2[[#This Row],[Benchmark '#2 Dates]],Comp2[Comparable '#2 Dates],0)),"-")</f>
        <v>31.85</v>
      </c>
      <c r="J979" s="1" t="str">
        <f>IF(COUNTIF(Comp3[Comparable '#3 Dates],Benchmark2[[#This Row],[Benchmark '#2 Dates]])=1,"Pass","Fail")</f>
        <v>Pass</v>
      </c>
      <c r="K979" s="6">
        <f>IF(Benchmark2[[#This Row],[Comparable '#3 Date Check]]="Pass",INDEX(Comp3[Comparable '#3 Price],MATCH(Benchmark2[[#This Row],[Benchmark '#2 Dates]],Comp3[Comparable '#3 Dates],0)),"-")</f>
        <v>64.13</v>
      </c>
    </row>
    <row r="980" spans="1:11">
      <c r="A980" s="103">
        <v>44704</v>
      </c>
      <c r="B980" s="104">
        <v>15342.9593</v>
      </c>
      <c r="C980" s="4">
        <f t="shared" si="15"/>
        <v>1.7222390494481848E-2</v>
      </c>
      <c r="D980" s="1" t="str">
        <f>IF(COUNTIF(Target1[Target Dates],Benchmark2[[#This Row],[Benchmark '#2 Dates]])=1,"Pass","Fail")</f>
        <v>Pass</v>
      </c>
      <c r="E980" s="6">
        <f>IF(Benchmark2[[#This Row],[Target Date Check]]="Pass",INDEX(Target1[Target Price],MATCH(Benchmark2[[#This Row],[Benchmark '#2 Dates]],Target1[Target Dates],0)),"-")</f>
        <v>36.89</v>
      </c>
      <c r="F980" s="1" t="str">
        <f>IF(COUNTIF(Comp1[Comparable '#1 Dates],Benchmark2[[#This Row],[Benchmark '#2 Dates]])=1,"Pass","Fail")</f>
        <v>Pass</v>
      </c>
      <c r="G980" s="6">
        <f>IF(Benchmark2[[#This Row],[Comparable '#1 Date Check]]="Pass",INDEX(Comp1[Comparable '#1 Price],MATCH(Benchmark2[[#This Row],[Benchmark '#2 Dates]],Comp1[Comparable '#1 Dates],0)),"-")</f>
        <v>12.57</v>
      </c>
      <c r="H980" s="1" t="str">
        <f>IF(COUNTIF(Comp2[Comparable '#2 Dates],Benchmark2[[#This Row],[Benchmark '#2 Dates]])=1,"Pass","Fail")</f>
        <v>Pass</v>
      </c>
      <c r="I980" s="6">
        <f>IF(Benchmark2[[#This Row],[Comparable '#2 Date Check]]="Pass",INDEX(Comp2[Comparable '#2 Price],MATCH(Benchmark2[[#This Row],[Benchmark '#2 Dates]],Comp2[Comparable '#2 Dates],0)),"-")</f>
        <v>31.6</v>
      </c>
      <c r="J980" s="1" t="str">
        <f>IF(COUNTIF(Comp3[Comparable '#3 Dates],Benchmark2[[#This Row],[Benchmark '#2 Dates]])=1,"Pass","Fail")</f>
        <v>Pass</v>
      </c>
      <c r="K980" s="6">
        <f>IF(Benchmark2[[#This Row],[Comparable '#3 Date Check]]="Pass",INDEX(Comp3[Comparable '#3 Price],MATCH(Benchmark2[[#This Row],[Benchmark '#2 Dates]],Comp3[Comparable '#3 Dates],0)),"-")</f>
        <v>63.04</v>
      </c>
    </row>
    <row r="981" spans="1:11">
      <c r="A981" s="103">
        <v>44705</v>
      </c>
      <c r="B981" s="104">
        <v>15290.383099999999</v>
      </c>
      <c r="C981" s="4">
        <f t="shared" si="15"/>
        <v>-3.4326160650882407E-3</v>
      </c>
      <c r="D981" s="1" t="str">
        <f>IF(COUNTIF(Target1[Target Dates],Benchmark2[[#This Row],[Benchmark '#2 Dates]])=1,"Pass","Fail")</f>
        <v>Pass</v>
      </c>
      <c r="E981" s="6">
        <f>IF(Benchmark2[[#This Row],[Target Date Check]]="Pass",INDEX(Target1[Target Price],MATCH(Benchmark2[[#This Row],[Benchmark '#2 Dates]],Target1[Target Dates],0)),"-")</f>
        <v>37.25</v>
      </c>
      <c r="F981" s="1" t="str">
        <f>IF(COUNTIF(Comp1[Comparable '#1 Dates],Benchmark2[[#This Row],[Benchmark '#2 Dates]])=1,"Pass","Fail")</f>
        <v>Pass</v>
      </c>
      <c r="G981" s="6">
        <f>IF(Benchmark2[[#This Row],[Comparable '#1 Date Check]]="Pass",INDEX(Comp1[Comparable '#1 Price],MATCH(Benchmark2[[#This Row],[Benchmark '#2 Dates]],Comp1[Comparable '#1 Dates],0)),"-")</f>
        <v>12.59</v>
      </c>
      <c r="H981" s="1" t="str">
        <f>IF(COUNTIF(Comp2[Comparable '#2 Dates],Benchmark2[[#This Row],[Benchmark '#2 Dates]])=1,"Pass","Fail")</f>
        <v>Pass</v>
      </c>
      <c r="I981" s="6">
        <f>IF(Benchmark2[[#This Row],[Comparable '#2 Date Check]]="Pass",INDEX(Comp2[Comparable '#2 Price],MATCH(Benchmark2[[#This Row],[Benchmark '#2 Dates]],Comp2[Comparable '#2 Dates],0)),"-")</f>
        <v>31.48</v>
      </c>
      <c r="J981" s="1" t="str">
        <f>IF(COUNTIF(Comp3[Comparable '#3 Dates],Benchmark2[[#This Row],[Benchmark '#2 Dates]])=1,"Pass","Fail")</f>
        <v>Pass</v>
      </c>
      <c r="K981" s="6">
        <f>IF(Benchmark2[[#This Row],[Comparable '#3 Date Check]]="Pass",INDEX(Comp3[Comparable '#3 Price],MATCH(Benchmark2[[#This Row],[Benchmark '#2 Dates]],Comp3[Comparable '#3 Dates],0)),"-")</f>
        <v>64.349999999999994</v>
      </c>
    </row>
    <row r="982" spans="1:11">
      <c r="A982" s="103">
        <v>44706</v>
      </c>
      <c r="B982" s="104">
        <v>15412.1922</v>
      </c>
      <c r="C982" s="4">
        <f t="shared" si="15"/>
        <v>7.9348222691489438E-3</v>
      </c>
      <c r="D982" s="1" t="str">
        <f>IF(COUNTIF(Target1[Target Dates],Benchmark2[[#This Row],[Benchmark '#2 Dates]])=1,"Pass","Fail")</f>
        <v>Pass</v>
      </c>
      <c r="E982" s="6">
        <f>IF(Benchmark2[[#This Row],[Target Date Check]]="Pass",INDEX(Target1[Target Price],MATCH(Benchmark2[[#This Row],[Benchmark '#2 Dates]],Target1[Target Dates],0)),"-")</f>
        <v>39.67</v>
      </c>
      <c r="F982" s="1" t="str">
        <f>IF(COUNTIF(Comp1[Comparable '#1 Dates],Benchmark2[[#This Row],[Benchmark '#2 Dates]])=1,"Pass","Fail")</f>
        <v>Pass</v>
      </c>
      <c r="G982" s="6">
        <f>IF(Benchmark2[[#This Row],[Comparable '#1 Date Check]]="Pass",INDEX(Comp1[Comparable '#1 Price],MATCH(Benchmark2[[#This Row],[Benchmark '#2 Dates]],Comp1[Comparable '#1 Dates],0)),"-")</f>
        <v>12.94</v>
      </c>
      <c r="H982" s="1" t="str">
        <f>IF(COUNTIF(Comp2[Comparable '#2 Dates],Benchmark2[[#This Row],[Benchmark '#2 Dates]])=1,"Pass","Fail")</f>
        <v>Pass</v>
      </c>
      <c r="I982" s="6">
        <f>IF(Benchmark2[[#This Row],[Comparable '#2 Date Check]]="Pass",INDEX(Comp2[Comparable '#2 Price],MATCH(Benchmark2[[#This Row],[Benchmark '#2 Dates]],Comp2[Comparable '#2 Dates],0)),"-")</f>
        <v>31.88</v>
      </c>
      <c r="J982" s="1" t="str">
        <f>IF(COUNTIF(Comp3[Comparable '#3 Dates],Benchmark2[[#This Row],[Benchmark '#2 Dates]])=1,"Pass","Fail")</f>
        <v>Pass</v>
      </c>
      <c r="K982" s="6">
        <f>IF(Benchmark2[[#This Row],[Comparable '#3 Date Check]]="Pass",INDEX(Comp3[Comparable '#3 Price],MATCH(Benchmark2[[#This Row],[Benchmark '#2 Dates]],Comp3[Comparable '#3 Dates],0)),"-")</f>
        <v>65.790000000000006</v>
      </c>
    </row>
    <row r="983" spans="1:11">
      <c r="A983" s="103">
        <v>44707</v>
      </c>
      <c r="B983" s="104">
        <v>15663.995199999999</v>
      </c>
      <c r="C983" s="4">
        <f t="shared" si="15"/>
        <v>1.6205881864845912E-2</v>
      </c>
      <c r="D983" s="1" t="str">
        <f>IF(COUNTIF(Target1[Target Dates],Benchmark2[[#This Row],[Benchmark '#2 Dates]])=1,"Pass","Fail")</f>
        <v>Pass</v>
      </c>
      <c r="E983" s="6">
        <f>IF(Benchmark2[[#This Row],[Target Date Check]]="Pass",INDEX(Target1[Target Price],MATCH(Benchmark2[[#This Row],[Benchmark '#2 Dates]],Target1[Target Dates],0)),"-")</f>
        <v>38.99</v>
      </c>
      <c r="F983" s="1" t="str">
        <f>IF(COUNTIF(Comp1[Comparable '#1 Dates],Benchmark2[[#This Row],[Benchmark '#2 Dates]])=1,"Pass","Fail")</f>
        <v>Pass</v>
      </c>
      <c r="G983" s="6">
        <f>IF(Benchmark2[[#This Row],[Comparable '#1 Date Check]]="Pass",INDEX(Comp1[Comparable '#1 Price],MATCH(Benchmark2[[#This Row],[Benchmark '#2 Dates]],Comp1[Comparable '#1 Dates],0)),"-")</f>
        <v>13.02</v>
      </c>
      <c r="H983" s="1" t="str">
        <f>IF(COUNTIF(Comp2[Comparable '#2 Dates],Benchmark2[[#This Row],[Benchmark '#2 Dates]])=1,"Pass","Fail")</f>
        <v>Pass</v>
      </c>
      <c r="I983" s="6">
        <f>IF(Benchmark2[[#This Row],[Comparable '#2 Date Check]]="Pass",INDEX(Comp2[Comparable '#2 Price],MATCH(Benchmark2[[#This Row],[Benchmark '#2 Dates]],Comp2[Comparable '#2 Dates],0)),"-")</f>
        <v>31.64</v>
      </c>
      <c r="J983" s="1" t="str">
        <f>IF(COUNTIF(Comp3[Comparable '#3 Dates],Benchmark2[[#This Row],[Benchmark '#2 Dates]])=1,"Pass","Fail")</f>
        <v>Pass</v>
      </c>
      <c r="K983" s="6">
        <f>IF(Benchmark2[[#This Row],[Comparable '#3 Date Check]]="Pass",INDEX(Comp3[Comparable '#3 Price],MATCH(Benchmark2[[#This Row],[Benchmark '#2 Dates]],Comp3[Comparable '#3 Dates],0)),"-")</f>
        <v>65.31</v>
      </c>
    </row>
    <row r="984" spans="1:11">
      <c r="A984" s="103">
        <v>44708</v>
      </c>
      <c r="B984" s="104">
        <v>15942.623799999999</v>
      </c>
      <c r="C984" s="4">
        <f t="shared" si="15"/>
        <v>1.763148523110045E-2</v>
      </c>
      <c r="D984" s="1" t="str">
        <f>IF(COUNTIF(Target1[Target Dates],Benchmark2[[#This Row],[Benchmark '#2 Dates]])=1,"Pass","Fail")</f>
        <v>Pass</v>
      </c>
      <c r="E984" s="6">
        <f>IF(Benchmark2[[#This Row],[Target Date Check]]="Pass",INDEX(Target1[Target Price],MATCH(Benchmark2[[#This Row],[Benchmark '#2 Dates]],Target1[Target Dates],0)),"-")</f>
        <v>39.5</v>
      </c>
      <c r="F984" s="1" t="str">
        <f>IF(COUNTIF(Comp1[Comparable '#1 Dates],Benchmark2[[#This Row],[Benchmark '#2 Dates]])=1,"Pass","Fail")</f>
        <v>Pass</v>
      </c>
      <c r="G984" s="6">
        <f>IF(Benchmark2[[#This Row],[Comparable '#1 Date Check]]="Pass",INDEX(Comp1[Comparable '#1 Price],MATCH(Benchmark2[[#This Row],[Benchmark '#2 Dates]],Comp1[Comparable '#1 Dates],0)),"-")</f>
        <v>13.32</v>
      </c>
      <c r="H984" s="1" t="str">
        <f>IF(COUNTIF(Comp2[Comparable '#2 Dates],Benchmark2[[#This Row],[Benchmark '#2 Dates]])=1,"Pass","Fail")</f>
        <v>Pass</v>
      </c>
      <c r="I984" s="6">
        <f>IF(Benchmark2[[#This Row],[Comparable '#2 Date Check]]="Pass",INDEX(Comp2[Comparable '#2 Price],MATCH(Benchmark2[[#This Row],[Benchmark '#2 Dates]],Comp2[Comparable '#2 Dates],0)),"-")</f>
        <v>32.619999999999997</v>
      </c>
      <c r="J984" s="1" t="str">
        <f>IF(COUNTIF(Comp3[Comparable '#3 Dates],Benchmark2[[#This Row],[Benchmark '#2 Dates]])=1,"Pass","Fail")</f>
        <v>Pass</v>
      </c>
      <c r="K984" s="6">
        <f>IF(Benchmark2[[#This Row],[Comparable '#3 Date Check]]="Pass",INDEX(Comp3[Comparable '#3 Price],MATCH(Benchmark2[[#This Row],[Benchmark '#2 Dates]],Comp3[Comparable '#3 Dates],0)),"-")</f>
        <v>66.959999999999994</v>
      </c>
    </row>
    <row r="985" spans="1:11">
      <c r="A985" s="103">
        <v>44712</v>
      </c>
      <c r="B985" s="104">
        <v>15827.0488</v>
      </c>
      <c r="C985" s="4">
        <f t="shared" si="15"/>
        <v>-7.2758388990789005E-3</v>
      </c>
      <c r="D985" s="1" t="str">
        <f>IF(COUNTIF(Target1[Target Dates],Benchmark2[[#This Row],[Benchmark '#2 Dates]])=1,"Pass","Fail")</f>
        <v>Pass</v>
      </c>
      <c r="E985" s="6">
        <f>IF(Benchmark2[[#This Row],[Target Date Check]]="Pass",INDEX(Target1[Target Price],MATCH(Benchmark2[[#This Row],[Benchmark '#2 Dates]],Target1[Target Dates],0)),"-")</f>
        <v>39.11</v>
      </c>
      <c r="F985" s="1" t="str">
        <f>IF(COUNTIF(Comp1[Comparable '#1 Dates],Benchmark2[[#This Row],[Benchmark '#2 Dates]])=1,"Pass","Fail")</f>
        <v>Pass</v>
      </c>
      <c r="G985" s="6">
        <f>IF(Benchmark2[[#This Row],[Comparable '#1 Date Check]]="Pass",INDEX(Comp1[Comparable '#1 Price],MATCH(Benchmark2[[#This Row],[Benchmark '#2 Dates]],Comp1[Comparable '#1 Dates],0)),"-")</f>
        <v>12.73</v>
      </c>
      <c r="H985" s="1" t="str">
        <f>IF(COUNTIF(Comp2[Comparable '#2 Dates],Benchmark2[[#This Row],[Benchmark '#2 Dates]])=1,"Pass","Fail")</f>
        <v>Pass</v>
      </c>
      <c r="I985" s="6">
        <f>IF(Benchmark2[[#This Row],[Comparable '#2 Date Check]]="Pass",INDEX(Comp2[Comparable '#2 Price],MATCH(Benchmark2[[#This Row],[Benchmark '#2 Dates]],Comp2[Comparable '#2 Dates],0)),"-")</f>
        <v>32.619999999999997</v>
      </c>
      <c r="J985" s="1" t="str">
        <f>IF(COUNTIF(Comp3[Comparable '#3 Dates],Benchmark2[[#This Row],[Benchmark '#2 Dates]])=1,"Pass","Fail")</f>
        <v>Pass</v>
      </c>
      <c r="K985" s="6">
        <f>IF(Benchmark2[[#This Row],[Comparable '#3 Date Check]]="Pass",INDEX(Comp3[Comparable '#3 Price],MATCH(Benchmark2[[#This Row],[Benchmark '#2 Dates]],Comp3[Comparable '#3 Dates],0)),"-")</f>
        <v>65.819999999999993</v>
      </c>
    </row>
    <row r="986" spans="1:11">
      <c r="A986" s="103">
        <v>44713</v>
      </c>
      <c r="B986" s="104">
        <v>15709.613600000001</v>
      </c>
      <c r="C986" s="4">
        <f t="shared" si="15"/>
        <v>-7.4475695187973256E-3</v>
      </c>
      <c r="D986" s="1" t="str">
        <f>IF(COUNTIF(Target1[Target Dates],Benchmark2[[#This Row],[Benchmark '#2 Dates]])=1,"Pass","Fail")</f>
        <v>Pass</v>
      </c>
      <c r="E986" s="6">
        <f>IF(Benchmark2[[#This Row],[Target Date Check]]="Pass",INDEX(Target1[Target Price],MATCH(Benchmark2[[#This Row],[Benchmark '#2 Dates]],Target1[Target Dates],0)),"-")</f>
        <v>39.270000000000003</v>
      </c>
      <c r="F986" s="1" t="str">
        <f>IF(COUNTIF(Comp1[Comparable '#1 Dates],Benchmark2[[#This Row],[Benchmark '#2 Dates]])=1,"Pass","Fail")</f>
        <v>Pass</v>
      </c>
      <c r="G986" s="6">
        <f>IF(Benchmark2[[#This Row],[Comparable '#1 Date Check]]="Pass",INDEX(Comp1[Comparable '#1 Price],MATCH(Benchmark2[[#This Row],[Benchmark '#2 Dates]],Comp1[Comparable '#1 Dates],0)),"-")</f>
        <v>12.82</v>
      </c>
      <c r="H986" s="1" t="str">
        <f>IF(COUNTIF(Comp2[Comparable '#2 Dates],Benchmark2[[#This Row],[Benchmark '#2 Dates]])=1,"Pass","Fail")</f>
        <v>Pass</v>
      </c>
      <c r="I986" s="6">
        <f>IF(Benchmark2[[#This Row],[Comparable '#2 Date Check]]="Pass",INDEX(Comp2[Comparable '#2 Price],MATCH(Benchmark2[[#This Row],[Benchmark '#2 Dates]],Comp2[Comparable '#2 Dates],0)),"-")</f>
        <v>33.1</v>
      </c>
      <c r="J986" s="1" t="str">
        <f>IF(COUNTIF(Comp3[Comparable '#3 Dates],Benchmark2[[#This Row],[Benchmark '#2 Dates]])=1,"Pass","Fail")</f>
        <v>Pass</v>
      </c>
      <c r="K986" s="6">
        <f>IF(Benchmark2[[#This Row],[Comparable '#3 Date Check]]="Pass",INDEX(Comp3[Comparable '#3 Price],MATCH(Benchmark2[[#This Row],[Benchmark '#2 Dates]],Comp3[Comparable '#3 Dates],0)),"-")</f>
        <v>65.150000000000006</v>
      </c>
    </row>
    <row r="987" spans="1:11">
      <c r="A987" s="103">
        <v>44714</v>
      </c>
      <c r="B987" s="104">
        <v>15960.529</v>
      </c>
      <c r="C987" s="4">
        <f t="shared" si="15"/>
        <v>1.5845880669581966E-2</v>
      </c>
      <c r="D987" s="1" t="str">
        <f>IF(COUNTIF(Target1[Target Dates],Benchmark2[[#This Row],[Benchmark '#2 Dates]])=1,"Pass","Fail")</f>
        <v>Pass</v>
      </c>
      <c r="E987" s="6">
        <f>IF(Benchmark2[[#This Row],[Target Date Check]]="Pass",INDEX(Target1[Target Price],MATCH(Benchmark2[[#This Row],[Benchmark '#2 Dates]],Target1[Target Dates],0)),"-")</f>
        <v>39.79</v>
      </c>
      <c r="F987" s="1" t="str">
        <f>IF(COUNTIF(Comp1[Comparable '#1 Dates],Benchmark2[[#This Row],[Benchmark '#2 Dates]])=1,"Pass","Fail")</f>
        <v>Pass</v>
      </c>
      <c r="G987" s="6">
        <f>IF(Benchmark2[[#This Row],[Comparable '#1 Date Check]]="Pass",INDEX(Comp1[Comparable '#1 Price],MATCH(Benchmark2[[#This Row],[Benchmark '#2 Dates]],Comp1[Comparable '#1 Dates],0)),"-")</f>
        <v>13.14</v>
      </c>
      <c r="H987" s="1" t="str">
        <f>IF(COUNTIF(Comp2[Comparable '#2 Dates],Benchmark2[[#This Row],[Benchmark '#2 Dates]])=1,"Pass","Fail")</f>
        <v>Pass</v>
      </c>
      <c r="I987" s="6">
        <f>IF(Benchmark2[[#This Row],[Comparable '#2 Date Check]]="Pass",INDEX(Comp2[Comparable '#2 Price],MATCH(Benchmark2[[#This Row],[Benchmark '#2 Dates]],Comp2[Comparable '#2 Dates],0)),"-")</f>
        <v>33.61</v>
      </c>
      <c r="J987" s="1" t="str">
        <f>IF(COUNTIF(Comp3[Comparable '#3 Dates],Benchmark2[[#This Row],[Benchmark '#2 Dates]])=1,"Pass","Fail")</f>
        <v>Pass</v>
      </c>
      <c r="K987" s="6">
        <f>IF(Benchmark2[[#This Row],[Comparable '#3 Date Check]]="Pass",INDEX(Comp3[Comparable '#3 Price],MATCH(Benchmark2[[#This Row],[Benchmark '#2 Dates]],Comp3[Comparable '#3 Dates],0)),"-")</f>
        <v>65.680000000000007</v>
      </c>
    </row>
    <row r="988" spans="1:11">
      <c r="A988" s="103">
        <v>44715</v>
      </c>
      <c r="B988" s="104">
        <v>15797.170700000001</v>
      </c>
      <c r="C988" s="4">
        <f t="shared" si="15"/>
        <v>-1.0287882457986603E-2</v>
      </c>
      <c r="D988" s="1" t="str">
        <f>IF(COUNTIF(Target1[Target Dates],Benchmark2[[#This Row],[Benchmark '#2 Dates]])=1,"Pass","Fail")</f>
        <v>Pass</v>
      </c>
      <c r="E988" s="6">
        <f>IF(Benchmark2[[#This Row],[Target Date Check]]="Pass",INDEX(Target1[Target Price],MATCH(Benchmark2[[#This Row],[Benchmark '#2 Dates]],Target1[Target Dates],0)),"-")</f>
        <v>39.85</v>
      </c>
      <c r="F988" s="1" t="str">
        <f>IF(COUNTIF(Comp1[Comparable '#1 Dates],Benchmark2[[#This Row],[Benchmark '#2 Dates]])=1,"Pass","Fail")</f>
        <v>Pass</v>
      </c>
      <c r="G988" s="6">
        <f>IF(Benchmark2[[#This Row],[Comparable '#1 Date Check]]="Pass",INDEX(Comp1[Comparable '#1 Price],MATCH(Benchmark2[[#This Row],[Benchmark '#2 Dates]],Comp1[Comparable '#1 Dates],0)),"-")</f>
        <v>13.15</v>
      </c>
      <c r="H988" s="1" t="str">
        <f>IF(COUNTIF(Comp2[Comparable '#2 Dates],Benchmark2[[#This Row],[Benchmark '#2 Dates]])=1,"Pass","Fail")</f>
        <v>Pass</v>
      </c>
      <c r="I988" s="6">
        <f>IF(Benchmark2[[#This Row],[Comparable '#2 Date Check]]="Pass",INDEX(Comp2[Comparable '#2 Price],MATCH(Benchmark2[[#This Row],[Benchmark '#2 Dates]],Comp2[Comparable '#2 Dates],0)),"-")</f>
        <v>34.090000000000003</v>
      </c>
      <c r="J988" s="1" t="str">
        <f>IF(COUNTIF(Comp3[Comparable '#3 Dates],Benchmark2[[#This Row],[Benchmark '#2 Dates]])=1,"Pass","Fail")</f>
        <v>Pass</v>
      </c>
      <c r="K988" s="6">
        <f>IF(Benchmark2[[#This Row],[Comparable '#3 Date Check]]="Pass",INDEX(Comp3[Comparable '#3 Price],MATCH(Benchmark2[[#This Row],[Benchmark '#2 Dates]],Comp3[Comparable '#3 Dates],0)),"-")</f>
        <v>65.5</v>
      </c>
    </row>
    <row r="989" spans="1:11">
      <c r="A989" s="103">
        <v>44718</v>
      </c>
      <c r="B989" s="104">
        <v>15848.452499999999</v>
      </c>
      <c r="C989" s="4">
        <f t="shared" si="15"/>
        <v>3.241007109583683E-3</v>
      </c>
      <c r="D989" s="1" t="str">
        <f>IF(COUNTIF(Target1[Target Dates],Benchmark2[[#This Row],[Benchmark '#2 Dates]])=1,"Pass","Fail")</f>
        <v>Pass</v>
      </c>
      <c r="E989" s="6">
        <f>IF(Benchmark2[[#This Row],[Target Date Check]]="Pass",INDEX(Target1[Target Price],MATCH(Benchmark2[[#This Row],[Benchmark '#2 Dates]],Target1[Target Dates],0)),"-")</f>
        <v>40.14</v>
      </c>
      <c r="F989" s="1" t="str">
        <f>IF(COUNTIF(Comp1[Comparable '#1 Dates],Benchmark2[[#This Row],[Benchmark '#2 Dates]])=1,"Pass","Fail")</f>
        <v>Pass</v>
      </c>
      <c r="G989" s="6">
        <f>IF(Benchmark2[[#This Row],[Comparable '#1 Date Check]]="Pass",INDEX(Comp1[Comparable '#1 Price],MATCH(Benchmark2[[#This Row],[Benchmark '#2 Dates]],Comp1[Comparable '#1 Dates],0)),"-")</f>
        <v>12.97</v>
      </c>
      <c r="H989" s="1" t="str">
        <f>IF(COUNTIF(Comp2[Comparable '#2 Dates],Benchmark2[[#This Row],[Benchmark '#2 Dates]])=1,"Pass","Fail")</f>
        <v>Pass</v>
      </c>
      <c r="I989" s="6">
        <f>IF(Benchmark2[[#This Row],[Comparable '#2 Date Check]]="Pass",INDEX(Comp2[Comparable '#2 Price],MATCH(Benchmark2[[#This Row],[Benchmark '#2 Dates]],Comp2[Comparable '#2 Dates],0)),"-")</f>
        <v>34.58</v>
      </c>
      <c r="J989" s="1" t="str">
        <f>IF(COUNTIF(Comp3[Comparable '#3 Dates],Benchmark2[[#This Row],[Benchmark '#2 Dates]])=1,"Pass","Fail")</f>
        <v>Pass</v>
      </c>
      <c r="K989" s="6">
        <f>IF(Benchmark2[[#This Row],[Comparable '#3 Date Check]]="Pass",INDEX(Comp3[Comparable '#3 Price],MATCH(Benchmark2[[#This Row],[Benchmark '#2 Dates]],Comp3[Comparable '#3 Dates],0)),"-")</f>
        <v>66.17</v>
      </c>
    </row>
    <row r="990" spans="1:11">
      <c r="A990" s="103">
        <v>44719</v>
      </c>
      <c r="B990" s="104">
        <v>16019.563099999999</v>
      </c>
      <c r="C990" s="4">
        <f t="shared" si="15"/>
        <v>1.0738807621147772E-2</v>
      </c>
      <c r="D990" s="1" t="str">
        <f>IF(COUNTIF(Target1[Target Dates],Benchmark2[[#This Row],[Benchmark '#2 Dates]])=1,"Pass","Fail")</f>
        <v>Pass</v>
      </c>
      <c r="E990" s="6">
        <f>IF(Benchmark2[[#This Row],[Target Date Check]]="Pass",INDEX(Target1[Target Price],MATCH(Benchmark2[[#This Row],[Benchmark '#2 Dates]],Target1[Target Dates],0)),"-")</f>
        <v>40.450000000000003</v>
      </c>
      <c r="F990" s="1" t="str">
        <f>IF(COUNTIF(Comp1[Comparable '#1 Dates],Benchmark2[[#This Row],[Benchmark '#2 Dates]])=1,"Pass","Fail")</f>
        <v>Pass</v>
      </c>
      <c r="G990" s="6">
        <f>IF(Benchmark2[[#This Row],[Comparable '#1 Date Check]]="Pass",INDEX(Comp1[Comparable '#1 Price],MATCH(Benchmark2[[#This Row],[Benchmark '#2 Dates]],Comp1[Comparable '#1 Dates],0)),"-")</f>
        <v>12.98</v>
      </c>
      <c r="H990" s="1" t="str">
        <f>IF(COUNTIF(Comp2[Comparable '#2 Dates],Benchmark2[[#This Row],[Benchmark '#2 Dates]])=1,"Pass","Fail")</f>
        <v>Pass</v>
      </c>
      <c r="I990" s="6">
        <f>IF(Benchmark2[[#This Row],[Comparable '#2 Date Check]]="Pass",INDEX(Comp2[Comparable '#2 Price],MATCH(Benchmark2[[#This Row],[Benchmark '#2 Dates]],Comp2[Comparable '#2 Dates],0)),"-")</f>
        <v>35.35</v>
      </c>
      <c r="J990" s="1" t="str">
        <f>IF(COUNTIF(Comp3[Comparable '#3 Dates],Benchmark2[[#This Row],[Benchmark '#2 Dates]])=1,"Pass","Fail")</f>
        <v>Pass</v>
      </c>
      <c r="K990" s="6">
        <f>IF(Benchmark2[[#This Row],[Comparable '#3 Date Check]]="Pass",INDEX(Comp3[Comparable '#3 Price],MATCH(Benchmark2[[#This Row],[Benchmark '#2 Dates]],Comp3[Comparable '#3 Dates],0)),"-")</f>
        <v>66.010000000000005</v>
      </c>
    </row>
    <row r="991" spans="1:11">
      <c r="A991" s="103">
        <v>44720</v>
      </c>
      <c r="B991" s="104">
        <v>15843.8326</v>
      </c>
      <c r="C991" s="4">
        <f t="shared" si="15"/>
        <v>-1.1030354918425205E-2</v>
      </c>
      <c r="D991" s="1" t="str">
        <f>IF(COUNTIF(Target1[Target Dates],Benchmark2[[#This Row],[Benchmark '#2 Dates]])=1,"Pass","Fail")</f>
        <v>Pass</v>
      </c>
      <c r="E991" s="6">
        <f>IF(Benchmark2[[#This Row],[Target Date Check]]="Pass",INDEX(Target1[Target Price],MATCH(Benchmark2[[#This Row],[Benchmark '#2 Dates]],Target1[Target Dates],0)),"-")</f>
        <v>37.479999999999997</v>
      </c>
      <c r="F991" s="1" t="str">
        <f>IF(COUNTIF(Comp1[Comparable '#1 Dates],Benchmark2[[#This Row],[Benchmark '#2 Dates]])=1,"Pass","Fail")</f>
        <v>Pass</v>
      </c>
      <c r="G991" s="6">
        <f>IF(Benchmark2[[#This Row],[Comparable '#1 Date Check]]="Pass",INDEX(Comp1[Comparable '#1 Price],MATCH(Benchmark2[[#This Row],[Benchmark '#2 Dates]],Comp1[Comparable '#1 Dates],0)),"-")</f>
        <v>12.43</v>
      </c>
      <c r="H991" s="1" t="str">
        <f>IF(COUNTIF(Comp2[Comparable '#2 Dates],Benchmark2[[#This Row],[Benchmark '#2 Dates]])=1,"Pass","Fail")</f>
        <v>Pass</v>
      </c>
      <c r="I991" s="6">
        <f>IF(Benchmark2[[#This Row],[Comparable '#2 Date Check]]="Pass",INDEX(Comp2[Comparable '#2 Price],MATCH(Benchmark2[[#This Row],[Benchmark '#2 Dates]],Comp2[Comparable '#2 Dates],0)),"-")</f>
        <v>33.99</v>
      </c>
      <c r="J991" s="1" t="str">
        <f>IF(COUNTIF(Comp3[Comparable '#3 Dates],Benchmark2[[#This Row],[Benchmark '#2 Dates]])=1,"Pass","Fail")</f>
        <v>Pass</v>
      </c>
      <c r="K991" s="6">
        <f>IF(Benchmark2[[#This Row],[Comparable '#3 Date Check]]="Pass",INDEX(Comp3[Comparable '#3 Price],MATCH(Benchmark2[[#This Row],[Benchmark '#2 Dates]],Comp3[Comparable '#3 Dates],0)),"-")</f>
        <v>65.61</v>
      </c>
    </row>
    <row r="992" spans="1:11">
      <c r="A992" s="103">
        <v>44721</v>
      </c>
      <c r="B992" s="104">
        <v>15472.457899999999</v>
      </c>
      <c r="C992" s="4">
        <f t="shared" si="15"/>
        <v>-2.3718780518953771E-2</v>
      </c>
      <c r="D992" s="1" t="str">
        <f>IF(COUNTIF(Target1[Target Dates],Benchmark2[[#This Row],[Benchmark '#2 Dates]])=1,"Pass","Fail")</f>
        <v>Pass</v>
      </c>
      <c r="E992" s="6">
        <f>IF(Benchmark2[[#This Row],[Target Date Check]]="Pass",INDEX(Target1[Target Price],MATCH(Benchmark2[[#This Row],[Benchmark '#2 Dates]],Target1[Target Dates],0)),"-")</f>
        <v>36.53</v>
      </c>
      <c r="F992" s="1" t="str">
        <f>IF(COUNTIF(Comp1[Comparable '#1 Dates],Benchmark2[[#This Row],[Benchmark '#2 Dates]])=1,"Pass","Fail")</f>
        <v>Pass</v>
      </c>
      <c r="G992" s="6">
        <f>IF(Benchmark2[[#This Row],[Comparable '#1 Date Check]]="Pass",INDEX(Comp1[Comparable '#1 Price],MATCH(Benchmark2[[#This Row],[Benchmark '#2 Dates]],Comp1[Comparable '#1 Dates],0)),"-")</f>
        <v>12.28</v>
      </c>
      <c r="H992" s="1" t="str">
        <f>IF(COUNTIF(Comp2[Comparable '#2 Dates],Benchmark2[[#This Row],[Benchmark '#2 Dates]])=1,"Pass","Fail")</f>
        <v>Pass</v>
      </c>
      <c r="I992" s="6">
        <f>IF(Benchmark2[[#This Row],[Comparable '#2 Date Check]]="Pass",INDEX(Comp2[Comparable '#2 Price],MATCH(Benchmark2[[#This Row],[Benchmark '#2 Dates]],Comp2[Comparable '#2 Dates],0)),"-")</f>
        <v>33.29</v>
      </c>
      <c r="J992" s="1" t="str">
        <f>IF(COUNTIF(Comp3[Comparable '#3 Dates],Benchmark2[[#This Row],[Benchmark '#2 Dates]])=1,"Pass","Fail")</f>
        <v>Pass</v>
      </c>
      <c r="K992" s="6">
        <f>IF(Benchmark2[[#This Row],[Comparable '#3 Date Check]]="Pass",INDEX(Comp3[Comparable '#3 Price],MATCH(Benchmark2[[#This Row],[Benchmark '#2 Dates]],Comp3[Comparable '#3 Dates],0)),"-")</f>
        <v>64.56</v>
      </c>
    </row>
    <row r="993" spans="1:11">
      <c r="A993" s="103">
        <v>44722</v>
      </c>
      <c r="B993" s="104">
        <v>15096.689</v>
      </c>
      <c r="C993" s="4">
        <f t="shared" si="15"/>
        <v>-2.4586085416957292E-2</v>
      </c>
      <c r="D993" s="1" t="str">
        <f>IF(COUNTIF(Target1[Target Dates],Benchmark2[[#This Row],[Benchmark '#2 Dates]])=1,"Pass","Fail")</f>
        <v>Pass</v>
      </c>
      <c r="E993" s="6">
        <f>IF(Benchmark2[[#This Row],[Target Date Check]]="Pass",INDEX(Target1[Target Price],MATCH(Benchmark2[[#This Row],[Benchmark '#2 Dates]],Target1[Target Dates],0)),"-")</f>
        <v>35.5</v>
      </c>
      <c r="F993" s="1" t="str">
        <f>IF(COUNTIF(Comp1[Comparable '#1 Dates],Benchmark2[[#This Row],[Benchmark '#2 Dates]])=1,"Pass","Fail")</f>
        <v>Pass</v>
      </c>
      <c r="G993" s="6">
        <f>IF(Benchmark2[[#This Row],[Comparable '#1 Date Check]]="Pass",INDEX(Comp1[Comparable '#1 Price],MATCH(Benchmark2[[#This Row],[Benchmark '#2 Dates]],Comp1[Comparable '#1 Dates],0)),"-")</f>
        <v>12</v>
      </c>
      <c r="H993" s="1" t="str">
        <f>IF(COUNTIF(Comp2[Comparable '#2 Dates],Benchmark2[[#This Row],[Benchmark '#2 Dates]])=1,"Pass","Fail")</f>
        <v>Pass</v>
      </c>
      <c r="I993" s="6">
        <f>IF(Benchmark2[[#This Row],[Comparable '#2 Date Check]]="Pass",INDEX(Comp2[Comparable '#2 Price],MATCH(Benchmark2[[#This Row],[Benchmark '#2 Dates]],Comp2[Comparable '#2 Dates],0)),"-")</f>
        <v>32</v>
      </c>
      <c r="J993" s="1" t="str">
        <f>IF(COUNTIF(Comp3[Comparable '#3 Dates],Benchmark2[[#This Row],[Benchmark '#2 Dates]])=1,"Pass","Fail")</f>
        <v>Pass</v>
      </c>
      <c r="K993" s="6">
        <f>IF(Benchmark2[[#This Row],[Comparable '#3 Date Check]]="Pass",INDEX(Comp3[Comparable '#3 Price],MATCH(Benchmark2[[#This Row],[Benchmark '#2 Dates]],Comp3[Comparable '#3 Dates],0)),"-")</f>
        <v>63.39</v>
      </c>
    </row>
    <row r="994" spans="1:11">
      <c r="A994" s="103">
        <v>44725</v>
      </c>
      <c r="B994" s="104">
        <v>14527.899299999999</v>
      </c>
      <c r="C994" s="4">
        <f t="shared" si="15"/>
        <v>-3.8404557862001081E-2</v>
      </c>
      <c r="D994" s="1" t="str">
        <f>IF(COUNTIF(Target1[Target Dates],Benchmark2[[#This Row],[Benchmark '#2 Dates]])=1,"Pass","Fail")</f>
        <v>Pass</v>
      </c>
      <c r="E994" s="6">
        <f>IF(Benchmark2[[#This Row],[Target Date Check]]="Pass",INDEX(Target1[Target Price],MATCH(Benchmark2[[#This Row],[Benchmark '#2 Dates]],Target1[Target Dates],0)),"-")</f>
        <v>33.729999999999997</v>
      </c>
      <c r="F994" s="1" t="str">
        <f>IF(COUNTIF(Comp1[Comparable '#1 Dates],Benchmark2[[#This Row],[Benchmark '#2 Dates]])=1,"Pass","Fail")</f>
        <v>Pass</v>
      </c>
      <c r="G994" s="6">
        <f>IF(Benchmark2[[#This Row],[Comparable '#1 Date Check]]="Pass",INDEX(Comp1[Comparable '#1 Price],MATCH(Benchmark2[[#This Row],[Benchmark '#2 Dates]],Comp1[Comparable '#1 Dates],0)),"-")</f>
        <v>11.57</v>
      </c>
      <c r="H994" s="1" t="str">
        <f>IF(COUNTIF(Comp2[Comparable '#2 Dates],Benchmark2[[#This Row],[Benchmark '#2 Dates]])=1,"Pass","Fail")</f>
        <v>Pass</v>
      </c>
      <c r="I994" s="6">
        <f>IF(Benchmark2[[#This Row],[Comparable '#2 Date Check]]="Pass",INDEX(Comp2[Comparable '#2 Price],MATCH(Benchmark2[[#This Row],[Benchmark '#2 Dates]],Comp2[Comparable '#2 Dates],0)),"-")</f>
        <v>31.3</v>
      </c>
      <c r="J994" s="1" t="str">
        <f>IF(COUNTIF(Comp3[Comparable '#3 Dates],Benchmark2[[#This Row],[Benchmark '#2 Dates]])=1,"Pass","Fail")</f>
        <v>Pass</v>
      </c>
      <c r="K994" s="6">
        <f>IF(Benchmark2[[#This Row],[Comparable '#3 Date Check]]="Pass",INDEX(Comp3[Comparable '#3 Price],MATCH(Benchmark2[[#This Row],[Benchmark '#2 Dates]],Comp3[Comparable '#3 Dates],0)),"-")</f>
        <v>61.42</v>
      </c>
    </row>
    <row r="995" spans="1:11">
      <c r="A995" s="103">
        <v>44726</v>
      </c>
      <c r="B995" s="104">
        <v>14444.643700000001</v>
      </c>
      <c r="C995" s="4">
        <f t="shared" si="15"/>
        <v>-5.7472227525807293E-3</v>
      </c>
      <c r="D995" s="1" t="str">
        <f>IF(COUNTIF(Target1[Target Dates],Benchmark2[[#This Row],[Benchmark '#2 Dates]])=1,"Pass","Fail")</f>
        <v>Pass</v>
      </c>
      <c r="E995" s="6">
        <f>IF(Benchmark2[[#This Row],[Target Date Check]]="Pass",INDEX(Target1[Target Price],MATCH(Benchmark2[[#This Row],[Benchmark '#2 Dates]],Target1[Target Dates],0)),"-")</f>
        <v>34.6</v>
      </c>
      <c r="F995" s="1" t="str">
        <f>IF(COUNTIF(Comp1[Comparable '#1 Dates],Benchmark2[[#This Row],[Benchmark '#2 Dates]])=1,"Pass","Fail")</f>
        <v>Pass</v>
      </c>
      <c r="G995" s="6">
        <f>IF(Benchmark2[[#This Row],[Comparable '#1 Date Check]]="Pass",INDEX(Comp1[Comparable '#1 Price],MATCH(Benchmark2[[#This Row],[Benchmark '#2 Dates]],Comp1[Comparable '#1 Dates],0)),"-")</f>
        <v>11.39</v>
      </c>
      <c r="H995" s="1" t="str">
        <f>IF(COUNTIF(Comp2[Comparable '#2 Dates],Benchmark2[[#This Row],[Benchmark '#2 Dates]])=1,"Pass","Fail")</f>
        <v>Pass</v>
      </c>
      <c r="I995" s="6">
        <f>IF(Benchmark2[[#This Row],[Comparable '#2 Date Check]]="Pass",INDEX(Comp2[Comparable '#2 Price],MATCH(Benchmark2[[#This Row],[Benchmark '#2 Dates]],Comp2[Comparable '#2 Dates],0)),"-")</f>
        <v>31.69</v>
      </c>
      <c r="J995" s="1" t="str">
        <f>IF(COUNTIF(Comp3[Comparable '#3 Dates],Benchmark2[[#This Row],[Benchmark '#2 Dates]])=1,"Pass","Fail")</f>
        <v>Pass</v>
      </c>
      <c r="K995" s="6">
        <f>IF(Benchmark2[[#This Row],[Comparable '#3 Date Check]]="Pass",INDEX(Comp3[Comparable '#3 Price],MATCH(Benchmark2[[#This Row],[Benchmark '#2 Dates]],Comp3[Comparable '#3 Dates],0)),"-")</f>
        <v>61.53</v>
      </c>
    </row>
    <row r="996" spans="1:11">
      <c r="A996" s="103">
        <v>44727</v>
      </c>
      <c r="B996" s="104">
        <v>14595.228800000001</v>
      </c>
      <c r="C996" s="4">
        <f t="shared" si="15"/>
        <v>1.0371013145174478E-2</v>
      </c>
      <c r="D996" s="1" t="str">
        <f>IF(COUNTIF(Target1[Target Dates],Benchmark2[[#This Row],[Benchmark '#2 Dates]])=1,"Pass","Fail")</f>
        <v>Pass</v>
      </c>
      <c r="E996" s="6">
        <f>IF(Benchmark2[[#This Row],[Target Date Check]]="Pass",INDEX(Target1[Target Price],MATCH(Benchmark2[[#This Row],[Benchmark '#2 Dates]],Target1[Target Dates],0)),"-")</f>
        <v>34.58</v>
      </c>
      <c r="F996" s="1" t="str">
        <f>IF(COUNTIF(Comp1[Comparable '#1 Dates],Benchmark2[[#This Row],[Benchmark '#2 Dates]])=1,"Pass","Fail")</f>
        <v>Pass</v>
      </c>
      <c r="G996" s="6">
        <f>IF(Benchmark2[[#This Row],[Comparable '#1 Date Check]]="Pass",INDEX(Comp1[Comparable '#1 Price],MATCH(Benchmark2[[#This Row],[Benchmark '#2 Dates]],Comp1[Comparable '#1 Dates],0)),"-")</f>
        <v>11.41</v>
      </c>
      <c r="H996" s="1" t="str">
        <f>IF(COUNTIF(Comp2[Comparable '#2 Dates],Benchmark2[[#This Row],[Benchmark '#2 Dates]])=1,"Pass","Fail")</f>
        <v>Pass</v>
      </c>
      <c r="I996" s="6">
        <f>IF(Benchmark2[[#This Row],[Comparable '#2 Date Check]]="Pass",INDEX(Comp2[Comparable '#2 Price],MATCH(Benchmark2[[#This Row],[Benchmark '#2 Dates]],Comp2[Comparable '#2 Dates],0)),"-")</f>
        <v>31.79</v>
      </c>
      <c r="J996" s="1" t="str">
        <f>IF(COUNTIF(Comp3[Comparable '#3 Dates],Benchmark2[[#This Row],[Benchmark '#2 Dates]])=1,"Pass","Fail")</f>
        <v>Pass</v>
      </c>
      <c r="K996" s="6">
        <f>IF(Benchmark2[[#This Row],[Comparable '#3 Date Check]]="Pass",INDEX(Comp3[Comparable '#3 Price],MATCH(Benchmark2[[#This Row],[Benchmark '#2 Dates]],Comp3[Comparable '#3 Dates],0)),"-")</f>
        <v>61.71</v>
      </c>
    </row>
    <row r="997" spans="1:11">
      <c r="A997" s="103">
        <v>44728</v>
      </c>
      <c r="B997" s="104">
        <v>14142.1921</v>
      </c>
      <c r="C997" s="4">
        <f t="shared" si="15"/>
        <v>-3.1532004043450815E-2</v>
      </c>
      <c r="D997" s="1" t="str">
        <f>IF(COUNTIF(Target1[Target Dates],Benchmark2[[#This Row],[Benchmark '#2 Dates]])=1,"Pass","Fail")</f>
        <v>Pass</v>
      </c>
      <c r="E997" s="6">
        <f>IF(Benchmark2[[#This Row],[Target Date Check]]="Pass",INDEX(Target1[Target Price],MATCH(Benchmark2[[#This Row],[Benchmark '#2 Dates]],Target1[Target Dates],0)),"-")</f>
        <v>33.78</v>
      </c>
      <c r="F997" s="1" t="str">
        <f>IF(COUNTIF(Comp1[Comparable '#1 Dates],Benchmark2[[#This Row],[Benchmark '#2 Dates]])=1,"Pass","Fail")</f>
        <v>Pass</v>
      </c>
      <c r="G997" s="6">
        <f>IF(Benchmark2[[#This Row],[Comparable '#1 Date Check]]="Pass",INDEX(Comp1[Comparable '#1 Price],MATCH(Benchmark2[[#This Row],[Benchmark '#2 Dates]],Comp1[Comparable '#1 Dates],0)),"-")</f>
        <v>11.13</v>
      </c>
      <c r="H997" s="1" t="str">
        <f>IF(COUNTIF(Comp2[Comparable '#2 Dates],Benchmark2[[#This Row],[Benchmark '#2 Dates]])=1,"Pass","Fail")</f>
        <v>Pass</v>
      </c>
      <c r="I997" s="6">
        <f>IF(Benchmark2[[#This Row],[Comparable '#2 Date Check]]="Pass",INDEX(Comp2[Comparable '#2 Price],MATCH(Benchmark2[[#This Row],[Benchmark '#2 Dates]],Comp2[Comparable '#2 Dates],0)),"-")</f>
        <v>31.12</v>
      </c>
      <c r="J997" s="1" t="str">
        <f>IF(COUNTIF(Comp3[Comparable '#3 Dates],Benchmark2[[#This Row],[Benchmark '#2 Dates]])=1,"Pass","Fail")</f>
        <v>Pass</v>
      </c>
      <c r="K997" s="6">
        <f>IF(Benchmark2[[#This Row],[Comparable '#3 Date Check]]="Pass",INDEX(Comp3[Comparable '#3 Price],MATCH(Benchmark2[[#This Row],[Benchmark '#2 Dates]],Comp3[Comparable '#3 Dates],0)),"-")</f>
        <v>60</v>
      </c>
    </row>
    <row r="998" spans="1:11">
      <c r="A998" s="103">
        <v>44729</v>
      </c>
      <c r="B998" s="104">
        <v>14097.0481</v>
      </c>
      <c r="C998" s="4">
        <f t="shared" si="15"/>
        <v>-3.1972558848684784E-3</v>
      </c>
      <c r="D998" s="1" t="str">
        <f>IF(COUNTIF(Target1[Target Dates],Benchmark2[[#This Row],[Benchmark '#2 Dates]])=1,"Pass","Fail")</f>
        <v>Pass</v>
      </c>
      <c r="E998" s="6">
        <f>IF(Benchmark2[[#This Row],[Target Date Check]]="Pass",INDEX(Target1[Target Price],MATCH(Benchmark2[[#This Row],[Benchmark '#2 Dates]],Target1[Target Dates],0)),"-")</f>
        <v>35.18</v>
      </c>
      <c r="F998" s="1" t="str">
        <f>IF(COUNTIF(Comp1[Comparable '#1 Dates],Benchmark2[[#This Row],[Benchmark '#2 Dates]])=1,"Pass","Fail")</f>
        <v>Pass</v>
      </c>
      <c r="G998" s="6">
        <f>IF(Benchmark2[[#This Row],[Comparable '#1 Date Check]]="Pass",INDEX(Comp1[Comparable '#1 Price],MATCH(Benchmark2[[#This Row],[Benchmark '#2 Dates]],Comp1[Comparable '#1 Dates],0)),"-")</f>
        <v>11.4</v>
      </c>
      <c r="H998" s="1" t="str">
        <f>IF(COUNTIF(Comp2[Comparable '#2 Dates],Benchmark2[[#This Row],[Benchmark '#2 Dates]])=1,"Pass","Fail")</f>
        <v>Pass</v>
      </c>
      <c r="I998" s="6">
        <f>IF(Benchmark2[[#This Row],[Comparable '#2 Date Check]]="Pass",INDEX(Comp2[Comparable '#2 Price],MATCH(Benchmark2[[#This Row],[Benchmark '#2 Dates]],Comp2[Comparable '#2 Dates],0)),"-")</f>
        <v>31.74</v>
      </c>
      <c r="J998" s="1" t="str">
        <f>IF(COUNTIF(Comp3[Comparable '#3 Dates],Benchmark2[[#This Row],[Benchmark '#2 Dates]])=1,"Pass","Fail")</f>
        <v>Pass</v>
      </c>
      <c r="K998" s="6">
        <f>IF(Benchmark2[[#This Row],[Comparable '#3 Date Check]]="Pass",INDEX(Comp3[Comparable '#3 Price],MATCH(Benchmark2[[#This Row],[Benchmark '#2 Dates]],Comp3[Comparable '#3 Dates],0)),"-")</f>
        <v>60.35</v>
      </c>
    </row>
    <row r="999" spans="1:11">
      <c r="A999" s="103">
        <v>44733</v>
      </c>
      <c r="B999" s="104">
        <v>14414.2541</v>
      </c>
      <c r="C999" s="4">
        <f t="shared" si="15"/>
        <v>2.225216418473256E-2</v>
      </c>
      <c r="D999" s="1" t="str">
        <f>IF(COUNTIF(Target1[Target Dates],Benchmark2[[#This Row],[Benchmark '#2 Dates]])=1,"Pass","Fail")</f>
        <v>Pass</v>
      </c>
      <c r="E999" s="6">
        <f>IF(Benchmark2[[#This Row],[Target Date Check]]="Pass",INDEX(Target1[Target Price],MATCH(Benchmark2[[#This Row],[Benchmark '#2 Dates]],Target1[Target Dates],0)),"-")</f>
        <v>35.119999999999997</v>
      </c>
      <c r="F999" s="1" t="str">
        <f>IF(COUNTIF(Comp1[Comparable '#1 Dates],Benchmark2[[#This Row],[Benchmark '#2 Dates]])=1,"Pass","Fail")</f>
        <v>Pass</v>
      </c>
      <c r="G999" s="6">
        <f>IF(Benchmark2[[#This Row],[Comparable '#1 Date Check]]="Pass",INDEX(Comp1[Comparable '#1 Price],MATCH(Benchmark2[[#This Row],[Benchmark '#2 Dates]],Comp1[Comparable '#1 Dates],0)),"-")</f>
        <v>11.45</v>
      </c>
      <c r="H999" s="1" t="str">
        <f>IF(COUNTIF(Comp2[Comparable '#2 Dates],Benchmark2[[#This Row],[Benchmark '#2 Dates]])=1,"Pass","Fail")</f>
        <v>Pass</v>
      </c>
      <c r="I999" s="6">
        <f>IF(Benchmark2[[#This Row],[Comparable '#2 Date Check]]="Pass",INDEX(Comp2[Comparable '#2 Price],MATCH(Benchmark2[[#This Row],[Benchmark '#2 Dates]],Comp2[Comparable '#2 Dates],0)),"-")</f>
        <v>32.03</v>
      </c>
      <c r="J999" s="1" t="str">
        <f>IF(COUNTIF(Comp3[Comparable '#3 Dates],Benchmark2[[#This Row],[Benchmark '#2 Dates]])=1,"Pass","Fail")</f>
        <v>Pass</v>
      </c>
      <c r="K999" s="6">
        <f>IF(Benchmark2[[#This Row],[Comparable '#3 Date Check]]="Pass",INDEX(Comp3[Comparable '#3 Price],MATCH(Benchmark2[[#This Row],[Benchmark '#2 Dates]],Comp3[Comparable '#3 Dates],0)),"-")</f>
        <v>60.73</v>
      </c>
    </row>
    <row r="1000" spans="1:11">
      <c r="A1000" s="103">
        <v>44734</v>
      </c>
      <c r="B1000" s="104">
        <v>14352.7803</v>
      </c>
      <c r="C1000" s="4">
        <f t="shared" si="15"/>
        <v>-4.2739124735790739E-3</v>
      </c>
      <c r="D1000" s="1" t="str">
        <f>IF(COUNTIF(Target1[Target Dates],Benchmark2[[#This Row],[Benchmark '#2 Dates]])=1,"Pass","Fail")</f>
        <v>Pass</v>
      </c>
      <c r="E1000" s="6">
        <f>IF(Benchmark2[[#This Row],[Target Date Check]]="Pass",INDEX(Target1[Target Price],MATCH(Benchmark2[[#This Row],[Benchmark '#2 Dates]],Target1[Target Dates],0)),"-")</f>
        <v>35.24</v>
      </c>
      <c r="F1000" s="1" t="str">
        <f>IF(COUNTIF(Comp1[Comparable '#1 Dates],Benchmark2[[#This Row],[Benchmark '#2 Dates]])=1,"Pass","Fail")</f>
        <v>Pass</v>
      </c>
      <c r="G1000" s="6">
        <f>IF(Benchmark2[[#This Row],[Comparable '#1 Date Check]]="Pass",INDEX(Comp1[Comparable '#1 Price],MATCH(Benchmark2[[#This Row],[Benchmark '#2 Dates]],Comp1[Comparable '#1 Dates],0)),"-")</f>
        <v>10.8</v>
      </c>
      <c r="H1000" s="1" t="str">
        <f>IF(COUNTIF(Comp2[Comparable '#2 Dates],Benchmark2[[#This Row],[Benchmark '#2 Dates]])=1,"Pass","Fail")</f>
        <v>Pass</v>
      </c>
      <c r="I1000" s="6">
        <f>IF(Benchmark2[[#This Row],[Comparable '#2 Date Check]]="Pass",INDEX(Comp2[Comparable '#2 Price],MATCH(Benchmark2[[#This Row],[Benchmark '#2 Dates]],Comp2[Comparable '#2 Dates],0)),"-")</f>
        <v>32.81</v>
      </c>
      <c r="J1000" s="1" t="str">
        <f>IF(COUNTIF(Comp3[Comparable '#3 Dates],Benchmark2[[#This Row],[Benchmark '#2 Dates]])=1,"Pass","Fail")</f>
        <v>Pass</v>
      </c>
      <c r="K1000" s="6">
        <f>IF(Benchmark2[[#This Row],[Comparable '#3 Date Check]]="Pass",INDEX(Comp3[Comparable '#3 Price],MATCH(Benchmark2[[#This Row],[Benchmark '#2 Dates]],Comp3[Comparable '#3 Dates],0)),"-")</f>
        <v>61.87</v>
      </c>
    </row>
    <row r="1001" spans="1:11">
      <c r="A1001" s="103">
        <v>44735</v>
      </c>
      <c r="B1001" s="104">
        <v>14402.122600000001</v>
      </c>
      <c r="C1001" s="4">
        <f t="shared" si="15"/>
        <v>3.431925929399181E-3</v>
      </c>
      <c r="D1001" s="1" t="str">
        <f>IF(COUNTIF(Target1[Target Dates],Benchmark2[[#This Row],[Benchmark '#2 Dates]])=1,"Pass","Fail")</f>
        <v>Pass</v>
      </c>
      <c r="E1001" s="6">
        <f>IF(Benchmark2[[#This Row],[Target Date Check]]="Pass",INDEX(Target1[Target Price],MATCH(Benchmark2[[#This Row],[Benchmark '#2 Dates]],Target1[Target Dates],0)),"-")</f>
        <v>34.5</v>
      </c>
      <c r="F1001" s="1" t="str">
        <f>IF(COUNTIF(Comp1[Comparable '#1 Dates],Benchmark2[[#This Row],[Benchmark '#2 Dates]])=1,"Pass","Fail")</f>
        <v>Pass</v>
      </c>
      <c r="G1001" s="6">
        <f>IF(Benchmark2[[#This Row],[Comparable '#1 Date Check]]="Pass",INDEX(Comp1[Comparable '#1 Price],MATCH(Benchmark2[[#This Row],[Benchmark '#2 Dates]],Comp1[Comparable '#1 Dates],0)),"-")</f>
        <v>10.95</v>
      </c>
      <c r="H1001" s="1" t="str">
        <f>IF(COUNTIF(Comp2[Comparable '#2 Dates],Benchmark2[[#This Row],[Benchmark '#2 Dates]])=1,"Pass","Fail")</f>
        <v>Pass</v>
      </c>
      <c r="I1001" s="6">
        <f>IF(Benchmark2[[#This Row],[Comparable '#2 Date Check]]="Pass",INDEX(Comp2[Comparable '#2 Price],MATCH(Benchmark2[[#This Row],[Benchmark '#2 Dates]],Comp2[Comparable '#2 Dates],0)),"-")</f>
        <v>33.700000000000003</v>
      </c>
      <c r="J1001" s="1" t="str">
        <f>IF(COUNTIF(Comp3[Comparable '#3 Dates],Benchmark2[[#This Row],[Benchmark '#2 Dates]])=1,"Pass","Fail")</f>
        <v>Pass</v>
      </c>
      <c r="K1001" s="6">
        <f>IF(Benchmark2[[#This Row],[Comparable '#3 Date Check]]="Pass",INDEX(Comp3[Comparable '#3 Price],MATCH(Benchmark2[[#This Row],[Benchmark '#2 Dates]],Comp3[Comparable '#3 Dates],0)),"-")</f>
        <v>65.78</v>
      </c>
    </row>
    <row r="1002" spans="1:11">
      <c r="A1002" s="103">
        <v>44736</v>
      </c>
      <c r="B1002" s="104">
        <v>14811.5479</v>
      </c>
      <c r="C1002" s="4">
        <f t="shared" si="15"/>
        <v>2.8031541539248687E-2</v>
      </c>
      <c r="D1002" s="1" t="str">
        <f>IF(COUNTIF(Target1[Target Dates],Benchmark2[[#This Row],[Benchmark '#2 Dates]])=1,"Pass","Fail")</f>
        <v>Pass</v>
      </c>
      <c r="E1002" s="6">
        <f>IF(Benchmark2[[#This Row],[Target Date Check]]="Pass",INDEX(Target1[Target Price],MATCH(Benchmark2[[#This Row],[Benchmark '#2 Dates]],Target1[Target Dates],0)),"-")</f>
        <v>36.99</v>
      </c>
      <c r="F1002" s="1" t="str">
        <f>IF(COUNTIF(Comp1[Comparable '#1 Dates],Benchmark2[[#This Row],[Benchmark '#2 Dates]])=1,"Pass","Fail")</f>
        <v>Pass</v>
      </c>
      <c r="G1002" s="6">
        <f>IF(Benchmark2[[#This Row],[Comparable '#1 Date Check]]="Pass",INDEX(Comp1[Comparable '#1 Price],MATCH(Benchmark2[[#This Row],[Benchmark '#2 Dates]],Comp1[Comparable '#1 Dates],0)),"-")</f>
        <v>11.35</v>
      </c>
      <c r="H1002" s="1" t="str">
        <f>IF(COUNTIF(Comp2[Comparable '#2 Dates],Benchmark2[[#This Row],[Benchmark '#2 Dates]])=1,"Pass","Fail")</f>
        <v>Pass</v>
      </c>
      <c r="I1002" s="6">
        <f>IF(Benchmark2[[#This Row],[Comparable '#2 Date Check]]="Pass",INDEX(Comp2[Comparable '#2 Price],MATCH(Benchmark2[[#This Row],[Benchmark '#2 Dates]],Comp2[Comparable '#2 Dates],0)),"-")</f>
        <v>36.64</v>
      </c>
      <c r="J1002" s="1" t="str">
        <f>IF(COUNTIF(Comp3[Comparable '#3 Dates],Benchmark2[[#This Row],[Benchmark '#2 Dates]])=1,"Pass","Fail")</f>
        <v>Pass</v>
      </c>
      <c r="K1002" s="6">
        <f>IF(Benchmark2[[#This Row],[Comparable '#3 Date Check]]="Pass",INDEX(Comp3[Comparable '#3 Price],MATCH(Benchmark2[[#This Row],[Benchmark '#2 Dates]],Comp3[Comparable '#3 Dates],0)),"-")</f>
        <v>71.290000000000006</v>
      </c>
    </row>
    <row r="1003" spans="1:11">
      <c r="A1003" s="103">
        <v>44739</v>
      </c>
      <c r="B1003" s="104">
        <v>14835.2976</v>
      </c>
      <c r="C1003" s="4">
        <f t="shared" si="15"/>
        <v>1.602174172653978E-3</v>
      </c>
      <c r="D1003" s="1" t="str">
        <f>IF(COUNTIF(Target1[Target Dates],Benchmark2[[#This Row],[Benchmark '#2 Dates]])=1,"Pass","Fail")</f>
        <v>Pass</v>
      </c>
      <c r="E1003" s="6">
        <f>IF(Benchmark2[[#This Row],[Target Date Check]]="Pass",INDEX(Target1[Target Price],MATCH(Benchmark2[[#This Row],[Benchmark '#2 Dates]],Target1[Target Dates],0)),"-")</f>
        <v>37.61</v>
      </c>
      <c r="F1003" s="1" t="str">
        <f>IF(COUNTIF(Comp1[Comparable '#1 Dates],Benchmark2[[#This Row],[Benchmark '#2 Dates]])=1,"Pass","Fail")</f>
        <v>Pass</v>
      </c>
      <c r="G1003" s="6">
        <f>IF(Benchmark2[[#This Row],[Comparable '#1 Date Check]]="Pass",INDEX(Comp1[Comparable '#1 Price],MATCH(Benchmark2[[#This Row],[Benchmark '#2 Dates]],Comp1[Comparable '#1 Dates],0)),"-")</f>
        <v>11.47</v>
      </c>
      <c r="H1003" s="1" t="str">
        <f>IF(COUNTIF(Comp2[Comparable '#2 Dates],Benchmark2[[#This Row],[Benchmark '#2 Dates]])=1,"Pass","Fail")</f>
        <v>Pass</v>
      </c>
      <c r="I1003" s="6">
        <f>IF(Benchmark2[[#This Row],[Comparable '#2 Date Check]]="Pass",INDEX(Comp2[Comparable '#2 Price],MATCH(Benchmark2[[#This Row],[Benchmark '#2 Dates]],Comp2[Comparable '#2 Dates],0)),"-")</f>
        <v>36.380000000000003</v>
      </c>
      <c r="J1003" s="1" t="str">
        <f>IF(COUNTIF(Comp3[Comparable '#3 Dates],Benchmark2[[#This Row],[Benchmark '#2 Dates]])=1,"Pass","Fail")</f>
        <v>Pass</v>
      </c>
      <c r="K1003" s="6">
        <f>IF(Benchmark2[[#This Row],[Comparable '#3 Date Check]]="Pass",INDEX(Comp3[Comparable '#3 Price],MATCH(Benchmark2[[#This Row],[Benchmark '#2 Dates]],Comp3[Comparable '#3 Dates],0)),"-")</f>
        <v>72.62</v>
      </c>
    </row>
    <row r="1004" spans="1:11">
      <c r="A1004" s="103">
        <v>44740</v>
      </c>
      <c r="B1004" s="104">
        <v>14667.320100000001</v>
      </c>
      <c r="C1004" s="4">
        <f t="shared" si="15"/>
        <v>-1.1387417678457579E-2</v>
      </c>
      <c r="D1004" s="1" t="str">
        <f>IF(COUNTIF(Target1[Target Dates],Benchmark2[[#This Row],[Benchmark '#2 Dates]])=1,"Pass","Fail")</f>
        <v>Pass</v>
      </c>
      <c r="E1004" s="6">
        <f>IF(Benchmark2[[#This Row],[Target Date Check]]="Pass",INDEX(Target1[Target Price],MATCH(Benchmark2[[#This Row],[Benchmark '#2 Dates]],Target1[Target Dates],0)),"-")</f>
        <v>37.770000000000003</v>
      </c>
      <c r="F1004" s="1" t="str">
        <f>IF(COUNTIF(Comp1[Comparable '#1 Dates],Benchmark2[[#This Row],[Benchmark '#2 Dates]])=1,"Pass","Fail")</f>
        <v>Pass</v>
      </c>
      <c r="G1004" s="6">
        <f>IF(Benchmark2[[#This Row],[Comparable '#1 Date Check]]="Pass",INDEX(Comp1[Comparable '#1 Price],MATCH(Benchmark2[[#This Row],[Benchmark '#2 Dates]],Comp1[Comparable '#1 Dates],0)),"-")</f>
        <v>11.33</v>
      </c>
      <c r="H1004" s="1" t="str">
        <f>IF(COUNTIF(Comp2[Comparable '#2 Dates],Benchmark2[[#This Row],[Benchmark '#2 Dates]])=1,"Pass","Fail")</f>
        <v>Pass</v>
      </c>
      <c r="I1004" s="6">
        <f>IF(Benchmark2[[#This Row],[Comparable '#2 Date Check]]="Pass",INDEX(Comp2[Comparable '#2 Price],MATCH(Benchmark2[[#This Row],[Benchmark '#2 Dates]],Comp2[Comparable '#2 Dates],0)),"-")</f>
        <v>35.32</v>
      </c>
      <c r="J1004" s="1" t="str">
        <f>IF(COUNTIF(Comp3[Comparable '#3 Dates],Benchmark2[[#This Row],[Benchmark '#2 Dates]])=1,"Pass","Fail")</f>
        <v>Pass</v>
      </c>
      <c r="K1004" s="6">
        <f>IF(Benchmark2[[#This Row],[Comparable '#3 Date Check]]="Pass",INDEX(Comp3[Comparable '#3 Price],MATCH(Benchmark2[[#This Row],[Benchmark '#2 Dates]],Comp3[Comparable '#3 Dates],0)),"-")</f>
        <v>70.52</v>
      </c>
    </row>
    <row r="1005" spans="1:11">
      <c r="A1005" s="103">
        <v>44741</v>
      </c>
      <c r="B1005" s="104">
        <v>14599.5887</v>
      </c>
      <c r="C1005" s="4">
        <f t="shared" si="15"/>
        <v>-4.6285394458583208E-3</v>
      </c>
      <c r="D1005" s="1" t="str">
        <f>IF(COUNTIF(Target1[Target Dates],Benchmark2[[#This Row],[Benchmark '#2 Dates]])=1,"Pass","Fail")</f>
        <v>Pass</v>
      </c>
      <c r="E1005" s="6">
        <f>IF(Benchmark2[[#This Row],[Target Date Check]]="Pass",INDEX(Target1[Target Price],MATCH(Benchmark2[[#This Row],[Benchmark '#2 Dates]],Target1[Target Dates],0)),"-")</f>
        <v>41.31</v>
      </c>
      <c r="F1005" s="1" t="str">
        <f>IF(COUNTIF(Comp1[Comparable '#1 Dates],Benchmark2[[#This Row],[Benchmark '#2 Dates]])=1,"Pass","Fail")</f>
        <v>Pass</v>
      </c>
      <c r="G1005" s="6">
        <f>IF(Benchmark2[[#This Row],[Comparable '#1 Date Check]]="Pass",INDEX(Comp1[Comparable '#1 Price],MATCH(Benchmark2[[#This Row],[Benchmark '#2 Dates]],Comp1[Comparable '#1 Dates],0)),"-")</f>
        <v>11.25</v>
      </c>
      <c r="H1005" s="1" t="str">
        <f>IF(COUNTIF(Comp2[Comparable '#2 Dates],Benchmark2[[#This Row],[Benchmark '#2 Dates]])=1,"Pass","Fail")</f>
        <v>Pass</v>
      </c>
      <c r="I1005" s="6">
        <f>IF(Benchmark2[[#This Row],[Comparable '#2 Date Check]]="Pass",INDEX(Comp2[Comparable '#2 Price],MATCH(Benchmark2[[#This Row],[Benchmark '#2 Dates]],Comp2[Comparable '#2 Dates],0)),"-")</f>
        <v>35.659999999999997</v>
      </c>
      <c r="J1005" s="1" t="str">
        <f>IF(COUNTIF(Comp3[Comparable '#3 Dates],Benchmark2[[#This Row],[Benchmark '#2 Dates]])=1,"Pass","Fail")</f>
        <v>Pass</v>
      </c>
      <c r="K1005" s="6">
        <f>IF(Benchmark2[[#This Row],[Comparable '#3 Date Check]]="Pass",INDEX(Comp3[Comparable '#3 Price],MATCH(Benchmark2[[#This Row],[Benchmark '#2 Dates]],Comp3[Comparable '#3 Dates],0)),"-")</f>
        <v>68.03</v>
      </c>
    </row>
    <row r="1006" spans="1:11">
      <c r="A1006" s="103">
        <v>44742</v>
      </c>
      <c r="B1006" s="104">
        <v>14487.6417</v>
      </c>
      <c r="C1006" s="4">
        <f t="shared" si="15"/>
        <v>-7.6973676210029124E-3</v>
      </c>
      <c r="D1006" s="1" t="str">
        <f>IF(COUNTIF(Target1[Target Dates],Benchmark2[[#This Row],[Benchmark '#2 Dates]])=1,"Pass","Fail")</f>
        <v>Pass</v>
      </c>
      <c r="E1006" s="6">
        <f>IF(Benchmark2[[#This Row],[Target Date Check]]="Pass",INDEX(Target1[Target Price],MATCH(Benchmark2[[#This Row],[Benchmark '#2 Dates]],Target1[Target Dates],0)),"-")</f>
        <v>40.79</v>
      </c>
      <c r="F1006" s="1" t="str">
        <f>IF(COUNTIF(Comp1[Comparable '#1 Dates],Benchmark2[[#This Row],[Benchmark '#2 Dates]])=1,"Pass","Fail")</f>
        <v>Pass</v>
      </c>
      <c r="G1006" s="6">
        <f>IF(Benchmark2[[#This Row],[Comparable '#1 Date Check]]="Pass",INDEX(Comp1[Comparable '#1 Price],MATCH(Benchmark2[[#This Row],[Benchmark '#2 Dates]],Comp1[Comparable '#1 Dates],0)),"-")</f>
        <v>11.57</v>
      </c>
      <c r="H1006" s="1" t="str">
        <f>IF(COUNTIF(Comp2[Comparable '#2 Dates],Benchmark2[[#This Row],[Benchmark '#2 Dates]])=1,"Pass","Fail")</f>
        <v>Pass</v>
      </c>
      <c r="I1006" s="6">
        <f>IF(Benchmark2[[#This Row],[Comparable '#2 Date Check]]="Pass",INDEX(Comp2[Comparable '#2 Price],MATCH(Benchmark2[[#This Row],[Benchmark '#2 Dates]],Comp2[Comparable '#2 Dates],0)),"-")</f>
        <v>35.97</v>
      </c>
      <c r="J1006" s="1" t="str">
        <f>IF(COUNTIF(Comp3[Comparable '#3 Dates],Benchmark2[[#This Row],[Benchmark '#2 Dates]])=1,"Pass","Fail")</f>
        <v>Pass</v>
      </c>
      <c r="K1006" s="6">
        <f>IF(Benchmark2[[#This Row],[Comparable '#3 Date Check]]="Pass",INDEX(Comp3[Comparable '#3 Price],MATCH(Benchmark2[[#This Row],[Benchmark '#2 Dates]],Comp3[Comparable '#3 Dates],0)),"-")</f>
        <v>70.58</v>
      </c>
    </row>
    <row r="1007" spans="1:11">
      <c r="A1007" s="103">
        <v>44743</v>
      </c>
      <c r="B1007" s="104">
        <v>14636.700699999999</v>
      </c>
      <c r="C1007" s="4">
        <f t="shared" si="15"/>
        <v>1.0236131649876646E-2</v>
      </c>
      <c r="D1007" s="1" t="str">
        <f>IF(COUNTIF(Target1[Target Dates],Benchmark2[[#This Row],[Benchmark '#2 Dates]])=1,"Pass","Fail")</f>
        <v>Pass</v>
      </c>
      <c r="E1007" s="6">
        <f>IF(Benchmark2[[#This Row],[Target Date Check]]="Pass",INDEX(Target1[Target Price],MATCH(Benchmark2[[#This Row],[Benchmark '#2 Dates]],Target1[Target Dates],0)),"-")</f>
        <v>41.32</v>
      </c>
      <c r="F1007" s="1" t="str">
        <f>IF(COUNTIF(Comp1[Comparable '#1 Dates],Benchmark2[[#This Row],[Benchmark '#2 Dates]])=1,"Pass","Fail")</f>
        <v>Pass</v>
      </c>
      <c r="G1007" s="6">
        <f>IF(Benchmark2[[#This Row],[Comparable '#1 Date Check]]="Pass",INDEX(Comp1[Comparable '#1 Price],MATCH(Benchmark2[[#This Row],[Benchmark '#2 Dates]],Comp1[Comparable '#1 Dates],0)),"-")</f>
        <v>11.72</v>
      </c>
      <c r="H1007" s="1" t="str">
        <f>IF(COUNTIF(Comp2[Comparable '#2 Dates],Benchmark2[[#This Row],[Benchmark '#2 Dates]])=1,"Pass","Fail")</f>
        <v>Pass</v>
      </c>
      <c r="I1007" s="6">
        <f>IF(Benchmark2[[#This Row],[Comparable '#2 Date Check]]="Pass",INDEX(Comp2[Comparable '#2 Price],MATCH(Benchmark2[[#This Row],[Benchmark '#2 Dates]],Comp2[Comparable '#2 Dates],0)),"-")</f>
        <v>36.520000000000003</v>
      </c>
      <c r="J1007" s="1" t="str">
        <f>IF(COUNTIF(Comp3[Comparable '#3 Dates],Benchmark2[[#This Row],[Benchmark '#2 Dates]])=1,"Pass","Fail")</f>
        <v>Pass</v>
      </c>
      <c r="K1007" s="6">
        <f>IF(Benchmark2[[#This Row],[Comparable '#3 Date Check]]="Pass",INDEX(Comp3[Comparable '#3 Price],MATCH(Benchmark2[[#This Row],[Benchmark '#2 Dates]],Comp3[Comparable '#3 Dates],0)),"-")</f>
        <v>69.709999999999994</v>
      </c>
    </row>
    <row r="1008" spans="1:11">
      <c r="A1008" s="103">
        <v>44747</v>
      </c>
      <c r="B1008" s="104">
        <v>14499.4946</v>
      </c>
      <c r="C1008" s="4">
        <f t="shared" si="15"/>
        <v>-9.4183274668119231E-3</v>
      </c>
      <c r="D1008" s="1" t="str">
        <f>IF(COUNTIF(Target1[Target Dates],Benchmark2[[#This Row],[Benchmark '#2 Dates]])=1,"Pass","Fail")</f>
        <v>Pass</v>
      </c>
      <c r="E1008" s="6">
        <f>IF(Benchmark2[[#This Row],[Target Date Check]]="Pass",INDEX(Target1[Target Price],MATCH(Benchmark2[[#This Row],[Benchmark '#2 Dates]],Target1[Target Dates],0)),"-")</f>
        <v>40.28</v>
      </c>
      <c r="F1008" s="1" t="str">
        <f>IF(COUNTIF(Comp1[Comparable '#1 Dates],Benchmark2[[#This Row],[Benchmark '#2 Dates]])=1,"Pass","Fail")</f>
        <v>Pass</v>
      </c>
      <c r="G1008" s="6">
        <f>IF(Benchmark2[[#This Row],[Comparable '#1 Date Check]]="Pass",INDEX(Comp1[Comparable '#1 Price],MATCH(Benchmark2[[#This Row],[Benchmark '#2 Dates]],Comp1[Comparable '#1 Dates],0)),"-")</f>
        <v>11.34</v>
      </c>
      <c r="H1008" s="1" t="str">
        <f>IF(COUNTIF(Comp2[Comparable '#2 Dates],Benchmark2[[#This Row],[Benchmark '#2 Dates]])=1,"Pass","Fail")</f>
        <v>Pass</v>
      </c>
      <c r="I1008" s="6">
        <f>IF(Benchmark2[[#This Row],[Comparable '#2 Date Check]]="Pass",INDEX(Comp2[Comparable '#2 Price],MATCH(Benchmark2[[#This Row],[Benchmark '#2 Dates]],Comp2[Comparable '#2 Dates],0)),"-")</f>
        <v>37.450000000000003</v>
      </c>
      <c r="J1008" s="1" t="str">
        <f>IF(COUNTIF(Comp3[Comparable '#3 Dates],Benchmark2[[#This Row],[Benchmark '#2 Dates]])=1,"Pass","Fail")</f>
        <v>Pass</v>
      </c>
      <c r="K1008" s="6">
        <f>IF(Benchmark2[[#This Row],[Comparable '#3 Date Check]]="Pass",INDEX(Comp3[Comparable '#3 Price],MATCH(Benchmark2[[#This Row],[Benchmark '#2 Dates]],Comp3[Comparable '#3 Dates],0)),"-")</f>
        <v>68.900000000000006</v>
      </c>
    </row>
    <row r="1009" spans="1:11">
      <c r="A1009" s="103">
        <v>44748</v>
      </c>
      <c r="B1009" s="104">
        <v>14465.290800000001</v>
      </c>
      <c r="C1009" s="4">
        <f t="shared" si="15"/>
        <v>-2.3617517220546327E-3</v>
      </c>
      <c r="D1009" s="1" t="str">
        <f>IF(COUNTIF(Target1[Target Dates],Benchmark2[[#This Row],[Benchmark '#2 Dates]])=1,"Pass","Fail")</f>
        <v>Pass</v>
      </c>
      <c r="E1009" s="6">
        <f>IF(Benchmark2[[#This Row],[Target Date Check]]="Pass",INDEX(Target1[Target Price],MATCH(Benchmark2[[#This Row],[Benchmark '#2 Dates]],Target1[Target Dates],0)),"-")</f>
        <v>41.2</v>
      </c>
      <c r="F1009" s="1" t="str">
        <f>IF(COUNTIF(Comp1[Comparable '#1 Dates],Benchmark2[[#This Row],[Benchmark '#2 Dates]])=1,"Pass","Fail")</f>
        <v>Pass</v>
      </c>
      <c r="G1009" s="6">
        <f>IF(Benchmark2[[#This Row],[Comparable '#1 Date Check]]="Pass",INDEX(Comp1[Comparable '#1 Price],MATCH(Benchmark2[[#This Row],[Benchmark '#2 Dates]],Comp1[Comparable '#1 Dates],0)),"-")</f>
        <v>11.33</v>
      </c>
      <c r="H1009" s="1" t="str">
        <f>IF(COUNTIF(Comp2[Comparable '#2 Dates],Benchmark2[[#This Row],[Benchmark '#2 Dates]])=1,"Pass","Fail")</f>
        <v>Pass</v>
      </c>
      <c r="I1009" s="6">
        <f>IF(Benchmark2[[#This Row],[Comparable '#2 Date Check]]="Pass",INDEX(Comp2[Comparable '#2 Price],MATCH(Benchmark2[[#This Row],[Benchmark '#2 Dates]],Comp2[Comparable '#2 Dates],0)),"-")</f>
        <v>36.83</v>
      </c>
      <c r="J1009" s="1" t="str">
        <f>IF(COUNTIF(Comp3[Comparable '#3 Dates],Benchmark2[[#This Row],[Benchmark '#2 Dates]])=1,"Pass","Fail")</f>
        <v>Pass</v>
      </c>
      <c r="K1009" s="6">
        <f>IF(Benchmark2[[#This Row],[Comparable '#3 Date Check]]="Pass",INDEX(Comp3[Comparable '#3 Price],MATCH(Benchmark2[[#This Row],[Benchmark '#2 Dates]],Comp3[Comparable '#3 Dates],0)),"-")</f>
        <v>67.599999999999994</v>
      </c>
    </row>
    <row r="1010" spans="1:11">
      <c r="A1010" s="103">
        <v>44749</v>
      </c>
      <c r="B1010" s="104">
        <v>14676.497300000001</v>
      </c>
      <c r="C1010" s="4">
        <f t="shared" si="15"/>
        <v>1.4495349249176649E-2</v>
      </c>
      <c r="D1010" s="1" t="str">
        <f>IF(COUNTIF(Target1[Target Dates],Benchmark2[[#This Row],[Benchmark '#2 Dates]])=1,"Pass","Fail")</f>
        <v>Pass</v>
      </c>
      <c r="E1010" s="6">
        <f>IF(Benchmark2[[#This Row],[Target Date Check]]="Pass",INDEX(Target1[Target Price],MATCH(Benchmark2[[#This Row],[Benchmark '#2 Dates]],Target1[Target Dates],0)),"-")</f>
        <v>41.34</v>
      </c>
      <c r="F1010" s="1" t="str">
        <f>IF(COUNTIF(Comp1[Comparable '#1 Dates],Benchmark2[[#This Row],[Benchmark '#2 Dates]])=1,"Pass","Fail")</f>
        <v>Pass</v>
      </c>
      <c r="G1010" s="6">
        <f>IF(Benchmark2[[#This Row],[Comparable '#1 Date Check]]="Pass",INDEX(Comp1[Comparable '#1 Price],MATCH(Benchmark2[[#This Row],[Benchmark '#2 Dates]],Comp1[Comparable '#1 Dates],0)),"-")</f>
        <v>11.37</v>
      </c>
      <c r="H1010" s="1" t="str">
        <f>IF(COUNTIF(Comp2[Comparable '#2 Dates],Benchmark2[[#This Row],[Benchmark '#2 Dates]])=1,"Pass","Fail")</f>
        <v>Pass</v>
      </c>
      <c r="I1010" s="6">
        <f>IF(Benchmark2[[#This Row],[Comparable '#2 Date Check]]="Pass",INDEX(Comp2[Comparable '#2 Price],MATCH(Benchmark2[[#This Row],[Benchmark '#2 Dates]],Comp2[Comparable '#2 Dates],0)),"-")</f>
        <v>36.94</v>
      </c>
      <c r="J1010" s="1" t="str">
        <f>IF(COUNTIF(Comp3[Comparable '#3 Dates],Benchmark2[[#This Row],[Benchmark '#2 Dates]])=1,"Pass","Fail")</f>
        <v>Pass</v>
      </c>
      <c r="K1010" s="6">
        <f>IF(Benchmark2[[#This Row],[Comparable '#3 Date Check]]="Pass",INDEX(Comp3[Comparable '#3 Price],MATCH(Benchmark2[[#This Row],[Benchmark '#2 Dates]],Comp3[Comparable '#3 Dates],0)),"-")</f>
        <v>66.67</v>
      </c>
    </row>
    <row r="1011" spans="1:11">
      <c r="A1011" s="103">
        <v>44750</v>
      </c>
      <c r="B1011" s="104">
        <v>14642.328</v>
      </c>
      <c r="C1011" s="4">
        <f t="shared" si="15"/>
        <v>-2.3308788889396378E-3</v>
      </c>
      <c r="D1011" s="1" t="str">
        <f>IF(COUNTIF(Target1[Target Dates],Benchmark2[[#This Row],[Benchmark '#2 Dates]])=1,"Pass","Fail")</f>
        <v>Pass</v>
      </c>
      <c r="E1011" s="6">
        <f>IF(Benchmark2[[#This Row],[Target Date Check]]="Pass",INDEX(Target1[Target Price],MATCH(Benchmark2[[#This Row],[Benchmark '#2 Dates]],Target1[Target Dates],0)),"-")</f>
        <v>41.68</v>
      </c>
      <c r="F1011" s="1" t="str">
        <f>IF(COUNTIF(Comp1[Comparable '#1 Dates],Benchmark2[[#This Row],[Benchmark '#2 Dates]])=1,"Pass","Fail")</f>
        <v>Pass</v>
      </c>
      <c r="G1011" s="6">
        <f>IF(Benchmark2[[#This Row],[Comparable '#1 Date Check]]="Pass",INDEX(Comp1[Comparable '#1 Price],MATCH(Benchmark2[[#This Row],[Benchmark '#2 Dates]],Comp1[Comparable '#1 Dates],0)),"-")</f>
        <v>11.47</v>
      </c>
      <c r="H1011" s="1" t="str">
        <f>IF(COUNTIF(Comp2[Comparable '#2 Dates],Benchmark2[[#This Row],[Benchmark '#2 Dates]])=1,"Pass","Fail")</f>
        <v>Pass</v>
      </c>
      <c r="I1011" s="6">
        <f>IF(Benchmark2[[#This Row],[Comparable '#2 Date Check]]="Pass",INDEX(Comp2[Comparable '#2 Price],MATCH(Benchmark2[[#This Row],[Benchmark '#2 Dates]],Comp2[Comparable '#2 Dates],0)),"-")</f>
        <v>38.119999999999997</v>
      </c>
      <c r="J1011" s="1" t="str">
        <f>IF(COUNTIF(Comp3[Comparable '#3 Dates],Benchmark2[[#This Row],[Benchmark '#2 Dates]])=1,"Pass","Fail")</f>
        <v>Pass</v>
      </c>
      <c r="K1011" s="6">
        <f>IF(Benchmark2[[#This Row],[Comparable '#3 Date Check]]="Pass",INDEX(Comp3[Comparable '#3 Price],MATCH(Benchmark2[[#This Row],[Benchmark '#2 Dates]],Comp3[Comparable '#3 Dates],0)),"-")</f>
        <v>67.33</v>
      </c>
    </row>
    <row r="1012" spans="1:11">
      <c r="A1012" s="103">
        <v>44753</v>
      </c>
      <c r="B1012" s="104">
        <v>14502.4347</v>
      </c>
      <c r="C1012" s="4">
        <f t="shared" si="15"/>
        <v>-9.5999666088494029E-3</v>
      </c>
      <c r="D1012" s="1" t="str">
        <f>IF(COUNTIF(Target1[Target Dates],Benchmark2[[#This Row],[Benchmark '#2 Dates]])=1,"Pass","Fail")</f>
        <v>Pass</v>
      </c>
      <c r="E1012" s="6">
        <f>IF(Benchmark2[[#This Row],[Target Date Check]]="Pass",INDEX(Target1[Target Price],MATCH(Benchmark2[[#This Row],[Benchmark '#2 Dates]],Target1[Target Dates],0)),"-")</f>
        <v>40.89</v>
      </c>
      <c r="F1012" s="1" t="str">
        <f>IF(COUNTIF(Comp1[Comparable '#1 Dates],Benchmark2[[#This Row],[Benchmark '#2 Dates]])=1,"Pass","Fail")</f>
        <v>Pass</v>
      </c>
      <c r="G1012" s="6">
        <f>IF(Benchmark2[[#This Row],[Comparable '#1 Date Check]]="Pass",INDEX(Comp1[Comparable '#1 Price],MATCH(Benchmark2[[#This Row],[Benchmark '#2 Dates]],Comp1[Comparable '#1 Dates],0)),"-")</f>
        <v>11.42</v>
      </c>
      <c r="H1012" s="1" t="str">
        <f>IF(COUNTIF(Comp2[Comparable '#2 Dates],Benchmark2[[#This Row],[Benchmark '#2 Dates]])=1,"Pass","Fail")</f>
        <v>Pass</v>
      </c>
      <c r="I1012" s="6">
        <f>IF(Benchmark2[[#This Row],[Comparable '#2 Date Check]]="Pass",INDEX(Comp2[Comparable '#2 Price],MATCH(Benchmark2[[#This Row],[Benchmark '#2 Dates]],Comp2[Comparable '#2 Dates],0)),"-")</f>
        <v>36.93</v>
      </c>
      <c r="J1012" s="1" t="str">
        <f>IF(COUNTIF(Comp3[Comparable '#3 Dates],Benchmark2[[#This Row],[Benchmark '#2 Dates]])=1,"Pass","Fail")</f>
        <v>Pass</v>
      </c>
      <c r="K1012" s="6">
        <f>IF(Benchmark2[[#This Row],[Comparable '#3 Date Check]]="Pass",INDEX(Comp3[Comparable '#3 Price],MATCH(Benchmark2[[#This Row],[Benchmark '#2 Dates]],Comp3[Comparable '#3 Dates],0)),"-")</f>
        <v>66.459999999999994</v>
      </c>
    </row>
    <row r="1013" spans="1:11">
      <c r="A1013" s="103">
        <v>44754</v>
      </c>
      <c r="B1013" s="104">
        <v>14395.0371</v>
      </c>
      <c r="C1013" s="4">
        <f t="shared" si="15"/>
        <v>-7.4330443313950665E-3</v>
      </c>
      <c r="D1013" s="1" t="str">
        <f>IF(COUNTIF(Target1[Target Dates],Benchmark2[[#This Row],[Benchmark '#2 Dates]])=1,"Pass","Fail")</f>
        <v>Pass</v>
      </c>
      <c r="E1013" s="6">
        <f>IF(Benchmark2[[#This Row],[Target Date Check]]="Pass",INDEX(Target1[Target Price],MATCH(Benchmark2[[#This Row],[Benchmark '#2 Dates]],Target1[Target Dates],0)),"-")</f>
        <v>40.880000000000003</v>
      </c>
      <c r="F1013" s="1" t="str">
        <f>IF(COUNTIF(Comp1[Comparable '#1 Dates],Benchmark2[[#This Row],[Benchmark '#2 Dates]])=1,"Pass","Fail")</f>
        <v>Pass</v>
      </c>
      <c r="G1013" s="6">
        <f>IF(Benchmark2[[#This Row],[Comparable '#1 Date Check]]="Pass",INDEX(Comp1[Comparable '#1 Price],MATCH(Benchmark2[[#This Row],[Benchmark '#2 Dates]],Comp1[Comparable '#1 Dates],0)),"-")</f>
        <v>11.15</v>
      </c>
      <c r="H1013" s="1" t="str">
        <f>IF(COUNTIF(Comp2[Comparable '#2 Dates],Benchmark2[[#This Row],[Benchmark '#2 Dates]])=1,"Pass","Fail")</f>
        <v>Pass</v>
      </c>
      <c r="I1013" s="6">
        <f>IF(Benchmark2[[#This Row],[Comparable '#2 Date Check]]="Pass",INDEX(Comp2[Comparable '#2 Price],MATCH(Benchmark2[[#This Row],[Benchmark '#2 Dates]],Comp2[Comparable '#2 Dates],0)),"-")</f>
        <v>37</v>
      </c>
      <c r="J1013" s="1" t="str">
        <f>IF(COUNTIF(Comp3[Comparable '#3 Dates],Benchmark2[[#This Row],[Benchmark '#2 Dates]])=1,"Pass","Fail")</f>
        <v>Pass</v>
      </c>
      <c r="K1013" s="6">
        <f>IF(Benchmark2[[#This Row],[Comparable '#3 Date Check]]="Pass",INDEX(Comp3[Comparable '#3 Price],MATCH(Benchmark2[[#This Row],[Benchmark '#2 Dates]],Comp3[Comparable '#3 Dates],0)),"-")</f>
        <v>66.66</v>
      </c>
    </row>
    <row r="1014" spans="1:11">
      <c r="A1014" s="103">
        <v>44755</v>
      </c>
      <c r="B1014" s="104">
        <v>14340.284799999999</v>
      </c>
      <c r="C1014" s="4">
        <f t="shared" si="15"/>
        <v>-3.8108058403544835E-3</v>
      </c>
      <c r="D1014" s="1" t="str">
        <f>IF(COUNTIF(Target1[Target Dates],Benchmark2[[#This Row],[Benchmark '#2 Dates]])=1,"Pass","Fail")</f>
        <v>Pass</v>
      </c>
      <c r="E1014" s="6">
        <f>IF(Benchmark2[[#This Row],[Target Date Check]]="Pass",INDEX(Target1[Target Price],MATCH(Benchmark2[[#This Row],[Benchmark '#2 Dates]],Target1[Target Dates],0)),"-")</f>
        <v>40.520000000000003</v>
      </c>
      <c r="F1014" s="1" t="str">
        <f>IF(COUNTIF(Comp1[Comparable '#1 Dates],Benchmark2[[#This Row],[Benchmark '#2 Dates]])=1,"Pass","Fail")</f>
        <v>Pass</v>
      </c>
      <c r="G1014" s="6">
        <f>IF(Benchmark2[[#This Row],[Comparable '#1 Date Check]]="Pass",INDEX(Comp1[Comparable '#1 Price],MATCH(Benchmark2[[#This Row],[Benchmark '#2 Dates]],Comp1[Comparable '#1 Dates],0)),"-")</f>
        <v>11.32</v>
      </c>
      <c r="H1014" s="1" t="str">
        <f>IF(COUNTIF(Comp2[Comparable '#2 Dates],Benchmark2[[#This Row],[Benchmark '#2 Dates]])=1,"Pass","Fail")</f>
        <v>Pass</v>
      </c>
      <c r="I1014" s="6">
        <f>IF(Benchmark2[[#This Row],[Comparable '#2 Date Check]]="Pass",INDEX(Comp2[Comparable '#2 Price],MATCH(Benchmark2[[#This Row],[Benchmark '#2 Dates]],Comp2[Comparable '#2 Dates],0)),"-")</f>
        <v>37.68</v>
      </c>
      <c r="J1014" s="1" t="str">
        <f>IF(COUNTIF(Comp3[Comparable '#3 Dates],Benchmark2[[#This Row],[Benchmark '#2 Dates]])=1,"Pass","Fail")</f>
        <v>Pass</v>
      </c>
      <c r="K1014" s="6">
        <f>IF(Benchmark2[[#This Row],[Comparable '#3 Date Check]]="Pass",INDEX(Comp3[Comparable '#3 Price],MATCH(Benchmark2[[#This Row],[Benchmark '#2 Dates]],Comp3[Comparable '#3 Dates],0)),"-")</f>
        <v>66.709999999999994</v>
      </c>
    </row>
    <row r="1015" spans="1:11">
      <c r="A1015" s="103">
        <v>44756</v>
      </c>
      <c r="B1015" s="104">
        <v>14171.244199999999</v>
      </c>
      <c r="C1015" s="4">
        <f t="shared" si="15"/>
        <v>-1.1857840434005801E-2</v>
      </c>
      <c r="D1015" s="1" t="str">
        <f>IF(COUNTIF(Target1[Target Dates],Benchmark2[[#This Row],[Benchmark '#2 Dates]])=1,"Pass","Fail")</f>
        <v>Pass</v>
      </c>
      <c r="E1015" s="6">
        <f>IF(Benchmark2[[#This Row],[Target Date Check]]="Pass",INDEX(Target1[Target Price],MATCH(Benchmark2[[#This Row],[Benchmark '#2 Dates]],Target1[Target Dates],0)),"-")</f>
        <v>40.299999999999997</v>
      </c>
      <c r="F1015" s="1" t="str">
        <f>IF(COUNTIF(Comp1[Comparable '#1 Dates],Benchmark2[[#This Row],[Benchmark '#2 Dates]])=1,"Pass","Fail")</f>
        <v>Pass</v>
      </c>
      <c r="G1015" s="6">
        <f>IF(Benchmark2[[#This Row],[Comparable '#1 Date Check]]="Pass",INDEX(Comp1[Comparable '#1 Price],MATCH(Benchmark2[[#This Row],[Benchmark '#2 Dates]],Comp1[Comparable '#1 Dates],0)),"-")</f>
        <v>11.04</v>
      </c>
      <c r="H1015" s="1" t="str">
        <f>IF(COUNTIF(Comp2[Comparable '#2 Dates],Benchmark2[[#This Row],[Benchmark '#2 Dates]])=1,"Pass","Fail")</f>
        <v>Pass</v>
      </c>
      <c r="I1015" s="6">
        <f>IF(Benchmark2[[#This Row],[Comparable '#2 Date Check]]="Pass",INDEX(Comp2[Comparable '#2 Price],MATCH(Benchmark2[[#This Row],[Benchmark '#2 Dates]],Comp2[Comparable '#2 Dates],0)),"-")</f>
        <v>37.22</v>
      </c>
      <c r="J1015" s="1" t="str">
        <f>IF(COUNTIF(Comp3[Comparable '#3 Dates],Benchmark2[[#This Row],[Benchmark '#2 Dates]])=1,"Pass","Fail")</f>
        <v>Pass</v>
      </c>
      <c r="K1015" s="6">
        <f>IF(Benchmark2[[#This Row],[Comparable '#3 Date Check]]="Pass",INDEX(Comp3[Comparable '#3 Price],MATCH(Benchmark2[[#This Row],[Benchmark '#2 Dates]],Comp3[Comparable '#3 Dates],0)),"-")</f>
        <v>66.62</v>
      </c>
    </row>
    <row r="1016" spans="1:11">
      <c r="A1016" s="103">
        <v>44757</v>
      </c>
      <c r="B1016" s="104">
        <v>14449.6772</v>
      </c>
      <c r="C1016" s="4">
        <f t="shared" si="15"/>
        <v>1.9457220138336909E-2</v>
      </c>
      <c r="D1016" s="1" t="str">
        <f>IF(COUNTIF(Target1[Target Dates],Benchmark2[[#This Row],[Benchmark '#2 Dates]])=1,"Pass","Fail")</f>
        <v>Pass</v>
      </c>
      <c r="E1016" s="6">
        <f>IF(Benchmark2[[#This Row],[Target Date Check]]="Pass",INDEX(Target1[Target Price],MATCH(Benchmark2[[#This Row],[Benchmark '#2 Dates]],Target1[Target Dates],0)),"-")</f>
        <v>41.76</v>
      </c>
      <c r="F1016" s="1" t="str">
        <f>IF(COUNTIF(Comp1[Comparable '#1 Dates],Benchmark2[[#This Row],[Benchmark '#2 Dates]])=1,"Pass","Fail")</f>
        <v>Pass</v>
      </c>
      <c r="G1016" s="6">
        <f>IF(Benchmark2[[#This Row],[Comparable '#1 Date Check]]="Pass",INDEX(Comp1[Comparable '#1 Price],MATCH(Benchmark2[[#This Row],[Benchmark '#2 Dates]],Comp1[Comparable '#1 Dates],0)),"-")</f>
        <v>11.42</v>
      </c>
      <c r="H1016" s="1" t="str">
        <f>IF(COUNTIF(Comp2[Comparable '#2 Dates],Benchmark2[[#This Row],[Benchmark '#2 Dates]])=1,"Pass","Fail")</f>
        <v>Pass</v>
      </c>
      <c r="I1016" s="6">
        <f>IF(Benchmark2[[#This Row],[Comparable '#2 Date Check]]="Pass",INDEX(Comp2[Comparable '#2 Price],MATCH(Benchmark2[[#This Row],[Benchmark '#2 Dates]],Comp2[Comparable '#2 Dates],0)),"-")</f>
        <v>38.6</v>
      </c>
      <c r="J1016" s="1" t="str">
        <f>IF(COUNTIF(Comp3[Comparable '#3 Dates],Benchmark2[[#This Row],[Benchmark '#2 Dates]])=1,"Pass","Fail")</f>
        <v>Pass</v>
      </c>
      <c r="K1016" s="6">
        <f>IF(Benchmark2[[#This Row],[Comparable '#3 Date Check]]="Pass",INDEX(Comp3[Comparable '#3 Price],MATCH(Benchmark2[[#This Row],[Benchmark '#2 Dates]],Comp3[Comparable '#3 Dates],0)),"-")</f>
        <v>68.430000000000007</v>
      </c>
    </row>
    <row r="1017" spans="1:11">
      <c r="A1017" s="103">
        <v>44760</v>
      </c>
      <c r="B1017" s="104">
        <v>14403.183199999999</v>
      </c>
      <c r="C1017" s="4">
        <f t="shared" si="15"/>
        <v>-3.2228375002424886E-3</v>
      </c>
      <c r="D1017" s="1" t="str">
        <f>IF(COUNTIF(Target1[Target Dates],Benchmark2[[#This Row],[Benchmark '#2 Dates]])=1,"Pass","Fail")</f>
        <v>Pass</v>
      </c>
      <c r="E1017" s="6">
        <f>IF(Benchmark2[[#This Row],[Target Date Check]]="Pass",INDEX(Target1[Target Price],MATCH(Benchmark2[[#This Row],[Benchmark '#2 Dates]],Target1[Target Dates],0)),"-")</f>
        <v>41.97</v>
      </c>
      <c r="F1017" s="1" t="str">
        <f>IF(COUNTIF(Comp1[Comparable '#1 Dates],Benchmark2[[#This Row],[Benchmark '#2 Dates]])=1,"Pass","Fail")</f>
        <v>Pass</v>
      </c>
      <c r="G1017" s="6">
        <f>IF(Benchmark2[[#This Row],[Comparable '#1 Date Check]]="Pass",INDEX(Comp1[Comparable '#1 Price],MATCH(Benchmark2[[#This Row],[Benchmark '#2 Dates]],Comp1[Comparable '#1 Dates],0)),"-")</f>
        <v>11.5</v>
      </c>
      <c r="H1017" s="1" t="str">
        <f>IF(COUNTIF(Comp2[Comparable '#2 Dates],Benchmark2[[#This Row],[Benchmark '#2 Dates]])=1,"Pass","Fail")</f>
        <v>Pass</v>
      </c>
      <c r="I1017" s="6">
        <f>IF(Benchmark2[[#This Row],[Comparable '#2 Date Check]]="Pass",INDEX(Comp2[Comparable '#2 Price],MATCH(Benchmark2[[#This Row],[Benchmark '#2 Dates]],Comp2[Comparable '#2 Dates],0)),"-")</f>
        <v>38.770000000000003</v>
      </c>
      <c r="J1017" s="1" t="str">
        <f>IF(COUNTIF(Comp3[Comparable '#3 Dates],Benchmark2[[#This Row],[Benchmark '#2 Dates]])=1,"Pass","Fail")</f>
        <v>Pass</v>
      </c>
      <c r="K1017" s="6">
        <f>IF(Benchmark2[[#This Row],[Comparable '#3 Date Check]]="Pass",INDEX(Comp3[Comparable '#3 Price],MATCH(Benchmark2[[#This Row],[Benchmark '#2 Dates]],Comp3[Comparable '#3 Dates],0)),"-")</f>
        <v>68.03</v>
      </c>
    </row>
    <row r="1018" spans="1:11">
      <c r="A1018" s="103">
        <v>44761</v>
      </c>
      <c r="B1018" s="104">
        <v>14766.5983</v>
      </c>
      <c r="C1018" s="4">
        <f t="shared" si="15"/>
        <v>2.4918520867091658E-2</v>
      </c>
      <c r="D1018" s="1" t="str">
        <f>IF(COUNTIF(Target1[Target Dates],Benchmark2[[#This Row],[Benchmark '#2 Dates]])=1,"Pass","Fail")</f>
        <v>Pass</v>
      </c>
      <c r="E1018" s="6">
        <f>IF(Benchmark2[[#This Row],[Target Date Check]]="Pass",INDEX(Target1[Target Price],MATCH(Benchmark2[[#This Row],[Benchmark '#2 Dates]],Target1[Target Dates],0)),"-")</f>
        <v>43.16</v>
      </c>
      <c r="F1018" s="1" t="str">
        <f>IF(COUNTIF(Comp1[Comparable '#1 Dates],Benchmark2[[#This Row],[Benchmark '#2 Dates]])=1,"Pass","Fail")</f>
        <v>Pass</v>
      </c>
      <c r="G1018" s="6">
        <f>IF(Benchmark2[[#This Row],[Comparable '#1 Date Check]]="Pass",INDEX(Comp1[Comparable '#1 Price],MATCH(Benchmark2[[#This Row],[Benchmark '#2 Dates]],Comp1[Comparable '#1 Dates],0)),"-")</f>
        <v>11.81</v>
      </c>
      <c r="H1018" s="1" t="str">
        <f>IF(COUNTIF(Comp2[Comparable '#2 Dates],Benchmark2[[#This Row],[Benchmark '#2 Dates]])=1,"Pass","Fail")</f>
        <v>Pass</v>
      </c>
      <c r="I1018" s="6">
        <f>IF(Benchmark2[[#This Row],[Comparable '#2 Date Check]]="Pass",INDEX(Comp2[Comparable '#2 Price],MATCH(Benchmark2[[#This Row],[Benchmark '#2 Dates]],Comp2[Comparable '#2 Dates],0)),"-")</f>
        <v>39.630000000000003</v>
      </c>
      <c r="J1018" s="1" t="str">
        <f>IF(COUNTIF(Comp3[Comparable '#3 Dates],Benchmark2[[#This Row],[Benchmark '#2 Dates]])=1,"Pass","Fail")</f>
        <v>Pass</v>
      </c>
      <c r="K1018" s="6">
        <f>IF(Benchmark2[[#This Row],[Comparable '#3 Date Check]]="Pass",INDEX(Comp3[Comparable '#3 Price],MATCH(Benchmark2[[#This Row],[Benchmark '#2 Dates]],Comp3[Comparable '#3 Dates],0)),"-")</f>
        <v>69.099999999999994</v>
      </c>
    </row>
    <row r="1019" spans="1:11">
      <c r="A1019" s="103">
        <v>44762</v>
      </c>
      <c r="B1019" s="104">
        <v>14778.465899999999</v>
      </c>
      <c r="C1019" s="4">
        <f t="shared" si="15"/>
        <v>8.0335588766521613E-4</v>
      </c>
      <c r="D1019" s="1" t="str">
        <f>IF(COUNTIF(Target1[Target Dates],Benchmark2[[#This Row],[Benchmark '#2 Dates]])=1,"Pass","Fail")</f>
        <v>Pass</v>
      </c>
      <c r="E1019" s="6">
        <f>IF(Benchmark2[[#This Row],[Target Date Check]]="Pass",INDEX(Target1[Target Price],MATCH(Benchmark2[[#This Row],[Benchmark '#2 Dates]],Target1[Target Dates],0)),"-")</f>
        <v>44.17</v>
      </c>
      <c r="F1019" s="1" t="str">
        <f>IF(COUNTIF(Comp1[Comparable '#1 Dates],Benchmark2[[#This Row],[Benchmark '#2 Dates]])=1,"Pass","Fail")</f>
        <v>Pass</v>
      </c>
      <c r="G1019" s="6">
        <f>IF(Benchmark2[[#This Row],[Comparable '#1 Date Check]]="Pass",INDEX(Comp1[Comparable '#1 Price],MATCH(Benchmark2[[#This Row],[Benchmark '#2 Dates]],Comp1[Comparable '#1 Dates],0)),"-")</f>
        <v>11.83</v>
      </c>
      <c r="H1019" s="1" t="str">
        <f>IF(COUNTIF(Comp2[Comparable '#2 Dates],Benchmark2[[#This Row],[Benchmark '#2 Dates]])=1,"Pass","Fail")</f>
        <v>Pass</v>
      </c>
      <c r="I1019" s="6">
        <f>IF(Benchmark2[[#This Row],[Comparable '#2 Date Check]]="Pass",INDEX(Comp2[Comparable '#2 Price],MATCH(Benchmark2[[#This Row],[Benchmark '#2 Dates]],Comp2[Comparable '#2 Dates],0)),"-")</f>
        <v>39.65</v>
      </c>
      <c r="J1019" s="1" t="str">
        <f>IF(COUNTIF(Comp3[Comparable '#3 Dates],Benchmark2[[#This Row],[Benchmark '#2 Dates]])=1,"Pass","Fail")</f>
        <v>Pass</v>
      </c>
      <c r="K1019" s="6">
        <f>IF(Benchmark2[[#This Row],[Comparable '#3 Date Check]]="Pass",INDEX(Comp3[Comparable '#3 Price],MATCH(Benchmark2[[#This Row],[Benchmark '#2 Dates]],Comp3[Comparable '#3 Dates],0)),"-")</f>
        <v>71.040000000000006</v>
      </c>
    </row>
    <row r="1020" spans="1:11">
      <c r="A1020" s="103">
        <v>44763</v>
      </c>
      <c r="B1020" s="104">
        <v>14871.1335</v>
      </c>
      <c r="C1020" s="4">
        <f t="shared" si="15"/>
        <v>6.2508704071173498E-3</v>
      </c>
      <c r="D1020" s="1" t="str">
        <f>IF(COUNTIF(Target1[Target Dates],Benchmark2[[#This Row],[Benchmark '#2 Dates]])=1,"Pass","Fail")</f>
        <v>Pass</v>
      </c>
      <c r="E1020" s="6">
        <f>IF(Benchmark2[[#This Row],[Target Date Check]]="Pass",INDEX(Target1[Target Price],MATCH(Benchmark2[[#This Row],[Benchmark '#2 Dates]],Target1[Target Dates],0)),"-")</f>
        <v>43.67</v>
      </c>
      <c r="F1020" s="1" t="str">
        <f>IF(COUNTIF(Comp1[Comparable '#1 Dates],Benchmark2[[#This Row],[Benchmark '#2 Dates]])=1,"Pass","Fail")</f>
        <v>Pass</v>
      </c>
      <c r="G1020" s="6">
        <f>IF(Benchmark2[[#This Row],[Comparable '#1 Date Check]]="Pass",INDEX(Comp1[Comparable '#1 Price],MATCH(Benchmark2[[#This Row],[Benchmark '#2 Dates]],Comp1[Comparable '#1 Dates],0)),"-")</f>
        <v>11.75</v>
      </c>
      <c r="H1020" s="1" t="str">
        <f>IF(COUNTIF(Comp2[Comparable '#2 Dates],Benchmark2[[#This Row],[Benchmark '#2 Dates]])=1,"Pass","Fail")</f>
        <v>Pass</v>
      </c>
      <c r="I1020" s="6">
        <f>IF(Benchmark2[[#This Row],[Comparable '#2 Date Check]]="Pass",INDEX(Comp2[Comparable '#2 Price],MATCH(Benchmark2[[#This Row],[Benchmark '#2 Dates]],Comp2[Comparable '#2 Dates],0)),"-")</f>
        <v>39.08</v>
      </c>
      <c r="J1020" s="1" t="str">
        <f>IF(COUNTIF(Comp3[Comparable '#3 Dates],Benchmark2[[#This Row],[Benchmark '#2 Dates]])=1,"Pass","Fail")</f>
        <v>Pass</v>
      </c>
      <c r="K1020" s="6">
        <f>IF(Benchmark2[[#This Row],[Comparable '#3 Date Check]]="Pass",INDEX(Comp3[Comparable '#3 Price],MATCH(Benchmark2[[#This Row],[Benchmark '#2 Dates]],Comp3[Comparable '#3 Dates],0)),"-")</f>
        <v>70.36</v>
      </c>
    </row>
    <row r="1021" spans="1:11">
      <c r="A1021" s="103">
        <v>44764</v>
      </c>
      <c r="B1021" s="104">
        <v>14790.7889</v>
      </c>
      <c r="C1021" s="4">
        <f t="shared" si="15"/>
        <v>-5.4173694753709683E-3</v>
      </c>
      <c r="D1021" s="1" t="str">
        <f>IF(COUNTIF(Target1[Target Dates],Benchmark2[[#This Row],[Benchmark '#2 Dates]])=1,"Pass","Fail")</f>
        <v>Pass</v>
      </c>
      <c r="E1021" s="6">
        <f>IF(Benchmark2[[#This Row],[Target Date Check]]="Pass",INDEX(Target1[Target Price],MATCH(Benchmark2[[#This Row],[Benchmark '#2 Dates]],Target1[Target Dates],0)),"-")</f>
        <v>42.16</v>
      </c>
      <c r="F1021" s="1" t="str">
        <f>IF(COUNTIF(Comp1[Comparable '#1 Dates],Benchmark2[[#This Row],[Benchmark '#2 Dates]])=1,"Pass","Fail")</f>
        <v>Pass</v>
      </c>
      <c r="G1021" s="6">
        <f>IF(Benchmark2[[#This Row],[Comparable '#1 Date Check]]="Pass",INDEX(Comp1[Comparable '#1 Price],MATCH(Benchmark2[[#This Row],[Benchmark '#2 Dates]],Comp1[Comparable '#1 Dates],0)),"-")</f>
        <v>11.63</v>
      </c>
      <c r="H1021" s="1" t="str">
        <f>IF(COUNTIF(Comp2[Comparable '#2 Dates],Benchmark2[[#This Row],[Benchmark '#2 Dates]])=1,"Pass","Fail")</f>
        <v>Pass</v>
      </c>
      <c r="I1021" s="6">
        <f>IF(Benchmark2[[#This Row],[Comparable '#2 Date Check]]="Pass",INDEX(Comp2[Comparable '#2 Price],MATCH(Benchmark2[[#This Row],[Benchmark '#2 Dates]],Comp2[Comparable '#2 Dates],0)),"-")</f>
        <v>39.11</v>
      </c>
      <c r="J1021" s="1" t="str">
        <f>IF(COUNTIF(Comp3[Comparable '#3 Dates],Benchmark2[[#This Row],[Benchmark '#2 Dates]])=1,"Pass","Fail")</f>
        <v>Pass</v>
      </c>
      <c r="K1021" s="6">
        <f>IF(Benchmark2[[#This Row],[Comparable '#3 Date Check]]="Pass",INDEX(Comp3[Comparable '#3 Price],MATCH(Benchmark2[[#This Row],[Benchmark '#2 Dates]],Comp3[Comparable '#3 Dates],0)),"-")</f>
        <v>69.709999999999994</v>
      </c>
    </row>
    <row r="1022" spans="1:11">
      <c r="A1022" s="103">
        <v>44767</v>
      </c>
      <c r="B1022" s="104">
        <v>14899.0874</v>
      </c>
      <c r="C1022" s="4">
        <f t="shared" si="15"/>
        <v>7.2953473586760244E-3</v>
      </c>
      <c r="D1022" s="1" t="str">
        <f>IF(COUNTIF(Target1[Target Dates],Benchmark2[[#This Row],[Benchmark '#2 Dates]])=1,"Pass","Fail")</f>
        <v>Pass</v>
      </c>
      <c r="E1022" s="6">
        <f>IF(Benchmark2[[#This Row],[Target Date Check]]="Pass",INDEX(Target1[Target Price],MATCH(Benchmark2[[#This Row],[Benchmark '#2 Dates]],Target1[Target Dates],0)),"-")</f>
        <v>43.01</v>
      </c>
      <c r="F1022" s="1" t="str">
        <f>IF(COUNTIF(Comp1[Comparable '#1 Dates],Benchmark2[[#This Row],[Benchmark '#2 Dates]])=1,"Pass","Fail")</f>
        <v>Pass</v>
      </c>
      <c r="G1022" s="6">
        <f>IF(Benchmark2[[#This Row],[Comparable '#1 Date Check]]="Pass",INDEX(Comp1[Comparable '#1 Price],MATCH(Benchmark2[[#This Row],[Benchmark '#2 Dates]],Comp1[Comparable '#1 Dates],0)),"-")</f>
        <v>11.71</v>
      </c>
      <c r="H1022" s="1" t="str">
        <f>IF(COUNTIF(Comp2[Comparable '#2 Dates],Benchmark2[[#This Row],[Benchmark '#2 Dates]])=1,"Pass","Fail")</f>
        <v>Pass</v>
      </c>
      <c r="I1022" s="6">
        <f>IF(Benchmark2[[#This Row],[Comparable '#2 Date Check]]="Pass",INDEX(Comp2[Comparable '#2 Price],MATCH(Benchmark2[[#This Row],[Benchmark '#2 Dates]],Comp2[Comparable '#2 Dates],0)),"-")</f>
        <v>39.19</v>
      </c>
      <c r="J1022" s="1" t="str">
        <f>IF(COUNTIF(Comp3[Comparable '#3 Dates],Benchmark2[[#This Row],[Benchmark '#2 Dates]])=1,"Pass","Fail")</f>
        <v>Pass</v>
      </c>
      <c r="K1022" s="6">
        <f>IF(Benchmark2[[#This Row],[Comparable '#3 Date Check]]="Pass",INDEX(Comp3[Comparable '#3 Price],MATCH(Benchmark2[[#This Row],[Benchmark '#2 Dates]],Comp3[Comparable '#3 Dates],0)),"-")</f>
        <v>69.260000000000005</v>
      </c>
    </row>
    <row r="1023" spans="1:11">
      <c r="A1023" s="103">
        <v>44768</v>
      </c>
      <c r="B1023" s="104">
        <v>14793.5537</v>
      </c>
      <c r="C1023" s="4">
        <f t="shared" si="15"/>
        <v>-7.1084376784149514E-3</v>
      </c>
      <c r="D1023" s="1" t="str">
        <f>IF(COUNTIF(Target1[Target Dates],Benchmark2[[#This Row],[Benchmark '#2 Dates]])=1,"Pass","Fail")</f>
        <v>Pass</v>
      </c>
      <c r="E1023" s="6">
        <f>IF(Benchmark2[[#This Row],[Target Date Check]]="Pass",INDEX(Target1[Target Price],MATCH(Benchmark2[[#This Row],[Benchmark '#2 Dates]],Target1[Target Dates],0)),"-")</f>
        <v>42.8</v>
      </c>
      <c r="F1023" s="1" t="str">
        <f>IF(COUNTIF(Comp1[Comparable '#1 Dates],Benchmark2[[#This Row],[Benchmark '#2 Dates]])=1,"Pass","Fail")</f>
        <v>Pass</v>
      </c>
      <c r="G1023" s="6">
        <f>IF(Benchmark2[[#This Row],[Comparable '#1 Date Check]]="Pass",INDEX(Comp1[Comparable '#1 Price],MATCH(Benchmark2[[#This Row],[Benchmark '#2 Dates]],Comp1[Comparable '#1 Dates],0)),"-")</f>
        <v>11.7</v>
      </c>
      <c r="H1023" s="1" t="str">
        <f>IF(COUNTIF(Comp2[Comparable '#2 Dates],Benchmark2[[#This Row],[Benchmark '#2 Dates]])=1,"Pass","Fail")</f>
        <v>Pass</v>
      </c>
      <c r="I1023" s="6">
        <f>IF(Benchmark2[[#This Row],[Comparable '#2 Date Check]]="Pass",INDEX(Comp2[Comparable '#2 Price],MATCH(Benchmark2[[#This Row],[Benchmark '#2 Dates]],Comp2[Comparable '#2 Dates],0)),"-")</f>
        <v>39.76</v>
      </c>
      <c r="J1023" s="1" t="str">
        <f>IF(COUNTIF(Comp3[Comparable '#3 Dates],Benchmark2[[#This Row],[Benchmark '#2 Dates]])=1,"Pass","Fail")</f>
        <v>Pass</v>
      </c>
      <c r="K1023" s="6">
        <f>IF(Benchmark2[[#This Row],[Comparable '#3 Date Check]]="Pass",INDEX(Comp3[Comparable '#3 Price],MATCH(Benchmark2[[#This Row],[Benchmark '#2 Dates]],Comp3[Comparable '#3 Dates],0)),"-")</f>
        <v>69.97</v>
      </c>
    </row>
    <row r="1024" spans="1:11">
      <c r="A1024" s="103">
        <v>44769</v>
      </c>
      <c r="B1024" s="104">
        <v>15031.037399999999</v>
      </c>
      <c r="C1024" s="4">
        <f t="shared" si="15"/>
        <v>1.5925698263969567E-2</v>
      </c>
      <c r="D1024" s="1" t="str">
        <f>IF(COUNTIF(Target1[Target Dates],Benchmark2[[#This Row],[Benchmark '#2 Dates]])=1,"Pass","Fail")</f>
        <v>Pass</v>
      </c>
      <c r="E1024" s="6">
        <f>IF(Benchmark2[[#This Row],[Target Date Check]]="Pass",INDEX(Target1[Target Price],MATCH(Benchmark2[[#This Row],[Benchmark '#2 Dates]],Target1[Target Dates],0)),"-")</f>
        <v>43.3</v>
      </c>
      <c r="F1024" s="1" t="str">
        <f>IF(COUNTIF(Comp1[Comparable '#1 Dates],Benchmark2[[#This Row],[Benchmark '#2 Dates]])=1,"Pass","Fail")</f>
        <v>Pass</v>
      </c>
      <c r="G1024" s="6">
        <f>IF(Benchmark2[[#This Row],[Comparable '#1 Date Check]]="Pass",INDEX(Comp1[Comparable '#1 Price],MATCH(Benchmark2[[#This Row],[Benchmark '#2 Dates]],Comp1[Comparable '#1 Dates],0)),"-")</f>
        <v>11.79</v>
      </c>
      <c r="H1024" s="1" t="str">
        <f>IF(COUNTIF(Comp2[Comparable '#2 Dates],Benchmark2[[#This Row],[Benchmark '#2 Dates]])=1,"Pass","Fail")</f>
        <v>Pass</v>
      </c>
      <c r="I1024" s="6">
        <f>IF(Benchmark2[[#This Row],[Comparable '#2 Date Check]]="Pass",INDEX(Comp2[Comparable '#2 Price],MATCH(Benchmark2[[#This Row],[Benchmark '#2 Dates]],Comp2[Comparable '#2 Dates],0)),"-")</f>
        <v>40.22</v>
      </c>
      <c r="J1024" s="1" t="str">
        <f>IF(COUNTIF(Comp3[Comparable '#3 Dates],Benchmark2[[#This Row],[Benchmark '#2 Dates]])=1,"Pass","Fail")</f>
        <v>Pass</v>
      </c>
      <c r="K1024" s="6">
        <f>IF(Benchmark2[[#This Row],[Comparable '#3 Date Check]]="Pass",INDEX(Comp3[Comparable '#3 Price],MATCH(Benchmark2[[#This Row],[Benchmark '#2 Dates]],Comp3[Comparable '#3 Dates],0)),"-")</f>
        <v>72.31</v>
      </c>
    </row>
    <row r="1025" spans="1:11">
      <c r="A1025" s="103">
        <v>44770</v>
      </c>
      <c r="B1025" s="104">
        <v>15198.808999999999</v>
      </c>
      <c r="C1025" s="4">
        <f t="shared" si="15"/>
        <v>1.1099846180073493E-2</v>
      </c>
      <c r="D1025" s="1" t="str">
        <f>IF(COUNTIF(Target1[Target Dates],Benchmark2[[#This Row],[Benchmark '#2 Dates]])=1,"Pass","Fail")</f>
        <v>Pass</v>
      </c>
      <c r="E1025" s="6">
        <f>IF(Benchmark2[[#This Row],[Target Date Check]]="Pass",INDEX(Target1[Target Price],MATCH(Benchmark2[[#This Row],[Benchmark '#2 Dates]],Target1[Target Dates],0)),"-")</f>
        <v>44.08</v>
      </c>
      <c r="F1025" s="1" t="str">
        <f>IF(COUNTIF(Comp1[Comparable '#1 Dates],Benchmark2[[#This Row],[Benchmark '#2 Dates]])=1,"Pass","Fail")</f>
        <v>Pass</v>
      </c>
      <c r="G1025" s="6">
        <f>IF(Benchmark2[[#This Row],[Comparable '#1 Date Check]]="Pass",INDEX(Comp1[Comparable '#1 Price],MATCH(Benchmark2[[#This Row],[Benchmark '#2 Dates]],Comp1[Comparable '#1 Dates],0)),"-")</f>
        <v>11.95</v>
      </c>
      <c r="H1025" s="1" t="str">
        <f>IF(COUNTIF(Comp2[Comparable '#2 Dates],Benchmark2[[#This Row],[Benchmark '#2 Dates]])=1,"Pass","Fail")</f>
        <v>Pass</v>
      </c>
      <c r="I1025" s="6">
        <f>IF(Benchmark2[[#This Row],[Comparable '#2 Date Check]]="Pass",INDEX(Comp2[Comparable '#2 Price],MATCH(Benchmark2[[#This Row],[Benchmark '#2 Dates]],Comp2[Comparable '#2 Dates],0)),"-")</f>
        <v>39.76</v>
      </c>
      <c r="J1025" s="1" t="str">
        <f>IF(COUNTIF(Comp3[Comparable '#3 Dates],Benchmark2[[#This Row],[Benchmark '#2 Dates]])=1,"Pass","Fail")</f>
        <v>Pass</v>
      </c>
      <c r="K1025" s="6">
        <f>IF(Benchmark2[[#This Row],[Comparable '#3 Date Check]]="Pass",INDEX(Comp3[Comparable '#3 Price],MATCH(Benchmark2[[#This Row],[Benchmark '#2 Dates]],Comp3[Comparable '#3 Dates],0)),"-")</f>
        <v>73.319999999999993</v>
      </c>
    </row>
    <row r="1026" spans="1:11">
      <c r="A1026" s="103">
        <v>44771</v>
      </c>
      <c r="B1026" s="104">
        <v>15327.708000000001</v>
      </c>
      <c r="C1026" s="4">
        <f t="shared" ref="C1026:C1089" si="16">IFERROR(IF(B1026="",NA(),LN(B1026/B1025)),"-")</f>
        <v>8.4451014235264223E-3</v>
      </c>
      <c r="D1026" s="1" t="str">
        <f>IF(COUNTIF(Target1[Target Dates],Benchmark2[[#This Row],[Benchmark '#2 Dates]])=1,"Pass","Fail")</f>
        <v>Pass</v>
      </c>
      <c r="E1026" s="6">
        <f>IF(Benchmark2[[#This Row],[Target Date Check]]="Pass",INDEX(Target1[Target Price],MATCH(Benchmark2[[#This Row],[Benchmark '#2 Dates]],Target1[Target Dates],0)),"-")</f>
        <v>44.68</v>
      </c>
      <c r="F1026" s="1" t="str">
        <f>IF(COUNTIF(Comp1[Comparable '#1 Dates],Benchmark2[[#This Row],[Benchmark '#2 Dates]])=1,"Pass","Fail")</f>
        <v>Pass</v>
      </c>
      <c r="G1026" s="6">
        <f>IF(Benchmark2[[#This Row],[Comparable '#1 Date Check]]="Pass",INDEX(Comp1[Comparable '#1 Price],MATCH(Benchmark2[[#This Row],[Benchmark '#2 Dates]],Comp1[Comparable '#1 Dates],0)),"-")</f>
        <v>11.84</v>
      </c>
      <c r="H1026" s="1" t="str">
        <f>IF(COUNTIF(Comp2[Comparable '#2 Dates],Benchmark2[[#This Row],[Benchmark '#2 Dates]])=1,"Pass","Fail")</f>
        <v>Pass</v>
      </c>
      <c r="I1026" s="6">
        <f>IF(Benchmark2[[#This Row],[Comparable '#2 Date Check]]="Pass",INDEX(Comp2[Comparable '#2 Price],MATCH(Benchmark2[[#This Row],[Benchmark '#2 Dates]],Comp2[Comparable '#2 Dates],0)),"-")</f>
        <v>40.1</v>
      </c>
      <c r="J1026" s="1" t="str">
        <f>IF(COUNTIF(Comp3[Comparable '#3 Dates],Benchmark2[[#This Row],[Benchmark '#2 Dates]])=1,"Pass","Fail")</f>
        <v>Pass</v>
      </c>
      <c r="K1026" s="6">
        <f>IF(Benchmark2[[#This Row],[Comparable '#3 Date Check]]="Pass",INDEX(Comp3[Comparable '#3 Price],MATCH(Benchmark2[[#This Row],[Benchmark '#2 Dates]],Comp3[Comparable '#3 Dates],0)),"-")</f>
        <v>71.83</v>
      </c>
    </row>
    <row r="1027" spans="1:11">
      <c r="A1027" s="103">
        <v>44774</v>
      </c>
      <c r="B1027" s="104">
        <v>15286.0128</v>
      </c>
      <c r="C1027" s="4">
        <f t="shared" si="16"/>
        <v>-2.7239567547974295E-3</v>
      </c>
      <c r="D1027" s="1" t="str">
        <f>IF(COUNTIF(Target1[Target Dates],Benchmark2[[#This Row],[Benchmark '#2 Dates]])=1,"Pass","Fail")</f>
        <v>Pass</v>
      </c>
      <c r="E1027" s="6">
        <f>IF(Benchmark2[[#This Row],[Target Date Check]]="Pass",INDEX(Target1[Target Price],MATCH(Benchmark2[[#This Row],[Benchmark '#2 Dates]],Target1[Target Dates],0)),"-")</f>
        <v>44.29</v>
      </c>
      <c r="F1027" s="1" t="str">
        <f>IF(COUNTIF(Comp1[Comparable '#1 Dates],Benchmark2[[#This Row],[Benchmark '#2 Dates]])=1,"Pass","Fail")</f>
        <v>Pass</v>
      </c>
      <c r="G1027" s="6">
        <f>IF(Benchmark2[[#This Row],[Comparable '#1 Date Check]]="Pass",INDEX(Comp1[Comparable '#1 Price],MATCH(Benchmark2[[#This Row],[Benchmark '#2 Dates]],Comp1[Comparable '#1 Dates],0)),"-")</f>
        <v>11.56</v>
      </c>
      <c r="H1027" s="1" t="str">
        <f>IF(COUNTIF(Comp2[Comparable '#2 Dates],Benchmark2[[#This Row],[Benchmark '#2 Dates]])=1,"Pass","Fail")</f>
        <v>Pass</v>
      </c>
      <c r="I1027" s="6">
        <f>IF(Benchmark2[[#This Row],[Comparable '#2 Date Check]]="Pass",INDEX(Comp2[Comparable '#2 Price],MATCH(Benchmark2[[#This Row],[Benchmark '#2 Dates]],Comp2[Comparable '#2 Dates],0)),"-")</f>
        <v>39.94</v>
      </c>
      <c r="J1027" s="1" t="str">
        <f>IF(COUNTIF(Comp3[Comparable '#3 Dates],Benchmark2[[#This Row],[Benchmark '#2 Dates]])=1,"Pass","Fail")</f>
        <v>Pass</v>
      </c>
      <c r="K1027" s="6">
        <f>IF(Benchmark2[[#This Row],[Comparable '#3 Date Check]]="Pass",INDEX(Comp3[Comparable '#3 Price],MATCH(Benchmark2[[#This Row],[Benchmark '#2 Dates]],Comp3[Comparable '#3 Dates],0)),"-")</f>
        <v>72.17</v>
      </c>
    </row>
    <row r="1028" spans="1:11">
      <c r="A1028" s="103">
        <v>44775</v>
      </c>
      <c r="B1028" s="104">
        <v>15162.6828</v>
      </c>
      <c r="C1028" s="4">
        <f t="shared" si="16"/>
        <v>-8.1008839310158284E-3</v>
      </c>
      <c r="D1028" s="1" t="str">
        <f>IF(COUNTIF(Target1[Target Dates],Benchmark2[[#This Row],[Benchmark '#2 Dates]])=1,"Pass","Fail")</f>
        <v>Pass</v>
      </c>
      <c r="E1028" s="6">
        <f>IF(Benchmark2[[#This Row],[Target Date Check]]="Pass",INDEX(Target1[Target Price],MATCH(Benchmark2[[#This Row],[Benchmark '#2 Dates]],Target1[Target Dates],0)),"-")</f>
        <v>44.19</v>
      </c>
      <c r="F1028" s="1" t="str">
        <f>IF(COUNTIF(Comp1[Comparable '#1 Dates],Benchmark2[[#This Row],[Benchmark '#2 Dates]])=1,"Pass","Fail")</f>
        <v>Pass</v>
      </c>
      <c r="G1028" s="6">
        <f>IF(Benchmark2[[#This Row],[Comparable '#1 Date Check]]="Pass",INDEX(Comp1[Comparable '#1 Price],MATCH(Benchmark2[[#This Row],[Benchmark '#2 Dates]],Comp1[Comparable '#1 Dates],0)),"-")</f>
        <v>11.51</v>
      </c>
      <c r="H1028" s="1" t="str">
        <f>IF(COUNTIF(Comp2[Comparable '#2 Dates],Benchmark2[[#This Row],[Benchmark '#2 Dates]])=1,"Pass","Fail")</f>
        <v>Pass</v>
      </c>
      <c r="I1028" s="6">
        <f>IF(Benchmark2[[#This Row],[Comparable '#2 Date Check]]="Pass",INDEX(Comp2[Comparable '#2 Price],MATCH(Benchmark2[[#This Row],[Benchmark '#2 Dates]],Comp2[Comparable '#2 Dates],0)),"-")</f>
        <v>39.869999999999997</v>
      </c>
      <c r="J1028" s="1" t="str">
        <f>IF(COUNTIF(Comp3[Comparable '#3 Dates],Benchmark2[[#This Row],[Benchmark '#2 Dates]])=1,"Pass","Fail")</f>
        <v>Pass</v>
      </c>
      <c r="K1028" s="6">
        <f>IF(Benchmark2[[#This Row],[Comparable '#3 Date Check]]="Pass",INDEX(Comp3[Comparable '#3 Price],MATCH(Benchmark2[[#This Row],[Benchmark '#2 Dates]],Comp3[Comparable '#3 Dates],0)),"-")</f>
        <v>71.239999999999995</v>
      </c>
    </row>
    <row r="1029" spans="1:11">
      <c r="A1029" s="103">
        <v>44776</v>
      </c>
      <c r="B1029" s="104">
        <v>15267.163399999999</v>
      </c>
      <c r="C1029" s="4">
        <f t="shared" si="16"/>
        <v>6.8670087837611679E-3</v>
      </c>
      <c r="D1029" s="1" t="str">
        <f>IF(COUNTIF(Target1[Target Dates],Benchmark2[[#This Row],[Benchmark '#2 Dates]])=1,"Pass","Fail")</f>
        <v>Pass</v>
      </c>
      <c r="E1029" s="6">
        <f>IF(Benchmark2[[#This Row],[Target Date Check]]="Pass",INDEX(Target1[Target Price],MATCH(Benchmark2[[#This Row],[Benchmark '#2 Dates]],Target1[Target Dates],0)),"-")</f>
        <v>44.04</v>
      </c>
      <c r="F1029" s="1" t="str">
        <f>IF(COUNTIF(Comp1[Comparable '#1 Dates],Benchmark2[[#This Row],[Benchmark '#2 Dates]])=1,"Pass","Fail")</f>
        <v>Pass</v>
      </c>
      <c r="G1029" s="6">
        <f>IF(Benchmark2[[#This Row],[Comparable '#1 Date Check]]="Pass",INDEX(Comp1[Comparable '#1 Price],MATCH(Benchmark2[[#This Row],[Benchmark '#2 Dates]],Comp1[Comparable '#1 Dates],0)),"-")</f>
        <v>11.52</v>
      </c>
      <c r="H1029" s="1" t="str">
        <f>IF(COUNTIF(Comp2[Comparable '#2 Dates],Benchmark2[[#This Row],[Benchmark '#2 Dates]])=1,"Pass","Fail")</f>
        <v>Pass</v>
      </c>
      <c r="I1029" s="6">
        <f>IF(Benchmark2[[#This Row],[Comparable '#2 Date Check]]="Pass",INDEX(Comp2[Comparable '#2 Price],MATCH(Benchmark2[[#This Row],[Benchmark '#2 Dates]],Comp2[Comparable '#2 Dates],0)),"-")</f>
        <v>39.909999999999997</v>
      </c>
      <c r="J1029" s="1" t="str">
        <f>IF(COUNTIF(Comp3[Comparable '#3 Dates],Benchmark2[[#This Row],[Benchmark '#2 Dates]])=1,"Pass","Fail")</f>
        <v>Pass</v>
      </c>
      <c r="K1029" s="6">
        <f>IF(Benchmark2[[#This Row],[Comparable '#3 Date Check]]="Pass",INDEX(Comp3[Comparable '#3 Price],MATCH(Benchmark2[[#This Row],[Benchmark '#2 Dates]],Comp3[Comparable '#3 Dates],0)),"-")</f>
        <v>71.569999999999993</v>
      </c>
    </row>
    <row r="1030" spans="1:11">
      <c r="A1030" s="103">
        <v>44777</v>
      </c>
      <c r="B1030" s="104">
        <v>15224.209800000001</v>
      </c>
      <c r="C1030" s="4">
        <f t="shared" si="16"/>
        <v>-2.8174282694129666E-3</v>
      </c>
      <c r="D1030" s="1" t="str">
        <f>IF(COUNTIF(Target1[Target Dates],Benchmark2[[#This Row],[Benchmark '#2 Dates]])=1,"Pass","Fail")</f>
        <v>Pass</v>
      </c>
      <c r="E1030" s="6">
        <f>IF(Benchmark2[[#This Row],[Target Date Check]]="Pass",INDEX(Target1[Target Price],MATCH(Benchmark2[[#This Row],[Benchmark '#2 Dates]],Target1[Target Dates],0)),"-")</f>
        <v>43.73</v>
      </c>
      <c r="F1030" s="1" t="str">
        <f>IF(COUNTIF(Comp1[Comparable '#1 Dates],Benchmark2[[#This Row],[Benchmark '#2 Dates]])=1,"Pass","Fail")</f>
        <v>Pass</v>
      </c>
      <c r="G1030" s="6">
        <f>IF(Benchmark2[[#This Row],[Comparable '#1 Date Check]]="Pass",INDEX(Comp1[Comparable '#1 Price],MATCH(Benchmark2[[#This Row],[Benchmark '#2 Dates]],Comp1[Comparable '#1 Dates],0)),"-")</f>
        <v>11.9</v>
      </c>
      <c r="H1030" s="1" t="str">
        <f>IF(COUNTIF(Comp2[Comparable '#2 Dates],Benchmark2[[#This Row],[Benchmark '#2 Dates]])=1,"Pass","Fail")</f>
        <v>Pass</v>
      </c>
      <c r="I1030" s="6">
        <f>IF(Benchmark2[[#This Row],[Comparable '#2 Date Check]]="Pass",INDEX(Comp2[Comparable '#2 Price],MATCH(Benchmark2[[#This Row],[Benchmark '#2 Dates]],Comp2[Comparable '#2 Dates],0)),"-")</f>
        <v>39.22</v>
      </c>
      <c r="J1030" s="1" t="str">
        <f>IF(COUNTIF(Comp3[Comparable '#3 Dates],Benchmark2[[#This Row],[Benchmark '#2 Dates]])=1,"Pass","Fail")</f>
        <v>Pass</v>
      </c>
      <c r="K1030" s="6">
        <f>IF(Benchmark2[[#This Row],[Comparable '#3 Date Check]]="Pass",INDEX(Comp3[Comparable '#3 Price],MATCH(Benchmark2[[#This Row],[Benchmark '#2 Dates]],Comp3[Comparable '#3 Dates],0)),"-")</f>
        <v>70.900000000000006</v>
      </c>
    </row>
    <row r="1031" spans="1:11">
      <c r="A1031" s="103">
        <v>44778</v>
      </c>
      <c r="B1031" s="104">
        <v>15273.2348</v>
      </c>
      <c r="C1031" s="4">
        <f t="shared" si="16"/>
        <v>3.2150262339336469E-3</v>
      </c>
      <c r="D1031" s="1" t="str">
        <f>IF(COUNTIF(Target1[Target Dates],Benchmark2[[#This Row],[Benchmark '#2 Dates]])=1,"Pass","Fail")</f>
        <v>Pass</v>
      </c>
      <c r="E1031" s="6">
        <f>IF(Benchmark2[[#This Row],[Target Date Check]]="Pass",INDEX(Target1[Target Price],MATCH(Benchmark2[[#This Row],[Benchmark '#2 Dates]],Target1[Target Dates],0)),"-")</f>
        <v>43.46</v>
      </c>
      <c r="F1031" s="1" t="str">
        <f>IF(COUNTIF(Comp1[Comparable '#1 Dates],Benchmark2[[#This Row],[Benchmark '#2 Dates]])=1,"Pass","Fail")</f>
        <v>Pass</v>
      </c>
      <c r="G1031" s="6">
        <f>IF(Benchmark2[[#This Row],[Comparable '#1 Date Check]]="Pass",INDEX(Comp1[Comparable '#1 Price],MATCH(Benchmark2[[#This Row],[Benchmark '#2 Dates]],Comp1[Comparable '#1 Dates],0)),"-")</f>
        <v>11.18</v>
      </c>
      <c r="H1031" s="1" t="str">
        <f>IF(COUNTIF(Comp2[Comparable '#2 Dates],Benchmark2[[#This Row],[Benchmark '#2 Dates]])=1,"Pass","Fail")</f>
        <v>Pass</v>
      </c>
      <c r="I1031" s="6">
        <f>IF(Benchmark2[[#This Row],[Comparable '#2 Date Check]]="Pass",INDEX(Comp2[Comparable '#2 Price],MATCH(Benchmark2[[#This Row],[Benchmark '#2 Dates]],Comp2[Comparable '#2 Dates],0)),"-")</f>
        <v>38.26</v>
      </c>
      <c r="J1031" s="1" t="str">
        <f>IF(COUNTIF(Comp3[Comparable '#3 Dates],Benchmark2[[#This Row],[Benchmark '#2 Dates]])=1,"Pass","Fail")</f>
        <v>Pass</v>
      </c>
      <c r="K1031" s="6">
        <f>IF(Benchmark2[[#This Row],[Comparable '#3 Date Check]]="Pass",INDEX(Comp3[Comparable '#3 Price],MATCH(Benchmark2[[#This Row],[Benchmark '#2 Dates]],Comp3[Comparable '#3 Dates],0)),"-")</f>
        <v>69.900000000000006</v>
      </c>
    </row>
    <row r="1032" spans="1:11">
      <c r="A1032" s="103">
        <v>44781</v>
      </c>
      <c r="B1032" s="104">
        <v>15305.797399999999</v>
      </c>
      <c r="C1032" s="4">
        <f t="shared" si="16"/>
        <v>2.1297346557641933E-3</v>
      </c>
      <c r="D1032" s="1" t="str">
        <f>IF(COUNTIF(Target1[Target Dates],Benchmark2[[#This Row],[Benchmark '#2 Dates]])=1,"Pass","Fail")</f>
        <v>Pass</v>
      </c>
      <c r="E1032" s="6">
        <f>IF(Benchmark2[[#This Row],[Target Date Check]]="Pass",INDEX(Target1[Target Price],MATCH(Benchmark2[[#This Row],[Benchmark '#2 Dates]],Target1[Target Dates],0)),"-")</f>
        <v>42.76</v>
      </c>
      <c r="F1032" s="1" t="str">
        <f>IF(COUNTIF(Comp1[Comparable '#1 Dates],Benchmark2[[#This Row],[Benchmark '#2 Dates]])=1,"Pass","Fail")</f>
        <v>Pass</v>
      </c>
      <c r="G1032" s="6">
        <f>IF(Benchmark2[[#This Row],[Comparable '#1 Date Check]]="Pass",INDEX(Comp1[Comparable '#1 Price],MATCH(Benchmark2[[#This Row],[Benchmark '#2 Dates]],Comp1[Comparable '#1 Dates],0)),"-")</f>
        <v>11.18</v>
      </c>
      <c r="H1032" s="1" t="str">
        <f>IF(COUNTIF(Comp2[Comparable '#2 Dates],Benchmark2[[#This Row],[Benchmark '#2 Dates]])=1,"Pass","Fail")</f>
        <v>Pass</v>
      </c>
      <c r="I1032" s="6">
        <f>IF(Benchmark2[[#This Row],[Comparable '#2 Date Check]]="Pass",INDEX(Comp2[Comparable '#2 Price],MATCH(Benchmark2[[#This Row],[Benchmark '#2 Dates]],Comp2[Comparable '#2 Dates],0)),"-")</f>
        <v>38.5</v>
      </c>
      <c r="J1032" s="1" t="str">
        <f>IF(COUNTIF(Comp3[Comparable '#3 Dates],Benchmark2[[#This Row],[Benchmark '#2 Dates]])=1,"Pass","Fail")</f>
        <v>Pass</v>
      </c>
      <c r="K1032" s="6">
        <f>IF(Benchmark2[[#This Row],[Comparable '#3 Date Check]]="Pass",INDEX(Comp3[Comparable '#3 Price],MATCH(Benchmark2[[#This Row],[Benchmark '#2 Dates]],Comp3[Comparable '#3 Dates],0)),"-")</f>
        <v>70.260000000000005</v>
      </c>
    </row>
    <row r="1033" spans="1:11">
      <c r="A1033" s="103">
        <v>44782</v>
      </c>
      <c r="B1033" s="104">
        <v>15264.787899999999</v>
      </c>
      <c r="C1033" s="4">
        <f t="shared" si="16"/>
        <v>-2.6829401005570934E-3</v>
      </c>
      <c r="D1033" s="1" t="str">
        <f>IF(COUNTIF(Target1[Target Dates],Benchmark2[[#This Row],[Benchmark '#2 Dates]])=1,"Pass","Fail")</f>
        <v>Pass</v>
      </c>
      <c r="E1033" s="6">
        <f>IF(Benchmark2[[#This Row],[Target Date Check]]="Pass",INDEX(Target1[Target Price],MATCH(Benchmark2[[#This Row],[Benchmark '#2 Dates]],Target1[Target Dates],0)),"-")</f>
        <v>42.68</v>
      </c>
      <c r="F1033" s="1" t="str">
        <f>IF(COUNTIF(Comp1[Comparable '#1 Dates],Benchmark2[[#This Row],[Benchmark '#2 Dates]])=1,"Pass","Fail")</f>
        <v>Pass</v>
      </c>
      <c r="G1033" s="6">
        <f>IF(Benchmark2[[#This Row],[Comparable '#1 Date Check]]="Pass",INDEX(Comp1[Comparable '#1 Price],MATCH(Benchmark2[[#This Row],[Benchmark '#2 Dates]],Comp1[Comparable '#1 Dates],0)),"-")</f>
        <v>11.23</v>
      </c>
      <c r="H1033" s="1" t="str">
        <f>IF(COUNTIF(Comp2[Comparable '#2 Dates],Benchmark2[[#This Row],[Benchmark '#2 Dates]])=1,"Pass","Fail")</f>
        <v>Pass</v>
      </c>
      <c r="I1033" s="6">
        <f>IF(Benchmark2[[#This Row],[Comparable '#2 Date Check]]="Pass",INDEX(Comp2[Comparable '#2 Price],MATCH(Benchmark2[[#This Row],[Benchmark '#2 Dates]],Comp2[Comparable '#2 Dates],0)),"-")</f>
        <v>39.04</v>
      </c>
      <c r="J1033" s="1" t="str">
        <f>IF(COUNTIF(Comp3[Comparable '#3 Dates],Benchmark2[[#This Row],[Benchmark '#2 Dates]])=1,"Pass","Fail")</f>
        <v>Pass</v>
      </c>
      <c r="K1033" s="6">
        <f>IF(Benchmark2[[#This Row],[Comparable '#3 Date Check]]="Pass",INDEX(Comp3[Comparable '#3 Price],MATCH(Benchmark2[[#This Row],[Benchmark '#2 Dates]],Comp3[Comparable '#3 Dates],0)),"-")</f>
        <v>69.83</v>
      </c>
    </row>
    <row r="1034" spans="1:11">
      <c r="A1034" s="103">
        <v>44783</v>
      </c>
      <c r="B1034" s="104">
        <v>15552.701800000001</v>
      </c>
      <c r="C1034" s="4">
        <f t="shared" si="16"/>
        <v>1.8685641168400498E-2</v>
      </c>
      <c r="D1034" s="1" t="str">
        <f>IF(COUNTIF(Target1[Target Dates],Benchmark2[[#This Row],[Benchmark '#2 Dates]])=1,"Pass","Fail")</f>
        <v>Pass</v>
      </c>
      <c r="E1034" s="6">
        <f>IF(Benchmark2[[#This Row],[Target Date Check]]="Pass",INDEX(Target1[Target Price],MATCH(Benchmark2[[#This Row],[Benchmark '#2 Dates]],Target1[Target Dates],0)),"-")</f>
        <v>37.32</v>
      </c>
      <c r="F1034" s="1" t="str">
        <f>IF(COUNTIF(Comp1[Comparable '#1 Dates],Benchmark2[[#This Row],[Benchmark '#2 Dates]])=1,"Pass","Fail")</f>
        <v>Pass</v>
      </c>
      <c r="G1034" s="6">
        <f>IF(Benchmark2[[#This Row],[Comparable '#1 Date Check]]="Pass",INDEX(Comp1[Comparable '#1 Price],MATCH(Benchmark2[[#This Row],[Benchmark '#2 Dates]],Comp1[Comparable '#1 Dates],0)),"-")</f>
        <v>11.4</v>
      </c>
      <c r="H1034" s="1" t="str">
        <f>IF(COUNTIF(Comp2[Comparable '#2 Dates],Benchmark2[[#This Row],[Benchmark '#2 Dates]])=1,"Pass","Fail")</f>
        <v>Pass</v>
      </c>
      <c r="I1034" s="6">
        <f>IF(Benchmark2[[#This Row],[Comparable '#2 Date Check]]="Pass",INDEX(Comp2[Comparable '#2 Price],MATCH(Benchmark2[[#This Row],[Benchmark '#2 Dates]],Comp2[Comparable '#2 Dates],0)),"-")</f>
        <v>38.76</v>
      </c>
      <c r="J1034" s="1" t="str">
        <f>IF(COUNTIF(Comp3[Comparable '#3 Dates],Benchmark2[[#This Row],[Benchmark '#2 Dates]])=1,"Pass","Fail")</f>
        <v>Pass</v>
      </c>
      <c r="K1034" s="6">
        <f>IF(Benchmark2[[#This Row],[Comparable '#3 Date Check]]="Pass",INDEX(Comp3[Comparable '#3 Price],MATCH(Benchmark2[[#This Row],[Benchmark '#2 Dates]],Comp3[Comparable '#3 Dates],0)),"-")</f>
        <v>69.63</v>
      </c>
    </row>
    <row r="1035" spans="1:11">
      <c r="A1035" s="103">
        <v>44784</v>
      </c>
      <c r="B1035" s="104">
        <v>15602.9298</v>
      </c>
      <c r="C1035" s="4">
        <f t="shared" si="16"/>
        <v>3.2243315854009044E-3</v>
      </c>
      <c r="D1035" s="1" t="str">
        <f>IF(COUNTIF(Target1[Target Dates],Benchmark2[[#This Row],[Benchmark '#2 Dates]])=1,"Pass","Fail")</f>
        <v>Pass</v>
      </c>
      <c r="E1035" s="6">
        <f>IF(Benchmark2[[#This Row],[Target Date Check]]="Pass",INDEX(Target1[Target Price],MATCH(Benchmark2[[#This Row],[Benchmark '#2 Dates]],Target1[Target Dates],0)),"-")</f>
        <v>36.32</v>
      </c>
      <c r="F1035" s="1" t="str">
        <f>IF(COUNTIF(Comp1[Comparable '#1 Dates],Benchmark2[[#This Row],[Benchmark '#2 Dates]])=1,"Pass","Fail")</f>
        <v>Pass</v>
      </c>
      <c r="G1035" s="6">
        <f>IF(Benchmark2[[#This Row],[Comparable '#1 Date Check]]="Pass",INDEX(Comp1[Comparable '#1 Price],MATCH(Benchmark2[[#This Row],[Benchmark '#2 Dates]],Comp1[Comparable '#1 Dates],0)),"-")</f>
        <v>11.26</v>
      </c>
      <c r="H1035" s="1" t="str">
        <f>IF(COUNTIF(Comp2[Comparable '#2 Dates],Benchmark2[[#This Row],[Benchmark '#2 Dates]])=1,"Pass","Fail")</f>
        <v>Pass</v>
      </c>
      <c r="I1035" s="6">
        <f>IF(Benchmark2[[#This Row],[Comparable '#2 Date Check]]="Pass",INDEX(Comp2[Comparable '#2 Price],MATCH(Benchmark2[[#This Row],[Benchmark '#2 Dates]],Comp2[Comparable '#2 Dates],0)),"-")</f>
        <v>37.74</v>
      </c>
      <c r="J1035" s="1" t="str">
        <f>IF(COUNTIF(Comp3[Comparable '#3 Dates],Benchmark2[[#This Row],[Benchmark '#2 Dates]])=1,"Pass","Fail")</f>
        <v>Pass</v>
      </c>
      <c r="K1035" s="6">
        <f>IF(Benchmark2[[#This Row],[Comparable '#3 Date Check]]="Pass",INDEX(Comp3[Comparable '#3 Price],MATCH(Benchmark2[[#This Row],[Benchmark '#2 Dates]],Comp3[Comparable '#3 Dates],0)),"-")</f>
        <v>67.81</v>
      </c>
    </row>
    <row r="1036" spans="1:11">
      <c r="A1036" s="103">
        <v>44785</v>
      </c>
      <c r="B1036" s="104">
        <v>15804.385</v>
      </c>
      <c r="C1036" s="4">
        <f t="shared" si="16"/>
        <v>1.2828728859565465E-2</v>
      </c>
      <c r="D1036" s="1" t="str">
        <f>IF(COUNTIF(Target1[Target Dates],Benchmark2[[#This Row],[Benchmark '#2 Dates]])=1,"Pass","Fail")</f>
        <v>Pass</v>
      </c>
      <c r="E1036" s="6">
        <f>IF(Benchmark2[[#This Row],[Target Date Check]]="Pass",INDEX(Target1[Target Price],MATCH(Benchmark2[[#This Row],[Benchmark '#2 Dates]],Target1[Target Dates],0)),"-")</f>
        <v>35.96</v>
      </c>
      <c r="F1036" s="1" t="str">
        <f>IF(COUNTIF(Comp1[Comparable '#1 Dates],Benchmark2[[#This Row],[Benchmark '#2 Dates]])=1,"Pass","Fail")</f>
        <v>Pass</v>
      </c>
      <c r="G1036" s="6">
        <f>IF(Benchmark2[[#This Row],[Comparable '#1 Date Check]]="Pass",INDEX(Comp1[Comparable '#1 Price],MATCH(Benchmark2[[#This Row],[Benchmark '#2 Dates]],Comp1[Comparable '#1 Dates],0)),"-")</f>
        <v>11.35</v>
      </c>
      <c r="H1036" s="1" t="str">
        <f>IF(COUNTIF(Comp2[Comparable '#2 Dates],Benchmark2[[#This Row],[Benchmark '#2 Dates]])=1,"Pass","Fail")</f>
        <v>Pass</v>
      </c>
      <c r="I1036" s="6">
        <f>IF(Benchmark2[[#This Row],[Comparable '#2 Date Check]]="Pass",INDEX(Comp2[Comparable '#2 Price],MATCH(Benchmark2[[#This Row],[Benchmark '#2 Dates]],Comp2[Comparable '#2 Dates],0)),"-")</f>
        <v>37.57</v>
      </c>
      <c r="J1036" s="1" t="str">
        <f>IF(COUNTIF(Comp3[Comparable '#3 Dates],Benchmark2[[#This Row],[Benchmark '#2 Dates]])=1,"Pass","Fail")</f>
        <v>Pass</v>
      </c>
      <c r="K1036" s="6">
        <f>IF(Benchmark2[[#This Row],[Comparable '#3 Date Check]]="Pass",INDEX(Comp3[Comparable '#3 Price],MATCH(Benchmark2[[#This Row],[Benchmark '#2 Dates]],Comp3[Comparable '#3 Dates],0)),"-")</f>
        <v>69.55</v>
      </c>
    </row>
    <row r="1037" spans="1:11">
      <c r="A1037" s="103">
        <v>44788</v>
      </c>
      <c r="B1037" s="104">
        <v>15794.3297</v>
      </c>
      <c r="C1037" s="4">
        <f t="shared" si="16"/>
        <v>-6.3643730036968865E-4</v>
      </c>
      <c r="D1037" s="1" t="str">
        <f>IF(COUNTIF(Target1[Target Dates],Benchmark2[[#This Row],[Benchmark '#2 Dates]])=1,"Pass","Fail")</f>
        <v>Pass</v>
      </c>
      <c r="E1037" s="6">
        <f>IF(Benchmark2[[#This Row],[Target Date Check]]="Pass",INDEX(Target1[Target Price],MATCH(Benchmark2[[#This Row],[Benchmark '#2 Dates]],Target1[Target Dates],0)),"-")</f>
        <v>35.93</v>
      </c>
      <c r="F1037" s="1" t="str">
        <f>IF(COUNTIF(Comp1[Comparable '#1 Dates],Benchmark2[[#This Row],[Benchmark '#2 Dates]])=1,"Pass","Fail")</f>
        <v>Pass</v>
      </c>
      <c r="G1037" s="6">
        <f>IF(Benchmark2[[#This Row],[Comparable '#1 Date Check]]="Pass",INDEX(Comp1[Comparable '#1 Price],MATCH(Benchmark2[[#This Row],[Benchmark '#2 Dates]],Comp1[Comparable '#1 Dates],0)),"-")</f>
        <v>11.54</v>
      </c>
      <c r="H1037" s="1" t="str">
        <f>IF(COUNTIF(Comp2[Comparable '#2 Dates],Benchmark2[[#This Row],[Benchmark '#2 Dates]])=1,"Pass","Fail")</f>
        <v>Pass</v>
      </c>
      <c r="I1037" s="6">
        <f>IF(Benchmark2[[#This Row],[Comparable '#2 Date Check]]="Pass",INDEX(Comp2[Comparable '#2 Price],MATCH(Benchmark2[[#This Row],[Benchmark '#2 Dates]],Comp2[Comparable '#2 Dates],0)),"-")</f>
        <v>37.950000000000003</v>
      </c>
      <c r="J1037" s="1" t="str">
        <f>IF(COUNTIF(Comp3[Comparable '#3 Dates],Benchmark2[[#This Row],[Benchmark '#2 Dates]])=1,"Pass","Fail")</f>
        <v>Pass</v>
      </c>
      <c r="K1037" s="6">
        <f>IF(Benchmark2[[#This Row],[Comparable '#3 Date Check]]="Pass",INDEX(Comp3[Comparable '#3 Price],MATCH(Benchmark2[[#This Row],[Benchmark '#2 Dates]],Comp3[Comparable '#3 Dates],0)),"-")</f>
        <v>70.900000000000006</v>
      </c>
    </row>
    <row r="1038" spans="1:11">
      <c r="A1038" s="103">
        <v>44789</v>
      </c>
      <c r="B1038" s="104">
        <v>15846.7891</v>
      </c>
      <c r="C1038" s="4">
        <f t="shared" si="16"/>
        <v>3.3159034861220443E-3</v>
      </c>
      <c r="D1038" s="1" t="str">
        <f>IF(COUNTIF(Target1[Target Dates],Benchmark2[[#This Row],[Benchmark '#2 Dates]])=1,"Pass","Fail")</f>
        <v>Pass</v>
      </c>
      <c r="E1038" s="6">
        <f>IF(Benchmark2[[#This Row],[Target Date Check]]="Pass",INDEX(Target1[Target Price],MATCH(Benchmark2[[#This Row],[Benchmark '#2 Dates]],Target1[Target Dates],0)),"-")</f>
        <v>35.76</v>
      </c>
      <c r="F1038" s="1" t="str">
        <f>IF(COUNTIF(Comp1[Comparable '#1 Dates],Benchmark2[[#This Row],[Benchmark '#2 Dates]])=1,"Pass","Fail")</f>
        <v>Pass</v>
      </c>
      <c r="G1038" s="6">
        <f>IF(Benchmark2[[#This Row],[Comparable '#1 Date Check]]="Pass",INDEX(Comp1[Comparable '#1 Price],MATCH(Benchmark2[[#This Row],[Benchmark '#2 Dates]],Comp1[Comparable '#1 Dates],0)),"-")</f>
        <v>11.47</v>
      </c>
      <c r="H1038" s="1" t="str">
        <f>IF(COUNTIF(Comp2[Comparable '#2 Dates],Benchmark2[[#This Row],[Benchmark '#2 Dates]])=1,"Pass","Fail")</f>
        <v>Pass</v>
      </c>
      <c r="I1038" s="6">
        <f>IF(Benchmark2[[#This Row],[Comparable '#2 Date Check]]="Pass",INDEX(Comp2[Comparable '#2 Price],MATCH(Benchmark2[[#This Row],[Benchmark '#2 Dates]],Comp2[Comparable '#2 Dates],0)),"-")</f>
        <v>37.74</v>
      </c>
      <c r="J1038" s="1" t="str">
        <f>IF(COUNTIF(Comp3[Comparable '#3 Dates],Benchmark2[[#This Row],[Benchmark '#2 Dates]])=1,"Pass","Fail")</f>
        <v>Pass</v>
      </c>
      <c r="K1038" s="6">
        <f>IF(Benchmark2[[#This Row],[Comparable '#3 Date Check]]="Pass",INDEX(Comp3[Comparable '#3 Price],MATCH(Benchmark2[[#This Row],[Benchmark '#2 Dates]],Comp3[Comparable '#3 Dates],0)),"-")</f>
        <v>70.87</v>
      </c>
    </row>
    <row r="1039" spans="1:11">
      <c r="A1039" s="103">
        <v>44790</v>
      </c>
      <c r="B1039" s="104">
        <v>15734.114299999999</v>
      </c>
      <c r="C1039" s="4">
        <f t="shared" si="16"/>
        <v>-7.1356589561059969E-3</v>
      </c>
      <c r="D1039" s="1" t="str">
        <f>IF(COUNTIF(Target1[Target Dates],Benchmark2[[#This Row],[Benchmark '#2 Dates]])=1,"Pass","Fail")</f>
        <v>Pass</v>
      </c>
      <c r="E1039" s="6">
        <f>IF(Benchmark2[[#This Row],[Target Date Check]]="Pass",INDEX(Target1[Target Price],MATCH(Benchmark2[[#This Row],[Benchmark '#2 Dates]],Target1[Target Dates],0)),"-")</f>
        <v>35.15</v>
      </c>
      <c r="F1039" s="1" t="str">
        <f>IF(COUNTIF(Comp1[Comparable '#1 Dates],Benchmark2[[#This Row],[Benchmark '#2 Dates]])=1,"Pass","Fail")</f>
        <v>Pass</v>
      </c>
      <c r="G1039" s="6">
        <f>IF(Benchmark2[[#This Row],[Comparable '#1 Date Check]]="Pass",INDEX(Comp1[Comparable '#1 Price],MATCH(Benchmark2[[#This Row],[Benchmark '#2 Dates]],Comp1[Comparable '#1 Dates],0)),"-")</f>
        <v>11.36</v>
      </c>
      <c r="H1039" s="1" t="str">
        <f>IF(COUNTIF(Comp2[Comparable '#2 Dates],Benchmark2[[#This Row],[Benchmark '#2 Dates]])=1,"Pass","Fail")</f>
        <v>Pass</v>
      </c>
      <c r="I1039" s="6">
        <f>IF(Benchmark2[[#This Row],[Comparable '#2 Date Check]]="Pass",INDEX(Comp2[Comparable '#2 Price],MATCH(Benchmark2[[#This Row],[Benchmark '#2 Dates]],Comp2[Comparable '#2 Dates],0)),"-")</f>
        <v>38.14</v>
      </c>
      <c r="J1039" s="1" t="str">
        <f>IF(COUNTIF(Comp3[Comparable '#3 Dates],Benchmark2[[#This Row],[Benchmark '#2 Dates]])=1,"Pass","Fail")</f>
        <v>Pass</v>
      </c>
      <c r="K1039" s="6">
        <f>IF(Benchmark2[[#This Row],[Comparable '#3 Date Check]]="Pass",INDEX(Comp3[Comparable '#3 Price],MATCH(Benchmark2[[#This Row],[Benchmark '#2 Dates]],Comp3[Comparable '#3 Dates],0)),"-")</f>
        <v>70.27</v>
      </c>
    </row>
    <row r="1040" spans="1:11">
      <c r="A1040" s="103">
        <v>44791</v>
      </c>
      <c r="B1040" s="104">
        <v>15763.8977</v>
      </c>
      <c r="C1040" s="4">
        <f t="shared" si="16"/>
        <v>1.8911294386689626E-3</v>
      </c>
      <c r="D1040" s="1" t="str">
        <f>IF(COUNTIF(Target1[Target Dates],Benchmark2[[#This Row],[Benchmark '#2 Dates]])=1,"Pass","Fail")</f>
        <v>Pass</v>
      </c>
      <c r="E1040" s="6">
        <f>IF(Benchmark2[[#This Row],[Target Date Check]]="Pass",INDEX(Target1[Target Price],MATCH(Benchmark2[[#This Row],[Benchmark '#2 Dates]],Target1[Target Dates],0)),"-")</f>
        <v>35.76</v>
      </c>
      <c r="F1040" s="1" t="str">
        <f>IF(COUNTIF(Comp1[Comparable '#1 Dates],Benchmark2[[#This Row],[Benchmark '#2 Dates]])=1,"Pass","Fail")</f>
        <v>Pass</v>
      </c>
      <c r="G1040" s="6">
        <f>IF(Benchmark2[[#This Row],[Comparable '#1 Date Check]]="Pass",INDEX(Comp1[Comparable '#1 Price],MATCH(Benchmark2[[#This Row],[Benchmark '#2 Dates]],Comp1[Comparable '#1 Dates],0)),"-")</f>
        <v>11.36</v>
      </c>
      <c r="H1040" s="1" t="str">
        <f>IF(COUNTIF(Comp2[Comparable '#2 Dates],Benchmark2[[#This Row],[Benchmark '#2 Dates]])=1,"Pass","Fail")</f>
        <v>Pass</v>
      </c>
      <c r="I1040" s="6">
        <f>IF(Benchmark2[[#This Row],[Comparable '#2 Date Check]]="Pass",INDEX(Comp2[Comparable '#2 Price],MATCH(Benchmark2[[#This Row],[Benchmark '#2 Dates]],Comp2[Comparable '#2 Dates],0)),"-")</f>
        <v>38.35</v>
      </c>
      <c r="J1040" s="1" t="str">
        <f>IF(COUNTIF(Comp3[Comparable '#3 Dates],Benchmark2[[#This Row],[Benchmark '#2 Dates]])=1,"Pass","Fail")</f>
        <v>Pass</v>
      </c>
      <c r="K1040" s="6">
        <f>IF(Benchmark2[[#This Row],[Comparable '#3 Date Check]]="Pass",INDEX(Comp3[Comparable '#3 Price],MATCH(Benchmark2[[#This Row],[Benchmark '#2 Dates]],Comp3[Comparable '#3 Dates],0)),"-")</f>
        <v>70.88</v>
      </c>
    </row>
    <row r="1041" spans="1:11">
      <c r="A1041" s="103">
        <v>44792</v>
      </c>
      <c r="B1041" s="104">
        <v>15588.32</v>
      </c>
      <c r="C1041" s="4">
        <f t="shared" si="16"/>
        <v>-1.1200453964516443E-2</v>
      </c>
      <c r="D1041" s="1" t="str">
        <f>IF(COUNTIF(Target1[Target Dates],Benchmark2[[#This Row],[Benchmark '#2 Dates]])=1,"Pass","Fail")</f>
        <v>Pass</v>
      </c>
      <c r="E1041" s="6">
        <f>IF(Benchmark2[[#This Row],[Target Date Check]]="Pass",INDEX(Target1[Target Price],MATCH(Benchmark2[[#This Row],[Benchmark '#2 Dates]],Target1[Target Dates],0)),"-")</f>
        <v>36.39</v>
      </c>
      <c r="F1041" s="1" t="str">
        <f>IF(COUNTIF(Comp1[Comparable '#1 Dates],Benchmark2[[#This Row],[Benchmark '#2 Dates]])=1,"Pass","Fail")</f>
        <v>Pass</v>
      </c>
      <c r="G1041" s="6">
        <f>IF(Benchmark2[[#This Row],[Comparable '#1 Date Check]]="Pass",INDEX(Comp1[Comparable '#1 Price],MATCH(Benchmark2[[#This Row],[Benchmark '#2 Dates]],Comp1[Comparable '#1 Dates],0)),"-")</f>
        <v>11.41</v>
      </c>
      <c r="H1041" s="1" t="str">
        <f>IF(COUNTIF(Comp2[Comparable '#2 Dates],Benchmark2[[#This Row],[Benchmark '#2 Dates]])=1,"Pass","Fail")</f>
        <v>Pass</v>
      </c>
      <c r="I1041" s="6">
        <f>IF(Benchmark2[[#This Row],[Comparable '#2 Date Check]]="Pass",INDEX(Comp2[Comparable '#2 Price],MATCH(Benchmark2[[#This Row],[Benchmark '#2 Dates]],Comp2[Comparable '#2 Dates],0)),"-")</f>
        <v>39.409999999999997</v>
      </c>
      <c r="J1041" s="1" t="str">
        <f>IF(COUNTIF(Comp3[Comparable '#3 Dates],Benchmark2[[#This Row],[Benchmark '#2 Dates]])=1,"Pass","Fail")</f>
        <v>Pass</v>
      </c>
      <c r="K1041" s="6">
        <f>IF(Benchmark2[[#This Row],[Comparable '#3 Date Check]]="Pass",INDEX(Comp3[Comparable '#3 Price],MATCH(Benchmark2[[#This Row],[Benchmark '#2 Dates]],Comp3[Comparable '#3 Dates],0)),"-")</f>
        <v>71.02</v>
      </c>
    </row>
    <row r="1042" spans="1:11">
      <c r="A1042" s="103">
        <v>44795</v>
      </c>
      <c r="B1042" s="104">
        <v>15341.847100000001</v>
      </c>
      <c r="C1042" s="4">
        <f t="shared" si="16"/>
        <v>-1.5937716496177576E-2</v>
      </c>
      <c r="D1042" s="1" t="str">
        <f>IF(COUNTIF(Target1[Target Dates],Benchmark2[[#This Row],[Benchmark '#2 Dates]])=1,"Pass","Fail")</f>
        <v>Pass</v>
      </c>
      <c r="E1042" s="6">
        <f>IF(Benchmark2[[#This Row],[Target Date Check]]="Pass",INDEX(Target1[Target Price],MATCH(Benchmark2[[#This Row],[Benchmark '#2 Dates]],Target1[Target Dates],0)),"-")</f>
        <v>36.11</v>
      </c>
      <c r="F1042" s="1" t="str">
        <f>IF(COUNTIF(Comp1[Comparable '#1 Dates],Benchmark2[[#This Row],[Benchmark '#2 Dates]])=1,"Pass","Fail")</f>
        <v>Pass</v>
      </c>
      <c r="G1042" s="6">
        <f>IF(Benchmark2[[#This Row],[Comparable '#1 Date Check]]="Pass",INDEX(Comp1[Comparable '#1 Price],MATCH(Benchmark2[[#This Row],[Benchmark '#2 Dates]],Comp1[Comparable '#1 Dates],0)),"-")</f>
        <v>11.33</v>
      </c>
      <c r="H1042" s="1" t="str">
        <f>IF(COUNTIF(Comp2[Comparable '#2 Dates],Benchmark2[[#This Row],[Benchmark '#2 Dates]])=1,"Pass","Fail")</f>
        <v>Pass</v>
      </c>
      <c r="I1042" s="6">
        <f>IF(Benchmark2[[#This Row],[Comparable '#2 Date Check]]="Pass",INDEX(Comp2[Comparable '#2 Price],MATCH(Benchmark2[[#This Row],[Benchmark '#2 Dates]],Comp2[Comparable '#2 Dates],0)),"-")</f>
        <v>38.89</v>
      </c>
      <c r="J1042" s="1" t="str">
        <f>IF(COUNTIF(Comp3[Comparable '#3 Dates],Benchmark2[[#This Row],[Benchmark '#2 Dates]])=1,"Pass","Fail")</f>
        <v>Pass</v>
      </c>
      <c r="K1042" s="6">
        <f>IF(Benchmark2[[#This Row],[Comparable '#3 Date Check]]="Pass",INDEX(Comp3[Comparable '#3 Price],MATCH(Benchmark2[[#This Row],[Benchmark '#2 Dates]],Comp3[Comparable '#3 Dates],0)),"-")</f>
        <v>69</v>
      </c>
    </row>
    <row r="1043" spans="1:11">
      <c r="A1043" s="103">
        <v>44796</v>
      </c>
      <c r="B1043" s="104">
        <v>15338.1515</v>
      </c>
      <c r="C1043" s="4">
        <f t="shared" si="16"/>
        <v>-2.4091265883405938E-4</v>
      </c>
      <c r="D1043" s="1" t="str">
        <f>IF(COUNTIF(Target1[Target Dates],Benchmark2[[#This Row],[Benchmark '#2 Dates]])=1,"Pass","Fail")</f>
        <v>Pass</v>
      </c>
      <c r="E1043" s="6">
        <f>IF(Benchmark2[[#This Row],[Target Date Check]]="Pass",INDEX(Target1[Target Price],MATCH(Benchmark2[[#This Row],[Benchmark '#2 Dates]],Target1[Target Dates],0)),"-")</f>
        <v>35.86</v>
      </c>
      <c r="F1043" s="1" t="str">
        <f>IF(COUNTIF(Comp1[Comparable '#1 Dates],Benchmark2[[#This Row],[Benchmark '#2 Dates]])=1,"Pass","Fail")</f>
        <v>Pass</v>
      </c>
      <c r="G1043" s="6">
        <f>IF(Benchmark2[[#This Row],[Comparable '#1 Date Check]]="Pass",INDEX(Comp1[Comparable '#1 Price],MATCH(Benchmark2[[#This Row],[Benchmark '#2 Dates]],Comp1[Comparable '#1 Dates],0)),"-")</f>
        <v>11.25</v>
      </c>
      <c r="H1043" s="1" t="str">
        <f>IF(COUNTIF(Comp2[Comparable '#2 Dates],Benchmark2[[#This Row],[Benchmark '#2 Dates]])=1,"Pass","Fail")</f>
        <v>Pass</v>
      </c>
      <c r="I1043" s="6">
        <f>IF(Benchmark2[[#This Row],[Comparable '#2 Date Check]]="Pass",INDEX(Comp2[Comparable '#2 Price],MATCH(Benchmark2[[#This Row],[Benchmark '#2 Dates]],Comp2[Comparable '#2 Dates],0)),"-")</f>
        <v>39.21</v>
      </c>
      <c r="J1043" s="1" t="str">
        <f>IF(COUNTIF(Comp3[Comparable '#3 Dates],Benchmark2[[#This Row],[Benchmark '#2 Dates]])=1,"Pass","Fail")</f>
        <v>Pass</v>
      </c>
      <c r="K1043" s="6">
        <f>IF(Benchmark2[[#This Row],[Comparable '#3 Date Check]]="Pass",INDEX(Comp3[Comparable '#3 Price],MATCH(Benchmark2[[#This Row],[Benchmark '#2 Dates]],Comp3[Comparable '#3 Dates],0)),"-")</f>
        <v>68.58</v>
      </c>
    </row>
    <row r="1044" spans="1:11">
      <c r="A1044" s="103">
        <v>44797</v>
      </c>
      <c r="B1044" s="104">
        <v>15392.056500000001</v>
      </c>
      <c r="C1044" s="4">
        <f t="shared" si="16"/>
        <v>3.508277932164584E-3</v>
      </c>
      <c r="D1044" s="1" t="str">
        <f>IF(COUNTIF(Target1[Target Dates],Benchmark2[[#This Row],[Benchmark '#2 Dates]])=1,"Pass","Fail")</f>
        <v>Pass</v>
      </c>
      <c r="E1044" s="6">
        <f>IF(Benchmark2[[#This Row],[Target Date Check]]="Pass",INDEX(Target1[Target Price],MATCH(Benchmark2[[#This Row],[Benchmark '#2 Dates]],Target1[Target Dates],0)),"-")</f>
        <v>35.520000000000003</v>
      </c>
      <c r="F1044" s="1" t="str">
        <f>IF(COUNTIF(Comp1[Comparable '#1 Dates],Benchmark2[[#This Row],[Benchmark '#2 Dates]])=1,"Pass","Fail")</f>
        <v>Pass</v>
      </c>
      <c r="G1044" s="6">
        <f>IF(Benchmark2[[#This Row],[Comparable '#1 Date Check]]="Pass",INDEX(Comp1[Comparable '#1 Price],MATCH(Benchmark2[[#This Row],[Benchmark '#2 Dates]],Comp1[Comparable '#1 Dates],0)),"-")</f>
        <v>11.13</v>
      </c>
      <c r="H1044" s="1" t="str">
        <f>IF(COUNTIF(Comp2[Comparable '#2 Dates],Benchmark2[[#This Row],[Benchmark '#2 Dates]])=1,"Pass","Fail")</f>
        <v>Pass</v>
      </c>
      <c r="I1044" s="6">
        <f>IF(Benchmark2[[#This Row],[Comparable '#2 Date Check]]="Pass",INDEX(Comp2[Comparable '#2 Price],MATCH(Benchmark2[[#This Row],[Benchmark '#2 Dates]],Comp2[Comparable '#2 Dates],0)),"-")</f>
        <v>39.74</v>
      </c>
      <c r="J1044" s="1" t="str">
        <f>IF(COUNTIF(Comp3[Comparable '#3 Dates],Benchmark2[[#This Row],[Benchmark '#2 Dates]])=1,"Pass","Fail")</f>
        <v>Pass</v>
      </c>
      <c r="K1044" s="6">
        <f>IF(Benchmark2[[#This Row],[Comparable '#3 Date Check]]="Pass",INDEX(Comp3[Comparable '#3 Price],MATCH(Benchmark2[[#This Row],[Benchmark '#2 Dates]],Comp3[Comparable '#3 Dates],0)),"-")</f>
        <v>67.8</v>
      </c>
    </row>
    <row r="1045" spans="1:11">
      <c r="A1045" s="103">
        <v>44798</v>
      </c>
      <c r="B1045" s="104">
        <v>15595.239799999999</v>
      </c>
      <c r="C1045" s="4">
        <f t="shared" si="16"/>
        <v>1.3114162010195416E-2</v>
      </c>
      <c r="D1045" s="1" t="str">
        <f>IF(COUNTIF(Target1[Target Dates],Benchmark2[[#This Row],[Benchmark '#2 Dates]])=1,"Pass","Fail")</f>
        <v>Pass</v>
      </c>
      <c r="E1045" s="6">
        <f>IF(Benchmark2[[#This Row],[Target Date Check]]="Pass",INDEX(Target1[Target Price],MATCH(Benchmark2[[#This Row],[Benchmark '#2 Dates]],Target1[Target Dates],0)),"-")</f>
        <v>37.82</v>
      </c>
      <c r="F1045" s="1" t="str">
        <f>IF(COUNTIF(Comp1[Comparable '#1 Dates],Benchmark2[[#This Row],[Benchmark '#2 Dates]])=1,"Pass","Fail")</f>
        <v>Pass</v>
      </c>
      <c r="G1045" s="6">
        <f>IF(Benchmark2[[#This Row],[Comparable '#1 Date Check]]="Pass",INDEX(Comp1[Comparable '#1 Price],MATCH(Benchmark2[[#This Row],[Benchmark '#2 Dates]],Comp1[Comparable '#1 Dates],0)),"-")</f>
        <v>11.18</v>
      </c>
      <c r="H1045" s="1" t="str">
        <f>IF(COUNTIF(Comp2[Comparable '#2 Dates],Benchmark2[[#This Row],[Benchmark '#2 Dates]])=1,"Pass","Fail")</f>
        <v>Pass</v>
      </c>
      <c r="I1045" s="6">
        <f>IF(Benchmark2[[#This Row],[Comparable '#2 Date Check]]="Pass",INDEX(Comp2[Comparable '#2 Price],MATCH(Benchmark2[[#This Row],[Benchmark '#2 Dates]],Comp2[Comparable '#2 Dates],0)),"-")</f>
        <v>41.12</v>
      </c>
      <c r="J1045" s="1" t="str">
        <f>IF(COUNTIF(Comp3[Comparable '#3 Dates],Benchmark2[[#This Row],[Benchmark '#2 Dates]])=1,"Pass","Fail")</f>
        <v>Pass</v>
      </c>
      <c r="K1045" s="6">
        <f>IF(Benchmark2[[#This Row],[Comparable '#3 Date Check]]="Pass",INDEX(Comp3[Comparable '#3 Price],MATCH(Benchmark2[[#This Row],[Benchmark '#2 Dates]],Comp3[Comparable '#3 Dates],0)),"-")</f>
        <v>69.38</v>
      </c>
    </row>
    <row r="1046" spans="1:11">
      <c r="A1046" s="103">
        <v>44799</v>
      </c>
      <c r="B1046" s="104">
        <v>15178.208000000001</v>
      </c>
      <c r="C1046" s="4">
        <f t="shared" si="16"/>
        <v>-2.7105011731704442E-2</v>
      </c>
      <c r="D1046" s="1" t="str">
        <f>IF(COUNTIF(Target1[Target Dates],Benchmark2[[#This Row],[Benchmark '#2 Dates]])=1,"Pass","Fail")</f>
        <v>Pass</v>
      </c>
      <c r="E1046" s="6">
        <f>IF(Benchmark2[[#This Row],[Target Date Check]]="Pass",INDEX(Target1[Target Price],MATCH(Benchmark2[[#This Row],[Benchmark '#2 Dates]],Target1[Target Dates],0)),"-")</f>
        <v>37.83</v>
      </c>
      <c r="F1046" s="1" t="str">
        <f>IF(COUNTIF(Comp1[Comparable '#1 Dates],Benchmark2[[#This Row],[Benchmark '#2 Dates]])=1,"Pass","Fail")</f>
        <v>Pass</v>
      </c>
      <c r="G1046" s="6">
        <f>IF(Benchmark2[[#This Row],[Comparable '#1 Date Check]]="Pass",INDEX(Comp1[Comparable '#1 Price],MATCH(Benchmark2[[#This Row],[Benchmark '#2 Dates]],Comp1[Comparable '#1 Dates],0)),"-")</f>
        <v>10.83</v>
      </c>
      <c r="H1046" s="1" t="str">
        <f>IF(COUNTIF(Comp2[Comparable '#2 Dates],Benchmark2[[#This Row],[Benchmark '#2 Dates]])=1,"Pass","Fail")</f>
        <v>Pass</v>
      </c>
      <c r="I1046" s="6">
        <f>IF(Benchmark2[[#This Row],[Comparable '#2 Date Check]]="Pass",INDEX(Comp2[Comparable '#2 Price],MATCH(Benchmark2[[#This Row],[Benchmark '#2 Dates]],Comp2[Comparable '#2 Dates],0)),"-")</f>
        <v>39.75</v>
      </c>
      <c r="J1046" s="1" t="str">
        <f>IF(COUNTIF(Comp3[Comparable '#3 Dates],Benchmark2[[#This Row],[Benchmark '#2 Dates]])=1,"Pass","Fail")</f>
        <v>Pass</v>
      </c>
      <c r="K1046" s="6">
        <f>IF(Benchmark2[[#This Row],[Comparable '#3 Date Check]]="Pass",INDEX(Comp3[Comparable '#3 Price],MATCH(Benchmark2[[#This Row],[Benchmark '#2 Dates]],Comp3[Comparable '#3 Dates],0)),"-")</f>
        <v>67.709999999999994</v>
      </c>
    </row>
    <row r="1047" spans="1:11">
      <c r="A1047" s="103">
        <v>44802</v>
      </c>
      <c r="B1047" s="104">
        <v>15118.8454</v>
      </c>
      <c r="C1047" s="4">
        <f t="shared" si="16"/>
        <v>-3.918709531384873E-3</v>
      </c>
      <c r="D1047" s="1" t="str">
        <f>IF(COUNTIF(Target1[Target Dates],Benchmark2[[#This Row],[Benchmark '#2 Dates]])=1,"Pass","Fail")</f>
        <v>Pass</v>
      </c>
      <c r="E1047" s="6">
        <f>IF(Benchmark2[[#This Row],[Target Date Check]]="Pass",INDEX(Target1[Target Price],MATCH(Benchmark2[[#This Row],[Benchmark '#2 Dates]],Target1[Target Dates],0)),"-")</f>
        <v>38.130000000000003</v>
      </c>
      <c r="F1047" s="1" t="str">
        <f>IF(COUNTIF(Comp1[Comparable '#1 Dates],Benchmark2[[#This Row],[Benchmark '#2 Dates]])=1,"Pass","Fail")</f>
        <v>Pass</v>
      </c>
      <c r="G1047" s="6">
        <f>IF(Benchmark2[[#This Row],[Comparable '#1 Date Check]]="Pass",INDEX(Comp1[Comparable '#1 Price],MATCH(Benchmark2[[#This Row],[Benchmark '#2 Dates]],Comp1[Comparable '#1 Dates],0)),"-")</f>
        <v>11</v>
      </c>
      <c r="H1047" s="1" t="str">
        <f>IF(COUNTIF(Comp2[Comparable '#2 Dates],Benchmark2[[#This Row],[Benchmark '#2 Dates]])=1,"Pass","Fail")</f>
        <v>Pass</v>
      </c>
      <c r="I1047" s="6">
        <f>IF(Benchmark2[[#This Row],[Comparable '#2 Date Check]]="Pass",INDEX(Comp2[Comparable '#2 Price],MATCH(Benchmark2[[#This Row],[Benchmark '#2 Dates]],Comp2[Comparable '#2 Dates],0)),"-")</f>
        <v>38.630000000000003</v>
      </c>
      <c r="J1047" s="1" t="str">
        <f>IF(COUNTIF(Comp3[Comparable '#3 Dates],Benchmark2[[#This Row],[Benchmark '#2 Dates]])=1,"Pass","Fail")</f>
        <v>Pass</v>
      </c>
      <c r="K1047" s="6">
        <f>IF(Benchmark2[[#This Row],[Comparable '#3 Date Check]]="Pass",INDEX(Comp3[Comparable '#3 Price],MATCH(Benchmark2[[#This Row],[Benchmark '#2 Dates]],Comp3[Comparable '#3 Dates],0)),"-")</f>
        <v>66.569999999999993</v>
      </c>
    </row>
    <row r="1048" spans="1:11">
      <c r="A1048" s="103">
        <v>44803</v>
      </c>
      <c r="B1048" s="104">
        <v>14929.36</v>
      </c>
      <c r="C1048" s="4">
        <f t="shared" si="16"/>
        <v>-1.2612261480789567E-2</v>
      </c>
      <c r="D1048" s="1" t="str">
        <f>IF(COUNTIF(Target1[Target Dates],Benchmark2[[#This Row],[Benchmark '#2 Dates]])=1,"Pass","Fail")</f>
        <v>Pass</v>
      </c>
      <c r="E1048" s="6">
        <f>IF(Benchmark2[[#This Row],[Target Date Check]]="Pass",INDEX(Target1[Target Price],MATCH(Benchmark2[[#This Row],[Benchmark '#2 Dates]],Target1[Target Dates],0)),"-")</f>
        <v>38.06</v>
      </c>
      <c r="F1048" s="1" t="str">
        <f>IF(COUNTIF(Comp1[Comparable '#1 Dates],Benchmark2[[#This Row],[Benchmark '#2 Dates]])=1,"Pass","Fail")</f>
        <v>Pass</v>
      </c>
      <c r="G1048" s="6">
        <f>IF(Benchmark2[[#This Row],[Comparable '#1 Date Check]]="Pass",INDEX(Comp1[Comparable '#1 Price],MATCH(Benchmark2[[#This Row],[Benchmark '#2 Dates]],Comp1[Comparable '#1 Dates],0)),"-")</f>
        <v>11.01</v>
      </c>
      <c r="H1048" s="1" t="str">
        <f>IF(COUNTIF(Comp2[Comparable '#2 Dates],Benchmark2[[#This Row],[Benchmark '#2 Dates]])=1,"Pass","Fail")</f>
        <v>Pass</v>
      </c>
      <c r="I1048" s="6">
        <f>IF(Benchmark2[[#This Row],[Comparable '#2 Date Check]]="Pass",INDEX(Comp2[Comparable '#2 Price],MATCH(Benchmark2[[#This Row],[Benchmark '#2 Dates]],Comp2[Comparable '#2 Dates],0)),"-")</f>
        <v>38.159999999999997</v>
      </c>
      <c r="J1048" s="1" t="str">
        <f>IF(COUNTIF(Comp3[Comparable '#3 Dates],Benchmark2[[#This Row],[Benchmark '#2 Dates]])=1,"Pass","Fail")</f>
        <v>Pass</v>
      </c>
      <c r="K1048" s="6">
        <f>IF(Benchmark2[[#This Row],[Comparable '#3 Date Check]]="Pass",INDEX(Comp3[Comparable '#3 Price],MATCH(Benchmark2[[#This Row],[Benchmark '#2 Dates]],Comp3[Comparable '#3 Dates],0)),"-")</f>
        <v>65.400000000000006</v>
      </c>
    </row>
    <row r="1049" spans="1:11">
      <c r="A1049" s="103">
        <v>44804</v>
      </c>
      <c r="B1049" s="104">
        <v>14801.244699999999</v>
      </c>
      <c r="C1049" s="4">
        <f t="shared" si="16"/>
        <v>-8.61846533587559E-3</v>
      </c>
      <c r="D1049" s="1" t="str">
        <f>IF(COUNTIF(Target1[Target Dates],Benchmark2[[#This Row],[Benchmark '#2 Dates]])=1,"Pass","Fail")</f>
        <v>Pass</v>
      </c>
      <c r="E1049" s="6">
        <f>IF(Benchmark2[[#This Row],[Target Date Check]]="Pass",INDEX(Target1[Target Price],MATCH(Benchmark2[[#This Row],[Benchmark '#2 Dates]],Target1[Target Dates],0)),"-")</f>
        <v>38.14</v>
      </c>
      <c r="F1049" s="1" t="str">
        <f>IF(COUNTIF(Comp1[Comparable '#1 Dates],Benchmark2[[#This Row],[Benchmark '#2 Dates]])=1,"Pass","Fail")</f>
        <v>Pass</v>
      </c>
      <c r="G1049" s="6">
        <f>IF(Benchmark2[[#This Row],[Comparable '#1 Date Check]]="Pass",INDEX(Comp1[Comparable '#1 Price],MATCH(Benchmark2[[#This Row],[Benchmark '#2 Dates]],Comp1[Comparable '#1 Dates],0)),"-")</f>
        <v>11.02</v>
      </c>
      <c r="H1049" s="1" t="str">
        <f>IF(COUNTIF(Comp2[Comparable '#2 Dates],Benchmark2[[#This Row],[Benchmark '#2 Dates]])=1,"Pass","Fail")</f>
        <v>Pass</v>
      </c>
      <c r="I1049" s="6">
        <f>IF(Benchmark2[[#This Row],[Comparable '#2 Date Check]]="Pass",INDEX(Comp2[Comparable '#2 Price],MATCH(Benchmark2[[#This Row],[Benchmark '#2 Dates]],Comp2[Comparable '#2 Dates],0)),"-")</f>
        <v>37.69</v>
      </c>
      <c r="J1049" s="1" t="str">
        <f>IF(COUNTIF(Comp3[Comparable '#3 Dates],Benchmark2[[#This Row],[Benchmark '#2 Dates]])=1,"Pass","Fail")</f>
        <v>Pass</v>
      </c>
      <c r="K1049" s="6">
        <f>IF(Benchmark2[[#This Row],[Comparable '#3 Date Check]]="Pass",INDEX(Comp3[Comparable '#3 Price],MATCH(Benchmark2[[#This Row],[Benchmark '#2 Dates]],Comp3[Comparable '#3 Dates],0)),"-")</f>
        <v>64.7</v>
      </c>
    </row>
    <row r="1050" spans="1:11">
      <c r="A1050" s="103">
        <v>44805</v>
      </c>
      <c r="B1050" s="104">
        <v>14771.8992</v>
      </c>
      <c r="C1050" s="4">
        <f t="shared" si="16"/>
        <v>-1.9846053386176413E-3</v>
      </c>
      <c r="D1050" s="1" t="str">
        <f>IF(COUNTIF(Target1[Target Dates],Benchmark2[[#This Row],[Benchmark '#2 Dates]])=1,"Pass","Fail")</f>
        <v>Pass</v>
      </c>
      <c r="E1050" s="6">
        <f>IF(Benchmark2[[#This Row],[Target Date Check]]="Pass",INDEX(Target1[Target Price],MATCH(Benchmark2[[#This Row],[Benchmark '#2 Dates]],Target1[Target Dates],0)),"-")</f>
        <v>38.04</v>
      </c>
      <c r="F1050" s="1" t="str">
        <f>IF(COUNTIF(Comp1[Comparable '#1 Dates],Benchmark2[[#This Row],[Benchmark '#2 Dates]])=1,"Pass","Fail")</f>
        <v>Pass</v>
      </c>
      <c r="G1050" s="6">
        <f>IF(Benchmark2[[#This Row],[Comparable '#1 Date Check]]="Pass",INDEX(Comp1[Comparable '#1 Price],MATCH(Benchmark2[[#This Row],[Benchmark '#2 Dates]],Comp1[Comparable '#1 Dates],0)),"-")</f>
        <v>11.04</v>
      </c>
      <c r="H1050" s="1" t="str">
        <f>IF(COUNTIF(Comp2[Comparable '#2 Dates],Benchmark2[[#This Row],[Benchmark '#2 Dates]])=1,"Pass","Fail")</f>
        <v>Pass</v>
      </c>
      <c r="I1050" s="6">
        <f>IF(Benchmark2[[#This Row],[Comparable '#2 Date Check]]="Pass",INDEX(Comp2[Comparable '#2 Price],MATCH(Benchmark2[[#This Row],[Benchmark '#2 Dates]],Comp2[Comparable '#2 Dates],0)),"-")</f>
        <v>38.03</v>
      </c>
      <c r="J1050" s="1" t="str">
        <f>IF(COUNTIF(Comp3[Comparable '#3 Dates],Benchmark2[[#This Row],[Benchmark '#2 Dates]])=1,"Pass","Fail")</f>
        <v>Pass</v>
      </c>
      <c r="K1050" s="6">
        <f>IF(Benchmark2[[#This Row],[Comparable '#3 Date Check]]="Pass",INDEX(Comp3[Comparable '#3 Price],MATCH(Benchmark2[[#This Row],[Benchmark '#2 Dates]],Comp3[Comparable '#3 Dates],0)),"-")</f>
        <v>62.98</v>
      </c>
    </row>
    <row r="1051" spans="1:11">
      <c r="A1051" s="103">
        <v>44806</v>
      </c>
      <c r="B1051" s="104">
        <v>14689.501899999999</v>
      </c>
      <c r="C1051" s="4">
        <f t="shared" si="16"/>
        <v>-5.5935910555800104E-3</v>
      </c>
      <c r="D1051" s="1" t="str">
        <f>IF(COUNTIF(Target1[Target Dates],Benchmark2[[#This Row],[Benchmark '#2 Dates]])=1,"Pass","Fail")</f>
        <v>Pass</v>
      </c>
      <c r="E1051" s="6">
        <f>IF(Benchmark2[[#This Row],[Target Date Check]]="Pass",INDEX(Target1[Target Price],MATCH(Benchmark2[[#This Row],[Benchmark '#2 Dates]],Target1[Target Dates],0)),"-")</f>
        <v>38.06</v>
      </c>
      <c r="F1051" s="1" t="str">
        <f>IF(COUNTIF(Comp1[Comparable '#1 Dates],Benchmark2[[#This Row],[Benchmark '#2 Dates]])=1,"Pass","Fail")</f>
        <v>Pass</v>
      </c>
      <c r="G1051" s="6">
        <f>IF(Benchmark2[[#This Row],[Comparable '#1 Date Check]]="Pass",INDEX(Comp1[Comparable '#1 Price],MATCH(Benchmark2[[#This Row],[Benchmark '#2 Dates]],Comp1[Comparable '#1 Dates],0)),"-")</f>
        <v>10.93</v>
      </c>
      <c r="H1051" s="1" t="str">
        <f>IF(COUNTIF(Comp2[Comparable '#2 Dates],Benchmark2[[#This Row],[Benchmark '#2 Dates]])=1,"Pass","Fail")</f>
        <v>Pass</v>
      </c>
      <c r="I1051" s="6">
        <f>IF(Benchmark2[[#This Row],[Comparable '#2 Date Check]]="Pass",INDEX(Comp2[Comparable '#2 Price],MATCH(Benchmark2[[#This Row],[Benchmark '#2 Dates]],Comp2[Comparable '#2 Dates],0)),"-")</f>
        <v>36.9</v>
      </c>
      <c r="J1051" s="1" t="str">
        <f>IF(COUNTIF(Comp3[Comparable '#3 Dates],Benchmark2[[#This Row],[Benchmark '#2 Dates]])=1,"Pass","Fail")</f>
        <v>Pass</v>
      </c>
      <c r="K1051" s="6">
        <f>IF(Benchmark2[[#This Row],[Comparable '#3 Date Check]]="Pass",INDEX(Comp3[Comparable '#3 Price],MATCH(Benchmark2[[#This Row],[Benchmark '#2 Dates]],Comp3[Comparable '#3 Dates],0)),"-")</f>
        <v>62.59</v>
      </c>
    </row>
    <row r="1052" spans="1:11">
      <c r="A1052" s="103">
        <v>44810</v>
      </c>
      <c r="B1052" s="104">
        <v>14631.517099999999</v>
      </c>
      <c r="C1052" s="4">
        <f t="shared" si="16"/>
        <v>-3.9551746540570764E-3</v>
      </c>
      <c r="D1052" s="1" t="str">
        <f>IF(COUNTIF(Target1[Target Dates],Benchmark2[[#This Row],[Benchmark '#2 Dates]])=1,"Pass","Fail")</f>
        <v>Pass</v>
      </c>
      <c r="E1052" s="6">
        <f>IF(Benchmark2[[#This Row],[Target Date Check]]="Pass",INDEX(Target1[Target Price],MATCH(Benchmark2[[#This Row],[Benchmark '#2 Dates]],Target1[Target Dates],0)),"-")</f>
        <v>38.770000000000003</v>
      </c>
      <c r="F1052" s="1" t="str">
        <f>IF(COUNTIF(Comp1[Comparable '#1 Dates],Benchmark2[[#This Row],[Benchmark '#2 Dates]])=1,"Pass","Fail")</f>
        <v>Pass</v>
      </c>
      <c r="G1052" s="6">
        <f>IF(Benchmark2[[#This Row],[Comparable '#1 Date Check]]="Pass",INDEX(Comp1[Comparable '#1 Price],MATCH(Benchmark2[[#This Row],[Benchmark '#2 Dates]],Comp1[Comparable '#1 Dates],0)),"-")</f>
        <v>10.98</v>
      </c>
      <c r="H1052" s="1" t="str">
        <f>IF(COUNTIF(Comp2[Comparable '#2 Dates],Benchmark2[[#This Row],[Benchmark '#2 Dates]])=1,"Pass","Fail")</f>
        <v>Pass</v>
      </c>
      <c r="I1052" s="6">
        <f>IF(Benchmark2[[#This Row],[Comparable '#2 Date Check]]="Pass",INDEX(Comp2[Comparable '#2 Price],MATCH(Benchmark2[[#This Row],[Benchmark '#2 Dates]],Comp2[Comparable '#2 Dates],0)),"-")</f>
        <v>37.19</v>
      </c>
      <c r="J1052" s="1" t="str">
        <f>IF(COUNTIF(Comp3[Comparable '#3 Dates],Benchmark2[[#This Row],[Benchmark '#2 Dates]])=1,"Pass","Fail")</f>
        <v>Pass</v>
      </c>
      <c r="K1052" s="6">
        <f>IF(Benchmark2[[#This Row],[Comparable '#3 Date Check]]="Pass",INDEX(Comp3[Comparable '#3 Price],MATCH(Benchmark2[[#This Row],[Benchmark '#2 Dates]],Comp3[Comparable '#3 Dates],0)),"-")</f>
        <v>62.38</v>
      </c>
    </row>
    <row r="1053" spans="1:11">
      <c r="A1053" s="103">
        <v>44811</v>
      </c>
      <c r="B1053" s="104">
        <v>14844.5658</v>
      </c>
      <c r="C1053" s="4">
        <f t="shared" si="16"/>
        <v>1.4455951345764573E-2</v>
      </c>
      <c r="D1053" s="1" t="str">
        <f>IF(COUNTIF(Target1[Target Dates],Benchmark2[[#This Row],[Benchmark '#2 Dates]])=1,"Pass","Fail")</f>
        <v>Pass</v>
      </c>
      <c r="E1053" s="6">
        <f>IF(Benchmark2[[#This Row],[Target Date Check]]="Pass",INDEX(Target1[Target Price],MATCH(Benchmark2[[#This Row],[Benchmark '#2 Dates]],Target1[Target Dates],0)),"-")</f>
        <v>38.42</v>
      </c>
      <c r="F1053" s="1" t="str">
        <f>IF(COUNTIF(Comp1[Comparable '#1 Dates],Benchmark2[[#This Row],[Benchmark '#2 Dates]])=1,"Pass","Fail")</f>
        <v>Pass</v>
      </c>
      <c r="G1053" s="6">
        <f>IF(Benchmark2[[#This Row],[Comparable '#1 Date Check]]="Pass",INDEX(Comp1[Comparable '#1 Price],MATCH(Benchmark2[[#This Row],[Benchmark '#2 Dates]],Comp1[Comparable '#1 Dates],0)),"-")</f>
        <v>11.1</v>
      </c>
      <c r="H1053" s="1" t="str">
        <f>IF(COUNTIF(Comp2[Comparable '#2 Dates],Benchmark2[[#This Row],[Benchmark '#2 Dates]])=1,"Pass","Fail")</f>
        <v>Pass</v>
      </c>
      <c r="I1053" s="6">
        <f>IF(Benchmark2[[#This Row],[Comparable '#2 Date Check]]="Pass",INDEX(Comp2[Comparable '#2 Price],MATCH(Benchmark2[[#This Row],[Benchmark '#2 Dates]],Comp2[Comparable '#2 Dates],0)),"-")</f>
        <v>37.97</v>
      </c>
      <c r="J1053" s="1" t="str">
        <f>IF(COUNTIF(Comp3[Comparable '#3 Dates],Benchmark2[[#This Row],[Benchmark '#2 Dates]])=1,"Pass","Fail")</f>
        <v>Pass</v>
      </c>
      <c r="K1053" s="6">
        <f>IF(Benchmark2[[#This Row],[Comparable '#3 Date Check]]="Pass",INDEX(Comp3[Comparable '#3 Price],MATCH(Benchmark2[[#This Row],[Benchmark '#2 Dates]],Comp3[Comparable '#3 Dates],0)),"-")</f>
        <v>63.22</v>
      </c>
    </row>
    <row r="1054" spans="1:11">
      <c r="A1054" s="103">
        <v>44812</v>
      </c>
      <c r="B1054" s="104">
        <v>14961.767900000001</v>
      </c>
      <c r="C1054" s="4">
        <f t="shared" si="16"/>
        <v>7.8642818152797299E-3</v>
      </c>
      <c r="D1054" s="1" t="str">
        <f>IF(COUNTIF(Target1[Target Dates],Benchmark2[[#This Row],[Benchmark '#2 Dates]])=1,"Pass","Fail")</f>
        <v>Pass</v>
      </c>
      <c r="E1054" s="6">
        <f>IF(Benchmark2[[#This Row],[Target Date Check]]="Pass",INDEX(Target1[Target Price],MATCH(Benchmark2[[#This Row],[Benchmark '#2 Dates]],Target1[Target Dates],0)),"-")</f>
        <v>39.15</v>
      </c>
      <c r="F1054" s="1" t="str">
        <f>IF(COUNTIF(Comp1[Comparable '#1 Dates],Benchmark2[[#This Row],[Benchmark '#2 Dates]])=1,"Pass","Fail")</f>
        <v>Pass</v>
      </c>
      <c r="G1054" s="6">
        <f>IF(Benchmark2[[#This Row],[Comparable '#1 Date Check]]="Pass",INDEX(Comp1[Comparable '#1 Price],MATCH(Benchmark2[[#This Row],[Benchmark '#2 Dates]],Comp1[Comparable '#1 Dates],0)),"-")</f>
        <v>11.04</v>
      </c>
      <c r="H1054" s="1" t="str">
        <f>IF(COUNTIF(Comp2[Comparable '#2 Dates],Benchmark2[[#This Row],[Benchmark '#2 Dates]])=1,"Pass","Fail")</f>
        <v>Pass</v>
      </c>
      <c r="I1054" s="6">
        <f>IF(Benchmark2[[#This Row],[Comparable '#2 Date Check]]="Pass",INDEX(Comp2[Comparable '#2 Price],MATCH(Benchmark2[[#This Row],[Benchmark '#2 Dates]],Comp2[Comparable '#2 Dates],0)),"-")</f>
        <v>37.54</v>
      </c>
      <c r="J1054" s="1" t="str">
        <f>IF(COUNTIF(Comp3[Comparable '#3 Dates],Benchmark2[[#This Row],[Benchmark '#2 Dates]])=1,"Pass","Fail")</f>
        <v>Pass</v>
      </c>
      <c r="K1054" s="6">
        <f>IF(Benchmark2[[#This Row],[Comparable '#3 Date Check]]="Pass",INDEX(Comp3[Comparable '#3 Price],MATCH(Benchmark2[[#This Row],[Benchmark '#2 Dates]],Comp3[Comparable '#3 Dates],0)),"-")</f>
        <v>63.31</v>
      </c>
    </row>
    <row r="1055" spans="1:11">
      <c r="A1055" s="103">
        <v>44813</v>
      </c>
      <c r="B1055" s="104">
        <v>15190.7865</v>
      </c>
      <c r="C1055" s="4">
        <f t="shared" si="16"/>
        <v>1.5190952054571303E-2</v>
      </c>
      <c r="D1055" s="1" t="str">
        <f>IF(COUNTIF(Target1[Target Dates],Benchmark2[[#This Row],[Benchmark '#2 Dates]])=1,"Pass","Fail")</f>
        <v>Pass</v>
      </c>
      <c r="E1055" s="6">
        <f>IF(Benchmark2[[#This Row],[Target Date Check]]="Pass",INDEX(Target1[Target Price],MATCH(Benchmark2[[#This Row],[Benchmark '#2 Dates]],Target1[Target Dates],0)),"-")</f>
        <v>39.21</v>
      </c>
      <c r="F1055" s="1" t="str">
        <f>IF(COUNTIF(Comp1[Comparable '#1 Dates],Benchmark2[[#This Row],[Benchmark '#2 Dates]])=1,"Pass","Fail")</f>
        <v>Pass</v>
      </c>
      <c r="G1055" s="6">
        <f>IF(Benchmark2[[#This Row],[Comparable '#1 Date Check]]="Pass",INDEX(Comp1[Comparable '#1 Price],MATCH(Benchmark2[[#This Row],[Benchmark '#2 Dates]],Comp1[Comparable '#1 Dates],0)),"-")</f>
        <v>11.15</v>
      </c>
      <c r="H1055" s="1" t="str">
        <f>IF(COUNTIF(Comp2[Comparable '#2 Dates],Benchmark2[[#This Row],[Benchmark '#2 Dates]])=1,"Pass","Fail")</f>
        <v>Pass</v>
      </c>
      <c r="I1055" s="6">
        <f>IF(Benchmark2[[#This Row],[Comparable '#2 Date Check]]="Pass",INDEX(Comp2[Comparable '#2 Price],MATCH(Benchmark2[[#This Row],[Benchmark '#2 Dates]],Comp2[Comparable '#2 Dates],0)),"-")</f>
        <v>37.659999999999997</v>
      </c>
      <c r="J1055" s="1" t="str">
        <f>IF(COUNTIF(Comp3[Comparable '#3 Dates],Benchmark2[[#This Row],[Benchmark '#2 Dates]])=1,"Pass","Fail")</f>
        <v>Pass</v>
      </c>
      <c r="K1055" s="6">
        <f>IF(Benchmark2[[#This Row],[Comparable '#3 Date Check]]="Pass",INDEX(Comp3[Comparable '#3 Price],MATCH(Benchmark2[[#This Row],[Benchmark '#2 Dates]],Comp3[Comparable '#3 Dates],0)),"-")</f>
        <v>64.39</v>
      </c>
    </row>
    <row r="1056" spans="1:11">
      <c r="A1056" s="103">
        <v>44816</v>
      </c>
      <c r="B1056" s="104">
        <v>15352.181</v>
      </c>
      <c r="C1056" s="4">
        <f t="shared" si="16"/>
        <v>1.0568455878224962E-2</v>
      </c>
      <c r="D1056" s="1" t="str">
        <f>IF(COUNTIF(Target1[Target Dates],Benchmark2[[#This Row],[Benchmark '#2 Dates]])=1,"Pass","Fail")</f>
        <v>Pass</v>
      </c>
      <c r="E1056" s="6">
        <f>IF(Benchmark2[[#This Row],[Target Date Check]]="Pass",INDEX(Target1[Target Price],MATCH(Benchmark2[[#This Row],[Benchmark '#2 Dates]],Target1[Target Dates],0)),"-")</f>
        <v>39.659999999999997</v>
      </c>
      <c r="F1056" s="1" t="str">
        <f>IF(COUNTIF(Comp1[Comparable '#1 Dates],Benchmark2[[#This Row],[Benchmark '#2 Dates]])=1,"Pass","Fail")</f>
        <v>Pass</v>
      </c>
      <c r="G1056" s="6">
        <f>IF(Benchmark2[[#This Row],[Comparable '#1 Date Check]]="Pass",INDEX(Comp1[Comparable '#1 Price],MATCH(Benchmark2[[#This Row],[Benchmark '#2 Dates]],Comp1[Comparable '#1 Dates],0)),"-")</f>
        <v>11.55</v>
      </c>
      <c r="H1056" s="1" t="str">
        <f>IF(COUNTIF(Comp2[Comparable '#2 Dates],Benchmark2[[#This Row],[Benchmark '#2 Dates]])=1,"Pass","Fail")</f>
        <v>Pass</v>
      </c>
      <c r="I1056" s="6">
        <f>IF(Benchmark2[[#This Row],[Comparable '#2 Date Check]]="Pass",INDEX(Comp2[Comparable '#2 Price],MATCH(Benchmark2[[#This Row],[Benchmark '#2 Dates]],Comp2[Comparable '#2 Dates],0)),"-")</f>
        <v>39.340000000000003</v>
      </c>
      <c r="J1056" s="1" t="str">
        <f>IF(COUNTIF(Comp3[Comparable '#3 Dates],Benchmark2[[#This Row],[Benchmark '#2 Dates]])=1,"Pass","Fail")</f>
        <v>Pass</v>
      </c>
      <c r="K1056" s="6">
        <f>IF(Benchmark2[[#This Row],[Comparable '#3 Date Check]]="Pass",INDEX(Comp3[Comparable '#3 Price],MATCH(Benchmark2[[#This Row],[Benchmark '#2 Dates]],Comp3[Comparable '#3 Dates],0)),"-")</f>
        <v>65.930000000000007</v>
      </c>
    </row>
    <row r="1057" spans="1:11">
      <c r="A1057" s="103">
        <v>44817</v>
      </c>
      <c r="B1057" s="104">
        <v>14820.790199999999</v>
      </c>
      <c r="C1057" s="4">
        <f t="shared" si="16"/>
        <v>-3.5226610346140858E-2</v>
      </c>
      <c r="D1057" s="1" t="str">
        <f>IF(COUNTIF(Target1[Target Dates],Benchmark2[[#This Row],[Benchmark '#2 Dates]])=1,"Pass","Fail")</f>
        <v>Pass</v>
      </c>
      <c r="E1057" s="6">
        <f>IF(Benchmark2[[#This Row],[Target Date Check]]="Pass",INDEX(Target1[Target Price],MATCH(Benchmark2[[#This Row],[Benchmark '#2 Dates]],Target1[Target Dates],0)),"-")</f>
        <v>39.57</v>
      </c>
      <c r="F1057" s="1" t="str">
        <f>IF(COUNTIF(Comp1[Comparable '#1 Dates],Benchmark2[[#This Row],[Benchmark '#2 Dates]])=1,"Pass","Fail")</f>
        <v>Pass</v>
      </c>
      <c r="G1057" s="6">
        <f>IF(Benchmark2[[#This Row],[Comparable '#1 Date Check]]="Pass",INDEX(Comp1[Comparable '#1 Price],MATCH(Benchmark2[[#This Row],[Benchmark '#2 Dates]],Comp1[Comparable '#1 Dates],0)),"-")</f>
        <v>11.4</v>
      </c>
      <c r="H1057" s="1" t="str">
        <f>IF(COUNTIF(Comp2[Comparable '#2 Dates],Benchmark2[[#This Row],[Benchmark '#2 Dates]])=1,"Pass","Fail")</f>
        <v>Pass</v>
      </c>
      <c r="I1057" s="6">
        <f>IF(Benchmark2[[#This Row],[Comparable '#2 Date Check]]="Pass",INDEX(Comp2[Comparable '#2 Price],MATCH(Benchmark2[[#This Row],[Benchmark '#2 Dates]],Comp2[Comparable '#2 Dates],0)),"-")</f>
        <v>37.770000000000003</v>
      </c>
      <c r="J1057" s="1" t="str">
        <f>IF(COUNTIF(Comp3[Comparable '#3 Dates],Benchmark2[[#This Row],[Benchmark '#2 Dates]])=1,"Pass","Fail")</f>
        <v>Pass</v>
      </c>
      <c r="K1057" s="6">
        <f>IF(Benchmark2[[#This Row],[Comparable '#3 Date Check]]="Pass",INDEX(Comp3[Comparable '#3 Price],MATCH(Benchmark2[[#This Row],[Benchmark '#2 Dates]],Comp3[Comparable '#3 Dates],0)),"-")</f>
        <v>64.02</v>
      </c>
    </row>
    <row r="1058" spans="1:11">
      <c r="A1058" s="103">
        <v>44818</v>
      </c>
      <c r="B1058" s="104">
        <v>14843.2135</v>
      </c>
      <c r="C1058" s="4">
        <f t="shared" si="16"/>
        <v>1.5118191392948759E-3</v>
      </c>
      <c r="D1058" s="1" t="str">
        <f>IF(COUNTIF(Target1[Target Dates],Benchmark2[[#This Row],[Benchmark '#2 Dates]])=1,"Pass","Fail")</f>
        <v>Pass</v>
      </c>
      <c r="E1058" s="6">
        <f>IF(Benchmark2[[#This Row],[Target Date Check]]="Pass",INDEX(Target1[Target Price],MATCH(Benchmark2[[#This Row],[Benchmark '#2 Dates]],Target1[Target Dates],0)),"-")</f>
        <v>39.96</v>
      </c>
      <c r="F1058" s="1" t="str">
        <f>IF(COUNTIF(Comp1[Comparable '#1 Dates],Benchmark2[[#This Row],[Benchmark '#2 Dates]])=1,"Pass","Fail")</f>
        <v>Pass</v>
      </c>
      <c r="G1058" s="6">
        <f>IF(Benchmark2[[#This Row],[Comparable '#1 Date Check]]="Pass",INDEX(Comp1[Comparable '#1 Price],MATCH(Benchmark2[[#This Row],[Benchmark '#2 Dates]],Comp1[Comparable '#1 Dates],0)),"-")</f>
        <v>11.28</v>
      </c>
      <c r="H1058" s="1" t="str">
        <f>IF(COUNTIF(Comp2[Comparable '#2 Dates],Benchmark2[[#This Row],[Benchmark '#2 Dates]])=1,"Pass","Fail")</f>
        <v>Pass</v>
      </c>
      <c r="I1058" s="6">
        <f>IF(Benchmark2[[#This Row],[Comparable '#2 Date Check]]="Pass",INDEX(Comp2[Comparable '#2 Price],MATCH(Benchmark2[[#This Row],[Benchmark '#2 Dates]],Comp2[Comparable '#2 Dates],0)),"-")</f>
        <v>38.15</v>
      </c>
      <c r="J1058" s="1" t="str">
        <f>IF(COUNTIF(Comp3[Comparable '#3 Dates],Benchmark2[[#This Row],[Benchmark '#2 Dates]])=1,"Pass","Fail")</f>
        <v>Pass</v>
      </c>
      <c r="K1058" s="6">
        <f>IF(Benchmark2[[#This Row],[Comparable '#3 Date Check]]="Pass",INDEX(Comp3[Comparable '#3 Price],MATCH(Benchmark2[[#This Row],[Benchmark '#2 Dates]],Comp3[Comparable '#3 Dates],0)),"-")</f>
        <v>64.11</v>
      </c>
    </row>
    <row r="1059" spans="1:11">
      <c r="A1059" s="103">
        <v>44819</v>
      </c>
      <c r="B1059" s="104">
        <v>14722.026599999999</v>
      </c>
      <c r="C1059" s="4">
        <f t="shared" si="16"/>
        <v>-8.1979769692328043E-3</v>
      </c>
      <c r="D1059" s="1" t="str">
        <f>IF(COUNTIF(Target1[Target Dates],Benchmark2[[#This Row],[Benchmark '#2 Dates]])=1,"Pass","Fail")</f>
        <v>Pass</v>
      </c>
      <c r="E1059" s="6">
        <f>IF(Benchmark2[[#This Row],[Target Date Check]]="Pass",INDEX(Target1[Target Price],MATCH(Benchmark2[[#This Row],[Benchmark '#2 Dates]],Target1[Target Dates],0)),"-")</f>
        <v>39.81</v>
      </c>
      <c r="F1059" s="1" t="str">
        <f>IF(COUNTIF(Comp1[Comparable '#1 Dates],Benchmark2[[#This Row],[Benchmark '#2 Dates]])=1,"Pass","Fail")</f>
        <v>Pass</v>
      </c>
      <c r="G1059" s="6">
        <f>IF(Benchmark2[[#This Row],[Comparable '#1 Date Check]]="Pass",INDEX(Comp1[Comparable '#1 Price],MATCH(Benchmark2[[#This Row],[Benchmark '#2 Dates]],Comp1[Comparable '#1 Dates],0)),"-")</f>
        <v>11.57</v>
      </c>
      <c r="H1059" s="1" t="str">
        <f>IF(COUNTIF(Comp2[Comparable '#2 Dates],Benchmark2[[#This Row],[Benchmark '#2 Dates]])=1,"Pass","Fail")</f>
        <v>Pass</v>
      </c>
      <c r="I1059" s="6">
        <f>IF(Benchmark2[[#This Row],[Comparable '#2 Date Check]]="Pass",INDEX(Comp2[Comparable '#2 Price],MATCH(Benchmark2[[#This Row],[Benchmark '#2 Dates]],Comp2[Comparable '#2 Dates],0)),"-")</f>
        <v>38.35</v>
      </c>
      <c r="J1059" s="1" t="str">
        <f>IF(COUNTIF(Comp3[Comparable '#3 Dates],Benchmark2[[#This Row],[Benchmark '#2 Dates]])=1,"Pass","Fail")</f>
        <v>Pass</v>
      </c>
      <c r="K1059" s="6">
        <f>IF(Benchmark2[[#This Row],[Comparable '#3 Date Check]]="Pass",INDEX(Comp3[Comparable '#3 Price],MATCH(Benchmark2[[#This Row],[Benchmark '#2 Dates]],Comp3[Comparable '#3 Dates],0)),"-")</f>
        <v>65.180000000000007</v>
      </c>
    </row>
    <row r="1060" spans="1:11">
      <c r="A1060" s="103">
        <v>44820</v>
      </c>
      <c r="B1060" s="104">
        <v>14573.911400000001</v>
      </c>
      <c r="C1060" s="4">
        <f t="shared" si="16"/>
        <v>-1.0111740544331796E-2</v>
      </c>
      <c r="D1060" s="1" t="str">
        <f>IF(COUNTIF(Target1[Target Dates],Benchmark2[[#This Row],[Benchmark '#2 Dates]])=1,"Pass","Fail")</f>
        <v>Pass</v>
      </c>
      <c r="E1060" s="6">
        <f>IF(Benchmark2[[#This Row],[Target Date Check]]="Pass",INDEX(Target1[Target Price],MATCH(Benchmark2[[#This Row],[Benchmark '#2 Dates]],Target1[Target Dates],0)),"-")</f>
        <v>40.11</v>
      </c>
      <c r="F1060" s="1" t="str">
        <f>IF(COUNTIF(Comp1[Comparable '#1 Dates],Benchmark2[[#This Row],[Benchmark '#2 Dates]])=1,"Pass","Fail")</f>
        <v>Pass</v>
      </c>
      <c r="G1060" s="6">
        <f>IF(Benchmark2[[#This Row],[Comparable '#1 Date Check]]="Pass",INDEX(Comp1[Comparable '#1 Price],MATCH(Benchmark2[[#This Row],[Benchmark '#2 Dates]],Comp1[Comparable '#1 Dates],0)),"-")</f>
        <v>11.51</v>
      </c>
      <c r="H1060" s="1" t="str">
        <f>IF(COUNTIF(Comp2[Comparable '#2 Dates],Benchmark2[[#This Row],[Benchmark '#2 Dates]])=1,"Pass","Fail")</f>
        <v>Pass</v>
      </c>
      <c r="I1060" s="6">
        <f>IF(Benchmark2[[#This Row],[Comparable '#2 Date Check]]="Pass",INDEX(Comp2[Comparable '#2 Price],MATCH(Benchmark2[[#This Row],[Benchmark '#2 Dates]],Comp2[Comparable '#2 Dates],0)),"-")</f>
        <v>37.270000000000003</v>
      </c>
      <c r="J1060" s="1" t="str">
        <f>IF(COUNTIF(Comp3[Comparable '#3 Dates],Benchmark2[[#This Row],[Benchmark '#2 Dates]])=1,"Pass","Fail")</f>
        <v>Pass</v>
      </c>
      <c r="K1060" s="6">
        <f>IF(Benchmark2[[#This Row],[Comparable '#3 Date Check]]="Pass",INDEX(Comp3[Comparable '#3 Price],MATCH(Benchmark2[[#This Row],[Benchmark '#2 Dates]],Comp3[Comparable '#3 Dates],0)),"-")</f>
        <v>63.54</v>
      </c>
    </row>
    <row r="1061" spans="1:11">
      <c r="A1061" s="103">
        <v>44823</v>
      </c>
      <c r="B1061" s="104">
        <v>14674.4552</v>
      </c>
      <c r="C1061" s="4">
        <f t="shared" si="16"/>
        <v>6.8752007536000432E-3</v>
      </c>
      <c r="D1061" s="1" t="str">
        <f>IF(COUNTIF(Target1[Target Dates],Benchmark2[[#This Row],[Benchmark '#2 Dates]])=1,"Pass","Fail")</f>
        <v>Pass</v>
      </c>
      <c r="E1061" s="6">
        <f>IF(Benchmark2[[#This Row],[Target Date Check]]="Pass",INDEX(Target1[Target Price],MATCH(Benchmark2[[#This Row],[Benchmark '#2 Dates]],Target1[Target Dates],0)),"-")</f>
        <v>40.340000000000003</v>
      </c>
      <c r="F1061" s="1" t="str">
        <f>IF(COUNTIF(Comp1[Comparable '#1 Dates],Benchmark2[[#This Row],[Benchmark '#2 Dates]])=1,"Pass","Fail")</f>
        <v>Pass</v>
      </c>
      <c r="G1061" s="6">
        <f>IF(Benchmark2[[#This Row],[Comparable '#1 Date Check]]="Pass",INDEX(Comp1[Comparable '#1 Price],MATCH(Benchmark2[[#This Row],[Benchmark '#2 Dates]],Comp1[Comparable '#1 Dates],0)),"-")</f>
        <v>11.66</v>
      </c>
      <c r="H1061" s="1" t="str">
        <f>IF(COUNTIF(Comp2[Comparable '#2 Dates],Benchmark2[[#This Row],[Benchmark '#2 Dates]])=1,"Pass","Fail")</f>
        <v>Pass</v>
      </c>
      <c r="I1061" s="6">
        <f>IF(Benchmark2[[#This Row],[Comparable '#2 Date Check]]="Pass",INDEX(Comp2[Comparable '#2 Price],MATCH(Benchmark2[[#This Row],[Benchmark '#2 Dates]],Comp2[Comparable '#2 Dates],0)),"-")</f>
        <v>37.18</v>
      </c>
      <c r="J1061" s="1" t="str">
        <f>IF(COUNTIF(Comp3[Comparable '#3 Dates],Benchmark2[[#This Row],[Benchmark '#2 Dates]])=1,"Pass","Fail")</f>
        <v>Pass</v>
      </c>
      <c r="K1061" s="6">
        <f>IF(Benchmark2[[#This Row],[Comparable '#3 Date Check]]="Pass",INDEX(Comp3[Comparable '#3 Price],MATCH(Benchmark2[[#This Row],[Benchmark '#2 Dates]],Comp3[Comparable '#3 Dates],0)),"-")</f>
        <v>63.67</v>
      </c>
    </row>
    <row r="1062" spans="1:11">
      <c r="A1062" s="103">
        <v>44824</v>
      </c>
      <c r="B1062" s="104">
        <v>14474.722</v>
      </c>
      <c r="C1062" s="4">
        <f t="shared" si="16"/>
        <v>-1.3704422916015403E-2</v>
      </c>
      <c r="D1062" s="1" t="str">
        <f>IF(COUNTIF(Target1[Target Dates],Benchmark2[[#This Row],[Benchmark '#2 Dates]])=1,"Pass","Fail")</f>
        <v>Pass</v>
      </c>
      <c r="E1062" s="6">
        <f>IF(Benchmark2[[#This Row],[Target Date Check]]="Pass",INDEX(Target1[Target Price],MATCH(Benchmark2[[#This Row],[Benchmark '#2 Dates]],Target1[Target Dates],0)),"-")</f>
        <v>41.17</v>
      </c>
      <c r="F1062" s="1" t="str">
        <f>IF(COUNTIF(Comp1[Comparable '#1 Dates],Benchmark2[[#This Row],[Benchmark '#2 Dates]])=1,"Pass","Fail")</f>
        <v>Pass</v>
      </c>
      <c r="G1062" s="6">
        <f>IF(Benchmark2[[#This Row],[Comparable '#1 Date Check]]="Pass",INDEX(Comp1[Comparable '#1 Price],MATCH(Benchmark2[[#This Row],[Benchmark '#2 Dates]],Comp1[Comparable '#1 Dates],0)),"-")</f>
        <v>11.93</v>
      </c>
      <c r="H1062" s="1" t="str">
        <f>IF(COUNTIF(Comp2[Comparable '#2 Dates],Benchmark2[[#This Row],[Benchmark '#2 Dates]])=1,"Pass","Fail")</f>
        <v>Pass</v>
      </c>
      <c r="I1062" s="6">
        <f>IF(Benchmark2[[#This Row],[Comparable '#2 Date Check]]="Pass",INDEX(Comp2[Comparable '#2 Price],MATCH(Benchmark2[[#This Row],[Benchmark '#2 Dates]],Comp2[Comparable '#2 Dates],0)),"-")</f>
        <v>37.229999999999997</v>
      </c>
      <c r="J1062" s="1" t="str">
        <f>IF(COUNTIF(Comp3[Comparable '#3 Dates],Benchmark2[[#This Row],[Benchmark '#2 Dates]])=1,"Pass","Fail")</f>
        <v>Pass</v>
      </c>
      <c r="K1062" s="6">
        <f>IF(Benchmark2[[#This Row],[Comparable '#3 Date Check]]="Pass",INDEX(Comp3[Comparable '#3 Price],MATCH(Benchmark2[[#This Row],[Benchmark '#2 Dates]],Comp3[Comparable '#3 Dates],0)),"-")</f>
        <v>63.5</v>
      </c>
    </row>
    <row r="1063" spans="1:11">
      <c r="A1063" s="103">
        <v>44825</v>
      </c>
      <c r="B1063" s="104">
        <v>14236.6085</v>
      </c>
      <c r="C1063" s="4">
        <f t="shared" si="16"/>
        <v>-1.6587107265157958E-2</v>
      </c>
      <c r="D1063" s="1" t="str">
        <f>IF(COUNTIF(Target1[Target Dates],Benchmark2[[#This Row],[Benchmark '#2 Dates]])=1,"Pass","Fail")</f>
        <v>Pass</v>
      </c>
      <c r="E1063" s="6">
        <f>IF(Benchmark2[[#This Row],[Target Date Check]]="Pass",INDEX(Target1[Target Price],MATCH(Benchmark2[[#This Row],[Benchmark '#2 Dates]],Target1[Target Dates],0)),"-")</f>
        <v>41.05</v>
      </c>
      <c r="F1063" s="1" t="str">
        <f>IF(COUNTIF(Comp1[Comparable '#1 Dates],Benchmark2[[#This Row],[Benchmark '#2 Dates]])=1,"Pass","Fail")</f>
        <v>Pass</v>
      </c>
      <c r="G1063" s="6">
        <f>IF(Benchmark2[[#This Row],[Comparable '#1 Date Check]]="Pass",INDEX(Comp1[Comparable '#1 Price],MATCH(Benchmark2[[#This Row],[Benchmark '#2 Dates]],Comp1[Comparable '#1 Dates],0)),"-")</f>
        <v>11.86</v>
      </c>
      <c r="H1063" s="1" t="str">
        <f>IF(COUNTIF(Comp2[Comparable '#2 Dates],Benchmark2[[#This Row],[Benchmark '#2 Dates]])=1,"Pass","Fail")</f>
        <v>Pass</v>
      </c>
      <c r="I1063" s="6">
        <f>IF(Benchmark2[[#This Row],[Comparable '#2 Date Check]]="Pass",INDEX(Comp2[Comparable '#2 Price],MATCH(Benchmark2[[#This Row],[Benchmark '#2 Dates]],Comp2[Comparable '#2 Dates],0)),"-")</f>
        <v>36.869999999999997</v>
      </c>
      <c r="J1063" s="1" t="str">
        <f>IF(COUNTIF(Comp3[Comparable '#3 Dates],Benchmark2[[#This Row],[Benchmark '#2 Dates]])=1,"Pass","Fail")</f>
        <v>Pass</v>
      </c>
      <c r="K1063" s="6">
        <f>IF(Benchmark2[[#This Row],[Comparable '#3 Date Check]]="Pass",INDEX(Comp3[Comparable '#3 Price],MATCH(Benchmark2[[#This Row],[Benchmark '#2 Dates]],Comp3[Comparable '#3 Dates],0)),"-")</f>
        <v>63.1</v>
      </c>
    </row>
    <row r="1064" spans="1:11">
      <c r="A1064" s="103">
        <v>44826</v>
      </c>
      <c r="B1064" s="104">
        <v>14116.5942</v>
      </c>
      <c r="C1064" s="4">
        <f t="shared" si="16"/>
        <v>-8.4657114779670365E-3</v>
      </c>
      <c r="D1064" s="1" t="str">
        <f>IF(COUNTIF(Target1[Target Dates],Benchmark2[[#This Row],[Benchmark '#2 Dates]])=1,"Pass","Fail")</f>
        <v>Pass</v>
      </c>
      <c r="E1064" s="6">
        <f>IF(Benchmark2[[#This Row],[Target Date Check]]="Pass",INDEX(Target1[Target Price],MATCH(Benchmark2[[#This Row],[Benchmark '#2 Dates]],Target1[Target Dates],0)),"-")</f>
        <v>40.729999999999997</v>
      </c>
      <c r="F1064" s="1" t="str">
        <f>IF(COUNTIF(Comp1[Comparable '#1 Dates],Benchmark2[[#This Row],[Benchmark '#2 Dates]])=1,"Pass","Fail")</f>
        <v>Pass</v>
      </c>
      <c r="G1064" s="6">
        <f>IF(Benchmark2[[#This Row],[Comparable '#1 Date Check]]="Pass",INDEX(Comp1[Comparable '#1 Price],MATCH(Benchmark2[[#This Row],[Benchmark '#2 Dates]],Comp1[Comparable '#1 Dates],0)),"-")</f>
        <v>11.55</v>
      </c>
      <c r="H1064" s="1" t="str">
        <f>IF(COUNTIF(Comp2[Comparable '#2 Dates],Benchmark2[[#This Row],[Benchmark '#2 Dates]])=1,"Pass","Fail")</f>
        <v>Pass</v>
      </c>
      <c r="I1064" s="6">
        <f>IF(Benchmark2[[#This Row],[Comparable '#2 Date Check]]="Pass",INDEX(Comp2[Comparable '#2 Price],MATCH(Benchmark2[[#This Row],[Benchmark '#2 Dates]],Comp2[Comparable '#2 Dates],0)),"-")</f>
        <v>35.96</v>
      </c>
      <c r="J1064" s="1" t="str">
        <f>IF(COUNTIF(Comp3[Comparable '#3 Dates],Benchmark2[[#This Row],[Benchmark '#2 Dates]])=1,"Pass","Fail")</f>
        <v>Pass</v>
      </c>
      <c r="K1064" s="6">
        <f>IF(Benchmark2[[#This Row],[Comparable '#3 Date Check]]="Pass",INDEX(Comp3[Comparable '#3 Price],MATCH(Benchmark2[[#This Row],[Benchmark '#2 Dates]],Comp3[Comparable '#3 Dates],0)),"-")</f>
        <v>62.21</v>
      </c>
    </row>
    <row r="1065" spans="1:11">
      <c r="A1065" s="103">
        <v>44827</v>
      </c>
      <c r="B1065" s="104">
        <v>13796.990100000001</v>
      </c>
      <c r="C1065" s="4">
        <f t="shared" si="16"/>
        <v>-2.2900539326388924E-2</v>
      </c>
      <c r="D1065" s="1" t="str">
        <f>IF(COUNTIF(Target1[Target Dates],Benchmark2[[#This Row],[Benchmark '#2 Dates]])=1,"Pass","Fail")</f>
        <v>Pass</v>
      </c>
      <c r="E1065" s="6">
        <f>IF(Benchmark2[[#This Row],[Target Date Check]]="Pass",INDEX(Target1[Target Price],MATCH(Benchmark2[[#This Row],[Benchmark '#2 Dates]],Target1[Target Dates],0)),"-")</f>
        <v>41.01</v>
      </c>
      <c r="F1065" s="1" t="str">
        <f>IF(COUNTIF(Comp1[Comparable '#1 Dates],Benchmark2[[#This Row],[Benchmark '#2 Dates]])=1,"Pass","Fail")</f>
        <v>Pass</v>
      </c>
      <c r="G1065" s="6">
        <f>IF(Benchmark2[[#This Row],[Comparable '#1 Date Check]]="Pass",INDEX(Comp1[Comparable '#1 Price],MATCH(Benchmark2[[#This Row],[Benchmark '#2 Dates]],Comp1[Comparable '#1 Dates],0)),"-")</f>
        <v>11.28</v>
      </c>
      <c r="H1065" s="1" t="str">
        <f>IF(COUNTIF(Comp2[Comparable '#2 Dates],Benchmark2[[#This Row],[Benchmark '#2 Dates]])=1,"Pass","Fail")</f>
        <v>Pass</v>
      </c>
      <c r="I1065" s="6">
        <f>IF(Benchmark2[[#This Row],[Comparable '#2 Date Check]]="Pass",INDEX(Comp2[Comparable '#2 Price],MATCH(Benchmark2[[#This Row],[Benchmark '#2 Dates]],Comp2[Comparable '#2 Dates],0)),"-")</f>
        <v>35.47</v>
      </c>
      <c r="J1065" s="1" t="str">
        <f>IF(COUNTIF(Comp3[Comparable '#3 Dates],Benchmark2[[#This Row],[Benchmark '#2 Dates]])=1,"Pass","Fail")</f>
        <v>Pass</v>
      </c>
      <c r="K1065" s="6">
        <f>IF(Benchmark2[[#This Row],[Comparable '#3 Date Check]]="Pass",INDEX(Comp3[Comparable '#3 Price],MATCH(Benchmark2[[#This Row],[Benchmark '#2 Dates]],Comp3[Comparable '#3 Dates],0)),"-")</f>
        <v>62.29</v>
      </c>
    </row>
    <row r="1066" spans="1:11">
      <c r="A1066" s="103">
        <v>44830</v>
      </c>
      <c r="B1066" s="104">
        <v>13580.388499999999</v>
      </c>
      <c r="C1066" s="4">
        <f t="shared" si="16"/>
        <v>-1.5823729709581628E-2</v>
      </c>
      <c r="D1066" s="1" t="str">
        <f>IF(COUNTIF(Target1[Target Dates],Benchmark2[[#This Row],[Benchmark '#2 Dates]])=1,"Pass","Fail")</f>
        <v>Pass</v>
      </c>
      <c r="E1066" s="6">
        <f>IF(Benchmark2[[#This Row],[Target Date Check]]="Pass",INDEX(Target1[Target Price],MATCH(Benchmark2[[#This Row],[Benchmark '#2 Dates]],Target1[Target Dates],0)),"-")</f>
        <v>40.770000000000003</v>
      </c>
      <c r="F1066" s="1" t="str">
        <f>IF(COUNTIF(Comp1[Comparable '#1 Dates],Benchmark2[[#This Row],[Benchmark '#2 Dates]])=1,"Pass","Fail")</f>
        <v>Pass</v>
      </c>
      <c r="G1066" s="6">
        <f>IF(Benchmark2[[#This Row],[Comparable '#1 Date Check]]="Pass",INDEX(Comp1[Comparable '#1 Price],MATCH(Benchmark2[[#This Row],[Benchmark '#2 Dates]],Comp1[Comparable '#1 Dates],0)),"-")</f>
        <v>11</v>
      </c>
      <c r="H1066" s="1" t="str">
        <f>IF(COUNTIF(Comp2[Comparable '#2 Dates],Benchmark2[[#This Row],[Benchmark '#2 Dates]])=1,"Pass","Fail")</f>
        <v>Pass</v>
      </c>
      <c r="I1066" s="6">
        <f>IF(Benchmark2[[#This Row],[Comparable '#2 Date Check]]="Pass",INDEX(Comp2[Comparable '#2 Price],MATCH(Benchmark2[[#This Row],[Benchmark '#2 Dates]],Comp2[Comparable '#2 Dates],0)),"-")</f>
        <v>35.33</v>
      </c>
      <c r="J1066" s="1" t="str">
        <f>IF(COUNTIF(Comp3[Comparable '#3 Dates],Benchmark2[[#This Row],[Benchmark '#2 Dates]])=1,"Pass","Fail")</f>
        <v>Pass</v>
      </c>
      <c r="K1066" s="6">
        <f>IF(Benchmark2[[#This Row],[Comparable '#3 Date Check]]="Pass",INDEX(Comp3[Comparable '#3 Price],MATCH(Benchmark2[[#This Row],[Benchmark '#2 Dates]],Comp3[Comparable '#3 Dates],0)),"-")</f>
        <v>61.37</v>
      </c>
    </row>
    <row r="1067" spans="1:11">
      <c r="A1067" s="103">
        <v>44831</v>
      </c>
      <c r="B1067" s="104">
        <v>13541.7634</v>
      </c>
      <c r="C1067" s="4">
        <f t="shared" si="16"/>
        <v>-2.8482346278711863E-3</v>
      </c>
      <c r="D1067" s="1" t="str">
        <f>IF(COUNTIF(Target1[Target Dates],Benchmark2[[#This Row],[Benchmark '#2 Dates]])=1,"Pass","Fail")</f>
        <v>Pass</v>
      </c>
      <c r="E1067" s="6">
        <f>IF(Benchmark2[[#This Row],[Target Date Check]]="Pass",INDEX(Target1[Target Price],MATCH(Benchmark2[[#This Row],[Benchmark '#2 Dates]],Target1[Target Dates],0)),"-")</f>
        <v>41.67</v>
      </c>
      <c r="F1067" s="1" t="str">
        <f>IF(COUNTIF(Comp1[Comparable '#1 Dates],Benchmark2[[#This Row],[Benchmark '#2 Dates]])=1,"Pass","Fail")</f>
        <v>Pass</v>
      </c>
      <c r="G1067" s="6">
        <f>IF(Benchmark2[[#This Row],[Comparable '#1 Date Check]]="Pass",INDEX(Comp1[Comparable '#1 Price],MATCH(Benchmark2[[#This Row],[Benchmark '#2 Dates]],Comp1[Comparable '#1 Dates],0)),"-")</f>
        <v>10.02</v>
      </c>
      <c r="H1067" s="1" t="str">
        <f>IF(COUNTIF(Comp2[Comparable '#2 Dates],Benchmark2[[#This Row],[Benchmark '#2 Dates]])=1,"Pass","Fail")</f>
        <v>Pass</v>
      </c>
      <c r="I1067" s="6">
        <f>IF(Benchmark2[[#This Row],[Comparable '#2 Date Check]]="Pass",INDEX(Comp2[Comparable '#2 Price],MATCH(Benchmark2[[#This Row],[Benchmark '#2 Dates]],Comp2[Comparable '#2 Dates],0)),"-")</f>
        <v>35.47</v>
      </c>
      <c r="J1067" s="1" t="str">
        <f>IF(COUNTIF(Comp3[Comparable '#3 Dates],Benchmark2[[#This Row],[Benchmark '#2 Dates]])=1,"Pass","Fail")</f>
        <v>Pass</v>
      </c>
      <c r="K1067" s="6">
        <f>IF(Benchmark2[[#This Row],[Comparable '#3 Date Check]]="Pass",INDEX(Comp3[Comparable '#3 Price],MATCH(Benchmark2[[#This Row],[Benchmark '#2 Dates]],Comp3[Comparable '#3 Dates],0)),"-")</f>
        <v>61.88</v>
      </c>
    </row>
    <row r="1068" spans="1:11">
      <c r="A1068" s="103">
        <v>44832</v>
      </c>
      <c r="B1068" s="104">
        <v>13833.183999999999</v>
      </c>
      <c r="C1068" s="4">
        <f t="shared" si="16"/>
        <v>2.1291847988658161E-2</v>
      </c>
      <c r="D1068" s="1" t="str">
        <f>IF(COUNTIF(Target1[Target Dates],Benchmark2[[#This Row],[Benchmark '#2 Dates]])=1,"Pass","Fail")</f>
        <v>Pass</v>
      </c>
      <c r="E1068" s="6">
        <f>IF(Benchmark2[[#This Row],[Target Date Check]]="Pass",INDEX(Target1[Target Price],MATCH(Benchmark2[[#This Row],[Benchmark '#2 Dates]],Target1[Target Dates],0)),"-")</f>
        <v>42.5</v>
      </c>
      <c r="F1068" s="1" t="str">
        <f>IF(COUNTIF(Comp1[Comparable '#1 Dates],Benchmark2[[#This Row],[Benchmark '#2 Dates]])=1,"Pass","Fail")</f>
        <v>Pass</v>
      </c>
      <c r="G1068" s="6">
        <f>IF(Benchmark2[[#This Row],[Comparable '#1 Date Check]]="Pass",INDEX(Comp1[Comparable '#1 Price],MATCH(Benchmark2[[#This Row],[Benchmark '#2 Dates]],Comp1[Comparable '#1 Dates],0)),"-")</f>
        <v>10.43</v>
      </c>
      <c r="H1068" s="1" t="str">
        <f>IF(COUNTIF(Comp2[Comparable '#2 Dates],Benchmark2[[#This Row],[Benchmark '#2 Dates]])=1,"Pass","Fail")</f>
        <v>Pass</v>
      </c>
      <c r="I1068" s="6">
        <f>IF(Benchmark2[[#This Row],[Comparable '#2 Date Check]]="Pass",INDEX(Comp2[Comparable '#2 Price],MATCH(Benchmark2[[#This Row],[Benchmark '#2 Dates]],Comp2[Comparable '#2 Dates],0)),"-")</f>
        <v>37.619999999999997</v>
      </c>
      <c r="J1068" s="1" t="str">
        <f>IF(COUNTIF(Comp3[Comparable '#3 Dates],Benchmark2[[#This Row],[Benchmark '#2 Dates]])=1,"Pass","Fail")</f>
        <v>Pass</v>
      </c>
      <c r="K1068" s="6">
        <f>IF(Benchmark2[[#This Row],[Comparable '#3 Date Check]]="Pass",INDEX(Comp3[Comparable '#3 Price],MATCH(Benchmark2[[#This Row],[Benchmark '#2 Dates]],Comp3[Comparable '#3 Dates],0)),"-")</f>
        <v>63.71</v>
      </c>
    </row>
    <row r="1069" spans="1:11">
      <c r="A1069" s="103">
        <v>44833</v>
      </c>
      <c r="B1069" s="104">
        <v>13608.2942</v>
      </c>
      <c r="C1069" s="4">
        <f t="shared" si="16"/>
        <v>-1.6390868834183416E-2</v>
      </c>
      <c r="D1069" s="1" t="str">
        <f>IF(COUNTIF(Target1[Target Dates],Benchmark2[[#This Row],[Benchmark '#2 Dates]])=1,"Pass","Fail")</f>
        <v>Pass</v>
      </c>
      <c r="E1069" s="6">
        <f>IF(Benchmark2[[#This Row],[Target Date Check]]="Pass",INDEX(Target1[Target Price],MATCH(Benchmark2[[#This Row],[Benchmark '#2 Dates]],Target1[Target Dates],0)),"-")</f>
        <v>42.37</v>
      </c>
      <c r="F1069" s="1" t="str">
        <f>IF(COUNTIF(Comp1[Comparable '#1 Dates],Benchmark2[[#This Row],[Benchmark '#2 Dates]])=1,"Pass","Fail")</f>
        <v>Pass</v>
      </c>
      <c r="G1069" s="6">
        <f>IF(Benchmark2[[#This Row],[Comparable '#1 Date Check]]="Pass",INDEX(Comp1[Comparable '#1 Price],MATCH(Benchmark2[[#This Row],[Benchmark '#2 Dates]],Comp1[Comparable '#1 Dates],0)),"-")</f>
        <v>10.62</v>
      </c>
      <c r="H1069" s="1" t="str">
        <f>IF(COUNTIF(Comp2[Comparable '#2 Dates],Benchmark2[[#This Row],[Benchmark '#2 Dates]])=1,"Pass","Fail")</f>
        <v>Pass</v>
      </c>
      <c r="I1069" s="6">
        <f>IF(Benchmark2[[#This Row],[Comparable '#2 Date Check]]="Pass",INDEX(Comp2[Comparable '#2 Price],MATCH(Benchmark2[[#This Row],[Benchmark '#2 Dates]],Comp2[Comparable '#2 Dates],0)),"-")</f>
        <v>37.020000000000003</v>
      </c>
      <c r="J1069" s="1" t="str">
        <f>IF(COUNTIF(Comp3[Comparable '#3 Dates],Benchmark2[[#This Row],[Benchmark '#2 Dates]])=1,"Pass","Fail")</f>
        <v>Pass</v>
      </c>
      <c r="K1069" s="6">
        <f>IF(Benchmark2[[#This Row],[Comparable '#3 Date Check]]="Pass",INDEX(Comp3[Comparable '#3 Price],MATCH(Benchmark2[[#This Row],[Benchmark '#2 Dates]],Comp3[Comparable '#3 Dates],0)),"-")</f>
        <v>62.88</v>
      </c>
    </row>
    <row r="1070" spans="1:11">
      <c r="A1070" s="103">
        <v>44834</v>
      </c>
      <c r="B1070" s="104">
        <v>13472.1834</v>
      </c>
      <c r="C1070" s="4">
        <f t="shared" si="16"/>
        <v>-1.0052403667631493E-2</v>
      </c>
      <c r="D1070" s="1" t="str">
        <f>IF(COUNTIF(Target1[Target Dates],Benchmark2[[#This Row],[Benchmark '#2 Dates]])=1,"Pass","Fail")</f>
        <v>Pass</v>
      </c>
      <c r="E1070" s="6">
        <f>IF(Benchmark2[[#This Row],[Target Date Check]]="Pass",INDEX(Target1[Target Price],MATCH(Benchmark2[[#This Row],[Benchmark '#2 Dates]],Target1[Target Dates],0)),"-")</f>
        <v>42.03</v>
      </c>
      <c r="F1070" s="1" t="str">
        <f>IF(COUNTIF(Comp1[Comparable '#1 Dates],Benchmark2[[#This Row],[Benchmark '#2 Dates]])=1,"Pass","Fail")</f>
        <v>Pass</v>
      </c>
      <c r="G1070" s="6">
        <f>IF(Benchmark2[[#This Row],[Comparable '#1 Date Check]]="Pass",INDEX(Comp1[Comparable '#1 Price],MATCH(Benchmark2[[#This Row],[Benchmark '#2 Dates]],Comp1[Comparable '#1 Dates],0)),"-")</f>
        <v>10.55</v>
      </c>
      <c r="H1070" s="1" t="str">
        <f>IF(COUNTIF(Comp2[Comparable '#2 Dates],Benchmark2[[#This Row],[Benchmark '#2 Dates]])=1,"Pass","Fail")</f>
        <v>Pass</v>
      </c>
      <c r="I1070" s="6">
        <f>IF(Benchmark2[[#This Row],[Comparable '#2 Date Check]]="Pass",INDEX(Comp2[Comparable '#2 Price],MATCH(Benchmark2[[#This Row],[Benchmark '#2 Dates]],Comp2[Comparable '#2 Dates],0)),"-")</f>
        <v>36.450000000000003</v>
      </c>
      <c r="J1070" s="1" t="str">
        <f>IF(COUNTIF(Comp3[Comparable '#3 Dates],Benchmark2[[#This Row],[Benchmark '#2 Dates]])=1,"Pass","Fail")</f>
        <v>Pass</v>
      </c>
      <c r="K1070" s="6">
        <f>IF(Benchmark2[[#This Row],[Comparable '#3 Date Check]]="Pass",INDEX(Comp3[Comparable '#3 Price],MATCH(Benchmark2[[#This Row],[Benchmark '#2 Dates]],Comp3[Comparable '#3 Dates],0)),"-")</f>
        <v>61.41</v>
      </c>
    </row>
    <row r="1071" spans="1:11">
      <c r="A1071" s="103">
        <v>44837</v>
      </c>
      <c r="B1071" s="104">
        <v>13855.7196</v>
      </c>
      <c r="C1071" s="4">
        <f t="shared" si="16"/>
        <v>2.807104406702331E-2</v>
      </c>
      <c r="D1071" s="1" t="str">
        <f>IF(COUNTIF(Target1[Target Dates],Benchmark2[[#This Row],[Benchmark '#2 Dates]])=1,"Pass","Fail")</f>
        <v>Pass</v>
      </c>
      <c r="E1071" s="6">
        <f>IF(Benchmark2[[#This Row],[Target Date Check]]="Pass",INDEX(Target1[Target Price],MATCH(Benchmark2[[#This Row],[Benchmark '#2 Dates]],Target1[Target Dates],0)),"-")</f>
        <v>41.23</v>
      </c>
      <c r="F1071" s="1" t="str">
        <f>IF(COUNTIF(Comp1[Comparable '#1 Dates],Benchmark2[[#This Row],[Benchmark '#2 Dates]])=1,"Pass","Fail")</f>
        <v>Pass</v>
      </c>
      <c r="G1071" s="6">
        <f>IF(Benchmark2[[#This Row],[Comparable '#1 Date Check]]="Pass",INDEX(Comp1[Comparable '#1 Price],MATCH(Benchmark2[[#This Row],[Benchmark '#2 Dates]],Comp1[Comparable '#1 Dates],0)),"-")</f>
        <v>10.55</v>
      </c>
      <c r="H1071" s="1" t="str">
        <f>IF(COUNTIF(Comp2[Comparable '#2 Dates],Benchmark2[[#This Row],[Benchmark '#2 Dates]])=1,"Pass","Fail")</f>
        <v>Pass</v>
      </c>
      <c r="I1071" s="6">
        <f>IF(Benchmark2[[#This Row],[Comparable '#2 Date Check]]="Pass",INDEX(Comp2[Comparable '#2 Price],MATCH(Benchmark2[[#This Row],[Benchmark '#2 Dates]],Comp2[Comparable '#2 Dates],0)),"-")</f>
        <v>36.380000000000003</v>
      </c>
      <c r="J1071" s="1" t="str">
        <f>IF(COUNTIF(Comp3[Comparable '#3 Dates],Benchmark2[[#This Row],[Benchmark '#2 Dates]])=1,"Pass","Fail")</f>
        <v>Pass</v>
      </c>
      <c r="K1071" s="6">
        <f>IF(Benchmark2[[#This Row],[Comparable '#3 Date Check]]="Pass",INDEX(Comp3[Comparable '#3 Price],MATCH(Benchmark2[[#This Row],[Benchmark '#2 Dates]],Comp3[Comparable '#3 Dates],0)),"-")</f>
        <v>61.86</v>
      </c>
    </row>
    <row r="1072" spans="1:11">
      <c r="A1072" s="103">
        <v>44838</v>
      </c>
      <c r="B1072" s="104">
        <v>14319.4935</v>
      </c>
      <c r="C1072" s="4">
        <f t="shared" si="16"/>
        <v>3.2923675900470656E-2</v>
      </c>
      <c r="D1072" s="1" t="str">
        <f>IF(COUNTIF(Target1[Target Dates],Benchmark2[[#This Row],[Benchmark '#2 Dates]])=1,"Pass","Fail")</f>
        <v>Pass</v>
      </c>
      <c r="E1072" s="6">
        <f>IF(Benchmark2[[#This Row],[Target Date Check]]="Pass",INDEX(Target1[Target Price],MATCH(Benchmark2[[#This Row],[Benchmark '#2 Dates]],Target1[Target Dates],0)),"-")</f>
        <v>43.74</v>
      </c>
      <c r="F1072" s="1" t="str">
        <f>IF(COUNTIF(Comp1[Comparable '#1 Dates],Benchmark2[[#This Row],[Benchmark '#2 Dates]])=1,"Pass","Fail")</f>
        <v>Pass</v>
      </c>
      <c r="G1072" s="6">
        <f>IF(Benchmark2[[#This Row],[Comparable '#1 Date Check]]="Pass",INDEX(Comp1[Comparable '#1 Price],MATCH(Benchmark2[[#This Row],[Benchmark '#2 Dates]],Comp1[Comparable '#1 Dates],0)),"-")</f>
        <v>11.01</v>
      </c>
      <c r="H1072" s="1" t="str">
        <f>IF(COUNTIF(Comp2[Comparable '#2 Dates],Benchmark2[[#This Row],[Benchmark '#2 Dates]])=1,"Pass","Fail")</f>
        <v>Pass</v>
      </c>
      <c r="I1072" s="6">
        <f>IF(Benchmark2[[#This Row],[Comparable '#2 Date Check]]="Pass",INDEX(Comp2[Comparable '#2 Price],MATCH(Benchmark2[[#This Row],[Benchmark '#2 Dates]],Comp2[Comparable '#2 Dates],0)),"-")</f>
        <v>37.75</v>
      </c>
      <c r="J1072" s="1" t="str">
        <f>IF(COUNTIF(Comp3[Comparable '#3 Dates],Benchmark2[[#This Row],[Benchmark '#2 Dates]])=1,"Pass","Fail")</f>
        <v>Pass</v>
      </c>
      <c r="K1072" s="6">
        <f>IF(Benchmark2[[#This Row],[Comparable '#3 Date Check]]="Pass",INDEX(Comp3[Comparable '#3 Price],MATCH(Benchmark2[[#This Row],[Benchmark '#2 Dates]],Comp3[Comparable '#3 Dates],0)),"-")</f>
        <v>63.02</v>
      </c>
    </row>
    <row r="1073" spans="1:11">
      <c r="A1073" s="103">
        <v>44839</v>
      </c>
      <c r="B1073" s="104">
        <v>14262.031000000001</v>
      </c>
      <c r="C1073" s="4">
        <f t="shared" si="16"/>
        <v>-4.0209595832913616E-3</v>
      </c>
      <c r="D1073" s="1" t="str">
        <f>IF(COUNTIF(Target1[Target Dates],Benchmark2[[#This Row],[Benchmark '#2 Dates]])=1,"Pass","Fail")</f>
        <v>Pass</v>
      </c>
      <c r="E1073" s="6">
        <f>IF(Benchmark2[[#This Row],[Target Date Check]]="Pass",INDEX(Target1[Target Price],MATCH(Benchmark2[[#This Row],[Benchmark '#2 Dates]],Target1[Target Dates],0)),"-")</f>
        <v>43.79</v>
      </c>
      <c r="F1073" s="1" t="str">
        <f>IF(COUNTIF(Comp1[Comparable '#1 Dates],Benchmark2[[#This Row],[Benchmark '#2 Dates]])=1,"Pass","Fail")</f>
        <v>Pass</v>
      </c>
      <c r="G1073" s="6">
        <f>IF(Benchmark2[[#This Row],[Comparable '#1 Date Check]]="Pass",INDEX(Comp1[Comparable '#1 Price],MATCH(Benchmark2[[#This Row],[Benchmark '#2 Dates]],Comp1[Comparable '#1 Dates],0)),"-")</f>
        <v>11.05</v>
      </c>
      <c r="H1073" s="1" t="str">
        <f>IF(COUNTIF(Comp2[Comparable '#2 Dates],Benchmark2[[#This Row],[Benchmark '#2 Dates]])=1,"Pass","Fail")</f>
        <v>Pass</v>
      </c>
      <c r="I1073" s="6">
        <f>IF(Benchmark2[[#This Row],[Comparable '#2 Date Check]]="Pass",INDEX(Comp2[Comparable '#2 Price],MATCH(Benchmark2[[#This Row],[Benchmark '#2 Dates]],Comp2[Comparable '#2 Dates],0)),"-")</f>
        <v>37.159999999999997</v>
      </c>
      <c r="J1073" s="1" t="str">
        <f>IF(COUNTIF(Comp3[Comparable '#3 Dates],Benchmark2[[#This Row],[Benchmark '#2 Dates]])=1,"Pass","Fail")</f>
        <v>Pass</v>
      </c>
      <c r="K1073" s="6">
        <f>IF(Benchmark2[[#This Row],[Comparable '#3 Date Check]]="Pass",INDEX(Comp3[Comparable '#3 Price],MATCH(Benchmark2[[#This Row],[Benchmark '#2 Dates]],Comp3[Comparable '#3 Dates],0)),"-")</f>
        <v>62.22</v>
      </c>
    </row>
    <row r="1074" spans="1:11">
      <c r="A1074" s="103">
        <v>44840</v>
      </c>
      <c r="B1074" s="104">
        <v>14087.3788</v>
      </c>
      <c r="C1074" s="4">
        <f t="shared" si="16"/>
        <v>-1.232155525483725E-2</v>
      </c>
      <c r="D1074" s="1" t="str">
        <f>IF(COUNTIF(Target1[Target Dates],Benchmark2[[#This Row],[Benchmark '#2 Dates]])=1,"Pass","Fail")</f>
        <v>Pass</v>
      </c>
      <c r="E1074" s="6">
        <f>IF(Benchmark2[[#This Row],[Target Date Check]]="Pass",INDEX(Target1[Target Price],MATCH(Benchmark2[[#This Row],[Benchmark '#2 Dates]],Target1[Target Dates],0)),"-")</f>
        <v>44.76</v>
      </c>
      <c r="F1074" s="1" t="str">
        <f>IF(COUNTIF(Comp1[Comparable '#1 Dates],Benchmark2[[#This Row],[Benchmark '#2 Dates]])=1,"Pass","Fail")</f>
        <v>Pass</v>
      </c>
      <c r="G1074" s="6">
        <f>IF(Benchmark2[[#This Row],[Comparable '#1 Date Check]]="Pass",INDEX(Comp1[Comparable '#1 Price],MATCH(Benchmark2[[#This Row],[Benchmark '#2 Dates]],Comp1[Comparable '#1 Dates],0)),"-")</f>
        <v>11.35</v>
      </c>
      <c r="H1074" s="1" t="str">
        <f>IF(COUNTIF(Comp2[Comparable '#2 Dates],Benchmark2[[#This Row],[Benchmark '#2 Dates]])=1,"Pass","Fail")</f>
        <v>Pass</v>
      </c>
      <c r="I1074" s="6">
        <f>IF(Benchmark2[[#This Row],[Comparable '#2 Date Check]]="Pass",INDEX(Comp2[Comparable '#2 Price],MATCH(Benchmark2[[#This Row],[Benchmark '#2 Dates]],Comp2[Comparable '#2 Dates],0)),"-")</f>
        <v>37.479999999999997</v>
      </c>
      <c r="J1074" s="1" t="str">
        <f>IF(COUNTIF(Comp3[Comparable '#3 Dates],Benchmark2[[#This Row],[Benchmark '#2 Dates]])=1,"Pass","Fail")</f>
        <v>Pass</v>
      </c>
      <c r="K1074" s="6">
        <f>IF(Benchmark2[[#This Row],[Comparable '#3 Date Check]]="Pass",INDEX(Comp3[Comparable '#3 Price],MATCH(Benchmark2[[#This Row],[Benchmark '#2 Dates]],Comp3[Comparable '#3 Dates],0)),"-")</f>
        <v>62.65</v>
      </c>
    </row>
    <row r="1075" spans="1:11">
      <c r="A1075" s="103">
        <v>44841</v>
      </c>
      <c r="B1075" s="104">
        <v>13798.2605</v>
      </c>
      <c r="C1075" s="4">
        <f t="shared" si="16"/>
        <v>-2.0736742463640958E-2</v>
      </c>
      <c r="D1075" s="1" t="str">
        <f>IF(COUNTIF(Target1[Target Dates],Benchmark2[[#This Row],[Benchmark '#2 Dates]])=1,"Pass","Fail")</f>
        <v>Pass</v>
      </c>
      <c r="E1075" s="6">
        <f>IF(Benchmark2[[#This Row],[Target Date Check]]="Pass",INDEX(Target1[Target Price],MATCH(Benchmark2[[#This Row],[Benchmark '#2 Dates]],Target1[Target Dates],0)),"-")</f>
        <v>43.81</v>
      </c>
      <c r="F1075" s="1" t="str">
        <f>IF(COUNTIF(Comp1[Comparable '#1 Dates],Benchmark2[[#This Row],[Benchmark '#2 Dates]])=1,"Pass","Fail")</f>
        <v>Pass</v>
      </c>
      <c r="G1075" s="6">
        <f>IF(Benchmark2[[#This Row],[Comparable '#1 Date Check]]="Pass",INDEX(Comp1[Comparable '#1 Price],MATCH(Benchmark2[[#This Row],[Benchmark '#2 Dates]],Comp1[Comparable '#1 Dates],0)),"-")</f>
        <v>10.6</v>
      </c>
      <c r="H1075" s="1" t="str">
        <f>IF(COUNTIF(Comp2[Comparable '#2 Dates],Benchmark2[[#This Row],[Benchmark '#2 Dates]])=1,"Pass","Fail")</f>
        <v>Pass</v>
      </c>
      <c r="I1075" s="6">
        <f>IF(Benchmark2[[#This Row],[Comparable '#2 Date Check]]="Pass",INDEX(Comp2[Comparable '#2 Price],MATCH(Benchmark2[[#This Row],[Benchmark '#2 Dates]],Comp2[Comparable '#2 Dates],0)),"-")</f>
        <v>36.74</v>
      </c>
      <c r="J1075" s="1" t="str">
        <f>IF(COUNTIF(Comp3[Comparable '#3 Dates],Benchmark2[[#This Row],[Benchmark '#2 Dates]])=1,"Pass","Fail")</f>
        <v>Pass</v>
      </c>
      <c r="K1075" s="6">
        <f>IF(Benchmark2[[#This Row],[Comparable '#3 Date Check]]="Pass",INDEX(Comp3[Comparable '#3 Price],MATCH(Benchmark2[[#This Row],[Benchmark '#2 Dates]],Comp3[Comparable '#3 Dates],0)),"-")</f>
        <v>61.3</v>
      </c>
    </row>
    <row r="1076" spans="1:11">
      <c r="A1076" s="103">
        <v>44844</v>
      </c>
      <c r="B1076" s="104">
        <v>13693.5735</v>
      </c>
      <c r="C1076" s="4">
        <f t="shared" si="16"/>
        <v>-7.6158983066254666E-3</v>
      </c>
      <c r="D1076" s="1" t="str">
        <f>IF(COUNTIF(Target1[Target Dates],Benchmark2[[#This Row],[Benchmark '#2 Dates]])=1,"Pass","Fail")</f>
        <v>Pass</v>
      </c>
      <c r="E1076" s="6">
        <f>IF(Benchmark2[[#This Row],[Target Date Check]]="Pass",INDEX(Target1[Target Price],MATCH(Benchmark2[[#This Row],[Benchmark '#2 Dates]],Target1[Target Dates],0)),"-")</f>
        <v>44.29</v>
      </c>
      <c r="F1076" s="1" t="str">
        <f>IF(COUNTIF(Comp1[Comparable '#1 Dates],Benchmark2[[#This Row],[Benchmark '#2 Dates]])=1,"Pass","Fail")</f>
        <v>Pass</v>
      </c>
      <c r="G1076" s="6">
        <f>IF(Benchmark2[[#This Row],[Comparable '#1 Date Check]]="Pass",INDEX(Comp1[Comparable '#1 Price],MATCH(Benchmark2[[#This Row],[Benchmark '#2 Dates]],Comp1[Comparable '#1 Dates],0)),"-")</f>
        <v>10.7</v>
      </c>
      <c r="H1076" s="1" t="str">
        <f>IF(COUNTIF(Comp2[Comparable '#2 Dates],Benchmark2[[#This Row],[Benchmark '#2 Dates]])=1,"Pass","Fail")</f>
        <v>Pass</v>
      </c>
      <c r="I1076" s="6">
        <f>IF(Benchmark2[[#This Row],[Comparable '#2 Date Check]]="Pass",INDEX(Comp2[Comparable '#2 Price],MATCH(Benchmark2[[#This Row],[Benchmark '#2 Dates]],Comp2[Comparable '#2 Dates],0)),"-")</f>
        <v>37.33</v>
      </c>
      <c r="J1076" s="1" t="str">
        <f>IF(COUNTIF(Comp3[Comparable '#3 Dates],Benchmark2[[#This Row],[Benchmark '#2 Dates]])=1,"Pass","Fail")</f>
        <v>Pass</v>
      </c>
      <c r="K1076" s="6">
        <f>IF(Benchmark2[[#This Row],[Comparable '#3 Date Check]]="Pass",INDEX(Comp3[Comparable '#3 Price],MATCH(Benchmark2[[#This Row],[Benchmark '#2 Dates]],Comp3[Comparable '#3 Dates],0)),"-")</f>
        <v>61.25</v>
      </c>
    </row>
    <row r="1077" spans="1:11">
      <c r="A1077" s="103">
        <v>44845</v>
      </c>
      <c r="B1077" s="104">
        <v>13608.088400000001</v>
      </c>
      <c r="C1077" s="4">
        <f t="shared" si="16"/>
        <v>-6.2622839356566949E-3</v>
      </c>
      <c r="D1077" s="1" t="str">
        <f>IF(COUNTIF(Target1[Target Dates],Benchmark2[[#This Row],[Benchmark '#2 Dates]])=1,"Pass","Fail")</f>
        <v>Pass</v>
      </c>
      <c r="E1077" s="6">
        <f>IF(Benchmark2[[#This Row],[Target Date Check]]="Pass",INDEX(Target1[Target Price],MATCH(Benchmark2[[#This Row],[Benchmark '#2 Dates]],Target1[Target Dates],0)),"-")</f>
        <v>44.26</v>
      </c>
      <c r="F1077" s="1" t="str">
        <f>IF(COUNTIF(Comp1[Comparable '#1 Dates],Benchmark2[[#This Row],[Benchmark '#2 Dates]])=1,"Pass","Fail")</f>
        <v>Pass</v>
      </c>
      <c r="G1077" s="6">
        <f>IF(Benchmark2[[#This Row],[Comparable '#1 Date Check]]="Pass",INDEX(Comp1[Comparable '#1 Price],MATCH(Benchmark2[[#This Row],[Benchmark '#2 Dates]],Comp1[Comparable '#1 Dates],0)),"-")</f>
        <v>10.58</v>
      </c>
      <c r="H1077" s="1" t="str">
        <f>IF(COUNTIF(Comp2[Comparable '#2 Dates],Benchmark2[[#This Row],[Benchmark '#2 Dates]])=1,"Pass","Fail")</f>
        <v>Pass</v>
      </c>
      <c r="I1077" s="6">
        <f>IF(Benchmark2[[#This Row],[Comparable '#2 Date Check]]="Pass",INDEX(Comp2[Comparable '#2 Price],MATCH(Benchmark2[[#This Row],[Benchmark '#2 Dates]],Comp2[Comparable '#2 Dates],0)),"-")</f>
        <v>37.35</v>
      </c>
      <c r="J1077" s="1" t="str">
        <f>IF(COUNTIF(Comp3[Comparable '#3 Dates],Benchmark2[[#This Row],[Benchmark '#2 Dates]])=1,"Pass","Fail")</f>
        <v>Pass</v>
      </c>
      <c r="K1077" s="6">
        <f>IF(Benchmark2[[#This Row],[Comparable '#3 Date Check]]="Pass",INDEX(Comp3[Comparable '#3 Price],MATCH(Benchmark2[[#This Row],[Benchmark '#2 Dates]],Comp3[Comparable '#3 Dates],0)),"-")</f>
        <v>62.26</v>
      </c>
    </row>
    <row r="1078" spans="1:11">
      <c r="A1078" s="103">
        <v>44846</v>
      </c>
      <c r="B1078" s="104">
        <v>13546.7965</v>
      </c>
      <c r="C1078" s="4">
        <f t="shared" si="16"/>
        <v>-4.514252541446561E-3</v>
      </c>
      <c r="D1078" s="1" t="str">
        <f>IF(COUNTIF(Target1[Target Dates],Benchmark2[[#This Row],[Benchmark '#2 Dates]])=1,"Pass","Fail")</f>
        <v>Pass</v>
      </c>
      <c r="E1078" s="6">
        <f>IF(Benchmark2[[#This Row],[Target Date Check]]="Pass",INDEX(Target1[Target Price],MATCH(Benchmark2[[#This Row],[Benchmark '#2 Dates]],Target1[Target Dates],0)),"-")</f>
        <v>45.16</v>
      </c>
      <c r="F1078" s="1" t="str">
        <f>IF(COUNTIF(Comp1[Comparable '#1 Dates],Benchmark2[[#This Row],[Benchmark '#2 Dates]])=1,"Pass","Fail")</f>
        <v>Pass</v>
      </c>
      <c r="G1078" s="6">
        <f>IF(Benchmark2[[#This Row],[Comparable '#1 Date Check]]="Pass",INDEX(Comp1[Comparable '#1 Price],MATCH(Benchmark2[[#This Row],[Benchmark '#2 Dates]],Comp1[Comparable '#1 Dates],0)),"-")</f>
        <v>10.82</v>
      </c>
      <c r="H1078" s="1" t="str">
        <f>IF(COUNTIF(Comp2[Comparable '#2 Dates],Benchmark2[[#This Row],[Benchmark '#2 Dates]])=1,"Pass","Fail")</f>
        <v>Pass</v>
      </c>
      <c r="I1078" s="6">
        <f>IF(Benchmark2[[#This Row],[Comparable '#2 Date Check]]="Pass",INDEX(Comp2[Comparable '#2 Price],MATCH(Benchmark2[[#This Row],[Benchmark '#2 Dates]],Comp2[Comparable '#2 Dates],0)),"-")</f>
        <v>38.200000000000003</v>
      </c>
      <c r="J1078" s="1" t="str">
        <f>IF(COUNTIF(Comp3[Comparable '#3 Dates],Benchmark2[[#This Row],[Benchmark '#2 Dates]])=1,"Pass","Fail")</f>
        <v>Pass</v>
      </c>
      <c r="K1078" s="6">
        <f>IF(Benchmark2[[#This Row],[Comparable '#3 Date Check]]="Pass",INDEX(Comp3[Comparable '#3 Price],MATCH(Benchmark2[[#This Row],[Benchmark '#2 Dates]],Comp3[Comparable '#3 Dates],0)),"-")</f>
        <v>63.32</v>
      </c>
    </row>
    <row r="1079" spans="1:11">
      <c r="A1079" s="103">
        <v>44847</v>
      </c>
      <c r="B1079" s="104">
        <v>13888.969800000001</v>
      </c>
      <c r="C1079" s="4">
        <f t="shared" si="16"/>
        <v>2.4944886839380682E-2</v>
      </c>
      <c r="D1079" s="1" t="str">
        <f>IF(COUNTIF(Target1[Target Dates],Benchmark2[[#This Row],[Benchmark '#2 Dates]])=1,"Pass","Fail")</f>
        <v>Pass</v>
      </c>
      <c r="E1079" s="6">
        <f>IF(Benchmark2[[#This Row],[Target Date Check]]="Pass",INDEX(Target1[Target Price],MATCH(Benchmark2[[#This Row],[Benchmark '#2 Dates]],Target1[Target Dates],0)),"-")</f>
        <v>45.21</v>
      </c>
      <c r="F1079" s="1" t="str">
        <f>IF(COUNTIF(Comp1[Comparable '#1 Dates],Benchmark2[[#This Row],[Benchmark '#2 Dates]])=1,"Pass","Fail")</f>
        <v>Pass</v>
      </c>
      <c r="G1079" s="6">
        <f>IF(Benchmark2[[#This Row],[Comparable '#1 Date Check]]="Pass",INDEX(Comp1[Comparable '#1 Price],MATCH(Benchmark2[[#This Row],[Benchmark '#2 Dates]],Comp1[Comparable '#1 Dates],0)),"-")</f>
        <v>10.86</v>
      </c>
      <c r="H1079" s="1" t="str">
        <f>IF(COUNTIF(Comp2[Comparable '#2 Dates],Benchmark2[[#This Row],[Benchmark '#2 Dates]])=1,"Pass","Fail")</f>
        <v>Pass</v>
      </c>
      <c r="I1079" s="6">
        <f>IF(Benchmark2[[#This Row],[Comparable '#2 Date Check]]="Pass",INDEX(Comp2[Comparable '#2 Price],MATCH(Benchmark2[[#This Row],[Benchmark '#2 Dates]],Comp2[Comparable '#2 Dates],0)),"-")</f>
        <v>37.99</v>
      </c>
      <c r="J1079" s="1" t="str">
        <f>IF(COUNTIF(Comp3[Comparable '#3 Dates],Benchmark2[[#This Row],[Benchmark '#2 Dates]])=1,"Pass","Fail")</f>
        <v>Pass</v>
      </c>
      <c r="K1079" s="6">
        <f>IF(Benchmark2[[#This Row],[Comparable '#3 Date Check]]="Pass",INDEX(Comp3[Comparable '#3 Price],MATCH(Benchmark2[[#This Row],[Benchmark '#2 Dates]],Comp3[Comparable '#3 Dates],0)),"-")</f>
        <v>63.86</v>
      </c>
    </row>
    <row r="1080" spans="1:11">
      <c r="A1080" s="103">
        <v>44848</v>
      </c>
      <c r="B1080" s="104">
        <v>13607.3066</v>
      </c>
      <c r="C1080" s="4">
        <f t="shared" si="16"/>
        <v>-2.0488087074218588E-2</v>
      </c>
      <c r="D1080" s="1" t="str">
        <f>IF(COUNTIF(Target1[Target Dates],Benchmark2[[#This Row],[Benchmark '#2 Dates]])=1,"Pass","Fail")</f>
        <v>Pass</v>
      </c>
      <c r="E1080" s="6">
        <f>IF(Benchmark2[[#This Row],[Target Date Check]]="Pass",INDEX(Target1[Target Price],MATCH(Benchmark2[[#This Row],[Benchmark '#2 Dates]],Target1[Target Dates],0)),"-")</f>
        <v>44.57</v>
      </c>
      <c r="F1080" s="1" t="str">
        <f>IF(COUNTIF(Comp1[Comparable '#1 Dates],Benchmark2[[#This Row],[Benchmark '#2 Dates]])=1,"Pass","Fail")</f>
        <v>Pass</v>
      </c>
      <c r="G1080" s="6">
        <f>IF(Benchmark2[[#This Row],[Comparable '#1 Date Check]]="Pass",INDEX(Comp1[Comparable '#1 Price],MATCH(Benchmark2[[#This Row],[Benchmark '#2 Dates]],Comp1[Comparable '#1 Dates],0)),"-")</f>
        <v>10.4</v>
      </c>
      <c r="H1080" s="1" t="str">
        <f>IF(COUNTIF(Comp2[Comparable '#2 Dates],Benchmark2[[#This Row],[Benchmark '#2 Dates]])=1,"Pass","Fail")</f>
        <v>Pass</v>
      </c>
      <c r="I1080" s="6">
        <f>IF(Benchmark2[[#This Row],[Comparable '#2 Date Check]]="Pass",INDEX(Comp2[Comparable '#2 Price],MATCH(Benchmark2[[#This Row],[Benchmark '#2 Dates]],Comp2[Comparable '#2 Dates],0)),"-")</f>
        <v>36.32</v>
      </c>
      <c r="J1080" s="1" t="str">
        <f>IF(COUNTIF(Comp3[Comparable '#3 Dates],Benchmark2[[#This Row],[Benchmark '#2 Dates]])=1,"Pass","Fail")</f>
        <v>Pass</v>
      </c>
      <c r="K1080" s="6">
        <f>IF(Benchmark2[[#This Row],[Comparable '#3 Date Check]]="Pass",INDEX(Comp3[Comparable '#3 Price],MATCH(Benchmark2[[#This Row],[Benchmark '#2 Dates]],Comp3[Comparable '#3 Dates],0)),"-")</f>
        <v>62.85</v>
      </c>
    </row>
    <row r="1081" spans="1:11">
      <c r="A1081" s="103">
        <v>44851</v>
      </c>
      <c r="B1081" s="104">
        <v>13923.212100000001</v>
      </c>
      <c r="C1081" s="4">
        <f t="shared" si="16"/>
        <v>2.2950484122043077E-2</v>
      </c>
      <c r="D1081" s="1" t="str">
        <f>IF(COUNTIF(Target1[Target Dates],Benchmark2[[#This Row],[Benchmark '#2 Dates]])=1,"Pass","Fail")</f>
        <v>Pass</v>
      </c>
      <c r="E1081" s="6">
        <f>IF(Benchmark2[[#This Row],[Target Date Check]]="Pass",INDEX(Target1[Target Price],MATCH(Benchmark2[[#This Row],[Benchmark '#2 Dates]],Target1[Target Dates],0)),"-")</f>
        <v>45.52</v>
      </c>
      <c r="F1081" s="1" t="str">
        <f>IF(COUNTIF(Comp1[Comparable '#1 Dates],Benchmark2[[#This Row],[Benchmark '#2 Dates]])=1,"Pass","Fail")</f>
        <v>Pass</v>
      </c>
      <c r="G1081" s="6">
        <f>IF(Benchmark2[[#This Row],[Comparable '#1 Date Check]]="Pass",INDEX(Comp1[Comparable '#1 Price],MATCH(Benchmark2[[#This Row],[Benchmark '#2 Dates]],Comp1[Comparable '#1 Dates],0)),"-")</f>
        <v>10.79</v>
      </c>
      <c r="H1081" s="1" t="str">
        <f>IF(COUNTIF(Comp2[Comparable '#2 Dates],Benchmark2[[#This Row],[Benchmark '#2 Dates]])=1,"Pass","Fail")</f>
        <v>Pass</v>
      </c>
      <c r="I1081" s="6">
        <f>IF(Benchmark2[[#This Row],[Comparable '#2 Date Check]]="Pass",INDEX(Comp2[Comparable '#2 Price],MATCH(Benchmark2[[#This Row],[Benchmark '#2 Dates]],Comp2[Comparable '#2 Dates],0)),"-")</f>
        <v>37.22</v>
      </c>
      <c r="J1081" s="1" t="str">
        <f>IF(COUNTIF(Comp3[Comparable '#3 Dates],Benchmark2[[#This Row],[Benchmark '#2 Dates]])=1,"Pass","Fail")</f>
        <v>Pass</v>
      </c>
      <c r="K1081" s="6">
        <f>IF(Benchmark2[[#This Row],[Comparable '#3 Date Check]]="Pass",INDEX(Comp3[Comparable '#3 Price],MATCH(Benchmark2[[#This Row],[Benchmark '#2 Dates]],Comp3[Comparable '#3 Dates],0)),"-")</f>
        <v>64.08</v>
      </c>
    </row>
    <row r="1082" spans="1:11">
      <c r="A1082" s="103">
        <v>44852</v>
      </c>
      <c r="B1082" s="104">
        <v>14089.2011</v>
      </c>
      <c r="C1082" s="4">
        <f t="shared" si="16"/>
        <v>1.1851241919074558E-2</v>
      </c>
      <c r="D1082" s="1" t="str">
        <f>IF(COUNTIF(Target1[Target Dates],Benchmark2[[#This Row],[Benchmark '#2 Dates]])=1,"Pass","Fail")</f>
        <v>Pass</v>
      </c>
      <c r="E1082" s="6">
        <f>IF(Benchmark2[[#This Row],[Target Date Check]]="Pass",INDEX(Target1[Target Price],MATCH(Benchmark2[[#This Row],[Benchmark '#2 Dates]],Target1[Target Dates],0)),"-")</f>
        <v>46.14</v>
      </c>
      <c r="F1082" s="1" t="str">
        <f>IF(COUNTIF(Comp1[Comparable '#1 Dates],Benchmark2[[#This Row],[Benchmark '#2 Dates]])=1,"Pass","Fail")</f>
        <v>Pass</v>
      </c>
      <c r="G1082" s="6">
        <f>IF(Benchmark2[[#This Row],[Comparable '#1 Date Check]]="Pass",INDEX(Comp1[Comparable '#1 Price],MATCH(Benchmark2[[#This Row],[Benchmark '#2 Dates]],Comp1[Comparable '#1 Dates],0)),"-")</f>
        <v>10.97</v>
      </c>
      <c r="H1082" s="1" t="str">
        <f>IF(COUNTIF(Comp2[Comparable '#2 Dates],Benchmark2[[#This Row],[Benchmark '#2 Dates]])=1,"Pass","Fail")</f>
        <v>Pass</v>
      </c>
      <c r="I1082" s="6">
        <f>IF(Benchmark2[[#This Row],[Comparable '#2 Date Check]]="Pass",INDEX(Comp2[Comparable '#2 Price],MATCH(Benchmark2[[#This Row],[Benchmark '#2 Dates]],Comp2[Comparable '#2 Dates],0)),"-")</f>
        <v>38.659999999999997</v>
      </c>
      <c r="J1082" s="1" t="str">
        <f>IF(COUNTIF(Comp3[Comparable '#3 Dates],Benchmark2[[#This Row],[Benchmark '#2 Dates]])=1,"Pass","Fail")</f>
        <v>Pass</v>
      </c>
      <c r="K1082" s="6">
        <f>IF(Benchmark2[[#This Row],[Comparable '#3 Date Check]]="Pass",INDEX(Comp3[Comparable '#3 Price],MATCH(Benchmark2[[#This Row],[Benchmark '#2 Dates]],Comp3[Comparable '#3 Dates],0)),"-")</f>
        <v>65.25</v>
      </c>
    </row>
    <row r="1083" spans="1:11">
      <c r="A1083" s="103">
        <v>44853</v>
      </c>
      <c r="B1083" s="104">
        <v>13947.259400000001</v>
      </c>
      <c r="C1083" s="4">
        <f t="shared" si="16"/>
        <v>-1.0125594330553756E-2</v>
      </c>
      <c r="D1083" s="1" t="str">
        <f>IF(COUNTIF(Target1[Target Dates],Benchmark2[[#This Row],[Benchmark '#2 Dates]])=1,"Pass","Fail")</f>
        <v>Pass</v>
      </c>
      <c r="E1083" s="6">
        <f>IF(Benchmark2[[#This Row],[Target Date Check]]="Pass",INDEX(Target1[Target Price],MATCH(Benchmark2[[#This Row],[Benchmark '#2 Dates]],Target1[Target Dates],0)),"-")</f>
        <v>46.48</v>
      </c>
      <c r="F1083" s="1" t="str">
        <f>IF(COUNTIF(Comp1[Comparable '#1 Dates],Benchmark2[[#This Row],[Benchmark '#2 Dates]])=1,"Pass","Fail")</f>
        <v>Pass</v>
      </c>
      <c r="G1083" s="6">
        <f>IF(Benchmark2[[#This Row],[Comparable '#1 Date Check]]="Pass",INDEX(Comp1[Comparable '#1 Price],MATCH(Benchmark2[[#This Row],[Benchmark '#2 Dates]],Comp1[Comparable '#1 Dates],0)),"-")</f>
        <v>10.81</v>
      </c>
      <c r="H1083" s="1" t="str">
        <f>IF(COUNTIF(Comp2[Comparable '#2 Dates],Benchmark2[[#This Row],[Benchmark '#2 Dates]])=1,"Pass","Fail")</f>
        <v>Pass</v>
      </c>
      <c r="I1083" s="6">
        <f>IF(Benchmark2[[#This Row],[Comparable '#2 Date Check]]="Pass",INDEX(Comp2[Comparable '#2 Price],MATCH(Benchmark2[[#This Row],[Benchmark '#2 Dates]],Comp2[Comparable '#2 Dates],0)),"-")</f>
        <v>37.909999999999997</v>
      </c>
      <c r="J1083" s="1" t="str">
        <f>IF(COUNTIF(Comp3[Comparable '#3 Dates],Benchmark2[[#This Row],[Benchmark '#2 Dates]])=1,"Pass","Fail")</f>
        <v>Pass</v>
      </c>
      <c r="K1083" s="6">
        <f>IF(Benchmark2[[#This Row],[Comparable '#3 Date Check]]="Pass",INDEX(Comp3[Comparable '#3 Price],MATCH(Benchmark2[[#This Row],[Benchmark '#2 Dates]],Comp3[Comparable '#3 Dates],0)),"-")</f>
        <v>64.42</v>
      </c>
    </row>
    <row r="1084" spans="1:11">
      <c r="A1084" s="103">
        <v>44854</v>
      </c>
      <c r="B1084" s="104">
        <v>13840.472900000001</v>
      </c>
      <c r="C1084" s="4">
        <f t="shared" si="16"/>
        <v>-7.6859115045399187E-3</v>
      </c>
      <c r="D1084" s="1" t="str">
        <f>IF(COUNTIF(Target1[Target Dates],Benchmark2[[#This Row],[Benchmark '#2 Dates]])=1,"Pass","Fail")</f>
        <v>Pass</v>
      </c>
      <c r="E1084" s="6">
        <f>IF(Benchmark2[[#This Row],[Target Date Check]]="Pass",INDEX(Target1[Target Price],MATCH(Benchmark2[[#This Row],[Benchmark '#2 Dates]],Target1[Target Dates],0)),"-")</f>
        <v>46.43</v>
      </c>
      <c r="F1084" s="1" t="str">
        <f>IF(COUNTIF(Comp1[Comparable '#1 Dates],Benchmark2[[#This Row],[Benchmark '#2 Dates]])=1,"Pass","Fail")</f>
        <v>Pass</v>
      </c>
      <c r="G1084" s="6">
        <f>IF(Benchmark2[[#This Row],[Comparable '#1 Date Check]]="Pass",INDEX(Comp1[Comparable '#1 Price],MATCH(Benchmark2[[#This Row],[Benchmark '#2 Dates]],Comp1[Comparable '#1 Dates],0)),"-")</f>
        <v>10.73</v>
      </c>
      <c r="H1084" s="1" t="str">
        <f>IF(COUNTIF(Comp2[Comparable '#2 Dates],Benchmark2[[#This Row],[Benchmark '#2 Dates]])=1,"Pass","Fail")</f>
        <v>Pass</v>
      </c>
      <c r="I1084" s="6">
        <f>IF(Benchmark2[[#This Row],[Comparable '#2 Date Check]]="Pass",INDEX(Comp2[Comparable '#2 Price],MATCH(Benchmark2[[#This Row],[Benchmark '#2 Dates]],Comp2[Comparable '#2 Dates],0)),"-")</f>
        <v>37.880000000000003</v>
      </c>
      <c r="J1084" s="1" t="str">
        <f>IF(COUNTIF(Comp3[Comparable '#3 Dates],Benchmark2[[#This Row],[Benchmark '#2 Dates]])=1,"Pass","Fail")</f>
        <v>Pass</v>
      </c>
      <c r="K1084" s="6">
        <f>IF(Benchmark2[[#This Row],[Comparable '#3 Date Check]]="Pass",INDEX(Comp3[Comparable '#3 Price],MATCH(Benchmark2[[#This Row],[Benchmark '#2 Dates]],Comp3[Comparable '#3 Dates],0)),"-")</f>
        <v>63.94</v>
      </c>
    </row>
    <row r="1085" spans="1:11">
      <c r="A1085" s="103">
        <v>44855</v>
      </c>
      <c r="B1085" s="104">
        <v>14144.0515</v>
      </c>
      <c r="C1085" s="4">
        <f t="shared" si="16"/>
        <v>2.169702832764963E-2</v>
      </c>
      <c r="D1085" s="1" t="str">
        <f>IF(COUNTIF(Target1[Target Dates],Benchmark2[[#This Row],[Benchmark '#2 Dates]])=1,"Pass","Fail")</f>
        <v>Pass</v>
      </c>
      <c r="E1085" s="6">
        <f>IF(Benchmark2[[#This Row],[Target Date Check]]="Pass",INDEX(Target1[Target Price],MATCH(Benchmark2[[#This Row],[Benchmark '#2 Dates]],Target1[Target Dates],0)),"-")</f>
        <v>46.56</v>
      </c>
      <c r="F1085" s="1" t="str">
        <f>IF(COUNTIF(Comp1[Comparable '#1 Dates],Benchmark2[[#This Row],[Benchmark '#2 Dates]])=1,"Pass","Fail")</f>
        <v>Pass</v>
      </c>
      <c r="G1085" s="6">
        <f>IF(Benchmark2[[#This Row],[Comparable '#1 Date Check]]="Pass",INDEX(Comp1[Comparable '#1 Price],MATCH(Benchmark2[[#This Row],[Benchmark '#2 Dates]],Comp1[Comparable '#1 Dates],0)),"-")</f>
        <v>10.94</v>
      </c>
      <c r="H1085" s="1" t="str">
        <f>IF(COUNTIF(Comp2[Comparable '#2 Dates],Benchmark2[[#This Row],[Benchmark '#2 Dates]])=1,"Pass","Fail")</f>
        <v>Pass</v>
      </c>
      <c r="I1085" s="6">
        <f>IF(Benchmark2[[#This Row],[Comparable '#2 Date Check]]="Pass",INDEX(Comp2[Comparable '#2 Price],MATCH(Benchmark2[[#This Row],[Benchmark '#2 Dates]],Comp2[Comparable '#2 Dates],0)),"-")</f>
        <v>38.14</v>
      </c>
      <c r="J1085" s="1" t="str">
        <f>IF(COUNTIF(Comp3[Comparable '#3 Dates],Benchmark2[[#This Row],[Benchmark '#2 Dates]])=1,"Pass","Fail")</f>
        <v>Pass</v>
      </c>
      <c r="K1085" s="6">
        <f>IF(Benchmark2[[#This Row],[Comparable '#3 Date Check]]="Pass",INDEX(Comp3[Comparable '#3 Price],MATCH(Benchmark2[[#This Row],[Benchmark '#2 Dates]],Comp3[Comparable '#3 Dates],0)),"-")</f>
        <v>64.34</v>
      </c>
    </row>
    <row r="1086" spans="1:11">
      <c r="A1086" s="103">
        <v>44858</v>
      </c>
      <c r="B1086" s="104">
        <v>14226.1059</v>
      </c>
      <c r="C1086" s="4">
        <f t="shared" si="16"/>
        <v>5.7845733914544395E-3</v>
      </c>
      <c r="D1086" s="1" t="str">
        <f>IF(COUNTIF(Target1[Target Dates],Benchmark2[[#This Row],[Benchmark '#2 Dates]])=1,"Pass","Fail")</f>
        <v>Pass</v>
      </c>
      <c r="E1086" s="6">
        <f>IF(Benchmark2[[#This Row],[Target Date Check]]="Pass",INDEX(Target1[Target Price],MATCH(Benchmark2[[#This Row],[Benchmark '#2 Dates]],Target1[Target Dates],0)),"-")</f>
        <v>46.33</v>
      </c>
      <c r="F1086" s="1" t="str">
        <f>IF(COUNTIF(Comp1[Comparable '#1 Dates],Benchmark2[[#This Row],[Benchmark '#2 Dates]])=1,"Pass","Fail")</f>
        <v>Pass</v>
      </c>
      <c r="G1086" s="6">
        <f>IF(Benchmark2[[#This Row],[Comparable '#1 Date Check]]="Pass",INDEX(Comp1[Comparable '#1 Price],MATCH(Benchmark2[[#This Row],[Benchmark '#2 Dates]],Comp1[Comparable '#1 Dates],0)),"-")</f>
        <v>11</v>
      </c>
      <c r="H1086" s="1" t="str">
        <f>IF(COUNTIF(Comp2[Comparable '#2 Dates],Benchmark2[[#This Row],[Benchmark '#2 Dates]])=1,"Pass","Fail")</f>
        <v>Pass</v>
      </c>
      <c r="I1086" s="6">
        <f>IF(Benchmark2[[#This Row],[Comparable '#2 Date Check]]="Pass",INDEX(Comp2[Comparable '#2 Price],MATCH(Benchmark2[[#This Row],[Benchmark '#2 Dates]],Comp2[Comparable '#2 Dates],0)),"-")</f>
        <v>38.590000000000003</v>
      </c>
      <c r="J1086" s="1" t="str">
        <f>IF(COUNTIF(Comp3[Comparable '#3 Dates],Benchmark2[[#This Row],[Benchmark '#2 Dates]])=1,"Pass","Fail")</f>
        <v>Pass</v>
      </c>
      <c r="K1086" s="6">
        <f>IF(Benchmark2[[#This Row],[Comparable '#3 Date Check]]="Pass",INDEX(Comp3[Comparable '#3 Price],MATCH(Benchmark2[[#This Row],[Benchmark '#2 Dates]],Comp3[Comparable '#3 Dates],0)),"-")</f>
        <v>64.88</v>
      </c>
    </row>
    <row r="1087" spans="1:11">
      <c r="A1087" s="103">
        <v>44859</v>
      </c>
      <c r="B1087" s="104">
        <v>14440.6947</v>
      </c>
      <c r="C1087" s="4">
        <f t="shared" si="16"/>
        <v>1.4971521325718924E-2</v>
      </c>
      <c r="D1087" s="1" t="str">
        <f>IF(COUNTIF(Target1[Target Dates],Benchmark2[[#This Row],[Benchmark '#2 Dates]])=1,"Pass","Fail")</f>
        <v>Pass</v>
      </c>
      <c r="E1087" s="6">
        <f>IF(Benchmark2[[#This Row],[Target Date Check]]="Pass",INDEX(Target1[Target Price],MATCH(Benchmark2[[#This Row],[Benchmark '#2 Dates]],Target1[Target Dates],0)),"-")</f>
        <v>46.51</v>
      </c>
      <c r="F1087" s="1" t="str">
        <f>IF(COUNTIF(Comp1[Comparable '#1 Dates],Benchmark2[[#This Row],[Benchmark '#2 Dates]])=1,"Pass","Fail")</f>
        <v>Pass</v>
      </c>
      <c r="G1087" s="6">
        <f>IF(Benchmark2[[#This Row],[Comparable '#1 Date Check]]="Pass",INDEX(Comp1[Comparable '#1 Price],MATCH(Benchmark2[[#This Row],[Benchmark '#2 Dates]],Comp1[Comparable '#1 Dates],0)),"-")</f>
        <v>12.29</v>
      </c>
      <c r="H1087" s="1" t="str">
        <f>IF(COUNTIF(Comp2[Comparable '#2 Dates],Benchmark2[[#This Row],[Benchmark '#2 Dates]])=1,"Pass","Fail")</f>
        <v>Pass</v>
      </c>
      <c r="I1087" s="6">
        <f>IF(Benchmark2[[#This Row],[Comparable '#2 Date Check]]="Pass",INDEX(Comp2[Comparable '#2 Price],MATCH(Benchmark2[[#This Row],[Benchmark '#2 Dates]],Comp2[Comparable '#2 Dates],0)),"-")</f>
        <v>40.93</v>
      </c>
      <c r="J1087" s="1" t="str">
        <f>IF(COUNTIF(Comp3[Comparable '#3 Dates],Benchmark2[[#This Row],[Benchmark '#2 Dates]])=1,"Pass","Fail")</f>
        <v>Pass</v>
      </c>
      <c r="K1087" s="6">
        <f>IF(Benchmark2[[#This Row],[Comparable '#3 Date Check]]="Pass",INDEX(Comp3[Comparable '#3 Price],MATCH(Benchmark2[[#This Row],[Benchmark '#2 Dates]],Comp3[Comparable '#3 Dates],0)),"-")</f>
        <v>66.78</v>
      </c>
    </row>
    <row r="1088" spans="1:11">
      <c r="A1088" s="103">
        <v>44860</v>
      </c>
      <c r="B1088" s="104">
        <v>14531.694799999999</v>
      </c>
      <c r="C1088" s="4">
        <f t="shared" si="16"/>
        <v>6.2818704858878015E-3</v>
      </c>
      <c r="D1088" s="1" t="str">
        <f>IF(COUNTIF(Target1[Target Dates],Benchmark2[[#This Row],[Benchmark '#2 Dates]])=1,"Pass","Fail")</f>
        <v>Pass</v>
      </c>
      <c r="E1088" s="6">
        <f>IF(Benchmark2[[#This Row],[Target Date Check]]="Pass",INDEX(Target1[Target Price],MATCH(Benchmark2[[#This Row],[Benchmark '#2 Dates]],Target1[Target Dates],0)),"-")</f>
        <v>32.86</v>
      </c>
      <c r="F1088" s="1" t="str">
        <f>IF(COUNTIF(Comp1[Comparable '#1 Dates],Benchmark2[[#This Row],[Benchmark '#2 Dates]])=1,"Pass","Fail")</f>
        <v>Pass</v>
      </c>
      <c r="G1088" s="6">
        <f>IF(Benchmark2[[#This Row],[Comparable '#1 Date Check]]="Pass",INDEX(Comp1[Comparable '#1 Price],MATCH(Benchmark2[[#This Row],[Benchmark '#2 Dates]],Comp1[Comparable '#1 Dates],0)),"-")</f>
        <v>12.5</v>
      </c>
      <c r="H1088" s="1" t="str">
        <f>IF(COUNTIF(Comp2[Comparable '#2 Dates],Benchmark2[[#This Row],[Benchmark '#2 Dates]])=1,"Pass","Fail")</f>
        <v>Pass</v>
      </c>
      <c r="I1088" s="6">
        <f>IF(Benchmark2[[#This Row],[Comparable '#2 Date Check]]="Pass",INDEX(Comp2[Comparable '#2 Price],MATCH(Benchmark2[[#This Row],[Benchmark '#2 Dates]],Comp2[Comparable '#2 Dates],0)),"-")</f>
        <v>40.47</v>
      </c>
      <c r="J1088" s="1" t="str">
        <f>IF(COUNTIF(Comp3[Comparable '#3 Dates],Benchmark2[[#This Row],[Benchmark '#2 Dates]])=1,"Pass","Fail")</f>
        <v>Pass</v>
      </c>
      <c r="K1088" s="6">
        <f>IF(Benchmark2[[#This Row],[Comparable '#3 Date Check]]="Pass",INDEX(Comp3[Comparable '#3 Price],MATCH(Benchmark2[[#This Row],[Benchmark '#2 Dates]],Comp3[Comparable '#3 Dates],0)),"-")</f>
        <v>66.42</v>
      </c>
    </row>
    <row r="1089" spans="1:11">
      <c r="A1089" s="103">
        <v>44861</v>
      </c>
      <c r="B1089" s="104">
        <v>14569.895200000001</v>
      </c>
      <c r="C1089" s="4">
        <f t="shared" si="16"/>
        <v>2.625315107569786E-3</v>
      </c>
      <c r="D1089" s="1" t="str">
        <f>IF(COUNTIF(Target1[Target Dates],Benchmark2[[#This Row],[Benchmark '#2 Dates]])=1,"Pass","Fail")</f>
        <v>Pass</v>
      </c>
      <c r="E1089" s="6">
        <f>IF(Benchmark2[[#This Row],[Target Date Check]]="Pass",INDEX(Target1[Target Price],MATCH(Benchmark2[[#This Row],[Benchmark '#2 Dates]],Target1[Target Dates],0)),"-")</f>
        <v>32.520000000000003</v>
      </c>
      <c r="F1089" s="1" t="str">
        <f>IF(COUNTIF(Comp1[Comparable '#1 Dates],Benchmark2[[#This Row],[Benchmark '#2 Dates]])=1,"Pass","Fail")</f>
        <v>Pass</v>
      </c>
      <c r="G1089" s="6">
        <f>IF(Benchmark2[[#This Row],[Comparable '#1 Date Check]]="Pass",INDEX(Comp1[Comparable '#1 Price],MATCH(Benchmark2[[#This Row],[Benchmark '#2 Dates]],Comp1[Comparable '#1 Dates],0)),"-")</f>
        <v>12.75</v>
      </c>
      <c r="H1089" s="1" t="str">
        <f>IF(COUNTIF(Comp2[Comparable '#2 Dates],Benchmark2[[#This Row],[Benchmark '#2 Dates]])=1,"Pass","Fail")</f>
        <v>Pass</v>
      </c>
      <c r="I1089" s="6">
        <f>IF(Benchmark2[[#This Row],[Comparable '#2 Date Check]]="Pass",INDEX(Comp2[Comparable '#2 Price],MATCH(Benchmark2[[#This Row],[Benchmark '#2 Dates]],Comp2[Comparable '#2 Dates],0)),"-")</f>
        <v>40.56</v>
      </c>
      <c r="J1089" s="1" t="str">
        <f>IF(COUNTIF(Comp3[Comparable '#3 Dates],Benchmark2[[#This Row],[Benchmark '#2 Dates]])=1,"Pass","Fail")</f>
        <v>Pass</v>
      </c>
      <c r="K1089" s="6">
        <f>IF(Benchmark2[[#This Row],[Comparable '#3 Date Check]]="Pass",INDEX(Comp3[Comparable '#3 Price],MATCH(Benchmark2[[#This Row],[Benchmark '#2 Dates]],Comp3[Comparable '#3 Dates],0)),"-")</f>
        <v>66.41</v>
      </c>
    </row>
    <row r="1090" spans="1:11">
      <c r="A1090" s="103">
        <v>44862</v>
      </c>
      <c r="B1090" s="104">
        <v>14795.6333</v>
      </c>
      <c r="C1090" s="4">
        <f t="shared" ref="C1090:C1153" si="17">IFERROR(IF(B1090="",NA(),LN(B1090/B1089)),"-")</f>
        <v>1.5374662618555249E-2</v>
      </c>
      <c r="D1090" s="1" t="str">
        <f>IF(COUNTIF(Target1[Target Dates],Benchmark2[[#This Row],[Benchmark '#2 Dates]])=1,"Pass","Fail")</f>
        <v>Pass</v>
      </c>
      <c r="E1090" s="6">
        <f>IF(Benchmark2[[#This Row],[Target Date Check]]="Pass",INDEX(Target1[Target Price],MATCH(Benchmark2[[#This Row],[Benchmark '#2 Dates]],Target1[Target Dates],0)),"-")</f>
        <v>33.159999999999997</v>
      </c>
      <c r="F1090" s="1" t="str">
        <f>IF(COUNTIF(Comp1[Comparable '#1 Dates],Benchmark2[[#This Row],[Benchmark '#2 Dates]])=1,"Pass","Fail")</f>
        <v>Pass</v>
      </c>
      <c r="G1090" s="6">
        <f>IF(Benchmark2[[#This Row],[Comparable '#1 Date Check]]="Pass",INDEX(Comp1[Comparable '#1 Price],MATCH(Benchmark2[[#This Row],[Benchmark '#2 Dates]],Comp1[Comparable '#1 Dates],0)),"-")</f>
        <v>12.78</v>
      </c>
      <c r="H1090" s="1" t="str">
        <f>IF(COUNTIF(Comp2[Comparable '#2 Dates],Benchmark2[[#This Row],[Benchmark '#2 Dates]])=1,"Pass","Fail")</f>
        <v>Pass</v>
      </c>
      <c r="I1090" s="6">
        <f>IF(Benchmark2[[#This Row],[Comparable '#2 Date Check]]="Pass",INDEX(Comp2[Comparable '#2 Price],MATCH(Benchmark2[[#This Row],[Benchmark '#2 Dates]],Comp2[Comparable '#2 Dates],0)),"-")</f>
        <v>41.81</v>
      </c>
      <c r="J1090" s="1" t="str">
        <f>IF(COUNTIF(Comp3[Comparable '#3 Dates],Benchmark2[[#This Row],[Benchmark '#2 Dates]])=1,"Pass","Fail")</f>
        <v>Pass</v>
      </c>
      <c r="K1090" s="6">
        <f>IF(Benchmark2[[#This Row],[Comparable '#3 Date Check]]="Pass",INDEX(Comp3[Comparable '#3 Price],MATCH(Benchmark2[[#This Row],[Benchmark '#2 Dates]],Comp3[Comparable '#3 Dates],0)),"-")</f>
        <v>69.900000000000006</v>
      </c>
    </row>
    <row r="1091" spans="1:11">
      <c r="A1091" s="103">
        <v>44865</v>
      </c>
      <c r="B1091" s="104">
        <v>14747.0296</v>
      </c>
      <c r="C1091" s="4">
        <f t="shared" si="17"/>
        <v>-3.2904104830627718E-3</v>
      </c>
      <c r="D1091" s="1" t="str">
        <f>IF(COUNTIF(Target1[Target Dates],Benchmark2[[#This Row],[Benchmark '#2 Dates]])=1,"Pass","Fail")</f>
        <v>Pass</v>
      </c>
      <c r="E1091" s="6">
        <f>IF(Benchmark2[[#This Row],[Target Date Check]]="Pass",INDEX(Target1[Target Price],MATCH(Benchmark2[[#This Row],[Benchmark '#2 Dates]],Target1[Target Dates],0)),"-")</f>
        <v>33.51</v>
      </c>
      <c r="F1091" s="1" t="str">
        <f>IF(COUNTIF(Comp1[Comparable '#1 Dates],Benchmark2[[#This Row],[Benchmark '#2 Dates]])=1,"Pass","Fail")</f>
        <v>Pass</v>
      </c>
      <c r="G1091" s="6">
        <f>IF(Benchmark2[[#This Row],[Comparable '#1 Date Check]]="Pass",INDEX(Comp1[Comparable '#1 Price],MATCH(Benchmark2[[#This Row],[Benchmark '#2 Dates]],Comp1[Comparable '#1 Dates],0)),"-")</f>
        <v>12.64</v>
      </c>
      <c r="H1091" s="1" t="str">
        <f>IF(COUNTIF(Comp2[Comparable '#2 Dates],Benchmark2[[#This Row],[Benchmark '#2 Dates]])=1,"Pass","Fail")</f>
        <v>Pass</v>
      </c>
      <c r="I1091" s="6">
        <f>IF(Benchmark2[[#This Row],[Comparable '#2 Date Check]]="Pass",INDEX(Comp2[Comparable '#2 Price],MATCH(Benchmark2[[#This Row],[Benchmark '#2 Dates]],Comp2[Comparable '#2 Dates],0)),"-")</f>
        <v>41.7</v>
      </c>
      <c r="J1091" s="1" t="str">
        <f>IF(COUNTIF(Comp3[Comparable '#3 Dates],Benchmark2[[#This Row],[Benchmark '#2 Dates]])=1,"Pass","Fail")</f>
        <v>Pass</v>
      </c>
      <c r="K1091" s="6">
        <f>IF(Benchmark2[[#This Row],[Comparable '#3 Date Check]]="Pass",INDEX(Comp3[Comparable '#3 Price],MATCH(Benchmark2[[#This Row],[Benchmark '#2 Dates]],Comp3[Comparable '#3 Dates],0)),"-")</f>
        <v>69</v>
      </c>
    </row>
    <row r="1092" spans="1:11">
      <c r="A1092" s="103">
        <v>44866</v>
      </c>
      <c r="B1092" s="104">
        <v>14790.7081</v>
      </c>
      <c r="C1092" s="4">
        <f t="shared" si="17"/>
        <v>2.9574730658330378E-3</v>
      </c>
      <c r="D1092" s="1" t="str">
        <f>IF(COUNTIF(Target1[Target Dates],Benchmark2[[#This Row],[Benchmark '#2 Dates]])=1,"Pass","Fail")</f>
        <v>Pass</v>
      </c>
      <c r="E1092" s="6">
        <f>IF(Benchmark2[[#This Row],[Target Date Check]]="Pass",INDEX(Target1[Target Price],MATCH(Benchmark2[[#This Row],[Benchmark '#2 Dates]],Target1[Target Dates],0)),"-")</f>
        <v>33.92</v>
      </c>
      <c r="F1092" s="1" t="str">
        <f>IF(COUNTIF(Comp1[Comparable '#1 Dates],Benchmark2[[#This Row],[Benchmark '#2 Dates]])=1,"Pass","Fail")</f>
        <v>Pass</v>
      </c>
      <c r="G1092" s="6">
        <f>IF(Benchmark2[[#This Row],[Comparable '#1 Date Check]]="Pass",INDEX(Comp1[Comparable '#1 Price],MATCH(Benchmark2[[#This Row],[Benchmark '#2 Dates]],Comp1[Comparable '#1 Dates],0)),"-")</f>
        <v>12.65</v>
      </c>
      <c r="H1092" s="1" t="str">
        <f>IF(COUNTIF(Comp2[Comparable '#2 Dates],Benchmark2[[#This Row],[Benchmark '#2 Dates]])=1,"Pass","Fail")</f>
        <v>Pass</v>
      </c>
      <c r="I1092" s="6">
        <f>IF(Benchmark2[[#This Row],[Comparable '#2 Date Check]]="Pass",INDEX(Comp2[Comparable '#2 Price],MATCH(Benchmark2[[#This Row],[Benchmark '#2 Dates]],Comp2[Comparable '#2 Dates],0)),"-")</f>
        <v>41.66</v>
      </c>
      <c r="J1092" s="1" t="str">
        <f>IF(COUNTIF(Comp3[Comparable '#3 Dates],Benchmark2[[#This Row],[Benchmark '#2 Dates]])=1,"Pass","Fail")</f>
        <v>Pass</v>
      </c>
      <c r="K1092" s="6">
        <f>IF(Benchmark2[[#This Row],[Comparable '#3 Date Check]]="Pass",INDEX(Comp3[Comparable '#3 Price],MATCH(Benchmark2[[#This Row],[Benchmark '#2 Dates]],Comp3[Comparable '#3 Dates],0)),"-")</f>
        <v>68.739999999999995</v>
      </c>
    </row>
    <row r="1093" spans="1:11">
      <c r="A1093" s="103">
        <v>44867</v>
      </c>
      <c r="B1093" s="104">
        <v>14497.845300000001</v>
      </c>
      <c r="C1093" s="4">
        <f t="shared" si="17"/>
        <v>-1.9999114136070213E-2</v>
      </c>
      <c r="D1093" s="1" t="str">
        <f>IF(COUNTIF(Target1[Target Dates],Benchmark2[[#This Row],[Benchmark '#2 Dates]])=1,"Pass","Fail")</f>
        <v>Pass</v>
      </c>
      <c r="E1093" s="6">
        <f>IF(Benchmark2[[#This Row],[Target Date Check]]="Pass",INDEX(Target1[Target Price],MATCH(Benchmark2[[#This Row],[Benchmark '#2 Dates]],Target1[Target Dates],0)),"-")</f>
        <v>33.72</v>
      </c>
      <c r="F1093" s="1" t="str">
        <f>IF(COUNTIF(Comp1[Comparable '#1 Dates],Benchmark2[[#This Row],[Benchmark '#2 Dates]])=1,"Pass","Fail")</f>
        <v>Pass</v>
      </c>
      <c r="G1093" s="6">
        <f>IF(Benchmark2[[#This Row],[Comparable '#1 Date Check]]="Pass",INDEX(Comp1[Comparable '#1 Price],MATCH(Benchmark2[[#This Row],[Benchmark '#2 Dates]],Comp1[Comparable '#1 Dates],0)),"-")</f>
        <v>11.96</v>
      </c>
      <c r="H1093" s="1" t="str">
        <f>IF(COUNTIF(Comp2[Comparable '#2 Dates],Benchmark2[[#This Row],[Benchmark '#2 Dates]])=1,"Pass","Fail")</f>
        <v>Pass</v>
      </c>
      <c r="I1093" s="6">
        <f>IF(Benchmark2[[#This Row],[Comparable '#2 Date Check]]="Pass",INDEX(Comp2[Comparable '#2 Price],MATCH(Benchmark2[[#This Row],[Benchmark '#2 Dates]],Comp2[Comparable '#2 Dates],0)),"-")</f>
        <v>41.29</v>
      </c>
      <c r="J1093" s="1" t="str">
        <f>IF(COUNTIF(Comp3[Comparable '#3 Dates],Benchmark2[[#This Row],[Benchmark '#2 Dates]])=1,"Pass","Fail")</f>
        <v>Pass</v>
      </c>
      <c r="K1093" s="6">
        <f>IF(Benchmark2[[#This Row],[Comparable '#3 Date Check]]="Pass",INDEX(Comp3[Comparable '#3 Price],MATCH(Benchmark2[[#This Row],[Benchmark '#2 Dates]],Comp3[Comparable '#3 Dates],0)),"-")</f>
        <v>67.34</v>
      </c>
    </row>
    <row r="1094" spans="1:11">
      <c r="A1094" s="103">
        <v>44868</v>
      </c>
      <c r="B1094" s="104">
        <v>14455.6703</v>
      </c>
      <c r="C1094" s="4">
        <f t="shared" si="17"/>
        <v>-2.9132924935184683E-3</v>
      </c>
      <c r="D1094" s="1" t="str">
        <f>IF(COUNTIF(Target1[Target Dates],Benchmark2[[#This Row],[Benchmark '#2 Dates]])=1,"Pass","Fail")</f>
        <v>Pass</v>
      </c>
      <c r="E1094" s="6">
        <f>IF(Benchmark2[[#This Row],[Target Date Check]]="Pass",INDEX(Target1[Target Price],MATCH(Benchmark2[[#This Row],[Benchmark '#2 Dates]],Target1[Target Dates],0)),"-")</f>
        <v>34.11</v>
      </c>
      <c r="F1094" s="1" t="str">
        <f>IF(COUNTIF(Comp1[Comparable '#1 Dates],Benchmark2[[#This Row],[Benchmark '#2 Dates]])=1,"Pass","Fail")</f>
        <v>Pass</v>
      </c>
      <c r="G1094" s="6">
        <f>IF(Benchmark2[[#This Row],[Comparable '#1 Date Check]]="Pass",INDEX(Comp1[Comparable '#1 Price],MATCH(Benchmark2[[#This Row],[Benchmark '#2 Dates]],Comp1[Comparable '#1 Dates],0)),"-")</f>
        <v>12.494999999999999</v>
      </c>
      <c r="H1094" s="1" t="str">
        <f>IF(COUNTIF(Comp2[Comparable '#2 Dates],Benchmark2[[#This Row],[Benchmark '#2 Dates]])=1,"Pass","Fail")</f>
        <v>Pass</v>
      </c>
      <c r="I1094" s="6">
        <f>IF(Benchmark2[[#This Row],[Comparable '#2 Date Check]]="Pass",INDEX(Comp2[Comparable '#2 Price],MATCH(Benchmark2[[#This Row],[Benchmark '#2 Dates]],Comp2[Comparable '#2 Dates],0)),"-")</f>
        <v>41.86</v>
      </c>
      <c r="J1094" s="1" t="str">
        <f>IF(COUNTIF(Comp3[Comparable '#3 Dates],Benchmark2[[#This Row],[Benchmark '#2 Dates]])=1,"Pass","Fail")</f>
        <v>Pass</v>
      </c>
      <c r="K1094" s="6">
        <f>IF(Benchmark2[[#This Row],[Comparable '#3 Date Check]]="Pass",INDEX(Comp3[Comparable '#3 Price],MATCH(Benchmark2[[#This Row],[Benchmark '#2 Dates]],Comp3[Comparable '#3 Dates],0)),"-")</f>
        <v>73.319999999999993</v>
      </c>
    </row>
    <row r="1095" spans="1:11">
      <c r="A1095" s="103">
        <v>44869</v>
      </c>
      <c r="B1095" s="104">
        <v>14702.774600000001</v>
      </c>
      <c r="C1095" s="4">
        <f t="shared" si="17"/>
        <v>1.6949478382354912E-2</v>
      </c>
      <c r="D1095" s="1" t="str">
        <f>IF(COUNTIF(Target1[Target Dates],Benchmark2[[#This Row],[Benchmark '#2 Dates]])=1,"Pass","Fail")</f>
        <v>Pass</v>
      </c>
      <c r="E1095" s="6">
        <f>IF(Benchmark2[[#This Row],[Target Date Check]]="Pass",INDEX(Target1[Target Price],MATCH(Benchmark2[[#This Row],[Benchmark '#2 Dates]],Target1[Target Dates],0)),"-")</f>
        <v>34.01</v>
      </c>
      <c r="F1095" s="1" t="str">
        <f>IF(COUNTIF(Comp1[Comparable '#1 Dates],Benchmark2[[#This Row],[Benchmark '#2 Dates]])=1,"Pass","Fail")</f>
        <v>Pass</v>
      </c>
      <c r="G1095" s="6">
        <f>IF(Benchmark2[[#This Row],[Comparable '#1 Date Check]]="Pass",INDEX(Comp1[Comparable '#1 Price],MATCH(Benchmark2[[#This Row],[Benchmark '#2 Dates]],Comp1[Comparable '#1 Dates],0)),"-")</f>
        <v>12.22</v>
      </c>
      <c r="H1095" s="1" t="str">
        <f>IF(COUNTIF(Comp2[Comparable '#2 Dates],Benchmark2[[#This Row],[Benchmark '#2 Dates]])=1,"Pass","Fail")</f>
        <v>Pass</v>
      </c>
      <c r="I1095" s="6">
        <f>IF(Benchmark2[[#This Row],[Comparable '#2 Date Check]]="Pass",INDEX(Comp2[Comparable '#2 Price],MATCH(Benchmark2[[#This Row],[Benchmark '#2 Dates]],Comp2[Comparable '#2 Dates],0)),"-")</f>
        <v>42.27</v>
      </c>
      <c r="J1095" s="1" t="str">
        <f>IF(COUNTIF(Comp3[Comparable '#3 Dates],Benchmark2[[#This Row],[Benchmark '#2 Dates]])=1,"Pass","Fail")</f>
        <v>Pass</v>
      </c>
      <c r="K1095" s="6">
        <f>IF(Benchmark2[[#This Row],[Comparable '#3 Date Check]]="Pass",INDEX(Comp3[Comparable '#3 Price],MATCH(Benchmark2[[#This Row],[Benchmark '#2 Dates]],Comp3[Comparable '#3 Dates],0)),"-")</f>
        <v>75.34</v>
      </c>
    </row>
    <row r="1096" spans="1:11">
      <c r="A1096" s="103">
        <v>44872</v>
      </c>
      <c r="B1096" s="104">
        <v>14808.6291</v>
      </c>
      <c r="C1096" s="4">
        <f t="shared" si="17"/>
        <v>7.1738338880389671E-3</v>
      </c>
      <c r="D1096" s="1" t="str">
        <f>IF(COUNTIF(Target1[Target Dates],Benchmark2[[#This Row],[Benchmark '#2 Dates]])=1,"Pass","Fail")</f>
        <v>Pass</v>
      </c>
      <c r="E1096" s="6">
        <f>IF(Benchmark2[[#This Row],[Target Date Check]]="Pass",INDEX(Target1[Target Price],MATCH(Benchmark2[[#This Row],[Benchmark '#2 Dates]],Target1[Target Dates],0)),"-")</f>
        <v>34.46</v>
      </c>
      <c r="F1096" s="1" t="str">
        <f>IF(COUNTIF(Comp1[Comparable '#1 Dates],Benchmark2[[#This Row],[Benchmark '#2 Dates]])=1,"Pass","Fail")</f>
        <v>Pass</v>
      </c>
      <c r="G1096" s="6">
        <f>IF(Benchmark2[[#This Row],[Comparable '#1 Date Check]]="Pass",INDEX(Comp1[Comparable '#1 Price],MATCH(Benchmark2[[#This Row],[Benchmark '#2 Dates]],Comp1[Comparable '#1 Dates],0)),"-")</f>
        <v>12.2</v>
      </c>
      <c r="H1096" s="1" t="str">
        <f>IF(COUNTIF(Comp2[Comparable '#2 Dates],Benchmark2[[#This Row],[Benchmark '#2 Dates]])=1,"Pass","Fail")</f>
        <v>Pass</v>
      </c>
      <c r="I1096" s="6">
        <f>IF(Benchmark2[[#This Row],[Comparable '#2 Date Check]]="Pass",INDEX(Comp2[Comparable '#2 Price],MATCH(Benchmark2[[#This Row],[Benchmark '#2 Dates]],Comp2[Comparable '#2 Dates],0)),"-")</f>
        <v>43</v>
      </c>
      <c r="J1096" s="1" t="str">
        <f>IF(COUNTIF(Comp3[Comparable '#3 Dates],Benchmark2[[#This Row],[Benchmark '#2 Dates]])=1,"Pass","Fail")</f>
        <v>Pass</v>
      </c>
      <c r="K1096" s="6">
        <f>IF(Benchmark2[[#This Row],[Comparable '#3 Date Check]]="Pass",INDEX(Comp3[Comparable '#3 Price],MATCH(Benchmark2[[#This Row],[Benchmark '#2 Dates]],Comp3[Comparable '#3 Dates],0)),"-")</f>
        <v>78.05</v>
      </c>
    </row>
    <row r="1097" spans="1:11">
      <c r="A1097" s="103">
        <v>44873</v>
      </c>
      <c r="B1097" s="104">
        <v>14889.295400000001</v>
      </c>
      <c r="C1097" s="4">
        <f t="shared" si="17"/>
        <v>5.4324670657167149E-3</v>
      </c>
      <c r="D1097" s="1" t="str">
        <f>IF(COUNTIF(Target1[Target Dates],Benchmark2[[#This Row],[Benchmark '#2 Dates]])=1,"Pass","Fail")</f>
        <v>Pass</v>
      </c>
      <c r="E1097" s="6">
        <f>IF(Benchmark2[[#This Row],[Target Date Check]]="Pass",INDEX(Target1[Target Price],MATCH(Benchmark2[[#This Row],[Benchmark '#2 Dates]],Target1[Target Dates],0)),"-")</f>
        <v>34</v>
      </c>
      <c r="F1097" s="1" t="str">
        <f>IF(COUNTIF(Comp1[Comparable '#1 Dates],Benchmark2[[#This Row],[Benchmark '#2 Dates]])=1,"Pass","Fail")</f>
        <v>Pass</v>
      </c>
      <c r="G1097" s="6">
        <f>IF(Benchmark2[[#This Row],[Comparable '#1 Date Check]]="Pass",INDEX(Comp1[Comparable '#1 Price],MATCH(Benchmark2[[#This Row],[Benchmark '#2 Dates]],Comp1[Comparable '#1 Dates],0)),"-")</f>
        <v>11.8</v>
      </c>
      <c r="H1097" s="1" t="str">
        <f>IF(COUNTIF(Comp2[Comparable '#2 Dates],Benchmark2[[#This Row],[Benchmark '#2 Dates]])=1,"Pass","Fail")</f>
        <v>Pass</v>
      </c>
      <c r="I1097" s="6">
        <f>IF(Benchmark2[[#This Row],[Comparable '#2 Date Check]]="Pass",INDEX(Comp2[Comparable '#2 Price],MATCH(Benchmark2[[#This Row],[Benchmark '#2 Dates]],Comp2[Comparable '#2 Dates],0)),"-")</f>
        <v>44.12</v>
      </c>
      <c r="J1097" s="1" t="str">
        <f>IF(COUNTIF(Comp3[Comparable '#3 Dates],Benchmark2[[#This Row],[Benchmark '#2 Dates]])=1,"Pass","Fail")</f>
        <v>Pass</v>
      </c>
      <c r="K1097" s="6">
        <f>IF(Benchmark2[[#This Row],[Comparable '#3 Date Check]]="Pass",INDEX(Comp3[Comparable '#3 Price],MATCH(Benchmark2[[#This Row],[Benchmark '#2 Dates]],Comp3[Comparable '#3 Dates],0)),"-")</f>
        <v>78.84</v>
      </c>
    </row>
    <row r="1098" spans="1:11">
      <c r="A1098" s="103">
        <v>44874</v>
      </c>
      <c r="B1098" s="104">
        <v>14587.7613</v>
      </c>
      <c r="C1098" s="4">
        <f t="shared" si="17"/>
        <v>-2.0459615178400174E-2</v>
      </c>
      <c r="D1098" s="1" t="str">
        <f>IF(COUNTIF(Target1[Target Dates],Benchmark2[[#This Row],[Benchmark '#2 Dates]])=1,"Pass","Fail")</f>
        <v>Pass</v>
      </c>
      <c r="E1098" s="6">
        <f>IF(Benchmark2[[#This Row],[Target Date Check]]="Pass",INDEX(Target1[Target Price],MATCH(Benchmark2[[#This Row],[Benchmark '#2 Dates]],Target1[Target Dates],0)),"-")</f>
        <v>33.32</v>
      </c>
      <c r="F1098" s="1" t="str">
        <f>IF(COUNTIF(Comp1[Comparable '#1 Dates],Benchmark2[[#This Row],[Benchmark '#2 Dates]])=1,"Pass","Fail")</f>
        <v>Pass</v>
      </c>
      <c r="G1098" s="6">
        <f>IF(Benchmark2[[#This Row],[Comparable '#1 Date Check]]="Pass",INDEX(Comp1[Comparable '#1 Price],MATCH(Benchmark2[[#This Row],[Benchmark '#2 Dates]],Comp1[Comparable '#1 Dates],0)),"-")</f>
        <v>12.2</v>
      </c>
      <c r="H1098" s="1" t="str">
        <f>IF(COUNTIF(Comp2[Comparable '#2 Dates],Benchmark2[[#This Row],[Benchmark '#2 Dates]])=1,"Pass","Fail")</f>
        <v>Pass</v>
      </c>
      <c r="I1098" s="6">
        <f>IF(Benchmark2[[#This Row],[Comparable '#2 Date Check]]="Pass",INDEX(Comp2[Comparable '#2 Price],MATCH(Benchmark2[[#This Row],[Benchmark '#2 Dates]],Comp2[Comparable '#2 Dates],0)),"-")</f>
        <v>42.69</v>
      </c>
      <c r="J1098" s="1" t="str">
        <f>IF(COUNTIF(Comp3[Comparable '#3 Dates],Benchmark2[[#This Row],[Benchmark '#2 Dates]])=1,"Pass","Fail")</f>
        <v>Pass</v>
      </c>
      <c r="K1098" s="6">
        <f>IF(Benchmark2[[#This Row],[Comparable '#3 Date Check]]="Pass",INDEX(Comp3[Comparable '#3 Price],MATCH(Benchmark2[[#This Row],[Benchmark '#2 Dates]],Comp3[Comparable '#3 Dates],0)),"-")</f>
        <v>78.56</v>
      </c>
    </row>
    <row r="1099" spans="1:11">
      <c r="A1099" s="103">
        <v>44875</v>
      </c>
      <c r="B1099" s="104">
        <v>15234.72</v>
      </c>
      <c r="C1099" s="4">
        <f t="shared" si="17"/>
        <v>4.3394123486954386E-2</v>
      </c>
      <c r="D1099" s="1" t="str">
        <f>IF(COUNTIF(Target1[Target Dates],Benchmark2[[#This Row],[Benchmark '#2 Dates]])=1,"Pass","Fail")</f>
        <v>Pass</v>
      </c>
      <c r="E1099" s="6">
        <f>IF(Benchmark2[[#This Row],[Target Date Check]]="Pass",INDEX(Target1[Target Price],MATCH(Benchmark2[[#This Row],[Benchmark '#2 Dates]],Target1[Target Dates],0)),"-")</f>
        <v>34.32</v>
      </c>
      <c r="F1099" s="1" t="str">
        <f>IF(COUNTIF(Comp1[Comparable '#1 Dates],Benchmark2[[#This Row],[Benchmark '#2 Dates]])=1,"Pass","Fail")</f>
        <v>Pass</v>
      </c>
      <c r="G1099" s="6">
        <f>IF(Benchmark2[[#This Row],[Comparable '#1 Date Check]]="Pass",INDEX(Comp1[Comparable '#1 Price],MATCH(Benchmark2[[#This Row],[Benchmark '#2 Dates]],Comp1[Comparable '#1 Dates],0)),"-")</f>
        <v>12.31</v>
      </c>
      <c r="H1099" s="1" t="str">
        <f>IF(COUNTIF(Comp2[Comparable '#2 Dates],Benchmark2[[#This Row],[Benchmark '#2 Dates]])=1,"Pass","Fail")</f>
        <v>Pass</v>
      </c>
      <c r="I1099" s="6">
        <f>IF(Benchmark2[[#This Row],[Comparable '#2 Date Check]]="Pass",INDEX(Comp2[Comparable '#2 Price],MATCH(Benchmark2[[#This Row],[Benchmark '#2 Dates]],Comp2[Comparable '#2 Dates],0)),"-")</f>
        <v>42.91</v>
      </c>
      <c r="J1099" s="1" t="str">
        <f>IF(COUNTIF(Comp3[Comparable '#3 Dates],Benchmark2[[#This Row],[Benchmark '#2 Dates]])=1,"Pass","Fail")</f>
        <v>Pass</v>
      </c>
      <c r="K1099" s="6">
        <f>IF(Benchmark2[[#This Row],[Comparable '#3 Date Check]]="Pass",INDEX(Comp3[Comparable '#3 Price],MATCH(Benchmark2[[#This Row],[Benchmark '#2 Dates]],Comp3[Comparable '#3 Dates],0)),"-")</f>
        <v>79.14</v>
      </c>
    </row>
    <row r="1100" spans="1:11">
      <c r="A1100" s="103">
        <v>44876</v>
      </c>
      <c r="B1100" s="104">
        <v>15352.6877</v>
      </c>
      <c r="C1100" s="4">
        <f t="shared" si="17"/>
        <v>7.7135196328995048E-3</v>
      </c>
      <c r="D1100" s="1" t="str">
        <f>IF(COUNTIF(Target1[Target Dates],Benchmark2[[#This Row],[Benchmark '#2 Dates]])=1,"Pass","Fail")</f>
        <v>Pass</v>
      </c>
      <c r="E1100" s="6">
        <f>IF(Benchmark2[[#This Row],[Target Date Check]]="Pass",INDEX(Target1[Target Price],MATCH(Benchmark2[[#This Row],[Benchmark '#2 Dates]],Target1[Target Dates],0)),"-")</f>
        <v>34</v>
      </c>
      <c r="F1100" s="1" t="str">
        <f>IF(COUNTIF(Comp1[Comparable '#1 Dates],Benchmark2[[#This Row],[Benchmark '#2 Dates]])=1,"Pass","Fail")</f>
        <v>Pass</v>
      </c>
      <c r="G1100" s="6">
        <f>IF(Benchmark2[[#This Row],[Comparable '#1 Date Check]]="Pass",INDEX(Comp1[Comparable '#1 Price],MATCH(Benchmark2[[#This Row],[Benchmark '#2 Dates]],Comp1[Comparable '#1 Dates],0)),"-")</f>
        <v>12.06</v>
      </c>
      <c r="H1100" s="1" t="str">
        <f>IF(COUNTIF(Comp2[Comparable '#2 Dates],Benchmark2[[#This Row],[Benchmark '#2 Dates]])=1,"Pass","Fail")</f>
        <v>Pass</v>
      </c>
      <c r="I1100" s="6">
        <f>IF(Benchmark2[[#This Row],[Comparable '#2 Date Check]]="Pass",INDEX(Comp2[Comparable '#2 Price],MATCH(Benchmark2[[#This Row],[Benchmark '#2 Dates]],Comp2[Comparable '#2 Dates],0)),"-")</f>
        <v>40.549999999999997</v>
      </c>
      <c r="J1100" s="1" t="str">
        <f>IF(COUNTIF(Comp3[Comparable '#3 Dates],Benchmark2[[#This Row],[Benchmark '#2 Dates]])=1,"Pass","Fail")</f>
        <v>Pass</v>
      </c>
      <c r="K1100" s="6">
        <f>IF(Benchmark2[[#This Row],[Comparable '#3 Date Check]]="Pass",INDEX(Comp3[Comparable '#3 Price],MATCH(Benchmark2[[#This Row],[Benchmark '#2 Dates]],Comp3[Comparable '#3 Dates],0)),"-")</f>
        <v>78.349999999999994</v>
      </c>
    </row>
    <row r="1101" spans="1:11">
      <c r="A1101" s="103">
        <v>44879</v>
      </c>
      <c r="B1101" s="104">
        <v>15228.984899999999</v>
      </c>
      <c r="C1101" s="4">
        <f t="shared" si="17"/>
        <v>-8.090039828757483E-3</v>
      </c>
      <c r="D1101" s="1" t="str">
        <f>IF(COUNTIF(Target1[Target Dates],Benchmark2[[#This Row],[Benchmark '#2 Dates]])=1,"Pass","Fail")</f>
        <v>Pass</v>
      </c>
      <c r="E1101" s="6">
        <f>IF(Benchmark2[[#This Row],[Target Date Check]]="Pass",INDEX(Target1[Target Price],MATCH(Benchmark2[[#This Row],[Benchmark '#2 Dates]],Target1[Target Dates],0)),"-")</f>
        <v>35.049999999999997</v>
      </c>
      <c r="F1101" s="1" t="str">
        <f>IF(COUNTIF(Comp1[Comparable '#1 Dates],Benchmark2[[#This Row],[Benchmark '#2 Dates]])=1,"Pass","Fail")</f>
        <v>Pass</v>
      </c>
      <c r="G1101" s="6">
        <f>IF(Benchmark2[[#This Row],[Comparable '#1 Date Check]]="Pass",INDEX(Comp1[Comparable '#1 Price],MATCH(Benchmark2[[#This Row],[Benchmark '#2 Dates]],Comp1[Comparable '#1 Dates],0)),"-")</f>
        <v>12.11</v>
      </c>
      <c r="H1101" s="1" t="str">
        <f>IF(COUNTIF(Comp2[Comparable '#2 Dates],Benchmark2[[#This Row],[Benchmark '#2 Dates]])=1,"Pass","Fail")</f>
        <v>Pass</v>
      </c>
      <c r="I1101" s="6">
        <f>IF(Benchmark2[[#This Row],[Comparable '#2 Date Check]]="Pass",INDEX(Comp2[Comparable '#2 Price],MATCH(Benchmark2[[#This Row],[Benchmark '#2 Dates]],Comp2[Comparable '#2 Dates],0)),"-")</f>
        <v>39.72</v>
      </c>
      <c r="J1101" s="1" t="str">
        <f>IF(COUNTIF(Comp3[Comparable '#3 Dates],Benchmark2[[#This Row],[Benchmark '#2 Dates]])=1,"Pass","Fail")</f>
        <v>Pass</v>
      </c>
      <c r="K1101" s="6">
        <f>IF(Benchmark2[[#This Row],[Comparable '#3 Date Check]]="Pass",INDEX(Comp3[Comparable '#3 Price],MATCH(Benchmark2[[#This Row],[Benchmark '#2 Dates]],Comp3[Comparable '#3 Dates],0)),"-")</f>
        <v>77.67</v>
      </c>
    </row>
    <row r="1102" spans="1:11">
      <c r="A1102" s="103">
        <v>44880</v>
      </c>
      <c r="B1102" s="104">
        <v>15381.002500000001</v>
      </c>
      <c r="C1102" s="4">
        <f t="shared" si="17"/>
        <v>9.9326306681134322E-3</v>
      </c>
      <c r="D1102" s="1" t="str">
        <f>IF(COUNTIF(Target1[Target Dates],Benchmark2[[#This Row],[Benchmark '#2 Dates]])=1,"Pass","Fail")</f>
        <v>Pass</v>
      </c>
      <c r="E1102" s="6">
        <f>IF(Benchmark2[[#This Row],[Target Date Check]]="Pass",INDEX(Target1[Target Price],MATCH(Benchmark2[[#This Row],[Benchmark '#2 Dates]],Target1[Target Dates],0)),"-")</f>
        <v>35.79</v>
      </c>
      <c r="F1102" s="1" t="str">
        <f>IF(COUNTIF(Comp1[Comparable '#1 Dates],Benchmark2[[#This Row],[Benchmark '#2 Dates]])=1,"Pass","Fail")</f>
        <v>Pass</v>
      </c>
      <c r="G1102" s="6">
        <f>IF(Benchmark2[[#This Row],[Comparable '#1 Date Check]]="Pass",INDEX(Comp1[Comparable '#1 Price],MATCH(Benchmark2[[#This Row],[Benchmark '#2 Dates]],Comp1[Comparable '#1 Dates],0)),"-")</f>
        <v>12.15</v>
      </c>
      <c r="H1102" s="1" t="str">
        <f>IF(COUNTIF(Comp2[Comparable '#2 Dates],Benchmark2[[#This Row],[Benchmark '#2 Dates]])=1,"Pass","Fail")</f>
        <v>Pass</v>
      </c>
      <c r="I1102" s="6">
        <f>IF(Benchmark2[[#This Row],[Comparable '#2 Date Check]]="Pass",INDEX(Comp2[Comparable '#2 Price],MATCH(Benchmark2[[#This Row],[Benchmark '#2 Dates]],Comp2[Comparable '#2 Dates],0)),"-")</f>
        <v>39.729999999999997</v>
      </c>
      <c r="J1102" s="1" t="str">
        <f>IF(COUNTIF(Comp3[Comparable '#3 Dates],Benchmark2[[#This Row],[Benchmark '#2 Dates]])=1,"Pass","Fail")</f>
        <v>Pass</v>
      </c>
      <c r="K1102" s="6">
        <f>IF(Benchmark2[[#This Row],[Comparable '#3 Date Check]]="Pass",INDEX(Comp3[Comparable '#3 Price],MATCH(Benchmark2[[#This Row],[Benchmark '#2 Dates]],Comp3[Comparable '#3 Dates],0)),"-")</f>
        <v>79.09</v>
      </c>
    </row>
    <row r="1103" spans="1:11">
      <c r="A1103" s="103">
        <v>44881</v>
      </c>
      <c r="B1103" s="104">
        <v>15265.250599999999</v>
      </c>
      <c r="C1103" s="4">
        <f t="shared" si="17"/>
        <v>-7.5541013163958016E-3</v>
      </c>
      <c r="D1103" s="1" t="str">
        <f>IF(COUNTIF(Target1[Target Dates],Benchmark2[[#This Row],[Benchmark '#2 Dates]])=1,"Pass","Fail")</f>
        <v>Pass</v>
      </c>
      <c r="E1103" s="6">
        <f>IF(Benchmark2[[#This Row],[Target Date Check]]="Pass",INDEX(Target1[Target Price],MATCH(Benchmark2[[#This Row],[Benchmark '#2 Dates]],Target1[Target Dates],0)),"-")</f>
        <v>35.11</v>
      </c>
      <c r="F1103" s="1" t="str">
        <f>IF(COUNTIF(Comp1[Comparable '#1 Dates],Benchmark2[[#This Row],[Benchmark '#2 Dates]])=1,"Pass","Fail")</f>
        <v>Pass</v>
      </c>
      <c r="G1103" s="6">
        <f>IF(Benchmark2[[#This Row],[Comparable '#1 Date Check]]="Pass",INDEX(Comp1[Comparable '#1 Price],MATCH(Benchmark2[[#This Row],[Benchmark '#2 Dates]],Comp1[Comparable '#1 Dates],0)),"-")</f>
        <v>10.78</v>
      </c>
      <c r="H1103" s="1" t="str">
        <f>IF(COUNTIF(Comp2[Comparable '#2 Dates],Benchmark2[[#This Row],[Benchmark '#2 Dates]])=1,"Pass","Fail")</f>
        <v>Pass</v>
      </c>
      <c r="I1103" s="6">
        <f>IF(Benchmark2[[#This Row],[Comparable '#2 Date Check]]="Pass",INDEX(Comp2[Comparable '#2 Price],MATCH(Benchmark2[[#This Row],[Benchmark '#2 Dates]],Comp2[Comparable '#2 Dates],0)),"-")</f>
        <v>40.85</v>
      </c>
      <c r="J1103" s="1" t="str">
        <f>IF(COUNTIF(Comp3[Comparable '#3 Dates],Benchmark2[[#This Row],[Benchmark '#2 Dates]])=1,"Pass","Fail")</f>
        <v>Pass</v>
      </c>
      <c r="K1103" s="6">
        <f>IF(Benchmark2[[#This Row],[Comparable '#3 Date Check]]="Pass",INDEX(Comp3[Comparable '#3 Price],MATCH(Benchmark2[[#This Row],[Benchmark '#2 Dates]],Comp3[Comparable '#3 Dates],0)),"-")</f>
        <v>79.47</v>
      </c>
    </row>
    <row r="1104" spans="1:11">
      <c r="A1104" s="103">
        <v>44882</v>
      </c>
      <c r="B1104" s="104">
        <v>15223.9558</v>
      </c>
      <c r="C1104" s="4">
        <f t="shared" si="17"/>
        <v>-2.7088160123892764E-3</v>
      </c>
      <c r="D1104" s="1" t="str">
        <f>IF(COUNTIF(Target1[Target Dates],Benchmark2[[#This Row],[Benchmark '#2 Dates]])=1,"Pass","Fail")</f>
        <v>Pass</v>
      </c>
      <c r="E1104" s="6">
        <f>IF(Benchmark2[[#This Row],[Target Date Check]]="Pass",INDEX(Target1[Target Price],MATCH(Benchmark2[[#This Row],[Benchmark '#2 Dates]],Target1[Target Dates],0)),"-")</f>
        <v>35.18</v>
      </c>
      <c r="F1104" s="1" t="str">
        <f>IF(COUNTIF(Comp1[Comparable '#1 Dates],Benchmark2[[#This Row],[Benchmark '#2 Dates]])=1,"Pass","Fail")</f>
        <v>Pass</v>
      </c>
      <c r="G1104" s="6">
        <f>IF(Benchmark2[[#This Row],[Comparable '#1 Date Check]]="Pass",INDEX(Comp1[Comparable '#1 Price],MATCH(Benchmark2[[#This Row],[Benchmark '#2 Dates]],Comp1[Comparable '#1 Dates],0)),"-")</f>
        <v>10.050000000000001</v>
      </c>
      <c r="H1104" s="1" t="str">
        <f>IF(COUNTIF(Comp2[Comparable '#2 Dates],Benchmark2[[#This Row],[Benchmark '#2 Dates]])=1,"Pass","Fail")</f>
        <v>Pass</v>
      </c>
      <c r="I1104" s="6">
        <f>IF(Benchmark2[[#This Row],[Comparable '#2 Date Check]]="Pass",INDEX(Comp2[Comparable '#2 Price],MATCH(Benchmark2[[#This Row],[Benchmark '#2 Dates]],Comp2[Comparable '#2 Dates],0)),"-")</f>
        <v>40.53</v>
      </c>
      <c r="J1104" s="1" t="str">
        <f>IF(COUNTIF(Comp3[Comparable '#3 Dates],Benchmark2[[#This Row],[Benchmark '#2 Dates]])=1,"Pass","Fail")</f>
        <v>Pass</v>
      </c>
      <c r="K1104" s="6">
        <f>IF(Benchmark2[[#This Row],[Comparable '#3 Date Check]]="Pass",INDEX(Comp3[Comparable '#3 Price],MATCH(Benchmark2[[#This Row],[Benchmark '#2 Dates]],Comp3[Comparable '#3 Dates],0)),"-")</f>
        <v>79.650000000000006</v>
      </c>
    </row>
    <row r="1105" spans="1:11">
      <c r="A1105" s="103">
        <v>44883</v>
      </c>
      <c r="B1105" s="104">
        <v>15309.7691</v>
      </c>
      <c r="C1105" s="4">
        <f t="shared" si="17"/>
        <v>5.6209012308086241E-3</v>
      </c>
      <c r="D1105" s="1" t="str">
        <f>IF(COUNTIF(Target1[Target Dates],Benchmark2[[#This Row],[Benchmark '#2 Dates]])=1,"Pass","Fail")</f>
        <v>Pass</v>
      </c>
      <c r="E1105" s="6">
        <f>IF(Benchmark2[[#This Row],[Target Date Check]]="Pass",INDEX(Target1[Target Price],MATCH(Benchmark2[[#This Row],[Benchmark '#2 Dates]],Target1[Target Dates],0)),"-")</f>
        <v>35.65</v>
      </c>
      <c r="F1105" s="1" t="str">
        <f>IF(COUNTIF(Comp1[Comparable '#1 Dates],Benchmark2[[#This Row],[Benchmark '#2 Dates]])=1,"Pass","Fail")</f>
        <v>Pass</v>
      </c>
      <c r="G1105" s="6">
        <f>IF(Benchmark2[[#This Row],[Comparable '#1 Date Check]]="Pass",INDEX(Comp1[Comparable '#1 Price],MATCH(Benchmark2[[#This Row],[Benchmark '#2 Dates]],Comp1[Comparable '#1 Dates],0)),"-")</f>
        <v>10.210000000000001</v>
      </c>
      <c r="H1105" s="1" t="str">
        <f>IF(COUNTIF(Comp2[Comparable '#2 Dates],Benchmark2[[#This Row],[Benchmark '#2 Dates]])=1,"Pass","Fail")</f>
        <v>Pass</v>
      </c>
      <c r="I1105" s="6">
        <f>IF(Benchmark2[[#This Row],[Comparable '#2 Date Check]]="Pass",INDEX(Comp2[Comparable '#2 Price],MATCH(Benchmark2[[#This Row],[Benchmark '#2 Dates]],Comp2[Comparable '#2 Dates],0)),"-")</f>
        <v>40.83</v>
      </c>
      <c r="J1105" s="1" t="str">
        <f>IF(COUNTIF(Comp3[Comparable '#3 Dates],Benchmark2[[#This Row],[Benchmark '#2 Dates]])=1,"Pass","Fail")</f>
        <v>Pass</v>
      </c>
      <c r="K1105" s="6">
        <f>IF(Benchmark2[[#This Row],[Comparable '#3 Date Check]]="Pass",INDEX(Comp3[Comparable '#3 Price],MATCH(Benchmark2[[#This Row],[Benchmark '#2 Dates]],Comp3[Comparable '#3 Dates],0)),"-")</f>
        <v>79.819999999999993</v>
      </c>
    </row>
    <row r="1106" spans="1:11">
      <c r="A1106" s="103">
        <v>44886</v>
      </c>
      <c r="B1106" s="104">
        <v>15278.259099999999</v>
      </c>
      <c r="C1106" s="4">
        <f t="shared" si="17"/>
        <v>-2.0602839084643315E-3</v>
      </c>
      <c r="D1106" s="1" t="str">
        <f>IF(COUNTIF(Target1[Target Dates],Benchmark2[[#This Row],[Benchmark '#2 Dates]])=1,"Pass","Fail")</f>
        <v>Pass</v>
      </c>
      <c r="E1106" s="6">
        <f>IF(Benchmark2[[#This Row],[Target Date Check]]="Pass",INDEX(Target1[Target Price],MATCH(Benchmark2[[#This Row],[Benchmark '#2 Dates]],Target1[Target Dates],0)),"-")</f>
        <v>35.89</v>
      </c>
      <c r="F1106" s="1" t="str">
        <f>IF(COUNTIF(Comp1[Comparable '#1 Dates],Benchmark2[[#This Row],[Benchmark '#2 Dates]])=1,"Pass","Fail")</f>
        <v>Pass</v>
      </c>
      <c r="G1106" s="6">
        <f>IF(Benchmark2[[#This Row],[Comparable '#1 Date Check]]="Pass",INDEX(Comp1[Comparable '#1 Price],MATCH(Benchmark2[[#This Row],[Benchmark '#2 Dates]],Comp1[Comparable '#1 Dates],0)),"-")</f>
        <v>10.46</v>
      </c>
      <c r="H1106" s="1" t="str">
        <f>IF(COUNTIF(Comp2[Comparable '#2 Dates],Benchmark2[[#This Row],[Benchmark '#2 Dates]])=1,"Pass","Fail")</f>
        <v>Pass</v>
      </c>
      <c r="I1106" s="6">
        <f>IF(Benchmark2[[#This Row],[Comparable '#2 Date Check]]="Pass",INDEX(Comp2[Comparable '#2 Price],MATCH(Benchmark2[[#This Row],[Benchmark '#2 Dates]],Comp2[Comparable '#2 Dates],0)),"-")</f>
        <v>40.39</v>
      </c>
      <c r="J1106" s="1" t="str">
        <f>IF(COUNTIF(Comp3[Comparable '#3 Dates],Benchmark2[[#This Row],[Benchmark '#2 Dates]])=1,"Pass","Fail")</f>
        <v>Pass</v>
      </c>
      <c r="K1106" s="6">
        <f>IF(Benchmark2[[#This Row],[Comparable '#3 Date Check]]="Pass",INDEX(Comp3[Comparable '#3 Price],MATCH(Benchmark2[[#This Row],[Benchmark '#2 Dates]],Comp3[Comparable '#3 Dates],0)),"-")</f>
        <v>80.39</v>
      </c>
    </row>
    <row r="1107" spans="1:11">
      <c r="A1107" s="103">
        <v>44887</v>
      </c>
      <c r="B1107" s="104">
        <v>15481.7567</v>
      </c>
      <c r="C1107" s="4">
        <f t="shared" si="17"/>
        <v>1.3231499633724962E-2</v>
      </c>
      <c r="D1107" s="1" t="str">
        <f>IF(COUNTIF(Target1[Target Dates],Benchmark2[[#This Row],[Benchmark '#2 Dates]])=1,"Pass","Fail")</f>
        <v>Pass</v>
      </c>
      <c r="E1107" s="6">
        <f>IF(Benchmark2[[#This Row],[Target Date Check]]="Pass",INDEX(Target1[Target Price],MATCH(Benchmark2[[#This Row],[Benchmark '#2 Dates]],Target1[Target Dates],0)),"-")</f>
        <v>35.659999999999997</v>
      </c>
      <c r="F1107" s="1" t="str">
        <f>IF(COUNTIF(Comp1[Comparable '#1 Dates],Benchmark2[[#This Row],[Benchmark '#2 Dates]])=1,"Pass","Fail")</f>
        <v>Pass</v>
      </c>
      <c r="G1107" s="6">
        <f>IF(Benchmark2[[#This Row],[Comparable '#1 Date Check]]="Pass",INDEX(Comp1[Comparable '#1 Price],MATCH(Benchmark2[[#This Row],[Benchmark '#2 Dates]],Comp1[Comparable '#1 Dates],0)),"-")</f>
        <v>10.49</v>
      </c>
      <c r="H1107" s="1" t="str">
        <f>IF(COUNTIF(Comp2[Comparable '#2 Dates],Benchmark2[[#This Row],[Benchmark '#2 Dates]])=1,"Pass","Fail")</f>
        <v>Pass</v>
      </c>
      <c r="I1107" s="6">
        <f>IF(Benchmark2[[#This Row],[Comparable '#2 Date Check]]="Pass",INDEX(Comp2[Comparable '#2 Price],MATCH(Benchmark2[[#This Row],[Benchmark '#2 Dates]],Comp2[Comparable '#2 Dates],0)),"-")</f>
        <v>40.92</v>
      </c>
      <c r="J1107" s="1" t="str">
        <f>IF(COUNTIF(Comp3[Comparable '#3 Dates],Benchmark2[[#This Row],[Benchmark '#2 Dates]])=1,"Pass","Fail")</f>
        <v>Pass</v>
      </c>
      <c r="K1107" s="6">
        <f>IF(Benchmark2[[#This Row],[Comparable '#3 Date Check]]="Pass",INDEX(Comp3[Comparable '#3 Price],MATCH(Benchmark2[[#This Row],[Benchmark '#2 Dates]],Comp3[Comparable '#3 Dates],0)),"-")</f>
        <v>81.650000000000006</v>
      </c>
    </row>
    <row r="1108" spans="1:11">
      <c r="A1108" s="103">
        <v>44888</v>
      </c>
      <c r="B1108" s="104">
        <v>15545.517099999999</v>
      </c>
      <c r="C1108" s="4">
        <f t="shared" si="17"/>
        <v>4.1099640376605325E-3</v>
      </c>
      <c r="D1108" s="1" t="str">
        <f>IF(COUNTIF(Target1[Target Dates],Benchmark2[[#This Row],[Benchmark '#2 Dates]])=1,"Pass","Fail")</f>
        <v>Pass</v>
      </c>
      <c r="E1108" s="6">
        <f>IF(Benchmark2[[#This Row],[Target Date Check]]="Pass",INDEX(Target1[Target Price],MATCH(Benchmark2[[#This Row],[Benchmark '#2 Dates]],Target1[Target Dates],0)),"-")</f>
        <v>35.659999999999997</v>
      </c>
      <c r="F1108" s="1" t="str">
        <f>IF(COUNTIF(Comp1[Comparable '#1 Dates],Benchmark2[[#This Row],[Benchmark '#2 Dates]])=1,"Pass","Fail")</f>
        <v>Pass</v>
      </c>
      <c r="G1108" s="6">
        <f>IF(Benchmark2[[#This Row],[Comparable '#1 Date Check]]="Pass",INDEX(Comp1[Comparable '#1 Price],MATCH(Benchmark2[[#This Row],[Benchmark '#2 Dates]],Comp1[Comparable '#1 Dates],0)),"-")</f>
        <v>10.199999999999999</v>
      </c>
      <c r="H1108" s="1" t="str">
        <f>IF(COUNTIF(Comp2[Comparable '#2 Dates],Benchmark2[[#This Row],[Benchmark '#2 Dates]])=1,"Pass","Fail")</f>
        <v>Pass</v>
      </c>
      <c r="I1108" s="6">
        <f>IF(Benchmark2[[#This Row],[Comparable '#2 Date Check]]="Pass",INDEX(Comp2[Comparable '#2 Price],MATCH(Benchmark2[[#This Row],[Benchmark '#2 Dates]],Comp2[Comparable '#2 Dates],0)),"-")</f>
        <v>40.47</v>
      </c>
      <c r="J1108" s="1" t="str">
        <f>IF(COUNTIF(Comp3[Comparable '#3 Dates],Benchmark2[[#This Row],[Benchmark '#2 Dates]])=1,"Pass","Fail")</f>
        <v>Pass</v>
      </c>
      <c r="K1108" s="6">
        <f>IF(Benchmark2[[#This Row],[Comparable '#3 Date Check]]="Pass",INDEX(Comp3[Comparable '#3 Price],MATCH(Benchmark2[[#This Row],[Benchmark '#2 Dates]],Comp3[Comparable '#3 Dates],0)),"-")</f>
        <v>81.12</v>
      </c>
    </row>
    <row r="1109" spans="1:11">
      <c r="A1109" s="103">
        <v>44890</v>
      </c>
      <c r="B1109" s="104">
        <v>15605.6744</v>
      </c>
      <c r="C1109" s="4">
        <f t="shared" si="17"/>
        <v>3.8622840337720794E-3</v>
      </c>
      <c r="D1109" s="1" t="str">
        <f>IF(COUNTIF(Target1[Target Dates],Benchmark2[[#This Row],[Benchmark '#2 Dates]])=1,"Pass","Fail")</f>
        <v>Pass</v>
      </c>
      <c r="E1109" s="6">
        <f>IF(Benchmark2[[#This Row],[Target Date Check]]="Pass",INDEX(Target1[Target Price],MATCH(Benchmark2[[#This Row],[Benchmark '#2 Dates]],Target1[Target Dates],0)),"-")</f>
        <v>35.69</v>
      </c>
      <c r="F1109" s="1" t="str">
        <f>IF(COUNTIF(Comp1[Comparable '#1 Dates],Benchmark2[[#This Row],[Benchmark '#2 Dates]])=1,"Pass","Fail")</f>
        <v>Pass</v>
      </c>
      <c r="G1109" s="6">
        <f>IF(Benchmark2[[#This Row],[Comparable '#1 Date Check]]="Pass",INDEX(Comp1[Comparable '#1 Price],MATCH(Benchmark2[[#This Row],[Benchmark '#2 Dates]],Comp1[Comparable '#1 Dates],0)),"-")</f>
        <v>10.31</v>
      </c>
      <c r="H1109" s="1" t="str">
        <f>IF(COUNTIF(Comp2[Comparable '#2 Dates],Benchmark2[[#This Row],[Benchmark '#2 Dates]])=1,"Pass","Fail")</f>
        <v>Pass</v>
      </c>
      <c r="I1109" s="6">
        <f>IF(Benchmark2[[#This Row],[Comparable '#2 Date Check]]="Pass",INDEX(Comp2[Comparable '#2 Price],MATCH(Benchmark2[[#This Row],[Benchmark '#2 Dates]],Comp2[Comparable '#2 Dates],0)),"-")</f>
        <v>40.340000000000003</v>
      </c>
      <c r="J1109" s="1" t="str">
        <f>IF(COUNTIF(Comp3[Comparable '#3 Dates],Benchmark2[[#This Row],[Benchmark '#2 Dates]])=1,"Pass","Fail")</f>
        <v>Pass</v>
      </c>
      <c r="K1109" s="6">
        <f>IF(Benchmark2[[#This Row],[Comparable '#3 Date Check]]="Pass",INDEX(Comp3[Comparable '#3 Price],MATCH(Benchmark2[[#This Row],[Benchmark '#2 Dates]],Comp3[Comparable '#3 Dates],0)),"-")</f>
        <v>80.64</v>
      </c>
    </row>
    <row r="1110" spans="1:11">
      <c r="A1110" s="103">
        <v>44893</v>
      </c>
      <c r="B1110" s="104">
        <v>15370.4432</v>
      </c>
      <c r="C1110" s="4">
        <f t="shared" si="17"/>
        <v>-1.5188199178176763E-2</v>
      </c>
      <c r="D1110" s="1" t="str">
        <f>IF(COUNTIF(Target1[Target Dates],Benchmark2[[#This Row],[Benchmark '#2 Dates]])=1,"Pass","Fail")</f>
        <v>Pass</v>
      </c>
      <c r="E1110" s="6">
        <f>IF(Benchmark2[[#This Row],[Target Date Check]]="Pass",INDEX(Target1[Target Price],MATCH(Benchmark2[[#This Row],[Benchmark '#2 Dates]],Target1[Target Dates],0)),"-")</f>
        <v>35.97</v>
      </c>
      <c r="F1110" s="1" t="str">
        <f>IF(COUNTIF(Comp1[Comparable '#1 Dates],Benchmark2[[#This Row],[Benchmark '#2 Dates]])=1,"Pass","Fail")</f>
        <v>Pass</v>
      </c>
      <c r="G1110" s="6">
        <f>IF(Benchmark2[[#This Row],[Comparable '#1 Date Check]]="Pass",INDEX(Comp1[Comparable '#1 Price],MATCH(Benchmark2[[#This Row],[Benchmark '#2 Dates]],Comp1[Comparable '#1 Dates],0)),"-")</f>
        <v>10.26</v>
      </c>
      <c r="H1110" s="1" t="str">
        <f>IF(COUNTIF(Comp2[Comparable '#2 Dates],Benchmark2[[#This Row],[Benchmark '#2 Dates]])=1,"Pass","Fail")</f>
        <v>Pass</v>
      </c>
      <c r="I1110" s="6">
        <f>IF(Benchmark2[[#This Row],[Comparable '#2 Date Check]]="Pass",INDEX(Comp2[Comparable '#2 Price],MATCH(Benchmark2[[#This Row],[Benchmark '#2 Dates]],Comp2[Comparable '#2 Dates],0)),"-")</f>
        <v>40.68</v>
      </c>
      <c r="J1110" s="1" t="str">
        <f>IF(COUNTIF(Comp3[Comparable '#3 Dates],Benchmark2[[#This Row],[Benchmark '#2 Dates]])=1,"Pass","Fail")</f>
        <v>Pass</v>
      </c>
      <c r="K1110" s="6">
        <f>IF(Benchmark2[[#This Row],[Comparable '#3 Date Check]]="Pass",INDEX(Comp3[Comparable '#3 Price],MATCH(Benchmark2[[#This Row],[Benchmark '#2 Dates]],Comp3[Comparable '#3 Dates],0)),"-")</f>
        <v>79.959999999999994</v>
      </c>
    </row>
    <row r="1111" spans="1:11">
      <c r="A1111" s="103">
        <v>44894</v>
      </c>
      <c r="B1111" s="104">
        <v>15433.4629</v>
      </c>
      <c r="C1111" s="4">
        <f t="shared" si="17"/>
        <v>4.091675108822415E-3</v>
      </c>
      <c r="D1111" s="1" t="str">
        <f>IF(COUNTIF(Target1[Target Dates],Benchmark2[[#This Row],[Benchmark '#2 Dates]])=1,"Pass","Fail")</f>
        <v>Pass</v>
      </c>
      <c r="E1111" s="6">
        <f>IF(Benchmark2[[#This Row],[Target Date Check]]="Pass",INDEX(Target1[Target Price],MATCH(Benchmark2[[#This Row],[Benchmark '#2 Dates]],Target1[Target Dates],0)),"-")</f>
        <v>35.799999999999997</v>
      </c>
      <c r="F1111" s="1" t="str">
        <f>IF(COUNTIF(Comp1[Comparable '#1 Dates],Benchmark2[[#This Row],[Benchmark '#2 Dates]])=1,"Pass","Fail")</f>
        <v>Pass</v>
      </c>
      <c r="G1111" s="6">
        <f>IF(Benchmark2[[#This Row],[Comparable '#1 Date Check]]="Pass",INDEX(Comp1[Comparable '#1 Price],MATCH(Benchmark2[[#This Row],[Benchmark '#2 Dates]],Comp1[Comparable '#1 Dates],0)),"-")</f>
        <v>10.220000000000001</v>
      </c>
      <c r="H1111" s="1" t="str">
        <f>IF(COUNTIF(Comp2[Comparable '#2 Dates],Benchmark2[[#This Row],[Benchmark '#2 Dates]])=1,"Pass","Fail")</f>
        <v>Pass</v>
      </c>
      <c r="I1111" s="6">
        <f>IF(Benchmark2[[#This Row],[Comparable '#2 Date Check]]="Pass",INDEX(Comp2[Comparable '#2 Price],MATCH(Benchmark2[[#This Row],[Benchmark '#2 Dates]],Comp2[Comparable '#2 Dates],0)),"-")</f>
        <v>40.71</v>
      </c>
      <c r="J1111" s="1" t="str">
        <f>IF(COUNTIF(Comp3[Comparable '#3 Dates],Benchmark2[[#This Row],[Benchmark '#2 Dates]])=1,"Pass","Fail")</f>
        <v>Pass</v>
      </c>
      <c r="K1111" s="6">
        <f>IF(Benchmark2[[#This Row],[Comparable '#3 Date Check]]="Pass",INDEX(Comp3[Comparable '#3 Price],MATCH(Benchmark2[[#This Row],[Benchmark '#2 Dates]],Comp3[Comparable '#3 Dates],0)),"-")</f>
        <v>80.3</v>
      </c>
    </row>
    <row r="1112" spans="1:11">
      <c r="A1112" s="103">
        <v>44895</v>
      </c>
      <c r="B1112" s="104">
        <v>15780.0185</v>
      </c>
      <c r="C1112" s="4">
        <f t="shared" si="17"/>
        <v>2.2206420149910627E-2</v>
      </c>
      <c r="D1112" s="1" t="str">
        <f>IF(COUNTIF(Target1[Target Dates],Benchmark2[[#This Row],[Benchmark '#2 Dates]])=1,"Pass","Fail")</f>
        <v>Pass</v>
      </c>
      <c r="E1112" s="6">
        <f>IF(Benchmark2[[#This Row],[Target Date Check]]="Pass",INDEX(Target1[Target Price],MATCH(Benchmark2[[#This Row],[Benchmark '#2 Dates]],Target1[Target Dates],0)),"-")</f>
        <v>35.409999999999997</v>
      </c>
      <c r="F1112" s="1" t="str">
        <f>IF(COUNTIF(Comp1[Comparable '#1 Dates],Benchmark2[[#This Row],[Benchmark '#2 Dates]])=1,"Pass","Fail")</f>
        <v>Pass</v>
      </c>
      <c r="G1112" s="6">
        <f>IF(Benchmark2[[#This Row],[Comparable '#1 Date Check]]="Pass",INDEX(Comp1[Comparable '#1 Price],MATCH(Benchmark2[[#This Row],[Benchmark '#2 Dates]],Comp1[Comparable '#1 Dates],0)),"-")</f>
        <v>10.48</v>
      </c>
      <c r="H1112" s="1" t="str">
        <f>IF(COUNTIF(Comp2[Comparable '#2 Dates],Benchmark2[[#This Row],[Benchmark '#2 Dates]])=1,"Pass","Fail")</f>
        <v>Pass</v>
      </c>
      <c r="I1112" s="6">
        <f>IF(Benchmark2[[#This Row],[Comparable '#2 Date Check]]="Pass",INDEX(Comp2[Comparable '#2 Price],MATCH(Benchmark2[[#This Row],[Benchmark '#2 Dates]],Comp2[Comparable '#2 Dates],0)),"-")</f>
        <v>41.6</v>
      </c>
      <c r="J1112" s="1" t="str">
        <f>IF(COUNTIF(Comp3[Comparable '#3 Dates],Benchmark2[[#This Row],[Benchmark '#2 Dates]])=1,"Pass","Fail")</f>
        <v>Pass</v>
      </c>
      <c r="K1112" s="6">
        <f>IF(Benchmark2[[#This Row],[Comparable '#3 Date Check]]="Pass",INDEX(Comp3[Comparable '#3 Price],MATCH(Benchmark2[[#This Row],[Benchmark '#2 Dates]],Comp3[Comparable '#3 Dates],0)),"-")</f>
        <v>81.8</v>
      </c>
    </row>
    <row r="1113" spans="1:11">
      <c r="A1113" s="103">
        <v>44896</v>
      </c>
      <c r="B1113" s="104">
        <v>15761.124</v>
      </c>
      <c r="C1113" s="4">
        <f t="shared" si="17"/>
        <v>-1.1980861035781076E-3</v>
      </c>
      <c r="D1113" s="1" t="str">
        <f>IF(COUNTIF(Target1[Target Dates],Benchmark2[[#This Row],[Benchmark '#2 Dates]])=1,"Pass","Fail")</f>
        <v>Pass</v>
      </c>
      <c r="E1113" s="6">
        <f>IF(Benchmark2[[#This Row],[Target Date Check]]="Pass",INDEX(Target1[Target Price],MATCH(Benchmark2[[#This Row],[Benchmark '#2 Dates]],Target1[Target Dates],0)),"-")</f>
        <v>34.56</v>
      </c>
      <c r="F1113" s="1" t="str">
        <f>IF(COUNTIF(Comp1[Comparable '#1 Dates],Benchmark2[[#This Row],[Benchmark '#2 Dates]])=1,"Pass","Fail")</f>
        <v>Pass</v>
      </c>
      <c r="G1113" s="6">
        <f>IF(Benchmark2[[#This Row],[Comparable '#1 Date Check]]="Pass",INDEX(Comp1[Comparable '#1 Price],MATCH(Benchmark2[[#This Row],[Benchmark '#2 Dates]],Comp1[Comparable '#1 Dates],0)),"-")</f>
        <v>10.3</v>
      </c>
      <c r="H1113" s="1" t="str">
        <f>IF(COUNTIF(Comp2[Comparable '#2 Dates],Benchmark2[[#This Row],[Benchmark '#2 Dates]])=1,"Pass","Fail")</f>
        <v>Pass</v>
      </c>
      <c r="I1113" s="6">
        <f>IF(Benchmark2[[#This Row],[Comparable '#2 Date Check]]="Pass",INDEX(Comp2[Comparable '#2 Price],MATCH(Benchmark2[[#This Row],[Benchmark '#2 Dates]],Comp2[Comparable '#2 Dates],0)),"-")</f>
        <v>41.24</v>
      </c>
      <c r="J1113" s="1" t="str">
        <f>IF(COUNTIF(Comp3[Comparable '#3 Dates],Benchmark2[[#This Row],[Benchmark '#2 Dates]])=1,"Pass","Fail")</f>
        <v>Pass</v>
      </c>
      <c r="K1113" s="6">
        <f>IF(Benchmark2[[#This Row],[Comparable '#3 Date Check]]="Pass",INDEX(Comp3[Comparable '#3 Price],MATCH(Benchmark2[[#This Row],[Benchmark '#2 Dates]],Comp3[Comparable '#3 Dates],0)),"-")</f>
        <v>80.53</v>
      </c>
    </row>
    <row r="1114" spans="1:11">
      <c r="A1114" s="103">
        <v>44897</v>
      </c>
      <c r="B1114" s="104">
        <v>15767.0167</v>
      </c>
      <c r="C1114" s="4">
        <f t="shared" si="17"/>
        <v>3.7380574545677655E-4</v>
      </c>
      <c r="D1114" s="1" t="str">
        <f>IF(COUNTIF(Target1[Target Dates],Benchmark2[[#This Row],[Benchmark '#2 Dates]])=1,"Pass","Fail")</f>
        <v>Pass</v>
      </c>
      <c r="E1114" s="6">
        <f>IF(Benchmark2[[#This Row],[Target Date Check]]="Pass",INDEX(Target1[Target Price],MATCH(Benchmark2[[#This Row],[Benchmark '#2 Dates]],Target1[Target Dates],0)),"-")</f>
        <v>34.409999999999997</v>
      </c>
      <c r="F1114" s="1" t="str">
        <f>IF(COUNTIF(Comp1[Comparable '#1 Dates],Benchmark2[[#This Row],[Benchmark '#2 Dates]])=1,"Pass","Fail")</f>
        <v>Pass</v>
      </c>
      <c r="G1114" s="6">
        <f>IF(Benchmark2[[#This Row],[Comparable '#1 Date Check]]="Pass",INDEX(Comp1[Comparable '#1 Price],MATCH(Benchmark2[[#This Row],[Benchmark '#2 Dates]],Comp1[Comparable '#1 Dates],0)),"-")</f>
        <v>10.23</v>
      </c>
      <c r="H1114" s="1" t="str">
        <f>IF(COUNTIF(Comp2[Comparable '#2 Dates],Benchmark2[[#This Row],[Benchmark '#2 Dates]])=1,"Pass","Fail")</f>
        <v>Pass</v>
      </c>
      <c r="I1114" s="6">
        <f>IF(Benchmark2[[#This Row],[Comparable '#2 Date Check]]="Pass",INDEX(Comp2[Comparable '#2 Price],MATCH(Benchmark2[[#This Row],[Benchmark '#2 Dates]],Comp2[Comparable '#2 Dates],0)),"-")</f>
        <v>40.43</v>
      </c>
      <c r="J1114" s="1" t="str">
        <f>IF(COUNTIF(Comp3[Comparable '#3 Dates],Benchmark2[[#This Row],[Benchmark '#2 Dates]])=1,"Pass","Fail")</f>
        <v>Pass</v>
      </c>
      <c r="K1114" s="6">
        <f>IF(Benchmark2[[#This Row],[Comparable '#3 Date Check]]="Pass",INDEX(Comp3[Comparable '#3 Price],MATCH(Benchmark2[[#This Row],[Benchmark '#2 Dates]],Comp3[Comparable '#3 Dates],0)),"-")</f>
        <v>81.14</v>
      </c>
    </row>
    <row r="1115" spans="1:11">
      <c r="A1115" s="103">
        <v>44900</v>
      </c>
      <c r="B1115" s="104">
        <v>15474.7942</v>
      </c>
      <c r="C1115" s="4">
        <f t="shared" si="17"/>
        <v>-1.8707687815923156E-2</v>
      </c>
      <c r="D1115" s="1" t="str">
        <f>IF(COUNTIF(Target1[Target Dates],Benchmark2[[#This Row],[Benchmark '#2 Dates]])=1,"Pass","Fail")</f>
        <v>Pass</v>
      </c>
      <c r="E1115" s="6">
        <f>IF(Benchmark2[[#This Row],[Target Date Check]]="Pass",INDEX(Target1[Target Price],MATCH(Benchmark2[[#This Row],[Benchmark '#2 Dates]],Target1[Target Dates],0)),"-")</f>
        <v>33.22</v>
      </c>
      <c r="F1115" s="1" t="str">
        <f>IF(COUNTIF(Comp1[Comparable '#1 Dates],Benchmark2[[#This Row],[Benchmark '#2 Dates]])=1,"Pass","Fail")</f>
        <v>Pass</v>
      </c>
      <c r="G1115" s="6">
        <f>IF(Benchmark2[[#This Row],[Comparable '#1 Date Check]]="Pass",INDEX(Comp1[Comparable '#1 Price],MATCH(Benchmark2[[#This Row],[Benchmark '#2 Dates]],Comp1[Comparable '#1 Dates],0)),"-")</f>
        <v>10.15</v>
      </c>
      <c r="H1115" s="1" t="str">
        <f>IF(COUNTIF(Comp2[Comparable '#2 Dates],Benchmark2[[#This Row],[Benchmark '#2 Dates]])=1,"Pass","Fail")</f>
        <v>Pass</v>
      </c>
      <c r="I1115" s="6">
        <f>IF(Benchmark2[[#This Row],[Comparable '#2 Date Check]]="Pass",INDEX(Comp2[Comparable '#2 Price],MATCH(Benchmark2[[#This Row],[Benchmark '#2 Dates]],Comp2[Comparable '#2 Dates],0)),"-")</f>
        <v>39.46</v>
      </c>
      <c r="J1115" s="1" t="str">
        <f>IF(COUNTIF(Comp3[Comparable '#3 Dates],Benchmark2[[#This Row],[Benchmark '#2 Dates]])=1,"Pass","Fail")</f>
        <v>Pass</v>
      </c>
      <c r="K1115" s="6">
        <f>IF(Benchmark2[[#This Row],[Comparable '#3 Date Check]]="Pass",INDEX(Comp3[Comparable '#3 Price],MATCH(Benchmark2[[#This Row],[Benchmark '#2 Dates]],Comp3[Comparable '#3 Dates],0)),"-")</f>
        <v>79.680000000000007</v>
      </c>
    </row>
    <row r="1116" spans="1:11">
      <c r="A1116" s="103">
        <v>44901</v>
      </c>
      <c r="B1116" s="104">
        <v>15328.443600000001</v>
      </c>
      <c r="C1116" s="4">
        <f t="shared" si="17"/>
        <v>-9.5023583023049092E-3</v>
      </c>
      <c r="D1116" s="1" t="str">
        <f>IF(COUNTIF(Target1[Target Dates],Benchmark2[[#This Row],[Benchmark '#2 Dates]])=1,"Pass","Fail")</f>
        <v>Pass</v>
      </c>
      <c r="E1116" s="6">
        <f>IF(Benchmark2[[#This Row],[Target Date Check]]="Pass",INDEX(Target1[Target Price],MATCH(Benchmark2[[#This Row],[Benchmark '#2 Dates]],Target1[Target Dates],0)),"-")</f>
        <v>33.4</v>
      </c>
      <c r="F1116" s="1" t="str">
        <f>IF(COUNTIF(Comp1[Comparable '#1 Dates],Benchmark2[[#This Row],[Benchmark '#2 Dates]])=1,"Pass","Fail")</f>
        <v>Pass</v>
      </c>
      <c r="G1116" s="6">
        <f>IF(Benchmark2[[#This Row],[Comparable '#1 Date Check]]="Pass",INDEX(Comp1[Comparable '#1 Price],MATCH(Benchmark2[[#This Row],[Benchmark '#2 Dates]],Comp1[Comparable '#1 Dates],0)),"-")</f>
        <v>10.16</v>
      </c>
      <c r="H1116" s="1" t="str">
        <f>IF(COUNTIF(Comp2[Comparable '#2 Dates],Benchmark2[[#This Row],[Benchmark '#2 Dates]])=1,"Pass","Fail")</f>
        <v>Pass</v>
      </c>
      <c r="I1116" s="6">
        <f>IF(Benchmark2[[#This Row],[Comparable '#2 Date Check]]="Pass",INDEX(Comp2[Comparable '#2 Price],MATCH(Benchmark2[[#This Row],[Benchmark '#2 Dates]],Comp2[Comparable '#2 Dates],0)),"-")</f>
        <v>39.47</v>
      </c>
      <c r="J1116" s="1" t="str">
        <f>IF(COUNTIF(Comp3[Comparable '#3 Dates],Benchmark2[[#This Row],[Benchmark '#2 Dates]])=1,"Pass","Fail")</f>
        <v>Pass</v>
      </c>
      <c r="K1116" s="6">
        <f>IF(Benchmark2[[#This Row],[Comparable '#3 Date Check]]="Pass",INDEX(Comp3[Comparable '#3 Price],MATCH(Benchmark2[[#This Row],[Benchmark '#2 Dates]],Comp3[Comparable '#3 Dates],0)),"-")</f>
        <v>79.41</v>
      </c>
    </row>
    <row r="1117" spans="1:11">
      <c r="A1117" s="103">
        <v>44902</v>
      </c>
      <c r="B1117" s="104">
        <v>15311.7948</v>
      </c>
      <c r="C1117" s="4">
        <f t="shared" si="17"/>
        <v>-1.0867279438980715E-3</v>
      </c>
      <c r="D1117" s="1" t="str">
        <f>IF(COUNTIF(Target1[Target Dates],Benchmark2[[#This Row],[Benchmark '#2 Dates]])=1,"Pass","Fail")</f>
        <v>Pass</v>
      </c>
      <c r="E1117" s="6">
        <f>IF(Benchmark2[[#This Row],[Target Date Check]]="Pass",INDEX(Target1[Target Price],MATCH(Benchmark2[[#This Row],[Benchmark '#2 Dates]],Target1[Target Dates],0)),"-")</f>
        <v>33.049999999999997</v>
      </c>
      <c r="F1117" s="1" t="str">
        <f>IF(COUNTIF(Comp1[Comparable '#1 Dates],Benchmark2[[#This Row],[Benchmark '#2 Dates]])=1,"Pass","Fail")</f>
        <v>Pass</v>
      </c>
      <c r="G1117" s="6">
        <f>IF(Benchmark2[[#This Row],[Comparable '#1 Date Check]]="Pass",INDEX(Comp1[Comparable '#1 Price],MATCH(Benchmark2[[#This Row],[Benchmark '#2 Dates]],Comp1[Comparable '#1 Dates],0)),"-")</f>
        <v>10.08</v>
      </c>
      <c r="H1117" s="1" t="str">
        <f>IF(COUNTIF(Comp2[Comparable '#2 Dates],Benchmark2[[#This Row],[Benchmark '#2 Dates]])=1,"Pass","Fail")</f>
        <v>Pass</v>
      </c>
      <c r="I1117" s="6">
        <f>IF(Benchmark2[[#This Row],[Comparable '#2 Date Check]]="Pass",INDEX(Comp2[Comparable '#2 Price],MATCH(Benchmark2[[#This Row],[Benchmark '#2 Dates]],Comp2[Comparable '#2 Dates],0)),"-")</f>
        <v>38.950000000000003</v>
      </c>
      <c r="J1117" s="1" t="str">
        <f>IF(COUNTIF(Comp3[Comparable '#3 Dates],Benchmark2[[#This Row],[Benchmark '#2 Dates]])=1,"Pass","Fail")</f>
        <v>Pass</v>
      </c>
      <c r="K1117" s="6">
        <f>IF(Benchmark2[[#This Row],[Comparable '#3 Date Check]]="Pass",INDEX(Comp3[Comparable '#3 Price],MATCH(Benchmark2[[#This Row],[Benchmark '#2 Dates]],Comp3[Comparable '#3 Dates],0)),"-")</f>
        <v>79.400000000000006</v>
      </c>
    </row>
    <row r="1118" spans="1:11">
      <c r="A1118" s="103">
        <v>44903</v>
      </c>
      <c r="B1118" s="104">
        <v>15399.9409</v>
      </c>
      <c r="C1118" s="4">
        <f t="shared" si="17"/>
        <v>5.7402383829995322E-3</v>
      </c>
      <c r="D1118" s="1" t="str">
        <f>IF(COUNTIF(Target1[Target Dates],Benchmark2[[#This Row],[Benchmark '#2 Dates]])=1,"Pass","Fail")</f>
        <v>Pass</v>
      </c>
      <c r="E1118" s="6">
        <f>IF(Benchmark2[[#This Row],[Target Date Check]]="Pass",INDEX(Target1[Target Price],MATCH(Benchmark2[[#This Row],[Benchmark '#2 Dates]],Target1[Target Dates],0)),"-")</f>
        <v>32.94</v>
      </c>
      <c r="F1118" s="1" t="str">
        <f>IF(COUNTIF(Comp1[Comparable '#1 Dates],Benchmark2[[#This Row],[Benchmark '#2 Dates]])=1,"Pass","Fail")</f>
        <v>Pass</v>
      </c>
      <c r="G1118" s="6">
        <f>IF(Benchmark2[[#This Row],[Comparable '#1 Date Check]]="Pass",INDEX(Comp1[Comparable '#1 Price],MATCH(Benchmark2[[#This Row],[Benchmark '#2 Dates]],Comp1[Comparable '#1 Dates],0)),"-")</f>
        <v>9.75</v>
      </c>
      <c r="H1118" s="1" t="str">
        <f>IF(COUNTIF(Comp2[Comparable '#2 Dates],Benchmark2[[#This Row],[Benchmark '#2 Dates]])=1,"Pass","Fail")</f>
        <v>Pass</v>
      </c>
      <c r="I1118" s="6">
        <f>IF(Benchmark2[[#This Row],[Comparable '#2 Date Check]]="Pass",INDEX(Comp2[Comparable '#2 Price],MATCH(Benchmark2[[#This Row],[Benchmark '#2 Dates]],Comp2[Comparable '#2 Dates],0)),"-")</f>
        <v>38.74</v>
      </c>
      <c r="J1118" s="1" t="str">
        <f>IF(COUNTIF(Comp3[Comparable '#3 Dates],Benchmark2[[#This Row],[Benchmark '#2 Dates]])=1,"Pass","Fail")</f>
        <v>Pass</v>
      </c>
      <c r="K1118" s="6">
        <f>IF(Benchmark2[[#This Row],[Comparable '#3 Date Check]]="Pass",INDEX(Comp3[Comparable '#3 Price],MATCH(Benchmark2[[#This Row],[Benchmark '#2 Dates]],Comp3[Comparable '#3 Dates],0)),"-")</f>
        <v>79.510000000000005</v>
      </c>
    </row>
    <row r="1119" spans="1:11">
      <c r="A1119" s="103">
        <v>44904</v>
      </c>
      <c r="B1119" s="104">
        <v>15291.048699999999</v>
      </c>
      <c r="C1119" s="4">
        <f t="shared" si="17"/>
        <v>-7.0960668489445482E-3</v>
      </c>
      <c r="D1119" s="1" t="str">
        <f>IF(COUNTIF(Target1[Target Dates],Benchmark2[[#This Row],[Benchmark '#2 Dates]])=1,"Pass","Fail")</f>
        <v>Pass</v>
      </c>
      <c r="E1119" s="6">
        <f>IF(Benchmark2[[#This Row],[Target Date Check]]="Pass",INDEX(Target1[Target Price],MATCH(Benchmark2[[#This Row],[Benchmark '#2 Dates]],Target1[Target Dates],0)),"-")</f>
        <v>32.409999999999997</v>
      </c>
      <c r="F1119" s="1" t="str">
        <f>IF(COUNTIF(Comp1[Comparable '#1 Dates],Benchmark2[[#This Row],[Benchmark '#2 Dates]])=1,"Pass","Fail")</f>
        <v>Pass</v>
      </c>
      <c r="G1119" s="6">
        <f>IF(Benchmark2[[#This Row],[Comparable '#1 Date Check]]="Pass",INDEX(Comp1[Comparable '#1 Price],MATCH(Benchmark2[[#This Row],[Benchmark '#2 Dates]],Comp1[Comparable '#1 Dates],0)),"-")</f>
        <v>9.9</v>
      </c>
      <c r="H1119" s="1" t="str">
        <f>IF(COUNTIF(Comp2[Comparable '#2 Dates],Benchmark2[[#This Row],[Benchmark '#2 Dates]])=1,"Pass","Fail")</f>
        <v>Pass</v>
      </c>
      <c r="I1119" s="6">
        <f>IF(Benchmark2[[#This Row],[Comparable '#2 Date Check]]="Pass",INDEX(Comp2[Comparable '#2 Price],MATCH(Benchmark2[[#This Row],[Benchmark '#2 Dates]],Comp2[Comparable '#2 Dates],0)),"-")</f>
        <v>37.58</v>
      </c>
      <c r="J1119" s="1" t="str">
        <f>IF(COUNTIF(Comp3[Comparable '#3 Dates],Benchmark2[[#This Row],[Benchmark '#2 Dates]])=1,"Pass","Fail")</f>
        <v>Pass</v>
      </c>
      <c r="K1119" s="6">
        <f>IF(Benchmark2[[#This Row],[Comparable '#3 Date Check]]="Pass",INDEX(Comp3[Comparable '#3 Price],MATCH(Benchmark2[[#This Row],[Benchmark '#2 Dates]],Comp3[Comparable '#3 Dates],0)),"-")</f>
        <v>79.36</v>
      </c>
    </row>
    <row r="1120" spans="1:11">
      <c r="A1120" s="103">
        <v>44907</v>
      </c>
      <c r="B1120" s="104">
        <v>15468.6651</v>
      </c>
      <c r="C1120" s="4">
        <f t="shared" si="17"/>
        <v>1.1548766368116055E-2</v>
      </c>
      <c r="D1120" s="1" t="str">
        <f>IF(COUNTIF(Target1[Target Dates],Benchmark2[[#This Row],[Benchmark '#2 Dates]])=1,"Pass","Fail")</f>
        <v>Pass</v>
      </c>
      <c r="E1120" s="6">
        <f>IF(Benchmark2[[#This Row],[Target Date Check]]="Pass",INDEX(Target1[Target Price],MATCH(Benchmark2[[#This Row],[Benchmark '#2 Dates]],Target1[Target Dates],0)),"-")</f>
        <v>32.56</v>
      </c>
      <c r="F1120" s="1" t="str">
        <f>IF(COUNTIF(Comp1[Comparable '#1 Dates],Benchmark2[[#This Row],[Benchmark '#2 Dates]])=1,"Pass","Fail")</f>
        <v>Pass</v>
      </c>
      <c r="G1120" s="6">
        <f>IF(Benchmark2[[#This Row],[Comparable '#1 Date Check]]="Pass",INDEX(Comp1[Comparable '#1 Price],MATCH(Benchmark2[[#This Row],[Benchmark '#2 Dates]],Comp1[Comparable '#1 Dates],0)),"-")</f>
        <v>10</v>
      </c>
      <c r="H1120" s="1" t="str">
        <f>IF(COUNTIF(Comp2[Comparable '#2 Dates],Benchmark2[[#This Row],[Benchmark '#2 Dates]])=1,"Pass","Fail")</f>
        <v>Pass</v>
      </c>
      <c r="I1120" s="6">
        <f>IF(Benchmark2[[#This Row],[Comparable '#2 Date Check]]="Pass",INDEX(Comp2[Comparable '#2 Price],MATCH(Benchmark2[[#This Row],[Benchmark '#2 Dates]],Comp2[Comparable '#2 Dates],0)),"-")</f>
        <v>37.53</v>
      </c>
      <c r="J1120" s="1" t="str">
        <f>IF(COUNTIF(Comp3[Comparable '#3 Dates],Benchmark2[[#This Row],[Benchmark '#2 Dates]])=1,"Pass","Fail")</f>
        <v>Pass</v>
      </c>
      <c r="K1120" s="6">
        <f>IF(Benchmark2[[#This Row],[Comparable '#3 Date Check]]="Pass",INDEX(Comp3[Comparable '#3 Price],MATCH(Benchmark2[[#This Row],[Benchmark '#2 Dates]],Comp3[Comparable '#3 Dates],0)),"-")</f>
        <v>78.92</v>
      </c>
    </row>
    <row r="1121" spans="1:11">
      <c r="A1121" s="103">
        <v>44908</v>
      </c>
      <c r="B1121" s="104">
        <v>15562.542299999999</v>
      </c>
      <c r="C1121" s="4">
        <f t="shared" si="17"/>
        <v>6.0505210244681295E-3</v>
      </c>
      <c r="D1121" s="1" t="str">
        <f>IF(COUNTIF(Target1[Target Dates],Benchmark2[[#This Row],[Benchmark '#2 Dates]])=1,"Pass","Fail")</f>
        <v>Pass</v>
      </c>
      <c r="E1121" s="6">
        <f>IF(Benchmark2[[#This Row],[Target Date Check]]="Pass",INDEX(Target1[Target Price],MATCH(Benchmark2[[#This Row],[Benchmark '#2 Dates]],Target1[Target Dates],0)),"-")</f>
        <v>32.299999999999997</v>
      </c>
      <c r="F1121" s="1" t="str">
        <f>IF(COUNTIF(Comp1[Comparable '#1 Dates],Benchmark2[[#This Row],[Benchmark '#2 Dates]])=1,"Pass","Fail")</f>
        <v>Pass</v>
      </c>
      <c r="G1121" s="6">
        <f>IF(Benchmark2[[#This Row],[Comparable '#1 Date Check]]="Pass",INDEX(Comp1[Comparable '#1 Price],MATCH(Benchmark2[[#This Row],[Benchmark '#2 Dates]],Comp1[Comparable '#1 Dates],0)),"-")</f>
        <v>10.119999999999999</v>
      </c>
      <c r="H1121" s="1" t="str">
        <f>IF(COUNTIF(Comp2[Comparable '#2 Dates],Benchmark2[[#This Row],[Benchmark '#2 Dates]])=1,"Pass","Fail")</f>
        <v>Pass</v>
      </c>
      <c r="I1121" s="6">
        <f>IF(Benchmark2[[#This Row],[Comparable '#2 Date Check]]="Pass",INDEX(Comp2[Comparable '#2 Price],MATCH(Benchmark2[[#This Row],[Benchmark '#2 Dates]],Comp2[Comparable '#2 Dates],0)),"-")</f>
        <v>37.020000000000003</v>
      </c>
      <c r="J1121" s="1" t="str">
        <f>IF(COUNTIF(Comp3[Comparable '#3 Dates],Benchmark2[[#This Row],[Benchmark '#2 Dates]])=1,"Pass","Fail")</f>
        <v>Pass</v>
      </c>
      <c r="K1121" s="6">
        <f>IF(Benchmark2[[#This Row],[Comparable '#3 Date Check]]="Pass",INDEX(Comp3[Comparable '#3 Price],MATCH(Benchmark2[[#This Row],[Benchmark '#2 Dates]],Comp3[Comparable '#3 Dates],0)),"-")</f>
        <v>79.62</v>
      </c>
    </row>
    <row r="1122" spans="1:11">
      <c r="A1122" s="103">
        <v>44909</v>
      </c>
      <c r="B1122" s="104">
        <v>15494.976699999999</v>
      </c>
      <c r="C1122" s="4">
        <f t="shared" si="17"/>
        <v>-4.3510047658150393E-3</v>
      </c>
      <c r="D1122" s="1" t="str">
        <f>IF(COUNTIF(Target1[Target Dates],Benchmark2[[#This Row],[Benchmark '#2 Dates]])=1,"Pass","Fail")</f>
        <v>Pass</v>
      </c>
      <c r="E1122" s="6">
        <f>IF(Benchmark2[[#This Row],[Target Date Check]]="Pass",INDEX(Target1[Target Price],MATCH(Benchmark2[[#This Row],[Benchmark '#2 Dates]],Target1[Target Dates],0)),"-")</f>
        <v>32.36</v>
      </c>
      <c r="F1122" s="1" t="str">
        <f>IF(COUNTIF(Comp1[Comparable '#1 Dates],Benchmark2[[#This Row],[Benchmark '#2 Dates]])=1,"Pass","Fail")</f>
        <v>Pass</v>
      </c>
      <c r="G1122" s="6">
        <f>IF(Benchmark2[[#This Row],[Comparable '#1 Date Check]]="Pass",INDEX(Comp1[Comparable '#1 Price],MATCH(Benchmark2[[#This Row],[Benchmark '#2 Dates]],Comp1[Comparable '#1 Dates],0)),"-")</f>
        <v>10</v>
      </c>
      <c r="H1122" s="1" t="str">
        <f>IF(COUNTIF(Comp2[Comparable '#2 Dates],Benchmark2[[#This Row],[Benchmark '#2 Dates]])=1,"Pass","Fail")</f>
        <v>Pass</v>
      </c>
      <c r="I1122" s="6">
        <f>IF(Benchmark2[[#This Row],[Comparable '#2 Date Check]]="Pass",INDEX(Comp2[Comparable '#2 Price],MATCH(Benchmark2[[#This Row],[Benchmark '#2 Dates]],Comp2[Comparable '#2 Dates],0)),"-")</f>
        <v>36.82</v>
      </c>
      <c r="J1122" s="1" t="str">
        <f>IF(COUNTIF(Comp3[Comparable '#3 Dates],Benchmark2[[#This Row],[Benchmark '#2 Dates]])=1,"Pass","Fail")</f>
        <v>Pass</v>
      </c>
      <c r="K1122" s="6">
        <f>IF(Benchmark2[[#This Row],[Comparable '#3 Date Check]]="Pass",INDEX(Comp3[Comparable '#3 Price],MATCH(Benchmark2[[#This Row],[Benchmark '#2 Dates]],Comp3[Comparable '#3 Dates],0)),"-")</f>
        <v>81.069999999999993</v>
      </c>
    </row>
    <row r="1123" spans="1:11">
      <c r="A1123" s="103">
        <v>44910</v>
      </c>
      <c r="B1123" s="104">
        <v>15182.280199999999</v>
      </c>
      <c r="C1123" s="4">
        <f t="shared" si="17"/>
        <v>-2.0386916037046749E-2</v>
      </c>
      <c r="D1123" s="1" t="str">
        <f>IF(COUNTIF(Target1[Target Dates],Benchmark2[[#This Row],[Benchmark '#2 Dates]])=1,"Pass","Fail")</f>
        <v>Pass</v>
      </c>
      <c r="E1123" s="6">
        <f>IF(Benchmark2[[#This Row],[Target Date Check]]="Pass",INDEX(Target1[Target Price],MATCH(Benchmark2[[#This Row],[Benchmark '#2 Dates]],Target1[Target Dates],0)),"-")</f>
        <v>32.93</v>
      </c>
      <c r="F1123" s="1" t="str">
        <f>IF(COUNTIF(Comp1[Comparable '#1 Dates],Benchmark2[[#This Row],[Benchmark '#2 Dates]])=1,"Pass","Fail")</f>
        <v>Pass</v>
      </c>
      <c r="G1123" s="6">
        <f>IF(Benchmark2[[#This Row],[Comparable '#1 Date Check]]="Pass",INDEX(Comp1[Comparable '#1 Price],MATCH(Benchmark2[[#This Row],[Benchmark '#2 Dates]],Comp1[Comparable '#1 Dates],0)),"-")</f>
        <v>9.94</v>
      </c>
      <c r="H1123" s="1" t="str">
        <f>IF(COUNTIF(Comp2[Comparable '#2 Dates],Benchmark2[[#This Row],[Benchmark '#2 Dates]])=1,"Pass","Fail")</f>
        <v>Pass</v>
      </c>
      <c r="I1123" s="6">
        <f>IF(Benchmark2[[#This Row],[Comparable '#2 Date Check]]="Pass",INDEX(Comp2[Comparable '#2 Price],MATCH(Benchmark2[[#This Row],[Benchmark '#2 Dates]],Comp2[Comparable '#2 Dates],0)),"-")</f>
        <v>37.08</v>
      </c>
      <c r="J1123" s="1" t="str">
        <f>IF(COUNTIF(Comp3[Comparable '#3 Dates],Benchmark2[[#This Row],[Benchmark '#2 Dates]])=1,"Pass","Fail")</f>
        <v>Pass</v>
      </c>
      <c r="K1123" s="6">
        <f>IF(Benchmark2[[#This Row],[Comparable '#3 Date Check]]="Pass",INDEX(Comp3[Comparable '#3 Price],MATCH(Benchmark2[[#This Row],[Benchmark '#2 Dates]],Comp3[Comparable '#3 Dates],0)),"-")</f>
        <v>80.180000000000007</v>
      </c>
    </row>
    <row r="1124" spans="1:11">
      <c r="A1124" s="103">
        <v>44911</v>
      </c>
      <c r="B1124" s="104">
        <v>15018.1716</v>
      </c>
      <c r="C1124" s="4">
        <f t="shared" si="17"/>
        <v>-1.0868063589793291E-2</v>
      </c>
      <c r="D1124" s="1" t="str">
        <f>IF(COUNTIF(Target1[Target Dates],Benchmark2[[#This Row],[Benchmark '#2 Dates]])=1,"Pass","Fail")</f>
        <v>Pass</v>
      </c>
      <c r="E1124" s="6">
        <f>IF(Benchmark2[[#This Row],[Target Date Check]]="Pass",INDEX(Target1[Target Price],MATCH(Benchmark2[[#This Row],[Benchmark '#2 Dates]],Target1[Target Dates],0)),"-")</f>
        <v>32.65</v>
      </c>
      <c r="F1124" s="1" t="str">
        <f>IF(COUNTIF(Comp1[Comparable '#1 Dates],Benchmark2[[#This Row],[Benchmark '#2 Dates]])=1,"Pass","Fail")</f>
        <v>Pass</v>
      </c>
      <c r="G1124" s="6">
        <f>IF(Benchmark2[[#This Row],[Comparable '#1 Date Check]]="Pass",INDEX(Comp1[Comparable '#1 Price],MATCH(Benchmark2[[#This Row],[Benchmark '#2 Dates]],Comp1[Comparable '#1 Dates],0)),"-")</f>
        <v>9.49</v>
      </c>
      <c r="H1124" s="1" t="str">
        <f>IF(COUNTIF(Comp2[Comparable '#2 Dates],Benchmark2[[#This Row],[Benchmark '#2 Dates]])=1,"Pass","Fail")</f>
        <v>Pass</v>
      </c>
      <c r="I1124" s="6">
        <f>IF(Benchmark2[[#This Row],[Comparable '#2 Date Check]]="Pass",INDEX(Comp2[Comparable '#2 Price],MATCH(Benchmark2[[#This Row],[Benchmark '#2 Dates]],Comp2[Comparable '#2 Dates],0)),"-")</f>
        <v>36.01</v>
      </c>
      <c r="J1124" s="1" t="str">
        <f>IF(COUNTIF(Comp3[Comparable '#3 Dates],Benchmark2[[#This Row],[Benchmark '#2 Dates]])=1,"Pass","Fail")</f>
        <v>Pass</v>
      </c>
      <c r="K1124" s="6">
        <f>IF(Benchmark2[[#This Row],[Comparable '#3 Date Check]]="Pass",INDEX(Comp3[Comparable '#3 Price],MATCH(Benchmark2[[#This Row],[Benchmark '#2 Dates]],Comp3[Comparable '#3 Dates],0)),"-")</f>
        <v>80.02</v>
      </c>
    </row>
    <row r="1125" spans="1:11">
      <c r="A1125" s="103">
        <v>44914</v>
      </c>
      <c r="B1125" s="104">
        <v>14938.0334</v>
      </c>
      <c r="C1125" s="4">
        <f t="shared" si="17"/>
        <v>-5.3503700600696672E-3</v>
      </c>
      <c r="D1125" s="1" t="str">
        <f>IF(COUNTIF(Target1[Target Dates],Benchmark2[[#This Row],[Benchmark '#2 Dates]])=1,"Pass","Fail")</f>
        <v>Pass</v>
      </c>
      <c r="E1125" s="6">
        <f>IF(Benchmark2[[#This Row],[Target Date Check]]="Pass",INDEX(Target1[Target Price],MATCH(Benchmark2[[#This Row],[Benchmark '#2 Dates]],Target1[Target Dates],0)),"-")</f>
        <v>31.47</v>
      </c>
      <c r="F1125" s="1" t="str">
        <f>IF(COUNTIF(Comp1[Comparable '#1 Dates],Benchmark2[[#This Row],[Benchmark '#2 Dates]])=1,"Pass","Fail")</f>
        <v>Pass</v>
      </c>
      <c r="G1125" s="6">
        <f>IF(Benchmark2[[#This Row],[Comparable '#1 Date Check]]="Pass",INDEX(Comp1[Comparable '#1 Price],MATCH(Benchmark2[[#This Row],[Benchmark '#2 Dates]],Comp1[Comparable '#1 Dates],0)),"-")</f>
        <v>9.33</v>
      </c>
      <c r="H1125" s="1" t="str">
        <f>IF(COUNTIF(Comp2[Comparable '#2 Dates],Benchmark2[[#This Row],[Benchmark '#2 Dates]])=1,"Pass","Fail")</f>
        <v>Pass</v>
      </c>
      <c r="I1125" s="6">
        <f>IF(Benchmark2[[#This Row],[Comparable '#2 Date Check]]="Pass",INDEX(Comp2[Comparable '#2 Price],MATCH(Benchmark2[[#This Row],[Benchmark '#2 Dates]],Comp2[Comparable '#2 Dates],0)),"-")</f>
        <v>36.11</v>
      </c>
      <c r="J1125" s="1" t="str">
        <f>IF(COUNTIF(Comp3[Comparable '#3 Dates],Benchmark2[[#This Row],[Benchmark '#2 Dates]])=1,"Pass","Fail")</f>
        <v>Pass</v>
      </c>
      <c r="K1125" s="6">
        <f>IF(Benchmark2[[#This Row],[Comparable '#3 Date Check]]="Pass",INDEX(Comp3[Comparable '#3 Price],MATCH(Benchmark2[[#This Row],[Benchmark '#2 Dates]],Comp3[Comparable '#3 Dates],0)),"-")</f>
        <v>78.290000000000006</v>
      </c>
    </row>
    <row r="1126" spans="1:11">
      <c r="A1126" s="103">
        <v>44915</v>
      </c>
      <c r="B1126" s="104">
        <v>15000.6206</v>
      </c>
      <c r="C1126" s="4">
        <f t="shared" si="17"/>
        <v>4.1810357388939847E-3</v>
      </c>
      <c r="D1126" s="1" t="str">
        <f>IF(COUNTIF(Target1[Target Dates],Benchmark2[[#This Row],[Benchmark '#2 Dates]])=1,"Pass","Fail")</f>
        <v>Pass</v>
      </c>
      <c r="E1126" s="6">
        <f>IF(Benchmark2[[#This Row],[Target Date Check]]="Pass",INDEX(Target1[Target Price],MATCH(Benchmark2[[#This Row],[Benchmark '#2 Dates]],Target1[Target Dates],0)),"-")</f>
        <v>31.78</v>
      </c>
      <c r="F1126" s="1" t="str">
        <f>IF(COUNTIF(Comp1[Comparable '#1 Dates],Benchmark2[[#This Row],[Benchmark '#2 Dates]])=1,"Pass","Fail")</f>
        <v>Pass</v>
      </c>
      <c r="G1126" s="6">
        <f>IF(Benchmark2[[#This Row],[Comparable '#1 Date Check]]="Pass",INDEX(Comp1[Comparable '#1 Price],MATCH(Benchmark2[[#This Row],[Benchmark '#2 Dates]],Comp1[Comparable '#1 Dates],0)),"-")</f>
        <v>9.41</v>
      </c>
      <c r="H1126" s="1" t="str">
        <f>IF(COUNTIF(Comp2[Comparable '#2 Dates],Benchmark2[[#This Row],[Benchmark '#2 Dates]])=1,"Pass","Fail")</f>
        <v>Pass</v>
      </c>
      <c r="I1126" s="6">
        <f>IF(Benchmark2[[#This Row],[Comparable '#2 Date Check]]="Pass",INDEX(Comp2[Comparable '#2 Price],MATCH(Benchmark2[[#This Row],[Benchmark '#2 Dates]],Comp2[Comparable '#2 Dates],0)),"-")</f>
        <v>36.340000000000003</v>
      </c>
      <c r="J1126" s="1" t="str">
        <f>IF(COUNTIF(Comp3[Comparable '#3 Dates],Benchmark2[[#This Row],[Benchmark '#2 Dates]])=1,"Pass","Fail")</f>
        <v>Pass</v>
      </c>
      <c r="K1126" s="6">
        <f>IF(Benchmark2[[#This Row],[Comparable '#3 Date Check]]="Pass",INDEX(Comp3[Comparable '#3 Price],MATCH(Benchmark2[[#This Row],[Benchmark '#2 Dates]],Comp3[Comparable '#3 Dates],0)),"-")</f>
        <v>79.959999999999994</v>
      </c>
    </row>
    <row r="1127" spans="1:11">
      <c r="A1127" s="103">
        <v>44916</v>
      </c>
      <c r="B1127" s="104">
        <v>15219.545400000001</v>
      </c>
      <c r="C1127" s="4">
        <f t="shared" si="17"/>
        <v>1.4488909813818496E-2</v>
      </c>
      <c r="D1127" s="1" t="str">
        <f>IF(COUNTIF(Target1[Target Dates],Benchmark2[[#This Row],[Benchmark '#2 Dates]])=1,"Pass","Fail")</f>
        <v>Pass</v>
      </c>
      <c r="E1127" s="6">
        <f>IF(Benchmark2[[#This Row],[Target Date Check]]="Pass",INDEX(Target1[Target Price],MATCH(Benchmark2[[#This Row],[Benchmark '#2 Dates]],Target1[Target Dates],0)),"-")</f>
        <v>32.5</v>
      </c>
      <c r="F1127" s="1" t="str">
        <f>IF(COUNTIF(Comp1[Comparable '#1 Dates],Benchmark2[[#This Row],[Benchmark '#2 Dates]])=1,"Pass","Fail")</f>
        <v>Pass</v>
      </c>
      <c r="G1127" s="6">
        <f>IF(Benchmark2[[#This Row],[Comparable '#1 Date Check]]="Pass",INDEX(Comp1[Comparable '#1 Price],MATCH(Benchmark2[[#This Row],[Benchmark '#2 Dates]],Comp1[Comparable '#1 Dates],0)),"-")</f>
        <v>9.68</v>
      </c>
      <c r="H1127" s="1" t="str">
        <f>IF(COUNTIF(Comp2[Comparable '#2 Dates],Benchmark2[[#This Row],[Benchmark '#2 Dates]])=1,"Pass","Fail")</f>
        <v>Pass</v>
      </c>
      <c r="I1127" s="6">
        <f>IF(Benchmark2[[#This Row],[Comparable '#2 Date Check]]="Pass",INDEX(Comp2[Comparable '#2 Price],MATCH(Benchmark2[[#This Row],[Benchmark '#2 Dates]],Comp2[Comparable '#2 Dates],0)),"-")</f>
        <v>37.299999999999997</v>
      </c>
      <c r="J1127" s="1" t="str">
        <f>IF(COUNTIF(Comp3[Comparable '#3 Dates],Benchmark2[[#This Row],[Benchmark '#2 Dates]])=1,"Pass","Fail")</f>
        <v>Pass</v>
      </c>
      <c r="K1127" s="6">
        <f>IF(Benchmark2[[#This Row],[Comparable '#3 Date Check]]="Pass",INDEX(Comp3[Comparable '#3 Price],MATCH(Benchmark2[[#This Row],[Benchmark '#2 Dates]],Comp3[Comparable '#3 Dates],0)),"-")</f>
        <v>80.91</v>
      </c>
    </row>
    <row r="1128" spans="1:11">
      <c r="A1128" s="103">
        <v>44917</v>
      </c>
      <c r="B1128" s="104">
        <v>15081.5268</v>
      </c>
      <c r="C1128" s="4">
        <f t="shared" si="17"/>
        <v>-9.1098792544487134E-3</v>
      </c>
      <c r="D1128" s="1" t="str">
        <f>IF(COUNTIF(Target1[Target Dates],Benchmark2[[#This Row],[Benchmark '#2 Dates]])=1,"Pass","Fail")</f>
        <v>Pass</v>
      </c>
      <c r="E1128" s="6">
        <f>IF(Benchmark2[[#This Row],[Target Date Check]]="Pass",INDEX(Target1[Target Price],MATCH(Benchmark2[[#This Row],[Benchmark '#2 Dates]],Target1[Target Dates],0)),"-")</f>
        <v>32.130000000000003</v>
      </c>
      <c r="F1128" s="1" t="str">
        <f>IF(COUNTIF(Comp1[Comparable '#1 Dates],Benchmark2[[#This Row],[Benchmark '#2 Dates]])=1,"Pass","Fail")</f>
        <v>Pass</v>
      </c>
      <c r="G1128" s="6">
        <f>IF(Benchmark2[[#This Row],[Comparable '#1 Date Check]]="Pass",INDEX(Comp1[Comparable '#1 Price],MATCH(Benchmark2[[#This Row],[Benchmark '#2 Dates]],Comp1[Comparable '#1 Dates],0)),"-")</f>
        <v>9.69</v>
      </c>
      <c r="H1128" s="1" t="str">
        <f>IF(COUNTIF(Comp2[Comparable '#2 Dates],Benchmark2[[#This Row],[Benchmark '#2 Dates]])=1,"Pass","Fail")</f>
        <v>Pass</v>
      </c>
      <c r="I1128" s="6">
        <f>IF(Benchmark2[[#This Row],[Comparable '#2 Date Check]]="Pass",INDEX(Comp2[Comparable '#2 Price],MATCH(Benchmark2[[#This Row],[Benchmark '#2 Dates]],Comp2[Comparable '#2 Dates],0)),"-")</f>
        <v>37</v>
      </c>
      <c r="J1128" s="1" t="str">
        <f>IF(COUNTIF(Comp3[Comparable '#3 Dates],Benchmark2[[#This Row],[Benchmark '#2 Dates]])=1,"Pass","Fail")</f>
        <v>Pass</v>
      </c>
      <c r="K1128" s="6">
        <f>IF(Benchmark2[[#This Row],[Comparable '#3 Date Check]]="Pass",INDEX(Comp3[Comparable '#3 Price],MATCH(Benchmark2[[#This Row],[Benchmark '#2 Dates]],Comp3[Comparable '#3 Dates],0)),"-")</f>
        <v>81.349999999999994</v>
      </c>
    </row>
    <row r="1129" spans="1:11">
      <c r="A1129" s="103">
        <v>44918</v>
      </c>
      <c r="B1129" s="104">
        <v>15188.4463</v>
      </c>
      <c r="C1129" s="4">
        <f t="shared" si="17"/>
        <v>7.0644228395851886E-3</v>
      </c>
      <c r="D1129" s="1" t="str">
        <f>IF(COUNTIF(Target1[Target Dates],Benchmark2[[#This Row],[Benchmark '#2 Dates]])=1,"Pass","Fail")</f>
        <v>Pass</v>
      </c>
      <c r="E1129" s="6">
        <f>IF(Benchmark2[[#This Row],[Target Date Check]]="Pass",INDEX(Target1[Target Price],MATCH(Benchmark2[[#This Row],[Benchmark '#2 Dates]],Target1[Target Dates],0)),"-")</f>
        <v>32.25</v>
      </c>
      <c r="F1129" s="1" t="str">
        <f>IF(COUNTIF(Comp1[Comparable '#1 Dates],Benchmark2[[#This Row],[Benchmark '#2 Dates]])=1,"Pass","Fail")</f>
        <v>Pass</v>
      </c>
      <c r="G1129" s="6">
        <f>IF(Benchmark2[[#This Row],[Comparable '#1 Date Check]]="Pass",INDEX(Comp1[Comparable '#1 Price],MATCH(Benchmark2[[#This Row],[Benchmark '#2 Dates]],Comp1[Comparable '#1 Dates],0)),"-")</f>
        <v>9.68</v>
      </c>
      <c r="H1129" s="1" t="str">
        <f>IF(COUNTIF(Comp2[Comparable '#2 Dates],Benchmark2[[#This Row],[Benchmark '#2 Dates]])=1,"Pass","Fail")</f>
        <v>Pass</v>
      </c>
      <c r="I1129" s="6">
        <f>IF(Benchmark2[[#This Row],[Comparable '#2 Date Check]]="Pass",INDEX(Comp2[Comparable '#2 Price],MATCH(Benchmark2[[#This Row],[Benchmark '#2 Dates]],Comp2[Comparable '#2 Dates],0)),"-")</f>
        <v>36.17</v>
      </c>
      <c r="J1129" s="1" t="str">
        <f>IF(COUNTIF(Comp3[Comparable '#3 Dates],Benchmark2[[#This Row],[Benchmark '#2 Dates]])=1,"Pass","Fail")</f>
        <v>Pass</v>
      </c>
      <c r="K1129" s="6">
        <f>IF(Benchmark2[[#This Row],[Comparable '#3 Date Check]]="Pass",INDEX(Comp3[Comparable '#3 Price],MATCH(Benchmark2[[#This Row],[Benchmark '#2 Dates]],Comp3[Comparable '#3 Dates],0)),"-")</f>
        <v>81.45</v>
      </c>
    </row>
    <row r="1130" spans="1:11">
      <c r="A1130" s="103">
        <v>44922</v>
      </c>
      <c r="B1130" s="104">
        <v>15218.260700000001</v>
      </c>
      <c r="C1130" s="4">
        <f t="shared" si="17"/>
        <v>1.9610416579954903E-3</v>
      </c>
      <c r="D1130" s="1" t="str">
        <f>IF(COUNTIF(Target1[Target Dates],Benchmark2[[#This Row],[Benchmark '#2 Dates]])=1,"Pass","Fail")</f>
        <v>Pass</v>
      </c>
      <c r="E1130" s="6">
        <f>IF(Benchmark2[[#This Row],[Target Date Check]]="Pass",INDEX(Target1[Target Price],MATCH(Benchmark2[[#This Row],[Benchmark '#2 Dates]],Target1[Target Dates],0)),"-")</f>
        <v>32</v>
      </c>
      <c r="F1130" s="1" t="str">
        <f>IF(COUNTIF(Comp1[Comparable '#1 Dates],Benchmark2[[#This Row],[Benchmark '#2 Dates]])=1,"Pass","Fail")</f>
        <v>Pass</v>
      </c>
      <c r="G1130" s="6">
        <f>IF(Benchmark2[[#This Row],[Comparable '#1 Date Check]]="Pass",INDEX(Comp1[Comparable '#1 Price],MATCH(Benchmark2[[#This Row],[Benchmark '#2 Dates]],Comp1[Comparable '#1 Dates],0)),"-")</f>
        <v>9.7799999999999994</v>
      </c>
      <c r="H1130" s="1" t="str">
        <f>IF(COUNTIF(Comp2[Comparable '#2 Dates],Benchmark2[[#This Row],[Benchmark '#2 Dates]])=1,"Pass","Fail")</f>
        <v>Pass</v>
      </c>
      <c r="I1130" s="6">
        <f>IF(Benchmark2[[#This Row],[Comparable '#2 Date Check]]="Pass",INDEX(Comp2[Comparable '#2 Price],MATCH(Benchmark2[[#This Row],[Benchmark '#2 Dates]],Comp2[Comparable '#2 Dates],0)),"-")</f>
        <v>36.130000000000003</v>
      </c>
      <c r="J1130" s="1" t="str">
        <f>IF(COUNTIF(Comp3[Comparable '#3 Dates],Benchmark2[[#This Row],[Benchmark '#2 Dates]])=1,"Pass","Fail")</f>
        <v>Pass</v>
      </c>
      <c r="K1130" s="6">
        <f>IF(Benchmark2[[#This Row],[Comparable '#3 Date Check]]="Pass",INDEX(Comp3[Comparable '#3 Price],MATCH(Benchmark2[[#This Row],[Benchmark '#2 Dates]],Comp3[Comparable '#3 Dates],0)),"-")</f>
        <v>81.25</v>
      </c>
    </row>
    <row r="1131" spans="1:11">
      <c r="A1131" s="103">
        <v>44923</v>
      </c>
      <c r="B1131" s="104">
        <v>15037.3195</v>
      </c>
      <c r="C1131" s="4">
        <f t="shared" si="17"/>
        <v>-1.1960990732905231E-2</v>
      </c>
      <c r="D1131" s="1" t="str">
        <f>IF(COUNTIF(Target1[Target Dates],Benchmark2[[#This Row],[Benchmark '#2 Dates]])=1,"Pass","Fail")</f>
        <v>Pass</v>
      </c>
      <c r="E1131" s="6">
        <f>IF(Benchmark2[[#This Row],[Target Date Check]]="Pass",INDEX(Target1[Target Price],MATCH(Benchmark2[[#This Row],[Benchmark '#2 Dates]],Target1[Target Dates],0)),"-")</f>
        <v>31.75</v>
      </c>
      <c r="F1131" s="1" t="str">
        <f>IF(COUNTIF(Comp1[Comparable '#1 Dates],Benchmark2[[#This Row],[Benchmark '#2 Dates]])=1,"Pass","Fail")</f>
        <v>Pass</v>
      </c>
      <c r="G1131" s="6">
        <f>IF(Benchmark2[[#This Row],[Comparable '#1 Date Check]]="Pass",INDEX(Comp1[Comparable '#1 Price],MATCH(Benchmark2[[#This Row],[Benchmark '#2 Dates]],Comp1[Comparable '#1 Dates],0)),"-")</f>
        <v>9.67</v>
      </c>
      <c r="H1131" s="1" t="str">
        <f>IF(COUNTIF(Comp2[Comparable '#2 Dates],Benchmark2[[#This Row],[Benchmark '#2 Dates]])=1,"Pass","Fail")</f>
        <v>Pass</v>
      </c>
      <c r="I1131" s="6">
        <f>IF(Benchmark2[[#This Row],[Comparable '#2 Date Check]]="Pass",INDEX(Comp2[Comparable '#2 Price],MATCH(Benchmark2[[#This Row],[Benchmark '#2 Dates]],Comp2[Comparable '#2 Dates],0)),"-")</f>
        <v>35.65</v>
      </c>
      <c r="J1131" s="1" t="str">
        <f>IF(COUNTIF(Comp3[Comparable '#3 Dates],Benchmark2[[#This Row],[Benchmark '#2 Dates]])=1,"Pass","Fail")</f>
        <v>Pass</v>
      </c>
      <c r="K1131" s="6">
        <f>IF(Benchmark2[[#This Row],[Comparable '#3 Date Check]]="Pass",INDEX(Comp3[Comparable '#3 Price],MATCH(Benchmark2[[#This Row],[Benchmark '#2 Dates]],Comp3[Comparable '#3 Dates],0)),"-")</f>
        <v>80.150000000000006</v>
      </c>
    </row>
    <row r="1132" spans="1:11">
      <c r="A1132" s="103">
        <v>44924</v>
      </c>
      <c r="B1132" s="104">
        <v>15241.210999999999</v>
      </c>
      <c r="C1132" s="4">
        <f t="shared" si="17"/>
        <v>1.3467931140088605E-2</v>
      </c>
      <c r="D1132" s="1" t="str">
        <f>IF(COUNTIF(Target1[Target Dates],Benchmark2[[#This Row],[Benchmark '#2 Dates]])=1,"Pass","Fail")</f>
        <v>Pass</v>
      </c>
      <c r="E1132" s="6">
        <f>IF(Benchmark2[[#This Row],[Target Date Check]]="Pass",INDEX(Target1[Target Price],MATCH(Benchmark2[[#This Row],[Benchmark '#2 Dates]],Target1[Target Dates],0)),"-")</f>
        <v>31.36</v>
      </c>
      <c r="F1132" s="1" t="str">
        <f>IF(COUNTIF(Comp1[Comparable '#1 Dates],Benchmark2[[#This Row],[Benchmark '#2 Dates]])=1,"Pass","Fail")</f>
        <v>Pass</v>
      </c>
      <c r="G1132" s="6">
        <f>IF(Benchmark2[[#This Row],[Comparable '#1 Date Check]]="Pass",INDEX(Comp1[Comparable '#1 Price],MATCH(Benchmark2[[#This Row],[Benchmark '#2 Dates]],Comp1[Comparable '#1 Dates],0)),"-")</f>
        <v>9.7899999999999991</v>
      </c>
      <c r="H1132" s="1" t="str">
        <f>IF(COUNTIF(Comp2[Comparable '#2 Dates],Benchmark2[[#This Row],[Benchmark '#2 Dates]])=1,"Pass","Fail")</f>
        <v>Pass</v>
      </c>
      <c r="I1132" s="6">
        <f>IF(Benchmark2[[#This Row],[Comparable '#2 Date Check]]="Pass",INDEX(Comp2[Comparable '#2 Price],MATCH(Benchmark2[[#This Row],[Benchmark '#2 Dates]],Comp2[Comparable '#2 Dates],0)),"-")</f>
        <v>35.58</v>
      </c>
      <c r="J1132" s="1" t="str">
        <f>IF(COUNTIF(Comp3[Comparable '#3 Dates],Benchmark2[[#This Row],[Benchmark '#2 Dates]])=1,"Pass","Fail")</f>
        <v>Pass</v>
      </c>
      <c r="K1132" s="6">
        <f>IF(Benchmark2[[#This Row],[Comparable '#3 Date Check]]="Pass",INDEX(Comp3[Comparable '#3 Price],MATCH(Benchmark2[[#This Row],[Benchmark '#2 Dates]],Comp3[Comparable '#3 Dates],0)),"-")</f>
        <v>80.91</v>
      </c>
    </row>
    <row r="1133" spans="1:11">
      <c r="A1133" s="103">
        <v>44925</v>
      </c>
      <c r="B1133" s="104">
        <v>15184.309800000001</v>
      </c>
      <c r="C1133" s="4">
        <f t="shared" si="17"/>
        <v>-3.7403643285436822E-3</v>
      </c>
      <c r="D1133" s="1" t="str">
        <f>IF(COUNTIF(Target1[Target Dates],Benchmark2[[#This Row],[Benchmark '#2 Dates]])=1,"Pass","Fail")</f>
        <v>Pass</v>
      </c>
      <c r="E1133" s="6">
        <f>IF(Benchmark2[[#This Row],[Target Date Check]]="Pass",INDEX(Target1[Target Price],MATCH(Benchmark2[[#This Row],[Benchmark '#2 Dates]],Target1[Target Dates],0)),"-")</f>
        <v>31.28</v>
      </c>
      <c r="F1133" s="1" t="str">
        <f>IF(COUNTIF(Comp1[Comparable '#1 Dates],Benchmark2[[#This Row],[Benchmark '#2 Dates]])=1,"Pass","Fail")</f>
        <v>Pass</v>
      </c>
      <c r="G1133" s="6">
        <f>IF(Benchmark2[[#This Row],[Comparable '#1 Date Check]]="Pass",INDEX(Comp1[Comparable '#1 Price],MATCH(Benchmark2[[#This Row],[Benchmark '#2 Dates]],Comp1[Comparable '#1 Dates],0)),"-")</f>
        <v>9.6199999999999992</v>
      </c>
      <c r="H1133" s="1" t="str">
        <f>IF(COUNTIF(Comp2[Comparable '#2 Dates],Benchmark2[[#This Row],[Benchmark '#2 Dates]])=1,"Pass","Fail")</f>
        <v>Pass</v>
      </c>
      <c r="I1133" s="6">
        <f>IF(Benchmark2[[#This Row],[Comparable '#2 Date Check]]="Pass",INDEX(Comp2[Comparable '#2 Price],MATCH(Benchmark2[[#This Row],[Benchmark '#2 Dates]],Comp2[Comparable '#2 Dates],0)),"-")</f>
        <v>35.5</v>
      </c>
      <c r="J1133" s="1" t="str">
        <f>IF(COUNTIF(Comp3[Comparable '#3 Dates],Benchmark2[[#This Row],[Benchmark '#2 Dates]])=1,"Pass","Fail")</f>
        <v>Pass</v>
      </c>
      <c r="K1133" s="6">
        <f>IF(Benchmark2[[#This Row],[Comparable '#3 Date Check]]="Pass",INDEX(Comp3[Comparable '#3 Price],MATCH(Benchmark2[[#This Row],[Benchmark '#2 Dates]],Comp3[Comparable '#3 Dates],0)),"-")</f>
        <v>78.319999999999993</v>
      </c>
    </row>
    <row r="1134" spans="1:11">
      <c r="A1134" s="103">
        <v>44929</v>
      </c>
      <c r="B1134" s="104">
        <v>15154.446</v>
      </c>
      <c r="C1134" s="4">
        <f t="shared" si="17"/>
        <v>-1.9686904659000971E-3</v>
      </c>
      <c r="D1134" s="1" t="str">
        <f>IF(COUNTIF(Target1[Target Dates],Benchmark2[[#This Row],[Benchmark '#2 Dates]])=1,"Pass","Fail")</f>
        <v>Pass</v>
      </c>
      <c r="E1134" s="6">
        <f>IF(Benchmark2[[#This Row],[Target Date Check]]="Pass",INDEX(Target1[Target Price],MATCH(Benchmark2[[#This Row],[Benchmark '#2 Dates]],Target1[Target Dates],0)),"-")</f>
        <v>33.11</v>
      </c>
      <c r="F1134" s="1" t="str">
        <f>IF(COUNTIF(Comp1[Comparable '#1 Dates],Benchmark2[[#This Row],[Benchmark '#2 Dates]])=1,"Pass","Fail")</f>
        <v>Pass</v>
      </c>
      <c r="G1134" s="6">
        <f>IF(Benchmark2[[#This Row],[Comparable '#1 Date Check]]="Pass",INDEX(Comp1[Comparable '#1 Price],MATCH(Benchmark2[[#This Row],[Benchmark '#2 Dates]],Comp1[Comparable '#1 Dates],0)),"-")</f>
        <v>9.83</v>
      </c>
      <c r="H1134" s="1" t="str">
        <f>IF(COUNTIF(Comp2[Comparable '#2 Dates],Benchmark2[[#This Row],[Benchmark '#2 Dates]])=1,"Pass","Fail")</f>
        <v>Pass</v>
      </c>
      <c r="I1134" s="6">
        <f>IF(Benchmark2[[#This Row],[Comparable '#2 Date Check]]="Pass",INDEX(Comp2[Comparable '#2 Price],MATCH(Benchmark2[[#This Row],[Benchmark '#2 Dates]],Comp2[Comparable '#2 Dates],0)),"-")</f>
        <v>35.61</v>
      </c>
      <c r="J1134" s="1" t="str">
        <f>IF(COUNTIF(Comp3[Comparable '#3 Dates],Benchmark2[[#This Row],[Benchmark '#2 Dates]])=1,"Pass","Fail")</f>
        <v>Pass</v>
      </c>
      <c r="K1134" s="6">
        <f>IF(Benchmark2[[#This Row],[Comparable '#3 Date Check]]="Pass",INDEX(Comp3[Comparable '#3 Price],MATCH(Benchmark2[[#This Row],[Benchmark '#2 Dates]],Comp3[Comparable '#3 Dates],0)),"-")</f>
        <v>79.34</v>
      </c>
    </row>
    <row r="1135" spans="1:11">
      <c r="A1135" s="103">
        <v>44930</v>
      </c>
      <c r="B1135" s="104">
        <v>15350.299199999999</v>
      </c>
      <c r="C1135" s="4">
        <f t="shared" si="17"/>
        <v>1.284101145053919E-2</v>
      </c>
      <c r="D1135" s="1" t="str">
        <f>IF(COUNTIF(Target1[Target Dates],Benchmark2[[#This Row],[Benchmark '#2 Dates]])=1,"Pass","Fail")</f>
        <v>Pass</v>
      </c>
      <c r="E1135" s="6">
        <f>IF(Benchmark2[[#This Row],[Target Date Check]]="Pass",INDEX(Target1[Target Price],MATCH(Benchmark2[[#This Row],[Benchmark '#2 Dates]],Target1[Target Dates],0)),"-")</f>
        <v>32.29</v>
      </c>
      <c r="F1135" s="1" t="str">
        <f>IF(COUNTIF(Comp1[Comparable '#1 Dates],Benchmark2[[#This Row],[Benchmark '#2 Dates]])=1,"Pass","Fail")</f>
        <v>Pass</v>
      </c>
      <c r="G1135" s="6">
        <f>IF(Benchmark2[[#This Row],[Comparable '#1 Date Check]]="Pass",INDEX(Comp1[Comparable '#1 Price],MATCH(Benchmark2[[#This Row],[Benchmark '#2 Dates]],Comp1[Comparable '#1 Dates],0)),"-")</f>
        <v>9.8000000000000007</v>
      </c>
      <c r="H1135" s="1" t="str">
        <f>IF(COUNTIF(Comp2[Comparable '#2 Dates],Benchmark2[[#This Row],[Benchmark '#2 Dates]])=1,"Pass","Fail")</f>
        <v>Pass</v>
      </c>
      <c r="I1135" s="6">
        <f>IF(Benchmark2[[#This Row],[Comparable '#2 Date Check]]="Pass",INDEX(Comp2[Comparable '#2 Price],MATCH(Benchmark2[[#This Row],[Benchmark '#2 Dates]],Comp2[Comparable '#2 Dates],0)),"-")</f>
        <v>36.06</v>
      </c>
      <c r="J1135" s="1" t="str">
        <f>IF(COUNTIF(Comp3[Comparable '#3 Dates],Benchmark2[[#This Row],[Benchmark '#2 Dates]])=1,"Pass","Fail")</f>
        <v>Pass</v>
      </c>
      <c r="K1135" s="6">
        <f>IF(Benchmark2[[#This Row],[Comparable '#3 Date Check]]="Pass",INDEX(Comp3[Comparable '#3 Price],MATCH(Benchmark2[[#This Row],[Benchmark '#2 Dates]],Comp3[Comparable '#3 Dates],0)),"-")</f>
        <v>79.819999999999993</v>
      </c>
    </row>
    <row r="1136" spans="1:11">
      <c r="A1136" s="103">
        <v>44931</v>
      </c>
      <c r="B1136" s="104">
        <v>15225.4004</v>
      </c>
      <c r="C1136" s="4">
        <f t="shared" si="17"/>
        <v>-8.1698535991931616E-3</v>
      </c>
      <c r="D1136" s="1" t="str">
        <f>IF(COUNTIF(Target1[Target Dates],Benchmark2[[#This Row],[Benchmark '#2 Dates]])=1,"Pass","Fail")</f>
        <v>Pass</v>
      </c>
      <c r="E1136" s="6">
        <f>IF(Benchmark2[[#This Row],[Target Date Check]]="Pass",INDEX(Target1[Target Price],MATCH(Benchmark2[[#This Row],[Benchmark '#2 Dates]],Target1[Target Dates],0)),"-")</f>
        <v>32.909999999999997</v>
      </c>
      <c r="F1136" s="1" t="str">
        <f>IF(COUNTIF(Comp1[Comparable '#1 Dates],Benchmark2[[#This Row],[Benchmark '#2 Dates]])=1,"Pass","Fail")</f>
        <v>Pass</v>
      </c>
      <c r="G1136" s="6">
        <f>IF(Benchmark2[[#This Row],[Comparable '#1 Date Check]]="Pass",INDEX(Comp1[Comparable '#1 Price],MATCH(Benchmark2[[#This Row],[Benchmark '#2 Dates]],Comp1[Comparable '#1 Dates],0)),"-")</f>
        <v>9.76</v>
      </c>
      <c r="H1136" s="1" t="str">
        <f>IF(COUNTIF(Comp2[Comparable '#2 Dates],Benchmark2[[#This Row],[Benchmark '#2 Dates]])=1,"Pass","Fail")</f>
        <v>Pass</v>
      </c>
      <c r="I1136" s="6">
        <f>IF(Benchmark2[[#This Row],[Comparable '#2 Date Check]]="Pass",INDEX(Comp2[Comparable '#2 Price],MATCH(Benchmark2[[#This Row],[Benchmark '#2 Dates]],Comp2[Comparable '#2 Dates],0)),"-")</f>
        <v>36.39</v>
      </c>
      <c r="J1136" s="1" t="str">
        <f>IF(COUNTIF(Comp3[Comparable '#3 Dates],Benchmark2[[#This Row],[Benchmark '#2 Dates]])=1,"Pass","Fail")</f>
        <v>Pass</v>
      </c>
      <c r="K1136" s="6">
        <f>IF(Benchmark2[[#This Row],[Comparable '#3 Date Check]]="Pass",INDEX(Comp3[Comparable '#3 Price],MATCH(Benchmark2[[#This Row],[Benchmark '#2 Dates]],Comp3[Comparable '#3 Dates],0)),"-")</f>
        <v>80.959999999999994</v>
      </c>
    </row>
    <row r="1137" spans="1:11">
      <c r="A1137" s="103">
        <v>44932</v>
      </c>
      <c r="B1137" s="104">
        <v>15539.7356</v>
      </c>
      <c r="C1137" s="4">
        <f t="shared" si="17"/>
        <v>2.0435218537017977E-2</v>
      </c>
      <c r="D1137" s="1" t="str">
        <f>IF(COUNTIF(Target1[Target Dates],Benchmark2[[#This Row],[Benchmark '#2 Dates]])=1,"Pass","Fail")</f>
        <v>Pass</v>
      </c>
      <c r="E1137" s="6">
        <f>IF(Benchmark2[[#This Row],[Target Date Check]]="Pass",INDEX(Target1[Target Price],MATCH(Benchmark2[[#This Row],[Benchmark '#2 Dates]],Target1[Target Dates],0)),"-")</f>
        <v>32.29</v>
      </c>
      <c r="F1137" s="1" t="str">
        <f>IF(COUNTIF(Comp1[Comparable '#1 Dates],Benchmark2[[#This Row],[Benchmark '#2 Dates]])=1,"Pass","Fail")</f>
        <v>Pass</v>
      </c>
      <c r="G1137" s="6">
        <f>IF(Benchmark2[[#This Row],[Comparable '#1 Date Check]]="Pass",INDEX(Comp1[Comparable '#1 Price],MATCH(Benchmark2[[#This Row],[Benchmark '#2 Dates]],Comp1[Comparable '#1 Dates],0)),"-")</f>
        <v>9.75</v>
      </c>
      <c r="H1137" s="1" t="str">
        <f>IF(COUNTIF(Comp2[Comparable '#2 Dates],Benchmark2[[#This Row],[Benchmark '#2 Dates]])=1,"Pass","Fail")</f>
        <v>Pass</v>
      </c>
      <c r="I1137" s="6">
        <f>IF(Benchmark2[[#This Row],[Comparable '#2 Date Check]]="Pass",INDEX(Comp2[Comparable '#2 Price],MATCH(Benchmark2[[#This Row],[Benchmark '#2 Dates]],Comp2[Comparable '#2 Dates],0)),"-")</f>
        <v>37.369999999999997</v>
      </c>
      <c r="J1137" s="1" t="str">
        <f>IF(COUNTIF(Comp3[Comparable '#3 Dates],Benchmark2[[#This Row],[Benchmark '#2 Dates]])=1,"Pass","Fail")</f>
        <v>Pass</v>
      </c>
      <c r="K1137" s="6">
        <f>IF(Benchmark2[[#This Row],[Comparable '#3 Date Check]]="Pass",INDEX(Comp3[Comparable '#3 Price],MATCH(Benchmark2[[#This Row],[Benchmark '#2 Dates]],Comp3[Comparable '#3 Dates],0)),"-")</f>
        <v>85.17</v>
      </c>
    </row>
    <row r="1138" spans="1:11">
      <c r="A1138" s="103">
        <v>44935</v>
      </c>
      <c r="B1138" s="104">
        <v>15514.438899999999</v>
      </c>
      <c r="C1138" s="4">
        <f t="shared" si="17"/>
        <v>-1.6291983929820986E-3</v>
      </c>
      <c r="D1138" s="1" t="str">
        <f>IF(COUNTIF(Target1[Target Dates],Benchmark2[[#This Row],[Benchmark '#2 Dates]])=1,"Pass","Fail")</f>
        <v>Pass</v>
      </c>
      <c r="E1138" s="6">
        <f>IF(Benchmark2[[#This Row],[Target Date Check]]="Pass",INDEX(Target1[Target Price],MATCH(Benchmark2[[#This Row],[Benchmark '#2 Dates]],Target1[Target Dates],0)),"-")</f>
        <v>32.72</v>
      </c>
      <c r="F1138" s="1" t="str">
        <f>IF(COUNTIF(Comp1[Comparable '#1 Dates],Benchmark2[[#This Row],[Benchmark '#2 Dates]])=1,"Pass","Fail")</f>
        <v>Pass</v>
      </c>
      <c r="G1138" s="6">
        <f>IF(Benchmark2[[#This Row],[Comparable '#1 Date Check]]="Pass",INDEX(Comp1[Comparable '#1 Price],MATCH(Benchmark2[[#This Row],[Benchmark '#2 Dates]],Comp1[Comparable '#1 Dates],0)),"-")</f>
        <v>9.61</v>
      </c>
      <c r="H1138" s="1" t="str">
        <f>IF(COUNTIF(Comp2[Comparable '#2 Dates],Benchmark2[[#This Row],[Benchmark '#2 Dates]])=1,"Pass","Fail")</f>
        <v>Pass</v>
      </c>
      <c r="I1138" s="6">
        <f>IF(Benchmark2[[#This Row],[Comparable '#2 Date Check]]="Pass",INDEX(Comp2[Comparable '#2 Price],MATCH(Benchmark2[[#This Row],[Benchmark '#2 Dates]],Comp2[Comparable '#2 Dates],0)),"-")</f>
        <v>36.06</v>
      </c>
      <c r="J1138" s="1" t="str">
        <f>IF(COUNTIF(Comp3[Comparable '#3 Dates],Benchmark2[[#This Row],[Benchmark '#2 Dates]])=1,"Pass","Fail")</f>
        <v>Pass</v>
      </c>
      <c r="K1138" s="6">
        <f>IF(Benchmark2[[#This Row],[Comparable '#3 Date Check]]="Pass",INDEX(Comp3[Comparable '#3 Price],MATCH(Benchmark2[[#This Row],[Benchmark '#2 Dates]],Comp3[Comparable '#3 Dates],0)),"-")</f>
        <v>84.88</v>
      </c>
    </row>
    <row r="1139" spans="1:11">
      <c r="A1139" s="103">
        <v>44936</v>
      </c>
      <c r="B1139" s="104">
        <v>15608.1721</v>
      </c>
      <c r="C1139" s="4">
        <f t="shared" si="17"/>
        <v>6.0234974119767496E-3</v>
      </c>
      <c r="D1139" s="1" t="str">
        <f>IF(COUNTIF(Target1[Target Dates],Benchmark2[[#This Row],[Benchmark '#2 Dates]])=1,"Pass","Fail")</f>
        <v>Pass</v>
      </c>
      <c r="E1139" s="6">
        <f>IF(Benchmark2[[#This Row],[Target Date Check]]="Pass",INDEX(Target1[Target Price],MATCH(Benchmark2[[#This Row],[Benchmark '#2 Dates]],Target1[Target Dates],0)),"-")</f>
        <v>32.869999999999997</v>
      </c>
      <c r="F1139" s="1" t="str">
        <f>IF(COUNTIF(Comp1[Comparable '#1 Dates],Benchmark2[[#This Row],[Benchmark '#2 Dates]])=1,"Pass","Fail")</f>
        <v>Pass</v>
      </c>
      <c r="G1139" s="6">
        <f>IF(Benchmark2[[#This Row],[Comparable '#1 Date Check]]="Pass",INDEX(Comp1[Comparable '#1 Price],MATCH(Benchmark2[[#This Row],[Benchmark '#2 Dates]],Comp1[Comparable '#1 Dates],0)),"-")</f>
        <v>9.9</v>
      </c>
      <c r="H1139" s="1" t="str">
        <f>IF(COUNTIF(Comp2[Comparable '#2 Dates],Benchmark2[[#This Row],[Benchmark '#2 Dates]])=1,"Pass","Fail")</f>
        <v>Pass</v>
      </c>
      <c r="I1139" s="6">
        <f>IF(Benchmark2[[#This Row],[Comparable '#2 Date Check]]="Pass",INDEX(Comp2[Comparable '#2 Price],MATCH(Benchmark2[[#This Row],[Benchmark '#2 Dates]],Comp2[Comparable '#2 Dates],0)),"-")</f>
        <v>37</v>
      </c>
      <c r="J1139" s="1" t="str">
        <f>IF(COUNTIF(Comp3[Comparable '#3 Dates],Benchmark2[[#This Row],[Benchmark '#2 Dates]])=1,"Pass","Fail")</f>
        <v>Pass</v>
      </c>
      <c r="K1139" s="6">
        <f>IF(Benchmark2[[#This Row],[Comparable '#3 Date Check]]="Pass",INDEX(Comp3[Comparable '#3 Price],MATCH(Benchmark2[[#This Row],[Benchmark '#2 Dates]],Comp3[Comparable '#3 Dates],0)),"-")</f>
        <v>86.7</v>
      </c>
    </row>
    <row r="1140" spans="1:11">
      <c r="A1140" s="103">
        <v>44937</v>
      </c>
      <c r="B1140" s="104">
        <v>15749.0877</v>
      </c>
      <c r="C1140" s="4">
        <f t="shared" si="17"/>
        <v>8.987810127730287E-3</v>
      </c>
      <c r="D1140" s="1" t="str">
        <f>IF(COUNTIF(Target1[Target Dates],Benchmark2[[#This Row],[Benchmark '#2 Dates]])=1,"Pass","Fail")</f>
        <v>Pass</v>
      </c>
      <c r="E1140" s="6">
        <f>IF(Benchmark2[[#This Row],[Target Date Check]]="Pass",INDEX(Target1[Target Price],MATCH(Benchmark2[[#This Row],[Benchmark '#2 Dates]],Target1[Target Dates],0)),"-")</f>
        <v>33.03</v>
      </c>
      <c r="F1140" s="1" t="str">
        <f>IF(COUNTIF(Comp1[Comparable '#1 Dates],Benchmark2[[#This Row],[Benchmark '#2 Dates]])=1,"Pass","Fail")</f>
        <v>Pass</v>
      </c>
      <c r="G1140" s="6">
        <f>IF(Benchmark2[[#This Row],[Comparable '#1 Date Check]]="Pass",INDEX(Comp1[Comparable '#1 Price],MATCH(Benchmark2[[#This Row],[Benchmark '#2 Dates]],Comp1[Comparable '#1 Dates],0)),"-")</f>
        <v>9.81</v>
      </c>
      <c r="H1140" s="1" t="str">
        <f>IF(COUNTIF(Comp2[Comparable '#2 Dates],Benchmark2[[#This Row],[Benchmark '#2 Dates]])=1,"Pass","Fail")</f>
        <v>Pass</v>
      </c>
      <c r="I1140" s="6">
        <f>IF(Benchmark2[[#This Row],[Comparable '#2 Date Check]]="Pass",INDEX(Comp2[Comparable '#2 Price],MATCH(Benchmark2[[#This Row],[Benchmark '#2 Dates]],Comp2[Comparable '#2 Dates],0)),"-")</f>
        <v>36.89</v>
      </c>
      <c r="J1140" s="1" t="str">
        <f>IF(COUNTIF(Comp3[Comparable '#3 Dates],Benchmark2[[#This Row],[Benchmark '#2 Dates]])=1,"Pass","Fail")</f>
        <v>Pass</v>
      </c>
      <c r="K1140" s="6">
        <f>IF(Benchmark2[[#This Row],[Comparable '#3 Date Check]]="Pass",INDEX(Comp3[Comparable '#3 Price],MATCH(Benchmark2[[#This Row],[Benchmark '#2 Dates]],Comp3[Comparable '#3 Dates],0)),"-")</f>
        <v>86.81</v>
      </c>
    </row>
    <row r="1141" spans="1:11">
      <c r="A1141" s="103">
        <v>44938</v>
      </c>
      <c r="B1141" s="104">
        <v>15859.5453</v>
      </c>
      <c r="C1141" s="4">
        <f t="shared" si="17"/>
        <v>6.9891064021717787E-3</v>
      </c>
      <c r="D1141" s="1" t="str">
        <f>IF(COUNTIF(Target1[Target Dates],Benchmark2[[#This Row],[Benchmark '#2 Dates]])=1,"Pass","Fail")</f>
        <v>Pass</v>
      </c>
      <c r="E1141" s="6">
        <f>IF(Benchmark2[[#This Row],[Target Date Check]]="Pass",INDEX(Target1[Target Price],MATCH(Benchmark2[[#This Row],[Benchmark '#2 Dates]],Target1[Target Dates],0)),"-")</f>
        <v>33.04</v>
      </c>
      <c r="F1141" s="1" t="str">
        <f>IF(COUNTIF(Comp1[Comparable '#1 Dates],Benchmark2[[#This Row],[Benchmark '#2 Dates]])=1,"Pass","Fail")</f>
        <v>Pass</v>
      </c>
      <c r="G1141" s="6">
        <f>IF(Benchmark2[[#This Row],[Comparable '#1 Date Check]]="Pass",INDEX(Comp1[Comparable '#1 Price],MATCH(Benchmark2[[#This Row],[Benchmark '#2 Dates]],Comp1[Comparable '#1 Dates],0)),"-")</f>
        <v>9.94</v>
      </c>
      <c r="H1141" s="1" t="str">
        <f>IF(COUNTIF(Comp2[Comparable '#2 Dates],Benchmark2[[#This Row],[Benchmark '#2 Dates]])=1,"Pass","Fail")</f>
        <v>Pass</v>
      </c>
      <c r="I1141" s="6">
        <f>IF(Benchmark2[[#This Row],[Comparable '#2 Date Check]]="Pass",INDEX(Comp2[Comparable '#2 Price],MATCH(Benchmark2[[#This Row],[Benchmark '#2 Dates]],Comp2[Comparable '#2 Dates],0)),"-")</f>
        <v>36.97</v>
      </c>
      <c r="J1141" s="1" t="str">
        <f>IF(COUNTIF(Comp3[Comparable '#3 Dates],Benchmark2[[#This Row],[Benchmark '#2 Dates]])=1,"Pass","Fail")</f>
        <v>Pass</v>
      </c>
      <c r="K1141" s="6">
        <f>IF(Benchmark2[[#This Row],[Comparable '#3 Date Check]]="Pass",INDEX(Comp3[Comparable '#3 Price],MATCH(Benchmark2[[#This Row],[Benchmark '#2 Dates]],Comp3[Comparable '#3 Dates],0)),"-")</f>
        <v>87.67</v>
      </c>
    </row>
    <row r="1142" spans="1:11">
      <c r="A1142" s="103">
        <v>44939</v>
      </c>
      <c r="B1142" s="104">
        <v>15918.3673</v>
      </c>
      <c r="C1142" s="4">
        <f t="shared" si="17"/>
        <v>3.7020724376515025E-3</v>
      </c>
      <c r="D1142" s="1" t="str">
        <f>IF(COUNTIF(Target1[Target Dates],Benchmark2[[#This Row],[Benchmark '#2 Dates]])=1,"Pass","Fail")</f>
        <v>Pass</v>
      </c>
      <c r="E1142" s="6">
        <f>IF(Benchmark2[[#This Row],[Target Date Check]]="Pass",INDEX(Target1[Target Price],MATCH(Benchmark2[[#This Row],[Benchmark '#2 Dates]],Target1[Target Dates],0)),"-")</f>
        <v>33.06</v>
      </c>
      <c r="F1142" s="1" t="str">
        <f>IF(COUNTIF(Comp1[Comparable '#1 Dates],Benchmark2[[#This Row],[Benchmark '#2 Dates]])=1,"Pass","Fail")</f>
        <v>Pass</v>
      </c>
      <c r="G1142" s="6">
        <f>IF(Benchmark2[[#This Row],[Comparable '#1 Date Check]]="Pass",INDEX(Comp1[Comparable '#1 Price],MATCH(Benchmark2[[#This Row],[Benchmark '#2 Dates]],Comp1[Comparable '#1 Dates],0)),"-")</f>
        <v>10.06</v>
      </c>
      <c r="H1142" s="1" t="str">
        <f>IF(COUNTIF(Comp2[Comparable '#2 Dates],Benchmark2[[#This Row],[Benchmark '#2 Dates]])=1,"Pass","Fail")</f>
        <v>Pass</v>
      </c>
      <c r="I1142" s="6">
        <f>IF(Benchmark2[[#This Row],[Comparable '#2 Date Check]]="Pass",INDEX(Comp2[Comparable '#2 Price],MATCH(Benchmark2[[#This Row],[Benchmark '#2 Dates]],Comp2[Comparable '#2 Dates],0)),"-")</f>
        <v>37.32</v>
      </c>
      <c r="J1142" s="1" t="str">
        <f>IF(COUNTIF(Comp3[Comparable '#3 Dates],Benchmark2[[#This Row],[Benchmark '#2 Dates]])=1,"Pass","Fail")</f>
        <v>Pass</v>
      </c>
      <c r="K1142" s="6">
        <f>IF(Benchmark2[[#This Row],[Comparable '#3 Date Check]]="Pass",INDEX(Comp3[Comparable '#3 Price],MATCH(Benchmark2[[#This Row],[Benchmark '#2 Dates]],Comp3[Comparable '#3 Dates],0)),"-")</f>
        <v>89.7</v>
      </c>
    </row>
    <row r="1143" spans="1:11">
      <c r="A1143" s="103">
        <v>44943</v>
      </c>
      <c r="B1143" s="104">
        <v>15883.555</v>
      </c>
      <c r="C1143" s="4">
        <f t="shared" si="17"/>
        <v>-2.1893213609280988E-3</v>
      </c>
      <c r="D1143" s="1" t="str">
        <f>IF(COUNTIF(Target1[Target Dates],Benchmark2[[#This Row],[Benchmark '#2 Dates]])=1,"Pass","Fail")</f>
        <v>Pass</v>
      </c>
      <c r="E1143" s="6">
        <f>IF(Benchmark2[[#This Row],[Target Date Check]]="Pass",INDEX(Target1[Target Price],MATCH(Benchmark2[[#This Row],[Benchmark '#2 Dates]],Target1[Target Dates],0)),"-")</f>
        <v>32.049999999999997</v>
      </c>
      <c r="F1143" s="1" t="str">
        <f>IF(COUNTIF(Comp1[Comparable '#1 Dates],Benchmark2[[#This Row],[Benchmark '#2 Dates]])=1,"Pass","Fail")</f>
        <v>Pass</v>
      </c>
      <c r="G1143" s="6">
        <f>IF(Benchmark2[[#This Row],[Comparable '#1 Date Check]]="Pass",INDEX(Comp1[Comparable '#1 Price],MATCH(Benchmark2[[#This Row],[Benchmark '#2 Dates]],Comp1[Comparable '#1 Dates],0)),"-")</f>
        <v>10.31</v>
      </c>
      <c r="H1143" s="1" t="str">
        <f>IF(COUNTIF(Comp2[Comparable '#2 Dates],Benchmark2[[#This Row],[Benchmark '#2 Dates]])=1,"Pass","Fail")</f>
        <v>Pass</v>
      </c>
      <c r="I1143" s="6">
        <f>IF(Benchmark2[[#This Row],[Comparable '#2 Date Check]]="Pass",INDEX(Comp2[Comparable '#2 Price],MATCH(Benchmark2[[#This Row],[Benchmark '#2 Dates]],Comp2[Comparable '#2 Dates],0)),"-")</f>
        <v>36.92</v>
      </c>
      <c r="J1143" s="1" t="str">
        <f>IF(COUNTIF(Comp3[Comparable '#3 Dates],Benchmark2[[#This Row],[Benchmark '#2 Dates]])=1,"Pass","Fail")</f>
        <v>Pass</v>
      </c>
      <c r="K1143" s="6">
        <f>IF(Benchmark2[[#This Row],[Comparable '#3 Date Check]]="Pass",INDEX(Comp3[Comparable '#3 Price],MATCH(Benchmark2[[#This Row],[Benchmark '#2 Dates]],Comp3[Comparable '#3 Dates],0)),"-")</f>
        <v>87.78</v>
      </c>
    </row>
    <row r="1144" spans="1:11">
      <c r="A1144" s="103">
        <v>44944</v>
      </c>
      <c r="B1144" s="104">
        <v>15649.1252</v>
      </c>
      <c r="C1144" s="4">
        <f t="shared" si="17"/>
        <v>-1.4869279603118965E-2</v>
      </c>
      <c r="D1144" s="1" t="str">
        <f>IF(COUNTIF(Target1[Target Dates],Benchmark2[[#This Row],[Benchmark '#2 Dates]])=1,"Pass","Fail")</f>
        <v>Pass</v>
      </c>
      <c r="E1144" s="6">
        <f>IF(Benchmark2[[#This Row],[Target Date Check]]="Pass",INDEX(Target1[Target Price],MATCH(Benchmark2[[#This Row],[Benchmark '#2 Dates]],Target1[Target Dates],0)),"-")</f>
        <v>31.77</v>
      </c>
      <c r="F1144" s="1" t="str">
        <f>IF(COUNTIF(Comp1[Comparable '#1 Dates],Benchmark2[[#This Row],[Benchmark '#2 Dates]])=1,"Pass","Fail")</f>
        <v>Pass</v>
      </c>
      <c r="G1144" s="6">
        <f>IF(Benchmark2[[#This Row],[Comparable '#1 Date Check]]="Pass",INDEX(Comp1[Comparable '#1 Price],MATCH(Benchmark2[[#This Row],[Benchmark '#2 Dates]],Comp1[Comparable '#1 Dates],0)),"-")</f>
        <v>10.39</v>
      </c>
      <c r="H1144" s="1" t="str">
        <f>IF(COUNTIF(Comp2[Comparable '#2 Dates],Benchmark2[[#This Row],[Benchmark '#2 Dates]])=1,"Pass","Fail")</f>
        <v>Pass</v>
      </c>
      <c r="I1144" s="6">
        <f>IF(Benchmark2[[#This Row],[Comparable '#2 Date Check]]="Pass",INDEX(Comp2[Comparable '#2 Price],MATCH(Benchmark2[[#This Row],[Benchmark '#2 Dates]],Comp2[Comparable '#2 Dates],0)),"-")</f>
        <v>36.43</v>
      </c>
      <c r="J1144" s="1" t="str">
        <f>IF(COUNTIF(Comp3[Comparable '#3 Dates],Benchmark2[[#This Row],[Benchmark '#2 Dates]])=1,"Pass","Fail")</f>
        <v>Pass</v>
      </c>
      <c r="K1144" s="6">
        <f>IF(Benchmark2[[#This Row],[Comparable '#3 Date Check]]="Pass",INDEX(Comp3[Comparable '#3 Price],MATCH(Benchmark2[[#This Row],[Benchmark '#2 Dates]],Comp3[Comparable '#3 Dates],0)),"-")</f>
        <v>86.87</v>
      </c>
    </row>
    <row r="1145" spans="1:11">
      <c r="A1145" s="103">
        <v>44945</v>
      </c>
      <c r="B1145" s="104">
        <v>15569.6266</v>
      </c>
      <c r="C1145" s="4">
        <f t="shared" si="17"/>
        <v>-5.0930141186107782E-3</v>
      </c>
      <c r="D1145" s="1" t="str">
        <f>IF(COUNTIF(Target1[Target Dates],Benchmark2[[#This Row],[Benchmark '#2 Dates]])=1,"Pass","Fail")</f>
        <v>Pass</v>
      </c>
      <c r="E1145" s="6">
        <f>IF(Benchmark2[[#This Row],[Target Date Check]]="Pass",INDEX(Target1[Target Price],MATCH(Benchmark2[[#This Row],[Benchmark '#2 Dates]],Target1[Target Dates],0)),"-")</f>
        <v>31.85</v>
      </c>
      <c r="F1145" s="1" t="str">
        <f>IF(COUNTIF(Comp1[Comparable '#1 Dates],Benchmark2[[#This Row],[Benchmark '#2 Dates]])=1,"Pass","Fail")</f>
        <v>Pass</v>
      </c>
      <c r="G1145" s="6">
        <f>IF(Benchmark2[[#This Row],[Comparable '#1 Date Check]]="Pass",INDEX(Comp1[Comparable '#1 Price],MATCH(Benchmark2[[#This Row],[Benchmark '#2 Dates]],Comp1[Comparable '#1 Dates],0)),"-")</f>
        <v>10.3</v>
      </c>
      <c r="H1145" s="1" t="str">
        <f>IF(COUNTIF(Comp2[Comparable '#2 Dates],Benchmark2[[#This Row],[Benchmark '#2 Dates]])=1,"Pass","Fail")</f>
        <v>Pass</v>
      </c>
      <c r="I1145" s="6">
        <f>IF(Benchmark2[[#This Row],[Comparable '#2 Date Check]]="Pass",INDEX(Comp2[Comparable '#2 Price],MATCH(Benchmark2[[#This Row],[Benchmark '#2 Dates]],Comp2[Comparable '#2 Dates],0)),"-")</f>
        <v>36.69</v>
      </c>
      <c r="J1145" s="1" t="str">
        <f>IF(COUNTIF(Comp3[Comparable '#3 Dates],Benchmark2[[#This Row],[Benchmark '#2 Dates]])=1,"Pass","Fail")</f>
        <v>Pass</v>
      </c>
      <c r="K1145" s="6">
        <f>IF(Benchmark2[[#This Row],[Comparable '#3 Date Check]]="Pass",INDEX(Comp3[Comparable '#3 Price],MATCH(Benchmark2[[#This Row],[Benchmark '#2 Dates]],Comp3[Comparable '#3 Dates],0)),"-")</f>
        <v>86.7</v>
      </c>
    </row>
    <row r="1146" spans="1:11">
      <c r="A1146" s="103">
        <v>44946</v>
      </c>
      <c r="B1146" s="104">
        <v>15777.5471</v>
      </c>
      <c r="C1146" s="4">
        <f t="shared" si="17"/>
        <v>1.3265856193991678E-2</v>
      </c>
      <c r="D1146" s="1" t="str">
        <f>IF(COUNTIF(Target1[Target Dates],Benchmark2[[#This Row],[Benchmark '#2 Dates]])=1,"Pass","Fail")</f>
        <v>Pass</v>
      </c>
      <c r="E1146" s="6">
        <f>IF(Benchmark2[[#This Row],[Target Date Check]]="Pass",INDEX(Target1[Target Price],MATCH(Benchmark2[[#This Row],[Benchmark '#2 Dates]],Target1[Target Dates],0)),"-")</f>
        <v>32.08</v>
      </c>
      <c r="F1146" s="1" t="str">
        <f>IF(COUNTIF(Comp1[Comparable '#1 Dates],Benchmark2[[#This Row],[Benchmark '#2 Dates]])=1,"Pass","Fail")</f>
        <v>Pass</v>
      </c>
      <c r="G1146" s="6">
        <f>IF(Benchmark2[[#This Row],[Comparable '#1 Date Check]]="Pass",INDEX(Comp1[Comparable '#1 Price],MATCH(Benchmark2[[#This Row],[Benchmark '#2 Dates]],Comp1[Comparable '#1 Dates],0)),"-")</f>
        <v>10.7</v>
      </c>
      <c r="H1146" s="1" t="str">
        <f>IF(COUNTIF(Comp2[Comparable '#2 Dates],Benchmark2[[#This Row],[Benchmark '#2 Dates]])=1,"Pass","Fail")</f>
        <v>Pass</v>
      </c>
      <c r="I1146" s="6">
        <f>IF(Benchmark2[[#This Row],[Comparable '#2 Date Check]]="Pass",INDEX(Comp2[Comparable '#2 Price],MATCH(Benchmark2[[#This Row],[Benchmark '#2 Dates]],Comp2[Comparable '#2 Dates],0)),"-")</f>
        <v>37.659999999999997</v>
      </c>
      <c r="J1146" s="1" t="str">
        <f>IF(COUNTIF(Comp3[Comparable '#3 Dates],Benchmark2[[#This Row],[Benchmark '#2 Dates]])=1,"Pass","Fail")</f>
        <v>Pass</v>
      </c>
      <c r="K1146" s="6">
        <f>IF(Benchmark2[[#This Row],[Comparable '#3 Date Check]]="Pass",INDEX(Comp3[Comparable '#3 Price],MATCH(Benchmark2[[#This Row],[Benchmark '#2 Dates]],Comp3[Comparable '#3 Dates],0)),"-")</f>
        <v>89.04</v>
      </c>
    </row>
    <row r="1147" spans="1:11">
      <c r="A1147" s="103">
        <v>44949</v>
      </c>
      <c r="B1147" s="104">
        <v>15880.0892</v>
      </c>
      <c r="C1147" s="4">
        <f t="shared" si="17"/>
        <v>6.4782131960504632E-3</v>
      </c>
      <c r="D1147" s="1" t="str">
        <f>IF(COUNTIF(Target1[Target Dates],Benchmark2[[#This Row],[Benchmark '#2 Dates]])=1,"Pass","Fail")</f>
        <v>Pass</v>
      </c>
      <c r="E1147" s="6">
        <f>IF(Benchmark2[[#This Row],[Target Date Check]]="Pass",INDEX(Target1[Target Price],MATCH(Benchmark2[[#This Row],[Benchmark '#2 Dates]],Target1[Target Dates],0)),"-")</f>
        <v>32.54</v>
      </c>
      <c r="F1147" s="1" t="str">
        <f>IF(COUNTIF(Comp1[Comparable '#1 Dates],Benchmark2[[#This Row],[Benchmark '#2 Dates]])=1,"Pass","Fail")</f>
        <v>Pass</v>
      </c>
      <c r="G1147" s="6">
        <f>IF(Benchmark2[[#This Row],[Comparable '#1 Date Check]]="Pass",INDEX(Comp1[Comparable '#1 Price],MATCH(Benchmark2[[#This Row],[Benchmark '#2 Dates]],Comp1[Comparable '#1 Dates],0)),"-")</f>
        <v>10.62</v>
      </c>
      <c r="H1147" s="1" t="str">
        <f>IF(COUNTIF(Comp2[Comparable '#2 Dates],Benchmark2[[#This Row],[Benchmark '#2 Dates]])=1,"Pass","Fail")</f>
        <v>Pass</v>
      </c>
      <c r="I1147" s="6">
        <f>IF(Benchmark2[[#This Row],[Comparable '#2 Date Check]]="Pass",INDEX(Comp2[Comparable '#2 Price],MATCH(Benchmark2[[#This Row],[Benchmark '#2 Dates]],Comp2[Comparable '#2 Dates],0)),"-")</f>
        <v>38.090000000000003</v>
      </c>
      <c r="J1147" s="1" t="str">
        <f>IF(COUNTIF(Comp3[Comparable '#3 Dates],Benchmark2[[#This Row],[Benchmark '#2 Dates]])=1,"Pass","Fail")</f>
        <v>Pass</v>
      </c>
      <c r="K1147" s="6">
        <f>IF(Benchmark2[[#This Row],[Comparable '#3 Date Check]]="Pass",INDEX(Comp3[Comparable '#3 Price],MATCH(Benchmark2[[#This Row],[Benchmark '#2 Dates]],Comp3[Comparable '#3 Dates],0)),"-")</f>
        <v>89.73</v>
      </c>
    </row>
    <row r="1148" spans="1:11">
      <c r="A1148" s="103">
        <v>44950</v>
      </c>
      <c r="B1148" s="104">
        <v>15868.2232</v>
      </c>
      <c r="C1148" s="4">
        <f t="shared" si="17"/>
        <v>-7.4750433364911557E-4</v>
      </c>
      <c r="D1148" s="1" t="str">
        <f>IF(COUNTIF(Target1[Target Dates],Benchmark2[[#This Row],[Benchmark '#2 Dates]])=1,"Pass","Fail")</f>
        <v>Pass</v>
      </c>
      <c r="E1148" s="6">
        <f>IF(Benchmark2[[#This Row],[Target Date Check]]="Pass",INDEX(Target1[Target Price],MATCH(Benchmark2[[#This Row],[Benchmark '#2 Dates]],Target1[Target Dates],0)),"-")</f>
        <v>32</v>
      </c>
      <c r="F1148" s="1" t="str">
        <f>IF(COUNTIF(Comp1[Comparable '#1 Dates],Benchmark2[[#This Row],[Benchmark '#2 Dates]])=1,"Pass","Fail")</f>
        <v>Pass</v>
      </c>
      <c r="G1148" s="6">
        <f>IF(Benchmark2[[#This Row],[Comparable '#1 Date Check]]="Pass",INDEX(Comp1[Comparable '#1 Price],MATCH(Benchmark2[[#This Row],[Benchmark '#2 Dates]],Comp1[Comparable '#1 Dates],0)),"-")</f>
        <v>10.84</v>
      </c>
      <c r="H1148" s="1" t="str">
        <f>IF(COUNTIF(Comp2[Comparable '#2 Dates],Benchmark2[[#This Row],[Benchmark '#2 Dates]])=1,"Pass","Fail")</f>
        <v>Pass</v>
      </c>
      <c r="I1148" s="6">
        <f>IF(Benchmark2[[#This Row],[Comparable '#2 Date Check]]="Pass",INDEX(Comp2[Comparable '#2 Price],MATCH(Benchmark2[[#This Row],[Benchmark '#2 Dates]],Comp2[Comparable '#2 Dates],0)),"-")</f>
        <v>38.46</v>
      </c>
      <c r="J1148" s="1" t="str">
        <f>IF(COUNTIF(Comp3[Comparable '#3 Dates],Benchmark2[[#This Row],[Benchmark '#2 Dates]])=1,"Pass","Fail")</f>
        <v>Pass</v>
      </c>
      <c r="K1148" s="6">
        <f>IF(Benchmark2[[#This Row],[Comparable '#3 Date Check]]="Pass",INDEX(Comp3[Comparable '#3 Price],MATCH(Benchmark2[[#This Row],[Benchmark '#2 Dates]],Comp3[Comparable '#3 Dates],0)),"-")</f>
        <v>91.35</v>
      </c>
    </row>
    <row r="1149" spans="1:11">
      <c r="A1149" s="103">
        <v>44951</v>
      </c>
      <c r="B1149" s="104">
        <v>15889.2747</v>
      </c>
      <c r="C1149" s="4">
        <f t="shared" si="17"/>
        <v>1.3257658490432112E-3</v>
      </c>
      <c r="D1149" s="1" t="str">
        <f>IF(COUNTIF(Target1[Target Dates],Benchmark2[[#This Row],[Benchmark '#2 Dates]])=1,"Pass","Fail")</f>
        <v>Pass</v>
      </c>
      <c r="E1149" s="6">
        <f>IF(Benchmark2[[#This Row],[Target Date Check]]="Pass",INDEX(Target1[Target Price],MATCH(Benchmark2[[#This Row],[Benchmark '#2 Dates]],Target1[Target Dates],0)),"-")</f>
        <v>40.86</v>
      </c>
      <c r="F1149" s="1" t="str">
        <f>IF(COUNTIF(Comp1[Comparable '#1 Dates],Benchmark2[[#This Row],[Benchmark '#2 Dates]])=1,"Pass","Fail")</f>
        <v>Pass</v>
      </c>
      <c r="G1149" s="6">
        <f>IF(Benchmark2[[#This Row],[Comparable '#1 Date Check]]="Pass",INDEX(Comp1[Comparable '#1 Price],MATCH(Benchmark2[[#This Row],[Benchmark '#2 Dates]],Comp1[Comparable '#1 Dates],0)),"-")</f>
        <v>10.98</v>
      </c>
      <c r="H1149" s="1" t="str">
        <f>IF(COUNTIF(Comp2[Comparable '#2 Dates],Benchmark2[[#This Row],[Benchmark '#2 Dates]])=1,"Pass","Fail")</f>
        <v>Pass</v>
      </c>
      <c r="I1149" s="6">
        <f>IF(Benchmark2[[#This Row],[Comparable '#2 Date Check]]="Pass",INDEX(Comp2[Comparable '#2 Price],MATCH(Benchmark2[[#This Row],[Benchmark '#2 Dates]],Comp2[Comparable '#2 Dates],0)),"-")</f>
        <v>38.64</v>
      </c>
      <c r="J1149" s="1" t="str">
        <f>IF(COUNTIF(Comp3[Comparable '#3 Dates],Benchmark2[[#This Row],[Benchmark '#2 Dates]])=1,"Pass","Fail")</f>
        <v>Pass</v>
      </c>
      <c r="K1149" s="6">
        <f>IF(Benchmark2[[#This Row],[Comparable '#3 Date Check]]="Pass",INDEX(Comp3[Comparable '#3 Price],MATCH(Benchmark2[[#This Row],[Benchmark '#2 Dates]],Comp3[Comparable '#3 Dates],0)),"-")</f>
        <v>92.94</v>
      </c>
    </row>
    <row r="1150" spans="1:11">
      <c r="A1150" s="103">
        <v>44952</v>
      </c>
      <c r="B1150" s="104">
        <v>15985.866900000001</v>
      </c>
      <c r="C1150" s="4">
        <f t="shared" si="17"/>
        <v>6.0606786868136484E-3</v>
      </c>
      <c r="D1150" s="1" t="str">
        <f>IF(COUNTIF(Target1[Target Dates],Benchmark2[[#This Row],[Benchmark '#2 Dates]])=1,"Pass","Fail")</f>
        <v>Pass</v>
      </c>
      <c r="E1150" s="6">
        <f>IF(Benchmark2[[#This Row],[Target Date Check]]="Pass",INDEX(Target1[Target Price],MATCH(Benchmark2[[#This Row],[Benchmark '#2 Dates]],Target1[Target Dates],0)),"-")</f>
        <v>40.11</v>
      </c>
      <c r="F1150" s="1" t="str">
        <f>IF(COUNTIF(Comp1[Comparable '#1 Dates],Benchmark2[[#This Row],[Benchmark '#2 Dates]])=1,"Pass","Fail")</f>
        <v>Pass</v>
      </c>
      <c r="G1150" s="6">
        <f>IF(Benchmark2[[#This Row],[Comparable '#1 Date Check]]="Pass",INDEX(Comp1[Comparable '#1 Price],MATCH(Benchmark2[[#This Row],[Benchmark '#2 Dates]],Comp1[Comparable '#1 Dates],0)),"-")</f>
        <v>11</v>
      </c>
      <c r="H1150" s="1" t="str">
        <f>IF(COUNTIF(Comp2[Comparable '#2 Dates],Benchmark2[[#This Row],[Benchmark '#2 Dates]])=1,"Pass","Fail")</f>
        <v>Pass</v>
      </c>
      <c r="I1150" s="6">
        <f>IF(Benchmark2[[#This Row],[Comparable '#2 Date Check]]="Pass",INDEX(Comp2[Comparable '#2 Price],MATCH(Benchmark2[[#This Row],[Benchmark '#2 Dates]],Comp2[Comparable '#2 Dates],0)),"-")</f>
        <v>38.79</v>
      </c>
      <c r="J1150" s="1" t="str">
        <f>IF(COUNTIF(Comp3[Comparable '#3 Dates],Benchmark2[[#This Row],[Benchmark '#2 Dates]])=1,"Pass","Fail")</f>
        <v>Pass</v>
      </c>
      <c r="K1150" s="6">
        <f>IF(Benchmark2[[#This Row],[Comparable '#3 Date Check]]="Pass",INDEX(Comp3[Comparable '#3 Price],MATCH(Benchmark2[[#This Row],[Benchmark '#2 Dates]],Comp3[Comparable '#3 Dates],0)),"-")</f>
        <v>92.93</v>
      </c>
    </row>
    <row r="1151" spans="1:11">
      <c r="A1151" s="103">
        <v>44953</v>
      </c>
      <c r="B1151" s="104">
        <v>15962.581</v>
      </c>
      <c r="C1151" s="4">
        <f t="shared" si="17"/>
        <v>-1.4577173949930206E-3</v>
      </c>
      <c r="D1151" s="1" t="str">
        <f>IF(COUNTIF(Target1[Target Dates],Benchmark2[[#This Row],[Benchmark '#2 Dates]])=1,"Pass","Fail")</f>
        <v>Pass</v>
      </c>
      <c r="E1151" s="6">
        <f>IF(Benchmark2[[#This Row],[Target Date Check]]="Pass",INDEX(Target1[Target Price],MATCH(Benchmark2[[#This Row],[Benchmark '#2 Dates]],Target1[Target Dates],0)),"-")</f>
        <v>41</v>
      </c>
      <c r="F1151" s="1" t="str">
        <f>IF(COUNTIF(Comp1[Comparable '#1 Dates],Benchmark2[[#This Row],[Benchmark '#2 Dates]])=1,"Pass","Fail")</f>
        <v>Pass</v>
      </c>
      <c r="G1151" s="6">
        <f>IF(Benchmark2[[#This Row],[Comparable '#1 Date Check]]="Pass",INDEX(Comp1[Comparable '#1 Price],MATCH(Benchmark2[[#This Row],[Benchmark '#2 Dates]],Comp1[Comparable '#1 Dates],0)),"-")</f>
        <v>11</v>
      </c>
      <c r="H1151" s="1" t="str">
        <f>IF(COUNTIF(Comp2[Comparable '#2 Dates],Benchmark2[[#This Row],[Benchmark '#2 Dates]])=1,"Pass","Fail")</f>
        <v>Pass</v>
      </c>
      <c r="I1151" s="6">
        <f>IF(Benchmark2[[#This Row],[Comparable '#2 Date Check]]="Pass",INDEX(Comp2[Comparable '#2 Price],MATCH(Benchmark2[[#This Row],[Benchmark '#2 Dates]],Comp2[Comparable '#2 Dates],0)),"-")</f>
        <v>38.25</v>
      </c>
      <c r="J1151" s="1" t="str">
        <f>IF(COUNTIF(Comp3[Comparable '#3 Dates],Benchmark2[[#This Row],[Benchmark '#2 Dates]])=1,"Pass","Fail")</f>
        <v>Pass</v>
      </c>
      <c r="K1151" s="6">
        <f>IF(Benchmark2[[#This Row],[Comparable '#3 Date Check]]="Pass",INDEX(Comp3[Comparable '#3 Price],MATCH(Benchmark2[[#This Row],[Benchmark '#2 Dates]],Comp3[Comparable '#3 Dates],0)),"-")</f>
        <v>92.81</v>
      </c>
    </row>
    <row r="1152" spans="1:11">
      <c r="A1152" s="103">
        <v>44956</v>
      </c>
      <c r="B1152" s="104">
        <v>15818.904200000001</v>
      </c>
      <c r="C1152" s="4">
        <f t="shared" si="17"/>
        <v>-9.0416025493842995E-3</v>
      </c>
      <c r="D1152" s="1" t="str">
        <f>IF(COUNTIF(Target1[Target Dates],Benchmark2[[#This Row],[Benchmark '#2 Dates]])=1,"Pass","Fail")</f>
        <v>Pass</v>
      </c>
      <c r="E1152" s="6">
        <f>IF(Benchmark2[[#This Row],[Target Date Check]]="Pass",INDEX(Target1[Target Price],MATCH(Benchmark2[[#This Row],[Benchmark '#2 Dates]],Target1[Target Dates],0)),"-")</f>
        <v>41.65</v>
      </c>
      <c r="F1152" s="1" t="str">
        <f>IF(COUNTIF(Comp1[Comparable '#1 Dates],Benchmark2[[#This Row],[Benchmark '#2 Dates]])=1,"Pass","Fail")</f>
        <v>Pass</v>
      </c>
      <c r="G1152" s="6">
        <f>IF(Benchmark2[[#This Row],[Comparable '#1 Date Check]]="Pass",INDEX(Comp1[Comparable '#1 Price],MATCH(Benchmark2[[#This Row],[Benchmark '#2 Dates]],Comp1[Comparable '#1 Dates],0)),"-")</f>
        <v>10.92</v>
      </c>
      <c r="H1152" s="1" t="str">
        <f>IF(COUNTIF(Comp2[Comparable '#2 Dates],Benchmark2[[#This Row],[Benchmark '#2 Dates]])=1,"Pass","Fail")</f>
        <v>Pass</v>
      </c>
      <c r="I1152" s="6">
        <f>IF(Benchmark2[[#This Row],[Comparable '#2 Date Check]]="Pass",INDEX(Comp2[Comparable '#2 Price],MATCH(Benchmark2[[#This Row],[Benchmark '#2 Dates]],Comp2[Comparable '#2 Dates],0)),"-")</f>
        <v>37.619999999999997</v>
      </c>
      <c r="J1152" s="1" t="str">
        <f>IF(COUNTIF(Comp3[Comparable '#3 Dates],Benchmark2[[#This Row],[Benchmark '#2 Dates]])=1,"Pass","Fail")</f>
        <v>Pass</v>
      </c>
      <c r="K1152" s="6">
        <f>IF(Benchmark2[[#This Row],[Comparable '#3 Date Check]]="Pass",INDEX(Comp3[Comparable '#3 Price],MATCH(Benchmark2[[#This Row],[Benchmark '#2 Dates]],Comp3[Comparable '#3 Dates],0)),"-")</f>
        <v>92.79</v>
      </c>
    </row>
    <row r="1153" spans="1:11">
      <c r="A1153" s="103">
        <v>44957</v>
      </c>
      <c r="B1153" s="104">
        <v>16036.3932</v>
      </c>
      <c r="C1153" s="4">
        <f t="shared" si="17"/>
        <v>1.3655021120528566E-2</v>
      </c>
      <c r="D1153" s="1" t="str">
        <f>IF(COUNTIF(Target1[Target Dates],Benchmark2[[#This Row],[Benchmark '#2 Dates]])=1,"Pass","Fail")</f>
        <v>Pass</v>
      </c>
      <c r="E1153" s="6">
        <f>IF(Benchmark2[[#This Row],[Target Date Check]]="Pass",INDEX(Target1[Target Price],MATCH(Benchmark2[[#This Row],[Benchmark '#2 Dates]],Target1[Target Dates],0)),"-")</f>
        <v>42.93</v>
      </c>
      <c r="F1153" s="1" t="str">
        <f>IF(COUNTIF(Comp1[Comparable '#1 Dates],Benchmark2[[#This Row],[Benchmark '#2 Dates]])=1,"Pass","Fail")</f>
        <v>Pass</v>
      </c>
      <c r="G1153" s="6">
        <f>IF(Benchmark2[[#This Row],[Comparable '#1 Date Check]]="Pass",INDEX(Comp1[Comparable '#1 Price],MATCH(Benchmark2[[#This Row],[Benchmark '#2 Dates]],Comp1[Comparable '#1 Dates],0)),"-")</f>
        <v>10.98</v>
      </c>
      <c r="H1153" s="1" t="str">
        <f>IF(COUNTIF(Comp2[Comparable '#2 Dates],Benchmark2[[#This Row],[Benchmark '#2 Dates]])=1,"Pass","Fail")</f>
        <v>Pass</v>
      </c>
      <c r="I1153" s="6">
        <f>IF(Benchmark2[[#This Row],[Comparable '#2 Date Check]]="Pass",INDEX(Comp2[Comparable '#2 Price],MATCH(Benchmark2[[#This Row],[Benchmark '#2 Dates]],Comp2[Comparable '#2 Dates],0)),"-")</f>
        <v>38.18</v>
      </c>
      <c r="J1153" s="1" t="str">
        <f>IF(COUNTIF(Comp3[Comparable '#3 Dates],Benchmark2[[#This Row],[Benchmark '#2 Dates]])=1,"Pass","Fail")</f>
        <v>Pass</v>
      </c>
      <c r="K1153" s="6">
        <f>IF(Benchmark2[[#This Row],[Comparable '#3 Date Check]]="Pass",INDEX(Comp3[Comparable '#3 Price],MATCH(Benchmark2[[#This Row],[Benchmark '#2 Dates]],Comp3[Comparable '#3 Dates],0)),"-")</f>
        <v>93.35</v>
      </c>
    </row>
    <row r="1154" spans="1:11">
      <c r="A1154" s="103">
        <v>44958</v>
      </c>
      <c r="B1154" s="104">
        <v>16121.253699999999</v>
      </c>
      <c r="C1154" s="4">
        <f t="shared" ref="C1154:C1217" si="18">IFERROR(IF(B1154="",NA(),LN(B1154/B1153)),"-")</f>
        <v>5.2777926971405058E-3</v>
      </c>
      <c r="D1154" s="1" t="str">
        <f>IF(COUNTIF(Target1[Target Dates],Benchmark2[[#This Row],[Benchmark '#2 Dates]])=1,"Pass","Fail")</f>
        <v>Pass</v>
      </c>
      <c r="E1154" s="6">
        <f>IF(Benchmark2[[#This Row],[Target Date Check]]="Pass",INDEX(Target1[Target Price],MATCH(Benchmark2[[#This Row],[Benchmark '#2 Dates]],Target1[Target Dates],0)),"-")</f>
        <v>43.25</v>
      </c>
      <c r="F1154" s="1" t="str">
        <f>IF(COUNTIF(Comp1[Comparable '#1 Dates],Benchmark2[[#This Row],[Benchmark '#2 Dates]])=1,"Pass","Fail")</f>
        <v>Pass</v>
      </c>
      <c r="G1154" s="6">
        <f>IF(Benchmark2[[#This Row],[Comparable '#1 Date Check]]="Pass",INDEX(Comp1[Comparable '#1 Price],MATCH(Benchmark2[[#This Row],[Benchmark '#2 Dates]],Comp1[Comparable '#1 Dates],0)),"-")</f>
        <v>11.28</v>
      </c>
      <c r="H1154" s="1" t="str">
        <f>IF(COUNTIF(Comp2[Comparable '#2 Dates],Benchmark2[[#This Row],[Benchmark '#2 Dates]])=1,"Pass","Fail")</f>
        <v>Pass</v>
      </c>
      <c r="I1154" s="6">
        <f>IF(Benchmark2[[#This Row],[Comparable '#2 Date Check]]="Pass",INDEX(Comp2[Comparable '#2 Price],MATCH(Benchmark2[[#This Row],[Benchmark '#2 Dates]],Comp2[Comparable '#2 Dates],0)),"-")</f>
        <v>38.54</v>
      </c>
      <c r="J1154" s="1" t="str">
        <f>IF(COUNTIF(Comp3[Comparable '#3 Dates],Benchmark2[[#This Row],[Benchmark '#2 Dates]])=1,"Pass","Fail")</f>
        <v>Pass</v>
      </c>
      <c r="K1154" s="6">
        <f>IF(Benchmark2[[#This Row],[Comparable '#3 Date Check]]="Pass",INDEX(Comp3[Comparable '#3 Price],MATCH(Benchmark2[[#This Row],[Benchmark '#2 Dates]],Comp3[Comparable '#3 Dates],0)),"-")</f>
        <v>94.16</v>
      </c>
    </row>
    <row r="1155" spans="1:11">
      <c r="A1155" s="103">
        <v>44959</v>
      </c>
      <c r="B1155" s="104">
        <v>16122.575000000001</v>
      </c>
      <c r="C1155" s="4">
        <f t="shared" si="18"/>
        <v>8.1956768412016999E-5</v>
      </c>
      <c r="D1155" s="1" t="str">
        <f>IF(COUNTIF(Target1[Target Dates],Benchmark2[[#This Row],[Benchmark '#2 Dates]])=1,"Pass","Fail")</f>
        <v>Pass</v>
      </c>
      <c r="E1155" s="6">
        <f>IF(Benchmark2[[#This Row],[Target Date Check]]="Pass",INDEX(Target1[Target Price],MATCH(Benchmark2[[#This Row],[Benchmark '#2 Dates]],Target1[Target Dates],0)),"-")</f>
        <v>42.55</v>
      </c>
      <c r="F1155" s="1" t="str">
        <f>IF(COUNTIF(Comp1[Comparable '#1 Dates],Benchmark2[[#This Row],[Benchmark '#2 Dates]])=1,"Pass","Fail")</f>
        <v>Pass</v>
      </c>
      <c r="G1155" s="6">
        <f>IF(Benchmark2[[#This Row],[Comparable '#1 Date Check]]="Pass",INDEX(Comp1[Comparable '#1 Price],MATCH(Benchmark2[[#This Row],[Benchmark '#2 Dates]],Comp1[Comparable '#1 Dates],0)),"-")</f>
        <v>11.18</v>
      </c>
      <c r="H1155" s="1" t="str">
        <f>IF(COUNTIF(Comp2[Comparable '#2 Dates],Benchmark2[[#This Row],[Benchmark '#2 Dates]])=1,"Pass","Fail")</f>
        <v>Pass</v>
      </c>
      <c r="I1155" s="6">
        <f>IF(Benchmark2[[#This Row],[Comparable '#2 Date Check]]="Pass",INDEX(Comp2[Comparable '#2 Price],MATCH(Benchmark2[[#This Row],[Benchmark '#2 Dates]],Comp2[Comparable '#2 Dates],0)),"-")</f>
        <v>38.64</v>
      </c>
      <c r="J1155" s="1" t="str">
        <f>IF(COUNTIF(Comp3[Comparable '#3 Dates],Benchmark2[[#This Row],[Benchmark '#2 Dates]])=1,"Pass","Fail")</f>
        <v>Pass</v>
      </c>
      <c r="K1155" s="6">
        <f>IF(Benchmark2[[#This Row],[Comparable '#3 Date Check]]="Pass",INDEX(Comp3[Comparable '#3 Price],MATCH(Benchmark2[[#This Row],[Benchmark '#2 Dates]],Comp3[Comparable '#3 Dates],0)),"-")</f>
        <v>96.07</v>
      </c>
    </row>
    <row r="1156" spans="1:11">
      <c r="A1156" s="103">
        <v>44960</v>
      </c>
      <c r="B1156" s="104">
        <v>15999.404399999999</v>
      </c>
      <c r="C1156" s="4">
        <f t="shared" si="18"/>
        <v>-7.6689672286747801E-3</v>
      </c>
      <c r="D1156" s="1" t="str">
        <f>IF(COUNTIF(Target1[Target Dates],Benchmark2[[#This Row],[Benchmark '#2 Dates]])=1,"Pass","Fail")</f>
        <v>Pass</v>
      </c>
      <c r="E1156" s="6">
        <f>IF(Benchmark2[[#This Row],[Target Date Check]]="Pass",INDEX(Target1[Target Price],MATCH(Benchmark2[[#This Row],[Benchmark '#2 Dates]],Target1[Target Dates],0)),"-")</f>
        <v>42.85</v>
      </c>
      <c r="F1156" s="1" t="str">
        <f>IF(COUNTIF(Comp1[Comparable '#1 Dates],Benchmark2[[#This Row],[Benchmark '#2 Dates]])=1,"Pass","Fail")</f>
        <v>Pass</v>
      </c>
      <c r="G1156" s="6">
        <f>IF(Benchmark2[[#This Row],[Comparable '#1 Date Check]]="Pass",INDEX(Comp1[Comparable '#1 Price],MATCH(Benchmark2[[#This Row],[Benchmark '#2 Dates]],Comp1[Comparable '#1 Dates],0)),"-")</f>
        <v>11.24</v>
      </c>
      <c r="H1156" s="1" t="str">
        <f>IF(COUNTIF(Comp2[Comparable '#2 Dates],Benchmark2[[#This Row],[Benchmark '#2 Dates]])=1,"Pass","Fail")</f>
        <v>Pass</v>
      </c>
      <c r="I1156" s="6">
        <f>IF(Benchmark2[[#This Row],[Comparable '#2 Date Check]]="Pass",INDEX(Comp2[Comparable '#2 Price],MATCH(Benchmark2[[#This Row],[Benchmark '#2 Dates]],Comp2[Comparable '#2 Dates],0)),"-")</f>
        <v>43.83</v>
      </c>
      <c r="J1156" s="1" t="str">
        <f>IF(COUNTIF(Comp3[Comparable '#3 Dates],Benchmark2[[#This Row],[Benchmark '#2 Dates]])=1,"Pass","Fail")</f>
        <v>Pass</v>
      </c>
      <c r="K1156" s="6">
        <f>IF(Benchmark2[[#This Row],[Comparable '#3 Date Check]]="Pass",INDEX(Comp3[Comparable '#3 Price],MATCH(Benchmark2[[#This Row],[Benchmark '#2 Dates]],Comp3[Comparable '#3 Dates],0)),"-")</f>
        <v>97.8</v>
      </c>
    </row>
    <row r="1157" spans="1:11">
      <c r="A1157" s="103">
        <v>44963</v>
      </c>
      <c r="B1157" s="104">
        <v>15895.357099999999</v>
      </c>
      <c r="C1157" s="4">
        <f t="shared" si="18"/>
        <v>-6.5244362521739343E-3</v>
      </c>
      <c r="D1157" s="1" t="str">
        <f>IF(COUNTIF(Target1[Target Dates],Benchmark2[[#This Row],[Benchmark '#2 Dates]])=1,"Pass","Fail")</f>
        <v>Pass</v>
      </c>
      <c r="E1157" s="6">
        <f>IF(Benchmark2[[#This Row],[Target Date Check]]="Pass",INDEX(Target1[Target Price],MATCH(Benchmark2[[#This Row],[Benchmark '#2 Dates]],Target1[Target Dates],0)),"-")</f>
        <v>41.73</v>
      </c>
      <c r="F1157" s="1" t="str">
        <f>IF(COUNTIF(Comp1[Comparable '#1 Dates],Benchmark2[[#This Row],[Benchmark '#2 Dates]])=1,"Pass","Fail")</f>
        <v>Pass</v>
      </c>
      <c r="G1157" s="6">
        <f>IF(Benchmark2[[#This Row],[Comparable '#1 Date Check]]="Pass",INDEX(Comp1[Comparable '#1 Price],MATCH(Benchmark2[[#This Row],[Benchmark '#2 Dates]],Comp1[Comparable '#1 Dates],0)),"-")</f>
        <v>10.68</v>
      </c>
      <c r="H1157" s="1" t="str">
        <f>IF(COUNTIF(Comp2[Comparable '#2 Dates],Benchmark2[[#This Row],[Benchmark '#2 Dates]])=1,"Pass","Fail")</f>
        <v>Pass</v>
      </c>
      <c r="I1157" s="6">
        <f>IF(Benchmark2[[#This Row],[Comparable '#2 Date Check]]="Pass",INDEX(Comp2[Comparable '#2 Price],MATCH(Benchmark2[[#This Row],[Benchmark '#2 Dates]],Comp2[Comparable '#2 Dates],0)),"-")</f>
        <v>40.72</v>
      </c>
      <c r="J1157" s="1" t="str">
        <f>IF(COUNTIF(Comp3[Comparable '#3 Dates],Benchmark2[[#This Row],[Benchmark '#2 Dates]])=1,"Pass","Fail")</f>
        <v>Pass</v>
      </c>
      <c r="K1157" s="6">
        <f>IF(Benchmark2[[#This Row],[Comparable '#3 Date Check]]="Pass",INDEX(Comp3[Comparable '#3 Price],MATCH(Benchmark2[[#This Row],[Benchmark '#2 Dates]],Comp3[Comparable '#3 Dates],0)),"-")</f>
        <v>93.82</v>
      </c>
    </row>
    <row r="1158" spans="1:11">
      <c r="A1158" s="103">
        <v>44964</v>
      </c>
      <c r="B1158" s="104">
        <v>16021.622300000001</v>
      </c>
      <c r="C1158" s="4">
        <f t="shared" si="18"/>
        <v>7.9121433843426375E-3</v>
      </c>
      <c r="D1158" s="1" t="str">
        <f>IF(COUNTIF(Target1[Target Dates],Benchmark2[[#This Row],[Benchmark '#2 Dates]])=1,"Pass","Fail")</f>
        <v>Pass</v>
      </c>
      <c r="E1158" s="6">
        <f>IF(Benchmark2[[#This Row],[Target Date Check]]="Pass",INDEX(Target1[Target Price],MATCH(Benchmark2[[#This Row],[Benchmark '#2 Dates]],Target1[Target Dates],0)),"-")</f>
        <v>41.8</v>
      </c>
      <c r="F1158" s="1" t="str">
        <f>IF(COUNTIF(Comp1[Comparable '#1 Dates],Benchmark2[[#This Row],[Benchmark '#2 Dates]])=1,"Pass","Fail")</f>
        <v>Pass</v>
      </c>
      <c r="G1158" s="6">
        <f>IF(Benchmark2[[#This Row],[Comparable '#1 Date Check]]="Pass",INDEX(Comp1[Comparable '#1 Price],MATCH(Benchmark2[[#This Row],[Benchmark '#2 Dates]],Comp1[Comparable '#1 Dates],0)),"-")</f>
        <v>10.66</v>
      </c>
      <c r="H1158" s="1" t="str">
        <f>IF(COUNTIF(Comp2[Comparable '#2 Dates],Benchmark2[[#This Row],[Benchmark '#2 Dates]])=1,"Pass","Fail")</f>
        <v>Pass</v>
      </c>
      <c r="I1158" s="6">
        <f>IF(Benchmark2[[#This Row],[Comparable '#2 Date Check]]="Pass",INDEX(Comp2[Comparable '#2 Price],MATCH(Benchmark2[[#This Row],[Benchmark '#2 Dates]],Comp2[Comparable '#2 Dates],0)),"-")</f>
        <v>39.729999999999997</v>
      </c>
      <c r="J1158" s="1" t="str">
        <f>IF(COUNTIF(Comp3[Comparable '#3 Dates],Benchmark2[[#This Row],[Benchmark '#2 Dates]])=1,"Pass","Fail")</f>
        <v>Pass</v>
      </c>
      <c r="K1158" s="6">
        <f>IF(Benchmark2[[#This Row],[Comparable '#3 Date Check]]="Pass",INDEX(Comp3[Comparable '#3 Price],MATCH(Benchmark2[[#This Row],[Benchmark '#2 Dates]],Comp3[Comparable '#3 Dates],0)),"-")</f>
        <v>93.26</v>
      </c>
    </row>
    <row r="1159" spans="1:11">
      <c r="A1159" s="103">
        <v>44965</v>
      </c>
      <c r="B1159" s="104">
        <v>15934.7199</v>
      </c>
      <c r="C1159" s="4">
        <f t="shared" si="18"/>
        <v>-5.4388336235121912E-3</v>
      </c>
      <c r="D1159" s="1" t="str">
        <f>IF(COUNTIF(Target1[Target Dates],Benchmark2[[#This Row],[Benchmark '#2 Dates]])=1,"Pass","Fail")</f>
        <v>Pass</v>
      </c>
      <c r="E1159" s="6">
        <f>IF(Benchmark2[[#This Row],[Target Date Check]]="Pass",INDEX(Target1[Target Price],MATCH(Benchmark2[[#This Row],[Benchmark '#2 Dates]],Target1[Target Dates],0)),"-")</f>
        <v>40.74</v>
      </c>
      <c r="F1159" s="1" t="str">
        <f>IF(COUNTIF(Comp1[Comparable '#1 Dates],Benchmark2[[#This Row],[Benchmark '#2 Dates]])=1,"Pass","Fail")</f>
        <v>Pass</v>
      </c>
      <c r="G1159" s="6">
        <f>IF(Benchmark2[[#This Row],[Comparable '#1 Date Check]]="Pass",INDEX(Comp1[Comparable '#1 Price],MATCH(Benchmark2[[#This Row],[Benchmark '#2 Dates]],Comp1[Comparable '#1 Dates],0)),"-")</f>
        <v>10.46</v>
      </c>
      <c r="H1159" s="1" t="str">
        <f>IF(COUNTIF(Comp2[Comparable '#2 Dates],Benchmark2[[#This Row],[Benchmark '#2 Dates]])=1,"Pass","Fail")</f>
        <v>Pass</v>
      </c>
      <c r="I1159" s="6">
        <f>IF(Benchmark2[[#This Row],[Comparable '#2 Date Check]]="Pass",INDEX(Comp2[Comparable '#2 Price],MATCH(Benchmark2[[#This Row],[Benchmark '#2 Dates]],Comp2[Comparable '#2 Dates],0)),"-")</f>
        <v>38.799999999999997</v>
      </c>
      <c r="J1159" s="1" t="str">
        <f>IF(COUNTIF(Comp3[Comparable '#3 Dates],Benchmark2[[#This Row],[Benchmark '#2 Dates]])=1,"Pass","Fail")</f>
        <v>Pass</v>
      </c>
      <c r="K1159" s="6">
        <f>IF(Benchmark2[[#This Row],[Comparable '#3 Date Check]]="Pass",INDEX(Comp3[Comparable '#3 Price],MATCH(Benchmark2[[#This Row],[Benchmark '#2 Dates]],Comp3[Comparable '#3 Dates],0)),"-")</f>
        <v>92.52</v>
      </c>
    </row>
    <row r="1160" spans="1:11">
      <c r="A1160" s="103">
        <v>44966</v>
      </c>
      <c r="B1160" s="104">
        <v>15828.602500000001</v>
      </c>
      <c r="C1160" s="4">
        <f t="shared" si="18"/>
        <v>-6.6817818032367821E-3</v>
      </c>
      <c r="D1160" s="1" t="str">
        <f>IF(COUNTIF(Target1[Target Dates],Benchmark2[[#This Row],[Benchmark '#2 Dates]])=1,"Pass","Fail")</f>
        <v>Pass</v>
      </c>
      <c r="E1160" s="6">
        <f>IF(Benchmark2[[#This Row],[Target Date Check]]="Pass",INDEX(Target1[Target Price],MATCH(Benchmark2[[#This Row],[Benchmark '#2 Dates]],Target1[Target Dates],0)),"-")</f>
        <v>41.39</v>
      </c>
      <c r="F1160" s="1" t="str">
        <f>IF(COUNTIF(Comp1[Comparable '#1 Dates],Benchmark2[[#This Row],[Benchmark '#2 Dates]])=1,"Pass","Fail")</f>
        <v>Pass</v>
      </c>
      <c r="G1160" s="6">
        <f>IF(Benchmark2[[#This Row],[Comparable '#1 Date Check]]="Pass",INDEX(Comp1[Comparable '#1 Price],MATCH(Benchmark2[[#This Row],[Benchmark '#2 Dates]],Comp1[Comparable '#1 Dates],0)),"-")</f>
        <v>10.53</v>
      </c>
      <c r="H1160" s="1" t="str">
        <f>IF(COUNTIF(Comp2[Comparable '#2 Dates],Benchmark2[[#This Row],[Benchmark '#2 Dates]])=1,"Pass","Fail")</f>
        <v>Pass</v>
      </c>
      <c r="I1160" s="6">
        <f>IF(Benchmark2[[#This Row],[Comparable '#2 Date Check]]="Pass",INDEX(Comp2[Comparable '#2 Price],MATCH(Benchmark2[[#This Row],[Benchmark '#2 Dates]],Comp2[Comparable '#2 Dates],0)),"-")</f>
        <v>39.369999999999997</v>
      </c>
      <c r="J1160" s="1" t="str">
        <f>IF(COUNTIF(Comp3[Comparable '#3 Dates],Benchmark2[[#This Row],[Benchmark '#2 Dates]])=1,"Pass","Fail")</f>
        <v>Pass</v>
      </c>
      <c r="K1160" s="6">
        <f>IF(Benchmark2[[#This Row],[Comparable '#3 Date Check]]="Pass",INDEX(Comp3[Comparable '#3 Price],MATCH(Benchmark2[[#This Row],[Benchmark '#2 Dates]],Comp3[Comparable '#3 Dates],0)),"-")</f>
        <v>93.19</v>
      </c>
    </row>
    <row r="1161" spans="1:11">
      <c r="A1161" s="103">
        <v>44967</v>
      </c>
      <c r="B1161" s="104">
        <v>15910.694299999999</v>
      </c>
      <c r="C1161" s="4">
        <f t="shared" si="18"/>
        <v>5.1728923658148507E-3</v>
      </c>
      <c r="D1161" s="1" t="str">
        <f>IF(COUNTIF(Target1[Target Dates],Benchmark2[[#This Row],[Benchmark '#2 Dates]])=1,"Pass","Fail")</f>
        <v>Pass</v>
      </c>
      <c r="E1161" s="6">
        <f>IF(Benchmark2[[#This Row],[Target Date Check]]="Pass",INDEX(Target1[Target Price],MATCH(Benchmark2[[#This Row],[Benchmark '#2 Dates]],Target1[Target Dates],0)),"-")</f>
        <v>41.6</v>
      </c>
      <c r="F1161" s="1" t="str">
        <f>IF(COUNTIF(Comp1[Comparable '#1 Dates],Benchmark2[[#This Row],[Benchmark '#2 Dates]])=1,"Pass","Fail")</f>
        <v>Pass</v>
      </c>
      <c r="G1161" s="6">
        <f>IF(Benchmark2[[#This Row],[Comparable '#1 Date Check]]="Pass",INDEX(Comp1[Comparable '#1 Price],MATCH(Benchmark2[[#This Row],[Benchmark '#2 Dates]],Comp1[Comparable '#1 Dates],0)),"-")</f>
        <v>10.53</v>
      </c>
      <c r="H1161" s="1" t="str">
        <f>IF(COUNTIF(Comp2[Comparable '#2 Dates],Benchmark2[[#This Row],[Benchmark '#2 Dates]])=1,"Pass","Fail")</f>
        <v>Pass</v>
      </c>
      <c r="I1161" s="6">
        <f>IF(Benchmark2[[#This Row],[Comparable '#2 Date Check]]="Pass",INDEX(Comp2[Comparable '#2 Price],MATCH(Benchmark2[[#This Row],[Benchmark '#2 Dates]],Comp2[Comparable '#2 Dates],0)),"-")</f>
        <v>40.11</v>
      </c>
      <c r="J1161" s="1" t="str">
        <f>IF(COUNTIF(Comp3[Comparable '#3 Dates],Benchmark2[[#This Row],[Benchmark '#2 Dates]])=1,"Pass","Fail")</f>
        <v>Pass</v>
      </c>
      <c r="K1161" s="6">
        <f>IF(Benchmark2[[#This Row],[Comparable '#3 Date Check]]="Pass",INDEX(Comp3[Comparable '#3 Price],MATCH(Benchmark2[[#This Row],[Benchmark '#2 Dates]],Comp3[Comparable '#3 Dates],0)),"-")</f>
        <v>93</v>
      </c>
    </row>
    <row r="1162" spans="1:11">
      <c r="A1162" s="103">
        <v>44970</v>
      </c>
      <c r="B1162" s="104">
        <v>16052.245000000001</v>
      </c>
      <c r="C1162" s="4">
        <f t="shared" si="18"/>
        <v>8.8572345656345152E-3</v>
      </c>
      <c r="D1162" s="1" t="str">
        <f>IF(COUNTIF(Target1[Target Dates],Benchmark2[[#This Row],[Benchmark '#2 Dates]])=1,"Pass","Fail")</f>
        <v>Pass</v>
      </c>
      <c r="E1162" s="6">
        <f>IF(Benchmark2[[#This Row],[Target Date Check]]="Pass",INDEX(Target1[Target Price],MATCH(Benchmark2[[#This Row],[Benchmark '#2 Dates]],Target1[Target Dates],0)),"-")</f>
        <v>42.66</v>
      </c>
      <c r="F1162" s="1" t="str">
        <f>IF(COUNTIF(Comp1[Comparable '#1 Dates],Benchmark2[[#This Row],[Benchmark '#2 Dates]])=1,"Pass","Fail")</f>
        <v>Pass</v>
      </c>
      <c r="G1162" s="6">
        <f>IF(Benchmark2[[#This Row],[Comparable '#1 Date Check]]="Pass",INDEX(Comp1[Comparable '#1 Price],MATCH(Benchmark2[[#This Row],[Benchmark '#2 Dates]],Comp1[Comparable '#1 Dates],0)),"-")</f>
        <v>10.69</v>
      </c>
      <c r="H1162" s="1" t="str">
        <f>IF(COUNTIF(Comp2[Comparable '#2 Dates],Benchmark2[[#This Row],[Benchmark '#2 Dates]])=1,"Pass","Fail")</f>
        <v>Pass</v>
      </c>
      <c r="I1162" s="6">
        <f>IF(Benchmark2[[#This Row],[Comparable '#2 Date Check]]="Pass",INDEX(Comp2[Comparable '#2 Price],MATCH(Benchmark2[[#This Row],[Benchmark '#2 Dates]],Comp2[Comparable '#2 Dates],0)),"-")</f>
        <v>41.27</v>
      </c>
      <c r="J1162" s="1" t="str">
        <f>IF(COUNTIF(Comp3[Comparable '#3 Dates],Benchmark2[[#This Row],[Benchmark '#2 Dates]])=1,"Pass","Fail")</f>
        <v>Pass</v>
      </c>
      <c r="K1162" s="6">
        <f>IF(Benchmark2[[#This Row],[Comparable '#3 Date Check]]="Pass",INDEX(Comp3[Comparable '#3 Price],MATCH(Benchmark2[[#This Row],[Benchmark '#2 Dates]],Comp3[Comparable '#3 Dates],0)),"-")</f>
        <v>94.4</v>
      </c>
    </row>
    <row r="1163" spans="1:11">
      <c r="A1163" s="103">
        <v>44971</v>
      </c>
      <c r="B1163" s="104">
        <v>16025.1113</v>
      </c>
      <c r="C1163" s="4">
        <f t="shared" si="18"/>
        <v>-1.6917670033523707E-3</v>
      </c>
      <c r="D1163" s="1" t="str">
        <f>IF(COUNTIF(Target1[Target Dates],Benchmark2[[#This Row],[Benchmark '#2 Dates]])=1,"Pass","Fail")</f>
        <v>Pass</v>
      </c>
      <c r="E1163" s="6">
        <f>IF(Benchmark2[[#This Row],[Target Date Check]]="Pass",INDEX(Target1[Target Price],MATCH(Benchmark2[[#This Row],[Benchmark '#2 Dates]],Target1[Target Dates],0)),"-")</f>
        <v>42.86</v>
      </c>
      <c r="F1163" s="1" t="str">
        <f>IF(COUNTIF(Comp1[Comparable '#1 Dates],Benchmark2[[#This Row],[Benchmark '#2 Dates]])=1,"Pass","Fail")</f>
        <v>Pass</v>
      </c>
      <c r="G1163" s="6">
        <f>IF(Benchmark2[[#This Row],[Comparable '#1 Date Check]]="Pass",INDEX(Comp1[Comparable '#1 Price],MATCH(Benchmark2[[#This Row],[Benchmark '#2 Dates]],Comp1[Comparable '#1 Dates],0)),"-")</f>
        <v>10.57</v>
      </c>
      <c r="H1163" s="1" t="str">
        <f>IF(COUNTIF(Comp2[Comparable '#2 Dates],Benchmark2[[#This Row],[Benchmark '#2 Dates]])=1,"Pass","Fail")</f>
        <v>Pass</v>
      </c>
      <c r="I1163" s="6">
        <f>IF(Benchmark2[[#This Row],[Comparable '#2 Date Check]]="Pass",INDEX(Comp2[Comparable '#2 Price],MATCH(Benchmark2[[#This Row],[Benchmark '#2 Dates]],Comp2[Comparable '#2 Dates],0)),"-")</f>
        <v>40.18</v>
      </c>
      <c r="J1163" s="1" t="str">
        <f>IF(COUNTIF(Comp3[Comparable '#3 Dates],Benchmark2[[#This Row],[Benchmark '#2 Dates]])=1,"Pass","Fail")</f>
        <v>Pass</v>
      </c>
      <c r="K1163" s="6">
        <f>IF(Benchmark2[[#This Row],[Comparable '#3 Date Check]]="Pass",INDEX(Comp3[Comparable '#3 Price],MATCH(Benchmark2[[#This Row],[Benchmark '#2 Dates]],Comp3[Comparable '#3 Dates],0)),"-")</f>
        <v>92.76</v>
      </c>
    </row>
    <row r="1164" spans="1:11">
      <c r="A1164" s="103">
        <v>44972</v>
      </c>
      <c r="B1164" s="104">
        <v>16016.089900000001</v>
      </c>
      <c r="C1164" s="4">
        <f t="shared" si="18"/>
        <v>-5.6311248645610288E-4</v>
      </c>
      <c r="D1164" s="1" t="str">
        <f>IF(COUNTIF(Target1[Target Dates],Benchmark2[[#This Row],[Benchmark '#2 Dates]])=1,"Pass","Fail")</f>
        <v>Pass</v>
      </c>
      <c r="E1164" s="6">
        <f>IF(Benchmark2[[#This Row],[Target Date Check]]="Pass",INDEX(Target1[Target Price],MATCH(Benchmark2[[#This Row],[Benchmark '#2 Dates]],Target1[Target Dates],0)),"-")</f>
        <v>43.4</v>
      </c>
      <c r="F1164" s="1" t="str">
        <f>IF(COUNTIF(Comp1[Comparable '#1 Dates],Benchmark2[[#This Row],[Benchmark '#2 Dates]])=1,"Pass","Fail")</f>
        <v>Pass</v>
      </c>
      <c r="G1164" s="6">
        <f>IF(Benchmark2[[#This Row],[Comparable '#1 Date Check]]="Pass",INDEX(Comp1[Comparable '#1 Price],MATCH(Benchmark2[[#This Row],[Benchmark '#2 Dates]],Comp1[Comparable '#1 Dates],0)),"-")</f>
        <v>10.64</v>
      </c>
      <c r="H1164" s="1" t="str">
        <f>IF(COUNTIF(Comp2[Comparable '#2 Dates],Benchmark2[[#This Row],[Benchmark '#2 Dates]])=1,"Pass","Fail")</f>
        <v>Pass</v>
      </c>
      <c r="I1164" s="6">
        <f>IF(Benchmark2[[#This Row],[Comparable '#2 Date Check]]="Pass",INDEX(Comp2[Comparable '#2 Price],MATCH(Benchmark2[[#This Row],[Benchmark '#2 Dates]],Comp2[Comparable '#2 Dates],0)),"-")</f>
        <v>40.43</v>
      </c>
      <c r="J1164" s="1" t="str">
        <f>IF(COUNTIF(Comp3[Comparable '#3 Dates],Benchmark2[[#This Row],[Benchmark '#2 Dates]])=1,"Pass","Fail")</f>
        <v>Pass</v>
      </c>
      <c r="K1164" s="6">
        <f>IF(Benchmark2[[#This Row],[Comparable '#3 Date Check]]="Pass",INDEX(Comp3[Comparable '#3 Price],MATCH(Benchmark2[[#This Row],[Benchmark '#2 Dates]],Comp3[Comparable '#3 Dates],0)),"-")</f>
        <v>93.25</v>
      </c>
    </row>
    <row r="1165" spans="1:11">
      <c r="A1165" s="103">
        <v>44973</v>
      </c>
      <c r="B1165" s="104">
        <v>15873.7845</v>
      </c>
      <c r="C1165" s="4">
        <f t="shared" si="18"/>
        <v>-8.9248607757498859E-3</v>
      </c>
      <c r="D1165" s="1" t="str">
        <f>IF(COUNTIF(Target1[Target Dates],Benchmark2[[#This Row],[Benchmark '#2 Dates]])=1,"Pass","Fail")</f>
        <v>Pass</v>
      </c>
      <c r="E1165" s="6">
        <f>IF(Benchmark2[[#This Row],[Target Date Check]]="Pass",INDEX(Target1[Target Price],MATCH(Benchmark2[[#This Row],[Benchmark '#2 Dates]],Target1[Target Dates],0)),"-")</f>
        <v>43.82</v>
      </c>
      <c r="F1165" s="1" t="str">
        <f>IF(COUNTIF(Comp1[Comparable '#1 Dates],Benchmark2[[#This Row],[Benchmark '#2 Dates]])=1,"Pass","Fail")</f>
        <v>Pass</v>
      </c>
      <c r="G1165" s="6">
        <f>IF(Benchmark2[[#This Row],[Comparable '#1 Date Check]]="Pass",INDEX(Comp1[Comparable '#1 Price],MATCH(Benchmark2[[#This Row],[Benchmark '#2 Dates]],Comp1[Comparable '#1 Dates],0)),"-")</f>
        <v>10.69</v>
      </c>
      <c r="H1165" s="1" t="str">
        <f>IF(COUNTIF(Comp2[Comparable '#2 Dates],Benchmark2[[#This Row],[Benchmark '#2 Dates]])=1,"Pass","Fail")</f>
        <v>Pass</v>
      </c>
      <c r="I1165" s="6">
        <f>IF(Benchmark2[[#This Row],[Comparable '#2 Date Check]]="Pass",INDEX(Comp2[Comparable '#2 Price],MATCH(Benchmark2[[#This Row],[Benchmark '#2 Dates]],Comp2[Comparable '#2 Dates],0)),"-")</f>
        <v>40.71</v>
      </c>
      <c r="J1165" s="1" t="str">
        <f>IF(COUNTIF(Comp3[Comparable '#3 Dates],Benchmark2[[#This Row],[Benchmark '#2 Dates]])=1,"Pass","Fail")</f>
        <v>Pass</v>
      </c>
      <c r="K1165" s="6">
        <f>IF(Benchmark2[[#This Row],[Comparable '#3 Date Check]]="Pass",INDEX(Comp3[Comparable '#3 Price],MATCH(Benchmark2[[#This Row],[Benchmark '#2 Dates]],Comp3[Comparable '#3 Dates],0)),"-")</f>
        <v>93.46</v>
      </c>
    </row>
    <row r="1166" spans="1:11">
      <c r="A1166" s="103">
        <v>44974</v>
      </c>
      <c r="B1166" s="104">
        <v>15840.155699999999</v>
      </c>
      <c r="C1166" s="4">
        <f t="shared" si="18"/>
        <v>-2.1207590347998581E-3</v>
      </c>
      <c r="D1166" s="1" t="str">
        <f>IF(COUNTIF(Target1[Target Dates],Benchmark2[[#This Row],[Benchmark '#2 Dates]])=1,"Pass","Fail")</f>
        <v>Pass</v>
      </c>
      <c r="E1166" s="6">
        <f>IF(Benchmark2[[#This Row],[Target Date Check]]="Pass",INDEX(Target1[Target Price],MATCH(Benchmark2[[#This Row],[Benchmark '#2 Dates]],Target1[Target Dates],0)),"-")</f>
        <v>43.89</v>
      </c>
      <c r="F1166" s="1" t="str">
        <f>IF(COUNTIF(Comp1[Comparable '#1 Dates],Benchmark2[[#This Row],[Benchmark '#2 Dates]])=1,"Pass","Fail")</f>
        <v>Pass</v>
      </c>
      <c r="G1166" s="6">
        <f>IF(Benchmark2[[#This Row],[Comparable '#1 Date Check]]="Pass",INDEX(Comp1[Comparable '#1 Price],MATCH(Benchmark2[[#This Row],[Benchmark '#2 Dates]],Comp1[Comparable '#1 Dates],0)),"-")</f>
        <v>10.76</v>
      </c>
      <c r="H1166" s="1" t="str">
        <f>IF(COUNTIF(Comp2[Comparable '#2 Dates],Benchmark2[[#This Row],[Benchmark '#2 Dates]])=1,"Pass","Fail")</f>
        <v>Pass</v>
      </c>
      <c r="I1166" s="6">
        <f>IF(Benchmark2[[#This Row],[Comparable '#2 Date Check]]="Pass",INDEX(Comp2[Comparable '#2 Price],MATCH(Benchmark2[[#This Row],[Benchmark '#2 Dates]],Comp2[Comparable '#2 Dates],0)),"-")</f>
        <v>40.96</v>
      </c>
      <c r="J1166" s="1" t="str">
        <f>IF(COUNTIF(Comp3[Comparable '#3 Dates],Benchmark2[[#This Row],[Benchmark '#2 Dates]])=1,"Pass","Fail")</f>
        <v>Pass</v>
      </c>
      <c r="K1166" s="6">
        <f>IF(Benchmark2[[#This Row],[Comparable '#3 Date Check]]="Pass",INDEX(Comp3[Comparable '#3 Price],MATCH(Benchmark2[[#This Row],[Benchmark '#2 Dates]],Comp3[Comparable '#3 Dates],0)),"-")</f>
        <v>94.17</v>
      </c>
    </row>
    <row r="1167" spans="1:11">
      <c r="A1167" s="103">
        <v>44978</v>
      </c>
      <c r="B1167" s="104">
        <v>15572.5242</v>
      </c>
      <c r="C1167" s="4">
        <f t="shared" si="18"/>
        <v>-1.704012371695628E-2</v>
      </c>
      <c r="D1167" s="1" t="str">
        <f>IF(COUNTIF(Target1[Target Dates],Benchmark2[[#This Row],[Benchmark '#2 Dates]])=1,"Pass","Fail")</f>
        <v>Pass</v>
      </c>
      <c r="E1167" s="6">
        <f>IF(Benchmark2[[#This Row],[Target Date Check]]="Pass",INDEX(Target1[Target Price],MATCH(Benchmark2[[#This Row],[Benchmark '#2 Dates]],Target1[Target Dates],0)),"-")</f>
        <v>43.33</v>
      </c>
      <c r="F1167" s="1" t="str">
        <f>IF(COUNTIF(Comp1[Comparable '#1 Dates],Benchmark2[[#This Row],[Benchmark '#2 Dates]])=1,"Pass","Fail")</f>
        <v>Pass</v>
      </c>
      <c r="G1167" s="6">
        <f>IF(Benchmark2[[#This Row],[Comparable '#1 Date Check]]="Pass",INDEX(Comp1[Comparable '#1 Price],MATCH(Benchmark2[[#This Row],[Benchmark '#2 Dates]],Comp1[Comparable '#1 Dates],0)),"-")</f>
        <v>10.54</v>
      </c>
      <c r="H1167" s="1" t="str">
        <f>IF(COUNTIF(Comp2[Comparable '#2 Dates],Benchmark2[[#This Row],[Benchmark '#2 Dates]])=1,"Pass","Fail")</f>
        <v>Pass</v>
      </c>
      <c r="I1167" s="6">
        <f>IF(Benchmark2[[#This Row],[Comparable '#2 Date Check]]="Pass",INDEX(Comp2[Comparable '#2 Price],MATCH(Benchmark2[[#This Row],[Benchmark '#2 Dates]],Comp2[Comparable '#2 Dates],0)),"-")</f>
        <v>40.96</v>
      </c>
      <c r="J1167" s="1" t="str">
        <f>IF(COUNTIF(Comp3[Comparable '#3 Dates],Benchmark2[[#This Row],[Benchmark '#2 Dates]])=1,"Pass","Fail")</f>
        <v>Pass</v>
      </c>
      <c r="K1167" s="6">
        <f>IF(Benchmark2[[#This Row],[Comparable '#3 Date Check]]="Pass",INDEX(Comp3[Comparable '#3 Price],MATCH(Benchmark2[[#This Row],[Benchmark '#2 Dates]],Comp3[Comparable '#3 Dates],0)),"-")</f>
        <v>94.12</v>
      </c>
    </row>
    <row r="1168" spans="1:11">
      <c r="A1168" s="103">
        <v>44979</v>
      </c>
      <c r="B1168" s="104">
        <v>15530.829400000001</v>
      </c>
      <c r="C1168" s="4">
        <f t="shared" si="18"/>
        <v>-2.6810501215717639E-3</v>
      </c>
      <c r="D1168" s="1" t="str">
        <f>IF(COUNTIF(Target1[Target Dates],Benchmark2[[#This Row],[Benchmark '#2 Dates]])=1,"Pass","Fail")</f>
        <v>Pass</v>
      </c>
      <c r="E1168" s="6">
        <f>IF(Benchmark2[[#This Row],[Target Date Check]]="Pass",INDEX(Target1[Target Price],MATCH(Benchmark2[[#This Row],[Benchmark '#2 Dates]],Target1[Target Dates],0)),"-")</f>
        <v>43.35</v>
      </c>
      <c r="F1168" s="1" t="str">
        <f>IF(COUNTIF(Comp1[Comparable '#1 Dates],Benchmark2[[#This Row],[Benchmark '#2 Dates]])=1,"Pass","Fail")</f>
        <v>Pass</v>
      </c>
      <c r="G1168" s="6">
        <f>IF(Benchmark2[[#This Row],[Comparable '#1 Date Check]]="Pass",INDEX(Comp1[Comparable '#1 Price],MATCH(Benchmark2[[#This Row],[Benchmark '#2 Dates]],Comp1[Comparable '#1 Dates],0)),"-")</f>
        <v>10.39</v>
      </c>
      <c r="H1168" s="1" t="str">
        <f>IF(COUNTIF(Comp2[Comparable '#2 Dates],Benchmark2[[#This Row],[Benchmark '#2 Dates]])=1,"Pass","Fail")</f>
        <v>Pass</v>
      </c>
      <c r="I1168" s="6">
        <f>IF(Benchmark2[[#This Row],[Comparable '#2 Date Check]]="Pass",INDEX(Comp2[Comparable '#2 Price],MATCH(Benchmark2[[#This Row],[Benchmark '#2 Dates]],Comp2[Comparable '#2 Dates],0)),"-")</f>
        <v>40.159999999999997</v>
      </c>
      <c r="J1168" s="1" t="str">
        <f>IF(COUNTIF(Comp3[Comparable '#3 Dates],Benchmark2[[#This Row],[Benchmark '#2 Dates]])=1,"Pass","Fail")</f>
        <v>Pass</v>
      </c>
      <c r="K1168" s="6">
        <f>IF(Benchmark2[[#This Row],[Comparable '#3 Date Check]]="Pass",INDEX(Comp3[Comparable '#3 Price],MATCH(Benchmark2[[#This Row],[Benchmark '#2 Dates]],Comp3[Comparable '#3 Dates],0)),"-")</f>
        <v>92</v>
      </c>
    </row>
    <row r="1169" spans="1:11">
      <c r="A1169" s="103">
        <v>44980</v>
      </c>
      <c r="B1169" s="104">
        <v>15584.9251</v>
      </c>
      <c r="C1169" s="4">
        <f t="shared" si="18"/>
        <v>3.4770652597434352E-3</v>
      </c>
      <c r="D1169" s="1" t="str">
        <f>IF(COUNTIF(Target1[Target Dates],Benchmark2[[#This Row],[Benchmark '#2 Dates]])=1,"Pass","Fail")</f>
        <v>Pass</v>
      </c>
      <c r="E1169" s="6">
        <f>IF(Benchmark2[[#This Row],[Target Date Check]]="Pass",INDEX(Target1[Target Price],MATCH(Benchmark2[[#This Row],[Benchmark '#2 Dates]],Target1[Target Dates],0)),"-")</f>
        <v>43.25</v>
      </c>
      <c r="F1169" s="1" t="str">
        <f>IF(COUNTIF(Comp1[Comparable '#1 Dates],Benchmark2[[#This Row],[Benchmark '#2 Dates]])=1,"Pass","Fail")</f>
        <v>Pass</v>
      </c>
      <c r="G1169" s="6">
        <f>IF(Benchmark2[[#This Row],[Comparable '#1 Date Check]]="Pass",INDEX(Comp1[Comparable '#1 Price],MATCH(Benchmark2[[#This Row],[Benchmark '#2 Dates]],Comp1[Comparable '#1 Dates],0)),"-")</f>
        <v>12</v>
      </c>
      <c r="H1169" s="1" t="str">
        <f>IF(COUNTIF(Comp2[Comparable '#2 Dates],Benchmark2[[#This Row],[Benchmark '#2 Dates]])=1,"Pass","Fail")</f>
        <v>Pass</v>
      </c>
      <c r="I1169" s="6">
        <f>IF(Benchmark2[[#This Row],[Comparable '#2 Date Check]]="Pass",INDEX(Comp2[Comparable '#2 Price],MATCH(Benchmark2[[#This Row],[Benchmark '#2 Dates]],Comp2[Comparable '#2 Dates],0)),"-")</f>
        <v>40.01</v>
      </c>
      <c r="J1169" s="1" t="str">
        <f>IF(COUNTIF(Comp3[Comparable '#3 Dates],Benchmark2[[#This Row],[Benchmark '#2 Dates]])=1,"Pass","Fail")</f>
        <v>Pass</v>
      </c>
      <c r="K1169" s="6">
        <f>IF(Benchmark2[[#This Row],[Comparable '#3 Date Check]]="Pass",INDEX(Comp3[Comparable '#3 Price],MATCH(Benchmark2[[#This Row],[Benchmark '#2 Dates]],Comp3[Comparable '#3 Dates],0)),"-")</f>
        <v>86.23</v>
      </c>
    </row>
    <row r="1170" spans="1:11">
      <c r="A1170" s="103">
        <v>44981</v>
      </c>
      <c r="B1170" s="104">
        <v>15464.459500000001</v>
      </c>
      <c r="C1170" s="4">
        <f t="shared" si="18"/>
        <v>-7.759651665209916E-3</v>
      </c>
      <c r="D1170" s="1" t="str">
        <f>IF(COUNTIF(Target1[Target Dates],Benchmark2[[#This Row],[Benchmark '#2 Dates]])=1,"Pass","Fail")</f>
        <v>Pass</v>
      </c>
      <c r="E1170" s="6">
        <f>IF(Benchmark2[[#This Row],[Target Date Check]]="Pass",INDEX(Target1[Target Price],MATCH(Benchmark2[[#This Row],[Benchmark '#2 Dates]],Target1[Target Dates],0)),"-")</f>
        <v>43.37</v>
      </c>
      <c r="F1170" s="1" t="str">
        <f>IF(COUNTIF(Comp1[Comparable '#1 Dates],Benchmark2[[#This Row],[Benchmark '#2 Dates]])=1,"Pass","Fail")</f>
        <v>Pass</v>
      </c>
      <c r="G1170" s="6">
        <f>IF(Benchmark2[[#This Row],[Comparable '#1 Date Check]]="Pass",INDEX(Comp1[Comparable '#1 Price],MATCH(Benchmark2[[#This Row],[Benchmark '#2 Dates]],Comp1[Comparable '#1 Dates],0)),"-")</f>
        <v>11.97</v>
      </c>
      <c r="H1170" s="1" t="str">
        <f>IF(COUNTIF(Comp2[Comparable '#2 Dates],Benchmark2[[#This Row],[Benchmark '#2 Dates]])=1,"Pass","Fail")</f>
        <v>Pass</v>
      </c>
      <c r="I1170" s="6">
        <f>IF(Benchmark2[[#This Row],[Comparable '#2 Date Check]]="Pass",INDEX(Comp2[Comparable '#2 Price],MATCH(Benchmark2[[#This Row],[Benchmark '#2 Dates]],Comp2[Comparable '#2 Dates],0)),"-")</f>
        <v>39.79</v>
      </c>
      <c r="J1170" s="1" t="str">
        <f>IF(COUNTIF(Comp3[Comparable '#3 Dates],Benchmark2[[#This Row],[Benchmark '#2 Dates]])=1,"Pass","Fail")</f>
        <v>Pass</v>
      </c>
      <c r="K1170" s="6">
        <f>IF(Benchmark2[[#This Row],[Comparable '#3 Date Check]]="Pass",INDEX(Comp3[Comparable '#3 Price],MATCH(Benchmark2[[#This Row],[Benchmark '#2 Dates]],Comp3[Comparable '#3 Dates],0)),"-")</f>
        <v>88.26</v>
      </c>
    </row>
    <row r="1171" spans="1:11">
      <c r="A1171" s="103">
        <v>44984</v>
      </c>
      <c r="B1171" s="104">
        <v>15492.928400000001</v>
      </c>
      <c r="C1171" s="4">
        <f t="shared" si="18"/>
        <v>1.8392319221041749E-3</v>
      </c>
      <c r="D1171" s="1" t="str">
        <f>IF(COUNTIF(Target1[Target Dates],Benchmark2[[#This Row],[Benchmark '#2 Dates]])=1,"Pass","Fail")</f>
        <v>Pass</v>
      </c>
      <c r="E1171" s="6">
        <f>IF(Benchmark2[[#This Row],[Target Date Check]]="Pass",INDEX(Target1[Target Price],MATCH(Benchmark2[[#This Row],[Benchmark '#2 Dates]],Target1[Target Dates],0)),"-")</f>
        <v>42.83</v>
      </c>
      <c r="F1171" s="1" t="str">
        <f>IF(COUNTIF(Comp1[Comparable '#1 Dates],Benchmark2[[#This Row],[Benchmark '#2 Dates]])=1,"Pass","Fail")</f>
        <v>Pass</v>
      </c>
      <c r="G1171" s="6">
        <f>IF(Benchmark2[[#This Row],[Comparable '#1 Date Check]]="Pass",INDEX(Comp1[Comparable '#1 Price],MATCH(Benchmark2[[#This Row],[Benchmark '#2 Dates]],Comp1[Comparable '#1 Dates],0)),"-")</f>
        <v>11.87</v>
      </c>
      <c r="H1171" s="1" t="str">
        <f>IF(COUNTIF(Comp2[Comparable '#2 Dates],Benchmark2[[#This Row],[Benchmark '#2 Dates]])=1,"Pass","Fail")</f>
        <v>Pass</v>
      </c>
      <c r="I1171" s="6">
        <f>IF(Benchmark2[[#This Row],[Comparable '#2 Date Check]]="Pass",INDEX(Comp2[Comparable '#2 Price],MATCH(Benchmark2[[#This Row],[Benchmark '#2 Dates]],Comp2[Comparable '#2 Dates],0)),"-")</f>
        <v>39.19</v>
      </c>
      <c r="J1171" s="1" t="str">
        <f>IF(COUNTIF(Comp3[Comparable '#3 Dates],Benchmark2[[#This Row],[Benchmark '#2 Dates]])=1,"Pass","Fail")</f>
        <v>Pass</v>
      </c>
      <c r="K1171" s="6">
        <f>IF(Benchmark2[[#This Row],[Comparable '#3 Date Check]]="Pass",INDEX(Comp3[Comparable '#3 Price],MATCH(Benchmark2[[#This Row],[Benchmark '#2 Dates]],Comp3[Comparable '#3 Dates],0)),"-")</f>
        <v>87.2</v>
      </c>
    </row>
    <row r="1172" spans="1:11">
      <c r="A1172" s="103">
        <v>44985</v>
      </c>
      <c r="B1172" s="104">
        <v>15428.9715</v>
      </c>
      <c r="C1172" s="4">
        <f t="shared" si="18"/>
        <v>-4.1366792732635289E-3</v>
      </c>
      <c r="D1172" s="1" t="str">
        <f>IF(COUNTIF(Target1[Target Dates],Benchmark2[[#This Row],[Benchmark '#2 Dates]])=1,"Pass","Fail")</f>
        <v>Pass</v>
      </c>
      <c r="E1172" s="6">
        <f>IF(Benchmark2[[#This Row],[Target Date Check]]="Pass",INDEX(Target1[Target Price],MATCH(Benchmark2[[#This Row],[Benchmark '#2 Dates]],Target1[Target Dates],0)),"-")</f>
        <v>42.47</v>
      </c>
      <c r="F1172" s="1" t="str">
        <f>IF(COUNTIF(Comp1[Comparable '#1 Dates],Benchmark2[[#This Row],[Benchmark '#2 Dates]])=1,"Pass","Fail")</f>
        <v>Pass</v>
      </c>
      <c r="G1172" s="6">
        <f>IF(Benchmark2[[#This Row],[Comparable '#1 Date Check]]="Pass",INDEX(Comp1[Comparable '#1 Price],MATCH(Benchmark2[[#This Row],[Benchmark '#2 Dates]],Comp1[Comparable '#1 Dates],0)),"-")</f>
        <v>11.86</v>
      </c>
      <c r="H1172" s="1" t="str">
        <f>IF(COUNTIF(Comp2[Comparable '#2 Dates],Benchmark2[[#This Row],[Benchmark '#2 Dates]])=1,"Pass","Fail")</f>
        <v>Pass</v>
      </c>
      <c r="I1172" s="6">
        <f>IF(Benchmark2[[#This Row],[Comparable '#2 Date Check]]="Pass",INDEX(Comp2[Comparable '#2 Price],MATCH(Benchmark2[[#This Row],[Benchmark '#2 Dates]],Comp2[Comparable '#2 Dates],0)),"-")</f>
        <v>39.119999999999997</v>
      </c>
      <c r="J1172" s="1" t="str">
        <f>IF(COUNTIF(Comp3[Comparable '#3 Dates],Benchmark2[[#This Row],[Benchmark '#2 Dates]])=1,"Pass","Fail")</f>
        <v>Pass</v>
      </c>
      <c r="K1172" s="6">
        <f>IF(Benchmark2[[#This Row],[Comparable '#3 Date Check]]="Pass",INDEX(Comp3[Comparable '#3 Price],MATCH(Benchmark2[[#This Row],[Benchmark '#2 Dates]],Comp3[Comparable '#3 Dates],0)),"-")</f>
        <v>85.25</v>
      </c>
    </row>
    <row r="1173" spans="1:11">
      <c r="A1173" s="103">
        <v>44986</v>
      </c>
      <c r="B1173" s="104">
        <v>15436.299300000001</v>
      </c>
      <c r="C1173" s="4">
        <f t="shared" si="18"/>
        <v>4.7482493739710785E-4</v>
      </c>
      <c r="D1173" s="1" t="str">
        <f>IF(COUNTIF(Target1[Target Dates],Benchmark2[[#This Row],[Benchmark '#2 Dates]])=1,"Pass","Fail")</f>
        <v>Pass</v>
      </c>
      <c r="E1173" s="6">
        <f>IF(Benchmark2[[#This Row],[Target Date Check]]="Pass",INDEX(Target1[Target Price],MATCH(Benchmark2[[#This Row],[Benchmark '#2 Dates]],Target1[Target Dates],0)),"-")</f>
        <v>42.21</v>
      </c>
      <c r="F1173" s="1" t="str">
        <f>IF(COUNTIF(Comp1[Comparable '#1 Dates],Benchmark2[[#This Row],[Benchmark '#2 Dates]])=1,"Pass","Fail")</f>
        <v>Pass</v>
      </c>
      <c r="G1173" s="6">
        <f>IF(Benchmark2[[#This Row],[Comparable '#1 Date Check]]="Pass",INDEX(Comp1[Comparable '#1 Price],MATCH(Benchmark2[[#This Row],[Benchmark '#2 Dates]],Comp1[Comparable '#1 Dates],0)),"-")</f>
        <v>11.55</v>
      </c>
      <c r="H1173" s="1" t="str">
        <f>IF(COUNTIF(Comp2[Comparable '#2 Dates],Benchmark2[[#This Row],[Benchmark '#2 Dates]])=1,"Pass","Fail")</f>
        <v>Pass</v>
      </c>
      <c r="I1173" s="6">
        <f>IF(Benchmark2[[#This Row],[Comparable '#2 Date Check]]="Pass",INDEX(Comp2[Comparable '#2 Price],MATCH(Benchmark2[[#This Row],[Benchmark '#2 Dates]],Comp2[Comparable '#2 Dates],0)),"-")</f>
        <v>38.520000000000003</v>
      </c>
      <c r="J1173" s="1" t="str">
        <f>IF(COUNTIF(Comp3[Comparable '#3 Dates],Benchmark2[[#This Row],[Benchmark '#2 Dates]])=1,"Pass","Fail")</f>
        <v>Pass</v>
      </c>
      <c r="K1173" s="6">
        <f>IF(Benchmark2[[#This Row],[Comparable '#3 Date Check]]="Pass",INDEX(Comp3[Comparable '#3 Price],MATCH(Benchmark2[[#This Row],[Benchmark '#2 Dates]],Comp3[Comparable '#3 Dates],0)),"-")</f>
        <v>83.27</v>
      </c>
    </row>
    <row r="1174" spans="1:11">
      <c r="A1174" s="103">
        <v>44987</v>
      </c>
      <c r="B1174" s="104">
        <v>15524.5229</v>
      </c>
      <c r="C1174" s="4">
        <f t="shared" si="18"/>
        <v>5.6990630427603039E-3</v>
      </c>
      <c r="D1174" s="1" t="str">
        <f>IF(COUNTIF(Target1[Target Dates],Benchmark2[[#This Row],[Benchmark '#2 Dates]])=1,"Pass","Fail")</f>
        <v>Pass</v>
      </c>
      <c r="E1174" s="6">
        <f>IF(Benchmark2[[#This Row],[Target Date Check]]="Pass",INDEX(Target1[Target Price],MATCH(Benchmark2[[#This Row],[Benchmark '#2 Dates]],Target1[Target Dates],0)),"-")</f>
        <v>42.45</v>
      </c>
      <c r="F1174" s="1" t="str">
        <f>IF(COUNTIF(Comp1[Comparable '#1 Dates],Benchmark2[[#This Row],[Benchmark '#2 Dates]])=1,"Pass","Fail")</f>
        <v>Pass</v>
      </c>
      <c r="G1174" s="6">
        <f>IF(Benchmark2[[#This Row],[Comparable '#1 Date Check]]="Pass",INDEX(Comp1[Comparable '#1 Price],MATCH(Benchmark2[[#This Row],[Benchmark '#2 Dates]],Comp1[Comparable '#1 Dates],0)),"-")</f>
        <v>11.72</v>
      </c>
      <c r="H1174" s="1" t="str">
        <f>IF(COUNTIF(Comp2[Comparable '#2 Dates],Benchmark2[[#This Row],[Benchmark '#2 Dates]])=1,"Pass","Fail")</f>
        <v>Pass</v>
      </c>
      <c r="I1174" s="6">
        <f>IF(Benchmark2[[#This Row],[Comparable '#2 Date Check]]="Pass",INDEX(Comp2[Comparable '#2 Price],MATCH(Benchmark2[[#This Row],[Benchmark '#2 Dates]],Comp2[Comparable '#2 Dates],0)),"-")</f>
        <v>38.85</v>
      </c>
      <c r="J1174" s="1" t="str">
        <f>IF(COUNTIF(Comp3[Comparable '#3 Dates],Benchmark2[[#This Row],[Benchmark '#2 Dates]])=1,"Pass","Fail")</f>
        <v>Pass</v>
      </c>
      <c r="K1174" s="6">
        <f>IF(Benchmark2[[#This Row],[Comparable '#3 Date Check]]="Pass",INDEX(Comp3[Comparable '#3 Price],MATCH(Benchmark2[[#This Row],[Benchmark '#2 Dates]],Comp3[Comparable '#3 Dates],0)),"-")</f>
        <v>83.47</v>
      </c>
    </row>
    <row r="1175" spans="1:11">
      <c r="A1175" s="103">
        <v>44988</v>
      </c>
      <c r="B1175" s="104">
        <v>15721.0648</v>
      </c>
      <c r="C1175" s="4">
        <f t="shared" si="18"/>
        <v>1.2580623807652501E-2</v>
      </c>
      <c r="D1175" s="1" t="str">
        <f>IF(COUNTIF(Target1[Target Dates],Benchmark2[[#This Row],[Benchmark '#2 Dates]])=1,"Pass","Fail")</f>
        <v>Pass</v>
      </c>
      <c r="E1175" s="6">
        <f>IF(Benchmark2[[#This Row],[Target Date Check]]="Pass",INDEX(Target1[Target Price],MATCH(Benchmark2[[#This Row],[Benchmark '#2 Dates]],Target1[Target Dates],0)),"-")</f>
        <v>42.76</v>
      </c>
      <c r="F1175" s="1" t="str">
        <f>IF(COUNTIF(Comp1[Comparable '#1 Dates],Benchmark2[[#This Row],[Benchmark '#2 Dates]])=1,"Pass","Fail")</f>
        <v>Pass</v>
      </c>
      <c r="G1175" s="6">
        <f>IF(Benchmark2[[#This Row],[Comparable '#1 Date Check]]="Pass",INDEX(Comp1[Comparable '#1 Price],MATCH(Benchmark2[[#This Row],[Benchmark '#2 Dates]],Comp1[Comparable '#1 Dates],0)),"-")</f>
        <v>11.91</v>
      </c>
      <c r="H1175" s="1" t="str">
        <f>IF(COUNTIF(Comp2[Comparable '#2 Dates],Benchmark2[[#This Row],[Benchmark '#2 Dates]])=1,"Pass","Fail")</f>
        <v>Pass</v>
      </c>
      <c r="I1175" s="6">
        <f>IF(Benchmark2[[#This Row],[Comparable '#2 Date Check]]="Pass",INDEX(Comp2[Comparable '#2 Price],MATCH(Benchmark2[[#This Row],[Benchmark '#2 Dates]],Comp2[Comparable '#2 Dates],0)),"-")</f>
        <v>39.380000000000003</v>
      </c>
      <c r="J1175" s="1" t="str">
        <f>IF(COUNTIF(Comp3[Comparable '#3 Dates],Benchmark2[[#This Row],[Benchmark '#2 Dates]])=1,"Pass","Fail")</f>
        <v>Pass</v>
      </c>
      <c r="K1175" s="6">
        <f>IF(Benchmark2[[#This Row],[Comparable '#3 Date Check]]="Pass",INDEX(Comp3[Comparable '#3 Price],MATCH(Benchmark2[[#This Row],[Benchmark '#2 Dates]],Comp3[Comparable '#3 Dates],0)),"-")</f>
        <v>83.99</v>
      </c>
    </row>
    <row r="1176" spans="1:11">
      <c r="A1176" s="103">
        <v>44991</v>
      </c>
      <c r="B1176" s="104">
        <v>15694.3388</v>
      </c>
      <c r="C1176" s="4">
        <f t="shared" si="18"/>
        <v>-1.7014587358389005E-3</v>
      </c>
      <c r="D1176" s="1" t="str">
        <f>IF(COUNTIF(Target1[Target Dates],Benchmark2[[#This Row],[Benchmark '#2 Dates]])=1,"Pass","Fail")</f>
        <v>Pass</v>
      </c>
      <c r="E1176" s="6">
        <f>IF(Benchmark2[[#This Row],[Target Date Check]]="Pass",INDEX(Target1[Target Price],MATCH(Benchmark2[[#This Row],[Benchmark '#2 Dates]],Target1[Target Dates],0)),"-")</f>
        <v>42.88</v>
      </c>
      <c r="F1176" s="1" t="str">
        <f>IF(COUNTIF(Comp1[Comparable '#1 Dates],Benchmark2[[#This Row],[Benchmark '#2 Dates]])=1,"Pass","Fail")</f>
        <v>Pass</v>
      </c>
      <c r="G1176" s="6">
        <f>IF(Benchmark2[[#This Row],[Comparable '#1 Date Check]]="Pass",INDEX(Comp1[Comparable '#1 Price],MATCH(Benchmark2[[#This Row],[Benchmark '#2 Dates]],Comp1[Comparable '#1 Dates],0)),"-")</f>
        <v>11.86</v>
      </c>
      <c r="H1176" s="1" t="str">
        <f>IF(COUNTIF(Comp2[Comparable '#2 Dates],Benchmark2[[#This Row],[Benchmark '#2 Dates]])=1,"Pass","Fail")</f>
        <v>Pass</v>
      </c>
      <c r="I1176" s="6">
        <f>IF(Benchmark2[[#This Row],[Comparable '#2 Date Check]]="Pass",INDEX(Comp2[Comparable '#2 Price],MATCH(Benchmark2[[#This Row],[Benchmark '#2 Dates]],Comp2[Comparable '#2 Dates],0)),"-")</f>
        <v>38.72</v>
      </c>
      <c r="J1176" s="1" t="str">
        <f>IF(COUNTIF(Comp3[Comparable '#3 Dates],Benchmark2[[#This Row],[Benchmark '#2 Dates]])=1,"Pass","Fail")</f>
        <v>Pass</v>
      </c>
      <c r="K1176" s="6">
        <f>IF(Benchmark2[[#This Row],[Comparable '#3 Date Check]]="Pass",INDEX(Comp3[Comparable '#3 Price],MATCH(Benchmark2[[#This Row],[Benchmark '#2 Dates]],Comp3[Comparable '#3 Dates],0)),"-")</f>
        <v>82.85</v>
      </c>
    </row>
    <row r="1177" spans="1:11">
      <c r="A1177" s="103">
        <v>44992</v>
      </c>
      <c r="B1177" s="104">
        <v>15439.0172</v>
      </c>
      <c r="C1177" s="4">
        <f t="shared" si="18"/>
        <v>-1.6402171619281217E-2</v>
      </c>
      <c r="D1177" s="1" t="str">
        <f>IF(COUNTIF(Target1[Target Dates],Benchmark2[[#This Row],[Benchmark '#2 Dates]])=1,"Pass","Fail")</f>
        <v>Pass</v>
      </c>
      <c r="E1177" s="6">
        <f>IF(Benchmark2[[#This Row],[Target Date Check]]="Pass",INDEX(Target1[Target Price],MATCH(Benchmark2[[#This Row],[Benchmark '#2 Dates]],Target1[Target Dates],0)),"-")</f>
        <v>44.08</v>
      </c>
      <c r="F1177" s="1" t="str">
        <f>IF(COUNTIF(Comp1[Comparable '#1 Dates],Benchmark2[[#This Row],[Benchmark '#2 Dates]])=1,"Pass","Fail")</f>
        <v>Pass</v>
      </c>
      <c r="G1177" s="6">
        <f>IF(Benchmark2[[#This Row],[Comparable '#1 Date Check]]="Pass",INDEX(Comp1[Comparable '#1 Price],MATCH(Benchmark2[[#This Row],[Benchmark '#2 Dates]],Comp1[Comparable '#1 Dates],0)),"-")</f>
        <v>11.86</v>
      </c>
      <c r="H1177" s="1" t="str">
        <f>IF(COUNTIF(Comp2[Comparable '#2 Dates],Benchmark2[[#This Row],[Benchmark '#2 Dates]])=1,"Pass","Fail")</f>
        <v>Pass</v>
      </c>
      <c r="I1177" s="6">
        <f>IF(Benchmark2[[#This Row],[Comparable '#2 Date Check]]="Pass",INDEX(Comp2[Comparable '#2 Price],MATCH(Benchmark2[[#This Row],[Benchmark '#2 Dates]],Comp2[Comparable '#2 Dates],0)),"-")</f>
        <v>38.72</v>
      </c>
      <c r="J1177" s="1" t="str">
        <f>IF(COUNTIF(Comp3[Comparable '#3 Dates],Benchmark2[[#This Row],[Benchmark '#2 Dates]])=1,"Pass","Fail")</f>
        <v>Pass</v>
      </c>
      <c r="K1177" s="6">
        <f>IF(Benchmark2[[#This Row],[Comparable '#3 Date Check]]="Pass",INDEX(Comp3[Comparable '#3 Price],MATCH(Benchmark2[[#This Row],[Benchmark '#2 Dates]],Comp3[Comparable '#3 Dates],0)),"-")</f>
        <v>85.25</v>
      </c>
    </row>
    <row r="1178" spans="1:11">
      <c r="A1178" s="103">
        <v>44993</v>
      </c>
      <c r="B1178" s="104">
        <v>15440.636500000001</v>
      </c>
      <c r="C1178" s="4">
        <f t="shared" si="18"/>
        <v>1.0487811924418132E-4</v>
      </c>
      <c r="D1178" s="1" t="str">
        <f>IF(COUNTIF(Target1[Target Dates],Benchmark2[[#This Row],[Benchmark '#2 Dates]])=1,"Pass","Fail")</f>
        <v>Pass</v>
      </c>
      <c r="E1178" s="6">
        <f>IF(Benchmark2[[#This Row],[Target Date Check]]="Pass",INDEX(Target1[Target Price],MATCH(Benchmark2[[#This Row],[Benchmark '#2 Dates]],Target1[Target Dates],0)),"-")</f>
        <v>43.82</v>
      </c>
      <c r="F1178" s="1" t="str">
        <f>IF(COUNTIF(Comp1[Comparable '#1 Dates],Benchmark2[[#This Row],[Benchmark '#2 Dates]])=1,"Pass","Fail")</f>
        <v>Pass</v>
      </c>
      <c r="G1178" s="6">
        <f>IF(Benchmark2[[#This Row],[Comparable '#1 Date Check]]="Pass",INDEX(Comp1[Comparable '#1 Price],MATCH(Benchmark2[[#This Row],[Benchmark '#2 Dates]],Comp1[Comparable '#1 Dates],0)),"-")</f>
        <v>11.9</v>
      </c>
      <c r="H1178" s="1" t="str">
        <f>IF(COUNTIF(Comp2[Comparable '#2 Dates],Benchmark2[[#This Row],[Benchmark '#2 Dates]])=1,"Pass","Fail")</f>
        <v>Pass</v>
      </c>
      <c r="I1178" s="6">
        <f>IF(Benchmark2[[#This Row],[Comparable '#2 Date Check]]="Pass",INDEX(Comp2[Comparable '#2 Price],MATCH(Benchmark2[[#This Row],[Benchmark '#2 Dates]],Comp2[Comparable '#2 Dates],0)),"-")</f>
        <v>38.07</v>
      </c>
      <c r="J1178" s="1" t="str">
        <f>IF(COUNTIF(Comp3[Comparable '#3 Dates],Benchmark2[[#This Row],[Benchmark '#2 Dates]])=1,"Pass","Fail")</f>
        <v>Pass</v>
      </c>
      <c r="K1178" s="6">
        <f>IF(Benchmark2[[#This Row],[Comparable '#3 Date Check]]="Pass",INDEX(Comp3[Comparable '#3 Price],MATCH(Benchmark2[[#This Row],[Benchmark '#2 Dates]],Comp3[Comparable '#3 Dates],0)),"-")</f>
        <v>86.03</v>
      </c>
    </row>
    <row r="1179" spans="1:11">
      <c r="A1179" s="103">
        <v>44994</v>
      </c>
      <c r="B1179" s="104">
        <v>15140.789500000001</v>
      </c>
      <c r="C1179" s="4">
        <f t="shared" si="18"/>
        <v>-1.9610374559050445E-2</v>
      </c>
      <c r="D1179" s="1" t="str">
        <f>IF(COUNTIF(Target1[Target Dates],Benchmark2[[#This Row],[Benchmark '#2 Dates]])=1,"Pass","Fail")</f>
        <v>Pass</v>
      </c>
      <c r="E1179" s="6">
        <f>IF(Benchmark2[[#This Row],[Target Date Check]]="Pass",INDEX(Target1[Target Price],MATCH(Benchmark2[[#This Row],[Benchmark '#2 Dates]],Target1[Target Dates],0)),"-")</f>
        <v>43.12</v>
      </c>
      <c r="F1179" s="1" t="str">
        <f>IF(COUNTIF(Comp1[Comparable '#1 Dates],Benchmark2[[#This Row],[Benchmark '#2 Dates]])=1,"Pass","Fail")</f>
        <v>Pass</v>
      </c>
      <c r="G1179" s="6">
        <f>IF(Benchmark2[[#This Row],[Comparable '#1 Date Check]]="Pass",INDEX(Comp1[Comparable '#1 Price],MATCH(Benchmark2[[#This Row],[Benchmark '#2 Dates]],Comp1[Comparable '#1 Dates],0)),"-")</f>
        <v>11.72</v>
      </c>
      <c r="H1179" s="1" t="str">
        <f>IF(COUNTIF(Comp2[Comparable '#2 Dates],Benchmark2[[#This Row],[Benchmark '#2 Dates]])=1,"Pass","Fail")</f>
        <v>Pass</v>
      </c>
      <c r="I1179" s="6">
        <f>IF(Benchmark2[[#This Row],[Comparable '#2 Date Check]]="Pass",INDEX(Comp2[Comparable '#2 Price],MATCH(Benchmark2[[#This Row],[Benchmark '#2 Dates]],Comp2[Comparable '#2 Dates],0)),"-")</f>
        <v>38.61</v>
      </c>
      <c r="J1179" s="1" t="str">
        <f>IF(COUNTIF(Comp3[Comparable '#3 Dates],Benchmark2[[#This Row],[Benchmark '#2 Dates]])=1,"Pass","Fail")</f>
        <v>Pass</v>
      </c>
      <c r="K1179" s="6">
        <f>IF(Benchmark2[[#This Row],[Comparable '#3 Date Check]]="Pass",INDEX(Comp3[Comparable '#3 Price],MATCH(Benchmark2[[#This Row],[Benchmark '#2 Dates]],Comp3[Comparable '#3 Dates],0)),"-")</f>
        <v>85.68</v>
      </c>
    </row>
    <row r="1180" spans="1:11">
      <c r="A1180" s="103">
        <v>44995</v>
      </c>
      <c r="B1180" s="104">
        <v>14894.1795</v>
      </c>
      <c r="C1180" s="4">
        <f t="shared" si="18"/>
        <v>-1.6421894232370372E-2</v>
      </c>
      <c r="D1180" s="1" t="str">
        <f>IF(COUNTIF(Target1[Target Dates],Benchmark2[[#This Row],[Benchmark '#2 Dates]])=1,"Pass","Fail")</f>
        <v>Pass</v>
      </c>
      <c r="E1180" s="6">
        <f>IF(Benchmark2[[#This Row],[Target Date Check]]="Pass",INDEX(Target1[Target Price],MATCH(Benchmark2[[#This Row],[Benchmark '#2 Dates]],Target1[Target Dates],0)),"-")</f>
        <v>40.090000000000003</v>
      </c>
      <c r="F1180" s="1" t="str">
        <f>IF(COUNTIF(Comp1[Comparable '#1 Dates],Benchmark2[[#This Row],[Benchmark '#2 Dates]])=1,"Pass","Fail")</f>
        <v>Pass</v>
      </c>
      <c r="G1180" s="6">
        <f>IF(Benchmark2[[#This Row],[Comparable '#1 Date Check]]="Pass",INDEX(Comp1[Comparable '#1 Price],MATCH(Benchmark2[[#This Row],[Benchmark '#2 Dates]],Comp1[Comparable '#1 Dates],0)),"-")</f>
        <v>11.54</v>
      </c>
      <c r="H1180" s="1" t="str">
        <f>IF(COUNTIF(Comp2[Comparable '#2 Dates],Benchmark2[[#This Row],[Benchmark '#2 Dates]])=1,"Pass","Fail")</f>
        <v>Pass</v>
      </c>
      <c r="I1180" s="6">
        <f>IF(Benchmark2[[#This Row],[Comparable '#2 Date Check]]="Pass",INDEX(Comp2[Comparable '#2 Price],MATCH(Benchmark2[[#This Row],[Benchmark '#2 Dates]],Comp2[Comparable '#2 Dates],0)),"-")</f>
        <v>37.79</v>
      </c>
      <c r="J1180" s="1" t="str">
        <f>IF(COUNTIF(Comp3[Comparable '#3 Dates],Benchmark2[[#This Row],[Benchmark '#2 Dates]])=1,"Pass","Fail")</f>
        <v>Pass</v>
      </c>
      <c r="K1180" s="6">
        <f>IF(Benchmark2[[#This Row],[Comparable '#3 Date Check]]="Pass",INDEX(Comp3[Comparable '#3 Price],MATCH(Benchmark2[[#This Row],[Benchmark '#2 Dates]],Comp3[Comparable '#3 Dates],0)),"-")</f>
        <v>85.23</v>
      </c>
    </row>
    <row r="1181" spans="1:11">
      <c r="A1181" s="103">
        <v>44998</v>
      </c>
      <c r="B1181" s="104">
        <v>14764.3734</v>
      </c>
      <c r="C1181" s="4">
        <f t="shared" si="18"/>
        <v>-8.7534229518659978E-3</v>
      </c>
      <c r="D1181" s="1" t="str">
        <f>IF(COUNTIF(Target1[Target Dates],Benchmark2[[#This Row],[Benchmark '#2 Dates]])=1,"Pass","Fail")</f>
        <v>Pass</v>
      </c>
      <c r="E1181" s="6">
        <f>IF(Benchmark2[[#This Row],[Target Date Check]]="Pass",INDEX(Target1[Target Price],MATCH(Benchmark2[[#This Row],[Benchmark '#2 Dates]],Target1[Target Dates],0)),"-")</f>
        <v>39.56</v>
      </c>
      <c r="F1181" s="1" t="str">
        <f>IF(COUNTIF(Comp1[Comparable '#1 Dates],Benchmark2[[#This Row],[Benchmark '#2 Dates]])=1,"Pass","Fail")</f>
        <v>Pass</v>
      </c>
      <c r="G1181" s="6">
        <f>IF(Benchmark2[[#This Row],[Comparable '#1 Date Check]]="Pass",INDEX(Comp1[Comparable '#1 Price],MATCH(Benchmark2[[#This Row],[Benchmark '#2 Dates]],Comp1[Comparable '#1 Dates],0)),"-")</f>
        <v>11.43</v>
      </c>
      <c r="H1181" s="1" t="str">
        <f>IF(COUNTIF(Comp2[Comparable '#2 Dates],Benchmark2[[#This Row],[Benchmark '#2 Dates]])=1,"Pass","Fail")</f>
        <v>Pass</v>
      </c>
      <c r="I1181" s="6">
        <f>IF(Benchmark2[[#This Row],[Comparable '#2 Date Check]]="Pass",INDEX(Comp2[Comparable '#2 Price],MATCH(Benchmark2[[#This Row],[Benchmark '#2 Dates]],Comp2[Comparable '#2 Dates],0)),"-")</f>
        <v>36.76</v>
      </c>
      <c r="J1181" s="1" t="str">
        <f>IF(COUNTIF(Comp3[Comparable '#3 Dates],Benchmark2[[#This Row],[Benchmark '#2 Dates]])=1,"Pass","Fail")</f>
        <v>Pass</v>
      </c>
      <c r="K1181" s="6">
        <f>IF(Benchmark2[[#This Row],[Comparable '#3 Date Check]]="Pass",INDEX(Comp3[Comparable '#3 Price],MATCH(Benchmark2[[#This Row],[Benchmark '#2 Dates]],Comp3[Comparable '#3 Dates],0)),"-")</f>
        <v>83.58</v>
      </c>
    </row>
    <row r="1182" spans="1:11">
      <c r="A1182" s="103">
        <v>44999</v>
      </c>
      <c r="B1182" s="104">
        <v>14944.7428</v>
      </c>
      <c r="C1182" s="4">
        <f t="shared" si="18"/>
        <v>1.2142509721739962E-2</v>
      </c>
      <c r="D1182" s="1" t="str">
        <f>IF(COUNTIF(Target1[Target Dates],Benchmark2[[#This Row],[Benchmark '#2 Dates]])=1,"Pass","Fail")</f>
        <v>Pass</v>
      </c>
      <c r="E1182" s="6">
        <f>IF(Benchmark2[[#This Row],[Target Date Check]]="Pass",INDEX(Target1[Target Price],MATCH(Benchmark2[[#This Row],[Benchmark '#2 Dates]],Target1[Target Dates],0)),"-")</f>
        <v>40.340000000000003</v>
      </c>
      <c r="F1182" s="1" t="str">
        <f>IF(COUNTIF(Comp1[Comparable '#1 Dates],Benchmark2[[#This Row],[Benchmark '#2 Dates]])=1,"Pass","Fail")</f>
        <v>Pass</v>
      </c>
      <c r="G1182" s="6">
        <f>IF(Benchmark2[[#This Row],[Comparable '#1 Date Check]]="Pass",INDEX(Comp1[Comparable '#1 Price],MATCH(Benchmark2[[#This Row],[Benchmark '#2 Dates]],Comp1[Comparable '#1 Dates],0)),"-")</f>
        <v>11.71</v>
      </c>
      <c r="H1182" s="1" t="str">
        <f>IF(COUNTIF(Comp2[Comparable '#2 Dates],Benchmark2[[#This Row],[Benchmark '#2 Dates]])=1,"Pass","Fail")</f>
        <v>Pass</v>
      </c>
      <c r="I1182" s="6">
        <f>IF(Benchmark2[[#This Row],[Comparable '#2 Date Check]]="Pass",INDEX(Comp2[Comparable '#2 Price],MATCH(Benchmark2[[#This Row],[Benchmark '#2 Dates]],Comp2[Comparable '#2 Dates],0)),"-")</f>
        <v>37.42</v>
      </c>
      <c r="J1182" s="1" t="str">
        <f>IF(COUNTIF(Comp3[Comparable '#3 Dates],Benchmark2[[#This Row],[Benchmark '#2 Dates]])=1,"Pass","Fail")</f>
        <v>Pass</v>
      </c>
      <c r="K1182" s="6">
        <f>IF(Benchmark2[[#This Row],[Comparable '#3 Date Check]]="Pass",INDEX(Comp3[Comparable '#3 Price],MATCH(Benchmark2[[#This Row],[Benchmark '#2 Dates]],Comp3[Comparable '#3 Dates],0)),"-")</f>
        <v>84.86</v>
      </c>
    </row>
    <row r="1183" spans="1:11">
      <c r="A1183" s="103">
        <v>45000</v>
      </c>
      <c r="B1183" s="104">
        <v>14662.553400000001</v>
      </c>
      <c r="C1183" s="4">
        <f t="shared" si="18"/>
        <v>-1.9062729901961825E-2</v>
      </c>
      <c r="D1183" s="1" t="str">
        <f>IF(COUNTIF(Target1[Target Dates],Benchmark2[[#This Row],[Benchmark '#2 Dates]])=1,"Pass","Fail")</f>
        <v>Pass</v>
      </c>
      <c r="E1183" s="6">
        <f>IF(Benchmark2[[#This Row],[Target Date Check]]="Pass",INDEX(Target1[Target Price],MATCH(Benchmark2[[#This Row],[Benchmark '#2 Dates]],Target1[Target Dates],0)),"-")</f>
        <v>39.51</v>
      </c>
      <c r="F1183" s="1" t="str">
        <f>IF(COUNTIF(Comp1[Comparable '#1 Dates],Benchmark2[[#This Row],[Benchmark '#2 Dates]])=1,"Pass","Fail")</f>
        <v>Pass</v>
      </c>
      <c r="G1183" s="6">
        <f>IF(Benchmark2[[#This Row],[Comparable '#1 Date Check]]="Pass",INDEX(Comp1[Comparable '#1 Price],MATCH(Benchmark2[[#This Row],[Benchmark '#2 Dates]],Comp1[Comparable '#1 Dates],0)),"-")</f>
        <v>11.6</v>
      </c>
      <c r="H1183" s="1" t="str">
        <f>IF(COUNTIF(Comp2[Comparable '#2 Dates],Benchmark2[[#This Row],[Benchmark '#2 Dates]])=1,"Pass","Fail")</f>
        <v>Pass</v>
      </c>
      <c r="I1183" s="6">
        <f>IF(Benchmark2[[#This Row],[Comparable '#2 Date Check]]="Pass",INDEX(Comp2[Comparable '#2 Price],MATCH(Benchmark2[[#This Row],[Benchmark '#2 Dates]],Comp2[Comparable '#2 Dates],0)),"-")</f>
        <v>36.89</v>
      </c>
      <c r="J1183" s="1" t="str">
        <f>IF(COUNTIF(Comp3[Comparable '#3 Dates],Benchmark2[[#This Row],[Benchmark '#2 Dates]])=1,"Pass","Fail")</f>
        <v>Pass</v>
      </c>
      <c r="K1183" s="6">
        <f>IF(Benchmark2[[#This Row],[Comparable '#3 Date Check]]="Pass",INDEX(Comp3[Comparable '#3 Price],MATCH(Benchmark2[[#This Row],[Benchmark '#2 Dates]],Comp3[Comparable '#3 Dates],0)),"-")</f>
        <v>84.88</v>
      </c>
    </row>
    <row r="1184" spans="1:11">
      <c r="A1184" s="103">
        <v>45001</v>
      </c>
      <c r="B1184" s="104">
        <v>14830.9786</v>
      </c>
      <c r="C1184" s="4">
        <f t="shared" si="18"/>
        <v>1.1421285918482451E-2</v>
      </c>
      <c r="D1184" s="1" t="str">
        <f>IF(COUNTIF(Target1[Target Dates],Benchmark2[[#This Row],[Benchmark '#2 Dates]])=1,"Pass","Fail")</f>
        <v>Pass</v>
      </c>
      <c r="E1184" s="6">
        <f>IF(Benchmark2[[#This Row],[Target Date Check]]="Pass",INDEX(Target1[Target Price],MATCH(Benchmark2[[#This Row],[Benchmark '#2 Dates]],Target1[Target Dates],0)),"-")</f>
        <v>39.57</v>
      </c>
      <c r="F1184" s="1" t="str">
        <f>IF(COUNTIF(Comp1[Comparable '#1 Dates],Benchmark2[[#This Row],[Benchmark '#2 Dates]])=1,"Pass","Fail")</f>
        <v>Pass</v>
      </c>
      <c r="G1184" s="6">
        <f>IF(Benchmark2[[#This Row],[Comparable '#1 Date Check]]="Pass",INDEX(Comp1[Comparable '#1 Price],MATCH(Benchmark2[[#This Row],[Benchmark '#2 Dates]],Comp1[Comparable '#1 Dates],0)),"-")</f>
        <v>11.65</v>
      </c>
      <c r="H1184" s="1" t="str">
        <f>IF(COUNTIF(Comp2[Comparable '#2 Dates],Benchmark2[[#This Row],[Benchmark '#2 Dates]])=1,"Pass","Fail")</f>
        <v>Pass</v>
      </c>
      <c r="I1184" s="6">
        <f>IF(Benchmark2[[#This Row],[Comparable '#2 Date Check]]="Pass",INDEX(Comp2[Comparable '#2 Price],MATCH(Benchmark2[[#This Row],[Benchmark '#2 Dates]],Comp2[Comparable '#2 Dates],0)),"-")</f>
        <v>37.130000000000003</v>
      </c>
      <c r="J1184" s="1" t="str">
        <f>IF(COUNTIF(Comp3[Comparable '#3 Dates],Benchmark2[[#This Row],[Benchmark '#2 Dates]])=1,"Pass","Fail")</f>
        <v>Pass</v>
      </c>
      <c r="K1184" s="6">
        <f>IF(Benchmark2[[#This Row],[Comparable '#3 Date Check]]="Pass",INDEX(Comp3[Comparable '#3 Price],MATCH(Benchmark2[[#This Row],[Benchmark '#2 Dates]],Comp3[Comparable '#3 Dates],0)),"-")</f>
        <v>86.52</v>
      </c>
    </row>
    <row r="1185" spans="1:11">
      <c r="A1185" s="103">
        <v>45002</v>
      </c>
      <c r="B1185" s="104">
        <v>14599.0519</v>
      </c>
      <c r="C1185" s="4">
        <f t="shared" si="18"/>
        <v>-1.5761553585638442E-2</v>
      </c>
      <c r="D1185" s="1" t="str">
        <f>IF(COUNTIF(Target1[Target Dates],Benchmark2[[#This Row],[Benchmark '#2 Dates]])=1,"Pass","Fail")</f>
        <v>Pass</v>
      </c>
      <c r="E1185" s="6">
        <f>IF(Benchmark2[[#This Row],[Target Date Check]]="Pass",INDEX(Target1[Target Price],MATCH(Benchmark2[[#This Row],[Benchmark '#2 Dates]],Target1[Target Dates],0)),"-")</f>
        <v>38.659999999999997</v>
      </c>
      <c r="F1185" s="1" t="str">
        <f>IF(COUNTIF(Comp1[Comparable '#1 Dates],Benchmark2[[#This Row],[Benchmark '#2 Dates]])=1,"Pass","Fail")</f>
        <v>Pass</v>
      </c>
      <c r="G1185" s="6">
        <f>IF(Benchmark2[[#This Row],[Comparable '#1 Date Check]]="Pass",INDEX(Comp1[Comparable '#1 Price],MATCH(Benchmark2[[#This Row],[Benchmark '#2 Dates]],Comp1[Comparable '#1 Dates],0)),"-")</f>
        <v>11.49</v>
      </c>
      <c r="H1185" s="1" t="str">
        <f>IF(COUNTIF(Comp2[Comparable '#2 Dates],Benchmark2[[#This Row],[Benchmark '#2 Dates]])=1,"Pass","Fail")</f>
        <v>Pass</v>
      </c>
      <c r="I1185" s="6">
        <f>IF(Benchmark2[[#This Row],[Comparable '#2 Date Check]]="Pass",INDEX(Comp2[Comparable '#2 Price],MATCH(Benchmark2[[#This Row],[Benchmark '#2 Dates]],Comp2[Comparable '#2 Dates],0)),"-")</f>
        <v>36.409999999999997</v>
      </c>
      <c r="J1185" s="1" t="str">
        <f>IF(COUNTIF(Comp3[Comparable '#3 Dates],Benchmark2[[#This Row],[Benchmark '#2 Dates]])=1,"Pass","Fail")</f>
        <v>Pass</v>
      </c>
      <c r="K1185" s="6">
        <f>IF(Benchmark2[[#This Row],[Comparable '#3 Date Check]]="Pass",INDEX(Comp3[Comparable '#3 Price],MATCH(Benchmark2[[#This Row],[Benchmark '#2 Dates]],Comp3[Comparable '#3 Dates],0)),"-")</f>
        <v>84.68</v>
      </c>
    </row>
    <row r="1186" spans="1:11">
      <c r="A1186" s="103">
        <v>45005</v>
      </c>
      <c r="B1186" s="104">
        <v>14777.699199999999</v>
      </c>
      <c r="C1186" s="4">
        <f t="shared" si="18"/>
        <v>1.2162645328624289E-2</v>
      </c>
      <c r="D1186" s="1" t="str">
        <f>IF(COUNTIF(Target1[Target Dates],Benchmark2[[#This Row],[Benchmark '#2 Dates]])=1,"Pass","Fail")</f>
        <v>Pass</v>
      </c>
      <c r="E1186" s="6">
        <f>IF(Benchmark2[[#This Row],[Target Date Check]]="Pass",INDEX(Target1[Target Price],MATCH(Benchmark2[[#This Row],[Benchmark '#2 Dates]],Target1[Target Dates],0)),"-")</f>
        <v>38.68</v>
      </c>
      <c r="F1186" s="1" t="str">
        <f>IF(COUNTIF(Comp1[Comparable '#1 Dates],Benchmark2[[#This Row],[Benchmark '#2 Dates]])=1,"Pass","Fail")</f>
        <v>Pass</v>
      </c>
      <c r="G1186" s="6">
        <f>IF(Benchmark2[[#This Row],[Comparable '#1 Date Check]]="Pass",INDEX(Comp1[Comparable '#1 Price],MATCH(Benchmark2[[#This Row],[Benchmark '#2 Dates]],Comp1[Comparable '#1 Dates],0)),"-")</f>
        <v>11.47</v>
      </c>
      <c r="H1186" s="1" t="str">
        <f>IF(COUNTIF(Comp2[Comparable '#2 Dates],Benchmark2[[#This Row],[Benchmark '#2 Dates]])=1,"Pass","Fail")</f>
        <v>Pass</v>
      </c>
      <c r="I1186" s="6">
        <f>IF(Benchmark2[[#This Row],[Comparable '#2 Date Check]]="Pass",INDEX(Comp2[Comparable '#2 Price],MATCH(Benchmark2[[#This Row],[Benchmark '#2 Dates]],Comp2[Comparable '#2 Dates],0)),"-")</f>
        <v>37.29</v>
      </c>
      <c r="J1186" s="1" t="str">
        <f>IF(COUNTIF(Comp3[Comparable '#3 Dates],Benchmark2[[#This Row],[Benchmark '#2 Dates]])=1,"Pass","Fail")</f>
        <v>Pass</v>
      </c>
      <c r="K1186" s="6">
        <f>IF(Benchmark2[[#This Row],[Comparable '#3 Date Check]]="Pass",INDEX(Comp3[Comparable '#3 Price],MATCH(Benchmark2[[#This Row],[Benchmark '#2 Dates]],Comp3[Comparable '#3 Dates],0)),"-")</f>
        <v>85.91</v>
      </c>
    </row>
    <row r="1187" spans="1:11">
      <c r="A1187" s="103">
        <v>45006</v>
      </c>
      <c r="B1187" s="104">
        <v>14985.945400000001</v>
      </c>
      <c r="C1187" s="4">
        <f t="shared" si="18"/>
        <v>1.3993554956810364E-2</v>
      </c>
      <c r="D1187" s="1" t="str">
        <f>IF(COUNTIF(Target1[Target Dates],Benchmark2[[#This Row],[Benchmark '#2 Dates]])=1,"Pass","Fail")</f>
        <v>Pass</v>
      </c>
      <c r="E1187" s="6">
        <f>IF(Benchmark2[[#This Row],[Target Date Check]]="Pass",INDEX(Target1[Target Price],MATCH(Benchmark2[[#This Row],[Benchmark '#2 Dates]],Target1[Target Dates],0)),"-")</f>
        <v>38.92</v>
      </c>
      <c r="F1187" s="1" t="str">
        <f>IF(COUNTIF(Comp1[Comparable '#1 Dates],Benchmark2[[#This Row],[Benchmark '#2 Dates]])=1,"Pass","Fail")</f>
        <v>Pass</v>
      </c>
      <c r="G1187" s="6">
        <f>IF(Benchmark2[[#This Row],[Comparable '#1 Date Check]]="Pass",INDEX(Comp1[Comparable '#1 Price],MATCH(Benchmark2[[#This Row],[Benchmark '#2 Dates]],Comp1[Comparable '#1 Dates],0)),"-")</f>
        <v>11.45</v>
      </c>
      <c r="H1187" s="1" t="str">
        <f>IF(COUNTIF(Comp2[Comparable '#2 Dates],Benchmark2[[#This Row],[Benchmark '#2 Dates]])=1,"Pass","Fail")</f>
        <v>Pass</v>
      </c>
      <c r="I1187" s="6">
        <f>IF(Benchmark2[[#This Row],[Comparable '#2 Date Check]]="Pass",INDEX(Comp2[Comparable '#2 Price],MATCH(Benchmark2[[#This Row],[Benchmark '#2 Dates]],Comp2[Comparable '#2 Dates],0)),"-")</f>
        <v>37.729999999999997</v>
      </c>
      <c r="J1187" s="1" t="str">
        <f>IF(COUNTIF(Comp3[Comparable '#3 Dates],Benchmark2[[#This Row],[Benchmark '#2 Dates]])=1,"Pass","Fail")</f>
        <v>Pass</v>
      </c>
      <c r="K1187" s="6">
        <f>IF(Benchmark2[[#This Row],[Comparable '#3 Date Check]]="Pass",INDEX(Comp3[Comparable '#3 Price],MATCH(Benchmark2[[#This Row],[Benchmark '#2 Dates]],Comp3[Comparable '#3 Dates],0)),"-")</f>
        <v>87.85</v>
      </c>
    </row>
    <row r="1188" spans="1:11">
      <c r="A1188" s="103">
        <v>45007</v>
      </c>
      <c r="B1188" s="104">
        <v>14741.082899999999</v>
      </c>
      <c r="C1188" s="4">
        <f t="shared" si="18"/>
        <v>-1.6474437715210725E-2</v>
      </c>
      <c r="D1188" s="1" t="str">
        <f>IF(COUNTIF(Target1[Target Dates],Benchmark2[[#This Row],[Benchmark '#2 Dates]])=1,"Pass","Fail")</f>
        <v>Pass</v>
      </c>
      <c r="E1188" s="6">
        <f>IF(Benchmark2[[#This Row],[Target Date Check]]="Pass",INDEX(Target1[Target Price],MATCH(Benchmark2[[#This Row],[Benchmark '#2 Dates]],Target1[Target Dates],0)),"-")</f>
        <v>38.03</v>
      </c>
      <c r="F1188" s="1" t="str">
        <f>IF(COUNTIF(Comp1[Comparable '#1 Dates],Benchmark2[[#This Row],[Benchmark '#2 Dates]])=1,"Pass","Fail")</f>
        <v>Pass</v>
      </c>
      <c r="G1188" s="6">
        <f>IF(Benchmark2[[#This Row],[Comparable '#1 Date Check]]="Pass",INDEX(Comp1[Comparable '#1 Price],MATCH(Benchmark2[[#This Row],[Benchmark '#2 Dates]],Comp1[Comparable '#1 Dates],0)),"-")</f>
        <v>11.27</v>
      </c>
      <c r="H1188" s="1" t="str">
        <f>IF(COUNTIF(Comp2[Comparable '#2 Dates],Benchmark2[[#This Row],[Benchmark '#2 Dates]])=1,"Pass","Fail")</f>
        <v>Pass</v>
      </c>
      <c r="I1188" s="6">
        <f>IF(Benchmark2[[#This Row],[Comparable '#2 Date Check]]="Pass",INDEX(Comp2[Comparable '#2 Price],MATCH(Benchmark2[[#This Row],[Benchmark '#2 Dates]],Comp2[Comparable '#2 Dates],0)),"-")</f>
        <v>36.590000000000003</v>
      </c>
      <c r="J1188" s="1" t="str">
        <f>IF(COUNTIF(Comp3[Comparable '#3 Dates],Benchmark2[[#This Row],[Benchmark '#2 Dates]])=1,"Pass","Fail")</f>
        <v>Pass</v>
      </c>
      <c r="K1188" s="6">
        <f>IF(Benchmark2[[#This Row],[Comparable '#3 Date Check]]="Pass",INDEX(Comp3[Comparable '#3 Price],MATCH(Benchmark2[[#This Row],[Benchmark '#2 Dates]],Comp3[Comparable '#3 Dates],0)),"-")</f>
        <v>86.31</v>
      </c>
    </row>
    <row r="1189" spans="1:11">
      <c r="A1189" s="103">
        <v>45008</v>
      </c>
      <c r="B1189" s="104">
        <v>14693.0203</v>
      </c>
      <c r="C1189" s="4">
        <f t="shared" si="18"/>
        <v>-3.2657793166184527E-3</v>
      </c>
      <c r="D1189" s="1" t="str">
        <f>IF(COUNTIF(Target1[Target Dates],Benchmark2[[#This Row],[Benchmark '#2 Dates]])=1,"Pass","Fail")</f>
        <v>Pass</v>
      </c>
      <c r="E1189" s="6">
        <f>IF(Benchmark2[[#This Row],[Target Date Check]]="Pass",INDEX(Target1[Target Price],MATCH(Benchmark2[[#This Row],[Benchmark '#2 Dates]],Target1[Target Dates],0)),"-")</f>
        <v>38.130000000000003</v>
      </c>
      <c r="F1189" s="1" t="str">
        <f>IF(COUNTIF(Comp1[Comparable '#1 Dates],Benchmark2[[#This Row],[Benchmark '#2 Dates]])=1,"Pass","Fail")</f>
        <v>Pass</v>
      </c>
      <c r="G1189" s="6">
        <f>IF(Benchmark2[[#This Row],[Comparable '#1 Date Check]]="Pass",INDEX(Comp1[Comparable '#1 Price],MATCH(Benchmark2[[#This Row],[Benchmark '#2 Dates]],Comp1[Comparable '#1 Dates],0)),"-")</f>
        <v>11.36</v>
      </c>
      <c r="H1189" s="1" t="str">
        <f>IF(COUNTIF(Comp2[Comparable '#2 Dates],Benchmark2[[#This Row],[Benchmark '#2 Dates]])=1,"Pass","Fail")</f>
        <v>Pass</v>
      </c>
      <c r="I1189" s="6">
        <f>IF(Benchmark2[[#This Row],[Comparable '#2 Date Check]]="Pass",INDEX(Comp2[Comparable '#2 Price],MATCH(Benchmark2[[#This Row],[Benchmark '#2 Dates]],Comp2[Comparable '#2 Dates],0)),"-")</f>
        <v>36.17</v>
      </c>
      <c r="J1189" s="1" t="str">
        <f>IF(COUNTIF(Comp3[Comparable '#3 Dates],Benchmark2[[#This Row],[Benchmark '#2 Dates]])=1,"Pass","Fail")</f>
        <v>Pass</v>
      </c>
      <c r="K1189" s="6">
        <f>IF(Benchmark2[[#This Row],[Comparable '#3 Date Check]]="Pass",INDEX(Comp3[Comparable '#3 Price],MATCH(Benchmark2[[#This Row],[Benchmark '#2 Dates]],Comp3[Comparable '#3 Dates],0)),"-")</f>
        <v>85.96</v>
      </c>
    </row>
    <row r="1190" spans="1:11">
      <c r="A1190" s="103">
        <v>45009</v>
      </c>
      <c r="B1190" s="104">
        <v>14758.570100000001</v>
      </c>
      <c r="C1190" s="4">
        <f t="shared" si="18"/>
        <v>4.4513662825640876E-3</v>
      </c>
      <c r="D1190" s="1" t="str">
        <f>IF(COUNTIF(Target1[Target Dates],Benchmark2[[#This Row],[Benchmark '#2 Dates]])=1,"Pass","Fail")</f>
        <v>Pass</v>
      </c>
      <c r="E1190" s="6">
        <f>IF(Benchmark2[[#This Row],[Target Date Check]]="Pass",INDEX(Target1[Target Price],MATCH(Benchmark2[[#This Row],[Benchmark '#2 Dates]],Target1[Target Dates],0)),"-")</f>
        <v>38.68</v>
      </c>
      <c r="F1190" s="1" t="str">
        <f>IF(COUNTIF(Comp1[Comparable '#1 Dates],Benchmark2[[#This Row],[Benchmark '#2 Dates]])=1,"Pass","Fail")</f>
        <v>Pass</v>
      </c>
      <c r="G1190" s="6">
        <f>IF(Benchmark2[[#This Row],[Comparable '#1 Date Check]]="Pass",INDEX(Comp1[Comparable '#1 Price],MATCH(Benchmark2[[#This Row],[Benchmark '#2 Dates]],Comp1[Comparable '#1 Dates],0)),"-")</f>
        <v>11.51</v>
      </c>
      <c r="H1190" s="1" t="str">
        <f>IF(COUNTIF(Comp2[Comparable '#2 Dates],Benchmark2[[#This Row],[Benchmark '#2 Dates]])=1,"Pass","Fail")</f>
        <v>Pass</v>
      </c>
      <c r="I1190" s="6">
        <f>IF(Benchmark2[[#This Row],[Comparable '#2 Date Check]]="Pass",INDEX(Comp2[Comparable '#2 Price],MATCH(Benchmark2[[#This Row],[Benchmark '#2 Dates]],Comp2[Comparable '#2 Dates],0)),"-")</f>
        <v>36.56</v>
      </c>
      <c r="J1190" s="1" t="str">
        <f>IF(COUNTIF(Comp3[Comparable '#3 Dates],Benchmark2[[#This Row],[Benchmark '#2 Dates]])=1,"Pass","Fail")</f>
        <v>Pass</v>
      </c>
      <c r="K1190" s="6">
        <f>IF(Benchmark2[[#This Row],[Comparable '#3 Date Check]]="Pass",INDEX(Comp3[Comparable '#3 Price],MATCH(Benchmark2[[#This Row],[Benchmark '#2 Dates]],Comp3[Comparable '#3 Dates],0)),"-")</f>
        <v>87.49</v>
      </c>
    </row>
    <row r="1191" spans="1:11">
      <c r="A1191" s="103">
        <v>45012</v>
      </c>
      <c r="B1191" s="104">
        <v>14894.8536</v>
      </c>
      <c r="C1191" s="4">
        <f t="shared" si="18"/>
        <v>9.1918195296218363E-3</v>
      </c>
      <c r="D1191" s="1" t="str">
        <f>IF(COUNTIF(Target1[Target Dates],Benchmark2[[#This Row],[Benchmark '#2 Dates]])=1,"Pass","Fail")</f>
        <v>Pass</v>
      </c>
      <c r="E1191" s="6">
        <f>IF(Benchmark2[[#This Row],[Target Date Check]]="Pass",INDEX(Target1[Target Price],MATCH(Benchmark2[[#This Row],[Benchmark '#2 Dates]],Target1[Target Dates],0)),"-")</f>
        <v>39.53</v>
      </c>
      <c r="F1191" s="1" t="str">
        <f>IF(COUNTIF(Comp1[Comparable '#1 Dates],Benchmark2[[#This Row],[Benchmark '#2 Dates]])=1,"Pass","Fail")</f>
        <v>Pass</v>
      </c>
      <c r="G1191" s="6">
        <f>IF(Benchmark2[[#This Row],[Comparable '#1 Date Check]]="Pass",INDEX(Comp1[Comparable '#1 Price],MATCH(Benchmark2[[#This Row],[Benchmark '#2 Dates]],Comp1[Comparable '#1 Dates],0)),"-")</f>
        <v>11.69</v>
      </c>
      <c r="H1191" s="1" t="str">
        <f>IF(COUNTIF(Comp2[Comparable '#2 Dates],Benchmark2[[#This Row],[Benchmark '#2 Dates]])=1,"Pass","Fail")</f>
        <v>Pass</v>
      </c>
      <c r="I1191" s="6">
        <f>IF(Benchmark2[[#This Row],[Comparable '#2 Date Check]]="Pass",INDEX(Comp2[Comparable '#2 Price],MATCH(Benchmark2[[#This Row],[Benchmark '#2 Dates]],Comp2[Comparable '#2 Dates],0)),"-")</f>
        <v>37.68</v>
      </c>
      <c r="J1191" s="1" t="str">
        <f>IF(COUNTIF(Comp3[Comparable '#3 Dates],Benchmark2[[#This Row],[Benchmark '#2 Dates]])=1,"Pass","Fail")</f>
        <v>Pass</v>
      </c>
      <c r="K1191" s="6">
        <f>IF(Benchmark2[[#This Row],[Comparable '#3 Date Check]]="Pass",INDEX(Comp3[Comparable '#3 Price],MATCH(Benchmark2[[#This Row],[Benchmark '#2 Dates]],Comp3[Comparable '#3 Dates],0)),"-")</f>
        <v>88.57</v>
      </c>
    </row>
    <row r="1192" spans="1:11">
      <c r="A1192" s="103">
        <v>45013</v>
      </c>
      <c r="B1192" s="104">
        <v>14949.346799999999</v>
      </c>
      <c r="C1192" s="4">
        <f t="shared" si="18"/>
        <v>3.6518492591350025E-3</v>
      </c>
      <c r="D1192" s="1" t="str">
        <f>IF(COUNTIF(Target1[Target Dates],Benchmark2[[#This Row],[Benchmark '#2 Dates]])=1,"Pass","Fail")</f>
        <v>Pass</v>
      </c>
      <c r="E1192" s="6">
        <f>IF(Benchmark2[[#This Row],[Target Date Check]]="Pass",INDEX(Target1[Target Price],MATCH(Benchmark2[[#This Row],[Benchmark '#2 Dates]],Target1[Target Dates],0)),"-")</f>
        <v>39.520000000000003</v>
      </c>
      <c r="F1192" s="1" t="str">
        <f>IF(COUNTIF(Comp1[Comparable '#1 Dates],Benchmark2[[#This Row],[Benchmark '#2 Dates]])=1,"Pass","Fail")</f>
        <v>Pass</v>
      </c>
      <c r="G1192" s="6">
        <f>IF(Benchmark2[[#This Row],[Comparable '#1 Date Check]]="Pass",INDEX(Comp1[Comparable '#1 Price],MATCH(Benchmark2[[#This Row],[Benchmark '#2 Dates]],Comp1[Comparable '#1 Dates],0)),"-")</f>
        <v>11.63</v>
      </c>
      <c r="H1192" s="1" t="str">
        <f>IF(COUNTIF(Comp2[Comparable '#2 Dates],Benchmark2[[#This Row],[Benchmark '#2 Dates]])=1,"Pass","Fail")</f>
        <v>Pass</v>
      </c>
      <c r="I1192" s="6">
        <f>IF(Benchmark2[[#This Row],[Comparable '#2 Date Check]]="Pass",INDEX(Comp2[Comparable '#2 Price],MATCH(Benchmark2[[#This Row],[Benchmark '#2 Dates]],Comp2[Comparable '#2 Dates],0)),"-")</f>
        <v>37.46</v>
      </c>
      <c r="J1192" s="1" t="str">
        <f>IF(COUNTIF(Comp3[Comparable '#3 Dates],Benchmark2[[#This Row],[Benchmark '#2 Dates]])=1,"Pass","Fail")</f>
        <v>Pass</v>
      </c>
      <c r="K1192" s="6">
        <f>IF(Benchmark2[[#This Row],[Comparable '#3 Date Check]]="Pass",INDEX(Comp3[Comparable '#3 Price],MATCH(Benchmark2[[#This Row],[Benchmark '#2 Dates]],Comp3[Comparable '#3 Dates],0)),"-")</f>
        <v>87.35</v>
      </c>
    </row>
    <row r="1193" spans="1:11">
      <c r="A1193" s="103">
        <v>45014</v>
      </c>
      <c r="B1193" s="104">
        <v>15123.957700000001</v>
      </c>
      <c r="C1193" s="4">
        <f t="shared" si="18"/>
        <v>1.1612482571176299E-2</v>
      </c>
      <c r="D1193" s="1" t="str">
        <f>IF(COUNTIF(Target1[Target Dates],Benchmark2[[#This Row],[Benchmark '#2 Dates]])=1,"Pass","Fail")</f>
        <v>Pass</v>
      </c>
      <c r="E1193" s="6">
        <f>IF(Benchmark2[[#This Row],[Target Date Check]]="Pass",INDEX(Target1[Target Price],MATCH(Benchmark2[[#This Row],[Benchmark '#2 Dates]],Target1[Target Dates],0)),"-")</f>
        <v>38.770000000000003</v>
      </c>
      <c r="F1193" s="1" t="str">
        <f>IF(COUNTIF(Comp1[Comparable '#1 Dates],Benchmark2[[#This Row],[Benchmark '#2 Dates]])=1,"Pass","Fail")</f>
        <v>Pass</v>
      </c>
      <c r="G1193" s="6">
        <f>IF(Benchmark2[[#This Row],[Comparable '#1 Date Check]]="Pass",INDEX(Comp1[Comparable '#1 Price],MATCH(Benchmark2[[#This Row],[Benchmark '#2 Dates]],Comp1[Comparable '#1 Dates],0)),"-")</f>
        <v>11.55</v>
      </c>
      <c r="H1193" s="1" t="str">
        <f>IF(COUNTIF(Comp2[Comparable '#2 Dates],Benchmark2[[#This Row],[Benchmark '#2 Dates]])=1,"Pass","Fail")</f>
        <v>Pass</v>
      </c>
      <c r="I1193" s="6">
        <f>IF(Benchmark2[[#This Row],[Comparable '#2 Date Check]]="Pass",INDEX(Comp2[Comparable '#2 Price],MATCH(Benchmark2[[#This Row],[Benchmark '#2 Dates]],Comp2[Comparable '#2 Dates],0)),"-")</f>
        <v>36.799999999999997</v>
      </c>
      <c r="J1193" s="1" t="str">
        <f>IF(COUNTIF(Comp3[Comparable '#3 Dates],Benchmark2[[#This Row],[Benchmark '#2 Dates]])=1,"Pass","Fail")</f>
        <v>Pass</v>
      </c>
      <c r="K1193" s="6">
        <f>IF(Benchmark2[[#This Row],[Comparable '#3 Date Check]]="Pass",INDEX(Comp3[Comparable '#3 Price],MATCH(Benchmark2[[#This Row],[Benchmark '#2 Dates]],Comp3[Comparable '#3 Dates],0)),"-")</f>
        <v>86.55</v>
      </c>
    </row>
    <row r="1194" spans="1:11">
      <c r="A1194" s="103">
        <v>45015</v>
      </c>
      <c r="B1194" s="104">
        <v>15200.5924</v>
      </c>
      <c r="C1194" s="4">
        <f t="shared" si="18"/>
        <v>5.0543116313442162E-3</v>
      </c>
      <c r="D1194" s="1" t="str">
        <f>IF(COUNTIF(Target1[Target Dates],Benchmark2[[#This Row],[Benchmark '#2 Dates]])=1,"Pass","Fail")</f>
        <v>Pass</v>
      </c>
      <c r="E1194" s="6">
        <f>IF(Benchmark2[[#This Row],[Target Date Check]]="Pass",INDEX(Target1[Target Price],MATCH(Benchmark2[[#This Row],[Benchmark '#2 Dates]],Target1[Target Dates],0)),"-")</f>
        <v>39.03</v>
      </c>
      <c r="F1194" s="1" t="str">
        <f>IF(COUNTIF(Comp1[Comparable '#1 Dates],Benchmark2[[#This Row],[Benchmark '#2 Dates]])=1,"Pass","Fail")</f>
        <v>Pass</v>
      </c>
      <c r="G1194" s="6">
        <f>IF(Benchmark2[[#This Row],[Comparable '#1 Date Check]]="Pass",INDEX(Comp1[Comparable '#1 Price],MATCH(Benchmark2[[#This Row],[Benchmark '#2 Dates]],Comp1[Comparable '#1 Dates],0)),"-")</f>
        <v>11.62</v>
      </c>
      <c r="H1194" s="1" t="str">
        <f>IF(COUNTIF(Comp2[Comparable '#2 Dates],Benchmark2[[#This Row],[Benchmark '#2 Dates]])=1,"Pass","Fail")</f>
        <v>Pass</v>
      </c>
      <c r="I1194" s="6">
        <f>IF(Benchmark2[[#This Row],[Comparable '#2 Date Check]]="Pass",INDEX(Comp2[Comparable '#2 Price],MATCH(Benchmark2[[#This Row],[Benchmark '#2 Dates]],Comp2[Comparable '#2 Dates],0)),"-")</f>
        <v>37.32</v>
      </c>
      <c r="J1194" s="1" t="str">
        <f>IF(COUNTIF(Comp3[Comparable '#3 Dates],Benchmark2[[#This Row],[Benchmark '#2 Dates]])=1,"Pass","Fail")</f>
        <v>Pass</v>
      </c>
      <c r="K1194" s="6">
        <f>IF(Benchmark2[[#This Row],[Comparable '#3 Date Check]]="Pass",INDEX(Comp3[Comparable '#3 Price],MATCH(Benchmark2[[#This Row],[Benchmark '#2 Dates]],Comp3[Comparable '#3 Dates],0)),"-")</f>
        <v>88.24</v>
      </c>
    </row>
    <row r="1195" spans="1:11">
      <c r="A1195" s="103">
        <v>45016</v>
      </c>
      <c r="B1195" s="104">
        <v>15374.910599999999</v>
      </c>
      <c r="C1195" s="4">
        <f t="shared" si="18"/>
        <v>1.1402598264543125E-2</v>
      </c>
      <c r="D1195" s="1" t="str">
        <f>IF(COUNTIF(Target1[Target Dates],Benchmark2[[#This Row],[Benchmark '#2 Dates]])=1,"Pass","Fail")</f>
        <v>Pass</v>
      </c>
      <c r="E1195" s="6">
        <f>IF(Benchmark2[[#This Row],[Target Date Check]]="Pass",INDEX(Target1[Target Price],MATCH(Benchmark2[[#This Row],[Benchmark '#2 Dates]],Target1[Target Dates],0)),"-")</f>
        <v>39.25</v>
      </c>
      <c r="F1195" s="1" t="str">
        <f>IF(COUNTIF(Comp1[Comparable '#1 Dates],Benchmark2[[#This Row],[Benchmark '#2 Dates]])=1,"Pass","Fail")</f>
        <v>Pass</v>
      </c>
      <c r="G1195" s="6">
        <f>IF(Benchmark2[[#This Row],[Comparable '#1 Date Check]]="Pass",INDEX(Comp1[Comparable '#1 Price],MATCH(Benchmark2[[#This Row],[Benchmark '#2 Dates]],Comp1[Comparable '#1 Dates],0)),"-")</f>
        <v>11.76</v>
      </c>
      <c r="H1195" s="1" t="str">
        <f>IF(COUNTIF(Comp2[Comparable '#2 Dates],Benchmark2[[#This Row],[Benchmark '#2 Dates]])=1,"Pass","Fail")</f>
        <v>Pass</v>
      </c>
      <c r="I1195" s="6">
        <f>IF(Benchmark2[[#This Row],[Comparable '#2 Date Check]]="Pass",INDEX(Comp2[Comparable '#2 Price],MATCH(Benchmark2[[#This Row],[Benchmark '#2 Dates]],Comp2[Comparable '#2 Dates],0)),"-")</f>
        <v>38.619999999999997</v>
      </c>
      <c r="J1195" s="1" t="str">
        <f>IF(COUNTIF(Comp3[Comparable '#3 Dates],Benchmark2[[#This Row],[Benchmark '#2 Dates]])=1,"Pass","Fail")</f>
        <v>Pass</v>
      </c>
      <c r="K1195" s="6">
        <f>IF(Benchmark2[[#This Row],[Comparable '#3 Date Check]]="Pass",INDEX(Comp3[Comparable '#3 Price],MATCH(Benchmark2[[#This Row],[Benchmark '#2 Dates]],Comp3[Comparable '#3 Dates],0)),"-")</f>
        <v>89.83</v>
      </c>
    </row>
    <row r="1196" spans="1:11">
      <c r="A1196" s="103">
        <v>45019</v>
      </c>
      <c r="B1196" s="104">
        <v>15487.7533</v>
      </c>
      <c r="C1196" s="4">
        <f t="shared" si="18"/>
        <v>7.312602905087979E-3</v>
      </c>
      <c r="D1196" s="1" t="str">
        <f>IF(COUNTIF(Target1[Target Dates],Benchmark2[[#This Row],[Benchmark '#2 Dates]])=1,"Pass","Fail")</f>
        <v>Pass</v>
      </c>
      <c r="E1196" s="6">
        <f>IF(Benchmark2[[#This Row],[Target Date Check]]="Pass",INDEX(Target1[Target Price],MATCH(Benchmark2[[#This Row],[Benchmark '#2 Dates]],Target1[Target Dates],0)),"-")</f>
        <v>39.11</v>
      </c>
      <c r="F1196" s="1" t="str">
        <f>IF(COUNTIF(Comp1[Comparable '#1 Dates],Benchmark2[[#This Row],[Benchmark '#2 Dates]])=1,"Pass","Fail")</f>
        <v>Pass</v>
      </c>
      <c r="G1196" s="6">
        <f>IF(Benchmark2[[#This Row],[Comparable '#1 Date Check]]="Pass",INDEX(Comp1[Comparable '#1 Price],MATCH(Benchmark2[[#This Row],[Benchmark '#2 Dates]],Comp1[Comparable '#1 Dates],0)),"-")</f>
        <v>11.51</v>
      </c>
      <c r="H1196" s="1" t="str">
        <f>IF(COUNTIF(Comp2[Comparable '#2 Dates],Benchmark2[[#This Row],[Benchmark '#2 Dates]])=1,"Pass","Fail")</f>
        <v>Pass</v>
      </c>
      <c r="I1196" s="6">
        <f>IF(Benchmark2[[#This Row],[Comparable '#2 Date Check]]="Pass",INDEX(Comp2[Comparable '#2 Price],MATCH(Benchmark2[[#This Row],[Benchmark '#2 Dates]],Comp2[Comparable '#2 Dates],0)),"-")</f>
        <v>38.51</v>
      </c>
      <c r="J1196" s="1" t="str">
        <f>IF(COUNTIF(Comp3[Comparable '#3 Dates],Benchmark2[[#This Row],[Benchmark '#2 Dates]])=1,"Pass","Fail")</f>
        <v>Pass</v>
      </c>
      <c r="K1196" s="6">
        <f>IF(Benchmark2[[#This Row],[Comparable '#3 Date Check]]="Pass",INDEX(Comp3[Comparable '#3 Price],MATCH(Benchmark2[[#This Row],[Benchmark '#2 Dates]],Comp3[Comparable '#3 Dates],0)),"-")</f>
        <v>89.76</v>
      </c>
    </row>
    <row r="1197" spans="1:11">
      <c r="A1197" s="103">
        <v>45020</v>
      </c>
      <c r="B1197" s="104">
        <v>15374.1119</v>
      </c>
      <c r="C1197" s="4">
        <f t="shared" si="18"/>
        <v>-7.3645525239859596E-3</v>
      </c>
      <c r="D1197" s="1" t="str">
        <f>IF(COUNTIF(Target1[Target Dates],Benchmark2[[#This Row],[Benchmark '#2 Dates]])=1,"Pass","Fail")</f>
        <v>Pass</v>
      </c>
      <c r="E1197" s="6">
        <f>IF(Benchmark2[[#This Row],[Target Date Check]]="Pass",INDEX(Target1[Target Price],MATCH(Benchmark2[[#This Row],[Benchmark '#2 Dates]],Target1[Target Dates],0)),"-")</f>
        <v>38.450000000000003</v>
      </c>
      <c r="F1197" s="1" t="str">
        <f>IF(COUNTIF(Comp1[Comparable '#1 Dates],Benchmark2[[#This Row],[Benchmark '#2 Dates]])=1,"Pass","Fail")</f>
        <v>Pass</v>
      </c>
      <c r="G1197" s="6">
        <f>IF(Benchmark2[[#This Row],[Comparable '#1 Date Check]]="Pass",INDEX(Comp1[Comparable '#1 Price],MATCH(Benchmark2[[#This Row],[Benchmark '#2 Dates]],Comp1[Comparable '#1 Dates],0)),"-")</f>
        <v>11.38</v>
      </c>
      <c r="H1197" s="1" t="str">
        <f>IF(COUNTIF(Comp2[Comparable '#2 Dates],Benchmark2[[#This Row],[Benchmark '#2 Dates]])=1,"Pass","Fail")</f>
        <v>Pass</v>
      </c>
      <c r="I1197" s="6">
        <f>IF(Benchmark2[[#This Row],[Comparable '#2 Date Check]]="Pass",INDEX(Comp2[Comparable '#2 Price],MATCH(Benchmark2[[#This Row],[Benchmark '#2 Dates]],Comp2[Comparable '#2 Dates],0)),"-")</f>
        <v>37.78</v>
      </c>
      <c r="J1197" s="1" t="str">
        <f>IF(COUNTIF(Comp3[Comparable '#3 Dates],Benchmark2[[#This Row],[Benchmark '#2 Dates]])=1,"Pass","Fail")</f>
        <v>Pass</v>
      </c>
      <c r="K1197" s="6">
        <f>IF(Benchmark2[[#This Row],[Comparable '#3 Date Check]]="Pass",INDEX(Comp3[Comparable '#3 Price],MATCH(Benchmark2[[#This Row],[Benchmark '#2 Dates]],Comp3[Comparable '#3 Dates],0)),"-")</f>
        <v>89.16</v>
      </c>
    </row>
    <row r="1198" spans="1:11">
      <c r="A1198" s="103">
        <v>45021</v>
      </c>
      <c r="B1198" s="104">
        <v>15368.264499999999</v>
      </c>
      <c r="C1198" s="4">
        <f t="shared" si="18"/>
        <v>-3.8041301651080836E-4</v>
      </c>
      <c r="D1198" s="1" t="str">
        <f>IF(COUNTIF(Target1[Target Dates],Benchmark2[[#This Row],[Benchmark '#2 Dates]])=1,"Pass","Fail")</f>
        <v>Pass</v>
      </c>
      <c r="E1198" s="6">
        <f>IF(Benchmark2[[#This Row],[Target Date Check]]="Pass",INDEX(Target1[Target Price],MATCH(Benchmark2[[#This Row],[Benchmark '#2 Dates]],Target1[Target Dates],0)),"-")</f>
        <v>37.799999999999997</v>
      </c>
      <c r="F1198" s="1" t="str">
        <f>IF(COUNTIF(Comp1[Comparable '#1 Dates],Benchmark2[[#This Row],[Benchmark '#2 Dates]])=1,"Pass","Fail")</f>
        <v>Pass</v>
      </c>
      <c r="G1198" s="6">
        <f>IF(Benchmark2[[#This Row],[Comparable '#1 Date Check]]="Pass",INDEX(Comp1[Comparable '#1 Price],MATCH(Benchmark2[[#This Row],[Benchmark '#2 Dates]],Comp1[Comparable '#1 Dates],0)),"-")</f>
        <v>11.4</v>
      </c>
      <c r="H1198" s="1" t="str">
        <f>IF(COUNTIF(Comp2[Comparable '#2 Dates],Benchmark2[[#This Row],[Benchmark '#2 Dates]])=1,"Pass","Fail")</f>
        <v>Pass</v>
      </c>
      <c r="I1198" s="6">
        <f>IF(Benchmark2[[#This Row],[Comparable '#2 Date Check]]="Pass",INDEX(Comp2[Comparable '#2 Price],MATCH(Benchmark2[[#This Row],[Benchmark '#2 Dates]],Comp2[Comparable '#2 Dates],0)),"-")</f>
        <v>38.090000000000003</v>
      </c>
      <c r="J1198" s="1" t="str">
        <f>IF(COUNTIF(Comp3[Comparable '#3 Dates],Benchmark2[[#This Row],[Benchmark '#2 Dates]])=1,"Pass","Fail")</f>
        <v>Pass</v>
      </c>
      <c r="K1198" s="6">
        <f>IF(Benchmark2[[#This Row],[Comparable '#3 Date Check]]="Pass",INDEX(Comp3[Comparable '#3 Price],MATCH(Benchmark2[[#This Row],[Benchmark '#2 Dates]],Comp3[Comparable '#3 Dates],0)),"-")</f>
        <v>90.39</v>
      </c>
    </row>
    <row r="1199" spans="1:11">
      <c r="A1199" s="103">
        <v>45022</v>
      </c>
      <c r="B1199" s="104">
        <v>15379.1296</v>
      </c>
      <c r="C1199" s="4">
        <f t="shared" si="18"/>
        <v>7.0673309204005513E-4</v>
      </c>
      <c r="D1199" s="1" t="str">
        <f>IF(COUNTIF(Target1[Target Dates],Benchmark2[[#This Row],[Benchmark '#2 Dates]])=1,"Pass","Fail")</f>
        <v>Pass</v>
      </c>
      <c r="E1199" s="6">
        <f>IF(Benchmark2[[#This Row],[Target Date Check]]="Pass",INDEX(Target1[Target Price],MATCH(Benchmark2[[#This Row],[Benchmark '#2 Dates]],Target1[Target Dates],0)),"-")</f>
        <v>37.89</v>
      </c>
      <c r="F1199" s="1" t="str">
        <f>IF(COUNTIF(Comp1[Comparable '#1 Dates],Benchmark2[[#This Row],[Benchmark '#2 Dates]])=1,"Pass","Fail")</f>
        <v>Pass</v>
      </c>
      <c r="G1199" s="6">
        <f>IF(Benchmark2[[#This Row],[Comparable '#1 Date Check]]="Pass",INDEX(Comp1[Comparable '#1 Price],MATCH(Benchmark2[[#This Row],[Benchmark '#2 Dates]],Comp1[Comparable '#1 Dates],0)),"-")</f>
        <v>11.29</v>
      </c>
      <c r="H1199" s="1" t="str">
        <f>IF(COUNTIF(Comp2[Comparable '#2 Dates],Benchmark2[[#This Row],[Benchmark '#2 Dates]])=1,"Pass","Fail")</f>
        <v>Pass</v>
      </c>
      <c r="I1199" s="6">
        <f>IF(Benchmark2[[#This Row],[Comparable '#2 Date Check]]="Pass",INDEX(Comp2[Comparable '#2 Price],MATCH(Benchmark2[[#This Row],[Benchmark '#2 Dates]],Comp2[Comparable '#2 Dates],0)),"-")</f>
        <v>37.909999999999997</v>
      </c>
      <c r="J1199" s="1" t="str">
        <f>IF(COUNTIF(Comp3[Comparable '#3 Dates],Benchmark2[[#This Row],[Benchmark '#2 Dates]])=1,"Pass","Fail")</f>
        <v>Pass</v>
      </c>
      <c r="K1199" s="6">
        <f>IF(Benchmark2[[#This Row],[Comparable '#3 Date Check]]="Pass",INDEX(Comp3[Comparable '#3 Price],MATCH(Benchmark2[[#This Row],[Benchmark '#2 Dates]],Comp3[Comparable '#3 Dates],0)),"-")</f>
        <v>90.35</v>
      </c>
    </row>
    <row r="1200" spans="1:11">
      <c r="A1200" s="103">
        <v>45026</v>
      </c>
      <c r="B1200" s="104">
        <v>15427.183999999999</v>
      </c>
      <c r="C1200" s="4">
        <f t="shared" si="18"/>
        <v>3.1197786012403888E-3</v>
      </c>
      <c r="D1200" s="1" t="str">
        <f>IF(COUNTIF(Target1[Target Dates],Benchmark2[[#This Row],[Benchmark '#2 Dates]])=1,"Pass","Fail")</f>
        <v>Pass</v>
      </c>
      <c r="E1200" s="6">
        <f>IF(Benchmark2[[#This Row],[Target Date Check]]="Pass",INDEX(Target1[Target Price],MATCH(Benchmark2[[#This Row],[Benchmark '#2 Dates]],Target1[Target Dates],0)),"-")</f>
        <v>38.229999999999997</v>
      </c>
      <c r="F1200" s="1" t="str">
        <f>IF(COUNTIF(Comp1[Comparable '#1 Dates],Benchmark2[[#This Row],[Benchmark '#2 Dates]])=1,"Pass","Fail")</f>
        <v>Pass</v>
      </c>
      <c r="G1200" s="6">
        <f>IF(Benchmark2[[#This Row],[Comparable '#1 Date Check]]="Pass",INDEX(Comp1[Comparable '#1 Price],MATCH(Benchmark2[[#This Row],[Benchmark '#2 Dates]],Comp1[Comparable '#1 Dates],0)),"-")</f>
        <v>11.37</v>
      </c>
      <c r="H1200" s="1" t="str">
        <f>IF(COUNTIF(Comp2[Comparable '#2 Dates],Benchmark2[[#This Row],[Benchmark '#2 Dates]])=1,"Pass","Fail")</f>
        <v>Pass</v>
      </c>
      <c r="I1200" s="6">
        <f>IF(Benchmark2[[#This Row],[Comparable '#2 Date Check]]="Pass",INDEX(Comp2[Comparable '#2 Price],MATCH(Benchmark2[[#This Row],[Benchmark '#2 Dates]],Comp2[Comparable '#2 Dates],0)),"-")</f>
        <v>38.21</v>
      </c>
      <c r="J1200" s="1" t="str">
        <f>IF(COUNTIF(Comp3[Comparable '#3 Dates],Benchmark2[[#This Row],[Benchmark '#2 Dates]])=1,"Pass","Fail")</f>
        <v>Pass</v>
      </c>
      <c r="K1200" s="6">
        <f>IF(Benchmark2[[#This Row],[Comparable '#3 Date Check]]="Pass",INDEX(Comp3[Comparable '#3 Price],MATCH(Benchmark2[[#This Row],[Benchmark '#2 Dates]],Comp3[Comparable '#3 Dates],0)),"-")</f>
        <v>92.09</v>
      </c>
    </row>
    <row r="1201" spans="1:11">
      <c r="A1201" s="103">
        <v>45027</v>
      </c>
      <c r="B1201" s="104">
        <v>15520.920599999999</v>
      </c>
      <c r="C1201" s="4">
        <f t="shared" si="18"/>
        <v>6.0576819067956313E-3</v>
      </c>
      <c r="D1201" s="1" t="str">
        <f>IF(COUNTIF(Target1[Target Dates],Benchmark2[[#This Row],[Benchmark '#2 Dates]])=1,"Pass","Fail")</f>
        <v>Pass</v>
      </c>
      <c r="E1201" s="6">
        <f>IF(Benchmark2[[#This Row],[Target Date Check]]="Pass",INDEX(Target1[Target Price],MATCH(Benchmark2[[#This Row],[Benchmark '#2 Dates]],Target1[Target Dates],0)),"-")</f>
        <v>38.619999999999997</v>
      </c>
      <c r="F1201" s="1" t="str">
        <f>IF(COUNTIF(Comp1[Comparable '#1 Dates],Benchmark2[[#This Row],[Benchmark '#2 Dates]])=1,"Pass","Fail")</f>
        <v>Pass</v>
      </c>
      <c r="G1201" s="6">
        <f>IF(Benchmark2[[#This Row],[Comparable '#1 Date Check]]="Pass",INDEX(Comp1[Comparable '#1 Price],MATCH(Benchmark2[[#This Row],[Benchmark '#2 Dates]],Comp1[Comparable '#1 Dates],0)),"-")</f>
        <v>11.53</v>
      </c>
      <c r="H1201" s="1" t="str">
        <f>IF(COUNTIF(Comp2[Comparable '#2 Dates],Benchmark2[[#This Row],[Benchmark '#2 Dates]])=1,"Pass","Fail")</f>
        <v>Pass</v>
      </c>
      <c r="I1201" s="6">
        <f>IF(Benchmark2[[#This Row],[Comparable '#2 Date Check]]="Pass",INDEX(Comp2[Comparable '#2 Price],MATCH(Benchmark2[[#This Row],[Benchmark '#2 Dates]],Comp2[Comparable '#2 Dates],0)),"-")</f>
        <v>38.619999999999997</v>
      </c>
      <c r="J1201" s="1" t="str">
        <f>IF(COUNTIF(Comp3[Comparable '#3 Dates],Benchmark2[[#This Row],[Benchmark '#2 Dates]])=1,"Pass","Fail")</f>
        <v>Pass</v>
      </c>
      <c r="K1201" s="6">
        <f>IF(Benchmark2[[#This Row],[Comparable '#3 Date Check]]="Pass",INDEX(Comp3[Comparable '#3 Price],MATCH(Benchmark2[[#This Row],[Benchmark '#2 Dates]],Comp3[Comparable '#3 Dates],0)),"-")</f>
        <v>93.63</v>
      </c>
    </row>
    <row r="1202" spans="1:11">
      <c r="A1202" s="103">
        <v>45028</v>
      </c>
      <c r="B1202" s="104">
        <v>15500.929899999999</v>
      </c>
      <c r="C1202" s="4">
        <f t="shared" si="18"/>
        <v>-1.2888143321506374E-3</v>
      </c>
      <c r="D1202" s="1" t="str">
        <f>IF(COUNTIF(Target1[Target Dates],Benchmark2[[#This Row],[Benchmark '#2 Dates]])=1,"Pass","Fail")</f>
        <v>Pass</v>
      </c>
      <c r="E1202" s="6">
        <f>IF(Benchmark2[[#This Row],[Target Date Check]]="Pass",INDEX(Target1[Target Price],MATCH(Benchmark2[[#This Row],[Benchmark '#2 Dates]],Target1[Target Dates],0)),"-")</f>
        <v>37.799999999999997</v>
      </c>
      <c r="F1202" s="1" t="str">
        <f>IF(COUNTIF(Comp1[Comparable '#1 Dates],Benchmark2[[#This Row],[Benchmark '#2 Dates]])=1,"Pass","Fail")</f>
        <v>Pass</v>
      </c>
      <c r="G1202" s="6">
        <f>IF(Benchmark2[[#This Row],[Comparable '#1 Date Check]]="Pass",INDEX(Comp1[Comparable '#1 Price],MATCH(Benchmark2[[#This Row],[Benchmark '#2 Dates]],Comp1[Comparable '#1 Dates],0)),"-")</f>
        <v>11.57</v>
      </c>
      <c r="H1202" s="1" t="str">
        <f>IF(COUNTIF(Comp2[Comparable '#2 Dates],Benchmark2[[#This Row],[Benchmark '#2 Dates]])=1,"Pass","Fail")</f>
        <v>Pass</v>
      </c>
      <c r="I1202" s="6">
        <f>IF(Benchmark2[[#This Row],[Comparable '#2 Date Check]]="Pass",INDEX(Comp2[Comparable '#2 Price],MATCH(Benchmark2[[#This Row],[Benchmark '#2 Dates]],Comp2[Comparable '#2 Dates],0)),"-")</f>
        <v>39.200000000000003</v>
      </c>
      <c r="J1202" s="1" t="str">
        <f>IF(COUNTIF(Comp3[Comparable '#3 Dates],Benchmark2[[#This Row],[Benchmark '#2 Dates]])=1,"Pass","Fail")</f>
        <v>Pass</v>
      </c>
      <c r="K1202" s="6">
        <f>IF(Benchmark2[[#This Row],[Comparable '#3 Date Check]]="Pass",INDEX(Comp3[Comparable '#3 Price],MATCH(Benchmark2[[#This Row],[Benchmark '#2 Dates]],Comp3[Comparable '#3 Dates],0)),"-")</f>
        <v>94.17</v>
      </c>
    </row>
    <row r="1203" spans="1:11">
      <c r="A1203" s="103">
        <v>45029</v>
      </c>
      <c r="B1203" s="104">
        <v>15630.888300000001</v>
      </c>
      <c r="C1203" s="4">
        <f t="shared" si="18"/>
        <v>8.3489601578394645E-3</v>
      </c>
      <c r="D1203" s="1" t="str">
        <f>IF(COUNTIF(Target1[Target Dates],Benchmark2[[#This Row],[Benchmark '#2 Dates]])=1,"Pass","Fail")</f>
        <v>Pass</v>
      </c>
      <c r="E1203" s="6">
        <f>IF(Benchmark2[[#This Row],[Target Date Check]]="Pass",INDEX(Target1[Target Price],MATCH(Benchmark2[[#This Row],[Benchmark '#2 Dates]],Target1[Target Dates],0)),"-")</f>
        <v>38.590000000000003</v>
      </c>
      <c r="F1203" s="1" t="str">
        <f>IF(COUNTIF(Comp1[Comparable '#1 Dates],Benchmark2[[#This Row],[Benchmark '#2 Dates]])=1,"Pass","Fail")</f>
        <v>Pass</v>
      </c>
      <c r="G1203" s="6">
        <f>IF(Benchmark2[[#This Row],[Comparable '#1 Date Check]]="Pass",INDEX(Comp1[Comparable '#1 Price],MATCH(Benchmark2[[#This Row],[Benchmark '#2 Dates]],Comp1[Comparable '#1 Dates],0)),"-")</f>
        <v>11.9</v>
      </c>
      <c r="H1203" s="1" t="str">
        <f>IF(COUNTIF(Comp2[Comparable '#2 Dates],Benchmark2[[#This Row],[Benchmark '#2 Dates]])=1,"Pass","Fail")</f>
        <v>Pass</v>
      </c>
      <c r="I1203" s="6">
        <f>IF(Benchmark2[[#This Row],[Comparable '#2 Date Check]]="Pass",INDEX(Comp2[Comparable '#2 Price],MATCH(Benchmark2[[#This Row],[Benchmark '#2 Dates]],Comp2[Comparable '#2 Dates],0)),"-")</f>
        <v>39.979999999999997</v>
      </c>
      <c r="J1203" s="1" t="str">
        <f>IF(COUNTIF(Comp3[Comparable '#3 Dates],Benchmark2[[#This Row],[Benchmark '#2 Dates]])=1,"Pass","Fail")</f>
        <v>Pass</v>
      </c>
      <c r="K1203" s="6">
        <f>IF(Benchmark2[[#This Row],[Comparable '#3 Date Check]]="Pass",INDEX(Comp3[Comparable '#3 Price],MATCH(Benchmark2[[#This Row],[Benchmark '#2 Dates]],Comp3[Comparable '#3 Dates],0)),"-")</f>
        <v>94.51</v>
      </c>
    </row>
    <row r="1204" spans="1:11">
      <c r="A1204" s="103">
        <v>45030</v>
      </c>
      <c r="B1204" s="104">
        <v>15601.775</v>
      </c>
      <c r="C1204" s="4">
        <f t="shared" si="18"/>
        <v>-1.8642859977996828E-3</v>
      </c>
      <c r="D1204" s="1" t="str">
        <f>IF(COUNTIF(Target1[Target Dates],Benchmark2[[#This Row],[Benchmark '#2 Dates]])=1,"Pass","Fail")</f>
        <v>Pass</v>
      </c>
      <c r="E1204" s="6">
        <f>IF(Benchmark2[[#This Row],[Target Date Check]]="Pass",INDEX(Target1[Target Price],MATCH(Benchmark2[[#This Row],[Benchmark '#2 Dates]],Target1[Target Dates],0)),"-")</f>
        <v>38.31</v>
      </c>
      <c r="F1204" s="1" t="str">
        <f>IF(COUNTIF(Comp1[Comparable '#1 Dates],Benchmark2[[#This Row],[Benchmark '#2 Dates]])=1,"Pass","Fail")</f>
        <v>Pass</v>
      </c>
      <c r="G1204" s="6">
        <f>IF(Benchmark2[[#This Row],[Comparable '#1 Date Check]]="Pass",INDEX(Comp1[Comparable '#1 Price],MATCH(Benchmark2[[#This Row],[Benchmark '#2 Dates]],Comp1[Comparable '#1 Dates],0)),"-")</f>
        <v>12.04</v>
      </c>
      <c r="H1204" s="1" t="str">
        <f>IF(COUNTIF(Comp2[Comparable '#2 Dates],Benchmark2[[#This Row],[Benchmark '#2 Dates]])=1,"Pass","Fail")</f>
        <v>Pass</v>
      </c>
      <c r="I1204" s="6">
        <f>IF(Benchmark2[[#This Row],[Comparable '#2 Date Check]]="Pass",INDEX(Comp2[Comparable '#2 Price],MATCH(Benchmark2[[#This Row],[Benchmark '#2 Dates]],Comp2[Comparable '#2 Dates],0)),"-")</f>
        <v>39.9</v>
      </c>
      <c r="J1204" s="1" t="str">
        <f>IF(COUNTIF(Comp3[Comparable '#3 Dates],Benchmark2[[#This Row],[Benchmark '#2 Dates]])=1,"Pass","Fail")</f>
        <v>Pass</v>
      </c>
      <c r="K1204" s="6">
        <f>IF(Benchmark2[[#This Row],[Comparable '#3 Date Check]]="Pass",INDEX(Comp3[Comparable '#3 Price],MATCH(Benchmark2[[#This Row],[Benchmark '#2 Dates]],Comp3[Comparable '#3 Dates],0)),"-")</f>
        <v>93.82</v>
      </c>
    </row>
    <row r="1205" spans="1:11">
      <c r="A1205" s="103">
        <v>45033</v>
      </c>
      <c r="B1205" s="104">
        <v>15668.341200000001</v>
      </c>
      <c r="C1205" s="4">
        <f t="shared" si="18"/>
        <v>4.2575026024391383E-3</v>
      </c>
      <c r="D1205" s="1" t="str">
        <f>IF(COUNTIF(Target1[Target Dates],Benchmark2[[#This Row],[Benchmark '#2 Dates]])=1,"Pass","Fail")</f>
        <v>Pass</v>
      </c>
      <c r="E1205" s="6">
        <f>IF(Benchmark2[[#This Row],[Target Date Check]]="Pass",INDEX(Target1[Target Price],MATCH(Benchmark2[[#This Row],[Benchmark '#2 Dates]],Target1[Target Dates],0)),"-")</f>
        <v>38.28</v>
      </c>
      <c r="F1205" s="1" t="str">
        <f>IF(COUNTIF(Comp1[Comparable '#1 Dates],Benchmark2[[#This Row],[Benchmark '#2 Dates]])=1,"Pass","Fail")</f>
        <v>Pass</v>
      </c>
      <c r="G1205" s="6">
        <f>IF(Benchmark2[[#This Row],[Comparable '#1 Date Check]]="Pass",INDEX(Comp1[Comparable '#1 Price],MATCH(Benchmark2[[#This Row],[Benchmark '#2 Dates]],Comp1[Comparable '#1 Dates],0)),"-")</f>
        <v>12.02</v>
      </c>
      <c r="H1205" s="1" t="str">
        <f>IF(COUNTIF(Comp2[Comparable '#2 Dates],Benchmark2[[#This Row],[Benchmark '#2 Dates]])=1,"Pass","Fail")</f>
        <v>Pass</v>
      </c>
      <c r="I1205" s="6">
        <f>IF(Benchmark2[[#This Row],[Comparable '#2 Date Check]]="Pass",INDEX(Comp2[Comparable '#2 Price],MATCH(Benchmark2[[#This Row],[Benchmark '#2 Dates]],Comp2[Comparable '#2 Dates],0)),"-")</f>
        <v>39.39</v>
      </c>
      <c r="J1205" s="1" t="str">
        <f>IF(COUNTIF(Comp3[Comparable '#3 Dates],Benchmark2[[#This Row],[Benchmark '#2 Dates]])=1,"Pass","Fail")</f>
        <v>Pass</v>
      </c>
      <c r="K1205" s="6">
        <f>IF(Benchmark2[[#This Row],[Comparable '#3 Date Check]]="Pass",INDEX(Comp3[Comparable '#3 Price],MATCH(Benchmark2[[#This Row],[Benchmark '#2 Dates]],Comp3[Comparable '#3 Dates],0)),"-")</f>
        <v>92.83</v>
      </c>
    </row>
    <row r="1206" spans="1:11">
      <c r="A1206" s="103">
        <v>45034</v>
      </c>
      <c r="B1206" s="104">
        <v>15684.958000000001</v>
      </c>
      <c r="C1206" s="4">
        <f t="shared" si="18"/>
        <v>1.0599714849658843E-3</v>
      </c>
      <c r="D1206" s="1" t="str">
        <f>IF(COUNTIF(Target1[Target Dates],Benchmark2[[#This Row],[Benchmark '#2 Dates]])=1,"Pass","Fail")</f>
        <v>Pass</v>
      </c>
      <c r="E1206" s="6">
        <f>IF(Benchmark2[[#This Row],[Target Date Check]]="Pass",INDEX(Target1[Target Price],MATCH(Benchmark2[[#This Row],[Benchmark '#2 Dates]],Target1[Target Dates],0)),"-")</f>
        <v>38.06</v>
      </c>
      <c r="F1206" s="1" t="str">
        <f>IF(COUNTIF(Comp1[Comparable '#1 Dates],Benchmark2[[#This Row],[Benchmark '#2 Dates]])=1,"Pass","Fail")</f>
        <v>Pass</v>
      </c>
      <c r="G1206" s="6">
        <f>IF(Benchmark2[[#This Row],[Comparable '#1 Date Check]]="Pass",INDEX(Comp1[Comparable '#1 Price],MATCH(Benchmark2[[#This Row],[Benchmark '#2 Dates]],Comp1[Comparable '#1 Dates],0)),"-")</f>
        <v>11.97</v>
      </c>
      <c r="H1206" s="1" t="str">
        <f>IF(COUNTIF(Comp2[Comparable '#2 Dates],Benchmark2[[#This Row],[Benchmark '#2 Dates]])=1,"Pass","Fail")</f>
        <v>Pass</v>
      </c>
      <c r="I1206" s="6">
        <f>IF(Benchmark2[[#This Row],[Comparable '#2 Date Check]]="Pass",INDEX(Comp2[Comparable '#2 Price],MATCH(Benchmark2[[#This Row],[Benchmark '#2 Dates]],Comp2[Comparable '#2 Dates],0)),"-")</f>
        <v>39.5</v>
      </c>
      <c r="J1206" s="1" t="str">
        <f>IF(COUNTIF(Comp3[Comparable '#3 Dates],Benchmark2[[#This Row],[Benchmark '#2 Dates]])=1,"Pass","Fail")</f>
        <v>Pass</v>
      </c>
      <c r="K1206" s="6">
        <f>IF(Benchmark2[[#This Row],[Comparable '#3 Date Check]]="Pass",INDEX(Comp3[Comparable '#3 Price],MATCH(Benchmark2[[#This Row],[Benchmark '#2 Dates]],Comp3[Comparable '#3 Dates],0)),"-")</f>
        <v>91.82</v>
      </c>
    </row>
    <row r="1207" spans="1:11">
      <c r="A1207" s="103">
        <v>45035</v>
      </c>
      <c r="B1207" s="104">
        <v>15653.6183</v>
      </c>
      <c r="C1207" s="4">
        <f t="shared" si="18"/>
        <v>-2.0000723802709396E-3</v>
      </c>
      <c r="D1207" s="1" t="str">
        <f>IF(COUNTIF(Target1[Target Dates],Benchmark2[[#This Row],[Benchmark '#2 Dates]])=1,"Pass","Fail")</f>
        <v>Pass</v>
      </c>
      <c r="E1207" s="6">
        <f>IF(Benchmark2[[#This Row],[Target Date Check]]="Pass",INDEX(Target1[Target Price],MATCH(Benchmark2[[#This Row],[Benchmark '#2 Dates]],Target1[Target Dates],0)),"-")</f>
        <v>38.29</v>
      </c>
      <c r="F1207" s="1" t="str">
        <f>IF(COUNTIF(Comp1[Comparable '#1 Dates],Benchmark2[[#This Row],[Benchmark '#2 Dates]])=1,"Pass","Fail")</f>
        <v>Pass</v>
      </c>
      <c r="G1207" s="6">
        <f>IF(Benchmark2[[#This Row],[Comparable '#1 Date Check]]="Pass",INDEX(Comp1[Comparable '#1 Price],MATCH(Benchmark2[[#This Row],[Benchmark '#2 Dates]],Comp1[Comparable '#1 Dates],0)),"-")</f>
        <v>11.8</v>
      </c>
      <c r="H1207" s="1" t="str">
        <f>IF(COUNTIF(Comp2[Comparable '#2 Dates],Benchmark2[[#This Row],[Benchmark '#2 Dates]])=1,"Pass","Fail")</f>
        <v>Pass</v>
      </c>
      <c r="I1207" s="6">
        <f>IF(Benchmark2[[#This Row],[Comparable '#2 Date Check]]="Pass",INDEX(Comp2[Comparable '#2 Price],MATCH(Benchmark2[[#This Row],[Benchmark '#2 Dates]],Comp2[Comparable '#2 Dates],0)),"-")</f>
        <v>39.07</v>
      </c>
      <c r="J1207" s="1" t="str">
        <f>IF(COUNTIF(Comp3[Comparable '#3 Dates],Benchmark2[[#This Row],[Benchmark '#2 Dates]])=1,"Pass","Fail")</f>
        <v>Pass</v>
      </c>
      <c r="K1207" s="6">
        <f>IF(Benchmark2[[#This Row],[Comparable '#3 Date Check]]="Pass",INDEX(Comp3[Comparable '#3 Price],MATCH(Benchmark2[[#This Row],[Benchmark '#2 Dates]],Comp3[Comparable '#3 Dates],0)),"-")</f>
        <v>91.79</v>
      </c>
    </row>
    <row r="1208" spans="1:11">
      <c r="A1208" s="103">
        <v>45036</v>
      </c>
      <c r="B1208" s="104">
        <v>15582.9437</v>
      </c>
      <c r="C1208" s="4">
        <f t="shared" si="18"/>
        <v>-4.5251279957761919E-3</v>
      </c>
      <c r="D1208" s="1" t="str">
        <f>IF(COUNTIF(Target1[Target Dates],Benchmark2[[#This Row],[Benchmark '#2 Dates]])=1,"Pass","Fail")</f>
        <v>Pass</v>
      </c>
      <c r="E1208" s="6">
        <f>IF(Benchmark2[[#This Row],[Target Date Check]]="Pass",INDEX(Target1[Target Price],MATCH(Benchmark2[[#This Row],[Benchmark '#2 Dates]],Target1[Target Dates],0)),"-")</f>
        <v>38.01</v>
      </c>
      <c r="F1208" s="1" t="str">
        <f>IF(COUNTIF(Comp1[Comparable '#1 Dates],Benchmark2[[#This Row],[Benchmark '#2 Dates]])=1,"Pass","Fail")</f>
        <v>Pass</v>
      </c>
      <c r="G1208" s="6">
        <f>IF(Benchmark2[[#This Row],[Comparable '#1 Date Check]]="Pass",INDEX(Comp1[Comparable '#1 Price],MATCH(Benchmark2[[#This Row],[Benchmark '#2 Dates]],Comp1[Comparable '#1 Dates],0)),"-")</f>
        <v>11.9</v>
      </c>
      <c r="H1208" s="1" t="str">
        <f>IF(COUNTIF(Comp2[Comparable '#2 Dates],Benchmark2[[#This Row],[Benchmark '#2 Dates]])=1,"Pass","Fail")</f>
        <v>Pass</v>
      </c>
      <c r="I1208" s="6">
        <f>IF(Benchmark2[[#This Row],[Comparable '#2 Date Check]]="Pass",INDEX(Comp2[Comparable '#2 Price],MATCH(Benchmark2[[#This Row],[Benchmark '#2 Dates]],Comp2[Comparable '#2 Dates],0)),"-")</f>
        <v>39.64</v>
      </c>
      <c r="J1208" s="1" t="str">
        <f>IF(COUNTIF(Comp3[Comparable '#3 Dates],Benchmark2[[#This Row],[Benchmark '#2 Dates]])=1,"Pass","Fail")</f>
        <v>Pass</v>
      </c>
      <c r="K1208" s="6">
        <f>IF(Benchmark2[[#This Row],[Comparable '#3 Date Check]]="Pass",INDEX(Comp3[Comparable '#3 Price],MATCH(Benchmark2[[#This Row],[Benchmark '#2 Dates]],Comp3[Comparable '#3 Dates],0)),"-")</f>
        <v>92.49</v>
      </c>
    </row>
    <row r="1209" spans="1:11">
      <c r="A1209" s="103">
        <v>45037</v>
      </c>
      <c r="B1209" s="104">
        <v>15578.926600000001</v>
      </c>
      <c r="C1209" s="4">
        <f t="shared" si="18"/>
        <v>-2.5782149682145549E-4</v>
      </c>
      <c r="D1209" s="1" t="str">
        <f>IF(COUNTIF(Target1[Target Dates],Benchmark2[[#This Row],[Benchmark '#2 Dates]])=1,"Pass","Fail")</f>
        <v>Pass</v>
      </c>
      <c r="E1209" s="6">
        <f>IF(Benchmark2[[#This Row],[Target Date Check]]="Pass",INDEX(Target1[Target Price],MATCH(Benchmark2[[#This Row],[Benchmark '#2 Dates]],Target1[Target Dates],0)),"-")</f>
        <v>37.799999999999997</v>
      </c>
      <c r="F1209" s="1" t="str">
        <f>IF(COUNTIF(Comp1[Comparable '#1 Dates],Benchmark2[[#This Row],[Benchmark '#2 Dates]])=1,"Pass","Fail")</f>
        <v>Pass</v>
      </c>
      <c r="G1209" s="6">
        <f>IF(Benchmark2[[#This Row],[Comparable '#1 Date Check]]="Pass",INDEX(Comp1[Comparable '#1 Price],MATCH(Benchmark2[[#This Row],[Benchmark '#2 Dates]],Comp1[Comparable '#1 Dates],0)),"-")</f>
        <v>11.99</v>
      </c>
      <c r="H1209" s="1" t="str">
        <f>IF(COUNTIF(Comp2[Comparable '#2 Dates],Benchmark2[[#This Row],[Benchmark '#2 Dates]])=1,"Pass","Fail")</f>
        <v>Pass</v>
      </c>
      <c r="I1209" s="6">
        <f>IF(Benchmark2[[#This Row],[Comparable '#2 Date Check]]="Pass",INDEX(Comp2[Comparable '#2 Price],MATCH(Benchmark2[[#This Row],[Benchmark '#2 Dates]],Comp2[Comparable '#2 Dates],0)),"-")</f>
        <v>40.64</v>
      </c>
      <c r="J1209" s="1" t="str">
        <f>IF(COUNTIF(Comp3[Comparable '#3 Dates],Benchmark2[[#This Row],[Benchmark '#2 Dates]])=1,"Pass","Fail")</f>
        <v>Pass</v>
      </c>
      <c r="K1209" s="6">
        <f>IF(Benchmark2[[#This Row],[Comparable '#3 Date Check]]="Pass",INDEX(Comp3[Comparable '#3 Price],MATCH(Benchmark2[[#This Row],[Benchmark '#2 Dates]],Comp3[Comparable '#3 Dates],0)),"-")</f>
        <v>92.92</v>
      </c>
    </row>
    <row r="1210" spans="1:11">
      <c r="A1210" s="103">
        <v>45040</v>
      </c>
      <c r="B1210" s="104">
        <v>15606.7081</v>
      </c>
      <c r="C1210" s="4">
        <f t="shared" si="18"/>
        <v>1.7816861908631209E-3</v>
      </c>
      <c r="D1210" s="1" t="str">
        <f>IF(COUNTIF(Target1[Target Dates],Benchmark2[[#This Row],[Benchmark '#2 Dates]])=1,"Pass","Fail")</f>
        <v>Pass</v>
      </c>
      <c r="E1210" s="6">
        <f>IF(Benchmark2[[#This Row],[Target Date Check]]="Pass",INDEX(Target1[Target Price],MATCH(Benchmark2[[#This Row],[Benchmark '#2 Dates]],Target1[Target Dates],0)),"-")</f>
        <v>38.1</v>
      </c>
      <c r="F1210" s="1" t="str">
        <f>IF(COUNTIF(Comp1[Comparable '#1 Dates],Benchmark2[[#This Row],[Benchmark '#2 Dates]])=1,"Pass","Fail")</f>
        <v>Pass</v>
      </c>
      <c r="G1210" s="6">
        <f>IF(Benchmark2[[#This Row],[Comparable '#1 Date Check]]="Pass",INDEX(Comp1[Comparable '#1 Price],MATCH(Benchmark2[[#This Row],[Benchmark '#2 Dates]],Comp1[Comparable '#1 Dates],0)),"-")</f>
        <v>12</v>
      </c>
      <c r="H1210" s="1" t="str">
        <f>IF(COUNTIF(Comp2[Comparable '#2 Dates],Benchmark2[[#This Row],[Benchmark '#2 Dates]])=1,"Pass","Fail")</f>
        <v>Pass</v>
      </c>
      <c r="I1210" s="6">
        <f>IF(Benchmark2[[#This Row],[Comparable '#2 Date Check]]="Pass",INDEX(Comp2[Comparable '#2 Price],MATCH(Benchmark2[[#This Row],[Benchmark '#2 Dates]],Comp2[Comparable '#2 Dates],0)),"-")</f>
        <v>40.56</v>
      </c>
      <c r="J1210" s="1" t="str">
        <f>IF(COUNTIF(Comp3[Comparable '#3 Dates],Benchmark2[[#This Row],[Benchmark '#2 Dates]])=1,"Pass","Fail")</f>
        <v>Pass</v>
      </c>
      <c r="K1210" s="6">
        <f>IF(Benchmark2[[#This Row],[Comparable '#3 Date Check]]="Pass",INDEX(Comp3[Comparable '#3 Price],MATCH(Benchmark2[[#This Row],[Benchmark '#2 Dates]],Comp3[Comparable '#3 Dates],0)),"-")</f>
        <v>92.85</v>
      </c>
    </row>
    <row r="1211" spans="1:11">
      <c r="A1211" s="103">
        <v>45041</v>
      </c>
      <c r="B1211" s="104">
        <v>15363.529200000001</v>
      </c>
      <c r="C1211" s="4">
        <f t="shared" si="18"/>
        <v>-1.5704361287038747E-2</v>
      </c>
      <c r="D1211" s="1" t="str">
        <f>IF(COUNTIF(Target1[Target Dates],Benchmark2[[#This Row],[Benchmark '#2 Dates]])=1,"Pass","Fail")</f>
        <v>Pass</v>
      </c>
      <c r="E1211" s="6">
        <f>IF(Benchmark2[[#This Row],[Target Date Check]]="Pass",INDEX(Target1[Target Price],MATCH(Benchmark2[[#This Row],[Benchmark '#2 Dates]],Target1[Target Dates],0)),"-")</f>
        <v>37.79</v>
      </c>
      <c r="F1211" s="1" t="str">
        <f>IF(COUNTIF(Comp1[Comparable '#1 Dates],Benchmark2[[#This Row],[Benchmark '#2 Dates]])=1,"Pass","Fail")</f>
        <v>Pass</v>
      </c>
      <c r="G1211" s="6">
        <f>IF(Benchmark2[[#This Row],[Comparable '#1 Date Check]]="Pass",INDEX(Comp1[Comparable '#1 Price],MATCH(Benchmark2[[#This Row],[Benchmark '#2 Dates]],Comp1[Comparable '#1 Dates],0)),"-")</f>
        <v>12.18</v>
      </c>
      <c r="H1211" s="1" t="str">
        <f>IF(COUNTIF(Comp2[Comparable '#2 Dates],Benchmark2[[#This Row],[Benchmark '#2 Dates]])=1,"Pass","Fail")</f>
        <v>Pass</v>
      </c>
      <c r="I1211" s="6">
        <f>IF(Benchmark2[[#This Row],[Comparable '#2 Date Check]]="Pass",INDEX(Comp2[Comparable '#2 Price],MATCH(Benchmark2[[#This Row],[Benchmark '#2 Dates]],Comp2[Comparable '#2 Dates],0)),"-")</f>
        <v>40.58</v>
      </c>
      <c r="J1211" s="1" t="str">
        <f>IF(COUNTIF(Comp3[Comparable '#3 Dates],Benchmark2[[#This Row],[Benchmark '#2 Dates]])=1,"Pass","Fail")</f>
        <v>Pass</v>
      </c>
      <c r="K1211" s="6">
        <f>IF(Benchmark2[[#This Row],[Comparable '#3 Date Check]]="Pass",INDEX(Comp3[Comparable '#3 Price],MATCH(Benchmark2[[#This Row],[Benchmark '#2 Dates]],Comp3[Comparable '#3 Dates],0)),"-")</f>
        <v>91.76</v>
      </c>
    </row>
    <row r="1212" spans="1:11">
      <c r="A1212" s="103">
        <v>45042</v>
      </c>
      <c r="B1212" s="104">
        <v>15228.5779</v>
      </c>
      <c r="C1212" s="4">
        <f t="shared" si="18"/>
        <v>-8.8226793230113155E-3</v>
      </c>
      <c r="D1212" s="1" t="str">
        <f>IF(COUNTIF(Target1[Target Dates],Benchmark2[[#This Row],[Benchmark '#2 Dates]])=1,"Pass","Fail")</f>
        <v>Pass</v>
      </c>
      <c r="E1212" s="6">
        <f>IF(Benchmark2[[#This Row],[Target Date Check]]="Pass",INDEX(Target1[Target Price],MATCH(Benchmark2[[#This Row],[Benchmark '#2 Dates]],Target1[Target Dates],0)),"-")</f>
        <v>42.74</v>
      </c>
      <c r="F1212" s="1" t="str">
        <f>IF(COUNTIF(Comp1[Comparable '#1 Dates],Benchmark2[[#This Row],[Benchmark '#2 Dates]])=1,"Pass","Fail")</f>
        <v>Pass</v>
      </c>
      <c r="G1212" s="6">
        <f>IF(Benchmark2[[#This Row],[Comparable '#1 Date Check]]="Pass",INDEX(Comp1[Comparable '#1 Price],MATCH(Benchmark2[[#This Row],[Benchmark '#2 Dates]],Comp1[Comparable '#1 Dates],0)),"-")</f>
        <v>12.16</v>
      </c>
      <c r="H1212" s="1" t="str">
        <f>IF(COUNTIF(Comp2[Comparable '#2 Dates],Benchmark2[[#This Row],[Benchmark '#2 Dates]])=1,"Pass","Fail")</f>
        <v>Pass</v>
      </c>
      <c r="I1212" s="6">
        <f>IF(Benchmark2[[#This Row],[Comparable '#2 Date Check]]="Pass",INDEX(Comp2[Comparable '#2 Price],MATCH(Benchmark2[[#This Row],[Benchmark '#2 Dates]],Comp2[Comparable '#2 Dates],0)),"-")</f>
        <v>40.85</v>
      </c>
      <c r="J1212" s="1" t="str">
        <f>IF(COUNTIF(Comp3[Comparable '#3 Dates],Benchmark2[[#This Row],[Benchmark '#2 Dates]])=1,"Pass","Fail")</f>
        <v>Pass</v>
      </c>
      <c r="K1212" s="6">
        <f>IF(Benchmark2[[#This Row],[Comparable '#3 Date Check]]="Pass",INDEX(Comp3[Comparable '#3 Price],MATCH(Benchmark2[[#This Row],[Benchmark '#2 Dates]],Comp3[Comparable '#3 Dates],0)),"-")</f>
        <v>92.4</v>
      </c>
    </row>
    <row r="1213" spans="1:11">
      <c r="A1213" s="103">
        <v>45043</v>
      </c>
      <c r="B1213" s="104">
        <v>15431.6423</v>
      </c>
      <c r="C1213" s="4">
        <f t="shared" si="18"/>
        <v>1.3246308597005606E-2</v>
      </c>
      <c r="D1213" s="1" t="str">
        <f>IF(COUNTIF(Target1[Target Dates],Benchmark2[[#This Row],[Benchmark '#2 Dates]])=1,"Pass","Fail")</f>
        <v>Pass</v>
      </c>
      <c r="E1213" s="6">
        <f>IF(Benchmark2[[#This Row],[Target Date Check]]="Pass",INDEX(Target1[Target Price],MATCH(Benchmark2[[#This Row],[Benchmark '#2 Dates]],Target1[Target Dates],0)),"-")</f>
        <v>42.52</v>
      </c>
      <c r="F1213" s="1" t="str">
        <f>IF(COUNTIF(Comp1[Comparable '#1 Dates],Benchmark2[[#This Row],[Benchmark '#2 Dates]])=1,"Pass","Fail")</f>
        <v>Pass</v>
      </c>
      <c r="G1213" s="6">
        <f>IF(Benchmark2[[#This Row],[Comparable '#1 Date Check]]="Pass",INDEX(Comp1[Comparable '#1 Price],MATCH(Benchmark2[[#This Row],[Benchmark '#2 Dates]],Comp1[Comparable '#1 Dates],0)),"-")</f>
        <v>12.28</v>
      </c>
      <c r="H1213" s="1" t="str">
        <f>IF(COUNTIF(Comp2[Comparable '#2 Dates],Benchmark2[[#This Row],[Benchmark '#2 Dates]])=1,"Pass","Fail")</f>
        <v>Pass</v>
      </c>
      <c r="I1213" s="6">
        <f>IF(Benchmark2[[#This Row],[Comparable '#2 Date Check]]="Pass",INDEX(Comp2[Comparable '#2 Price],MATCH(Benchmark2[[#This Row],[Benchmark '#2 Dates]],Comp2[Comparable '#2 Dates],0)),"-")</f>
        <v>40.630000000000003</v>
      </c>
      <c r="J1213" s="1" t="str">
        <f>IF(COUNTIF(Comp3[Comparable '#3 Dates],Benchmark2[[#This Row],[Benchmark '#2 Dates]])=1,"Pass","Fail")</f>
        <v>Pass</v>
      </c>
      <c r="K1213" s="6">
        <f>IF(Benchmark2[[#This Row],[Comparable '#3 Date Check]]="Pass",INDEX(Comp3[Comparable '#3 Price],MATCH(Benchmark2[[#This Row],[Benchmark '#2 Dates]],Comp3[Comparable '#3 Dates],0)),"-")</f>
        <v>89.98</v>
      </c>
    </row>
    <row r="1214" spans="1:11">
      <c r="A1214" s="103">
        <v>45044</v>
      </c>
      <c r="B1214" s="104">
        <v>15545.875</v>
      </c>
      <c r="C1214" s="4">
        <f t="shared" si="18"/>
        <v>7.3752338957154924E-3</v>
      </c>
      <c r="D1214" s="1" t="str">
        <f>IF(COUNTIF(Target1[Target Dates],Benchmark2[[#This Row],[Benchmark '#2 Dates]])=1,"Pass","Fail")</f>
        <v>Pass</v>
      </c>
      <c r="E1214" s="6">
        <f>IF(Benchmark2[[#This Row],[Target Date Check]]="Pass",INDEX(Target1[Target Price],MATCH(Benchmark2[[#This Row],[Benchmark '#2 Dates]],Target1[Target Dates],0)),"-")</f>
        <v>42.96</v>
      </c>
      <c r="F1214" s="1" t="str">
        <f>IF(COUNTIF(Comp1[Comparable '#1 Dates],Benchmark2[[#This Row],[Benchmark '#2 Dates]])=1,"Pass","Fail")</f>
        <v>Pass</v>
      </c>
      <c r="G1214" s="6">
        <f>IF(Benchmark2[[#This Row],[Comparable '#1 Date Check]]="Pass",INDEX(Comp1[Comparable '#1 Price],MATCH(Benchmark2[[#This Row],[Benchmark '#2 Dates]],Comp1[Comparable '#1 Dates],0)),"-")</f>
        <v>12.39</v>
      </c>
      <c r="H1214" s="1" t="str">
        <f>IF(COUNTIF(Comp2[Comparable '#2 Dates],Benchmark2[[#This Row],[Benchmark '#2 Dates]])=1,"Pass","Fail")</f>
        <v>Pass</v>
      </c>
      <c r="I1214" s="6">
        <f>IF(Benchmark2[[#This Row],[Comparable '#2 Date Check]]="Pass",INDEX(Comp2[Comparable '#2 Price],MATCH(Benchmark2[[#This Row],[Benchmark '#2 Dates]],Comp2[Comparable '#2 Dates],0)),"-")</f>
        <v>40.57</v>
      </c>
      <c r="J1214" s="1" t="str">
        <f>IF(COUNTIF(Comp3[Comparable '#3 Dates],Benchmark2[[#This Row],[Benchmark '#2 Dates]])=1,"Pass","Fail")</f>
        <v>Pass</v>
      </c>
      <c r="K1214" s="6">
        <f>IF(Benchmark2[[#This Row],[Comparable '#3 Date Check]]="Pass",INDEX(Comp3[Comparable '#3 Price],MATCH(Benchmark2[[#This Row],[Benchmark '#2 Dates]],Comp3[Comparable '#3 Dates],0)),"-")</f>
        <v>88</v>
      </c>
    </row>
    <row r="1215" spans="1:11">
      <c r="A1215" s="103">
        <v>45047</v>
      </c>
      <c r="B1215" s="104">
        <v>15535.8855</v>
      </c>
      <c r="C1215" s="4">
        <f t="shared" si="18"/>
        <v>-6.4278857974931088E-4</v>
      </c>
      <c r="D1215" s="1" t="str">
        <f>IF(COUNTIF(Target1[Target Dates],Benchmark2[[#This Row],[Benchmark '#2 Dates]])=1,"Pass","Fail")</f>
        <v>Pass</v>
      </c>
      <c r="E1215" s="6">
        <f>IF(Benchmark2[[#This Row],[Target Date Check]]="Pass",INDEX(Target1[Target Price],MATCH(Benchmark2[[#This Row],[Benchmark '#2 Dates]],Target1[Target Dates],0)),"-")</f>
        <v>42.83</v>
      </c>
      <c r="F1215" s="1" t="str">
        <f>IF(COUNTIF(Comp1[Comparable '#1 Dates],Benchmark2[[#This Row],[Benchmark '#2 Dates]])=1,"Pass","Fail")</f>
        <v>Pass</v>
      </c>
      <c r="G1215" s="6">
        <f>IF(Benchmark2[[#This Row],[Comparable '#1 Date Check]]="Pass",INDEX(Comp1[Comparable '#1 Price],MATCH(Benchmark2[[#This Row],[Benchmark '#2 Dates]],Comp1[Comparable '#1 Dates],0)),"-")</f>
        <v>12.41</v>
      </c>
      <c r="H1215" s="1" t="str">
        <f>IF(COUNTIF(Comp2[Comparable '#2 Dates],Benchmark2[[#This Row],[Benchmark '#2 Dates]])=1,"Pass","Fail")</f>
        <v>Pass</v>
      </c>
      <c r="I1215" s="6">
        <f>IF(Benchmark2[[#This Row],[Comparable '#2 Date Check]]="Pass",INDEX(Comp2[Comparable '#2 Price],MATCH(Benchmark2[[#This Row],[Benchmark '#2 Dates]],Comp2[Comparable '#2 Dates],0)),"-")</f>
        <v>40.82</v>
      </c>
      <c r="J1215" s="1" t="str">
        <f>IF(COUNTIF(Comp3[Comparable '#3 Dates],Benchmark2[[#This Row],[Benchmark '#2 Dates]])=1,"Pass","Fail")</f>
        <v>Pass</v>
      </c>
      <c r="K1215" s="6">
        <f>IF(Benchmark2[[#This Row],[Comparable '#3 Date Check]]="Pass",INDEX(Comp3[Comparable '#3 Price],MATCH(Benchmark2[[#This Row],[Benchmark '#2 Dates]],Comp3[Comparable '#3 Dates],0)),"-")</f>
        <v>90.07</v>
      </c>
    </row>
    <row r="1216" spans="1:11">
      <c r="A1216" s="103">
        <v>45048</v>
      </c>
      <c r="B1216" s="104">
        <v>15314.5671</v>
      </c>
      <c r="C1216" s="4">
        <f t="shared" si="18"/>
        <v>-1.4348068062656561E-2</v>
      </c>
      <c r="D1216" s="1" t="str">
        <f>IF(COUNTIF(Target1[Target Dates],Benchmark2[[#This Row],[Benchmark '#2 Dates]])=1,"Pass","Fail")</f>
        <v>Pass</v>
      </c>
      <c r="E1216" s="6">
        <f>IF(Benchmark2[[#This Row],[Target Date Check]]="Pass",INDEX(Target1[Target Price],MATCH(Benchmark2[[#This Row],[Benchmark '#2 Dates]],Target1[Target Dates],0)),"-")</f>
        <v>41.29</v>
      </c>
      <c r="F1216" s="1" t="str">
        <f>IF(COUNTIF(Comp1[Comparable '#1 Dates],Benchmark2[[#This Row],[Benchmark '#2 Dates]])=1,"Pass","Fail")</f>
        <v>Pass</v>
      </c>
      <c r="G1216" s="6">
        <f>IF(Benchmark2[[#This Row],[Comparable '#1 Date Check]]="Pass",INDEX(Comp1[Comparable '#1 Price],MATCH(Benchmark2[[#This Row],[Benchmark '#2 Dates]],Comp1[Comparable '#1 Dates],0)),"-")</f>
        <v>11.97</v>
      </c>
      <c r="H1216" s="1" t="str">
        <f>IF(COUNTIF(Comp2[Comparable '#2 Dates],Benchmark2[[#This Row],[Benchmark '#2 Dates]])=1,"Pass","Fail")</f>
        <v>Pass</v>
      </c>
      <c r="I1216" s="6">
        <f>IF(Benchmark2[[#This Row],[Comparable '#2 Date Check]]="Pass",INDEX(Comp2[Comparable '#2 Price],MATCH(Benchmark2[[#This Row],[Benchmark '#2 Dates]],Comp2[Comparable '#2 Dates],0)),"-")</f>
        <v>38.340000000000003</v>
      </c>
      <c r="J1216" s="1" t="str">
        <f>IF(COUNTIF(Comp3[Comparable '#3 Dates],Benchmark2[[#This Row],[Benchmark '#2 Dates]])=1,"Pass","Fail")</f>
        <v>Pass</v>
      </c>
      <c r="K1216" s="6">
        <f>IF(Benchmark2[[#This Row],[Comparable '#3 Date Check]]="Pass",INDEX(Comp3[Comparable '#3 Price],MATCH(Benchmark2[[#This Row],[Benchmark '#2 Dates]],Comp3[Comparable '#3 Dates],0)),"-")</f>
        <v>82.58</v>
      </c>
    </row>
    <row r="1217" spans="1:11">
      <c r="A1217" s="103">
        <v>45049</v>
      </c>
      <c r="B1217" s="104">
        <v>15233.851500000001</v>
      </c>
      <c r="C1217" s="4">
        <f t="shared" si="18"/>
        <v>-5.2844495089231554E-3</v>
      </c>
      <c r="D1217" s="1" t="str">
        <f>IF(COUNTIF(Target1[Target Dates],Benchmark2[[#This Row],[Benchmark '#2 Dates]])=1,"Pass","Fail")</f>
        <v>Pass</v>
      </c>
      <c r="E1217" s="6">
        <f>IF(Benchmark2[[#This Row],[Target Date Check]]="Pass",INDEX(Target1[Target Price],MATCH(Benchmark2[[#This Row],[Benchmark '#2 Dates]],Target1[Target Dates],0)),"-")</f>
        <v>41.31</v>
      </c>
      <c r="F1217" s="1" t="str">
        <f>IF(COUNTIF(Comp1[Comparable '#1 Dates],Benchmark2[[#This Row],[Benchmark '#2 Dates]])=1,"Pass","Fail")</f>
        <v>Pass</v>
      </c>
      <c r="G1217" s="6">
        <f>IF(Benchmark2[[#This Row],[Comparable '#1 Date Check]]="Pass",INDEX(Comp1[Comparable '#1 Price],MATCH(Benchmark2[[#This Row],[Benchmark '#2 Dates]],Comp1[Comparable '#1 Dates],0)),"-")</f>
        <v>11.89</v>
      </c>
      <c r="H1217" s="1" t="str">
        <f>IF(COUNTIF(Comp2[Comparable '#2 Dates],Benchmark2[[#This Row],[Benchmark '#2 Dates]])=1,"Pass","Fail")</f>
        <v>Pass</v>
      </c>
      <c r="I1217" s="6">
        <f>IF(Benchmark2[[#This Row],[Comparable '#2 Date Check]]="Pass",INDEX(Comp2[Comparable '#2 Price],MATCH(Benchmark2[[#This Row],[Benchmark '#2 Dates]],Comp2[Comparable '#2 Dates],0)),"-")</f>
        <v>42.64</v>
      </c>
      <c r="J1217" s="1" t="str">
        <f>IF(COUNTIF(Comp3[Comparable '#3 Dates],Benchmark2[[#This Row],[Benchmark '#2 Dates]])=1,"Pass","Fail")</f>
        <v>Pass</v>
      </c>
      <c r="K1217" s="6">
        <f>IF(Benchmark2[[#This Row],[Comparable '#3 Date Check]]="Pass",INDEX(Comp3[Comparable '#3 Price],MATCH(Benchmark2[[#This Row],[Benchmark '#2 Dates]],Comp3[Comparable '#3 Dates],0)),"-")</f>
        <v>82.46</v>
      </c>
    </row>
    <row r="1218" spans="1:11">
      <c r="A1218" s="103">
        <v>45050</v>
      </c>
      <c r="B1218" s="104">
        <v>15117.6718</v>
      </c>
      <c r="C1218" s="4">
        <f t="shared" ref="C1218:C1255" si="19">IFERROR(IF(B1218="",NA(),LN(B1218/B1217)),"-")</f>
        <v>-7.655646557288228E-3</v>
      </c>
      <c r="D1218" s="1" t="str">
        <f>IF(COUNTIF(Target1[Target Dates],Benchmark2[[#This Row],[Benchmark '#2 Dates]])=1,"Pass","Fail")</f>
        <v>Pass</v>
      </c>
      <c r="E1218" s="6">
        <f>IF(Benchmark2[[#This Row],[Target Date Check]]="Pass",INDEX(Target1[Target Price],MATCH(Benchmark2[[#This Row],[Benchmark '#2 Dates]],Target1[Target Dates],0)),"-")</f>
        <v>40.72</v>
      </c>
      <c r="F1218" s="1" t="str">
        <f>IF(COUNTIF(Comp1[Comparable '#1 Dates],Benchmark2[[#This Row],[Benchmark '#2 Dates]])=1,"Pass","Fail")</f>
        <v>Pass</v>
      </c>
      <c r="G1218" s="6">
        <f>IF(Benchmark2[[#This Row],[Comparable '#1 Date Check]]="Pass",INDEX(Comp1[Comparable '#1 Price],MATCH(Benchmark2[[#This Row],[Benchmark '#2 Dates]],Comp1[Comparable '#1 Dates],0)),"-")</f>
        <v>11.82</v>
      </c>
      <c r="H1218" s="1" t="str">
        <f>IF(COUNTIF(Comp2[Comparable '#2 Dates],Benchmark2[[#This Row],[Benchmark '#2 Dates]])=1,"Pass","Fail")</f>
        <v>Pass</v>
      </c>
      <c r="I1218" s="6">
        <f>IF(Benchmark2[[#This Row],[Comparable '#2 Date Check]]="Pass",INDEX(Comp2[Comparable '#2 Price],MATCH(Benchmark2[[#This Row],[Benchmark '#2 Dates]],Comp2[Comparable '#2 Dates],0)),"-")</f>
        <v>42.1</v>
      </c>
      <c r="J1218" s="1" t="str">
        <f>IF(COUNTIF(Comp3[Comparable '#3 Dates],Benchmark2[[#This Row],[Benchmark '#2 Dates]])=1,"Pass","Fail")</f>
        <v>Pass</v>
      </c>
      <c r="K1218" s="6">
        <f>IF(Benchmark2[[#This Row],[Comparable '#3 Date Check]]="Pass",INDEX(Comp3[Comparable '#3 Price],MATCH(Benchmark2[[#This Row],[Benchmark '#2 Dates]],Comp3[Comparable '#3 Dates],0)),"-")</f>
        <v>81.88</v>
      </c>
    </row>
    <row r="1219" spans="1:11">
      <c r="A1219" s="103">
        <v>45051</v>
      </c>
      <c r="B1219" s="104">
        <v>15380.871800000001</v>
      </c>
      <c r="C1219" s="4">
        <f t="shared" si="19"/>
        <v>1.7260269062682087E-2</v>
      </c>
      <c r="D1219" s="1" t="str">
        <f>IF(COUNTIF(Target1[Target Dates],Benchmark2[[#This Row],[Benchmark '#2 Dates]])=1,"Pass","Fail")</f>
        <v>Pass</v>
      </c>
      <c r="E1219" s="6">
        <f>IF(Benchmark2[[#This Row],[Target Date Check]]="Pass",INDEX(Target1[Target Price],MATCH(Benchmark2[[#This Row],[Benchmark '#2 Dates]],Target1[Target Dates],0)),"-")</f>
        <v>41.18</v>
      </c>
      <c r="F1219" s="1" t="str">
        <f>IF(COUNTIF(Comp1[Comparable '#1 Dates],Benchmark2[[#This Row],[Benchmark '#2 Dates]])=1,"Pass","Fail")</f>
        <v>Pass</v>
      </c>
      <c r="G1219" s="6">
        <f>IF(Benchmark2[[#This Row],[Comparable '#1 Date Check]]="Pass",INDEX(Comp1[Comparable '#1 Price],MATCH(Benchmark2[[#This Row],[Benchmark '#2 Dates]],Comp1[Comparable '#1 Dates],0)),"-")</f>
        <v>12.32</v>
      </c>
      <c r="H1219" s="1" t="str">
        <f>IF(COUNTIF(Comp2[Comparable '#2 Dates],Benchmark2[[#This Row],[Benchmark '#2 Dates]])=1,"Pass","Fail")</f>
        <v>Pass</v>
      </c>
      <c r="I1219" s="6">
        <f>IF(Benchmark2[[#This Row],[Comparable '#2 Date Check]]="Pass",INDEX(Comp2[Comparable '#2 Price],MATCH(Benchmark2[[#This Row],[Benchmark '#2 Dates]],Comp2[Comparable '#2 Dates],0)),"-")</f>
        <v>41.65</v>
      </c>
      <c r="J1219" s="1" t="str">
        <f>IF(COUNTIF(Comp3[Comparable '#3 Dates],Benchmark2[[#This Row],[Benchmark '#2 Dates]])=1,"Pass","Fail")</f>
        <v>Pass</v>
      </c>
      <c r="K1219" s="6">
        <f>IF(Benchmark2[[#This Row],[Comparable '#3 Date Check]]="Pass",INDEX(Comp3[Comparable '#3 Price],MATCH(Benchmark2[[#This Row],[Benchmark '#2 Dates]],Comp3[Comparable '#3 Dates],0)),"-")</f>
        <v>82.11</v>
      </c>
    </row>
    <row r="1220" spans="1:11">
      <c r="A1220" s="103">
        <v>45054</v>
      </c>
      <c r="B1220" s="104">
        <v>15391.2711</v>
      </c>
      <c r="C1220" s="4">
        <f t="shared" si="19"/>
        <v>6.7589055657798396E-4</v>
      </c>
      <c r="D1220" s="1" t="str">
        <f>IF(COUNTIF(Target1[Target Dates],Benchmark2[[#This Row],[Benchmark '#2 Dates]])=1,"Pass","Fail")</f>
        <v>Pass</v>
      </c>
      <c r="E1220" s="6">
        <f>IF(Benchmark2[[#This Row],[Target Date Check]]="Pass",INDEX(Target1[Target Price],MATCH(Benchmark2[[#This Row],[Benchmark '#2 Dates]],Target1[Target Dates],0)),"-")</f>
        <v>41.26</v>
      </c>
      <c r="F1220" s="1" t="str">
        <f>IF(COUNTIF(Comp1[Comparable '#1 Dates],Benchmark2[[#This Row],[Benchmark '#2 Dates]])=1,"Pass","Fail")</f>
        <v>Pass</v>
      </c>
      <c r="G1220" s="6">
        <f>IF(Benchmark2[[#This Row],[Comparable '#1 Date Check]]="Pass",INDEX(Comp1[Comparable '#1 Price],MATCH(Benchmark2[[#This Row],[Benchmark '#2 Dates]],Comp1[Comparable '#1 Dates],0)),"-")</f>
        <v>11.95</v>
      </c>
      <c r="H1220" s="1" t="str">
        <f>IF(COUNTIF(Comp2[Comparable '#2 Dates],Benchmark2[[#This Row],[Benchmark '#2 Dates]])=1,"Pass","Fail")</f>
        <v>Pass</v>
      </c>
      <c r="I1220" s="6">
        <f>IF(Benchmark2[[#This Row],[Comparable '#2 Date Check]]="Pass",INDEX(Comp2[Comparable '#2 Price],MATCH(Benchmark2[[#This Row],[Benchmark '#2 Dates]],Comp2[Comparable '#2 Dates],0)),"-")</f>
        <v>41.5</v>
      </c>
      <c r="J1220" s="1" t="str">
        <f>IF(COUNTIF(Comp3[Comparable '#3 Dates],Benchmark2[[#This Row],[Benchmark '#2 Dates]])=1,"Pass","Fail")</f>
        <v>Pass</v>
      </c>
      <c r="K1220" s="6">
        <f>IF(Benchmark2[[#This Row],[Comparable '#3 Date Check]]="Pass",INDEX(Comp3[Comparable '#3 Price],MATCH(Benchmark2[[#This Row],[Benchmark '#2 Dates]],Comp3[Comparable '#3 Dates],0)),"-")</f>
        <v>83.11</v>
      </c>
    </row>
    <row r="1221" spans="1:11">
      <c r="A1221" s="103">
        <v>45055</v>
      </c>
      <c r="B1221" s="104">
        <v>15352.8127</v>
      </c>
      <c r="C1221" s="4">
        <f t="shared" si="19"/>
        <v>-2.5018420005700325E-3</v>
      </c>
      <c r="D1221" s="1" t="str">
        <f>IF(COUNTIF(Target1[Target Dates],Benchmark2[[#This Row],[Benchmark '#2 Dates]])=1,"Pass","Fail")</f>
        <v>Pass</v>
      </c>
      <c r="E1221" s="6">
        <f>IF(Benchmark2[[#This Row],[Target Date Check]]="Pass",INDEX(Target1[Target Price],MATCH(Benchmark2[[#This Row],[Benchmark '#2 Dates]],Target1[Target Dates],0)),"-")</f>
        <v>41.27</v>
      </c>
      <c r="F1221" s="1" t="str">
        <f>IF(COUNTIF(Comp1[Comparable '#1 Dates],Benchmark2[[#This Row],[Benchmark '#2 Dates]])=1,"Pass","Fail")</f>
        <v>Pass</v>
      </c>
      <c r="G1221" s="6">
        <f>IF(Benchmark2[[#This Row],[Comparable '#1 Date Check]]="Pass",INDEX(Comp1[Comparable '#1 Price],MATCH(Benchmark2[[#This Row],[Benchmark '#2 Dates]],Comp1[Comparable '#1 Dates],0)),"-")</f>
        <v>11.93</v>
      </c>
      <c r="H1221" s="1" t="str">
        <f>IF(COUNTIF(Comp2[Comparable '#2 Dates],Benchmark2[[#This Row],[Benchmark '#2 Dates]])=1,"Pass","Fail")</f>
        <v>Pass</v>
      </c>
      <c r="I1221" s="6">
        <f>IF(Benchmark2[[#This Row],[Comparable '#2 Date Check]]="Pass",INDEX(Comp2[Comparable '#2 Price],MATCH(Benchmark2[[#This Row],[Benchmark '#2 Dates]],Comp2[Comparable '#2 Dates],0)),"-")</f>
        <v>41.31</v>
      </c>
      <c r="J1221" s="1" t="str">
        <f>IF(COUNTIF(Comp3[Comparable '#3 Dates],Benchmark2[[#This Row],[Benchmark '#2 Dates]])=1,"Pass","Fail")</f>
        <v>Pass</v>
      </c>
      <c r="K1221" s="6">
        <f>IF(Benchmark2[[#This Row],[Comparable '#3 Date Check]]="Pass",INDEX(Comp3[Comparable '#3 Price],MATCH(Benchmark2[[#This Row],[Benchmark '#2 Dates]],Comp3[Comparable '#3 Dates],0)),"-")</f>
        <v>81.31</v>
      </c>
    </row>
    <row r="1222" spans="1:11">
      <c r="A1222" s="103">
        <v>45056</v>
      </c>
      <c r="B1222" s="104">
        <v>15349.167799999999</v>
      </c>
      <c r="C1222" s="4">
        <f t="shared" si="19"/>
        <v>-2.3743745242266027E-4</v>
      </c>
      <c r="D1222" s="1" t="str">
        <f>IF(COUNTIF(Target1[Target Dates],Benchmark2[[#This Row],[Benchmark '#2 Dates]])=1,"Pass","Fail")</f>
        <v>Pass</v>
      </c>
      <c r="E1222" s="6">
        <f>IF(Benchmark2[[#This Row],[Target Date Check]]="Pass",INDEX(Target1[Target Price],MATCH(Benchmark2[[#This Row],[Benchmark '#2 Dates]],Target1[Target Dates],0)),"-")</f>
        <v>41.53</v>
      </c>
      <c r="F1222" s="1" t="str">
        <f>IF(COUNTIF(Comp1[Comparable '#1 Dates],Benchmark2[[#This Row],[Benchmark '#2 Dates]])=1,"Pass","Fail")</f>
        <v>Pass</v>
      </c>
      <c r="G1222" s="6">
        <f>IF(Benchmark2[[#This Row],[Comparable '#1 Date Check]]="Pass",INDEX(Comp1[Comparable '#1 Price],MATCH(Benchmark2[[#This Row],[Benchmark '#2 Dates]],Comp1[Comparable '#1 Dates],0)),"-")</f>
        <v>12</v>
      </c>
      <c r="H1222" s="1" t="str">
        <f>IF(COUNTIF(Comp2[Comparable '#2 Dates],Benchmark2[[#This Row],[Benchmark '#2 Dates]])=1,"Pass","Fail")</f>
        <v>Pass</v>
      </c>
      <c r="I1222" s="6">
        <f>IF(Benchmark2[[#This Row],[Comparable '#2 Date Check]]="Pass",INDEX(Comp2[Comparable '#2 Price],MATCH(Benchmark2[[#This Row],[Benchmark '#2 Dates]],Comp2[Comparable '#2 Dates],0)),"-")</f>
        <v>41.69</v>
      </c>
      <c r="J1222" s="1" t="str">
        <f>IF(COUNTIF(Comp3[Comparable '#3 Dates],Benchmark2[[#This Row],[Benchmark '#2 Dates]])=1,"Pass","Fail")</f>
        <v>Pass</v>
      </c>
      <c r="K1222" s="6">
        <f>IF(Benchmark2[[#This Row],[Comparable '#3 Date Check]]="Pass",INDEX(Comp3[Comparable '#3 Price],MATCH(Benchmark2[[#This Row],[Benchmark '#2 Dates]],Comp3[Comparable '#3 Dates],0)),"-")</f>
        <v>78.94</v>
      </c>
    </row>
    <row r="1223" spans="1:11">
      <c r="A1223" s="103">
        <v>45057</v>
      </c>
      <c r="B1223" s="104">
        <v>15263.07</v>
      </c>
      <c r="C1223" s="4">
        <f t="shared" si="19"/>
        <v>-5.62507240299871E-3</v>
      </c>
      <c r="D1223" s="1" t="str">
        <f>IF(COUNTIF(Target1[Target Dates],Benchmark2[[#This Row],[Benchmark '#2 Dates]])=1,"Pass","Fail")</f>
        <v>Pass</v>
      </c>
      <c r="E1223" s="6">
        <f>IF(Benchmark2[[#This Row],[Target Date Check]]="Pass",INDEX(Target1[Target Price],MATCH(Benchmark2[[#This Row],[Benchmark '#2 Dates]],Target1[Target Dates],0)),"-")</f>
        <v>42.11</v>
      </c>
      <c r="F1223" s="1" t="str">
        <f>IF(COUNTIF(Comp1[Comparable '#1 Dates],Benchmark2[[#This Row],[Benchmark '#2 Dates]])=1,"Pass","Fail")</f>
        <v>Pass</v>
      </c>
      <c r="G1223" s="6">
        <f>IF(Benchmark2[[#This Row],[Comparable '#1 Date Check]]="Pass",INDEX(Comp1[Comparable '#1 Price],MATCH(Benchmark2[[#This Row],[Benchmark '#2 Dates]],Comp1[Comparable '#1 Dates],0)),"-")</f>
        <v>11.99</v>
      </c>
      <c r="H1223" s="1" t="str">
        <f>IF(COUNTIF(Comp2[Comparable '#2 Dates],Benchmark2[[#This Row],[Benchmark '#2 Dates]])=1,"Pass","Fail")</f>
        <v>Pass</v>
      </c>
      <c r="I1223" s="6">
        <f>IF(Benchmark2[[#This Row],[Comparable '#2 Date Check]]="Pass",INDEX(Comp2[Comparable '#2 Price],MATCH(Benchmark2[[#This Row],[Benchmark '#2 Dates]],Comp2[Comparable '#2 Dates],0)),"-")</f>
        <v>41.23</v>
      </c>
      <c r="J1223" s="1" t="str">
        <f>IF(COUNTIF(Comp3[Comparable '#3 Dates],Benchmark2[[#This Row],[Benchmark '#2 Dates]])=1,"Pass","Fail")</f>
        <v>Pass</v>
      </c>
      <c r="K1223" s="6">
        <f>IF(Benchmark2[[#This Row],[Comparable '#3 Date Check]]="Pass",INDEX(Comp3[Comparable '#3 Price],MATCH(Benchmark2[[#This Row],[Benchmark '#2 Dates]],Comp3[Comparable '#3 Dates],0)),"-")</f>
        <v>80.12</v>
      </c>
    </row>
    <row r="1224" spans="1:11">
      <c r="A1224" s="103">
        <v>45058</v>
      </c>
      <c r="B1224" s="104">
        <v>15246.3634</v>
      </c>
      <c r="C1224" s="4">
        <f t="shared" si="19"/>
        <v>-1.0951761345944725E-3</v>
      </c>
      <c r="D1224" s="1" t="str">
        <f>IF(COUNTIF(Target1[Target Dates],Benchmark2[[#This Row],[Benchmark '#2 Dates]])=1,"Pass","Fail")</f>
        <v>Pass</v>
      </c>
      <c r="E1224" s="6">
        <f>IF(Benchmark2[[#This Row],[Target Date Check]]="Pass",INDEX(Target1[Target Price],MATCH(Benchmark2[[#This Row],[Benchmark '#2 Dates]],Target1[Target Dates],0)),"-")</f>
        <v>41.9</v>
      </c>
      <c r="F1224" s="1" t="str">
        <f>IF(COUNTIF(Comp1[Comparable '#1 Dates],Benchmark2[[#This Row],[Benchmark '#2 Dates]])=1,"Pass","Fail")</f>
        <v>Pass</v>
      </c>
      <c r="G1224" s="6">
        <f>IF(Benchmark2[[#This Row],[Comparable '#1 Date Check]]="Pass",INDEX(Comp1[Comparable '#1 Price],MATCH(Benchmark2[[#This Row],[Benchmark '#2 Dates]],Comp1[Comparable '#1 Dates],0)),"-")</f>
        <v>12.01</v>
      </c>
      <c r="H1224" s="1" t="str">
        <f>IF(COUNTIF(Comp2[Comparable '#2 Dates],Benchmark2[[#This Row],[Benchmark '#2 Dates]])=1,"Pass","Fail")</f>
        <v>Pass</v>
      </c>
      <c r="I1224" s="6">
        <f>IF(Benchmark2[[#This Row],[Comparable '#2 Date Check]]="Pass",INDEX(Comp2[Comparable '#2 Price],MATCH(Benchmark2[[#This Row],[Benchmark '#2 Dates]],Comp2[Comparable '#2 Dates],0)),"-")</f>
        <v>41.15</v>
      </c>
      <c r="J1224" s="1" t="str">
        <f>IF(COUNTIF(Comp3[Comparable '#3 Dates],Benchmark2[[#This Row],[Benchmark '#2 Dates]])=1,"Pass","Fail")</f>
        <v>Pass</v>
      </c>
      <c r="K1224" s="6">
        <f>IF(Benchmark2[[#This Row],[Comparable '#3 Date Check]]="Pass",INDEX(Comp3[Comparable '#3 Price],MATCH(Benchmark2[[#This Row],[Benchmark '#2 Dates]],Comp3[Comparable '#3 Dates],0)),"-")</f>
        <v>80.319999999999993</v>
      </c>
    </row>
    <row r="1225" spans="1:11">
      <c r="A1225" s="103">
        <v>45061</v>
      </c>
      <c r="B1225" s="104">
        <v>15322.556500000001</v>
      </c>
      <c r="C1225" s="4">
        <f t="shared" si="19"/>
        <v>4.9850147165656057E-3</v>
      </c>
      <c r="D1225" s="1" t="str">
        <f>IF(COUNTIF(Target1[Target Dates],Benchmark2[[#This Row],[Benchmark '#2 Dates]])=1,"Pass","Fail")</f>
        <v>Pass</v>
      </c>
      <c r="E1225" s="6">
        <f>IF(Benchmark2[[#This Row],[Target Date Check]]="Pass",INDEX(Target1[Target Price],MATCH(Benchmark2[[#This Row],[Benchmark '#2 Dates]],Target1[Target Dates],0)),"-")</f>
        <v>42.29</v>
      </c>
      <c r="F1225" s="1" t="str">
        <f>IF(COUNTIF(Comp1[Comparable '#1 Dates],Benchmark2[[#This Row],[Benchmark '#2 Dates]])=1,"Pass","Fail")</f>
        <v>Pass</v>
      </c>
      <c r="G1225" s="6">
        <f>IF(Benchmark2[[#This Row],[Comparable '#1 Date Check]]="Pass",INDEX(Comp1[Comparable '#1 Price],MATCH(Benchmark2[[#This Row],[Benchmark '#2 Dates]],Comp1[Comparable '#1 Dates],0)),"-")</f>
        <v>11.99</v>
      </c>
      <c r="H1225" s="1" t="str">
        <f>IF(COUNTIF(Comp2[Comparable '#2 Dates],Benchmark2[[#This Row],[Benchmark '#2 Dates]])=1,"Pass","Fail")</f>
        <v>Pass</v>
      </c>
      <c r="I1225" s="6">
        <f>IF(Benchmark2[[#This Row],[Comparable '#2 Date Check]]="Pass",INDEX(Comp2[Comparable '#2 Price],MATCH(Benchmark2[[#This Row],[Benchmark '#2 Dates]],Comp2[Comparable '#2 Dates],0)),"-")</f>
        <v>40.5</v>
      </c>
      <c r="J1225" s="1" t="str">
        <f>IF(COUNTIF(Comp3[Comparable '#3 Dates],Benchmark2[[#This Row],[Benchmark '#2 Dates]])=1,"Pass","Fail")</f>
        <v>Pass</v>
      </c>
      <c r="K1225" s="6">
        <f>IF(Benchmark2[[#This Row],[Comparable '#3 Date Check]]="Pass",INDEX(Comp3[Comparable '#3 Price],MATCH(Benchmark2[[#This Row],[Benchmark '#2 Dates]],Comp3[Comparable '#3 Dates],0)),"-")</f>
        <v>80.75</v>
      </c>
    </row>
    <row r="1226" spans="1:11">
      <c r="A1226" s="103">
        <v>45062</v>
      </c>
      <c r="B1226" s="104">
        <v>15129.2526</v>
      </c>
      <c r="C1226" s="4">
        <f t="shared" si="19"/>
        <v>-1.269589572459875E-2</v>
      </c>
      <c r="D1226" s="1" t="str">
        <f>IF(COUNTIF(Target1[Target Dates],Benchmark2[[#This Row],[Benchmark '#2 Dates]])=1,"Pass","Fail")</f>
        <v>Pass</v>
      </c>
      <c r="E1226" s="6">
        <f>IF(Benchmark2[[#This Row],[Target Date Check]]="Pass",INDEX(Target1[Target Price],MATCH(Benchmark2[[#This Row],[Benchmark '#2 Dates]],Target1[Target Dates],0)),"-")</f>
        <v>41.91</v>
      </c>
      <c r="F1226" s="1" t="str">
        <f>IF(COUNTIF(Comp1[Comparable '#1 Dates],Benchmark2[[#This Row],[Benchmark '#2 Dates]])=1,"Pass","Fail")</f>
        <v>Pass</v>
      </c>
      <c r="G1226" s="6">
        <f>IF(Benchmark2[[#This Row],[Comparable '#1 Date Check]]="Pass",INDEX(Comp1[Comparable '#1 Price],MATCH(Benchmark2[[#This Row],[Benchmark '#2 Dates]],Comp1[Comparable '#1 Dates],0)),"-")</f>
        <v>11.95</v>
      </c>
      <c r="H1226" s="1" t="str">
        <f>IF(COUNTIF(Comp2[Comparable '#2 Dates],Benchmark2[[#This Row],[Benchmark '#2 Dates]])=1,"Pass","Fail")</f>
        <v>Pass</v>
      </c>
      <c r="I1226" s="6">
        <f>IF(Benchmark2[[#This Row],[Comparable '#2 Date Check]]="Pass",INDEX(Comp2[Comparable '#2 Price],MATCH(Benchmark2[[#This Row],[Benchmark '#2 Dates]],Comp2[Comparable '#2 Dates],0)),"-")</f>
        <v>41.42</v>
      </c>
      <c r="J1226" s="1" t="str">
        <f>IF(COUNTIF(Comp3[Comparable '#3 Dates],Benchmark2[[#This Row],[Benchmark '#2 Dates]])=1,"Pass","Fail")</f>
        <v>Pass</v>
      </c>
      <c r="K1226" s="6">
        <f>IF(Benchmark2[[#This Row],[Comparable '#3 Date Check]]="Pass",INDEX(Comp3[Comparable '#3 Price],MATCH(Benchmark2[[#This Row],[Benchmark '#2 Dates]],Comp3[Comparable '#3 Dates],0)),"-")</f>
        <v>79.69</v>
      </c>
    </row>
    <row r="1227" spans="1:11">
      <c r="A1227" s="103">
        <v>45063</v>
      </c>
      <c r="B1227" s="104">
        <v>15313.918600000001</v>
      </c>
      <c r="C1227" s="4">
        <f t="shared" si="19"/>
        <v>1.2131999244948802E-2</v>
      </c>
      <c r="D1227" s="1" t="str">
        <f>IF(COUNTIF(Target1[Target Dates],Benchmark2[[#This Row],[Benchmark '#2 Dates]])=1,"Pass","Fail")</f>
        <v>Pass</v>
      </c>
      <c r="E1227" s="6">
        <f>IF(Benchmark2[[#This Row],[Target Date Check]]="Pass",INDEX(Target1[Target Price],MATCH(Benchmark2[[#This Row],[Benchmark '#2 Dates]],Target1[Target Dates],0)),"-")</f>
        <v>41.64</v>
      </c>
      <c r="F1227" s="1" t="str">
        <f>IF(COUNTIF(Comp1[Comparable '#1 Dates],Benchmark2[[#This Row],[Benchmark '#2 Dates]])=1,"Pass","Fail")</f>
        <v>Pass</v>
      </c>
      <c r="G1227" s="6">
        <f>IF(Benchmark2[[#This Row],[Comparable '#1 Date Check]]="Pass",INDEX(Comp1[Comparable '#1 Price],MATCH(Benchmark2[[#This Row],[Benchmark '#2 Dates]],Comp1[Comparable '#1 Dates],0)),"-")</f>
        <v>12.01</v>
      </c>
      <c r="H1227" s="1" t="str">
        <f>IF(COUNTIF(Comp2[Comparable '#2 Dates],Benchmark2[[#This Row],[Benchmark '#2 Dates]])=1,"Pass","Fail")</f>
        <v>Pass</v>
      </c>
      <c r="I1227" s="6">
        <f>IF(Benchmark2[[#This Row],[Comparable '#2 Date Check]]="Pass",INDEX(Comp2[Comparable '#2 Price],MATCH(Benchmark2[[#This Row],[Benchmark '#2 Dates]],Comp2[Comparable '#2 Dates],0)),"-")</f>
        <v>42.46</v>
      </c>
      <c r="J1227" s="1" t="str">
        <f>IF(COUNTIF(Comp3[Comparable '#3 Dates],Benchmark2[[#This Row],[Benchmark '#2 Dates]])=1,"Pass","Fail")</f>
        <v>Pass</v>
      </c>
      <c r="K1227" s="6">
        <f>IF(Benchmark2[[#This Row],[Comparable '#3 Date Check]]="Pass",INDEX(Comp3[Comparable '#3 Price],MATCH(Benchmark2[[#This Row],[Benchmark '#2 Dates]],Comp3[Comparable '#3 Dates],0)),"-")</f>
        <v>78.349999999999994</v>
      </c>
    </row>
    <row r="1228" spans="1:11">
      <c r="A1228" s="103">
        <v>45064</v>
      </c>
      <c r="B1228" s="104">
        <v>15345.431</v>
      </c>
      <c r="C1228" s="4">
        <f t="shared" si="19"/>
        <v>2.0556477229898506E-3</v>
      </c>
      <c r="D1228" s="1" t="str">
        <f>IF(COUNTIF(Target1[Target Dates],Benchmark2[[#This Row],[Benchmark '#2 Dates]])=1,"Pass","Fail")</f>
        <v>Pass</v>
      </c>
      <c r="E1228" s="6">
        <f>IF(Benchmark2[[#This Row],[Target Date Check]]="Pass",INDEX(Target1[Target Price],MATCH(Benchmark2[[#This Row],[Benchmark '#2 Dates]],Target1[Target Dates],0)),"-")</f>
        <v>41.67</v>
      </c>
      <c r="F1228" s="1" t="str">
        <f>IF(COUNTIF(Comp1[Comparable '#1 Dates],Benchmark2[[#This Row],[Benchmark '#2 Dates]])=1,"Pass","Fail")</f>
        <v>Pass</v>
      </c>
      <c r="G1228" s="6">
        <f>IF(Benchmark2[[#This Row],[Comparable '#1 Date Check]]="Pass",INDEX(Comp1[Comparable '#1 Price],MATCH(Benchmark2[[#This Row],[Benchmark '#2 Dates]],Comp1[Comparable '#1 Dates],0)),"-")</f>
        <v>12.3</v>
      </c>
      <c r="H1228" s="1" t="str">
        <f>IF(COUNTIF(Comp2[Comparable '#2 Dates],Benchmark2[[#This Row],[Benchmark '#2 Dates]])=1,"Pass","Fail")</f>
        <v>Pass</v>
      </c>
      <c r="I1228" s="6">
        <f>IF(Benchmark2[[#This Row],[Comparable '#2 Date Check]]="Pass",INDEX(Comp2[Comparable '#2 Price],MATCH(Benchmark2[[#This Row],[Benchmark '#2 Dates]],Comp2[Comparable '#2 Dates],0)),"-")</f>
        <v>42.98</v>
      </c>
      <c r="J1228" s="1" t="str">
        <f>IF(COUNTIF(Comp3[Comparable '#3 Dates],Benchmark2[[#This Row],[Benchmark '#2 Dates]])=1,"Pass","Fail")</f>
        <v>Pass</v>
      </c>
      <c r="K1228" s="6">
        <f>IF(Benchmark2[[#This Row],[Comparable '#3 Date Check]]="Pass",INDEX(Comp3[Comparable '#3 Price],MATCH(Benchmark2[[#This Row],[Benchmark '#2 Dates]],Comp3[Comparable '#3 Dates],0)),"-")</f>
        <v>78.3</v>
      </c>
    </row>
    <row r="1229" spans="1:11">
      <c r="A1229" s="103">
        <v>45065</v>
      </c>
      <c r="B1229" s="104">
        <v>15324.322700000001</v>
      </c>
      <c r="C1229" s="4">
        <f t="shared" si="19"/>
        <v>-1.3764899150701441E-3</v>
      </c>
      <c r="D1229" s="1" t="str">
        <f>IF(COUNTIF(Target1[Target Dates],Benchmark2[[#This Row],[Benchmark '#2 Dates]])=1,"Pass","Fail")</f>
        <v>Pass</v>
      </c>
      <c r="E1229" s="6">
        <f>IF(Benchmark2[[#This Row],[Target Date Check]]="Pass",INDEX(Target1[Target Price],MATCH(Benchmark2[[#This Row],[Benchmark '#2 Dates]],Target1[Target Dates],0)),"-")</f>
        <v>41.75</v>
      </c>
      <c r="F1229" s="1" t="str">
        <f>IF(COUNTIF(Comp1[Comparable '#1 Dates],Benchmark2[[#This Row],[Benchmark '#2 Dates]])=1,"Pass","Fail")</f>
        <v>Pass</v>
      </c>
      <c r="G1229" s="6">
        <f>IF(Benchmark2[[#This Row],[Comparable '#1 Date Check]]="Pass",INDEX(Comp1[Comparable '#1 Price],MATCH(Benchmark2[[#This Row],[Benchmark '#2 Dates]],Comp1[Comparable '#1 Dates],0)),"-")</f>
        <v>12.3</v>
      </c>
      <c r="H1229" s="1" t="str">
        <f>IF(COUNTIF(Comp2[Comparable '#2 Dates],Benchmark2[[#This Row],[Benchmark '#2 Dates]])=1,"Pass","Fail")</f>
        <v>Pass</v>
      </c>
      <c r="I1229" s="6">
        <f>IF(Benchmark2[[#This Row],[Comparable '#2 Date Check]]="Pass",INDEX(Comp2[Comparable '#2 Price],MATCH(Benchmark2[[#This Row],[Benchmark '#2 Dates]],Comp2[Comparable '#2 Dates],0)),"-")</f>
        <v>43.5</v>
      </c>
      <c r="J1229" s="1" t="str">
        <f>IF(COUNTIF(Comp3[Comparable '#3 Dates],Benchmark2[[#This Row],[Benchmark '#2 Dates]])=1,"Pass","Fail")</f>
        <v>Pass</v>
      </c>
      <c r="K1229" s="6">
        <f>IF(Benchmark2[[#This Row],[Comparable '#3 Date Check]]="Pass",INDEX(Comp3[Comparable '#3 Price],MATCH(Benchmark2[[#This Row],[Benchmark '#2 Dates]],Comp3[Comparable '#3 Dates],0)),"-")</f>
        <v>78.02</v>
      </c>
    </row>
    <row r="1230" spans="1:11">
      <c r="A1230" s="103">
        <v>45068</v>
      </c>
      <c r="B1230" s="104">
        <v>15318.849</v>
      </c>
      <c r="C1230" s="4">
        <f t="shared" si="19"/>
        <v>-3.5725414534799475E-4</v>
      </c>
      <c r="D1230" s="1" t="str">
        <f>IF(COUNTIF(Target1[Target Dates],Benchmark2[[#This Row],[Benchmark '#2 Dates]])=1,"Pass","Fail")</f>
        <v>Pass</v>
      </c>
      <c r="E1230" s="6">
        <f>IF(Benchmark2[[#This Row],[Target Date Check]]="Pass",INDEX(Target1[Target Price],MATCH(Benchmark2[[#This Row],[Benchmark '#2 Dates]],Target1[Target Dates],0)),"-")</f>
        <v>41.71</v>
      </c>
      <c r="F1230" s="1" t="str">
        <f>IF(COUNTIF(Comp1[Comparable '#1 Dates],Benchmark2[[#This Row],[Benchmark '#2 Dates]])=1,"Pass","Fail")</f>
        <v>Pass</v>
      </c>
      <c r="G1230" s="6">
        <f>IF(Benchmark2[[#This Row],[Comparable '#1 Date Check]]="Pass",INDEX(Comp1[Comparable '#1 Price],MATCH(Benchmark2[[#This Row],[Benchmark '#2 Dates]],Comp1[Comparable '#1 Dates],0)),"-")</f>
        <v>12.26</v>
      </c>
      <c r="H1230" s="1" t="str">
        <f>IF(COUNTIF(Comp2[Comparable '#2 Dates],Benchmark2[[#This Row],[Benchmark '#2 Dates]])=1,"Pass","Fail")</f>
        <v>Pass</v>
      </c>
      <c r="I1230" s="6">
        <f>IF(Benchmark2[[#This Row],[Comparable '#2 Date Check]]="Pass",INDEX(Comp2[Comparable '#2 Price],MATCH(Benchmark2[[#This Row],[Benchmark '#2 Dates]],Comp2[Comparable '#2 Dates],0)),"-")</f>
        <v>42.91</v>
      </c>
      <c r="J1230" s="1" t="str">
        <f>IF(COUNTIF(Comp3[Comparable '#3 Dates],Benchmark2[[#This Row],[Benchmark '#2 Dates]])=1,"Pass","Fail")</f>
        <v>Pass</v>
      </c>
      <c r="K1230" s="6">
        <f>IF(Benchmark2[[#This Row],[Comparable '#3 Date Check]]="Pass",INDEX(Comp3[Comparable '#3 Price],MATCH(Benchmark2[[#This Row],[Benchmark '#2 Dates]],Comp3[Comparable '#3 Dates],0)),"-")</f>
        <v>79.209999999999994</v>
      </c>
    </row>
    <row r="1231" spans="1:11">
      <c r="A1231" s="103">
        <v>45069</v>
      </c>
      <c r="B1231" s="104">
        <v>15172.268700000001</v>
      </c>
      <c r="C1231" s="4">
        <f t="shared" si="19"/>
        <v>-9.6146970161393001E-3</v>
      </c>
      <c r="D1231" s="1" t="str">
        <f>IF(COUNTIF(Target1[Target Dates],Benchmark2[[#This Row],[Benchmark '#2 Dates]])=1,"Pass","Fail")</f>
        <v>Pass</v>
      </c>
      <c r="E1231" s="6">
        <f>IF(Benchmark2[[#This Row],[Target Date Check]]="Pass",INDEX(Target1[Target Price],MATCH(Benchmark2[[#This Row],[Benchmark '#2 Dates]],Target1[Target Dates],0)),"-")</f>
        <v>41.42</v>
      </c>
      <c r="F1231" s="1" t="str">
        <f>IF(COUNTIF(Comp1[Comparable '#1 Dates],Benchmark2[[#This Row],[Benchmark '#2 Dates]])=1,"Pass","Fail")</f>
        <v>Pass</v>
      </c>
      <c r="G1231" s="6">
        <f>IF(Benchmark2[[#This Row],[Comparable '#1 Date Check]]="Pass",INDEX(Comp1[Comparable '#1 Price],MATCH(Benchmark2[[#This Row],[Benchmark '#2 Dates]],Comp1[Comparable '#1 Dates],0)),"-")</f>
        <v>12.32</v>
      </c>
      <c r="H1231" s="1" t="str">
        <f>IF(COUNTIF(Comp2[Comparable '#2 Dates],Benchmark2[[#This Row],[Benchmark '#2 Dates]])=1,"Pass","Fail")</f>
        <v>Pass</v>
      </c>
      <c r="I1231" s="6">
        <f>IF(Benchmark2[[#This Row],[Comparable '#2 Date Check]]="Pass",INDEX(Comp2[Comparable '#2 Price],MATCH(Benchmark2[[#This Row],[Benchmark '#2 Dates]],Comp2[Comparable '#2 Dates],0)),"-")</f>
        <v>42.3</v>
      </c>
      <c r="J1231" s="1" t="str">
        <f>IF(COUNTIF(Comp3[Comparable '#3 Dates],Benchmark2[[#This Row],[Benchmark '#2 Dates]])=1,"Pass","Fail")</f>
        <v>Pass</v>
      </c>
      <c r="K1231" s="6">
        <f>IF(Benchmark2[[#This Row],[Comparable '#3 Date Check]]="Pass",INDEX(Comp3[Comparable '#3 Price],MATCH(Benchmark2[[#This Row],[Benchmark '#2 Dates]],Comp3[Comparable '#3 Dates],0)),"-")</f>
        <v>78.58</v>
      </c>
    </row>
    <row r="1232" spans="1:11">
      <c r="A1232" s="103">
        <v>45070</v>
      </c>
      <c r="B1232" s="104">
        <v>15022.8886</v>
      </c>
      <c r="C1232" s="4">
        <f t="shared" si="19"/>
        <v>-9.894389169314146E-3</v>
      </c>
      <c r="D1232" s="1" t="str">
        <f>IF(COUNTIF(Target1[Target Dates],Benchmark2[[#This Row],[Benchmark '#2 Dates]])=1,"Pass","Fail")</f>
        <v>Pass</v>
      </c>
      <c r="E1232" s="6">
        <f>IF(Benchmark2[[#This Row],[Target Date Check]]="Pass",INDEX(Target1[Target Price],MATCH(Benchmark2[[#This Row],[Benchmark '#2 Dates]],Target1[Target Dates],0)),"-")</f>
        <v>41.18</v>
      </c>
      <c r="F1232" s="1" t="str">
        <f>IF(COUNTIF(Comp1[Comparable '#1 Dates],Benchmark2[[#This Row],[Benchmark '#2 Dates]])=1,"Pass","Fail")</f>
        <v>Pass</v>
      </c>
      <c r="G1232" s="6">
        <f>IF(Benchmark2[[#This Row],[Comparable '#1 Date Check]]="Pass",INDEX(Comp1[Comparable '#1 Price],MATCH(Benchmark2[[#This Row],[Benchmark '#2 Dates]],Comp1[Comparable '#1 Dates],0)),"-")</f>
        <v>12.29</v>
      </c>
      <c r="H1232" s="1" t="str">
        <f>IF(COUNTIF(Comp2[Comparable '#2 Dates],Benchmark2[[#This Row],[Benchmark '#2 Dates]])=1,"Pass","Fail")</f>
        <v>Pass</v>
      </c>
      <c r="I1232" s="6">
        <f>IF(Benchmark2[[#This Row],[Comparable '#2 Date Check]]="Pass",INDEX(Comp2[Comparable '#2 Price],MATCH(Benchmark2[[#This Row],[Benchmark '#2 Dates]],Comp2[Comparable '#2 Dates],0)),"-")</f>
        <v>42.79</v>
      </c>
      <c r="J1232" s="1" t="str">
        <f>IF(COUNTIF(Comp3[Comparable '#3 Dates],Benchmark2[[#This Row],[Benchmark '#2 Dates]])=1,"Pass","Fail")</f>
        <v>Pass</v>
      </c>
      <c r="K1232" s="6">
        <f>IF(Benchmark2[[#This Row],[Comparable '#3 Date Check]]="Pass",INDEX(Comp3[Comparable '#3 Price],MATCH(Benchmark2[[#This Row],[Benchmark '#2 Dates]],Comp3[Comparable '#3 Dates],0)),"-")</f>
        <v>79.510000000000005</v>
      </c>
    </row>
    <row r="1233" spans="1:11">
      <c r="A1233" s="103">
        <v>45071</v>
      </c>
      <c r="B1233" s="104">
        <v>14975.970300000001</v>
      </c>
      <c r="C1233" s="4">
        <f t="shared" si="19"/>
        <v>-3.1280081960550605E-3</v>
      </c>
      <c r="D1233" s="1" t="str">
        <f>IF(COUNTIF(Target1[Target Dates],Benchmark2[[#This Row],[Benchmark '#2 Dates]])=1,"Pass","Fail")</f>
        <v>Pass</v>
      </c>
      <c r="E1233" s="6">
        <f>IF(Benchmark2[[#This Row],[Target Date Check]]="Pass",INDEX(Target1[Target Price],MATCH(Benchmark2[[#This Row],[Benchmark '#2 Dates]],Target1[Target Dates],0)),"-")</f>
        <v>40.28</v>
      </c>
      <c r="F1233" s="1" t="str">
        <f>IF(COUNTIF(Comp1[Comparable '#1 Dates],Benchmark2[[#This Row],[Benchmark '#2 Dates]])=1,"Pass","Fail")</f>
        <v>Pass</v>
      </c>
      <c r="G1233" s="6">
        <f>IF(Benchmark2[[#This Row],[Comparable '#1 Date Check]]="Pass",INDEX(Comp1[Comparable '#1 Price],MATCH(Benchmark2[[#This Row],[Benchmark '#2 Dates]],Comp1[Comparable '#1 Dates],0)),"-")</f>
        <v>12.39</v>
      </c>
      <c r="H1233" s="1" t="str">
        <f>IF(COUNTIF(Comp2[Comparable '#2 Dates],Benchmark2[[#This Row],[Benchmark '#2 Dates]])=1,"Pass","Fail")</f>
        <v>Pass</v>
      </c>
      <c r="I1233" s="6">
        <f>IF(Benchmark2[[#This Row],[Comparable '#2 Date Check]]="Pass",INDEX(Comp2[Comparable '#2 Price],MATCH(Benchmark2[[#This Row],[Benchmark '#2 Dates]],Comp2[Comparable '#2 Dates],0)),"-")</f>
        <v>42.53</v>
      </c>
      <c r="J1233" s="1" t="str">
        <f>IF(COUNTIF(Comp3[Comparable '#3 Dates],Benchmark2[[#This Row],[Benchmark '#2 Dates]])=1,"Pass","Fail")</f>
        <v>Pass</v>
      </c>
      <c r="K1233" s="6">
        <f>IF(Benchmark2[[#This Row],[Comparable '#3 Date Check]]="Pass",INDEX(Comp3[Comparable '#3 Price],MATCH(Benchmark2[[#This Row],[Benchmark '#2 Dates]],Comp3[Comparable '#3 Dates],0)),"-")</f>
        <v>78.37</v>
      </c>
    </row>
    <row r="1234" spans="1:11">
      <c r="A1234" s="103">
        <v>45072</v>
      </c>
      <c r="B1234" s="104">
        <v>15078.69</v>
      </c>
      <c r="C1234" s="4">
        <f t="shared" si="19"/>
        <v>6.8355522196726151E-3</v>
      </c>
      <c r="D1234" s="1" t="str">
        <f>IF(COUNTIF(Target1[Target Dates],Benchmark2[[#This Row],[Benchmark '#2 Dates]])=1,"Pass","Fail")</f>
        <v>Pass</v>
      </c>
      <c r="E1234" s="6">
        <f>IF(Benchmark2[[#This Row],[Target Date Check]]="Pass",INDEX(Target1[Target Price],MATCH(Benchmark2[[#This Row],[Benchmark '#2 Dates]],Target1[Target Dates],0)),"-")</f>
        <v>40.119999999999997</v>
      </c>
      <c r="F1234" s="1" t="str">
        <f>IF(COUNTIF(Comp1[Comparable '#1 Dates],Benchmark2[[#This Row],[Benchmark '#2 Dates]])=1,"Pass","Fail")</f>
        <v>Pass</v>
      </c>
      <c r="G1234" s="6">
        <f>IF(Benchmark2[[#This Row],[Comparable '#1 Date Check]]="Pass",INDEX(Comp1[Comparable '#1 Price],MATCH(Benchmark2[[#This Row],[Benchmark '#2 Dates]],Comp1[Comparable '#1 Dates],0)),"-")</f>
        <v>12.39</v>
      </c>
      <c r="H1234" s="1" t="str">
        <f>IF(COUNTIF(Comp2[Comparable '#2 Dates],Benchmark2[[#This Row],[Benchmark '#2 Dates]])=1,"Pass","Fail")</f>
        <v>Pass</v>
      </c>
      <c r="I1234" s="6">
        <f>IF(Benchmark2[[#This Row],[Comparable '#2 Date Check]]="Pass",INDEX(Comp2[Comparable '#2 Price],MATCH(Benchmark2[[#This Row],[Benchmark '#2 Dates]],Comp2[Comparable '#2 Dates],0)),"-")</f>
        <v>42.29</v>
      </c>
      <c r="J1234" s="1" t="str">
        <f>IF(COUNTIF(Comp3[Comparable '#3 Dates],Benchmark2[[#This Row],[Benchmark '#2 Dates]])=1,"Pass","Fail")</f>
        <v>Pass</v>
      </c>
      <c r="K1234" s="6">
        <f>IF(Benchmark2[[#This Row],[Comparable '#3 Date Check]]="Pass",INDEX(Comp3[Comparable '#3 Price],MATCH(Benchmark2[[#This Row],[Benchmark '#2 Dates]],Comp3[Comparable '#3 Dates],0)),"-")</f>
        <v>79.39</v>
      </c>
    </row>
    <row r="1235" spans="1:11">
      <c r="A1235" s="103">
        <v>45076</v>
      </c>
      <c r="B1235" s="104">
        <v>14994.6443</v>
      </c>
      <c r="C1235" s="4">
        <f t="shared" si="19"/>
        <v>-5.5893981006597199E-3</v>
      </c>
      <c r="D1235" s="1" t="str">
        <f>IF(COUNTIF(Target1[Target Dates],Benchmark2[[#This Row],[Benchmark '#2 Dates]])=1,"Pass","Fail")</f>
        <v>Pass</v>
      </c>
      <c r="E1235" s="6">
        <f>IF(Benchmark2[[#This Row],[Target Date Check]]="Pass",INDEX(Target1[Target Price],MATCH(Benchmark2[[#This Row],[Benchmark '#2 Dates]],Target1[Target Dates],0)),"-")</f>
        <v>40.1</v>
      </c>
      <c r="F1235" s="1" t="str">
        <f>IF(COUNTIF(Comp1[Comparable '#1 Dates],Benchmark2[[#This Row],[Benchmark '#2 Dates]])=1,"Pass","Fail")</f>
        <v>Pass</v>
      </c>
      <c r="G1235" s="6">
        <f>IF(Benchmark2[[#This Row],[Comparable '#1 Date Check]]="Pass",INDEX(Comp1[Comparable '#1 Price],MATCH(Benchmark2[[#This Row],[Benchmark '#2 Dates]],Comp1[Comparable '#1 Dates],0)),"-")</f>
        <v>12.22</v>
      </c>
      <c r="H1235" s="1" t="str">
        <f>IF(COUNTIF(Comp2[Comparable '#2 Dates],Benchmark2[[#This Row],[Benchmark '#2 Dates]])=1,"Pass","Fail")</f>
        <v>Pass</v>
      </c>
      <c r="I1235" s="6">
        <f>IF(Benchmark2[[#This Row],[Comparable '#2 Date Check]]="Pass",INDEX(Comp2[Comparable '#2 Price],MATCH(Benchmark2[[#This Row],[Benchmark '#2 Dates]],Comp2[Comparable '#2 Dates],0)),"-")</f>
        <v>41.88</v>
      </c>
      <c r="J1235" s="1" t="str">
        <f>IF(COUNTIF(Comp3[Comparable '#3 Dates],Benchmark2[[#This Row],[Benchmark '#2 Dates]])=1,"Pass","Fail")</f>
        <v>Pass</v>
      </c>
      <c r="K1235" s="6">
        <f>IF(Benchmark2[[#This Row],[Comparable '#3 Date Check]]="Pass",INDEX(Comp3[Comparable '#3 Price],MATCH(Benchmark2[[#This Row],[Benchmark '#2 Dates]],Comp3[Comparable '#3 Dates],0)),"-")</f>
        <v>78.19</v>
      </c>
    </row>
    <row r="1236" spans="1:11">
      <c r="A1236" s="103">
        <v>45077</v>
      </c>
      <c r="B1236" s="104">
        <v>14887.1415</v>
      </c>
      <c r="C1236" s="4">
        <f t="shared" si="19"/>
        <v>-7.1952368922637826E-3</v>
      </c>
      <c r="D1236" s="1" t="str">
        <f>IF(COUNTIF(Target1[Target Dates],Benchmark2[[#This Row],[Benchmark '#2 Dates]])=1,"Pass","Fail")</f>
        <v>Pass</v>
      </c>
      <c r="E1236" s="6">
        <f>IF(Benchmark2[[#This Row],[Target Date Check]]="Pass",INDEX(Target1[Target Price],MATCH(Benchmark2[[#This Row],[Benchmark '#2 Dates]],Target1[Target Dates],0)),"-")</f>
        <v>40.409999999999997</v>
      </c>
      <c r="F1236" s="1" t="str">
        <f>IF(COUNTIF(Comp1[Comparable '#1 Dates],Benchmark2[[#This Row],[Benchmark '#2 Dates]])=1,"Pass","Fail")</f>
        <v>Pass</v>
      </c>
      <c r="G1236" s="6">
        <f>IF(Benchmark2[[#This Row],[Comparable '#1 Date Check]]="Pass",INDEX(Comp1[Comparable '#1 Price],MATCH(Benchmark2[[#This Row],[Benchmark '#2 Dates]],Comp1[Comparable '#1 Dates],0)),"-")</f>
        <v>12.1</v>
      </c>
      <c r="H1236" s="1" t="str">
        <f>IF(COUNTIF(Comp2[Comparable '#2 Dates],Benchmark2[[#This Row],[Benchmark '#2 Dates]])=1,"Pass","Fail")</f>
        <v>Pass</v>
      </c>
      <c r="I1236" s="6">
        <f>IF(Benchmark2[[#This Row],[Comparable '#2 Date Check]]="Pass",INDEX(Comp2[Comparable '#2 Price],MATCH(Benchmark2[[#This Row],[Benchmark '#2 Dates]],Comp2[Comparable '#2 Dates],0)),"-")</f>
        <v>41.5</v>
      </c>
      <c r="J1236" s="1" t="str">
        <f>IF(COUNTIF(Comp3[Comparable '#3 Dates],Benchmark2[[#This Row],[Benchmark '#2 Dates]])=1,"Pass","Fail")</f>
        <v>Pass</v>
      </c>
      <c r="K1236" s="6">
        <f>IF(Benchmark2[[#This Row],[Comparable '#3 Date Check]]="Pass",INDEX(Comp3[Comparable '#3 Price],MATCH(Benchmark2[[#This Row],[Benchmark '#2 Dates]],Comp3[Comparable '#3 Dates],0)),"-")</f>
        <v>78.91</v>
      </c>
    </row>
    <row r="1237" spans="1:11">
      <c r="A1237" s="103">
        <v>45078</v>
      </c>
      <c r="B1237" s="104">
        <v>15031.0854</v>
      </c>
      <c r="C1237" s="4">
        <f t="shared" si="19"/>
        <v>9.6225629393847188E-3</v>
      </c>
      <c r="D1237" s="1" t="str">
        <f>IF(COUNTIF(Target1[Target Dates],Benchmark2[[#This Row],[Benchmark '#2 Dates]])=1,"Pass","Fail")</f>
        <v>Pass</v>
      </c>
      <c r="E1237" s="6">
        <f>IF(Benchmark2[[#This Row],[Target Date Check]]="Pass",INDEX(Target1[Target Price],MATCH(Benchmark2[[#This Row],[Benchmark '#2 Dates]],Target1[Target Dates],0)),"-")</f>
        <v>40.950000000000003</v>
      </c>
      <c r="F1237" s="1" t="str">
        <f>IF(COUNTIF(Comp1[Comparable '#1 Dates],Benchmark2[[#This Row],[Benchmark '#2 Dates]])=1,"Pass","Fail")</f>
        <v>Pass</v>
      </c>
      <c r="G1237" s="6">
        <f>IF(Benchmark2[[#This Row],[Comparable '#1 Date Check]]="Pass",INDEX(Comp1[Comparable '#1 Price],MATCH(Benchmark2[[#This Row],[Benchmark '#2 Dates]],Comp1[Comparable '#1 Dates],0)),"-")</f>
        <v>12.23</v>
      </c>
      <c r="H1237" s="1" t="str">
        <f>IF(COUNTIF(Comp2[Comparable '#2 Dates],Benchmark2[[#This Row],[Benchmark '#2 Dates]])=1,"Pass","Fail")</f>
        <v>Pass</v>
      </c>
      <c r="I1237" s="6">
        <f>IF(Benchmark2[[#This Row],[Comparable '#2 Date Check]]="Pass",INDEX(Comp2[Comparable '#2 Price],MATCH(Benchmark2[[#This Row],[Benchmark '#2 Dates]],Comp2[Comparable '#2 Dates],0)),"-")</f>
        <v>41.8</v>
      </c>
      <c r="J1237" s="1" t="str">
        <f>IF(COUNTIF(Comp3[Comparable '#3 Dates],Benchmark2[[#This Row],[Benchmark '#2 Dates]])=1,"Pass","Fail")</f>
        <v>Pass</v>
      </c>
      <c r="K1237" s="6">
        <f>IF(Benchmark2[[#This Row],[Comparable '#3 Date Check]]="Pass",INDEX(Comp3[Comparable '#3 Price],MATCH(Benchmark2[[#This Row],[Benchmark '#2 Dates]],Comp3[Comparable '#3 Dates],0)),"-")</f>
        <v>78.09</v>
      </c>
    </row>
    <row r="1238" spans="1:11">
      <c r="A1238" s="103">
        <v>45079</v>
      </c>
      <c r="B1238" s="104">
        <v>15345.194799999999</v>
      </c>
      <c r="C1238" s="4">
        <f t="shared" si="19"/>
        <v>2.0681965953619492E-2</v>
      </c>
      <c r="D1238" s="1" t="str">
        <f>IF(COUNTIF(Target1[Target Dates],Benchmark2[[#This Row],[Benchmark '#2 Dates]])=1,"Pass","Fail")</f>
        <v>Pass</v>
      </c>
      <c r="E1238" s="6">
        <f>IF(Benchmark2[[#This Row],[Target Date Check]]="Pass",INDEX(Target1[Target Price],MATCH(Benchmark2[[#This Row],[Benchmark '#2 Dates]],Target1[Target Dates],0)),"-")</f>
        <v>41.89</v>
      </c>
      <c r="F1238" s="1" t="str">
        <f>IF(COUNTIF(Comp1[Comparable '#1 Dates],Benchmark2[[#This Row],[Benchmark '#2 Dates]])=1,"Pass","Fail")</f>
        <v>Pass</v>
      </c>
      <c r="G1238" s="6">
        <f>IF(Benchmark2[[#This Row],[Comparable '#1 Date Check]]="Pass",INDEX(Comp1[Comparable '#1 Price],MATCH(Benchmark2[[#This Row],[Benchmark '#2 Dates]],Comp1[Comparable '#1 Dates],0)),"-")</f>
        <v>12.455</v>
      </c>
      <c r="H1238" s="1" t="str">
        <f>IF(COUNTIF(Comp2[Comparable '#2 Dates],Benchmark2[[#This Row],[Benchmark '#2 Dates]])=1,"Pass","Fail")</f>
        <v>Pass</v>
      </c>
      <c r="I1238" s="6">
        <f>IF(Benchmark2[[#This Row],[Comparable '#2 Date Check]]="Pass",INDEX(Comp2[Comparable '#2 Price],MATCH(Benchmark2[[#This Row],[Benchmark '#2 Dates]],Comp2[Comparable '#2 Dates],0)),"-")</f>
        <v>43.43</v>
      </c>
      <c r="J1238" s="1" t="str">
        <f>IF(COUNTIF(Comp3[Comparable '#3 Dates],Benchmark2[[#This Row],[Benchmark '#2 Dates]])=1,"Pass","Fail")</f>
        <v>Pass</v>
      </c>
      <c r="K1238" s="6">
        <f>IF(Benchmark2[[#This Row],[Comparable '#3 Date Check]]="Pass",INDEX(Comp3[Comparable '#3 Price],MATCH(Benchmark2[[#This Row],[Benchmark '#2 Dates]],Comp3[Comparable '#3 Dates],0)),"-")</f>
        <v>78.430000000000007</v>
      </c>
    </row>
    <row r="1239" spans="1:11">
      <c r="A1239" s="103">
        <v>45082</v>
      </c>
      <c r="B1239" s="104">
        <v>15275.2124</v>
      </c>
      <c r="C1239" s="4">
        <f t="shared" si="19"/>
        <v>-4.5709726453121479E-3</v>
      </c>
      <c r="D1239" s="1" t="str">
        <f>IF(COUNTIF(Target1[Target Dates],Benchmark2[[#This Row],[Benchmark '#2 Dates]])=1,"Pass","Fail")</f>
        <v>Pass</v>
      </c>
      <c r="E1239" s="6">
        <f>IF(Benchmark2[[#This Row],[Target Date Check]]="Pass",INDEX(Target1[Target Price],MATCH(Benchmark2[[#This Row],[Benchmark '#2 Dates]],Target1[Target Dates],0)),"-")</f>
        <v>41.53</v>
      </c>
      <c r="F1239" s="1" t="str">
        <f>IF(COUNTIF(Comp1[Comparable '#1 Dates],Benchmark2[[#This Row],[Benchmark '#2 Dates]])=1,"Pass","Fail")</f>
        <v>Pass</v>
      </c>
      <c r="G1239" s="6">
        <f>IF(Benchmark2[[#This Row],[Comparable '#1 Date Check]]="Pass",INDEX(Comp1[Comparable '#1 Price],MATCH(Benchmark2[[#This Row],[Benchmark '#2 Dates]],Comp1[Comparable '#1 Dates],0)),"-")</f>
        <v>12.34</v>
      </c>
      <c r="H1239" s="1" t="str">
        <f>IF(COUNTIF(Comp2[Comparable '#2 Dates],Benchmark2[[#This Row],[Benchmark '#2 Dates]])=1,"Pass","Fail")</f>
        <v>Pass</v>
      </c>
      <c r="I1239" s="6">
        <f>IF(Benchmark2[[#This Row],[Comparable '#2 Date Check]]="Pass",INDEX(Comp2[Comparable '#2 Price],MATCH(Benchmark2[[#This Row],[Benchmark '#2 Dates]],Comp2[Comparable '#2 Dates],0)),"-")</f>
        <v>41.26</v>
      </c>
      <c r="J1239" s="1" t="str">
        <f>IF(COUNTIF(Comp3[Comparable '#3 Dates],Benchmark2[[#This Row],[Benchmark '#2 Dates]])=1,"Pass","Fail")</f>
        <v>Pass</v>
      </c>
      <c r="K1239" s="6">
        <f>IF(Benchmark2[[#This Row],[Comparable '#3 Date Check]]="Pass",INDEX(Comp3[Comparable '#3 Price],MATCH(Benchmark2[[#This Row],[Benchmark '#2 Dates]],Comp3[Comparable '#3 Dates],0)),"-")</f>
        <v>74.59</v>
      </c>
    </row>
    <row r="1240" spans="1:11">
      <c r="A1240" s="103">
        <v>45083</v>
      </c>
      <c r="B1240" s="104">
        <v>15391.803900000001</v>
      </c>
      <c r="C1240" s="4">
        <f t="shared" si="19"/>
        <v>7.6037434229417351E-3</v>
      </c>
      <c r="D1240" s="1" t="str">
        <f>IF(COUNTIF(Target1[Target Dates],Benchmark2[[#This Row],[Benchmark '#2 Dates]])=1,"Pass","Fail")</f>
        <v>Pass</v>
      </c>
      <c r="E1240" s="6">
        <f>IF(Benchmark2[[#This Row],[Target Date Check]]="Pass",INDEX(Target1[Target Price],MATCH(Benchmark2[[#This Row],[Benchmark '#2 Dates]],Target1[Target Dates],0)),"-")</f>
        <v>42.06</v>
      </c>
      <c r="F1240" s="1" t="str">
        <f>IF(COUNTIF(Comp1[Comparable '#1 Dates],Benchmark2[[#This Row],[Benchmark '#2 Dates]])=1,"Pass","Fail")</f>
        <v>Pass</v>
      </c>
      <c r="G1240" s="6">
        <f>IF(Benchmark2[[#This Row],[Comparable '#1 Date Check]]="Pass",INDEX(Comp1[Comparable '#1 Price],MATCH(Benchmark2[[#This Row],[Benchmark '#2 Dates]],Comp1[Comparable '#1 Dates],0)),"-")</f>
        <v>12.46</v>
      </c>
      <c r="H1240" s="1" t="str">
        <f>IF(COUNTIF(Comp2[Comparable '#2 Dates],Benchmark2[[#This Row],[Benchmark '#2 Dates]])=1,"Pass","Fail")</f>
        <v>Pass</v>
      </c>
      <c r="I1240" s="6">
        <f>IF(Benchmark2[[#This Row],[Comparable '#2 Date Check]]="Pass",INDEX(Comp2[Comparable '#2 Price],MATCH(Benchmark2[[#This Row],[Benchmark '#2 Dates]],Comp2[Comparable '#2 Dates],0)),"-")</f>
        <v>42.13</v>
      </c>
      <c r="J1240" s="1" t="str">
        <f>IF(COUNTIF(Comp3[Comparable '#3 Dates],Benchmark2[[#This Row],[Benchmark '#2 Dates]])=1,"Pass","Fail")</f>
        <v>Pass</v>
      </c>
      <c r="K1240" s="6">
        <f>IF(Benchmark2[[#This Row],[Comparable '#3 Date Check]]="Pass",INDEX(Comp3[Comparable '#3 Price],MATCH(Benchmark2[[#This Row],[Benchmark '#2 Dates]],Comp3[Comparable '#3 Dates],0)),"-")</f>
        <v>76.900000000000006</v>
      </c>
    </row>
    <row r="1241" spans="1:11">
      <c r="A1241" s="103">
        <v>45084</v>
      </c>
      <c r="B1241" s="104">
        <v>15469.6333</v>
      </c>
      <c r="C1241" s="4">
        <f t="shared" si="19"/>
        <v>5.0438069033402191E-3</v>
      </c>
      <c r="D1241" s="1" t="str">
        <f>IF(COUNTIF(Target1[Target Dates],Benchmark2[[#This Row],[Benchmark '#2 Dates]])=1,"Pass","Fail")</f>
        <v>Pass</v>
      </c>
      <c r="E1241" s="6">
        <f>IF(Benchmark2[[#This Row],[Target Date Check]]="Pass",INDEX(Target1[Target Price],MATCH(Benchmark2[[#This Row],[Benchmark '#2 Dates]],Target1[Target Dates],0)),"-")</f>
        <v>41.79</v>
      </c>
      <c r="F1241" s="1" t="str">
        <f>IF(COUNTIF(Comp1[Comparable '#1 Dates],Benchmark2[[#This Row],[Benchmark '#2 Dates]])=1,"Pass","Fail")</f>
        <v>Pass</v>
      </c>
      <c r="G1241" s="6">
        <f>IF(Benchmark2[[#This Row],[Comparable '#1 Date Check]]="Pass",INDEX(Comp1[Comparable '#1 Price],MATCH(Benchmark2[[#This Row],[Benchmark '#2 Dates]],Comp1[Comparable '#1 Dates],0)),"-")</f>
        <v>12.56</v>
      </c>
      <c r="H1241" s="1" t="str">
        <f>IF(COUNTIF(Comp2[Comparable '#2 Dates],Benchmark2[[#This Row],[Benchmark '#2 Dates]])=1,"Pass","Fail")</f>
        <v>Pass</v>
      </c>
      <c r="I1241" s="6">
        <f>IF(Benchmark2[[#This Row],[Comparable '#2 Date Check]]="Pass",INDEX(Comp2[Comparable '#2 Price],MATCH(Benchmark2[[#This Row],[Benchmark '#2 Dates]],Comp2[Comparable '#2 Dates],0)),"-")</f>
        <v>42.48</v>
      </c>
      <c r="J1241" s="1" t="str">
        <f>IF(COUNTIF(Comp3[Comparable '#3 Dates],Benchmark2[[#This Row],[Benchmark '#2 Dates]])=1,"Pass","Fail")</f>
        <v>Pass</v>
      </c>
      <c r="K1241" s="6">
        <f>IF(Benchmark2[[#This Row],[Comparable '#3 Date Check]]="Pass",INDEX(Comp3[Comparable '#3 Price],MATCH(Benchmark2[[#This Row],[Benchmark '#2 Dates]],Comp3[Comparable '#3 Dates],0)),"-")</f>
        <v>78.930000000000007</v>
      </c>
    </row>
    <row r="1242" spans="1:11">
      <c r="A1242" s="103">
        <v>45085</v>
      </c>
      <c r="B1242" s="104">
        <v>15502.644700000001</v>
      </c>
      <c r="C1242" s="4">
        <f t="shared" si="19"/>
        <v>2.1316748158091109E-3</v>
      </c>
      <c r="D1242" s="1" t="str">
        <f>IF(COUNTIF(Target1[Target Dates],Benchmark2[[#This Row],[Benchmark '#2 Dates]])=1,"Pass","Fail")</f>
        <v>Pass</v>
      </c>
      <c r="E1242" s="6">
        <f>IF(Benchmark2[[#This Row],[Target Date Check]]="Pass",INDEX(Target1[Target Price],MATCH(Benchmark2[[#This Row],[Benchmark '#2 Dates]],Target1[Target Dates],0)),"-")</f>
        <v>41.56</v>
      </c>
      <c r="F1242" s="1" t="str">
        <f>IF(COUNTIF(Comp1[Comparable '#1 Dates],Benchmark2[[#This Row],[Benchmark '#2 Dates]])=1,"Pass","Fail")</f>
        <v>Pass</v>
      </c>
      <c r="G1242" s="6">
        <f>IF(Benchmark2[[#This Row],[Comparable '#1 Date Check]]="Pass",INDEX(Comp1[Comparable '#1 Price],MATCH(Benchmark2[[#This Row],[Benchmark '#2 Dates]],Comp1[Comparable '#1 Dates],0)),"-")</f>
        <v>12.36</v>
      </c>
      <c r="H1242" s="1" t="str">
        <f>IF(COUNTIF(Comp2[Comparable '#2 Dates],Benchmark2[[#This Row],[Benchmark '#2 Dates]])=1,"Pass","Fail")</f>
        <v>Pass</v>
      </c>
      <c r="I1242" s="6">
        <f>IF(Benchmark2[[#This Row],[Comparable '#2 Date Check]]="Pass",INDEX(Comp2[Comparable '#2 Price],MATCH(Benchmark2[[#This Row],[Benchmark '#2 Dates]],Comp2[Comparable '#2 Dates],0)),"-")</f>
        <v>42.13</v>
      </c>
      <c r="J1242" s="1" t="str">
        <f>IF(COUNTIF(Comp3[Comparable '#3 Dates],Benchmark2[[#This Row],[Benchmark '#2 Dates]])=1,"Pass","Fail")</f>
        <v>Pass</v>
      </c>
      <c r="K1242" s="6">
        <f>IF(Benchmark2[[#This Row],[Comparable '#3 Date Check]]="Pass",INDEX(Comp3[Comparable '#3 Price],MATCH(Benchmark2[[#This Row],[Benchmark '#2 Dates]],Comp3[Comparable '#3 Dates],0)),"-")</f>
        <v>77.510000000000005</v>
      </c>
    </row>
    <row r="1243" spans="1:11">
      <c r="A1243" s="103">
        <v>45086</v>
      </c>
      <c r="B1243" s="104">
        <v>15499.9108</v>
      </c>
      <c r="C1243" s="4">
        <f t="shared" si="19"/>
        <v>-1.7636610679324814E-4</v>
      </c>
      <c r="D1243" s="1" t="str">
        <f>IF(COUNTIF(Target1[Target Dates],Benchmark2[[#This Row],[Benchmark '#2 Dates]])=1,"Pass","Fail")</f>
        <v>Pass</v>
      </c>
      <c r="E1243" s="6">
        <f>IF(Benchmark2[[#This Row],[Target Date Check]]="Pass",INDEX(Target1[Target Price],MATCH(Benchmark2[[#This Row],[Benchmark '#2 Dates]],Target1[Target Dates],0)),"-")</f>
        <v>41.26</v>
      </c>
      <c r="F1243" s="1" t="str">
        <f>IF(COUNTIF(Comp1[Comparable '#1 Dates],Benchmark2[[#This Row],[Benchmark '#2 Dates]])=1,"Pass","Fail")</f>
        <v>Pass</v>
      </c>
      <c r="G1243" s="6">
        <f>IF(Benchmark2[[#This Row],[Comparable '#1 Date Check]]="Pass",INDEX(Comp1[Comparable '#1 Price],MATCH(Benchmark2[[#This Row],[Benchmark '#2 Dates]],Comp1[Comparable '#1 Dates],0)),"-")</f>
        <v>12.23</v>
      </c>
      <c r="H1243" s="1" t="str">
        <f>IF(COUNTIF(Comp2[Comparable '#2 Dates],Benchmark2[[#This Row],[Benchmark '#2 Dates]])=1,"Pass","Fail")</f>
        <v>Pass</v>
      </c>
      <c r="I1243" s="6">
        <f>IF(Benchmark2[[#This Row],[Comparable '#2 Date Check]]="Pass",INDEX(Comp2[Comparable '#2 Price],MATCH(Benchmark2[[#This Row],[Benchmark '#2 Dates]],Comp2[Comparable '#2 Dates],0)),"-")</f>
        <v>41.94</v>
      </c>
      <c r="J1243" s="1" t="str">
        <f>IF(COUNTIF(Comp3[Comparable '#3 Dates],Benchmark2[[#This Row],[Benchmark '#2 Dates]])=1,"Pass","Fail")</f>
        <v>Pass</v>
      </c>
      <c r="K1243" s="6">
        <f>IF(Benchmark2[[#This Row],[Comparable '#3 Date Check]]="Pass",INDEX(Comp3[Comparable '#3 Price],MATCH(Benchmark2[[#This Row],[Benchmark '#2 Dates]],Comp3[Comparable '#3 Dates],0)),"-")</f>
        <v>76.11</v>
      </c>
    </row>
    <row r="1244" spans="1:11">
      <c r="A1244" s="103">
        <v>45089</v>
      </c>
      <c r="B1244" s="104">
        <v>15548.473900000001</v>
      </c>
      <c r="C1244" s="4">
        <f t="shared" si="19"/>
        <v>3.1282232600214092E-3</v>
      </c>
      <c r="D1244" s="1" t="str">
        <f>IF(COUNTIF(Target1[Target Dates],Benchmark2[[#This Row],[Benchmark '#2 Dates]])=1,"Pass","Fail")</f>
        <v>Pass</v>
      </c>
      <c r="E1244" s="6">
        <f>IF(Benchmark2[[#This Row],[Target Date Check]]="Pass",INDEX(Target1[Target Price],MATCH(Benchmark2[[#This Row],[Benchmark '#2 Dates]],Target1[Target Dates],0)),"-")</f>
        <v>41.04</v>
      </c>
      <c r="F1244" s="1" t="str">
        <f>IF(COUNTIF(Comp1[Comparable '#1 Dates],Benchmark2[[#This Row],[Benchmark '#2 Dates]])=1,"Pass","Fail")</f>
        <v>Pass</v>
      </c>
      <c r="G1244" s="6">
        <f>IF(Benchmark2[[#This Row],[Comparable '#1 Date Check]]="Pass",INDEX(Comp1[Comparable '#1 Price],MATCH(Benchmark2[[#This Row],[Benchmark '#2 Dates]],Comp1[Comparable '#1 Dates],0)),"-")</f>
        <v>12.06</v>
      </c>
      <c r="H1244" s="1" t="str">
        <f>IF(COUNTIF(Comp2[Comparable '#2 Dates],Benchmark2[[#This Row],[Benchmark '#2 Dates]])=1,"Pass","Fail")</f>
        <v>Pass</v>
      </c>
      <c r="I1244" s="6">
        <f>IF(Benchmark2[[#This Row],[Comparable '#2 Date Check]]="Pass",INDEX(Comp2[Comparable '#2 Price],MATCH(Benchmark2[[#This Row],[Benchmark '#2 Dates]],Comp2[Comparable '#2 Dates],0)),"-")</f>
        <v>41.01</v>
      </c>
      <c r="J1244" s="1" t="str">
        <f>IF(COUNTIF(Comp3[Comparable '#3 Dates],Benchmark2[[#This Row],[Benchmark '#2 Dates]])=1,"Pass","Fail")</f>
        <v>Pass</v>
      </c>
      <c r="K1244" s="6">
        <f>IF(Benchmark2[[#This Row],[Comparable '#3 Date Check]]="Pass",INDEX(Comp3[Comparable '#3 Price],MATCH(Benchmark2[[#This Row],[Benchmark '#2 Dates]],Comp3[Comparable '#3 Dates],0)),"-")</f>
        <v>75.599999999999994</v>
      </c>
    </row>
    <row r="1245" spans="1:11">
      <c r="A1245" s="103">
        <v>45090</v>
      </c>
      <c r="B1245" s="104">
        <v>15667.792299999999</v>
      </c>
      <c r="C1245" s="4">
        <f t="shared" si="19"/>
        <v>7.6446670671543445E-3</v>
      </c>
      <c r="D1245" s="1" t="str">
        <f>IF(COUNTIF(Target1[Target Dates],Benchmark2[[#This Row],[Benchmark '#2 Dates]])=1,"Pass","Fail")</f>
        <v>Pass</v>
      </c>
      <c r="E1245" s="6">
        <f>IF(Benchmark2[[#This Row],[Target Date Check]]="Pass",INDEX(Target1[Target Price],MATCH(Benchmark2[[#This Row],[Benchmark '#2 Dates]],Target1[Target Dates],0)),"-")</f>
        <v>40.700000000000003</v>
      </c>
      <c r="F1245" s="1" t="str">
        <f>IF(COUNTIF(Comp1[Comparable '#1 Dates],Benchmark2[[#This Row],[Benchmark '#2 Dates]])=1,"Pass","Fail")</f>
        <v>Pass</v>
      </c>
      <c r="G1245" s="6">
        <f>IF(Benchmark2[[#This Row],[Comparable '#1 Date Check]]="Pass",INDEX(Comp1[Comparable '#1 Price],MATCH(Benchmark2[[#This Row],[Benchmark '#2 Dates]],Comp1[Comparable '#1 Dates],0)),"-")</f>
        <v>11.92</v>
      </c>
      <c r="H1245" s="1" t="str">
        <f>IF(COUNTIF(Comp2[Comparable '#2 Dates],Benchmark2[[#This Row],[Benchmark '#2 Dates]])=1,"Pass","Fail")</f>
        <v>Pass</v>
      </c>
      <c r="I1245" s="6">
        <f>IF(Benchmark2[[#This Row],[Comparable '#2 Date Check]]="Pass",INDEX(Comp2[Comparable '#2 Price],MATCH(Benchmark2[[#This Row],[Benchmark '#2 Dates]],Comp2[Comparable '#2 Dates],0)),"-")</f>
        <v>40.58</v>
      </c>
      <c r="J1245" s="1" t="str">
        <f>IF(COUNTIF(Comp3[Comparable '#3 Dates],Benchmark2[[#This Row],[Benchmark '#2 Dates]])=1,"Pass","Fail")</f>
        <v>Pass</v>
      </c>
      <c r="K1245" s="6">
        <f>IF(Benchmark2[[#This Row],[Comparable '#3 Date Check]]="Pass",INDEX(Comp3[Comparable '#3 Price],MATCH(Benchmark2[[#This Row],[Benchmark '#2 Dates]],Comp3[Comparable '#3 Dates],0)),"-")</f>
        <v>75.8</v>
      </c>
    </row>
    <row r="1246" spans="1:11">
      <c r="A1246" s="103">
        <v>45091</v>
      </c>
      <c r="B1246" s="104">
        <v>15642.728999999999</v>
      </c>
      <c r="C1246" s="4">
        <f t="shared" si="19"/>
        <v>-1.6009510102404036E-3</v>
      </c>
      <c r="D1246" s="1" t="str">
        <f>IF(COUNTIF(Target1[Target Dates],Benchmark2[[#This Row],[Benchmark '#2 Dates]])=1,"Pass","Fail")</f>
        <v>Pass</v>
      </c>
      <c r="E1246" s="6">
        <f>IF(Benchmark2[[#This Row],[Target Date Check]]="Pass",INDEX(Target1[Target Price],MATCH(Benchmark2[[#This Row],[Benchmark '#2 Dates]],Target1[Target Dates],0)),"-")</f>
        <v>40.090000000000003</v>
      </c>
      <c r="F1246" s="1" t="str">
        <f>IF(COUNTIF(Comp1[Comparable '#1 Dates],Benchmark2[[#This Row],[Benchmark '#2 Dates]])=1,"Pass","Fail")</f>
        <v>Pass</v>
      </c>
      <c r="G1246" s="6">
        <f>IF(Benchmark2[[#This Row],[Comparable '#1 Date Check]]="Pass",INDEX(Comp1[Comparable '#1 Price],MATCH(Benchmark2[[#This Row],[Benchmark '#2 Dates]],Comp1[Comparable '#1 Dates],0)),"-")</f>
        <v>11.66</v>
      </c>
      <c r="H1246" s="1" t="str">
        <f>IF(COUNTIF(Comp2[Comparable '#2 Dates],Benchmark2[[#This Row],[Benchmark '#2 Dates]])=1,"Pass","Fail")</f>
        <v>Pass</v>
      </c>
      <c r="I1246" s="6">
        <f>IF(Benchmark2[[#This Row],[Comparable '#2 Date Check]]="Pass",INDEX(Comp2[Comparable '#2 Price],MATCH(Benchmark2[[#This Row],[Benchmark '#2 Dates]],Comp2[Comparable '#2 Dates],0)),"-")</f>
        <v>39.380000000000003</v>
      </c>
      <c r="J1246" s="1" t="str">
        <f>IF(COUNTIF(Comp3[Comparable '#3 Dates],Benchmark2[[#This Row],[Benchmark '#2 Dates]])=1,"Pass","Fail")</f>
        <v>Pass</v>
      </c>
      <c r="K1246" s="6">
        <f>IF(Benchmark2[[#This Row],[Comparable '#3 Date Check]]="Pass",INDEX(Comp3[Comparable '#3 Price],MATCH(Benchmark2[[#This Row],[Benchmark '#2 Dates]],Comp3[Comparable '#3 Dates],0)),"-")</f>
        <v>75.900000000000006</v>
      </c>
    </row>
    <row r="1247" spans="1:11">
      <c r="A1247" s="103">
        <v>45092</v>
      </c>
      <c r="B1247" s="104">
        <v>15826.3541</v>
      </c>
      <c r="C1247" s="4">
        <f t="shared" si="19"/>
        <v>1.1670323123313956E-2</v>
      </c>
      <c r="D1247" s="1" t="str">
        <f>IF(COUNTIF(Target1[Target Dates],Benchmark2[[#This Row],[Benchmark '#2 Dates]])=1,"Pass","Fail")</f>
        <v>Pass</v>
      </c>
      <c r="E1247" s="6">
        <f>IF(Benchmark2[[#This Row],[Target Date Check]]="Pass",INDEX(Target1[Target Price],MATCH(Benchmark2[[#This Row],[Benchmark '#2 Dates]],Target1[Target Dates],0)),"-")</f>
        <v>38.880000000000003</v>
      </c>
      <c r="F1247" s="1" t="str">
        <f>IF(COUNTIF(Comp1[Comparable '#1 Dates],Benchmark2[[#This Row],[Benchmark '#2 Dates]])=1,"Pass","Fail")</f>
        <v>Pass</v>
      </c>
      <c r="G1247" s="6">
        <f>IF(Benchmark2[[#This Row],[Comparable '#1 Date Check]]="Pass",INDEX(Comp1[Comparable '#1 Price],MATCH(Benchmark2[[#This Row],[Benchmark '#2 Dates]],Comp1[Comparable '#1 Dates],0)),"-")</f>
        <v>11.73</v>
      </c>
      <c r="H1247" s="1" t="str">
        <f>IF(COUNTIF(Comp2[Comparable '#2 Dates],Benchmark2[[#This Row],[Benchmark '#2 Dates]])=1,"Pass","Fail")</f>
        <v>Pass</v>
      </c>
      <c r="I1247" s="6">
        <f>IF(Benchmark2[[#This Row],[Comparable '#2 Date Check]]="Pass",INDEX(Comp2[Comparable '#2 Price],MATCH(Benchmark2[[#This Row],[Benchmark '#2 Dates]],Comp2[Comparable '#2 Dates],0)),"-")</f>
        <v>38.76</v>
      </c>
      <c r="J1247" s="1" t="str">
        <f>IF(COUNTIF(Comp3[Comparable '#3 Dates],Benchmark2[[#This Row],[Benchmark '#2 Dates]])=1,"Pass","Fail")</f>
        <v>Pass</v>
      </c>
      <c r="K1247" s="6">
        <f>IF(Benchmark2[[#This Row],[Comparable '#3 Date Check]]="Pass",INDEX(Comp3[Comparable '#3 Price],MATCH(Benchmark2[[#This Row],[Benchmark '#2 Dates]],Comp3[Comparable '#3 Dates],0)),"-")</f>
        <v>74.88</v>
      </c>
    </row>
    <row r="1248" spans="1:11">
      <c r="A1248" s="103">
        <v>45093</v>
      </c>
      <c r="B1248" s="104">
        <v>15795.118200000001</v>
      </c>
      <c r="C1248" s="4">
        <f t="shared" si="19"/>
        <v>-1.9756139033163828E-3</v>
      </c>
      <c r="D1248" s="1" t="str">
        <f>IF(COUNTIF(Target1[Target Dates],Benchmark2[[#This Row],[Benchmark '#2 Dates]])=1,"Pass","Fail")</f>
        <v>Pass</v>
      </c>
      <c r="E1248" s="6">
        <f>IF(Benchmark2[[#This Row],[Target Date Check]]="Pass",INDEX(Target1[Target Price],MATCH(Benchmark2[[#This Row],[Benchmark '#2 Dates]],Target1[Target Dates],0)),"-")</f>
        <v>39.799999999999997</v>
      </c>
      <c r="F1248" s="1" t="str">
        <f>IF(COUNTIF(Comp1[Comparable '#1 Dates],Benchmark2[[#This Row],[Benchmark '#2 Dates]])=1,"Pass","Fail")</f>
        <v>Pass</v>
      </c>
      <c r="G1248" s="6">
        <f>IF(Benchmark2[[#This Row],[Comparable '#1 Date Check]]="Pass",INDEX(Comp1[Comparable '#1 Price],MATCH(Benchmark2[[#This Row],[Benchmark '#2 Dates]],Comp1[Comparable '#1 Dates],0)),"-")</f>
        <v>11.76</v>
      </c>
      <c r="H1248" s="1" t="str">
        <f>IF(COUNTIF(Comp2[Comparable '#2 Dates],Benchmark2[[#This Row],[Benchmark '#2 Dates]])=1,"Pass","Fail")</f>
        <v>Pass</v>
      </c>
      <c r="I1248" s="6">
        <f>IF(Benchmark2[[#This Row],[Comparable '#2 Date Check]]="Pass",INDEX(Comp2[Comparable '#2 Price],MATCH(Benchmark2[[#This Row],[Benchmark '#2 Dates]],Comp2[Comparable '#2 Dates],0)),"-")</f>
        <v>38.840000000000003</v>
      </c>
      <c r="J1248" s="1" t="str">
        <f>IF(COUNTIF(Comp3[Comparable '#3 Dates],Benchmark2[[#This Row],[Benchmark '#2 Dates]])=1,"Pass","Fail")</f>
        <v>Pass</v>
      </c>
      <c r="K1248" s="6">
        <f>IF(Benchmark2[[#This Row],[Comparable '#3 Date Check]]="Pass",INDEX(Comp3[Comparable '#3 Price],MATCH(Benchmark2[[#This Row],[Benchmark '#2 Dates]],Comp3[Comparable '#3 Dates],0)),"-")</f>
        <v>74.97</v>
      </c>
    </row>
    <row r="1249" spans="1:11">
      <c r="A1249" s="103">
        <v>45097</v>
      </c>
      <c r="B1249" s="104">
        <v>15648.9211</v>
      </c>
      <c r="C1249" s="4">
        <f t="shared" si="19"/>
        <v>-9.298942294249905E-3</v>
      </c>
      <c r="D1249" s="1" t="str">
        <f>IF(COUNTIF(Target1[Target Dates],Benchmark2[[#This Row],[Benchmark '#2 Dates]])=1,"Pass","Fail")</f>
        <v>Pass</v>
      </c>
      <c r="E1249" s="6">
        <f>IF(Benchmark2[[#This Row],[Target Date Check]]="Pass",INDEX(Target1[Target Price],MATCH(Benchmark2[[#This Row],[Benchmark '#2 Dates]],Target1[Target Dates],0)),"-")</f>
        <v>39.159999999999997</v>
      </c>
      <c r="F1249" s="1" t="str">
        <f>IF(COUNTIF(Comp1[Comparable '#1 Dates],Benchmark2[[#This Row],[Benchmark '#2 Dates]])=1,"Pass","Fail")</f>
        <v>Pass</v>
      </c>
      <c r="G1249" s="6">
        <f>IF(Benchmark2[[#This Row],[Comparable '#1 Date Check]]="Pass",INDEX(Comp1[Comparable '#1 Price],MATCH(Benchmark2[[#This Row],[Benchmark '#2 Dates]],Comp1[Comparable '#1 Dates],0)),"-")</f>
        <v>11.73</v>
      </c>
      <c r="H1249" s="1" t="str">
        <f>IF(COUNTIF(Comp2[Comparable '#2 Dates],Benchmark2[[#This Row],[Benchmark '#2 Dates]])=1,"Pass","Fail")</f>
        <v>Pass</v>
      </c>
      <c r="I1249" s="6">
        <f>IF(Benchmark2[[#This Row],[Comparable '#2 Date Check]]="Pass",INDEX(Comp2[Comparable '#2 Price],MATCH(Benchmark2[[#This Row],[Benchmark '#2 Dates]],Comp2[Comparable '#2 Dates],0)),"-")</f>
        <v>38.53</v>
      </c>
      <c r="J1249" s="1" t="str">
        <f>IF(COUNTIF(Comp3[Comparable '#3 Dates],Benchmark2[[#This Row],[Benchmark '#2 Dates]])=1,"Pass","Fail")</f>
        <v>Pass</v>
      </c>
      <c r="K1249" s="6">
        <f>IF(Benchmark2[[#This Row],[Comparable '#3 Date Check]]="Pass",INDEX(Comp3[Comparable '#3 Price],MATCH(Benchmark2[[#This Row],[Benchmark '#2 Dates]],Comp3[Comparable '#3 Dates],0)),"-")</f>
        <v>73.680000000000007</v>
      </c>
    </row>
    <row r="1250" spans="1:11">
      <c r="A1250" s="103">
        <v>45098</v>
      </c>
      <c r="B1250" s="104">
        <v>15657.0038</v>
      </c>
      <c r="C1250" s="4">
        <f t="shared" si="19"/>
        <v>5.1636871968577312E-4</v>
      </c>
      <c r="D1250" s="1" t="str">
        <f>IF(COUNTIF(Target1[Target Dates],Benchmark2[[#This Row],[Benchmark '#2 Dates]])=1,"Pass","Fail")</f>
        <v>Pass</v>
      </c>
      <c r="E1250" s="6">
        <f>IF(Benchmark2[[#This Row],[Target Date Check]]="Pass",INDEX(Target1[Target Price],MATCH(Benchmark2[[#This Row],[Benchmark '#2 Dates]],Target1[Target Dates],0)),"-")</f>
        <v>38.369999999999997</v>
      </c>
      <c r="F1250" s="1" t="str">
        <f>IF(COUNTIF(Comp1[Comparable '#1 Dates],Benchmark2[[#This Row],[Benchmark '#2 Dates]])=1,"Pass","Fail")</f>
        <v>Pass</v>
      </c>
      <c r="G1250" s="6">
        <f>IF(Benchmark2[[#This Row],[Comparable '#1 Date Check]]="Pass",INDEX(Comp1[Comparable '#1 Price],MATCH(Benchmark2[[#This Row],[Benchmark '#2 Dates]],Comp1[Comparable '#1 Dates],0)),"-")</f>
        <v>12.16</v>
      </c>
      <c r="H1250" s="1" t="str">
        <f>IF(COUNTIF(Comp2[Comparable '#2 Dates],Benchmark2[[#This Row],[Benchmark '#2 Dates]])=1,"Pass","Fail")</f>
        <v>Pass</v>
      </c>
      <c r="I1250" s="6">
        <f>IF(Benchmark2[[#This Row],[Comparable '#2 Date Check]]="Pass",INDEX(Comp2[Comparable '#2 Price],MATCH(Benchmark2[[#This Row],[Benchmark '#2 Dates]],Comp2[Comparable '#2 Dates],0)),"-")</f>
        <v>37.020000000000003</v>
      </c>
      <c r="J1250" s="1" t="str">
        <f>IF(COUNTIF(Comp3[Comparable '#3 Dates],Benchmark2[[#This Row],[Benchmark '#2 Dates]])=1,"Pass","Fail")</f>
        <v>Pass</v>
      </c>
      <c r="K1250" s="6">
        <f>IF(Benchmark2[[#This Row],[Comparable '#3 Date Check]]="Pass",INDEX(Comp3[Comparable '#3 Price],MATCH(Benchmark2[[#This Row],[Benchmark '#2 Dates]],Comp3[Comparable '#3 Dates],0)),"-")</f>
        <v>72.94</v>
      </c>
    </row>
    <row r="1251" spans="1:11">
      <c r="A1251" s="103">
        <v>45099</v>
      </c>
      <c r="B1251" s="104">
        <v>15600.7012</v>
      </c>
      <c r="C1251" s="4">
        <f t="shared" si="19"/>
        <v>-3.6024820690241347E-3</v>
      </c>
      <c r="D1251" s="1" t="str">
        <f>IF(COUNTIF(Target1[Target Dates],Benchmark2[[#This Row],[Benchmark '#2 Dates]])=1,"Pass","Fail")</f>
        <v>Pass</v>
      </c>
      <c r="E1251" s="6">
        <f>IF(Benchmark2[[#This Row],[Target Date Check]]="Pass",INDEX(Target1[Target Price],MATCH(Benchmark2[[#This Row],[Benchmark '#2 Dates]],Target1[Target Dates],0)),"-")</f>
        <v>38.409999999999997</v>
      </c>
      <c r="F1251" s="1" t="str">
        <f>IF(COUNTIF(Comp1[Comparable '#1 Dates],Benchmark2[[#This Row],[Benchmark '#2 Dates]])=1,"Pass","Fail")</f>
        <v>Pass</v>
      </c>
      <c r="G1251" s="6">
        <f>IF(Benchmark2[[#This Row],[Comparable '#1 Date Check]]="Pass",INDEX(Comp1[Comparable '#1 Price],MATCH(Benchmark2[[#This Row],[Benchmark '#2 Dates]],Comp1[Comparable '#1 Dates],0)),"-")</f>
        <v>12.05</v>
      </c>
      <c r="H1251" s="1" t="str">
        <f>IF(COUNTIF(Comp2[Comparable '#2 Dates],Benchmark2[[#This Row],[Benchmark '#2 Dates]])=1,"Pass","Fail")</f>
        <v>Pass</v>
      </c>
      <c r="I1251" s="6">
        <f>IF(Benchmark2[[#This Row],[Comparable '#2 Date Check]]="Pass",INDEX(Comp2[Comparable '#2 Price],MATCH(Benchmark2[[#This Row],[Benchmark '#2 Dates]],Comp2[Comparable '#2 Dates],0)),"-")</f>
        <v>36.159999999999997</v>
      </c>
      <c r="J1251" s="1" t="str">
        <f>IF(COUNTIF(Comp3[Comparable '#3 Dates],Benchmark2[[#This Row],[Benchmark '#2 Dates]])=1,"Pass","Fail")</f>
        <v>Pass</v>
      </c>
      <c r="K1251" s="6">
        <f>IF(Benchmark2[[#This Row],[Comparable '#3 Date Check]]="Pass",INDEX(Comp3[Comparable '#3 Price],MATCH(Benchmark2[[#This Row],[Benchmark '#2 Dates]],Comp3[Comparable '#3 Dates],0)),"-")</f>
        <v>71.5</v>
      </c>
    </row>
    <row r="1252" spans="1:11">
      <c r="A1252" s="103">
        <v>45100</v>
      </c>
      <c r="B1252" s="104">
        <v>15469.3472</v>
      </c>
      <c r="C1252" s="4">
        <f t="shared" si="19"/>
        <v>-8.4553960708520035E-3</v>
      </c>
      <c r="D1252" s="1" t="str">
        <f>IF(COUNTIF(Target1[Target Dates],Benchmark2[[#This Row],[Benchmark '#2 Dates]])=1,"Pass","Fail")</f>
        <v>Pass</v>
      </c>
      <c r="E1252" s="6">
        <f>IF(Benchmark2[[#This Row],[Target Date Check]]="Pass",INDEX(Target1[Target Price],MATCH(Benchmark2[[#This Row],[Benchmark '#2 Dates]],Target1[Target Dates],0)),"-")</f>
        <v>37.54</v>
      </c>
      <c r="F1252" s="1" t="str">
        <f>IF(COUNTIF(Comp1[Comparable '#1 Dates],Benchmark2[[#This Row],[Benchmark '#2 Dates]])=1,"Pass","Fail")</f>
        <v>Pass</v>
      </c>
      <c r="G1252" s="6">
        <f>IF(Benchmark2[[#This Row],[Comparable '#1 Date Check]]="Pass",INDEX(Comp1[Comparable '#1 Price],MATCH(Benchmark2[[#This Row],[Benchmark '#2 Dates]],Comp1[Comparable '#1 Dates],0)),"-")</f>
        <v>11.62</v>
      </c>
      <c r="H1252" s="1" t="str">
        <f>IF(COUNTIF(Comp2[Comparable '#2 Dates],Benchmark2[[#This Row],[Benchmark '#2 Dates]])=1,"Pass","Fail")</f>
        <v>Pass</v>
      </c>
      <c r="I1252" s="6">
        <f>IF(Benchmark2[[#This Row],[Comparable '#2 Date Check]]="Pass",INDEX(Comp2[Comparable '#2 Price],MATCH(Benchmark2[[#This Row],[Benchmark '#2 Dates]],Comp2[Comparable '#2 Dates],0)),"-")</f>
        <v>34.950000000000003</v>
      </c>
      <c r="J1252" s="1" t="str">
        <f>IF(COUNTIF(Comp3[Comparable '#3 Dates],Benchmark2[[#This Row],[Benchmark '#2 Dates]])=1,"Pass","Fail")</f>
        <v>Pass</v>
      </c>
      <c r="K1252" s="6">
        <f>IF(Benchmark2[[#This Row],[Comparable '#3 Date Check]]="Pass",INDEX(Comp3[Comparable '#3 Price],MATCH(Benchmark2[[#This Row],[Benchmark '#2 Dates]],Comp3[Comparable '#3 Dates],0)),"-")</f>
        <v>70</v>
      </c>
    </row>
    <row r="1253" spans="1:11">
      <c r="A1253" s="103">
        <v>45103</v>
      </c>
      <c r="B1253" s="104">
        <v>15518.736699999999</v>
      </c>
      <c r="C1253" s="4">
        <f t="shared" si="19"/>
        <v>3.187647353758673E-3</v>
      </c>
      <c r="D1253" s="1" t="str">
        <f>IF(COUNTIF(Target1[Target Dates],Benchmark2[[#This Row],[Benchmark '#2 Dates]])=1,"Pass","Fail")</f>
        <v>Pass</v>
      </c>
      <c r="E1253" s="6">
        <f>IF(Benchmark2[[#This Row],[Target Date Check]]="Pass",INDEX(Target1[Target Price],MATCH(Benchmark2[[#This Row],[Benchmark '#2 Dates]],Target1[Target Dates],0)),"-")</f>
        <v>37.25</v>
      </c>
      <c r="F1253" s="1" t="str">
        <f>IF(COUNTIF(Comp1[Comparable '#1 Dates],Benchmark2[[#This Row],[Benchmark '#2 Dates]])=1,"Pass","Fail")</f>
        <v>Pass</v>
      </c>
      <c r="G1253" s="6">
        <f>IF(Benchmark2[[#This Row],[Comparable '#1 Date Check]]="Pass",INDEX(Comp1[Comparable '#1 Price],MATCH(Benchmark2[[#This Row],[Benchmark '#2 Dates]],Comp1[Comparable '#1 Dates],0)),"-")</f>
        <v>11.74</v>
      </c>
      <c r="H1253" s="1" t="str">
        <f>IF(COUNTIF(Comp2[Comparable '#2 Dates],Benchmark2[[#This Row],[Benchmark '#2 Dates]])=1,"Pass","Fail")</f>
        <v>Pass</v>
      </c>
      <c r="I1253" s="6">
        <f>IF(Benchmark2[[#This Row],[Comparable '#2 Date Check]]="Pass",INDEX(Comp2[Comparable '#2 Price],MATCH(Benchmark2[[#This Row],[Benchmark '#2 Dates]],Comp2[Comparable '#2 Dates],0)),"-")</f>
        <v>34.26</v>
      </c>
      <c r="J1253" s="1" t="str">
        <f>IF(COUNTIF(Comp3[Comparable '#3 Dates],Benchmark2[[#This Row],[Benchmark '#2 Dates]])=1,"Pass","Fail")</f>
        <v>Pass</v>
      </c>
      <c r="K1253" s="6">
        <f>IF(Benchmark2[[#This Row],[Comparable '#3 Date Check]]="Pass",INDEX(Comp3[Comparable '#3 Price],MATCH(Benchmark2[[#This Row],[Benchmark '#2 Dates]],Comp3[Comparable '#3 Dates],0)),"-")</f>
        <v>70.25</v>
      </c>
    </row>
    <row r="1254" spans="1:11">
      <c r="A1254" s="103">
        <v>45104</v>
      </c>
      <c r="B1254" s="104">
        <v>15646.679400000001</v>
      </c>
      <c r="C1254" s="4">
        <f t="shared" si="19"/>
        <v>8.210602313110613E-3</v>
      </c>
      <c r="D1254" s="1" t="str">
        <f>IF(COUNTIF(Target1[Target Dates],Benchmark2[[#This Row],[Benchmark '#2 Dates]])=1,"Pass","Fail")</f>
        <v>Pass</v>
      </c>
      <c r="E1254" s="6">
        <f>IF(Benchmark2[[#This Row],[Target Date Check]]="Pass",INDEX(Target1[Target Price],MATCH(Benchmark2[[#This Row],[Benchmark '#2 Dates]],Target1[Target Dates],0)),"-")</f>
        <v>37.26</v>
      </c>
      <c r="F1254" s="1" t="str">
        <f>IF(COUNTIF(Comp1[Comparable '#1 Dates],Benchmark2[[#This Row],[Benchmark '#2 Dates]])=1,"Pass","Fail")</f>
        <v>Pass</v>
      </c>
      <c r="G1254" s="6">
        <f>IF(Benchmark2[[#This Row],[Comparable '#1 Date Check]]="Pass",INDEX(Comp1[Comparable '#1 Price],MATCH(Benchmark2[[#This Row],[Benchmark '#2 Dates]],Comp1[Comparable '#1 Dates],0)),"-")</f>
        <v>11.68</v>
      </c>
      <c r="H1254" s="1" t="str">
        <f>IF(COUNTIF(Comp2[Comparable '#2 Dates],Benchmark2[[#This Row],[Benchmark '#2 Dates]])=1,"Pass","Fail")</f>
        <v>Pass</v>
      </c>
      <c r="I1254" s="6">
        <f>IF(Benchmark2[[#This Row],[Comparable '#2 Date Check]]="Pass",INDEX(Comp2[Comparable '#2 Price],MATCH(Benchmark2[[#This Row],[Benchmark '#2 Dates]],Comp2[Comparable '#2 Dates],0)),"-")</f>
        <v>34.200000000000003</v>
      </c>
      <c r="J1254" s="1" t="str">
        <f>IF(COUNTIF(Comp3[Comparable '#3 Dates],Benchmark2[[#This Row],[Benchmark '#2 Dates]])=1,"Pass","Fail")</f>
        <v>Pass</v>
      </c>
      <c r="K1254" s="6">
        <f>IF(Benchmark2[[#This Row],[Comparable '#3 Date Check]]="Pass",INDEX(Comp3[Comparable '#3 Price],MATCH(Benchmark2[[#This Row],[Benchmark '#2 Dates]],Comp3[Comparable '#3 Dates],0)),"-")</f>
        <v>69.83</v>
      </c>
    </row>
    <row r="1255" spans="1:11">
      <c r="A1255" s="103">
        <v>45105</v>
      </c>
      <c r="B1255" s="104">
        <v>15617.3603</v>
      </c>
      <c r="C1255" s="4">
        <f t="shared" si="19"/>
        <v>-1.8755803073585366E-3</v>
      </c>
      <c r="D1255" s="1" t="str">
        <f>IF(COUNTIF(Target1[Target Dates],Benchmark2[[#This Row],[Benchmark '#2 Dates]])=1,"Pass","Fail")</f>
        <v>Pass</v>
      </c>
      <c r="E1255" s="6">
        <f>IF(Benchmark2[[#This Row],[Target Date Check]]="Pass",INDEX(Target1[Target Price],MATCH(Benchmark2[[#This Row],[Benchmark '#2 Dates]],Target1[Target Dates],0)),"-")</f>
        <v>37.36</v>
      </c>
      <c r="F1255" s="1" t="str">
        <f>IF(COUNTIF(Comp1[Comparable '#1 Dates],Benchmark2[[#This Row],[Benchmark '#2 Dates]])=1,"Pass","Fail")</f>
        <v>Pass</v>
      </c>
      <c r="G1255" s="6">
        <f>IF(Benchmark2[[#This Row],[Comparable '#1 Date Check]]="Pass",INDEX(Comp1[Comparable '#1 Price],MATCH(Benchmark2[[#This Row],[Benchmark '#2 Dates]],Comp1[Comparable '#1 Dates],0)),"-")</f>
        <v>11.36</v>
      </c>
      <c r="H1255" s="1" t="str">
        <f>IF(COUNTIF(Comp2[Comparable '#2 Dates],Benchmark2[[#This Row],[Benchmark '#2 Dates]])=1,"Pass","Fail")</f>
        <v>Pass</v>
      </c>
      <c r="I1255" s="6">
        <f>IF(Benchmark2[[#This Row],[Comparable '#2 Date Check]]="Pass",INDEX(Comp2[Comparable '#2 Price],MATCH(Benchmark2[[#This Row],[Benchmark '#2 Dates]],Comp2[Comparable '#2 Dates],0)),"-")</f>
        <v>33.81</v>
      </c>
      <c r="J1255" s="1" t="str">
        <f>IF(COUNTIF(Comp3[Comparable '#3 Dates],Benchmark2[[#This Row],[Benchmark '#2 Dates]])=1,"Pass","Fail")</f>
        <v>Pass</v>
      </c>
      <c r="K1255" s="6">
        <f>IF(Benchmark2[[#This Row],[Comparable '#3 Date Check]]="Pass",INDEX(Comp3[Comparable '#3 Price],MATCH(Benchmark2[[#This Row],[Benchmark '#2 Dates]],Comp3[Comparable '#3 Dates],0)),"-")</f>
        <v>67.599999999999994</v>
      </c>
    </row>
    <row r="1256" spans="1:11">
      <c r="A1256" s="103">
        <v>45106</v>
      </c>
      <c r="B1256" s="104">
        <v>15737.377500000001</v>
      </c>
      <c r="C1256" s="4">
        <f t="shared" ref="C1256:C1259" si="20">IFERROR(IF(B1256="",NA(),LN(B1256/B1255)),"-")</f>
        <v>7.6554801327147273E-3</v>
      </c>
      <c r="D1256" s="1" t="str">
        <f>IF(COUNTIF(Target1[Target Dates],Benchmark2[[#This Row],[Benchmark '#2 Dates]])=1,"Pass","Fail")</f>
        <v>Pass</v>
      </c>
      <c r="E1256" s="6">
        <f>IF(Benchmark2[[#This Row],[Target Date Check]]="Pass",INDEX(Target1[Target Price],MATCH(Benchmark2[[#This Row],[Benchmark '#2 Dates]],Target1[Target Dates],0)),"-")</f>
        <v>37.29</v>
      </c>
      <c r="F1256" s="1" t="str">
        <f>IF(COUNTIF(Comp1[Comparable '#1 Dates],Benchmark2[[#This Row],[Benchmark '#2 Dates]])=1,"Pass","Fail")</f>
        <v>Pass</v>
      </c>
      <c r="G1256" s="6">
        <f>IF(Benchmark2[[#This Row],[Comparable '#1 Date Check]]="Pass",INDEX(Comp1[Comparable '#1 Price],MATCH(Benchmark2[[#This Row],[Benchmark '#2 Dates]],Comp1[Comparable '#1 Dates],0)),"-")</f>
        <v>11.74</v>
      </c>
      <c r="H1256" s="1" t="str">
        <f>IF(COUNTIF(Comp2[Comparable '#2 Dates],Benchmark2[[#This Row],[Benchmark '#2 Dates]])=1,"Pass","Fail")</f>
        <v>Pass</v>
      </c>
      <c r="I1256" s="6">
        <f>IF(Benchmark2[[#This Row],[Comparable '#2 Date Check]]="Pass",INDEX(Comp2[Comparable '#2 Price],MATCH(Benchmark2[[#This Row],[Benchmark '#2 Dates]],Comp2[Comparable '#2 Dates],0)),"-")</f>
        <v>34.450000000000003</v>
      </c>
      <c r="J1256" s="1" t="str">
        <f>IF(COUNTIF(Comp3[Comparable '#3 Dates],Benchmark2[[#This Row],[Benchmark '#2 Dates]])=1,"Pass","Fail")</f>
        <v>Pass</v>
      </c>
      <c r="K1256" s="6">
        <f>IF(Benchmark2[[#This Row],[Comparable '#3 Date Check]]="Pass",INDEX(Comp3[Comparable '#3 Price],MATCH(Benchmark2[[#This Row],[Benchmark '#2 Dates]],Comp3[Comparable '#3 Dates],0)),"-")</f>
        <v>67.67</v>
      </c>
    </row>
    <row r="1257" spans="1:11">
      <c r="A1257" s="103">
        <v>45107</v>
      </c>
      <c r="B1257" s="104">
        <v>15875.913500000001</v>
      </c>
      <c r="C1257" s="4">
        <f t="shared" si="20"/>
        <v>8.7644710456393146E-3</v>
      </c>
      <c r="D1257" s="1" t="str">
        <f>IF(COUNTIF(Target1[Target Dates],Benchmark2[[#This Row],[Benchmark '#2 Dates]])=1,"Pass","Fail")</f>
        <v>Pass</v>
      </c>
      <c r="E1257" s="6">
        <f>IF(Benchmark2[[#This Row],[Target Date Check]]="Pass",INDEX(Target1[Target Price],MATCH(Benchmark2[[#This Row],[Benchmark '#2 Dates]],Target1[Target Dates],0)),"-")</f>
        <v>37.229999999999997</v>
      </c>
      <c r="F1257" s="1" t="str">
        <f>IF(COUNTIF(Comp1[Comparable '#1 Dates],Benchmark2[[#This Row],[Benchmark '#2 Dates]])=1,"Pass","Fail")</f>
        <v>Pass</v>
      </c>
      <c r="G1257" s="6">
        <f>IF(Benchmark2[[#This Row],[Comparable '#1 Date Check]]="Pass",INDEX(Comp1[Comparable '#1 Price],MATCH(Benchmark2[[#This Row],[Benchmark '#2 Dates]],Comp1[Comparable '#1 Dates],0)),"-")</f>
        <v>12.09</v>
      </c>
      <c r="H1257" s="1" t="str">
        <f>IF(COUNTIF(Comp2[Comparable '#2 Dates],Benchmark2[[#This Row],[Benchmark '#2 Dates]])=1,"Pass","Fail")</f>
        <v>Pass</v>
      </c>
      <c r="I1257" s="6">
        <f>IF(Benchmark2[[#This Row],[Comparable '#2 Date Check]]="Pass",INDEX(Comp2[Comparable '#2 Price],MATCH(Benchmark2[[#This Row],[Benchmark '#2 Dates]],Comp2[Comparable '#2 Dates],0)),"-")</f>
        <v>34.340000000000003</v>
      </c>
      <c r="J1257" s="1" t="str">
        <f>IF(COUNTIF(Comp3[Comparable '#3 Dates],Benchmark2[[#This Row],[Benchmark '#2 Dates]])=1,"Pass","Fail")</f>
        <v>Pass</v>
      </c>
      <c r="K1257" s="6">
        <f>IF(Benchmark2[[#This Row],[Comparable '#3 Date Check]]="Pass",INDEX(Comp3[Comparable '#3 Price],MATCH(Benchmark2[[#This Row],[Benchmark '#2 Dates]],Comp3[Comparable '#3 Dates],0)),"-")</f>
        <v>67.84</v>
      </c>
    </row>
    <row r="1258" spans="1:11">
      <c r="A1258" s="103">
        <v>45110</v>
      </c>
      <c r="B1258" s="104">
        <v>15918.500599999999</v>
      </c>
      <c r="C1258" s="4">
        <f t="shared" si="20"/>
        <v>2.6789061333256457E-3</v>
      </c>
      <c r="D1258" s="1" t="str">
        <f>IF(COUNTIF(Target1[Target Dates],Benchmark2[[#This Row],[Benchmark '#2 Dates]])=1,"Pass","Fail")</f>
        <v>Pass</v>
      </c>
      <c r="E1258" s="6">
        <f>IF(Benchmark2[[#This Row],[Target Date Check]]="Pass",INDEX(Target1[Target Price],MATCH(Benchmark2[[#This Row],[Benchmark '#2 Dates]],Target1[Target Dates],0)),"-")</f>
        <v>37.229999999999997</v>
      </c>
      <c r="F1258" s="1" t="str">
        <f>IF(COUNTIF(Comp1[Comparable '#1 Dates],Benchmark2[[#This Row],[Benchmark '#2 Dates]])=1,"Pass","Fail")</f>
        <v>Pass</v>
      </c>
      <c r="G1258" s="6">
        <f>IF(Benchmark2[[#This Row],[Comparable '#1 Date Check]]="Pass",INDEX(Comp1[Comparable '#1 Price],MATCH(Benchmark2[[#This Row],[Benchmark '#2 Dates]],Comp1[Comparable '#1 Dates],0)),"-")</f>
        <v>12.05</v>
      </c>
      <c r="H1258" s="1" t="str">
        <f>IF(COUNTIF(Comp2[Comparable '#2 Dates],Benchmark2[[#This Row],[Benchmark '#2 Dates]])=1,"Pass","Fail")</f>
        <v>Pass</v>
      </c>
      <c r="I1258" s="6">
        <f>IF(Benchmark2[[#This Row],[Comparable '#2 Date Check]]="Pass",INDEX(Comp2[Comparable '#2 Price],MATCH(Benchmark2[[#This Row],[Benchmark '#2 Dates]],Comp2[Comparable '#2 Dates],0)),"-")</f>
        <v>34.520000000000003</v>
      </c>
      <c r="J1258" s="1" t="str">
        <f>IF(COUNTIF(Comp3[Comparable '#3 Dates],Benchmark2[[#This Row],[Benchmark '#2 Dates]])=1,"Pass","Fail")</f>
        <v>Pass</v>
      </c>
      <c r="K1258" s="6">
        <f>IF(Benchmark2[[#This Row],[Comparable '#3 Date Check]]="Pass",INDEX(Comp3[Comparable '#3 Price],MATCH(Benchmark2[[#This Row],[Benchmark '#2 Dates]],Comp3[Comparable '#3 Dates],0)),"-")</f>
        <v>67.7</v>
      </c>
    </row>
    <row r="1259" spans="1:11">
      <c r="A1259" s="103">
        <v>45112</v>
      </c>
      <c r="B1259" s="104">
        <v>15835.5309</v>
      </c>
      <c r="C1259" s="4">
        <f t="shared" si="20"/>
        <v>-5.2257861378709062E-3</v>
      </c>
      <c r="D1259" s="1" t="str">
        <f>IF(COUNTIF(Target1[Target Dates],Benchmark2[[#This Row],[Benchmark '#2 Dates]])=1,"Pass","Fail")</f>
        <v>Fail</v>
      </c>
      <c r="E1259" s="6" t="str">
        <f>IF(Benchmark2[[#This Row],[Target Date Check]]="Pass",INDEX(Target1[Target Price],MATCH(Benchmark2[[#This Row],[Benchmark '#2 Dates]],Target1[Target Dates],0)),"-")</f>
        <v>-</v>
      </c>
      <c r="F1259" s="1" t="str">
        <f>IF(COUNTIF(Comp1[Comparable '#1 Dates],Benchmark2[[#This Row],[Benchmark '#2 Dates]])=1,"Pass","Fail")</f>
        <v>Pass</v>
      </c>
      <c r="G1259" s="6">
        <f>IF(Benchmark2[[#This Row],[Comparable '#1 Date Check]]="Pass",INDEX(Comp1[Comparable '#1 Price],MATCH(Benchmark2[[#This Row],[Benchmark '#2 Dates]],Comp1[Comparable '#1 Dates],0)),"-")</f>
        <v>12.21</v>
      </c>
      <c r="H1259" s="1" t="str">
        <f>IF(COUNTIF(Comp2[Comparable '#2 Dates],Benchmark2[[#This Row],[Benchmark '#2 Dates]])=1,"Pass","Fail")</f>
        <v>Fail</v>
      </c>
      <c r="I1259" s="6" t="str">
        <f>IF(Benchmark2[[#This Row],[Comparable '#2 Date Check]]="Pass",INDEX(Comp2[Comparable '#2 Price],MATCH(Benchmark2[[#This Row],[Benchmark '#2 Dates]],Comp2[Comparable '#2 Dates],0)),"-")</f>
        <v>-</v>
      </c>
      <c r="J1259" s="1" t="str">
        <f>IF(COUNTIF(Comp3[Comparable '#3 Dates],Benchmark2[[#This Row],[Benchmark '#2 Dates]])=1,"Pass","Fail")</f>
        <v>Fail</v>
      </c>
      <c r="K1259" s="6" t="str">
        <f>IF(Benchmark2[[#This Row],[Comparable '#3 Date Check]]="Pass",INDEX(Comp3[Comparable '#3 Price],MATCH(Benchmark2[[#This Row],[Benchmark '#2 Dates]],Comp3[Comparable '#3 Dates],0)),"-")</f>
        <v>-</v>
      </c>
    </row>
  </sheetData>
  <phoneticPr fontId="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EBB39-A16E-4734-A3FB-6A12850D50DD}">
  <sheetPr codeName="Sheet7">
    <tabColor theme="1"/>
  </sheetPr>
  <dimension ref="A1:L1259"/>
  <sheetViews>
    <sheetView zoomScale="94" zoomScaleNormal="85" workbookViewId="0">
      <pane ySplit="1" topLeftCell="A2" activePane="bottomLeft" state="frozen"/>
      <selection pane="bottomLeft" activeCell="C7" sqref="C7"/>
    </sheetView>
  </sheetViews>
  <sheetFormatPr defaultColWidth="8.85546875" defaultRowHeight="15"/>
  <cols>
    <col min="1" max="1" width="15.140625" bestFit="1" customWidth="1"/>
    <col min="2" max="2" width="14.42578125" bestFit="1" customWidth="1"/>
    <col min="3" max="3" width="15.42578125" bestFit="1" customWidth="1"/>
    <col min="4" max="4" width="18.42578125" bestFit="1" customWidth="1"/>
    <col min="5" max="5" width="17.7109375" bestFit="1" customWidth="1"/>
    <col min="6" max="6" width="17.7109375" style="72" customWidth="1"/>
    <col min="7" max="7" width="24" bestFit="1" customWidth="1"/>
    <col min="8" max="8" width="18" bestFit="1" customWidth="1"/>
    <col min="9" max="9" width="32" bestFit="1" customWidth="1"/>
  </cols>
  <sheetData>
    <row r="1" spans="1:12" s="2" customFormat="1" ht="36" customHeight="1" thickBot="1">
      <c r="A1" s="3" t="s">
        <v>88</v>
      </c>
      <c r="B1" s="3" t="s">
        <v>74</v>
      </c>
      <c r="C1" s="8" t="s">
        <v>75</v>
      </c>
      <c r="D1" s="8" t="s">
        <v>89</v>
      </c>
      <c r="E1" s="8" t="s">
        <v>90</v>
      </c>
      <c r="F1" s="8" t="s">
        <v>91</v>
      </c>
      <c r="G1" s="8" t="s">
        <v>92</v>
      </c>
      <c r="H1" s="7" t="s">
        <v>73</v>
      </c>
      <c r="I1" s="7" t="s">
        <v>76</v>
      </c>
      <c r="L1" s="73" t="s">
        <v>93</v>
      </c>
    </row>
    <row r="2" spans="1:12">
      <c r="A2" s="103">
        <v>43286</v>
      </c>
      <c r="B2" s="104">
        <v>14.61</v>
      </c>
      <c r="C2" s="4" t="str">
        <f t="shared" ref="C2:C65" si="0">IFERROR(IF(B2="","-",LN(B2/B1)),"-")</f>
        <v>-</v>
      </c>
      <c r="D2" s="4" t="str">
        <f>IFERROR(Comp1[[#This Row],[Comparable '#1 Return]]+1,"-")</f>
        <v>-</v>
      </c>
      <c r="E2" s="6">
        <f>B2-MAX($B$2:B2)</f>
        <v>0</v>
      </c>
      <c r="F2" s="80">
        <f t="shared" ref="F2:F65" si="1">IF(E2=0,0,F1+1)</f>
        <v>0</v>
      </c>
      <c r="G2" s="22" cm="1">
        <f t="array" ref="G2">Comp1[[#This Row],[Comparable '#1 Drawdown]]/MAX($B$2:B2)</f>
        <v>0</v>
      </c>
      <c r="H2" s="1" t="str">
        <f>IF(SUM(COUNTIF(Benchmark1[Benchmark '#1 Dates],Comp1[[#This Row],[Comparable '#1 Dates]]),COUNTIF(Benchmark2[Benchmark '#2 Dates],Comp1[[#This Row],[Comparable '#1 Dates]]))=2,"Pass","Fail")</f>
        <v>Pass</v>
      </c>
      <c r="I2" s="1" t="str">
        <f>IFERROR(Comp1[[#This Row],[Comparable '#1 Return]]-INDEX(Benchmark1[Benchmark '#1 Return],MATCH(Comp1[[#This Row],[Comparable '#1 Dates]],Benchmark1[Benchmark '#1 Dates],0)),"-")</f>
        <v>-</v>
      </c>
      <c r="L2" s="72">
        <f>Comp1[[#This Row],[Comparable '#1 Price]]/$B$2*100</f>
        <v>100</v>
      </c>
    </row>
    <row r="3" spans="1:12">
      <c r="A3" s="103">
        <v>43287</v>
      </c>
      <c r="B3" s="104">
        <v>14.86</v>
      </c>
      <c r="C3" s="4">
        <f t="shared" si="0"/>
        <v>1.6966813527005006E-2</v>
      </c>
      <c r="D3" s="1">
        <f>IFERROR(Comp1[[#This Row],[Comparable '#1 Return]]+1,"-")</f>
        <v>1.0169668135270049</v>
      </c>
      <c r="E3" s="6">
        <f>B3-MAX($B$2:B3)</f>
        <v>0</v>
      </c>
      <c r="F3" s="80">
        <f t="shared" si="1"/>
        <v>0</v>
      </c>
      <c r="G3" s="22" cm="1">
        <f t="array" ref="G3">Comp1[[#This Row],[Comparable '#1 Drawdown]]/MAX($B$2:B3)</f>
        <v>0</v>
      </c>
      <c r="H3" s="1" t="str">
        <f>IF(SUM(COUNTIF(Benchmark1[Benchmark '#1 Dates],Comp1[[#This Row],[Comparable '#1 Dates]]),COUNTIF(Benchmark2[Benchmark '#2 Dates],Comp1[[#This Row],[Comparable '#1 Dates]]))=2,"Pass","Fail")</f>
        <v>Pass</v>
      </c>
      <c r="I3" s="1">
        <f>IFERROR(Comp1[[#This Row],[Comparable '#1 Return]]-INDEX(Benchmark1[Benchmark '#1 Return],MATCH(Comp1[[#This Row],[Comparable '#1 Dates]],Benchmark1[Benchmark '#1 Dates],0)),"-")</f>
        <v>8.5215268241220603E-3</v>
      </c>
      <c r="L3" s="72">
        <f>Comp1[[#This Row],[Comparable '#1 Price]]/$B$2*100</f>
        <v>101.71115674195757</v>
      </c>
    </row>
    <row r="4" spans="1:12">
      <c r="A4" s="103">
        <v>43290</v>
      </c>
      <c r="B4" s="104">
        <v>15.19</v>
      </c>
      <c r="C4" s="4">
        <f t="shared" si="0"/>
        <v>2.1964277318068475E-2</v>
      </c>
      <c r="D4" s="1">
        <f>IFERROR(Comp1[[#This Row],[Comparable '#1 Return]]+1,"-")</f>
        <v>1.0219642773180684</v>
      </c>
      <c r="E4" s="6">
        <f>B4-MAX($B$2:B4)</f>
        <v>0</v>
      </c>
      <c r="F4" s="80">
        <f t="shared" si="1"/>
        <v>0</v>
      </c>
      <c r="G4" s="22" cm="1">
        <f t="array" ref="G4">Comp1[[#This Row],[Comparable '#1 Drawdown]]/MAX($B$2:B4)</f>
        <v>0</v>
      </c>
      <c r="H4" s="1" t="str">
        <f>IF(SUM(COUNTIF(Benchmark1[Benchmark '#1 Dates],Comp1[[#This Row],[Comparable '#1 Dates]]),COUNTIF(Benchmark2[Benchmark '#2 Dates],Comp1[[#This Row],[Comparable '#1 Dates]]))=2,"Pass","Fail")</f>
        <v>Pass</v>
      </c>
      <c r="I4" s="1">
        <f>IFERROR(Comp1[[#This Row],[Comparable '#1 Return]]-INDEX(Benchmark1[Benchmark '#1 Return],MATCH(Comp1[[#This Row],[Comparable '#1 Dates]],Benchmark1[Benchmark '#1 Dates],0)),"-")</f>
        <v>1.3179464034236074E-2</v>
      </c>
      <c r="L4" s="72">
        <f>Comp1[[#This Row],[Comparable '#1 Price]]/$B$2*100</f>
        <v>103.96988364134154</v>
      </c>
    </row>
    <row r="5" spans="1:12">
      <c r="A5" s="103">
        <v>43291</v>
      </c>
      <c r="B5" s="104">
        <v>15.32</v>
      </c>
      <c r="C5" s="4">
        <f t="shared" si="0"/>
        <v>8.5218477047638262E-3</v>
      </c>
      <c r="D5" s="1">
        <f>IFERROR(Comp1[[#This Row],[Comparable '#1 Return]]+1,"-")</f>
        <v>1.0085218477047637</v>
      </c>
      <c r="E5" s="6">
        <f>B5-MAX($B$2:B5)</f>
        <v>0</v>
      </c>
      <c r="F5" s="80">
        <f t="shared" si="1"/>
        <v>0</v>
      </c>
      <c r="G5" s="22" cm="1">
        <f t="array" ref="G5">Comp1[[#This Row],[Comparable '#1 Drawdown]]/MAX($B$2:B5)</f>
        <v>0</v>
      </c>
      <c r="H5" s="1" t="str">
        <f>IF(SUM(COUNTIF(Benchmark1[Benchmark '#1 Dates],Comp1[[#This Row],[Comparable '#1 Dates]]),COUNTIF(Benchmark2[Benchmark '#2 Dates],Comp1[[#This Row],[Comparable '#1 Dates]]))=2,"Pass","Fail")</f>
        <v>Pass</v>
      </c>
      <c r="I5" s="1">
        <f>IFERROR(Comp1[[#This Row],[Comparable '#1 Return]]-INDEX(Benchmark1[Benchmark '#1 Return],MATCH(Comp1[[#This Row],[Comparable '#1 Dates]],Benchmark1[Benchmark '#1 Dates],0)),"-")</f>
        <v>5.0561255818811334E-3</v>
      </c>
      <c r="L5" s="72">
        <f>Comp1[[#This Row],[Comparable '#1 Price]]/$B$2*100</f>
        <v>104.85968514715948</v>
      </c>
    </row>
    <row r="6" spans="1:12">
      <c r="A6" s="103">
        <v>43292</v>
      </c>
      <c r="B6" s="104">
        <v>15.27</v>
      </c>
      <c r="C6" s="4">
        <f t="shared" si="0"/>
        <v>-3.2690450819042186E-3</v>
      </c>
      <c r="D6" s="1">
        <f>IFERROR(Comp1[[#This Row],[Comparable '#1 Return]]+1,"-")</f>
        <v>0.99673095491809582</v>
      </c>
      <c r="E6" s="6">
        <f>B6-MAX($B$2:B6)</f>
        <v>-5.0000000000000711E-2</v>
      </c>
      <c r="F6" s="80">
        <f t="shared" si="1"/>
        <v>1</v>
      </c>
      <c r="G6" s="22" cm="1">
        <f t="array" ref="G6">Comp1[[#This Row],[Comparable '#1 Drawdown]]/MAX($B$2:B6)</f>
        <v>-3.2637075718016128E-3</v>
      </c>
      <c r="H6" s="1" t="str">
        <f>IF(SUM(COUNTIF(Benchmark1[Benchmark '#1 Dates],Comp1[[#This Row],[Comparable '#1 Dates]]),COUNTIF(Benchmark2[Benchmark '#2 Dates],Comp1[[#This Row],[Comparable '#1 Dates]]))=2,"Pass","Fail")</f>
        <v>Pass</v>
      </c>
      <c r="I6" s="1">
        <f>IFERROR(Comp1[[#This Row],[Comparable '#1 Return]]-INDEX(Benchmark1[Benchmark '#1 Return],MATCH(Comp1[[#This Row],[Comparable '#1 Dates]],Benchmark1[Benchmark '#1 Dates],0)),"-")</f>
        <v>3.8510220618995653E-3</v>
      </c>
      <c r="L6" s="72">
        <f>Comp1[[#This Row],[Comparable '#1 Price]]/$B$2*100</f>
        <v>104.51745379876797</v>
      </c>
    </row>
    <row r="7" spans="1:12">
      <c r="A7" s="103">
        <v>43293</v>
      </c>
      <c r="B7" s="104">
        <v>15.19</v>
      </c>
      <c r="C7" s="4">
        <f t="shared" si="0"/>
        <v>-5.252802622859625E-3</v>
      </c>
      <c r="D7" s="1">
        <f>IFERROR(Comp1[[#This Row],[Comparable '#1 Return]]+1,"-")</f>
        <v>0.99474719737714035</v>
      </c>
      <c r="E7" s="6">
        <f>B7-MAX($B$2:B7)</f>
        <v>-0.13000000000000078</v>
      </c>
      <c r="F7" s="80">
        <f t="shared" si="1"/>
        <v>2</v>
      </c>
      <c r="G7" s="22" cm="1">
        <f t="array" ref="G7">Comp1[[#This Row],[Comparable '#1 Drawdown]]/MAX($B$2:B7)</f>
        <v>-8.4856396866841242E-3</v>
      </c>
      <c r="H7" s="1" t="str">
        <f>IF(SUM(COUNTIF(Benchmark1[Benchmark '#1 Dates],Comp1[[#This Row],[Comparable '#1 Dates]]),COUNTIF(Benchmark2[Benchmark '#2 Dates],Comp1[[#This Row],[Comparable '#1 Dates]]))=2,"Pass","Fail")</f>
        <v>Pass</v>
      </c>
      <c r="I7" s="1">
        <f>IFERROR(Comp1[[#This Row],[Comparable '#1 Return]]-INDEX(Benchmark1[Benchmark '#1 Return],MATCH(Comp1[[#This Row],[Comparable '#1 Dates]],Benchmark1[Benchmark '#1 Dates],0)),"-")</f>
        <v>-1.3963596478058293E-2</v>
      </c>
      <c r="L7" s="72">
        <f>Comp1[[#This Row],[Comparable '#1 Price]]/$B$2*100</f>
        <v>103.96988364134154</v>
      </c>
    </row>
    <row r="8" spans="1:12">
      <c r="A8" s="103">
        <v>43294</v>
      </c>
      <c r="B8" s="104">
        <v>15.1</v>
      </c>
      <c r="C8" s="4">
        <f t="shared" si="0"/>
        <v>-5.9425727868028175E-3</v>
      </c>
      <c r="D8" s="1">
        <f>IFERROR(Comp1[[#This Row],[Comparable '#1 Return]]+1,"-")</f>
        <v>0.99405742721319723</v>
      </c>
      <c r="E8" s="6">
        <f>B8-MAX($B$2:B8)</f>
        <v>-0.22000000000000064</v>
      </c>
      <c r="F8" s="80">
        <f t="shared" si="1"/>
        <v>3</v>
      </c>
      <c r="G8" s="22" cm="1">
        <f t="array" ref="G8">Comp1[[#This Row],[Comparable '#1 Drawdown]]/MAX($B$2:B8)</f>
        <v>-1.4360313315926935E-2</v>
      </c>
      <c r="H8" s="1" t="str">
        <f>IF(SUM(COUNTIF(Benchmark1[Benchmark '#1 Dates],Comp1[[#This Row],[Comparable '#1 Dates]]),COUNTIF(Benchmark2[Benchmark '#2 Dates],Comp1[[#This Row],[Comparable '#1 Dates]]))=2,"Pass","Fail")</f>
        <v>Pass</v>
      </c>
      <c r="I8" s="1">
        <f>IFERROR(Comp1[[#This Row],[Comparable '#1 Return]]-INDEX(Benchmark1[Benchmark '#1 Return],MATCH(Comp1[[#This Row],[Comparable '#1 Dates]],Benchmark1[Benchmark '#1 Dates],0)),"-")</f>
        <v>-7.0228111930407721E-3</v>
      </c>
      <c r="L8" s="72">
        <f>Comp1[[#This Row],[Comparable '#1 Price]]/$B$2*100</f>
        <v>103.35386721423683</v>
      </c>
    </row>
    <row r="9" spans="1:12">
      <c r="A9" s="103">
        <v>43297</v>
      </c>
      <c r="B9" s="104">
        <v>15.09</v>
      </c>
      <c r="C9" s="4">
        <f t="shared" si="0"/>
        <v>-6.6247104112114065E-4</v>
      </c>
      <c r="D9" s="1">
        <f>IFERROR(Comp1[[#This Row],[Comparable '#1 Return]]+1,"-")</f>
        <v>0.99933752895887884</v>
      </c>
      <c r="E9" s="6">
        <f>B9-MAX($B$2:B9)</f>
        <v>-0.23000000000000043</v>
      </c>
      <c r="F9" s="80">
        <f t="shared" si="1"/>
        <v>4</v>
      </c>
      <c r="G9" s="22" cm="1">
        <f t="array" ref="G9">Comp1[[#This Row],[Comparable '#1 Drawdown]]/MAX($B$2:B9)</f>
        <v>-1.5013054830287234E-2</v>
      </c>
      <c r="H9" s="1" t="str">
        <f>IF(SUM(COUNTIF(Benchmark1[Benchmark '#1 Dates],Comp1[[#This Row],[Comparable '#1 Dates]]),COUNTIF(Benchmark2[Benchmark '#2 Dates],Comp1[[#This Row],[Comparable '#1 Dates]]))=2,"Pass","Fail")</f>
        <v>Pass</v>
      </c>
      <c r="I9" s="1">
        <f>IFERROR(Comp1[[#This Row],[Comparable '#1 Return]]-INDEX(Benchmark1[Benchmark '#1 Return],MATCH(Comp1[[#This Row],[Comparable '#1 Dates]],Benchmark1[Benchmark '#1 Dates],0)),"-")</f>
        <v>3.6499298706915283E-4</v>
      </c>
      <c r="L9" s="72">
        <f>Comp1[[#This Row],[Comparable '#1 Price]]/$B$2*100</f>
        <v>103.28542094455852</v>
      </c>
    </row>
    <row r="10" spans="1:12">
      <c r="A10" s="103">
        <v>43298</v>
      </c>
      <c r="B10" s="104">
        <v>15.11</v>
      </c>
      <c r="C10" s="4">
        <f t="shared" si="0"/>
        <v>1.3245035048906884E-3</v>
      </c>
      <c r="D10" s="1">
        <f>IFERROR(Comp1[[#This Row],[Comparable '#1 Return]]+1,"-")</f>
        <v>1.0013245035048908</v>
      </c>
      <c r="E10" s="6">
        <f>B10-MAX($B$2:B10)</f>
        <v>-0.21000000000000085</v>
      </c>
      <c r="F10" s="80">
        <f t="shared" si="1"/>
        <v>5</v>
      </c>
      <c r="G10" s="22" cm="1">
        <f t="array" ref="G10">Comp1[[#This Row],[Comparable '#1 Drawdown]]/MAX($B$2:B10)</f>
        <v>-1.3707571801566634E-2</v>
      </c>
      <c r="H10" s="1" t="str">
        <f>IF(SUM(COUNTIF(Benchmark1[Benchmark '#1 Dates],Comp1[[#This Row],[Comparable '#1 Dates]]),COUNTIF(Benchmark2[Benchmark '#2 Dates],Comp1[[#This Row],[Comparable '#1 Dates]]))=2,"Pass","Fail")</f>
        <v>Pass</v>
      </c>
      <c r="I10" s="1">
        <f>IFERROR(Comp1[[#This Row],[Comparable '#1 Return]]-INDEX(Benchmark1[Benchmark '#1 Return],MATCH(Comp1[[#This Row],[Comparable '#1 Dates]],Benchmark1[Benchmark '#1 Dates],0)),"-")</f>
        <v>-2.6402112176522477E-3</v>
      </c>
      <c r="L10" s="72">
        <f>Comp1[[#This Row],[Comparable '#1 Price]]/$B$2*100</f>
        <v>103.42231348391513</v>
      </c>
    </row>
    <row r="11" spans="1:12">
      <c r="A11" s="103">
        <v>43299</v>
      </c>
      <c r="B11" s="104">
        <v>15.23</v>
      </c>
      <c r="C11" s="4">
        <f t="shared" si="0"/>
        <v>7.9103906224222264E-3</v>
      </c>
      <c r="D11" s="1">
        <f>IFERROR(Comp1[[#This Row],[Comparable '#1 Return]]+1,"-")</f>
        <v>1.0079103906224223</v>
      </c>
      <c r="E11" s="6">
        <f>B11-MAX($B$2:B11)</f>
        <v>-8.9999999999999858E-2</v>
      </c>
      <c r="F11" s="80">
        <f t="shared" si="1"/>
        <v>6</v>
      </c>
      <c r="G11" s="22" cm="1">
        <f t="array" ref="G11">Comp1[[#This Row],[Comparable '#1 Drawdown]]/MAX($B$2:B11)</f>
        <v>-5.8746736292428102E-3</v>
      </c>
      <c r="H11" s="1" t="str">
        <f>IF(SUM(COUNTIF(Benchmark1[Benchmark '#1 Dates],Comp1[[#This Row],[Comparable '#1 Dates]]),COUNTIF(Benchmark2[Benchmark '#2 Dates],Comp1[[#This Row],[Comparable '#1 Dates]]))=2,"Pass","Fail")</f>
        <v>Pass</v>
      </c>
      <c r="I11" s="1">
        <f>IFERROR(Comp1[[#This Row],[Comparable '#1 Return]]-INDEX(Benchmark1[Benchmark '#1 Return],MATCH(Comp1[[#This Row],[Comparable '#1 Dates]],Benchmark1[Benchmark '#1 Dates],0)),"-")</f>
        <v>5.752886822394214E-3</v>
      </c>
      <c r="L11" s="72">
        <f>Comp1[[#This Row],[Comparable '#1 Price]]/$B$2*100</f>
        <v>104.24366872005477</v>
      </c>
    </row>
    <row r="12" spans="1:12">
      <c r="A12" s="103">
        <v>43300</v>
      </c>
      <c r="B12" s="104">
        <v>14.96</v>
      </c>
      <c r="C12" s="4">
        <f t="shared" si="0"/>
        <v>-1.7887194360739267E-2</v>
      </c>
      <c r="D12" s="1">
        <f>IFERROR(Comp1[[#This Row],[Comparable '#1 Return]]+1,"-")</f>
        <v>0.98211280563926073</v>
      </c>
      <c r="E12" s="6">
        <f>B12-MAX($B$2:B12)</f>
        <v>-0.35999999999999943</v>
      </c>
      <c r="F12" s="80">
        <f t="shared" si="1"/>
        <v>7</v>
      </c>
      <c r="G12" s="22" cm="1">
        <f t="array" ref="G12">Comp1[[#This Row],[Comparable '#1 Drawdown]]/MAX($B$2:B12)</f>
        <v>-2.3498694516971241E-2</v>
      </c>
      <c r="H12" s="1" t="str">
        <f>IF(SUM(COUNTIF(Benchmark1[Benchmark '#1 Dates],Comp1[[#This Row],[Comparable '#1 Dates]]),COUNTIF(Benchmark2[Benchmark '#2 Dates],Comp1[[#This Row],[Comparable '#1 Dates]]))=2,"Pass","Fail")</f>
        <v>Pass</v>
      </c>
      <c r="I12" s="1">
        <f>IFERROR(Comp1[[#This Row],[Comparable '#1 Return]]-INDEX(Benchmark1[Benchmark '#1 Return],MATCH(Comp1[[#This Row],[Comparable '#1 Dates]],Benchmark1[Benchmark '#1 Dates],0)),"-")</f>
        <v>-1.39277065257651E-2</v>
      </c>
      <c r="L12" s="72">
        <f>Comp1[[#This Row],[Comparable '#1 Price]]/$B$2*100</f>
        <v>102.39561943874061</v>
      </c>
    </row>
    <row r="13" spans="1:12">
      <c r="A13" s="103">
        <v>43301</v>
      </c>
      <c r="B13" s="104">
        <v>15.12</v>
      </c>
      <c r="C13" s="4">
        <f>IFERROR(IF(B13="","-",LN(B13/B12)),"-")</f>
        <v>1.0638398205055577E-2</v>
      </c>
      <c r="D13" s="1">
        <f>IFERROR(Comp1[[#This Row],[Comparable '#1 Return]]+1,"-")</f>
        <v>1.0106383982050555</v>
      </c>
      <c r="E13" s="6">
        <f>B13-MAX($B$2:B13)</f>
        <v>-0.20000000000000107</v>
      </c>
      <c r="F13" s="80">
        <f t="shared" si="1"/>
        <v>8</v>
      </c>
      <c r="G13" s="22" cm="1">
        <f t="array" ref="G13">Comp1[[#This Row],[Comparable '#1 Drawdown]]/MAX($B$2:B13)</f>
        <v>-1.3054830287206335E-2</v>
      </c>
      <c r="H13" s="1" t="str">
        <f>IF(SUM(COUNTIF(Benchmark1[Benchmark '#1 Dates],Comp1[[#This Row],[Comparable '#1 Dates]]),COUNTIF(Benchmark2[Benchmark '#2 Dates],Comp1[[#This Row],[Comparable '#1 Dates]]))=2,"Pass","Fail")</f>
        <v>Pass</v>
      </c>
      <c r="I13" s="1">
        <f>IFERROR(Comp1[[#This Row],[Comparable '#1 Return]]-INDEX(Benchmark1[Benchmark '#1 Return],MATCH(Comp1[[#This Row],[Comparable '#1 Dates]],Benchmark1[Benchmark '#1 Dates],0)),"-")</f>
        <v>1.1589227038094601E-2</v>
      </c>
      <c r="L13" s="72">
        <f>Comp1[[#This Row],[Comparable '#1 Price]]/$B$2*100</f>
        <v>103.49075975359344</v>
      </c>
    </row>
    <row r="14" spans="1:12">
      <c r="A14" s="103">
        <v>43304</v>
      </c>
      <c r="B14" s="104">
        <v>15.06</v>
      </c>
      <c r="C14" s="4">
        <f t="shared" si="0"/>
        <v>-3.9761483796392945E-3</v>
      </c>
      <c r="D14" s="1">
        <f>IFERROR(Comp1[[#This Row],[Comparable '#1 Return]]+1,"-")</f>
        <v>0.99602385162036067</v>
      </c>
      <c r="E14" s="6">
        <f>B14-MAX($B$2:B14)</f>
        <v>-0.25999999999999979</v>
      </c>
      <c r="F14" s="80">
        <f t="shared" si="1"/>
        <v>9</v>
      </c>
      <c r="G14" s="22" cm="1">
        <f t="array" ref="G14">Comp1[[#This Row],[Comparable '#1 Drawdown]]/MAX($B$2:B14)</f>
        <v>-1.697127937336813E-2</v>
      </c>
      <c r="H14" s="1" t="str">
        <f>IF(SUM(COUNTIF(Benchmark1[Benchmark '#1 Dates],Comp1[[#This Row],[Comparable '#1 Dates]]),COUNTIF(Benchmark2[Benchmark '#2 Dates],Comp1[[#This Row],[Comparable '#1 Dates]]))=2,"Pass","Fail")</f>
        <v>Pass</v>
      </c>
      <c r="I14" s="1">
        <f>IFERROR(Comp1[[#This Row],[Comparable '#1 Return]]-INDEX(Benchmark1[Benchmark '#1 Return],MATCH(Comp1[[#This Row],[Comparable '#1 Dates]],Benchmark1[Benchmark '#1 Dates],0)),"-")</f>
        <v>-5.8142606771356183E-3</v>
      </c>
      <c r="L14" s="72">
        <f>Comp1[[#This Row],[Comparable '#1 Price]]/$B$2*100</f>
        <v>103.08008213552363</v>
      </c>
    </row>
    <row r="15" spans="1:12">
      <c r="A15" s="103">
        <v>43305</v>
      </c>
      <c r="B15" s="104">
        <v>14.99</v>
      </c>
      <c r="C15" s="4">
        <f t="shared" si="0"/>
        <v>-4.6589102572411785E-3</v>
      </c>
      <c r="D15" s="1">
        <f>IFERROR(Comp1[[#This Row],[Comparable '#1 Return]]+1,"-")</f>
        <v>0.99534108974275881</v>
      </c>
      <c r="E15" s="6">
        <f>B15-MAX($B$2:B15)</f>
        <v>-0.33000000000000007</v>
      </c>
      <c r="F15" s="80">
        <f t="shared" si="1"/>
        <v>10</v>
      </c>
      <c r="G15" s="22" cm="1">
        <f t="array" ref="G15">Comp1[[#This Row],[Comparable '#1 Drawdown]]/MAX($B$2:B15)</f>
        <v>-2.1540469973890343E-2</v>
      </c>
      <c r="H15" s="1" t="str">
        <f>IF(SUM(COUNTIF(Benchmark1[Benchmark '#1 Dates],Comp1[[#This Row],[Comparable '#1 Dates]]),COUNTIF(Benchmark2[Benchmark '#2 Dates],Comp1[[#This Row],[Comparable '#1 Dates]]))=2,"Pass","Fail")</f>
        <v>Pass</v>
      </c>
      <c r="I15" s="1">
        <f>IFERROR(Comp1[[#This Row],[Comparable '#1 Return]]-INDEX(Benchmark1[Benchmark '#1 Return],MATCH(Comp1[[#This Row],[Comparable '#1 Dates]],Benchmark1[Benchmark '#1 Dates],0)),"-")</f>
        <v>-9.428888307244445E-3</v>
      </c>
      <c r="L15" s="72">
        <f>Comp1[[#This Row],[Comparable '#1 Price]]/$B$2*100</f>
        <v>102.60095824777551</v>
      </c>
    </row>
    <row r="16" spans="1:12">
      <c r="A16" s="103">
        <v>43306</v>
      </c>
      <c r="B16" s="104">
        <v>15.06</v>
      </c>
      <c r="C16" s="4">
        <f t="shared" si="0"/>
        <v>4.6589102572412704E-3</v>
      </c>
      <c r="D16" s="1">
        <f>IFERROR(Comp1[[#This Row],[Comparable '#1 Return]]+1,"-")</f>
        <v>1.0046589102572412</v>
      </c>
      <c r="E16" s="6">
        <f>B16-MAX($B$2:B16)</f>
        <v>-0.25999999999999979</v>
      </c>
      <c r="F16" s="80">
        <f t="shared" si="1"/>
        <v>11</v>
      </c>
      <c r="G16" s="22" cm="1">
        <f t="array" ref="G16">Comp1[[#This Row],[Comparable '#1 Drawdown]]/MAX($B$2:B16)</f>
        <v>-1.697127937336813E-2</v>
      </c>
      <c r="H16" s="1" t="str">
        <f>IF(SUM(COUNTIF(Benchmark1[Benchmark '#1 Dates],Comp1[[#This Row],[Comparable '#1 Dates]]),COUNTIF(Benchmark2[Benchmark '#2 Dates],Comp1[[#This Row],[Comparable '#1 Dates]]))=2,"Pass","Fail")</f>
        <v>Pass</v>
      </c>
      <c r="I16" s="1">
        <f>IFERROR(Comp1[[#This Row],[Comparable '#1 Return]]-INDEX(Benchmark1[Benchmark '#1 Return],MATCH(Comp1[[#This Row],[Comparable '#1 Dates]],Benchmark1[Benchmark '#1 Dates],0)),"-")</f>
        <v>-4.3989630890689004E-3</v>
      </c>
      <c r="L16" s="72">
        <f>Comp1[[#This Row],[Comparable '#1 Price]]/$B$2*100</f>
        <v>103.08008213552363</v>
      </c>
    </row>
    <row r="17" spans="1:12">
      <c r="A17" s="103">
        <v>43307</v>
      </c>
      <c r="B17" s="104">
        <v>15.37</v>
      </c>
      <c r="C17" s="4">
        <f t="shared" si="0"/>
        <v>2.0375335178756955E-2</v>
      </c>
      <c r="D17" s="1">
        <f>IFERROR(Comp1[[#This Row],[Comparable '#1 Return]]+1,"-")</f>
        <v>1.020375335178757</v>
      </c>
      <c r="E17" s="6">
        <f>B17-MAX($B$2:B17)</f>
        <v>0</v>
      </c>
      <c r="F17" s="80">
        <f t="shared" si="1"/>
        <v>0</v>
      </c>
      <c r="G17" s="22" cm="1">
        <f t="array" ref="G17">Comp1[[#This Row],[Comparable '#1 Drawdown]]/MAX($B$2:B17)</f>
        <v>0</v>
      </c>
      <c r="H17" s="1" t="str">
        <f>IF(SUM(COUNTIF(Benchmark1[Benchmark '#1 Dates],Comp1[[#This Row],[Comparable '#1 Dates]]),COUNTIF(Benchmark2[Benchmark '#2 Dates],Comp1[[#This Row],[Comparable '#1 Dates]]))=2,"Pass","Fail")</f>
        <v>Pass</v>
      </c>
      <c r="I17" s="1">
        <f>IFERROR(Comp1[[#This Row],[Comparable '#1 Return]]-INDEX(Benchmark1[Benchmark '#1 Return],MATCH(Comp1[[#This Row],[Comparable '#1 Dates]],Benchmark1[Benchmark '#1 Dates],0)),"-")</f>
        <v>2.3411159472391141E-2</v>
      </c>
      <c r="L17" s="72">
        <f>Comp1[[#This Row],[Comparable '#1 Price]]/$B$2*100</f>
        <v>105.20191649555099</v>
      </c>
    </row>
    <row r="18" spans="1:12">
      <c r="A18" s="103">
        <v>43308</v>
      </c>
      <c r="B18" s="104">
        <v>15.27</v>
      </c>
      <c r="C18" s="4">
        <f t="shared" si="0"/>
        <v>-6.527438319963383E-3</v>
      </c>
      <c r="D18" s="1">
        <f>IFERROR(Comp1[[#This Row],[Comparable '#1 Return]]+1,"-")</f>
        <v>0.99347256168003661</v>
      </c>
      <c r="E18" s="6">
        <f>B18-MAX($B$2:B18)</f>
        <v>-9.9999999999999645E-2</v>
      </c>
      <c r="F18" s="80">
        <f t="shared" si="1"/>
        <v>1</v>
      </c>
      <c r="G18" s="22" cm="1">
        <f t="array" ref="G18">Comp1[[#This Row],[Comparable '#1 Drawdown]]/MAX($B$2:B18)</f>
        <v>-6.5061808718282141E-3</v>
      </c>
      <c r="H18" s="1" t="str">
        <f>IF(SUM(COUNTIF(Benchmark1[Benchmark '#1 Dates],Comp1[[#This Row],[Comparable '#1 Dates]]),COUNTIF(Benchmark2[Benchmark '#2 Dates],Comp1[[#This Row],[Comparable '#1 Dates]]))=2,"Pass","Fail")</f>
        <v>Pass</v>
      </c>
      <c r="I18" s="1">
        <f>IFERROR(Comp1[[#This Row],[Comparable '#1 Return]]-INDEX(Benchmark1[Benchmark '#1 Return],MATCH(Comp1[[#This Row],[Comparable '#1 Dates]],Benchmark1[Benchmark '#1 Dates],0)),"-")</f>
        <v>5.7278254802684177E-5</v>
      </c>
      <c r="L18" s="72">
        <f>Comp1[[#This Row],[Comparable '#1 Price]]/$B$2*100</f>
        <v>104.51745379876797</v>
      </c>
    </row>
    <row r="19" spans="1:12">
      <c r="A19" s="103">
        <v>43311</v>
      </c>
      <c r="B19" s="104">
        <v>14.33</v>
      </c>
      <c r="C19" s="4">
        <f t="shared" si="0"/>
        <v>-6.3534877390460487E-2</v>
      </c>
      <c r="D19" s="1">
        <f>IFERROR(Comp1[[#This Row],[Comparable '#1 Return]]+1,"-")</f>
        <v>0.93646512260953951</v>
      </c>
      <c r="E19" s="6">
        <f>B19-MAX($B$2:B19)</f>
        <v>-1.0399999999999991</v>
      </c>
      <c r="F19" s="80">
        <f t="shared" si="1"/>
        <v>2</v>
      </c>
      <c r="G19" s="22" cm="1">
        <f t="array" ref="G19">Comp1[[#This Row],[Comparable '#1 Drawdown]]/MAX($B$2:B19)</f>
        <v>-6.766428106701361E-2</v>
      </c>
      <c r="H19" s="1" t="str">
        <f>IF(SUM(COUNTIF(Benchmark1[Benchmark '#1 Dates],Comp1[[#This Row],[Comparable '#1 Dates]]),COUNTIF(Benchmark2[Benchmark '#2 Dates],Comp1[[#This Row],[Comparable '#1 Dates]]))=2,"Pass","Fail")</f>
        <v>Pass</v>
      </c>
      <c r="I19" s="1">
        <f>IFERROR(Comp1[[#This Row],[Comparable '#1 Return]]-INDEX(Benchmark1[Benchmark '#1 Return],MATCH(Comp1[[#This Row],[Comparable '#1 Dates]],Benchmark1[Benchmark '#1 Dates],0)),"-")</f>
        <v>-5.7765435466066183E-2</v>
      </c>
      <c r="L19" s="72">
        <f>Comp1[[#This Row],[Comparable '#1 Price]]/$B$2*100</f>
        <v>98.083504449007535</v>
      </c>
    </row>
    <row r="20" spans="1:12">
      <c r="A20" s="103">
        <v>43312</v>
      </c>
      <c r="B20" s="104">
        <v>14.81</v>
      </c>
      <c r="C20" s="4">
        <f t="shared" si="0"/>
        <v>3.2947386439626865E-2</v>
      </c>
      <c r="D20" s="1">
        <f>IFERROR(Comp1[[#This Row],[Comparable '#1 Return]]+1,"-")</f>
        <v>1.0329473864396268</v>
      </c>
      <c r="E20" s="6">
        <f>B20-MAX($B$2:B20)</f>
        <v>-0.55999999999999872</v>
      </c>
      <c r="F20" s="80">
        <f t="shared" si="1"/>
        <v>3</v>
      </c>
      <c r="G20" s="22" cm="1">
        <f t="array" ref="G20">Comp1[[#This Row],[Comparable '#1 Drawdown]]/MAX($B$2:B20)</f>
        <v>-3.6434612882238045E-2</v>
      </c>
      <c r="H20" s="1" t="str">
        <f>IF(SUM(COUNTIF(Benchmark1[Benchmark '#1 Dates],Comp1[[#This Row],[Comparable '#1 Dates]]),COUNTIF(Benchmark2[Benchmark '#2 Dates],Comp1[[#This Row],[Comparable '#1 Dates]]))=2,"Pass","Fail")</f>
        <v>Pass</v>
      </c>
      <c r="I20" s="1">
        <f>IFERROR(Comp1[[#This Row],[Comparable '#1 Return]]-INDEX(Benchmark1[Benchmark '#1 Return],MATCH(Comp1[[#This Row],[Comparable '#1 Dates]],Benchmark1[Benchmark '#1 Dates],0)),"-")</f>
        <v>2.807553020725494E-2</v>
      </c>
      <c r="L20" s="72">
        <f>Comp1[[#This Row],[Comparable '#1 Price]]/$B$2*100</f>
        <v>101.36892539356606</v>
      </c>
    </row>
    <row r="21" spans="1:12">
      <c r="A21" s="103">
        <v>43313</v>
      </c>
      <c r="B21" s="104">
        <v>15.01</v>
      </c>
      <c r="C21" s="4">
        <f t="shared" si="0"/>
        <v>1.3414017365663137E-2</v>
      </c>
      <c r="D21" s="1">
        <f>IFERROR(Comp1[[#This Row],[Comparable '#1 Return]]+1,"-")</f>
        <v>1.0134140173656632</v>
      </c>
      <c r="E21" s="6">
        <f>B21-MAX($B$2:B21)</f>
        <v>-0.35999999999999943</v>
      </c>
      <c r="F21" s="80">
        <f t="shared" si="1"/>
        <v>4</v>
      </c>
      <c r="G21" s="22" cm="1">
        <f t="array" ref="G21">Comp1[[#This Row],[Comparable '#1 Drawdown]]/MAX($B$2:B21)</f>
        <v>-2.3422251138581617E-2</v>
      </c>
      <c r="H21" s="1" t="str">
        <f>IF(SUM(COUNTIF(Benchmark1[Benchmark '#1 Dates],Comp1[[#This Row],[Comparable '#1 Dates]]),COUNTIF(Benchmark2[Benchmark '#2 Dates],Comp1[[#This Row],[Comparable '#1 Dates]]))=2,"Pass","Fail")</f>
        <v>Pass</v>
      </c>
      <c r="I21" s="1">
        <f>IFERROR(Comp1[[#This Row],[Comparable '#1 Return]]-INDEX(Benchmark1[Benchmark '#1 Return],MATCH(Comp1[[#This Row],[Comparable '#1 Dates]],Benchmark1[Benchmark '#1 Dates],0)),"-")</f>
        <v>1.4452703807089812E-2</v>
      </c>
      <c r="L21" s="72">
        <f>Comp1[[#This Row],[Comparable '#1 Price]]/$B$2*100</f>
        <v>102.73785078713212</v>
      </c>
    </row>
    <row r="22" spans="1:12">
      <c r="A22" s="103">
        <v>43314</v>
      </c>
      <c r="B22" s="104">
        <v>14.89</v>
      </c>
      <c r="C22" s="4">
        <f t="shared" si="0"/>
        <v>-8.0267989494528773E-3</v>
      </c>
      <c r="D22" s="1">
        <f>IFERROR(Comp1[[#This Row],[Comparable '#1 Return]]+1,"-")</f>
        <v>0.99197320105054709</v>
      </c>
      <c r="E22" s="6">
        <f>B22-MAX($B$2:B22)</f>
        <v>-0.47999999999999865</v>
      </c>
      <c r="F22" s="80">
        <f t="shared" si="1"/>
        <v>5</v>
      </c>
      <c r="G22" s="22" cm="1">
        <f t="array" ref="G22">Comp1[[#This Row],[Comparable '#1 Drawdown]]/MAX($B$2:B22)</f>
        <v>-3.1229668184775451E-2</v>
      </c>
      <c r="H22" s="1" t="str">
        <f>IF(SUM(COUNTIF(Benchmark1[Benchmark '#1 Dates],Comp1[[#This Row],[Comparable '#1 Dates]]),COUNTIF(Benchmark2[Benchmark '#2 Dates],Comp1[[#This Row],[Comparable '#1 Dates]]))=2,"Pass","Fail")</f>
        <v>Pass</v>
      </c>
      <c r="I22" s="1">
        <f>IFERROR(Comp1[[#This Row],[Comparable '#1 Return]]-INDEX(Benchmark1[Benchmark '#1 Return],MATCH(Comp1[[#This Row],[Comparable '#1 Dates]],Benchmark1[Benchmark '#1 Dates],0)),"-")</f>
        <v>-1.2938836189855396E-2</v>
      </c>
      <c r="L22" s="72">
        <f>Comp1[[#This Row],[Comparable '#1 Price]]/$B$2*100</f>
        <v>101.91649555099247</v>
      </c>
    </row>
    <row r="23" spans="1:12">
      <c r="A23" s="103">
        <v>43315</v>
      </c>
      <c r="B23" s="104">
        <v>14.68</v>
      </c>
      <c r="C23" s="4">
        <f t="shared" si="0"/>
        <v>-1.4203823509548153E-2</v>
      </c>
      <c r="D23" s="1">
        <f>IFERROR(Comp1[[#This Row],[Comparable '#1 Return]]+1,"-")</f>
        <v>0.98579617649045181</v>
      </c>
      <c r="E23" s="6">
        <f>B23-MAX($B$2:B23)</f>
        <v>-0.6899999999999995</v>
      </c>
      <c r="F23" s="80">
        <f t="shared" si="1"/>
        <v>6</v>
      </c>
      <c r="G23" s="22" cm="1">
        <f t="array" ref="G23">Comp1[[#This Row],[Comparable '#1 Drawdown]]/MAX($B$2:B23)</f>
        <v>-4.4892648015614801E-2</v>
      </c>
      <c r="H23" s="1" t="str">
        <f>IF(SUM(COUNTIF(Benchmark1[Benchmark '#1 Dates],Comp1[[#This Row],[Comparable '#1 Dates]]),COUNTIF(Benchmark2[Benchmark '#2 Dates],Comp1[[#This Row],[Comparable '#1 Dates]]))=2,"Pass","Fail")</f>
        <v>Pass</v>
      </c>
      <c r="I23" s="1">
        <f>IFERROR(Comp1[[#This Row],[Comparable '#1 Return]]-INDEX(Benchmark1[Benchmark '#1 Return],MATCH(Comp1[[#This Row],[Comparable '#1 Dates]],Benchmark1[Benchmark '#1 Dates],0)),"-")</f>
        <v>-1.8839078234783868E-2</v>
      </c>
      <c r="L23" s="72">
        <f>Comp1[[#This Row],[Comparable '#1 Price]]/$B$2*100</f>
        <v>100.47912388774812</v>
      </c>
    </row>
    <row r="24" spans="1:12">
      <c r="A24" s="103">
        <v>43318</v>
      </c>
      <c r="B24" s="104">
        <v>14.7</v>
      </c>
      <c r="C24" s="4">
        <f t="shared" si="0"/>
        <v>1.3614705983211706E-3</v>
      </c>
      <c r="D24" s="1">
        <f>IFERROR(Comp1[[#This Row],[Comparable '#1 Return]]+1,"-")</f>
        <v>1.0013614705983211</v>
      </c>
      <c r="E24" s="6">
        <f>B24-MAX($B$2:B24)</f>
        <v>-0.66999999999999993</v>
      </c>
      <c r="F24" s="80">
        <f t="shared" si="1"/>
        <v>7</v>
      </c>
      <c r="G24" s="22" cm="1">
        <f t="array" ref="G24">Comp1[[#This Row],[Comparable '#1 Drawdown]]/MAX($B$2:B24)</f>
        <v>-4.3591411841249185E-2</v>
      </c>
      <c r="H24" s="1" t="str">
        <f>IF(SUM(COUNTIF(Benchmark1[Benchmark '#1 Dates],Comp1[[#This Row],[Comparable '#1 Dates]]),COUNTIF(Benchmark2[Benchmark '#2 Dates],Comp1[[#This Row],[Comparable '#1 Dates]]))=2,"Pass","Fail")</f>
        <v>Pass</v>
      </c>
      <c r="I24" s="1">
        <f>IFERROR(Comp1[[#This Row],[Comparable '#1 Return]]-INDEX(Benchmark1[Benchmark '#1 Return],MATCH(Comp1[[#This Row],[Comparable '#1 Dates]],Benchmark1[Benchmark '#1 Dates],0)),"-")</f>
        <v>-2.1681287748507964E-3</v>
      </c>
      <c r="L24" s="72">
        <f>Comp1[[#This Row],[Comparable '#1 Price]]/$B$2*100</f>
        <v>100.61601642710471</v>
      </c>
    </row>
    <row r="25" spans="1:12">
      <c r="A25" s="103">
        <v>43319</v>
      </c>
      <c r="B25" s="104">
        <v>14.7</v>
      </c>
      <c r="C25" s="4">
        <f t="shared" si="0"/>
        <v>0</v>
      </c>
      <c r="D25" s="1">
        <f>IFERROR(Comp1[[#This Row],[Comparable '#1 Return]]+1,"-")</f>
        <v>1</v>
      </c>
      <c r="E25" s="6">
        <f>B25-MAX($B$2:B25)</f>
        <v>-0.66999999999999993</v>
      </c>
      <c r="F25" s="80">
        <f t="shared" si="1"/>
        <v>8</v>
      </c>
      <c r="G25" s="22" cm="1">
        <f t="array" ref="G25">Comp1[[#This Row],[Comparable '#1 Drawdown]]/MAX($B$2:B25)</f>
        <v>-4.3591411841249185E-2</v>
      </c>
      <c r="H25" s="1" t="str">
        <f>IF(SUM(COUNTIF(Benchmark1[Benchmark '#1 Dates],Comp1[[#This Row],[Comparable '#1 Dates]]),COUNTIF(Benchmark2[Benchmark '#2 Dates],Comp1[[#This Row],[Comparable '#1 Dates]]))=2,"Pass","Fail")</f>
        <v>Pass</v>
      </c>
      <c r="I25" s="1">
        <f>IFERROR(Comp1[[#This Row],[Comparable '#1 Return]]-INDEX(Benchmark1[Benchmark '#1 Return],MATCH(Comp1[[#This Row],[Comparable '#1 Dates]],Benchmark1[Benchmark '#1 Dates],0)),"-")</f>
        <v>-2.8219131659504605E-3</v>
      </c>
      <c r="L25" s="72">
        <f>Comp1[[#This Row],[Comparable '#1 Price]]/$B$2*100</f>
        <v>100.61601642710471</v>
      </c>
    </row>
    <row r="26" spans="1:12">
      <c r="A26" s="103">
        <v>43320</v>
      </c>
      <c r="B26" s="104">
        <v>14.78</v>
      </c>
      <c r="C26" s="4">
        <f t="shared" si="0"/>
        <v>5.4274217353650154E-3</v>
      </c>
      <c r="D26" s="1">
        <f>IFERROR(Comp1[[#This Row],[Comparable '#1 Return]]+1,"-")</f>
        <v>1.0054274217353649</v>
      </c>
      <c r="E26" s="6">
        <f>B26-MAX($B$2:B26)</f>
        <v>-0.58999999999999986</v>
      </c>
      <c r="F26" s="80">
        <f t="shared" si="1"/>
        <v>9</v>
      </c>
      <c r="G26" s="22" cm="1">
        <f t="array" ref="G26">Comp1[[#This Row],[Comparable '#1 Drawdown]]/MAX($B$2:B26)</f>
        <v>-3.8386467143786587E-2</v>
      </c>
      <c r="H26" s="1" t="str">
        <f>IF(SUM(COUNTIF(Benchmark1[Benchmark '#1 Dates],Comp1[[#This Row],[Comparable '#1 Dates]]),COUNTIF(Benchmark2[Benchmark '#2 Dates],Comp1[[#This Row],[Comparable '#1 Dates]]))=2,"Pass","Fail")</f>
        <v>Pass</v>
      </c>
      <c r="I26" s="1">
        <f>IFERROR(Comp1[[#This Row],[Comparable '#1 Return]]-INDEX(Benchmark1[Benchmark '#1 Return],MATCH(Comp1[[#This Row],[Comparable '#1 Dates]],Benchmark1[Benchmark '#1 Dates],0)),"-")</f>
        <v>5.6887912378518306E-3</v>
      </c>
      <c r="L26" s="72">
        <f>Comp1[[#This Row],[Comparable '#1 Price]]/$B$2*100</f>
        <v>101.16358658453115</v>
      </c>
    </row>
    <row r="27" spans="1:12">
      <c r="A27" s="103">
        <v>43321</v>
      </c>
      <c r="B27" s="104">
        <v>16.38</v>
      </c>
      <c r="C27" s="4">
        <f t="shared" si="0"/>
        <v>0.10278616290486758</v>
      </c>
      <c r="D27" s="1">
        <f>IFERROR(Comp1[[#This Row],[Comparable '#1 Return]]+1,"-")</f>
        <v>1.1027861629048676</v>
      </c>
      <c r="E27" s="6">
        <f>B27-MAX($B$2:B27)</f>
        <v>0</v>
      </c>
      <c r="F27" s="80">
        <f t="shared" si="1"/>
        <v>0</v>
      </c>
      <c r="G27" s="22" cm="1">
        <f t="array" ref="G27">Comp1[[#This Row],[Comparable '#1 Drawdown]]/MAX($B$2:B27)</f>
        <v>0</v>
      </c>
      <c r="H27" s="1" t="str">
        <f>IF(SUM(COUNTIF(Benchmark1[Benchmark '#1 Dates],Comp1[[#This Row],[Comparable '#1 Dates]]),COUNTIF(Benchmark2[Benchmark '#2 Dates],Comp1[[#This Row],[Comparable '#1 Dates]]))=2,"Pass","Fail")</f>
        <v>Pass</v>
      </c>
      <c r="I27" s="1">
        <f>IFERROR(Comp1[[#This Row],[Comparable '#1 Return]]-INDEX(Benchmark1[Benchmark '#1 Return],MATCH(Comp1[[#This Row],[Comparable '#1 Dates]],Benchmark1[Benchmark '#1 Dates],0)),"-")</f>
        <v>0.10422911154433723</v>
      </c>
      <c r="L27" s="72">
        <f>Comp1[[#This Row],[Comparable '#1 Price]]/$B$2*100</f>
        <v>112.11498973305956</v>
      </c>
    </row>
    <row r="28" spans="1:12">
      <c r="A28" s="103">
        <v>43322</v>
      </c>
      <c r="B28" s="104">
        <v>16</v>
      </c>
      <c r="C28" s="4">
        <f t="shared" si="0"/>
        <v>-2.3472356185142044E-2</v>
      </c>
      <c r="D28" s="1">
        <f>IFERROR(Comp1[[#This Row],[Comparable '#1 Return]]+1,"-")</f>
        <v>0.9765276438148579</v>
      </c>
      <c r="E28" s="6">
        <f>B28-MAX($B$2:B28)</f>
        <v>-0.37999999999999901</v>
      </c>
      <c r="F28" s="80">
        <f t="shared" si="1"/>
        <v>1</v>
      </c>
      <c r="G28" s="22" cm="1">
        <f t="array" ref="G28">Comp1[[#This Row],[Comparable '#1 Drawdown]]/MAX($B$2:B28)</f>
        <v>-2.3199023199023141E-2</v>
      </c>
      <c r="H28" s="1" t="str">
        <f>IF(SUM(COUNTIF(Benchmark1[Benchmark '#1 Dates],Comp1[[#This Row],[Comparable '#1 Dates]]),COUNTIF(Benchmark2[Benchmark '#2 Dates],Comp1[[#This Row],[Comparable '#1 Dates]]))=2,"Pass","Fail")</f>
        <v>Pass</v>
      </c>
      <c r="I28" s="1">
        <f>IFERROR(Comp1[[#This Row],[Comparable '#1 Return]]-INDEX(Benchmark1[Benchmark '#1 Return],MATCH(Comp1[[#This Row],[Comparable '#1 Dates]],Benchmark1[Benchmark '#1 Dates],0)),"-")</f>
        <v>-1.6332959299140297E-2</v>
      </c>
      <c r="L28" s="72">
        <f>Comp1[[#This Row],[Comparable '#1 Price]]/$B$2*100</f>
        <v>109.51403148528405</v>
      </c>
    </row>
    <row r="29" spans="1:12">
      <c r="A29" s="103">
        <v>43325</v>
      </c>
      <c r="B29" s="104">
        <v>16.09</v>
      </c>
      <c r="C29" s="4">
        <f t="shared" si="0"/>
        <v>5.6092387645105945E-3</v>
      </c>
      <c r="D29" s="1">
        <f>IFERROR(Comp1[[#This Row],[Comparable '#1 Return]]+1,"-")</f>
        <v>1.0056092387645106</v>
      </c>
      <c r="E29" s="6">
        <f>B29-MAX($B$2:B29)</f>
        <v>-0.28999999999999915</v>
      </c>
      <c r="F29" s="80">
        <f t="shared" si="1"/>
        <v>2</v>
      </c>
      <c r="G29" s="22" cm="1">
        <f t="array" ref="G29">Comp1[[#This Row],[Comparable '#1 Drawdown]]/MAX($B$2:B29)</f>
        <v>-1.7704517704517652E-2</v>
      </c>
      <c r="H29" s="1" t="str">
        <f>IF(SUM(COUNTIF(Benchmark1[Benchmark '#1 Dates],Comp1[[#This Row],[Comparable '#1 Dates]]),COUNTIF(Benchmark2[Benchmark '#2 Dates],Comp1[[#This Row],[Comparable '#1 Dates]]))=2,"Pass","Fail")</f>
        <v>Pass</v>
      </c>
      <c r="I29" s="1">
        <f>IFERROR(Comp1[[#This Row],[Comparable '#1 Return]]-INDEX(Benchmark1[Benchmark '#1 Return],MATCH(Comp1[[#This Row],[Comparable '#1 Dates]],Benchmark1[Benchmark '#1 Dates],0)),"-")</f>
        <v>9.6251493994076766E-3</v>
      </c>
      <c r="L29" s="72">
        <f>Comp1[[#This Row],[Comparable '#1 Price]]/$B$2*100</f>
        <v>110.13004791238879</v>
      </c>
    </row>
    <row r="30" spans="1:12">
      <c r="A30" s="103">
        <v>43326</v>
      </c>
      <c r="B30" s="104">
        <v>16.170000000000002</v>
      </c>
      <c r="C30" s="4">
        <f t="shared" si="0"/>
        <v>4.9597125847236521E-3</v>
      </c>
      <c r="D30" s="1">
        <f>IFERROR(Comp1[[#This Row],[Comparable '#1 Return]]+1,"-")</f>
        <v>1.0049597125847236</v>
      </c>
      <c r="E30" s="6">
        <f>B30-MAX($B$2:B30)</f>
        <v>-0.2099999999999973</v>
      </c>
      <c r="F30" s="80">
        <f t="shared" si="1"/>
        <v>3</v>
      </c>
      <c r="G30" s="22" cm="1">
        <f t="array" ref="G30">Comp1[[#This Row],[Comparable '#1 Drawdown]]/MAX($B$2:B30)</f>
        <v>-1.2820512820512657E-2</v>
      </c>
      <c r="H30" s="1" t="str">
        <f>IF(SUM(COUNTIF(Benchmark1[Benchmark '#1 Dates],Comp1[[#This Row],[Comparable '#1 Dates]]),COUNTIF(Benchmark2[Benchmark '#2 Dates],Comp1[[#This Row],[Comparable '#1 Dates]]))=2,"Pass","Fail")</f>
        <v>Pass</v>
      </c>
      <c r="I30" s="1">
        <f>IFERROR(Comp1[[#This Row],[Comparable '#1 Return]]-INDEX(Benchmark1[Benchmark '#1 Return],MATCH(Comp1[[#This Row],[Comparable '#1 Dates]],Benchmark1[Benchmark '#1 Dates],0)),"-")</f>
        <v>-1.4082097440073025E-3</v>
      </c>
      <c r="L30" s="72">
        <f>Comp1[[#This Row],[Comparable '#1 Price]]/$B$2*100</f>
        <v>110.67761806981522</v>
      </c>
    </row>
    <row r="31" spans="1:12">
      <c r="A31" s="103">
        <v>43327</v>
      </c>
      <c r="B31" s="104">
        <v>15.98</v>
      </c>
      <c r="C31" s="4">
        <f t="shared" si="0"/>
        <v>-1.1819733250886965E-2</v>
      </c>
      <c r="D31" s="1">
        <f>IFERROR(Comp1[[#This Row],[Comparable '#1 Return]]+1,"-")</f>
        <v>0.98818026674911308</v>
      </c>
      <c r="E31" s="6">
        <f>B31-MAX($B$2:B31)</f>
        <v>-0.39999999999999858</v>
      </c>
      <c r="F31" s="80">
        <f t="shared" si="1"/>
        <v>4</v>
      </c>
      <c r="G31" s="22" cm="1">
        <f t="array" ref="G31">Comp1[[#This Row],[Comparable '#1 Drawdown]]/MAX($B$2:B31)</f>
        <v>-2.4420024420024333E-2</v>
      </c>
      <c r="H31" s="1" t="str">
        <f>IF(SUM(COUNTIF(Benchmark1[Benchmark '#1 Dates],Comp1[[#This Row],[Comparable '#1 Dates]]),COUNTIF(Benchmark2[Benchmark '#2 Dates],Comp1[[#This Row],[Comparable '#1 Dates]]))=2,"Pass","Fail")</f>
        <v>Pass</v>
      </c>
      <c r="I31" s="1">
        <f>IFERROR(Comp1[[#This Row],[Comparable '#1 Return]]-INDEX(Benchmark1[Benchmark '#1 Return],MATCH(Comp1[[#This Row],[Comparable '#1 Dates]],Benchmark1[Benchmark '#1 Dates],0)),"-")</f>
        <v>-4.191163797257565E-3</v>
      </c>
      <c r="L31" s="72">
        <f>Comp1[[#This Row],[Comparable '#1 Price]]/$B$2*100</f>
        <v>109.37713894592744</v>
      </c>
    </row>
    <row r="32" spans="1:12">
      <c r="A32" s="103">
        <v>43328</v>
      </c>
      <c r="B32" s="104">
        <v>16.100000000000001</v>
      </c>
      <c r="C32" s="4">
        <f t="shared" si="0"/>
        <v>7.4813316522887663E-3</v>
      </c>
      <c r="D32" s="1">
        <f>IFERROR(Comp1[[#This Row],[Comparable '#1 Return]]+1,"-")</f>
        <v>1.0074813316522888</v>
      </c>
      <c r="E32" s="6">
        <f>B32-MAX($B$2:B32)</f>
        <v>-0.27999999999999758</v>
      </c>
      <c r="F32" s="80">
        <f t="shared" si="1"/>
        <v>5</v>
      </c>
      <c r="G32" s="22" cm="1">
        <f t="array" ref="G32">Comp1[[#This Row],[Comparable '#1 Drawdown]]/MAX($B$2:B32)</f>
        <v>-1.7094017094016947E-2</v>
      </c>
      <c r="H32" s="1" t="str">
        <f>IF(SUM(COUNTIF(Benchmark1[Benchmark '#1 Dates],Comp1[[#This Row],[Comparable '#1 Dates]]),COUNTIF(Benchmark2[Benchmark '#2 Dates],Comp1[[#This Row],[Comparable '#1 Dates]]))=2,"Pass","Fail")</f>
        <v>Pass</v>
      </c>
      <c r="I32" s="1">
        <f>IFERROR(Comp1[[#This Row],[Comparable '#1 Return]]-INDEX(Benchmark1[Benchmark '#1 Return],MATCH(Comp1[[#This Row],[Comparable '#1 Dates]],Benchmark1[Benchmark '#1 Dates],0)),"-")</f>
        <v>-4.051598569784062E-4</v>
      </c>
      <c r="L32" s="72">
        <f>Comp1[[#This Row],[Comparable '#1 Price]]/$B$2*100</f>
        <v>110.19849418206708</v>
      </c>
    </row>
    <row r="33" spans="1:12">
      <c r="A33" s="103">
        <v>43329</v>
      </c>
      <c r="B33" s="104">
        <v>15.85</v>
      </c>
      <c r="C33" s="4">
        <f t="shared" si="0"/>
        <v>-1.5649771667127776E-2</v>
      </c>
      <c r="D33" s="1">
        <f>IFERROR(Comp1[[#This Row],[Comparable '#1 Return]]+1,"-")</f>
        <v>0.98435022833287222</v>
      </c>
      <c r="E33" s="6">
        <f>B33-MAX($B$2:B33)</f>
        <v>-0.52999999999999936</v>
      </c>
      <c r="F33" s="80">
        <f t="shared" si="1"/>
        <v>6</v>
      </c>
      <c r="G33" s="22" cm="1">
        <f t="array" ref="G33">Comp1[[#This Row],[Comparable '#1 Drawdown]]/MAX($B$2:B33)</f>
        <v>-3.2356532356532318E-2</v>
      </c>
      <c r="H33" s="1" t="str">
        <f>IF(SUM(COUNTIF(Benchmark1[Benchmark '#1 Dates],Comp1[[#This Row],[Comparable '#1 Dates]]),COUNTIF(Benchmark2[Benchmark '#2 Dates],Comp1[[#This Row],[Comparable '#1 Dates]]))=2,"Pass","Fail")</f>
        <v>Pass</v>
      </c>
      <c r="I33" s="1">
        <f>IFERROR(Comp1[[#This Row],[Comparable '#1 Return]]-INDEX(Benchmark1[Benchmark '#1 Return],MATCH(Comp1[[#This Row],[Comparable '#1 Dates]],Benchmark1[Benchmark '#1 Dates],0)),"-")</f>
        <v>-1.8968677727107301E-2</v>
      </c>
      <c r="L33" s="72">
        <f>Comp1[[#This Row],[Comparable '#1 Price]]/$B$2*100</f>
        <v>108.48733744010953</v>
      </c>
    </row>
    <row r="34" spans="1:12">
      <c r="A34" s="103">
        <v>43332</v>
      </c>
      <c r="B34" s="104">
        <v>16.04</v>
      </c>
      <c r="C34" s="4">
        <f t="shared" si="0"/>
        <v>1.1916102115078698E-2</v>
      </c>
      <c r="D34" s="1">
        <f>IFERROR(Comp1[[#This Row],[Comparable '#1 Return]]+1,"-")</f>
        <v>1.0119161021150787</v>
      </c>
      <c r="E34" s="6">
        <f>B34-MAX($B$2:B34)</f>
        <v>-0.33999999999999986</v>
      </c>
      <c r="F34" s="80">
        <f t="shared" si="1"/>
        <v>7</v>
      </c>
      <c r="G34" s="22" cm="1">
        <f t="array" ref="G34">Comp1[[#This Row],[Comparable '#1 Drawdown]]/MAX($B$2:B34)</f>
        <v>-2.0757020757020749E-2</v>
      </c>
      <c r="H34" s="1" t="str">
        <f>IF(SUM(COUNTIF(Benchmark1[Benchmark '#1 Dates],Comp1[[#This Row],[Comparable '#1 Dates]]),COUNTIF(Benchmark2[Benchmark '#2 Dates],Comp1[[#This Row],[Comparable '#1 Dates]]))=2,"Pass","Fail")</f>
        <v>Pass</v>
      </c>
      <c r="I34" s="1">
        <f>IFERROR(Comp1[[#This Row],[Comparable '#1 Return]]-INDEX(Benchmark1[Benchmark '#1 Return],MATCH(Comp1[[#This Row],[Comparable '#1 Dates]],Benchmark1[Benchmark '#1 Dates],0)),"-")</f>
        <v>9.490248292477993E-3</v>
      </c>
      <c r="L34" s="72">
        <f>Comp1[[#This Row],[Comparable '#1 Price]]/$B$2*100</f>
        <v>109.78781656399725</v>
      </c>
    </row>
    <row r="35" spans="1:12">
      <c r="A35" s="103">
        <v>43333</v>
      </c>
      <c r="B35" s="104">
        <v>16</v>
      </c>
      <c r="C35" s="4">
        <f t="shared" si="0"/>
        <v>-2.4968801985871545E-3</v>
      </c>
      <c r="D35" s="1">
        <f>IFERROR(Comp1[[#This Row],[Comparable '#1 Return]]+1,"-")</f>
        <v>0.99750311980141282</v>
      </c>
      <c r="E35" s="6">
        <f>B35-MAX($B$2:B35)</f>
        <v>-0.37999999999999901</v>
      </c>
      <c r="F35" s="80">
        <f t="shared" si="1"/>
        <v>8</v>
      </c>
      <c r="G35" s="22" cm="1">
        <f t="array" ref="G35">Comp1[[#This Row],[Comparable '#1 Drawdown]]/MAX($B$2:B35)</f>
        <v>-2.3199023199023141E-2</v>
      </c>
      <c r="H35" s="1" t="str">
        <f>IF(SUM(COUNTIF(Benchmark1[Benchmark '#1 Dates],Comp1[[#This Row],[Comparable '#1 Dates]]),COUNTIF(Benchmark2[Benchmark '#2 Dates],Comp1[[#This Row],[Comparable '#1 Dates]]))=2,"Pass","Fail")</f>
        <v>Pass</v>
      </c>
      <c r="I35" s="1">
        <f>IFERROR(Comp1[[#This Row],[Comparable '#1 Return]]-INDEX(Benchmark1[Benchmark '#1 Return],MATCH(Comp1[[#This Row],[Comparable '#1 Dates]],Benchmark1[Benchmark '#1 Dates],0)),"-")</f>
        <v>-4.5608562857194978E-3</v>
      </c>
      <c r="L35" s="72">
        <f>Comp1[[#This Row],[Comparable '#1 Price]]/$B$2*100</f>
        <v>109.51403148528405</v>
      </c>
    </row>
    <row r="36" spans="1:12">
      <c r="A36" s="103">
        <v>43334</v>
      </c>
      <c r="B36" s="104">
        <v>15.97</v>
      </c>
      <c r="C36" s="4">
        <f t="shared" si="0"/>
        <v>-1.8767600128601319E-3</v>
      </c>
      <c r="D36" s="1">
        <f>IFERROR(Comp1[[#This Row],[Comparable '#1 Return]]+1,"-")</f>
        <v>0.99812323998713992</v>
      </c>
      <c r="E36" s="6">
        <f>B36-MAX($B$2:B36)</f>
        <v>-0.40999999999999837</v>
      </c>
      <c r="F36" s="80">
        <f t="shared" si="1"/>
        <v>9</v>
      </c>
      <c r="G36" s="22" cm="1">
        <f t="array" ref="G36">Comp1[[#This Row],[Comparable '#1 Drawdown]]/MAX($B$2:B36)</f>
        <v>-2.5030525030524931E-2</v>
      </c>
      <c r="H36" s="1" t="str">
        <f>IF(SUM(COUNTIF(Benchmark1[Benchmark '#1 Dates],Comp1[[#This Row],[Comparable '#1 Dates]]),COUNTIF(Benchmark2[Benchmark '#2 Dates],Comp1[[#This Row],[Comparable '#1 Dates]]))=2,"Pass","Fail")</f>
        <v>Pass</v>
      </c>
      <c r="I36" s="1">
        <f>IFERROR(Comp1[[#This Row],[Comparable '#1 Return]]-INDEX(Benchmark1[Benchmark '#1 Return],MATCH(Comp1[[#This Row],[Comparable '#1 Dates]],Benchmark1[Benchmark '#1 Dates],0)),"-")</f>
        <v>-1.481161273528607E-3</v>
      </c>
      <c r="L36" s="72">
        <f>Comp1[[#This Row],[Comparable '#1 Price]]/$B$2*100</f>
        <v>109.30869267624917</v>
      </c>
    </row>
    <row r="37" spans="1:12">
      <c r="A37" s="103">
        <v>43335</v>
      </c>
      <c r="B37" s="104">
        <v>15.6</v>
      </c>
      <c r="C37" s="4">
        <f t="shared" si="0"/>
        <v>-2.3441047971429822E-2</v>
      </c>
      <c r="D37" s="1">
        <f>IFERROR(Comp1[[#This Row],[Comparable '#1 Return]]+1,"-")</f>
        <v>0.97655895202857013</v>
      </c>
      <c r="E37" s="6">
        <f>B37-MAX($B$2:B37)</f>
        <v>-0.77999999999999936</v>
      </c>
      <c r="F37" s="80">
        <f t="shared" si="1"/>
        <v>10</v>
      </c>
      <c r="G37" s="22" cm="1">
        <f t="array" ref="G37">Comp1[[#This Row],[Comparable '#1 Drawdown]]/MAX($B$2:B37)</f>
        <v>-4.7619047619047582E-2</v>
      </c>
      <c r="H37" s="1" t="str">
        <f>IF(SUM(COUNTIF(Benchmark1[Benchmark '#1 Dates],Comp1[[#This Row],[Comparable '#1 Dates]]),COUNTIF(Benchmark2[Benchmark '#2 Dates],Comp1[[#This Row],[Comparable '#1 Dates]]))=2,"Pass","Fail")</f>
        <v>Pass</v>
      </c>
      <c r="I37" s="1">
        <f>IFERROR(Comp1[[#This Row],[Comparable '#1 Return]]-INDEX(Benchmark1[Benchmark '#1 Return],MATCH(Comp1[[#This Row],[Comparable '#1 Dates]],Benchmark1[Benchmark '#1 Dates],0)),"-")</f>
        <v>-2.1746956412680457E-2</v>
      </c>
      <c r="L37" s="72">
        <f>Comp1[[#This Row],[Comparable '#1 Price]]/$B$2*100</f>
        <v>106.77618069815196</v>
      </c>
    </row>
    <row r="38" spans="1:12">
      <c r="A38" s="103">
        <v>43336</v>
      </c>
      <c r="B38" s="104">
        <v>15.59</v>
      </c>
      <c r="C38" s="4">
        <f t="shared" si="0"/>
        <v>-6.4123118580620866E-4</v>
      </c>
      <c r="D38" s="1">
        <f>IFERROR(Comp1[[#This Row],[Comparable '#1 Return]]+1,"-")</f>
        <v>0.99935876881419383</v>
      </c>
      <c r="E38" s="6">
        <f>B38-MAX($B$2:B38)</f>
        <v>-0.78999999999999915</v>
      </c>
      <c r="F38" s="80">
        <f t="shared" si="1"/>
        <v>11</v>
      </c>
      <c r="G38" s="22" cm="1">
        <f t="array" ref="G38">Comp1[[#This Row],[Comparable '#1 Drawdown]]/MAX($B$2:B38)</f>
        <v>-4.8229548229548183E-2</v>
      </c>
      <c r="H38" s="1" t="str">
        <f>IF(SUM(COUNTIF(Benchmark1[Benchmark '#1 Dates],Comp1[[#This Row],[Comparable '#1 Dates]]),COUNTIF(Benchmark2[Benchmark '#2 Dates],Comp1[[#This Row],[Comparable '#1 Dates]]))=2,"Pass","Fail")</f>
        <v>Pass</v>
      </c>
      <c r="I38" s="1">
        <f>IFERROR(Comp1[[#This Row],[Comparable '#1 Return]]-INDEX(Benchmark1[Benchmark '#1 Return],MATCH(Comp1[[#This Row],[Comparable '#1 Dates]],Benchmark1[Benchmark '#1 Dates],0)),"-")</f>
        <v>-6.8204633891631519E-3</v>
      </c>
      <c r="L38" s="72">
        <f>Comp1[[#This Row],[Comparable '#1 Price]]/$B$2*100</f>
        <v>106.70773442847366</v>
      </c>
    </row>
    <row r="39" spans="1:12">
      <c r="A39" s="103">
        <v>43339</v>
      </c>
      <c r="B39" s="104">
        <v>16.010000000000002</v>
      </c>
      <c r="C39" s="4">
        <f t="shared" si="0"/>
        <v>2.658384393893835E-2</v>
      </c>
      <c r="D39" s="1">
        <f>IFERROR(Comp1[[#This Row],[Comparable '#1 Return]]+1,"-")</f>
        <v>1.0265838439389383</v>
      </c>
      <c r="E39" s="6">
        <f>B39-MAX($B$2:B39)</f>
        <v>-0.36999999999999744</v>
      </c>
      <c r="F39" s="80">
        <f t="shared" si="1"/>
        <v>12</v>
      </c>
      <c r="G39" s="22" cm="1">
        <f t="array" ref="G39">Comp1[[#This Row],[Comparable '#1 Drawdown]]/MAX($B$2:B39)</f>
        <v>-2.2588522588522435E-2</v>
      </c>
      <c r="H39" s="1" t="str">
        <f>IF(SUM(COUNTIF(Benchmark1[Benchmark '#1 Dates],Comp1[[#This Row],[Comparable '#1 Dates]]),COUNTIF(Benchmark2[Benchmark '#2 Dates],Comp1[[#This Row],[Comparable '#1 Dates]]))=2,"Pass","Fail")</f>
        <v>Pass</v>
      </c>
      <c r="I39" s="1">
        <f>IFERROR(Comp1[[#This Row],[Comparable '#1 Return]]-INDEX(Benchmark1[Benchmark '#1 Return],MATCH(Comp1[[#This Row],[Comparable '#1 Dates]],Benchmark1[Benchmark '#1 Dates],0)),"-")</f>
        <v>1.8943928496720781E-2</v>
      </c>
      <c r="L39" s="72">
        <f>Comp1[[#This Row],[Comparable '#1 Price]]/$B$2*100</f>
        <v>109.58247775496237</v>
      </c>
    </row>
    <row r="40" spans="1:12">
      <c r="A40" s="103">
        <v>43340</v>
      </c>
      <c r="B40" s="104">
        <v>16</v>
      </c>
      <c r="C40" s="4">
        <f t="shared" si="0"/>
        <v>-6.2480476884219582E-4</v>
      </c>
      <c r="D40" s="1">
        <f>IFERROR(Comp1[[#This Row],[Comparable '#1 Return]]+1,"-")</f>
        <v>0.99937519523115781</v>
      </c>
      <c r="E40" s="6">
        <f>B40-MAX($B$2:B40)</f>
        <v>-0.37999999999999901</v>
      </c>
      <c r="F40" s="80">
        <f t="shared" si="1"/>
        <v>13</v>
      </c>
      <c r="G40" s="22" cm="1">
        <f t="array" ref="G40">Comp1[[#This Row],[Comparable '#1 Drawdown]]/MAX($B$2:B40)</f>
        <v>-2.3199023199023141E-2</v>
      </c>
      <c r="H40" s="1" t="str">
        <f>IF(SUM(COUNTIF(Benchmark1[Benchmark '#1 Dates],Comp1[[#This Row],[Comparable '#1 Dates]]),COUNTIF(Benchmark2[Benchmark '#2 Dates],Comp1[[#This Row],[Comparable '#1 Dates]]))=2,"Pass","Fail")</f>
        <v>Pass</v>
      </c>
      <c r="I40" s="1">
        <f>IFERROR(Comp1[[#This Row],[Comparable '#1 Return]]-INDEX(Benchmark1[Benchmark '#1 Return],MATCH(Comp1[[#This Row],[Comparable '#1 Dates]],Benchmark1[Benchmark '#1 Dates],0)),"-")</f>
        <v>-8.962492258445772E-4</v>
      </c>
      <c r="L40" s="72">
        <f>Comp1[[#This Row],[Comparable '#1 Price]]/$B$2*100</f>
        <v>109.51403148528405</v>
      </c>
    </row>
    <row r="41" spans="1:12">
      <c r="A41" s="103">
        <v>43341</v>
      </c>
      <c r="B41" s="104">
        <v>16</v>
      </c>
      <c r="C41" s="4">
        <f t="shared" si="0"/>
        <v>0</v>
      </c>
      <c r="D41" s="1">
        <f>IFERROR(Comp1[[#This Row],[Comparable '#1 Return]]+1,"-")</f>
        <v>1</v>
      </c>
      <c r="E41" s="6">
        <f>B41-MAX($B$2:B41)</f>
        <v>-0.37999999999999901</v>
      </c>
      <c r="F41" s="80">
        <f t="shared" si="1"/>
        <v>14</v>
      </c>
      <c r="G41" s="22" cm="1">
        <f t="array" ref="G41">Comp1[[#This Row],[Comparable '#1 Drawdown]]/MAX($B$2:B41)</f>
        <v>-2.3199023199023141E-2</v>
      </c>
      <c r="H41" s="1" t="str">
        <f>IF(SUM(COUNTIF(Benchmark1[Benchmark '#1 Dates],Comp1[[#This Row],[Comparable '#1 Dates]]),COUNTIF(Benchmark2[Benchmark '#2 Dates],Comp1[[#This Row],[Comparable '#1 Dates]]))=2,"Pass","Fail")</f>
        <v>Pass</v>
      </c>
      <c r="I41" s="1">
        <f>IFERROR(Comp1[[#This Row],[Comparable '#1 Return]]-INDEX(Benchmark1[Benchmark '#1 Return],MATCH(Comp1[[#This Row],[Comparable '#1 Dates]],Benchmark1[Benchmark '#1 Dates],0)),"-")</f>
        <v>-5.684998646735594E-3</v>
      </c>
      <c r="L41" s="72">
        <f>Comp1[[#This Row],[Comparable '#1 Price]]/$B$2*100</f>
        <v>109.51403148528405</v>
      </c>
    </row>
    <row r="42" spans="1:12">
      <c r="A42" s="103">
        <v>43342</v>
      </c>
      <c r="B42" s="104">
        <v>15.85</v>
      </c>
      <c r="C42" s="4">
        <f t="shared" si="0"/>
        <v>-9.4192219164916397E-3</v>
      </c>
      <c r="D42" s="1">
        <f>IFERROR(Comp1[[#This Row],[Comparable '#1 Return]]+1,"-")</f>
        <v>0.99058077808350831</v>
      </c>
      <c r="E42" s="6">
        <f>B42-MAX($B$2:B42)</f>
        <v>-0.52999999999999936</v>
      </c>
      <c r="F42" s="80">
        <f t="shared" si="1"/>
        <v>15</v>
      </c>
      <c r="G42" s="22" cm="1">
        <f t="array" ref="G42">Comp1[[#This Row],[Comparable '#1 Drawdown]]/MAX($B$2:B42)</f>
        <v>-3.2356532356532318E-2</v>
      </c>
      <c r="H42" s="1" t="str">
        <f>IF(SUM(COUNTIF(Benchmark1[Benchmark '#1 Dates],Comp1[[#This Row],[Comparable '#1 Dates]]),COUNTIF(Benchmark2[Benchmark '#2 Dates],Comp1[[#This Row],[Comparable '#1 Dates]]))=2,"Pass","Fail")</f>
        <v>Pass</v>
      </c>
      <c r="I42" s="1">
        <f>IFERROR(Comp1[[#This Row],[Comparable '#1 Return]]-INDEX(Benchmark1[Benchmark '#1 Return],MATCH(Comp1[[#This Row],[Comparable '#1 Dates]],Benchmark1[Benchmark '#1 Dates],0)),"-")</f>
        <v>-4.9774618333606026E-3</v>
      </c>
      <c r="L42" s="72">
        <f>Comp1[[#This Row],[Comparable '#1 Price]]/$B$2*100</f>
        <v>108.48733744010953</v>
      </c>
    </row>
    <row r="43" spans="1:12">
      <c r="A43" s="103">
        <v>43343</v>
      </c>
      <c r="B43" s="104">
        <v>15.97</v>
      </c>
      <c r="C43" s="4">
        <f t="shared" si="0"/>
        <v>7.5424619036314868E-3</v>
      </c>
      <c r="D43" s="1">
        <f>IFERROR(Comp1[[#This Row],[Comparable '#1 Return]]+1,"-")</f>
        <v>1.0075424619036315</v>
      </c>
      <c r="E43" s="6">
        <f>B43-MAX($B$2:B43)</f>
        <v>-0.40999999999999837</v>
      </c>
      <c r="F43" s="80">
        <f t="shared" si="1"/>
        <v>16</v>
      </c>
      <c r="G43" s="22" cm="1">
        <f t="array" ref="G43">Comp1[[#This Row],[Comparable '#1 Drawdown]]/MAX($B$2:B43)</f>
        <v>-2.5030525030524931E-2</v>
      </c>
      <c r="H43" s="1" t="str">
        <f>IF(SUM(COUNTIF(Benchmark1[Benchmark '#1 Dates],Comp1[[#This Row],[Comparable '#1 Dates]]),COUNTIF(Benchmark2[Benchmark '#2 Dates],Comp1[[#This Row],[Comparable '#1 Dates]]))=2,"Pass","Fail")</f>
        <v>Pass</v>
      </c>
      <c r="I43" s="1">
        <f>IFERROR(Comp1[[#This Row],[Comparable '#1 Return]]-INDEX(Benchmark1[Benchmark '#1 Return],MATCH(Comp1[[#This Row],[Comparable '#1 Dates]],Benchmark1[Benchmark '#1 Dates],0)),"-")</f>
        <v>7.4076678960293078E-3</v>
      </c>
      <c r="L43" s="72">
        <f>Comp1[[#This Row],[Comparable '#1 Price]]/$B$2*100</f>
        <v>109.30869267624917</v>
      </c>
    </row>
    <row r="44" spans="1:12">
      <c r="A44" s="103">
        <v>43347</v>
      </c>
      <c r="B44" s="104">
        <v>15.71</v>
      </c>
      <c r="C44" s="4">
        <f t="shared" si="0"/>
        <v>-1.641450995939131E-2</v>
      </c>
      <c r="D44" s="1">
        <f>IFERROR(Comp1[[#This Row],[Comparable '#1 Return]]+1,"-")</f>
        <v>0.98358549004060869</v>
      </c>
      <c r="E44" s="6">
        <f>B44-MAX($B$2:B44)</f>
        <v>-0.66999999999999815</v>
      </c>
      <c r="F44" s="80">
        <f t="shared" si="1"/>
        <v>17</v>
      </c>
      <c r="G44" s="22" cm="1">
        <f t="array" ref="G44">Comp1[[#This Row],[Comparable '#1 Drawdown]]/MAX($B$2:B44)</f>
        <v>-4.0903540903540793E-2</v>
      </c>
      <c r="H44" s="1" t="str">
        <f>IF(SUM(COUNTIF(Benchmark1[Benchmark '#1 Dates],Comp1[[#This Row],[Comparable '#1 Dates]]),COUNTIF(Benchmark2[Benchmark '#2 Dates],Comp1[[#This Row],[Comparable '#1 Dates]]))=2,"Pass","Fail")</f>
        <v>Pass</v>
      </c>
      <c r="I44" s="1">
        <f>IFERROR(Comp1[[#This Row],[Comparable '#1 Return]]-INDEX(Benchmark1[Benchmark '#1 Return],MATCH(Comp1[[#This Row],[Comparable '#1 Dates]],Benchmark1[Benchmark '#1 Dates],0)),"-")</f>
        <v>-1.4760769807032167E-2</v>
      </c>
      <c r="L44" s="72">
        <f>Comp1[[#This Row],[Comparable '#1 Price]]/$B$2*100</f>
        <v>107.52908966461329</v>
      </c>
    </row>
    <row r="45" spans="1:12">
      <c r="A45" s="103">
        <v>43348</v>
      </c>
      <c r="B45" s="104">
        <v>15.32</v>
      </c>
      <c r="C45" s="4">
        <f t="shared" si="0"/>
        <v>-2.5138287955084625E-2</v>
      </c>
      <c r="D45" s="1">
        <f>IFERROR(Comp1[[#This Row],[Comparable '#1 Return]]+1,"-")</f>
        <v>0.97486171204491534</v>
      </c>
      <c r="E45" s="6">
        <f>B45-MAX($B$2:B45)</f>
        <v>-1.0599999999999987</v>
      </c>
      <c r="F45" s="80">
        <f t="shared" si="1"/>
        <v>18</v>
      </c>
      <c r="G45" s="22" cm="1">
        <f t="array" ref="G45">Comp1[[#This Row],[Comparable '#1 Drawdown]]/MAX($B$2:B45)</f>
        <v>-6.4713064713064636E-2</v>
      </c>
      <c r="H45" s="1" t="str">
        <f>IF(SUM(COUNTIF(Benchmark1[Benchmark '#1 Dates],Comp1[[#This Row],[Comparable '#1 Dates]]),COUNTIF(Benchmark2[Benchmark '#2 Dates],Comp1[[#This Row],[Comparable '#1 Dates]]))=2,"Pass","Fail")</f>
        <v>Pass</v>
      </c>
      <c r="I45" s="1">
        <f>IFERROR(Comp1[[#This Row],[Comparable '#1 Return]]-INDEX(Benchmark1[Benchmark '#1 Return],MATCH(Comp1[[#This Row],[Comparable '#1 Dates]],Benchmark1[Benchmark '#1 Dates],0)),"-")</f>
        <v>-2.2330669539869636E-2</v>
      </c>
      <c r="L45" s="72">
        <f>Comp1[[#This Row],[Comparable '#1 Price]]/$B$2*100</f>
        <v>104.85968514715948</v>
      </c>
    </row>
    <row r="46" spans="1:12">
      <c r="A46" s="103">
        <v>43349</v>
      </c>
      <c r="B46" s="104">
        <v>15.22</v>
      </c>
      <c r="C46" s="4">
        <f t="shared" si="0"/>
        <v>-6.5488118789054396E-3</v>
      </c>
      <c r="D46" s="1">
        <f>IFERROR(Comp1[[#This Row],[Comparable '#1 Return]]+1,"-")</f>
        <v>0.99345118812109456</v>
      </c>
      <c r="E46" s="6">
        <f>B46-MAX($B$2:B46)</f>
        <v>-1.1599999999999984</v>
      </c>
      <c r="F46" s="80">
        <f t="shared" si="1"/>
        <v>19</v>
      </c>
      <c r="G46" s="22" cm="1">
        <f t="array" ref="G46">Comp1[[#This Row],[Comparable '#1 Drawdown]]/MAX($B$2:B46)</f>
        <v>-7.0818070818070719E-2</v>
      </c>
      <c r="H46" s="1" t="str">
        <f>IF(SUM(COUNTIF(Benchmark1[Benchmark '#1 Dates],Comp1[[#This Row],[Comparable '#1 Dates]]),COUNTIF(Benchmark2[Benchmark '#2 Dates],Comp1[[#This Row],[Comparable '#1 Dates]]))=2,"Pass","Fail")</f>
        <v>Pass</v>
      </c>
      <c r="I46" s="1">
        <f>IFERROR(Comp1[[#This Row],[Comparable '#1 Return]]-INDEX(Benchmark1[Benchmark '#1 Return],MATCH(Comp1[[#This Row],[Comparable '#1 Dates]],Benchmark1[Benchmark '#1 Dates],0)),"-")</f>
        <v>-2.8900602670247468E-3</v>
      </c>
      <c r="L46" s="72">
        <f>Comp1[[#This Row],[Comparable '#1 Price]]/$B$2*100</f>
        <v>104.17522245037647</v>
      </c>
    </row>
    <row r="47" spans="1:12">
      <c r="A47" s="103">
        <v>43350</v>
      </c>
      <c r="B47" s="104">
        <v>15.35</v>
      </c>
      <c r="C47" s="4">
        <f t="shared" si="0"/>
        <v>8.5051215996664251E-3</v>
      </c>
      <c r="D47" s="1">
        <f>IFERROR(Comp1[[#This Row],[Comparable '#1 Return]]+1,"-")</f>
        <v>1.0085051215996663</v>
      </c>
      <c r="E47" s="6">
        <f>B47-MAX($B$2:B47)</f>
        <v>-1.0299999999999994</v>
      </c>
      <c r="F47" s="80">
        <f t="shared" si="1"/>
        <v>20</v>
      </c>
      <c r="G47" s="22" cm="1">
        <f t="array" ref="G47">Comp1[[#This Row],[Comparable '#1 Drawdown]]/MAX($B$2:B47)</f>
        <v>-6.2881562881562852E-2</v>
      </c>
      <c r="H47" s="1" t="str">
        <f>IF(SUM(COUNTIF(Benchmark1[Benchmark '#1 Dates],Comp1[[#This Row],[Comparable '#1 Dates]]),COUNTIF(Benchmark2[Benchmark '#2 Dates],Comp1[[#This Row],[Comparable '#1 Dates]]))=2,"Pass","Fail")</f>
        <v>Pass</v>
      </c>
      <c r="I47" s="1">
        <f>IFERROR(Comp1[[#This Row],[Comparable '#1 Return]]-INDEX(Benchmark1[Benchmark '#1 Return],MATCH(Comp1[[#This Row],[Comparable '#1 Dates]],Benchmark1[Benchmark '#1 Dates],0)),"-")</f>
        <v>1.0721191866976267E-2</v>
      </c>
      <c r="L47" s="72">
        <f>Comp1[[#This Row],[Comparable '#1 Price]]/$B$2*100</f>
        <v>105.06502395619439</v>
      </c>
    </row>
    <row r="48" spans="1:12">
      <c r="A48" s="103">
        <v>43353</v>
      </c>
      <c r="B48" s="104">
        <v>15.12</v>
      </c>
      <c r="C48" s="4">
        <f t="shared" si="0"/>
        <v>-1.5097103281819249E-2</v>
      </c>
      <c r="D48" s="1">
        <f>IFERROR(Comp1[[#This Row],[Comparable '#1 Return]]+1,"-")</f>
        <v>0.98490289671818076</v>
      </c>
      <c r="E48" s="6">
        <f>B48-MAX($B$2:B48)</f>
        <v>-1.2599999999999998</v>
      </c>
      <c r="F48" s="80">
        <f t="shared" si="1"/>
        <v>21</v>
      </c>
      <c r="G48" s="22" cm="1">
        <f t="array" ref="G48">Comp1[[#This Row],[Comparable '#1 Drawdown]]/MAX($B$2:B48)</f>
        <v>-7.6923076923076913E-2</v>
      </c>
      <c r="H48" s="1" t="str">
        <f>IF(SUM(COUNTIF(Benchmark1[Benchmark '#1 Dates],Comp1[[#This Row],[Comparable '#1 Dates]]),COUNTIF(Benchmark2[Benchmark '#2 Dates],Comp1[[#This Row],[Comparable '#1 Dates]]))=2,"Pass","Fail")</f>
        <v>Pass</v>
      </c>
      <c r="I48" s="1">
        <f>IFERROR(Comp1[[#This Row],[Comparable '#1 Return]]-INDEX(Benchmark1[Benchmark '#1 Return],MATCH(Comp1[[#This Row],[Comparable '#1 Dates]],Benchmark1[Benchmark '#1 Dates],0)),"-")</f>
        <v>-1.699127667034845E-2</v>
      </c>
      <c r="L48" s="72">
        <f>Comp1[[#This Row],[Comparable '#1 Price]]/$B$2*100</f>
        <v>103.49075975359344</v>
      </c>
    </row>
    <row r="49" spans="1:12">
      <c r="A49" s="103">
        <v>43354</v>
      </c>
      <c r="B49" s="104">
        <v>15.31</v>
      </c>
      <c r="C49" s="4">
        <f t="shared" si="0"/>
        <v>1.2487838918205549E-2</v>
      </c>
      <c r="D49" s="1">
        <f>IFERROR(Comp1[[#This Row],[Comparable '#1 Return]]+1,"-")</f>
        <v>1.0124878389182055</v>
      </c>
      <c r="E49" s="6">
        <f>B49-MAX($B$2:B49)</f>
        <v>-1.0699999999999985</v>
      </c>
      <c r="F49" s="80">
        <f t="shared" si="1"/>
        <v>22</v>
      </c>
      <c r="G49" s="22" cm="1">
        <f t="array" ref="G49">Comp1[[#This Row],[Comparable '#1 Drawdown]]/MAX($B$2:B49)</f>
        <v>-6.532356532356523E-2</v>
      </c>
      <c r="H49" s="1" t="str">
        <f>IF(SUM(COUNTIF(Benchmark1[Benchmark '#1 Dates],Comp1[[#This Row],[Comparable '#1 Dates]]),COUNTIF(Benchmark2[Benchmark '#2 Dates],Comp1[[#This Row],[Comparable '#1 Dates]]))=2,"Pass","Fail")</f>
        <v>Pass</v>
      </c>
      <c r="I49" s="1">
        <f>IFERROR(Comp1[[#This Row],[Comparable '#1 Return]]-INDEX(Benchmark1[Benchmark '#1 Return],MATCH(Comp1[[#This Row],[Comparable '#1 Dates]],Benchmark1[Benchmark '#1 Dates],0)),"-")</f>
        <v>8.7523222827018653E-3</v>
      </c>
      <c r="L49" s="72">
        <f>Comp1[[#This Row],[Comparable '#1 Price]]/$B$2*100</f>
        <v>104.79123887748119</v>
      </c>
    </row>
    <row r="50" spans="1:12">
      <c r="A50" s="103">
        <v>43355</v>
      </c>
      <c r="B50" s="104">
        <v>15.54</v>
      </c>
      <c r="C50" s="4">
        <f t="shared" si="0"/>
        <v>1.4911135269909016E-2</v>
      </c>
      <c r="D50" s="1">
        <f>IFERROR(Comp1[[#This Row],[Comparable '#1 Return]]+1,"-")</f>
        <v>1.0149111352699089</v>
      </c>
      <c r="E50" s="6">
        <f>B50-MAX($B$2:B50)</f>
        <v>-0.83999999999999986</v>
      </c>
      <c r="F50" s="80">
        <f t="shared" si="1"/>
        <v>23</v>
      </c>
      <c r="G50" s="22" cm="1">
        <f t="array" ref="G50">Comp1[[#This Row],[Comparable '#1 Drawdown]]/MAX($B$2:B50)</f>
        <v>-5.1282051282051273E-2</v>
      </c>
      <c r="H50" s="1" t="str">
        <f>IF(SUM(COUNTIF(Benchmark1[Benchmark '#1 Dates],Comp1[[#This Row],[Comparable '#1 Dates]]),COUNTIF(Benchmark2[Benchmark '#2 Dates],Comp1[[#This Row],[Comparable '#1 Dates]]))=2,"Pass","Fail")</f>
        <v>Pass</v>
      </c>
      <c r="I50" s="1">
        <f>IFERROR(Comp1[[#This Row],[Comparable '#1 Return]]-INDEX(Benchmark1[Benchmark '#1 Return],MATCH(Comp1[[#This Row],[Comparable '#1 Dates]],Benchmark1[Benchmark '#1 Dates],0)),"-")</f>
        <v>1.455700986186844E-2</v>
      </c>
      <c r="L50" s="72">
        <f>Comp1[[#This Row],[Comparable '#1 Price]]/$B$2*100</f>
        <v>106.36550308008212</v>
      </c>
    </row>
    <row r="51" spans="1:12">
      <c r="A51" s="103">
        <v>43356</v>
      </c>
      <c r="B51" s="104">
        <v>15.38</v>
      </c>
      <c r="C51" s="4">
        <f t="shared" si="0"/>
        <v>-1.0349380862003408E-2</v>
      </c>
      <c r="D51" s="1">
        <f>IFERROR(Comp1[[#This Row],[Comparable '#1 Return]]+1,"-")</f>
        <v>0.98965061913799657</v>
      </c>
      <c r="E51" s="6">
        <f>B51-MAX($B$2:B51)</f>
        <v>-0.99999999999999822</v>
      </c>
      <c r="F51" s="80">
        <f t="shared" si="1"/>
        <v>24</v>
      </c>
      <c r="G51" s="22" cm="1">
        <f t="array" ref="G51">Comp1[[#This Row],[Comparable '#1 Drawdown]]/MAX($B$2:B51)</f>
        <v>-6.1050061050060944E-2</v>
      </c>
      <c r="H51" s="1" t="str">
        <f>IF(SUM(COUNTIF(Benchmark1[Benchmark '#1 Dates],Comp1[[#This Row],[Comparable '#1 Dates]]),COUNTIF(Benchmark2[Benchmark '#2 Dates],Comp1[[#This Row],[Comparable '#1 Dates]]))=2,"Pass","Fail")</f>
        <v>Pass</v>
      </c>
      <c r="I51" s="1">
        <f>IFERROR(Comp1[[#This Row],[Comparable '#1 Return]]-INDEX(Benchmark1[Benchmark '#1 Return],MATCH(Comp1[[#This Row],[Comparable '#1 Dates]],Benchmark1[Benchmark '#1 Dates],0)),"-")</f>
        <v>-1.5620216588211017E-2</v>
      </c>
      <c r="L51" s="72">
        <f>Comp1[[#This Row],[Comparable '#1 Price]]/$B$2*100</f>
        <v>105.27036276522929</v>
      </c>
    </row>
    <row r="52" spans="1:12">
      <c r="A52" s="103">
        <v>43357</v>
      </c>
      <c r="B52" s="104">
        <v>15.34</v>
      </c>
      <c r="C52" s="4">
        <f t="shared" si="0"/>
        <v>-2.604168138387855E-3</v>
      </c>
      <c r="D52" s="1">
        <f>IFERROR(Comp1[[#This Row],[Comparable '#1 Return]]+1,"-")</f>
        <v>0.99739583186161218</v>
      </c>
      <c r="E52" s="6">
        <f>B52-MAX($B$2:B52)</f>
        <v>-1.0399999999999991</v>
      </c>
      <c r="F52" s="80">
        <f t="shared" si="1"/>
        <v>25</v>
      </c>
      <c r="G52" s="22" cm="1">
        <f t="array" ref="G52">Comp1[[#This Row],[Comparable '#1 Drawdown]]/MAX($B$2:B52)</f>
        <v>-6.3492063492063447E-2</v>
      </c>
      <c r="H52" s="1" t="str">
        <f>IF(SUM(COUNTIF(Benchmark1[Benchmark '#1 Dates],Comp1[[#This Row],[Comparable '#1 Dates]]),COUNTIF(Benchmark2[Benchmark '#2 Dates],Comp1[[#This Row],[Comparable '#1 Dates]]))=2,"Pass","Fail")</f>
        <v>Pass</v>
      </c>
      <c r="I52" s="1">
        <f>IFERROR(Comp1[[#This Row],[Comparable '#1 Return]]-INDEX(Benchmark1[Benchmark '#1 Return],MATCH(Comp1[[#This Row],[Comparable '#1 Dates]],Benchmark1[Benchmark '#1 Dates],0)),"-")</f>
        <v>-2.8766774667780231E-3</v>
      </c>
      <c r="L52" s="72">
        <f>Comp1[[#This Row],[Comparable '#1 Price]]/$B$2*100</f>
        <v>104.99657768651609</v>
      </c>
    </row>
    <row r="53" spans="1:12">
      <c r="A53" s="103">
        <v>43360</v>
      </c>
      <c r="B53" s="104">
        <v>15.55</v>
      </c>
      <c r="C53" s="4">
        <f t="shared" si="0"/>
        <v>1.3596842686133094E-2</v>
      </c>
      <c r="D53" s="1">
        <f>IFERROR(Comp1[[#This Row],[Comparable '#1 Return]]+1,"-")</f>
        <v>1.013596842686133</v>
      </c>
      <c r="E53" s="6">
        <f>B53-MAX($B$2:B53)</f>
        <v>-0.82999999999999829</v>
      </c>
      <c r="F53" s="80">
        <f t="shared" si="1"/>
        <v>26</v>
      </c>
      <c r="G53" s="22" cm="1">
        <f t="array" ref="G53">Comp1[[#This Row],[Comparable '#1 Drawdown]]/MAX($B$2:B53)</f>
        <v>-5.0671550671550568E-2</v>
      </c>
      <c r="H53" s="1" t="str">
        <f>IF(SUM(COUNTIF(Benchmark1[Benchmark '#1 Dates],Comp1[[#This Row],[Comparable '#1 Dates]]),COUNTIF(Benchmark2[Benchmark '#2 Dates],Comp1[[#This Row],[Comparable '#1 Dates]]))=2,"Pass","Fail")</f>
        <v>Pass</v>
      </c>
      <c r="I53" s="1">
        <f>IFERROR(Comp1[[#This Row],[Comparable '#1 Return]]-INDEX(Benchmark1[Benchmark '#1 Return],MATCH(Comp1[[#This Row],[Comparable '#1 Dates]],Benchmark1[Benchmark '#1 Dates],0)),"-")</f>
        <v>1.9180172408561513E-2</v>
      </c>
      <c r="L53" s="72">
        <f>Comp1[[#This Row],[Comparable '#1 Price]]/$B$2*100</f>
        <v>106.43394934976045</v>
      </c>
    </row>
    <row r="54" spans="1:12">
      <c r="A54" s="103">
        <v>43361</v>
      </c>
      <c r="B54" s="104">
        <v>15.72</v>
      </c>
      <c r="C54" s="4">
        <f t="shared" si="0"/>
        <v>1.0873148375817369E-2</v>
      </c>
      <c r="D54" s="1">
        <f>IFERROR(Comp1[[#This Row],[Comparable '#1 Return]]+1,"-")</f>
        <v>1.0108731483758173</v>
      </c>
      <c r="E54" s="6">
        <f>B54-MAX($B$2:B54)</f>
        <v>-0.65999999999999837</v>
      </c>
      <c r="F54" s="80">
        <f t="shared" si="1"/>
        <v>27</v>
      </c>
      <c r="G54" s="22" cm="1">
        <f t="array" ref="G54">Comp1[[#This Row],[Comparable '#1 Drawdown]]/MAX($B$2:B54)</f>
        <v>-4.0293040293040198E-2</v>
      </c>
      <c r="H54" s="1" t="str">
        <f>IF(SUM(COUNTIF(Benchmark1[Benchmark '#1 Dates],Comp1[[#This Row],[Comparable '#1 Dates]]),COUNTIF(Benchmark2[Benchmark '#2 Dates],Comp1[[#This Row],[Comparable '#1 Dates]]))=2,"Pass","Fail")</f>
        <v>Pass</v>
      </c>
      <c r="I54" s="1">
        <f>IFERROR(Comp1[[#This Row],[Comparable '#1 Return]]-INDEX(Benchmark1[Benchmark '#1 Return],MATCH(Comp1[[#This Row],[Comparable '#1 Dates]],Benchmark1[Benchmark '#1 Dates],0)),"-")</f>
        <v>5.5186726098719963E-3</v>
      </c>
      <c r="L54" s="72">
        <f>Comp1[[#This Row],[Comparable '#1 Price]]/$B$2*100</f>
        <v>107.5975359342916</v>
      </c>
    </row>
    <row r="55" spans="1:12">
      <c r="A55" s="103">
        <v>43362</v>
      </c>
      <c r="B55" s="104">
        <v>15.81</v>
      </c>
      <c r="C55" s="4">
        <f t="shared" si="0"/>
        <v>5.7088642203202006E-3</v>
      </c>
      <c r="D55" s="1">
        <f>IFERROR(Comp1[[#This Row],[Comparable '#1 Return]]+1,"-")</f>
        <v>1.0057088642203202</v>
      </c>
      <c r="E55" s="6">
        <f>B55-MAX($B$2:B55)</f>
        <v>-0.56999999999999851</v>
      </c>
      <c r="F55" s="80">
        <f t="shared" si="1"/>
        <v>28</v>
      </c>
      <c r="G55" s="22" cm="1">
        <f t="array" ref="G55">Comp1[[#This Row],[Comparable '#1 Drawdown]]/MAX($B$2:B55)</f>
        <v>-3.479853479853471E-2</v>
      </c>
      <c r="H55" s="1" t="str">
        <f>IF(SUM(COUNTIF(Benchmark1[Benchmark '#1 Dates],Comp1[[#This Row],[Comparable '#1 Dates]]),COUNTIF(Benchmark2[Benchmark '#2 Dates],Comp1[[#This Row],[Comparable '#1 Dates]]))=2,"Pass","Fail")</f>
        <v>Pass</v>
      </c>
      <c r="I55" s="1">
        <f>IFERROR(Comp1[[#This Row],[Comparable '#1 Return]]-INDEX(Benchmark1[Benchmark '#1 Return],MATCH(Comp1[[#This Row],[Comparable '#1 Dates]],Benchmark1[Benchmark '#1 Dates],0)),"-")</f>
        <v>4.4581455913263752E-3</v>
      </c>
      <c r="L55" s="72">
        <f>Comp1[[#This Row],[Comparable '#1 Price]]/$B$2*100</f>
        <v>108.21355236139631</v>
      </c>
    </row>
    <row r="56" spans="1:12">
      <c r="A56" s="103">
        <v>43363</v>
      </c>
      <c r="B56" s="104">
        <v>15.98</v>
      </c>
      <c r="C56" s="4">
        <f t="shared" si="0"/>
        <v>1.069528911674795E-2</v>
      </c>
      <c r="D56" s="1">
        <f>IFERROR(Comp1[[#This Row],[Comparable '#1 Return]]+1,"-")</f>
        <v>1.010695289116748</v>
      </c>
      <c r="E56" s="6">
        <f>B56-MAX($B$2:B56)</f>
        <v>-0.39999999999999858</v>
      </c>
      <c r="F56" s="80">
        <f t="shared" si="1"/>
        <v>29</v>
      </c>
      <c r="G56" s="22" cm="1">
        <f t="array" ref="G56">Comp1[[#This Row],[Comparable '#1 Drawdown]]/MAX($B$2:B56)</f>
        <v>-2.4420024420024333E-2</v>
      </c>
      <c r="H56" s="1" t="str">
        <f>IF(SUM(COUNTIF(Benchmark1[Benchmark '#1 Dates],Comp1[[#This Row],[Comparable '#1 Dates]]),COUNTIF(Benchmark2[Benchmark '#2 Dates],Comp1[[#This Row],[Comparable '#1 Dates]]))=2,"Pass","Fail")</f>
        <v>Pass</v>
      </c>
      <c r="I56" s="1">
        <f>IFERROR(Comp1[[#This Row],[Comparable '#1 Return]]-INDEX(Benchmark1[Benchmark '#1 Return],MATCH(Comp1[[#This Row],[Comparable '#1 Dates]],Benchmark1[Benchmark '#1 Dates],0)),"-")</f>
        <v>2.8850208107274039E-3</v>
      </c>
      <c r="L56" s="72">
        <f>Comp1[[#This Row],[Comparable '#1 Price]]/$B$2*100</f>
        <v>109.37713894592744</v>
      </c>
    </row>
    <row r="57" spans="1:12">
      <c r="A57" s="103">
        <v>43364</v>
      </c>
      <c r="B57" s="104">
        <v>15.99</v>
      </c>
      <c r="C57" s="4">
        <f t="shared" si="0"/>
        <v>6.2558650773416767E-4</v>
      </c>
      <c r="D57" s="1">
        <f>IFERROR(Comp1[[#This Row],[Comparable '#1 Return]]+1,"-")</f>
        <v>1.0006255865077343</v>
      </c>
      <c r="E57" s="6">
        <f>B57-MAX($B$2:B57)</f>
        <v>-0.38999999999999879</v>
      </c>
      <c r="F57" s="80">
        <f t="shared" si="1"/>
        <v>30</v>
      </c>
      <c r="G57" s="22" cm="1">
        <f t="array" ref="G57">Comp1[[#This Row],[Comparable '#1 Drawdown]]/MAX($B$2:B57)</f>
        <v>-2.3809523809523739E-2</v>
      </c>
      <c r="H57" s="1" t="str">
        <f>IF(SUM(COUNTIF(Benchmark1[Benchmark '#1 Dates],Comp1[[#This Row],[Comparable '#1 Dates]]),COUNTIF(Benchmark2[Benchmark '#2 Dates],Comp1[[#This Row],[Comparable '#1 Dates]]))=2,"Pass","Fail")</f>
        <v>Pass</v>
      </c>
      <c r="I57" s="1">
        <f>IFERROR(Comp1[[#This Row],[Comparable '#1 Return]]-INDEX(Benchmark1[Benchmark '#1 Return],MATCH(Comp1[[#This Row],[Comparable '#1 Dates]],Benchmark1[Benchmark '#1 Dates],0)),"-")</f>
        <v>9.9380506923459782E-4</v>
      </c>
      <c r="L57" s="72">
        <f>Comp1[[#This Row],[Comparable '#1 Price]]/$B$2*100</f>
        <v>109.44558521560575</v>
      </c>
    </row>
    <row r="58" spans="1:12">
      <c r="A58" s="103">
        <v>43367</v>
      </c>
      <c r="B58" s="104">
        <v>15.45</v>
      </c>
      <c r="C58" s="4">
        <f t="shared" si="0"/>
        <v>-3.4354523502108464E-2</v>
      </c>
      <c r="D58" s="1">
        <f>IFERROR(Comp1[[#This Row],[Comparable '#1 Return]]+1,"-")</f>
        <v>0.96564547649789156</v>
      </c>
      <c r="E58" s="6">
        <f>B58-MAX($B$2:B58)</f>
        <v>-0.92999999999999972</v>
      </c>
      <c r="F58" s="80">
        <f t="shared" si="1"/>
        <v>31</v>
      </c>
      <c r="G58" s="22" cm="1">
        <f t="array" ref="G58">Comp1[[#This Row],[Comparable '#1 Drawdown]]/MAX($B$2:B58)</f>
        <v>-5.6776556776556762E-2</v>
      </c>
      <c r="H58" s="1" t="str">
        <f>IF(SUM(COUNTIF(Benchmark1[Benchmark '#1 Dates],Comp1[[#This Row],[Comparable '#1 Dates]]),COUNTIF(Benchmark2[Benchmark '#2 Dates],Comp1[[#This Row],[Comparable '#1 Dates]]))=2,"Pass","Fail")</f>
        <v>Pass</v>
      </c>
      <c r="I58" s="1">
        <f>IFERROR(Comp1[[#This Row],[Comparable '#1 Return]]-INDEX(Benchmark1[Benchmark '#1 Return],MATCH(Comp1[[#This Row],[Comparable '#1 Dates]],Benchmark1[Benchmark '#1 Dates],0)),"-")</f>
        <v>-3.0834610399105893E-2</v>
      </c>
      <c r="L58" s="72">
        <f>Comp1[[#This Row],[Comparable '#1 Price]]/$B$2*100</f>
        <v>105.74948665297741</v>
      </c>
    </row>
    <row r="59" spans="1:12">
      <c r="A59" s="103">
        <v>43368</v>
      </c>
      <c r="B59" s="104">
        <v>15.42</v>
      </c>
      <c r="C59" s="4">
        <f t="shared" si="0"/>
        <v>-1.9436352085710144E-3</v>
      </c>
      <c r="D59" s="1">
        <f>IFERROR(Comp1[[#This Row],[Comparable '#1 Return]]+1,"-")</f>
        <v>0.99805636479142901</v>
      </c>
      <c r="E59" s="6">
        <f>B59-MAX($B$2:B59)</f>
        <v>-0.95999999999999908</v>
      </c>
      <c r="F59" s="80">
        <f t="shared" si="1"/>
        <v>32</v>
      </c>
      <c r="G59" s="22" cm="1">
        <f t="array" ref="G59">Comp1[[#This Row],[Comparable '#1 Drawdown]]/MAX($B$2:B59)</f>
        <v>-5.8608058608058552E-2</v>
      </c>
      <c r="H59" s="1" t="str">
        <f>IF(SUM(COUNTIF(Benchmark1[Benchmark '#1 Dates],Comp1[[#This Row],[Comparable '#1 Dates]]),COUNTIF(Benchmark2[Benchmark '#2 Dates],Comp1[[#This Row],[Comparable '#1 Dates]]))=2,"Pass","Fail")</f>
        <v>Pass</v>
      </c>
      <c r="I59" s="1">
        <f>IFERROR(Comp1[[#This Row],[Comparable '#1 Return]]-INDEX(Benchmark1[Benchmark '#1 Return],MATCH(Comp1[[#This Row],[Comparable '#1 Dates]],Benchmark1[Benchmark '#1 Dates],0)),"-")</f>
        <v>-6.3809725313007594E-4</v>
      </c>
      <c r="L59" s="72">
        <f>Comp1[[#This Row],[Comparable '#1 Price]]/$B$2*100</f>
        <v>105.54414784394251</v>
      </c>
    </row>
    <row r="60" spans="1:12">
      <c r="A60" s="103">
        <v>43369</v>
      </c>
      <c r="B60" s="104">
        <v>15.21</v>
      </c>
      <c r="C60" s="4">
        <f t="shared" si="0"/>
        <v>-1.3712261863981895E-2</v>
      </c>
      <c r="D60" s="1">
        <f>IFERROR(Comp1[[#This Row],[Comparable '#1 Return]]+1,"-")</f>
        <v>0.98628773813601811</v>
      </c>
      <c r="E60" s="6">
        <f>B60-MAX($B$2:B60)</f>
        <v>-1.1699999999999982</v>
      </c>
      <c r="F60" s="80">
        <f t="shared" si="1"/>
        <v>33</v>
      </c>
      <c r="G60" s="22" cm="1">
        <f t="array" ref="G60">Comp1[[#This Row],[Comparable '#1 Drawdown]]/MAX($B$2:B60)</f>
        <v>-7.1428571428571314E-2</v>
      </c>
      <c r="H60" s="1" t="str">
        <f>IF(SUM(COUNTIF(Benchmark1[Benchmark '#1 Dates],Comp1[[#This Row],[Comparable '#1 Dates]]),COUNTIF(Benchmark2[Benchmark '#2 Dates],Comp1[[#This Row],[Comparable '#1 Dates]]))=2,"Pass","Fail")</f>
        <v>Pass</v>
      </c>
      <c r="I60" s="1">
        <f>IFERROR(Comp1[[#This Row],[Comparable '#1 Return]]-INDEX(Benchmark1[Benchmark '#1 Return],MATCH(Comp1[[#This Row],[Comparable '#1 Dates]],Benchmark1[Benchmark '#1 Dates],0)),"-")</f>
        <v>-1.0414604703013502E-2</v>
      </c>
      <c r="L60" s="72">
        <f>Comp1[[#This Row],[Comparable '#1 Price]]/$B$2*100</f>
        <v>104.10677618069816</v>
      </c>
    </row>
    <row r="61" spans="1:12">
      <c r="A61" s="103">
        <v>43370</v>
      </c>
      <c r="B61" s="104">
        <v>15.18</v>
      </c>
      <c r="C61" s="4">
        <f t="shared" si="0"/>
        <v>-1.9743343037177405E-3</v>
      </c>
      <c r="D61" s="1">
        <f>IFERROR(Comp1[[#This Row],[Comparable '#1 Return]]+1,"-")</f>
        <v>0.99802566569628226</v>
      </c>
      <c r="E61" s="6">
        <f>B61-MAX($B$2:B61)</f>
        <v>-1.1999999999999993</v>
      </c>
      <c r="F61" s="80">
        <f t="shared" si="1"/>
        <v>34</v>
      </c>
      <c r="G61" s="22" cm="1">
        <f t="array" ref="G61">Comp1[[#This Row],[Comparable '#1 Drawdown]]/MAX($B$2:B61)</f>
        <v>-7.3260073260073222E-2</v>
      </c>
      <c r="H61" s="1" t="str">
        <f>IF(SUM(COUNTIF(Benchmark1[Benchmark '#1 Dates],Comp1[[#This Row],[Comparable '#1 Dates]]),COUNTIF(Benchmark2[Benchmark '#2 Dates],Comp1[[#This Row],[Comparable '#1 Dates]]))=2,"Pass","Fail")</f>
        <v>Pass</v>
      </c>
      <c r="I61" s="1">
        <f>IFERROR(Comp1[[#This Row],[Comparable '#1 Return]]-INDEX(Benchmark1[Benchmark '#1 Return],MATCH(Comp1[[#This Row],[Comparable '#1 Dates]],Benchmark1[Benchmark '#1 Dates],0)),"-")</f>
        <v>-4.7346963533654914E-3</v>
      </c>
      <c r="L61" s="72">
        <f>Comp1[[#This Row],[Comparable '#1 Price]]/$B$2*100</f>
        <v>103.90143737166323</v>
      </c>
    </row>
    <row r="62" spans="1:12">
      <c r="A62" s="103">
        <v>43371</v>
      </c>
      <c r="B62" s="104">
        <v>15.44</v>
      </c>
      <c r="C62" s="4">
        <f t="shared" si="0"/>
        <v>1.6982772629146221E-2</v>
      </c>
      <c r="D62" s="1">
        <f>IFERROR(Comp1[[#This Row],[Comparable '#1 Return]]+1,"-")</f>
        <v>1.0169827726291463</v>
      </c>
      <c r="E62" s="6">
        <f>B62-MAX($B$2:B62)</f>
        <v>-0.9399999999999995</v>
      </c>
      <c r="F62" s="80">
        <f t="shared" si="1"/>
        <v>35</v>
      </c>
      <c r="G62" s="22" cm="1">
        <f t="array" ref="G62">Comp1[[#This Row],[Comparable '#1 Drawdown]]/MAX($B$2:B62)</f>
        <v>-5.7387057387057364E-2</v>
      </c>
      <c r="H62" s="1" t="str">
        <f>IF(SUM(COUNTIF(Benchmark1[Benchmark '#1 Dates],Comp1[[#This Row],[Comparable '#1 Dates]]),COUNTIF(Benchmark2[Benchmark '#2 Dates],Comp1[[#This Row],[Comparable '#1 Dates]]))=2,"Pass","Fail")</f>
        <v>Pass</v>
      </c>
      <c r="I62" s="1">
        <f>IFERROR(Comp1[[#This Row],[Comparable '#1 Return]]-INDEX(Benchmark1[Benchmark '#1 Return],MATCH(Comp1[[#This Row],[Comparable '#1 Dates]],Benchmark1[Benchmark '#1 Dates],0)),"-")</f>
        <v>1.6989651936360855E-2</v>
      </c>
      <c r="L62" s="72">
        <f>Comp1[[#This Row],[Comparable '#1 Price]]/$B$2*100</f>
        <v>105.68104038329911</v>
      </c>
    </row>
    <row r="63" spans="1:12">
      <c r="A63" s="103">
        <v>43374</v>
      </c>
      <c r="B63" s="104">
        <v>15.15</v>
      </c>
      <c r="C63" s="4">
        <f t="shared" si="0"/>
        <v>-1.8961012641251919E-2</v>
      </c>
      <c r="D63" s="1">
        <f>IFERROR(Comp1[[#This Row],[Comparable '#1 Return]]+1,"-")</f>
        <v>0.98103898735874806</v>
      </c>
      <c r="E63" s="6">
        <f>B63-MAX($B$2:B63)</f>
        <v>-1.2299999999999986</v>
      </c>
      <c r="F63" s="80">
        <f t="shared" si="1"/>
        <v>36</v>
      </c>
      <c r="G63" s="22" cm="1">
        <f t="array" ref="G63">Comp1[[#This Row],[Comparable '#1 Drawdown]]/MAX($B$2:B63)</f>
        <v>-7.5091575091575019E-2</v>
      </c>
      <c r="H63" s="1" t="str">
        <f>IF(SUM(COUNTIF(Benchmark1[Benchmark '#1 Dates],Comp1[[#This Row],[Comparable '#1 Dates]]),COUNTIF(Benchmark2[Benchmark '#2 Dates],Comp1[[#This Row],[Comparable '#1 Dates]]))=2,"Pass","Fail")</f>
        <v>Pass</v>
      </c>
      <c r="I63" s="1">
        <f>IFERROR(Comp1[[#This Row],[Comparable '#1 Return]]-INDEX(Benchmark1[Benchmark '#1 Return],MATCH(Comp1[[#This Row],[Comparable '#1 Dates]],Benchmark1[Benchmark '#1 Dates],0)),"-")</f>
        <v>-2.2596426972445766E-2</v>
      </c>
      <c r="L63" s="72">
        <f>Comp1[[#This Row],[Comparable '#1 Price]]/$B$2*100</f>
        <v>103.69609856262834</v>
      </c>
    </row>
    <row r="64" spans="1:12">
      <c r="A64" s="103">
        <v>43375</v>
      </c>
      <c r="B64" s="104">
        <v>15.1</v>
      </c>
      <c r="C64" s="4">
        <f t="shared" si="0"/>
        <v>-3.3057881344995439E-3</v>
      </c>
      <c r="D64" s="1">
        <f>IFERROR(Comp1[[#This Row],[Comparable '#1 Return]]+1,"-")</f>
        <v>0.99669421186550045</v>
      </c>
      <c r="E64" s="6">
        <f>B64-MAX($B$2:B64)</f>
        <v>-1.2799999999999994</v>
      </c>
      <c r="F64" s="80">
        <f t="shared" si="1"/>
        <v>37</v>
      </c>
      <c r="G64" s="22" cm="1">
        <f t="array" ref="G64">Comp1[[#This Row],[Comparable '#1 Drawdown]]/MAX($B$2:B64)</f>
        <v>-7.8144078144078116E-2</v>
      </c>
      <c r="H64" s="1" t="str">
        <f>IF(SUM(COUNTIF(Benchmark1[Benchmark '#1 Dates],Comp1[[#This Row],[Comparable '#1 Dates]]),COUNTIF(Benchmark2[Benchmark '#2 Dates],Comp1[[#This Row],[Comparable '#1 Dates]]))=2,"Pass","Fail")</f>
        <v>Pass</v>
      </c>
      <c r="I64" s="1">
        <f>IFERROR(Comp1[[#This Row],[Comparable '#1 Return]]-INDEX(Benchmark1[Benchmark '#1 Return],MATCH(Comp1[[#This Row],[Comparable '#1 Dates]],Benchmark1[Benchmark '#1 Dates],0)),"-")</f>
        <v>-2.9099332887535475E-3</v>
      </c>
      <c r="L64" s="72">
        <f>Comp1[[#This Row],[Comparable '#1 Price]]/$B$2*100</f>
        <v>103.35386721423683</v>
      </c>
    </row>
    <row r="65" spans="1:12">
      <c r="A65" s="103">
        <v>43376</v>
      </c>
      <c r="B65" s="104">
        <v>15.18</v>
      </c>
      <c r="C65" s="4">
        <f t="shared" si="0"/>
        <v>5.2840281466052059E-3</v>
      </c>
      <c r="D65" s="1">
        <f>IFERROR(Comp1[[#This Row],[Comparable '#1 Return]]+1,"-")</f>
        <v>1.0052840281466051</v>
      </c>
      <c r="E65" s="6">
        <f>B65-MAX($B$2:B65)</f>
        <v>-1.1999999999999993</v>
      </c>
      <c r="F65" s="80">
        <f t="shared" si="1"/>
        <v>38</v>
      </c>
      <c r="G65" s="22" cm="1">
        <f t="array" ref="G65">Comp1[[#This Row],[Comparable '#1 Drawdown]]/MAX($B$2:B65)</f>
        <v>-7.3260073260073222E-2</v>
      </c>
      <c r="H65" s="1" t="str">
        <f>IF(SUM(COUNTIF(Benchmark1[Benchmark '#1 Dates],Comp1[[#This Row],[Comparable '#1 Dates]]),COUNTIF(Benchmark2[Benchmark '#2 Dates],Comp1[[#This Row],[Comparable '#1 Dates]]))=2,"Pass","Fail")</f>
        <v>Pass</v>
      </c>
      <c r="I65" s="1">
        <f>IFERROR(Comp1[[#This Row],[Comparable '#1 Return]]-INDEX(Benchmark1[Benchmark '#1 Return],MATCH(Comp1[[#This Row],[Comparable '#1 Dates]],Benchmark1[Benchmark '#1 Dates],0)),"-")</f>
        <v>4.5729308235023421E-3</v>
      </c>
      <c r="L65" s="72">
        <f>Comp1[[#This Row],[Comparable '#1 Price]]/$B$2*100</f>
        <v>103.90143737166323</v>
      </c>
    </row>
    <row r="66" spans="1:12">
      <c r="A66" s="103">
        <v>43377</v>
      </c>
      <c r="B66" s="104">
        <v>14.91</v>
      </c>
      <c r="C66" s="4">
        <f t="shared" ref="C66:C129" si="2">IFERROR(IF(B66="","-",LN(B66/B65)),"-")</f>
        <v>-1.7946643190836827E-2</v>
      </c>
      <c r="D66" s="1">
        <f>IFERROR(Comp1[[#This Row],[Comparable '#1 Return]]+1,"-")</f>
        <v>0.98205335680916317</v>
      </c>
      <c r="E66" s="6">
        <f>B66-MAX($B$2:B66)</f>
        <v>-1.4699999999999989</v>
      </c>
      <c r="F66" s="80">
        <f t="shared" ref="F66:F129" si="3">IF(E66=0,0,F65+1)</f>
        <v>39</v>
      </c>
      <c r="G66" s="22" cm="1">
        <f t="array" ref="G66">Comp1[[#This Row],[Comparable '#1 Drawdown]]/MAX($B$2:B66)</f>
        <v>-8.9743589743589675E-2</v>
      </c>
      <c r="H66" s="1" t="str">
        <f>IF(SUM(COUNTIF(Benchmark1[Benchmark '#1 Dates],Comp1[[#This Row],[Comparable '#1 Dates]]),COUNTIF(Benchmark2[Benchmark '#2 Dates],Comp1[[#This Row],[Comparable '#1 Dates]]))=2,"Pass","Fail")</f>
        <v>Pass</v>
      </c>
      <c r="I66" s="1">
        <f>IFERROR(Comp1[[#This Row],[Comparable '#1 Return]]-INDEX(Benchmark1[Benchmark '#1 Return],MATCH(Comp1[[#This Row],[Comparable '#1 Dates]],Benchmark1[Benchmark '#1 Dates],0)),"-")</f>
        <v>-9.7430485838455195E-3</v>
      </c>
      <c r="L66" s="72">
        <f>Comp1[[#This Row],[Comparable '#1 Price]]/$B$2*100</f>
        <v>102.05338809034907</v>
      </c>
    </row>
    <row r="67" spans="1:12">
      <c r="A67" s="103">
        <v>43378</v>
      </c>
      <c r="B67" s="104">
        <v>14.99</v>
      </c>
      <c r="C67" s="4">
        <f t="shared" si="2"/>
        <v>5.3511833378593948E-3</v>
      </c>
      <c r="D67" s="1">
        <f>IFERROR(Comp1[[#This Row],[Comparable '#1 Return]]+1,"-")</f>
        <v>1.0053511833378594</v>
      </c>
      <c r="E67" s="6">
        <f>B67-MAX($B$2:B67)</f>
        <v>-1.3899999999999988</v>
      </c>
      <c r="F67" s="80">
        <f t="shared" si="3"/>
        <v>40</v>
      </c>
      <c r="G67" s="22" cm="1">
        <f t="array" ref="G67">Comp1[[#This Row],[Comparable '#1 Drawdown]]/MAX($B$2:B67)</f>
        <v>-8.4859584859584794E-2</v>
      </c>
      <c r="H67" s="1" t="str">
        <f>IF(SUM(COUNTIF(Benchmark1[Benchmark '#1 Dates],Comp1[[#This Row],[Comparable '#1 Dates]]),COUNTIF(Benchmark2[Benchmark '#2 Dates],Comp1[[#This Row],[Comparable '#1 Dates]]))=2,"Pass","Fail")</f>
        <v>Pass</v>
      </c>
      <c r="I67" s="1">
        <f>IFERROR(Comp1[[#This Row],[Comparable '#1 Return]]-INDEX(Benchmark1[Benchmark '#1 Return],MATCH(Comp1[[#This Row],[Comparable '#1 Dates]],Benchmark1[Benchmark '#1 Dates],0)),"-")</f>
        <v>1.0896296211216124E-2</v>
      </c>
      <c r="L67" s="72">
        <f>Comp1[[#This Row],[Comparable '#1 Price]]/$B$2*100</f>
        <v>102.60095824777551</v>
      </c>
    </row>
    <row r="68" spans="1:12">
      <c r="A68" s="103">
        <v>43381</v>
      </c>
      <c r="B68" s="104">
        <v>14.91</v>
      </c>
      <c r="C68" s="4">
        <f t="shared" si="2"/>
        <v>-5.3511833378593072E-3</v>
      </c>
      <c r="D68" s="1">
        <f>IFERROR(Comp1[[#This Row],[Comparable '#1 Return]]+1,"-")</f>
        <v>0.99464881666214067</v>
      </c>
      <c r="E68" s="6">
        <f>B68-MAX($B$2:B68)</f>
        <v>-1.4699999999999989</v>
      </c>
      <c r="F68" s="80">
        <f t="shared" si="3"/>
        <v>41</v>
      </c>
      <c r="G68" s="22" cm="1">
        <f t="array" ref="G68">Comp1[[#This Row],[Comparable '#1 Drawdown]]/MAX($B$2:B68)</f>
        <v>-8.9743589743589675E-2</v>
      </c>
      <c r="H68" s="1" t="str">
        <f>IF(SUM(COUNTIF(Benchmark1[Benchmark '#1 Dates],Comp1[[#This Row],[Comparable '#1 Dates]]),COUNTIF(Benchmark2[Benchmark '#2 Dates],Comp1[[#This Row],[Comparable '#1 Dates]]))=2,"Pass","Fail")</f>
        <v>Pass</v>
      </c>
      <c r="I68" s="1">
        <f>IFERROR(Comp1[[#This Row],[Comparable '#1 Return]]-INDEX(Benchmark1[Benchmark '#1 Return],MATCH(Comp1[[#This Row],[Comparable '#1 Dates]],Benchmark1[Benchmark '#1 Dates],0)),"-")</f>
        <v>-4.9582619670642735E-3</v>
      </c>
      <c r="L68" s="72">
        <f>Comp1[[#This Row],[Comparable '#1 Price]]/$B$2*100</f>
        <v>102.05338809034907</v>
      </c>
    </row>
    <row r="69" spans="1:12">
      <c r="A69" s="103">
        <v>43382</v>
      </c>
      <c r="B69" s="104">
        <v>14.82</v>
      </c>
      <c r="C69" s="4">
        <f t="shared" si="2"/>
        <v>-6.0545089087062605E-3</v>
      </c>
      <c r="D69" s="1">
        <f>IFERROR(Comp1[[#This Row],[Comparable '#1 Return]]+1,"-")</f>
        <v>0.99394549109129371</v>
      </c>
      <c r="E69" s="6">
        <f>B69-MAX($B$2:B69)</f>
        <v>-1.5599999999999987</v>
      </c>
      <c r="F69" s="80">
        <f t="shared" si="3"/>
        <v>42</v>
      </c>
      <c r="G69" s="22" cm="1">
        <f t="array" ref="G69">Comp1[[#This Row],[Comparable '#1 Drawdown]]/MAX($B$2:B69)</f>
        <v>-9.5238095238095163E-2</v>
      </c>
      <c r="H69" s="1" t="str">
        <f>IF(SUM(COUNTIF(Benchmark1[Benchmark '#1 Dates],Comp1[[#This Row],[Comparable '#1 Dates]]),COUNTIF(Benchmark2[Benchmark '#2 Dates],Comp1[[#This Row],[Comparable '#1 Dates]]))=2,"Pass","Fail")</f>
        <v>Pass</v>
      </c>
      <c r="I69" s="1">
        <f>IFERROR(Comp1[[#This Row],[Comparable '#1 Return]]-INDEX(Benchmark1[Benchmark '#1 Return],MATCH(Comp1[[#This Row],[Comparable '#1 Dates]],Benchmark1[Benchmark '#1 Dates],0)),"-")</f>
        <v>-4.6359063173309258E-3</v>
      </c>
      <c r="L69" s="72">
        <f>Comp1[[#This Row],[Comparable '#1 Price]]/$B$2*100</f>
        <v>101.43737166324436</v>
      </c>
    </row>
    <row r="70" spans="1:12">
      <c r="A70" s="103">
        <v>43383</v>
      </c>
      <c r="B70" s="104">
        <v>14.9</v>
      </c>
      <c r="C70" s="4">
        <f t="shared" si="2"/>
        <v>5.3835930834726792E-3</v>
      </c>
      <c r="D70" s="1">
        <f>IFERROR(Comp1[[#This Row],[Comparable '#1 Return]]+1,"-")</f>
        <v>1.0053835930834727</v>
      </c>
      <c r="E70" s="6">
        <f>B70-MAX($B$2:B70)</f>
        <v>-1.4799999999999986</v>
      </c>
      <c r="F70" s="80">
        <f t="shared" si="3"/>
        <v>43</v>
      </c>
      <c r="G70" s="22" cm="1">
        <f t="array" ref="G70">Comp1[[#This Row],[Comparable '#1 Drawdown]]/MAX($B$2:B70)</f>
        <v>-9.0354090354090283E-2</v>
      </c>
      <c r="H70" s="1" t="str">
        <f>IF(SUM(COUNTIF(Benchmark1[Benchmark '#1 Dates],Comp1[[#This Row],[Comparable '#1 Dates]]),COUNTIF(Benchmark2[Benchmark '#2 Dates],Comp1[[#This Row],[Comparable '#1 Dates]]))=2,"Pass","Fail")</f>
        <v>Pass</v>
      </c>
      <c r="I70" s="1">
        <f>IFERROR(Comp1[[#This Row],[Comparable '#1 Return]]-INDEX(Benchmark1[Benchmark '#1 Return],MATCH(Comp1[[#This Row],[Comparable '#1 Dates]],Benchmark1[Benchmark '#1 Dates],0)),"-")</f>
        <v>3.8801510379135679E-2</v>
      </c>
      <c r="L70" s="72">
        <f>Comp1[[#This Row],[Comparable '#1 Price]]/$B$2*100</f>
        <v>101.98494182067077</v>
      </c>
    </row>
    <row r="71" spans="1:12">
      <c r="A71" s="103">
        <v>43384</v>
      </c>
      <c r="B71" s="104">
        <v>15</v>
      </c>
      <c r="C71" s="4">
        <f t="shared" si="2"/>
        <v>6.6889881507964889E-3</v>
      </c>
      <c r="D71" s="1">
        <f>IFERROR(Comp1[[#This Row],[Comparable '#1 Return]]+1,"-")</f>
        <v>1.0066889881507965</v>
      </c>
      <c r="E71" s="6">
        <f>B71-MAX($B$2:B71)</f>
        <v>-1.379999999999999</v>
      </c>
      <c r="F71" s="80">
        <f t="shared" si="3"/>
        <v>44</v>
      </c>
      <c r="G71" s="22" cm="1">
        <f t="array" ref="G71">Comp1[[#This Row],[Comparable '#1 Drawdown]]/MAX($B$2:B71)</f>
        <v>-8.42490842490842E-2</v>
      </c>
      <c r="H71" s="1" t="str">
        <f>IF(SUM(COUNTIF(Benchmark1[Benchmark '#1 Dates],Comp1[[#This Row],[Comparable '#1 Dates]]),COUNTIF(Benchmark2[Benchmark '#2 Dates],Comp1[[#This Row],[Comparable '#1 Dates]]))=2,"Pass","Fail")</f>
        <v>Pass</v>
      </c>
      <c r="I71" s="1">
        <f>IFERROR(Comp1[[#This Row],[Comparable '#1 Return]]-INDEX(Benchmark1[Benchmark '#1 Return],MATCH(Comp1[[#This Row],[Comparable '#1 Dates]],Benchmark1[Benchmark '#1 Dates],0)),"-")</f>
        <v>2.7477700165963088E-2</v>
      </c>
      <c r="L71" s="72">
        <f>Comp1[[#This Row],[Comparable '#1 Price]]/$B$2*100</f>
        <v>102.66940451745381</v>
      </c>
    </row>
    <row r="72" spans="1:12">
      <c r="A72" s="103">
        <v>43385</v>
      </c>
      <c r="B72" s="104">
        <v>15.07</v>
      </c>
      <c r="C72" s="4">
        <f t="shared" si="2"/>
        <v>4.6558115361939557E-3</v>
      </c>
      <c r="D72" s="1">
        <f>IFERROR(Comp1[[#This Row],[Comparable '#1 Return]]+1,"-")</f>
        <v>1.0046558115361939</v>
      </c>
      <c r="E72" s="6">
        <f>B72-MAX($B$2:B72)</f>
        <v>-1.3099999999999987</v>
      </c>
      <c r="F72" s="80">
        <f t="shared" si="3"/>
        <v>45</v>
      </c>
      <c r="G72" s="22" cm="1">
        <f t="array" ref="G72">Comp1[[#This Row],[Comparable '#1 Drawdown]]/MAX($B$2:B72)</f>
        <v>-7.99755799755799E-2</v>
      </c>
      <c r="H72" s="1" t="str">
        <f>IF(SUM(COUNTIF(Benchmark1[Benchmark '#1 Dates],Comp1[[#This Row],[Comparable '#1 Dates]]),COUNTIF(Benchmark2[Benchmark '#2 Dates],Comp1[[#This Row],[Comparable '#1 Dates]]))=2,"Pass","Fail")</f>
        <v>Pass</v>
      </c>
      <c r="I72" s="1">
        <f>IFERROR(Comp1[[#This Row],[Comparable '#1 Return]]-INDEX(Benchmark1[Benchmark '#1 Return],MATCH(Comp1[[#This Row],[Comparable '#1 Dates]],Benchmark1[Benchmark '#1 Dates],0)),"-")</f>
        <v>-9.4504294394048907E-3</v>
      </c>
      <c r="L72" s="72">
        <f>Comp1[[#This Row],[Comparable '#1 Price]]/$B$2*100</f>
        <v>103.14852840520192</v>
      </c>
    </row>
    <row r="73" spans="1:12">
      <c r="A73" s="103">
        <v>43388</v>
      </c>
      <c r="B73" s="104">
        <v>15.44</v>
      </c>
      <c r="C73" s="4">
        <f t="shared" si="2"/>
        <v>2.4255531958225864E-2</v>
      </c>
      <c r="D73" s="1">
        <f>IFERROR(Comp1[[#This Row],[Comparable '#1 Return]]+1,"-")</f>
        <v>1.0242555319582258</v>
      </c>
      <c r="E73" s="6">
        <f>B73-MAX($B$2:B73)</f>
        <v>-0.9399999999999995</v>
      </c>
      <c r="F73" s="80">
        <f t="shared" si="3"/>
        <v>46</v>
      </c>
      <c r="G73" s="22" cm="1">
        <f t="array" ref="G73">Comp1[[#This Row],[Comparable '#1 Drawdown]]/MAX($B$2:B73)</f>
        <v>-5.7387057387057364E-2</v>
      </c>
      <c r="H73" s="1" t="str">
        <f>IF(SUM(COUNTIF(Benchmark1[Benchmark '#1 Dates],Comp1[[#This Row],[Comparable '#1 Dates]]),COUNTIF(Benchmark2[Benchmark '#2 Dates],Comp1[[#This Row],[Comparable '#1 Dates]]))=2,"Pass","Fail")</f>
        <v>Pass</v>
      </c>
      <c r="I73" s="1">
        <f>IFERROR(Comp1[[#This Row],[Comparable '#1 Return]]-INDEX(Benchmark1[Benchmark '#1 Return],MATCH(Comp1[[#This Row],[Comparable '#1 Dates]],Benchmark1[Benchmark '#1 Dates],0)),"-")</f>
        <v>3.0178071084836083E-2</v>
      </c>
      <c r="L73" s="72">
        <f>Comp1[[#This Row],[Comparable '#1 Price]]/$B$2*100</f>
        <v>105.68104038329911</v>
      </c>
    </row>
    <row r="74" spans="1:12">
      <c r="A74" s="103">
        <v>43389</v>
      </c>
      <c r="B74" s="104">
        <v>15.79</v>
      </c>
      <c r="C74" s="4">
        <f t="shared" si="2"/>
        <v>2.2415283670920688E-2</v>
      </c>
      <c r="D74" s="1">
        <f>IFERROR(Comp1[[#This Row],[Comparable '#1 Return]]+1,"-")</f>
        <v>1.0224152836709206</v>
      </c>
      <c r="E74" s="6">
        <f>B74-MAX($B$2:B74)</f>
        <v>-0.58999999999999986</v>
      </c>
      <c r="F74" s="80">
        <f t="shared" si="3"/>
        <v>47</v>
      </c>
      <c r="G74" s="22" cm="1">
        <f t="array" ref="G74">Comp1[[#This Row],[Comparable '#1 Drawdown]]/MAX($B$2:B74)</f>
        <v>-3.6019536019536016E-2</v>
      </c>
      <c r="H74" s="1" t="str">
        <f>IF(SUM(COUNTIF(Benchmark1[Benchmark '#1 Dates],Comp1[[#This Row],[Comparable '#1 Dates]]),COUNTIF(Benchmark2[Benchmark '#2 Dates],Comp1[[#This Row],[Comparable '#1 Dates]]))=2,"Pass","Fail")</f>
        <v>Pass</v>
      </c>
      <c r="I74" s="1">
        <f>IFERROR(Comp1[[#This Row],[Comparable '#1 Return]]-INDEX(Benchmark1[Benchmark '#1 Return],MATCH(Comp1[[#This Row],[Comparable '#1 Dates]],Benchmark1[Benchmark '#1 Dates],0)),"-")</f>
        <v>1.1475150779705311E-3</v>
      </c>
      <c r="L74" s="72">
        <f>Comp1[[#This Row],[Comparable '#1 Price]]/$B$2*100</f>
        <v>108.07665982203969</v>
      </c>
    </row>
    <row r="75" spans="1:12">
      <c r="A75" s="103">
        <v>43390</v>
      </c>
      <c r="B75" s="104">
        <v>15.49</v>
      </c>
      <c r="C75" s="4">
        <f t="shared" si="2"/>
        <v>-1.9182173838773405E-2</v>
      </c>
      <c r="D75" s="1">
        <f>IFERROR(Comp1[[#This Row],[Comparable '#1 Return]]+1,"-")</f>
        <v>0.98081782616122659</v>
      </c>
      <c r="E75" s="6">
        <f>B75-MAX($B$2:B75)</f>
        <v>-0.88999999999999879</v>
      </c>
      <c r="F75" s="80">
        <f t="shared" si="3"/>
        <v>48</v>
      </c>
      <c r="G75" s="22" cm="1">
        <f t="array" ref="G75">Comp1[[#This Row],[Comparable '#1 Drawdown]]/MAX($B$2:B75)</f>
        <v>-5.4334554334554266E-2</v>
      </c>
      <c r="H75" s="1" t="str">
        <f>IF(SUM(COUNTIF(Benchmark1[Benchmark '#1 Dates],Comp1[[#This Row],[Comparable '#1 Dates]]),COUNTIF(Benchmark2[Benchmark '#2 Dates],Comp1[[#This Row],[Comparable '#1 Dates]]))=2,"Pass","Fail")</f>
        <v>Pass</v>
      </c>
      <c r="I75" s="1">
        <f>IFERROR(Comp1[[#This Row],[Comparable '#1 Return]]-INDEX(Benchmark1[Benchmark '#1 Return],MATCH(Comp1[[#This Row],[Comparable '#1 Dates]],Benchmark1[Benchmark '#1 Dates],0)),"-")</f>
        <v>-1.8930679693334118E-2</v>
      </c>
      <c r="L75" s="72">
        <f>Comp1[[#This Row],[Comparable '#1 Price]]/$B$2*100</f>
        <v>106.02327173169064</v>
      </c>
    </row>
    <row r="76" spans="1:12">
      <c r="A76" s="103">
        <v>43391</v>
      </c>
      <c r="B76" s="104">
        <v>15.33</v>
      </c>
      <c r="C76" s="4">
        <f t="shared" si="2"/>
        <v>-1.0382961545054508E-2</v>
      </c>
      <c r="D76" s="1">
        <f>IFERROR(Comp1[[#This Row],[Comparable '#1 Return]]+1,"-")</f>
        <v>0.98961703845494553</v>
      </c>
      <c r="E76" s="6">
        <f>B76-MAX($B$2:B76)</f>
        <v>-1.0499999999999989</v>
      </c>
      <c r="F76" s="80">
        <f t="shared" si="3"/>
        <v>49</v>
      </c>
      <c r="G76" s="22" cm="1">
        <f t="array" ref="G76">Comp1[[#This Row],[Comparable '#1 Drawdown]]/MAX($B$2:B76)</f>
        <v>-6.4102564102564041E-2</v>
      </c>
      <c r="H76" s="1" t="str">
        <f>IF(SUM(COUNTIF(Benchmark1[Benchmark '#1 Dates],Comp1[[#This Row],[Comparable '#1 Dates]]),COUNTIF(Benchmark2[Benchmark '#2 Dates],Comp1[[#This Row],[Comparable '#1 Dates]]))=2,"Pass","Fail")</f>
        <v>Pass</v>
      </c>
      <c r="I76" s="1">
        <f>IFERROR(Comp1[[#This Row],[Comparable '#1 Return]]-INDEX(Benchmark1[Benchmark '#1 Return],MATCH(Comp1[[#This Row],[Comparable '#1 Dates]],Benchmark1[Benchmark '#1 Dates],0)),"-")</f>
        <v>4.1115680080088795E-3</v>
      </c>
      <c r="L76" s="72">
        <f>Comp1[[#This Row],[Comparable '#1 Price]]/$B$2*100</f>
        <v>104.92813141683779</v>
      </c>
    </row>
    <row r="77" spans="1:12">
      <c r="A77" s="103">
        <v>43392</v>
      </c>
      <c r="B77" s="104">
        <v>15.18</v>
      </c>
      <c r="C77" s="4">
        <f t="shared" si="2"/>
        <v>-9.832920916238946E-3</v>
      </c>
      <c r="D77" s="1">
        <f>IFERROR(Comp1[[#This Row],[Comparable '#1 Return]]+1,"-")</f>
        <v>0.990167079083761</v>
      </c>
      <c r="E77" s="6">
        <f>B77-MAX($B$2:B77)</f>
        <v>-1.1999999999999993</v>
      </c>
      <c r="F77" s="80">
        <f t="shared" si="3"/>
        <v>50</v>
      </c>
      <c r="G77" s="22" cm="1">
        <f t="array" ref="G77">Comp1[[#This Row],[Comparable '#1 Drawdown]]/MAX($B$2:B77)</f>
        <v>-7.3260073260073222E-2</v>
      </c>
      <c r="H77" s="1" t="str">
        <f>IF(SUM(COUNTIF(Benchmark1[Benchmark '#1 Dates],Comp1[[#This Row],[Comparable '#1 Dates]]),COUNTIF(Benchmark2[Benchmark '#2 Dates],Comp1[[#This Row],[Comparable '#1 Dates]]))=2,"Pass","Fail")</f>
        <v>Pass</v>
      </c>
      <c r="I77" s="1">
        <f>IFERROR(Comp1[[#This Row],[Comparable '#1 Return]]-INDEX(Benchmark1[Benchmark '#1 Return],MATCH(Comp1[[#This Row],[Comparable '#1 Dates]],Benchmark1[Benchmark '#1 Dates],0)),"-")</f>
        <v>-9.4702030699382895E-3</v>
      </c>
      <c r="L77" s="72">
        <f>Comp1[[#This Row],[Comparable '#1 Price]]/$B$2*100</f>
        <v>103.90143737166323</v>
      </c>
    </row>
    <row r="78" spans="1:12">
      <c r="A78" s="103">
        <v>43395</v>
      </c>
      <c r="B78" s="104">
        <v>15.37</v>
      </c>
      <c r="C78" s="4">
        <f t="shared" si="2"/>
        <v>1.24387855830207E-2</v>
      </c>
      <c r="D78" s="1">
        <f>IFERROR(Comp1[[#This Row],[Comparable '#1 Return]]+1,"-")</f>
        <v>1.0124387855830208</v>
      </c>
      <c r="E78" s="6">
        <f>B78-MAX($B$2:B78)</f>
        <v>-1.0099999999999998</v>
      </c>
      <c r="F78" s="80">
        <f t="shared" si="3"/>
        <v>51</v>
      </c>
      <c r="G78" s="22" cm="1">
        <f t="array" ref="G78">Comp1[[#This Row],[Comparable '#1 Drawdown]]/MAX($B$2:B78)</f>
        <v>-6.166056166056165E-2</v>
      </c>
      <c r="H78" s="1" t="str">
        <f>IF(SUM(COUNTIF(Benchmark1[Benchmark '#1 Dates],Comp1[[#This Row],[Comparable '#1 Dates]]),COUNTIF(Benchmark2[Benchmark '#2 Dates],Comp1[[#This Row],[Comparable '#1 Dates]]))=2,"Pass","Fail")</f>
        <v>Pass</v>
      </c>
      <c r="I78" s="1">
        <f>IFERROR(Comp1[[#This Row],[Comparable '#1 Return]]-INDEX(Benchmark1[Benchmark '#1 Return],MATCH(Comp1[[#This Row],[Comparable '#1 Dates]],Benchmark1[Benchmark '#1 Dates],0)),"-")</f>
        <v>1.6746341900293404E-2</v>
      </c>
      <c r="L78" s="72">
        <f>Comp1[[#This Row],[Comparable '#1 Price]]/$B$2*100</f>
        <v>105.20191649555099</v>
      </c>
    </row>
    <row r="79" spans="1:12">
      <c r="A79" s="103">
        <v>43396</v>
      </c>
      <c r="B79" s="104">
        <v>15.26</v>
      </c>
      <c r="C79" s="4">
        <f t="shared" si="2"/>
        <v>-7.1825316941934872E-3</v>
      </c>
      <c r="D79" s="1">
        <f>IFERROR(Comp1[[#This Row],[Comparable '#1 Return]]+1,"-")</f>
        <v>0.99281746830580653</v>
      </c>
      <c r="E79" s="6">
        <f>B79-MAX($B$2:B79)</f>
        <v>-1.1199999999999992</v>
      </c>
      <c r="F79" s="80">
        <f t="shared" si="3"/>
        <v>52</v>
      </c>
      <c r="G79" s="22" cm="1">
        <f t="array" ref="G79">Comp1[[#This Row],[Comparable '#1 Drawdown]]/MAX($B$2:B79)</f>
        <v>-6.8376068376068327E-2</v>
      </c>
      <c r="H79" s="1" t="str">
        <f>IF(SUM(COUNTIF(Benchmark1[Benchmark '#1 Dates],Comp1[[#This Row],[Comparable '#1 Dates]]),COUNTIF(Benchmark2[Benchmark '#2 Dates],Comp1[[#This Row],[Comparable '#1 Dates]]))=2,"Pass","Fail")</f>
        <v>Pass</v>
      </c>
      <c r="I79" s="1">
        <f>IFERROR(Comp1[[#This Row],[Comparable '#1 Return]]-INDEX(Benchmark1[Benchmark '#1 Return],MATCH(Comp1[[#This Row],[Comparable '#1 Dates]],Benchmark1[Benchmark '#1 Dates],0)),"-")</f>
        <v>-1.6549406830312571E-3</v>
      </c>
      <c r="L79" s="72">
        <f>Comp1[[#This Row],[Comparable '#1 Price]]/$B$2*100</f>
        <v>104.44900752908967</v>
      </c>
    </row>
    <row r="80" spans="1:12">
      <c r="A80" s="103">
        <v>43397</v>
      </c>
      <c r="B80" s="104">
        <v>14.74</v>
      </c>
      <c r="C80" s="4">
        <f t="shared" si="2"/>
        <v>-3.4670139095120352E-2</v>
      </c>
      <c r="D80" s="1">
        <f>IFERROR(Comp1[[#This Row],[Comparable '#1 Return]]+1,"-")</f>
        <v>0.9653298609048796</v>
      </c>
      <c r="E80" s="6">
        <f>B80-MAX($B$2:B80)</f>
        <v>-1.6399999999999988</v>
      </c>
      <c r="F80" s="80">
        <f t="shared" si="3"/>
        <v>53</v>
      </c>
      <c r="G80" s="22" cm="1">
        <f t="array" ref="G80">Comp1[[#This Row],[Comparable '#1 Drawdown]]/MAX($B$2:B80)</f>
        <v>-0.10012210012210006</v>
      </c>
      <c r="H80" s="1" t="str">
        <f>IF(SUM(COUNTIF(Benchmark1[Benchmark '#1 Dates],Comp1[[#This Row],[Comparable '#1 Dates]]),COUNTIF(Benchmark2[Benchmark '#2 Dates],Comp1[[#This Row],[Comparable '#1 Dates]]))=2,"Pass","Fail")</f>
        <v>Pass</v>
      </c>
      <c r="I80" s="1">
        <f>IFERROR(Comp1[[#This Row],[Comparable '#1 Return]]-INDEX(Benchmark1[Benchmark '#1 Return],MATCH(Comp1[[#This Row],[Comparable '#1 Dates]],Benchmark1[Benchmark '#1 Dates],0)),"-")</f>
        <v>-3.3196510894505302E-3</v>
      </c>
      <c r="L80" s="72">
        <f>Comp1[[#This Row],[Comparable '#1 Price]]/$B$2*100</f>
        <v>100.88980150581794</v>
      </c>
    </row>
    <row r="81" spans="1:12">
      <c r="A81" s="103">
        <v>43398</v>
      </c>
      <c r="B81" s="104">
        <v>15.23</v>
      </c>
      <c r="C81" s="4">
        <f t="shared" si="2"/>
        <v>3.2702280145879802E-2</v>
      </c>
      <c r="D81" s="1">
        <f>IFERROR(Comp1[[#This Row],[Comparable '#1 Return]]+1,"-")</f>
        <v>1.0327022801458798</v>
      </c>
      <c r="E81" s="6">
        <f>B81-MAX($B$2:B81)</f>
        <v>-1.1499999999999986</v>
      </c>
      <c r="F81" s="80">
        <f t="shared" si="3"/>
        <v>54</v>
      </c>
      <c r="G81" s="22" cm="1">
        <f t="array" ref="G81">Comp1[[#This Row],[Comparable '#1 Drawdown]]/MAX($B$2:B81)</f>
        <v>-7.0207570207570125E-2</v>
      </c>
      <c r="H81" s="1" t="str">
        <f>IF(SUM(COUNTIF(Benchmark1[Benchmark '#1 Dates],Comp1[[#This Row],[Comparable '#1 Dates]]),COUNTIF(Benchmark2[Benchmark '#2 Dates],Comp1[[#This Row],[Comparable '#1 Dates]]))=2,"Pass","Fail")</f>
        <v>Pass</v>
      </c>
      <c r="I81" s="1">
        <f>IFERROR(Comp1[[#This Row],[Comparable '#1 Return]]-INDEX(Benchmark1[Benchmark '#1 Return],MATCH(Comp1[[#This Row],[Comparable '#1 Dates]],Benchmark1[Benchmark '#1 Dates],0)),"-")</f>
        <v>1.4250400130461534E-2</v>
      </c>
      <c r="L81" s="72">
        <f>Comp1[[#This Row],[Comparable '#1 Price]]/$B$2*100</f>
        <v>104.24366872005477</v>
      </c>
    </row>
    <row r="82" spans="1:12">
      <c r="A82" s="103">
        <v>43399</v>
      </c>
      <c r="B82" s="104">
        <v>14.86</v>
      </c>
      <c r="C82" s="4">
        <f t="shared" si="2"/>
        <v>-2.4594127617457412E-2</v>
      </c>
      <c r="D82" s="1">
        <f>IFERROR(Comp1[[#This Row],[Comparable '#1 Return]]+1,"-")</f>
        <v>0.97540587238254262</v>
      </c>
      <c r="E82" s="6">
        <f>B82-MAX($B$2:B82)</f>
        <v>-1.5199999999999996</v>
      </c>
      <c r="F82" s="80">
        <f t="shared" si="3"/>
        <v>55</v>
      </c>
      <c r="G82" s="22" cm="1">
        <f t="array" ref="G82">Comp1[[#This Row],[Comparable '#1 Drawdown]]/MAX($B$2:B82)</f>
        <v>-9.2796092796092772E-2</v>
      </c>
      <c r="H82" s="1" t="str">
        <f>IF(SUM(COUNTIF(Benchmark1[Benchmark '#1 Dates],Comp1[[#This Row],[Comparable '#1 Dates]]),COUNTIF(Benchmark2[Benchmark '#2 Dates],Comp1[[#This Row],[Comparable '#1 Dates]]))=2,"Pass","Fail")</f>
        <v>Pass</v>
      </c>
      <c r="I82" s="1">
        <f>IFERROR(Comp1[[#This Row],[Comparable '#1 Return]]-INDEX(Benchmark1[Benchmark '#1 Return],MATCH(Comp1[[#This Row],[Comparable '#1 Dates]],Benchmark1[Benchmark '#1 Dates],0)),"-")</f>
        <v>-7.1138342026614738E-3</v>
      </c>
      <c r="L82" s="72">
        <f>Comp1[[#This Row],[Comparable '#1 Price]]/$B$2*100</f>
        <v>101.71115674195757</v>
      </c>
    </row>
    <row r="83" spans="1:12">
      <c r="A83" s="103">
        <v>43402</v>
      </c>
      <c r="B83" s="104">
        <v>14.46</v>
      </c>
      <c r="C83" s="4">
        <f t="shared" si="2"/>
        <v>-2.728682255899437E-2</v>
      </c>
      <c r="D83" s="1">
        <f>IFERROR(Comp1[[#This Row],[Comparable '#1 Return]]+1,"-")</f>
        <v>0.97271317744100561</v>
      </c>
      <c r="E83" s="6">
        <f>B83-MAX($B$2:B83)</f>
        <v>-1.9199999999999982</v>
      </c>
      <c r="F83" s="80">
        <f t="shared" si="3"/>
        <v>56</v>
      </c>
      <c r="G83" s="22" cm="1">
        <f t="array" ref="G83">Comp1[[#This Row],[Comparable '#1 Drawdown]]/MAX($B$2:B83)</f>
        <v>-0.1172161172161171</v>
      </c>
      <c r="H83" s="1" t="str">
        <f>IF(SUM(COUNTIF(Benchmark1[Benchmark '#1 Dates],Comp1[[#This Row],[Comparable '#1 Dates]]),COUNTIF(Benchmark2[Benchmark '#2 Dates],Comp1[[#This Row],[Comparable '#1 Dates]]))=2,"Pass","Fail")</f>
        <v>Pass</v>
      </c>
      <c r="I83" s="1">
        <f>IFERROR(Comp1[[#This Row],[Comparable '#1 Return]]-INDEX(Benchmark1[Benchmark '#1 Return],MATCH(Comp1[[#This Row],[Comparable '#1 Dates]],Benchmark1[Benchmark '#1 Dates],0)),"-")</f>
        <v>-2.0705582181831488E-2</v>
      </c>
      <c r="L83" s="72">
        <f>Comp1[[#This Row],[Comparable '#1 Price]]/$B$2*100</f>
        <v>98.973305954825477</v>
      </c>
    </row>
    <row r="84" spans="1:12">
      <c r="A84" s="103">
        <v>43403</v>
      </c>
      <c r="B84" s="104">
        <v>14.9</v>
      </c>
      <c r="C84" s="4">
        <f t="shared" si="2"/>
        <v>2.9974996220794723E-2</v>
      </c>
      <c r="D84" s="1">
        <f>IFERROR(Comp1[[#This Row],[Comparable '#1 Return]]+1,"-")</f>
        <v>1.0299749962207947</v>
      </c>
      <c r="E84" s="6">
        <f>B84-MAX($B$2:B84)</f>
        <v>-1.4799999999999986</v>
      </c>
      <c r="F84" s="80">
        <f t="shared" si="3"/>
        <v>57</v>
      </c>
      <c r="G84" s="22" cm="1">
        <f t="array" ref="G84">Comp1[[#This Row],[Comparable '#1 Drawdown]]/MAX($B$2:B84)</f>
        <v>-9.0354090354090283E-2</v>
      </c>
      <c r="H84" s="1" t="str">
        <f>IF(SUM(COUNTIF(Benchmark1[Benchmark '#1 Dates],Comp1[[#This Row],[Comparable '#1 Dates]]),COUNTIF(Benchmark2[Benchmark '#2 Dates],Comp1[[#This Row],[Comparable '#1 Dates]]))=2,"Pass","Fail")</f>
        <v>Pass</v>
      </c>
      <c r="I84" s="1">
        <f>IFERROR(Comp1[[#This Row],[Comparable '#1 Return]]-INDEX(Benchmark1[Benchmark '#1 Return],MATCH(Comp1[[#This Row],[Comparable '#1 Dates]],Benchmark1[Benchmark '#1 Dates],0)),"-")</f>
        <v>1.4427410212725696E-2</v>
      </c>
      <c r="L84" s="72">
        <f>Comp1[[#This Row],[Comparable '#1 Price]]/$B$2*100</f>
        <v>101.98494182067077</v>
      </c>
    </row>
    <row r="85" spans="1:12">
      <c r="A85" s="103">
        <v>43404</v>
      </c>
      <c r="B85" s="104">
        <v>14.89</v>
      </c>
      <c r="C85" s="4">
        <f t="shared" si="2"/>
        <v>-6.7136625549582801E-4</v>
      </c>
      <c r="D85" s="1">
        <f>IFERROR(Comp1[[#This Row],[Comparable '#1 Return]]+1,"-")</f>
        <v>0.9993286337445042</v>
      </c>
      <c r="E85" s="6">
        <f>B85-MAX($B$2:B85)</f>
        <v>-1.4899999999999984</v>
      </c>
      <c r="F85" s="80">
        <f t="shared" si="3"/>
        <v>58</v>
      </c>
      <c r="G85" s="22" cm="1">
        <f t="array" ref="G85">Comp1[[#This Row],[Comparable '#1 Drawdown]]/MAX($B$2:B85)</f>
        <v>-9.0964590964590877E-2</v>
      </c>
      <c r="H85" s="1" t="str">
        <f>IF(SUM(COUNTIF(Benchmark1[Benchmark '#1 Dates],Comp1[[#This Row],[Comparable '#1 Dates]]),COUNTIF(Benchmark2[Benchmark '#2 Dates],Comp1[[#This Row],[Comparable '#1 Dates]]))=2,"Pass","Fail")</f>
        <v>Pass</v>
      </c>
      <c r="I85" s="1">
        <f>IFERROR(Comp1[[#This Row],[Comparable '#1 Return]]-INDEX(Benchmark1[Benchmark '#1 Return],MATCH(Comp1[[#This Row],[Comparable '#1 Dates]],Benchmark1[Benchmark '#1 Dates],0)),"-")</f>
        <v>-1.1465459253513241E-2</v>
      </c>
      <c r="L85" s="72">
        <f>Comp1[[#This Row],[Comparable '#1 Price]]/$B$2*100</f>
        <v>101.91649555099247</v>
      </c>
    </row>
    <row r="86" spans="1:12">
      <c r="A86" s="103">
        <v>43405</v>
      </c>
      <c r="B86" s="104">
        <v>15.21</v>
      </c>
      <c r="C86" s="4">
        <f t="shared" si="2"/>
        <v>2.1263259575283903E-2</v>
      </c>
      <c r="D86" s="1">
        <f>IFERROR(Comp1[[#This Row],[Comparable '#1 Return]]+1,"-")</f>
        <v>1.021263259575284</v>
      </c>
      <c r="E86" s="6">
        <f>B86-MAX($B$2:B86)</f>
        <v>-1.1699999999999982</v>
      </c>
      <c r="F86" s="80">
        <f t="shared" si="3"/>
        <v>59</v>
      </c>
      <c r="G86" s="22" cm="1">
        <f t="array" ref="G86">Comp1[[#This Row],[Comparable '#1 Drawdown]]/MAX($B$2:B86)</f>
        <v>-7.1428571428571314E-2</v>
      </c>
      <c r="H86" s="1" t="str">
        <f>IF(SUM(COUNTIF(Benchmark1[Benchmark '#1 Dates],Comp1[[#This Row],[Comparable '#1 Dates]]),COUNTIF(Benchmark2[Benchmark '#2 Dates],Comp1[[#This Row],[Comparable '#1 Dates]]))=2,"Pass","Fail")</f>
        <v>Pass</v>
      </c>
      <c r="I86" s="1">
        <f>IFERROR(Comp1[[#This Row],[Comparable '#1 Return]]-INDEX(Benchmark1[Benchmark '#1 Return],MATCH(Comp1[[#This Row],[Comparable '#1 Dates]],Benchmark1[Benchmark '#1 Dates],0)),"-")</f>
        <v>1.0761535787908645E-2</v>
      </c>
      <c r="L86" s="72">
        <f>Comp1[[#This Row],[Comparable '#1 Price]]/$B$2*100</f>
        <v>104.10677618069816</v>
      </c>
    </row>
    <row r="87" spans="1:12">
      <c r="A87" s="103">
        <v>43406</v>
      </c>
      <c r="B87" s="104">
        <v>15.07</v>
      </c>
      <c r="C87" s="4">
        <f t="shared" si="2"/>
        <v>-9.2470936327974061E-3</v>
      </c>
      <c r="D87" s="1">
        <f>IFERROR(Comp1[[#This Row],[Comparable '#1 Return]]+1,"-")</f>
        <v>0.99075290636720259</v>
      </c>
      <c r="E87" s="6">
        <f>B87-MAX($B$2:B87)</f>
        <v>-1.3099999999999987</v>
      </c>
      <c r="F87" s="80">
        <f t="shared" si="3"/>
        <v>60</v>
      </c>
      <c r="G87" s="22" cm="1">
        <f t="array" ref="G87">Comp1[[#This Row],[Comparable '#1 Drawdown]]/MAX($B$2:B87)</f>
        <v>-7.99755799755799E-2</v>
      </c>
      <c r="H87" s="1" t="str">
        <f>IF(SUM(COUNTIF(Benchmark1[Benchmark '#1 Dates],Comp1[[#This Row],[Comparable '#1 Dates]]),COUNTIF(Benchmark2[Benchmark '#2 Dates],Comp1[[#This Row],[Comparable '#1 Dates]]))=2,"Pass","Fail")</f>
        <v>Pass</v>
      </c>
      <c r="I87" s="1">
        <f>IFERROR(Comp1[[#This Row],[Comparable '#1 Return]]-INDEX(Benchmark1[Benchmark '#1 Return],MATCH(Comp1[[#This Row],[Comparable '#1 Dates]],Benchmark1[Benchmark '#1 Dates],0)),"-")</f>
        <v>-2.9088646452737552E-3</v>
      </c>
      <c r="L87" s="72">
        <f>Comp1[[#This Row],[Comparable '#1 Price]]/$B$2*100</f>
        <v>103.14852840520192</v>
      </c>
    </row>
    <row r="88" spans="1:12">
      <c r="A88" s="103">
        <v>43409</v>
      </c>
      <c r="B88" s="104">
        <v>15.25</v>
      </c>
      <c r="C88" s="4">
        <f t="shared" si="2"/>
        <v>1.1873490415016544E-2</v>
      </c>
      <c r="D88" s="1">
        <f>IFERROR(Comp1[[#This Row],[Comparable '#1 Return]]+1,"-")</f>
        <v>1.0118734904150166</v>
      </c>
      <c r="E88" s="6">
        <f>B88-MAX($B$2:B88)</f>
        <v>-1.129999999999999</v>
      </c>
      <c r="F88" s="80">
        <f t="shared" si="3"/>
        <v>61</v>
      </c>
      <c r="G88" s="22" cm="1">
        <f t="array" ref="G88">Comp1[[#This Row],[Comparable '#1 Drawdown]]/MAX($B$2:B88)</f>
        <v>-6.8986568986568936E-2</v>
      </c>
      <c r="H88" s="1" t="str">
        <f>IF(SUM(COUNTIF(Benchmark1[Benchmark '#1 Dates],Comp1[[#This Row],[Comparable '#1 Dates]]),COUNTIF(Benchmark2[Benchmark '#2 Dates],Comp1[[#This Row],[Comparable '#1 Dates]]))=2,"Pass","Fail")</f>
        <v>Pass</v>
      </c>
      <c r="I88" s="1">
        <f>IFERROR(Comp1[[#This Row],[Comparable '#1 Return]]-INDEX(Benchmark1[Benchmark '#1 Return],MATCH(Comp1[[#This Row],[Comparable '#1 Dates]],Benchmark1[Benchmark '#1 Dates],0)),"-")</f>
        <v>6.2868209084128851E-3</v>
      </c>
      <c r="L88" s="72">
        <f>Comp1[[#This Row],[Comparable '#1 Price]]/$B$2*100</f>
        <v>104.38056125941138</v>
      </c>
    </row>
    <row r="89" spans="1:12">
      <c r="A89" s="103">
        <v>43410</v>
      </c>
      <c r="B89" s="104">
        <v>15.34</v>
      </c>
      <c r="C89" s="4">
        <f t="shared" si="2"/>
        <v>5.8842928856895575E-3</v>
      </c>
      <c r="D89" s="1">
        <f>IFERROR(Comp1[[#This Row],[Comparable '#1 Return]]+1,"-")</f>
        <v>1.0058842928856895</v>
      </c>
      <c r="E89" s="6">
        <f>B89-MAX($B$2:B89)</f>
        <v>-1.0399999999999991</v>
      </c>
      <c r="F89" s="80">
        <f t="shared" si="3"/>
        <v>62</v>
      </c>
      <c r="G89" s="22" cm="1">
        <f t="array" ref="G89">Comp1[[#This Row],[Comparable '#1 Drawdown]]/MAX($B$2:B89)</f>
        <v>-6.3492063492063447E-2</v>
      </c>
      <c r="H89" s="1" t="str">
        <f>IF(SUM(COUNTIF(Benchmark1[Benchmark '#1 Dates],Comp1[[#This Row],[Comparable '#1 Dates]]),COUNTIF(Benchmark2[Benchmark '#2 Dates],Comp1[[#This Row],[Comparable '#1 Dates]]))=2,"Pass","Fail")</f>
        <v>Pass</v>
      </c>
      <c r="I89" s="1">
        <f>IFERROR(Comp1[[#This Row],[Comparable '#1 Return]]-INDEX(Benchmark1[Benchmark '#1 Return],MATCH(Comp1[[#This Row],[Comparable '#1 Dates]],Benchmark1[Benchmark '#1 Dates],0)),"-")</f>
        <v>-3.5449398690369331E-4</v>
      </c>
      <c r="L89" s="72">
        <f>Comp1[[#This Row],[Comparable '#1 Price]]/$B$2*100</f>
        <v>104.99657768651609</v>
      </c>
    </row>
    <row r="90" spans="1:12">
      <c r="A90" s="103">
        <v>43411</v>
      </c>
      <c r="B90" s="104">
        <v>15.95</v>
      </c>
      <c r="C90" s="4">
        <f t="shared" si="2"/>
        <v>3.8995033291743399E-2</v>
      </c>
      <c r="D90" s="1">
        <f>IFERROR(Comp1[[#This Row],[Comparable '#1 Return]]+1,"-")</f>
        <v>1.0389950332917435</v>
      </c>
      <c r="E90" s="6">
        <f>B90-MAX($B$2:B90)</f>
        <v>-0.42999999999999972</v>
      </c>
      <c r="F90" s="80">
        <f t="shared" si="3"/>
        <v>63</v>
      </c>
      <c r="G90" s="22" cm="1">
        <f t="array" ref="G90">Comp1[[#This Row],[Comparable '#1 Drawdown]]/MAX($B$2:B90)</f>
        <v>-2.6251526251526235E-2</v>
      </c>
      <c r="H90" s="1" t="str">
        <f>IF(SUM(COUNTIF(Benchmark1[Benchmark '#1 Dates],Comp1[[#This Row],[Comparable '#1 Dates]]),COUNTIF(Benchmark2[Benchmark '#2 Dates],Comp1[[#This Row],[Comparable '#1 Dates]]))=2,"Pass","Fail")</f>
        <v>Pass</v>
      </c>
      <c r="I90" s="1">
        <f>IFERROR(Comp1[[#This Row],[Comparable '#1 Return]]-INDEX(Benchmark1[Benchmark '#1 Return],MATCH(Comp1[[#This Row],[Comparable '#1 Dates]],Benchmark1[Benchmark '#1 Dates],0)),"-")</f>
        <v>1.8006526701115501E-2</v>
      </c>
      <c r="L90" s="72">
        <f>Comp1[[#This Row],[Comparable '#1 Price]]/$B$2*100</f>
        <v>109.17180013689254</v>
      </c>
    </row>
    <row r="91" spans="1:12">
      <c r="A91" s="103">
        <v>43412</v>
      </c>
      <c r="B91" s="104">
        <v>15.85</v>
      </c>
      <c r="C91" s="4">
        <f t="shared" si="2"/>
        <v>-6.2893289075639904E-3</v>
      </c>
      <c r="D91" s="1">
        <f>IFERROR(Comp1[[#This Row],[Comparable '#1 Return]]+1,"-")</f>
        <v>0.99371067109243605</v>
      </c>
      <c r="E91" s="6">
        <f>B91-MAX($B$2:B91)</f>
        <v>-0.52999999999999936</v>
      </c>
      <c r="F91" s="80">
        <f t="shared" si="3"/>
        <v>64</v>
      </c>
      <c r="G91" s="22" cm="1">
        <f t="array" ref="G91">Comp1[[#This Row],[Comparable '#1 Drawdown]]/MAX($B$2:B91)</f>
        <v>-3.2356532356532318E-2</v>
      </c>
      <c r="H91" s="1" t="str">
        <f>IF(SUM(COUNTIF(Benchmark1[Benchmark '#1 Dates],Comp1[[#This Row],[Comparable '#1 Dates]]),COUNTIF(Benchmark2[Benchmark '#2 Dates],Comp1[[#This Row],[Comparable '#1 Dates]]))=2,"Pass","Fail")</f>
        <v>Pass</v>
      </c>
      <c r="I91" s="1">
        <f>IFERROR(Comp1[[#This Row],[Comparable '#1 Return]]-INDEX(Benchmark1[Benchmark '#1 Return],MATCH(Comp1[[#This Row],[Comparable '#1 Dates]],Benchmark1[Benchmark '#1 Dates],0)),"-")</f>
        <v>-3.7758348957169156E-3</v>
      </c>
      <c r="L91" s="72">
        <f>Comp1[[#This Row],[Comparable '#1 Price]]/$B$2*100</f>
        <v>108.48733744010953</v>
      </c>
    </row>
    <row r="92" spans="1:12">
      <c r="A92" s="103">
        <v>43413</v>
      </c>
      <c r="B92" s="104">
        <v>15.9</v>
      </c>
      <c r="C92" s="4">
        <f t="shared" si="2"/>
        <v>3.1496089028962013E-3</v>
      </c>
      <c r="D92" s="1">
        <f>IFERROR(Comp1[[#This Row],[Comparable '#1 Return]]+1,"-")</f>
        <v>1.0031496089028962</v>
      </c>
      <c r="E92" s="6">
        <f>B92-MAX($B$2:B92)</f>
        <v>-0.47999999999999865</v>
      </c>
      <c r="F92" s="80">
        <f t="shared" si="3"/>
        <v>65</v>
      </c>
      <c r="G92" s="22" cm="1">
        <f t="array" ref="G92">Comp1[[#This Row],[Comparable '#1 Drawdown]]/MAX($B$2:B92)</f>
        <v>-2.9304029304029224E-2</v>
      </c>
      <c r="H92" s="1" t="str">
        <f>IF(SUM(COUNTIF(Benchmark1[Benchmark '#1 Dates],Comp1[[#This Row],[Comparable '#1 Dates]]),COUNTIF(Benchmark2[Benchmark '#2 Dates],Comp1[[#This Row],[Comparable '#1 Dates]]))=2,"Pass","Fail")</f>
        <v>Pass</v>
      </c>
      <c r="I92" s="1">
        <f>IFERROR(Comp1[[#This Row],[Comparable '#1 Return]]-INDEX(Benchmark1[Benchmark '#1 Return],MATCH(Comp1[[#This Row],[Comparable '#1 Dates]],Benchmark1[Benchmark '#1 Dates],0)),"-")</f>
        <v>1.239182565207245E-2</v>
      </c>
      <c r="L92" s="72">
        <f>Comp1[[#This Row],[Comparable '#1 Price]]/$B$2*100</f>
        <v>108.82956878850104</v>
      </c>
    </row>
    <row r="93" spans="1:12">
      <c r="A93" s="103">
        <v>43416</v>
      </c>
      <c r="B93" s="104">
        <v>15.93</v>
      </c>
      <c r="C93" s="4">
        <f t="shared" si="2"/>
        <v>1.8850146957712041E-3</v>
      </c>
      <c r="D93" s="1">
        <f>IFERROR(Comp1[[#This Row],[Comparable '#1 Return]]+1,"-")</f>
        <v>1.0018850146957712</v>
      </c>
      <c r="E93" s="6">
        <f>B93-MAX($B$2:B93)</f>
        <v>-0.44999999999999929</v>
      </c>
      <c r="F93" s="80">
        <f t="shared" si="3"/>
        <v>66</v>
      </c>
      <c r="G93" s="22" cm="1">
        <f t="array" ref="G93">Comp1[[#This Row],[Comparable '#1 Drawdown]]/MAX($B$2:B93)</f>
        <v>-2.747252747252743E-2</v>
      </c>
      <c r="H93" s="1" t="str">
        <f>IF(SUM(COUNTIF(Benchmark1[Benchmark '#1 Dates],Comp1[[#This Row],[Comparable '#1 Dates]]),COUNTIF(Benchmark2[Benchmark '#2 Dates],Comp1[[#This Row],[Comparable '#1 Dates]]))=2,"Pass","Fail")</f>
        <v>Pass</v>
      </c>
      <c r="I93" s="1">
        <f>IFERROR(Comp1[[#This Row],[Comparable '#1 Return]]-INDEX(Benchmark1[Benchmark '#1 Return],MATCH(Comp1[[#This Row],[Comparable '#1 Dates]],Benchmark1[Benchmark '#1 Dates],0)),"-")</f>
        <v>2.178437532797255E-2</v>
      </c>
      <c r="L93" s="72">
        <f>Comp1[[#This Row],[Comparable '#1 Price]]/$B$2*100</f>
        <v>109.03490759753593</v>
      </c>
    </row>
    <row r="94" spans="1:12">
      <c r="A94" s="103">
        <v>43417</v>
      </c>
      <c r="B94" s="104">
        <v>15.53</v>
      </c>
      <c r="C94" s="4">
        <f t="shared" si="2"/>
        <v>-2.5430486761361497E-2</v>
      </c>
      <c r="D94" s="1">
        <f>IFERROR(Comp1[[#This Row],[Comparable '#1 Return]]+1,"-")</f>
        <v>0.9745695132386385</v>
      </c>
      <c r="E94" s="6">
        <f>B94-MAX($B$2:B94)</f>
        <v>-0.84999999999999964</v>
      </c>
      <c r="F94" s="80">
        <f t="shared" si="3"/>
        <v>67</v>
      </c>
      <c r="G94" s="22" cm="1">
        <f t="array" ref="G94">Comp1[[#This Row],[Comparable '#1 Drawdown]]/MAX($B$2:B94)</f>
        <v>-5.1892551892551875E-2</v>
      </c>
      <c r="H94" s="1" t="str">
        <f>IF(SUM(COUNTIF(Benchmark1[Benchmark '#1 Dates],Comp1[[#This Row],[Comparable '#1 Dates]]),COUNTIF(Benchmark2[Benchmark '#2 Dates],Comp1[[#This Row],[Comparable '#1 Dates]]))=2,"Pass","Fail")</f>
        <v>Pass</v>
      </c>
      <c r="I94" s="1">
        <f>IFERROR(Comp1[[#This Row],[Comparable '#1 Return]]-INDEX(Benchmark1[Benchmark '#1 Return],MATCH(Comp1[[#This Row],[Comparable '#1 Dates]],Benchmark1[Benchmark '#1 Dates],0)),"-")</f>
        <v>-2.3949740331478429E-2</v>
      </c>
      <c r="L94" s="72">
        <f>Comp1[[#This Row],[Comparable '#1 Price]]/$B$2*100</f>
        <v>106.29705681040382</v>
      </c>
    </row>
    <row r="95" spans="1:12">
      <c r="A95" s="103">
        <v>43418</v>
      </c>
      <c r="B95" s="104">
        <v>14.135</v>
      </c>
      <c r="C95" s="4">
        <f t="shared" si="2"/>
        <v>-9.4119646015042038E-2</v>
      </c>
      <c r="D95" s="1">
        <f>IFERROR(Comp1[[#This Row],[Comparable '#1 Return]]+1,"-")</f>
        <v>0.90588035398495792</v>
      </c>
      <c r="E95" s="6">
        <f>B95-MAX($B$2:B95)</f>
        <v>-2.2449999999999992</v>
      </c>
      <c r="F95" s="80">
        <f t="shared" si="3"/>
        <v>68</v>
      </c>
      <c r="G95" s="22" cm="1">
        <f t="array" ref="G95">Comp1[[#This Row],[Comparable '#1 Drawdown]]/MAX($B$2:B95)</f>
        <v>-0.13705738705738701</v>
      </c>
      <c r="H95" s="1" t="str">
        <f>IF(SUM(COUNTIF(Benchmark1[Benchmark '#1 Dates],Comp1[[#This Row],[Comparable '#1 Dates]]),COUNTIF(Benchmark2[Benchmark '#2 Dates],Comp1[[#This Row],[Comparable '#1 Dates]]))=2,"Pass","Fail")</f>
        <v>Pass</v>
      </c>
      <c r="I95" s="1">
        <f>IFERROR(Comp1[[#This Row],[Comparable '#1 Return]]-INDEX(Benchmark1[Benchmark '#1 Return],MATCH(Comp1[[#This Row],[Comparable '#1 Dates]],Benchmark1[Benchmark '#1 Dates],0)),"-")</f>
        <v>-8.6521244070066922E-2</v>
      </c>
      <c r="L95" s="72">
        <f>Comp1[[#This Row],[Comparable '#1 Price]]/$B$2*100</f>
        <v>96.748802190280642</v>
      </c>
    </row>
    <row r="96" spans="1:12">
      <c r="A96" s="103">
        <v>43419</v>
      </c>
      <c r="B96" s="104">
        <v>14.46</v>
      </c>
      <c r="C96" s="4">
        <f t="shared" si="2"/>
        <v>2.273222558506504E-2</v>
      </c>
      <c r="D96" s="1">
        <f>IFERROR(Comp1[[#This Row],[Comparable '#1 Return]]+1,"-")</f>
        <v>1.022732225585065</v>
      </c>
      <c r="E96" s="6">
        <f>B96-MAX($B$2:B96)</f>
        <v>-1.9199999999999982</v>
      </c>
      <c r="F96" s="80">
        <f t="shared" si="3"/>
        <v>69</v>
      </c>
      <c r="G96" s="22" cm="1">
        <f t="array" ref="G96">Comp1[[#This Row],[Comparable '#1 Drawdown]]/MAX($B$2:B96)</f>
        <v>-0.1172161172161171</v>
      </c>
      <c r="H96" s="1" t="str">
        <f>IF(SUM(COUNTIF(Benchmark1[Benchmark '#1 Dates],Comp1[[#This Row],[Comparable '#1 Dates]]),COUNTIF(Benchmark2[Benchmark '#2 Dates],Comp1[[#This Row],[Comparable '#1 Dates]]))=2,"Pass","Fail")</f>
        <v>Pass</v>
      </c>
      <c r="I96" s="1">
        <f>IFERROR(Comp1[[#This Row],[Comparable '#1 Return]]-INDEX(Benchmark1[Benchmark '#1 Return],MATCH(Comp1[[#This Row],[Comparable '#1 Dates]],Benchmark1[Benchmark '#1 Dates],0)),"-")</f>
        <v>1.2191794738879359E-2</v>
      </c>
      <c r="L96" s="72">
        <f>Comp1[[#This Row],[Comparable '#1 Price]]/$B$2*100</f>
        <v>98.973305954825477</v>
      </c>
    </row>
    <row r="97" spans="1:12">
      <c r="A97" s="103">
        <v>43420</v>
      </c>
      <c r="B97" s="104">
        <v>14.88</v>
      </c>
      <c r="C97" s="4">
        <f t="shared" si="2"/>
        <v>2.863181267432708E-2</v>
      </c>
      <c r="D97" s="1">
        <f>IFERROR(Comp1[[#This Row],[Comparable '#1 Return]]+1,"-")</f>
        <v>1.028631812674327</v>
      </c>
      <c r="E97" s="6">
        <f>B97-MAX($B$2:B97)</f>
        <v>-1.4999999999999982</v>
      </c>
      <c r="F97" s="80">
        <f t="shared" si="3"/>
        <v>70</v>
      </c>
      <c r="G97" s="22" cm="1">
        <f t="array" ref="G97">Comp1[[#This Row],[Comparable '#1 Drawdown]]/MAX($B$2:B97)</f>
        <v>-9.1575091575091472E-2</v>
      </c>
      <c r="H97" s="1" t="str">
        <f>IF(SUM(COUNTIF(Benchmark1[Benchmark '#1 Dates],Comp1[[#This Row],[Comparable '#1 Dates]]),COUNTIF(Benchmark2[Benchmark '#2 Dates],Comp1[[#This Row],[Comparable '#1 Dates]]))=2,"Pass","Fail")</f>
        <v>Pass</v>
      </c>
      <c r="I97" s="1">
        <f>IFERROR(Comp1[[#This Row],[Comparable '#1 Return]]-INDEX(Benchmark1[Benchmark '#1 Return],MATCH(Comp1[[#This Row],[Comparable '#1 Dates]],Benchmark1[Benchmark '#1 Dates],0)),"-")</f>
        <v>2.6412293091513484E-2</v>
      </c>
      <c r="L97" s="72">
        <f>Comp1[[#This Row],[Comparable '#1 Price]]/$B$2*100</f>
        <v>101.84804928131416</v>
      </c>
    </row>
    <row r="98" spans="1:12">
      <c r="A98" s="103">
        <v>43423</v>
      </c>
      <c r="B98" s="104">
        <v>14.99</v>
      </c>
      <c r="C98" s="4">
        <f t="shared" si="2"/>
        <v>7.3652827095604676E-3</v>
      </c>
      <c r="D98" s="1">
        <f>IFERROR(Comp1[[#This Row],[Comparable '#1 Return]]+1,"-")</f>
        <v>1.0073652827095605</v>
      </c>
      <c r="E98" s="6">
        <f>B98-MAX($B$2:B98)</f>
        <v>-1.3899999999999988</v>
      </c>
      <c r="F98" s="80">
        <f t="shared" si="3"/>
        <v>71</v>
      </c>
      <c r="G98" s="22" cm="1">
        <f t="array" ref="G98">Comp1[[#This Row],[Comparable '#1 Drawdown]]/MAX($B$2:B98)</f>
        <v>-8.4859584859584794E-2</v>
      </c>
      <c r="H98" s="1" t="str">
        <f>IF(SUM(COUNTIF(Benchmark1[Benchmark '#1 Dates],Comp1[[#This Row],[Comparable '#1 Dates]]),COUNTIF(Benchmark2[Benchmark '#2 Dates],Comp1[[#This Row],[Comparable '#1 Dates]]))=2,"Pass","Fail")</f>
        <v>Pass</v>
      </c>
      <c r="I98" s="1">
        <f>IFERROR(Comp1[[#This Row],[Comparable '#1 Return]]-INDEX(Benchmark1[Benchmark '#1 Return],MATCH(Comp1[[#This Row],[Comparable '#1 Dates]],Benchmark1[Benchmark '#1 Dates],0)),"-")</f>
        <v>2.4147607855607645E-2</v>
      </c>
      <c r="L98" s="72">
        <f>Comp1[[#This Row],[Comparable '#1 Price]]/$B$2*100</f>
        <v>102.60095824777551</v>
      </c>
    </row>
    <row r="99" spans="1:12">
      <c r="A99" s="103">
        <v>43424</v>
      </c>
      <c r="B99" s="104">
        <v>14.57</v>
      </c>
      <c r="C99" s="4">
        <f t="shared" si="2"/>
        <v>-2.8418691907392844E-2</v>
      </c>
      <c r="D99" s="1">
        <f>IFERROR(Comp1[[#This Row],[Comparable '#1 Return]]+1,"-")</f>
        <v>0.97158130809260712</v>
      </c>
      <c r="E99" s="6">
        <f>B99-MAX($B$2:B99)</f>
        <v>-1.8099999999999987</v>
      </c>
      <c r="F99" s="80">
        <f t="shared" si="3"/>
        <v>72</v>
      </c>
      <c r="G99" s="22" cm="1">
        <f t="array" ref="G99">Comp1[[#This Row],[Comparable '#1 Drawdown]]/MAX($B$2:B99)</f>
        <v>-0.11050061050061043</v>
      </c>
      <c r="H99" s="1" t="str">
        <f>IF(SUM(COUNTIF(Benchmark1[Benchmark '#1 Dates],Comp1[[#This Row],[Comparable '#1 Dates]]),COUNTIF(Benchmark2[Benchmark '#2 Dates],Comp1[[#This Row],[Comparable '#1 Dates]]))=2,"Pass","Fail")</f>
        <v>Pass</v>
      </c>
      <c r="I99" s="1">
        <f>IFERROR(Comp1[[#This Row],[Comparable '#1 Return]]-INDEX(Benchmark1[Benchmark '#1 Return],MATCH(Comp1[[#This Row],[Comparable '#1 Dates]],Benchmark1[Benchmark '#1 Dates],0)),"-")</f>
        <v>-1.0100390678675346E-2</v>
      </c>
      <c r="L99" s="72">
        <f>Comp1[[#This Row],[Comparable '#1 Price]]/$B$2*100</f>
        <v>99.726214921286797</v>
      </c>
    </row>
    <row r="100" spans="1:12">
      <c r="A100" s="103">
        <v>43425</v>
      </c>
      <c r="B100" s="104">
        <v>14.5</v>
      </c>
      <c r="C100" s="4">
        <f t="shared" si="2"/>
        <v>-4.8159707805848113E-3</v>
      </c>
      <c r="D100" s="1">
        <f>IFERROR(Comp1[[#This Row],[Comparable '#1 Return]]+1,"-")</f>
        <v>0.99518402921941518</v>
      </c>
      <c r="E100" s="6">
        <f>B100-MAX($B$2:B100)</f>
        <v>-1.879999999999999</v>
      </c>
      <c r="F100" s="80">
        <f t="shared" si="3"/>
        <v>73</v>
      </c>
      <c r="G100" s="22" cm="1">
        <f t="array" ref="G100">Comp1[[#This Row],[Comparable '#1 Drawdown]]/MAX($B$2:B100)</f>
        <v>-0.11477411477411473</v>
      </c>
      <c r="H100" s="1" t="str">
        <f>IF(SUM(COUNTIF(Benchmark1[Benchmark '#1 Dates],Comp1[[#This Row],[Comparable '#1 Dates]]),COUNTIF(Benchmark2[Benchmark '#2 Dates],Comp1[[#This Row],[Comparable '#1 Dates]]))=2,"Pass","Fail")</f>
        <v>Pass</v>
      </c>
      <c r="I100" s="1">
        <f>IFERROR(Comp1[[#This Row],[Comparable '#1 Return]]-INDEX(Benchmark1[Benchmark '#1 Return],MATCH(Comp1[[#This Row],[Comparable '#1 Dates]],Benchmark1[Benchmark '#1 Dates],0)),"-")</f>
        <v>-7.8541650064307376E-3</v>
      </c>
      <c r="L100" s="72">
        <f>Comp1[[#This Row],[Comparable '#1 Price]]/$B$2*100</f>
        <v>99.24709103353868</v>
      </c>
    </row>
    <row r="101" spans="1:12">
      <c r="A101" s="103">
        <v>43427</v>
      </c>
      <c r="B101" s="104">
        <v>14.49</v>
      </c>
      <c r="C101" s="4">
        <f t="shared" si="2"/>
        <v>-6.8989309393773066E-4</v>
      </c>
      <c r="D101" s="1">
        <f>IFERROR(Comp1[[#This Row],[Comparable '#1 Return]]+1,"-")</f>
        <v>0.99931010690606226</v>
      </c>
      <c r="E101" s="6">
        <f>B101-MAX($B$2:B101)</f>
        <v>-1.8899999999999988</v>
      </c>
      <c r="F101" s="80">
        <f t="shared" si="3"/>
        <v>74</v>
      </c>
      <c r="G101" s="22" cm="1">
        <f t="array" ref="G101">Comp1[[#This Row],[Comparable '#1 Drawdown]]/MAX($B$2:B101)</f>
        <v>-0.11538461538461532</v>
      </c>
      <c r="H101" s="1" t="str">
        <f>IF(SUM(COUNTIF(Benchmark1[Benchmark '#1 Dates],Comp1[[#This Row],[Comparable '#1 Dates]]),COUNTIF(Benchmark2[Benchmark '#2 Dates],Comp1[[#This Row],[Comparable '#1 Dates]]))=2,"Pass","Fail")</f>
        <v>Pass</v>
      </c>
      <c r="I101" s="1">
        <f>IFERROR(Comp1[[#This Row],[Comparable '#1 Return]]-INDEX(Benchmark1[Benchmark '#1 Return],MATCH(Comp1[[#This Row],[Comparable '#1 Dates]],Benchmark1[Benchmark '#1 Dates],0)),"-")</f>
        <v>5.887505614774558E-3</v>
      </c>
      <c r="L101" s="72">
        <f>Comp1[[#This Row],[Comparable '#1 Price]]/$B$2*100</f>
        <v>99.178644763860376</v>
      </c>
    </row>
    <row r="102" spans="1:12">
      <c r="A102" s="103">
        <v>43430</v>
      </c>
      <c r="B102" s="104">
        <v>14.85</v>
      </c>
      <c r="C102" s="4">
        <f t="shared" si="2"/>
        <v>2.454110891611766E-2</v>
      </c>
      <c r="D102" s="1">
        <f>IFERROR(Comp1[[#This Row],[Comparable '#1 Return]]+1,"-")</f>
        <v>1.0245411089161176</v>
      </c>
      <c r="E102" s="6">
        <f>B102-MAX($B$2:B102)</f>
        <v>-1.5299999999999994</v>
      </c>
      <c r="F102" s="80">
        <f t="shared" si="3"/>
        <v>75</v>
      </c>
      <c r="G102" s="22" cm="1">
        <f t="array" ref="G102">Comp1[[#This Row],[Comparable '#1 Drawdown]]/MAX($B$2:B102)</f>
        <v>-9.340659340659338E-2</v>
      </c>
      <c r="H102" s="1" t="str">
        <f>IF(SUM(COUNTIF(Benchmark1[Benchmark '#1 Dates],Comp1[[#This Row],[Comparable '#1 Dates]]),COUNTIF(Benchmark2[Benchmark '#2 Dates],Comp1[[#This Row],[Comparable '#1 Dates]]))=2,"Pass","Fail")</f>
        <v>Pass</v>
      </c>
      <c r="I102" s="1">
        <f>IFERROR(Comp1[[#This Row],[Comparable '#1 Return]]-INDEX(Benchmark1[Benchmark '#1 Return],MATCH(Comp1[[#This Row],[Comparable '#1 Dates]],Benchmark1[Benchmark '#1 Dates],0)),"-")</f>
        <v>9.1277812390134737E-3</v>
      </c>
      <c r="L102" s="72">
        <f>Comp1[[#This Row],[Comparable '#1 Price]]/$B$2*100</f>
        <v>101.64271047227926</v>
      </c>
    </row>
    <row r="103" spans="1:12">
      <c r="A103" s="103">
        <v>43431</v>
      </c>
      <c r="B103" s="104">
        <v>14.59</v>
      </c>
      <c r="C103" s="4">
        <f t="shared" si="2"/>
        <v>-1.7663502714014311E-2</v>
      </c>
      <c r="D103" s="1">
        <f>IFERROR(Comp1[[#This Row],[Comparable '#1 Return]]+1,"-")</f>
        <v>0.98233649728598571</v>
      </c>
      <c r="E103" s="6">
        <f>B103-MAX($B$2:B103)</f>
        <v>-1.7899999999999991</v>
      </c>
      <c r="F103" s="80">
        <f t="shared" si="3"/>
        <v>76</v>
      </c>
      <c r="G103" s="22" cm="1">
        <f t="array" ref="G103">Comp1[[#This Row],[Comparable '#1 Drawdown]]/MAX($B$2:B103)</f>
        <v>-0.10927960927960924</v>
      </c>
      <c r="H103" s="1" t="str">
        <f>IF(SUM(COUNTIF(Benchmark1[Benchmark '#1 Dates],Comp1[[#This Row],[Comparable '#1 Dates]]),COUNTIF(Benchmark2[Benchmark '#2 Dates],Comp1[[#This Row],[Comparable '#1 Dates]]))=2,"Pass","Fail")</f>
        <v>Pass</v>
      </c>
      <c r="I103" s="1">
        <f>IFERROR(Comp1[[#This Row],[Comparable '#1 Return]]-INDEX(Benchmark1[Benchmark '#1 Return],MATCH(Comp1[[#This Row],[Comparable '#1 Dates]],Benchmark1[Benchmark '#1 Dates],0)),"-")</f>
        <v>-2.0920764576643672E-2</v>
      </c>
      <c r="L103" s="72">
        <f>Comp1[[#This Row],[Comparable '#1 Price]]/$B$2*100</f>
        <v>99.863107460643391</v>
      </c>
    </row>
    <row r="104" spans="1:12">
      <c r="A104" s="103">
        <v>43432</v>
      </c>
      <c r="B104" s="104">
        <v>14.54</v>
      </c>
      <c r="C104" s="4">
        <f t="shared" si="2"/>
        <v>-3.4328904293210302E-3</v>
      </c>
      <c r="D104" s="1">
        <f>IFERROR(Comp1[[#This Row],[Comparable '#1 Return]]+1,"-")</f>
        <v>0.99656710957067896</v>
      </c>
      <c r="E104" s="6">
        <f>B104-MAX($B$2:B104)</f>
        <v>-1.8399999999999999</v>
      </c>
      <c r="F104" s="80">
        <f t="shared" si="3"/>
        <v>77</v>
      </c>
      <c r="G104" s="22" cm="1">
        <f t="array" ref="G104">Comp1[[#This Row],[Comparable '#1 Drawdown]]/MAX($B$2:B104)</f>
        <v>-0.11233211233211234</v>
      </c>
      <c r="H104" s="1" t="str">
        <f>IF(SUM(COUNTIF(Benchmark1[Benchmark '#1 Dates],Comp1[[#This Row],[Comparable '#1 Dates]]),COUNTIF(Benchmark2[Benchmark '#2 Dates],Comp1[[#This Row],[Comparable '#1 Dates]]))=2,"Pass","Fail")</f>
        <v>Pass</v>
      </c>
      <c r="I104" s="1">
        <f>IFERROR(Comp1[[#This Row],[Comparable '#1 Return]]-INDEX(Benchmark1[Benchmark '#1 Return],MATCH(Comp1[[#This Row],[Comparable '#1 Dates]],Benchmark1[Benchmark '#1 Dates],0)),"-")</f>
        <v>-2.6145253300903757E-2</v>
      </c>
      <c r="L104" s="72">
        <f>Comp1[[#This Row],[Comparable '#1 Price]]/$B$2*100</f>
        <v>99.520876112251884</v>
      </c>
    </row>
    <row r="105" spans="1:12">
      <c r="A105" s="103">
        <v>43433</v>
      </c>
      <c r="B105" s="104">
        <v>14.96</v>
      </c>
      <c r="C105" s="4">
        <f t="shared" si="2"/>
        <v>2.8476500440957918E-2</v>
      </c>
      <c r="D105" s="1">
        <f>IFERROR(Comp1[[#This Row],[Comparable '#1 Return]]+1,"-")</f>
        <v>1.028476500440958</v>
      </c>
      <c r="E105" s="6">
        <f>B105-MAX($B$2:B105)</f>
        <v>-1.4199999999999982</v>
      </c>
      <c r="F105" s="80">
        <f t="shared" si="3"/>
        <v>78</v>
      </c>
      <c r="G105" s="22" cm="1">
        <f t="array" ref="G105">Comp1[[#This Row],[Comparable '#1 Drawdown]]/MAX($B$2:B105)</f>
        <v>-8.6691086691086577E-2</v>
      </c>
      <c r="H105" s="1" t="str">
        <f>IF(SUM(COUNTIF(Benchmark1[Benchmark '#1 Dates],Comp1[[#This Row],[Comparable '#1 Dates]]),COUNTIF(Benchmark2[Benchmark '#2 Dates],Comp1[[#This Row],[Comparable '#1 Dates]]))=2,"Pass","Fail")</f>
        <v>Pass</v>
      </c>
      <c r="I105" s="1">
        <f>IFERROR(Comp1[[#This Row],[Comparable '#1 Return]]-INDEX(Benchmark1[Benchmark '#1 Return],MATCH(Comp1[[#This Row],[Comparable '#1 Dates]],Benchmark1[Benchmark '#1 Dates],0)),"-")</f>
        <v>3.067475577267649E-2</v>
      </c>
      <c r="L105" s="72">
        <f>Comp1[[#This Row],[Comparable '#1 Price]]/$B$2*100</f>
        <v>102.39561943874061</v>
      </c>
    </row>
    <row r="106" spans="1:12">
      <c r="A106" s="103">
        <v>43434</v>
      </c>
      <c r="B106" s="104">
        <v>14.75</v>
      </c>
      <c r="C106" s="4">
        <f t="shared" si="2"/>
        <v>-1.4136889760502466E-2</v>
      </c>
      <c r="D106" s="1">
        <f>IFERROR(Comp1[[#This Row],[Comparable '#1 Return]]+1,"-")</f>
        <v>0.98586311023949758</v>
      </c>
      <c r="E106" s="6">
        <f>B106-MAX($B$2:B106)</f>
        <v>-1.629999999999999</v>
      </c>
      <c r="F106" s="80">
        <f t="shared" si="3"/>
        <v>79</v>
      </c>
      <c r="G106" s="22" cm="1">
        <f t="array" ref="G106">Comp1[[#This Row],[Comparable '#1 Drawdown]]/MAX($B$2:B106)</f>
        <v>-9.9511599511599463E-2</v>
      </c>
      <c r="H106" s="1" t="str">
        <f>IF(SUM(COUNTIF(Benchmark1[Benchmark '#1 Dates],Comp1[[#This Row],[Comparable '#1 Dates]]),COUNTIF(Benchmark2[Benchmark '#2 Dates],Comp1[[#This Row],[Comparable '#1 Dates]]))=2,"Pass","Fail")</f>
        <v>Pass</v>
      </c>
      <c r="I106" s="1">
        <f>IFERROR(Comp1[[#This Row],[Comparable '#1 Return]]-INDEX(Benchmark1[Benchmark '#1 Return],MATCH(Comp1[[#This Row],[Comparable '#1 Dates]],Benchmark1[Benchmark '#1 Dates],0)),"-")</f>
        <v>-2.2290528442216961E-2</v>
      </c>
      <c r="L106" s="72">
        <f>Comp1[[#This Row],[Comparable '#1 Price]]/$B$2*100</f>
        <v>100.95824777549625</v>
      </c>
    </row>
    <row r="107" spans="1:12">
      <c r="A107" s="103">
        <v>43437</v>
      </c>
      <c r="B107" s="104">
        <v>15.455</v>
      </c>
      <c r="C107" s="4">
        <f t="shared" si="2"/>
        <v>4.6689492798250826E-2</v>
      </c>
      <c r="D107" s="1">
        <f>IFERROR(Comp1[[#This Row],[Comparable '#1 Return]]+1,"-")</f>
        <v>1.0466894927982509</v>
      </c>
      <c r="E107" s="6">
        <f>B107-MAX($B$2:B107)</f>
        <v>-0.92499999999999893</v>
      </c>
      <c r="F107" s="80">
        <f t="shared" si="3"/>
        <v>80</v>
      </c>
      <c r="G107" s="22" cm="1">
        <f t="array" ref="G107">Comp1[[#This Row],[Comparable '#1 Drawdown]]/MAX($B$2:B107)</f>
        <v>-5.6471306471306409E-2</v>
      </c>
      <c r="H107" s="1" t="str">
        <f>IF(SUM(COUNTIF(Benchmark1[Benchmark '#1 Dates],Comp1[[#This Row],[Comparable '#1 Dates]]),COUNTIF(Benchmark2[Benchmark '#2 Dates],Comp1[[#This Row],[Comparable '#1 Dates]]))=2,"Pass","Fail")</f>
        <v>Pass</v>
      </c>
      <c r="I107" s="1">
        <f>IFERROR(Comp1[[#This Row],[Comparable '#1 Return]]-INDEX(Benchmark1[Benchmark '#1 Return],MATCH(Comp1[[#This Row],[Comparable '#1 Dates]],Benchmark1[Benchmark '#1 Dates],0)),"-")</f>
        <v>3.5809290476016553E-2</v>
      </c>
      <c r="L107" s="72">
        <f>Comp1[[#This Row],[Comparable '#1 Price]]/$B$2*100</f>
        <v>105.78370978781658</v>
      </c>
    </row>
    <row r="108" spans="1:12">
      <c r="A108" s="103">
        <v>43438</v>
      </c>
      <c r="B108" s="104">
        <v>15.07</v>
      </c>
      <c r="C108" s="4">
        <f t="shared" si="2"/>
        <v>-2.5226562945675574E-2</v>
      </c>
      <c r="D108" s="1">
        <f>IFERROR(Comp1[[#This Row],[Comparable '#1 Return]]+1,"-")</f>
        <v>0.9747734370543244</v>
      </c>
      <c r="E108" s="6">
        <f>B108-MAX($B$2:B108)</f>
        <v>-1.3099999999999987</v>
      </c>
      <c r="F108" s="80">
        <f t="shared" si="3"/>
        <v>81</v>
      </c>
      <c r="G108" s="22" cm="1">
        <f t="array" ref="G108">Comp1[[#This Row],[Comparable '#1 Drawdown]]/MAX($B$2:B108)</f>
        <v>-7.99755799755799E-2</v>
      </c>
      <c r="H108" s="1" t="str">
        <f>IF(SUM(COUNTIF(Benchmark1[Benchmark '#1 Dates],Comp1[[#This Row],[Comparable '#1 Dates]]),COUNTIF(Benchmark2[Benchmark '#2 Dates],Comp1[[#This Row],[Comparable '#1 Dates]]))=2,"Pass","Fail")</f>
        <v>Pass</v>
      </c>
      <c r="I108" s="1">
        <f>IFERROR(Comp1[[#This Row],[Comparable '#1 Return]]-INDEX(Benchmark1[Benchmark '#1 Return],MATCH(Comp1[[#This Row],[Comparable '#1 Dates]],Benchmark1[Benchmark '#1 Dates],0)),"-")</f>
        <v>7.6718407043400716E-3</v>
      </c>
      <c r="L108" s="72">
        <f>Comp1[[#This Row],[Comparable '#1 Price]]/$B$2*100</f>
        <v>103.14852840520192</v>
      </c>
    </row>
    <row r="109" spans="1:12">
      <c r="A109" s="103">
        <v>43440</v>
      </c>
      <c r="B109" s="104">
        <v>14.97</v>
      </c>
      <c r="C109" s="4">
        <f t="shared" si="2"/>
        <v>-6.6578142068670441E-3</v>
      </c>
      <c r="D109" s="1">
        <f>IFERROR(Comp1[[#This Row],[Comparable '#1 Return]]+1,"-")</f>
        <v>0.99334218579313294</v>
      </c>
      <c r="E109" s="6">
        <f>B109-MAX($B$2:B109)</f>
        <v>-1.4099999999999984</v>
      </c>
      <c r="F109" s="80">
        <f t="shared" si="3"/>
        <v>82</v>
      </c>
      <c r="G109" s="22" cm="1">
        <f t="array" ref="G109">Comp1[[#This Row],[Comparable '#1 Drawdown]]/MAX($B$2:B109)</f>
        <v>-8.6080586080585983E-2</v>
      </c>
      <c r="H109" s="1" t="str">
        <f>IF(SUM(COUNTIF(Benchmark1[Benchmark '#1 Dates],Comp1[[#This Row],[Comparable '#1 Dates]]),COUNTIF(Benchmark2[Benchmark '#2 Dates],Comp1[[#This Row],[Comparable '#1 Dates]]))=2,"Pass","Fail")</f>
        <v>Pass</v>
      </c>
      <c r="I109" s="1">
        <f>IFERROR(Comp1[[#This Row],[Comparable '#1 Return]]-INDEX(Benchmark1[Benchmark '#1 Return],MATCH(Comp1[[#This Row],[Comparable '#1 Dates]],Benchmark1[Benchmark '#1 Dates],0)),"-")</f>
        <v>-5.1311251859067139E-3</v>
      </c>
      <c r="L109" s="72">
        <f>Comp1[[#This Row],[Comparable '#1 Price]]/$B$2*100</f>
        <v>102.4640657084189</v>
      </c>
    </row>
    <row r="110" spans="1:12">
      <c r="A110" s="103">
        <v>43441</v>
      </c>
      <c r="B110" s="104">
        <v>14.69</v>
      </c>
      <c r="C110" s="4">
        <f t="shared" si="2"/>
        <v>-1.888120824575111E-2</v>
      </c>
      <c r="D110" s="1">
        <f>IFERROR(Comp1[[#This Row],[Comparable '#1 Return]]+1,"-")</f>
        <v>0.98111879175424888</v>
      </c>
      <c r="E110" s="6">
        <f>B110-MAX($B$2:B110)</f>
        <v>-1.6899999999999995</v>
      </c>
      <c r="F110" s="80">
        <f t="shared" si="3"/>
        <v>83</v>
      </c>
      <c r="G110" s="22" cm="1">
        <f t="array" ref="G110">Comp1[[#This Row],[Comparable '#1 Drawdown]]/MAX($B$2:B110)</f>
        <v>-0.10317460317460315</v>
      </c>
      <c r="H110" s="1" t="str">
        <f>IF(SUM(COUNTIF(Benchmark1[Benchmark '#1 Dates],Comp1[[#This Row],[Comparable '#1 Dates]]),COUNTIF(Benchmark2[Benchmark '#2 Dates],Comp1[[#This Row],[Comparable '#1 Dates]]))=2,"Pass","Fail")</f>
        <v>Pass</v>
      </c>
      <c r="I110" s="1">
        <f>IFERROR(Comp1[[#This Row],[Comparable '#1 Return]]-INDEX(Benchmark1[Benchmark '#1 Return],MATCH(Comp1[[#This Row],[Comparable '#1 Dates]],Benchmark1[Benchmark '#1 Dates],0)),"-")</f>
        <v>4.7138998535467824E-3</v>
      </c>
      <c r="L110" s="72">
        <f>Comp1[[#This Row],[Comparable '#1 Price]]/$B$2*100</f>
        <v>100.54757015742641</v>
      </c>
    </row>
    <row r="111" spans="1:12">
      <c r="A111" s="103">
        <v>43444</v>
      </c>
      <c r="B111" s="104">
        <v>14.59</v>
      </c>
      <c r="C111" s="4">
        <f t="shared" si="2"/>
        <v>-6.8306276510916525E-3</v>
      </c>
      <c r="D111" s="1">
        <f>IFERROR(Comp1[[#This Row],[Comparable '#1 Return]]+1,"-")</f>
        <v>0.99316937234890834</v>
      </c>
      <c r="E111" s="6">
        <f>B111-MAX($B$2:B111)</f>
        <v>-1.7899999999999991</v>
      </c>
      <c r="F111" s="80">
        <f t="shared" si="3"/>
        <v>84</v>
      </c>
      <c r="G111" s="22" cm="1">
        <f t="array" ref="G111">Comp1[[#This Row],[Comparable '#1 Drawdown]]/MAX($B$2:B111)</f>
        <v>-0.10927960927960924</v>
      </c>
      <c r="H111" s="1" t="str">
        <f>IF(SUM(COUNTIF(Benchmark1[Benchmark '#1 Dates],Comp1[[#This Row],[Comparable '#1 Dates]]),COUNTIF(Benchmark2[Benchmark '#2 Dates],Comp1[[#This Row],[Comparable '#1 Dates]]))=2,"Pass","Fail")</f>
        <v>Pass</v>
      </c>
      <c r="I111" s="1">
        <f>IFERROR(Comp1[[#This Row],[Comparable '#1 Return]]-INDEX(Benchmark1[Benchmark '#1 Return],MATCH(Comp1[[#This Row],[Comparable '#1 Dates]],Benchmark1[Benchmark '#1 Dates],0)),"-")</f>
        <v>-8.5928837202097416E-3</v>
      </c>
      <c r="L111" s="72">
        <f>Comp1[[#This Row],[Comparable '#1 Price]]/$B$2*100</f>
        <v>99.863107460643391</v>
      </c>
    </row>
    <row r="112" spans="1:12">
      <c r="A112" s="103">
        <v>43445</v>
      </c>
      <c r="B112" s="104">
        <v>14.69</v>
      </c>
      <c r="C112" s="4">
        <f t="shared" si="2"/>
        <v>6.8306276510915562E-3</v>
      </c>
      <c r="D112" s="1">
        <f>IFERROR(Comp1[[#This Row],[Comparable '#1 Return]]+1,"-")</f>
        <v>1.0068306276510917</v>
      </c>
      <c r="E112" s="6">
        <f>B112-MAX($B$2:B112)</f>
        <v>-1.6899999999999995</v>
      </c>
      <c r="F112" s="80">
        <f t="shared" si="3"/>
        <v>85</v>
      </c>
      <c r="G112" s="22" cm="1">
        <f t="array" ref="G112">Comp1[[#This Row],[Comparable '#1 Drawdown]]/MAX($B$2:B112)</f>
        <v>-0.10317460317460315</v>
      </c>
      <c r="H112" s="1" t="str">
        <f>IF(SUM(COUNTIF(Benchmark1[Benchmark '#1 Dates],Comp1[[#This Row],[Comparable '#1 Dates]]),COUNTIF(Benchmark2[Benchmark '#2 Dates],Comp1[[#This Row],[Comparable '#1 Dates]]))=2,"Pass","Fail")</f>
        <v>Pass</v>
      </c>
      <c r="I112" s="1">
        <f>IFERROR(Comp1[[#This Row],[Comparable '#1 Return]]-INDEX(Benchmark1[Benchmark '#1 Return],MATCH(Comp1[[#This Row],[Comparable '#1 Dates]],Benchmark1[Benchmark '#1 Dates],0)),"-")</f>
        <v>7.1867975135134566E-3</v>
      </c>
      <c r="L112" s="72">
        <f>Comp1[[#This Row],[Comparable '#1 Price]]/$B$2*100</f>
        <v>100.54757015742641</v>
      </c>
    </row>
    <row r="113" spans="1:12">
      <c r="A113" s="103">
        <v>43446</v>
      </c>
      <c r="B113" s="104">
        <v>15.4</v>
      </c>
      <c r="C113" s="4">
        <f t="shared" si="2"/>
        <v>4.7200519233797644E-2</v>
      </c>
      <c r="D113" s="1">
        <f>IFERROR(Comp1[[#This Row],[Comparable '#1 Return]]+1,"-")</f>
        <v>1.0472005192337976</v>
      </c>
      <c r="E113" s="6">
        <f>B113-MAX($B$2:B113)</f>
        <v>-0.97999999999999865</v>
      </c>
      <c r="F113" s="80">
        <f t="shared" si="3"/>
        <v>86</v>
      </c>
      <c r="G113" s="22" cm="1">
        <f t="array" ref="G113">Comp1[[#This Row],[Comparable '#1 Drawdown]]/MAX($B$2:B113)</f>
        <v>-5.9829059829059748E-2</v>
      </c>
      <c r="H113" s="1" t="str">
        <f>IF(SUM(COUNTIF(Benchmark1[Benchmark '#1 Dates],Comp1[[#This Row],[Comparable '#1 Dates]]),COUNTIF(Benchmark2[Benchmark '#2 Dates],Comp1[[#This Row],[Comparable '#1 Dates]]))=2,"Pass","Fail")</f>
        <v>Pass</v>
      </c>
      <c r="I113" s="1">
        <f>IFERROR(Comp1[[#This Row],[Comparable '#1 Return]]-INDEX(Benchmark1[Benchmark '#1 Return],MATCH(Comp1[[#This Row],[Comparable '#1 Dates]],Benchmark1[Benchmark '#1 Dates],0)),"-")</f>
        <v>4.1797957909831769E-2</v>
      </c>
      <c r="L113" s="72">
        <f>Comp1[[#This Row],[Comparable '#1 Price]]/$B$2*100</f>
        <v>105.4072553045859</v>
      </c>
    </row>
    <row r="114" spans="1:12">
      <c r="A114" s="103">
        <v>43447</v>
      </c>
      <c r="B114" s="104">
        <v>14.97</v>
      </c>
      <c r="C114" s="4">
        <f t="shared" si="2"/>
        <v>-2.8319310988046468E-2</v>
      </c>
      <c r="D114" s="1">
        <f>IFERROR(Comp1[[#This Row],[Comparable '#1 Return]]+1,"-")</f>
        <v>0.97168068901195348</v>
      </c>
      <c r="E114" s="6">
        <f>B114-MAX($B$2:B114)</f>
        <v>-1.4099999999999984</v>
      </c>
      <c r="F114" s="80">
        <f t="shared" si="3"/>
        <v>87</v>
      </c>
      <c r="G114" s="22" cm="1">
        <f t="array" ref="G114">Comp1[[#This Row],[Comparable '#1 Drawdown]]/MAX($B$2:B114)</f>
        <v>-8.6080586080585983E-2</v>
      </c>
      <c r="H114" s="1" t="str">
        <f>IF(SUM(COUNTIF(Benchmark1[Benchmark '#1 Dates],Comp1[[#This Row],[Comparable '#1 Dates]]),COUNTIF(Benchmark2[Benchmark '#2 Dates],Comp1[[#This Row],[Comparable '#1 Dates]]))=2,"Pass","Fail")</f>
        <v>Pass</v>
      </c>
      <c r="I114" s="1">
        <f>IFERROR(Comp1[[#This Row],[Comparable '#1 Return]]-INDEX(Benchmark1[Benchmark '#1 Return],MATCH(Comp1[[#This Row],[Comparable '#1 Dates]],Benchmark1[Benchmark '#1 Dates],0)),"-")</f>
        <v>-2.811842097295807E-2</v>
      </c>
      <c r="L114" s="72">
        <f>Comp1[[#This Row],[Comparable '#1 Price]]/$B$2*100</f>
        <v>102.4640657084189</v>
      </c>
    </row>
    <row r="115" spans="1:12">
      <c r="A115" s="103">
        <v>43448</v>
      </c>
      <c r="B115" s="104">
        <v>14.96</v>
      </c>
      <c r="C115" s="4">
        <f t="shared" si="2"/>
        <v>-6.6822588520584183E-4</v>
      </c>
      <c r="D115" s="1">
        <f>IFERROR(Comp1[[#This Row],[Comparable '#1 Return]]+1,"-")</f>
        <v>0.99933177411479412</v>
      </c>
      <c r="E115" s="6">
        <f>B115-MAX($B$2:B115)</f>
        <v>-1.4199999999999982</v>
      </c>
      <c r="F115" s="80">
        <f t="shared" si="3"/>
        <v>88</v>
      </c>
      <c r="G115" s="22" cm="1">
        <f t="array" ref="G115">Comp1[[#This Row],[Comparable '#1 Drawdown]]/MAX($B$2:B115)</f>
        <v>-8.6691086691086577E-2</v>
      </c>
      <c r="H115" s="1" t="str">
        <f>IF(SUM(COUNTIF(Benchmark1[Benchmark '#1 Dates],Comp1[[#This Row],[Comparable '#1 Dates]]),COUNTIF(Benchmark2[Benchmark '#2 Dates],Comp1[[#This Row],[Comparable '#1 Dates]]))=2,"Pass","Fail")</f>
        <v>Pass</v>
      </c>
      <c r="I115" s="1">
        <f>IFERROR(Comp1[[#This Row],[Comparable '#1 Return]]-INDEX(Benchmark1[Benchmark '#1 Return],MATCH(Comp1[[#This Row],[Comparable '#1 Dates]],Benchmark1[Benchmark '#1 Dates],0)),"-")</f>
        <v>1.8599461815728569E-2</v>
      </c>
      <c r="L115" s="72">
        <f>Comp1[[#This Row],[Comparable '#1 Price]]/$B$2*100</f>
        <v>102.39561943874061</v>
      </c>
    </row>
    <row r="116" spans="1:12">
      <c r="A116" s="103">
        <v>43451</v>
      </c>
      <c r="B116" s="104">
        <v>14.64</v>
      </c>
      <c r="C116" s="4">
        <f t="shared" si="2"/>
        <v>-2.1622464013165657E-2</v>
      </c>
      <c r="D116" s="1">
        <f>IFERROR(Comp1[[#This Row],[Comparable '#1 Return]]+1,"-")</f>
        <v>0.9783775359868343</v>
      </c>
      <c r="E116" s="6">
        <f>B116-MAX($B$2:B116)</f>
        <v>-1.7399999999999984</v>
      </c>
      <c r="F116" s="80">
        <f t="shared" si="3"/>
        <v>89</v>
      </c>
      <c r="G116" s="22" cm="1">
        <f t="array" ref="G116">Comp1[[#This Row],[Comparable '#1 Drawdown]]/MAX($B$2:B116)</f>
        <v>-0.10622710622710614</v>
      </c>
      <c r="H116" s="1" t="str">
        <f>IF(SUM(COUNTIF(Benchmark1[Benchmark '#1 Dates],Comp1[[#This Row],[Comparable '#1 Dates]]),COUNTIF(Benchmark2[Benchmark '#2 Dates],Comp1[[#This Row],[Comparable '#1 Dates]]))=2,"Pass","Fail")</f>
        <v>Pass</v>
      </c>
      <c r="I116" s="1">
        <f>IFERROR(Comp1[[#This Row],[Comparable '#1 Return]]-INDEX(Benchmark1[Benchmark '#1 Return],MATCH(Comp1[[#This Row],[Comparable '#1 Dates]],Benchmark1[Benchmark '#1 Dates],0)),"-")</f>
        <v>-6.2842115938862089E-4</v>
      </c>
      <c r="L116" s="72">
        <f>Comp1[[#This Row],[Comparable '#1 Price]]/$B$2*100</f>
        <v>100.2053388090349</v>
      </c>
    </row>
    <row r="117" spans="1:12">
      <c r="A117" s="103">
        <v>43452</v>
      </c>
      <c r="B117" s="104">
        <v>14.78</v>
      </c>
      <c r="C117" s="4">
        <f t="shared" si="2"/>
        <v>9.5174069868901711E-3</v>
      </c>
      <c r="D117" s="1">
        <f>IFERROR(Comp1[[#This Row],[Comparable '#1 Return]]+1,"-")</f>
        <v>1.0095174069868902</v>
      </c>
      <c r="E117" s="6">
        <f>B117-MAX($B$2:B117)</f>
        <v>-1.5999999999999996</v>
      </c>
      <c r="F117" s="80">
        <f t="shared" si="3"/>
        <v>90</v>
      </c>
      <c r="G117" s="22" cm="1">
        <f t="array" ref="G117">Comp1[[#This Row],[Comparable '#1 Drawdown]]/MAX($B$2:B117)</f>
        <v>-9.7680097680097666E-2</v>
      </c>
      <c r="H117" s="1" t="str">
        <f>IF(SUM(COUNTIF(Benchmark1[Benchmark '#1 Dates],Comp1[[#This Row],[Comparable '#1 Dates]]),COUNTIF(Benchmark2[Benchmark '#2 Dates],Comp1[[#This Row],[Comparable '#1 Dates]]))=2,"Pass","Fail")</f>
        <v>Pass</v>
      </c>
      <c r="I117" s="1">
        <f>IFERROR(Comp1[[#This Row],[Comparable '#1 Return]]-INDEX(Benchmark1[Benchmark '#1 Return],MATCH(Comp1[[#This Row],[Comparable '#1 Dates]],Benchmark1[Benchmark '#1 Dates],0)),"-")</f>
        <v>9.4304755385943191E-3</v>
      </c>
      <c r="L117" s="72">
        <f>Comp1[[#This Row],[Comparable '#1 Price]]/$B$2*100</f>
        <v>101.16358658453115</v>
      </c>
    </row>
    <row r="118" spans="1:12">
      <c r="A118" s="103">
        <v>43453</v>
      </c>
      <c r="B118" s="104">
        <v>14.56</v>
      </c>
      <c r="C118" s="4">
        <f t="shared" si="2"/>
        <v>-1.4996872751515691E-2</v>
      </c>
      <c r="D118" s="1">
        <f>IFERROR(Comp1[[#This Row],[Comparable '#1 Return]]+1,"-")</f>
        <v>0.98500312724848427</v>
      </c>
      <c r="E118" s="6">
        <f>B118-MAX($B$2:B118)</f>
        <v>-1.8199999999999985</v>
      </c>
      <c r="F118" s="80">
        <f t="shared" si="3"/>
        <v>91</v>
      </c>
      <c r="G118" s="22" cm="1">
        <f t="array" ref="G118">Comp1[[#This Row],[Comparable '#1 Drawdown]]/MAX($B$2:B118)</f>
        <v>-0.11111111111111102</v>
      </c>
      <c r="H118" s="1" t="str">
        <f>IF(SUM(COUNTIF(Benchmark1[Benchmark '#1 Dates],Comp1[[#This Row],[Comparable '#1 Dates]]),COUNTIF(Benchmark2[Benchmark '#2 Dates],Comp1[[#This Row],[Comparable '#1 Dates]]))=2,"Pass","Fail")</f>
        <v>Pass</v>
      </c>
      <c r="I118" s="1">
        <f>IFERROR(Comp1[[#This Row],[Comparable '#1 Return]]-INDEX(Benchmark1[Benchmark '#1 Return],MATCH(Comp1[[#This Row],[Comparable '#1 Dates]],Benchmark1[Benchmark '#1 Dates],0)),"-")</f>
        <v>5.2094620009173094E-4</v>
      </c>
      <c r="L118" s="72">
        <f>Comp1[[#This Row],[Comparable '#1 Price]]/$B$2*100</f>
        <v>99.657768651608492</v>
      </c>
    </row>
    <row r="119" spans="1:12">
      <c r="A119" s="103">
        <v>43454</v>
      </c>
      <c r="B119" s="104">
        <v>14.42</v>
      </c>
      <c r="C119" s="4">
        <f t="shared" si="2"/>
        <v>-9.6619109117369716E-3</v>
      </c>
      <c r="D119" s="1">
        <f>IFERROR(Comp1[[#This Row],[Comparable '#1 Return]]+1,"-")</f>
        <v>0.99033808908826304</v>
      </c>
      <c r="E119" s="6">
        <f>B119-MAX($B$2:B119)</f>
        <v>-1.9599999999999991</v>
      </c>
      <c r="F119" s="80">
        <f t="shared" si="3"/>
        <v>92</v>
      </c>
      <c r="G119" s="22" cm="1">
        <f t="array" ref="G119">Comp1[[#This Row],[Comparable '#1 Drawdown]]/MAX($B$2:B119)</f>
        <v>-0.11965811965811961</v>
      </c>
      <c r="H119" s="1" t="str">
        <f>IF(SUM(COUNTIF(Benchmark1[Benchmark '#1 Dates],Comp1[[#This Row],[Comparable '#1 Dates]]),COUNTIF(Benchmark2[Benchmark '#2 Dates],Comp1[[#This Row],[Comparable '#1 Dates]]))=2,"Pass","Fail")</f>
        <v>Pass</v>
      </c>
      <c r="I119" s="1">
        <f>IFERROR(Comp1[[#This Row],[Comparable '#1 Return]]-INDEX(Benchmark1[Benchmark '#1 Return],MATCH(Comp1[[#This Row],[Comparable '#1 Dates]],Benchmark1[Benchmark '#1 Dates],0)),"-")</f>
        <v>6.2345939732595512E-3</v>
      </c>
      <c r="L119" s="72">
        <f>Comp1[[#This Row],[Comparable '#1 Price]]/$B$2*100</f>
        <v>98.69952087611226</v>
      </c>
    </row>
    <row r="120" spans="1:12">
      <c r="A120" s="103">
        <v>43455</v>
      </c>
      <c r="B120" s="104">
        <v>13.9</v>
      </c>
      <c r="C120" s="4">
        <f t="shared" si="2"/>
        <v>-3.6727291720156929E-2</v>
      </c>
      <c r="D120" s="1">
        <f>IFERROR(Comp1[[#This Row],[Comparable '#1 Return]]+1,"-")</f>
        <v>0.96327270827984313</v>
      </c>
      <c r="E120" s="6">
        <f>B120-MAX($B$2:B120)</f>
        <v>-2.4799999999999986</v>
      </c>
      <c r="F120" s="80">
        <f t="shared" si="3"/>
        <v>93</v>
      </c>
      <c r="G120" s="22" cm="1">
        <f t="array" ref="G120">Comp1[[#This Row],[Comparable '#1 Drawdown]]/MAX($B$2:B120)</f>
        <v>-0.15140415140415134</v>
      </c>
      <c r="H120" s="1" t="str">
        <f>IF(SUM(COUNTIF(Benchmark1[Benchmark '#1 Dates],Comp1[[#This Row],[Comparable '#1 Dates]]),COUNTIF(Benchmark2[Benchmark '#2 Dates],Comp1[[#This Row],[Comparable '#1 Dates]]))=2,"Pass","Fail")</f>
        <v>Pass</v>
      </c>
      <c r="I120" s="1">
        <f>IFERROR(Comp1[[#This Row],[Comparable '#1 Return]]-INDEX(Benchmark1[Benchmark '#1 Return],MATCH(Comp1[[#This Row],[Comparable '#1 Dates]],Benchmark1[Benchmark '#1 Dates],0)),"-")</f>
        <v>-1.5924042888759905E-2</v>
      </c>
      <c r="L120" s="72">
        <f>Comp1[[#This Row],[Comparable '#1 Price]]/$B$2*100</f>
        <v>95.140314852840518</v>
      </c>
    </row>
    <row r="121" spans="1:12">
      <c r="A121" s="103">
        <v>43458</v>
      </c>
      <c r="B121" s="104">
        <v>13.98</v>
      </c>
      <c r="C121" s="4">
        <f t="shared" si="2"/>
        <v>5.7388966690181779E-3</v>
      </c>
      <c r="D121" s="1">
        <f>IFERROR(Comp1[[#This Row],[Comparable '#1 Return]]+1,"-")</f>
        <v>1.0057388966690182</v>
      </c>
      <c r="E121" s="6">
        <f>B121-MAX($B$2:B121)</f>
        <v>-2.3999999999999986</v>
      </c>
      <c r="F121" s="80">
        <f t="shared" si="3"/>
        <v>94</v>
      </c>
      <c r="G121" s="22" cm="1">
        <f t="array" ref="G121">Comp1[[#This Row],[Comparable '#1 Drawdown]]/MAX($B$2:B121)</f>
        <v>-0.14652014652014644</v>
      </c>
      <c r="H121" s="1" t="str">
        <f>IF(SUM(COUNTIF(Benchmark1[Benchmark '#1 Dates],Comp1[[#This Row],[Comparable '#1 Dates]]),COUNTIF(Benchmark2[Benchmark '#2 Dates],Comp1[[#This Row],[Comparable '#1 Dates]]))=2,"Pass","Fail")</f>
        <v>Pass</v>
      </c>
      <c r="I121" s="1">
        <f>IFERROR(Comp1[[#This Row],[Comparable '#1 Return]]-INDEX(Benchmark1[Benchmark '#1 Return],MATCH(Comp1[[#This Row],[Comparable '#1 Dates]],Benchmark1[Benchmark '#1 Dates],0)),"-")</f>
        <v>3.3224992515093893E-2</v>
      </c>
      <c r="L121" s="72">
        <f>Comp1[[#This Row],[Comparable '#1 Price]]/$B$2*100</f>
        <v>95.687885010266953</v>
      </c>
    </row>
    <row r="122" spans="1:12">
      <c r="A122" s="103">
        <v>43460</v>
      </c>
      <c r="B122" s="104">
        <v>14.54</v>
      </c>
      <c r="C122" s="4">
        <f t="shared" si="2"/>
        <v>3.9275735299708965E-2</v>
      </c>
      <c r="D122" s="1">
        <f>IFERROR(Comp1[[#This Row],[Comparable '#1 Return]]+1,"-")</f>
        <v>1.0392757352997091</v>
      </c>
      <c r="E122" s="6">
        <f>B122-MAX($B$2:B122)</f>
        <v>-1.8399999999999999</v>
      </c>
      <c r="F122" s="80">
        <f t="shared" si="3"/>
        <v>95</v>
      </c>
      <c r="G122" s="22" cm="1">
        <f t="array" ref="G122">Comp1[[#This Row],[Comparable '#1 Drawdown]]/MAX($B$2:B122)</f>
        <v>-0.11233211233211234</v>
      </c>
      <c r="H122" s="1" t="str">
        <f>IF(SUM(COUNTIF(Benchmark1[Benchmark '#1 Dates],Comp1[[#This Row],[Comparable '#1 Dates]]),COUNTIF(Benchmark2[Benchmark '#2 Dates],Comp1[[#This Row],[Comparable '#1 Dates]]))=2,"Pass","Fail")</f>
        <v>Pass</v>
      </c>
      <c r="I122" s="1">
        <f>IFERROR(Comp1[[#This Row],[Comparable '#1 Return]]-INDEX(Benchmark1[Benchmark '#1 Return],MATCH(Comp1[[#This Row],[Comparable '#1 Dates]],Benchmark1[Benchmark '#1 Dates],0)),"-")</f>
        <v>-9.1293490214262238E-3</v>
      </c>
      <c r="L122" s="72">
        <f>Comp1[[#This Row],[Comparable '#1 Price]]/$B$2*100</f>
        <v>99.520876112251884</v>
      </c>
    </row>
    <row r="123" spans="1:12">
      <c r="A123" s="103">
        <v>43461</v>
      </c>
      <c r="B123" s="104">
        <v>14.68</v>
      </c>
      <c r="C123" s="4">
        <f t="shared" si="2"/>
        <v>9.5825510809961559E-3</v>
      </c>
      <c r="D123" s="1">
        <f>IFERROR(Comp1[[#This Row],[Comparable '#1 Return]]+1,"-")</f>
        <v>1.0095825510809961</v>
      </c>
      <c r="E123" s="6">
        <f>B123-MAX($B$2:B123)</f>
        <v>-1.6999999999999993</v>
      </c>
      <c r="F123" s="80">
        <f t="shared" si="3"/>
        <v>96</v>
      </c>
      <c r="G123" s="22" cm="1">
        <f t="array" ref="G123">Comp1[[#This Row],[Comparable '#1 Drawdown]]/MAX($B$2:B123)</f>
        <v>-0.10378510378510375</v>
      </c>
      <c r="H123" s="1" t="str">
        <f>IF(SUM(COUNTIF(Benchmark1[Benchmark '#1 Dates],Comp1[[#This Row],[Comparable '#1 Dates]]),COUNTIF(Benchmark2[Benchmark '#2 Dates],Comp1[[#This Row],[Comparable '#1 Dates]]))=2,"Pass","Fail")</f>
        <v>Pass</v>
      </c>
      <c r="I123" s="1">
        <f>IFERROR(Comp1[[#This Row],[Comparable '#1 Return]]-INDEX(Benchmark1[Benchmark '#1 Return],MATCH(Comp1[[#This Row],[Comparable '#1 Dates]],Benchmark1[Benchmark '#1 Dates],0)),"-")</f>
        <v>1.0590506159220674E-3</v>
      </c>
      <c r="L123" s="72">
        <f>Comp1[[#This Row],[Comparable '#1 Price]]/$B$2*100</f>
        <v>100.47912388774812</v>
      </c>
    </row>
    <row r="124" spans="1:12">
      <c r="A124" s="103">
        <v>43462</v>
      </c>
      <c r="B124" s="104">
        <v>14.82</v>
      </c>
      <c r="C124" s="4">
        <f t="shared" si="2"/>
        <v>9.4915966815713911E-3</v>
      </c>
      <c r="D124" s="1">
        <f>IFERROR(Comp1[[#This Row],[Comparable '#1 Return]]+1,"-")</f>
        <v>1.0094915966815714</v>
      </c>
      <c r="E124" s="6">
        <f>B124-MAX($B$2:B124)</f>
        <v>-1.5599999999999987</v>
      </c>
      <c r="F124" s="80">
        <f t="shared" si="3"/>
        <v>97</v>
      </c>
      <c r="G124" s="22" cm="1">
        <f t="array" ref="G124">Comp1[[#This Row],[Comparable '#1 Drawdown]]/MAX($B$2:B124)</f>
        <v>-9.5238095238095163E-2</v>
      </c>
      <c r="H124" s="1" t="str">
        <f>IF(SUM(COUNTIF(Benchmark1[Benchmark '#1 Dates],Comp1[[#This Row],[Comparable '#1 Dates]]),COUNTIF(Benchmark2[Benchmark '#2 Dates],Comp1[[#This Row],[Comparable '#1 Dates]]))=2,"Pass","Fail")</f>
        <v>Pass</v>
      </c>
      <c r="I124" s="1">
        <f>IFERROR(Comp1[[#This Row],[Comparable '#1 Return]]-INDEX(Benchmark1[Benchmark '#1 Return],MATCH(Comp1[[#This Row],[Comparable '#1 Dates]],Benchmark1[Benchmark '#1 Dates],0)),"-")</f>
        <v>1.0734809910572008E-2</v>
      </c>
      <c r="L124" s="72">
        <f>Comp1[[#This Row],[Comparable '#1 Price]]/$B$2*100</f>
        <v>101.43737166324436</v>
      </c>
    </row>
    <row r="125" spans="1:12">
      <c r="A125" s="103">
        <v>43465</v>
      </c>
      <c r="B125" s="104">
        <v>15.24</v>
      </c>
      <c r="C125" s="4">
        <f t="shared" si="2"/>
        <v>2.7945930390559322E-2</v>
      </c>
      <c r="D125" s="1">
        <f>IFERROR(Comp1[[#This Row],[Comparable '#1 Return]]+1,"-")</f>
        <v>1.0279459303905594</v>
      </c>
      <c r="E125" s="6">
        <f>B125-MAX($B$2:B125)</f>
        <v>-1.1399999999999988</v>
      </c>
      <c r="F125" s="80">
        <f t="shared" si="3"/>
        <v>98</v>
      </c>
      <c r="G125" s="22" cm="1">
        <f t="array" ref="G125">Comp1[[#This Row],[Comparable '#1 Drawdown]]/MAX($B$2:B125)</f>
        <v>-6.959706959706953E-2</v>
      </c>
      <c r="H125" s="1" t="str">
        <f>IF(SUM(COUNTIF(Benchmark1[Benchmark '#1 Dates],Comp1[[#This Row],[Comparable '#1 Dates]]),COUNTIF(Benchmark2[Benchmark '#2 Dates],Comp1[[#This Row],[Comparable '#1 Dates]]))=2,"Pass","Fail")</f>
        <v>Pass</v>
      </c>
      <c r="I125" s="1">
        <f>IFERROR(Comp1[[#This Row],[Comparable '#1 Return]]-INDEX(Benchmark1[Benchmark '#1 Return],MATCH(Comp1[[#This Row],[Comparable '#1 Dates]],Benchmark1[Benchmark '#1 Dates],0)),"-")</f>
        <v>1.9488546520077095E-2</v>
      </c>
      <c r="L125" s="72">
        <f>Comp1[[#This Row],[Comparable '#1 Price]]/$B$2*100</f>
        <v>104.31211498973308</v>
      </c>
    </row>
    <row r="126" spans="1:12">
      <c r="A126" s="103">
        <v>43467</v>
      </c>
      <c r="B126" s="104">
        <v>15.36</v>
      </c>
      <c r="C126" s="4">
        <f t="shared" si="2"/>
        <v>7.8431774610258787E-3</v>
      </c>
      <c r="D126" s="1">
        <f>IFERROR(Comp1[[#This Row],[Comparable '#1 Return]]+1,"-")</f>
        <v>1.0078431774610259</v>
      </c>
      <c r="E126" s="6">
        <f>B126-MAX($B$2:B126)</f>
        <v>-1.0199999999999996</v>
      </c>
      <c r="F126" s="80">
        <f t="shared" si="3"/>
        <v>99</v>
      </c>
      <c r="G126" s="22" cm="1">
        <f t="array" ref="G126">Comp1[[#This Row],[Comparable '#1 Drawdown]]/MAX($B$2:B126)</f>
        <v>-6.2271062271062251E-2</v>
      </c>
      <c r="H126" s="1" t="str">
        <f>IF(SUM(COUNTIF(Benchmark1[Benchmark '#1 Dates],Comp1[[#This Row],[Comparable '#1 Dates]]),COUNTIF(Benchmark2[Benchmark '#2 Dates],Comp1[[#This Row],[Comparable '#1 Dates]]))=2,"Pass","Fail")</f>
        <v>Pass</v>
      </c>
      <c r="I126" s="1">
        <f>IFERROR(Comp1[[#This Row],[Comparable '#1 Return]]-INDEX(Benchmark1[Benchmark '#1 Return],MATCH(Comp1[[#This Row],[Comparable '#1 Dates]],Benchmark1[Benchmark '#1 Dates],0)),"-")</f>
        <v>6.5742799508326146E-3</v>
      </c>
      <c r="L126" s="72">
        <f>Comp1[[#This Row],[Comparable '#1 Price]]/$B$2*100</f>
        <v>105.1334702258727</v>
      </c>
    </row>
    <row r="127" spans="1:12">
      <c r="A127" s="103">
        <v>43468</v>
      </c>
      <c r="B127" s="104">
        <v>14.57</v>
      </c>
      <c r="C127" s="4">
        <f t="shared" si="2"/>
        <v>-5.2802107512412606E-2</v>
      </c>
      <c r="D127" s="1">
        <f>IFERROR(Comp1[[#This Row],[Comparable '#1 Return]]+1,"-")</f>
        <v>0.94719789248758735</v>
      </c>
      <c r="E127" s="6">
        <f>B127-MAX($B$2:B127)</f>
        <v>-1.8099999999999987</v>
      </c>
      <c r="F127" s="80">
        <f t="shared" si="3"/>
        <v>100</v>
      </c>
      <c r="G127" s="22" cm="1">
        <f t="array" ref="G127">Comp1[[#This Row],[Comparable '#1 Drawdown]]/MAX($B$2:B127)</f>
        <v>-0.11050061050061043</v>
      </c>
      <c r="H127" s="1" t="str">
        <f>IF(SUM(COUNTIF(Benchmark1[Benchmark '#1 Dates],Comp1[[#This Row],[Comparable '#1 Dates]]),COUNTIF(Benchmark2[Benchmark '#2 Dates],Comp1[[#This Row],[Comparable '#1 Dates]]))=2,"Pass","Fail")</f>
        <v>Pass</v>
      </c>
      <c r="I127" s="1">
        <f>IFERROR(Comp1[[#This Row],[Comparable '#1 Return]]-INDEX(Benchmark1[Benchmark '#1 Return],MATCH(Comp1[[#This Row],[Comparable '#1 Dates]],Benchmark1[Benchmark '#1 Dates],0)),"-")</f>
        <v>-2.7735179372017235E-2</v>
      </c>
      <c r="L127" s="72">
        <f>Comp1[[#This Row],[Comparable '#1 Price]]/$B$2*100</f>
        <v>99.726214921286797</v>
      </c>
    </row>
    <row r="128" spans="1:12">
      <c r="A128" s="103">
        <v>43469</v>
      </c>
      <c r="B128" s="104">
        <v>15.06</v>
      </c>
      <c r="C128" s="4">
        <f t="shared" si="2"/>
        <v>3.3077602164634165E-2</v>
      </c>
      <c r="D128" s="1">
        <f>IFERROR(Comp1[[#This Row],[Comparable '#1 Return]]+1,"-")</f>
        <v>1.0330776021646342</v>
      </c>
      <c r="E128" s="6">
        <f>B128-MAX($B$2:B128)</f>
        <v>-1.3199999999999985</v>
      </c>
      <c r="F128" s="80">
        <f t="shared" si="3"/>
        <v>101</v>
      </c>
      <c r="G128" s="22" cm="1">
        <f t="array" ref="G128">Comp1[[#This Row],[Comparable '#1 Drawdown]]/MAX($B$2:B128)</f>
        <v>-8.0586080586080494E-2</v>
      </c>
      <c r="H128" s="1" t="str">
        <f>IF(SUM(COUNTIF(Benchmark1[Benchmark '#1 Dates],Comp1[[#This Row],[Comparable '#1 Dates]]),COUNTIF(Benchmark2[Benchmark '#2 Dates],Comp1[[#This Row],[Comparable '#1 Dates]]))=2,"Pass","Fail")</f>
        <v>Pass</v>
      </c>
      <c r="I128" s="1">
        <f>IFERROR(Comp1[[#This Row],[Comparable '#1 Return]]-INDEX(Benchmark1[Benchmark '#1 Return],MATCH(Comp1[[#This Row],[Comparable '#1 Dates]],Benchmark1[Benchmark '#1 Dates],0)),"-")</f>
        <v>-6.8172214418252969E-4</v>
      </c>
      <c r="L128" s="72">
        <f>Comp1[[#This Row],[Comparable '#1 Price]]/$B$2*100</f>
        <v>103.08008213552363</v>
      </c>
    </row>
    <row r="129" spans="1:12">
      <c r="A129" s="103">
        <v>43472</v>
      </c>
      <c r="B129" s="104">
        <v>14.99</v>
      </c>
      <c r="C129" s="4">
        <f t="shared" si="2"/>
        <v>-4.6589102572411785E-3</v>
      </c>
      <c r="D129" s="1">
        <f>IFERROR(Comp1[[#This Row],[Comparable '#1 Return]]+1,"-")</f>
        <v>0.99534108974275881</v>
      </c>
      <c r="E129" s="6">
        <f>B129-MAX($B$2:B129)</f>
        <v>-1.3899999999999988</v>
      </c>
      <c r="F129" s="80">
        <f t="shared" si="3"/>
        <v>102</v>
      </c>
      <c r="G129" s="22" cm="1">
        <f t="array" ref="G129">Comp1[[#This Row],[Comparable '#1 Drawdown]]/MAX($B$2:B129)</f>
        <v>-8.4859584859584794E-2</v>
      </c>
      <c r="H129" s="1" t="str">
        <f>IF(SUM(COUNTIF(Benchmark1[Benchmark '#1 Dates],Comp1[[#This Row],[Comparable '#1 Dates]]),COUNTIF(Benchmark2[Benchmark '#2 Dates],Comp1[[#This Row],[Comparable '#1 Dates]]))=2,"Pass","Fail")</f>
        <v>Pass</v>
      </c>
      <c r="I129" s="1">
        <f>IFERROR(Comp1[[#This Row],[Comparable '#1 Return]]-INDEX(Benchmark1[Benchmark '#1 Return],MATCH(Comp1[[#This Row],[Comparable '#1 Dates]],Benchmark1[Benchmark '#1 Dates],0)),"-")</f>
        <v>-1.164354407763068E-2</v>
      </c>
      <c r="L129" s="72">
        <f>Comp1[[#This Row],[Comparable '#1 Price]]/$B$2*100</f>
        <v>102.60095824777551</v>
      </c>
    </row>
    <row r="130" spans="1:12">
      <c r="A130" s="103">
        <v>43473</v>
      </c>
      <c r="B130" s="104">
        <v>14.82</v>
      </c>
      <c r="C130" s="4">
        <f t="shared" ref="C130:C193" si="4">IFERROR(IF(B130="","-",LN(B130/B129)),"-")</f>
        <v>-1.1405692246565482E-2</v>
      </c>
      <c r="D130" s="1">
        <f>IFERROR(Comp1[[#This Row],[Comparable '#1 Return]]+1,"-")</f>
        <v>0.98859430775343449</v>
      </c>
      <c r="E130" s="6">
        <f>B130-MAX($B$2:B130)</f>
        <v>-1.5599999999999987</v>
      </c>
      <c r="F130" s="80">
        <f t="shared" ref="F130:F193" si="5">IF(E130=0,0,F129+1)</f>
        <v>103</v>
      </c>
      <c r="G130" s="22" cm="1">
        <f t="array" ref="G130">Comp1[[#This Row],[Comparable '#1 Drawdown]]/MAX($B$2:B130)</f>
        <v>-9.5238095238095163E-2</v>
      </c>
      <c r="H130" s="1" t="str">
        <f>IF(SUM(COUNTIF(Benchmark1[Benchmark '#1 Dates],Comp1[[#This Row],[Comparable '#1 Dates]]),COUNTIF(Benchmark2[Benchmark '#2 Dates],Comp1[[#This Row],[Comparable '#1 Dates]]))=2,"Pass","Fail")</f>
        <v>Pass</v>
      </c>
      <c r="I130" s="1">
        <f>IFERROR(Comp1[[#This Row],[Comparable '#1 Return]]-INDEX(Benchmark1[Benchmark '#1 Return],MATCH(Comp1[[#This Row],[Comparable '#1 Dates]],Benchmark1[Benchmark '#1 Dates],0)),"-")</f>
        <v>-2.1054659286230851E-2</v>
      </c>
      <c r="L130" s="72">
        <f>Comp1[[#This Row],[Comparable '#1 Price]]/$B$2*100</f>
        <v>101.43737166324436</v>
      </c>
    </row>
    <row r="131" spans="1:12">
      <c r="A131" s="103">
        <v>43474</v>
      </c>
      <c r="B131" s="104">
        <v>15.21</v>
      </c>
      <c r="C131" s="4">
        <f t="shared" si="4"/>
        <v>2.5975486403260736E-2</v>
      </c>
      <c r="D131" s="1">
        <f>IFERROR(Comp1[[#This Row],[Comparable '#1 Return]]+1,"-")</f>
        <v>1.0259754864032606</v>
      </c>
      <c r="E131" s="6">
        <f>B131-MAX($B$2:B131)</f>
        <v>-1.1699999999999982</v>
      </c>
      <c r="F131" s="80">
        <f t="shared" si="5"/>
        <v>104</v>
      </c>
      <c r="G131" s="22" cm="1">
        <f t="array" ref="G131">Comp1[[#This Row],[Comparable '#1 Drawdown]]/MAX($B$2:B131)</f>
        <v>-7.1428571428571314E-2</v>
      </c>
      <c r="H131" s="1" t="str">
        <f>IF(SUM(COUNTIF(Benchmark1[Benchmark '#1 Dates],Comp1[[#This Row],[Comparable '#1 Dates]]),COUNTIF(Benchmark2[Benchmark '#2 Dates],Comp1[[#This Row],[Comparable '#1 Dates]]))=2,"Pass","Fail")</f>
        <v>Pass</v>
      </c>
      <c r="I131" s="1">
        <f>IFERROR(Comp1[[#This Row],[Comparable '#1 Return]]-INDEX(Benchmark1[Benchmark '#1 Return],MATCH(Comp1[[#This Row],[Comparable '#1 Dates]],Benchmark1[Benchmark '#1 Dates],0)),"-")</f>
        <v>2.1884791532097443E-2</v>
      </c>
      <c r="L131" s="72">
        <f>Comp1[[#This Row],[Comparable '#1 Price]]/$B$2*100</f>
        <v>104.10677618069816</v>
      </c>
    </row>
    <row r="132" spans="1:12">
      <c r="A132" s="103">
        <v>43475</v>
      </c>
      <c r="B132" s="104">
        <v>15.24</v>
      </c>
      <c r="C132" s="4">
        <f t="shared" si="4"/>
        <v>1.9704439872987385E-3</v>
      </c>
      <c r="D132" s="1">
        <f>IFERROR(Comp1[[#This Row],[Comparable '#1 Return]]+1,"-")</f>
        <v>1.0019704439872987</v>
      </c>
      <c r="E132" s="6">
        <f>B132-MAX($B$2:B132)</f>
        <v>-1.1399999999999988</v>
      </c>
      <c r="F132" s="80">
        <f t="shared" si="5"/>
        <v>105</v>
      </c>
      <c r="G132" s="22" cm="1">
        <f t="array" ref="G132">Comp1[[#This Row],[Comparable '#1 Drawdown]]/MAX($B$2:B132)</f>
        <v>-6.959706959706953E-2</v>
      </c>
      <c r="H132" s="1" t="str">
        <f>IF(SUM(COUNTIF(Benchmark1[Benchmark '#1 Dates],Comp1[[#This Row],[Comparable '#1 Dates]]),COUNTIF(Benchmark2[Benchmark '#2 Dates],Comp1[[#This Row],[Comparable '#1 Dates]]))=2,"Pass","Fail")</f>
        <v>Pass</v>
      </c>
      <c r="I132" s="1">
        <f>IFERROR(Comp1[[#This Row],[Comparable '#1 Return]]-INDEX(Benchmark1[Benchmark '#1 Return],MATCH(Comp1[[#This Row],[Comparable '#1 Dates]],Benchmark1[Benchmark '#1 Dates],0)),"-")</f>
        <v>-2.5366027496976002E-3</v>
      </c>
      <c r="L132" s="72">
        <f>Comp1[[#This Row],[Comparable '#1 Price]]/$B$2*100</f>
        <v>104.31211498973308</v>
      </c>
    </row>
    <row r="133" spans="1:12">
      <c r="A133" s="103">
        <v>43476</v>
      </c>
      <c r="B133" s="104">
        <v>15.1</v>
      </c>
      <c r="C133" s="4">
        <f t="shared" si="4"/>
        <v>-9.2288064376215909E-3</v>
      </c>
      <c r="D133" s="1">
        <f>IFERROR(Comp1[[#This Row],[Comparable '#1 Return]]+1,"-")</f>
        <v>0.99077119356237842</v>
      </c>
      <c r="E133" s="6">
        <f>B133-MAX($B$2:B133)</f>
        <v>-1.2799999999999994</v>
      </c>
      <c r="F133" s="80">
        <f t="shared" si="5"/>
        <v>106</v>
      </c>
      <c r="G133" s="22" cm="1">
        <f t="array" ref="G133">Comp1[[#This Row],[Comparable '#1 Drawdown]]/MAX($B$2:B133)</f>
        <v>-7.8144078144078116E-2</v>
      </c>
      <c r="H133" s="1" t="str">
        <f>IF(SUM(COUNTIF(Benchmark1[Benchmark '#1 Dates],Comp1[[#This Row],[Comparable '#1 Dates]]),COUNTIF(Benchmark2[Benchmark '#2 Dates],Comp1[[#This Row],[Comparable '#1 Dates]]))=2,"Pass","Fail")</f>
        <v>Pass</v>
      </c>
      <c r="I133" s="1">
        <f>IFERROR(Comp1[[#This Row],[Comparable '#1 Return]]-INDEX(Benchmark1[Benchmark '#1 Return],MATCH(Comp1[[#This Row],[Comparable '#1 Dates]],Benchmark1[Benchmark '#1 Dates],0)),"-")</f>
        <v>-9.0812177984631159E-3</v>
      </c>
      <c r="L133" s="72">
        <f>Comp1[[#This Row],[Comparable '#1 Price]]/$B$2*100</f>
        <v>103.35386721423683</v>
      </c>
    </row>
    <row r="134" spans="1:12">
      <c r="A134" s="103">
        <v>43479</v>
      </c>
      <c r="B134" s="104">
        <v>15.05</v>
      </c>
      <c r="C134" s="4">
        <f t="shared" si="4"/>
        <v>-3.316752625993815E-3</v>
      </c>
      <c r="D134" s="1">
        <f>IFERROR(Comp1[[#This Row],[Comparable '#1 Return]]+1,"-")</f>
        <v>0.99668324737400615</v>
      </c>
      <c r="E134" s="6">
        <f>B134-MAX($B$2:B134)</f>
        <v>-1.3299999999999983</v>
      </c>
      <c r="F134" s="80">
        <f t="shared" si="5"/>
        <v>107</v>
      </c>
      <c r="G134" s="22" cm="1">
        <f t="array" ref="G134">Comp1[[#This Row],[Comparable '#1 Drawdown]]/MAX($B$2:B134)</f>
        <v>-8.1196581196581102E-2</v>
      </c>
      <c r="H134" s="1" t="str">
        <f>IF(SUM(COUNTIF(Benchmark1[Benchmark '#1 Dates],Comp1[[#This Row],[Comparable '#1 Dates]]),COUNTIF(Benchmark2[Benchmark '#2 Dates],Comp1[[#This Row],[Comparable '#1 Dates]]))=2,"Pass","Fail")</f>
        <v>Pass</v>
      </c>
      <c r="I134" s="1">
        <f>IFERROR(Comp1[[#This Row],[Comparable '#1 Return]]-INDEX(Benchmark1[Benchmark '#1 Return],MATCH(Comp1[[#This Row],[Comparable '#1 Dates]],Benchmark1[Benchmark '#1 Dates],0)),"-")</f>
        <v>1.9521449997042702E-3</v>
      </c>
      <c r="L134" s="72">
        <f>Comp1[[#This Row],[Comparable '#1 Price]]/$B$2*100</f>
        <v>103.01163586584532</v>
      </c>
    </row>
    <row r="135" spans="1:12">
      <c r="A135" s="103">
        <v>43480</v>
      </c>
      <c r="B135" s="104">
        <v>15.19</v>
      </c>
      <c r="C135" s="4">
        <f t="shared" si="4"/>
        <v>9.2593254127967262E-3</v>
      </c>
      <c r="D135" s="1">
        <f>IFERROR(Comp1[[#This Row],[Comparable '#1 Return]]+1,"-")</f>
        <v>1.0092593254127968</v>
      </c>
      <c r="E135" s="6">
        <f>B135-MAX($B$2:B135)</f>
        <v>-1.1899999999999995</v>
      </c>
      <c r="F135" s="80">
        <f t="shared" si="5"/>
        <v>108</v>
      </c>
      <c r="G135" s="22" cm="1">
        <f t="array" ref="G135">Comp1[[#This Row],[Comparable '#1 Drawdown]]/MAX($B$2:B135)</f>
        <v>-7.2649572649572627E-2</v>
      </c>
      <c r="H135" s="1" t="str">
        <f>IF(SUM(COUNTIF(Benchmark1[Benchmark '#1 Dates],Comp1[[#This Row],[Comparable '#1 Dates]]),COUNTIF(Benchmark2[Benchmark '#2 Dates],Comp1[[#This Row],[Comparable '#1 Dates]]))=2,"Pass","Fail")</f>
        <v>Pass</v>
      </c>
      <c r="I135" s="1">
        <f>IFERROR(Comp1[[#This Row],[Comparable '#1 Return]]-INDEX(Benchmark1[Benchmark '#1 Return],MATCH(Comp1[[#This Row],[Comparable '#1 Dates]],Benchmark1[Benchmark '#1 Dates],0)),"-")</f>
        <v>-1.4048042155971E-3</v>
      </c>
      <c r="L135" s="72">
        <f>Comp1[[#This Row],[Comparable '#1 Price]]/$B$2*100</f>
        <v>103.96988364134154</v>
      </c>
    </row>
    <row r="136" spans="1:12">
      <c r="A136" s="103">
        <v>43481</v>
      </c>
      <c r="B136" s="104">
        <v>15.25</v>
      </c>
      <c r="C136" s="4">
        <f t="shared" si="4"/>
        <v>3.9421864457391247E-3</v>
      </c>
      <c r="D136" s="1">
        <f>IFERROR(Comp1[[#This Row],[Comparable '#1 Return]]+1,"-")</f>
        <v>1.0039421864457392</v>
      </c>
      <c r="E136" s="6">
        <f>B136-MAX($B$2:B136)</f>
        <v>-1.129999999999999</v>
      </c>
      <c r="F136" s="80">
        <f t="shared" si="5"/>
        <v>109</v>
      </c>
      <c r="G136" s="22" cm="1">
        <f t="array" ref="G136">Comp1[[#This Row],[Comparable '#1 Drawdown]]/MAX($B$2:B136)</f>
        <v>-6.8986568986568936E-2</v>
      </c>
      <c r="H136" s="1" t="str">
        <f>IF(SUM(COUNTIF(Benchmark1[Benchmark '#1 Dates],Comp1[[#This Row],[Comparable '#1 Dates]]),COUNTIF(Benchmark2[Benchmark '#2 Dates],Comp1[[#This Row],[Comparable '#1 Dates]]))=2,"Pass","Fail")</f>
        <v>Pass</v>
      </c>
      <c r="I136" s="1">
        <f>IFERROR(Comp1[[#This Row],[Comparable '#1 Return]]-INDEX(Benchmark1[Benchmark '#1 Return],MATCH(Comp1[[#This Row],[Comparable '#1 Dates]],Benchmark1[Benchmark '#1 Dates],0)),"-")</f>
        <v>1.7247663659200785E-3</v>
      </c>
      <c r="L136" s="72">
        <f>Comp1[[#This Row],[Comparable '#1 Price]]/$B$2*100</f>
        <v>104.38056125941138</v>
      </c>
    </row>
    <row r="137" spans="1:12">
      <c r="A137" s="103">
        <v>43482</v>
      </c>
      <c r="B137" s="104">
        <v>15.26</v>
      </c>
      <c r="C137" s="4">
        <f t="shared" si="4"/>
        <v>6.5552280289039758E-4</v>
      </c>
      <c r="D137" s="1">
        <f>IFERROR(Comp1[[#This Row],[Comparable '#1 Return]]+1,"-")</f>
        <v>1.0006555228028904</v>
      </c>
      <c r="E137" s="6">
        <f>B137-MAX($B$2:B137)</f>
        <v>-1.1199999999999992</v>
      </c>
      <c r="F137" s="80">
        <f t="shared" si="5"/>
        <v>110</v>
      </c>
      <c r="G137" s="22" cm="1">
        <f t="array" ref="G137">Comp1[[#This Row],[Comparable '#1 Drawdown]]/MAX($B$2:B137)</f>
        <v>-6.8376068376068327E-2</v>
      </c>
      <c r="H137" s="1" t="str">
        <f>IF(SUM(COUNTIF(Benchmark1[Benchmark '#1 Dates],Comp1[[#This Row],[Comparable '#1 Dates]]),COUNTIF(Benchmark2[Benchmark '#2 Dates],Comp1[[#This Row],[Comparable '#1 Dates]]))=2,"Pass","Fail")</f>
        <v>Pass</v>
      </c>
      <c r="I137" s="1">
        <f>IFERROR(Comp1[[#This Row],[Comparable '#1 Return]]-INDEX(Benchmark1[Benchmark '#1 Return],MATCH(Comp1[[#This Row],[Comparable '#1 Dates]],Benchmark1[Benchmark '#1 Dates],0)),"-")</f>
        <v>-6.9070985134006861E-3</v>
      </c>
      <c r="L137" s="72">
        <f>Comp1[[#This Row],[Comparable '#1 Price]]/$B$2*100</f>
        <v>104.44900752908967</v>
      </c>
    </row>
    <row r="138" spans="1:12">
      <c r="A138" s="103">
        <v>43483</v>
      </c>
      <c r="B138" s="104">
        <v>15.28</v>
      </c>
      <c r="C138" s="4">
        <f t="shared" si="4"/>
        <v>1.3097578820635101E-3</v>
      </c>
      <c r="D138" s="1">
        <f>IFERROR(Comp1[[#This Row],[Comparable '#1 Return]]+1,"-")</f>
        <v>1.0013097578820636</v>
      </c>
      <c r="E138" s="6">
        <f>B138-MAX($B$2:B138)</f>
        <v>-1.0999999999999996</v>
      </c>
      <c r="F138" s="80">
        <f t="shared" si="5"/>
        <v>111</v>
      </c>
      <c r="G138" s="22" cm="1">
        <f t="array" ref="G138">Comp1[[#This Row],[Comparable '#1 Drawdown]]/MAX($B$2:B138)</f>
        <v>-6.7155067155067139E-2</v>
      </c>
      <c r="H138" s="1" t="str">
        <f>IF(SUM(COUNTIF(Benchmark1[Benchmark '#1 Dates],Comp1[[#This Row],[Comparable '#1 Dates]]),COUNTIF(Benchmark2[Benchmark '#2 Dates],Comp1[[#This Row],[Comparable '#1 Dates]]))=2,"Pass","Fail")</f>
        <v>Pass</v>
      </c>
      <c r="I138" s="1">
        <f>IFERROR(Comp1[[#This Row],[Comparable '#1 Return]]-INDEX(Benchmark1[Benchmark '#1 Return],MATCH(Comp1[[#This Row],[Comparable '#1 Dates]],Benchmark1[Benchmark '#1 Dates],0)),"-")</f>
        <v>-1.1789056049311422E-2</v>
      </c>
      <c r="L138" s="72">
        <f>Comp1[[#This Row],[Comparable '#1 Price]]/$B$2*100</f>
        <v>104.58590006844628</v>
      </c>
    </row>
    <row r="139" spans="1:12">
      <c r="A139" s="103">
        <v>43487</v>
      </c>
      <c r="B139" s="104">
        <v>15.56</v>
      </c>
      <c r="C139" s="4">
        <f t="shared" si="4"/>
        <v>1.8158735011871267E-2</v>
      </c>
      <c r="D139" s="1">
        <f>IFERROR(Comp1[[#This Row],[Comparable '#1 Return]]+1,"-")</f>
        <v>1.0181587350118713</v>
      </c>
      <c r="E139" s="6">
        <f>B139-MAX($B$2:B139)</f>
        <v>-0.81999999999999851</v>
      </c>
      <c r="F139" s="80">
        <f t="shared" si="5"/>
        <v>112</v>
      </c>
      <c r="G139" s="22" cm="1">
        <f t="array" ref="G139">Comp1[[#This Row],[Comparable '#1 Drawdown]]/MAX($B$2:B139)</f>
        <v>-5.0061050061049973E-2</v>
      </c>
      <c r="H139" s="1" t="str">
        <f>IF(SUM(COUNTIF(Benchmark1[Benchmark '#1 Dates],Comp1[[#This Row],[Comparable '#1 Dates]]),COUNTIF(Benchmark2[Benchmark '#2 Dates],Comp1[[#This Row],[Comparable '#1 Dates]]))=2,"Pass","Fail")</f>
        <v>Pass</v>
      </c>
      <c r="I139" s="1">
        <f>IFERROR(Comp1[[#This Row],[Comparable '#1 Return]]-INDEX(Benchmark1[Benchmark '#1 Return],MATCH(Comp1[[#This Row],[Comparable '#1 Dates]],Benchmark1[Benchmark '#1 Dates],0)),"-")</f>
        <v>3.24163394999901E-2</v>
      </c>
      <c r="L139" s="72">
        <f>Comp1[[#This Row],[Comparable '#1 Price]]/$B$2*100</f>
        <v>106.50239561943874</v>
      </c>
    </row>
    <row r="140" spans="1:12">
      <c r="A140" s="103">
        <v>43488</v>
      </c>
      <c r="B140" s="104">
        <v>15.62</v>
      </c>
      <c r="C140" s="4">
        <f t="shared" si="4"/>
        <v>3.8486256612942351E-3</v>
      </c>
      <c r="D140" s="1">
        <f>IFERROR(Comp1[[#This Row],[Comparable '#1 Return]]+1,"-")</f>
        <v>1.0038486256612942</v>
      </c>
      <c r="E140" s="6">
        <f>B140-MAX($B$2:B140)</f>
        <v>-0.75999999999999979</v>
      </c>
      <c r="F140" s="80">
        <f t="shared" si="5"/>
        <v>113</v>
      </c>
      <c r="G140" s="22" cm="1">
        <f t="array" ref="G140">Comp1[[#This Row],[Comparable '#1 Drawdown]]/MAX($B$2:B140)</f>
        <v>-4.6398046398046386E-2</v>
      </c>
      <c r="H140" s="1" t="str">
        <f>IF(SUM(COUNTIF(Benchmark1[Benchmark '#1 Dates],Comp1[[#This Row],[Comparable '#1 Dates]]),COUNTIF(Benchmark2[Benchmark '#2 Dates],Comp1[[#This Row],[Comparable '#1 Dates]]))=2,"Pass","Fail")</f>
        <v>Pass</v>
      </c>
      <c r="I140" s="1">
        <f>IFERROR(Comp1[[#This Row],[Comparable '#1 Return]]-INDEX(Benchmark1[Benchmark '#1 Return],MATCH(Comp1[[#This Row],[Comparable '#1 Dates]],Benchmark1[Benchmark '#1 Dates],0)),"-")</f>
        <v>1.6508407467887925E-3</v>
      </c>
      <c r="L140" s="72">
        <f>Comp1[[#This Row],[Comparable '#1 Price]]/$B$2*100</f>
        <v>106.91307323750856</v>
      </c>
    </row>
    <row r="141" spans="1:12">
      <c r="A141" s="103">
        <v>43489</v>
      </c>
      <c r="B141" s="104">
        <v>15.71</v>
      </c>
      <c r="C141" s="4">
        <f t="shared" si="4"/>
        <v>5.745307855989955E-3</v>
      </c>
      <c r="D141" s="1">
        <f>IFERROR(Comp1[[#This Row],[Comparable '#1 Return]]+1,"-")</f>
        <v>1.0057453078559899</v>
      </c>
      <c r="E141" s="6">
        <f>B141-MAX($B$2:B141)</f>
        <v>-0.66999999999999815</v>
      </c>
      <c r="F141" s="80">
        <f t="shared" si="5"/>
        <v>114</v>
      </c>
      <c r="G141" s="22" cm="1">
        <f t="array" ref="G141">Comp1[[#This Row],[Comparable '#1 Drawdown]]/MAX($B$2:B141)</f>
        <v>-4.0903540903540793E-2</v>
      </c>
      <c r="H141" s="1" t="str">
        <f>IF(SUM(COUNTIF(Benchmark1[Benchmark '#1 Dates],Comp1[[#This Row],[Comparable '#1 Dates]]),COUNTIF(Benchmark2[Benchmark '#2 Dates],Comp1[[#This Row],[Comparable '#1 Dates]]))=2,"Pass","Fail")</f>
        <v>Pass</v>
      </c>
      <c r="I141" s="1">
        <f>IFERROR(Comp1[[#This Row],[Comparable '#1 Return]]-INDEX(Benchmark1[Benchmark '#1 Return],MATCH(Comp1[[#This Row],[Comparable '#1 Dates]],Benchmark1[Benchmark '#1 Dates],0)),"-")</f>
        <v>4.3684091830075737E-3</v>
      </c>
      <c r="L141" s="72">
        <f>Comp1[[#This Row],[Comparable '#1 Price]]/$B$2*100</f>
        <v>107.52908966461329</v>
      </c>
    </row>
    <row r="142" spans="1:12">
      <c r="A142" s="103">
        <v>43490</v>
      </c>
      <c r="B142" s="104">
        <v>15.84</v>
      </c>
      <c r="C142" s="4">
        <f t="shared" si="4"/>
        <v>8.2409341187499579E-3</v>
      </c>
      <c r="D142" s="1">
        <f>IFERROR(Comp1[[#This Row],[Comparable '#1 Return]]+1,"-")</f>
        <v>1.0082409341187499</v>
      </c>
      <c r="E142" s="6">
        <f>B142-MAX($B$2:B142)</f>
        <v>-0.53999999999999915</v>
      </c>
      <c r="F142" s="80">
        <f t="shared" si="5"/>
        <v>115</v>
      </c>
      <c r="G142" s="22" cm="1">
        <f t="array" ref="G142">Comp1[[#This Row],[Comparable '#1 Drawdown]]/MAX($B$2:B142)</f>
        <v>-3.2967032967032919E-2</v>
      </c>
      <c r="H142" s="1" t="str">
        <f>IF(SUM(COUNTIF(Benchmark1[Benchmark '#1 Dates],Comp1[[#This Row],[Comparable '#1 Dates]]),COUNTIF(Benchmark2[Benchmark '#2 Dates],Comp1[[#This Row],[Comparable '#1 Dates]]))=2,"Pass","Fail")</f>
        <v>Pass</v>
      </c>
      <c r="I142" s="1">
        <f>IFERROR(Comp1[[#This Row],[Comparable '#1 Return]]-INDEX(Benchmark1[Benchmark '#1 Return],MATCH(Comp1[[#This Row],[Comparable '#1 Dates]],Benchmark1[Benchmark '#1 Dates],0)),"-")</f>
        <v>-2.1117940136159905E-4</v>
      </c>
      <c r="L142" s="72">
        <f>Comp1[[#This Row],[Comparable '#1 Price]]/$B$2*100</f>
        <v>108.41889117043122</v>
      </c>
    </row>
    <row r="143" spans="1:12">
      <c r="A143" s="103">
        <v>43493</v>
      </c>
      <c r="B143" s="104">
        <v>15.92</v>
      </c>
      <c r="C143" s="4">
        <f t="shared" si="4"/>
        <v>5.037794029957081E-3</v>
      </c>
      <c r="D143" s="1">
        <f>IFERROR(Comp1[[#This Row],[Comparable '#1 Return]]+1,"-")</f>
        <v>1.0050377940299571</v>
      </c>
      <c r="E143" s="6">
        <f>B143-MAX($B$2:B143)</f>
        <v>-0.45999999999999908</v>
      </c>
      <c r="F143" s="80">
        <f t="shared" si="5"/>
        <v>116</v>
      </c>
      <c r="G143" s="22" cm="1">
        <f t="array" ref="G143">Comp1[[#This Row],[Comparable '#1 Drawdown]]/MAX($B$2:B143)</f>
        <v>-2.8083028083028028E-2</v>
      </c>
      <c r="H143" s="1" t="str">
        <f>IF(SUM(COUNTIF(Benchmark1[Benchmark '#1 Dates],Comp1[[#This Row],[Comparable '#1 Dates]]),COUNTIF(Benchmark2[Benchmark '#2 Dates],Comp1[[#This Row],[Comparable '#1 Dates]]))=2,"Pass","Fail")</f>
        <v>Pass</v>
      </c>
      <c r="I143" s="1">
        <f>IFERROR(Comp1[[#This Row],[Comparable '#1 Return]]-INDEX(Benchmark1[Benchmark '#1 Return],MATCH(Comp1[[#This Row],[Comparable '#1 Dates]],Benchmark1[Benchmark '#1 Dates],0)),"-")</f>
        <v>1.2917426043494235E-2</v>
      </c>
      <c r="L143" s="72">
        <f>Comp1[[#This Row],[Comparable '#1 Price]]/$B$2*100</f>
        <v>108.96646132785763</v>
      </c>
    </row>
    <row r="144" spans="1:12">
      <c r="A144" s="103">
        <v>43494</v>
      </c>
      <c r="B144" s="104">
        <v>15.74</v>
      </c>
      <c r="C144" s="4">
        <f t="shared" si="4"/>
        <v>-1.1370937426979809E-2</v>
      </c>
      <c r="D144" s="1">
        <f>IFERROR(Comp1[[#This Row],[Comparable '#1 Return]]+1,"-")</f>
        <v>0.98862906257302019</v>
      </c>
      <c r="E144" s="6">
        <f>B144-MAX($B$2:B144)</f>
        <v>-0.63999999999999879</v>
      </c>
      <c r="F144" s="80">
        <f t="shared" si="5"/>
        <v>117</v>
      </c>
      <c r="G144" s="22" cm="1">
        <f t="array" ref="G144">Comp1[[#This Row],[Comparable '#1 Drawdown]]/MAX($B$2:B144)</f>
        <v>-3.9072039072039003E-2</v>
      </c>
      <c r="H144" s="1" t="str">
        <f>IF(SUM(COUNTIF(Benchmark1[Benchmark '#1 Dates],Comp1[[#This Row],[Comparable '#1 Dates]]),COUNTIF(Benchmark2[Benchmark '#2 Dates],Comp1[[#This Row],[Comparable '#1 Dates]]))=2,"Pass","Fail")</f>
        <v>Pass</v>
      </c>
      <c r="I144" s="1">
        <f>IFERROR(Comp1[[#This Row],[Comparable '#1 Return]]-INDEX(Benchmark1[Benchmark '#1 Return],MATCH(Comp1[[#This Row],[Comparable '#1 Dates]],Benchmark1[Benchmark '#1 Dates],0)),"-")</f>
        <v>-9.9170871382247613E-3</v>
      </c>
      <c r="L144" s="72">
        <f>Comp1[[#This Row],[Comparable '#1 Price]]/$B$2*100</f>
        <v>107.73442847364821</v>
      </c>
    </row>
    <row r="145" spans="1:12">
      <c r="A145" s="103">
        <v>43495</v>
      </c>
      <c r="B145" s="104">
        <v>15.7</v>
      </c>
      <c r="C145" s="4">
        <f t="shared" si="4"/>
        <v>-2.5445306349948728E-3</v>
      </c>
      <c r="D145" s="1">
        <f>IFERROR(Comp1[[#This Row],[Comparable '#1 Return]]+1,"-")</f>
        <v>0.99745546936500518</v>
      </c>
      <c r="E145" s="6">
        <f>B145-MAX($B$2:B145)</f>
        <v>-0.67999999999999972</v>
      </c>
      <c r="F145" s="80">
        <f t="shared" si="5"/>
        <v>118</v>
      </c>
      <c r="G145" s="22" cm="1">
        <f t="array" ref="G145">Comp1[[#This Row],[Comparable '#1 Drawdown]]/MAX($B$2:B145)</f>
        <v>-4.1514041514041498E-2</v>
      </c>
      <c r="H145" s="1" t="str">
        <f>IF(SUM(COUNTIF(Benchmark1[Benchmark '#1 Dates],Comp1[[#This Row],[Comparable '#1 Dates]]),COUNTIF(Benchmark2[Benchmark '#2 Dates],Comp1[[#This Row],[Comparable '#1 Dates]]))=2,"Pass","Fail")</f>
        <v>Pass</v>
      </c>
      <c r="I145" s="1">
        <f>IFERROR(Comp1[[#This Row],[Comparable '#1 Return]]-INDEX(Benchmark1[Benchmark '#1 Return],MATCH(Comp1[[#This Row],[Comparable '#1 Dates]],Benchmark1[Benchmark '#1 Dates],0)),"-")</f>
        <v>-1.7972738444900327E-2</v>
      </c>
      <c r="L145" s="72">
        <f>Comp1[[#This Row],[Comparable '#1 Price]]/$B$2*100</f>
        <v>107.46064339493498</v>
      </c>
    </row>
    <row r="146" spans="1:12">
      <c r="A146" s="103">
        <v>43496</v>
      </c>
      <c r="B146" s="104">
        <v>16</v>
      </c>
      <c r="C146" s="4">
        <f t="shared" si="4"/>
        <v>1.8928009885518859E-2</v>
      </c>
      <c r="D146" s="1">
        <f>IFERROR(Comp1[[#This Row],[Comparable '#1 Return]]+1,"-")</f>
        <v>1.0189280098855189</v>
      </c>
      <c r="E146" s="6">
        <f>B146-MAX($B$2:B146)</f>
        <v>-0.37999999999999901</v>
      </c>
      <c r="F146" s="80">
        <f t="shared" si="5"/>
        <v>119</v>
      </c>
      <c r="G146" s="22" cm="1">
        <f t="array" ref="G146">Comp1[[#This Row],[Comparable '#1 Drawdown]]/MAX($B$2:B146)</f>
        <v>-2.3199023199023141E-2</v>
      </c>
      <c r="H146" s="1" t="str">
        <f>IF(SUM(COUNTIF(Benchmark1[Benchmark '#1 Dates],Comp1[[#This Row],[Comparable '#1 Dates]]),COUNTIF(Benchmark2[Benchmark '#2 Dates],Comp1[[#This Row],[Comparable '#1 Dates]]))=2,"Pass","Fail")</f>
        <v>Pass</v>
      </c>
      <c r="I146" s="1">
        <f>IFERROR(Comp1[[#This Row],[Comparable '#1 Return]]-INDEX(Benchmark1[Benchmark '#1 Return],MATCH(Comp1[[#This Row],[Comparable '#1 Dates]],Benchmark1[Benchmark '#1 Dates],0)),"-")</f>
        <v>1.036756977265765E-2</v>
      </c>
      <c r="L146" s="72">
        <f>Comp1[[#This Row],[Comparable '#1 Price]]/$B$2*100</f>
        <v>109.51403148528405</v>
      </c>
    </row>
    <row r="147" spans="1:12">
      <c r="A147" s="103">
        <v>43497</v>
      </c>
      <c r="B147" s="104">
        <v>15.7</v>
      </c>
      <c r="C147" s="4">
        <f t="shared" si="4"/>
        <v>-1.8928009885518911E-2</v>
      </c>
      <c r="D147" s="1">
        <f>IFERROR(Comp1[[#This Row],[Comparable '#1 Return]]+1,"-")</f>
        <v>0.9810719901144811</v>
      </c>
      <c r="E147" s="6">
        <f>B147-MAX($B$2:B147)</f>
        <v>-0.67999999999999972</v>
      </c>
      <c r="F147" s="80">
        <f t="shared" si="5"/>
        <v>120</v>
      </c>
      <c r="G147" s="22" cm="1">
        <f t="array" ref="G147">Comp1[[#This Row],[Comparable '#1 Drawdown]]/MAX($B$2:B147)</f>
        <v>-4.1514041514041498E-2</v>
      </c>
      <c r="H147" s="1" t="str">
        <f>IF(SUM(COUNTIF(Benchmark1[Benchmark '#1 Dates],Comp1[[#This Row],[Comparable '#1 Dates]]),COUNTIF(Benchmark2[Benchmark '#2 Dates],Comp1[[#This Row],[Comparable '#1 Dates]]))=2,"Pass","Fail")</f>
        <v>Pass</v>
      </c>
      <c r="I147" s="1">
        <f>IFERROR(Comp1[[#This Row],[Comparable '#1 Return]]-INDEX(Benchmark1[Benchmark '#1 Return],MATCH(Comp1[[#This Row],[Comparable '#1 Dates]],Benchmark1[Benchmark '#1 Dates],0)),"-")</f>
        <v>-1.9827305754695306E-2</v>
      </c>
      <c r="L147" s="72">
        <f>Comp1[[#This Row],[Comparable '#1 Price]]/$B$2*100</f>
        <v>107.46064339493498</v>
      </c>
    </row>
    <row r="148" spans="1:12">
      <c r="A148" s="103">
        <v>43500</v>
      </c>
      <c r="B148" s="104">
        <v>15.86</v>
      </c>
      <c r="C148" s="4">
        <f t="shared" si="4"/>
        <v>1.0139503852439551E-2</v>
      </c>
      <c r="D148" s="1">
        <f>IFERROR(Comp1[[#This Row],[Comparable '#1 Return]]+1,"-")</f>
        <v>1.0101395038524394</v>
      </c>
      <c r="E148" s="6">
        <f>B148-MAX($B$2:B148)</f>
        <v>-0.51999999999999957</v>
      </c>
      <c r="F148" s="80">
        <f t="shared" si="5"/>
        <v>121</v>
      </c>
      <c r="G148" s="22" cm="1">
        <f t="array" ref="G148">Comp1[[#This Row],[Comparable '#1 Drawdown]]/MAX($B$2:B148)</f>
        <v>-3.1746031746031723E-2</v>
      </c>
      <c r="H148" s="1" t="str">
        <f>IF(SUM(COUNTIF(Benchmark1[Benchmark '#1 Dates],Comp1[[#This Row],[Comparable '#1 Dates]]),COUNTIF(Benchmark2[Benchmark '#2 Dates],Comp1[[#This Row],[Comparable '#1 Dates]]))=2,"Pass","Fail")</f>
        <v>Pass</v>
      </c>
      <c r="I148" s="1">
        <f>IFERROR(Comp1[[#This Row],[Comparable '#1 Return]]-INDEX(Benchmark1[Benchmark '#1 Return],MATCH(Comp1[[#This Row],[Comparable '#1 Dates]],Benchmark1[Benchmark '#1 Dates],0)),"-")</f>
        <v>3.3885682376342619E-3</v>
      </c>
      <c r="L148" s="72">
        <f>Comp1[[#This Row],[Comparable '#1 Price]]/$B$2*100</f>
        <v>108.55578370978782</v>
      </c>
    </row>
    <row r="149" spans="1:12">
      <c r="A149" s="103">
        <v>43501</v>
      </c>
      <c r="B149" s="104">
        <v>15.86</v>
      </c>
      <c r="C149" s="4">
        <f t="shared" si="4"/>
        <v>0</v>
      </c>
      <c r="D149" s="1">
        <f>IFERROR(Comp1[[#This Row],[Comparable '#1 Return]]+1,"-")</f>
        <v>1</v>
      </c>
      <c r="E149" s="6">
        <f>B149-MAX($B$2:B149)</f>
        <v>-0.51999999999999957</v>
      </c>
      <c r="F149" s="80">
        <f t="shared" si="5"/>
        <v>122</v>
      </c>
      <c r="G149" s="22" cm="1">
        <f t="array" ref="G149">Comp1[[#This Row],[Comparable '#1 Drawdown]]/MAX($B$2:B149)</f>
        <v>-3.1746031746031723E-2</v>
      </c>
      <c r="H149" s="1" t="str">
        <f>IF(SUM(COUNTIF(Benchmark1[Benchmark '#1 Dates],Comp1[[#This Row],[Comparable '#1 Dates]]),COUNTIF(Benchmark2[Benchmark '#2 Dates],Comp1[[#This Row],[Comparable '#1 Dates]]))=2,"Pass","Fail")</f>
        <v>Pass</v>
      </c>
      <c r="I149" s="1">
        <f>IFERROR(Comp1[[#This Row],[Comparable '#1 Return]]-INDEX(Benchmark1[Benchmark '#1 Return],MATCH(Comp1[[#This Row],[Comparable '#1 Dates]],Benchmark1[Benchmark '#1 Dates],0)),"-")</f>
        <v>-4.6993445520897492E-3</v>
      </c>
      <c r="L149" s="72">
        <f>Comp1[[#This Row],[Comparable '#1 Price]]/$B$2*100</f>
        <v>108.55578370978782</v>
      </c>
    </row>
    <row r="150" spans="1:12">
      <c r="A150" s="103">
        <v>43502</v>
      </c>
      <c r="B150" s="104">
        <v>15.1</v>
      </c>
      <c r="C150" s="4">
        <f t="shared" si="4"/>
        <v>-4.9105472385823301E-2</v>
      </c>
      <c r="D150" s="1">
        <f>IFERROR(Comp1[[#This Row],[Comparable '#1 Return]]+1,"-")</f>
        <v>0.9508945276141767</v>
      </c>
      <c r="E150" s="6">
        <f>B150-MAX($B$2:B150)</f>
        <v>-1.2799999999999994</v>
      </c>
      <c r="F150" s="80">
        <f t="shared" si="5"/>
        <v>123</v>
      </c>
      <c r="G150" s="22" cm="1">
        <f t="array" ref="G150">Comp1[[#This Row],[Comparable '#1 Drawdown]]/MAX($B$2:B150)</f>
        <v>-7.8144078144078116E-2</v>
      </c>
      <c r="H150" s="1" t="str">
        <f>IF(SUM(COUNTIF(Benchmark1[Benchmark '#1 Dates],Comp1[[#This Row],[Comparable '#1 Dates]]),COUNTIF(Benchmark2[Benchmark '#2 Dates],Comp1[[#This Row],[Comparable '#1 Dates]]))=2,"Pass","Fail")</f>
        <v>Pass</v>
      </c>
      <c r="I150" s="1">
        <f>IFERROR(Comp1[[#This Row],[Comparable '#1 Return]]-INDEX(Benchmark1[Benchmark '#1 Return],MATCH(Comp1[[#This Row],[Comparable '#1 Dates]],Benchmark1[Benchmark '#1 Dates],0)),"-")</f>
        <v>-4.6879545231065897E-2</v>
      </c>
      <c r="L150" s="72">
        <f>Comp1[[#This Row],[Comparable '#1 Price]]/$B$2*100</f>
        <v>103.35386721423683</v>
      </c>
    </row>
    <row r="151" spans="1:12">
      <c r="A151" s="103">
        <v>43503</v>
      </c>
      <c r="B151" s="104">
        <v>14.86</v>
      </c>
      <c r="C151" s="4">
        <f t="shared" si="4"/>
        <v>-1.6021704531265599E-2</v>
      </c>
      <c r="D151" s="1">
        <f>IFERROR(Comp1[[#This Row],[Comparable '#1 Return]]+1,"-")</f>
        <v>0.98397829546873439</v>
      </c>
      <c r="E151" s="6">
        <f>B151-MAX($B$2:B151)</f>
        <v>-1.5199999999999996</v>
      </c>
      <c r="F151" s="80">
        <f t="shared" si="5"/>
        <v>124</v>
      </c>
      <c r="G151" s="22" cm="1">
        <f t="array" ref="G151">Comp1[[#This Row],[Comparable '#1 Drawdown]]/MAX($B$2:B151)</f>
        <v>-9.2796092796092772E-2</v>
      </c>
      <c r="H151" s="1" t="str">
        <f>IF(SUM(COUNTIF(Benchmark1[Benchmark '#1 Dates],Comp1[[#This Row],[Comparable '#1 Dates]]),COUNTIF(Benchmark2[Benchmark '#2 Dates],Comp1[[#This Row],[Comparable '#1 Dates]]))=2,"Pass","Fail")</f>
        <v>Pass</v>
      </c>
      <c r="I151" s="1">
        <f>IFERROR(Comp1[[#This Row],[Comparable '#1 Return]]-INDEX(Benchmark1[Benchmark '#1 Return],MATCH(Comp1[[#This Row],[Comparable '#1 Dates]],Benchmark1[Benchmark '#1 Dates],0)),"-")</f>
        <v>-6.620347552986048E-3</v>
      </c>
      <c r="L151" s="72">
        <f>Comp1[[#This Row],[Comparable '#1 Price]]/$B$2*100</f>
        <v>101.71115674195757</v>
      </c>
    </row>
    <row r="152" spans="1:12">
      <c r="A152" s="103">
        <v>43504</v>
      </c>
      <c r="B152" s="104">
        <v>14.96</v>
      </c>
      <c r="C152" s="4">
        <f t="shared" si="4"/>
        <v>6.7069332567180799E-3</v>
      </c>
      <c r="D152" s="1">
        <f>IFERROR(Comp1[[#This Row],[Comparable '#1 Return]]+1,"-")</f>
        <v>1.006706933256718</v>
      </c>
      <c r="E152" s="6">
        <f>B152-MAX($B$2:B152)</f>
        <v>-1.4199999999999982</v>
      </c>
      <c r="F152" s="80">
        <f t="shared" si="5"/>
        <v>125</v>
      </c>
      <c r="G152" s="22" cm="1">
        <f t="array" ref="G152">Comp1[[#This Row],[Comparable '#1 Drawdown]]/MAX($B$2:B152)</f>
        <v>-8.6691086691086577E-2</v>
      </c>
      <c r="H152" s="1" t="str">
        <f>IF(SUM(COUNTIF(Benchmark1[Benchmark '#1 Dates],Comp1[[#This Row],[Comparable '#1 Dates]]),COUNTIF(Benchmark2[Benchmark '#2 Dates],Comp1[[#This Row],[Comparable '#1 Dates]]))=2,"Pass","Fail")</f>
        <v>Pass</v>
      </c>
      <c r="I152" s="1">
        <f>IFERROR(Comp1[[#This Row],[Comparable '#1 Return]]-INDEX(Benchmark1[Benchmark '#1 Return],MATCH(Comp1[[#This Row],[Comparable '#1 Dates]],Benchmark1[Benchmark '#1 Dates],0)),"-")</f>
        <v>6.0323962224539118E-3</v>
      </c>
      <c r="L152" s="72">
        <f>Comp1[[#This Row],[Comparable '#1 Price]]/$B$2*100</f>
        <v>102.39561943874061</v>
      </c>
    </row>
    <row r="153" spans="1:12">
      <c r="A153" s="103">
        <v>43507</v>
      </c>
      <c r="B153" s="104">
        <v>15.08</v>
      </c>
      <c r="C153" s="4">
        <f t="shared" si="4"/>
        <v>7.989390033478861E-3</v>
      </c>
      <c r="D153" s="1">
        <f>IFERROR(Comp1[[#This Row],[Comparable '#1 Return]]+1,"-")</f>
        <v>1.0079893900334789</v>
      </c>
      <c r="E153" s="6">
        <f>B153-MAX($B$2:B153)</f>
        <v>-1.2999999999999989</v>
      </c>
      <c r="F153" s="80">
        <f t="shared" si="5"/>
        <v>126</v>
      </c>
      <c r="G153" s="22" cm="1">
        <f t="array" ref="G153">Comp1[[#This Row],[Comparable '#1 Drawdown]]/MAX($B$2:B153)</f>
        <v>-7.9365079365079305E-2</v>
      </c>
      <c r="H153" s="1" t="str">
        <f>IF(SUM(COUNTIF(Benchmark1[Benchmark '#1 Dates],Comp1[[#This Row],[Comparable '#1 Dates]]),COUNTIF(Benchmark2[Benchmark '#2 Dates],Comp1[[#This Row],[Comparable '#1 Dates]]))=2,"Pass","Fail")</f>
        <v>Pass</v>
      </c>
      <c r="I153" s="1">
        <f>IFERROR(Comp1[[#This Row],[Comparable '#1 Return]]-INDEX(Benchmark1[Benchmark '#1 Return],MATCH(Comp1[[#This Row],[Comparable '#1 Dates]],Benchmark1[Benchmark '#1 Dates],0)),"-")</f>
        <v>7.2793119293746659E-3</v>
      </c>
      <c r="L153" s="72">
        <f>Comp1[[#This Row],[Comparable '#1 Price]]/$B$2*100</f>
        <v>103.21697467488022</v>
      </c>
    </row>
    <row r="154" spans="1:12">
      <c r="A154" s="103">
        <v>43508</v>
      </c>
      <c r="B154" s="104">
        <v>15.05</v>
      </c>
      <c r="C154" s="4">
        <f t="shared" si="4"/>
        <v>-1.991371384925287E-3</v>
      </c>
      <c r="D154" s="1">
        <f>IFERROR(Comp1[[#This Row],[Comparable '#1 Return]]+1,"-")</f>
        <v>0.99800862861507467</v>
      </c>
      <c r="E154" s="6">
        <f>B154-MAX($B$2:B154)</f>
        <v>-1.3299999999999983</v>
      </c>
      <c r="F154" s="80">
        <f t="shared" si="5"/>
        <v>127</v>
      </c>
      <c r="G154" s="22" cm="1">
        <f t="array" ref="G154">Comp1[[#This Row],[Comparable '#1 Drawdown]]/MAX($B$2:B154)</f>
        <v>-8.1196581196581102E-2</v>
      </c>
      <c r="H154" s="1" t="str">
        <f>IF(SUM(COUNTIF(Benchmark1[Benchmark '#1 Dates],Comp1[[#This Row],[Comparable '#1 Dates]]),COUNTIF(Benchmark2[Benchmark '#2 Dates],Comp1[[#This Row],[Comparable '#1 Dates]]))=2,"Pass","Fail")</f>
        <v>Pass</v>
      </c>
      <c r="I154" s="1">
        <f>IFERROR(Comp1[[#This Row],[Comparable '#1 Return]]-INDEX(Benchmark1[Benchmark '#1 Return],MATCH(Comp1[[#This Row],[Comparable '#1 Dates]],Benchmark1[Benchmark '#1 Dates],0)),"-")</f>
        <v>-1.4799102886777819E-2</v>
      </c>
      <c r="L154" s="72">
        <f>Comp1[[#This Row],[Comparable '#1 Price]]/$B$2*100</f>
        <v>103.01163586584532</v>
      </c>
    </row>
    <row r="155" spans="1:12">
      <c r="A155" s="103">
        <v>43509</v>
      </c>
      <c r="B155" s="104">
        <v>15.11</v>
      </c>
      <c r="C155" s="4">
        <f t="shared" si="4"/>
        <v>3.9787850897633594E-3</v>
      </c>
      <c r="D155" s="1">
        <f>IFERROR(Comp1[[#This Row],[Comparable '#1 Return]]+1,"-")</f>
        <v>1.0039787850897635</v>
      </c>
      <c r="E155" s="6">
        <f>B155-MAX($B$2:B155)</f>
        <v>-1.2699999999999996</v>
      </c>
      <c r="F155" s="80">
        <f t="shared" si="5"/>
        <v>128</v>
      </c>
      <c r="G155" s="22" cm="1">
        <f t="array" ref="G155">Comp1[[#This Row],[Comparable '#1 Drawdown]]/MAX($B$2:B155)</f>
        <v>-7.7533577533577508E-2</v>
      </c>
      <c r="H155" s="1" t="str">
        <f>IF(SUM(COUNTIF(Benchmark1[Benchmark '#1 Dates],Comp1[[#This Row],[Comparable '#1 Dates]]),COUNTIF(Benchmark2[Benchmark '#2 Dates],Comp1[[#This Row],[Comparable '#1 Dates]]))=2,"Pass","Fail")</f>
        <v>Pass</v>
      </c>
      <c r="I155" s="1">
        <f>IFERROR(Comp1[[#This Row],[Comparable '#1 Return]]-INDEX(Benchmark1[Benchmark '#1 Return],MATCH(Comp1[[#This Row],[Comparable '#1 Dates]],Benchmark1[Benchmark '#1 Dates],0)),"-")</f>
        <v>9.593653841517653E-4</v>
      </c>
      <c r="L155" s="72">
        <f>Comp1[[#This Row],[Comparable '#1 Price]]/$B$2*100</f>
        <v>103.42231348391513</v>
      </c>
    </row>
    <row r="156" spans="1:12">
      <c r="A156" s="103">
        <v>43510</v>
      </c>
      <c r="B156" s="104">
        <v>14.95</v>
      </c>
      <c r="C156" s="4">
        <f t="shared" si="4"/>
        <v>-1.0645476447952783E-2</v>
      </c>
      <c r="D156" s="1">
        <f>IFERROR(Comp1[[#This Row],[Comparable '#1 Return]]+1,"-")</f>
        <v>0.98935452355204723</v>
      </c>
      <c r="E156" s="6">
        <f>B156-MAX($B$2:B156)</f>
        <v>-1.4299999999999997</v>
      </c>
      <c r="F156" s="80">
        <f t="shared" si="5"/>
        <v>129</v>
      </c>
      <c r="G156" s="22" cm="1">
        <f t="array" ref="G156">Comp1[[#This Row],[Comparable '#1 Drawdown]]/MAX($B$2:B156)</f>
        <v>-8.7301587301587283E-2</v>
      </c>
      <c r="H156" s="1" t="str">
        <f>IF(SUM(COUNTIF(Benchmark1[Benchmark '#1 Dates],Comp1[[#This Row],[Comparable '#1 Dates]]),COUNTIF(Benchmark2[Benchmark '#2 Dates],Comp1[[#This Row],[Comparable '#1 Dates]]))=2,"Pass","Fail")</f>
        <v>Pass</v>
      </c>
      <c r="I156" s="1">
        <f>IFERROR(Comp1[[#This Row],[Comparable '#1 Return]]-INDEX(Benchmark1[Benchmark '#1 Return],MATCH(Comp1[[#This Row],[Comparable '#1 Dates]],Benchmark1[Benchmark '#1 Dates],0)),"-")</f>
        <v>-7.9889633792003013E-3</v>
      </c>
      <c r="L156" s="72">
        <f>Comp1[[#This Row],[Comparable '#1 Price]]/$B$2*100</f>
        <v>102.32717316906228</v>
      </c>
    </row>
    <row r="157" spans="1:12">
      <c r="A157" s="103">
        <v>43511</v>
      </c>
      <c r="B157" s="104">
        <v>14.97</v>
      </c>
      <c r="C157" s="4">
        <f t="shared" si="4"/>
        <v>1.3368985948415987E-3</v>
      </c>
      <c r="D157" s="1">
        <f>IFERROR(Comp1[[#This Row],[Comparable '#1 Return]]+1,"-")</f>
        <v>1.0013368985948417</v>
      </c>
      <c r="E157" s="6">
        <f>B157-MAX($B$2:B157)</f>
        <v>-1.4099999999999984</v>
      </c>
      <c r="F157" s="80">
        <f t="shared" si="5"/>
        <v>130</v>
      </c>
      <c r="G157" s="22" cm="1">
        <f t="array" ref="G157">Comp1[[#This Row],[Comparable '#1 Drawdown]]/MAX($B$2:B157)</f>
        <v>-8.6080586080585983E-2</v>
      </c>
      <c r="H157" s="1" t="str">
        <f>IF(SUM(COUNTIF(Benchmark1[Benchmark '#1 Dates],Comp1[[#This Row],[Comparable '#1 Dates]]),COUNTIF(Benchmark2[Benchmark '#2 Dates],Comp1[[#This Row],[Comparable '#1 Dates]]))=2,"Pass","Fail")</f>
        <v>Pass</v>
      </c>
      <c r="I157" s="1">
        <f>IFERROR(Comp1[[#This Row],[Comparable '#1 Return]]-INDEX(Benchmark1[Benchmark '#1 Return],MATCH(Comp1[[#This Row],[Comparable '#1 Dates]],Benchmark1[Benchmark '#1 Dates],0)),"-")</f>
        <v>-9.4820975125362549E-3</v>
      </c>
      <c r="L157" s="72">
        <f>Comp1[[#This Row],[Comparable '#1 Price]]/$B$2*100</f>
        <v>102.4640657084189</v>
      </c>
    </row>
    <row r="158" spans="1:12">
      <c r="A158" s="103">
        <v>43515</v>
      </c>
      <c r="B158" s="104">
        <v>14.8</v>
      </c>
      <c r="C158" s="4">
        <f t="shared" si="4"/>
        <v>-1.1421017661467584E-2</v>
      </c>
      <c r="D158" s="1">
        <f>IFERROR(Comp1[[#This Row],[Comparable '#1 Return]]+1,"-")</f>
        <v>0.98857898233853236</v>
      </c>
      <c r="E158" s="6">
        <f>B158-MAX($B$2:B158)</f>
        <v>-1.5799999999999983</v>
      </c>
      <c r="F158" s="80">
        <f t="shared" si="5"/>
        <v>131</v>
      </c>
      <c r="G158" s="22" cm="1">
        <f t="array" ref="G158">Comp1[[#This Row],[Comparable '#1 Drawdown]]/MAX($B$2:B158)</f>
        <v>-9.6459096459096366E-2</v>
      </c>
      <c r="H158" s="1" t="str">
        <f>IF(SUM(COUNTIF(Benchmark1[Benchmark '#1 Dates],Comp1[[#This Row],[Comparable '#1 Dates]]),COUNTIF(Benchmark2[Benchmark '#2 Dates],Comp1[[#This Row],[Comparable '#1 Dates]]))=2,"Pass","Fail")</f>
        <v>Pass</v>
      </c>
      <c r="I158" s="1">
        <f>IFERROR(Comp1[[#This Row],[Comparable '#1 Return]]-INDEX(Benchmark1[Benchmark '#1 Return],MATCH(Comp1[[#This Row],[Comparable '#1 Dates]],Benchmark1[Benchmark '#1 Dates],0)),"-")</f>
        <v>-1.291903135114119E-2</v>
      </c>
      <c r="L158" s="72">
        <f>Comp1[[#This Row],[Comparable '#1 Price]]/$B$2*100</f>
        <v>101.30047912388775</v>
      </c>
    </row>
    <row r="159" spans="1:12">
      <c r="A159" s="103">
        <v>43516</v>
      </c>
      <c r="B159" s="104">
        <v>14.78</v>
      </c>
      <c r="C159" s="4">
        <f t="shared" si="4"/>
        <v>-1.3522652500137608E-3</v>
      </c>
      <c r="D159" s="1">
        <f>IFERROR(Comp1[[#This Row],[Comparable '#1 Return]]+1,"-")</f>
        <v>0.99864773474998625</v>
      </c>
      <c r="E159" s="6">
        <f>B159-MAX($B$2:B159)</f>
        <v>-1.5999999999999996</v>
      </c>
      <c r="F159" s="80">
        <f t="shared" si="5"/>
        <v>132</v>
      </c>
      <c r="G159" s="22" cm="1">
        <f t="array" ref="G159">Comp1[[#This Row],[Comparable '#1 Drawdown]]/MAX($B$2:B159)</f>
        <v>-9.7680097680097666E-2</v>
      </c>
      <c r="H159" s="1" t="str">
        <f>IF(SUM(COUNTIF(Benchmark1[Benchmark '#1 Dates],Comp1[[#This Row],[Comparable '#1 Dates]]),COUNTIF(Benchmark2[Benchmark '#2 Dates],Comp1[[#This Row],[Comparable '#1 Dates]]))=2,"Pass","Fail")</f>
        <v>Pass</v>
      </c>
      <c r="I159" s="1">
        <f>IFERROR(Comp1[[#This Row],[Comparable '#1 Return]]-INDEX(Benchmark1[Benchmark '#1 Return],MATCH(Comp1[[#This Row],[Comparable '#1 Dates]],Benchmark1[Benchmark '#1 Dates],0)),"-")</f>
        <v>-3.1271306873974819E-3</v>
      </c>
      <c r="L159" s="72">
        <f>Comp1[[#This Row],[Comparable '#1 Price]]/$B$2*100</f>
        <v>101.16358658453115</v>
      </c>
    </row>
    <row r="160" spans="1:12">
      <c r="A160" s="103">
        <v>43517</v>
      </c>
      <c r="B160" s="104">
        <v>15.09</v>
      </c>
      <c r="C160" s="4">
        <f t="shared" si="4"/>
        <v>2.0757357259701886E-2</v>
      </c>
      <c r="D160" s="1">
        <f>IFERROR(Comp1[[#This Row],[Comparable '#1 Return]]+1,"-")</f>
        <v>1.020757357259702</v>
      </c>
      <c r="E160" s="6">
        <f>B160-MAX($B$2:B160)</f>
        <v>-1.2899999999999991</v>
      </c>
      <c r="F160" s="80">
        <f t="shared" si="5"/>
        <v>133</v>
      </c>
      <c r="G160" s="22" cm="1">
        <f t="array" ref="G160">Comp1[[#This Row],[Comparable '#1 Drawdown]]/MAX($B$2:B160)</f>
        <v>-7.8754578754578711E-2</v>
      </c>
      <c r="H160" s="1" t="str">
        <f>IF(SUM(COUNTIF(Benchmark1[Benchmark '#1 Dates],Comp1[[#This Row],[Comparable '#1 Dates]]),COUNTIF(Benchmark2[Benchmark '#2 Dates],Comp1[[#This Row],[Comparable '#1 Dates]]))=2,"Pass","Fail")</f>
        <v>Pass</v>
      </c>
      <c r="I160" s="1">
        <f>IFERROR(Comp1[[#This Row],[Comparable '#1 Return]]-INDEX(Benchmark1[Benchmark '#1 Return],MATCH(Comp1[[#This Row],[Comparable '#1 Dates]],Benchmark1[Benchmark '#1 Dates],0)),"-")</f>
        <v>2.4290025256445046E-2</v>
      </c>
      <c r="L160" s="72">
        <f>Comp1[[#This Row],[Comparable '#1 Price]]/$B$2*100</f>
        <v>103.28542094455852</v>
      </c>
    </row>
    <row r="161" spans="1:12">
      <c r="A161" s="103">
        <v>43518</v>
      </c>
      <c r="B161" s="104">
        <v>14.87</v>
      </c>
      <c r="C161" s="4">
        <f t="shared" si="4"/>
        <v>-1.46865123076939E-2</v>
      </c>
      <c r="D161" s="1">
        <f>IFERROR(Comp1[[#This Row],[Comparable '#1 Return]]+1,"-")</f>
        <v>0.98531348769230609</v>
      </c>
      <c r="E161" s="6">
        <f>B161-MAX($B$2:B161)</f>
        <v>-1.5099999999999998</v>
      </c>
      <c r="F161" s="80">
        <f t="shared" si="5"/>
        <v>134</v>
      </c>
      <c r="G161" s="22" cm="1">
        <f t="array" ref="G161">Comp1[[#This Row],[Comparable '#1 Drawdown]]/MAX($B$2:B161)</f>
        <v>-9.2185592185592177E-2</v>
      </c>
      <c r="H161" s="1" t="str">
        <f>IF(SUM(COUNTIF(Benchmark1[Benchmark '#1 Dates],Comp1[[#This Row],[Comparable '#1 Dates]]),COUNTIF(Benchmark2[Benchmark '#2 Dates],Comp1[[#This Row],[Comparable '#1 Dates]]))=2,"Pass","Fail")</f>
        <v>Pass</v>
      </c>
      <c r="I161" s="1">
        <f>IFERROR(Comp1[[#This Row],[Comparable '#1 Return]]-INDEX(Benchmark1[Benchmark '#1 Return],MATCH(Comp1[[#This Row],[Comparable '#1 Dates]],Benchmark1[Benchmark '#1 Dates],0)),"-")</f>
        <v>-2.1078899262621815E-2</v>
      </c>
      <c r="L161" s="72">
        <f>Comp1[[#This Row],[Comparable '#1 Price]]/$B$2*100</f>
        <v>101.77960301163587</v>
      </c>
    </row>
    <row r="162" spans="1:12">
      <c r="A162" s="103">
        <v>43521</v>
      </c>
      <c r="B162" s="104">
        <v>15.03</v>
      </c>
      <c r="C162" s="4">
        <f t="shared" si="4"/>
        <v>1.070244329281933E-2</v>
      </c>
      <c r="D162" s="1">
        <f>IFERROR(Comp1[[#This Row],[Comparable '#1 Return]]+1,"-")</f>
        <v>1.0107024432928193</v>
      </c>
      <c r="E162" s="6">
        <f>B162-MAX($B$2:B162)</f>
        <v>-1.3499999999999996</v>
      </c>
      <c r="F162" s="80">
        <f t="shared" si="5"/>
        <v>135</v>
      </c>
      <c r="G162" s="22" cm="1">
        <f t="array" ref="G162">Comp1[[#This Row],[Comparable '#1 Drawdown]]/MAX($B$2:B162)</f>
        <v>-8.2417582417582402E-2</v>
      </c>
      <c r="H162" s="1" t="str">
        <f>IF(SUM(COUNTIF(Benchmark1[Benchmark '#1 Dates],Comp1[[#This Row],[Comparable '#1 Dates]]),COUNTIF(Benchmark2[Benchmark '#2 Dates],Comp1[[#This Row],[Comparable '#1 Dates]]))=2,"Pass","Fail")</f>
        <v>Pass</v>
      </c>
      <c r="I162" s="1">
        <f>IFERROR(Comp1[[#This Row],[Comparable '#1 Return]]-INDEX(Benchmark1[Benchmark '#1 Return],MATCH(Comp1[[#This Row],[Comparable '#1 Dates]],Benchmark1[Benchmark '#1 Dates],0)),"-")</f>
        <v>9.4730053788596759E-3</v>
      </c>
      <c r="L162" s="72">
        <f>Comp1[[#This Row],[Comparable '#1 Price]]/$B$2*100</f>
        <v>102.87474332648871</v>
      </c>
    </row>
    <row r="163" spans="1:12">
      <c r="A163" s="103">
        <v>43522</v>
      </c>
      <c r="B163" s="104">
        <v>14.64</v>
      </c>
      <c r="C163" s="4">
        <f t="shared" si="4"/>
        <v>-2.6290695231717526E-2</v>
      </c>
      <c r="D163" s="1">
        <f>IFERROR(Comp1[[#This Row],[Comparable '#1 Return]]+1,"-")</f>
        <v>0.97370930476828244</v>
      </c>
      <c r="E163" s="6">
        <f>B163-MAX($B$2:B163)</f>
        <v>-1.7399999999999984</v>
      </c>
      <c r="F163" s="80">
        <f t="shared" si="5"/>
        <v>136</v>
      </c>
      <c r="G163" s="22" cm="1">
        <f t="array" ref="G163">Comp1[[#This Row],[Comparable '#1 Drawdown]]/MAX($B$2:B163)</f>
        <v>-0.10622710622710614</v>
      </c>
      <c r="H163" s="1" t="str">
        <f>IF(SUM(COUNTIF(Benchmark1[Benchmark '#1 Dates],Comp1[[#This Row],[Comparable '#1 Dates]]),COUNTIF(Benchmark2[Benchmark '#2 Dates],Comp1[[#This Row],[Comparable '#1 Dates]]))=2,"Pass","Fail")</f>
        <v>Pass</v>
      </c>
      <c r="I163" s="1">
        <f>IFERROR(Comp1[[#This Row],[Comparable '#1 Return]]-INDEX(Benchmark1[Benchmark '#1 Return],MATCH(Comp1[[#This Row],[Comparable '#1 Dates]],Benchmark1[Benchmark '#1 Dates],0)),"-")</f>
        <v>-2.5500724631727135E-2</v>
      </c>
      <c r="L163" s="72">
        <f>Comp1[[#This Row],[Comparable '#1 Price]]/$B$2*100</f>
        <v>100.2053388090349</v>
      </c>
    </row>
    <row r="164" spans="1:12">
      <c r="A164" s="103">
        <v>43523</v>
      </c>
      <c r="B164" s="104">
        <v>14.71</v>
      </c>
      <c r="C164" s="4">
        <f t="shared" si="4"/>
        <v>4.770026080180738E-3</v>
      </c>
      <c r="D164" s="1">
        <f>IFERROR(Comp1[[#This Row],[Comparable '#1 Return]]+1,"-")</f>
        <v>1.0047700260801808</v>
      </c>
      <c r="E164" s="6">
        <f>B164-MAX($B$2:B164)</f>
        <v>-1.6699999999999982</v>
      </c>
      <c r="F164" s="80">
        <f t="shared" si="5"/>
        <v>137</v>
      </c>
      <c r="G164" s="22" cm="1">
        <f t="array" ref="G164">Comp1[[#This Row],[Comparable '#1 Drawdown]]/MAX($B$2:B164)</f>
        <v>-0.10195360195360184</v>
      </c>
      <c r="H164" s="1" t="str">
        <f>IF(SUM(COUNTIF(Benchmark1[Benchmark '#1 Dates],Comp1[[#This Row],[Comparable '#1 Dates]]),COUNTIF(Benchmark2[Benchmark '#2 Dates],Comp1[[#This Row],[Comparable '#1 Dates]]))=2,"Pass","Fail")</f>
        <v>Pass</v>
      </c>
      <c r="I164" s="1">
        <f>IFERROR(Comp1[[#This Row],[Comparable '#1 Return]]-INDEX(Benchmark1[Benchmark '#1 Return],MATCH(Comp1[[#This Row],[Comparable '#1 Dates]],Benchmark1[Benchmark '#1 Dates],0)),"-")</f>
        <v>5.313680809309225E-3</v>
      </c>
      <c r="L164" s="72">
        <f>Comp1[[#This Row],[Comparable '#1 Price]]/$B$2*100</f>
        <v>100.68446269678304</v>
      </c>
    </row>
    <row r="165" spans="1:12">
      <c r="A165" s="103">
        <v>43524</v>
      </c>
      <c r="B165" s="104">
        <v>15.29</v>
      </c>
      <c r="C165" s="4">
        <f t="shared" si="4"/>
        <v>3.8671485327624634E-2</v>
      </c>
      <c r="D165" s="1">
        <f>IFERROR(Comp1[[#This Row],[Comparable '#1 Return]]+1,"-")</f>
        <v>1.0386714853276247</v>
      </c>
      <c r="E165" s="6">
        <f>B165-MAX($B$2:B165)</f>
        <v>-1.0899999999999999</v>
      </c>
      <c r="F165" s="80">
        <f t="shared" si="5"/>
        <v>138</v>
      </c>
      <c r="G165" s="22" cm="1">
        <f t="array" ref="G165">Comp1[[#This Row],[Comparable '#1 Drawdown]]/MAX($B$2:B165)</f>
        <v>-6.6544566544566544E-2</v>
      </c>
      <c r="H165" s="1" t="str">
        <f>IF(SUM(COUNTIF(Benchmark1[Benchmark '#1 Dates],Comp1[[#This Row],[Comparable '#1 Dates]]),COUNTIF(Benchmark2[Benchmark '#2 Dates],Comp1[[#This Row],[Comparable '#1 Dates]]))=2,"Pass","Fail")</f>
        <v>Pass</v>
      </c>
      <c r="I165" s="1">
        <f>IFERROR(Comp1[[#This Row],[Comparable '#1 Return]]-INDEX(Benchmark1[Benchmark '#1 Return],MATCH(Comp1[[#This Row],[Comparable '#1 Dates]],Benchmark1[Benchmark '#1 Dates],0)),"-")</f>
        <v>4.1500570788990193E-2</v>
      </c>
      <c r="L165" s="72">
        <f>Comp1[[#This Row],[Comparable '#1 Price]]/$B$2*100</f>
        <v>104.65434633812455</v>
      </c>
    </row>
    <row r="166" spans="1:12">
      <c r="A166" s="103">
        <v>43525</v>
      </c>
      <c r="B166" s="104">
        <v>15.3</v>
      </c>
      <c r="C166" s="4">
        <f t="shared" si="4"/>
        <v>6.5380845741894265E-4</v>
      </c>
      <c r="D166" s="1">
        <f>IFERROR(Comp1[[#This Row],[Comparable '#1 Return]]+1,"-")</f>
        <v>1.000653808457419</v>
      </c>
      <c r="E166" s="6">
        <f>B166-MAX($B$2:B166)</f>
        <v>-1.0799999999999983</v>
      </c>
      <c r="F166" s="80">
        <f t="shared" si="5"/>
        <v>139</v>
      </c>
      <c r="G166" s="22" cm="1">
        <f t="array" ref="G166">Comp1[[#This Row],[Comparable '#1 Drawdown]]/MAX($B$2:B166)</f>
        <v>-6.5934065934065839E-2</v>
      </c>
      <c r="H166" s="1" t="str">
        <f>IF(SUM(COUNTIF(Benchmark1[Benchmark '#1 Dates],Comp1[[#This Row],[Comparable '#1 Dates]]),COUNTIF(Benchmark2[Benchmark '#2 Dates],Comp1[[#This Row],[Comparable '#1 Dates]]))=2,"Pass","Fail")</f>
        <v>Pass</v>
      </c>
      <c r="I166" s="1">
        <f>IFERROR(Comp1[[#This Row],[Comparable '#1 Return]]-INDEX(Benchmark1[Benchmark '#1 Return],MATCH(Comp1[[#This Row],[Comparable '#1 Dates]],Benchmark1[Benchmark '#1 Dates],0)),"-")</f>
        <v>-6.2189307124902327E-3</v>
      </c>
      <c r="L166" s="72">
        <f>Comp1[[#This Row],[Comparable '#1 Price]]/$B$2*100</f>
        <v>104.72279260780289</v>
      </c>
    </row>
    <row r="167" spans="1:12">
      <c r="A167" s="103">
        <v>43528</v>
      </c>
      <c r="B167" s="104">
        <v>15.09</v>
      </c>
      <c r="C167" s="4">
        <f t="shared" si="4"/>
        <v>-1.3820555618632312E-2</v>
      </c>
      <c r="D167" s="1">
        <f>IFERROR(Comp1[[#This Row],[Comparable '#1 Return]]+1,"-")</f>
        <v>0.98617944438136773</v>
      </c>
      <c r="E167" s="6">
        <f>B167-MAX($B$2:B167)</f>
        <v>-1.2899999999999991</v>
      </c>
      <c r="F167" s="80">
        <f t="shared" si="5"/>
        <v>140</v>
      </c>
      <c r="G167" s="22" cm="1">
        <f t="array" ref="G167">Comp1[[#This Row],[Comparable '#1 Drawdown]]/MAX($B$2:B167)</f>
        <v>-7.8754578754578711E-2</v>
      </c>
      <c r="H167" s="1" t="str">
        <f>IF(SUM(COUNTIF(Benchmark1[Benchmark '#1 Dates],Comp1[[#This Row],[Comparable '#1 Dates]]),COUNTIF(Benchmark2[Benchmark '#2 Dates],Comp1[[#This Row],[Comparable '#1 Dates]]))=2,"Pass","Fail")</f>
        <v>Pass</v>
      </c>
      <c r="I167" s="1">
        <f>IFERROR(Comp1[[#This Row],[Comparable '#1 Return]]-INDEX(Benchmark1[Benchmark '#1 Return],MATCH(Comp1[[#This Row],[Comparable '#1 Dates]],Benchmark1[Benchmark '#1 Dates],0)),"-")</f>
        <v>-9.9311761376939117E-3</v>
      </c>
      <c r="L167" s="72">
        <f>Comp1[[#This Row],[Comparable '#1 Price]]/$B$2*100</f>
        <v>103.28542094455852</v>
      </c>
    </row>
    <row r="168" spans="1:12">
      <c r="A168" s="103">
        <v>43529</v>
      </c>
      <c r="B168" s="104">
        <v>15.1</v>
      </c>
      <c r="C168" s="4">
        <f t="shared" si="4"/>
        <v>6.624710411210125E-4</v>
      </c>
      <c r="D168" s="1">
        <f>IFERROR(Comp1[[#This Row],[Comparable '#1 Return]]+1,"-")</f>
        <v>1.0006624710411209</v>
      </c>
      <c r="E168" s="6">
        <f>B168-MAX($B$2:B168)</f>
        <v>-1.2799999999999994</v>
      </c>
      <c r="F168" s="80">
        <f t="shared" si="5"/>
        <v>141</v>
      </c>
      <c r="G168" s="22" cm="1">
        <f t="array" ref="G168">Comp1[[#This Row],[Comparable '#1 Drawdown]]/MAX($B$2:B168)</f>
        <v>-7.8144078144078116E-2</v>
      </c>
      <c r="H168" s="1" t="str">
        <f>IF(SUM(COUNTIF(Benchmark1[Benchmark '#1 Dates],Comp1[[#This Row],[Comparable '#1 Dates]]),COUNTIF(Benchmark2[Benchmark '#2 Dates],Comp1[[#This Row],[Comparable '#1 Dates]]))=2,"Pass","Fail")</f>
        <v>Pass</v>
      </c>
      <c r="I168" s="1">
        <f>IFERROR(Comp1[[#This Row],[Comparable '#1 Return]]-INDEX(Benchmark1[Benchmark '#1 Return],MATCH(Comp1[[#This Row],[Comparable '#1 Dates]],Benchmark1[Benchmark '#1 Dates],0)),"-")</f>
        <v>1.7945600621810812E-3</v>
      </c>
      <c r="L168" s="72">
        <f>Comp1[[#This Row],[Comparable '#1 Price]]/$B$2*100</f>
        <v>103.35386721423683</v>
      </c>
    </row>
    <row r="169" spans="1:12">
      <c r="A169" s="103">
        <v>43530</v>
      </c>
      <c r="B169" s="104">
        <v>14.9</v>
      </c>
      <c r="C169" s="4">
        <f t="shared" si="4"/>
        <v>-1.3333530869465144E-2</v>
      </c>
      <c r="D169" s="1">
        <f>IFERROR(Comp1[[#This Row],[Comparable '#1 Return]]+1,"-")</f>
        <v>0.98666646913053491</v>
      </c>
      <c r="E169" s="6">
        <f>B169-MAX($B$2:B169)</f>
        <v>-1.4799999999999986</v>
      </c>
      <c r="F169" s="80">
        <f t="shared" si="5"/>
        <v>142</v>
      </c>
      <c r="G169" s="22" cm="1">
        <f t="array" ref="G169">Comp1[[#This Row],[Comparable '#1 Drawdown]]/MAX($B$2:B169)</f>
        <v>-9.0354090354090283E-2</v>
      </c>
      <c r="H169" s="1" t="str">
        <f>IF(SUM(COUNTIF(Benchmark1[Benchmark '#1 Dates],Comp1[[#This Row],[Comparable '#1 Dates]]),COUNTIF(Benchmark2[Benchmark '#2 Dates],Comp1[[#This Row],[Comparable '#1 Dates]]))=2,"Pass","Fail")</f>
        <v>Pass</v>
      </c>
      <c r="I169" s="1">
        <f>IFERROR(Comp1[[#This Row],[Comparable '#1 Return]]-INDEX(Benchmark1[Benchmark '#1 Return],MATCH(Comp1[[#This Row],[Comparable '#1 Dates]],Benchmark1[Benchmark '#1 Dates],0)),"-")</f>
        <v>-6.7868377805812494E-3</v>
      </c>
      <c r="L169" s="72">
        <f>Comp1[[#This Row],[Comparable '#1 Price]]/$B$2*100</f>
        <v>101.98494182067077</v>
      </c>
    </row>
    <row r="170" spans="1:12">
      <c r="A170" s="103">
        <v>43531</v>
      </c>
      <c r="B170" s="104">
        <v>14.64</v>
      </c>
      <c r="C170" s="4">
        <f t="shared" si="4"/>
        <v>-1.7603704418247976E-2</v>
      </c>
      <c r="D170" s="1">
        <f>IFERROR(Comp1[[#This Row],[Comparable '#1 Return]]+1,"-")</f>
        <v>0.98239629558175201</v>
      </c>
      <c r="E170" s="6">
        <f>B170-MAX($B$2:B170)</f>
        <v>-1.7399999999999984</v>
      </c>
      <c r="F170" s="80">
        <f t="shared" si="5"/>
        <v>143</v>
      </c>
      <c r="G170" s="22" cm="1">
        <f t="array" ref="G170">Comp1[[#This Row],[Comparable '#1 Drawdown]]/MAX($B$2:B170)</f>
        <v>-0.10622710622710614</v>
      </c>
      <c r="H170" s="1" t="str">
        <f>IF(SUM(COUNTIF(Benchmark1[Benchmark '#1 Dates],Comp1[[#This Row],[Comparable '#1 Dates]]),COUNTIF(Benchmark2[Benchmark '#2 Dates],Comp1[[#This Row],[Comparable '#1 Dates]]))=2,"Pass","Fail")</f>
        <v>Pass</v>
      </c>
      <c r="I170" s="1">
        <f>IFERROR(Comp1[[#This Row],[Comparable '#1 Return]]-INDEX(Benchmark1[Benchmark '#1 Return],MATCH(Comp1[[#This Row],[Comparable '#1 Dates]],Benchmark1[Benchmark '#1 Dates],0)),"-")</f>
        <v>-9.4441162505069474E-3</v>
      </c>
      <c r="L170" s="72">
        <f>Comp1[[#This Row],[Comparable '#1 Price]]/$B$2*100</f>
        <v>100.2053388090349</v>
      </c>
    </row>
    <row r="171" spans="1:12">
      <c r="A171" s="103">
        <v>43532</v>
      </c>
      <c r="B171" s="104">
        <v>14.51</v>
      </c>
      <c r="C171" s="4">
        <f t="shared" si="4"/>
        <v>-8.9194416370690591E-3</v>
      </c>
      <c r="D171" s="1">
        <f>IFERROR(Comp1[[#This Row],[Comparable '#1 Return]]+1,"-")</f>
        <v>0.99108055836293096</v>
      </c>
      <c r="E171" s="6">
        <f>B171-MAX($B$2:B171)</f>
        <v>-1.8699999999999992</v>
      </c>
      <c r="F171" s="80">
        <f t="shared" si="5"/>
        <v>144</v>
      </c>
      <c r="G171" s="22" cm="1">
        <f t="array" ref="G171">Comp1[[#This Row],[Comparable '#1 Drawdown]]/MAX($B$2:B171)</f>
        <v>-0.11416361416361412</v>
      </c>
      <c r="H171" s="1" t="str">
        <f>IF(SUM(COUNTIF(Benchmark1[Benchmark '#1 Dates],Comp1[[#This Row],[Comparable '#1 Dates]]),COUNTIF(Benchmark2[Benchmark '#2 Dates],Comp1[[#This Row],[Comparable '#1 Dates]]))=2,"Pass","Fail")</f>
        <v>Pass</v>
      </c>
      <c r="I171" s="1">
        <f>IFERROR(Comp1[[#This Row],[Comparable '#1 Return]]-INDEX(Benchmark1[Benchmark '#1 Return],MATCH(Comp1[[#This Row],[Comparable '#1 Dates]],Benchmark1[Benchmark '#1 Dates],0)),"-")</f>
        <v>-6.7861130397404244E-3</v>
      </c>
      <c r="L171" s="72">
        <f>Comp1[[#This Row],[Comparable '#1 Price]]/$B$2*100</f>
        <v>99.315537303216971</v>
      </c>
    </row>
    <row r="172" spans="1:12">
      <c r="A172" s="103">
        <v>43535</v>
      </c>
      <c r="B172" s="104">
        <v>14.77</v>
      </c>
      <c r="C172" s="4">
        <f t="shared" si="4"/>
        <v>1.7760029647191984E-2</v>
      </c>
      <c r="D172" s="1">
        <f>IFERROR(Comp1[[#This Row],[Comparable '#1 Return]]+1,"-")</f>
        <v>1.017760029647192</v>
      </c>
      <c r="E172" s="6">
        <f>B172-MAX($B$2:B172)</f>
        <v>-1.6099999999999994</v>
      </c>
      <c r="F172" s="80">
        <f t="shared" si="5"/>
        <v>145</v>
      </c>
      <c r="G172" s="22" cm="1">
        <f t="array" ref="G172">Comp1[[#This Row],[Comparable '#1 Drawdown]]/MAX($B$2:B172)</f>
        <v>-9.8290598290598261E-2</v>
      </c>
      <c r="H172" s="1" t="str">
        <f>IF(SUM(COUNTIF(Benchmark1[Benchmark '#1 Dates],Comp1[[#This Row],[Comparable '#1 Dates]]),COUNTIF(Benchmark2[Benchmark '#2 Dates],Comp1[[#This Row],[Comparable '#1 Dates]]))=2,"Pass","Fail")</f>
        <v>Pass</v>
      </c>
      <c r="I172" s="1">
        <f>IFERROR(Comp1[[#This Row],[Comparable '#1 Return]]-INDEX(Benchmark1[Benchmark '#1 Return],MATCH(Comp1[[#This Row],[Comparable '#1 Dates]],Benchmark1[Benchmark '#1 Dates],0)),"-")</f>
        <v>3.2014310435309872E-3</v>
      </c>
      <c r="L172" s="72">
        <f>Comp1[[#This Row],[Comparable '#1 Price]]/$B$2*100</f>
        <v>101.09514031485286</v>
      </c>
    </row>
    <row r="173" spans="1:12">
      <c r="A173" s="103">
        <v>43536</v>
      </c>
      <c r="B173" s="104">
        <v>14.9</v>
      </c>
      <c r="C173" s="4">
        <f t="shared" si="4"/>
        <v>8.7631164081250993E-3</v>
      </c>
      <c r="D173" s="1">
        <f>IFERROR(Comp1[[#This Row],[Comparable '#1 Return]]+1,"-")</f>
        <v>1.008763116408125</v>
      </c>
      <c r="E173" s="6">
        <f>B173-MAX($B$2:B173)</f>
        <v>-1.4799999999999986</v>
      </c>
      <c r="F173" s="80">
        <f t="shared" si="5"/>
        <v>146</v>
      </c>
      <c r="G173" s="22" cm="1">
        <f t="array" ref="G173">Comp1[[#This Row],[Comparable '#1 Drawdown]]/MAX($B$2:B173)</f>
        <v>-9.0354090354090283E-2</v>
      </c>
      <c r="H173" s="1" t="str">
        <f>IF(SUM(COUNTIF(Benchmark1[Benchmark '#1 Dates],Comp1[[#This Row],[Comparable '#1 Dates]]),COUNTIF(Benchmark2[Benchmark '#2 Dates],Comp1[[#This Row],[Comparable '#1 Dates]]))=2,"Pass","Fail")</f>
        <v>Pass</v>
      </c>
      <c r="I173" s="1">
        <f>IFERROR(Comp1[[#This Row],[Comparable '#1 Return]]-INDEX(Benchmark1[Benchmark '#1 Return],MATCH(Comp1[[#This Row],[Comparable '#1 Dates]],Benchmark1[Benchmark '#1 Dates],0)),"-")</f>
        <v>5.8115291318977221E-3</v>
      </c>
      <c r="L173" s="72">
        <f>Comp1[[#This Row],[Comparable '#1 Price]]/$B$2*100</f>
        <v>101.98494182067077</v>
      </c>
    </row>
    <row r="174" spans="1:12">
      <c r="A174" s="103">
        <v>43537</v>
      </c>
      <c r="B174" s="104">
        <v>15.26</v>
      </c>
      <c r="C174" s="4">
        <f t="shared" si="4"/>
        <v>2.3873812904897498E-2</v>
      </c>
      <c r="D174" s="1">
        <f>IFERROR(Comp1[[#This Row],[Comparable '#1 Return]]+1,"-")</f>
        <v>1.0238738129048974</v>
      </c>
      <c r="E174" s="6">
        <f>B174-MAX($B$2:B174)</f>
        <v>-1.1199999999999992</v>
      </c>
      <c r="F174" s="80">
        <f t="shared" si="5"/>
        <v>147</v>
      </c>
      <c r="G174" s="22" cm="1">
        <f t="array" ref="G174">Comp1[[#This Row],[Comparable '#1 Drawdown]]/MAX($B$2:B174)</f>
        <v>-6.8376068376068327E-2</v>
      </c>
      <c r="H174" s="1" t="str">
        <f>IF(SUM(COUNTIF(Benchmark1[Benchmark '#1 Dates],Comp1[[#This Row],[Comparable '#1 Dates]]),COUNTIF(Benchmark2[Benchmark '#2 Dates],Comp1[[#This Row],[Comparable '#1 Dates]]))=2,"Pass","Fail")</f>
        <v>Pass</v>
      </c>
      <c r="I174" s="1">
        <f>IFERROR(Comp1[[#This Row],[Comparable '#1 Return]]-INDEX(Benchmark1[Benchmark '#1 Return],MATCH(Comp1[[#This Row],[Comparable '#1 Dates]],Benchmark1[Benchmark '#1 Dates],0)),"-")</f>
        <v>1.6949933348651466E-2</v>
      </c>
      <c r="L174" s="72">
        <f>Comp1[[#This Row],[Comparable '#1 Price]]/$B$2*100</f>
        <v>104.44900752908967</v>
      </c>
    </row>
    <row r="175" spans="1:12">
      <c r="A175" s="103">
        <v>43538</v>
      </c>
      <c r="B175" s="104">
        <v>14.97</v>
      </c>
      <c r="C175" s="4">
        <f t="shared" si="4"/>
        <v>-1.9186827424773858E-2</v>
      </c>
      <c r="D175" s="1">
        <f>IFERROR(Comp1[[#This Row],[Comparable '#1 Return]]+1,"-")</f>
        <v>0.98081317257522616</v>
      </c>
      <c r="E175" s="6">
        <f>B175-MAX($B$2:B175)</f>
        <v>-1.4099999999999984</v>
      </c>
      <c r="F175" s="80">
        <f t="shared" si="5"/>
        <v>148</v>
      </c>
      <c r="G175" s="22" cm="1">
        <f t="array" ref="G175">Comp1[[#This Row],[Comparable '#1 Drawdown]]/MAX($B$2:B175)</f>
        <v>-8.6080586080585983E-2</v>
      </c>
      <c r="H175" s="1" t="str">
        <f>IF(SUM(COUNTIF(Benchmark1[Benchmark '#1 Dates],Comp1[[#This Row],[Comparable '#1 Dates]]),COUNTIF(Benchmark2[Benchmark '#2 Dates],Comp1[[#This Row],[Comparable '#1 Dates]]))=2,"Pass","Fail")</f>
        <v>Pass</v>
      </c>
      <c r="I175" s="1">
        <f>IFERROR(Comp1[[#This Row],[Comparable '#1 Return]]-INDEX(Benchmark1[Benchmark '#1 Return],MATCH(Comp1[[#This Row],[Comparable '#1 Dates]],Benchmark1[Benchmark '#1 Dates],0)),"-")</f>
        <v>-1.8320284867708321E-2</v>
      </c>
      <c r="L175" s="72">
        <f>Comp1[[#This Row],[Comparable '#1 Price]]/$B$2*100</f>
        <v>102.4640657084189</v>
      </c>
    </row>
    <row r="176" spans="1:12">
      <c r="A176" s="103">
        <v>43539</v>
      </c>
      <c r="B176" s="104">
        <v>15.09</v>
      </c>
      <c r="C176" s="4">
        <f t="shared" si="4"/>
        <v>7.9840743482205486E-3</v>
      </c>
      <c r="D176" s="1">
        <f>IFERROR(Comp1[[#This Row],[Comparable '#1 Return]]+1,"-")</f>
        <v>1.0079840743482205</v>
      </c>
      <c r="E176" s="6">
        <f>B176-MAX($B$2:B176)</f>
        <v>-1.2899999999999991</v>
      </c>
      <c r="F176" s="80">
        <f t="shared" si="5"/>
        <v>149</v>
      </c>
      <c r="G176" s="22" cm="1">
        <f t="array" ref="G176">Comp1[[#This Row],[Comparable '#1 Drawdown]]/MAX($B$2:B176)</f>
        <v>-7.8754578754578711E-2</v>
      </c>
      <c r="H176" s="1" t="str">
        <f>IF(SUM(COUNTIF(Benchmark1[Benchmark '#1 Dates],Comp1[[#This Row],[Comparable '#1 Dates]]),COUNTIF(Benchmark2[Benchmark '#2 Dates],Comp1[[#This Row],[Comparable '#1 Dates]]))=2,"Pass","Fail")</f>
        <v>Pass</v>
      </c>
      <c r="I176" s="1">
        <f>IFERROR(Comp1[[#This Row],[Comparable '#1 Return]]-INDEX(Benchmark1[Benchmark '#1 Return],MATCH(Comp1[[#This Row],[Comparable '#1 Dates]],Benchmark1[Benchmark '#1 Dates],0)),"-")</f>
        <v>3.0137347317450817E-3</v>
      </c>
      <c r="L176" s="72">
        <f>Comp1[[#This Row],[Comparable '#1 Price]]/$B$2*100</f>
        <v>103.28542094455852</v>
      </c>
    </row>
    <row r="177" spans="1:12">
      <c r="A177" s="103">
        <v>43542</v>
      </c>
      <c r="B177" s="104">
        <v>15.25</v>
      </c>
      <c r="C177" s="4">
        <f t="shared" si="4"/>
        <v>1.0547230273663014E-2</v>
      </c>
      <c r="D177" s="1">
        <f>IFERROR(Comp1[[#This Row],[Comparable '#1 Return]]+1,"-")</f>
        <v>1.0105472302736631</v>
      </c>
      <c r="E177" s="6">
        <f>B177-MAX($B$2:B177)</f>
        <v>-1.129999999999999</v>
      </c>
      <c r="F177" s="80">
        <f t="shared" si="5"/>
        <v>150</v>
      </c>
      <c r="G177" s="22" cm="1">
        <f t="array" ref="G177">Comp1[[#This Row],[Comparable '#1 Drawdown]]/MAX($B$2:B177)</f>
        <v>-6.8986568986568936E-2</v>
      </c>
      <c r="H177" s="1" t="str">
        <f>IF(SUM(COUNTIF(Benchmark1[Benchmark '#1 Dates],Comp1[[#This Row],[Comparable '#1 Dates]]),COUNTIF(Benchmark2[Benchmark '#2 Dates],Comp1[[#This Row],[Comparable '#1 Dates]]))=2,"Pass","Fail")</f>
        <v>Pass</v>
      </c>
      <c r="I177" s="1">
        <f>IFERROR(Comp1[[#This Row],[Comparable '#1 Return]]-INDEX(Benchmark1[Benchmark '#1 Return],MATCH(Comp1[[#This Row],[Comparable '#1 Dates]],Benchmark1[Benchmark '#1 Dates],0)),"-")</f>
        <v>6.8467281196379903E-3</v>
      </c>
      <c r="L177" s="72">
        <f>Comp1[[#This Row],[Comparable '#1 Price]]/$B$2*100</f>
        <v>104.38056125941138</v>
      </c>
    </row>
    <row r="178" spans="1:12">
      <c r="A178" s="103">
        <v>43543</v>
      </c>
      <c r="B178" s="104">
        <v>15.11</v>
      </c>
      <c r="C178" s="4">
        <f t="shared" si="4"/>
        <v>-9.2227267687724473E-3</v>
      </c>
      <c r="D178" s="1">
        <f>IFERROR(Comp1[[#This Row],[Comparable '#1 Return]]+1,"-")</f>
        <v>0.99077727323122755</v>
      </c>
      <c r="E178" s="6">
        <f>B178-MAX($B$2:B178)</f>
        <v>-1.2699999999999996</v>
      </c>
      <c r="F178" s="80">
        <f t="shared" si="5"/>
        <v>151</v>
      </c>
      <c r="G178" s="22" cm="1">
        <f t="array" ref="G178">Comp1[[#This Row],[Comparable '#1 Drawdown]]/MAX($B$2:B178)</f>
        <v>-7.7533577533577508E-2</v>
      </c>
      <c r="H178" s="1" t="str">
        <f>IF(SUM(COUNTIF(Benchmark1[Benchmark '#1 Dates],Comp1[[#This Row],[Comparable '#1 Dates]]),COUNTIF(Benchmark2[Benchmark '#2 Dates],Comp1[[#This Row],[Comparable '#1 Dates]]))=2,"Pass","Fail")</f>
        <v>Pass</v>
      </c>
      <c r="I178" s="1">
        <f>IFERROR(Comp1[[#This Row],[Comparable '#1 Return]]-INDEX(Benchmark1[Benchmark '#1 Return],MATCH(Comp1[[#This Row],[Comparable '#1 Dates]],Benchmark1[Benchmark '#1 Dates],0)),"-")</f>
        <v>-9.0909844781031889E-3</v>
      </c>
      <c r="L178" s="72">
        <f>Comp1[[#This Row],[Comparable '#1 Price]]/$B$2*100</f>
        <v>103.42231348391513</v>
      </c>
    </row>
    <row r="179" spans="1:12">
      <c r="A179" s="103">
        <v>43544</v>
      </c>
      <c r="B179" s="104">
        <v>15.29</v>
      </c>
      <c r="C179" s="4">
        <f t="shared" si="4"/>
        <v>1.1842243656322818E-2</v>
      </c>
      <c r="D179" s="1">
        <f>IFERROR(Comp1[[#This Row],[Comparable '#1 Return]]+1,"-")</f>
        <v>1.0118422436563228</v>
      </c>
      <c r="E179" s="6">
        <f>B179-MAX($B$2:B179)</f>
        <v>-1.0899999999999999</v>
      </c>
      <c r="F179" s="80">
        <f t="shared" si="5"/>
        <v>152</v>
      </c>
      <c r="G179" s="22" cm="1">
        <f t="array" ref="G179">Comp1[[#This Row],[Comparable '#1 Drawdown]]/MAX($B$2:B179)</f>
        <v>-6.6544566544566544E-2</v>
      </c>
      <c r="H179" s="1" t="str">
        <f>IF(SUM(COUNTIF(Benchmark1[Benchmark '#1 Dates],Comp1[[#This Row],[Comparable '#1 Dates]]),COUNTIF(Benchmark2[Benchmark '#2 Dates],Comp1[[#This Row],[Comparable '#1 Dates]]))=2,"Pass","Fail")</f>
        <v>Pass</v>
      </c>
      <c r="I179" s="1">
        <f>IFERROR(Comp1[[#This Row],[Comparable '#1 Return]]-INDEX(Benchmark1[Benchmark '#1 Return],MATCH(Comp1[[#This Row],[Comparable '#1 Dates]],Benchmark1[Benchmark '#1 Dates],0)),"-")</f>
        <v>1.4791468504438637E-2</v>
      </c>
      <c r="L179" s="72">
        <f>Comp1[[#This Row],[Comparable '#1 Price]]/$B$2*100</f>
        <v>104.65434633812455</v>
      </c>
    </row>
    <row r="180" spans="1:12">
      <c r="A180" s="103">
        <v>43545</v>
      </c>
      <c r="B180" s="104">
        <v>15.52</v>
      </c>
      <c r="C180" s="4">
        <f t="shared" si="4"/>
        <v>1.4930494814101766E-2</v>
      </c>
      <c r="D180" s="1">
        <f>IFERROR(Comp1[[#This Row],[Comparable '#1 Return]]+1,"-")</f>
        <v>1.0149304948141018</v>
      </c>
      <c r="E180" s="6">
        <f>B180-MAX($B$2:B180)</f>
        <v>-0.85999999999999943</v>
      </c>
      <c r="F180" s="80">
        <f t="shared" si="5"/>
        <v>153</v>
      </c>
      <c r="G180" s="22" cm="1">
        <f t="array" ref="G180">Comp1[[#This Row],[Comparable '#1 Drawdown]]/MAX($B$2:B180)</f>
        <v>-5.2503052503052469E-2</v>
      </c>
      <c r="H180" s="1" t="str">
        <f>IF(SUM(COUNTIF(Benchmark1[Benchmark '#1 Dates],Comp1[[#This Row],[Comparable '#1 Dates]]),COUNTIF(Benchmark2[Benchmark '#2 Dates],Comp1[[#This Row],[Comparable '#1 Dates]]))=2,"Pass","Fail")</f>
        <v>Pass</v>
      </c>
      <c r="I180" s="1">
        <f>IFERROR(Comp1[[#This Row],[Comparable '#1 Return]]-INDEX(Benchmark1[Benchmark '#1 Return],MATCH(Comp1[[#This Row],[Comparable '#1 Dates]],Benchmark1[Benchmark '#1 Dates],0)),"-")</f>
        <v>4.1361295881335788E-3</v>
      </c>
      <c r="L180" s="72">
        <f>Comp1[[#This Row],[Comparable '#1 Price]]/$B$2*100</f>
        <v>106.22861054072553</v>
      </c>
    </row>
    <row r="181" spans="1:12">
      <c r="A181" s="103">
        <v>43546</v>
      </c>
      <c r="B181" s="104">
        <v>15.13</v>
      </c>
      <c r="C181" s="4">
        <f t="shared" si="4"/>
        <v>-2.5449986954808049E-2</v>
      </c>
      <c r="D181" s="1">
        <f>IFERROR(Comp1[[#This Row],[Comparable '#1 Return]]+1,"-")</f>
        <v>0.97455001304519195</v>
      </c>
      <c r="E181" s="6">
        <f>B181-MAX($B$2:B181)</f>
        <v>-1.2499999999999982</v>
      </c>
      <c r="F181" s="80">
        <f t="shared" si="5"/>
        <v>154</v>
      </c>
      <c r="G181" s="22" cm="1">
        <f t="array" ref="G181">Comp1[[#This Row],[Comparable '#1 Drawdown]]/MAX($B$2:B181)</f>
        <v>-7.6312576312576208E-2</v>
      </c>
      <c r="H181" s="1" t="str">
        <f>IF(SUM(COUNTIF(Benchmark1[Benchmark '#1 Dates],Comp1[[#This Row],[Comparable '#1 Dates]]),COUNTIF(Benchmark2[Benchmark '#2 Dates],Comp1[[#This Row],[Comparable '#1 Dates]]))=2,"Pass","Fail")</f>
        <v>Pass</v>
      </c>
      <c r="I181" s="1">
        <f>IFERROR(Comp1[[#This Row],[Comparable '#1 Return]]-INDEX(Benchmark1[Benchmark '#1 Return],MATCH(Comp1[[#This Row],[Comparable '#1 Dates]],Benchmark1[Benchmark '#1 Dates],0)),"-")</f>
        <v>-6.2951729769724282E-3</v>
      </c>
      <c r="L181" s="72">
        <f>Comp1[[#This Row],[Comparable '#1 Price]]/$B$2*100</f>
        <v>103.55920602327173</v>
      </c>
    </row>
    <row r="182" spans="1:12">
      <c r="A182" s="103">
        <v>43549</v>
      </c>
      <c r="B182" s="104">
        <v>14.76</v>
      </c>
      <c r="C182" s="4">
        <f t="shared" si="4"/>
        <v>-2.4758708627938188E-2</v>
      </c>
      <c r="D182" s="1">
        <f>IFERROR(Comp1[[#This Row],[Comparable '#1 Return]]+1,"-")</f>
        <v>0.97524129137206184</v>
      </c>
      <c r="E182" s="6">
        <f>B182-MAX($B$2:B182)</f>
        <v>-1.6199999999999992</v>
      </c>
      <c r="F182" s="80">
        <f t="shared" si="5"/>
        <v>155</v>
      </c>
      <c r="G182" s="22" cm="1">
        <f t="array" ref="G182">Comp1[[#This Row],[Comparable '#1 Drawdown]]/MAX($B$2:B182)</f>
        <v>-9.8901098901098855E-2</v>
      </c>
      <c r="H182" s="1" t="str">
        <f>IF(SUM(COUNTIF(Benchmark1[Benchmark '#1 Dates],Comp1[[#This Row],[Comparable '#1 Dates]]),COUNTIF(Benchmark2[Benchmark '#2 Dates],Comp1[[#This Row],[Comparable '#1 Dates]]))=2,"Pass","Fail")</f>
        <v>Pass</v>
      </c>
      <c r="I182" s="1">
        <f>IFERROR(Comp1[[#This Row],[Comparable '#1 Return]]-INDEX(Benchmark1[Benchmark '#1 Return],MATCH(Comp1[[#This Row],[Comparable '#1 Dates]],Benchmark1[Benchmark '#1 Dates],0)),"-")</f>
        <v>-2.3918997614194065E-2</v>
      </c>
      <c r="L182" s="72">
        <f>Comp1[[#This Row],[Comparable '#1 Price]]/$B$2*100</f>
        <v>101.02669404517455</v>
      </c>
    </row>
    <row r="183" spans="1:12">
      <c r="A183" s="103">
        <v>43550</v>
      </c>
      <c r="B183" s="104">
        <v>14.74</v>
      </c>
      <c r="C183" s="4">
        <f t="shared" si="4"/>
        <v>-1.3559324111358441E-3</v>
      </c>
      <c r="D183" s="1">
        <f>IFERROR(Comp1[[#This Row],[Comparable '#1 Return]]+1,"-")</f>
        <v>0.99864406758886415</v>
      </c>
      <c r="E183" s="6">
        <f>B183-MAX($B$2:B183)</f>
        <v>-1.6399999999999988</v>
      </c>
      <c r="F183" s="80">
        <f t="shared" si="5"/>
        <v>156</v>
      </c>
      <c r="G183" s="22" cm="1">
        <f t="array" ref="G183">Comp1[[#This Row],[Comparable '#1 Drawdown]]/MAX($B$2:B183)</f>
        <v>-0.10012210012210006</v>
      </c>
      <c r="H183" s="1" t="str">
        <f>IF(SUM(COUNTIF(Benchmark1[Benchmark '#1 Dates],Comp1[[#This Row],[Comparable '#1 Dates]]),COUNTIF(Benchmark2[Benchmark '#2 Dates],Comp1[[#This Row],[Comparable '#1 Dates]]))=2,"Pass","Fail")</f>
        <v>Pass</v>
      </c>
      <c r="I183" s="1">
        <f>IFERROR(Comp1[[#This Row],[Comparable '#1 Return]]-INDEX(Benchmark1[Benchmark '#1 Return],MATCH(Comp1[[#This Row],[Comparable '#1 Dates]],Benchmark1[Benchmark '#1 Dates],0)),"-")</f>
        <v>-8.5116994805565314E-3</v>
      </c>
      <c r="L183" s="72">
        <f>Comp1[[#This Row],[Comparable '#1 Price]]/$B$2*100</f>
        <v>100.88980150581794</v>
      </c>
    </row>
    <row r="184" spans="1:12">
      <c r="A184" s="103">
        <v>43551</v>
      </c>
      <c r="B184" s="104">
        <v>14.65</v>
      </c>
      <c r="C184" s="4">
        <f t="shared" si="4"/>
        <v>-6.1245512981142605E-3</v>
      </c>
      <c r="D184" s="1">
        <f>IFERROR(Comp1[[#This Row],[Comparable '#1 Return]]+1,"-")</f>
        <v>0.99387544870188571</v>
      </c>
      <c r="E184" s="6">
        <f>B184-MAX($B$2:B184)</f>
        <v>-1.7299999999999986</v>
      </c>
      <c r="F184" s="80">
        <f t="shared" si="5"/>
        <v>157</v>
      </c>
      <c r="G184" s="22" cm="1">
        <f t="array" ref="G184">Comp1[[#This Row],[Comparable '#1 Drawdown]]/MAX($B$2:B184)</f>
        <v>-0.10561660561660555</v>
      </c>
      <c r="H184" s="1" t="str">
        <f>IF(SUM(COUNTIF(Benchmark1[Benchmark '#1 Dates],Comp1[[#This Row],[Comparable '#1 Dates]]),COUNTIF(Benchmark2[Benchmark '#2 Dates],Comp1[[#This Row],[Comparable '#1 Dates]]))=2,"Pass","Fail")</f>
        <v>Pass</v>
      </c>
      <c r="I184" s="1">
        <f>IFERROR(Comp1[[#This Row],[Comparable '#1 Return]]-INDEX(Benchmark1[Benchmark '#1 Return],MATCH(Comp1[[#This Row],[Comparable '#1 Dates]],Benchmark1[Benchmark '#1 Dates],0)),"-")</f>
        <v>-1.4712278402248206E-3</v>
      </c>
      <c r="L184" s="72">
        <f>Comp1[[#This Row],[Comparable '#1 Price]]/$B$2*100</f>
        <v>100.2737850787132</v>
      </c>
    </row>
    <row r="185" spans="1:12">
      <c r="A185" s="103">
        <v>43552</v>
      </c>
      <c r="B185" s="104">
        <v>14.83</v>
      </c>
      <c r="C185" s="4">
        <f t="shared" si="4"/>
        <v>1.2211820686764463E-2</v>
      </c>
      <c r="D185" s="1">
        <f>IFERROR(Comp1[[#This Row],[Comparable '#1 Return]]+1,"-")</f>
        <v>1.0122118206867645</v>
      </c>
      <c r="E185" s="6">
        <f>B185-MAX($B$2:B185)</f>
        <v>-1.5499999999999989</v>
      </c>
      <c r="F185" s="80">
        <f t="shared" si="5"/>
        <v>158</v>
      </c>
      <c r="G185" s="22" cm="1">
        <f t="array" ref="G185">Comp1[[#This Row],[Comparable '#1 Drawdown]]/MAX($B$2:B185)</f>
        <v>-9.4627594627594569E-2</v>
      </c>
      <c r="H185" s="1" t="str">
        <f>IF(SUM(COUNTIF(Benchmark1[Benchmark '#1 Dates],Comp1[[#This Row],[Comparable '#1 Dates]]),COUNTIF(Benchmark2[Benchmark '#2 Dates],Comp1[[#This Row],[Comparable '#1 Dates]]))=2,"Pass","Fail")</f>
        <v>Pass</v>
      </c>
      <c r="I185" s="1">
        <f>IFERROR(Comp1[[#This Row],[Comparable '#1 Return]]-INDEX(Benchmark1[Benchmark '#1 Return],MATCH(Comp1[[#This Row],[Comparable '#1 Dates]],Benchmark1[Benchmark '#1 Dates],0)),"-")</f>
        <v>8.6307893991011634E-3</v>
      </c>
      <c r="L185" s="72">
        <f>Comp1[[#This Row],[Comparable '#1 Price]]/$B$2*100</f>
        <v>101.50581793292265</v>
      </c>
    </row>
    <row r="186" spans="1:12">
      <c r="A186" s="103">
        <v>43553</v>
      </c>
      <c r="B186" s="104">
        <v>14.97</v>
      </c>
      <c r="C186" s="4">
        <f t="shared" si="4"/>
        <v>9.3960422816963089E-3</v>
      </c>
      <c r="D186" s="1">
        <f>IFERROR(Comp1[[#This Row],[Comparable '#1 Return]]+1,"-")</f>
        <v>1.0093960422816963</v>
      </c>
      <c r="E186" s="6">
        <f>B186-MAX($B$2:B186)</f>
        <v>-1.4099999999999984</v>
      </c>
      <c r="F186" s="80">
        <f t="shared" si="5"/>
        <v>159</v>
      </c>
      <c r="G186" s="22" cm="1">
        <f t="array" ref="G186">Comp1[[#This Row],[Comparable '#1 Drawdown]]/MAX($B$2:B186)</f>
        <v>-8.6080586080585983E-2</v>
      </c>
      <c r="H186" s="1" t="str">
        <f>IF(SUM(COUNTIF(Benchmark1[Benchmark '#1 Dates],Comp1[[#This Row],[Comparable '#1 Dates]]),COUNTIF(Benchmark2[Benchmark '#2 Dates],Comp1[[#This Row],[Comparable '#1 Dates]]))=2,"Pass","Fail")</f>
        <v>Pass</v>
      </c>
      <c r="I186" s="1">
        <f>IFERROR(Comp1[[#This Row],[Comparable '#1 Return]]-INDEX(Benchmark1[Benchmark '#1 Return],MATCH(Comp1[[#This Row],[Comparable '#1 Dates]],Benchmark1[Benchmark '#1 Dates],0)),"-")</f>
        <v>2.6834254470042961E-3</v>
      </c>
      <c r="L186" s="72">
        <f>Comp1[[#This Row],[Comparable '#1 Price]]/$B$2*100</f>
        <v>102.4640657084189</v>
      </c>
    </row>
    <row r="187" spans="1:12">
      <c r="A187" s="103">
        <v>43556</v>
      </c>
      <c r="B187" s="104">
        <v>14.95</v>
      </c>
      <c r="C187" s="4">
        <f t="shared" si="4"/>
        <v>-1.3368985948416306E-3</v>
      </c>
      <c r="D187" s="1">
        <f>IFERROR(Comp1[[#This Row],[Comparable '#1 Return]]+1,"-")</f>
        <v>0.99866310140515835</v>
      </c>
      <c r="E187" s="6">
        <f>B187-MAX($B$2:B187)</f>
        <v>-1.4299999999999997</v>
      </c>
      <c r="F187" s="80">
        <f t="shared" si="5"/>
        <v>160</v>
      </c>
      <c r="G187" s="22" cm="1">
        <f t="array" ref="G187">Comp1[[#This Row],[Comparable '#1 Drawdown]]/MAX($B$2:B187)</f>
        <v>-8.7301587301587283E-2</v>
      </c>
      <c r="H187" s="1" t="str">
        <f>IF(SUM(COUNTIF(Benchmark1[Benchmark '#1 Dates],Comp1[[#This Row],[Comparable '#1 Dates]]),COUNTIF(Benchmark2[Benchmark '#2 Dates],Comp1[[#This Row],[Comparable '#1 Dates]]))=2,"Pass","Fail")</f>
        <v>Pass</v>
      </c>
      <c r="I187" s="1">
        <f>IFERROR(Comp1[[#This Row],[Comparable '#1 Return]]-INDEX(Benchmark1[Benchmark '#1 Return],MATCH(Comp1[[#This Row],[Comparable '#1 Dates]],Benchmark1[Benchmark '#1 Dates],0)),"-")</f>
        <v>-1.2840500239104408E-2</v>
      </c>
      <c r="L187" s="72">
        <f>Comp1[[#This Row],[Comparable '#1 Price]]/$B$2*100</f>
        <v>102.32717316906228</v>
      </c>
    </row>
    <row r="188" spans="1:12">
      <c r="A188" s="103">
        <v>43557</v>
      </c>
      <c r="B188" s="104">
        <v>15.19</v>
      </c>
      <c r="C188" s="4">
        <f t="shared" si="4"/>
        <v>1.592601677098613E-2</v>
      </c>
      <c r="D188" s="1">
        <f>IFERROR(Comp1[[#This Row],[Comparable '#1 Return]]+1,"-")</f>
        <v>1.015926016770986</v>
      </c>
      <c r="E188" s="6">
        <f>B188-MAX($B$2:B188)</f>
        <v>-1.1899999999999995</v>
      </c>
      <c r="F188" s="80">
        <f t="shared" si="5"/>
        <v>161</v>
      </c>
      <c r="G188" s="22" cm="1">
        <f t="array" ref="G188">Comp1[[#This Row],[Comparable '#1 Drawdown]]/MAX($B$2:B188)</f>
        <v>-7.2649572649572627E-2</v>
      </c>
      <c r="H188" s="1" t="str">
        <f>IF(SUM(COUNTIF(Benchmark1[Benchmark '#1 Dates],Comp1[[#This Row],[Comparable '#1 Dates]]),COUNTIF(Benchmark2[Benchmark '#2 Dates],Comp1[[#This Row],[Comparable '#1 Dates]]))=2,"Pass","Fail")</f>
        <v>Pass</v>
      </c>
      <c r="I188" s="1">
        <f>IFERROR(Comp1[[#This Row],[Comparable '#1 Return]]-INDEX(Benchmark1[Benchmark '#1 Return],MATCH(Comp1[[#This Row],[Comparable '#1 Dates]],Benchmark1[Benchmark '#1 Dates],0)),"-")</f>
        <v>1.5911175081872946E-2</v>
      </c>
      <c r="L188" s="72">
        <f>Comp1[[#This Row],[Comparable '#1 Price]]/$B$2*100</f>
        <v>103.96988364134154</v>
      </c>
    </row>
    <row r="189" spans="1:12">
      <c r="A189" s="103">
        <v>43558</v>
      </c>
      <c r="B189" s="104">
        <v>15.25</v>
      </c>
      <c r="C189" s="4">
        <f t="shared" si="4"/>
        <v>3.9421864457391247E-3</v>
      </c>
      <c r="D189" s="1">
        <f>IFERROR(Comp1[[#This Row],[Comparable '#1 Return]]+1,"-")</f>
        <v>1.0039421864457392</v>
      </c>
      <c r="E189" s="6">
        <f>B189-MAX($B$2:B189)</f>
        <v>-1.129999999999999</v>
      </c>
      <c r="F189" s="80">
        <f t="shared" si="5"/>
        <v>162</v>
      </c>
      <c r="G189" s="22" cm="1">
        <f t="array" ref="G189">Comp1[[#This Row],[Comparable '#1 Drawdown]]/MAX($B$2:B189)</f>
        <v>-6.8986568986568936E-2</v>
      </c>
      <c r="H189" s="1" t="str">
        <f>IF(SUM(COUNTIF(Benchmark1[Benchmark '#1 Dates],Comp1[[#This Row],[Comparable '#1 Dates]]),COUNTIF(Benchmark2[Benchmark '#2 Dates],Comp1[[#This Row],[Comparable '#1 Dates]]))=2,"Pass","Fail")</f>
        <v>Pass</v>
      </c>
      <c r="I189" s="1">
        <f>IFERROR(Comp1[[#This Row],[Comparable '#1 Return]]-INDEX(Benchmark1[Benchmark '#1 Return],MATCH(Comp1[[#This Row],[Comparable '#1 Dates]],Benchmark1[Benchmark '#1 Dates],0)),"-")</f>
        <v>1.795139536615305E-3</v>
      </c>
      <c r="L189" s="72">
        <f>Comp1[[#This Row],[Comparable '#1 Price]]/$B$2*100</f>
        <v>104.38056125941138</v>
      </c>
    </row>
    <row r="190" spans="1:12">
      <c r="A190" s="103">
        <v>43559</v>
      </c>
      <c r="B190" s="104">
        <v>15.41</v>
      </c>
      <c r="C190" s="4">
        <f t="shared" si="4"/>
        <v>1.0437146278603711E-2</v>
      </c>
      <c r="D190" s="1">
        <f>IFERROR(Comp1[[#This Row],[Comparable '#1 Return]]+1,"-")</f>
        <v>1.0104371462786037</v>
      </c>
      <c r="E190" s="6">
        <f>B190-MAX($B$2:B190)</f>
        <v>-0.96999999999999886</v>
      </c>
      <c r="F190" s="80">
        <f t="shared" si="5"/>
        <v>163</v>
      </c>
      <c r="G190" s="22" cm="1">
        <f t="array" ref="G190">Comp1[[#This Row],[Comparable '#1 Drawdown]]/MAX($B$2:B190)</f>
        <v>-5.9218559218559154E-2</v>
      </c>
      <c r="H190" s="1" t="str">
        <f>IF(SUM(COUNTIF(Benchmark1[Benchmark '#1 Dates],Comp1[[#This Row],[Comparable '#1 Dates]]),COUNTIF(Benchmark2[Benchmark '#2 Dates],Comp1[[#This Row],[Comparable '#1 Dates]]))=2,"Pass","Fail")</f>
        <v>Pass</v>
      </c>
      <c r="I190" s="1">
        <f>IFERROR(Comp1[[#This Row],[Comparable '#1 Return]]-INDEX(Benchmark1[Benchmark '#1 Return],MATCH(Comp1[[#This Row],[Comparable '#1 Dates]],Benchmark1[Benchmark '#1 Dates],0)),"-")</f>
        <v>8.3541102061733888E-3</v>
      </c>
      <c r="L190" s="72">
        <f>Comp1[[#This Row],[Comparable '#1 Price]]/$B$2*100</f>
        <v>105.47570157426421</v>
      </c>
    </row>
    <row r="191" spans="1:12">
      <c r="A191" s="103">
        <v>43560</v>
      </c>
      <c r="B191" s="104">
        <v>15.52</v>
      </c>
      <c r="C191" s="4">
        <f t="shared" si="4"/>
        <v>7.1128654230482912E-3</v>
      </c>
      <c r="D191" s="1">
        <f>IFERROR(Comp1[[#This Row],[Comparable '#1 Return]]+1,"-")</f>
        <v>1.0071128654230483</v>
      </c>
      <c r="E191" s="6">
        <f>B191-MAX($B$2:B191)</f>
        <v>-0.85999999999999943</v>
      </c>
      <c r="F191" s="80">
        <f t="shared" si="5"/>
        <v>164</v>
      </c>
      <c r="G191" s="22" cm="1">
        <f t="array" ref="G191">Comp1[[#This Row],[Comparable '#1 Drawdown]]/MAX($B$2:B191)</f>
        <v>-5.2503052503052469E-2</v>
      </c>
      <c r="H191" s="1" t="str">
        <f>IF(SUM(COUNTIF(Benchmark1[Benchmark '#1 Dates],Comp1[[#This Row],[Comparable '#1 Dates]]),COUNTIF(Benchmark2[Benchmark '#2 Dates],Comp1[[#This Row],[Comparable '#1 Dates]]))=2,"Pass","Fail")</f>
        <v>Pass</v>
      </c>
      <c r="I191" s="1">
        <f>IFERROR(Comp1[[#This Row],[Comparable '#1 Return]]-INDEX(Benchmark1[Benchmark '#1 Return],MATCH(Comp1[[#This Row],[Comparable '#1 Dates]],Benchmark1[Benchmark '#1 Dates],0)),"-")</f>
        <v>2.4859327362304721E-3</v>
      </c>
      <c r="L191" s="72">
        <f>Comp1[[#This Row],[Comparable '#1 Price]]/$B$2*100</f>
        <v>106.22861054072553</v>
      </c>
    </row>
    <row r="192" spans="1:12">
      <c r="A192" s="103">
        <v>43563</v>
      </c>
      <c r="B192" s="104">
        <v>15.61</v>
      </c>
      <c r="C192" s="4">
        <f t="shared" si="4"/>
        <v>5.7822197722679838E-3</v>
      </c>
      <c r="D192" s="1">
        <f>IFERROR(Comp1[[#This Row],[Comparable '#1 Return]]+1,"-")</f>
        <v>1.0057822197722679</v>
      </c>
      <c r="E192" s="6">
        <f>B192-MAX($B$2:B192)</f>
        <v>-0.76999999999999957</v>
      </c>
      <c r="F192" s="80">
        <f t="shared" si="5"/>
        <v>165</v>
      </c>
      <c r="G192" s="22" cm="1">
        <f t="array" ref="G192">Comp1[[#This Row],[Comparable '#1 Drawdown]]/MAX($B$2:B192)</f>
        <v>-4.7008547008546987E-2</v>
      </c>
      <c r="H192" s="1" t="str">
        <f>IF(SUM(COUNTIF(Benchmark1[Benchmark '#1 Dates],Comp1[[#This Row],[Comparable '#1 Dates]]),COUNTIF(Benchmark2[Benchmark '#2 Dates],Comp1[[#This Row],[Comparable '#1 Dates]]))=2,"Pass","Fail")</f>
        <v>Pass</v>
      </c>
      <c r="I192" s="1">
        <f>IFERROR(Comp1[[#This Row],[Comparable '#1 Return]]-INDEX(Benchmark1[Benchmark '#1 Return],MATCH(Comp1[[#This Row],[Comparable '#1 Dates]],Benchmark1[Benchmark '#1 Dates],0)),"-")</f>
        <v>4.7366333379078099E-3</v>
      </c>
      <c r="L192" s="72">
        <f>Comp1[[#This Row],[Comparable '#1 Price]]/$B$2*100</f>
        <v>106.84462696783027</v>
      </c>
    </row>
    <row r="193" spans="1:12">
      <c r="A193" s="103">
        <v>43564</v>
      </c>
      <c r="B193" s="104">
        <v>15.64</v>
      </c>
      <c r="C193" s="4">
        <f t="shared" si="4"/>
        <v>1.9200005898244268E-3</v>
      </c>
      <c r="D193" s="1">
        <f>IFERROR(Comp1[[#This Row],[Comparable '#1 Return]]+1,"-")</f>
        <v>1.0019200005898243</v>
      </c>
      <c r="E193" s="6">
        <f>B193-MAX($B$2:B193)</f>
        <v>-0.73999999999999844</v>
      </c>
      <c r="F193" s="80">
        <f t="shared" si="5"/>
        <v>166</v>
      </c>
      <c r="G193" s="22" cm="1">
        <f t="array" ref="G193">Comp1[[#This Row],[Comparable '#1 Drawdown]]/MAX($B$2:B193)</f>
        <v>-4.5177045177045086E-2</v>
      </c>
      <c r="H193" s="1" t="str">
        <f>IF(SUM(COUNTIF(Benchmark1[Benchmark '#1 Dates],Comp1[[#This Row],[Comparable '#1 Dates]]),COUNTIF(Benchmark2[Benchmark '#2 Dates],Comp1[[#This Row],[Comparable '#1 Dates]]))=2,"Pass","Fail")</f>
        <v>Pass</v>
      </c>
      <c r="I193" s="1">
        <f>IFERROR(Comp1[[#This Row],[Comparable '#1 Return]]-INDEX(Benchmark1[Benchmark '#1 Return],MATCH(Comp1[[#This Row],[Comparable '#1 Dates]],Benchmark1[Benchmark '#1 Dates],0)),"-")</f>
        <v>8.0059388882440154E-3</v>
      </c>
      <c r="L193" s="72">
        <f>Comp1[[#This Row],[Comparable '#1 Price]]/$B$2*100</f>
        <v>107.04996577686516</v>
      </c>
    </row>
    <row r="194" spans="1:12">
      <c r="A194" s="103">
        <v>43565</v>
      </c>
      <c r="B194" s="104">
        <v>15.76</v>
      </c>
      <c r="C194" s="4">
        <f t="shared" ref="C194:C257" si="6">IFERROR(IF(B194="","-",LN(B194/B193)),"-")</f>
        <v>7.6433493125680659E-3</v>
      </c>
      <c r="D194" s="1">
        <f>IFERROR(Comp1[[#This Row],[Comparable '#1 Return]]+1,"-")</f>
        <v>1.007643349312568</v>
      </c>
      <c r="E194" s="6">
        <f>B194-MAX($B$2:B194)</f>
        <v>-0.61999999999999922</v>
      </c>
      <c r="F194" s="80">
        <f t="shared" ref="F194:F257" si="7">IF(E194=0,0,F193+1)</f>
        <v>167</v>
      </c>
      <c r="G194" s="22" cm="1">
        <f t="array" ref="G194">Comp1[[#This Row],[Comparable '#1 Drawdown]]/MAX($B$2:B194)</f>
        <v>-3.7851037851037807E-2</v>
      </c>
      <c r="H194" s="1" t="str">
        <f>IF(SUM(COUNTIF(Benchmark1[Benchmark '#1 Dates],Comp1[[#This Row],[Comparable '#1 Dates]]),COUNTIF(Benchmark2[Benchmark '#2 Dates],Comp1[[#This Row],[Comparable '#1 Dates]]))=2,"Pass","Fail")</f>
        <v>Pass</v>
      </c>
      <c r="I194" s="1">
        <f>IFERROR(Comp1[[#This Row],[Comparable '#1 Return]]-INDEX(Benchmark1[Benchmark '#1 Return],MATCH(Comp1[[#This Row],[Comparable '#1 Dates]],Benchmark1[Benchmark '#1 Dates],0)),"-")</f>
        <v>4.171589929048476E-3</v>
      </c>
      <c r="L194" s="72">
        <f>Comp1[[#This Row],[Comparable '#1 Price]]/$B$2*100</f>
        <v>107.87132101300479</v>
      </c>
    </row>
    <row r="195" spans="1:12">
      <c r="A195" s="103">
        <v>43566</v>
      </c>
      <c r="B195" s="104">
        <v>15.7</v>
      </c>
      <c r="C195" s="4">
        <f t="shared" si="6"/>
        <v>-3.8143720754706774E-3</v>
      </c>
      <c r="D195" s="1">
        <f>IFERROR(Comp1[[#This Row],[Comparable '#1 Return]]+1,"-")</f>
        <v>0.99618562792452936</v>
      </c>
      <c r="E195" s="6">
        <f>B195-MAX($B$2:B195)</f>
        <v>-0.67999999999999972</v>
      </c>
      <c r="F195" s="80">
        <f t="shared" si="7"/>
        <v>168</v>
      </c>
      <c r="G195" s="22" cm="1">
        <f t="array" ref="G195">Comp1[[#This Row],[Comparable '#1 Drawdown]]/MAX($B$2:B195)</f>
        <v>-4.1514041514041498E-2</v>
      </c>
      <c r="H195" s="1" t="str">
        <f>IF(SUM(COUNTIF(Benchmark1[Benchmark '#1 Dates],Comp1[[#This Row],[Comparable '#1 Dates]]),COUNTIF(Benchmark2[Benchmark '#2 Dates],Comp1[[#This Row],[Comparable '#1 Dates]]))=2,"Pass","Fail")</f>
        <v>Pass</v>
      </c>
      <c r="I195" s="1">
        <f>IFERROR(Comp1[[#This Row],[Comparable '#1 Return]]-INDEX(Benchmark1[Benchmark '#1 Return],MATCH(Comp1[[#This Row],[Comparable '#1 Dates]],Benchmark1[Benchmark '#1 Dates],0)),"-")</f>
        <v>-3.8521236695002298E-3</v>
      </c>
      <c r="L195" s="72">
        <f>Comp1[[#This Row],[Comparable '#1 Price]]/$B$2*100</f>
        <v>107.46064339493498</v>
      </c>
    </row>
    <row r="196" spans="1:12">
      <c r="A196" s="103">
        <v>43567</v>
      </c>
      <c r="B196" s="104">
        <v>15.68</v>
      </c>
      <c r="C196" s="4">
        <f t="shared" si="6"/>
        <v>-1.2746974320005839E-3</v>
      </c>
      <c r="D196" s="1">
        <f>IFERROR(Comp1[[#This Row],[Comparable '#1 Return]]+1,"-")</f>
        <v>0.99872530256799941</v>
      </c>
      <c r="E196" s="6">
        <f>B196-MAX($B$2:B196)</f>
        <v>-0.69999999999999929</v>
      </c>
      <c r="F196" s="80">
        <f t="shared" si="7"/>
        <v>169</v>
      </c>
      <c r="G196" s="22" cm="1">
        <f t="array" ref="G196">Comp1[[#This Row],[Comparable '#1 Drawdown]]/MAX($B$2:B196)</f>
        <v>-4.2735042735042694E-2</v>
      </c>
      <c r="H196" s="1" t="str">
        <f>IF(SUM(COUNTIF(Benchmark1[Benchmark '#1 Dates],Comp1[[#This Row],[Comparable '#1 Dates]]),COUNTIF(Benchmark2[Benchmark '#2 Dates],Comp1[[#This Row],[Comparable '#1 Dates]]))=2,"Pass","Fail")</f>
        <v>Pass</v>
      </c>
      <c r="I196" s="1">
        <f>IFERROR(Comp1[[#This Row],[Comparable '#1 Return]]-INDEX(Benchmark1[Benchmark '#1 Return],MATCH(Comp1[[#This Row],[Comparable '#1 Dates]],Benchmark1[Benchmark '#1 Dates],0)),"-")</f>
        <v>-7.8640264590137364E-3</v>
      </c>
      <c r="L196" s="72">
        <f>Comp1[[#This Row],[Comparable '#1 Price]]/$B$2*100</f>
        <v>107.32375085557837</v>
      </c>
    </row>
    <row r="197" spans="1:12">
      <c r="A197" s="103">
        <v>43570</v>
      </c>
      <c r="B197" s="104">
        <v>15.51</v>
      </c>
      <c r="C197" s="4">
        <f t="shared" si="6"/>
        <v>-1.0901037733814312E-2</v>
      </c>
      <c r="D197" s="1">
        <f>IFERROR(Comp1[[#This Row],[Comparable '#1 Return]]+1,"-")</f>
        <v>0.98909896226618566</v>
      </c>
      <c r="E197" s="6">
        <f>B197-MAX($B$2:B197)</f>
        <v>-0.86999999999999922</v>
      </c>
      <c r="F197" s="80">
        <f t="shared" si="7"/>
        <v>170</v>
      </c>
      <c r="G197" s="22" cm="1">
        <f t="array" ref="G197">Comp1[[#This Row],[Comparable '#1 Drawdown]]/MAX($B$2:B197)</f>
        <v>-5.3113553113553071E-2</v>
      </c>
      <c r="H197" s="1" t="str">
        <f>IF(SUM(COUNTIF(Benchmark1[Benchmark '#1 Dates],Comp1[[#This Row],[Comparable '#1 Dates]]),COUNTIF(Benchmark2[Benchmark '#2 Dates],Comp1[[#This Row],[Comparable '#1 Dates]]))=2,"Pass","Fail")</f>
        <v>Pass</v>
      </c>
      <c r="I197" s="1">
        <f>IFERROR(Comp1[[#This Row],[Comparable '#1 Return]]-INDEX(Benchmark1[Benchmark '#1 Return],MATCH(Comp1[[#This Row],[Comparable '#1 Dates]],Benchmark1[Benchmark '#1 Dates],0)),"-")</f>
        <v>-1.0271032567360606E-2</v>
      </c>
      <c r="L197" s="72">
        <f>Comp1[[#This Row],[Comparable '#1 Price]]/$B$2*100</f>
        <v>106.16016427104724</v>
      </c>
    </row>
    <row r="198" spans="1:12">
      <c r="A198" s="103">
        <v>43571</v>
      </c>
      <c r="B198" s="104">
        <v>15.5</v>
      </c>
      <c r="C198" s="4">
        <f t="shared" si="6"/>
        <v>-6.4495326324645803E-4</v>
      </c>
      <c r="D198" s="1">
        <f>IFERROR(Comp1[[#This Row],[Comparable '#1 Return]]+1,"-")</f>
        <v>0.99935504673675357</v>
      </c>
      <c r="E198" s="6">
        <f>B198-MAX($B$2:B198)</f>
        <v>-0.87999999999999901</v>
      </c>
      <c r="F198" s="80">
        <f t="shared" si="7"/>
        <v>171</v>
      </c>
      <c r="G198" s="22" cm="1">
        <f t="array" ref="G198">Comp1[[#This Row],[Comparable '#1 Drawdown]]/MAX($B$2:B198)</f>
        <v>-5.3724053724053665E-2</v>
      </c>
      <c r="H198" s="1" t="str">
        <f>IF(SUM(COUNTIF(Benchmark1[Benchmark '#1 Dates],Comp1[[#This Row],[Comparable '#1 Dates]]),COUNTIF(Benchmark2[Benchmark '#2 Dates],Comp1[[#This Row],[Comparable '#1 Dates]]))=2,"Pass","Fail")</f>
        <v>Pass</v>
      </c>
      <c r="I198" s="1">
        <f>IFERROR(Comp1[[#This Row],[Comparable '#1 Return]]-INDEX(Benchmark1[Benchmark '#1 Return],MATCH(Comp1[[#This Row],[Comparable '#1 Dates]],Benchmark1[Benchmark '#1 Dates],0)),"-")</f>
        <v>-1.1522181941684313E-3</v>
      </c>
      <c r="L198" s="72">
        <f>Comp1[[#This Row],[Comparable '#1 Price]]/$B$2*100</f>
        <v>106.09171800136895</v>
      </c>
    </row>
    <row r="199" spans="1:12">
      <c r="A199" s="103">
        <v>43572</v>
      </c>
      <c r="B199" s="104">
        <v>15.53</v>
      </c>
      <c r="C199" s="4">
        <f t="shared" si="6"/>
        <v>1.933613235394781E-3</v>
      </c>
      <c r="D199" s="1">
        <f>IFERROR(Comp1[[#This Row],[Comparable '#1 Return]]+1,"-")</f>
        <v>1.0019336132353949</v>
      </c>
      <c r="E199" s="6">
        <f>B199-MAX($B$2:B199)</f>
        <v>-0.84999999999999964</v>
      </c>
      <c r="F199" s="80">
        <f t="shared" si="7"/>
        <v>172</v>
      </c>
      <c r="G199" s="22" cm="1">
        <f t="array" ref="G199">Comp1[[#This Row],[Comparable '#1 Drawdown]]/MAX($B$2:B199)</f>
        <v>-5.1892551892551875E-2</v>
      </c>
      <c r="H199" s="1" t="str">
        <f>IF(SUM(COUNTIF(Benchmark1[Benchmark '#1 Dates],Comp1[[#This Row],[Comparable '#1 Dates]]),COUNTIF(Benchmark2[Benchmark '#2 Dates],Comp1[[#This Row],[Comparable '#1 Dates]]))=2,"Pass","Fail")</f>
        <v>Pass</v>
      </c>
      <c r="I199" s="1">
        <f>IFERROR(Comp1[[#This Row],[Comparable '#1 Return]]-INDEX(Benchmark1[Benchmark '#1 Return],MATCH(Comp1[[#This Row],[Comparable '#1 Dates]],Benchmark1[Benchmark '#1 Dates],0)),"-")</f>
        <v>4.2080524818552496E-3</v>
      </c>
      <c r="L199" s="72">
        <f>Comp1[[#This Row],[Comparable '#1 Price]]/$B$2*100</f>
        <v>106.29705681040382</v>
      </c>
    </row>
    <row r="200" spans="1:12">
      <c r="A200" s="103">
        <v>43573</v>
      </c>
      <c r="B200" s="104">
        <v>15.75</v>
      </c>
      <c r="C200" s="4">
        <f t="shared" si="6"/>
        <v>1.4066728111046391E-2</v>
      </c>
      <c r="D200" s="1">
        <f>IFERROR(Comp1[[#This Row],[Comparable '#1 Return]]+1,"-")</f>
        <v>1.0140667281110465</v>
      </c>
      <c r="E200" s="6">
        <f>B200-MAX($B$2:B200)</f>
        <v>-0.62999999999999901</v>
      </c>
      <c r="F200" s="80">
        <f t="shared" si="7"/>
        <v>173</v>
      </c>
      <c r="G200" s="22" cm="1">
        <f t="array" ref="G200">Comp1[[#This Row],[Comparable '#1 Drawdown]]/MAX($B$2:B200)</f>
        <v>-3.8461538461538401E-2</v>
      </c>
      <c r="H200" s="1" t="str">
        <f>IF(SUM(COUNTIF(Benchmark1[Benchmark '#1 Dates],Comp1[[#This Row],[Comparable '#1 Dates]]),COUNTIF(Benchmark2[Benchmark '#2 Dates],Comp1[[#This Row],[Comparable '#1 Dates]]))=2,"Pass","Fail")</f>
        <v>Pass</v>
      </c>
      <c r="I200" s="1">
        <f>IFERROR(Comp1[[#This Row],[Comparable '#1 Return]]-INDEX(Benchmark1[Benchmark '#1 Return],MATCH(Comp1[[#This Row],[Comparable '#1 Dates]],Benchmark1[Benchmark '#1 Dates],0)),"-")</f>
        <v>1.2489121882468661E-2</v>
      </c>
      <c r="L200" s="72">
        <f>Comp1[[#This Row],[Comparable '#1 Price]]/$B$2*100</f>
        <v>107.80287474332648</v>
      </c>
    </row>
    <row r="201" spans="1:12">
      <c r="A201" s="103">
        <v>43577</v>
      </c>
      <c r="B201" s="104">
        <v>15.58</v>
      </c>
      <c r="C201" s="4">
        <f t="shared" si="6"/>
        <v>-1.085232482903987E-2</v>
      </c>
      <c r="D201" s="1">
        <f>IFERROR(Comp1[[#This Row],[Comparable '#1 Return]]+1,"-")</f>
        <v>0.98914767517096014</v>
      </c>
      <c r="E201" s="6">
        <f>B201-MAX($B$2:B201)</f>
        <v>-0.79999999999999893</v>
      </c>
      <c r="F201" s="80">
        <f t="shared" si="7"/>
        <v>174</v>
      </c>
      <c r="G201" s="22" cm="1">
        <f t="array" ref="G201">Comp1[[#This Row],[Comparable '#1 Drawdown]]/MAX($B$2:B201)</f>
        <v>-4.8840048840048778E-2</v>
      </c>
      <c r="H201" s="1" t="str">
        <f>IF(SUM(COUNTIF(Benchmark1[Benchmark '#1 Dates],Comp1[[#This Row],[Comparable '#1 Dates]]),COUNTIF(Benchmark2[Benchmark '#2 Dates],Comp1[[#This Row],[Comparable '#1 Dates]]))=2,"Pass","Fail")</f>
        <v>Pass</v>
      </c>
      <c r="I201" s="1">
        <f>IFERROR(Comp1[[#This Row],[Comparable '#1 Return]]-INDEX(Benchmark1[Benchmark '#1 Return],MATCH(Comp1[[#This Row],[Comparable '#1 Dates]],Benchmark1[Benchmark '#1 Dates],0)),"-")</f>
        <v>-1.1863903996408057E-2</v>
      </c>
      <c r="L201" s="72">
        <f>Comp1[[#This Row],[Comparable '#1 Price]]/$B$2*100</f>
        <v>106.63928815879535</v>
      </c>
    </row>
    <row r="202" spans="1:12">
      <c r="A202" s="103">
        <v>43578</v>
      </c>
      <c r="B202" s="104">
        <v>15.86</v>
      </c>
      <c r="C202" s="4">
        <f t="shared" si="6"/>
        <v>1.7812175764099689E-2</v>
      </c>
      <c r="D202" s="1">
        <f>IFERROR(Comp1[[#This Row],[Comparable '#1 Return]]+1,"-")</f>
        <v>1.0178121757640997</v>
      </c>
      <c r="E202" s="6">
        <f>B202-MAX($B$2:B202)</f>
        <v>-0.51999999999999957</v>
      </c>
      <c r="F202" s="80">
        <f t="shared" si="7"/>
        <v>175</v>
      </c>
      <c r="G202" s="22" cm="1">
        <f t="array" ref="G202">Comp1[[#This Row],[Comparable '#1 Drawdown]]/MAX($B$2:B202)</f>
        <v>-3.1746031746031723E-2</v>
      </c>
      <c r="H202" s="1" t="str">
        <f>IF(SUM(COUNTIF(Benchmark1[Benchmark '#1 Dates],Comp1[[#This Row],[Comparable '#1 Dates]]),COUNTIF(Benchmark2[Benchmark '#2 Dates],Comp1[[#This Row],[Comparable '#1 Dates]]))=2,"Pass","Fail")</f>
        <v>Pass</v>
      </c>
      <c r="I202" s="1">
        <f>IFERROR(Comp1[[#This Row],[Comparable '#1 Return]]-INDEX(Benchmark1[Benchmark '#1 Return],MATCH(Comp1[[#This Row],[Comparable '#1 Dates]],Benchmark1[Benchmark '#1 Dates],0)),"-")</f>
        <v>9.0121574381638436E-3</v>
      </c>
      <c r="L202" s="72">
        <f>Comp1[[#This Row],[Comparable '#1 Price]]/$B$2*100</f>
        <v>108.55578370978782</v>
      </c>
    </row>
    <row r="203" spans="1:12">
      <c r="A203" s="103">
        <v>43579</v>
      </c>
      <c r="B203" s="104">
        <v>15.68</v>
      </c>
      <c r="C203" s="4">
        <f t="shared" si="6"/>
        <v>-1.1414201284440123E-2</v>
      </c>
      <c r="D203" s="1">
        <f>IFERROR(Comp1[[#This Row],[Comparable '#1 Return]]+1,"-")</f>
        <v>0.98858579871555985</v>
      </c>
      <c r="E203" s="6">
        <f>B203-MAX($B$2:B203)</f>
        <v>-0.69999999999999929</v>
      </c>
      <c r="F203" s="80">
        <f t="shared" si="7"/>
        <v>176</v>
      </c>
      <c r="G203" s="22" cm="1">
        <f t="array" ref="G203">Comp1[[#This Row],[Comparable '#1 Drawdown]]/MAX($B$2:B203)</f>
        <v>-4.2735042735042694E-2</v>
      </c>
      <c r="H203" s="1" t="str">
        <f>IF(SUM(COUNTIF(Benchmark1[Benchmark '#1 Dates],Comp1[[#This Row],[Comparable '#1 Dates]]),COUNTIF(Benchmark2[Benchmark '#2 Dates],Comp1[[#This Row],[Comparable '#1 Dates]]))=2,"Pass","Fail")</f>
        <v>Pass</v>
      </c>
      <c r="I203" s="1">
        <f>IFERROR(Comp1[[#This Row],[Comparable '#1 Return]]-INDEX(Benchmark1[Benchmark '#1 Return],MATCH(Comp1[[#This Row],[Comparable '#1 Dates]],Benchmark1[Benchmark '#1 Dates],0)),"-")</f>
        <v>-9.2222426892039008E-3</v>
      </c>
      <c r="L203" s="72">
        <f>Comp1[[#This Row],[Comparable '#1 Price]]/$B$2*100</f>
        <v>107.32375085557837</v>
      </c>
    </row>
    <row r="204" spans="1:12">
      <c r="A204" s="103">
        <v>43580</v>
      </c>
      <c r="B204" s="104">
        <v>15.66</v>
      </c>
      <c r="C204" s="4">
        <f t="shared" si="6"/>
        <v>-1.2763243596046784E-3</v>
      </c>
      <c r="D204" s="1">
        <f>IFERROR(Comp1[[#This Row],[Comparable '#1 Return]]+1,"-")</f>
        <v>0.99872367564039533</v>
      </c>
      <c r="E204" s="6">
        <f>B204-MAX($B$2:B204)</f>
        <v>-0.71999999999999886</v>
      </c>
      <c r="F204" s="80">
        <f t="shared" si="7"/>
        <v>177</v>
      </c>
      <c r="G204" s="22" cm="1">
        <f t="array" ref="G204">Comp1[[#This Row],[Comparable '#1 Drawdown]]/MAX($B$2:B204)</f>
        <v>-4.395604395604389E-2</v>
      </c>
      <c r="H204" s="1" t="str">
        <f>IF(SUM(COUNTIF(Benchmark1[Benchmark '#1 Dates],Comp1[[#This Row],[Comparable '#1 Dates]]),COUNTIF(Benchmark2[Benchmark '#2 Dates],Comp1[[#This Row],[Comparable '#1 Dates]]))=2,"Pass","Fail")</f>
        <v>Pass</v>
      </c>
      <c r="I204" s="1">
        <f>IFERROR(Comp1[[#This Row],[Comparable '#1 Return]]-INDEX(Benchmark1[Benchmark '#1 Return],MATCH(Comp1[[#This Row],[Comparable '#1 Dates]],Benchmark1[Benchmark '#1 Dates],0)),"-")</f>
        <v>-9.0755236424132346E-4</v>
      </c>
      <c r="L204" s="72">
        <f>Comp1[[#This Row],[Comparable '#1 Price]]/$B$2*100</f>
        <v>107.18685831622177</v>
      </c>
    </row>
    <row r="205" spans="1:12">
      <c r="A205" s="103">
        <v>43581</v>
      </c>
      <c r="B205" s="104">
        <v>15.8</v>
      </c>
      <c r="C205" s="4">
        <f t="shared" si="6"/>
        <v>8.9002494702640784E-3</v>
      </c>
      <c r="D205" s="1">
        <f>IFERROR(Comp1[[#This Row],[Comparable '#1 Return]]+1,"-")</f>
        <v>1.0089002494702641</v>
      </c>
      <c r="E205" s="6">
        <f>B205-MAX($B$2:B205)</f>
        <v>-0.57999999999999829</v>
      </c>
      <c r="F205" s="80">
        <f t="shared" si="7"/>
        <v>178</v>
      </c>
      <c r="G205" s="22" cm="1">
        <f t="array" ref="G205">Comp1[[#This Row],[Comparable '#1 Drawdown]]/MAX($B$2:B205)</f>
        <v>-3.5409035409035304E-2</v>
      </c>
      <c r="H205" s="1" t="str">
        <f>IF(SUM(COUNTIF(Benchmark1[Benchmark '#1 Dates],Comp1[[#This Row],[Comparable '#1 Dates]]),COUNTIF(Benchmark2[Benchmark '#2 Dates],Comp1[[#This Row],[Comparable '#1 Dates]]))=2,"Pass","Fail")</f>
        <v>Pass</v>
      </c>
      <c r="I205" s="1">
        <f>IFERROR(Comp1[[#This Row],[Comparable '#1 Return]]-INDEX(Benchmark1[Benchmark '#1 Return],MATCH(Comp1[[#This Row],[Comparable '#1 Dates]],Benchmark1[Benchmark '#1 Dates],0)),"-")</f>
        <v>4.2263691880836162E-3</v>
      </c>
      <c r="L205" s="72">
        <f>Comp1[[#This Row],[Comparable '#1 Price]]/$B$2*100</f>
        <v>108.14510609171802</v>
      </c>
    </row>
    <row r="206" spans="1:12">
      <c r="A206" s="103">
        <v>43584</v>
      </c>
      <c r="B206" s="104">
        <v>15.75</v>
      </c>
      <c r="C206" s="4">
        <f t="shared" si="6"/>
        <v>-3.1695747612790672E-3</v>
      </c>
      <c r="D206" s="1">
        <f>IFERROR(Comp1[[#This Row],[Comparable '#1 Return]]+1,"-")</f>
        <v>0.9968304252387209</v>
      </c>
      <c r="E206" s="6">
        <f>B206-MAX($B$2:B206)</f>
        <v>-0.62999999999999901</v>
      </c>
      <c r="F206" s="80">
        <f t="shared" si="7"/>
        <v>179</v>
      </c>
      <c r="G206" s="22" cm="1">
        <f t="array" ref="G206">Comp1[[#This Row],[Comparable '#1 Drawdown]]/MAX($B$2:B206)</f>
        <v>-3.8461538461538401E-2</v>
      </c>
      <c r="H206" s="1" t="str">
        <f>IF(SUM(COUNTIF(Benchmark1[Benchmark '#1 Dates],Comp1[[#This Row],[Comparable '#1 Dates]]),COUNTIF(Benchmark2[Benchmark '#2 Dates],Comp1[[#This Row],[Comparable '#1 Dates]]))=2,"Pass","Fail")</f>
        <v>Pass</v>
      </c>
      <c r="I206" s="1">
        <f>IFERROR(Comp1[[#This Row],[Comparable '#1 Return]]-INDEX(Benchmark1[Benchmark '#1 Return],MATCH(Comp1[[#This Row],[Comparable '#1 Dates]],Benchmark1[Benchmark '#1 Dates],0)),"-")</f>
        <v>-4.2388589990592761E-3</v>
      </c>
      <c r="L206" s="72">
        <f>Comp1[[#This Row],[Comparable '#1 Price]]/$B$2*100</f>
        <v>107.80287474332648</v>
      </c>
    </row>
    <row r="207" spans="1:12">
      <c r="A207" s="103">
        <v>43585</v>
      </c>
      <c r="B207" s="104">
        <v>15.74</v>
      </c>
      <c r="C207" s="4">
        <f t="shared" si="6"/>
        <v>-6.3512228238492047E-4</v>
      </c>
      <c r="D207" s="1">
        <f>IFERROR(Comp1[[#This Row],[Comparable '#1 Return]]+1,"-")</f>
        <v>0.99936487771761506</v>
      </c>
      <c r="E207" s="6">
        <f>B207-MAX($B$2:B207)</f>
        <v>-0.63999999999999879</v>
      </c>
      <c r="F207" s="80">
        <f t="shared" si="7"/>
        <v>180</v>
      </c>
      <c r="G207" s="22" cm="1">
        <f t="array" ref="G207">Comp1[[#This Row],[Comparable '#1 Drawdown]]/MAX($B$2:B207)</f>
        <v>-3.9072039072039003E-2</v>
      </c>
      <c r="H207" s="1" t="str">
        <f>IF(SUM(COUNTIF(Benchmark1[Benchmark '#1 Dates],Comp1[[#This Row],[Comparable '#1 Dates]]),COUNTIF(Benchmark2[Benchmark '#2 Dates],Comp1[[#This Row],[Comparable '#1 Dates]]))=2,"Pass","Fail")</f>
        <v>Pass</v>
      </c>
      <c r="I207" s="1">
        <f>IFERROR(Comp1[[#This Row],[Comparable '#1 Return]]-INDEX(Benchmark1[Benchmark '#1 Return],MATCH(Comp1[[#This Row],[Comparable '#1 Dates]],Benchmark1[Benchmark '#1 Dates],0)),"-")</f>
        <v>-1.5874181205758184E-3</v>
      </c>
      <c r="L207" s="72">
        <f>Comp1[[#This Row],[Comparable '#1 Price]]/$B$2*100</f>
        <v>107.73442847364821</v>
      </c>
    </row>
    <row r="208" spans="1:12">
      <c r="A208" s="103">
        <v>43586</v>
      </c>
      <c r="B208" s="104">
        <v>15.76</v>
      </c>
      <c r="C208" s="4">
        <f t="shared" si="6"/>
        <v>1.269841440475937E-3</v>
      </c>
      <c r="D208" s="1">
        <f>IFERROR(Comp1[[#This Row],[Comparable '#1 Return]]+1,"-")</f>
        <v>1.0012698414404759</v>
      </c>
      <c r="E208" s="6">
        <f>B208-MAX($B$2:B208)</f>
        <v>-0.61999999999999922</v>
      </c>
      <c r="F208" s="80">
        <f t="shared" si="7"/>
        <v>181</v>
      </c>
      <c r="G208" s="22" cm="1">
        <f t="array" ref="G208">Comp1[[#This Row],[Comparable '#1 Drawdown]]/MAX($B$2:B208)</f>
        <v>-3.7851037851037807E-2</v>
      </c>
      <c r="H208" s="1" t="str">
        <f>IF(SUM(COUNTIF(Benchmark1[Benchmark '#1 Dates],Comp1[[#This Row],[Comparable '#1 Dates]]),COUNTIF(Benchmark2[Benchmark '#2 Dates],Comp1[[#This Row],[Comparable '#1 Dates]]))=2,"Pass","Fail")</f>
        <v>Pass</v>
      </c>
      <c r="I208" s="1">
        <f>IFERROR(Comp1[[#This Row],[Comparable '#1 Return]]-INDEX(Benchmark1[Benchmark '#1 Return],MATCH(Comp1[[#This Row],[Comparable '#1 Dates]],Benchmark1[Benchmark '#1 Dates],0)),"-")</f>
        <v>8.7998922270755234E-3</v>
      </c>
      <c r="L208" s="72">
        <f>Comp1[[#This Row],[Comparable '#1 Price]]/$B$2*100</f>
        <v>107.87132101300479</v>
      </c>
    </row>
    <row r="209" spans="1:12">
      <c r="A209" s="103">
        <v>43587</v>
      </c>
      <c r="B209" s="104">
        <v>15.93</v>
      </c>
      <c r="C209" s="4">
        <f t="shared" si="6"/>
        <v>1.0729039492224136E-2</v>
      </c>
      <c r="D209" s="1">
        <f>IFERROR(Comp1[[#This Row],[Comparable '#1 Return]]+1,"-")</f>
        <v>1.0107290394922241</v>
      </c>
      <c r="E209" s="6">
        <f>B209-MAX($B$2:B209)</f>
        <v>-0.44999999999999929</v>
      </c>
      <c r="F209" s="80">
        <f t="shared" si="7"/>
        <v>182</v>
      </c>
      <c r="G209" s="22" cm="1">
        <f t="array" ref="G209">Comp1[[#This Row],[Comparable '#1 Drawdown]]/MAX($B$2:B209)</f>
        <v>-2.747252747252743E-2</v>
      </c>
      <c r="H209" s="1" t="str">
        <f>IF(SUM(COUNTIF(Benchmark1[Benchmark '#1 Dates],Comp1[[#This Row],[Comparable '#1 Dates]]),COUNTIF(Benchmark2[Benchmark '#2 Dates],Comp1[[#This Row],[Comparable '#1 Dates]]))=2,"Pass","Fail")</f>
        <v>Pass</v>
      </c>
      <c r="I209" s="1">
        <f>IFERROR(Comp1[[#This Row],[Comparable '#1 Return]]-INDEX(Benchmark1[Benchmark '#1 Return],MATCH(Comp1[[#This Row],[Comparable '#1 Dates]],Benchmark1[Benchmark '#1 Dates],0)),"-")</f>
        <v>1.2857201251876997E-2</v>
      </c>
      <c r="L209" s="72">
        <f>Comp1[[#This Row],[Comparable '#1 Price]]/$B$2*100</f>
        <v>109.03490759753593</v>
      </c>
    </row>
    <row r="210" spans="1:12">
      <c r="A210" s="103">
        <v>43588</v>
      </c>
      <c r="B210" s="104">
        <v>15.95</v>
      </c>
      <c r="C210" s="4">
        <f t="shared" si="6"/>
        <v>1.2547053088964341E-3</v>
      </c>
      <c r="D210" s="1">
        <f>IFERROR(Comp1[[#This Row],[Comparable '#1 Return]]+1,"-")</f>
        <v>1.0012547053088965</v>
      </c>
      <c r="E210" s="6">
        <f>B210-MAX($B$2:B210)</f>
        <v>-0.42999999999999972</v>
      </c>
      <c r="F210" s="80">
        <f t="shared" si="7"/>
        <v>183</v>
      </c>
      <c r="G210" s="22" cm="1">
        <f t="array" ref="G210">Comp1[[#This Row],[Comparable '#1 Drawdown]]/MAX($B$2:B210)</f>
        <v>-2.6251526251526235E-2</v>
      </c>
      <c r="H210" s="1" t="str">
        <f>IF(SUM(COUNTIF(Benchmark1[Benchmark '#1 Dates],Comp1[[#This Row],[Comparable '#1 Dates]]),COUNTIF(Benchmark2[Benchmark '#2 Dates],Comp1[[#This Row],[Comparable '#1 Dates]]))=2,"Pass","Fail")</f>
        <v>Pass</v>
      </c>
      <c r="I210" s="1">
        <f>IFERROR(Comp1[[#This Row],[Comparable '#1 Return]]-INDEX(Benchmark1[Benchmark '#1 Return],MATCH(Comp1[[#This Row],[Comparable '#1 Dates]],Benchmark1[Benchmark '#1 Dates],0)),"-")</f>
        <v>-8.3379559277590616E-3</v>
      </c>
      <c r="L210" s="72">
        <f>Comp1[[#This Row],[Comparable '#1 Price]]/$B$2*100</f>
        <v>109.17180013689254</v>
      </c>
    </row>
    <row r="211" spans="1:12">
      <c r="A211" s="103">
        <v>43591</v>
      </c>
      <c r="B211" s="104">
        <v>15.95</v>
      </c>
      <c r="C211" s="4">
        <f t="shared" si="6"/>
        <v>0</v>
      </c>
      <c r="D211" s="1">
        <f>IFERROR(Comp1[[#This Row],[Comparable '#1 Return]]+1,"-")</f>
        <v>1</v>
      </c>
      <c r="E211" s="6">
        <f>B211-MAX($B$2:B211)</f>
        <v>-0.42999999999999972</v>
      </c>
      <c r="F211" s="80">
        <f t="shared" si="7"/>
        <v>184</v>
      </c>
      <c r="G211" s="22" cm="1">
        <f t="array" ref="G211">Comp1[[#This Row],[Comparable '#1 Drawdown]]/MAX($B$2:B211)</f>
        <v>-2.6251526251526235E-2</v>
      </c>
      <c r="H211" s="1" t="str">
        <f>IF(SUM(COUNTIF(Benchmark1[Benchmark '#1 Dates],Comp1[[#This Row],[Comparable '#1 Dates]]),COUNTIF(Benchmark2[Benchmark '#2 Dates],Comp1[[#This Row],[Comparable '#1 Dates]]))=2,"Pass","Fail")</f>
        <v>Pass</v>
      </c>
      <c r="I211" s="1">
        <f>IFERROR(Comp1[[#This Row],[Comparable '#1 Return]]-INDEX(Benchmark1[Benchmark '#1 Return],MATCH(Comp1[[#This Row],[Comparable '#1 Dates]],Benchmark1[Benchmark '#1 Dates],0)),"-")</f>
        <v>4.47897686592279E-3</v>
      </c>
      <c r="L211" s="72">
        <f>Comp1[[#This Row],[Comparable '#1 Price]]/$B$2*100</f>
        <v>109.17180013689254</v>
      </c>
    </row>
    <row r="212" spans="1:12">
      <c r="A212" s="103">
        <v>43592</v>
      </c>
      <c r="B212" s="104">
        <v>15.8</v>
      </c>
      <c r="C212" s="4">
        <f t="shared" si="6"/>
        <v>-9.4488891979323964E-3</v>
      </c>
      <c r="D212" s="1">
        <f>IFERROR(Comp1[[#This Row],[Comparable '#1 Return]]+1,"-")</f>
        <v>0.99055111080206759</v>
      </c>
      <c r="E212" s="6">
        <f>B212-MAX($B$2:B212)</f>
        <v>-0.57999999999999829</v>
      </c>
      <c r="F212" s="80">
        <f t="shared" si="7"/>
        <v>185</v>
      </c>
      <c r="G212" s="22" cm="1">
        <f t="array" ref="G212">Comp1[[#This Row],[Comparable '#1 Drawdown]]/MAX($B$2:B212)</f>
        <v>-3.5409035409035304E-2</v>
      </c>
      <c r="H212" s="1" t="str">
        <f>IF(SUM(COUNTIF(Benchmark1[Benchmark '#1 Dates],Comp1[[#This Row],[Comparable '#1 Dates]]),COUNTIF(Benchmark2[Benchmark '#2 Dates],Comp1[[#This Row],[Comparable '#1 Dates]]))=2,"Pass","Fail")</f>
        <v>Pass</v>
      </c>
      <c r="I212" s="1">
        <f>IFERROR(Comp1[[#This Row],[Comparable '#1 Return]]-INDEX(Benchmark1[Benchmark '#1 Return],MATCH(Comp1[[#This Row],[Comparable '#1 Dates]],Benchmark1[Benchmark '#1 Dates],0)),"-")</f>
        <v>7.2018316620425706E-3</v>
      </c>
      <c r="L212" s="72">
        <f>Comp1[[#This Row],[Comparable '#1 Price]]/$B$2*100</f>
        <v>108.14510609171802</v>
      </c>
    </row>
    <row r="213" spans="1:12">
      <c r="A213" s="103">
        <v>43593</v>
      </c>
      <c r="B213" s="104">
        <v>15.61</v>
      </c>
      <c r="C213" s="4">
        <f t="shared" si="6"/>
        <v>-1.2098205505580488E-2</v>
      </c>
      <c r="D213" s="1">
        <f>IFERROR(Comp1[[#This Row],[Comparable '#1 Return]]+1,"-")</f>
        <v>0.98790179449441951</v>
      </c>
      <c r="E213" s="6">
        <f>B213-MAX($B$2:B213)</f>
        <v>-0.76999999999999957</v>
      </c>
      <c r="F213" s="80">
        <f t="shared" si="7"/>
        <v>186</v>
      </c>
      <c r="G213" s="22" cm="1">
        <f t="array" ref="G213">Comp1[[#This Row],[Comparable '#1 Drawdown]]/MAX($B$2:B213)</f>
        <v>-4.7008547008546987E-2</v>
      </c>
      <c r="H213" s="1" t="str">
        <f>IF(SUM(COUNTIF(Benchmark1[Benchmark '#1 Dates],Comp1[[#This Row],[Comparable '#1 Dates]]),COUNTIF(Benchmark2[Benchmark '#2 Dates],Comp1[[#This Row],[Comparable '#1 Dates]]))=2,"Pass","Fail")</f>
        <v>Pass</v>
      </c>
      <c r="I213" s="1">
        <f>IFERROR(Comp1[[#This Row],[Comparable '#1 Return]]-INDEX(Benchmark1[Benchmark '#1 Return],MATCH(Comp1[[#This Row],[Comparable '#1 Dates]],Benchmark1[Benchmark '#1 Dates],0)),"-")</f>
        <v>-1.0491303032933722E-2</v>
      </c>
      <c r="L213" s="72">
        <f>Comp1[[#This Row],[Comparable '#1 Price]]/$B$2*100</f>
        <v>106.84462696783027</v>
      </c>
    </row>
    <row r="214" spans="1:12">
      <c r="A214" s="103">
        <v>43594</v>
      </c>
      <c r="B214" s="104">
        <v>16.399999999999999</v>
      </c>
      <c r="C214" s="4">
        <f t="shared" si="6"/>
        <v>4.9369600302812032E-2</v>
      </c>
      <c r="D214" s="1">
        <f>IFERROR(Comp1[[#This Row],[Comparable '#1 Return]]+1,"-")</f>
        <v>1.0493696003028121</v>
      </c>
      <c r="E214" s="6">
        <f>B214-MAX($B$2:B214)</f>
        <v>0</v>
      </c>
      <c r="F214" s="80">
        <f t="shared" si="7"/>
        <v>0</v>
      </c>
      <c r="G214" s="22" cm="1">
        <f t="array" ref="G214">Comp1[[#This Row],[Comparable '#1 Drawdown]]/MAX($B$2:B214)</f>
        <v>0</v>
      </c>
      <c r="H214" s="1" t="str">
        <f>IF(SUM(COUNTIF(Benchmark1[Benchmark '#1 Dates],Comp1[[#This Row],[Comparable '#1 Dates]]),COUNTIF(Benchmark2[Benchmark '#2 Dates],Comp1[[#This Row],[Comparable '#1 Dates]]))=2,"Pass","Fail")</f>
        <v>Pass</v>
      </c>
      <c r="I214" s="1">
        <f>IFERROR(Comp1[[#This Row],[Comparable '#1 Return]]-INDEX(Benchmark1[Benchmark '#1 Return],MATCH(Comp1[[#This Row],[Comparable '#1 Dates]],Benchmark1[Benchmark '#1 Dates],0)),"-")</f>
        <v>5.2396503158696747E-2</v>
      </c>
      <c r="L214" s="72">
        <f>Comp1[[#This Row],[Comparable '#1 Price]]/$B$2*100</f>
        <v>112.25188227241614</v>
      </c>
    </row>
    <row r="215" spans="1:12">
      <c r="A215" s="103">
        <v>43595</v>
      </c>
      <c r="B215" s="104">
        <v>16.39</v>
      </c>
      <c r="C215" s="4">
        <f t="shared" si="6"/>
        <v>-6.0994207441431112E-4</v>
      </c>
      <c r="D215" s="1">
        <f>IFERROR(Comp1[[#This Row],[Comparable '#1 Return]]+1,"-")</f>
        <v>0.99939005792558566</v>
      </c>
      <c r="E215" s="6">
        <f>B215-MAX($B$2:B215)</f>
        <v>-9.9999999999980105E-3</v>
      </c>
      <c r="F215" s="80">
        <f t="shared" si="7"/>
        <v>1</v>
      </c>
      <c r="G215" s="22" cm="1">
        <f t="array" ref="G215">Comp1[[#This Row],[Comparable '#1 Drawdown]]/MAX($B$2:B215)</f>
        <v>-6.097560975608544E-4</v>
      </c>
      <c r="H215" s="1" t="str">
        <f>IF(SUM(COUNTIF(Benchmark1[Benchmark '#1 Dates],Comp1[[#This Row],[Comparable '#1 Dates]]),COUNTIF(Benchmark2[Benchmark '#2 Dates],Comp1[[#This Row],[Comparable '#1 Dates]]))=2,"Pass","Fail")</f>
        <v>Pass</v>
      </c>
      <c r="I215" s="1">
        <f>IFERROR(Comp1[[#This Row],[Comparable '#1 Return]]-INDEX(Benchmark1[Benchmark '#1 Return],MATCH(Comp1[[#This Row],[Comparable '#1 Dates]],Benchmark1[Benchmark '#1 Dates],0)),"-")</f>
        <v>-4.3245486312529415E-3</v>
      </c>
      <c r="L215" s="72">
        <f>Comp1[[#This Row],[Comparable '#1 Price]]/$B$2*100</f>
        <v>112.18343600273786</v>
      </c>
    </row>
    <row r="216" spans="1:12">
      <c r="A216" s="103">
        <v>43598</v>
      </c>
      <c r="B216" s="104">
        <v>15.99</v>
      </c>
      <c r="C216" s="4">
        <f t="shared" si="6"/>
        <v>-2.4707865909875459E-2</v>
      </c>
      <c r="D216" s="1">
        <f>IFERROR(Comp1[[#This Row],[Comparable '#1 Return]]+1,"-")</f>
        <v>0.9752921340901245</v>
      </c>
      <c r="E216" s="6">
        <f>B216-MAX($B$2:B216)</f>
        <v>-0.40999999999999837</v>
      </c>
      <c r="F216" s="80">
        <f t="shared" si="7"/>
        <v>2</v>
      </c>
      <c r="G216" s="22" cm="1">
        <f t="array" ref="G216">Comp1[[#This Row],[Comparable '#1 Drawdown]]/MAX($B$2:B216)</f>
        <v>-2.4999999999999904E-2</v>
      </c>
      <c r="H216" s="1" t="str">
        <f>IF(SUM(COUNTIF(Benchmark1[Benchmark '#1 Dates],Comp1[[#This Row],[Comparable '#1 Dates]]),COUNTIF(Benchmark2[Benchmark '#2 Dates],Comp1[[#This Row],[Comparable '#1 Dates]]))=2,"Pass","Fail")</f>
        <v>Pass</v>
      </c>
      <c r="I216" s="1">
        <f>IFERROR(Comp1[[#This Row],[Comparable '#1 Return]]-INDEX(Benchmark1[Benchmark '#1 Return],MATCH(Comp1[[#This Row],[Comparable '#1 Dates]],Benchmark1[Benchmark '#1 Dates],0)),"-")</f>
        <v>-2.795082048267436E-4</v>
      </c>
      <c r="L216" s="72">
        <f>Comp1[[#This Row],[Comparable '#1 Price]]/$B$2*100</f>
        <v>109.44558521560575</v>
      </c>
    </row>
    <row r="217" spans="1:12">
      <c r="A217" s="103">
        <v>43599</v>
      </c>
      <c r="B217" s="104">
        <v>16.55</v>
      </c>
      <c r="C217" s="4">
        <f t="shared" si="6"/>
        <v>3.4422574977208999E-2</v>
      </c>
      <c r="D217" s="1">
        <f>IFERROR(Comp1[[#This Row],[Comparable '#1 Return]]+1,"-")</f>
        <v>1.0344225749772089</v>
      </c>
      <c r="E217" s="6">
        <f>B217-MAX($B$2:B217)</f>
        <v>0</v>
      </c>
      <c r="F217" s="80">
        <f t="shared" si="7"/>
        <v>0</v>
      </c>
      <c r="G217" s="22" cm="1">
        <f t="array" ref="G217">Comp1[[#This Row],[Comparable '#1 Drawdown]]/MAX($B$2:B217)</f>
        <v>0</v>
      </c>
      <c r="H217" s="1" t="str">
        <f>IF(SUM(COUNTIF(Benchmark1[Benchmark '#1 Dates],Comp1[[#This Row],[Comparable '#1 Dates]]),COUNTIF(Benchmark2[Benchmark '#2 Dates],Comp1[[#This Row],[Comparable '#1 Dates]]))=2,"Pass","Fail")</f>
        <v>Pass</v>
      </c>
      <c r="I217" s="1">
        <f>IFERROR(Comp1[[#This Row],[Comparable '#1 Return]]-INDEX(Benchmark1[Benchmark '#1 Return],MATCH(Comp1[[#This Row],[Comparable '#1 Dates]],Benchmark1[Benchmark '#1 Dates],0)),"-")</f>
        <v>2.6438007809857885E-2</v>
      </c>
      <c r="L217" s="72">
        <f>Comp1[[#This Row],[Comparable '#1 Price]]/$B$2*100</f>
        <v>113.27857631759071</v>
      </c>
    </row>
    <row r="218" spans="1:12">
      <c r="A218" s="103">
        <v>43600</v>
      </c>
      <c r="B218" s="104">
        <v>16.809999999999999</v>
      </c>
      <c r="C218" s="4">
        <f t="shared" si="6"/>
        <v>1.558784559745216E-2</v>
      </c>
      <c r="D218" s="1">
        <f>IFERROR(Comp1[[#This Row],[Comparable '#1 Return]]+1,"-")</f>
        <v>1.0155878455974521</v>
      </c>
      <c r="E218" s="6">
        <f>B218-MAX($B$2:B218)</f>
        <v>0</v>
      </c>
      <c r="F218" s="80">
        <f t="shared" si="7"/>
        <v>0</v>
      </c>
      <c r="G218" s="22" cm="1">
        <f t="array" ref="G218">Comp1[[#This Row],[Comparable '#1 Drawdown]]/MAX($B$2:B218)</f>
        <v>0</v>
      </c>
      <c r="H218" s="1" t="str">
        <f>IF(SUM(COUNTIF(Benchmark1[Benchmark '#1 Dates],Comp1[[#This Row],[Comparable '#1 Dates]]),COUNTIF(Benchmark2[Benchmark '#2 Dates],Comp1[[#This Row],[Comparable '#1 Dates]]))=2,"Pass","Fail")</f>
        <v>Pass</v>
      </c>
      <c r="I218" s="1">
        <f>IFERROR(Comp1[[#This Row],[Comparable '#1 Return]]-INDEX(Benchmark1[Benchmark '#1 Return],MATCH(Comp1[[#This Row],[Comparable '#1 Dates]],Benchmark1[Benchmark '#1 Dates],0)),"-")</f>
        <v>9.7631492971636674E-3</v>
      </c>
      <c r="L218" s="72">
        <f>Comp1[[#This Row],[Comparable '#1 Price]]/$B$2*100</f>
        <v>115.05817932922655</v>
      </c>
    </row>
    <row r="219" spans="1:12">
      <c r="A219" s="103">
        <v>43601</v>
      </c>
      <c r="B219" s="104">
        <v>16.59</v>
      </c>
      <c r="C219" s="4">
        <f t="shared" si="6"/>
        <v>-1.3173843218171062E-2</v>
      </c>
      <c r="D219" s="1">
        <f>IFERROR(Comp1[[#This Row],[Comparable '#1 Return]]+1,"-")</f>
        <v>0.98682615678182894</v>
      </c>
      <c r="E219" s="6">
        <f>B219-MAX($B$2:B219)</f>
        <v>-0.21999999999999886</v>
      </c>
      <c r="F219" s="80">
        <f t="shared" si="7"/>
        <v>1</v>
      </c>
      <c r="G219" s="22" cm="1">
        <f t="array" ref="G219">Comp1[[#This Row],[Comparable '#1 Drawdown]]/MAX($B$2:B219)</f>
        <v>-1.3087447947650141E-2</v>
      </c>
      <c r="H219" s="1" t="str">
        <f>IF(SUM(COUNTIF(Benchmark1[Benchmark '#1 Dates],Comp1[[#This Row],[Comparable '#1 Dates]]),COUNTIF(Benchmark2[Benchmark '#2 Dates],Comp1[[#This Row],[Comparable '#1 Dates]]))=2,"Pass","Fail")</f>
        <v>Pass</v>
      </c>
      <c r="I219" s="1">
        <f>IFERROR(Comp1[[#This Row],[Comparable '#1 Return]]-INDEX(Benchmark1[Benchmark '#1 Return],MATCH(Comp1[[#This Row],[Comparable '#1 Dates]],Benchmark1[Benchmark '#1 Dates],0)),"-")</f>
        <v>-2.2027104447220523E-2</v>
      </c>
      <c r="L219" s="72">
        <f>Comp1[[#This Row],[Comparable '#1 Price]]/$B$2*100</f>
        <v>113.55236139630391</v>
      </c>
    </row>
    <row r="220" spans="1:12">
      <c r="A220" s="103">
        <v>43602</v>
      </c>
      <c r="B220" s="104">
        <v>16.48</v>
      </c>
      <c r="C220" s="4">
        <f t="shared" si="6"/>
        <v>-6.6525797210274483E-3</v>
      </c>
      <c r="D220" s="1">
        <f>IFERROR(Comp1[[#This Row],[Comparable '#1 Return]]+1,"-")</f>
        <v>0.9933474202789726</v>
      </c>
      <c r="E220" s="6">
        <f>B220-MAX($B$2:B220)</f>
        <v>-0.32999999999999829</v>
      </c>
      <c r="F220" s="80">
        <f t="shared" si="7"/>
        <v>2</v>
      </c>
      <c r="G220" s="22" cm="1">
        <f t="array" ref="G220">Comp1[[#This Row],[Comparable '#1 Drawdown]]/MAX($B$2:B220)</f>
        <v>-1.9631171921475211E-2</v>
      </c>
      <c r="H220" s="1" t="str">
        <f>IF(SUM(COUNTIF(Benchmark1[Benchmark '#1 Dates],Comp1[[#This Row],[Comparable '#1 Dates]]),COUNTIF(Benchmark2[Benchmark '#2 Dates],Comp1[[#This Row],[Comparable '#1 Dates]]))=2,"Pass","Fail")</f>
        <v>Pass</v>
      </c>
      <c r="I220" s="1">
        <f>IFERROR(Comp1[[#This Row],[Comparable '#1 Return]]-INDEX(Benchmark1[Benchmark '#1 Return],MATCH(Comp1[[#This Row],[Comparable '#1 Dates]],Benchmark1[Benchmark '#1 Dates],0)),"-")</f>
        <v>-8.0004479908518927E-4</v>
      </c>
      <c r="L220" s="72">
        <f>Comp1[[#This Row],[Comparable '#1 Price]]/$B$2*100</f>
        <v>112.79945242984257</v>
      </c>
    </row>
    <row r="221" spans="1:12">
      <c r="A221" s="103">
        <v>43605</v>
      </c>
      <c r="B221" s="104">
        <v>16.350000000000001</v>
      </c>
      <c r="C221" s="4">
        <f t="shared" si="6"/>
        <v>-7.9196271380632104E-3</v>
      </c>
      <c r="D221" s="1">
        <f>IFERROR(Comp1[[#This Row],[Comparable '#1 Return]]+1,"-")</f>
        <v>0.99208037286193684</v>
      </c>
      <c r="E221" s="6">
        <f>B221-MAX($B$2:B221)</f>
        <v>-0.4599999999999973</v>
      </c>
      <c r="F221" s="80">
        <f t="shared" si="7"/>
        <v>3</v>
      </c>
      <c r="G221" s="22" cm="1">
        <f t="array" ref="G221">Comp1[[#This Row],[Comparable '#1 Drawdown]]/MAX($B$2:B221)</f>
        <v>-2.7364663890541187E-2</v>
      </c>
      <c r="H221" s="1" t="str">
        <f>IF(SUM(COUNTIF(Benchmark1[Benchmark '#1 Dates],Comp1[[#This Row],[Comparable '#1 Dates]]),COUNTIF(Benchmark2[Benchmark '#2 Dates],Comp1[[#This Row],[Comparable '#1 Dates]]))=2,"Pass","Fail")</f>
        <v>Pass</v>
      </c>
      <c r="I221" s="1">
        <f>IFERROR(Comp1[[#This Row],[Comparable '#1 Return]]-INDEX(Benchmark1[Benchmark '#1 Return],MATCH(Comp1[[#This Row],[Comparable '#1 Dates]],Benchmark1[Benchmark '#1 Dates],0)),"-")</f>
        <v>-1.1476684827234091E-3</v>
      </c>
      <c r="L221" s="72">
        <f>Comp1[[#This Row],[Comparable '#1 Price]]/$B$2*100</f>
        <v>111.90965092402465</v>
      </c>
    </row>
    <row r="222" spans="1:12">
      <c r="A222" s="103">
        <v>43606</v>
      </c>
      <c r="B222" s="104">
        <v>16.5</v>
      </c>
      <c r="C222" s="4">
        <f t="shared" si="6"/>
        <v>9.1324835632724723E-3</v>
      </c>
      <c r="D222" s="1">
        <f>IFERROR(Comp1[[#This Row],[Comparable '#1 Return]]+1,"-")</f>
        <v>1.0091324835632725</v>
      </c>
      <c r="E222" s="6">
        <f>B222-MAX($B$2:B222)</f>
        <v>-0.30999999999999872</v>
      </c>
      <c r="F222" s="80">
        <f t="shared" si="7"/>
        <v>4</v>
      </c>
      <c r="G222" s="22" cm="1">
        <f t="array" ref="G222">Comp1[[#This Row],[Comparable '#1 Drawdown]]/MAX($B$2:B222)</f>
        <v>-1.844140392623431E-2</v>
      </c>
      <c r="H222" s="1" t="str">
        <f>IF(SUM(COUNTIF(Benchmark1[Benchmark '#1 Dates],Comp1[[#This Row],[Comparable '#1 Dates]]),COUNTIF(Benchmark2[Benchmark '#2 Dates],Comp1[[#This Row],[Comparable '#1 Dates]]))=2,"Pass","Fail")</f>
        <v>Pass</v>
      </c>
      <c r="I222" s="1">
        <f>IFERROR(Comp1[[#This Row],[Comparable '#1 Return]]-INDEX(Benchmark1[Benchmark '#1 Return],MATCH(Comp1[[#This Row],[Comparable '#1 Dates]],Benchmark1[Benchmark '#1 Dates],0)),"-")</f>
        <v>6.7388791117058144E-4</v>
      </c>
      <c r="L222" s="72">
        <f>Comp1[[#This Row],[Comparable '#1 Price]]/$B$2*100</f>
        <v>112.93634496919918</v>
      </c>
    </row>
    <row r="223" spans="1:12">
      <c r="A223" s="103">
        <v>43607</v>
      </c>
      <c r="B223" s="104">
        <v>16.5</v>
      </c>
      <c r="C223" s="4">
        <f t="shared" si="6"/>
        <v>0</v>
      </c>
      <c r="D223" s="1">
        <f>IFERROR(Comp1[[#This Row],[Comparable '#1 Return]]+1,"-")</f>
        <v>1</v>
      </c>
      <c r="E223" s="6">
        <f>B223-MAX($B$2:B223)</f>
        <v>-0.30999999999999872</v>
      </c>
      <c r="F223" s="80">
        <f t="shared" si="7"/>
        <v>5</v>
      </c>
      <c r="G223" s="22" cm="1">
        <f t="array" ref="G223">Comp1[[#This Row],[Comparable '#1 Drawdown]]/MAX($B$2:B223)</f>
        <v>-1.844140392623431E-2</v>
      </c>
      <c r="H223" s="1" t="str">
        <f>IF(SUM(COUNTIF(Benchmark1[Benchmark '#1 Dates],Comp1[[#This Row],[Comparable '#1 Dates]]),COUNTIF(Benchmark2[Benchmark '#2 Dates],Comp1[[#This Row],[Comparable '#1 Dates]]))=2,"Pass","Fail")</f>
        <v>Pass</v>
      </c>
      <c r="I223" s="1">
        <f>IFERROR(Comp1[[#This Row],[Comparable '#1 Return]]-INDEX(Benchmark1[Benchmark '#1 Return],MATCH(Comp1[[#This Row],[Comparable '#1 Dates]],Benchmark1[Benchmark '#1 Dates],0)),"-")</f>
        <v>2.8267021937232158E-3</v>
      </c>
      <c r="L223" s="72">
        <f>Comp1[[#This Row],[Comparable '#1 Price]]/$B$2*100</f>
        <v>112.93634496919918</v>
      </c>
    </row>
    <row r="224" spans="1:12">
      <c r="A224" s="103">
        <v>43608</v>
      </c>
      <c r="B224" s="104">
        <v>16.48</v>
      </c>
      <c r="C224" s="4">
        <f t="shared" si="6"/>
        <v>-1.2128564252092936E-3</v>
      </c>
      <c r="D224" s="1">
        <f>IFERROR(Comp1[[#This Row],[Comparable '#1 Return]]+1,"-")</f>
        <v>0.9987871435747907</v>
      </c>
      <c r="E224" s="6">
        <f>B224-MAX($B$2:B224)</f>
        <v>-0.32999999999999829</v>
      </c>
      <c r="F224" s="80">
        <f t="shared" si="7"/>
        <v>6</v>
      </c>
      <c r="G224" s="22" cm="1">
        <f t="array" ref="G224">Comp1[[#This Row],[Comparable '#1 Drawdown]]/MAX($B$2:B224)</f>
        <v>-1.9631171921475211E-2</v>
      </c>
      <c r="H224" s="1" t="str">
        <f>IF(SUM(COUNTIF(Benchmark1[Benchmark '#1 Dates],Comp1[[#This Row],[Comparable '#1 Dates]]),COUNTIF(Benchmark2[Benchmark '#2 Dates],Comp1[[#This Row],[Comparable '#1 Dates]]))=2,"Pass","Fail")</f>
        <v>Pass</v>
      </c>
      <c r="I224" s="1">
        <f>IFERROR(Comp1[[#This Row],[Comparable '#1 Return]]-INDEX(Benchmark1[Benchmark '#1 Return],MATCH(Comp1[[#This Row],[Comparable '#1 Dates]],Benchmark1[Benchmark '#1 Dates],0)),"-")</f>
        <v>1.0773940110285596E-2</v>
      </c>
      <c r="L224" s="72">
        <f>Comp1[[#This Row],[Comparable '#1 Price]]/$B$2*100</f>
        <v>112.79945242984257</v>
      </c>
    </row>
    <row r="225" spans="1:12">
      <c r="A225" s="103">
        <v>43609</v>
      </c>
      <c r="B225" s="104">
        <v>16.489999999999998</v>
      </c>
      <c r="C225" s="4">
        <f t="shared" si="6"/>
        <v>6.0661209018186596E-4</v>
      </c>
      <c r="D225" s="1">
        <f>IFERROR(Comp1[[#This Row],[Comparable '#1 Return]]+1,"-")</f>
        <v>1.0006066120901818</v>
      </c>
      <c r="E225" s="6">
        <f>B225-MAX($B$2:B225)</f>
        <v>-0.32000000000000028</v>
      </c>
      <c r="F225" s="80">
        <f t="shared" si="7"/>
        <v>7</v>
      </c>
      <c r="G225" s="22" cm="1">
        <f t="array" ref="G225">Comp1[[#This Row],[Comparable '#1 Drawdown]]/MAX($B$2:B225)</f>
        <v>-1.9036287923854867E-2</v>
      </c>
      <c r="H225" s="1" t="str">
        <f>IF(SUM(COUNTIF(Benchmark1[Benchmark '#1 Dates],Comp1[[#This Row],[Comparable '#1 Dates]]),COUNTIF(Benchmark2[Benchmark '#2 Dates],Comp1[[#This Row],[Comparable '#1 Dates]]))=2,"Pass","Fail")</f>
        <v>Pass</v>
      </c>
      <c r="I225" s="1">
        <f>IFERROR(Comp1[[#This Row],[Comparable '#1 Return]]-INDEX(Benchmark1[Benchmark '#1 Return],MATCH(Comp1[[#This Row],[Comparable '#1 Dates]],Benchmark1[Benchmark '#1 Dates],0)),"-")</f>
        <v>-7.4732708886274951E-4</v>
      </c>
      <c r="L225" s="72">
        <f>Comp1[[#This Row],[Comparable '#1 Price]]/$B$2*100</f>
        <v>112.86789869952088</v>
      </c>
    </row>
    <row r="226" spans="1:12">
      <c r="A226" s="103">
        <v>43613</v>
      </c>
      <c r="B226" s="104">
        <v>16.47</v>
      </c>
      <c r="C226" s="4">
        <f t="shared" si="6"/>
        <v>-1.2135923819585751E-3</v>
      </c>
      <c r="D226" s="1">
        <f>IFERROR(Comp1[[#This Row],[Comparable '#1 Return]]+1,"-")</f>
        <v>0.99878640761804138</v>
      </c>
      <c r="E226" s="6">
        <f>B226-MAX($B$2:B226)</f>
        <v>-0.33999999999999986</v>
      </c>
      <c r="F226" s="80">
        <f t="shared" si="7"/>
        <v>8</v>
      </c>
      <c r="G226" s="22" cm="1">
        <f t="array" ref="G226">Comp1[[#This Row],[Comparable '#1 Drawdown]]/MAX($B$2:B226)</f>
        <v>-2.0226055919095768E-2</v>
      </c>
      <c r="H226" s="1" t="str">
        <f>IF(SUM(COUNTIF(Benchmark1[Benchmark '#1 Dates],Comp1[[#This Row],[Comparable '#1 Dates]]),COUNTIF(Benchmark2[Benchmark '#2 Dates],Comp1[[#This Row],[Comparable '#1 Dates]]))=2,"Pass","Fail")</f>
        <v>Pass</v>
      </c>
      <c r="I226" s="1">
        <f>IFERROR(Comp1[[#This Row],[Comparable '#1 Return]]-INDEX(Benchmark1[Benchmark '#1 Return],MATCH(Comp1[[#This Row],[Comparable '#1 Dates]],Benchmark1[Benchmark '#1 Dates],0)),"-")</f>
        <v>7.2006631205849686E-3</v>
      </c>
      <c r="L226" s="72">
        <f>Comp1[[#This Row],[Comparable '#1 Price]]/$B$2*100</f>
        <v>112.73100616016427</v>
      </c>
    </row>
    <row r="227" spans="1:12">
      <c r="A227" s="103">
        <v>43614</v>
      </c>
      <c r="B227" s="104">
        <v>16.53</v>
      </c>
      <c r="C227" s="4">
        <f t="shared" si="6"/>
        <v>3.6363676433839335E-3</v>
      </c>
      <c r="D227" s="1">
        <f>IFERROR(Comp1[[#This Row],[Comparable '#1 Return]]+1,"-")</f>
        <v>1.0036363676433839</v>
      </c>
      <c r="E227" s="6">
        <f>B227-MAX($B$2:B227)</f>
        <v>-0.27999999999999758</v>
      </c>
      <c r="F227" s="80">
        <f t="shared" si="7"/>
        <v>9</v>
      </c>
      <c r="G227" s="22" cm="1">
        <f t="array" ref="G227">Comp1[[#This Row],[Comparable '#1 Drawdown]]/MAX($B$2:B227)</f>
        <v>-1.6656751933372849E-2</v>
      </c>
      <c r="H227" s="1" t="str">
        <f>IF(SUM(COUNTIF(Benchmark1[Benchmark '#1 Dates],Comp1[[#This Row],[Comparable '#1 Dates]]),COUNTIF(Benchmark2[Benchmark '#2 Dates],Comp1[[#This Row],[Comparable '#1 Dates]]))=2,"Pass","Fail")</f>
        <v>Pass</v>
      </c>
      <c r="I227" s="1">
        <f>IFERROR(Comp1[[#This Row],[Comparable '#1 Return]]-INDEX(Benchmark1[Benchmark '#1 Return],MATCH(Comp1[[#This Row],[Comparable '#1 Dates]],Benchmark1[Benchmark '#1 Dates],0)),"-")</f>
        <v>1.0571219691258998E-2</v>
      </c>
      <c r="L227" s="72">
        <f>Comp1[[#This Row],[Comparable '#1 Price]]/$B$2*100</f>
        <v>113.1416837782341</v>
      </c>
    </row>
    <row r="228" spans="1:12">
      <c r="A228" s="103">
        <v>43615</v>
      </c>
      <c r="B228" s="104">
        <v>16.5</v>
      </c>
      <c r="C228" s="4">
        <f t="shared" si="6"/>
        <v>-1.8165309263980052E-3</v>
      </c>
      <c r="D228" s="1">
        <f>IFERROR(Comp1[[#This Row],[Comparable '#1 Return]]+1,"-")</f>
        <v>0.998183469073602</v>
      </c>
      <c r="E228" s="6">
        <f>B228-MAX($B$2:B228)</f>
        <v>-0.30999999999999872</v>
      </c>
      <c r="F228" s="80">
        <f t="shared" si="7"/>
        <v>10</v>
      </c>
      <c r="G228" s="22" cm="1">
        <f t="array" ref="G228">Comp1[[#This Row],[Comparable '#1 Drawdown]]/MAX($B$2:B228)</f>
        <v>-1.844140392623431E-2</v>
      </c>
      <c r="H228" s="1" t="str">
        <f>IF(SUM(COUNTIF(Benchmark1[Benchmark '#1 Dates],Comp1[[#This Row],[Comparable '#1 Dates]]),COUNTIF(Benchmark2[Benchmark '#2 Dates],Comp1[[#This Row],[Comparable '#1 Dates]]))=2,"Pass","Fail")</f>
        <v>Pass</v>
      </c>
      <c r="I228" s="1">
        <f>IFERROR(Comp1[[#This Row],[Comparable '#1 Return]]-INDEX(Benchmark1[Benchmark '#1 Return],MATCH(Comp1[[#This Row],[Comparable '#1 Dates]],Benchmark1[Benchmark '#1 Dates],0)),"-")</f>
        <v>-3.9151428537808567E-3</v>
      </c>
      <c r="L228" s="72">
        <f>Comp1[[#This Row],[Comparable '#1 Price]]/$B$2*100</f>
        <v>112.93634496919918</v>
      </c>
    </row>
    <row r="229" spans="1:12">
      <c r="A229" s="103">
        <v>43616</v>
      </c>
      <c r="B229" s="104">
        <v>16.059999999999999</v>
      </c>
      <c r="C229" s="4">
        <f t="shared" si="6"/>
        <v>-2.7028672387919374E-2</v>
      </c>
      <c r="D229" s="1">
        <f>IFERROR(Comp1[[#This Row],[Comparable '#1 Return]]+1,"-")</f>
        <v>0.97297132761208061</v>
      </c>
      <c r="E229" s="6">
        <f>B229-MAX($B$2:B229)</f>
        <v>-0.75</v>
      </c>
      <c r="F229" s="80">
        <f t="shared" si="7"/>
        <v>11</v>
      </c>
      <c r="G229" s="22" cm="1">
        <f t="array" ref="G229">Comp1[[#This Row],[Comparable '#1 Drawdown]]/MAX($B$2:B229)</f>
        <v>-4.4616299821534804E-2</v>
      </c>
      <c r="H229" s="1" t="str">
        <f>IF(SUM(COUNTIF(Benchmark1[Benchmark '#1 Dates],Comp1[[#This Row],[Comparable '#1 Dates]]),COUNTIF(Benchmark2[Benchmark '#2 Dates],Comp1[[#This Row],[Comparable '#1 Dates]]))=2,"Pass","Fail")</f>
        <v>Pass</v>
      </c>
      <c r="I229" s="1">
        <f>IFERROR(Comp1[[#This Row],[Comparable '#1 Return]]-INDEX(Benchmark1[Benchmark '#1 Return],MATCH(Comp1[[#This Row],[Comparable '#1 Dates]],Benchmark1[Benchmark '#1 Dates],0)),"-")</f>
        <v>-1.3744765113923946E-2</v>
      </c>
      <c r="L229" s="72">
        <f>Comp1[[#This Row],[Comparable '#1 Price]]/$B$2*100</f>
        <v>109.92470910335386</v>
      </c>
    </row>
    <row r="230" spans="1:12">
      <c r="A230" s="103">
        <v>43619</v>
      </c>
      <c r="B230" s="104">
        <v>16.45</v>
      </c>
      <c r="C230" s="4">
        <f t="shared" si="6"/>
        <v>2.3993768692765378E-2</v>
      </c>
      <c r="D230" s="1">
        <f>IFERROR(Comp1[[#This Row],[Comparable '#1 Return]]+1,"-")</f>
        <v>1.0239937686927654</v>
      </c>
      <c r="E230" s="6">
        <f>B230-MAX($B$2:B230)</f>
        <v>-0.35999999999999943</v>
      </c>
      <c r="F230" s="80">
        <f t="shared" si="7"/>
        <v>12</v>
      </c>
      <c r="G230" s="22" cm="1">
        <f t="array" ref="G230">Comp1[[#This Row],[Comparable '#1 Drawdown]]/MAX($B$2:B230)</f>
        <v>-2.1415823914336673E-2</v>
      </c>
      <c r="H230" s="1" t="str">
        <f>IF(SUM(COUNTIF(Benchmark1[Benchmark '#1 Dates],Comp1[[#This Row],[Comparable '#1 Dates]]),COUNTIF(Benchmark2[Benchmark '#2 Dates],Comp1[[#This Row],[Comparable '#1 Dates]]))=2,"Pass","Fail")</f>
        <v>Pass</v>
      </c>
      <c r="I230" s="1">
        <f>IFERROR(Comp1[[#This Row],[Comparable '#1 Return]]-INDEX(Benchmark1[Benchmark '#1 Return],MATCH(Comp1[[#This Row],[Comparable '#1 Dates]],Benchmark1[Benchmark '#1 Dates],0)),"-")</f>
        <v>2.6765144987139573E-2</v>
      </c>
      <c r="L230" s="72">
        <f>Comp1[[#This Row],[Comparable '#1 Price]]/$B$2*100</f>
        <v>112.59411362080766</v>
      </c>
    </row>
    <row r="231" spans="1:12">
      <c r="A231" s="103">
        <v>43620</v>
      </c>
      <c r="B231" s="104">
        <v>16.829999999999998</v>
      </c>
      <c r="C231" s="4">
        <f t="shared" si="6"/>
        <v>2.2837530991333711E-2</v>
      </c>
      <c r="D231" s="1">
        <f>IFERROR(Comp1[[#This Row],[Comparable '#1 Return]]+1,"-")</f>
        <v>1.0228375309913338</v>
      </c>
      <c r="E231" s="6">
        <f>B231-MAX($B$2:B231)</f>
        <v>0</v>
      </c>
      <c r="F231" s="80">
        <f t="shared" si="7"/>
        <v>0</v>
      </c>
      <c r="G231" s="22" cm="1">
        <f t="array" ref="G231">Comp1[[#This Row],[Comparable '#1 Drawdown]]/MAX($B$2:B231)</f>
        <v>0</v>
      </c>
      <c r="H231" s="1" t="str">
        <f>IF(SUM(COUNTIF(Benchmark1[Benchmark '#1 Dates],Comp1[[#This Row],[Comparable '#1 Dates]]),COUNTIF(Benchmark2[Benchmark '#2 Dates],Comp1[[#This Row],[Comparable '#1 Dates]]))=2,"Pass","Fail")</f>
        <v>Pass</v>
      </c>
      <c r="I231" s="1">
        <f>IFERROR(Comp1[[#This Row],[Comparable '#1 Return]]-INDEX(Benchmark1[Benchmark '#1 Return],MATCH(Comp1[[#This Row],[Comparable '#1 Dates]],Benchmark1[Benchmark '#1 Dates],0)),"-")</f>
        <v>1.629428071141685E-3</v>
      </c>
      <c r="L231" s="72">
        <f>Comp1[[#This Row],[Comparable '#1 Price]]/$B$2*100</f>
        <v>115.19507186858316</v>
      </c>
    </row>
    <row r="232" spans="1:12">
      <c r="A232" s="103">
        <v>43621</v>
      </c>
      <c r="B232" s="104">
        <v>17.010000000000002</v>
      </c>
      <c r="C232" s="4">
        <f t="shared" si="6"/>
        <v>1.0638398205056018E-2</v>
      </c>
      <c r="D232" s="1">
        <f>IFERROR(Comp1[[#This Row],[Comparable '#1 Return]]+1,"-")</f>
        <v>1.010638398205056</v>
      </c>
      <c r="E232" s="6">
        <f>B232-MAX($B$2:B232)</f>
        <v>0</v>
      </c>
      <c r="F232" s="80">
        <f t="shared" si="7"/>
        <v>0</v>
      </c>
      <c r="G232" s="22" cm="1">
        <f t="array" ref="G232">Comp1[[#This Row],[Comparable '#1 Drawdown]]/MAX($B$2:B232)</f>
        <v>0</v>
      </c>
      <c r="H232" s="1" t="str">
        <f>IF(SUM(COUNTIF(Benchmark1[Benchmark '#1 Dates],Comp1[[#This Row],[Comparable '#1 Dates]]),COUNTIF(Benchmark2[Benchmark '#2 Dates],Comp1[[#This Row],[Comparable '#1 Dates]]))=2,"Pass","Fail")</f>
        <v>Pass</v>
      </c>
      <c r="I232" s="1">
        <f>IFERROR(Comp1[[#This Row],[Comparable '#1 Return]]-INDEX(Benchmark1[Benchmark '#1 Return],MATCH(Comp1[[#This Row],[Comparable '#1 Dates]],Benchmark1[Benchmark '#1 Dates],0)),"-")</f>
        <v>2.5103221518950371E-3</v>
      </c>
      <c r="L232" s="72">
        <f>Comp1[[#This Row],[Comparable '#1 Price]]/$B$2*100</f>
        <v>116.42710472279263</v>
      </c>
    </row>
    <row r="233" spans="1:12">
      <c r="A233" s="103">
        <v>43622</v>
      </c>
      <c r="B233" s="104">
        <v>17.010000000000002</v>
      </c>
      <c r="C233" s="4">
        <f t="shared" si="6"/>
        <v>0</v>
      </c>
      <c r="D233" s="1">
        <f>IFERROR(Comp1[[#This Row],[Comparable '#1 Return]]+1,"-")</f>
        <v>1</v>
      </c>
      <c r="E233" s="6">
        <f>B233-MAX($B$2:B233)</f>
        <v>0</v>
      </c>
      <c r="F233" s="80">
        <f t="shared" si="7"/>
        <v>0</v>
      </c>
      <c r="G233" s="22" cm="1">
        <f t="array" ref="G233">Comp1[[#This Row],[Comparable '#1 Drawdown]]/MAX($B$2:B233)</f>
        <v>0</v>
      </c>
      <c r="H233" s="1" t="str">
        <f>IF(SUM(COUNTIF(Benchmark1[Benchmark '#1 Dates],Comp1[[#This Row],[Comparable '#1 Dates]]),COUNTIF(Benchmark2[Benchmark '#2 Dates],Comp1[[#This Row],[Comparable '#1 Dates]]))=2,"Pass","Fail")</f>
        <v>Pass</v>
      </c>
      <c r="I233" s="1">
        <f>IFERROR(Comp1[[#This Row],[Comparable '#1 Return]]-INDEX(Benchmark1[Benchmark '#1 Return],MATCH(Comp1[[#This Row],[Comparable '#1 Dates]],Benchmark1[Benchmark '#1 Dates],0)),"-")</f>
        <v>-6.1167300587356647E-3</v>
      </c>
      <c r="L233" s="72">
        <f>Comp1[[#This Row],[Comparable '#1 Price]]/$B$2*100</f>
        <v>116.42710472279263</v>
      </c>
    </row>
    <row r="234" spans="1:12">
      <c r="A234" s="103">
        <v>43623</v>
      </c>
      <c r="B234" s="104">
        <v>16.57</v>
      </c>
      <c r="C234" s="4">
        <f t="shared" si="6"/>
        <v>-2.6207574969298923E-2</v>
      </c>
      <c r="D234" s="1">
        <f>IFERROR(Comp1[[#This Row],[Comparable '#1 Return]]+1,"-")</f>
        <v>0.97379242503070107</v>
      </c>
      <c r="E234" s="6">
        <f>B234-MAX($B$2:B234)</f>
        <v>-0.44000000000000128</v>
      </c>
      <c r="F234" s="80">
        <f t="shared" si="7"/>
        <v>1</v>
      </c>
      <c r="G234" s="22" cm="1">
        <f t="array" ref="G234">Comp1[[#This Row],[Comparable '#1 Drawdown]]/MAX($B$2:B234)</f>
        <v>-2.5867136978248162E-2</v>
      </c>
      <c r="H234" s="1" t="str">
        <f>IF(SUM(COUNTIF(Benchmark1[Benchmark '#1 Dates],Comp1[[#This Row],[Comparable '#1 Dates]]),COUNTIF(Benchmark2[Benchmark '#2 Dates],Comp1[[#This Row],[Comparable '#1 Dates]]))=2,"Pass","Fail")</f>
        <v>Pass</v>
      </c>
      <c r="I234" s="1">
        <f>IFERROR(Comp1[[#This Row],[Comparable '#1 Return]]-INDEX(Benchmark1[Benchmark '#1 Return],MATCH(Comp1[[#This Row],[Comparable '#1 Dates]],Benchmark1[Benchmark '#1 Dates],0)),"-")</f>
        <v>-3.6651084173276838E-2</v>
      </c>
      <c r="L234" s="72">
        <f>Comp1[[#This Row],[Comparable '#1 Price]]/$B$2*100</f>
        <v>113.41546885694731</v>
      </c>
    </row>
    <row r="235" spans="1:12">
      <c r="A235" s="103">
        <v>43626</v>
      </c>
      <c r="B235" s="104">
        <v>16.48</v>
      </c>
      <c r="C235" s="4">
        <f t="shared" si="6"/>
        <v>-5.4463069571458692E-3</v>
      </c>
      <c r="D235" s="1">
        <f>IFERROR(Comp1[[#This Row],[Comparable '#1 Return]]+1,"-")</f>
        <v>0.99455369304285413</v>
      </c>
      <c r="E235" s="6">
        <f>B235-MAX($B$2:B235)</f>
        <v>-0.53000000000000114</v>
      </c>
      <c r="F235" s="80">
        <f t="shared" si="7"/>
        <v>2</v>
      </c>
      <c r="G235" s="22" cm="1">
        <f t="array" ref="G235">Comp1[[#This Row],[Comparable '#1 Drawdown]]/MAX($B$2:B235)</f>
        <v>-3.1158142269253446E-2</v>
      </c>
      <c r="H235" s="1" t="str">
        <f>IF(SUM(COUNTIF(Benchmark1[Benchmark '#1 Dates],Comp1[[#This Row],[Comparable '#1 Dates]]),COUNTIF(Benchmark2[Benchmark '#2 Dates],Comp1[[#This Row],[Comparable '#1 Dates]]))=2,"Pass","Fail")</f>
        <v>Pass</v>
      </c>
      <c r="I235" s="1">
        <f>IFERROR(Comp1[[#This Row],[Comparable '#1 Return]]-INDEX(Benchmark1[Benchmark '#1 Return],MATCH(Comp1[[#This Row],[Comparable '#1 Dates]],Benchmark1[Benchmark '#1 Dates],0)),"-")</f>
        <v>-1.0096297242322746E-2</v>
      </c>
      <c r="L235" s="72">
        <f>Comp1[[#This Row],[Comparable '#1 Price]]/$B$2*100</f>
        <v>112.79945242984257</v>
      </c>
    </row>
    <row r="236" spans="1:12">
      <c r="A236" s="103">
        <v>43627</v>
      </c>
      <c r="B236" s="104">
        <v>16.329999999999998</v>
      </c>
      <c r="C236" s="4">
        <f t="shared" si="6"/>
        <v>-9.1436174989520322E-3</v>
      </c>
      <c r="D236" s="1">
        <f>IFERROR(Comp1[[#This Row],[Comparable '#1 Return]]+1,"-")</f>
        <v>0.99085638250104802</v>
      </c>
      <c r="E236" s="6">
        <f>B236-MAX($B$2:B236)</f>
        <v>-0.68000000000000327</v>
      </c>
      <c r="F236" s="80">
        <f t="shared" si="7"/>
        <v>3</v>
      </c>
      <c r="G236" s="22" cm="1">
        <f t="array" ref="G236">Comp1[[#This Row],[Comparable '#1 Drawdown]]/MAX($B$2:B236)</f>
        <v>-3.9976484420929055E-2</v>
      </c>
      <c r="H236" s="1" t="str">
        <f>IF(SUM(COUNTIF(Benchmark1[Benchmark '#1 Dates],Comp1[[#This Row],[Comparable '#1 Dates]]),COUNTIF(Benchmark2[Benchmark '#2 Dates],Comp1[[#This Row],[Comparable '#1 Dates]]))=2,"Pass","Fail")</f>
        <v>Pass</v>
      </c>
      <c r="I236" s="1">
        <f>IFERROR(Comp1[[#This Row],[Comparable '#1 Return]]-INDEX(Benchmark1[Benchmark '#1 Return],MATCH(Comp1[[#This Row],[Comparable '#1 Dates]],Benchmark1[Benchmark '#1 Dates],0)),"-")</f>
        <v>-8.7929936887187216E-3</v>
      </c>
      <c r="L236" s="72">
        <f>Comp1[[#This Row],[Comparable '#1 Price]]/$B$2*100</f>
        <v>111.77275838466802</v>
      </c>
    </row>
    <row r="237" spans="1:12">
      <c r="A237" s="103">
        <v>43628</v>
      </c>
      <c r="B237" s="104">
        <v>16.28</v>
      </c>
      <c r="C237" s="4">
        <f t="shared" si="6"/>
        <v>-3.0665464079793507E-3</v>
      </c>
      <c r="D237" s="1">
        <f>IFERROR(Comp1[[#This Row],[Comparable '#1 Return]]+1,"-")</f>
        <v>0.99693345359202068</v>
      </c>
      <c r="E237" s="6">
        <f>B237-MAX($B$2:B237)</f>
        <v>-0.73000000000000043</v>
      </c>
      <c r="F237" s="80">
        <f t="shared" si="7"/>
        <v>4</v>
      </c>
      <c r="G237" s="22" cm="1">
        <f t="array" ref="G237">Comp1[[#This Row],[Comparable '#1 Drawdown]]/MAX($B$2:B237)</f>
        <v>-4.2915931804820714E-2</v>
      </c>
      <c r="H237" s="1" t="str">
        <f>IF(SUM(COUNTIF(Benchmark1[Benchmark '#1 Dates],Comp1[[#This Row],[Comparable '#1 Dates]]),COUNTIF(Benchmark2[Benchmark '#2 Dates],Comp1[[#This Row],[Comparable '#1 Dates]]))=2,"Pass","Fail")</f>
        <v>Pass</v>
      </c>
      <c r="I237" s="1">
        <f>IFERROR(Comp1[[#This Row],[Comparable '#1 Return]]-INDEX(Benchmark1[Benchmark '#1 Return],MATCH(Comp1[[#This Row],[Comparable '#1 Dates]],Benchmark1[Benchmark '#1 Dates],0)),"-")</f>
        <v>-1.0248746069854886E-3</v>
      </c>
      <c r="L237" s="72">
        <f>Comp1[[#This Row],[Comparable '#1 Price]]/$B$2*100</f>
        <v>111.43052703627654</v>
      </c>
    </row>
    <row r="238" spans="1:12">
      <c r="A238" s="103">
        <v>43629</v>
      </c>
      <c r="B238" s="104">
        <v>15.81</v>
      </c>
      <c r="C238" s="4">
        <f t="shared" si="6"/>
        <v>-2.9294709353013648E-2</v>
      </c>
      <c r="D238" s="1">
        <f>IFERROR(Comp1[[#This Row],[Comparable '#1 Return]]+1,"-")</f>
        <v>0.97070529064698641</v>
      </c>
      <c r="E238" s="6">
        <f>B238-MAX($B$2:B238)</f>
        <v>-1.2000000000000011</v>
      </c>
      <c r="F238" s="80">
        <f t="shared" si="7"/>
        <v>5</v>
      </c>
      <c r="G238" s="22" cm="1">
        <f t="array" ref="G238">Comp1[[#This Row],[Comparable '#1 Drawdown]]/MAX($B$2:B238)</f>
        <v>-7.0546737213403932E-2</v>
      </c>
      <c r="H238" s="1" t="str">
        <f>IF(SUM(COUNTIF(Benchmark1[Benchmark '#1 Dates],Comp1[[#This Row],[Comparable '#1 Dates]]),COUNTIF(Benchmark2[Benchmark '#2 Dates],Comp1[[#This Row],[Comparable '#1 Dates]]))=2,"Pass","Fail")</f>
        <v>Pass</v>
      </c>
      <c r="I238" s="1">
        <f>IFERROR(Comp1[[#This Row],[Comparable '#1 Return]]-INDEX(Benchmark1[Benchmark '#1 Return],MATCH(Comp1[[#This Row],[Comparable '#1 Dates]],Benchmark1[Benchmark '#1 Dates],0)),"-")</f>
        <v>-3.3385201926669023E-2</v>
      </c>
      <c r="L238" s="72">
        <f>Comp1[[#This Row],[Comparable '#1 Price]]/$B$2*100</f>
        <v>108.21355236139631</v>
      </c>
    </row>
    <row r="239" spans="1:12">
      <c r="A239" s="103">
        <v>43630</v>
      </c>
      <c r="B239" s="104">
        <v>15.88</v>
      </c>
      <c r="C239" s="4">
        <f t="shared" si="6"/>
        <v>4.417804597608984E-3</v>
      </c>
      <c r="D239" s="1">
        <f>IFERROR(Comp1[[#This Row],[Comparable '#1 Return]]+1,"-")</f>
        <v>1.0044178045976089</v>
      </c>
      <c r="E239" s="6">
        <f>B239-MAX($B$2:B239)</f>
        <v>-1.1300000000000008</v>
      </c>
      <c r="F239" s="80">
        <f t="shared" si="7"/>
        <v>6</v>
      </c>
      <c r="G239" s="22" cm="1">
        <f t="array" ref="G239">Comp1[[#This Row],[Comparable '#1 Drawdown]]/MAX($B$2:B239)</f>
        <v>-6.6431510875955363E-2</v>
      </c>
      <c r="H239" s="1" t="str">
        <f>IF(SUM(COUNTIF(Benchmark1[Benchmark '#1 Dates],Comp1[[#This Row],[Comparable '#1 Dates]]),COUNTIF(Benchmark2[Benchmark '#2 Dates],Comp1[[#This Row],[Comparable '#1 Dates]]))=2,"Pass","Fail")</f>
        <v>Pass</v>
      </c>
      <c r="I239" s="1">
        <f>IFERROR(Comp1[[#This Row],[Comparable '#1 Return]]-INDEX(Benchmark1[Benchmark '#1 Return],MATCH(Comp1[[#This Row],[Comparable '#1 Dates]],Benchmark1[Benchmark '#1 Dates],0)),"-")</f>
        <v>6.0297197310581656E-3</v>
      </c>
      <c r="L239" s="72">
        <f>Comp1[[#This Row],[Comparable '#1 Price]]/$B$2*100</f>
        <v>108.69267624914443</v>
      </c>
    </row>
    <row r="240" spans="1:12">
      <c r="A240" s="103">
        <v>43633</v>
      </c>
      <c r="B240" s="104">
        <v>15.6</v>
      </c>
      <c r="C240" s="4">
        <f t="shared" si="6"/>
        <v>-1.778954156349841E-2</v>
      </c>
      <c r="D240" s="1">
        <f>IFERROR(Comp1[[#This Row],[Comparable '#1 Return]]+1,"-")</f>
        <v>0.98221045843650157</v>
      </c>
      <c r="E240" s="6">
        <f>B240-MAX($B$2:B240)</f>
        <v>-1.4100000000000019</v>
      </c>
      <c r="F240" s="80">
        <f t="shared" si="7"/>
        <v>7</v>
      </c>
      <c r="G240" s="22" cm="1">
        <f t="array" ref="G240">Comp1[[#This Row],[Comparable '#1 Drawdown]]/MAX($B$2:B240)</f>
        <v>-8.2892416225749666E-2</v>
      </c>
      <c r="H240" s="1" t="str">
        <f>IF(SUM(COUNTIF(Benchmark1[Benchmark '#1 Dates],Comp1[[#This Row],[Comparable '#1 Dates]]),COUNTIF(Benchmark2[Benchmark '#2 Dates],Comp1[[#This Row],[Comparable '#1 Dates]]))=2,"Pass","Fail")</f>
        <v>Pass</v>
      </c>
      <c r="I240" s="1">
        <f>IFERROR(Comp1[[#This Row],[Comparable '#1 Return]]-INDEX(Benchmark1[Benchmark '#1 Return],MATCH(Comp1[[#This Row],[Comparable '#1 Dates]],Benchmark1[Benchmark '#1 Dates],0)),"-")</f>
        <v>-1.8719757717027337E-2</v>
      </c>
      <c r="L240" s="72">
        <f>Comp1[[#This Row],[Comparable '#1 Price]]/$B$2*100</f>
        <v>106.77618069815196</v>
      </c>
    </row>
    <row r="241" spans="1:12">
      <c r="A241" s="103">
        <v>43634</v>
      </c>
      <c r="B241" s="104">
        <v>15.505000000000001</v>
      </c>
      <c r="C241" s="4">
        <f t="shared" si="6"/>
        <v>-6.1083617030790746E-3</v>
      </c>
      <c r="D241" s="1">
        <f>IFERROR(Comp1[[#This Row],[Comparable '#1 Return]]+1,"-")</f>
        <v>0.99389163829692095</v>
      </c>
      <c r="E241" s="6">
        <f>B241-MAX($B$2:B241)</f>
        <v>-1.5050000000000008</v>
      </c>
      <c r="F241" s="80">
        <f t="shared" si="7"/>
        <v>8</v>
      </c>
      <c r="G241" s="22" cm="1">
        <f t="array" ref="G241">Comp1[[#This Row],[Comparable '#1 Drawdown]]/MAX($B$2:B241)</f>
        <v>-8.8477366255144074E-2</v>
      </c>
      <c r="H241" s="1" t="str">
        <f>IF(SUM(COUNTIF(Benchmark1[Benchmark '#1 Dates],Comp1[[#This Row],[Comparable '#1 Dates]]),COUNTIF(Benchmark2[Benchmark '#2 Dates],Comp1[[#This Row],[Comparable '#1 Dates]]))=2,"Pass","Fail")</f>
        <v>Pass</v>
      </c>
      <c r="I241" s="1">
        <f>IFERROR(Comp1[[#This Row],[Comparable '#1 Return]]-INDEX(Benchmark1[Benchmark '#1 Return],MATCH(Comp1[[#This Row],[Comparable '#1 Dates]],Benchmark1[Benchmark '#1 Dates],0)),"-")</f>
        <v>-1.5779092969744599E-2</v>
      </c>
      <c r="L241" s="72">
        <f>Comp1[[#This Row],[Comparable '#1 Price]]/$B$2*100</f>
        <v>106.12594113620808</v>
      </c>
    </row>
    <row r="242" spans="1:12">
      <c r="A242" s="103">
        <v>43635</v>
      </c>
      <c r="B242" s="104">
        <v>15.73</v>
      </c>
      <c r="C242" s="4">
        <f t="shared" si="6"/>
        <v>1.4407164517774072E-2</v>
      </c>
      <c r="D242" s="1">
        <f>IFERROR(Comp1[[#This Row],[Comparable '#1 Return]]+1,"-")</f>
        <v>1.0144071645177741</v>
      </c>
      <c r="E242" s="6">
        <f>B242-MAX($B$2:B242)</f>
        <v>-1.2800000000000011</v>
      </c>
      <c r="F242" s="80">
        <f t="shared" si="7"/>
        <v>9</v>
      </c>
      <c r="G242" s="22" cm="1">
        <f t="array" ref="G242">Comp1[[#This Row],[Comparable '#1 Drawdown]]/MAX($B$2:B242)</f>
        <v>-7.5249853027630861E-2</v>
      </c>
      <c r="H242" s="1" t="str">
        <f>IF(SUM(COUNTIF(Benchmark1[Benchmark '#1 Dates],Comp1[[#This Row],[Comparable '#1 Dates]]),COUNTIF(Benchmark2[Benchmark '#2 Dates],Comp1[[#This Row],[Comparable '#1 Dates]]))=2,"Pass","Fail")</f>
        <v>Pass</v>
      </c>
      <c r="I242" s="1">
        <f>IFERROR(Comp1[[#This Row],[Comparable '#1 Return]]-INDEX(Benchmark1[Benchmark '#1 Return],MATCH(Comp1[[#This Row],[Comparable '#1 Dates]],Benchmark1[Benchmark '#1 Dates],0)),"-")</f>
        <v>1.1428125459334968E-2</v>
      </c>
      <c r="L242" s="72">
        <f>Comp1[[#This Row],[Comparable '#1 Price]]/$B$2*100</f>
        <v>107.6659822039699</v>
      </c>
    </row>
    <row r="243" spans="1:12">
      <c r="A243" s="103">
        <v>43636</v>
      </c>
      <c r="B243" s="104">
        <v>15.52</v>
      </c>
      <c r="C243" s="4">
        <f t="shared" si="6"/>
        <v>-1.3440202315113798E-2</v>
      </c>
      <c r="D243" s="1">
        <f>IFERROR(Comp1[[#This Row],[Comparable '#1 Return]]+1,"-")</f>
        <v>0.98655979768488622</v>
      </c>
      <c r="E243" s="6">
        <f>B243-MAX($B$2:B243)</f>
        <v>-1.490000000000002</v>
      </c>
      <c r="F243" s="80">
        <f t="shared" si="7"/>
        <v>10</v>
      </c>
      <c r="G243" s="22" cm="1">
        <f t="array" ref="G243">Comp1[[#This Row],[Comparable '#1 Drawdown]]/MAX($B$2:B243)</f>
        <v>-8.7595532039976595E-2</v>
      </c>
      <c r="H243" s="1" t="str">
        <f>IF(SUM(COUNTIF(Benchmark1[Benchmark '#1 Dates],Comp1[[#This Row],[Comparable '#1 Dates]]),COUNTIF(Benchmark2[Benchmark '#2 Dates],Comp1[[#This Row],[Comparable '#1 Dates]]))=2,"Pass","Fail")</f>
        <v>Pass</v>
      </c>
      <c r="I243" s="1">
        <f>IFERROR(Comp1[[#This Row],[Comparable '#1 Return]]-INDEX(Benchmark1[Benchmark '#1 Return],MATCH(Comp1[[#This Row],[Comparable '#1 Dates]],Benchmark1[Benchmark '#1 Dates],0)),"-")</f>
        <v>-2.2869881461712975E-2</v>
      </c>
      <c r="L243" s="72">
        <f>Comp1[[#This Row],[Comparable '#1 Price]]/$B$2*100</f>
        <v>106.22861054072553</v>
      </c>
    </row>
    <row r="244" spans="1:12">
      <c r="A244" s="103">
        <v>43637</v>
      </c>
      <c r="B244" s="104">
        <v>15.36</v>
      </c>
      <c r="C244" s="4">
        <f t="shared" si="6"/>
        <v>-1.0362787035546547E-2</v>
      </c>
      <c r="D244" s="1">
        <f>IFERROR(Comp1[[#This Row],[Comparable '#1 Return]]+1,"-")</f>
        <v>0.98963721296445351</v>
      </c>
      <c r="E244" s="6">
        <f>B244-MAX($B$2:B244)</f>
        <v>-1.6500000000000021</v>
      </c>
      <c r="F244" s="80">
        <f t="shared" si="7"/>
        <v>11</v>
      </c>
      <c r="G244" s="22" cm="1">
        <f t="array" ref="G244">Comp1[[#This Row],[Comparable '#1 Drawdown]]/MAX($B$2:B244)</f>
        <v>-9.7001763668430455E-2</v>
      </c>
      <c r="H244" s="1" t="str">
        <f>IF(SUM(COUNTIF(Benchmark1[Benchmark '#1 Dates],Comp1[[#This Row],[Comparable '#1 Dates]]),COUNTIF(Benchmark2[Benchmark '#2 Dates],Comp1[[#This Row],[Comparable '#1 Dates]]))=2,"Pass","Fail")</f>
        <v>Pass</v>
      </c>
      <c r="I244" s="1">
        <f>IFERROR(Comp1[[#This Row],[Comparable '#1 Return]]-INDEX(Benchmark1[Benchmark '#1 Return],MATCH(Comp1[[#This Row],[Comparable '#1 Dates]],Benchmark1[Benchmark '#1 Dates],0)),"-")</f>
        <v>-9.1004367029836712E-3</v>
      </c>
      <c r="L244" s="72">
        <f>Comp1[[#This Row],[Comparable '#1 Price]]/$B$2*100</f>
        <v>105.1334702258727</v>
      </c>
    </row>
    <row r="245" spans="1:12">
      <c r="A245" s="103">
        <v>43640</v>
      </c>
      <c r="B245" s="104">
        <v>15</v>
      </c>
      <c r="C245" s="4">
        <f t="shared" si="6"/>
        <v>-2.3716526617316044E-2</v>
      </c>
      <c r="D245" s="1">
        <f>IFERROR(Comp1[[#This Row],[Comparable '#1 Return]]+1,"-")</f>
        <v>0.97628347338268395</v>
      </c>
      <c r="E245" s="6">
        <f>B245-MAX($B$2:B245)</f>
        <v>-2.0100000000000016</v>
      </c>
      <c r="F245" s="80">
        <f t="shared" si="7"/>
        <v>12</v>
      </c>
      <c r="G245" s="22" cm="1">
        <f t="array" ref="G245">Comp1[[#This Row],[Comparable '#1 Drawdown]]/MAX($B$2:B245)</f>
        <v>-0.11816578483245158</v>
      </c>
      <c r="H245" s="1" t="str">
        <f>IF(SUM(COUNTIF(Benchmark1[Benchmark '#1 Dates],Comp1[[#This Row],[Comparable '#1 Dates]]),COUNTIF(Benchmark2[Benchmark '#2 Dates],Comp1[[#This Row],[Comparable '#1 Dates]]))=2,"Pass","Fail")</f>
        <v>Pass</v>
      </c>
      <c r="I245" s="1">
        <f>IFERROR(Comp1[[#This Row],[Comparable '#1 Return]]-INDEX(Benchmark1[Benchmark '#1 Return],MATCH(Comp1[[#This Row],[Comparable '#1 Dates]],Benchmark1[Benchmark '#1 Dates],0)),"-")</f>
        <v>-2.198437320836134E-2</v>
      </c>
      <c r="L245" s="72">
        <f>Comp1[[#This Row],[Comparable '#1 Price]]/$B$2*100</f>
        <v>102.66940451745381</v>
      </c>
    </row>
    <row r="246" spans="1:12">
      <c r="A246" s="103">
        <v>43641</v>
      </c>
      <c r="B246" s="104">
        <v>14.89</v>
      </c>
      <c r="C246" s="4">
        <f t="shared" si="6"/>
        <v>-7.3603544062924185E-3</v>
      </c>
      <c r="D246" s="1">
        <f>IFERROR(Comp1[[#This Row],[Comparable '#1 Return]]+1,"-")</f>
        <v>0.99263964559370754</v>
      </c>
      <c r="E246" s="6">
        <f>B246-MAX($B$2:B246)</f>
        <v>-2.120000000000001</v>
      </c>
      <c r="F246" s="80">
        <f t="shared" si="7"/>
        <v>13</v>
      </c>
      <c r="G246" s="22" cm="1">
        <f t="array" ref="G246">Comp1[[#This Row],[Comparable '#1 Drawdown]]/MAX($B$2:B246)</f>
        <v>-0.12463256907701357</v>
      </c>
      <c r="H246" s="1" t="str">
        <f>IF(SUM(COUNTIF(Benchmark1[Benchmark '#1 Dates],Comp1[[#This Row],[Comparable '#1 Dates]]),COUNTIF(Benchmark2[Benchmark '#2 Dates],Comp1[[#This Row],[Comparable '#1 Dates]]))=2,"Pass","Fail")</f>
        <v>Pass</v>
      </c>
      <c r="I246" s="1">
        <f>IFERROR(Comp1[[#This Row],[Comparable '#1 Return]]-INDEX(Benchmark1[Benchmark '#1 Return],MATCH(Comp1[[#This Row],[Comparable '#1 Dates]],Benchmark1[Benchmark '#1 Dates],0)),"-")</f>
        <v>2.1798627249791655E-3</v>
      </c>
      <c r="L246" s="72">
        <f>Comp1[[#This Row],[Comparable '#1 Price]]/$B$2*100</f>
        <v>101.91649555099247</v>
      </c>
    </row>
    <row r="247" spans="1:12">
      <c r="A247" s="103">
        <v>43642</v>
      </c>
      <c r="B247" s="104">
        <v>14.98</v>
      </c>
      <c r="C247" s="4">
        <f t="shared" si="6"/>
        <v>6.0261313931558747E-3</v>
      </c>
      <c r="D247" s="1">
        <f>IFERROR(Comp1[[#This Row],[Comparable '#1 Return]]+1,"-")</f>
        <v>1.0060261313931558</v>
      </c>
      <c r="E247" s="6">
        <f>B247-MAX($B$2:B247)</f>
        <v>-2.0300000000000011</v>
      </c>
      <c r="F247" s="80">
        <f t="shared" si="7"/>
        <v>14</v>
      </c>
      <c r="G247" s="22" cm="1">
        <f t="array" ref="G247">Comp1[[#This Row],[Comparable '#1 Drawdown]]/MAX($B$2:B247)</f>
        <v>-0.11934156378600828</v>
      </c>
      <c r="H247" s="1" t="str">
        <f>IF(SUM(COUNTIF(Benchmark1[Benchmark '#1 Dates],Comp1[[#This Row],[Comparable '#1 Dates]]),COUNTIF(Benchmark2[Benchmark '#2 Dates],Comp1[[#This Row],[Comparable '#1 Dates]]))=2,"Pass","Fail")</f>
        <v>Pass</v>
      </c>
      <c r="I247" s="1">
        <f>IFERROR(Comp1[[#This Row],[Comparable '#1 Return]]-INDEX(Benchmark1[Benchmark '#1 Return],MATCH(Comp1[[#This Row],[Comparable '#1 Dates]],Benchmark1[Benchmark '#1 Dates],0)),"-")</f>
        <v>7.2623730710325825E-3</v>
      </c>
      <c r="L247" s="72">
        <f>Comp1[[#This Row],[Comparable '#1 Price]]/$B$2*100</f>
        <v>102.5325119780972</v>
      </c>
    </row>
    <row r="248" spans="1:12">
      <c r="A248" s="103">
        <v>43643</v>
      </c>
      <c r="B248" s="104">
        <v>15.31</v>
      </c>
      <c r="C248" s="4">
        <f t="shared" si="6"/>
        <v>2.1790231580519008E-2</v>
      </c>
      <c r="D248" s="1">
        <f>IFERROR(Comp1[[#This Row],[Comparable '#1 Return]]+1,"-")</f>
        <v>1.021790231580519</v>
      </c>
      <c r="E248" s="6">
        <f>B248-MAX($B$2:B248)</f>
        <v>-1.7000000000000011</v>
      </c>
      <c r="F248" s="80">
        <f t="shared" si="7"/>
        <v>15</v>
      </c>
      <c r="G248" s="22" cm="1">
        <f t="array" ref="G248">Comp1[[#This Row],[Comparable '#1 Drawdown]]/MAX($B$2:B248)</f>
        <v>-9.9941211052322218E-2</v>
      </c>
      <c r="H248" s="1" t="str">
        <f>IF(SUM(COUNTIF(Benchmark1[Benchmark '#1 Dates],Comp1[[#This Row],[Comparable '#1 Dates]]),COUNTIF(Benchmark2[Benchmark '#2 Dates],Comp1[[#This Row],[Comparable '#1 Dates]]))=2,"Pass","Fail")</f>
        <v>Pass</v>
      </c>
      <c r="I248" s="1">
        <f>IFERROR(Comp1[[#This Row],[Comparable '#1 Return]]-INDEX(Benchmark1[Benchmark '#1 Return],MATCH(Comp1[[#This Row],[Comparable '#1 Dates]],Benchmark1[Benchmark '#1 Dates],0)),"-")</f>
        <v>1.7973478879856394E-2</v>
      </c>
      <c r="L248" s="72">
        <f>Comp1[[#This Row],[Comparable '#1 Price]]/$B$2*100</f>
        <v>104.79123887748119</v>
      </c>
    </row>
    <row r="249" spans="1:12">
      <c r="A249" s="103">
        <v>43644</v>
      </c>
      <c r="B249" s="104">
        <v>15.71</v>
      </c>
      <c r="C249" s="4">
        <f t="shared" si="6"/>
        <v>2.5791242597937448E-2</v>
      </c>
      <c r="D249" s="1">
        <f>IFERROR(Comp1[[#This Row],[Comparable '#1 Return]]+1,"-")</f>
        <v>1.0257912425979374</v>
      </c>
      <c r="E249" s="6">
        <f>B249-MAX($B$2:B249)</f>
        <v>-1.3000000000000007</v>
      </c>
      <c r="F249" s="80">
        <f t="shared" si="7"/>
        <v>16</v>
      </c>
      <c r="G249" s="22" cm="1">
        <f t="array" ref="G249">Comp1[[#This Row],[Comparable '#1 Drawdown]]/MAX($B$2:B249)</f>
        <v>-7.642563198118757E-2</v>
      </c>
      <c r="H249" s="1" t="str">
        <f>IF(SUM(COUNTIF(Benchmark1[Benchmark '#1 Dates],Comp1[[#This Row],[Comparable '#1 Dates]]),COUNTIF(Benchmark2[Benchmark '#2 Dates],Comp1[[#This Row],[Comparable '#1 Dates]]))=2,"Pass","Fail")</f>
        <v>Pass</v>
      </c>
      <c r="I249" s="1">
        <f>IFERROR(Comp1[[#This Row],[Comparable '#1 Return]]-INDEX(Benchmark1[Benchmark '#1 Return],MATCH(Comp1[[#This Row],[Comparable '#1 Dates]],Benchmark1[Benchmark '#1 Dates],0)),"-")</f>
        <v>2.0050524918569533E-2</v>
      </c>
      <c r="L249" s="72">
        <f>Comp1[[#This Row],[Comparable '#1 Price]]/$B$2*100</f>
        <v>107.52908966461329</v>
      </c>
    </row>
    <row r="250" spans="1:12">
      <c r="A250" s="103">
        <v>43647</v>
      </c>
      <c r="B250" s="104">
        <v>15.81</v>
      </c>
      <c r="C250" s="4">
        <f t="shared" si="6"/>
        <v>6.3451989538507716E-3</v>
      </c>
      <c r="D250" s="1">
        <f>IFERROR(Comp1[[#This Row],[Comparable '#1 Return]]+1,"-")</f>
        <v>1.0063451989538508</v>
      </c>
      <c r="E250" s="6">
        <f>B250-MAX($B$2:B250)</f>
        <v>-1.2000000000000011</v>
      </c>
      <c r="F250" s="80">
        <f t="shared" si="7"/>
        <v>17</v>
      </c>
      <c r="G250" s="22" cm="1">
        <f t="array" ref="G250">Comp1[[#This Row],[Comparable '#1 Drawdown]]/MAX($B$2:B250)</f>
        <v>-7.0546737213403932E-2</v>
      </c>
      <c r="H250" s="1" t="str">
        <f>IF(SUM(COUNTIF(Benchmark1[Benchmark '#1 Dates],Comp1[[#This Row],[Comparable '#1 Dates]]),COUNTIF(Benchmark2[Benchmark '#2 Dates],Comp1[[#This Row],[Comparable '#1 Dates]]))=2,"Pass","Fail")</f>
        <v>Pass</v>
      </c>
      <c r="I250" s="1">
        <f>IFERROR(Comp1[[#This Row],[Comparable '#1 Return]]-INDEX(Benchmark1[Benchmark '#1 Return],MATCH(Comp1[[#This Row],[Comparable '#1 Dates]],Benchmark1[Benchmark '#1 Dates],0)),"-")</f>
        <v>-1.2985388192507325E-3</v>
      </c>
      <c r="L250" s="72">
        <f>Comp1[[#This Row],[Comparable '#1 Price]]/$B$2*100</f>
        <v>108.21355236139631</v>
      </c>
    </row>
    <row r="251" spans="1:12">
      <c r="A251" s="103">
        <v>43648</v>
      </c>
      <c r="B251" s="104">
        <v>15.84</v>
      </c>
      <c r="C251" s="4">
        <f t="shared" si="6"/>
        <v>1.8957351648991973E-3</v>
      </c>
      <c r="D251" s="1">
        <f>IFERROR(Comp1[[#This Row],[Comparable '#1 Return]]+1,"-")</f>
        <v>1.0018957351648992</v>
      </c>
      <c r="E251" s="6">
        <f>B251-MAX($B$2:B251)</f>
        <v>-1.1700000000000017</v>
      </c>
      <c r="F251" s="80">
        <f t="shared" si="7"/>
        <v>18</v>
      </c>
      <c r="G251" s="22" cm="1">
        <f t="array" ref="G251">Comp1[[#This Row],[Comparable '#1 Drawdown]]/MAX($B$2:B251)</f>
        <v>-6.8783068783068876E-2</v>
      </c>
      <c r="H251" s="1" t="str">
        <f>IF(SUM(COUNTIF(Benchmark1[Benchmark '#1 Dates],Comp1[[#This Row],[Comparable '#1 Dates]]),COUNTIF(Benchmark2[Benchmark '#2 Dates],Comp1[[#This Row],[Comparable '#1 Dates]]))=2,"Pass","Fail")</f>
        <v>Pass</v>
      </c>
      <c r="I251" s="1">
        <f>IFERROR(Comp1[[#This Row],[Comparable '#1 Return]]-INDEX(Benchmark1[Benchmark '#1 Return],MATCH(Comp1[[#This Row],[Comparable '#1 Dates]],Benchmark1[Benchmark '#1 Dates],0)),"-")</f>
        <v>-1.0278246470784007E-3</v>
      </c>
      <c r="L251" s="72">
        <f>Comp1[[#This Row],[Comparable '#1 Price]]/$B$2*100</f>
        <v>108.41889117043122</v>
      </c>
    </row>
    <row r="252" spans="1:12">
      <c r="A252" s="103">
        <v>43649</v>
      </c>
      <c r="B252" s="104">
        <v>16</v>
      </c>
      <c r="C252" s="4">
        <f t="shared" si="6"/>
        <v>1.0050335853501506E-2</v>
      </c>
      <c r="D252" s="1">
        <f>IFERROR(Comp1[[#This Row],[Comparable '#1 Return]]+1,"-")</f>
        <v>1.0100503358535016</v>
      </c>
      <c r="E252" s="6">
        <f>B252-MAX($B$2:B252)</f>
        <v>-1.0100000000000016</v>
      </c>
      <c r="F252" s="80">
        <f t="shared" si="7"/>
        <v>19</v>
      </c>
      <c r="G252" s="22" cm="1">
        <f t="array" ref="G252">Comp1[[#This Row],[Comparable '#1 Drawdown]]/MAX($B$2:B252)</f>
        <v>-5.9376837154615017E-2</v>
      </c>
      <c r="H252" s="1" t="str">
        <f>IF(SUM(COUNTIF(Benchmark1[Benchmark '#1 Dates],Comp1[[#This Row],[Comparable '#1 Dates]]),COUNTIF(Benchmark2[Benchmark '#2 Dates],Comp1[[#This Row],[Comparable '#1 Dates]]))=2,"Pass","Fail")</f>
        <v>Pass</v>
      </c>
      <c r="I252" s="1">
        <f>IFERROR(Comp1[[#This Row],[Comparable '#1 Return]]-INDEX(Benchmark1[Benchmark '#1 Return],MATCH(Comp1[[#This Row],[Comparable '#1 Dates]],Benchmark1[Benchmark '#1 Dates],0)),"-")</f>
        <v>2.4070428636724997E-3</v>
      </c>
      <c r="L252" s="72">
        <f>Comp1[[#This Row],[Comparable '#1 Price]]/$B$2*100</f>
        <v>109.51403148528405</v>
      </c>
    </row>
    <row r="253" spans="1:12">
      <c r="A253" s="103">
        <v>43651</v>
      </c>
      <c r="B253" s="104">
        <v>15.92</v>
      </c>
      <c r="C253" s="4">
        <f t="shared" si="6"/>
        <v>-5.0125418235442863E-3</v>
      </c>
      <c r="D253" s="1">
        <f>IFERROR(Comp1[[#This Row],[Comparable '#1 Return]]+1,"-")</f>
        <v>0.99498745817645573</v>
      </c>
      <c r="E253" s="6">
        <f>B253-MAX($B$2:B253)</f>
        <v>-1.0900000000000016</v>
      </c>
      <c r="F253" s="80">
        <f t="shared" si="7"/>
        <v>20</v>
      </c>
      <c r="G253" s="22" cm="1">
        <f t="array" ref="G253">Comp1[[#This Row],[Comparable '#1 Drawdown]]/MAX($B$2:B253)</f>
        <v>-6.4079952968841947E-2</v>
      </c>
      <c r="H253" s="1" t="str">
        <f>IF(SUM(COUNTIF(Benchmark1[Benchmark '#1 Dates],Comp1[[#This Row],[Comparable '#1 Dates]]),COUNTIF(Benchmark2[Benchmark '#2 Dates],Comp1[[#This Row],[Comparable '#1 Dates]]))=2,"Pass","Fail")</f>
        <v>Pass</v>
      </c>
      <c r="I253" s="1">
        <f>IFERROR(Comp1[[#This Row],[Comparable '#1 Return]]-INDEX(Benchmark1[Benchmark '#1 Return],MATCH(Comp1[[#This Row],[Comparable '#1 Dates]],Benchmark1[Benchmark '#1 Dates],0)),"-")</f>
        <v>-3.204055040538235E-3</v>
      </c>
      <c r="L253" s="72">
        <f>Comp1[[#This Row],[Comparable '#1 Price]]/$B$2*100</f>
        <v>108.96646132785763</v>
      </c>
    </row>
    <row r="254" spans="1:12">
      <c r="A254" s="103">
        <v>43654</v>
      </c>
      <c r="B254" s="104">
        <v>15.78</v>
      </c>
      <c r="C254" s="4">
        <f t="shared" si="6"/>
        <v>-8.8328649985088374E-3</v>
      </c>
      <c r="D254" s="1">
        <f>IFERROR(Comp1[[#This Row],[Comparable '#1 Return]]+1,"-")</f>
        <v>0.99116713500149112</v>
      </c>
      <c r="E254" s="6">
        <f>B254-MAX($B$2:B254)</f>
        <v>-1.2300000000000022</v>
      </c>
      <c r="F254" s="80">
        <f t="shared" si="7"/>
        <v>21</v>
      </c>
      <c r="G254" s="22" cm="1">
        <f t="array" ref="G254">Comp1[[#This Row],[Comparable '#1 Drawdown]]/MAX($B$2:B254)</f>
        <v>-7.2310405643739098E-2</v>
      </c>
      <c r="H254" s="1" t="str">
        <f>IF(SUM(COUNTIF(Benchmark1[Benchmark '#1 Dates],Comp1[[#This Row],[Comparable '#1 Dates]]),COUNTIF(Benchmark2[Benchmark '#2 Dates],Comp1[[#This Row],[Comparable '#1 Dates]]))=2,"Pass","Fail")</f>
        <v>Pass</v>
      </c>
      <c r="I254" s="1">
        <f>IFERROR(Comp1[[#This Row],[Comparable '#1 Return]]-INDEX(Benchmark1[Benchmark '#1 Return],MATCH(Comp1[[#This Row],[Comparable '#1 Dates]],Benchmark1[Benchmark '#1 Dates],0)),"-")</f>
        <v>-3.9843068695931284E-3</v>
      </c>
      <c r="L254" s="72">
        <f>Comp1[[#This Row],[Comparable '#1 Price]]/$B$2*100</f>
        <v>108.00821355236138</v>
      </c>
    </row>
    <row r="255" spans="1:12">
      <c r="A255" s="103">
        <v>43655</v>
      </c>
      <c r="B255" s="104">
        <v>15.59</v>
      </c>
      <c r="C255" s="4">
        <f t="shared" si="6"/>
        <v>-1.2113632348043043E-2</v>
      </c>
      <c r="D255" s="1">
        <f>IFERROR(Comp1[[#This Row],[Comparable '#1 Return]]+1,"-")</f>
        <v>0.98788636765195692</v>
      </c>
      <c r="E255" s="6">
        <f>B255-MAX($B$2:B255)</f>
        <v>-1.4200000000000017</v>
      </c>
      <c r="F255" s="80">
        <f t="shared" si="7"/>
        <v>22</v>
      </c>
      <c r="G255" s="22" cm="1">
        <f t="array" ref="G255">Comp1[[#This Row],[Comparable '#1 Drawdown]]/MAX($B$2:B255)</f>
        <v>-8.3480305702528013E-2</v>
      </c>
      <c r="H255" s="1" t="str">
        <f>IF(SUM(COUNTIF(Benchmark1[Benchmark '#1 Dates],Comp1[[#This Row],[Comparable '#1 Dates]]),COUNTIF(Benchmark2[Benchmark '#2 Dates],Comp1[[#This Row],[Comparable '#1 Dates]]))=2,"Pass","Fail")</f>
        <v>Pass</v>
      </c>
      <c r="I255" s="1">
        <f>IFERROR(Comp1[[#This Row],[Comparable '#1 Return]]-INDEX(Benchmark1[Benchmark '#1 Return],MATCH(Comp1[[#This Row],[Comparable '#1 Dates]],Benchmark1[Benchmark '#1 Dates],0)),"-")</f>
        <v>-1.3349552431709197E-2</v>
      </c>
      <c r="L255" s="72">
        <f>Comp1[[#This Row],[Comparable '#1 Price]]/$B$2*100</f>
        <v>106.70773442847366</v>
      </c>
    </row>
    <row r="256" spans="1:12">
      <c r="A256" s="103">
        <v>43656</v>
      </c>
      <c r="B256" s="104">
        <v>15.64</v>
      </c>
      <c r="C256" s="4">
        <f t="shared" si="6"/>
        <v>3.2020520474798347E-3</v>
      </c>
      <c r="D256" s="1">
        <f>IFERROR(Comp1[[#This Row],[Comparable '#1 Return]]+1,"-")</f>
        <v>1.0032020520474798</v>
      </c>
      <c r="E256" s="6">
        <f>B256-MAX($B$2:B256)</f>
        <v>-1.370000000000001</v>
      </c>
      <c r="F256" s="80">
        <f t="shared" si="7"/>
        <v>23</v>
      </c>
      <c r="G256" s="22" cm="1">
        <f t="array" ref="G256">Comp1[[#This Row],[Comparable '#1 Drawdown]]/MAX($B$2:B256)</f>
        <v>-8.0540858318636152E-2</v>
      </c>
      <c r="H256" s="1" t="str">
        <f>IF(SUM(COUNTIF(Benchmark1[Benchmark '#1 Dates],Comp1[[#This Row],[Comparable '#1 Dates]]),COUNTIF(Benchmark2[Benchmark '#2 Dates],Comp1[[#This Row],[Comparable '#1 Dates]]))=2,"Pass","Fail")</f>
        <v>Pass</v>
      </c>
      <c r="I256" s="1">
        <f>IFERROR(Comp1[[#This Row],[Comparable '#1 Return]]-INDEX(Benchmark1[Benchmark '#1 Return],MATCH(Comp1[[#This Row],[Comparable '#1 Dates]],Benchmark1[Benchmark '#1 Dates],0)),"-")</f>
        <v>-1.2998262958655487E-3</v>
      </c>
      <c r="L256" s="72">
        <f>Comp1[[#This Row],[Comparable '#1 Price]]/$B$2*100</f>
        <v>107.04996577686516</v>
      </c>
    </row>
    <row r="257" spans="1:12">
      <c r="A257" s="103">
        <v>43657</v>
      </c>
      <c r="B257" s="104">
        <v>15.8</v>
      </c>
      <c r="C257" s="4">
        <f t="shared" si="6"/>
        <v>1.0178204915756052E-2</v>
      </c>
      <c r="D257" s="1">
        <f>IFERROR(Comp1[[#This Row],[Comparable '#1 Return]]+1,"-")</f>
        <v>1.0101782049157562</v>
      </c>
      <c r="E257" s="6">
        <f>B257-MAX($B$2:B257)</f>
        <v>-1.2100000000000009</v>
      </c>
      <c r="F257" s="80">
        <f t="shared" si="7"/>
        <v>24</v>
      </c>
      <c r="G257" s="22" cm="1">
        <f t="array" ref="G257">Comp1[[#This Row],[Comparable '#1 Drawdown]]/MAX($B$2:B257)</f>
        <v>-7.1134626690182293E-2</v>
      </c>
      <c r="H257" s="1" t="str">
        <f>IF(SUM(COUNTIF(Benchmark1[Benchmark '#1 Dates],Comp1[[#This Row],[Comparable '#1 Dates]]),COUNTIF(Benchmark2[Benchmark '#2 Dates],Comp1[[#This Row],[Comparable '#1 Dates]]))=2,"Pass","Fail")</f>
        <v>Pass</v>
      </c>
      <c r="I257" s="1">
        <f>IFERROR(Comp1[[#This Row],[Comparable '#1 Return]]-INDEX(Benchmark1[Benchmark '#1 Return],MATCH(Comp1[[#This Row],[Comparable '#1 Dates]],Benchmark1[Benchmark '#1 Dates],0)),"-")</f>
        <v>7.8965367722709512E-3</v>
      </c>
      <c r="L257" s="72">
        <f>Comp1[[#This Row],[Comparable '#1 Price]]/$B$2*100</f>
        <v>108.14510609171802</v>
      </c>
    </row>
    <row r="258" spans="1:12">
      <c r="A258" s="103">
        <v>43658</v>
      </c>
      <c r="B258" s="104">
        <v>16.059999999999999</v>
      </c>
      <c r="C258" s="4">
        <f t="shared" ref="C258:C321" si="8">IFERROR(IF(B258="","-",LN(B258/B257)),"-")</f>
        <v>1.6321768485694364E-2</v>
      </c>
      <c r="D258" s="1">
        <f>IFERROR(Comp1[[#This Row],[Comparable '#1 Return]]+1,"-")</f>
        <v>1.0163217684856944</v>
      </c>
      <c r="E258" s="6">
        <f>B258-MAX($B$2:B258)</f>
        <v>-0.95000000000000284</v>
      </c>
      <c r="F258" s="80">
        <f t="shared" ref="F258:F321" si="9">IF(E258=0,0,F257+1)</f>
        <v>25</v>
      </c>
      <c r="G258" s="22" cm="1">
        <f t="array" ref="G258">Comp1[[#This Row],[Comparable '#1 Drawdown]]/MAX($B$2:B258)</f>
        <v>-5.58495002939449E-2</v>
      </c>
      <c r="H258" s="1" t="str">
        <f>IF(SUM(COUNTIF(Benchmark1[Benchmark '#1 Dates],Comp1[[#This Row],[Comparable '#1 Dates]]),COUNTIF(Benchmark2[Benchmark '#2 Dates],Comp1[[#This Row],[Comparable '#1 Dates]]))=2,"Pass","Fail")</f>
        <v>Pass</v>
      </c>
      <c r="I258" s="1">
        <f>IFERROR(Comp1[[#This Row],[Comparable '#1 Return]]-INDEX(Benchmark1[Benchmark '#1 Return],MATCH(Comp1[[#This Row],[Comparable '#1 Dates]],Benchmark1[Benchmark '#1 Dates],0)),"-")</f>
        <v>1.1710373372721013E-2</v>
      </c>
      <c r="L258" s="72">
        <f>Comp1[[#This Row],[Comparable '#1 Price]]/$B$2*100</f>
        <v>109.92470910335386</v>
      </c>
    </row>
    <row r="259" spans="1:12">
      <c r="A259" s="103">
        <v>43661</v>
      </c>
      <c r="B259" s="104">
        <v>16.190000000000001</v>
      </c>
      <c r="C259" s="4">
        <f t="shared" si="8"/>
        <v>8.0620591709283998E-3</v>
      </c>
      <c r="D259" s="1">
        <f>IFERROR(Comp1[[#This Row],[Comparable '#1 Return]]+1,"-")</f>
        <v>1.0080620591709284</v>
      </c>
      <c r="E259" s="6">
        <f>B259-MAX($B$2:B259)</f>
        <v>-0.82000000000000028</v>
      </c>
      <c r="F259" s="80">
        <f t="shared" si="9"/>
        <v>26</v>
      </c>
      <c r="G259" s="22" cm="1">
        <f t="array" ref="G259">Comp1[[#This Row],[Comparable '#1 Drawdown]]/MAX($B$2:B259)</f>
        <v>-4.8206937095825998E-2</v>
      </c>
      <c r="H259" s="1" t="str">
        <f>IF(SUM(COUNTIF(Benchmark1[Benchmark '#1 Dates],Comp1[[#This Row],[Comparable '#1 Dates]]),COUNTIF(Benchmark2[Benchmark '#2 Dates],Comp1[[#This Row],[Comparable '#1 Dates]]))=2,"Pass","Fail")</f>
        <v>Pass</v>
      </c>
      <c r="I259" s="1">
        <f>IFERROR(Comp1[[#This Row],[Comparable '#1 Return]]-INDEX(Benchmark1[Benchmark '#1 Return],MATCH(Comp1[[#This Row],[Comparable '#1 Dates]],Benchmark1[Benchmark '#1 Dates],0)),"-")</f>
        <v>7.88779573636679E-3</v>
      </c>
      <c r="L259" s="72">
        <f>Comp1[[#This Row],[Comparable '#1 Price]]/$B$2*100</f>
        <v>110.81451060917182</v>
      </c>
    </row>
    <row r="260" spans="1:12">
      <c r="A260" s="103">
        <v>43662</v>
      </c>
      <c r="B260" s="104">
        <v>16.22</v>
      </c>
      <c r="C260" s="4">
        <f t="shared" si="8"/>
        <v>1.8512809977230173E-3</v>
      </c>
      <c r="D260" s="1">
        <f>IFERROR(Comp1[[#This Row],[Comparable '#1 Return]]+1,"-")</f>
        <v>1.0018512809977229</v>
      </c>
      <c r="E260" s="6">
        <f>B260-MAX($B$2:B260)</f>
        <v>-0.7900000000000027</v>
      </c>
      <c r="F260" s="80">
        <f t="shared" si="9"/>
        <v>27</v>
      </c>
      <c r="G260" s="22" cm="1">
        <f t="array" ref="G260">Comp1[[#This Row],[Comparable '#1 Drawdown]]/MAX($B$2:B260)</f>
        <v>-4.644326866549104E-2</v>
      </c>
      <c r="H260" s="1" t="str">
        <f>IF(SUM(COUNTIF(Benchmark1[Benchmark '#1 Dates],Comp1[[#This Row],[Comparable '#1 Dates]]),COUNTIF(Benchmark2[Benchmark '#2 Dates],Comp1[[#This Row],[Comparable '#1 Dates]]))=2,"Pass","Fail")</f>
        <v>Pass</v>
      </c>
      <c r="I260" s="1">
        <f>IFERROR(Comp1[[#This Row],[Comparable '#1 Return]]-INDEX(Benchmark1[Benchmark '#1 Return],MATCH(Comp1[[#This Row],[Comparable '#1 Dates]],Benchmark1[Benchmark '#1 Dates],0)),"-")</f>
        <v>5.2591275201809336E-3</v>
      </c>
      <c r="L260" s="72">
        <f>Comp1[[#This Row],[Comparable '#1 Price]]/$B$2*100</f>
        <v>111.0198494182067</v>
      </c>
    </row>
    <row r="261" spans="1:12">
      <c r="A261" s="103">
        <v>43663</v>
      </c>
      <c r="B261" s="104">
        <v>16.28</v>
      </c>
      <c r="C261" s="4">
        <f t="shared" si="8"/>
        <v>3.6923118871275921E-3</v>
      </c>
      <c r="D261" s="1">
        <f>IFERROR(Comp1[[#This Row],[Comparable '#1 Return]]+1,"-")</f>
        <v>1.0036923118871275</v>
      </c>
      <c r="E261" s="6">
        <f>B261-MAX($B$2:B261)</f>
        <v>-0.73000000000000043</v>
      </c>
      <c r="F261" s="80">
        <f t="shared" si="9"/>
        <v>28</v>
      </c>
      <c r="G261" s="22" cm="1">
        <f t="array" ref="G261">Comp1[[#This Row],[Comparable '#1 Drawdown]]/MAX($B$2:B261)</f>
        <v>-4.2915931804820714E-2</v>
      </c>
      <c r="H261" s="1" t="str">
        <f>IF(SUM(COUNTIF(Benchmark1[Benchmark '#1 Dates],Comp1[[#This Row],[Comparable '#1 Dates]]),COUNTIF(Benchmark2[Benchmark '#2 Dates],Comp1[[#This Row],[Comparable '#1 Dates]]))=2,"Pass","Fail")</f>
        <v>Pass</v>
      </c>
      <c r="I261" s="1">
        <f>IFERROR(Comp1[[#This Row],[Comparable '#1 Return]]-INDEX(Benchmark1[Benchmark '#1 Return],MATCH(Comp1[[#This Row],[Comparable '#1 Dates]],Benchmark1[Benchmark '#1 Dates],0)),"-")</f>
        <v>1.0244808354819163E-2</v>
      </c>
      <c r="L261" s="72">
        <f>Comp1[[#This Row],[Comparable '#1 Price]]/$B$2*100</f>
        <v>111.43052703627654</v>
      </c>
    </row>
    <row r="262" spans="1:12">
      <c r="A262" s="103">
        <v>43664</v>
      </c>
      <c r="B262" s="104">
        <v>16.5</v>
      </c>
      <c r="C262" s="4">
        <f t="shared" si="8"/>
        <v>1.342302033214055E-2</v>
      </c>
      <c r="D262" s="1">
        <f>IFERROR(Comp1[[#This Row],[Comparable '#1 Return]]+1,"-")</f>
        <v>1.0134230203321406</v>
      </c>
      <c r="E262" s="6">
        <f>B262-MAX($B$2:B262)</f>
        <v>-0.51000000000000156</v>
      </c>
      <c r="F262" s="80">
        <f t="shared" si="9"/>
        <v>29</v>
      </c>
      <c r="G262" s="22" cm="1">
        <f t="array" ref="G262">Comp1[[#This Row],[Comparable '#1 Drawdown]]/MAX($B$2:B262)</f>
        <v>-2.9982363315696738E-2</v>
      </c>
      <c r="H262" s="1" t="str">
        <f>IF(SUM(COUNTIF(Benchmark1[Benchmark '#1 Dates],Comp1[[#This Row],[Comparable '#1 Dates]]),COUNTIF(Benchmark2[Benchmark '#2 Dates],Comp1[[#This Row],[Comparable '#1 Dates]]))=2,"Pass","Fail")</f>
        <v>Pass</v>
      </c>
      <c r="I262" s="1">
        <f>IFERROR(Comp1[[#This Row],[Comparable '#1 Return]]-INDEX(Benchmark1[Benchmark '#1 Return],MATCH(Comp1[[#This Row],[Comparable '#1 Dates]],Benchmark1[Benchmark '#1 Dates],0)),"-")</f>
        <v>9.8478248854224695E-3</v>
      </c>
      <c r="L262" s="72">
        <f>Comp1[[#This Row],[Comparable '#1 Price]]/$B$2*100</f>
        <v>112.93634496919918</v>
      </c>
    </row>
    <row r="263" spans="1:12">
      <c r="A263" s="103">
        <v>43665</v>
      </c>
      <c r="B263" s="104">
        <v>16.48</v>
      </c>
      <c r="C263" s="4">
        <f t="shared" si="8"/>
        <v>-1.2128564252092936E-3</v>
      </c>
      <c r="D263" s="1">
        <f>IFERROR(Comp1[[#This Row],[Comparable '#1 Return]]+1,"-")</f>
        <v>0.9987871435747907</v>
      </c>
      <c r="E263" s="6">
        <f>B263-MAX($B$2:B263)</f>
        <v>-0.53000000000000114</v>
      </c>
      <c r="F263" s="80">
        <f t="shared" si="9"/>
        <v>30</v>
      </c>
      <c r="G263" s="22" cm="1">
        <f t="array" ref="G263">Comp1[[#This Row],[Comparable '#1 Drawdown]]/MAX($B$2:B263)</f>
        <v>-3.1158142269253446E-2</v>
      </c>
      <c r="H263" s="1" t="str">
        <f>IF(SUM(COUNTIF(Benchmark1[Benchmark '#1 Dates],Comp1[[#This Row],[Comparable '#1 Dates]]),COUNTIF(Benchmark2[Benchmark '#2 Dates],Comp1[[#This Row],[Comparable '#1 Dates]]))=2,"Pass","Fail")</f>
        <v>Pass</v>
      </c>
      <c r="I263" s="1">
        <f>IFERROR(Comp1[[#This Row],[Comparable '#1 Return]]-INDEX(Benchmark1[Benchmark '#1 Return],MATCH(Comp1[[#This Row],[Comparable '#1 Dates]],Benchmark1[Benchmark '#1 Dates],0)),"-")</f>
        <v>4.9841729209755443E-3</v>
      </c>
      <c r="L263" s="72">
        <f>Comp1[[#This Row],[Comparable '#1 Price]]/$B$2*100</f>
        <v>112.79945242984257</v>
      </c>
    </row>
    <row r="264" spans="1:12">
      <c r="A264" s="103">
        <v>43668</v>
      </c>
      <c r="B264" s="104">
        <v>16.27</v>
      </c>
      <c r="C264" s="4">
        <f t="shared" si="8"/>
        <v>-1.2824603250379289E-2</v>
      </c>
      <c r="D264" s="1">
        <f>IFERROR(Comp1[[#This Row],[Comparable '#1 Return]]+1,"-")</f>
        <v>0.98717539674962074</v>
      </c>
      <c r="E264" s="6">
        <f>B264-MAX($B$2:B264)</f>
        <v>-0.74000000000000199</v>
      </c>
      <c r="F264" s="80">
        <f t="shared" si="9"/>
        <v>31</v>
      </c>
      <c r="G264" s="22" cm="1">
        <f t="array" ref="G264">Comp1[[#This Row],[Comparable '#1 Drawdown]]/MAX($B$2:B264)</f>
        <v>-4.3503821281599173E-2</v>
      </c>
      <c r="H264" s="1" t="str">
        <f>IF(SUM(COUNTIF(Benchmark1[Benchmark '#1 Dates],Comp1[[#This Row],[Comparable '#1 Dates]]),COUNTIF(Benchmark2[Benchmark '#2 Dates],Comp1[[#This Row],[Comparable '#1 Dates]]))=2,"Pass","Fail")</f>
        <v>Pass</v>
      </c>
      <c r="I264" s="1">
        <f>IFERROR(Comp1[[#This Row],[Comparable '#1 Return]]-INDEX(Benchmark1[Benchmark '#1 Return],MATCH(Comp1[[#This Row],[Comparable '#1 Dates]],Benchmark1[Benchmark '#1 Dates],0)),"-")</f>
        <v>-1.5650035055002797E-2</v>
      </c>
      <c r="L264" s="72">
        <f>Comp1[[#This Row],[Comparable '#1 Price]]/$B$2*100</f>
        <v>111.36208076659821</v>
      </c>
    </row>
    <row r="265" spans="1:12">
      <c r="A265" s="103">
        <v>43669</v>
      </c>
      <c r="B265" s="104">
        <v>16.36</v>
      </c>
      <c r="C265" s="4">
        <f t="shared" si="8"/>
        <v>5.5164099436545355E-3</v>
      </c>
      <c r="D265" s="1">
        <f>IFERROR(Comp1[[#This Row],[Comparable '#1 Return]]+1,"-")</f>
        <v>1.0055164099436544</v>
      </c>
      <c r="E265" s="6">
        <f>B265-MAX($B$2:B265)</f>
        <v>-0.65000000000000213</v>
      </c>
      <c r="F265" s="80">
        <f t="shared" si="9"/>
        <v>32</v>
      </c>
      <c r="G265" s="22" cm="1">
        <f t="array" ref="G265">Comp1[[#This Row],[Comparable '#1 Drawdown]]/MAX($B$2:B265)</f>
        <v>-3.8212815990593889E-2</v>
      </c>
      <c r="H265" s="1" t="str">
        <f>IF(SUM(COUNTIF(Benchmark1[Benchmark '#1 Dates],Comp1[[#This Row],[Comparable '#1 Dates]]),COUNTIF(Benchmark2[Benchmark '#2 Dates],Comp1[[#This Row],[Comparable '#1 Dates]]))=2,"Pass","Fail")</f>
        <v>Pass</v>
      </c>
      <c r="I265" s="1">
        <f>IFERROR(Comp1[[#This Row],[Comparable '#1 Return]]-INDEX(Benchmark1[Benchmark '#1 Return],MATCH(Comp1[[#This Row],[Comparable '#1 Dates]],Benchmark1[Benchmark '#1 Dates],0)),"-")</f>
        <v>-1.3085280403475619E-3</v>
      </c>
      <c r="L265" s="72">
        <f>Comp1[[#This Row],[Comparable '#1 Price]]/$B$2*100</f>
        <v>111.97809719370295</v>
      </c>
    </row>
    <row r="266" spans="1:12">
      <c r="A266" s="103">
        <v>43670</v>
      </c>
      <c r="B266" s="104">
        <v>16.399999999999999</v>
      </c>
      <c r="C266" s="4">
        <f t="shared" si="8"/>
        <v>2.4420036555515873E-3</v>
      </c>
      <c r="D266" s="1">
        <f>IFERROR(Comp1[[#This Row],[Comparable '#1 Return]]+1,"-")</f>
        <v>1.0024420036555517</v>
      </c>
      <c r="E266" s="6">
        <f>B266-MAX($B$2:B266)</f>
        <v>-0.61000000000000298</v>
      </c>
      <c r="F266" s="80">
        <f t="shared" si="9"/>
        <v>33</v>
      </c>
      <c r="G266" s="22" cm="1">
        <f t="array" ref="G266">Comp1[[#This Row],[Comparable '#1 Drawdown]]/MAX($B$2:B266)</f>
        <v>-3.5861258083480479E-2</v>
      </c>
      <c r="H266" s="1" t="str">
        <f>IF(SUM(COUNTIF(Benchmark1[Benchmark '#1 Dates],Comp1[[#This Row],[Comparable '#1 Dates]]),COUNTIF(Benchmark2[Benchmark '#2 Dates],Comp1[[#This Row],[Comparable '#1 Dates]]))=2,"Pass","Fail")</f>
        <v>Pass</v>
      </c>
      <c r="I266" s="1">
        <f>IFERROR(Comp1[[#This Row],[Comparable '#1 Return]]-INDEX(Benchmark1[Benchmark '#1 Return],MATCH(Comp1[[#This Row],[Comparable '#1 Dates]],Benchmark1[Benchmark '#1 Dates],0)),"-")</f>
        <v>-2.2328605831254283E-3</v>
      </c>
      <c r="L266" s="72">
        <f>Comp1[[#This Row],[Comparable '#1 Price]]/$B$2*100</f>
        <v>112.25188227241614</v>
      </c>
    </row>
    <row r="267" spans="1:12">
      <c r="A267" s="103">
        <v>43671</v>
      </c>
      <c r="B267" s="104">
        <v>16.27</v>
      </c>
      <c r="C267" s="4">
        <f t="shared" si="8"/>
        <v>-7.958413599206203E-3</v>
      </c>
      <c r="D267" s="1">
        <f>IFERROR(Comp1[[#This Row],[Comparable '#1 Return]]+1,"-")</f>
        <v>0.99204158640079376</v>
      </c>
      <c r="E267" s="6">
        <f>B267-MAX($B$2:B267)</f>
        <v>-0.74000000000000199</v>
      </c>
      <c r="F267" s="80">
        <f t="shared" si="9"/>
        <v>34</v>
      </c>
      <c r="G267" s="22" cm="1">
        <f t="array" ref="G267">Comp1[[#This Row],[Comparable '#1 Drawdown]]/MAX($B$2:B267)</f>
        <v>-4.3503821281599173E-2</v>
      </c>
      <c r="H267" s="1" t="str">
        <f>IF(SUM(COUNTIF(Benchmark1[Benchmark '#1 Dates],Comp1[[#This Row],[Comparable '#1 Dates]]),COUNTIF(Benchmark2[Benchmark '#2 Dates],Comp1[[#This Row],[Comparable '#1 Dates]]))=2,"Pass","Fail")</f>
        <v>Pass</v>
      </c>
      <c r="I267" s="1">
        <f>IFERROR(Comp1[[#This Row],[Comparable '#1 Return]]-INDEX(Benchmark1[Benchmark '#1 Return],MATCH(Comp1[[#This Row],[Comparable '#1 Dates]],Benchmark1[Benchmark '#1 Dates],0)),"-")</f>
        <v>-2.6837181604851407E-3</v>
      </c>
      <c r="L267" s="72">
        <f>Comp1[[#This Row],[Comparable '#1 Price]]/$B$2*100</f>
        <v>111.36208076659821</v>
      </c>
    </row>
    <row r="268" spans="1:12">
      <c r="A268" s="103">
        <v>43672</v>
      </c>
      <c r="B268" s="104">
        <v>16.489999999999998</v>
      </c>
      <c r="C268" s="4">
        <f t="shared" si="8"/>
        <v>1.3431215340561031E-2</v>
      </c>
      <c r="D268" s="1">
        <f>IFERROR(Comp1[[#This Row],[Comparable '#1 Return]]+1,"-")</f>
        <v>1.0134312153405611</v>
      </c>
      <c r="E268" s="6">
        <f>B268-MAX($B$2:B268)</f>
        <v>-0.52000000000000313</v>
      </c>
      <c r="F268" s="80">
        <f t="shared" si="9"/>
        <v>35</v>
      </c>
      <c r="G268" s="22" cm="1">
        <f t="array" ref="G268">Comp1[[#This Row],[Comparable '#1 Drawdown]]/MAX($B$2:B268)</f>
        <v>-3.0570252792475196E-2</v>
      </c>
      <c r="H268" s="1" t="str">
        <f>IF(SUM(COUNTIF(Benchmark1[Benchmark '#1 Dates],Comp1[[#This Row],[Comparable '#1 Dates]]),COUNTIF(Benchmark2[Benchmark '#2 Dates],Comp1[[#This Row],[Comparable '#1 Dates]]))=2,"Pass","Fail")</f>
        <v>Pass</v>
      </c>
      <c r="I268" s="1">
        <f>IFERROR(Comp1[[#This Row],[Comparable '#1 Return]]-INDEX(Benchmark1[Benchmark '#1 Return],MATCH(Comp1[[#This Row],[Comparable '#1 Dates]],Benchmark1[Benchmark '#1 Dates],0)),"-")</f>
        <v>6.0714391415063245E-3</v>
      </c>
      <c r="L268" s="72">
        <f>Comp1[[#This Row],[Comparable '#1 Price]]/$B$2*100</f>
        <v>112.86789869952088</v>
      </c>
    </row>
    <row r="269" spans="1:12">
      <c r="A269" s="103">
        <v>43675</v>
      </c>
      <c r="B269" s="104">
        <v>16.38</v>
      </c>
      <c r="C269" s="4">
        <f t="shared" si="8"/>
        <v>-6.693058146584145E-3</v>
      </c>
      <c r="D269" s="1">
        <f>IFERROR(Comp1[[#This Row],[Comparable '#1 Return]]+1,"-")</f>
        <v>0.99330694185341584</v>
      </c>
      <c r="E269" s="6">
        <f>B269-MAX($B$2:B269)</f>
        <v>-0.63000000000000256</v>
      </c>
      <c r="F269" s="80">
        <f t="shared" si="9"/>
        <v>36</v>
      </c>
      <c r="G269" s="22" cm="1">
        <f t="array" ref="G269">Comp1[[#This Row],[Comparable '#1 Drawdown]]/MAX($B$2:B269)</f>
        <v>-3.7037037037037181E-2</v>
      </c>
      <c r="H269" s="1" t="str">
        <f>IF(SUM(COUNTIF(Benchmark1[Benchmark '#1 Dates],Comp1[[#This Row],[Comparable '#1 Dates]]),COUNTIF(Benchmark2[Benchmark '#2 Dates],Comp1[[#This Row],[Comparable '#1 Dates]]))=2,"Pass","Fail")</f>
        <v>Pass</v>
      </c>
      <c r="I269" s="1">
        <f>IFERROR(Comp1[[#This Row],[Comparable '#1 Return]]-INDEX(Benchmark1[Benchmark '#1 Return],MATCH(Comp1[[#This Row],[Comparable '#1 Dates]],Benchmark1[Benchmark '#1 Dates],0)),"-")</f>
        <v>-5.0753416067638325E-3</v>
      </c>
      <c r="L269" s="72">
        <f>Comp1[[#This Row],[Comparable '#1 Price]]/$B$2*100</f>
        <v>112.11498973305956</v>
      </c>
    </row>
    <row r="270" spans="1:12">
      <c r="A270" s="103">
        <v>43676</v>
      </c>
      <c r="B270" s="104">
        <v>16.55</v>
      </c>
      <c r="C270" s="4">
        <f t="shared" si="8"/>
        <v>1.0325023398148725E-2</v>
      </c>
      <c r="D270" s="1">
        <f>IFERROR(Comp1[[#This Row],[Comparable '#1 Return]]+1,"-")</f>
        <v>1.0103250233981487</v>
      </c>
      <c r="E270" s="6">
        <f>B270-MAX($B$2:B270)</f>
        <v>-0.46000000000000085</v>
      </c>
      <c r="F270" s="80">
        <f t="shared" si="9"/>
        <v>37</v>
      </c>
      <c r="G270" s="22" cm="1">
        <f t="array" ref="G270">Comp1[[#This Row],[Comparable '#1 Drawdown]]/MAX($B$2:B270)</f>
        <v>-2.7042915931804867E-2</v>
      </c>
      <c r="H270" s="1" t="str">
        <f>IF(SUM(COUNTIF(Benchmark1[Benchmark '#1 Dates],Comp1[[#This Row],[Comparable '#1 Dates]]),COUNTIF(Benchmark2[Benchmark '#2 Dates],Comp1[[#This Row],[Comparable '#1 Dates]]))=2,"Pass","Fail")</f>
        <v>Pass</v>
      </c>
      <c r="I270" s="1">
        <f>IFERROR(Comp1[[#This Row],[Comparable '#1 Return]]-INDEX(Benchmark1[Benchmark '#1 Return],MATCH(Comp1[[#This Row],[Comparable '#1 Dates]],Benchmark1[Benchmark '#1 Dates],0)),"-")</f>
        <v>1.2905756266466683E-2</v>
      </c>
      <c r="L270" s="72">
        <f>Comp1[[#This Row],[Comparable '#1 Price]]/$B$2*100</f>
        <v>113.27857631759071</v>
      </c>
    </row>
    <row r="271" spans="1:12">
      <c r="A271" s="103">
        <v>43677</v>
      </c>
      <c r="B271" s="104">
        <v>16.39</v>
      </c>
      <c r="C271" s="4">
        <f t="shared" si="8"/>
        <v>-9.7147090673335764E-3</v>
      </c>
      <c r="D271" s="1">
        <f>IFERROR(Comp1[[#This Row],[Comparable '#1 Return]]+1,"-")</f>
        <v>0.99028529093266637</v>
      </c>
      <c r="E271" s="6">
        <f>B271-MAX($B$2:B271)</f>
        <v>-0.62000000000000099</v>
      </c>
      <c r="F271" s="80">
        <f t="shared" si="9"/>
        <v>38</v>
      </c>
      <c r="G271" s="22" cm="1">
        <f t="array" ref="G271">Comp1[[#This Row],[Comparable '#1 Drawdown]]/MAX($B$2:B271)</f>
        <v>-3.6449147560258729E-2</v>
      </c>
      <c r="H271" s="1" t="str">
        <f>IF(SUM(COUNTIF(Benchmark1[Benchmark '#1 Dates],Comp1[[#This Row],[Comparable '#1 Dates]]),COUNTIF(Benchmark2[Benchmark '#2 Dates],Comp1[[#This Row],[Comparable '#1 Dates]]))=2,"Pass","Fail")</f>
        <v>Pass</v>
      </c>
      <c r="I271" s="1">
        <f>IFERROR(Comp1[[#This Row],[Comparable '#1 Return]]-INDEX(Benchmark1[Benchmark '#1 Return],MATCH(Comp1[[#This Row],[Comparable '#1 Dates]],Benchmark1[Benchmark '#1 Dates],0)),"-")</f>
        <v>1.231483782262708E-3</v>
      </c>
      <c r="L271" s="72">
        <f>Comp1[[#This Row],[Comparable '#1 Price]]/$B$2*100</f>
        <v>112.18343600273786</v>
      </c>
    </row>
    <row r="272" spans="1:12">
      <c r="A272" s="103">
        <v>43678</v>
      </c>
      <c r="B272" s="104">
        <v>16.399999999999999</v>
      </c>
      <c r="C272" s="4">
        <f t="shared" si="8"/>
        <v>6.0994207441441065E-4</v>
      </c>
      <c r="D272" s="1">
        <f>IFERROR(Comp1[[#This Row],[Comparable '#1 Return]]+1,"-")</f>
        <v>1.0006099420744143</v>
      </c>
      <c r="E272" s="6">
        <f>B272-MAX($B$2:B272)</f>
        <v>-0.61000000000000298</v>
      </c>
      <c r="F272" s="80">
        <f t="shared" si="9"/>
        <v>39</v>
      </c>
      <c r="G272" s="22" cm="1">
        <f t="array" ref="G272">Comp1[[#This Row],[Comparable '#1 Drawdown]]/MAX($B$2:B272)</f>
        <v>-3.5861258083480479E-2</v>
      </c>
      <c r="H272" s="1" t="str">
        <f>IF(SUM(COUNTIF(Benchmark1[Benchmark '#1 Dates],Comp1[[#This Row],[Comparable '#1 Dates]]),COUNTIF(Benchmark2[Benchmark '#2 Dates],Comp1[[#This Row],[Comparable '#1 Dates]]))=2,"Pass","Fail")</f>
        <v>Pass</v>
      </c>
      <c r="I272" s="1">
        <f>IFERROR(Comp1[[#This Row],[Comparable '#1 Return]]-INDEX(Benchmark1[Benchmark '#1 Return],MATCH(Comp1[[#This Row],[Comparable '#1 Dates]],Benchmark1[Benchmark '#1 Dates],0)),"-")</f>
        <v>9.6491025854763199E-3</v>
      </c>
      <c r="L272" s="72">
        <f>Comp1[[#This Row],[Comparable '#1 Price]]/$B$2*100</f>
        <v>112.25188227241614</v>
      </c>
    </row>
    <row r="273" spans="1:12">
      <c r="A273" s="103">
        <v>43679</v>
      </c>
      <c r="B273" s="104">
        <v>15.99</v>
      </c>
      <c r="C273" s="4">
        <f t="shared" si="8"/>
        <v>-2.5317807984289783E-2</v>
      </c>
      <c r="D273" s="1">
        <f>IFERROR(Comp1[[#This Row],[Comparable '#1 Return]]+1,"-")</f>
        <v>0.97468219201571027</v>
      </c>
      <c r="E273" s="6">
        <f>B273-MAX($B$2:B273)</f>
        <v>-1.0200000000000014</v>
      </c>
      <c r="F273" s="80">
        <f t="shared" si="9"/>
        <v>40</v>
      </c>
      <c r="G273" s="22" cm="1">
        <f t="array" ref="G273">Comp1[[#This Row],[Comparable '#1 Drawdown]]/MAX($B$2:B273)</f>
        <v>-5.9964726631393371E-2</v>
      </c>
      <c r="H273" s="1" t="str">
        <f>IF(SUM(COUNTIF(Benchmark1[Benchmark '#1 Dates],Comp1[[#This Row],[Comparable '#1 Dates]]),COUNTIF(Benchmark2[Benchmark '#2 Dates],Comp1[[#This Row],[Comparable '#1 Dates]]))=2,"Pass","Fail")</f>
        <v>Pass</v>
      </c>
      <c r="I273" s="1">
        <f>IFERROR(Comp1[[#This Row],[Comparable '#1 Return]]-INDEX(Benchmark1[Benchmark '#1 Return],MATCH(Comp1[[#This Row],[Comparable '#1 Dates]],Benchmark1[Benchmark '#1 Dates],0)),"-")</f>
        <v>-1.800674621815615E-2</v>
      </c>
      <c r="L273" s="72">
        <f>Comp1[[#This Row],[Comparable '#1 Price]]/$B$2*100</f>
        <v>109.44558521560575</v>
      </c>
    </row>
    <row r="274" spans="1:12">
      <c r="A274" s="103">
        <v>43682</v>
      </c>
      <c r="B274" s="104">
        <v>15.68</v>
      </c>
      <c r="C274" s="4">
        <f t="shared" si="8"/>
        <v>-1.9577511923601104E-2</v>
      </c>
      <c r="D274" s="1">
        <f>IFERROR(Comp1[[#This Row],[Comparable '#1 Return]]+1,"-")</f>
        <v>0.98042248807639887</v>
      </c>
      <c r="E274" s="6">
        <f>B274-MAX($B$2:B274)</f>
        <v>-1.3300000000000018</v>
      </c>
      <c r="F274" s="80">
        <f t="shared" si="9"/>
        <v>41</v>
      </c>
      <c r="G274" s="22" cm="1">
        <f t="array" ref="G274">Comp1[[#This Row],[Comparable '#1 Drawdown]]/MAX($B$2:B274)</f>
        <v>-7.8189300411522736E-2</v>
      </c>
      <c r="H274" s="1" t="str">
        <f>IF(SUM(COUNTIF(Benchmark1[Benchmark '#1 Dates],Comp1[[#This Row],[Comparable '#1 Dates]]),COUNTIF(Benchmark2[Benchmark '#2 Dates],Comp1[[#This Row],[Comparable '#1 Dates]]))=2,"Pass","Fail")</f>
        <v>Pass</v>
      </c>
      <c r="I274" s="1">
        <f>IFERROR(Comp1[[#This Row],[Comparable '#1 Return]]-INDEX(Benchmark1[Benchmark '#1 Return],MATCH(Comp1[[#This Row],[Comparable '#1 Dates]],Benchmark1[Benchmark '#1 Dates],0)),"-")</f>
        <v>1.0650063568769876E-2</v>
      </c>
      <c r="L274" s="72">
        <f>Comp1[[#This Row],[Comparable '#1 Price]]/$B$2*100</f>
        <v>107.32375085557837</v>
      </c>
    </row>
    <row r="275" spans="1:12">
      <c r="A275" s="103">
        <v>43683</v>
      </c>
      <c r="B275" s="104">
        <v>15.52</v>
      </c>
      <c r="C275" s="4">
        <f t="shared" si="8"/>
        <v>-1.025650016718911E-2</v>
      </c>
      <c r="D275" s="1">
        <f>IFERROR(Comp1[[#This Row],[Comparable '#1 Return]]+1,"-")</f>
        <v>0.98974349983281085</v>
      </c>
      <c r="E275" s="6">
        <f>B275-MAX($B$2:B275)</f>
        <v>-1.490000000000002</v>
      </c>
      <c r="F275" s="80">
        <f t="shared" si="9"/>
        <v>42</v>
      </c>
      <c r="G275" s="22" cm="1">
        <f t="array" ref="G275">Comp1[[#This Row],[Comparable '#1 Drawdown]]/MAX($B$2:B275)</f>
        <v>-8.7595532039976595E-2</v>
      </c>
      <c r="H275" s="1" t="str">
        <f>IF(SUM(COUNTIF(Benchmark1[Benchmark '#1 Dates],Comp1[[#This Row],[Comparable '#1 Dates]]),COUNTIF(Benchmark2[Benchmark '#2 Dates],Comp1[[#This Row],[Comparable '#1 Dates]]))=2,"Pass","Fail")</f>
        <v>Pass</v>
      </c>
      <c r="I275" s="1">
        <f>IFERROR(Comp1[[#This Row],[Comparable '#1 Return]]-INDEX(Benchmark1[Benchmark '#1 Return],MATCH(Comp1[[#This Row],[Comparable '#1 Dates]],Benchmark1[Benchmark '#1 Dates],0)),"-")</f>
        <v>-2.3189975614329381E-2</v>
      </c>
      <c r="L275" s="72">
        <f>Comp1[[#This Row],[Comparable '#1 Price]]/$B$2*100</f>
        <v>106.22861054072553</v>
      </c>
    </row>
    <row r="276" spans="1:12">
      <c r="A276" s="103">
        <v>43684</v>
      </c>
      <c r="B276" s="104">
        <v>15.44</v>
      </c>
      <c r="C276" s="4">
        <f t="shared" si="8"/>
        <v>-5.1679701584425612E-3</v>
      </c>
      <c r="D276" s="1">
        <f>IFERROR(Comp1[[#This Row],[Comparable '#1 Return]]+1,"-")</f>
        <v>0.99483202984155739</v>
      </c>
      <c r="E276" s="6">
        <f>B276-MAX($B$2:B276)</f>
        <v>-1.5700000000000021</v>
      </c>
      <c r="F276" s="80">
        <f t="shared" si="9"/>
        <v>43</v>
      </c>
      <c r="G276" s="22" cm="1">
        <f t="array" ref="G276">Comp1[[#This Row],[Comparable '#1 Drawdown]]/MAX($B$2:B276)</f>
        <v>-9.2298647854203525E-2</v>
      </c>
      <c r="H276" s="1" t="str">
        <f>IF(SUM(COUNTIF(Benchmark1[Benchmark '#1 Dates],Comp1[[#This Row],[Comparable '#1 Dates]]),COUNTIF(Benchmark2[Benchmark '#2 Dates],Comp1[[#This Row],[Comparable '#1 Dates]]))=2,"Pass","Fail")</f>
        <v>Pass</v>
      </c>
      <c r="I276" s="1">
        <f>IFERROR(Comp1[[#This Row],[Comparable '#1 Return]]-INDEX(Benchmark1[Benchmark '#1 Return],MATCH(Comp1[[#This Row],[Comparable '#1 Dates]],Benchmark1[Benchmark '#1 Dates],0)),"-")</f>
        <v>-5.9346838380516789E-3</v>
      </c>
      <c r="L276" s="72">
        <f>Comp1[[#This Row],[Comparable '#1 Price]]/$B$2*100</f>
        <v>105.68104038329911</v>
      </c>
    </row>
    <row r="277" spans="1:12">
      <c r="A277" s="103">
        <v>43685</v>
      </c>
      <c r="B277" s="104">
        <v>16.97</v>
      </c>
      <c r="C277" s="4">
        <f t="shared" si="8"/>
        <v>9.4485534649504752E-2</v>
      </c>
      <c r="D277" s="1">
        <f>IFERROR(Comp1[[#This Row],[Comparable '#1 Return]]+1,"-")</f>
        <v>1.0944855346495048</v>
      </c>
      <c r="E277" s="6">
        <f>B277-MAX($B$2:B277)</f>
        <v>-4.00000000000027E-2</v>
      </c>
      <c r="F277" s="80">
        <f t="shared" si="9"/>
        <v>44</v>
      </c>
      <c r="G277" s="22" cm="1">
        <f t="array" ref="G277">Comp1[[#This Row],[Comparable '#1 Drawdown]]/MAX($B$2:B277)</f>
        <v>-2.351557907113621E-3</v>
      </c>
      <c r="H277" s="1" t="str">
        <f>IF(SUM(COUNTIF(Benchmark1[Benchmark '#1 Dates],Comp1[[#This Row],[Comparable '#1 Dates]]),COUNTIF(Benchmark2[Benchmark '#2 Dates],Comp1[[#This Row],[Comparable '#1 Dates]]))=2,"Pass","Fail")</f>
        <v>Pass</v>
      </c>
      <c r="I277" s="1">
        <f>IFERROR(Comp1[[#This Row],[Comparable '#1 Return]]-INDEX(Benchmark1[Benchmark '#1 Return],MATCH(Comp1[[#This Row],[Comparable '#1 Dates]],Benchmark1[Benchmark '#1 Dates],0)),"-")</f>
        <v>7.5897099903997789E-2</v>
      </c>
      <c r="L277" s="72">
        <f>Comp1[[#This Row],[Comparable '#1 Price]]/$B$2*100</f>
        <v>116.1533196440794</v>
      </c>
    </row>
    <row r="278" spans="1:12">
      <c r="A278" s="103">
        <v>43686</v>
      </c>
      <c r="B278" s="104">
        <v>17.82</v>
      </c>
      <c r="C278" s="4">
        <f t="shared" si="8"/>
        <v>4.8874342796528462E-2</v>
      </c>
      <c r="D278" s="1">
        <f>IFERROR(Comp1[[#This Row],[Comparable '#1 Return]]+1,"-")</f>
        <v>1.0488743427965284</v>
      </c>
      <c r="E278" s="6">
        <f>B278-MAX($B$2:B278)</f>
        <v>0</v>
      </c>
      <c r="F278" s="80">
        <f t="shared" si="9"/>
        <v>0</v>
      </c>
      <c r="G278" s="22" cm="1">
        <f t="array" ref="G278">Comp1[[#This Row],[Comparable '#1 Drawdown]]/MAX($B$2:B278)</f>
        <v>0</v>
      </c>
      <c r="H278" s="1" t="str">
        <f>IF(SUM(COUNTIF(Benchmark1[Benchmark '#1 Dates],Comp1[[#This Row],[Comparable '#1 Dates]]),COUNTIF(Benchmark2[Benchmark '#2 Dates],Comp1[[#This Row],[Comparable '#1 Dates]]))=2,"Pass","Fail")</f>
        <v>Pass</v>
      </c>
      <c r="I278" s="1">
        <f>IFERROR(Comp1[[#This Row],[Comparable '#1 Return]]-INDEX(Benchmark1[Benchmark '#1 Return],MATCH(Comp1[[#This Row],[Comparable '#1 Dates]],Benchmark1[Benchmark '#1 Dates],0)),"-")</f>
        <v>5.5515919942909213E-2</v>
      </c>
      <c r="L278" s="72">
        <f>Comp1[[#This Row],[Comparable '#1 Price]]/$B$2*100</f>
        <v>121.97125256673512</v>
      </c>
    </row>
    <row r="279" spans="1:12">
      <c r="A279" s="103">
        <v>43689</v>
      </c>
      <c r="B279" s="104">
        <v>17.350000000000001</v>
      </c>
      <c r="C279" s="4">
        <f t="shared" si="8"/>
        <v>-2.6728915649794984E-2</v>
      </c>
      <c r="D279" s="1">
        <f>IFERROR(Comp1[[#This Row],[Comparable '#1 Return]]+1,"-")</f>
        <v>0.97327108435020504</v>
      </c>
      <c r="E279" s="6">
        <f>B279-MAX($B$2:B279)</f>
        <v>-0.46999999999999886</v>
      </c>
      <c r="F279" s="80">
        <f t="shared" si="9"/>
        <v>1</v>
      </c>
      <c r="G279" s="22" cm="1">
        <f t="array" ref="G279">Comp1[[#This Row],[Comparable '#1 Drawdown]]/MAX($B$2:B279)</f>
        <v>-2.6374859708192977E-2</v>
      </c>
      <c r="H279" s="1" t="str">
        <f>IF(SUM(COUNTIF(Benchmark1[Benchmark '#1 Dates],Comp1[[#This Row],[Comparable '#1 Dates]]),COUNTIF(Benchmark2[Benchmark '#2 Dates],Comp1[[#This Row],[Comparable '#1 Dates]]))=2,"Pass","Fail")</f>
        <v>Pass</v>
      </c>
      <c r="I279" s="1">
        <f>IFERROR(Comp1[[#This Row],[Comparable '#1 Return]]-INDEX(Benchmark1[Benchmark '#1 Return],MATCH(Comp1[[#This Row],[Comparable '#1 Dates]],Benchmark1[Benchmark '#1 Dates],0)),"-")</f>
        <v>-1.470077239207364E-2</v>
      </c>
      <c r="L279" s="72">
        <f>Comp1[[#This Row],[Comparable '#1 Price]]/$B$2*100</f>
        <v>118.75427789185491</v>
      </c>
    </row>
    <row r="280" spans="1:12">
      <c r="A280" s="103">
        <v>43690</v>
      </c>
      <c r="B280" s="104">
        <v>16.88</v>
      </c>
      <c r="C280" s="4">
        <f t="shared" si="8"/>
        <v>-2.7463017225057288E-2</v>
      </c>
      <c r="D280" s="1">
        <f>IFERROR(Comp1[[#This Row],[Comparable '#1 Return]]+1,"-")</f>
        <v>0.97253698277494272</v>
      </c>
      <c r="E280" s="6">
        <f>B280-MAX($B$2:B280)</f>
        <v>-0.94000000000000128</v>
      </c>
      <c r="F280" s="80">
        <f t="shared" si="9"/>
        <v>2</v>
      </c>
      <c r="G280" s="22" cm="1">
        <f t="array" ref="G280">Comp1[[#This Row],[Comparable '#1 Drawdown]]/MAX($B$2:B280)</f>
        <v>-5.2749719416386155E-2</v>
      </c>
      <c r="H280" s="1" t="str">
        <f>IF(SUM(COUNTIF(Benchmark1[Benchmark '#1 Dates],Comp1[[#This Row],[Comparable '#1 Dates]]),COUNTIF(Benchmark2[Benchmark '#2 Dates],Comp1[[#This Row],[Comparable '#1 Dates]]))=2,"Pass","Fail")</f>
        <v>Pass</v>
      </c>
      <c r="I280" s="1">
        <f>IFERROR(Comp1[[#This Row],[Comparable '#1 Return]]-INDEX(Benchmark1[Benchmark '#1 Return],MATCH(Comp1[[#This Row],[Comparable '#1 Dates]],Benchmark1[Benchmark '#1 Dates],0)),"-")</f>
        <v>-4.2118778014018962E-2</v>
      </c>
      <c r="L280" s="72">
        <f>Comp1[[#This Row],[Comparable '#1 Price]]/$B$2*100</f>
        <v>115.53730321697466</v>
      </c>
    </row>
    <row r="281" spans="1:12">
      <c r="A281" s="103">
        <v>43691</v>
      </c>
      <c r="B281" s="104">
        <v>16.57</v>
      </c>
      <c r="C281" s="4">
        <f t="shared" si="8"/>
        <v>-1.8535657729339464E-2</v>
      </c>
      <c r="D281" s="1">
        <f>IFERROR(Comp1[[#This Row],[Comparable '#1 Return]]+1,"-")</f>
        <v>0.98146434227066048</v>
      </c>
      <c r="E281" s="6">
        <f>B281-MAX($B$2:B281)</f>
        <v>-1.25</v>
      </c>
      <c r="F281" s="80">
        <f t="shared" si="9"/>
        <v>3</v>
      </c>
      <c r="G281" s="22" cm="1">
        <f t="array" ref="G281">Comp1[[#This Row],[Comparable '#1 Drawdown]]/MAX($B$2:B281)</f>
        <v>-7.0145903479236812E-2</v>
      </c>
      <c r="H281" s="1" t="str">
        <f>IF(SUM(COUNTIF(Benchmark1[Benchmark '#1 Dates],Comp1[[#This Row],[Comparable '#1 Dates]]),COUNTIF(Benchmark2[Benchmark '#2 Dates],Comp1[[#This Row],[Comparable '#1 Dates]]))=2,"Pass","Fail")</f>
        <v>Pass</v>
      </c>
      <c r="I281" s="1">
        <f>IFERROR(Comp1[[#This Row],[Comparable '#1 Return]]-INDEX(Benchmark1[Benchmark '#1 Return],MATCH(Comp1[[#This Row],[Comparable '#1 Dates]],Benchmark1[Benchmark '#1 Dates],0)),"-")</f>
        <v>1.11969406135244E-2</v>
      </c>
      <c r="L281" s="72">
        <f>Comp1[[#This Row],[Comparable '#1 Price]]/$B$2*100</f>
        <v>113.41546885694731</v>
      </c>
    </row>
    <row r="282" spans="1:12">
      <c r="A282" s="103">
        <v>43692</v>
      </c>
      <c r="B282" s="104">
        <v>16.66</v>
      </c>
      <c r="C282" s="4">
        <f t="shared" si="8"/>
        <v>5.4168053002251644E-3</v>
      </c>
      <c r="D282" s="1">
        <f>IFERROR(Comp1[[#This Row],[Comparable '#1 Return]]+1,"-")</f>
        <v>1.0054168053002253</v>
      </c>
      <c r="E282" s="6">
        <f>B282-MAX($B$2:B282)</f>
        <v>-1.1600000000000001</v>
      </c>
      <c r="F282" s="80">
        <f t="shared" si="9"/>
        <v>4</v>
      </c>
      <c r="G282" s="22" cm="1">
        <f t="array" ref="G282">Comp1[[#This Row],[Comparable '#1 Drawdown]]/MAX($B$2:B282)</f>
        <v>-6.5095398428731771E-2</v>
      </c>
      <c r="H282" s="1" t="str">
        <f>IF(SUM(COUNTIF(Benchmark1[Benchmark '#1 Dates],Comp1[[#This Row],[Comparable '#1 Dates]]),COUNTIF(Benchmark2[Benchmark '#2 Dates],Comp1[[#This Row],[Comparable '#1 Dates]]))=2,"Pass","Fail")</f>
        <v>Pass</v>
      </c>
      <c r="I282" s="1">
        <f>IFERROR(Comp1[[#This Row],[Comparable '#1 Return]]-INDEX(Benchmark1[Benchmark '#1 Return],MATCH(Comp1[[#This Row],[Comparable '#1 Dates]],Benchmark1[Benchmark '#1 Dates],0)),"-")</f>
        <v>2.9566974868354299E-3</v>
      </c>
      <c r="L282" s="72">
        <f>Comp1[[#This Row],[Comparable '#1 Price]]/$B$2*100</f>
        <v>114.03148528405202</v>
      </c>
    </row>
    <row r="283" spans="1:12">
      <c r="A283" s="103">
        <v>43693</v>
      </c>
      <c r="B283" s="104">
        <v>17.02</v>
      </c>
      <c r="C283" s="4">
        <f t="shared" si="8"/>
        <v>2.1378486406531495E-2</v>
      </c>
      <c r="D283" s="1">
        <f>IFERROR(Comp1[[#This Row],[Comparable '#1 Return]]+1,"-")</f>
        <v>1.0213784864065314</v>
      </c>
      <c r="E283" s="6">
        <f>B283-MAX($B$2:B283)</f>
        <v>-0.80000000000000071</v>
      </c>
      <c r="F283" s="80">
        <f t="shared" si="9"/>
        <v>5</v>
      </c>
      <c r="G283" s="22" cm="1">
        <f t="array" ref="G283">Comp1[[#This Row],[Comparable '#1 Drawdown]]/MAX($B$2:B283)</f>
        <v>-4.4893378226711599E-2</v>
      </c>
      <c r="H283" s="1" t="str">
        <f>IF(SUM(COUNTIF(Benchmark1[Benchmark '#1 Dates],Comp1[[#This Row],[Comparable '#1 Dates]]),COUNTIF(Benchmark2[Benchmark '#2 Dates],Comp1[[#This Row],[Comparable '#1 Dates]]))=2,"Pass","Fail")</f>
        <v>Pass</v>
      </c>
      <c r="I283" s="1">
        <f>IFERROR(Comp1[[#This Row],[Comparable '#1 Return]]-INDEX(Benchmark1[Benchmark '#1 Return],MATCH(Comp1[[#This Row],[Comparable '#1 Dates]],Benchmark1[Benchmark '#1 Dates],0)),"-")</f>
        <v>7.0543355797975348E-3</v>
      </c>
      <c r="L283" s="72">
        <f>Comp1[[#This Row],[Comparable '#1 Price]]/$B$2*100</f>
        <v>116.49555099247091</v>
      </c>
    </row>
    <row r="284" spans="1:12">
      <c r="A284" s="103">
        <v>43696</v>
      </c>
      <c r="B284" s="104">
        <v>17.16</v>
      </c>
      <c r="C284" s="4">
        <f t="shared" si="8"/>
        <v>8.1919709145881585E-3</v>
      </c>
      <c r="D284" s="1">
        <f>IFERROR(Comp1[[#This Row],[Comparable '#1 Return]]+1,"-")</f>
        <v>1.0081919709145881</v>
      </c>
      <c r="E284" s="6">
        <f>B284-MAX($B$2:B284)</f>
        <v>-0.66000000000000014</v>
      </c>
      <c r="F284" s="80">
        <f t="shared" si="9"/>
        <v>6</v>
      </c>
      <c r="G284" s="22" cm="1">
        <f t="array" ref="G284">Comp1[[#This Row],[Comparable '#1 Drawdown]]/MAX($B$2:B284)</f>
        <v>-3.7037037037037042E-2</v>
      </c>
      <c r="H284" s="1" t="str">
        <f>IF(SUM(COUNTIF(Benchmark1[Benchmark '#1 Dates],Comp1[[#This Row],[Comparable '#1 Dates]]),COUNTIF(Benchmark2[Benchmark '#2 Dates],Comp1[[#This Row],[Comparable '#1 Dates]]))=2,"Pass","Fail")</f>
        <v>Pass</v>
      </c>
      <c r="I284" s="1">
        <f>IFERROR(Comp1[[#This Row],[Comparable '#1 Return]]-INDEX(Benchmark1[Benchmark '#1 Return],MATCH(Comp1[[#This Row],[Comparable '#1 Dates]],Benchmark1[Benchmark '#1 Dates],0)),"-")</f>
        <v>-3.8413063742839624E-3</v>
      </c>
      <c r="L284" s="72">
        <f>Comp1[[#This Row],[Comparable '#1 Price]]/$B$2*100</f>
        <v>117.45379876796716</v>
      </c>
    </row>
    <row r="285" spans="1:12">
      <c r="A285" s="103">
        <v>43697</v>
      </c>
      <c r="B285" s="104">
        <v>17.53</v>
      </c>
      <c r="C285" s="4">
        <f t="shared" si="8"/>
        <v>2.1332604873326874E-2</v>
      </c>
      <c r="D285" s="1">
        <f>IFERROR(Comp1[[#This Row],[Comparable '#1 Return]]+1,"-")</f>
        <v>1.0213326048733269</v>
      </c>
      <c r="E285" s="6">
        <f>B285-MAX($B$2:B285)</f>
        <v>-0.28999999999999915</v>
      </c>
      <c r="F285" s="80">
        <f t="shared" si="9"/>
        <v>7</v>
      </c>
      <c r="G285" s="22" cm="1">
        <f t="array" ref="G285">Comp1[[#This Row],[Comparable '#1 Drawdown]]/MAX($B$2:B285)</f>
        <v>-1.6273849607182891E-2</v>
      </c>
      <c r="H285" s="1" t="str">
        <f>IF(SUM(COUNTIF(Benchmark1[Benchmark '#1 Dates],Comp1[[#This Row],[Comparable '#1 Dates]]),COUNTIF(Benchmark2[Benchmark '#2 Dates],Comp1[[#This Row],[Comparable '#1 Dates]]))=2,"Pass","Fail")</f>
        <v>Pass</v>
      </c>
      <c r="I285" s="1">
        <f>IFERROR(Comp1[[#This Row],[Comparable '#1 Return]]-INDEX(Benchmark1[Benchmark '#1 Return],MATCH(Comp1[[#This Row],[Comparable '#1 Dates]],Benchmark1[Benchmark '#1 Dates],0)),"-")</f>
        <v>2.9278157840494232E-2</v>
      </c>
      <c r="L285" s="72">
        <f>Comp1[[#This Row],[Comparable '#1 Price]]/$B$2*100</f>
        <v>119.98631074606436</v>
      </c>
    </row>
    <row r="286" spans="1:12">
      <c r="A286" s="103">
        <v>43698</v>
      </c>
      <c r="B286" s="104">
        <v>17.850000000000001</v>
      </c>
      <c r="C286" s="4">
        <f t="shared" si="8"/>
        <v>1.8089809292504932E-2</v>
      </c>
      <c r="D286" s="1">
        <f>IFERROR(Comp1[[#This Row],[Comparable '#1 Return]]+1,"-")</f>
        <v>1.018089809292505</v>
      </c>
      <c r="E286" s="6">
        <f>B286-MAX($B$2:B286)</f>
        <v>0</v>
      </c>
      <c r="F286" s="80">
        <f t="shared" si="9"/>
        <v>0</v>
      </c>
      <c r="G286" s="22" cm="1">
        <f t="array" ref="G286">Comp1[[#This Row],[Comparable '#1 Drawdown]]/MAX($B$2:B286)</f>
        <v>0</v>
      </c>
      <c r="H286" s="1" t="str">
        <f>IF(SUM(COUNTIF(Benchmark1[Benchmark '#1 Dates],Comp1[[#This Row],[Comparable '#1 Dates]]),COUNTIF(Benchmark2[Benchmark '#2 Dates],Comp1[[#This Row],[Comparable '#1 Dates]]))=2,"Pass","Fail")</f>
        <v>Pass</v>
      </c>
      <c r="I286" s="1">
        <f>IFERROR(Comp1[[#This Row],[Comparable '#1 Return]]-INDEX(Benchmark1[Benchmark '#1 Return],MATCH(Comp1[[#This Row],[Comparable '#1 Dates]],Benchmark1[Benchmark '#1 Dates],0)),"-")</f>
        <v>9.8767867425133878E-3</v>
      </c>
      <c r="L286" s="72">
        <f>Comp1[[#This Row],[Comparable '#1 Price]]/$B$2*100</f>
        <v>122.17659137577004</v>
      </c>
    </row>
    <row r="287" spans="1:12">
      <c r="A287" s="103">
        <v>43699</v>
      </c>
      <c r="B287" s="104">
        <v>17.93</v>
      </c>
      <c r="C287" s="4">
        <f t="shared" si="8"/>
        <v>4.4717793913934111E-3</v>
      </c>
      <c r="D287" s="1">
        <f>IFERROR(Comp1[[#This Row],[Comparable '#1 Return]]+1,"-")</f>
        <v>1.0044717793913933</v>
      </c>
      <c r="E287" s="6">
        <f>B287-MAX($B$2:B287)</f>
        <v>0</v>
      </c>
      <c r="F287" s="80">
        <f t="shared" si="9"/>
        <v>0</v>
      </c>
      <c r="G287" s="22" cm="1">
        <f t="array" ref="G287">Comp1[[#This Row],[Comparable '#1 Drawdown]]/MAX($B$2:B287)</f>
        <v>0</v>
      </c>
      <c r="H287" s="1" t="str">
        <f>IF(SUM(COUNTIF(Benchmark1[Benchmark '#1 Dates],Comp1[[#This Row],[Comparable '#1 Dates]]),COUNTIF(Benchmark2[Benchmark '#2 Dates],Comp1[[#This Row],[Comparable '#1 Dates]]))=2,"Pass","Fail")</f>
        <v>Pass</v>
      </c>
      <c r="I287" s="1">
        <f>IFERROR(Comp1[[#This Row],[Comparable '#1 Return]]-INDEX(Benchmark1[Benchmark '#1 Return],MATCH(Comp1[[#This Row],[Comparable '#1 Dates]],Benchmark1[Benchmark '#1 Dates],0)),"-")</f>
        <v>4.9772909717577564E-3</v>
      </c>
      <c r="L287" s="72">
        <f>Comp1[[#This Row],[Comparable '#1 Price]]/$B$2*100</f>
        <v>122.72416153319645</v>
      </c>
    </row>
    <row r="288" spans="1:12">
      <c r="A288" s="103">
        <v>43700</v>
      </c>
      <c r="B288" s="104">
        <v>17.54</v>
      </c>
      <c r="C288" s="4">
        <f t="shared" si="8"/>
        <v>-2.1991300673004515E-2</v>
      </c>
      <c r="D288" s="1">
        <f>IFERROR(Comp1[[#This Row],[Comparable '#1 Return]]+1,"-")</f>
        <v>0.97800869932699552</v>
      </c>
      <c r="E288" s="6">
        <f>B288-MAX($B$2:B288)</f>
        <v>-0.39000000000000057</v>
      </c>
      <c r="F288" s="80">
        <f t="shared" si="9"/>
        <v>1</v>
      </c>
      <c r="G288" s="22" cm="1">
        <f t="array" ref="G288">Comp1[[#This Row],[Comparable '#1 Drawdown]]/MAX($B$2:B288)</f>
        <v>-2.1751254880089266E-2</v>
      </c>
      <c r="H288" s="1" t="str">
        <f>IF(SUM(COUNTIF(Benchmark1[Benchmark '#1 Dates],Comp1[[#This Row],[Comparable '#1 Dates]]),COUNTIF(Benchmark2[Benchmark '#2 Dates],Comp1[[#This Row],[Comparable '#1 Dates]]))=2,"Pass","Fail")</f>
        <v>Pass</v>
      </c>
      <c r="I288" s="1">
        <f>IFERROR(Comp1[[#This Row],[Comparable '#1 Return]]-INDEX(Benchmark1[Benchmark '#1 Return],MATCH(Comp1[[#This Row],[Comparable '#1 Dates]],Benchmark1[Benchmark '#1 Dates],0)),"-")</f>
        <v>4.2980960406811819E-3</v>
      </c>
      <c r="L288" s="72">
        <f>Comp1[[#This Row],[Comparable '#1 Price]]/$B$2*100</f>
        <v>120.05475701574264</v>
      </c>
    </row>
    <row r="289" spans="1:12">
      <c r="A289" s="103">
        <v>43703</v>
      </c>
      <c r="B289" s="104">
        <v>17.46</v>
      </c>
      <c r="C289" s="4">
        <f t="shared" si="8"/>
        <v>-4.5714365325807658E-3</v>
      </c>
      <c r="D289" s="1">
        <f>IFERROR(Comp1[[#This Row],[Comparable '#1 Return]]+1,"-")</f>
        <v>0.99542856346741926</v>
      </c>
      <c r="E289" s="6">
        <f>B289-MAX($B$2:B289)</f>
        <v>-0.46999999999999886</v>
      </c>
      <c r="F289" s="80">
        <f t="shared" si="9"/>
        <v>2</v>
      </c>
      <c r="G289" s="22" cm="1">
        <f t="array" ref="G289">Comp1[[#This Row],[Comparable '#1 Drawdown]]/MAX($B$2:B289)</f>
        <v>-2.6213050752927989E-2</v>
      </c>
      <c r="H289" s="1" t="str">
        <f>IF(SUM(COUNTIF(Benchmark1[Benchmark '#1 Dates],Comp1[[#This Row],[Comparable '#1 Dates]]),COUNTIF(Benchmark2[Benchmark '#2 Dates],Comp1[[#This Row],[Comparable '#1 Dates]]))=2,"Pass","Fail")</f>
        <v>Pass</v>
      </c>
      <c r="I289" s="1">
        <f>IFERROR(Comp1[[#This Row],[Comparable '#1 Return]]-INDEX(Benchmark1[Benchmark '#1 Return],MATCH(Comp1[[#This Row],[Comparable '#1 Dates]],Benchmark1[Benchmark '#1 Dates],0)),"-")</f>
        <v>-1.5495631910362734E-2</v>
      </c>
      <c r="L289" s="72">
        <f>Comp1[[#This Row],[Comparable '#1 Price]]/$B$2*100</f>
        <v>119.50718685831623</v>
      </c>
    </row>
    <row r="290" spans="1:12">
      <c r="A290" s="103">
        <v>43704</v>
      </c>
      <c r="B290" s="104">
        <v>17.34</v>
      </c>
      <c r="C290" s="4">
        <f t="shared" si="8"/>
        <v>-6.8965790590604405E-3</v>
      </c>
      <c r="D290" s="1">
        <f>IFERROR(Comp1[[#This Row],[Comparable '#1 Return]]+1,"-")</f>
        <v>0.99310342094093951</v>
      </c>
      <c r="E290" s="6">
        <f>B290-MAX($B$2:B290)</f>
        <v>-0.58999999999999986</v>
      </c>
      <c r="F290" s="80">
        <f t="shared" si="9"/>
        <v>3</v>
      </c>
      <c r="G290" s="22" cm="1">
        <f t="array" ref="G290">Comp1[[#This Row],[Comparable '#1 Drawdown]]/MAX($B$2:B290)</f>
        <v>-3.290574456218627E-2</v>
      </c>
      <c r="H290" s="1" t="str">
        <f>IF(SUM(COUNTIF(Benchmark1[Benchmark '#1 Dates],Comp1[[#This Row],[Comparable '#1 Dates]]),COUNTIF(Benchmark2[Benchmark '#2 Dates],Comp1[[#This Row],[Comparable '#1 Dates]]))=2,"Pass","Fail")</f>
        <v>Pass</v>
      </c>
      <c r="I290" s="1">
        <f>IFERROR(Comp1[[#This Row],[Comparable '#1 Return]]-INDEX(Benchmark1[Benchmark '#1 Return],MATCH(Comp1[[#This Row],[Comparable '#1 Dates]],Benchmark1[Benchmark '#1 Dates],0)),"-")</f>
        <v>-3.685542175791966E-3</v>
      </c>
      <c r="L290" s="72">
        <f>Comp1[[#This Row],[Comparable '#1 Price]]/$B$2*100</f>
        <v>118.68583162217658</v>
      </c>
    </row>
    <row r="291" spans="1:12">
      <c r="A291" s="103">
        <v>43705</v>
      </c>
      <c r="B291" s="104">
        <v>17.899999999999999</v>
      </c>
      <c r="C291" s="4">
        <f t="shared" si="8"/>
        <v>3.1784741494313498E-2</v>
      </c>
      <c r="D291" s="1">
        <f>IFERROR(Comp1[[#This Row],[Comparable '#1 Return]]+1,"-")</f>
        <v>1.0317847414943135</v>
      </c>
      <c r="E291" s="6">
        <f>B291-MAX($B$2:B291)</f>
        <v>-3.0000000000001137E-2</v>
      </c>
      <c r="F291" s="80">
        <f t="shared" si="9"/>
        <v>4</v>
      </c>
      <c r="G291" s="22" cm="1">
        <f t="array" ref="G291">Comp1[[#This Row],[Comparable '#1 Drawdown]]/MAX($B$2:B291)</f>
        <v>-1.67317345231462E-3</v>
      </c>
      <c r="H291" s="1" t="str">
        <f>IF(SUM(COUNTIF(Benchmark1[Benchmark '#1 Dates],Comp1[[#This Row],[Comparable '#1 Dates]]),COUNTIF(Benchmark2[Benchmark '#2 Dates],Comp1[[#This Row],[Comparable '#1 Dates]]))=2,"Pass","Fail")</f>
        <v>Pass</v>
      </c>
      <c r="I291" s="1">
        <f>IFERROR(Comp1[[#This Row],[Comparable '#1 Return]]-INDEX(Benchmark1[Benchmark '#1 Return],MATCH(Comp1[[#This Row],[Comparable '#1 Dates]],Benchmark1[Benchmark '#1 Dates],0)),"-")</f>
        <v>2.5259663949384614E-2</v>
      </c>
      <c r="L291" s="72">
        <f>Comp1[[#This Row],[Comparable '#1 Price]]/$B$2*100</f>
        <v>122.51882272416152</v>
      </c>
    </row>
    <row r="292" spans="1:12">
      <c r="A292" s="103">
        <v>43706</v>
      </c>
      <c r="B292" s="104">
        <v>18.41</v>
      </c>
      <c r="C292" s="4">
        <f t="shared" si="8"/>
        <v>2.8093282398277335E-2</v>
      </c>
      <c r="D292" s="1">
        <f>IFERROR(Comp1[[#This Row],[Comparable '#1 Return]]+1,"-")</f>
        <v>1.0280932823982774</v>
      </c>
      <c r="E292" s="6">
        <f>B292-MAX($B$2:B292)</f>
        <v>0</v>
      </c>
      <c r="F292" s="80">
        <f t="shared" si="9"/>
        <v>0</v>
      </c>
      <c r="G292" s="22" cm="1">
        <f t="array" ref="G292">Comp1[[#This Row],[Comparable '#1 Drawdown]]/MAX($B$2:B292)</f>
        <v>0</v>
      </c>
      <c r="H292" s="1" t="str">
        <f>IF(SUM(COUNTIF(Benchmark1[Benchmark '#1 Dates],Comp1[[#This Row],[Comparable '#1 Dates]]),COUNTIF(Benchmark2[Benchmark '#2 Dates],Comp1[[#This Row],[Comparable '#1 Dates]]))=2,"Pass","Fail")</f>
        <v>Pass</v>
      </c>
      <c r="I292" s="1">
        <f>IFERROR(Comp1[[#This Row],[Comparable '#1 Return]]-INDEX(Benchmark1[Benchmark '#1 Return],MATCH(Comp1[[#This Row],[Comparable '#1 Dates]],Benchmark1[Benchmark '#1 Dates],0)),"-")</f>
        <v>1.5486419948390362E-2</v>
      </c>
      <c r="L292" s="72">
        <f>Comp1[[#This Row],[Comparable '#1 Price]]/$B$2*100</f>
        <v>126.00958247775498</v>
      </c>
    </row>
    <row r="293" spans="1:12">
      <c r="A293" s="103">
        <v>43707</v>
      </c>
      <c r="B293" s="104">
        <v>18.3</v>
      </c>
      <c r="C293" s="4">
        <f t="shared" si="8"/>
        <v>-5.9929353976112196E-3</v>
      </c>
      <c r="D293" s="1">
        <f>IFERROR(Comp1[[#This Row],[Comparable '#1 Return]]+1,"-")</f>
        <v>0.99400706460238875</v>
      </c>
      <c r="E293" s="6">
        <f>B293-MAX($B$2:B293)</f>
        <v>-0.10999999999999943</v>
      </c>
      <c r="F293" s="80">
        <f t="shared" si="9"/>
        <v>1</v>
      </c>
      <c r="G293" s="22" cm="1">
        <f t="array" ref="G293">Comp1[[#This Row],[Comparable '#1 Drawdown]]/MAX($B$2:B293)</f>
        <v>-5.9750135795762866E-3</v>
      </c>
      <c r="H293" s="1" t="str">
        <f>IF(SUM(COUNTIF(Benchmark1[Benchmark '#1 Dates],Comp1[[#This Row],[Comparable '#1 Dates]]),COUNTIF(Benchmark2[Benchmark '#2 Dates],Comp1[[#This Row],[Comparable '#1 Dates]]))=2,"Pass","Fail")</f>
        <v>Pass</v>
      </c>
      <c r="I293" s="1">
        <f>IFERROR(Comp1[[#This Row],[Comparable '#1 Return]]-INDEX(Benchmark1[Benchmark '#1 Return],MATCH(Comp1[[#This Row],[Comparable '#1 Dates]],Benchmark1[Benchmark '#1 Dates],0)),"-")</f>
        <v>-6.6359087171258936E-3</v>
      </c>
      <c r="L293" s="72">
        <f>Comp1[[#This Row],[Comparable '#1 Price]]/$B$2*100</f>
        <v>125.25667351129364</v>
      </c>
    </row>
    <row r="294" spans="1:12">
      <c r="A294" s="103">
        <v>43711</v>
      </c>
      <c r="B294" s="104">
        <v>18.18</v>
      </c>
      <c r="C294" s="4">
        <f t="shared" si="8"/>
        <v>-6.578971098042511E-3</v>
      </c>
      <c r="D294" s="1">
        <f>IFERROR(Comp1[[#This Row],[Comparable '#1 Return]]+1,"-")</f>
        <v>0.99342102890195749</v>
      </c>
      <c r="E294" s="6">
        <f>B294-MAX($B$2:B294)</f>
        <v>-0.23000000000000043</v>
      </c>
      <c r="F294" s="80">
        <f t="shared" si="9"/>
        <v>2</v>
      </c>
      <c r="G294" s="22" cm="1">
        <f t="array" ref="G294">Comp1[[#This Row],[Comparable '#1 Drawdown]]/MAX($B$2:B294)</f>
        <v>-1.2493210211841414E-2</v>
      </c>
      <c r="H294" s="1" t="str">
        <f>IF(SUM(COUNTIF(Benchmark1[Benchmark '#1 Dates],Comp1[[#This Row],[Comparable '#1 Dates]]),COUNTIF(Benchmark2[Benchmark '#2 Dates],Comp1[[#This Row],[Comparable '#1 Dates]]))=2,"Pass","Fail")</f>
        <v>Pass</v>
      </c>
      <c r="I294" s="1">
        <f>IFERROR(Comp1[[#This Row],[Comparable '#1 Return]]-INDEX(Benchmark1[Benchmark '#1 Return],MATCH(Comp1[[#This Row],[Comparable '#1 Dates]],Benchmark1[Benchmark '#1 Dates],0)),"-")</f>
        <v>3.4303811292590337E-4</v>
      </c>
      <c r="L294" s="72">
        <f>Comp1[[#This Row],[Comparable '#1 Price]]/$B$2*100</f>
        <v>124.43531827515402</v>
      </c>
    </row>
    <row r="295" spans="1:12">
      <c r="A295" s="103">
        <v>43712</v>
      </c>
      <c r="B295" s="104">
        <v>17.96</v>
      </c>
      <c r="C295" s="4">
        <f t="shared" si="8"/>
        <v>-1.2175025875279192E-2</v>
      </c>
      <c r="D295" s="1">
        <f>IFERROR(Comp1[[#This Row],[Comparable '#1 Return]]+1,"-")</f>
        <v>0.98782497412472081</v>
      </c>
      <c r="E295" s="6">
        <f>B295-MAX($B$2:B295)</f>
        <v>-0.44999999999999929</v>
      </c>
      <c r="F295" s="80">
        <f t="shared" si="9"/>
        <v>3</v>
      </c>
      <c r="G295" s="22" cm="1">
        <f t="array" ref="G295">Comp1[[#This Row],[Comparable '#1 Drawdown]]/MAX($B$2:B295)</f>
        <v>-2.4443237370993985E-2</v>
      </c>
      <c r="H295" s="1" t="str">
        <f>IF(SUM(COUNTIF(Benchmark1[Benchmark '#1 Dates],Comp1[[#This Row],[Comparable '#1 Dates]]),COUNTIF(Benchmark2[Benchmark '#2 Dates],Comp1[[#This Row],[Comparable '#1 Dates]]))=2,"Pass","Fail")</f>
        <v>Pass</v>
      </c>
      <c r="I295" s="1">
        <f>IFERROR(Comp1[[#This Row],[Comparable '#1 Return]]-INDEX(Benchmark1[Benchmark '#1 Return],MATCH(Comp1[[#This Row],[Comparable '#1 Dates]],Benchmark1[Benchmark '#1 Dates],0)),"-")</f>
        <v>-2.2958035264415935E-2</v>
      </c>
      <c r="L295" s="72">
        <f>Comp1[[#This Row],[Comparable '#1 Price]]/$B$2*100</f>
        <v>122.92950034223136</v>
      </c>
    </row>
    <row r="296" spans="1:12">
      <c r="A296" s="103">
        <v>43713</v>
      </c>
      <c r="B296" s="104">
        <v>17.98</v>
      </c>
      <c r="C296" s="4">
        <f t="shared" si="8"/>
        <v>1.1129661694206506E-3</v>
      </c>
      <c r="D296" s="1">
        <f>IFERROR(Comp1[[#This Row],[Comparable '#1 Return]]+1,"-")</f>
        <v>1.0011129661694207</v>
      </c>
      <c r="E296" s="6">
        <f>B296-MAX($B$2:B296)</f>
        <v>-0.42999999999999972</v>
      </c>
      <c r="F296" s="80">
        <f t="shared" si="9"/>
        <v>4</v>
      </c>
      <c r="G296" s="22" cm="1">
        <f t="array" ref="G296">Comp1[[#This Row],[Comparable '#1 Drawdown]]/MAX($B$2:B296)</f>
        <v>-2.3356871265616499E-2</v>
      </c>
      <c r="H296" s="1" t="str">
        <f>IF(SUM(COUNTIF(Benchmark1[Benchmark '#1 Dates],Comp1[[#This Row],[Comparable '#1 Dates]]),COUNTIF(Benchmark2[Benchmark '#2 Dates],Comp1[[#This Row],[Comparable '#1 Dates]]))=2,"Pass","Fail")</f>
        <v>Pass</v>
      </c>
      <c r="I296" s="1">
        <f>IFERROR(Comp1[[#This Row],[Comparable '#1 Return]]-INDEX(Benchmark1[Benchmark '#1 Return],MATCH(Comp1[[#This Row],[Comparable '#1 Dates]],Benchmark1[Benchmark '#1 Dates],0)),"-")</f>
        <v>-1.1812430294127894E-2</v>
      </c>
      <c r="L296" s="72">
        <f>Comp1[[#This Row],[Comparable '#1 Price]]/$B$2*100</f>
        <v>123.06639288158796</v>
      </c>
    </row>
    <row r="297" spans="1:12">
      <c r="A297" s="103">
        <v>43714</v>
      </c>
      <c r="B297" s="104">
        <v>17.68</v>
      </c>
      <c r="C297" s="4">
        <f t="shared" si="8"/>
        <v>-1.6825971833976903E-2</v>
      </c>
      <c r="D297" s="1">
        <f>IFERROR(Comp1[[#This Row],[Comparable '#1 Return]]+1,"-")</f>
        <v>0.98317402816602306</v>
      </c>
      <c r="E297" s="6">
        <f>B297-MAX($B$2:B297)</f>
        <v>-0.73000000000000043</v>
      </c>
      <c r="F297" s="80">
        <f t="shared" si="9"/>
        <v>5</v>
      </c>
      <c r="G297" s="22" cm="1">
        <f t="array" ref="G297">Comp1[[#This Row],[Comparable '#1 Drawdown]]/MAX($B$2:B297)</f>
        <v>-3.9652362846279217E-2</v>
      </c>
      <c r="H297" s="1" t="str">
        <f>IF(SUM(COUNTIF(Benchmark1[Benchmark '#1 Dates],Comp1[[#This Row],[Comparable '#1 Dates]]),COUNTIF(Benchmark2[Benchmark '#2 Dates],Comp1[[#This Row],[Comparable '#1 Dates]]))=2,"Pass","Fail")</f>
        <v>Pass</v>
      </c>
      <c r="I297" s="1">
        <f>IFERROR(Comp1[[#This Row],[Comparable '#1 Return]]-INDEX(Benchmark1[Benchmark '#1 Return],MATCH(Comp1[[#This Row],[Comparable '#1 Dates]],Benchmark1[Benchmark '#1 Dates],0)),"-")</f>
        <v>-1.7736299092162348E-2</v>
      </c>
      <c r="L297" s="72">
        <f>Comp1[[#This Row],[Comparable '#1 Price]]/$B$2*100</f>
        <v>121.01300479123888</v>
      </c>
    </row>
    <row r="298" spans="1:12">
      <c r="A298" s="103">
        <v>43717</v>
      </c>
      <c r="B298" s="104">
        <v>17.55</v>
      </c>
      <c r="C298" s="4">
        <f t="shared" si="8"/>
        <v>-7.3801072976225337E-3</v>
      </c>
      <c r="D298" s="1">
        <f>IFERROR(Comp1[[#This Row],[Comparable '#1 Return]]+1,"-")</f>
        <v>0.99261989270237749</v>
      </c>
      <c r="E298" s="6">
        <f>B298-MAX($B$2:B298)</f>
        <v>-0.85999999999999943</v>
      </c>
      <c r="F298" s="80">
        <f t="shared" si="9"/>
        <v>6</v>
      </c>
      <c r="G298" s="22" cm="1">
        <f t="array" ref="G298">Comp1[[#This Row],[Comparable '#1 Drawdown]]/MAX($B$2:B298)</f>
        <v>-4.6713742531232998E-2</v>
      </c>
      <c r="H298" s="1" t="str">
        <f>IF(SUM(COUNTIF(Benchmark1[Benchmark '#1 Dates],Comp1[[#This Row],[Comparable '#1 Dates]]),COUNTIF(Benchmark2[Benchmark '#2 Dates],Comp1[[#This Row],[Comparable '#1 Dates]]))=2,"Pass","Fail")</f>
        <v>Pass</v>
      </c>
      <c r="I298" s="1">
        <f>IFERROR(Comp1[[#This Row],[Comparable '#1 Return]]-INDEX(Benchmark1[Benchmark '#1 Return],MATCH(Comp1[[#This Row],[Comparable '#1 Dates]],Benchmark1[Benchmark '#1 Dates],0)),"-")</f>
        <v>-7.2881119751654084E-3</v>
      </c>
      <c r="L298" s="72">
        <f>Comp1[[#This Row],[Comparable '#1 Price]]/$B$2*100</f>
        <v>120.12320328542094</v>
      </c>
    </row>
    <row r="299" spans="1:12">
      <c r="A299" s="103">
        <v>43718</v>
      </c>
      <c r="B299" s="104">
        <v>16.38</v>
      </c>
      <c r="C299" s="4">
        <f t="shared" si="8"/>
        <v>-6.899287148695156E-2</v>
      </c>
      <c r="D299" s="1">
        <f>IFERROR(Comp1[[#This Row],[Comparable '#1 Return]]+1,"-")</f>
        <v>0.93100712851304845</v>
      </c>
      <c r="E299" s="6">
        <f>B299-MAX($B$2:B299)</f>
        <v>-2.0300000000000011</v>
      </c>
      <c r="F299" s="80">
        <f t="shared" si="9"/>
        <v>7</v>
      </c>
      <c r="G299" s="22" cm="1">
        <f t="array" ref="G299">Comp1[[#This Row],[Comparable '#1 Drawdown]]/MAX($B$2:B299)</f>
        <v>-0.11026615969581754</v>
      </c>
      <c r="H299" s="1" t="str">
        <f>IF(SUM(COUNTIF(Benchmark1[Benchmark '#1 Dates],Comp1[[#This Row],[Comparable '#1 Dates]]),COUNTIF(Benchmark2[Benchmark '#2 Dates],Comp1[[#This Row],[Comparable '#1 Dates]]))=2,"Pass","Fail")</f>
        <v>Pass</v>
      </c>
      <c r="I299" s="1">
        <f>IFERROR(Comp1[[#This Row],[Comparable '#1 Return]]-INDEX(Benchmark1[Benchmark '#1 Return],MATCH(Comp1[[#This Row],[Comparable '#1 Dates]],Benchmark1[Benchmark '#1 Dates],0)),"-")</f>
        <v>-6.9312367670166117E-2</v>
      </c>
      <c r="L299" s="72">
        <f>Comp1[[#This Row],[Comparable '#1 Price]]/$B$2*100</f>
        <v>112.11498973305956</v>
      </c>
    </row>
    <row r="300" spans="1:12">
      <c r="A300" s="103">
        <v>43719</v>
      </c>
      <c r="B300" s="104">
        <v>16.690000000000001</v>
      </c>
      <c r="C300" s="4">
        <f t="shared" si="8"/>
        <v>1.8748659248820496E-2</v>
      </c>
      <c r="D300" s="1">
        <f>IFERROR(Comp1[[#This Row],[Comparable '#1 Return]]+1,"-")</f>
        <v>1.0187486592488204</v>
      </c>
      <c r="E300" s="6">
        <f>B300-MAX($B$2:B300)</f>
        <v>-1.7199999999999989</v>
      </c>
      <c r="F300" s="80">
        <f t="shared" si="9"/>
        <v>8</v>
      </c>
      <c r="G300" s="22" cm="1">
        <f t="array" ref="G300">Comp1[[#This Row],[Comparable '#1 Drawdown]]/MAX($B$2:B300)</f>
        <v>-9.3427485062465995E-2</v>
      </c>
      <c r="H300" s="1" t="str">
        <f>IF(SUM(COUNTIF(Benchmark1[Benchmark '#1 Dates],Comp1[[#This Row],[Comparable '#1 Dates]]),COUNTIF(Benchmark2[Benchmark '#2 Dates],Comp1[[#This Row],[Comparable '#1 Dates]]))=2,"Pass","Fail")</f>
        <v>Pass</v>
      </c>
      <c r="I300" s="1">
        <f>IFERROR(Comp1[[#This Row],[Comparable '#1 Return]]-INDEX(Benchmark1[Benchmark '#1 Return],MATCH(Comp1[[#This Row],[Comparable '#1 Dates]],Benchmark1[Benchmark '#1 Dates],0)),"-")</f>
        <v>1.1544719938748988E-2</v>
      </c>
      <c r="L300" s="72">
        <f>Comp1[[#This Row],[Comparable '#1 Price]]/$B$2*100</f>
        <v>114.23682409308694</v>
      </c>
    </row>
    <row r="301" spans="1:12">
      <c r="A301" s="103">
        <v>43720</v>
      </c>
      <c r="B301" s="104">
        <v>16.77</v>
      </c>
      <c r="C301" s="4">
        <f t="shared" si="8"/>
        <v>4.7818381613735838E-3</v>
      </c>
      <c r="D301" s="1">
        <f>IFERROR(Comp1[[#This Row],[Comparable '#1 Return]]+1,"-")</f>
        <v>1.0047818381613736</v>
      </c>
      <c r="E301" s="6">
        <f>B301-MAX($B$2:B301)</f>
        <v>-1.6400000000000006</v>
      </c>
      <c r="F301" s="80">
        <f t="shared" si="9"/>
        <v>9</v>
      </c>
      <c r="G301" s="22" cm="1">
        <f t="array" ref="G301">Comp1[[#This Row],[Comparable '#1 Drawdown]]/MAX($B$2:B301)</f>
        <v>-8.9082020640956036E-2</v>
      </c>
      <c r="H301" s="1" t="str">
        <f>IF(SUM(COUNTIF(Benchmark1[Benchmark '#1 Dates],Comp1[[#This Row],[Comparable '#1 Dates]]),COUNTIF(Benchmark2[Benchmark '#2 Dates],Comp1[[#This Row],[Comparable '#1 Dates]]))=2,"Pass","Fail")</f>
        <v>Pass</v>
      </c>
      <c r="I301" s="1">
        <f>IFERROR(Comp1[[#This Row],[Comparable '#1 Return]]-INDEX(Benchmark1[Benchmark '#1 Return],MATCH(Comp1[[#This Row],[Comparable '#1 Dates]],Benchmark1[Benchmark '#1 Dates],0)),"-")</f>
        <v>1.905029712532395E-3</v>
      </c>
      <c r="L301" s="72">
        <f>Comp1[[#This Row],[Comparable '#1 Price]]/$B$2*100</f>
        <v>114.78439425051334</v>
      </c>
    </row>
    <row r="302" spans="1:12">
      <c r="A302" s="103">
        <v>43721</v>
      </c>
      <c r="B302" s="104">
        <v>16.829999999999998</v>
      </c>
      <c r="C302" s="4">
        <f t="shared" si="8"/>
        <v>3.5714323675971795E-3</v>
      </c>
      <c r="D302" s="1">
        <f>IFERROR(Comp1[[#This Row],[Comparable '#1 Return]]+1,"-")</f>
        <v>1.0035714323675973</v>
      </c>
      <c r="E302" s="6">
        <f>B302-MAX($B$2:B302)</f>
        <v>-1.5800000000000018</v>
      </c>
      <c r="F302" s="80">
        <f t="shared" si="9"/>
        <v>10</v>
      </c>
      <c r="G302" s="22" cm="1">
        <f t="array" ref="G302">Comp1[[#This Row],[Comparable '#1 Drawdown]]/MAX($B$2:B302)</f>
        <v>-8.5822922324823567E-2</v>
      </c>
      <c r="H302" s="1" t="str">
        <f>IF(SUM(COUNTIF(Benchmark1[Benchmark '#1 Dates],Comp1[[#This Row],[Comparable '#1 Dates]]),COUNTIF(Benchmark2[Benchmark '#2 Dates],Comp1[[#This Row],[Comparable '#1 Dates]]))=2,"Pass","Fail")</f>
        <v>Pass</v>
      </c>
      <c r="I302" s="1">
        <f>IFERROR(Comp1[[#This Row],[Comparable '#1 Return]]-INDEX(Benchmark1[Benchmark '#1 Return],MATCH(Comp1[[#This Row],[Comparable '#1 Dates]],Benchmark1[Benchmark '#1 Dates],0)),"-")</f>
        <v>4.2975472030487103E-3</v>
      </c>
      <c r="L302" s="72">
        <f>Comp1[[#This Row],[Comparable '#1 Price]]/$B$2*100</f>
        <v>115.19507186858316</v>
      </c>
    </row>
    <row r="303" spans="1:12">
      <c r="A303" s="103">
        <v>43724</v>
      </c>
      <c r="B303" s="104">
        <v>16.940000000000001</v>
      </c>
      <c r="C303" s="4">
        <f t="shared" si="8"/>
        <v>6.5146810211938935E-3</v>
      </c>
      <c r="D303" s="1">
        <f>IFERROR(Comp1[[#This Row],[Comparable '#1 Return]]+1,"-")</f>
        <v>1.0065146810211938</v>
      </c>
      <c r="E303" s="6">
        <f>B303-MAX($B$2:B303)</f>
        <v>-1.4699999999999989</v>
      </c>
      <c r="F303" s="80">
        <f t="shared" si="9"/>
        <v>11</v>
      </c>
      <c r="G303" s="22" cm="1">
        <f t="array" ref="G303">Comp1[[#This Row],[Comparable '#1 Drawdown]]/MAX($B$2:B303)</f>
        <v>-7.9847908745247081E-2</v>
      </c>
      <c r="H303" s="1" t="str">
        <f>IF(SUM(COUNTIF(Benchmark1[Benchmark '#1 Dates],Comp1[[#This Row],[Comparable '#1 Dates]]),COUNTIF(Benchmark2[Benchmark '#2 Dates],Comp1[[#This Row],[Comparable '#1 Dates]]))=2,"Pass","Fail")</f>
        <v>Pass</v>
      </c>
      <c r="I303" s="1">
        <f>IFERROR(Comp1[[#This Row],[Comparable '#1 Return]]-INDEX(Benchmark1[Benchmark '#1 Return],MATCH(Comp1[[#This Row],[Comparable '#1 Dates]],Benchmark1[Benchmark '#1 Dates],0)),"-")</f>
        <v>9.6544796729226522E-3</v>
      </c>
      <c r="L303" s="72">
        <f>Comp1[[#This Row],[Comparable '#1 Price]]/$B$2*100</f>
        <v>115.94798083504449</v>
      </c>
    </row>
    <row r="304" spans="1:12">
      <c r="A304" s="103">
        <v>43725</v>
      </c>
      <c r="B304" s="104">
        <v>17.11</v>
      </c>
      <c r="C304" s="4">
        <f t="shared" si="8"/>
        <v>9.985398680193663E-3</v>
      </c>
      <c r="D304" s="1">
        <f>IFERROR(Comp1[[#This Row],[Comparable '#1 Return]]+1,"-")</f>
        <v>1.0099853986801937</v>
      </c>
      <c r="E304" s="6">
        <f>B304-MAX($B$2:B304)</f>
        <v>-1.3000000000000007</v>
      </c>
      <c r="F304" s="80">
        <f t="shared" si="9"/>
        <v>12</v>
      </c>
      <c r="G304" s="22" cm="1">
        <f t="array" ref="G304">Comp1[[#This Row],[Comparable '#1 Drawdown]]/MAX($B$2:B304)</f>
        <v>-7.0613796849538335E-2</v>
      </c>
      <c r="H304" s="1" t="str">
        <f>IF(SUM(COUNTIF(Benchmark1[Benchmark '#1 Dates],Comp1[[#This Row],[Comparable '#1 Dates]]),COUNTIF(Benchmark2[Benchmark '#2 Dates],Comp1[[#This Row],[Comparable '#1 Dates]]))=2,"Pass","Fail")</f>
        <v>Pass</v>
      </c>
      <c r="I304" s="1">
        <f>IFERROR(Comp1[[#This Row],[Comparable '#1 Return]]-INDEX(Benchmark1[Benchmark '#1 Return],MATCH(Comp1[[#This Row],[Comparable '#1 Dates]],Benchmark1[Benchmark '#1 Dates],0)),"-")</f>
        <v>7.408010919676444E-3</v>
      </c>
      <c r="L304" s="72">
        <f>Comp1[[#This Row],[Comparable '#1 Price]]/$B$2*100</f>
        <v>117.11156741957562</v>
      </c>
    </row>
    <row r="305" spans="1:12">
      <c r="A305" s="103">
        <v>43726</v>
      </c>
      <c r="B305" s="104">
        <v>17.53</v>
      </c>
      <c r="C305" s="4">
        <f t="shared" si="8"/>
        <v>2.4250611029041046E-2</v>
      </c>
      <c r="D305" s="1">
        <f>IFERROR(Comp1[[#This Row],[Comparable '#1 Return]]+1,"-")</f>
        <v>1.024250611029041</v>
      </c>
      <c r="E305" s="6">
        <f>B305-MAX($B$2:B305)</f>
        <v>-0.87999999999999901</v>
      </c>
      <c r="F305" s="80">
        <f t="shared" si="9"/>
        <v>13</v>
      </c>
      <c r="G305" s="22" cm="1">
        <f t="array" ref="G305">Comp1[[#This Row],[Comparable '#1 Drawdown]]/MAX($B$2:B305)</f>
        <v>-4.780010863661048E-2</v>
      </c>
      <c r="H305" s="1" t="str">
        <f>IF(SUM(COUNTIF(Benchmark1[Benchmark '#1 Dates],Comp1[[#This Row],[Comparable '#1 Dates]]),COUNTIF(Benchmark2[Benchmark '#2 Dates],Comp1[[#This Row],[Comparable '#1 Dates]]))=2,"Pass","Fail")</f>
        <v>Pass</v>
      </c>
      <c r="I305" s="1">
        <f>IFERROR(Comp1[[#This Row],[Comparable '#1 Return]]-INDEX(Benchmark1[Benchmark '#1 Return],MATCH(Comp1[[#This Row],[Comparable '#1 Dates]],Benchmark1[Benchmark '#1 Dates],0)),"-")</f>
        <v>2.3906815136747542E-2</v>
      </c>
      <c r="L305" s="72">
        <f>Comp1[[#This Row],[Comparable '#1 Price]]/$B$2*100</f>
        <v>119.98631074606436</v>
      </c>
    </row>
    <row r="306" spans="1:12">
      <c r="A306" s="103">
        <v>43727</v>
      </c>
      <c r="B306" s="104">
        <v>17.5</v>
      </c>
      <c r="C306" s="4">
        <f t="shared" si="8"/>
        <v>-1.7128180036748277E-3</v>
      </c>
      <c r="D306" s="1">
        <f>IFERROR(Comp1[[#This Row],[Comparable '#1 Return]]+1,"-")</f>
        <v>0.99828718199632516</v>
      </c>
      <c r="E306" s="6">
        <f>B306-MAX($B$2:B306)</f>
        <v>-0.91000000000000014</v>
      </c>
      <c r="F306" s="80">
        <f t="shared" si="9"/>
        <v>14</v>
      </c>
      <c r="G306" s="22" cm="1">
        <f t="array" ref="G306">Comp1[[#This Row],[Comparable '#1 Drawdown]]/MAX($B$2:B306)</f>
        <v>-4.9429657794676812E-2</v>
      </c>
      <c r="H306" s="1" t="str">
        <f>IF(SUM(COUNTIF(Benchmark1[Benchmark '#1 Dates],Comp1[[#This Row],[Comparable '#1 Dates]]),COUNTIF(Benchmark2[Benchmark '#2 Dates],Comp1[[#This Row],[Comparable '#1 Dates]]))=2,"Pass","Fail")</f>
        <v>Pass</v>
      </c>
      <c r="I306" s="1">
        <f>IFERROR(Comp1[[#This Row],[Comparable '#1 Return]]-INDEX(Benchmark1[Benchmark '#1 Return],MATCH(Comp1[[#This Row],[Comparable '#1 Dates]],Benchmark1[Benchmark '#1 Dates],0)),"-")</f>
        <v>-1.7330378823999834E-3</v>
      </c>
      <c r="L306" s="72">
        <f>Comp1[[#This Row],[Comparable '#1 Price]]/$B$2*100</f>
        <v>119.78097193702943</v>
      </c>
    </row>
    <row r="307" spans="1:12">
      <c r="A307" s="103">
        <v>43728</v>
      </c>
      <c r="B307" s="104">
        <v>17.39</v>
      </c>
      <c r="C307" s="4">
        <f t="shared" si="8"/>
        <v>-6.3055525632766491E-3</v>
      </c>
      <c r="D307" s="1">
        <f>IFERROR(Comp1[[#This Row],[Comparable '#1 Return]]+1,"-")</f>
        <v>0.9936944474367233</v>
      </c>
      <c r="E307" s="6">
        <f>B307-MAX($B$2:B307)</f>
        <v>-1.0199999999999996</v>
      </c>
      <c r="F307" s="80">
        <f t="shared" si="9"/>
        <v>15</v>
      </c>
      <c r="G307" s="22" cm="1">
        <f t="array" ref="G307">Comp1[[#This Row],[Comparable '#1 Drawdown]]/MAX($B$2:B307)</f>
        <v>-5.5404671374253096E-2</v>
      </c>
      <c r="H307" s="1" t="str">
        <f>IF(SUM(COUNTIF(Benchmark1[Benchmark '#1 Dates],Comp1[[#This Row],[Comparable '#1 Dates]]),COUNTIF(Benchmark2[Benchmark '#2 Dates],Comp1[[#This Row],[Comparable '#1 Dates]]))=2,"Pass","Fail")</f>
        <v>Pass</v>
      </c>
      <c r="I307" s="1">
        <f>IFERROR(Comp1[[#This Row],[Comparable '#1 Return]]-INDEX(Benchmark1[Benchmark '#1 Return],MATCH(Comp1[[#This Row],[Comparable '#1 Dates]],Benchmark1[Benchmark '#1 Dates],0)),"-")</f>
        <v>-1.3984501095801799E-3</v>
      </c>
      <c r="L307" s="72">
        <f>Comp1[[#This Row],[Comparable '#1 Price]]/$B$2*100</f>
        <v>119.02806297056812</v>
      </c>
    </row>
    <row r="308" spans="1:12">
      <c r="A308" s="103">
        <v>43731</v>
      </c>
      <c r="B308" s="104">
        <v>17.12</v>
      </c>
      <c r="C308" s="4">
        <f t="shared" si="8"/>
        <v>-1.5647957652595624E-2</v>
      </c>
      <c r="D308" s="1">
        <f>IFERROR(Comp1[[#This Row],[Comparable '#1 Return]]+1,"-")</f>
        <v>0.98435204234740437</v>
      </c>
      <c r="E308" s="6">
        <f>B308-MAX($B$2:B308)</f>
        <v>-1.2899999999999991</v>
      </c>
      <c r="F308" s="80">
        <f t="shared" si="9"/>
        <v>16</v>
      </c>
      <c r="G308" s="22" cm="1">
        <f t="array" ref="G308">Comp1[[#This Row],[Comparable '#1 Drawdown]]/MAX($B$2:B308)</f>
        <v>-7.0070613796849493E-2</v>
      </c>
      <c r="H308" s="1" t="str">
        <f>IF(SUM(COUNTIF(Benchmark1[Benchmark '#1 Dates],Comp1[[#This Row],[Comparable '#1 Dates]]),COUNTIF(Benchmark2[Benchmark '#2 Dates],Comp1[[#This Row],[Comparable '#1 Dates]]))=2,"Pass","Fail")</f>
        <v>Pass</v>
      </c>
      <c r="I308" s="1">
        <f>IFERROR(Comp1[[#This Row],[Comparable '#1 Return]]-INDEX(Benchmark1[Benchmark '#1 Return],MATCH(Comp1[[#This Row],[Comparable '#1 Dates]],Benchmark1[Benchmark '#1 Dates],0)),"-")</f>
        <v>-1.554994049915614E-2</v>
      </c>
      <c r="L308" s="72">
        <f>Comp1[[#This Row],[Comparable '#1 Price]]/$B$2*100</f>
        <v>117.18001368925395</v>
      </c>
    </row>
    <row r="309" spans="1:12">
      <c r="A309" s="103">
        <v>43732</v>
      </c>
      <c r="B309" s="104">
        <v>17.55</v>
      </c>
      <c r="C309" s="4">
        <f t="shared" si="8"/>
        <v>2.4806579198278771E-2</v>
      </c>
      <c r="D309" s="1">
        <f>IFERROR(Comp1[[#This Row],[Comparable '#1 Return]]+1,"-")</f>
        <v>1.0248065791982788</v>
      </c>
      <c r="E309" s="6">
        <f>B309-MAX($B$2:B309)</f>
        <v>-0.85999999999999943</v>
      </c>
      <c r="F309" s="80">
        <f t="shared" si="9"/>
        <v>17</v>
      </c>
      <c r="G309" s="22" cm="1">
        <f t="array" ref="G309">Comp1[[#This Row],[Comparable '#1 Drawdown]]/MAX($B$2:B309)</f>
        <v>-4.6713742531232998E-2</v>
      </c>
      <c r="H309" s="1" t="str">
        <f>IF(SUM(COUNTIF(Benchmark1[Benchmark '#1 Dates],Comp1[[#This Row],[Comparable '#1 Dates]]),COUNTIF(Benchmark2[Benchmark '#2 Dates],Comp1[[#This Row],[Comparable '#1 Dates]]))=2,"Pass","Fail")</f>
        <v>Pass</v>
      </c>
      <c r="I309" s="1">
        <f>IFERROR(Comp1[[#This Row],[Comparable '#1 Return]]-INDEX(Benchmark1[Benchmark '#1 Return],MATCH(Comp1[[#This Row],[Comparable '#1 Dates]],Benchmark1[Benchmark '#1 Dates],0)),"-")</f>
        <v>3.3259615253319455E-2</v>
      </c>
      <c r="L309" s="72">
        <f>Comp1[[#This Row],[Comparable '#1 Price]]/$B$2*100</f>
        <v>120.12320328542094</v>
      </c>
    </row>
    <row r="310" spans="1:12">
      <c r="A310" s="103">
        <v>43733</v>
      </c>
      <c r="B310" s="104">
        <v>16.95</v>
      </c>
      <c r="C310" s="4">
        <f t="shared" si="8"/>
        <v>-3.4786116085415653E-2</v>
      </c>
      <c r="D310" s="1">
        <f>IFERROR(Comp1[[#This Row],[Comparable '#1 Return]]+1,"-")</f>
        <v>0.96521388391458429</v>
      </c>
      <c r="E310" s="6">
        <f>B310-MAX($B$2:B310)</f>
        <v>-1.4600000000000009</v>
      </c>
      <c r="F310" s="80">
        <f t="shared" si="9"/>
        <v>18</v>
      </c>
      <c r="G310" s="22" cm="1">
        <f t="array" ref="G310">Comp1[[#This Row],[Comparable '#1 Drawdown]]/MAX($B$2:B310)</f>
        <v>-7.9304725692558434E-2</v>
      </c>
      <c r="H310" s="1" t="str">
        <f>IF(SUM(COUNTIF(Benchmark1[Benchmark '#1 Dates],Comp1[[#This Row],[Comparable '#1 Dates]]),COUNTIF(Benchmark2[Benchmark '#2 Dates],Comp1[[#This Row],[Comparable '#1 Dates]]))=2,"Pass","Fail")</f>
        <v>Pass</v>
      </c>
      <c r="I310" s="1">
        <f>IFERROR(Comp1[[#This Row],[Comparable '#1 Return]]-INDEX(Benchmark1[Benchmark '#1 Return],MATCH(Comp1[[#This Row],[Comparable '#1 Dates]],Benchmark1[Benchmark '#1 Dates],0)),"-")</f>
        <v>-4.0926583574539196E-2</v>
      </c>
      <c r="L310" s="72">
        <f>Comp1[[#This Row],[Comparable '#1 Price]]/$B$2*100</f>
        <v>116.01642710472279</v>
      </c>
    </row>
    <row r="311" spans="1:12">
      <c r="A311" s="103">
        <v>43734</v>
      </c>
      <c r="B311" s="104">
        <v>16.71</v>
      </c>
      <c r="C311" s="4">
        <f t="shared" si="8"/>
        <v>-1.4260491219156809E-2</v>
      </c>
      <c r="D311" s="1">
        <f>IFERROR(Comp1[[#This Row],[Comparable '#1 Return]]+1,"-")</f>
        <v>0.98573950878084315</v>
      </c>
      <c r="E311" s="6">
        <f>B311-MAX($B$2:B311)</f>
        <v>-1.6999999999999993</v>
      </c>
      <c r="F311" s="80">
        <f t="shared" si="9"/>
        <v>19</v>
      </c>
      <c r="G311" s="22" cm="1">
        <f t="array" ref="G311">Comp1[[#This Row],[Comparable '#1 Drawdown]]/MAX($B$2:B311)</f>
        <v>-9.2341118957088505E-2</v>
      </c>
      <c r="H311" s="1" t="str">
        <f>IF(SUM(COUNTIF(Benchmark1[Benchmark '#1 Dates],Comp1[[#This Row],[Comparable '#1 Dates]]),COUNTIF(Benchmark2[Benchmark '#2 Dates],Comp1[[#This Row],[Comparable '#1 Dates]]))=2,"Pass","Fail")</f>
        <v>Pass</v>
      </c>
      <c r="I311" s="1">
        <f>IFERROR(Comp1[[#This Row],[Comparable '#1 Return]]-INDEX(Benchmark1[Benchmark '#1 Return],MATCH(Comp1[[#This Row],[Comparable '#1 Dates]],Benchmark1[Benchmark '#1 Dates],0)),"-")</f>
        <v>-1.1828317621419856E-2</v>
      </c>
      <c r="L311" s="72">
        <f>Comp1[[#This Row],[Comparable '#1 Price]]/$B$2*100</f>
        <v>114.37371663244353</v>
      </c>
    </row>
    <row r="312" spans="1:12">
      <c r="A312" s="103">
        <v>43735</v>
      </c>
      <c r="B312" s="104">
        <v>16.62</v>
      </c>
      <c r="C312" s="4">
        <f t="shared" si="8"/>
        <v>-5.4005531800001656E-3</v>
      </c>
      <c r="D312" s="1">
        <f>IFERROR(Comp1[[#This Row],[Comparable '#1 Return]]+1,"-")</f>
        <v>0.99459944681999979</v>
      </c>
      <c r="E312" s="6">
        <f>B312-MAX($B$2:B312)</f>
        <v>-1.7899999999999991</v>
      </c>
      <c r="F312" s="80">
        <f t="shared" si="9"/>
        <v>20</v>
      </c>
      <c r="G312" s="22" cm="1">
        <f t="array" ref="G312">Comp1[[#This Row],[Comparable '#1 Drawdown]]/MAX($B$2:B312)</f>
        <v>-9.7229766431287293E-2</v>
      </c>
      <c r="H312" s="1" t="str">
        <f>IF(SUM(COUNTIF(Benchmark1[Benchmark '#1 Dates],Comp1[[#This Row],[Comparable '#1 Dates]]),COUNTIF(Benchmark2[Benchmark '#2 Dates],Comp1[[#This Row],[Comparable '#1 Dates]]))=2,"Pass","Fail")</f>
        <v>Pass</v>
      </c>
      <c r="I312" s="1">
        <f>IFERROR(Comp1[[#This Row],[Comparable '#1 Return]]-INDEX(Benchmark1[Benchmark '#1 Return],MATCH(Comp1[[#This Row],[Comparable '#1 Dates]],Benchmark1[Benchmark '#1 Dates],0)),"-")</f>
        <v>-7.1957865892257299E-5</v>
      </c>
      <c r="L312" s="72">
        <f>Comp1[[#This Row],[Comparable '#1 Price]]/$B$2*100</f>
        <v>113.75770020533882</v>
      </c>
    </row>
    <row r="313" spans="1:12">
      <c r="A313" s="103">
        <v>43738</v>
      </c>
      <c r="B313" s="104">
        <v>16.574999999999999</v>
      </c>
      <c r="C313" s="4">
        <f t="shared" si="8"/>
        <v>-2.7112533553760778E-3</v>
      </c>
      <c r="D313" s="1">
        <f>IFERROR(Comp1[[#This Row],[Comparable '#1 Return]]+1,"-")</f>
        <v>0.99728874664462397</v>
      </c>
      <c r="E313" s="6">
        <f>B313-MAX($B$2:B313)</f>
        <v>-1.8350000000000009</v>
      </c>
      <c r="F313" s="80">
        <f t="shared" si="9"/>
        <v>21</v>
      </c>
      <c r="G313" s="22" cm="1">
        <f t="array" ref="G313">Comp1[[#This Row],[Comparable '#1 Drawdown]]/MAX($B$2:B313)</f>
        <v>-9.9674090168386797E-2</v>
      </c>
      <c r="H313" s="1" t="str">
        <f>IF(SUM(COUNTIF(Benchmark1[Benchmark '#1 Dates],Comp1[[#This Row],[Comparable '#1 Dates]]),COUNTIF(Benchmark2[Benchmark '#2 Dates],Comp1[[#This Row],[Comparable '#1 Dates]]))=2,"Pass","Fail")</f>
        <v>Pass</v>
      </c>
      <c r="I313" s="1">
        <f>IFERROR(Comp1[[#This Row],[Comparable '#1 Return]]-INDEX(Benchmark1[Benchmark '#1 Return],MATCH(Comp1[[#This Row],[Comparable '#1 Dates]],Benchmark1[Benchmark '#1 Dates],0)),"-")</f>
        <v>-7.7442113477765272E-3</v>
      </c>
      <c r="L313" s="72">
        <f>Comp1[[#This Row],[Comparable '#1 Price]]/$B$2*100</f>
        <v>113.44969199178645</v>
      </c>
    </row>
    <row r="314" spans="1:12">
      <c r="A314" s="103">
        <v>43739</v>
      </c>
      <c r="B314" s="104">
        <v>16.399999999999999</v>
      </c>
      <c r="C314" s="4">
        <f t="shared" si="8"/>
        <v>-1.0614201241773541E-2</v>
      </c>
      <c r="D314" s="1">
        <f>IFERROR(Comp1[[#This Row],[Comparable '#1 Return]]+1,"-")</f>
        <v>0.98938579875822641</v>
      </c>
      <c r="E314" s="6">
        <f>B314-MAX($B$2:B314)</f>
        <v>-2.0100000000000016</v>
      </c>
      <c r="F314" s="80">
        <f t="shared" si="9"/>
        <v>22</v>
      </c>
      <c r="G314" s="22" cm="1">
        <f t="array" ref="G314">Comp1[[#This Row],[Comparable '#1 Drawdown]]/MAX($B$2:B314)</f>
        <v>-0.10917979359044007</v>
      </c>
      <c r="H314" s="1" t="str">
        <f>IF(SUM(COUNTIF(Benchmark1[Benchmark '#1 Dates],Comp1[[#This Row],[Comparable '#1 Dates]]),COUNTIF(Benchmark2[Benchmark '#2 Dates],Comp1[[#This Row],[Comparable '#1 Dates]]))=2,"Pass","Fail")</f>
        <v>Pass</v>
      </c>
      <c r="I314" s="1">
        <f>IFERROR(Comp1[[#This Row],[Comparable '#1 Return]]-INDEX(Benchmark1[Benchmark '#1 Return],MATCH(Comp1[[#This Row],[Comparable '#1 Dates]],Benchmark1[Benchmark '#1 Dates],0)),"-")</f>
        <v>1.719492528100313E-3</v>
      </c>
      <c r="L314" s="72">
        <f>Comp1[[#This Row],[Comparable '#1 Price]]/$B$2*100</f>
        <v>112.25188227241614</v>
      </c>
    </row>
    <row r="315" spans="1:12">
      <c r="A315" s="103">
        <v>43740</v>
      </c>
      <c r="B315" s="104">
        <v>16.36</v>
      </c>
      <c r="C315" s="4">
        <f t="shared" si="8"/>
        <v>-2.4420036555517443E-3</v>
      </c>
      <c r="D315" s="1">
        <f>IFERROR(Comp1[[#This Row],[Comparable '#1 Return]]+1,"-")</f>
        <v>0.99755799634444831</v>
      </c>
      <c r="E315" s="6">
        <f>B315-MAX($B$2:B315)</f>
        <v>-2.0500000000000007</v>
      </c>
      <c r="F315" s="80">
        <f t="shared" si="9"/>
        <v>23</v>
      </c>
      <c r="G315" s="22" cm="1">
        <f t="array" ref="G315">Comp1[[#This Row],[Comparable '#1 Drawdown]]/MAX($B$2:B315)</f>
        <v>-0.11135252580119503</v>
      </c>
      <c r="H315" s="1" t="str">
        <f>IF(SUM(COUNTIF(Benchmark1[Benchmark '#1 Dates],Comp1[[#This Row],[Comparable '#1 Dates]]),COUNTIF(Benchmark2[Benchmark '#2 Dates],Comp1[[#This Row],[Comparable '#1 Dates]]))=2,"Pass","Fail")</f>
        <v>Pass</v>
      </c>
      <c r="I315" s="1">
        <f>IFERROR(Comp1[[#This Row],[Comparable '#1 Return]]-INDEX(Benchmark1[Benchmark '#1 Return],MATCH(Comp1[[#This Row],[Comparable '#1 Dates]],Benchmark1[Benchmark '#1 Dates],0)),"-")</f>
        <v>1.562416829823692E-2</v>
      </c>
      <c r="L315" s="72">
        <f>Comp1[[#This Row],[Comparable '#1 Price]]/$B$2*100</f>
        <v>111.97809719370295</v>
      </c>
    </row>
    <row r="316" spans="1:12">
      <c r="A316" s="103">
        <v>43741</v>
      </c>
      <c r="B316" s="104">
        <v>16.43</v>
      </c>
      <c r="C316" s="4">
        <f t="shared" si="8"/>
        <v>4.2696008745757765E-3</v>
      </c>
      <c r="D316" s="1">
        <f>IFERROR(Comp1[[#This Row],[Comparable '#1 Return]]+1,"-")</f>
        <v>1.0042696008745757</v>
      </c>
      <c r="E316" s="6">
        <f>B316-MAX($B$2:B316)</f>
        <v>-1.9800000000000004</v>
      </c>
      <c r="F316" s="80">
        <f t="shared" si="9"/>
        <v>24</v>
      </c>
      <c r="G316" s="22" cm="1">
        <f t="array" ref="G316">Comp1[[#This Row],[Comparable '#1 Drawdown]]/MAX($B$2:B316)</f>
        <v>-0.10755024443237374</v>
      </c>
      <c r="H316" s="1" t="str">
        <f>IF(SUM(COUNTIF(Benchmark1[Benchmark '#1 Dates],Comp1[[#This Row],[Comparable '#1 Dates]]),COUNTIF(Benchmark2[Benchmark '#2 Dates],Comp1[[#This Row],[Comparable '#1 Dates]]))=2,"Pass","Fail")</f>
        <v>Pass</v>
      </c>
      <c r="I316" s="1">
        <f>IFERROR(Comp1[[#This Row],[Comparable '#1 Return]]-INDEX(Benchmark1[Benchmark '#1 Return],MATCH(Comp1[[#This Row],[Comparable '#1 Dates]],Benchmark1[Benchmark '#1 Dates],0)),"-")</f>
        <v>-3.6733801965166003E-3</v>
      </c>
      <c r="L316" s="72">
        <f>Comp1[[#This Row],[Comparable '#1 Price]]/$B$2*100</f>
        <v>112.45722108145107</v>
      </c>
    </row>
    <row r="317" spans="1:12">
      <c r="A317" s="103">
        <v>43742</v>
      </c>
      <c r="B317" s="104">
        <v>16.29</v>
      </c>
      <c r="C317" s="4">
        <f t="shared" si="8"/>
        <v>-8.5575094352229441E-3</v>
      </c>
      <c r="D317" s="1">
        <f>IFERROR(Comp1[[#This Row],[Comparable '#1 Return]]+1,"-")</f>
        <v>0.99144249056477707</v>
      </c>
      <c r="E317" s="6">
        <f>B317-MAX($B$2:B317)</f>
        <v>-2.120000000000001</v>
      </c>
      <c r="F317" s="80">
        <f t="shared" si="9"/>
        <v>25</v>
      </c>
      <c r="G317" s="22" cm="1">
        <f t="array" ref="G317">Comp1[[#This Row],[Comparable '#1 Drawdown]]/MAX($B$2:B317)</f>
        <v>-0.11515480717001635</v>
      </c>
      <c r="H317" s="1" t="str">
        <f>IF(SUM(COUNTIF(Benchmark1[Benchmark '#1 Dates],Comp1[[#This Row],[Comparable '#1 Dates]]),COUNTIF(Benchmark2[Benchmark '#2 Dates],Comp1[[#This Row],[Comparable '#1 Dates]]))=2,"Pass","Fail")</f>
        <v>Pass</v>
      </c>
      <c r="I317" s="1">
        <f>IFERROR(Comp1[[#This Row],[Comparable '#1 Return]]-INDEX(Benchmark1[Benchmark '#1 Return],MATCH(Comp1[[#This Row],[Comparable '#1 Dates]],Benchmark1[Benchmark '#1 Dates],0)),"-")</f>
        <v>-2.2672037852576772E-2</v>
      </c>
      <c r="L317" s="72">
        <f>Comp1[[#This Row],[Comparable '#1 Price]]/$B$2*100</f>
        <v>111.49897330595482</v>
      </c>
    </row>
    <row r="318" spans="1:12">
      <c r="A318" s="103">
        <v>43745</v>
      </c>
      <c r="B318" s="104">
        <v>16.34</v>
      </c>
      <c r="C318" s="4">
        <f t="shared" si="8"/>
        <v>3.0646668179031659E-3</v>
      </c>
      <c r="D318" s="1">
        <f>IFERROR(Comp1[[#This Row],[Comparable '#1 Return]]+1,"-")</f>
        <v>1.0030646668179031</v>
      </c>
      <c r="E318" s="6">
        <f>B318-MAX($B$2:B318)</f>
        <v>-2.0700000000000003</v>
      </c>
      <c r="F318" s="80">
        <f t="shared" si="9"/>
        <v>26</v>
      </c>
      <c r="G318" s="22" cm="1">
        <f t="array" ref="G318">Comp1[[#This Row],[Comparable '#1 Drawdown]]/MAX($B$2:B318)</f>
        <v>-0.11243889190657252</v>
      </c>
      <c r="H318" s="1" t="str">
        <f>IF(SUM(COUNTIF(Benchmark1[Benchmark '#1 Dates],Comp1[[#This Row],[Comparable '#1 Dates]]),COUNTIF(Benchmark2[Benchmark '#2 Dates],Comp1[[#This Row],[Comparable '#1 Dates]]))=2,"Pass","Fail")</f>
        <v>Pass</v>
      </c>
      <c r="I318" s="1">
        <f>IFERROR(Comp1[[#This Row],[Comparable '#1 Return]]-INDEX(Benchmark1[Benchmark '#1 Return],MATCH(Comp1[[#This Row],[Comparable '#1 Dates]],Benchmark1[Benchmark '#1 Dates],0)),"-")</f>
        <v>7.5524105294023872E-3</v>
      </c>
      <c r="L318" s="72">
        <f>Comp1[[#This Row],[Comparable '#1 Price]]/$B$2*100</f>
        <v>111.84120465434634</v>
      </c>
    </row>
    <row r="319" spans="1:12">
      <c r="A319" s="103">
        <v>43746</v>
      </c>
      <c r="B319" s="104">
        <v>15.51</v>
      </c>
      <c r="C319" s="4">
        <f t="shared" si="8"/>
        <v>-5.2131112243409328E-2</v>
      </c>
      <c r="D319" s="1">
        <f>IFERROR(Comp1[[#This Row],[Comparable '#1 Return]]+1,"-")</f>
        <v>0.94786888775659062</v>
      </c>
      <c r="E319" s="6">
        <f>B319-MAX($B$2:B319)</f>
        <v>-2.9000000000000004</v>
      </c>
      <c r="F319" s="80">
        <f t="shared" si="9"/>
        <v>27</v>
      </c>
      <c r="G319" s="22" cm="1">
        <f t="array" ref="G319">Comp1[[#This Row],[Comparable '#1 Drawdown]]/MAX($B$2:B319)</f>
        <v>-0.15752308527973929</v>
      </c>
      <c r="H319" s="1" t="str">
        <f>IF(SUM(COUNTIF(Benchmark1[Benchmark '#1 Dates],Comp1[[#This Row],[Comparable '#1 Dates]]),COUNTIF(Benchmark2[Benchmark '#2 Dates],Comp1[[#This Row],[Comparable '#1 Dates]]))=2,"Pass","Fail")</f>
        <v>Pass</v>
      </c>
      <c r="I319" s="1">
        <f>IFERROR(Comp1[[#This Row],[Comparable '#1 Return]]-INDEX(Benchmark1[Benchmark '#1 Return],MATCH(Comp1[[#This Row],[Comparable '#1 Dates]],Benchmark1[Benchmark '#1 Dates],0)),"-")</f>
        <v>-3.6446624710710342E-2</v>
      </c>
      <c r="L319" s="72">
        <f>Comp1[[#This Row],[Comparable '#1 Price]]/$B$2*100</f>
        <v>106.16016427104724</v>
      </c>
    </row>
    <row r="320" spans="1:12">
      <c r="A320" s="103">
        <v>43747</v>
      </c>
      <c r="B320" s="104">
        <v>15.295</v>
      </c>
      <c r="C320" s="4">
        <f t="shared" si="8"/>
        <v>-1.395899958558067E-2</v>
      </c>
      <c r="D320" s="1">
        <f>IFERROR(Comp1[[#This Row],[Comparable '#1 Return]]+1,"-")</f>
        <v>0.98604100041441933</v>
      </c>
      <c r="E320" s="6">
        <f>B320-MAX($B$2:B320)</f>
        <v>-3.1150000000000002</v>
      </c>
      <c r="F320" s="80">
        <f t="shared" si="9"/>
        <v>28</v>
      </c>
      <c r="G320" s="22" cm="1">
        <f t="array" ref="G320">Comp1[[#This Row],[Comparable '#1 Drawdown]]/MAX($B$2:B320)</f>
        <v>-0.16920152091254753</v>
      </c>
      <c r="H320" s="1" t="str">
        <f>IF(SUM(COUNTIF(Benchmark1[Benchmark '#1 Dates],Comp1[[#This Row],[Comparable '#1 Dates]]),COUNTIF(Benchmark2[Benchmark '#2 Dates],Comp1[[#This Row],[Comparable '#1 Dates]]))=2,"Pass","Fail")</f>
        <v>Pass</v>
      </c>
      <c r="I320" s="1">
        <f>IFERROR(Comp1[[#This Row],[Comparable '#1 Return]]-INDEX(Benchmark1[Benchmark '#1 Return],MATCH(Comp1[[#This Row],[Comparable '#1 Dates]],Benchmark1[Benchmark '#1 Dates],0)),"-")</f>
        <v>-2.3023910720119695E-2</v>
      </c>
      <c r="L320" s="72">
        <f>Comp1[[#This Row],[Comparable '#1 Price]]/$B$2*100</f>
        <v>104.68856947296372</v>
      </c>
    </row>
    <row r="321" spans="1:12">
      <c r="A321" s="103">
        <v>43748</v>
      </c>
      <c r="B321" s="104">
        <v>15.25</v>
      </c>
      <c r="C321" s="4">
        <f t="shared" si="8"/>
        <v>-2.9464745494461072E-3</v>
      </c>
      <c r="D321" s="1">
        <f>IFERROR(Comp1[[#This Row],[Comparable '#1 Return]]+1,"-")</f>
        <v>0.99705352545055392</v>
      </c>
      <c r="E321" s="6">
        <f>B321-MAX($B$2:B321)</f>
        <v>-3.16</v>
      </c>
      <c r="F321" s="80">
        <f t="shared" si="9"/>
        <v>29</v>
      </c>
      <c r="G321" s="22" cm="1">
        <f t="array" ref="G321">Comp1[[#This Row],[Comparable '#1 Drawdown]]/MAX($B$2:B321)</f>
        <v>-0.17164584464964694</v>
      </c>
      <c r="H321" s="1" t="str">
        <f>IF(SUM(COUNTIF(Benchmark1[Benchmark '#1 Dates],Comp1[[#This Row],[Comparable '#1 Dates]]),COUNTIF(Benchmark2[Benchmark '#2 Dates],Comp1[[#This Row],[Comparable '#1 Dates]]))=2,"Pass","Fail")</f>
        <v>Pass</v>
      </c>
      <c r="I321" s="1">
        <f>IFERROR(Comp1[[#This Row],[Comparable '#1 Return]]-INDEX(Benchmark1[Benchmark '#1 Return],MATCH(Comp1[[#This Row],[Comparable '#1 Dates]],Benchmark1[Benchmark '#1 Dates],0)),"-")</f>
        <v>-9.3424514716105109E-3</v>
      </c>
      <c r="L321" s="72">
        <f>Comp1[[#This Row],[Comparable '#1 Price]]/$B$2*100</f>
        <v>104.38056125941138</v>
      </c>
    </row>
    <row r="322" spans="1:12">
      <c r="A322" s="103">
        <v>43749</v>
      </c>
      <c r="B322" s="104">
        <v>15.615</v>
      </c>
      <c r="C322" s="4">
        <f t="shared" ref="C322:C385" si="10">IFERROR(IF(B322="","-",LN(B322/B321)),"-")</f>
        <v>2.3652487681621325E-2</v>
      </c>
      <c r="D322" s="1">
        <f>IFERROR(Comp1[[#This Row],[Comparable '#1 Return]]+1,"-")</f>
        <v>1.0236524876816213</v>
      </c>
      <c r="E322" s="6">
        <f>B322-MAX($B$2:B322)</f>
        <v>-2.7949999999999999</v>
      </c>
      <c r="F322" s="80">
        <f t="shared" ref="F322:F385" si="11">IF(E322=0,0,F321+1)</f>
        <v>30</v>
      </c>
      <c r="G322" s="22" cm="1">
        <f t="array" ref="G322">Comp1[[#This Row],[Comparable '#1 Drawdown]]/MAX($B$2:B322)</f>
        <v>-0.15181966322650733</v>
      </c>
      <c r="H322" s="1" t="str">
        <f>IF(SUM(COUNTIF(Benchmark1[Benchmark '#1 Dates],Comp1[[#This Row],[Comparable '#1 Dates]]),COUNTIF(Benchmark2[Benchmark '#2 Dates],Comp1[[#This Row],[Comparable '#1 Dates]]))=2,"Pass","Fail")</f>
        <v>Pass</v>
      </c>
      <c r="I322" s="1">
        <f>IFERROR(Comp1[[#This Row],[Comparable '#1 Return]]-INDEX(Benchmark1[Benchmark '#1 Return],MATCH(Comp1[[#This Row],[Comparable '#1 Dates]],Benchmark1[Benchmark '#1 Dates],0)),"-")</f>
        <v>1.2773909158615994E-2</v>
      </c>
      <c r="L322" s="72">
        <f>Comp1[[#This Row],[Comparable '#1 Price]]/$B$2*100</f>
        <v>106.87885010266942</v>
      </c>
    </row>
    <row r="323" spans="1:12">
      <c r="A323" s="103">
        <v>43752</v>
      </c>
      <c r="B323" s="104">
        <v>15.45</v>
      </c>
      <c r="C323" s="4">
        <f t="shared" si="10"/>
        <v>-1.0622987391287466E-2</v>
      </c>
      <c r="D323" s="1">
        <f>IFERROR(Comp1[[#This Row],[Comparable '#1 Return]]+1,"-")</f>
        <v>0.98937701260871258</v>
      </c>
      <c r="E323" s="6">
        <f>B323-MAX($B$2:B323)</f>
        <v>-2.9600000000000009</v>
      </c>
      <c r="F323" s="80">
        <f t="shared" si="11"/>
        <v>31</v>
      </c>
      <c r="G323" s="22" cm="1">
        <f t="array" ref="G323">Comp1[[#This Row],[Comparable '#1 Drawdown]]/MAX($B$2:B323)</f>
        <v>-0.16078218359587185</v>
      </c>
      <c r="H323" s="1" t="str">
        <f>IF(SUM(COUNTIF(Benchmark1[Benchmark '#1 Dates],Comp1[[#This Row],[Comparable '#1 Dates]]),COUNTIF(Benchmark2[Benchmark '#2 Dates],Comp1[[#This Row],[Comparable '#1 Dates]]))=2,"Pass","Fail")</f>
        <v>Pass</v>
      </c>
      <c r="I323" s="1">
        <f>IFERROR(Comp1[[#This Row],[Comparable '#1 Return]]-INDEX(Benchmark1[Benchmark '#1 Return],MATCH(Comp1[[#This Row],[Comparable '#1 Dates]],Benchmark1[Benchmark '#1 Dates],0)),"-")</f>
        <v>-9.2352520336459708E-3</v>
      </c>
      <c r="L323" s="72">
        <f>Comp1[[#This Row],[Comparable '#1 Price]]/$B$2*100</f>
        <v>105.74948665297741</v>
      </c>
    </row>
    <row r="324" spans="1:12">
      <c r="A324" s="103">
        <v>43753</v>
      </c>
      <c r="B324" s="104">
        <v>15.53</v>
      </c>
      <c r="C324" s="4">
        <f t="shared" si="10"/>
        <v>5.1646338168411712E-3</v>
      </c>
      <c r="D324" s="1">
        <f>IFERROR(Comp1[[#This Row],[Comparable '#1 Return]]+1,"-")</f>
        <v>1.0051646338168412</v>
      </c>
      <c r="E324" s="6">
        <f>B324-MAX($B$2:B324)</f>
        <v>-2.8800000000000008</v>
      </c>
      <c r="F324" s="80">
        <f t="shared" si="11"/>
        <v>32</v>
      </c>
      <c r="G324" s="22" cm="1">
        <f t="array" ref="G324">Comp1[[#This Row],[Comparable '#1 Drawdown]]/MAX($B$2:B324)</f>
        <v>-0.1564367191743618</v>
      </c>
      <c r="H324" s="1" t="str">
        <f>IF(SUM(COUNTIF(Benchmark1[Benchmark '#1 Dates],Comp1[[#This Row],[Comparable '#1 Dates]]),COUNTIF(Benchmark2[Benchmark '#2 Dates],Comp1[[#This Row],[Comparable '#1 Dates]]))=2,"Pass","Fail")</f>
        <v>Pass</v>
      </c>
      <c r="I324" s="1">
        <f>IFERROR(Comp1[[#This Row],[Comparable '#1 Return]]-INDEX(Benchmark1[Benchmark '#1 Return],MATCH(Comp1[[#This Row],[Comparable '#1 Dates]],Benchmark1[Benchmark '#1 Dates],0)),"-")</f>
        <v>-4.7426937091135102E-3</v>
      </c>
      <c r="L324" s="72">
        <f>Comp1[[#This Row],[Comparable '#1 Price]]/$B$2*100</f>
        <v>106.29705681040382</v>
      </c>
    </row>
    <row r="325" spans="1:12">
      <c r="A325" s="103">
        <v>43754</v>
      </c>
      <c r="B325" s="104">
        <v>15.59</v>
      </c>
      <c r="C325" s="4">
        <f t="shared" si="10"/>
        <v>3.8560459090895166E-3</v>
      </c>
      <c r="D325" s="1">
        <f>IFERROR(Comp1[[#This Row],[Comparable '#1 Return]]+1,"-")</f>
        <v>1.0038560459090895</v>
      </c>
      <c r="E325" s="6">
        <f>B325-MAX($B$2:B325)</f>
        <v>-2.8200000000000003</v>
      </c>
      <c r="F325" s="80">
        <f t="shared" si="11"/>
        <v>33</v>
      </c>
      <c r="G325" s="22" cm="1">
        <f t="array" ref="G325">Comp1[[#This Row],[Comparable '#1 Drawdown]]/MAX($B$2:B325)</f>
        <v>-0.15317762085822922</v>
      </c>
      <c r="H325" s="1" t="str">
        <f>IF(SUM(COUNTIF(Benchmark1[Benchmark '#1 Dates],Comp1[[#This Row],[Comparable '#1 Dates]]),COUNTIF(Benchmark2[Benchmark '#2 Dates],Comp1[[#This Row],[Comparable '#1 Dates]]))=2,"Pass","Fail")</f>
        <v>Pass</v>
      </c>
      <c r="I325" s="1">
        <f>IFERROR(Comp1[[#This Row],[Comparable '#1 Return]]-INDEX(Benchmark1[Benchmark '#1 Return],MATCH(Comp1[[#This Row],[Comparable '#1 Dates]],Benchmark1[Benchmark '#1 Dates],0)),"-")</f>
        <v>5.8573748364583213E-3</v>
      </c>
      <c r="L325" s="72">
        <f>Comp1[[#This Row],[Comparable '#1 Price]]/$B$2*100</f>
        <v>106.70773442847366</v>
      </c>
    </row>
    <row r="326" spans="1:12">
      <c r="A326" s="103">
        <v>43755</v>
      </c>
      <c r="B326" s="104">
        <v>15.71</v>
      </c>
      <c r="C326" s="4">
        <f t="shared" si="10"/>
        <v>7.6677691978445962E-3</v>
      </c>
      <c r="D326" s="1">
        <f>IFERROR(Comp1[[#This Row],[Comparable '#1 Return]]+1,"-")</f>
        <v>1.0076677691978446</v>
      </c>
      <c r="E326" s="6">
        <f>B326-MAX($B$2:B326)</f>
        <v>-2.6999999999999993</v>
      </c>
      <c r="F326" s="80">
        <f t="shared" si="11"/>
        <v>34</v>
      </c>
      <c r="G326" s="22" cm="1">
        <f t="array" ref="G326">Comp1[[#This Row],[Comparable '#1 Drawdown]]/MAX($B$2:B326)</f>
        <v>-0.14665942422596412</v>
      </c>
      <c r="H326" s="1" t="str">
        <f>IF(SUM(COUNTIF(Benchmark1[Benchmark '#1 Dates],Comp1[[#This Row],[Comparable '#1 Dates]]),COUNTIF(Benchmark2[Benchmark '#2 Dates],Comp1[[#This Row],[Comparable '#1 Dates]]))=2,"Pass","Fail")</f>
        <v>Pass</v>
      </c>
      <c r="I326" s="1">
        <f>IFERROR(Comp1[[#This Row],[Comparable '#1 Return]]-INDEX(Benchmark1[Benchmark '#1 Return],MATCH(Comp1[[#This Row],[Comparable '#1 Dates]],Benchmark1[Benchmark '#1 Dates],0)),"-")</f>
        <v>4.9090525068214534E-3</v>
      </c>
      <c r="L326" s="72">
        <f>Comp1[[#This Row],[Comparable '#1 Price]]/$B$2*100</f>
        <v>107.52908966461329</v>
      </c>
    </row>
    <row r="327" spans="1:12">
      <c r="A327" s="103">
        <v>43756</v>
      </c>
      <c r="B327" s="104">
        <v>15.55</v>
      </c>
      <c r="C327" s="4">
        <f t="shared" si="10"/>
        <v>-1.0236813642286638E-2</v>
      </c>
      <c r="D327" s="1">
        <f>IFERROR(Comp1[[#This Row],[Comparable '#1 Return]]+1,"-")</f>
        <v>0.98976318635771332</v>
      </c>
      <c r="E327" s="6">
        <f>B327-MAX($B$2:B327)</f>
        <v>-2.8599999999999994</v>
      </c>
      <c r="F327" s="80">
        <f t="shared" si="11"/>
        <v>35</v>
      </c>
      <c r="G327" s="22" cm="1">
        <f t="array" ref="G327">Comp1[[#This Row],[Comparable '#1 Drawdown]]/MAX($B$2:B327)</f>
        <v>-0.1553503530689842</v>
      </c>
      <c r="H327" s="1" t="str">
        <f>IF(SUM(COUNTIF(Benchmark1[Benchmark '#1 Dates],Comp1[[#This Row],[Comparable '#1 Dates]]),COUNTIF(Benchmark2[Benchmark '#2 Dates],Comp1[[#This Row],[Comparable '#1 Dates]]))=2,"Pass","Fail")</f>
        <v>Pass</v>
      </c>
      <c r="I327" s="1">
        <f>IFERROR(Comp1[[#This Row],[Comparable '#1 Return]]-INDEX(Benchmark1[Benchmark '#1 Return],MATCH(Comp1[[#This Row],[Comparable '#1 Dates]],Benchmark1[Benchmark '#1 Dates],0)),"-")</f>
        <v>-6.3099718401538069E-3</v>
      </c>
      <c r="L327" s="72">
        <f>Comp1[[#This Row],[Comparable '#1 Price]]/$B$2*100</f>
        <v>106.43394934976045</v>
      </c>
    </row>
    <row r="328" spans="1:12">
      <c r="A328" s="103">
        <v>43759</v>
      </c>
      <c r="B328" s="104">
        <v>15.7</v>
      </c>
      <c r="C328" s="4">
        <f t="shared" si="10"/>
        <v>9.6000737290191374E-3</v>
      </c>
      <c r="D328" s="1">
        <f>IFERROR(Comp1[[#This Row],[Comparable '#1 Return]]+1,"-")</f>
        <v>1.0096000737290192</v>
      </c>
      <c r="E328" s="6">
        <f>B328-MAX($B$2:B328)</f>
        <v>-2.7100000000000009</v>
      </c>
      <c r="F328" s="80">
        <f t="shared" si="11"/>
        <v>36</v>
      </c>
      <c r="G328" s="22" cm="1">
        <f t="array" ref="G328">Comp1[[#This Row],[Comparable '#1 Drawdown]]/MAX($B$2:B328)</f>
        <v>-0.14720260727865295</v>
      </c>
      <c r="H328" s="1" t="str">
        <f>IF(SUM(COUNTIF(Benchmark1[Benchmark '#1 Dates],Comp1[[#This Row],[Comparable '#1 Dates]]),COUNTIF(Benchmark2[Benchmark '#2 Dates],Comp1[[#This Row],[Comparable '#1 Dates]]))=2,"Pass","Fail")</f>
        <v>Pass</v>
      </c>
      <c r="I328" s="1">
        <f>IFERROR(Comp1[[#This Row],[Comparable '#1 Return]]-INDEX(Benchmark1[Benchmark '#1 Return],MATCH(Comp1[[#This Row],[Comparable '#1 Dates]],Benchmark1[Benchmark '#1 Dates],0)),"-")</f>
        <v>2.7517085598186466E-3</v>
      </c>
      <c r="L328" s="72">
        <f>Comp1[[#This Row],[Comparable '#1 Price]]/$B$2*100</f>
        <v>107.46064339493498</v>
      </c>
    </row>
    <row r="329" spans="1:12">
      <c r="A329" s="103">
        <v>43760</v>
      </c>
      <c r="B329" s="104">
        <v>15.505000000000001</v>
      </c>
      <c r="C329" s="4">
        <f t="shared" si="10"/>
        <v>-1.2498159801850048E-2</v>
      </c>
      <c r="D329" s="1">
        <f>IFERROR(Comp1[[#This Row],[Comparable '#1 Return]]+1,"-")</f>
        <v>0.9875018401981499</v>
      </c>
      <c r="E329" s="6">
        <f>B329-MAX($B$2:B329)</f>
        <v>-2.9049999999999994</v>
      </c>
      <c r="F329" s="80">
        <f t="shared" si="11"/>
        <v>37</v>
      </c>
      <c r="G329" s="22" cm="1">
        <f t="array" ref="G329">Comp1[[#This Row],[Comparable '#1 Drawdown]]/MAX($B$2:B329)</f>
        <v>-0.15779467680608361</v>
      </c>
      <c r="H329" s="1" t="str">
        <f>IF(SUM(COUNTIF(Benchmark1[Benchmark '#1 Dates],Comp1[[#This Row],[Comparable '#1 Dates]]),COUNTIF(Benchmark2[Benchmark '#2 Dates],Comp1[[#This Row],[Comparable '#1 Dates]]))=2,"Pass","Fail")</f>
        <v>Pass</v>
      </c>
      <c r="I329" s="1">
        <f>IFERROR(Comp1[[#This Row],[Comparable '#1 Return]]-INDEX(Benchmark1[Benchmark '#1 Return],MATCH(Comp1[[#This Row],[Comparable '#1 Dates]],Benchmark1[Benchmark '#1 Dates],0)),"-")</f>
        <v>-8.922669009683153E-3</v>
      </c>
      <c r="L329" s="72">
        <f>Comp1[[#This Row],[Comparable '#1 Price]]/$B$2*100</f>
        <v>106.12594113620808</v>
      </c>
    </row>
    <row r="330" spans="1:12">
      <c r="A330" s="103">
        <v>43761</v>
      </c>
      <c r="B330" s="104">
        <v>15.88</v>
      </c>
      <c r="C330" s="4">
        <f t="shared" si="10"/>
        <v>2.3897903266577418E-2</v>
      </c>
      <c r="D330" s="1">
        <f>IFERROR(Comp1[[#This Row],[Comparable '#1 Return]]+1,"-")</f>
        <v>1.0238979032665774</v>
      </c>
      <c r="E330" s="6">
        <f>B330-MAX($B$2:B330)</f>
        <v>-2.5299999999999994</v>
      </c>
      <c r="F330" s="80">
        <f t="shared" si="11"/>
        <v>38</v>
      </c>
      <c r="G330" s="22" cm="1">
        <f t="array" ref="G330">Comp1[[#This Row],[Comparable '#1 Drawdown]]/MAX($B$2:B330)</f>
        <v>-0.13742531233025526</v>
      </c>
      <c r="H330" s="1" t="str">
        <f>IF(SUM(COUNTIF(Benchmark1[Benchmark '#1 Dates],Comp1[[#This Row],[Comparable '#1 Dates]]),COUNTIF(Benchmark2[Benchmark '#2 Dates],Comp1[[#This Row],[Comparable '#1 Dates]]))=2,"Pass","Fail")</f>
        <v>Pass</v>
      </c>
      <c r="I330" s="1">
        <f>IFERROR(Comp1[[#This Row],[Comparable '#1 Return]]-INDEX(Benchmark1[Benchmark '#1 Return],MATCH(Comp1[[#This Row],[Comparable '#1 Dates]],Benchmark1[Benchmark '#1 Dates],0)),"-")</f>
        <v>2.1054357544095462E-2</v>
      </c>
      <c r="L330" s="72">
        <f>Comp1[[#This Row],[Comparable '#1 Price]]/$B$2*100</f>
        <v>108.69267624914443</v>
      </c>
    </row>
    <row r="331" spans="1:12">
      <c r="A331" s="103">
        <v>43762</v>
      </c>
      <c r="B331" s="104">
        <v>15.65</v>
      </c>
      <c r="C331" s="4">
        <f t="shared" si="10"/>
        <v>-1.4589538832827506E-2</v>
      </c>
      <c r="D331" s="1">
        <f>IFERROR(Comp1[[#This Row],[Comparable '#1 Return]]+1,"-")</f>
        <v>0.98541046116717246</v>
      </c>
      <c r="E331" s="6">
        <f>B331-MAX($B$2:B331)</f>
        <v>-2.76</v>
      </c>
      <c r="F331" s="80">
        <f t="shared" si="11"/>
        <v>39</v>
      </c>
      <c r="G331" s="22" cm="1">
        <f t="array" ref="G331">Comp1[[#This Row],[Comparable '#1 Drawdown]]/MAX($B$2:B331)</f>
        <v>-0.14991852254209667</v>
      </c>
      <c r="H331" s="1" t="str">
        <f>IF(SUM(COUNTIF(Benchmark1[Benchmark '#1 Dates],Comp1[[#This Row],[Comparable '#1 Dates]]),COUNTIF(Benchmark2[Benchmark '#2 Dates],Comp1[[#This Row],[Comparable '#1 Dates]]))=2,"Pass","Fail")</f>
        <v>Pass</v>
      </c>
      <c r="I331" s="1">
        <f>IFERROR(Comp1[[#This Row],[Comparable '#1 Return]]-INDEX(Benchmark1[Benchmark '#1 Return],MATCH(Comp1[[#This Row],[Comparable '#1 Dates]],Benchmark1[Benchmark '#1 Dates],0)),"-")</f>
        <v>-1.6505135238524798E-2</v>
      </c>
      <c r="L331" s="72">
        <f>Comp1[[#This Row],[Comparable '#1 Price]]/$B$2*100</f>
        <v>107.11841204654347</v>
      </c>
    </row>
    <row r="332" spans="1:12">
      <c r="A332" s="103">
        <v>43763</v>
      </c>
      <c r="B332" s="104">
        <v>15.78</v>
      </c>
      <c r="C332" s="4">
        <f t="shared" si="10"/>
        <v>8.2723984315658701E-3</v>
      </c>
      <c r="D332" s="1">
        <f>IFERROR(Comp1[[#This Row],[Comparable '#1 Return]]+1,"-")</f>
        <v>1.0082723984315658</v>
      </c>
      <c r="E332" s="6">
        <f>B332-MAX($B$2:B332)</f>
        <v>-2.6300000000000008</v>
      </c>
      <c r="F332" s="80">
        <f t="shared" si="11"/>
        <v>40</v>
      </c>
      <c r="G332" s="22" cm="1">
        <f t="array" ref="G332">Comp1[[#This Row],[Comparable '#1 Drawdown]]/MAX($B$2:B332)</f>
        <v>-0.1428571428571429</v>
      </c>
      <c r="H332" s="1" t="str">
        <f>IF(SUM(COUNTIF(Benchmark1[Benchmark '#1 Dates],Comp1[[#This Row],[Comparable '#1 Dates]]),COUNTIF(Benchmark2[Benchmark '#2 Dates],Comp1[[#This Row],[Comparable '#1 Dates]]))=2,"Pass","Fail")</f>
        <v>Pass</v>
      </c>
      <c r="I332" s="1">
        <f>IFERROR(Comp1[[#This Row],[Comparable '#1 Return]]-INDEX(Benchmark1[Benchmark '#1 Return],MATCH(Comp1[[#This Row],[Comparable '#1 Dates]],Benchmark1[Benchmark '#1 Dates],0)),"-")</f>
        <v>4.2065295335791328E-3</v>
      </c>
      <c r="L332" s="72">
        <f>Comp1[[#This Row],[Comparable '#1 Price]]/$B$2*100</f>
        <v>108.00821355236138</v>
      </c>
    </row>
    <row r="333" spans="1:12">
      <c r="A333" s="103">
        <v>43766</v>
      </c>
      <c r="B333" s="104">
        <v>15.79</v>
      </c>
      <c r="C333" s="4">
        <f t="shared" si="10"/>
        <v>6.3351284982256261E-4</v>
      </c>
      <c r="D333" s="1">
        <f>IFERROR(Comp1[[#This Row],[Comparable '#1 Return]]+1,"-")</f>
        <v>1.0006335128498225</v>
      </c>
      <c r="E333" s="6">
        <f>B333-MAX($B$2:B333)</f>
        <v>-2.620000000000001</v>
      </c>
      <c r="F333" s="80">
        <f t="shared" si="11"/>
        <v>41</v>
      </c>
      <c r="G333" s="22" cm="1">
        <f t="array" ref="G333">Comp1[[#This Row],[Comparable '#1 Drawdown]]/MAX($B$2:B333)</f>
        <v>-0.14231395980445416</v>
      </c>
      <c r="H333" s="1" t="str">
        <f>IF(SUM(COUNTIF(Benchmark1[Benchmark '#1 Dates],Comp1[[#This Row],[Comparable '#1 Dates]]),COUNTIF(Benchmark2[Benchmark '#2 Dates],Comp1[[#This Row],[Comparable '#1 Dates]]))=2,"Pass","Fail")</f>
        <v>Pass</v>
      </c>
      <c r="I333" s="1">
        <f>IFERROR(Comp1[[#This Row],[Comparable '#1 Return]]-INDEX(Benchmark1[Benchmark '#1 Return],MATCH(Comp1[[#This Row],[Comparable '#1 Dates]],Benchmark1[Benchmark '#1 Dates],0)),"-")</f>
        <v>-4.9324411533603479E-3</v>
      </c>
      <c r="L333" s="72">
        <f>Comp1[[#This Row],[Comparable '#1 Price]]/$B$2*100</f>
        <v>108.07665982203969</v>
      </c>
    </row>
    <row r="334" spans="1:12">
      <c r="A334" s="103">
        <v>43767</v>
      </c>
      <c r="B334" s="104">
        <v>15.88</v>
      </c>
      <c r="C334" s="4">
        <f t="shared" si="10"/>
        <v>5.6836275514390577E-3</v>
      </c>
      <c r="D334" s="1">
        <f>IFERROR(Comp1[[#This Row],[Comparable '#1 Return]]+1,"-")</f>
        <v>1.0056836275514391</v>
      </c>
      <c r="E334" s="6">
        <f>B334-MAX($B$2:B334)</f>
        <v>-2.5299999999999994</v>
      </c>
      <c r="F334" s="80">
        <f t="shared" si="11"/>
        <v>42</v>
      </c>
      <c r="G334" s="22" cm="1">
        <f t="array" ref="G334">Comp1[[#This Row],[Comparable '#1 Drawdown]]/MAX($B$2:B334)</f>
        <v>-0.13742531233025526</v>
      </c>
      <c r="H334" s="1" t="str">
        <f>IF(SUM(COUNTIF(Benchmark1[Benchmark '#1 Dates],Comp1[[#This Row],[Comparable '#1 Dates]]),COUNTIF(Benchmark2[Benchmark '#2 Dates],Comp1[[#This Row],[Comparable '#1 Dates]]))=2,"Pass","Fail")</f>
        <v>Pass</v>
      </c>
      <c r="I334" s="1">
        <f>IFERROR(Comp1[[#This Row],[Comparable '#1 Return]]-INDEX(Benchmark1[Benchmark '#1 Return],MATCH(Comp1[[#This Row],[Comparable '#1 Dates]],Benchmark1[Benchmark '#1 Dates],0)),"-")</f>
        <v>6.5156040926276811E-3</v>
      </c>
      <c r="L334" s="72">
        <f>Comp1[[#This Row],[Comparable '#1 Price]]/$B$2*100</f>
        <v>108.69267624914443</v>
      </c>
    </row>
    <row r="335" spans="1:12">
      <c r="A335" s="103">
        <v>43768</v>
      </c>
      <c r="B335" s="104">
        <v>15.5</v>
      </c>
      <c r="C335" s="4">
        <f t="shared" si="10"/>
        <v>-2.4220431893788811E-2</v>
      </c>
      <c r="D335" s="1">
        <f>IFERROR(Comp1[[#This Row],[Comparable '#1 Return]]+1,"-")</f>
        <v>0.97577956810621114</v>
      </c>
      <c r="E335" s="6">
        <f>B335-MAX($B$2:B335)</f>
        <v>-2.91</v>
      </c>
      <c r="F335" s="80">
        <f t="shared" si="11"/>
        <v>43</v>
      </c>
      <c r="G335" s="22" cm="1">
        <f t="array" ref="G335">Comp1[[#This Row],[Comparable '#1 Drawdown]]/MAX($B$2:B335)</f>
        <v>-0.15806626833242804</v>
      </c>
      <c r="H335" s="1" t="str">
        <f>IF(SUM(COUNTIF(Benchmark1[Benchmark '#1 Dates],Comp1[[#This Row],[Comparable '#1 Dates]]),COUNTIF(Benchmark2[Benchmark '#2 Dates],Comp1[[#This Row],[Comparable '#1 Dates]]))=2,"Pass","Fail")</f>
        <v>Pass</v>
      </c>
      <c r="I335" s="1">
        <f>IFERROR(Comp1[[#This Row],[Comparable '#1 Return]]-INDEX(Benchmark1[Benchmark '#1 Return],MATCH(Comp1[[#This Row],[Comparable '#1 Dates]],Benchmark1[Benchmark '#1 Dates],0)),"-")</f>
        <v>-2.7466492319020461E-2</v>
      </c>
      <c r="L335" s="72">
        <f>Comp1[[#This Row],[Comparable '#1 Price]]/$B$2*100</f>
        <v>106.09171800136895</v>
      </c>
    </row>
    <row r="336" spans="1:12">
      <c r="A336" s="103">
        <v>43769</v>
      </c>
      <c r="B336" s="104">
        <v>15.455</v>
      </c>
      <c r="C336" s="4">
        <f t="shared" si="10"/>
        <v>-2.9074483411213291E-3</v>
      </c>
      <c r="D336" s="1">
        <f>IFERROR(Comp1[[#This Row],[Comparable '#1 Return]]+1,"-")</f>
        <v>0.99709255165887867</v>
      </c>
      <c r="E336" s="6">
        <f>B336-MAX($B$2:B336)</f>
        <v>-2.9550000000000001</v>
      </c>
      <c r="F336" s="80">
        <f t="shared" si="11"/>
        <v>44</v>
      </c>
      <c r="G336" s="22" cm="1">
        <f t="array" ref="G336">Comp1[[#This Row],[Comparable '#1 Drawdown]]/MAX($B$2:B336)</f>
        <v>-0.16051059206952745</v>
      </c>
      <c r="H336" s="1" t="str">
        <f>IF(SUM(COUNTIF(Benchmark1[Benchmark '#1 Dates],Comp1[[#This Row],[Comparable '#1 Dates]]),COUNTIF(Benchmark2[Benchmark '#2 Dates],Comp1[[#This Row],[Comparable '#1 Dates]]))=2,"Pass","Fail")</f>
        <v>Pass</v>
      </c>
      <c r="I336" s="1">
        <f>IFERROR(Comp1[[#This Row],[Comparable '#1 Return]]-INDEX(Benchmark1[Benchmark '#1 Return],MATCH(Comp1[[#This Row],[Comparable '#1 Dates]],Benchmark1[Benchmark '#1 Dates],0)),"-")</f>
        <v>1.172959334243928E-4</v>
      </c>
      <c r="L336" s="72">
        <f>Comp1[[#This Row],[Comparable '#1 Price]]/$B$2*100</f>
        <v>105.78370978781658</v>
      </c>
    </row>
    <row r="337" spans="1:12">
      <c r="A337" s="103">
        <v>43770</v>
      </c>
      <c r="B337" s="104">
        <v>15.6</v>
      </c>
      <c r="C337" s="4">
        <f t="shared" si="10"/>
        <v>9.3383386714116709E-3</v>
      </c>
      <c r="D337" s="1">
        <f>IFERROR(Comp1[[#This Row],[Comparable '#1 Return]]+1,"-")</f>
        <v>1.0093383386714117</v>
      </c>
      <c r="E337" s="6">
        <f>B337-MAX($B$2:B337)</f>
        <v>-2.8100000000000005</v>
      </c>
      <c r="F337" s="80">
        <f t="shared" si="11"/>
        <v>45</v>
      </c>
      <c r="G337" s="22" cm="1">
        <f t="array" ref="G337">Comp1[[#This Row],[Comparable '#1 Drawdown]]/MAX($B$2:B337)</f>
        <v>-0.15263443780554048</v>
      </c>
      <c r="H337" s="1" t="str">
        <f>IF(SUM(COUNTIF(Benchmark1[Benchmark '#1 Dates],Comp1[[#This Row],[Comparable '#1 Dates]]),COUNTIF(Benchmark2[Benchmark '#2 Dates],Comp1[[#This Row],[Comparable '#1 Dates]]))=2,"Pass","Fail")</f>
        <v>Pass</v>
      </c>
      <c r="I337" s="1">
        <f>IFERROR(Comp1[[#This Row],[Comparable '#1 Return]]-INDEX(Benchmark1[Benchmark '#1 Return],MATCH(Comp1[[#This Row],[Comparable '#1 Dates]],Benchmark1[Benchmark '#1 Dates],0)),"-")</f>
        <v>-2.7772360605235122E-4</v>
      </c>
      <c r="L337" s="72">
        <f>Comp1[[#This Row],[Comparable '#1 Price]]/$B$2*100</f>
        <v>106.77618069815196</v>
      </c>
    </row>
    <row r="338" spans="1:12">
      <c r="A338" s="103">
        <v>43773</v>
      </c>
      <c r="B338" s="104">
        <v>15.95</v>
      </c>
      <c r="C338" s="4">
        <f t="shared" si="10"/>
        <v>2.2187914975362138E-2</v>
      </c>
      <c r="D338" s="1">
        <f>IFERROR(Comp1[[#This Row],[Comparable '#1 Return]]+1,"-")</f>
        <v>1.0221879149753621</v>
      </c>
      <c r="E338" s="6">
        <f>B338-MAX($B$2:B338)</f>
        <v>-2.4600000000000009</v>
      </c>
      <c r="F338" s="80">
        <f t="shared" si="11"/>
        <v>46</v>
      </c>
      <c r="G338" s="22" cm="1">
        <f t="array" ref="G338">Comp1[[#This Row],[Comparable '#1 Drawdown]]/MAX($B$2:B338)</f>
        <v>-0.13362303096143405</v>
      </c>
      <c r="H338" s="1" t="str">
        <f>IF(SUM(COUNTIF(Benchmark1[Benchmark '#1 Dates],Comp1[[#This Row],[Comparable '#1 Dates]]),COUNTIF(Benchmark2[Benchmark '#2 Dates],Comp1[[#This Row],[Comparable '#1 Dates]]))=2,"Pass","Fail")</f>
        <v>Pass</v>
      </c>
      <c r="I338" s="1">
        <f>IFERROR(Comp1[[#This Row],[Comparable '#1 Return]]-INDEX(Benchmark1[Benchmark '#1 Return],MATCH(Comp1[[#This Row],[Comparable '#1 Dates]],Benchmark1[Benchmark '#1 Dates],0)),"-")</f>
        <v>1.8492335907252171E-2</v>
      </c>
      <c r="L338" s="72">
        <f>Comp1[[#This Row],[Comparable '#1 Price]]/$B$2*100</f>
        <v>109.17180013689254</v>
      </c>
    </row>
    <row r="339" spans="1:12">
      <c r="A339" s="103">
        <v>43774</v>
      </c>
      <c r="B339" s="104">
        <v>15.9</v>
      </c>
      <c r="C339" s="4">
        <f t="shared" si="10"/>
        <v>-3.1397200046676412E-3</v>
      </c>
      <c r="D339" s="1">
        <f>IFERROR(Comp1[[#This Row],[Comparable '#1 Return]]+1,"-")</f>
        <v>0.99686027999533233</v>
      </c>
      <c r="E339" s="6">
        <f>B339-MAX($B$2:B339)</f>
        <v>-2.5099999999999998</v>
      </c>
      <c r="F339" s="80">
        <f t="shared" si="11"/>
        <v>47</v>
      </c>
      <c r="G339" s="22" cm="1">
        <f t="array" ref="G339">Comp1[[#This Row],[Comparable '#1 Drawdown]]/MAX($B$2:B339)</f>
        <v>-0.13633894622487777</v>
      </c>
      <c r="H339" s="1" t="str">
        <f>IF(SUM(COUNTIF(Benchmark1[Benchmark '#1 Dates],Comp1[[#This Row],[Comparable '#1 Dates]]),COUNTIF(Benchmark2[Benchmark '#2 Dates],Comp1[[#This Row],[Comparable '#1 Dates]]))=2,"Pass","Fail")</f>
        <v>Pass</v>
      </c>
      <c r="I339" s="1">
        <f>IFERROR(Comp1[[#This Row],[Comparable '#1 Return]]-INDEX(Benchmark1[Benchmark '#1 Return],MATCH(Comp1[[#This Row],[Comparable '#1 Dates]],Benchmark1[Benchmark '#1 Dates],0)),"-")</f>
        <v>-1.9520455284365345E-3</v>
      </c>
      <c r="L339" s="72">
        <f>Comp1[[#This Row],[Comparable '#1 Price]]/$B$2*100</f>
        <v>108.82956878850104</v>
      </c>
    </row>
    <row r="340" spans="1:12">
      <c r="A340" s="103">
        <v>43775</v>
      </c>
      <c r="B340" s="104">
        <v>16.21</v>
      </c>
      <c r="C340" s="4">
        <f t="shared" si="10"/>
        <v>1.9309226521398999E-2</v>
      </c>
      <c r="D340" s="1">
        <f>IFERROR(Comp1[[#This Row],[Comparable '#1 Return]]+1,"-")</f>
        <v>1.019309226521399</v>
      </c>
      <c r="E340" s="6">
        <f>B340-MAX($B$2:B340)</f>
        <v>-2.1999999999999993</v>
      </c>
      <c r="F340" s="80">
        <f t="shared" si="11"/>
        <v>48</v>
      </c>
      <c r="G340" s="22" cm="1">
        <f t="array" ref="G340">Comp1[[#This Row],[Comparable '#1 Drawdown]]/MAX($B$2:B340)</f>
        <v>-0.11950027159152631</v>
      </c>
      <c r="H340" s="1" t="str">
        <f>IF(SUM(COUNTIF(Benchmark1[Benchmark '#1 Dates],Comp1[[#This Row],[Comparable '#1 Dates]]),COUNTIF(Benchmark2[Benchmark '#2 Dates],Comp1[[#This Row],[Comparable '#1 Dates]]))=2,"Pass","Fail")</f>
        <v>Pass</v>
      </c>
      <c r="I340" s="1">
        <f>IFERROR(Comp1[[#This Row],[Comparable '#1 Return]]-INDEX(Benchmark1[Benchmark '#1 Return],MATCH(Comp1[[#This Row],[Comparable '#1 Dates]],Benchmark1[Benchmark '#1 Dates],0)),"-")</f>
        <v>1.8607133180124531E-2</v>
      </c>
      <c r="L340" s="72">
        <f>Comp1[[#This Row],[Comparable '#1 Price]]/$B$2*100</f>
        <v>110.9514031485284</v>
      </c>
    </row>
    <row r="341" spans="1:12">
      <c r="A341" s="103">
        <v>43776</v>
      </c>
      <c r="B341" s="104">
        <v>16.850000000000001</v>
      </c>
      <c r="C341" s="4">
        <f t="shared" si="10"/>
        <v>3.8722321050786004E-2</v>
      </c>
      <c r="D341" s="1">
        <f>IFERROR(Comp1[[#This Row],[Comparable '#1 Return]]+1,"-")</f>
        <v>1.0387223210507861</v>
      </c>
      <c r="E341" s="6">
        <f>B341-MAX($B$2:B341)</f>
        <v>-1.5599999999999987</v>
      </c>
      <c r="F341" s="80">
        <f t="shared" si="11"/>
        <v>49</v>
      </c>
      <c r="G341" s="22" cm="1">
        <f t="array" ref="G341">Comp1[[#This Row],[Comparable '#1 Drawdown]]/MAX($B$2:B341)</f>
        <v>-8.4736556219445883E-2</v>
      </c>
      <c r="H341" s="1" t="str">
        <f>IF(SUM(COUNTIF(Benchmark1[Benchmark '#1 Dates],Comp1[[#This Row],[Comparable '#1 Dates]]),COUNTIF(Benchmark2[Benchmark '#2 Dates],Comp1[[#This Row],[Comparable '#1 Dates]]))=2,"Pass","Fail")</f>
        <v>Pass</v>
      </c>
      <c r="I341" s="1">
        <f>IFERROR(Comp1[[#This Row],[Comparable '#1 Return]]-INDEX(Benchmark1[Benchmark '#1 Return],MATCH(Comp1[[#This Row],[Comparable '#1 Dates]],Benchmark1[Benchmark '#1 Dates],0)),"-")</f>
        <v>3.5993797277677007E-2</v>
      </c>
      <c r="L341" s="72">
        <f>Comp1[[#This Row],[Comparable '#1 Price]]/$B$2*100</f>
        <v>115.33196440793978</v>
      </c>
    </row>
    <row r="342" spans="1:12">
      <c r="A342" s="103">
        <v>43777</v>
      </c>
      <c r="B342" s="104">
        <v>16.670000000000002</v>
      </c>
      <c r="C342" s="4">
        <f t="shared" si="10"/>
        <v>-1.0739960035668088E-2</v>
      </c>
      <c r="D342" s="1">
        <f>IFERROR(Comp1[[#This Row],[Comparable '#1 Return]]+1,"-")</f>
        <v>0.98926003996433187</v>
      </c>
      <c r="E342" s="6">
        <f>B342-MAX($B$2:B342)</f>
        <v>-1.7399999999999984</v>
      </c>
      <c r="F342" s="80">
        <f t="shared" si="11"/>
        <v>50</v>
      </c>
      <c r="G342" s="22" cm="1">
        <f t="array" ref="G342">Comp1[[#This Row],[Comparable '#1 Drawdown]]/MAX($B$2:B342)</f>
        <v>-9.4513851167843471E-2</v>
      </c>
      <c r="H342" s="1" t="str">
        <f>IF(SUM(COUNTIF(Benchmark1[Benchmark '#1 Dates],Comp1[[#This Row],[Comparable '#1 Dates]]),COUNTIF(Benchmark2[Benchmark '#2 Dates],Comp1[[#This Row],[Comparable '#1 Dates]]))=2,"Pass","Fail")</f>
        <v>Pass</v>
      </c>
      <c r="I342" s="1">
        <f>IFERROR(Comp1[[#This Row],[Comparable '#1 Return]]-INDEX(Benchmark1[Benchmark '#1 Return],MATCH(Comp1[[#This Row],[Comparable '#1 Dates]],Benchmark1[Benchmark '#1 Dates],0)),"-")</f>
        <v>-1.3298265486961169E-2</v>
      </c>
      <c r="L342" s="72">
        <f>Comp1[[#This Row],[Comparable '#1 Price]]/$B$2*100</f>
        <v>114.09993155373033</v>
      </c>
    </row>
    <row r="343" spans="1:12">
      <c r="A343" s="103">
        <v>43780</v>
      </c>
      <c r="B343" s="104">
        <v>16.73</v>
      </c>
      <c r="C343" s="4">
        <f t="shared" si="10"/>
        <v>3.5928182360298049E-3</v>
      </c>
      <c r="D343" s="1">
        <f>IFERROR(Comp1[[#This Row],[Comparable '#1 Return]]+1,"-")</f>
        <v>1.0035928182360299</v>
      </c>
      <c r="E343" s="6">
        <f>B343-MAX($B$2:B343)</f>
        <v>-1.6799999999999997</v>
      </c>
      <c r="F343" s="80">
        <f t="shared" si="11"/>
        <v>51</v>
      </c>
      <c r="G343" s="22" cm="1">
        <f t="array" ref="G343">Comp1[[#This Row],[Comparable '#1 Drawdown]]/MAX($B$2:B343)</f>
        <v>-9.1254752851711016E-2</v>
      </c>
      <c r="H343" s="1" t="str">
        <f>IF(SUM(COUNTIF(Benchmark1[Benchmark '#1 Dates],Comp1[[#This Row],[Comparable '#1 Dates]]),COUNTIF(Benchmark2[Benchmark '#2 Dates],Comp1[[#This Row],[Comparable '#1 Dates]]))=2,"Pass","Fail")</f>
        <v>Pass</v>
      </c>
      <c r="I343" s="1">
        <f>IFERROR(Comp1[[#This Row],[Comparable '#1 Return]]-INDEX(Benchmark1[Benchmark '#1 Return],MATCH(Comp1[[#This Row],[Comparable '#1 Dates]],Benchmark1[Benchmark '#1 Dates],0)),"-")</f>
        <v>5.56035839658078E-3</v>
      </c>
      <c r="L343" s="72">
        <f>Comp1[[#This Row],[Comparable '#1 Price]]/$B$2*100</f>
        <v>114.51060917180014</v>
      </c>
    </row>
    <row r="344" spans="1:12">
      <c r="A344" s="103">
        <v>43781</v>
      </c>
      <c r="B344" s="104">
        <v>16.79</v>
      </c>
      <c r="C344" s="4">
        <f t="shared" si="10"/>
        <v>3.5799560907166833E-3</v>
      </c>
      <c r="D344" s="1">
        <f>IFERROR(Comp1[[#This Row],[Comparable '#1 Return]]+1,"-")</f>
        <v>1.0035799560907166</v>
      </c>
      <c r="E344" s="6">
        <f>B344-MAX($B$2:B344)</f>
        <v>-1.620000000000001</v>
      </c>
      <c r="F344" s="80">
        <f t="shared" si="11"/>
        <v>52</v>
      </c>
      <c r="G344" s="22" cm="1">
        <f t="array" ref="G344">Comp1[[#This Row],[Comparable '#1 Drawdown]]/MAX($B$2:B344)</f>
        <v>-8.7995654535578546E-2</v>
      </c>
      <c r="H344" s="1" t="str">
        <f>IF(SUM(COUNTIF(Benchmark1[Benchmark '#1 Dates],Comp1[[#This Row],[Comparable '#1 Dates]]),COUNTIF(Benchmark2[Benchmark '#2 Dates],Comp1[[#This Row],[Comparable '#1 Dates]]))=2,"Pass","Fail")</f>
        <v>Pass</v>
      </c>
      <c r="I344" s="1">
        <f>IFERROR(Comp1[[#This Row],[Comparable '#1 Return]]-INDEX(Benchmark1[Benchmark '#1 Return],MATCH(Comp1[[#This Row],[Comparable '#1 Dates]],Benchmark1[Benchmark '#1 Dates],0)),"-")</f>
        <v>2.015262366727296E-3</v>
      </c>
      <c r="L344" s="72">
        <f>Comp1[[#This Row],[Comparable '#1 Price]]/$B$2*100</f>
        <v>114.92128678986995</v>
      </c>
    </row>
    <row r="345" spans="1:12">
      <c r="A345" s="103">
        <v>43782</v>
      </c>
      <c r="B345" s="104">
        <v>16.84</v>
      </c>
      <c r="C345" s="4">
        <f t="shared" si="10"/>
        <v>2.9735377247313631E-3</v>
      </c>
      <c r="D345" s="1">
        <f>IFERROR(Comp1[[#This Row],[Comparable '#1 Return]]+1,"-")</f>
        <v>1.0029735377247313</v>
      </c>
      <c r="E345" s="6">
        <f>B345-MAX($B$2:B345)</f>
        <v>-1.5700000000000003</v>
      </c>
      <c r="F345" s="80">
        <f t="shared" si="11"/>
        <v>53</v>
      </c>
      <c r="G345" s="22" cm="1">
        <f t="array" ref="G345">Comp1[[#This Row],[Comparable '#1 Drawdown]]/MAX($B$2:B345)</f>
        <v>-8.5279739272134725E-2</v>
      </c>
      <c r="H345" s="1" t="str">
        <f>IF(SUM(COUNTIF(Benchmark1[Benchmark '#1 Dates],Comp1[[#This Row],[Comparable '#1 Dates]]),COUNTIF(Benchmark2[Benchmark '#2 Dates],Comp1[[#This Row],[Comparable '#1 Dates]]))=2,"Pass","Fail")</f>
        <v>Pass</v>
      </c>
      <c r="I345" s="1">
        <f>IFERROR(Comp1[[#This Row],[Comparable '#1 Return]]-INDEX(Benchmark1[Benchmark '#1 Return],MATCH(Comp1[[#This Row],[Comparable '#1 Dates]],Benchmark1[Benchmark '#1 Dates],0)),"-")</f>
        <v>2.2634281743398729E-3</v>
      </c>
      <c r="L345" s="72">
        <f>Comp1[[#This Row],[Comparable '#1 Price]]/$B$2*100</f>
        <v>115.26351813826147</v>
      </c>
    </row>
    <row r="346" spans="1:12">
      <c r="A346" s="103">
        <v>43783</v>
      </c>
      <c r="B346" s="104">
        <v>16.809999999999999</v>
      </c>
      <c r="C346" s="4">
        <f t="shared" si="10"/>
        <v>-1.7830613936564903E-3</v>
      </c>
      <c r="D346" s="1">
        <f>IFERROR(Comp1[[#This Row],[Comparable '#1 Return]]+1,"-")</f>
        <v>0.99821693860634353</v>
      </c>
      <c r="E346" s="6">
        <f>B346-MAX($B$2:B346)</f>
        <v>-1.6000000000000014</v>
      </c>
      <c r="F346" s="80">
        <f t="shared" si="11"/>
        <v>54</v>
      </c>
      <c r="G346" s="22" cm="1">
        <f t="array" ref="G346">Comp1[[#This Row],[Comparable '#1 Drawdown]]/MAX($B$2:B346)</f>
        <v>-8.6909288430201057E-2</v>
      </c>
      <c r="H346" s="1" t="str">
        <f>IF(SUM(COUNTIF(Benchmark1[Benchmark '#1 Dates],Comp1[[#This Row],[Comparable '#1 Dates]]),COUNTIF(Benchmark2[Benchmark '#2 Dates],Comp1[[#This Row],[Comparable '#1 Dates]]))=2,"Pass","Fail")</f>
        <v>Pass</v>
      </c>
      <c r="I346" s="1">
        <f>IFERROR(Comp1[[#This Row],[Comparable '#1 Return]]-INDEX(Benchmark1[Benchmark '#1 Return],MATCH(Comp1[[#This Row],[Comparable '#1 Dates]],Benchmark1[Benchmark '#1 Dates],0)),"-")</f>
        <v>-2.6223203196436367E-3</v>
      </c>
      <c r="L346" s="72">
        <f>Comp1[[#This Row],[Comparable '#1 Price]]/$B$2*100</f>
        <v>115.05817932922655</v>
      </c>
    </row>
    <row r="347" spans="1:12">
      <c r="A347" s="103">
        <v>43784</v>
      </c>
      <c r="B347" s="104">
        <v>16.78</v>
      </c>
      <c r="C347" s="4">
        <f t="shared" si="10"/>
        <v>-1.7862463814639926E-3</v>
      </c>
      <c r="D347" s="1">
        <f>IFERROR(Comp1[[#This Row],[Comparable '#1 Return]]+1,"-")</f>
        <v>0.99821375361853604</v>
      </c>
      <c r="E347" s="6">
        <f>B347-MAX($B$2:B347)</f>
        <v>-1.629999999999999</v>
      </c>
      <c r="F347" s="80">
        <f t="shared" si="11"/>
        <v>55</v>
      </c>
      <c r="G347" s="22" cm="1">
        <f t="array" ref="G347">Comp1[[#This Row],[Comparable '#1 Drawdown]]/MAX($B$2:B347)</f>
        <v>-8.8538837588267194E-2</v>
      </c>
      <c r="H347" s="1" t="str">
        <f>IF(SUM(COUNTIF(Benchmark1[Benchmark '#1 Dates],Comp1[[#This Row],[Comparable '#1 Dates]]),COUNTIF(Benchmark2[Benchmark '#2 Dates],Comp1[[#This Row],[Comparable '#1 Dates]]))=2,"Pass","Fail")</f>
        <v>Pass</v>
      </c>
      <c r="I347" s="1">
        <f>IFERROR(Comp1[[#This Row],[Comparable '#1 Return]]-INDEX(Benchmark1[Benchmark '#1 Return],MATCH(Comp1[[#This Row],[Comparable '#1 Dates]],Benchmark1[Benchmark '#1 Dates],0)),"-")</f>
        <v>-9.4513692843205665E-3</v>
      </c>
      <c r="L347" s="72">
        <f>Comp1[[#This Row],[Comparable '#1 Price]]/$B$2*100</f>
        <v>114.85284052019166</v>
      </c>
    </row>
    <row r="348" spans="1:12">
      <c r="A348" s="103">
        <v>43787</v>
      </c>
      <c r="B348" s="104">
        <v>16.809999999999999</v>
      </c>
      <c r="C348" s="4">
        <f t="shared" si="10"/>
        <v>1.7862463814640643E-3</v>
      </c>
      <c r="D348" s="1">
        <f>IFERROR(Comp1[[#This Row],[Comparable '#1 Return]]+1,"-")</f>
        <v>1.001786246381464</v>
      </c>
      <c r="E348" s="6">
        <f>B348-MAX($B$2:B348)</f>
        <v>-1.6000000000000014</v>
      </c>
      <c r="F348" s="80">
        <f t="shared" si="11"/>
        <v>56</v>
      </c>
      <c r="G348" s="22" cm="1">
        <f t="array" ref="G348">Comp1[[#This Row],[Comparable '#1 Drawdown]]/MAX($B$2:B348)</f>
        <v>-8.6909288430201057E-2</v>
      </c>
      <c r="H348" s="1" t="str">
        <f>IF(SUM(COUNTIF(Benchmark1[Benchmark '#1 Dates],Comp1[[#This Row],[Comparable '#1 Dates]]),COUNTIF(Benchmark2[Benchmark '#2 Dates],Comp1[[#This Row],[Comparable '#1 Dates]]))=2,"Pass","Fail")</f>
        <v>Pass</v>
      </c>
      <c r="I348" s="1">
        <f>IFERROR(Comp1[[#This Row],[Comparable '#1 Return]]-INDEX(Benchmark1[Benchmark '#1 Return],MATCH(Comp1[[#This Row],[Comparable '#1 Dates]],Benchmark1[Benchmark '#1 Dates],0)),"-")</f>
        <v>1.2840096538391486E-3</v>
      </c>
      <c r="L348" s="72">
        <f>Comp1[[#This Row],[Comparable '#1 Price]]/$B$2*100</f>
        <v>115.05817932922655</v>
      </c>
    </row>
    <row r="349" spans="1:12">
      <c r="A349" s="103">
        <v>43788</v>
      </c>
      <c r="B349" s="104">
        <v>16.62</v>
      </c>
      <c r="C349" s="4">
        <f t="shared" si="10"/>
        <v>-1.1367157993221959E-2</v>
      </c>
      <c r="D349" s="1">
        <f>IFERROR(Comp1[[#This Row],[Comparable '#1 Return]]+1,"-")</f>
        <v>0.98863284200677803</v>
      </c>
      <c r="E349" s="6">
        <f>B349-MAX($B$2:B349)</f>
        <v>-1.7899999999999991</v>
      </c>
      <c r="F349" s="80">
        <f t="shared" si="11"/>
        <v>57</v>
      </c>
      <c r="G349" s="22" cm="1">
        <f t="array" ref="G349">Comp1[[#This Row],[Comparable '#1 Drawdown]]/MAX($B$2:B349)</f>
        <v>-9.7229766431287293E-2</v>
      </c>
      <c r="H349" s="1" t="str">
        <f>IF(SUM(COUNTIF(Benchmark1[Benchmark '#1 Dates],Comp1[[#This Row],[Comparable '#1 Dates]]),COUNTIF(Benchmark2[Benchmark '#2 Dates],Comp1[[#This Row],[Comparable '#1 Dates]]))=2,"Pass","Fail")</f>
        <v>Pass</v>
      </c>
      <c r="I349" s="1">
        <f>IFERROR(Comp1[[#This Row],[Comparable '#1 Return]]-INDEX(Benchmark1[Benchmark '#1 Return],MATCH(Comp1[[#This Row],[Comparable '#1 Dates]],Benchmark1[Benchmark '#1 Dates],0)),"-")</f>
        <v>-1.0775469257200724E-2</v>
      </c>
      <c r="L349" s="72">
        <f>Comp1[[#This Row],[Comparable '#1 Price]]/$B$2*100</f>
        <v>113.75770020533882</v>
      </c>
    </row>
    <row r="350" spans="1:12">
      <c r="A350" s="103">
        <v>43789</v>
      </c>
      <c r="B350" s="104">
        <v>16.53</v>
      </c>
      <c r="C350" s="4">
        <f t="shared" si="10"/>
        <v>-5.4298775943692878E-3</v>
      </c>
      <c r="D350" s="1">
        <f>IFERROR(Comp1[[#This Row],[Comparable '#1 Return]]+1,"-")</f>
        <v>0.9945701224056307</v>
      </c>
      <c r="E350" s="6">
        <f>B350-MAX($B$2:B350)</f>
        <v>-1.879999999999999</v>
      </c>
      <c r="F350" s="80">
        <f t="shared" si="11"/>
        <v>58</v>
      </c>
      <c r="G350" s="22" cm="1">
        <f t="array" ref="G350">Comp1[[#This Row],[Comparable '#1 Drawdown]]/MAX($B$2:B350)</f>
        <v>-0.10211841390548609</v>
      </c>
      <c r="H350" s="1" t="str">
        <f>IF(SUM(COUNTIF(Benchmark1[Benchmark '#1 Dates],Comp1[[#This Row],[Comparable '#1 Dates]]),COUNTIF(Benchmark2[Benchmark '#2 Dates],Comp1[[#This Row],[Comparable '#1 Dates]]))=2,"Pass","Fail")</f>
        <v>Pass</v>
      </c>
      <c r="I350" s="1">
        <f>IFERROR(Comp1[[#This Row],[Comparable '#1 Return]]-INDEX(Benchmark1[Benchmark '#1 Return],MATCH(Comp1[[#This Row],[Comparable '#1 Dates]],Benchmark1[Benchmark '#1 Dates],0)),"-")</f>
        <v>-1.665605138203977E-3</v>
      </c>
      <c r="L350" s="72">
        <f>Comp1[[#This Row],[Comparable '#1 Price]]/$B$2*100</f>
        <v>113.1416837782341</v>
      </c>
    </row>
    <row r="351" spans="1:12">
      <c r="A351" s="103">
        <v>43790</v>
      </c>
      <c r="B351" s="104">
        <v>16.38</v>
      </c>
      <c r="C351" s="4">
        <f t="shared" si="10"/>
        <v>-9.1158334080096055E-3</v>
      </c>
      <c r="D351" s="1">
        <f>IFERROR(Comp1[[#This Row],[Comparable '#1 Return]]+1,"-")</f>
        <v>0.99088416659199041</v>
      </c>
      <c r="E351" s="6">
        <f>B351-MAX($B$2:B351)</f>
        <v>-2.0300000000000011</v>
      </c>
      <c r="F351" s="80">
        <f t="shared" si="11"/>
        <v>59</v>
      </c>
      <c r="G351" s="22" cm="1">
        <f t="array" ref="G351">Comp1[[#This Row],[Comparable '#1 Drawdown]]/MAX($B$2:B351)</f>
        <v>-0.11026615969581754</v>
      </c>
      <c r="H351" s="1" t="str">
        <f>IF(SUM(COUNTIF(Benchmark1[Benchmark '#1 Dates],Comp1[[#This Row],[Comparable '#1 Dates]]),COUNTIF(Benchmark2[Benchmark '#2 Dates],Comp1[[#This Row],[Comparable '#1 Dates]]))=2,"Pass","Fail")</f>
        <v>Pass</v>
      </c>
      <c r="I351" s="1">
        <f>IFERROR(Comp1[[#This Row],[Comparable '#1 Return]]-INDEX(Benchmark1[Benchmark '#1 Return],MATCH(Comp1[[#This Row],[Comparable '#1 Dates]],Benchmark1[Benchmark '#1 Dates],0)),"-")</f>
        <v>-7.5314024029208525E-3</v>
      </c>
      <c r="L351" s="72">
        <f>Comp1[[#This Row],[Comparable '#1 Price]]/$B$2*100</f>
        <v>112.11498973305956</v>
      </c>
    </row>
    <row r="352" spans="1:12">
      <c r="A352" s="103">
        <v>43791</v>
      </c>
      <c r="B352" s="104">
        <v>16.5</v>
      </c>
      <c r="C352" s="4">
        <f t="shared" si="10"/>
        <v>7.2993024816115351E-3</v>
      </c>
      <c r="D352" s="1">
        <f>IFERROR(Comp1[[#This Row],[Comparable '#1 Return]]+1,"-")</f>
        <v>1.0072993024816115</v>
      </c>
      <c r="E352" s="6">
        <f>B352-MAX($B$2:B352)</f>
        <v>-1.9100000000000001</v>
      </c>
      <c r="F352" s="80">
        <f t="shared" si="11"/>
        <v>60</v>
      </c>
      <c r="G352" s="22" cm="1">
        <f t="array" ref="G352">Comp1[[#This Row],[Comparable '#1 Drawdown]]/MAX($B$2:B352)</f>
        <v>-0.10374796306355243</v>
      </c>
      <c r="H352" s="1" t="str">
        <f>IF(SUM(COUNTIF(Benchmark1[Benchmark '#1 Dates],Comp1[[#This Row],[Comparable '#1 Dates]]),COUNTIF(Benchmark2[Benchmark '#2 Dates],Comp1[[#This Row],[Comparable '#1 Dates]]))=2,"Pass","Fail")</f>
        <v>Pass</v>
      </c>
      <c r="I352" s="1">
        <f>IFERROR(Comp1[[#This Row],[Comparable '#1 Return]]-INDEX(Benchmark1[Benchmark '#1 Return],MATCH(Comp1[[#This Row],[Comparable '#1 Dates]],Benchmark1[Benchmark '#1 Dates],0)),"-")</f>
        <v>5.1262645315640629E-3</v>
      </c>
      <c r="L352" s="72">
        <f>Comp1[[#This Row],[Comparable '#1 Price]]/$B$2*100</f>
        <v>112.93634496919918</v>
      </c>
    </row>
    <row r="353" spans="1:12">
      <c r="A353" s="103">
        <v>43794</v>
      </c>
      <c r="B353" s="104">
        <v>16.885000000000002</v>
      </c>
      <c r="C353" s="4">
        <f t="shared" si="10"/>
        <v>2.3065272930996188E-2</v>
      </c>
      <c r="D353" s="1">
        <f>IFERROR(Comp1[[#This Row],[Comparable '#1 Return]]+1,"-")</f>
        <v>1.0230652729309961</v>
      </c>
      <c r="E353" s="6">
        <f>B353-MAX($B$2:B353)</f>
        <v>-1.5249999999999986</v>
      </c>
      <c r="F353" s="80">
        <f t="shared" si="11"/>
        <v>61</v>
      </c>
      <c r="G353" s="22" cm="1">
        <f t="array" ref="G353">Comp1[[#This Row],[Comparable '#1 Drawdown]]/MAX($B$2:B353)</f>
        <v>-8.2835415535035234E-2</v>
      </c>
      <c r="H353" s="1" t="str">
        <f>IF(SUM(COUNTIF(Benchmark1[Benchmark '#1 Dates],Comp1[[#This Row],[Comparable '#1 Dates]]),COUNTIF(Benchmark2[Benchmark '#2 Dates],Comp1[[#This Row],[Comparable '#1 Dates]]))=2,"Pass","Fail")</f>
        <v>Pass</v>
      </c>
      <c r="I353" s="1">
        <f>IFERROR(Comp1[[#This Row],[Comparable '#1 Return]]-INDEX(Benchmark1[Benchmark '#1 Return],MATCH(Comp1[[#This Row],[Comparable '#1 Dates]],Benchmark1[Benchmark '#1 Dates],0)),"-")</f>
        <v>1.5584542479401015E-2</v>
      </c>
      <c r="L353" s="72">
        <f>Comp1[[#This Row],[Comparable '#1 Price]]/$B$2*100</f>
        <v>115.57152635181384</v>
      </c>
    </row>
    <row r="354" spans="1:12">
      <c r="A354" s="103">
        <v>43795</v>
      </c>
      <c r="B354" s="104">
        <v>17.25</v>
      </c>
      <c r="C354" s="4">
        <f t="shared" si="10"/>
        <v>2.1386489639837712E-2</v>
      </c>
      <c r="D354" s="1">
        <f>IFERROR(Comp1[[#This Row],[Comparable '#1 Return]]+1,"-")</f>
        <v>1.0213864896398377</v>
      </c>
      <c r="E354" s="6">
        <f>B354-MAX($B$2:B354)</f>
        <v>-1.1600000000000001</v>
      </c>
      <c r="F354" s="80">
        <f t="shared" si="11"/>
        <v>62</v>
      </c>
      <c r="G354" s="22" cm="1">
        <f t="array" ref="G354">Comp1[[#This Row],[Comparable '#1 Drawdown]]/MAX($B$2:B354)</f>
        <v>-6.3009234111895712E-2</v>
      </c>
      <c r="H354" s="1" t="str">
        <f>IF(SUM(COUNTIF(Benchmark1[Benchmark '#1 Dates],Comp1[[#This Row],[Comparable '#1 Dates]]),COUNTIF(Benchmark2[Benchmark '#2 Dates],Comp1[[#This Row],[Comparable '#1 Dates]]))=2,"Pass","Fail")</f>
        <v>Pass</v>
      </c>
      <c r="I354" s="1">
        <f>IFERROR(Comp1[[#This Row],[Comparable '#1 Return]]-INDEX(Benchmark1[Benchmark '#1 Return],MATCH(Comp1[[#This Row],[Comparable '#1 Dates]],Benchmark1[Benchmark '#1 Dates],0)),"-")</f>
        <v>1.9194310641617592E-2</v>
      </c>
      <c r="L354" s="72">
        <f>Comp1[[#This Row],[Comparable '#1 Price]]/$B$2*100</f>
        <v>118.06981519507187</v>
      </c>
    </row>
    <row r="355" spans="1:12">
      <c r="A355" s="103">
        <v>43796</v>
      </c>
      <c r="B355" s="104">
        <v>17.285</v>
      </c>
      <c r="C355" s="4">
        <f t="shared" si="10"/>
        <v>2.0269298962191109E-3</v>
      </c>
      <c r="D355" s="1">
        <f>IFERROR(Comp1[[#This Row],[Comparable '#1 Return]]+1,"-")</f>
        <v>1.0020269298962192</v>
      </c>
      <c r="E355" s="6">
        <f>B355-MAX($B$2:B355)</f>
        <v>-1.125</v>
      </c>
      <c r="F355" s="80">
        <f t="shared" si="11"/>
        <v>63</v>
      </c>
      <c r="G355" s="22" cm="1">
        <f t="array" ref="G355">Comp1[[#This Row],[Comparable '#1 Drawdown]]/MAX($B$2:B355)</f>
        <v>-6.1108093427485063E-2</v>
      </c>
      <c r="H355" s="1" t="str">
        <f>IF(SUM(COUNTIF(Benchmark1[Benchmark '#1 Dates],Comp1[[#This Row],[Comparable '#1 Dates]]),COUNTIF(Benchmark2[Benchmark '#2 Dates],Comp1[[#This Row],[Comparable '#1 Dates]]))=2,"Pass","Fail")</f>
        <v>Pass</v>
      </c>
      <c r="I355" s="1">
        <f>IFERROR(Comp1[[#This Row],[Comparable '#1 Return]]-INDEX(Benchmark1[Benchmark '#1 Return],MATCH(Comp1[[#This Row],[Comparable '#1 Dates]],Benchmark1[Benchmark '#1 Dates],0)),"-")</f>
        <v>-2.138280778639865E-3</v>
      </c>
      <c r="L355" s="72">
        <f>Comp1[[#This Row],[Comparable '#1 Price]]/$B$2*100</f>
        <v>118.30937713894593</v>
      </c>
    </row>
    <row r="356" spans="1:12">
      <c r="A356" s="103">
        <v>43798</v>
      </c>
      <c r="B356" s="104">
        <v>17.350000000000001</v>
      </c>
      <c r="C356" s="4">
        <f t="shared" si="10"/>
        <v>3.7534330192804137E-3</v>
      </c>
      <c r="D356" s="1">
        <f>IFERROR(Comp1[[#This Row],[Comparable '#1 Return]]+1,"-")</f>
        <v>1.0037534330192803</v>
      </c>
      <c r="E356" s="6">
        <f>B356-MAX($B$2:B356)</f>
        <v>-1.0599999999999987</v>
      </c>
      <c r="F356" s="80">
        <f t="shared" si="11"/>
        <v>64</v>
      </c>
      <c r="G356" s="22" cm="1">
        <f t="array" ref="G356">Comp1[[#This Row],[Comparable '#1 Drawdown]]/MAX($B$2:B356)</f>
        <v>-5.7577403585008076E-2</v>
      </c>
      <c r="H356" s="1" t="str">
        <f>IF(SUM(COUNTIF(Benchmark1[Benchmark '#1 Dates],Comp1[[#This Row],[Comparable '#1 Dates]]),COUNTIF(Benchmark2[Benchmark '#2 Dates],Comp1[[#This Row],[Comparable '#1 Dates]]))=2,"Pass","Fail")</f>
        <v>Pass</v>
      </c>
      <c r="I356" s="1">
        <f>IFERROR(Comp1[[#This Row],[Comparable '#1 Return]]-INDEX(Benchmark1[Benchmark '#1 Return],MATCH(Comp1[[#This Row],[Comparable '#1 Dates]],Benchmark1[Benchmark '#1 Dates],0)),"-")</f>
        <v>7.7719387178272932E-3</v>
      </c>
      <c r="L356" s="72">
        <f>Comp1[[#This Row],[Comparable '#1 Price]]/$B$2*100</f>
        <v>118.75427789185491</v>
      </c>
    </row>
    <row r="357" spans="1:12">
      <c r="A357" s="103">
        <v>43801</v>
      </c>
      <c r="B357" s="104">
        <v>16.91</v>
      </c>
      <c r="C357" s="4">
        <f t="shared" si="10"/>
        <v>-2.5687343482379384E-2</v>
      </c>
      <c r="D357" s="1">
        <f>IFERROR(Comp1[[#This Row],[Comparable '#1 Return]]+1,"-")</f>
        <v>0.97431265651762067</v>
      </c>
      <c r="E357" s="6">
        <f>B357-MAX($B$2:B357)</f>
        <v>-1.5</v>
      </c>
      <c r="F357" s="80">
        <f t="shared" si="11"/>
        <v>65</v>
      </c>
      <c r="G357" s="22" cm="1">
        <f t="array" ref="G357">Comp1[[#This Row],[Comparable '#1 Drawdown]]/MAX($B$2:B357)</f>
        <v>-8.1477457903313413E-2</v>
      </c>
      <c r="H357" s="1" t="str">
        <f>IF(SUM(COUNTIF(Benchmark1[Benchmark '#1 Dates],Comp1[[#This Row],[Comparable '#1 Dates]]),COUNTIF(Benchmark2[Benchmark '#2 Dates],Comp1[[#This Row],[Comparable '#1 Dates]]))=2,"Pass","Fail")</f>
        <v>Pass</v>
      </c>
      <c r="I357" s="1">
        <f>IFERROR(Comp1[[#This Row],[Comparable '#1 Return]]-INDEX(Benchmark1[Benchmark '#1 Return],MATCH(Comp1[[#This Row],[Comparable '#1 Dates]],Benchmark1[Benchmark '#1 Dates],0)),"-")</f>
        <v>-1.7019782096640013E-2</v>
      </c>
      <c r="L357" s="72">
        <f>Comp1[[#This Row],[Comparable '#1 Price]]/$B$2*100</f>
        <v>115.74264202600959</v>
      </c>
    </row>
    <row r="358" spans="1:12">
      <c r="A358" s="103">
        <v>43802</v>
      </c>
      <c r="B358" s="104">
        <v>16.53</v>
      </c>
      <c r="C358" s="4">
        <f t="shared" si="10"/>
        <v>-2.2728251077556064E-2</v>
      </c>
      <c r="D358" s="1">
        <f>IFERROR(Comp1[[#This Row],[Comparable '#1 Return]]+1,"-")</f>
        <v>0.97727174892244395</v>
      </c>
      <c r="E358" s="6">
        <f>B358-MAX($B$2:B358)</f>
        <v>-1.879999999999999</v>
      </c>
      <c r="F358" s="80">
        <f t="shared" si="11"/>
        <v>66</v>
      </c>
      <c r="G358" s="22" cm="1">
        <f t="array" ref="G358">Comp1[[#This Row],[Comparable '#1 Drawdown]]/MAX($B$2:B358)</f>
        <v>-0.10211841390548609</v>
      </c>
      <c r="H358" s="1" t="str">
        <f>IF(SUM(COUNTIF(Benchmark1[Benchmark '#1 Dates],Comp1[[#This Row],[Comparable '#1 Dates]]),COUNTIF(Benchmark2[Benchmark '#2 Dates],Comp1[[#This Row],[Comparable '#1 Dates]]))=2,"Pass","Fail")</f>
        <v>Pass</v>
      </c>
      <c r="I358" s="1">
        <f>IFERROR(Comp1[[#This Row],[Comparable '#1 Return]]-INDEX(Benchmark1[Benchmark '#1 Return],MATCH(Comp1[[#This Row],[Comparable '#1 Dates]],Benchmark1[Benchmark '#1 Dates],0)),"-")</f>
        <v>-1.6067208306688906E-2</v>
      </c>
      <c r="L358" s="72">
        <f>Comp1[[#This Row],[Comparable '#1 Price]]/$B$2*100</f>
        <v>113.1416837782341</v>
      </c>
    </row>
    <row r="359" spans="1:12">
      <c r="A359" s="103">
        <v>43803</v>
      </c>
      <c r="B359" s="104">
        <v>16.57</v>
      </c>
      <c r="C359" s="4">
        <f t="shared" si="10"/>
        <v>2.4169196055386722E-3</v>
      </c>
      <c r="D359" s="1">
        <f>IFERROR(Comp1[[#This Row],[Comparable '#1 Return]]+1,"-")</f>
        <v>1.0024169196055386</v>
      </c>
      <c r="E359" s="6">
        <f>B359-MAX($B$2:B359)</f>
        <v>-1.8399999999999999</v>
      </c>
      <c r="F359" s="80">
        <f t="shared" si="11"/>
        <v>67</v>
      </c>
      <c r="G359" s="22" cm="1">
        <f t="array" ref="G359">Comp1[[#This Row],[Comparable '#1 Drawdown]]/MAX($B$2:B359)</f>
        <v>-9.9945681694731114E-2</v>
      </c>
      <c r="H359" s="1" t="str">
        <f>IF(SUM(COUNTIF(Benchmark1[Benchmark '#1 Dates],Comp1[[#This Row],[Comparable '#1 Dates]]),COUNTIF(Benchmark2[Benchmark '#2 Dates],Comp1[[#This Row],[Comparable '#1 Dates]]))=2,"Pass","Fail")</f>
        <v>Pass</v>
      </c>
      <c r="I359" s="1">
        <f>IFERROR(Comp1[[#This Row],[Comparable '#1 Return]]-INDEX(Benchmark1[Benchmark '#1 Return],MATCH(Comp1[[#This Row],[Comparable '#1 Dates]],Benchmark1[Benchmark '#1 Dates],0)),"-")</f>
        <v>-3.8852499263646112E-3</v>
      </c>
      <c r="L359" s="72">
        <f>Comp1[[#This Row],[Comparable '#1 Price]]/$B$2*100</f>
        <v>113.41546885694731</v>
      </c>
    </row>
    <row r="360" spans="1:12">
      <c r="A360" s="103">
        <v>43804</v>
      </c>
      <c r="B360" s="104">
        <v>16.47</v>
      </c>
      <c r="C360" s="4">
        <f t="shared" si="10"/>
        <v>-6.0532872489226751E-3</v>
      </c>
      <c r="D360" s="1">
        <f>IFERROR(Comp1[[#This Row],[Comparable '#1 Return]]+1,"-")</f>
        <v>0.99394671275107738</v>
      </c>
      <c r="E360" s="6">
        <f>B360-MAX($B$2:B360)</f>
        <v>-1.9400000000000013</v>
      </c>
      <c r="F360" s="80">
        <f t="shared" si="11"/>
        <v>68</v>
      </c>
      <c r="G360" s="22" cm="1">
        <f t="array" ref="G360">Comp1[[#This Row],[Comparable '#1 Drawdown]]/MAX($B$2:B360)</f>
        <v>-0.10537751222161876</v>
      </c>
      <c r="H360" s="1" t="str">
        <f>IF(SUM(COUNTIF(Benchmark1[Benchmark '#1 Dates],Comp1[[#This Row],[Comparable '#1 Dates]]),COUNTIF(Benchmark2[Benchmark '#2 Dates],Comp1[[#This Row],[Comparable '#1 Dates]]))=2,"Pass","Fail")</f>
        <v>Pass</v>
      </c>
      <c r="I360" s="1">
        <f>IFERROR(Comp1[[#This Row],[Comparable '#1 Return]]-INDEX(Benchmark1[Benchmark '#1 Return],MATCH(Comp1[[#This Row],[Comparable '#1 Dates]],Benchmark1[Benchmark '#1 Dates],0)),"-")</f>
        <v>-7.5531604851535586E-3</v>
      </c>
      <c r="L360" s="72">
        <f>Comp1[[#This Row],[Comparable '#1 Price]]/$B$2*100</f>
        <v>112.73100616016427</v>
      </c>
    </row>
    <row r="361" spans="1:12">
      <c r="A361" s="103">
        <v>43805</v>
      </c>
      <c r="B361" s="104">
        <v>16.649999999999999</v>
      </c>
      <c r="C361" s="4">
        <f t="shared" si="10"/>
        <v>1.0869672236903891E-2</v>
      </c>
      <c r="D361" s="1">
        <f>IFERROR(Comp1[[#This Row],[Comparable '#1 Return]]+1,"-")</f>
        <v>1.0108696722369039</v>
      </c>
      <c r="E361" s="6">
        <f>B361-MAX($B$2:B361)</f>
        <v>-1.7600000000000016</v>
      </c>
      <c r="F361" s="80">
        <f t="shared" si="11"/>
        <v>69</v>
      </c>
      <c r="G361" s="22" cm="1">
        <f t="array" ref="G361">Comp1[[#This Row],[Comparable '#1 Drawdown]]/MAX($B$2:B361)</f>
        <v>-9.5600217273221155E-2</v>
      </c>
      <c r="H361" s="1" t="str">
        <f>IF(SUM(COUNTIF(Benchmark1[Benchmark '#1 Dates],Comp1[[#This Row],[Comparable '#1 Dates]]),COUNTIF(Benchmark2[Benchmark '#2 Dates],Comp1[[#This Row],[Comparable '#1 Dates]]))=2,"Pass","Fail")</f>
        <v>Pass</v>
      </c>
      <c r="I361" s="1">
        <f>IFERROR(Comp1[[#This Row],[Comparable '#1 Return]]-INDEX(Benchmark1[Benchmark '#1 Return],MATCH(Comp1[[#This Row],[Comparable '#1 Dates]],Benchmark1[Benchmark '#1 Dates],0)),"-")</f>
        <v>1.7746411677947247E-3</v>
      </c>
      <c r="L361" s="72">
        <f>Comp1[[#This Row],[Comparable '#1 Price]]/$B$2*100</f>
        <v>113.96303901437371</v>
      </c>
    </row>
    <row r="362" spans="1:12">
      <c r="A362" s="103">
        <v>43808</v>
      </c>
      <c r="B362" s="104">
        <v>16.260000000000002</v>
      </c>
      <c r="C362" s="4">
        <f t="shared" si="10"/>
        <v>-2.3702112306788169E-2</v>
      </c>
      <c r="D362" s="1">
        <f>IFERROR(Comp1[[#This Row],[Comparable '#1 Return]]+1,"-")</f>
        <v>0.9762978876932118</v>
      </c>
      <c r="E362" s="6">
        <f>B362-MAX($B$2:B362)</f>
        <v>-2.1499999999999986</v>
      </c>
      <c r="F362" s="80">
        <f t="shared" si="11"/>
        <v>70</v>
      </c>
      <c r="G362" s="22" cm="1">
        <f t="array" ref="G362">Comp1[[#This Row],[Comparable '#1 Drawdown]]/MAX($B$2:B362)</f>
        <v>-0.11678435632808248</v>
      </c>
      <c r="H362" s="1" t="str">
        <f>IF(SUM(COUNTIF(Benchmark1[Benchmark '#1 Dates],Comp1[[#This Row],[Comparable '#1 Dates]]),COUNTIF(Benchmark2[Benchmark '#2 Dates],Comp1[[#This Row],[Comparable '#1 Dates]]))=2,"Pass","Fail")</f>
        <v>Pass</v>
      </c>
      <c r="I362" s="1">
        <f>IFERROR(Comp1[[#This Row],[Comparable '#1 Return]]-INDEX(Benchmark1[Benchmark '#1 Return],MATCH(Comp1[[#This Row],[Comparable '#1 Dates]],Benchmark1[Benchmark '#1 Dates],0)),"-")</f>
        <v>-2.0534378149568142E-2</v>
      </c>
      <c r="L362" s="72">
        <f>Comp1[[#This Row],[Comparable '#1 Price]]/$B$2*100</f>
        <v>111.29363449691994</v>
      </c>
    </row>
    <row r="363" spans="1:12">
      <c r="A363" s="103">
        <v>43809</v>
      </c>
      <c r="B363" s="104">
        <v>16.420000000000002</v>
      </c>
      <c r="C363" s="4">
        <f t="shared" si="10"/>
        <v>9.7919999046177184E-3</v>
      </c>
      <c r="D363" s="1">
        <f>IFERROR(Comp1[[#This Row],[Comparable '#1 Return]]+1,"-")</f>
        <v>1.0097919999046177</v>
      </c>
      <c r="E363" s="6">
        <f>B363-MAX($B$2:B363)</f>
        <v>-1.9899999999999984</v>
      </c>
      <c r="F363" s="80">
        <f t="shared" si="11"/>
        <v>71</v>
      </c>
      <c r="G363" s="22" cm="1">
        <f t="array" ref="G363">Comp1[[#This Row],[Comparable '#1 Drawdown]]/MAX($B$2:B363)</f>
        <v>-0.10809342748506238</v>
      </c>
      <c r="H363" s="1" t="str">
        <f>IF(SUM(COUNTIF(Benchmark1[Benchmark '#1 Dates],Comp1[[#This Row],[Comparable '#1 Dates]]),COUNTIF(Benchmark2[Benchmark '#2 Dates],Comp1[[#This Row],[Comparable '#1 Dates]]))=2,"Pass","Fail")</f>
        <v>Pass</v>
      </c>
      <c r="I363" s="1">
        <f>IFERROR(Comp1[[#This Row],[Comparable '#1 Return]]-INDEX(Benchmark1[Benchmark '#1 Return],MATCH(Comp1[[#This Row],[Comparable '#1 Dates]],Benchmark1[Benchmark '#1 Dates],0)),"-")</f>
        <v>1.0890440808503089E-2</v>
      </c>
      <c r="L363" s="72">
        <f>Comp1[[#This Row],[Comparable '#1 Price]]/$B$2*100</f>
        <v>112.38877481177279</v>
      </c>
    </row>
    <row r="364" spans="1:12">
      <c r="A364" s="103">
        <v>43810</v>
      </c>
      <c r="B364" s="104">
        <v>16.579999999999998</v>
      </c>
      <c r="C364" s="4">
        <f t="shared" si="10"/>
        <v>9.6970456828665529E-3</v>
      </c>
      <c r="D364" s="1">
        <f>IFERROR(Comp1[[#This Row],[Comparable '#1 Return]]+1,"-")</f>
        <v>1.0096970456828664</v>
      </c>
      <c r="E364" s="6">
        <f>B364-MAX($B$2:B364)</f>
        <v>-1.8300000000000018</v>
      </c>
      <c r="F364" s="80">
        <f t="shared" si="11"/>
        <v>72</v>
      </c>
      <c r="G364" s="22" cm="1">
        <f t="array" ref="G364">Comp1[[#This Row],[Comparable '#1 Drawdown]]/MAX($B$2:B364)</f>
        <v>-9.9402498642042467E-2</v>
      </c>
      <c r="H364" s="1" t="str">
        <f>IF(SUM(COUNTIF(Benchmark1[Benchmark '#1 Dates],Comp1[[#This Row],[Comparable '#1 Dates]]),COUNTIF(Benchmark2[Benchmark '#2 Dates],Comp1[[#This Row],[Comparable '#1 Dates]]))=2,"Pass","Fail")</f>
        <v>Pass</v>
      </c>
      <c r="I364" s="1">
        <f>IFERROR(Comp1[[#This Row],[Comparable '#1 Return]]-INDEX(Benchmark1[Benchmark '#1 Return],MATCH(Comp1[[#This Row],[Comparable '#1 Dates]],Benchmark1[Benchmark '#1 Dates],0)),"-")</f>
        <v>6.7936775157034779E-3</v>
      </c>
      <c r="L364" s="72">
        <f>Comp1[[#This Row],[Comparable '#1 Price]]/$B$2*100</f>
        <v>113.48391512662559</v>
      </c>
    </row>
    <row r="365" spans="1:12">
      <c r="A365" s="103">
        <v>43811</v>
      </c>
      <c r="B365" s="104">
        <v>16.809999999999999</v>
      </c>
      <c r="C365" s="4">
        <f t="shared" si="10"/>
        <v>1.3776797713375418E-2</v>
      </c>
      <c r="D365" s="1">
        <f>IFERROR(Comp1[[#This Row],[Comparable '#1 Return]]+1,"-")</f>
        <v>1.0137767977133754</v>
      </c>
      <c r="E365" s="6">
        <f>B365-MAX($B$2:B365)</f>
        <v>-1.6000000000000014</v>
      </c>
      <c r="F365" s="80">
        <f t="shared" si="11"/>
        <v>73</v>
      </c>
      <c r="G365" s="22" cm="1">
        <f t="array" ref="G365">Comp1[[#This Row],[Comparable '#1 Drawdown]]/MAX($B$2:B365)</f>
        <v>-8.6909288430201057E-2</v>
      </c>
      <c r="H365" s="1" t="str">
        <f>IF(SUM(COUNTIF(Benchmark1[Benchmark '#1 Dates],Comp1[[#This Row],[Comparable '#1 Dates]]),COUNTIF(Benchmark2[Benchmark '#2 Dates],Comp1[[#This Row],[Comparable '#1 Dates]]))=2,"Pass","Fail")</f>
        <v>Pass</v>
      </c>
      <c r="I365" s="1">
        <f>IFERROR(Comp1[[#This Row],[Comparable '#1 Return]]-INDEX(Benchmark1[Benchmark '#1 Return],MATCH(Comp1[[#This Row],[Comparable '#1 Dates]],Benchmark1[Benchmark '#1 Dates],0)),"-")</f>
        <v>5.2373931861482807E-3</v>
      </c>
      <c r="L365" s="72">
        <f>Comp1[[#This Row],[Comparable '#1 Price]]/$B$2*100</f>
        <v>115.05817932922655</v>
      </c>
    </row>
    <row r="366" spans="1:12">
      <c r="A366" s="103">
        <v>43812</v>
      </c>
      <c r="B366" s="104">
        <v>17.14</v>
      </c>
      <c r="C366" s="4">
        <f t="shared" si="10"/>
        <v>1.944096574910963E-2</v>
      </c>
      <c r="D366" s="1">
        <f>IFERROR(Comp1[[#This Row],[Comparable '#1 Return]]+1,"-")</f>
        <v>1.0194409657491097</v>
      </c>
      <c r="E366" s="6">
        <f>B366-MAX($B$2:B366)</f>
        <v>-1.2699999999999996</v>
      </c>
      <c r="F366" s="80">
        <f t="shared" si="11"/>
        <v>74</v>
      </c>
      <c r="G366" s="22" cm="1">
        <f t="array" ref="G366">Comp1[[#This Row],[Comparable '#1 Drawdown]]/MAX($B$2:B366)</f>
        <v>-6.8984247691472003E-2</v>
      </c>
      <c r="H366" s="1" t="str">
        <f>IF(SUM(COUNTIF(Benchmark1[Benchmark '#1 Dates],Comp1[[#This Row],[Comparable '#1 Dates]]),COUNTIF(Benchmark2[Benchmark '#2 Dates],Comp1[[#This Row],[Comparable '#1 Dates]]))=2,"Pass","Fail")</f>
        <v>Pass</v>
      </c>
      <c r="I366" s="1">
        <f>IFERROR(Comp1[[#This Row],[Comparable '#1 Return]]-INDEX(Benchmark1[Benchmark '#1 Return],MATCH(Comp1[[#This Row],[Comparable '#1 Dates]],Benchmark1[Benchmark '#1 Dates],0)),"-")</f>
        <v>1.9368234484589596E-2</v>
      </c>
      <c r="L366" s="72">
        <f>Comp1[[#This Row],[Comparable '#1 Price]]/$B$2*100</f>
        <v>117.31690622861055</v>
      </c>
    </row>
    <row r="367" spans="1:12">
      <c r="A367" s="103">
        <v>43815</v>
      </c>
      <c r="B367" s="104">
        <v>17.059999999999999</v>
      </c>
      <c r="C367" s="4">
        <f t="shared" si="10"/>
        <v>-4.6783711061007252E-3</v>
      </c>
      <c r="D367" s="1">
        <f>IFERROR(Comp1[[#This Row],[Comparable '#1 Return]]+1,"-")</f>
        <v>0.9953216288938993</v>
      </c>
      <c r="E367" s="6">
        <f>B367-MAX($B$2:B367)</f>
        <v>-1.3500000000000014</v>
      </c>
      <c r="F367" s="80">
        <f t="shared" si="11"/>
        <v>75</v>
      </c>
      <c r="G367" s="22" cm="1">
        <f t="array" ref="G367">Comp1[[#This Row],[Comparable '#1 Drawdown]]/MAX($B$2:B367)</f>
        <v>-7.3329712112982157E-2</v>
      </c>
      <c r="H367" s="1" t="str">
        <f>IF(SUM(COUNTIF(Benchmark1[Benchmark '#1 Dates],Comp1[[#This Row],[Comparable '#1 Dates]]),COUNTIF(Benchmark2[Benchmark '#2 Dates],Comp1[[#This Row],[Comparable '#1 Dates]]))=2,"Pass","Fail")</f>
        <v>Pass</v>
      </c>
      <c r="I367" s="1">
        <f>IFERROR(Comp1[[#This Row],[Comparable '#1 Return]]-INDEX(Benchmark1[Benchmark '#1 Return],MATCH(Comp1[[#This Row],[Comparable '#1 Dates]],Benchmark1[Benchmark '#1 Dates],0)),"-")</f>
        <v>-1.1800571129331135E-2</v>
      </c>
      <c r="L367" s="72">
        <f>Comp1[[#This Row],[Comparable '#1 Price]]/$B$2*100</f>
        <v>116.76933607118411</v>
      </c>
    </row>
    <row r="368" spans="1:12">
      <c r="A368" s="103">
        <v>43816</v>
      </c>
      <c r="B368" s="104">
        <v>17.350000000000001</v>
      </c>
      <c r="C368" s="4">
        <f t="shared" si="10"/>
        <v>1.6855964329335317E-2</v>
      </c>
      <c r="D368" s="1">
        <f>IFERROR(Comp1[[#This Row],[Comparable '#1 Return]]+1,"-")</f>
        <v>1.0168559643293353</v>
      </c>
      <c r="E368" s="6">
        <f>B368-MAX($B$2:B368)</f>
        <v>-1.0599999999999987</v>
      </c>
      <c r="F368" s="80">
        <f t="shared" si="11"/>
        <v>76</v>
      </c>
      <c r="G368" s="22" cm="1">
        <f t="array" ref="G368">Comp1[[#This Row],[Comparable '#1 Drawdown]]/MAX($B$2:B368)</f>
        <v>-5.7577403585008076E-2</v>
      </c>
      <c r="H368" s="1" t="str">
        <f>IF(SUM(COUNTIF(Benchmark1[Benchmark '#1 Dates],Comp1[[#This Row],[Comparable '#1 Dates]]),COUNTIF(Benchmark2[Benchmark '#2 Dates],Comp1[[#This Row],[Comparable '#1 Dates]]))=2,"Pass","Fail")</f>
        <v>Pass</v>
      </c>
      <c r="I368" s="1">
        <f>IFERROR(Comp1[[#This Row],[Comparable '#1 Return]]-INDEX(Benchmark1[Benchmark '#1 Return],MATCH(Comp1[[#This Row],[Comparable '#1 Dates]],Benchmark1[Benchmark '#1 Dates],0)),"-")</f>
        <v>1.6520887130911287E-2</v>
      </c>
      <c r="L368" s="72">
        <f>Comp1[[#This Row],[Comparable '#1 Price]]/$B$2*100</f>
        <v>118.75427789185491</v>
      </c>
    </row>
    <row r="369" spans="1:12">
      <c r="A369" s="103">
        <v>43817</v>
      </c>
      <c r="B369" s="104">
        <v>17.48</v>
      </c>
      <c r="C369" s="4">
        <f t="shared" si="10"/>
        <v>7.4648638345211123E-3</v>
      </c>
      <c r="D369" s="1">
        <f>IFERROR(Comp1[[#This Row],[Comparable '#1 Return]]+1,"-")</f>
        <v>1.0074648638345212</v>
      </c>
      <c r="E369" s="6">
        <f>B369-MAX($B$2:B369)</f>
        <v>-0.92999999999999972</v>
      </c>
      <c r="F369" s="80">
        <f t="shared" si="11"/>
        <v>77</v>
      </c>
      <c r="G369" s="22" cm="1">
        <f t="array" ref="G369">Comp1[[#This Row],[Comparable '#1 Drawdown]]/MAX($B$2:B369)</f>
        <v>-5.0516023900054302E-2</v>
      </c>
      <c r="H369" s="1" t="str">
        <f>IF(SUM(COUNTIF(Benchmark1[Benchmark '#1 Dates],Comp1[[#This Row],[Comparable '#1 Dates]]),COUNTIF(Benchmark2[Benchmark '#2 Dates],Comp1[[#This Row],[Comparable '#1 Dates]]))=2,"Pass","Fail")</f>
        <v>Pass</v>
      </c>
      <c r="I369" s="1">
        <f>IFERROR(Comp1[[#This Row],[Comparable '#1 Return]]-INDEX(Benchmark1[Benchmark '#1 Return],MATCH(Comp1[[#This Row],[Comparable '#1 Dates]],Benchmark1[Benchmark '#1 Dates],0)),"-")</f>
        <v>7.8961323875153758E-3</v>
      </c>
      <c r="L369" s="72">
        <f>Comp1[[#This Row],[Comparable '#1 Price]]/$B$2*100</f>
        <v>119.64407939767283</v>
      </c>
    </row>
    <row r="370" spans="1:12">
      <c r="A370" s="103">
        <v>43818</v>
      </c>
      <c r="B370" s="104">
        <v>17.399999999999999</v>
      </c>
      <c r="C370" s="4">
        <f t="shared" si="10"/>
        <v>-4.5871640069061539E-3</v>
      </c>
      <c r="D370" s="1">
        <f>IFERROR(Comp1[[#This Row],[Comparable '#1 Return]]+1,"-")</f>
        <v>0.99541283599309383</v>
      </c>
      <c r="E370" s="6">
        <f>B370-MAX($B$2:B370)</f>
        <v>-1.0100000000000016</v>
      </c>
      <c r="F370" s="80">
        <f t="shared" si="11"/>
        <v>78</v>
      </c>
      <c r="G370" s="22" cm="1">
        <f t="array" ref="G370">Comp1[[#This Row],[Comparable '#1 Drawdown]]/MAX($B$2:B370)</f>
        <v>-5.4861488321564449E-2</v>
      </c>
      <c r="H370" s="1" t="str">
        <f>IF(SUM(COUNTIF(Benchmark1[Benchmark '#1 Dates],Comp1[[#This Row],[Comparable '#1 Dates]]),COUNTIF(Benchmark2[Benchmark '#2 Dates],Comp1[[#This Row],[Comparable '#1 Dates]]))=2,"Pass","Fail")</f>
        <v>Pass</v>
      </c>
      <c r="I370" s="1">
        <f>IFERROR(Comp1[[#This Row],[Comparable '#1 Return]]-INDEX(Benchmark1[Benchmark '#1 Return],MATCH(Comp1[[#This Row],[Comparable '#1 Dates]],Benchmark1[Benchmark '#1 Dates],0)),"-")</f>
        <v>-9.0353260239148039E-3</v>
      </c>
      <c r="L370" s="72">
        <f>Comp1[[#This Row],[Comparable '#1 Price]]/$B$2*100</f>
        <v>119.09650924024639</v>
      </c>
    </row>
    <row r="371" spans="1:12">
      <c r="A371" s="103">
        <v>43819</v>
      </c>
      <c r="B371" s="104">
        <v>17.5</v>
      </c>
      <c r="C371" s="4">
        <f t="shared" si="10"/>
        <v>5.7306747089850745E-3</v>
      </c>
      <c r="D371" s="1">
        <f>IFERROR(Comp1[[#This Row],[Comparable '#1 Return]]+1,"-")</f>
        <v>1.0057306747089851</v>
      </c>
      <c r="E371" s="6">
        <f>B371-MAX($B$2:B371)</f>
        <v>-0.91000000000000014</v>
      </c>
      <c r="F371" s="80">
        <f t="shared" si="11"/>
        <v>79</v>
      </c>
      <c r="G371" s="22" cm="1">
        <f t="array" ref="G371">Comp1[[#This Row],[Comparable '#1 Drawdown]]/MAX($B$2:B371)</f>
        <v>-4.9429657794676812E-2</v>
      </c>
      <c r="H371" s="1" t="str">
        <f>IF(SUM(COUNTIF(Benchmark1[Benchmark '#1 Dates],Comp1[[#This Row],[Comparable '#1 Dates]]),COUNTIF(Benchmark2[Benchmark '#2 Dates],Comp1[[#This Row],[Comparable '#1 Dates]]))=2,"Pass","Fail")</f>
        <v>Pass</v>
      </c>
      <c r="I371" s="1">
        <f>IFERROR(Comp1[[#This Row],[Comparable '#1 Return]]-INDEX(Benchmark1[Benchmark '#1 Return],MATCH(Comp1[[#This Row],[Comparable '#1 Dates]],Benchmark1[Benchmark '#1 Dates],0)),"-")</f>
        <v>7.9610438122095818E-4</v>
      </c>
      <c r="L371" s="72">
        <f>Comp1[[#This Row],[Comparable '#1 Price]]/$B$2*100</f>
        <v>119.78097193702943</v>
      </c>
    </row>
    <row r="372" spans="1:12">
      <c r="A372" s="103">
        <v>43822</v>
      </c>
      <c r="B372" s="104">
        <v>17.79</v>
      </c>
      <c r="C372" s="4">
        <f t="shared" si="10"/>
        <v>1.6435620748275294E-2</v>
      </c>
      <c r="D372" s="1">
        <f>IFERROR(Comp1[[#This Row],[Comparable '#1 Return]]+1,"-")</f>
        <v>1.0164356207482752</v>
      </c>
      <c r="E372" s="6">
        <f>B372-MAX($B$2:B372)</f>
        <v>-0.62000000000000099</v>
      </c>
      <c r="F372" s="80">
        <f t="shared" si="11"/>
        <v>80</v>
      </c>
      <c r="G372" s="22" cm="1">
        <f t="array" ref="G372">Comp1[[#This Row],[Comparable '#1 Drawdown]]/MAX($B$2:B372)</f>
        <v>-3.3677349266702933E-2</v>
      </c>
      <c r="H372" s="1" t="str">
        <f>IF(SUM(COUNTIF(Benchmark1[Benchmark '#1 Dates],Comp1[[#This Row],[Comparable '#1 Dates]]),COUNTIF(Benchmark2[Benchmark '#2 Dates],Comp1[[#This Row],[Comparable '#1 Dates]]))=2,"Pass","Fail")</f>
        <v>Pass</v>
      </c>
      <c r="I372" s="1">
        <f>IFERROR(Comp1[[#This Row],[Comparable '#1 Return]]-INDEX(Benchmark1[Benchmark '#1 Return],MATCH(Comp1[[#This Row],[Comparable '#1 Dates]],Benchmark1[Benchmark '#1 Dates],0)),"-")</f>
        <v>1.5571322332915371E-2</v>
      </c>
      <c r="L372" s="72">
        <f>Comp1[[#This Row],[Comparable '#1 Price]]/$B$2*100</f>
        <v>121.7659137577002</v>
      </c>
    </row>
    <row r="373" spans="1:12">
      <c r="A373" s="103">
        <v>43823</v>
      </c>
      <c r="B373" s="104">
        <v>17.760000000000002</v>
      </c>
      <c r="C373" s="4">
        <f t="shared" si="10"/>
        <v>-1.6877641137196297E-3</v>
      </c>
      <c r="D373" s="1">
        <f>IFERROR(Comp1[[#This Row],[Comparable '#1 Return]]+1,"-")</f>
        <v>0.99831223588628037</v>
      </c>
      <c r="E373" s="6">
        <f>B373-MAX($B$2:B373)</f>
        <v>-0.64999999999999858</v>
      </c>
      <c r="F373" s="80">
        <f t="shared" si="11"/>
        <v>81</v>
      </c>
      <c r="G373" s="22" cm="1">
        <f t="array" ref="G373">Comp1[[#This Row],[Comparable '#1 Drawdown]]/MAX($B$2:B373)</f>
        <v>-3.530689842476907E-2</v>
      </c>
      <c r="H373" s="1" t="str">
        <f>IF(SUM(COUNTIF(Benchmark1[Benchmark '#1 Dates],Comp1[[#This Row],[Comparable '#1 Dates]]),COUNTIF(Benchmark2[Benchmark '#2 Dates],Comp1[[#This Row],[Comparable '#1 Dates]]))=2,"Pass","Fail")</f>
        <v>Pass</v>
      </c>
      <c r="I373" s="1">
        <f>IFERROR(Comp1[[#This Row],[Comparable '#1 Return]]-INDEX(Benchmark1[Benchmark '#1 Return],MATCH(Comp1[[#This Row],[Comparable '#1 Dates]],Benchmark1[Benchmark '#1 Dates],0)),"-")</f>
        <v>-1.4910376392907993E-3</v>
      </c>
      <c r="L373" s="72">
        <f>Comp1[[#This Row],[Comparable '#1 Price]]/$B$2*100</f>
        <v>121.56057494866532</v>
      </c>
    </row>
    <row r="374" spans="1:12">
      <c r="A374" s="103">
        <v>43825</v>
      </c>
      <c r="B374" s="104">
        <v>17.95</v>
      </c>
      <c r="C374" s="4">
        <f t="shared" si="10"/>
        <v>1.0641377370263848E-2</v>
      </c>
      <c r="D374" s="1">
        <f>IFERROR(Comp1[[#This Row],[Comparable '#1 Return]]+1,"-")</f>
        <v>1.0106413773702638</v>
      </c>
      <c r="E374" s="6">
        <f>B374-MAX($B$2:B374)</f>
        <v>-0.46000000000000085</v>
      </c>
      <c r="F374" s="80">
        <f t="shared" si="11"/>
        <v>82</v>
      </c>
      <c r="G374" s="22" cm="1">
        <f t="array" ref="G374">Comp1[[#This Row],[Comparable '#1 Drawdown]]/MAX($B$2:B374)</f>
        <v>-2.4986420423682827E-2</v>
      </c>
      <c r="H374" s="1" t="str">
        <f>IF(SUM(COUNTIF(Benchmark1[Benchmark '#1 Dates],Comp1[[#This Row],[Comparable '#1 Dates]]),COUNTIF(Benchmark2[Benchmark '#2 Dates],Comp1[[#This Row],[Comparable '#1 Dates]]))=2,"Pass","Fail")</f>
        <v>Pass</v>
      </c>
      <c r="I374" s="1">
        <f>IFERROR(Comp1[[#This Row],[Comparable '#1 Return]]-INDEX(Benchmark1[Benchmark '#1 Return],MATCH(Comp1[[#This Row],[Comparable '#1 Dates]],Benchmark1[Benchmark '#1 Dates],0)),"-")</f>
        <v>5.5258736792339501E-3</v>
      </c>
      <c r="L374" s="72">
        <f>Comp1[[#This Row],[Comparable '#1 Price]]/$B$2*100</f>
        <v>122.86105407255306</v>
      </c>
    </row>
    <row r="375" spans="1:12">
      <c r="A375" s="103">
        <v>43826</v>
      </c>
      <c r="B375" s="104">
        <v>17.77</v>
      </c>
      <c r="C375" s="4">
        <f t="shared" si="10"/>
        <v>-1.0078472767727942E-2</v>
      </c>
      <c r="D375" s="1">
        <f>IFERROR(Comp1[[#This Row],[Comparable '#1 Return]]+1,"-")</f>
        <v>0.98992152723227211</v>
      </c>
      <c r="E375" s="6">
        <f>B375-MAX($B$2:B375)</f>
        <v>-0.64000000000000057</v>
      </c>
      <c r="F375" s="80">
        <f t="shared" si="11"/>
        <v>83</v>
      </c>
      <c r="G375" s="22" cm="1">
        <f t="array" ref="G375">Comp1[[#This Row],[Comparable '#1 Drawdown]]/MAX($B$2:B375)</f>
        <v>-3.4763715372080423E-2</v>
      </c>
      <c r="H375" s="1" t="str">
        <f>IF(SUM(COUNTIF(Benchmark1[Benchmark '#1 Dates],Comp1[[#This Row],[Comparable '#1 Dates]]),COUNTIF(Benchmark2[Benchmark '#2 Dates],Comp1[[#This Row],[Comparable '#1 Dates]]))=2,"Pass","Fail")</f>
        <v>Pass</v>
      </c>
      <c r="I375" s="1">
        <f>IFERROR(Comp1[[#This Row],[Comparable '#1 Return]]-INDEX(Benchmark1[Benchmark '#1 Return],MATCH(Comp1[[#This Row],[Comparable '#1 Dates]],Benchmark1[Benchmark '#1 Dates],0)),"-")</f>
        <v>-1.011341781196331E-2</v>
      </c>
      <c r="L375" s="72">
        <f>Comp1[[#This Row],[Comparable '#1 Price]]/$B$2*100</f>
        <v>121.62902121834361</v>
      </c>
    </row>
    <row r="376" spans="1:12">
      <c r="A376" s="103">
        <v>43829</v>
      </c>
      <c r="B376" s="104">
        <v>17.265000000000001</v>
      </c>
      <c r="C376" s="4">
        <f t="shared" si="10"/>
        <v>-2.8830311324604244E-2</v>
      </c>
      <c r="D376" s="1">
        <f>IFERROR(Comp1[[#This Row],[Comparable '#1 Return]]+1,"-")</f>
        <v>0.97116968867539577</v>
      </c>
      <c r="E376" s="6">
        <f>B376-MAX($B$2:B376)</f>
        <v>-1.1449999999999996</v>
      </c>
      <c r="F376" s="80">
        <f t="shared" si="11"/>
        <v>84</v>
      </c>
      <c r="G376" s="22" cm="1">
        <f t="array" ref="G376">Comp1[[#This Row],[Comparable '#1 Drawdown]]/MAX($B$2:B376)</f>
        <v>-6.2194459532862553E-2</v>
      </c>
      <c r="H376" s="1" t="str">
        <f>IF(SUM(COUNTIF(Benchmark1[Benchmark '#1 Dates],Comp1[[#This Row],[Comparable '#1 Dates]]),COUNTIF(Benchmark2[Benchmark '#2 Dates],Comp1[[#This Row],[Comparable '#1 Dates]]))=2,"Pass","Fail")</f>
        <v>Pass</v>
      </c>
      <c r="I376" s="1">
        <f>IFERROR(Comp1[[#This Row],[Comparable '#1 Return]]-INDEX(Benchmark1[Benchmark '#1 Return],MATCH(Comp1[[#This Row],[Comparable '#1 Dates]],Benchmark1[Benchmark '#1 Dates],0)),"-")</f>
        <v>-2.3033159861728623E-2</v>
      </c>
      <c r="L376" s="72">
        <f>Comp1[[#This Row],[Comparable '#1 Price]]/$B$2*100</f>
        <v>118.17248459958934</v>
      </c>
    </row>
    <row r="377" spans="1:12">
      <c r="A377" s="103">
        <v>43830</v>
      </c>
      <c r="B377" s="104">
        <v>17.61</v>
      </c>
      <c r="C377" s="4">
        <f t="shared" si="10"/>
        <v>1.9785591666159116E-2</v>
      </c>
      <c r="D377" s="1">
        <f>IFERROR(Comp1[[#This Row],[Comparable '#1 Return]]+1,"-")</f>
        <v>1.0197855916661591</v>
      </c>
      <c r="E377" s="6">
        <f>B377-MAX($B$2:B377)</f>
        <v>-0.80000000000000071</v>
      </c>
      <c r="F377" s="80">
        <f t="shared" si="11"/>
        <v>85</v>
      </c>
      <c r="G377" s="22" cm="1">
        <f t="array" ref="G377">Comp1[[#This Row],[Comparable '#1 Drawdown]]/MAX($B$2:B377)</f>
        <v>-4.3454644215100528E-2</v>
      </c>
      <c r="H377" s="1" t="str">
        <f>IF(SUM(COUNTIF(Benchmark1[Benchmark '#1 Dates],Comp1[[#This Row],[Comparable '#1 Dates]]),COUNTIF(Benchmark2[Benchmark '#2 Dates],Comp1[[#This Row],[Comparable '#1 Dates]]))=2,"Pass","Fail")</f>
        <v>Pass</v>
      </c>
      <c r="I377" s="1">
        <f>IFERROR(Comp1[[#This Row],[Comparable '#1 Return]]-INDEX(Benchmark1[Benchmark '#1 Return],MATCH(Comp1[[#This Row],[Comparable '#1 Dates]],Benchmark1[Benchmark '#1 Dates],0)),"-")</f>
        <v>1.6843855704715215E-2</v>
      </c>
      <c r="L377" s="72">
        <f>Comp1[[#This Row],[Comparable '#1 Price]]/$B$2*100</f>
        <v>120.53388090349075</v>
      </c>
    </row>
    <row r="378" spans="1:12">
      <c r="A378" s="103">
        <v>43832</v>
      </c>
      <c r="B378" s="104">
        <v>17.829999999999998</v>
      </c>
      <c r="C378" s="4">
        <f t="shared" si="10"/>
        <v>1.2415509366934278E-2</v>
      </c>
      <c r="D378" s="1">
        <f>IFERROR(Comp1[[#This Row],[Comparable '#1 Return]]+1,"-")</f>
        <v>1.0124155093669343</v>
      </c>
      <c r="E378" s="6">
        <f>B378-MAX($B$2:B378)</f>
        <v>-0.58000000000000185</v>
      </c>
      <c r="F378" s="80">
        <f t="shared" si="11"/>
        <v>86</v>
      </c>
      <c r="G378" s="22" cm="1">
        <f t="array" ref="G378">Comp1[[#This Row],[Comparable '#1 Drawdown]]/MAX($B$2:B378)</f>
        <v>-3.1504617055947953E-2</v>
      </c>
      <c r="H378" s="1" t="str">
        <f>IF(SUM(COUNTIF(Benchmark1[Benchmark '#1 Dates],Comp1[[#This Row],[Comparable '#1 Dates]]),COUNTIF(Benchmark2[Benchmark '#2 Dates],Comp1[[#This Row],[Comparable '#1 Dates]]))=2,"Pass","Fail")</f>
        <v>Pass</v>
      </c>
      <c r="I378" s="1">
        <f>IFERROR(Comp1[[#This Row],[Comparable '#1 Return]]-INDEX(Benchmark1[Benchmark '#1 Return],MATCH(Comp1[[#This Row],[Comparable '#1 Dates]],Benchmark1[Benchmark '#1 Dates],0)),"-")</f>
        <v>4.0729179112659226E-3</v>
      </c>
      <c r="L378" s="72">
        <f>Comp1[[#This Row],[Comparable '#1 Price]]/$B$2*100</f>
        <v>122.03969883641341</v>
      </c>
    </row>
    <row r="379" spans="1:12">
      <c r="A379" s="103">
        <v>43833</v>
      </c>
      <c r="B379" s="104">
        <v>17.914999999999999</v>
      </c>
      <c r="C379" s="4">
        <f t="shared" si="10"/>
        <v>4.7559188818680652E-3</v>
      </c>
      <c r="D379" s="1">
        <f>IFERROR(Comp1[[#This Row],[Comparable '#1 Return]]+1,"-")</f>
        <v>1.004755918881868</v>
      </c>
      <c r="E379" s="6">
        <f>B379-MAX($B$2:B379)</f>
        <v>-0.49500000000000099</v>
      </c>
      <c r="F379" s="80">
        <f t="shared" si="11"/>
        <v>87</v>
      </c>
      <c r="G379" s="22" cm="1">
        <f t="array" ref="G379">Comp1[[#This Row],[Comparable '#1 Drawdown]]/MAX($B$2:B379)</f>
        <v>-2.6887561108093483E-2</v>
      </c>
      <c r="H379" s="1" t="str">
        <f>IF(SUM(COUNTIF(Benchmark1[Benchmark '#1 Dates],Comp1[[#This Row],[Comparable '#1 Dates]]),COUNTIF(Benchmark2[Benchmark '#2 Dates],Comp1[[#This Row],[Comparable '#1 Dates]]))=2,"Pass","Fail")</f>
        <v>Pass</v>
      </c>
      <c r="I379" s="1">
        <f>IFERROR(Comp1[[#This Row],[Comparable '#1 Return]]-INDEX(Benchmark1[Benchmark '#1 Return],MATCH(Comp1[[#This Row],[Comparable '#1 Dates]],Benchmark1[Benchmark '#1 Dates],0)),"-")</f>
        <v>1.184059320926872E-2</v>
      </c>
      <c r="L379" s="72">
        <f>Comp1[[#This Row],[Comparable '#1 Price]]/$B$2*100</f>
        <v>122.62149212867899</v>
      </c>
    </row>
    <row r="380" spans="1:12">
      <c r="A380" s="103">
        <v>43836</v>
      </c>
      <c r="B380" s="104">
        <v>18.07</v>
      </c>
      <c r="C380" s="4">
        <f t="shared" si="10"/>
        <v>8.6147538472201579E-3</v>
      </c>
      <c r="D380" s="1">
        <f>IFERROR(Comp1[[#This Row],[Comparable '#1 Return]]+1,"-")</f>
        <v>1.0086147538472201</v>
      </c>
      <c r="E380" s="6">
        <f>B380-MAX($B$2:B380)</f>
        <v>-0.33999999999999986</v>
      </c>
      <c r="F380" s="80">
        <f t="shared" si="11"/>
        <v>88</v>
      </c>
      <c r="G380" s="22" cm="1">
        <f t="array" ref="G380">Comp1[[#This Row],[Comparable '#1 Drawdown]]/MAX($B$2:B380)</f>
        <v>-1.8468223791417701E-2</v>
      </c>
      <c r="H380" s="1" t="str">
        <f>IF(SUM(COUNTIF(Benchmark1[Benchmark '#1 Dates],Comp1[[#This Row],[Comparable '#1 Dates]]),COUNTIF(Benchmark2[Benchmark '#2 Dates],Comp1[[#This Row],[Comparable '#1 Dates]]))=2,"Pass","Fail")</f>
        <v>Pass</v>
      </c>
      <c r="I380" s="1">
        <f>IFERROR(Comp1[[#This Row],[Comparable '#1 Return]]-INDEX(Benchmark1[Benchmark '#1 Return],MATCH(Comp1[[#This Row],[Comparable '#1 Dates]],Benchmark1[Benchmark '#1 Dates],0)),"-")</f>
        <v>5.0863557662761934E-3</v>
      </c>
      <c r="L380" s="72">
        <f>Comp1[[#This Row],[Comparable '#1 Price]]/$B$2*100</f>
        <v>123.68240930869267</v>
      </c>
    </row>
    <row r="381" spans="1:12">
      <c r="A381" s="103">
        <v>43837</v>
      </c>
      <c r="B381" s="104">
        <v>18.170000000000002</v>
      </c>
      <c r="C381" s="4">
        <f t="shared" si="10"/>
        <v>5.5187778039428106E-3</v>
      </c>
      <c r="D381" s="1">
        <f>IFERROR(Comp1[[#This Row],[Comparable '#1 Return]]+1,"-")</f>
        <v>1.0055187778039427</v>
      </c>
      <c r="E381" s="6">
        <f>B381-MAX($B$2:B381)</f>
        <v>-0.23999999999999844</v>
      </c>
      <c r="F381" s="80">
        <f t="shared" si="11"/>
        <v>89</v>
      </c>
      <c r="G381" s="22" cm="1">
        <f t="array" ref="G381">Comp1[[#This Row],[Comparable '#1 Drawdown]]/MAX($B$2:B381)</f>
        <v>-1.3036393264530061E-2</v>
      </c>
      <c r="H381" s="1" t="str">
        <f>IF(SUM(COUNTIF(Benchmark1[Benchmark '#1 Dates],Comp1[[#This Row],[Comparable '#1 Dates]]),COUNTIF(Benchmark2[Benchmark '#2 Dates],Comp1[[#This Row],[Comparable '#1 Dates]]))=2,"Pass","Fail")</f>
        <v>Pass</v>
      </c>
      <c r="I381" s="1">
        <f>IFERROR(Comp1[[#This Row],[Comparable '#1 Return]]-INDEX(Benchmark1[Benchmark '#1 Return],MATCH(Comp1[[#This Row],[Comparable '#1 Dates]],Benchmark1[Benchmark '#1 Dates],0)),"-")</f>
        <v>8.3259528788233901E-3</v>
      </c>
      <c r="L381" s="72">
        <f>Comp1[[#This Row],[Comparable '#1 Price]]/$B$2*100</f>
        <v>124.36687200547571</v>
      </c>
    </row>
    <row r="382" spans="1:12">
      <c r="A382" s="103">
        <v>43838</v>
      </c>
      <c r="B382" s="104">
        <v>18.3</v>
      </c>
      <c r="C382" s="4">
        <f t="shared" si="10"/>
        <v>7.129177439295295E-3</v>
      </c>
      <c r="D382" s="1">
        <f>IFERROR(Comp1[[#This Row],[Comparable '#1 Return]]+1,"-")</f>
        <v>1.0071291774392952</v>
      </c>
      <c r="E382" s="6">
        <f>B382-MAX($B$2:B382)</f>
        <v>-0.10999999999999943</v>
      </c>
      <c r="F382" s="80">
        <f t="shared" si="11"/>
        <v>90</v>
      </c>
      <c r="G382" s="22" cm="1">
        <f t="array" ref="G382">Comp1[[#This Row],[Comparable '#1 Drawdown]]/MAX($B$2:B382)</f>
        <v>-5.9750135795762866E-3</v>
      </c>
      <c r="H382" s="1" t="str">
        <f>IF(SUM(COUNTIF(Benchmark1[Benchmark '#1 Dates],Comp1[[#This Row],[Comparable '#1 Dates]]),COUNTIF(Benchmark2[Benchmark '#2 Dates],Comp1[[#This Row],[Comparable '#1 Dates]]))=2,"Pass","Fail")</f>
        <v>Pass</v>
      </c>
      <c r="I382" s="1">
        <f>IFERROR(Comp1[[#This Row],[Comparable '#1 Return]]-INDEX(Benchmark1[Benchmark '#1 Return],MATCH(Comp1[[#This Row],[Comparable '#1 Dates]],Benchmark1[Benchmark '#1 Dates],0)),"-")</f>
        <v>2.2407444859521997E-3</v>
      </c>
      <c r="L382" s="72">
        <f>Comp1[[#This Row],[Comparable '#1 Price]]/$B$2*100</f>
        <v>125.25667351129364</v>
      </c>
    </row>
    <row r="383" spans="1:12">
      <c r="A383" s="103">
        <v>43839</v>
      </c>
      <c r="B383" s="104">
        <v>18.149999999999999</v>
      </c>
      <c r="C383" s="4">
        <f t="shared" si="10"/>
        <v>-8.230499136515591E-3</v>
      </c>
      <c r="D383" s="1">
        <f>IFERROR(Comp1[[#This Row],[Comparable '#1 Return]]+1,"-")</f>
        <v>0.99176950086348437</v>
      </c>
      <c r="E383" s="6">
        <f>B383-MAX($B$2:B383)</f>
        <v>-0.26000000000000156</v>
      </c>
      <c r="F383" s="80">
        <f t="shared" si="11"/>
        <v>91</v>
      </c>
      <c r="G383" s="22" cm="1">
        <f t="array" ref="G383">Comp1[[#This Row],[Comparable '#1 Drawdown]]/MAX($B$2:B383)</f>
        <v>-1.4122759369907744E-2</v>
      </c>
      <c r="H383" s="1" t="str">
        <f>IF(SUM(COUNTIF(Benchmark1[Benchmark '#1 Dates],Comp1[[#This Row],[Comparable '#1 Dates]]),COUNTIF(Benchmark2[Benchmark '#2 Dates],Comp1[[#This Row],[Comparable '#1 Dates]]))=2,"Pass","Fail")</f>
        <v>Pass</v>
      </c>
      <c r="I383" s="1">
        <f>IFERROR(Comp1[[#This Row],[Comparable '#1 Return]]-INDEX(Benchmark1[Benchmark '#1 Return],MATCH(Comp1[[#This Row],[Comparable '#1 Dates]],Benchmark1[Benchmark '#1 Dates],0)),"-")</f>
        <v>-1.4866270694352746E-2</v>
      </c>
      <c r="L383" s="72">
        <f>Comp1[[#This Row],[Comparable '#1 Price]]/$B$2*100</f>
        <v>124.22997946611909</v>
      </c>
    </row>
    <row r="384" spans="1:12">
      <c r="A384" s="103">
        <v>43840</v>
      </c>
      <c r="B384" s="104">
        <v>17.809999999999999</v>
      </c>
      <c r="C384" s="4">
        <f t="shared" si="10"/>
        <v>-1.8910463409289494E-2</v>
      </c>
      <c r="D384" s="1">
        <f>IFERROR(Comp1[[#This Row],[Comparable '#1 Return]]+1,"-")</f>
        <v>0.98108953659071052</v>
      </c>
      <c r="E384" s="6">
        <f>B384-MAX($B$2:B384)</f>
        <v>-0.60000000000000142</v>
      </c>
      <c r="F384" s="80">
        <f t="shared" si="11"/>
        <v>92</v>
      </c>
      <c r="G384" s="22" cm="1">
        <f t="array" ref="G384">Comp1[[#This Row],[Comparable '#1 Drawdown]]/MAX($B$2:B384)</f>
        <v>-3.2590983161325443E-2</v>
      </c>
      <c r="H384" s="1" t="str">
        <f>IF(SUM(COUNTIF(Benchmark1[Benchmark '#1 Dates],Comp1[[#This Row],[Comparable '#1 Dates]]),COUNTIF(Benchmark2[Benchmark '#2 Dates],Comp1[[#This Row],[Comparable '#1 Dates]]))=2,"Pass","Fail")</f>
        <v>Pass</v>
      </c>
      <c r="I384" s="1">
        <f>IFERROR(Comp1[[#This Row],[Comparable '#1 Return]]-INDEX(Benchmark1[Benchmark '#1 Return],MATCH(Comp1[[#This Row],[Comparable '#1 Dates]],Benchmark1[Benchmark '#1 Dates],0)),"-")</f>
        <v>-1.6050223242382776E-2</v>
      </c>
      <c r="L384" s="72">
        <f>Comp1[[#This Row],[Comparable '#1 Price]]/$B$2*100</f>
        <v>121.90280629705681</v>
      </c>
    </row>
    <row r="385" spans="1:12">
      <c r="A385" s="103">
        <v>43843</v>
      </c>
      <c r="B385" s="104">
        <v>17.940000000000001</v>
      </c>
      <c r="C385" s="4">
        <f t="shared" si="10"/>
        <v>7.2727593290798781E-3</v>
      </c>
      <c r="D385" s="1">
        <f>IFERROR(Comp1[[#This Row],[Comparable '#1 Return]]+1,"-")</f>
        <v>1.0072727593290798</v>
      </c>
      <c r="E385" s="6">
        <f>B385-MAX($B$2:B385)</f>
        <v>-0.46999999999999886</v>
      </c>
      <c r="F385" s="80">
        <f t="shared" si="11"/>
        <v>93</v>
      </c>
      <c r="G385" s="22" cm="1">
        <f t="array" ref="G385">Comp1[[#This Row],[Comparable '#1 Drawdown]]/MAX($B$2:B385)</f>
        <v>-2.5529603476371475E-2</v>
      </c>
      <c r="H385" s="1" t="str">
        <f>IF(SUM(COUNTIF(Benchmark1[Benchmark '#1 Dates],Comp1[[#This Row],[Comparable '#1 Dates]]),COUNTIF(Benchmark2[Benchmark '#2 Dates],Comp1[[#This Row],[Comparable '#1 Dates]]))=2,"Pass","Fail")</f>
        <v>Pass</v>
      </c>
      <c r="I385" s="1">
        <f>IFERROR(Comp1[[#This Row],[Comparable '#1 Return]]-INDEX(Benchmark1[Benchmark '#1 Return],MATCH(Comp1[[#This Row],[Comparable '#1 Dates]],Benchmark1[Benchmark '#1 Dates],0)),"-")</f>
        <v>3.1997088548994627E-4</v>
      </c>
      <c r="L385" s="72">
        <f>Comp1[[#This Row],[Comparable '#1 Price]]/$B$2*100</f>
        <v>122.79260780287476</v>
      </c>
    </row>
    <row r="386" spans="1:12">
      <c r="A386" s="103">
        <v>43844</v>
      </c>
      <c r="B386" s="104">
        <v>17.96</v>
      </c>
      <c r="C386" s="4">
        <f t="shared" ref="C386:C449" si="12">IFERROR(IF(B386="","-",LN(B386/B385)),"-")</f>
        <v>1.1142062434035577E-3</v>
      </c>
      <c r="D386" s="1">
        <f>IFERROR(Comp1[[#This Row],[Comparable '#1 Return]]+1,"-")</f>
        <v>1.0011142062434035</v>
      </c>
      <c r="E386" s="6">
        <f>B386-MAX($B$2:B386)</f>
        <v>-0.44999999999999929</v>
      </c>
      <c r="F386" s="80">
        <f t="shared" ref="F386:F449" si="13">IF(E386=0,0,F385+1)</f>
        <v>94</v>
      </c>
      <c r="G386" s="22" cm="1">
        <f t="array" ref="G386">Comp1[[#This Row],[Comparable '#1 Drawdown]]/MAX($B$2:B386)</f>
        <v>-2.4443237370993985E-2</v>
      </c>
      <c r="H386" s="1" t="str">
        <f>IF(SUM(COUNTIF(Benchmark1[Benchmark '#1 Dates],Comp1[[#This Row],[Comparable '#1 Dates]]),COUNTIF(Benchmark2[Benchmark '#2 Dates],Comp1[[#This Row],[Comparable '#1 Dates]]))=2,"Pass","Fail")</f>
        <v>Pass</v>
      </c>
      <c r="I386" s="1">
        <f>IFERROR(Comp1[[#This Row],[Comparable '#1 Return]]-INDEX(Benchmark1[Benchmark '#1 Return],MATCH(Comp1[[#This Row],[Comparable '#1 Dates]],Benchmark1[Benchmark '#1 Dates],0)),"-")</f>
        <v>2.6302237739182178E-3</v>
      </c>
      <c r="L386" s="72">
        <f>Comp1[[#This Row],[Comparable '#1 Price]]/$B$2*100</f>
        <v>122.92950034223136</v>
      </c>
    </row>
    <row r="387" spans="1:12">
      <c r="A387" s="103">
        <v>43845</v>
      </c>
      <c r="B387" s="104">
        <v>17.899999999999999</v>
      </c>
      <c r="C387" s="4">
        <f t="shared" si="12"/>
        <v>-3.3463500273443951E-3</v>
      </c>
      <c r="D387" s="1">
        <f>IFERROR(Comp1[[#This Row],[Comparable '#1 Return]]+1,"-")</f>
        <v>0.9966536499726556</v>
      </c>
      <c r="E387" s="6">
        <f>B387-MAX($B$2:B387)</f>
        <v>-0.51000000000000156</v>
      </c>
      <c r="F387" s="80">
        <f t="shared" si="13"/>
        <v>95</v>
      </c>
      <c r="G387" s="22" cm="1">
        <f t="array" ref="G387">Comp1[[#This Row],[Comparable '#1 Drawdown]]/MAX($B$2:B387)</f>
        <v>-2.7702335687126645E-2</v>
      </c>
      <c r="H387" s="1" t="str">
        <f>IF(SUM(COUNTIF(Benchmark1[Benchmark '#1 Dates],Comp1[[#This Row],[Comparable '#1 Dates]]),COUNTIF(Benchmark2[Benchmark '#2 Dates],Comp1[[#This Row],[Comparable '#1 Dates]]))=2,"Pass","Fail")</f>
        <v>Pass</v>
      </c>
      <c r="I387" s="1">
        <f>IFERROR(Comp1[[#This Row],[Comparable '#1 Return]]-INDEX(Benchmark1[Benchmark '#1 Return],MATCH(Comp1[[#This Row],[Comparable '#1 Dates]],Benchmark1[Benchmark '#1 Dates],0)),"-")</f>
        <v>-5.2147995470372566E-3</v>
      </c>
      <c r="L387" s="72">
        <f>Comp1[[#This Row],[Comparable '#1 Price]]/$B$2*100</f>
        <v>122.51882272416152</v>
      </c>
    </row>
    <row r="388" spans="1:12">
      <c r="A388" s="103">
        <v>43846</v>
      </c>
      <c r="B388" s="104">
        <v>18.149999999999999</v>
      </c>
      <c r="C388" s="4">
        <f t="shared" si="12"/>
        <v>1.3869847864150377E-2</v>
      </c>
      <c r="D388" s="1">
        <f>IFERROR(Comp1[[#This Row],[Comparable '#1 Return]]+1,"-")</f>
        <v>1.0138698478641504</v>
      </c>
      <c r="E388" s="6">
        <f>B388-MAX($B$2:B388)</f>
        <v>-0.26000000000000156</v>
      </c>
      <c r="F388" s="80">
        <f t="shared" si="13"/>
        <v>96</v>
      </c>
      <c r="G388" s="22" cm="1">
        <f t="array" ref="G388">Comp1[[#This Row],[Comparable '#1 Drawdown]]/MAX($B$2:B388)</f>
        <v>-1.4122759369907744E-2</v>
      </c>
      <c r="H388" s="1" t="str">
        <f>IF(SUM(COUNTIF(Benchmark1[Benchmark '#1 Dates],Comp1[[#This Row],[Comparable '#1 Dates]]),COUNTIF(Benchmark2[Benchmark '#2 Dates],Comp1[[#This Row],[Comparable '#1 Dates]]))=2,"Pass","Fail")</f>
        <v>Pass</v>
      </c>
      <c r="I388" s="1">
        <f>IFERROR(Comp1[[#This Row],[Comparable '#1 Return]]-INDEX(Benchmark1[Benchmark '#1 Return],MATCH(Comp1[[#This Row],[Comparable '#1 Dates]],Benchmark1[Benchmark '#1 Dates],0)),"-")</f>
        <v>5.5401315447123258E-3</v>
      </c>
      <c r="L388" s="72">
        <f>Comp1[[#This Row],[Comparable '#1 Price]]/$B$2*100</f>
        <v>124.22997946611909</v>
      </c>
    </row>
    <row r="389" spans="1:12">
      <c r="A389" s="103">
        <v>43847</v>
      </c>
      <c r="B389" s="104">
        <v>18.2</v>
      </c>
      <c r="C389" s="4">
        <f t="shared" si="12"/>
        <v>2.7510333718900187E-3</v>
      </c>
      <c r="D389" s="1">
        <f>IFERROR(Comp1[[#This Row],[Comparable '#1 Return]]+1,"-")</f>
        <v>1.0027510333718901</v>
      </c>
      <c r="E389" s="6">
        <f>B389-MAX($B$2:B389)</f>
        <v>-0.21000000000000085</v>
      </c>
      <c r="F389" s="80">
        <f t="shared" si="13"/>
        <v>97</v>
      </c>
      <c r="G389" s="22" cm="1">
        <f t="array" ref="G389">Comp1[[#This Row],[Comparable '#1 Drawdown]]/MAX($B$2:B389)</f>
        <v>-1.1406844106463924E-2</v>
      </c>
      <c r="H389" s="1" t="str">
        <f>IF(SUM(COUNTIF(Benchmark1[Benchmark '#1 Dates],Comp1[[#This Row],[Comparable '#1 Dates]]),COUNTIF(Benchmark2[Benchmark '#2 Dates],Comp1[[#This Row],[Comparable '#1 Dates]]))=2,"Pass","Fail")</f>
        <v>Pass</v>
      </c>
      <c r="I389" s="1">
        <f>IFERROR(Comp1[[#This Row],[Comparable '#1 Return]]-INDEX(Benchmark1[Benchmark '#1 Return],MATCH(Comp1[[#This Row],[Comparable '#1 Dates]],Benchmark1[Benchmark '#1 Dates],0)),"-")</f>
        <v>-1.1057093668814812E-3</v>
      </c>
      <c r="L389" s="72">
        <f>Comp1[[#This Row],[Comparable '#1 Price]]/$B$2*100</f>
        <v>124.57221081451063</v>
      </c>
    </row>
    <row r="390" spans="1:12">
      <c r="A390" s="103">
        <v>43851</v>
      </c>
      <c r="B390" s="104">
        <v>18</v>
      </c>
      <c r="C390" s="4">
        <f t="shared" si="12"/>
        <v>-1.1049836186584935E-2</v>
      </c>
      <c r="D390" s="1">
        <f>IFERROR(Comp1[[#This Row],[Comparable '#1 Return]]+1,"-")</f>
        <v>0.98895016381341505</v>
      </c>
      <c r="E390" s="6">
        <f>B390-MAX($B$2:B390)</f>
        <v>-0.41000000000000014</v>
      </c>
      <c r="F390" s="80">
        <f t="shared" si="13"/>
        <v>98</v>
      </c>
      <c r="G390" s="22" cm="1">
        <f t="array" ref="G390">Comp1[[#This Row],[Comparable '#1 Drawdown]]/MAX($B$2:B390)</f>
        <v>-2.2270505160239009E-2</v>
      </c>
      <c r="H390" s="1" t="str">
        <f>IF(SUM(COUNTIF(Benchmark1[Benchmark '#1 Dates],Comp1[[#This Row],[Comparable '#1 Dates]]),COUNTIF(Benchmark2[Benchmark '#2 Dates],Comp1[[#This Row],[Comparable '#1 Dates]]))=2,"Pass","Fail")</f>
        <v>Pass</v>
      </c>
      <c r="I390" s="1">
        <f>IFERROR(Comp1[[#This Row],[Comparable '#1 Return]]-INDEX(Benchmark1[Benchmark '#1 Return],MATCH(Comp1[[#This Row],[Comparable '#1 Dates]],Benchmark1[Benchmark '#1 Dates],0)),"-")</f>
        <v>-8.3938162784269778E-3</v>
      </c>
      <c r="L390" s="72">
        <f>Comp1[[#This Row],[Comparable '#1 Price]]/$B$2*100</f>
        <v>123.20328542094457</v>
      </c>
    </row>
    <row r="391" spans="1:12">
      <c r="A391" s="103">
        <v>43852</v>
      </c>
      <c r="B391" s="104">
        <v>17.8</v>
      </c>
      <c r="C391" s="4">
        <f t="shared" si="12"/>
        <v>-1.1173300598125189E-2</v>
      </c>
      <c r="D391" s="1">
        <f>IFERROR(Comp1[[#This Row],[Comparable '#1 Return]]+1,"-")</f>
        <v>0.98882669940187484</v>
      </c>
      <c r="E391" s="6">
        <f>B391-MAX($B$2:B391)</f>
        <v>-0.60999999999999943</v>
      </c>
      <c r="F391" s="80">
        <f t="shared" si="13"/>
        <v>99</v>
      </c>
      <c r="G391" s="22" cm="1">
        <f t="array" ref="G391">Comp1[[#This Row],[Comparable '#1 Drawdown]]/MAX($B$2:B391)</f>
        <v>-3.3134166214014091E-2</v>
      </c>
      <c r="H391" s="1" t="str">
        <f>IF(SUM(COUNTIF(Benchmark1[Benchmark '#1 Dates],Comp1[[#This Row],[Comparable '#1 Dates]]),COUNTIF(Benchmark2[Benchmark '#2 Dates],Comp1[[#This Row],[Comparable '#1 Dates]]))=2,"Pass","Fail")</f>
        <v>Pass</v>
      </c>
      <c r="I391" s="1">
        <f>IFERROR(Comp1[[#This Row],[Comparable '#1 Return]]-INDEX(Benchmark1[Benchmark '#1 Return],MATCH(Comp1[[#This Row],[Comparable '#1 Dates]],Benchmark1[Benchmark '#1 Dates],0)),"-")</f>
        <v>-1.1461143968274697E-2</v>
      </c>
      <c r="L391" s="72">
        <f>Comp1[[#This Row],[Comparable '#1 Price]]/$B$2*100</f>
        <v>121.83436002737851</v>
      </c>
    </row>
    <row r="392" spans="1:12">
      <c r="A392" s="103">
        <v>43853</v>
      </c>
      <c r="B392" s="104">
        <v>17.734999999999999</v>
      </c>
      <c r="C392" s="4">
        <f t="shared" si="12"/>
        <v>-3.6583690724544364E-3</v>
      </c>
      <c r="D392" s="1">
        <f>IFERROR(Comp1[[#This Row],[Comparable '#1 Return]]+1,"-")</f>
        <v>0.99634163092754557</v>
      </c>
      <c r="E392" s="6">
        <f>B392-MAX($B$2:B392)</f>
        <v>-0.67500000000000071</v>
      </c>
      <c r="F392" s="80">
        <f t="shared" si="13"/>
        <v>100</v>
      </c>
      <c r="G392" s="22" cm="1">
        <f t="array" ref="G392">Comp1[[#This Row],[Comparable '#1 Drawdown]]/MAX($B$2:B392)</f>
        <v>-3.6664856056491078E-2</v>
      </c>
      <c r="H392" s="1" t="str">
        <f>IF(SUM(COUNTIF(Benchmark1[Benchmark '#1 Dates],Comp1[[#This Row],[Comparable '#1 Dates]]),COUNTIF(Benchmark2[Benchmark '#2 Dates],Comp1[[#This Row],[Comparable '#1 Dates]]))=2,"Pass","Fail")</f>
        <v>Pass</v>
      </c>
      <c r="I392" s="1">
        <f>IFERROR(Comp1[[#This Row],[Comparable '#1 Return]]-INDEX(Benchmark1[Benchmark '#1 Return],MATCH(Comp1[[#This Row],[Comparable '#1 Dates]],Benchmark1[Benchmark '#1 Dates],0)),"-")</f>
        <v>-4.8004694970898588E-3</v>
      </c>
      <c r="L392" s="72">
        <f>Comp1[[#This Row],[Comparable '#1 Price]]/$B$2*100</f>
        <v>121.38945927446953</v>
      </c>
    </row>
    <row r="393" spans="1:12">
      <c r="A393" s="103">
        <v>43854</v>
      </c>
      <c r="B393" s="104">
        <v>17.649999999999999</v>
      </c>
      <c r="C393" s="4">
        <f t="shared" si="12"/>
        <v>-4.8043048462794724E-3</v>
      </c>
      <c r="D393" s="1">
        <f>IFERROR(Comp1[[#This Row],[Comparable '#1 Return]]+1,"-")</f>
        <v>0.99519569515372053</v>
      </c>
      <c r="E393" s="6">
        <f>B393-MAX($B$2:B393)</f>
        <v>-0.76000000000000156</v>
      </c>
      <c r="F393" s="80">
        <f t="shared" si="13"/>
        <v>101</v>
      </c>
      <c r="G393" s="22" cm="1">
        <f t="array" ref="G393">Comp1[[#This Row],[Comparable '#1 Drawdown]]/MAX($B$2:B393)</f>
        <v>-4.1281912004345549E-2</v>
      </c>
      <c r="H393" s="1" t="str">
        <f>IF(SUM(COUNTIF(Benchmark1[Benchmark '#1 Dates],Comp1[[#This Row],[Comparable '#1 Dates]]),COUNTIF(Benchmark2[Benchmark '#2 Dates],Comp1[[#This Row],[Comparable '#1 Dates]]))=2,"Pass","Fail")</f>
        <v>Pass</v>
      </c>
      <c r="I393" s="1">
        <f>IFERROR(Comp1[[#This Row],[Comparable '#1 Return]]-INDEX(Benchmark1[Benchmark '#1 Return],MATCH(Comp1[[#This Row],[Comparable '#1 Dates]],Benchmark1[Benchmark '#1 Dates],0)),"-")</f>
        <v>4.2787559274624857E-3</v>
      </c>
      <c r="L393" s="72">
        <f>Comp1[[#This Row],[Comparable '#1 Price]]/$B$2*100</f>
        <v>120.80766598220396</v>
      </c>
    </row>
    <row r="394" spans="1:12">
      <c r="A394" s="103">
        <v>43857</v>
      </c>
      <c r="B394" s="104">
        <v>17.7</v>
      </c>
      <c r="C394" s="4">
        <f t="shared" si="12"/>
        <v>2.828856200477623E-3</v>
      </c>
      <c r="D394" s="1">
        <f>IFERROR(Comp1[[#This Row],[Comparable '#1 Return]]+1,"-")</f>
        <v>1.0028288562004777</v>
      </c>
      <c r="E394" s="6">
        <f>B394-MAX($B$2:B394)</f>
        <v>-0.71000000000000085</v>
      </c>
      <c r="F394" s="80">
        <f t="shared" si="13"/>
        <v>102</v>
      </c>
      <c r="G394" s="22" cm="1">
        <f t="array" ref="G394">Comp1[[#This Row],[Comparable '#1 Drawdown]]/MAX($B$2:B394)</f>
        <v>-3.8565996740901727E-2</v>
      </c>
      <c r="H394" s="1" t="str">
        <f>IF(SUM(COUNTIF(Benchmark1[Benchmark '#1 Dates],Comp1[[#This Row],[Comparable '#1 Dates]]),COUNTIF(Benchmark2[Benchmark '#2 Dates],Comp1[[#This Row],[Comparable '#1 Dates]]))=2,"Pass","Fail")</f>
        <v>Pass</v>
      </c>
      <c r="I394" s="1">
        <f>IFERROR(Comp1[[#This Row],[Comparable '#1 Return]]-INDEX(Benchmark1[Benchmark '#1 Return],MATCH(Comp1[[#This Row],[Comparable '#1 Dates]],Benchmark1[Benchmark '#1 Dates],0)),"-")</f>
        <v>1.868618175451657E-2</v>
      </c>
      <c r="L394" s="72">
        <f>Comp1[[#This Row],[Comparable '#1 Price]]/$B$2*100</f>
        <v>121.14989733059549</v>
      </c>
    </row>
    <row r="395" spans="1:12">
      <c r="A395" s="103">
        <v>43858</v>
      </c>
      <c r="B395" s="104">
        <v>20.48</v>
      </c>
      <c r="C395" s="4">
        <f t="shared" si="12"/>
        <v>0.14588416059152362</v>
      </c>
      <c r="D395" s="1">
        <f>IFERROR(Comp1[[#This Row],[Comparable '#1 Return]]+1,"-")</f>
        <v>1.1458841605915235</v>
      </c>
      <c r="E395" s="6">
        <f>B395-MAX($B$2:B395)</f>
        <v>0</v>
      </c>
      <c r="F395" s="80">
        <f t="shared" si="13"/>
        <v>0</v>
      </c>
      <c r="G395" s="22" cm="1">
        <f t="array" ref="G395">Comp1[[#This Row],[Comparable '#1 Drawdown]]/MAX($B$2:B395)</f>
        <v>0</v>
      </c>
      <c r="H395" s="1" t="str">
        <f>IF(SUM(COUNTIF(Benchmark1[Benchmark '#1 Dates],Comp1[[#This Row],[Comparable '#1 Dates]]),COUNTIF(Benchmark2[Benchmark '#2 Dates],Comp1[[#This Row],[Comparable '#1 Dates]]))=2,"Pass","Fail")</f>
        <v>Pass</v>
      </c>
      <c r="I395" s="1">
        <f>IFERROR(Comp1[[#This Row],[Comparable '#1 Return]]-INDEX(Benchmark1[Benchmark '#1 Return],MATCH(Comp1[[#This Row],[Comparable '#1 Dates]],Benchmark1[Benchmark '#1 Dates],0)),"-")</f>
        <v>0.13587920655678012</v>
      </c>
      <c r="L395" s="72">
        <f>Comp1[[#This Row],[Comparable '#1 Price]]/$B$2*100</f>
        <v>140.17796030116358</v>
      </c>
    </row>
    <row r="396" spans="1:12">
      <c r="A396" s="103">
        <v>43859</v>
      </c>
      <c r="B396" s="104">
        <v>21.14</v>
      </c>
      <c r="C396" s="4">
        <f t="shared" si="12"/>
        <v>3.1718180270784539E-2</v>
      </c>
      <c r="D396" s="1">
        <f>IFERROR(Comp1[[#This Row],[Comparable '#1 Return]]+1,"-")</f>
        <v>1.0317181802707844</v>
      </c>
      <c r="E396" s="6">
        <f>B396-MAX($B$2:B396)</f>
        <v>0</v>
      </c>
      <c r="F396" s="80">
        <f t="shared" si="13"/>
        <v>0</v>
      </c>
      <c r="G396" s="22" cm="1">
        <f t="array" ref="G396">Comp1[[#This Row],[Comparable '#1 Drawdown]]/MAX($B$2:B396)</f>
        <v>0</v>
      </c>
      <c r="H396" s="1" t="str">
        <f>IF(SUM(COUNTIF(Benchmark1[Benchmark '#1 Dates],Comp1[[#This Row],[Comparable '#1 Dates]]),COUNTIF(Benchmark2[Benchmark '#2 Dates],Comp1[[#This Row],[Comparable '#1 Dates]]))=2,"Pass","Fail")</f>
        <v>Pass</v>
      </c>
      <c r="I396" s="1">
        <f>IFERROR(Comp1[[#This Row],[Comparable '#1 Return]]-INDEX(Benchmark1[Benchmark '#1 Return],MATCH(Comp1[[#This Row],[Comparable '#1 Dates]],Benchmark1[Benchmark '#1 Dates],0)),"-")</f>
        <v>3.2585658382265167E-2</v>
      </c>
      <c r="L396" s="72">
        <f>Comp1[[#This Row],[Comparable '#1 Price]]/$B$2*100</f>
        <v>144.69541409993155</v>
      </c>
    </row>
    <row r="397" spans="1:12">
      <c r="A397" s="103">
        <v>43860</v>
      </c>
      <c r="B397" s="104">
        <v>21.62</v>
      </c>
      <c r="C397" s="4">
        <f t="shared" si="12"/>
        <v>2.2451831768970663E-2</v>
      </c>
      <c r="D397" s="1">
        <f>IFERROR(Comp1[[#This Row],[Comparable '#1 Return]]+1,"-")</f>
        <v>1.0224518317689706</v>
      </c>
      <c r="E397" s="6">
        <f>B397-MAX($B$2:B397)</f>
        <v>0</v>
      </c>
      <c r="F397" s="80">
        <f t="shared" si="13"/>
        <v>0</v>
      </c>
      <c r="G397" s="22" cm="1">
        <f t="array" ref="G397">Comp1[[#This Row],[Comparable '#1 Drawdown]]/MAX($B$2:B397)</f>
        <v>0</v>
      </c>
      <c r="H397" s="1" t="str">
        <f>IF(SUM(COUNTIF(Benchmark1[Benchmark '#1 Dates],Comp1[[#This Row],[Comparable '#1 Dates]]),COUNTIF(Benchmark2[Benchmark '#2 Dates],Comp1[[#This Row],[Comparable '#1 Dates]]))=2,"Pass","Fail")</f>
        <v>Pass</v>
      </c>
      <c r="I397" s="1">
        <f>IFERROR(Comp1[[#This Row],[Comparable '#1 Return]]-INDEX(Benchmark1[Benchmark '#1 Return],MATCH(Comp1[[#This Row],[Comparable '#1 Dates]],Benchmark1[Benchmark '#1 Dates],0)),"-")</f>
        <v>1.9323464309045302E-2</v>
      </c>
      <c r="L397" s="72">
        <f>Comp1[[#This Row],[Comparable '#1 Price]]/$B$2*100</f>
        <v>147.98083504449008</v>
      </c>
    </row>
    <row r="398" spans="1:12">
      <c r="A398" s="103">
        <v>43861</v>
      </c>
      <c r="B398" s="104">
        <v>20.84</v>
      </c>
      <c r="C398" s="4">
        <f t="shared" si="12"/>
        <v>-3.6744595325896079E-2</v>
      </c>
      <c r="D398" s="1">
        <f>IFERROR(Comp1[[#This Row],[Comparable '#1 Return]]+1,"-")</f>
        <v>0.96325540467410398</v>
      </c>
      <c r="E398" s="6">
        <f>B398-MAX($B$2:B398)</f>
        <v>-0.78000000000000114</v>
      </c>
      <c r="F398" s="80">
        <f t="shared" si="13"/>
        <v>1</v>
      </c>
      <c r="G398" s="22" cm="1">
        <f t="array" ref="G398">Comp1[[#This Row],[Comparable '#1 Drawdown]]/MAX($B$2:B398)</f>
        <v>-3.6077705827937144E-2</v>
      </c>
      <c r="H398" s="1" t="str">
        <f>IF(SUM(COUNTIF(Benchmark1[Benchmark '#1 Dates],Comp1[[#This Row],[Comparable '#1 Dates]]),COUNTIF(Benchmark2[Benchmark '#2 Dates],Comp1[[#This Row],[Comparable '#1 Dates]]))=2,"Pass","Fail")</f>
        <v>Pass</v>
      </c>
      <c r="I398" s="1">
        <f>IFERROR(Comp1[[#This Row],[Comparable '#1 Return]]-INDEX(Benchmark1[Benchmark '#1 Return],MATCH(Comp1[[#This Row],[Comparable '#1 Dates]],Benchmark1[Benchmark '#1 Dates],0)),"-")</f>
        <v>-1.8879268229242303E-2</v>
      </c>
      <c r="L398" s="72">
        <f>Comp1[[#This Row],[Comparable '#1 Price]]/$B$2*100</f>
        <v>142.64202600958248</v>
      </c>
    </row>
    <row r="399" spans="1:12">
      <c r="A399" s="103">
        <v>43864</v>
      </c>
      <c r="B399" s="104">
        <v>20.385000000000002</v>
      </c>
      <c r="C399" s="4">
        <f t="shared" si="12"/>
        <v>-2.207488061394941E-2</v>
      </c>
      <c r="D399" s="1">
        <f>IFERROR(Comp1[[#This Row],[Comparable '#1 Return]]+1,"-")</f>
        <v>0.97792511938605053</v>
      </c>
      <c r="E399" s="6">
        <f>B399-MAX($B$2:B399)</f>
        <v>-1.2349999999999994</v>
      </c>
      <c r="F399" s="80">
        <f t="shared" si="13"/>
        <v>2</v>
      </c>
      <c r="G399" s="22" cm="1">
        <f t="array" ref="G399">Comp1[[#This Row],[Comparable '#1 Drawdown]]/MAX($B$2:B399)</f>
        <v>-5.7123034227567038E-2</v>
      </c>
      <c r="H399" s="1" t="str">
        <f>IF(SUM(COUNTIF(Benchmark1[Benchmark '#1 Dates],Comp1[[#This Row],[Comparable '#1 Dates]]),COUNTIF(Benchmark2[Benchmark '#2 Dates],Comp1[[#This Row],[Comparable '#1 Dates]]))=2,"Pass","Fail")</f>
        <v>Pass</v>
      </c>
      <c r="I399" s="1">
        <f>IFERROR(Comp1[[#This Row],[Comparable '#1 Return]]-INDEX(Benchmark1[Benchmark '#1 Return],MATCH(Comp1[[#This Row],[Comparable '#1 Dates]],Benchmark1[Benchmark '#1 Dates],0)),"-")</f>
        <v>-2.9306016634543033E-2</v>
      </c>
      <c r="L399" s="72">
        <f>Comp1[[#This Row],[Comparable '#1 Price]]/$B$2*100</f>
        <v>139.52772073921972</v>
      </c>
    </row>
    <row r="400" spans="1:12">
      <c r="A400" s="103">
        <v>43865</v>
      </c>
      <c r="B400" s="104">
        <v>20.2</v>
      </c>
      <c r="C400" s="4">
        <f t="shared" si="12"/>
        <v>-9.1167318640577085E-3</v>
      </c>
      <c r="D400" s="1">
        <f>IFERROR(Comp1[[#This Row],[Comparable '#1 Return]]+1,"-")</f>
        <v>0.9908832681359423</v>
      </c>
      <c r="E400" s="6">
        <f>B400-MAX($B$2:B400)</f>
        <v>-1.4200000000000017</v>
      </c>
      <c r="F400" s="80">
        <f t="shared" si="13"/>
        <v>3</v>
      </c>
      <c r="G400" s="22" cm="1">
        <f t="array" ref="G400">Comp1[[#This Row],[Comparable '#1 Drawdown]]/MAX($B$2:B400)</f>
        <v>-6.5679925994449662E-2</v>
      </c>
      <c r="H400" s="1" t="str">
        <f>IF(SUM(COUNTIF(Benchmark1[Benchmark '#1 Dates],Comp1[[#This Row],[Comparable '#1 Dates]]),COUNTIF(Benchmark2[Benchmark '#2 Dates],Comp1[[#This Row],[Comparable '#1 Dates]]))=2,"Pass","Fail")</f>
        <v>Pass</v>
      </c>
      <c r="I400" s="1">
        <f>IFERROR(Comp1[[#This Row],[Comparable '#1 Return]]-INDEX(Benchmark1[Benchmark '#1 Return],MATCH(Comp1[[#This Row],[Comparable '#1 Dates]],Benchmark1[Benchmark '#1 Dates],0)),"-")</f>
        <v>-2.3983918009154906E-2</v>
      </c>
      <c r="L400" s="72">
        <f>Comp1[[#This Row],[Comparable '#1 Price]]/$B$2*100</f>
        <v>138.26146475017111</v>
      </c>
    </row>
    <row r="401" spans="1:12">
      <c r="A401" s="103">
        <v>43866</v>
      </c>
      <c r="B401" s="104">
        <v>20.07</v>
      </c>
      <c r="C401" s="4">
        <f t="shared" si="12"/>
        <v>-6.4564415989123089E-3</v>
      </c>
      <c r="D401" s="1">
        <f>IFERROR(Comp1[[#This Row],[Comparable '#1 Return]]+1,"-")</f>
        <v>0.99354355840108766</v>
      </c>
      <c r="E401" s="6">
        <f>B401-MAX($B$2:B401)</f>
        <v>-1.5500000000000007</v>
      </c>
      <c r="F401" s="80">
        <f t="shared" si="13"/>
        <v>4</v>
      </c>
      <c r="G401" s="22" cm="1">
        <f t="array" ref="G401">Comp1[[#This Row],[Comparable '#1 Drawdown]]/MAX($B$2:B401)</f>
        <v>-7.1692876965772465E-2</v>
      </c>
      <c r="H401" s="1" t="str">
        <f>IF(SUM(COUNTIF(Benchmark1[Benchmark '#1 Dates],Comp1[[#This Row],[Comparable '#1 Dates]]),COUNTIF(Benchmark2[Benchmark '#2 Dates],Comp1[[#This Row],[Comparable '#1 Dates]]))=2,"Pass","Fail")</f>
        <v>Pass</v>
      </c>
      <c r="I401" s="1">
        <f>IFERROR(Comp1[[#This Row],[Comparable '#1 Return]]-INDEX(Benchmark1[Benchmark '#1 Return],MATCH(Comp1[[#This Row],[Comparable '#1 Dates]],Benchmark1[Benchmark '#1 Dates],0)),"-")</f>
        <v>-1.7646090968811638E-2</v>
      </c>
      <c r="L401" s="72">
        <f>Comp1[[#This Row],[Comparable '#1 Price]]/$B$2*100</f>
        <v>137.37166324435319</v>
      </c>
    </row>
    <row r="402" spans="1:12">
      <c r="A402" s="103">
        <v>43867</v>
      </c>
      <c r="B402" s="104">
        <v>20.12</v>
      </c>
      <c r="C402" s="4">
        <f t="shared" si="12"/>
        <v>2.4881824232918142E-3</v>
      </c>
      <c r="D402" s="1">
        <f>IFERROR(Comp1[[#This Row],[Comparable '#1 Return]]+1,"-")</f>
        <v>1.0024881824232919</v>
      </c>
      <c r="E402" s="6">
        <f>B402-MAX($B$2:B402)</f>
        <v>-1.5</v>
      </c>
      <c r="F402" s="80">
        <f t="shared" si="13"/>
        <v>5</v>
      </c>
      <c r="G402" s="22" cm="1">
        <f t="array" ref="G402">Comp1[[#This Row],[Comparable '#1 Drawdown]]/MAX($B$2:B402)</f>
        <v>-6.9380203515263639E-2</v>
      </c>
      <c r="H402" s="1" t="str">
        <f>IF(SUM(COUNTIF(Benchmark1[Benchmark '#1 Dates],Comp1[[#This Row],[Comparable '#1 Dates]]),COUNTIF(Benchmark2[Benchmark '#2 Dates],Comp1[[#This Row],[Comparable '#1 Dates]]))=2,"Pass","Fail")</f>
        <v>Pass</v>
      </c>
      <c r="I402" s="1">
        <f>IFERROR(Comp1[[#This Row],[Comparable '#1 Return]]-INDEX(Benchmark1[Benchmark '#1 Return],MATCH(Comp1[[#This Row],[Comparable '#1 Dates]],Benchmark1[Benchmark '#1 Dates],0)),"-")</f>
        <v>-8.3091848200167332E-4</v>
      </c>
      <c r="L402" s="72">
        <f>Comp1[[#This Row],[Comparable '#1 Price]]/$B$2*100</f>
        <v>137.71389459274471</v>
      </c>
    </row>
    <row r="403" spans="1:12">
      <c r="A403" s="103">
        <v>43868</v>
      </c>
      <c r="B403" s="104">
        <v>19.78</v>
      </c>
      <c r="C403" s="4">
        <f t="shared" si="12"/>
        <v>-1.7043019036972338E-2</v>
      </c>
      <c r="D403" s="1">
        <f>IFERROR(Comp1[[#This Row],[Comparable '#1 Return]]+1,"-")</f>
        <v>0.98295698096302764</v>
      </c>
      <c r="E403" s="6">
        <f>B403-MAX($B$2:B403)</f>
        <v>-1.8399999999999999</v>
      </c>
      <c r="F403" s="80">
        <f t="shared" si="13"/>
        <v>6</v>
      </c>
      <c r="G403" s="22" cm="1">
        <f t="array" ref="G403">Comp1[[#This Row],[Comparable '#1 Drawdown]]/MAX($B$2:B403)</f>
        <v>-8.5106382978723388E-2</v>
      </c>
      <c r="H403" s="1" t="str">
        <f>IF(SUM(COUNTIF(Benchmark1[Benchmark '#1 Dates],Comp1[[#This Row],[Comparable '#1 Dates]]),COUNTIF(Benchmark2[Benchmark '#2 Dates],Comp1[[#This Row],[Comparable '#1 Dates]]))=2,"Pass","Fail")</f>
        <v>Pass</v>
      </c>
      <c r="I403" s="1">
        <f>IFERROR(Comp1[[#This Row],[Comparable '#1 Return]]-INDEX(Benchmark1[Benchmark '#1 Return],MATCH(Comp1[[#This Row],[Comparable '#1 Dates]],Benchmark1[Benchmark '#1 Dates],0)),"-")</f>
        <v>-1.1626349547142242E-2</v>
      </c>
      <c r="L403" s="72">
        <f>Comp1[[#This Row],[Comparable '#1 Price]]/$B$2*100</f>
        <v>135.38672142368242</v>
      </c>
    </row>
    <row r="404" spans="1:12">
      <c r="A404" s="103">
        <v>43871</v>
      </c>
      <c r="B404" s="104">
        <v>19.73</v>
      </c>
      <c r="C404" s="4">
        <f t="shared" si="12"/>
        <v>-2.5310061600420965E-3</v>
      </c>
      <c r="D404" s="1">
        <f>IFERROR(Comp1[[#This Row],[Comparable '#1 Return]]+1,"-")</f>
        <v>0.99746899383995791</v>
      </c>
      <c r="E404" s="6">
        <f>B404-MAX($B$2:B404)</f>
        <v>-1.8900000000000006</v>
      </c>
      <c r="F404" s="80">
        <f t="shared" si="13"/>
        <v>7</v>
      </c>
      <c r="G404" s="22" cm="1">
        <f t="array" ref="G404">Comp1[[#This Row],[Comparable '#1 Drawdown]]/MAX($B$2:B404)</f>
        <v>-8.7419056429232214E-2</v>
      </c>
      <c r="H404" s="1" t="str">
        <f>IF(SUM(COUNTIF(Benchmark1[Benchmark '#1 Dates],Comp1[[#This Row],[Comparable '#1 Dates]]),COUNTIF(Benchmark2[Benchmark '#2 Dates],Comp1[[#This Row],[Comparable '#1 Dates]]))=2,"Pass","Fail")</f>
        <v>Pass</v>
      </c>
      <c r="I404" s="1">
        <f>IFERROR(Comp1[[#This Row],[Comparable '#1 Return]]-INDEX(Benchmark1[Benchmark '#1 Return],MATCH(Comp1[[#This Row],[Comparable '#1 Dates]],Benchmark1[Benchmark '#1 Dates],0)),"-")</f>
        <v>-9.8327781978045092E-3</v>
      </c>
      <c r="L404" s="72">
        <f>Comp1[[#This Row],[Comparable '#1 Price]]/$B$2*100</f>
        <v>135.04449007529092</v>
      </c>
    </row>
    <row r="405" spans="1:12">
      <c r="A405" s="103">
        <v>43872</v>
      </c>
      <c r="B405" s="104">
        <v>20.43</v>
      </c>
      <c r="C405" s="4">
        <f t="shared" si="12"/>
        <v>3.4864088795006729E-2</v>
      </c>
      <c r="D405" s="1">
        <f>IFERROR(Comp1[[#This Row],[Comparable '#1 Return]]+1,"-")</f>
        <v>1.0348640887950067</v>
      </c>
      <c r="E405" s="6">
        <f>B405-MAX($B$2:B405)</f>
        <v>-1.1900000000000013</v>
      </c>
      <c r="F405" s="80">
        <f t="shared" si="13"/>
        <v>8</v>
      </c>
      <c r="G405" s="22" cm="1">
        <f t="array" ref="G405">Comp1[[#This Row],[Comparable '#1 Drawdown]]/MAX($B$2:B405)</f>
        <v>-5.5041628122109214E-2</v>
      </c>
      <c r="H405" s="1" t="str">
        <f>IF(SUM(COUNTIF(Benchmark1[Benchmark '#1 Dates],Comp1[[#This Row],[Comparable '#1 Dates]]),COUNTIF(Benchmark2[Benchmark '#2 Dates],Comp1[[#This Row],[Comparable '#1 Dates]]))=2,"Pass","Fail")</f>
        <v>Pass</v>
      </c>
      <c r="I405" s="1">
        <f>IFERROR(Comp1[[#This Row],[Comparable '#1 Return]]-INDEX(Benchmark1[Benchmark '#1 Return],MATCH(Comp1[[#This Row],[Comparable '#1 Dates]],Benchmark1[Benchmark '#1 Dates],0)),"-")</f>
        <v>3.3179008402386558E-2</v>
      </c>
      <c r="L405" s="72">
        <f>Comp1[[#This Row],[Comparable '#1 Price]]/$B$2*100</f>
        <v>139.83572895277209</v>
      </c>
    </row>
    <row r="406" spans="1:12">
      <c r="A406" s="103">
        <v>43873</v>
      </c>
      <c r="B406" s="104">
        <v>20.82</v>
      </c>
      <c r="C406" s="4">
        <f t="shared" si="12"/>
        <v>1.8909654357292062E-2</v>
      </c>
      <c r="D406" s="1">
        <f>IFERROR(Comp1[[#This Row],[Comparable '#1 Return]]+1,"-")</f>
        <v>1.018909654357292</v>
      </c>
      <c r="E406" s="6">
        <f>B406-MAX($B$2:B406)</f>
        <v>-0.80000000000000071</v>
      </c>
      <c r="F406" s="80">
        <f t="shared" si="13"/>
        <v>9</v>
      </c>
      <c r="G406" s="22" cm="1">
        <f t="array" ref="G406">Comp1[[#This Row],[Comparable '#1 Drawdown]]/MAX($B$2:B406)</f>
        <v>-3.7002775208140638E-2</v>
      </c>
      <c r="H406" s="1" t="str">
        <f>IF(SUM(COUNTIF(Benchmark1[Benchmark '#1 Dates],Comp1[[#This Row],[Comparable '#1 Dates]]),COUNTIF(Benchmark2[Benchmark '#2 Dates],Comp1[[#This Row],[Comparable '#1 Dates]]))=2,"Pass","Fail")</f>
        <v>Pass</v>
      </c>
      <c r="I406" s="1">
        <f>IFERROR(Comp1[[#This Row],[Comparable '#1 Return]]-INDEX(Benchmark1[Benchmark '#1 Return],MATCH(Comp1[[#This Row],[Comparable '#1 Dates]],Benchmark1[Benchmark '#1 Dates],0)),"-")</f>
        <v>1.2466322854937005E-2</v>
      </c>
      <c r="L406" s="72">
        <f>Comp1[[#This Row],[Comparable '#1 Price]]/$B$2*100</f>
        <v>142.5051334702259</v>
      </c>
    </row>
    <row r="407" spans="1:12">
      <c r="A407" s="103">
        <v>43874</v>
      </c>
      <c r="B407" s="104">
        <v>20.88</v>
      </c>
      <c r="C407" s="4">
        <f t="shared" si="12"/>
        <v>2.877699827614974E-3</v>
      </c>
      <c r="D407" s="1">
        <f>IFERROR(Comp1[[#This Row],[Comparable '#1 Return]]+1,"-")</f>
        <v>1.002877699827615</v>
      </c>
      <c r="E407" s="6">
        <f>B407-MAX($B$2:B407)</f>
        <v>-0.74000000000000199</v>
      </c>
      <c r="F407" s="80">
        <f t="shared" si="13"/>
        <v>10</v>
      </c>
      <c r="G407" s="22" cm="1">
        <f t="array" ref="G407">Comp1[[#This Row],[Comparable '#1 Drawdown]]/MAX($B$2:B407)</f>
        <v>-3.4227567067530155E-2</v>
      </c>
      <c r="H407" s="1" t="str">
        <f>IF(SUM(COUNTIF(Benchmark1[Benchmark '#1 Dates],Comp1[[#This Row],[Comparable '#1 Dates]]),COUNTIF(Benchmark2[Benchmark '#2 Dates],Comp1[[#This Row],[Comparable '#1 Dates]]))=2,"Pass","Fail")</f>
        <v>Pass</v>
      </c>
      <c r="I407" s="1">
        <f>IFERROR(Comp1[[#This Row],[Comparable '#1 Return]]-INDEX(Benchmark1[Benchmark '#1 Return],MATCH(Comp1[[#This Row],[Comparable '#1 Dates]],Benchmark1[Benchmark '#1 Dates],0)),"-")</f>
        <v>4.5109005871629138E-3</v>
      </c>
      <c r="L407" s="72">
        <f>Comp1[[#This Row],[Comparable '#1 Price]]/$B$2*100</f>
        <v>142.9158110882957</v>
      </c>
    </row>
    <row r="408" spans="1:12">
      <c r="A408" s="103">
        <v>43875</v>
      </c>
      <c r="B408" s="104">
        <v>21.25</v>
      </c>
      <c r="C408" s="4">
        <f t="shared" si="12"/>
        <v>1.7565132355987848E-2</v>
      </c>
      <c r="D408" s="1">
        <f>IFERROR(Comp1[[#This Row],[Comparable '#1 Return]]+1,"-")</f>
        <v>1.0175651323559878</v>
      </c>
      <c r="E408" s="6">
        <f>B408-MAX($B$2:B408)</f>
        <v>-0.37000000000000099</v>
      </c>
      <c r="F408" s="80">
        <f t="shared" si="13"/>
        <v>11</v>
      </c>
      <c r="G408" s="22" cm="1">
        <f t="array" ref="G408">Comp1[[#This Row],[Comparable '#1 Drawdown]]/MAX($B$2:B408)</f>
        <v>-1.7113783533765078E-2</v>
      </c>
      <c r="H408" s="1" t="str">
        <f>IF(SUM(COUNTIF(Benchmark1[Benchmark '#1 Dates],Comp1[[#This Row],[Comparable '#1 Dates]]),COUNTIF(Benchmark2[Benchmark '#2 Dates],Comp1[[#This Row],[Comparable '#1 Dates]]))=2,"Pass","Fail")</f>
        <v>Pass</v>
      </c>
      <c r="I408" s="1">
        <f>IFERROR(Comp1[[#This Row],[Comparable '#1 Return]]-INDEX(Benchmark1[Benchmark '#1 Return],MATCH(Comp1[[#This Row],[Comparable '#1 Dates]],Benchmark1[Benchmark '#1 Dates],0)),"-")</f>
        <v>1.5723284822700252E-2</v>
      </c>
      <c r="L408" s="72">
        <f>Comp1[[#This Row],[Comparable '#1 Price]]/$B$2*100</f>
        <v>145.44832306639287</v>
      </c>
    </row>
    <row r="409" spans="1:12">
      <c r="A409" s="103">
        <v>43879</v>
      </c>
      <c r="B409" s="104">
        <v>21.07</v>
      </c>
      <c r="C409" s="4">
        <f t="shared" si="12"/>
        <v>-8.5066675543281709E-3</v>
      </c>
      <c r="D409" s="1">
        <f>IFERROR(Comp1[[#This Row],[Comparable '#1 Return]]+1,"-")</f>
        <v>0.99149333244567184</v>
      </c>
      <c r="E409" s="6">
        <f>B409-MAX($B$2:B409)</f>
        <v>-0.55000000000000071</v>
      </c>
      <c r="F409" s="80">
        <f t="shared" si="13"/>
        <v>12</v>
      </c>
      <c r="G409" s="22" cm="1">
        <f t="array" ref="G409">Comp1[[#This Row],[Comparable '#1 Drawdown]]/MAX($B$2:B409)</f>
        <v>-2.5439407955596703E-2</v>
      </c>
      <c r="H409" s="1" t="str">
        <f>IF(SUM(COUNTIF(Benchmark1[Benchmark '#1 Dates],Comp1[[#This Row],[Comparable '#1 Dates]]),COUNTIF(Benchmark2[Benchmark '#2 Dates],Comp1[[#This Row],[Comparable '#1 Dates]]))=2,"Pass","Fail")</f>
        <v>Pass</v>
      </c>
      <c r="I409" s="1">
        <f>IFERROR(Comp1[[#This Row],[Comparable '#1 Return]]-INDEX(Benchmark1[Benchmark '#1 Return],MATCH(Comp1[[#This Row],[Comparable '#1 Dates]],Benchmark1[Benchmark '#1 Dates],0)),"-")</f>
        <v>-5.5821484248304958E-3</v>
      </c>
      <c r="L409" s="72">
        <f>Comp1[[#This Row],[Comparable '#1 Price]]/$B$2*100</f>
        <v>144.21629021218345</v>
      </c>
    </row>
    <row r="410" spans="1:12">
      <c r="A410" s="103">
        <v>43880</v>
      </c>
      <c r="B410" s="104">
        <v>21.32</v>
      </c>
      <c r="C410" s="4">
        <f t="shared" si="12"/>
        <v>1.1795371481546092E-2</v>
      </c>
      <c r="D410" s="1">
        <f>IFERROR(Comp1[[#This Row],[Comparable '#1 Return]]+1,"-")</f>
        <v>1.0117953714815462</v>
      </c>
      <c r="E410" s="6">
        <f>B410-MAX($B$2:B410)</f>
        <v>-0.30000000000000071</v>
      </c>
      <c r="F410" s="80">
        <f t="shared" si="13"/>
        <v>13</v>
      </c>
      <c r="G410" s="22" cm="1">
        <f t="array" ref="G410">Comp1[[#This Row],[Comparable '#1 Drawdown]]/MAX($B$2:B410)</f>
        <v>-1.3876040703052761E-2</v>
      </c>
      <c r="H410" s="1" t="str">
        <f>IF(SUM(COUNTIF(Benchmark1[Benchmark '#1 Dates],Comp1[[#This Row],[Comparable '#1 Dates]]),COUNTIF(Benchmark2[Benchmark '#2 Dates],Comp1[[#This Row],[Comparable '#1 Dates]]))=2,"Pass","Fail")</f>
        <v>Pass</v>
      </c>
      <c r="I410" s="1">
        <f>IFERROR(Comp1[[#This Row],[Comparable '#1 Return]]-INDEX(Benchmark1[Benchmark '#1 Return],MATCH(Comp1[[#This Row],[Comparable '#1 Dates]],Benchmark1[Benchmark '#1 Dates],0)),"-")</f>
        <v>7.0987359973767074E-3</v>
      </c>
      <c r="L410" s="72">
        <f>Comp1[[#This Row],[Comparable '#1 Price]]/$B$2*100</f>
        <v>145.927446954141</v>
      </c>
    </row>
    <row r="411" spans="1:12">
      <c r="A411" s="103">
        <v>43881</v>
      </c>
      <c r="B411" s="104">
        <v>21.33</v>
      </c>
      <c r="C411" s="4">
        <f t="shared" si="12"/>
        <v>4.6893318561525639E-4</v>
      </c>
      <c r="D411" s="1">
        <f>IFERROR(Comp1[[#This Row],[Comparable '#1 Return]]+1,"-")</f>
        <v>1.0004689331856154</v>
      </c>
      <c r="E411" s="6">
        <f>B411-MAX($B$2:B411)</f>
        <v>-0.2900000000000027</v>
      </c>
      <c r="F411" s="80">
        <f t="shared" si="13"/>
        <v>14</v>
      </c>
      <c r="G411" s="22" cm="1">
        <f t="array" ref="G411">Comp1[[#This Row],[Comparable '#1 Drawdown]]/MAX($B$2:B411)</f>
        <v>-1.3413506012951095E-2</v>
      </c>
      <c r="H411" s="1" t="str">
        <f>IF(SUM(COUNTIF(Benchmark1[Benchmark '#1 Dates],Comp1[[#This Row],[Comparable '#1 Dates]]),COUNTIF(Benchmark2[Benchmark '#2 Dates],Comp1[[#This Row],[Comparable '#1 Dates]]))=2,"Pass","Fail")</f>
        <v>Pass</v>
      </c>
      <c r="I411" s="1">
        <f>IFERROR(Comp1[[#This Row],[Comparable '#1 Return]]-INDEX(Benchmark1[Benchmark '#1 Return],MATCH(Comp1[[#This Row],[Comparable '#1 Dates]],Benchmark1[Benchmark '#1 Dates],0)),"-")</f>
        <v>4.2921299712893454E-3</v>
      </c>
      <c r="L411" s="72">
        <f>Comp1[[#This Row],[Comparable '#1 Price]]/$B$2*100</f>
        <v>145.99589322381931</v>
      </c>
    </row>
    <row r="412" spans="1:12">
      <c r="A412" s="103">
        <v>43882</v>
      </c>
      <c r="B412" s="104">
        <v>21.09</v>
      </c>
      <c r="C412" s="4">
        <f t="shared" si="12"/>
        <v>-1.1315537992575871E-2</v>
      </c>
      <c r="D412" s="1">
        <f>IFERROR(Comp1[[#This Row],[Comparable '#1 Return]]+1,"-")</f>
        <v>0.9886844620074241</v>
      </c>
      <c r="E412" s="6">
        <f>B412-MAX($B$2:B412)</f>
        <v>-0.53000000000000114</v>
      </c>
      <c r="F412" s="80">
        <f t="shared" si="13"/>
        <v>15</v>
      </c>
      <c r="G412" s="22" cm="1">
        <f t="array" ref="G412">Comp1[[#This Row],[Comparable '#1 Drawdown]]/MAX($B$2:B412)</f>
        <v>-2.4514338575393205E-2</v>
      </c>
      <c r="H412" s="1" t="str">
        <f>IF(SUM(COUNTIF(Benchmark1[Benchmark '#1 Dates],Comp1[[#This Row],[Comparable '#1 Dates]]),COUNTIF(Benchmark2[Benchmark '#2 Dates],Comp1[[#This Row],[Comparable '#1 Dates]]))=2,"Pass","Fail")</f>
        <v>Pass</v>
      </c>
      <c r="I412" s="1">
        <f>IFERROR(Comp1[[#This Row],[Comparable '#1 Return]]-INDEX(Benchmark1[Benchmark '#1 Return],MATCH(Comp1[[#This Row],[Comparable '#1 Dates]],Benchmark1[Benchmark '#1 Dates],0)),"-")</f>
        <v>-7.4038303898327391E-4</v>
      </c>
      <c r="L412" s="72">
        <f>Comp1[[#This Row],[Comparable '#1 Price]]/$B$2*100</f>
        <v>144.35318275154006</v>
      </c>
    </row>
    <row r="413" spans="1:12">
      <c r="A413" s="103">
        <v>43885</v>
      </c>
      <c r="B413" s="104">
        <v>20.79</v>
      </c>
      <c r="C413" s="4">
        <f t="shared" si="12"/>
        <v>-1.4326892620761733E-2</v>
      </c>
      <c r="D413" s="1">
        <f>IFERROR(Comp1[[#This Row],[Comparable '#1 Return]]+1,"-")</f>
        <v>0.9856731073792383</v>
      </c>
      <c r="E413" s="6">
        <f>B413-MAX($B$2:B413)</f>
        <v>-0.83000000000000185</v>
      </c>
      <c r="F413" s="80">
        <f t="shared" si="13"/>
        <v>16</v>
      </c>
      <c r="G413" s="22" cm="1">
        <f t="array" ref="G413">Comp1[[#This Row],[Comparable '#1 Drawdown]]/MAX($B$2:B413)</f>
        <v>-3.839037927844597E-2</v>
      </c>
      <c r="H413" s="1" t="str">
        <f>IF(SUM(COUNTIF(Benchmark1[Benchmark '#1 Dates],Comp1[[#This Row],[Comparable '#1 Dates]]),COUNTIF(Benchmark2[Benchmark '#2 Dates],Comp1[[#This Row],[Comparable '#1 Dates]]))=2,"Pass","Fail")</f>
        <v>Pass</v>
      </c>
      <c r="I413" s="1">
        <f>IFERROR(Comp1[[#This Row],[Comparable '#1 Return]]-INDEX(Benchmark1[Benchmark '#1 Return],MATCH(Comp1[[#This Row],[Comparable '#1 Dates]],Benchmark1[Benchmark '#1 Dates],0)),"-")</f>
        <v>1.9761375324641721E-2</v>
      </c>
      <c r="L413" s="72">
        <f>Comp1[[#This Row],[Comparable '#1 Price]]/$B$2*100</f>
        <v>142.29979466119096</v>
      </c>
    </row>
    <row r="414" spans="1:12">
      <c r="A414" s="103">
        <v>43886</v>
      </c>
      <c r="B414" s="104">
        <v>20.86</v>
      </c>
      <c r="C414" s="4">
        <f t="shared" si="12"/>
        <v>3.3613477027049274E-3</v>
      </c>
      <c r="D414" s="1">
        <f>IFERROR(Comp1[[#This Row],[Comparable '#1 Return]]+1,"-")</f>
        <v>1.003361347702705</v>
      </c>
      <c r="E414" s="6">
        <f>B414-MAX($B$2:B414)</f>
        <v>-0.76000000000000156</v>
      </c>
      <c r="F414" s="80">
        <f t="shared" si="13"/>
        <v>17</v>
      </c>
      <c r="G414" s="22" cm="1">
        <f t="array" ref="G414">Comp1[[#This Row],[Comparable '#1 Drawdown]]/MAX($B$2:B414)</f>
        <v>-3.515263644773365E-2</v>
      </c>
      <c r="H414" s="1" t="str">
        <f>IF(SUM(COUNTIF(Benchmark1[Benchmark '#1 Dates],Comp1[[#This Row],[Comparable '#1 Dates]]),COUNTIF(Benchmark2[Benchmark '#2 Dates],Comp1[[#This Row],[Comparable '#1 Dates]]))=2,"Pass","Fail")</f>
        <v>Pass</v>
      </c>
      <c r="I414" s="1">
        <f>IFERROR(Comp1[[#This Row],[Comparable '#1 Return]]-INDEX(Benchmark1[Benchmark '#1 Return],MATCH(Comp1[[#This Row],[Comparable '#1 Dates]],Benchmark1[Benchmark '#1 Dates],0)),"-")</f>
        <v>3.4109250536270792E-2</v>
      </c>
      <c r="L414" s="72">
        <f>Comp1[[#This Row],[Comparable '#1 Price]]/$B$2*100</f>
        <v>142.77891854893909</v>
      </c>
    </row>
    <row r="415" spans="1:12">
      <c r="A415" s="103">
        <v>43887</v>
      </c>
      <c r="B415" s="104">
        <v>19.97</v>
      </c>
      <c r="C415" s="4">
        <f t="shared" si="12"/>
        <v>-4.3602302144902516E-2</v>
      </c>
      <c r="D415" s="1">
        <f>IFERROR(Comp1[[#This Row],[Comparable '#1 Return]]+1,"-")</f>
        <v>0.95639769785509743</v>
      </c>
      <c r="E415" s="6">
        <f>B415-MAX($B$2:B415)</f>
        <v>-1.6500000000000021</v>
      </c>
      <c r="F415" s="80">
        <f t="shared" si="13"/>
        <v>18</v>
      </c>
      <c r="G415" s="22" cm="1">
        <f t="array" ref="G415">Comp1[[#This Row],[Comparable '#1 Drawdown]]/MAX($B$2:B415)</f>
        <v>-7.6318223866790103E-2</v>
      </c>
      <c r="H415" s="1" t="str">
        <f>IF(SUM(COUNTIF(Benchmark1[Benchmark '#1 Dates],Comp1[[#This Row],[Comparable '#1 Dates]]),COUNTIF(Benchmark2[Benchmark '#2 Dates],Comp1[[#This Row],[Comparable '#1 Dates]]))=2,"Pass","Fail")</f>
        <v>Pass</v>
      </c>
      <c r="I415" s="1">
        <f>IFERROR(Comp1[[#This Row],[Comparable '#1 Return]]-INDEX(Benchmark1[Benchmark '#1 Return],MATCH(Comp1[[#This Row],[Comparable '#1 Dates]],Benchmark1[Benchmark '#1 Dates],0)),"-")</f>
        <v>-3.9817671372458008E-2</v>
      </c>
      <c r="L415" s="72">
        <f>Comp1[[#This Row],[Comparable '#1 Price]]/$B$2*100</f>
        <v>136.68720054757014</v>
      </c>
    </row>
    <row r="416" spans="1:12">
      <c r="A416" s="103">
        <v>43888</v>
      </c>
      <c r="B416" s="104">
        <v>18.87</v>
      </c>
      <c r="C416" s="4">
        <f t="shared" si="12"/>
        <v>-5.6657788047264936E-2</v>
      </c>
      <c r="D416" s="1">
        <f>IFERROR(Comp1[[#This Row],[Comparable '#1 Return]]+1,"-")</f>
        <v>0.94334221195273504</v>
      </c>
      <c r="E416" s="6">
        <f>B416-MAX($B$2:B416)</f>
        <v>-2.75</v>
      </c>
      <c r="F416" s="80">
        <f t="shared" si="13"/>
        <v>19</v>
      </c>
      <c r="G416" s="22" cm="1">
        <f t="array" ref="G416">Comp1[[#This Row],[Comparable '#1 Drawdown]]/MAX($B$2:B416)</f>
        <v>-0.12719703977798336</v>
      </c>
      <c r="H416" s="1" t="str">
        <f>IF(SUM(COUNTIF(Benchmark1[Benchmark '#1 Dates],Comp1[[#This Row],[Comparable '#1 Dates]]),COUNTIF(Benchmark2[Benchmark '#2 Dates],Comp1[[#This Row],[Comparable '#1 Dates]]))=2,"Pass","Fail")</f>
        <v>Pass</v>
      </c>
      <c r="I416" s="1">
        <f>IFERROR(Comp1[[#This Row],[Comparable '#1 Return]]-INDEX(Benchmark1[Benchmark '#1 Return],MATCH(Comp1[[#This Row],[Comparable '#1 Dates]],Benchmark1[Benchmark '#1 Dates],0)),"-")</f>
        <v>-1.1488934367501688E-2</v>
      </c>
      <c r="L416" s="72">
        <f>Comp1[[#This Row],[Comparable '#1 Price]]/$B$2*100</f>
        <v>129.15811088295689</v>
      </c>
    </row>
    <row r="417" spans="1:12">
      <c r="A417" s="103">
        <v>43889</v>
      </c>
      <c r="B417" s="104">
        <v>18.7</v>
      </c>
      <c r="C417" s="4">
        <f t="shared" si="12"/>
        <v>-9.0498355199180383E-3</v>
      </c>
      <c r="D417" s="1">
        <f>IFERROR(Comp1[[#This Row],[Comparable '#1 Return]]+1,"-")</f>
        <v>0.990950164480082</v>
      </c>
      <c r="E417" s="6">
        <f>B417-MAX($B$2:B417)</f>
        <v>-2.9200000000000017</v>
      </c>
      <c r="F417" s="80">
        <f t="shared" si="13"/>
        <v>20</v>
      </c>
      <c r="G417" s="22" cm="1">
        <f t="array" ref="G417">Comp1[[#This Row],[Comparable '#1 Drawdown]]/MAX($B$2:B417)</f>
        <v>-0.1350601295097133</v>
      </c>
      <c r="H417" s="1" t="str">
        <f>IF(SUM(COUNTIF(Benchmark1[Benchmark '#1 Dates],Comp1[[#This Row],[Comparable '#1 Dates]]),COUNTIF(Benchmark2[Benchmark '#2 Dates],Comp1[[#This Row],[Comparable '#1 Dates]]))=2,"Pass","Fail")</f>
        <v>Pass</v>
      </c>
      <c r="I417" s="1">
        <f>IFERROR(Comp1[[#This Row],[Comparable '#1 Return]]-INDEX(Benchmark1[Benchmark '#1 Return],MATCH(Comp1[[#This Row],[Comparable '#1 Dates]],Benchmark1[Benchmark '#1 Dates],0)),"-")</f>
        <v>-7.7936069382368404E-4</v>
      </c>
      <c r="L417" s="72">
        <f>Comp1[[#This Row],[Comparable '#1 Price]]/$B$2*100</f>
        <v>127.99452429842573</v>
      </c>
    </row>
    <row r="418" spans="1:12">
      <c r="A418" s="103">
        <v>43892</v>
      </c>
      <c r="B418" s="104">
        <v>19.46</v>
      </c>
      <c r="C418" s="4">
        <f t="shared" si="12"/>
        <v>3.9837552897318176E-2</v>
      </c>
      <c r="D418" s="1">
        <f>IFERROR(Comp1[[#This Row],[Comparable '#1 Return]]+1,"-")</f>
        <v>1.0398375528973183</v>
      </c>
      <c r="E418" s="6">
        <f>B418-MAX($B$2:B418)</f>
        <v>-2.16</v>
      </c>
      <c r="F418" s="80">
        <f t="shared" si="13"/>
        <v>21</v>
      </c>
      <c r="G418" s="22" cm="1">
        <f t="array" ref="G418">Comp1[[#This Row],[Comparable '#1 Drawdown]]/MAX($B$2:B418)</f>
        <v>-9.9907493061979644E-2</v>
      </c>
      <c r="H418" s="1" t="str">
        <f>IF(SUM(COUNTIF(Benchmark1[Benchmark '#1 Dates],Comp1[[#This Row],[Comparable '#1 Dates]]),COUNTIF(Benchmark2[Benchmark '#2 Dates],Comp1[[#This Row],[Comparable '#1 Dates]]))=2,"Pass","Fail")</f>
        <v>Pass</v>
      </c>
      <c r="I418" s="1">
        <f>IFERROR(Comp1[[#This Row],[Comparable '#1 Return]]-INDEX(Benchmark1[Benchmark '#1 Return],MATCH(Comp1[[#This Row],[Comparable '#1 Dates]],Benchmark1[Benchmark '#1 Dates],0)),"-")</f>
        <v>-5.172984293973476E-3</v>
      </c>
      <c r="L418" s="72">
        <f>Comp1[[#This Row],[Comparable '#1 Price]]/$B$2*100</f>
        <v>133.19644079397673</v>
      </c>
    </row>
    <row r="419" spans="1:12">
      <c r="A419" s="103">
        <v>43893</v>
      </c>
      <c r="B419" s="104">
        <v>19.13</v>
      </c>
      <c r="C419" s="4">
        <f t="shared" si="12"/>
        <v>-1.7103293305697549E-2</v>
      </c>
      <c r="D419" s="1">
        <f>IFERROR(Comp1[[#This Row],[Comparable '#1 Return]]+1,"-")</f>
        <v>0.9828967066943024</v>
      </c>
      <c r="E419" s="6">
        <f>B419-MAX($B$2:B419)</f>
        <v>-2.490000000000002</v>
      </c>
      <c r="F419" s="80">
        <f t="shared" si="13"/>
        <v>22</v>
      </c>
      <c r="G419" s="22" cm="1">
        <f t="array" ref="G419">Comp1[[#This Row],[Comparable '#1 Drawdown]]/MAX($B$2:B419)</f>
        <v>-0.11517113783533774</v>
      </c>
      <c r="H419" s="1" t="str">
        <f>IF(SUM(COUNTIF(Benchmark1[Benchmark '#1 Dates],Comp1[[#This Row],[Comparable '#1 Dates]]),COUNTIF(Benchmark2[Benchmark '#2 Dates],Comp1[[#This Row],[Comparable '#1 Dates]]))=2,"Pass","Fail")</f>
        <v>Pass</v>
      </c>
      <c r="I419" s="1">
        <f>IFERROR(Comp1[[#This Row],[Comparable '#1 Return]]-INDEX(Benchmark1[Benchmark '#1 Return],MATCH(Comp1[[#This Row],[Comparable '#1 Dates]],Benchmark1[Benchmark '#1 Dates],0)),"-")</f>
        <v>1.1409763646307532E-2</v>
      </c>
      <c r="L419" s="72">
        <f>Comp1[[#This Row],[Comparable '#1 Price]]/$B$2*100</f>
        <v>130.93771389459275</v>
      </c>
    </row>
    <row r="420" spans="1:12">
      <c r="A420" s="103">
        <v>43894</v>
      </c>
      <c r="B420" s="104">
        <v>19.835000000000001</v>
      </c>
      <c r="C420" s="4">
        <f t="shared" si="12"/>
        <v>3.6190270514132088E-2</v>
      </c>
      <c r="D420" s="1">
        <f>IFERROR(Comp1[[#This Row],[Comparable '#1 Return]]+1,"-")</f>
        <v>1.0361902705141322</v>
      </c>
      <c r="E420" s="6">
        <f>B420-MAX($B$2:B420)</f>
        <v>-1.7850000000000001</v>
      </c>
      <c r="F420" s="80">
        <f t="shared" si="13"/>
        <v>23</v>
      </c>
      <c r="G420" s="22" cm="1">
        <f t="array" ref="G420">Comp1[[#This Row],[Comparable '#1 Drawdown]]/MAX($B$2:B420)</f>
        <v>-8.2562442183163734E-2</v>
      </c>
      <c r="H420" s="1" t="str">
        <f>IF(SUM(COUNTIF(Benchmark1[Benchmark '#1 Dates],Comp1[[#This Row],[Comparable '#1 Dates]]),COUNTIF(Benchmark2[Benchmark '#2 Dates],Comp1[[#This Row],[Comparable '#1 Dates]]))=2,"Pass","Fail")</f>
        <v>Pass</v>
      </c>
      <c r="I420" s="1">
        <f>IFERROR(Comp1[[#This Row],[Comparable '#1 Return]]-INDEX(Benchmark1[Benchmark '#1 Return],MATCH(Comp1[[#This Row],[Comparable '#1 Dates]],Benchmark1[Benchmark '#1 Dates],0)),"-")</f>
        <v>-5.1466907725228328E-3</v>
      </c>
      <c r="L420" s="72">
        <f>Comp1[[#This Row],[Comparable '#1 Price]]/$B$2*100</f>
        <v>135.76317590691309</v>
      </c>
    </row>
    <row r="421" spans="1:12">
      <c r="A421" s="103">
        <v>43895</v>
      </c>
      <c r="B421" s="104">
        <v>18.48</v>
      </c>
      <c r="C421" s="4">
        <f t="shared" si="12"/>
        <v>-7.075898775275534E-2</v>
      </c>
      <c r="D421" s="1">
        <f>IFERROR(Comp1[[#This Row],[Comparable '#1 Return]]+1,"-")</f>
        <v>0.92924101224724465</v>
      </c>
      <c r="E421" s="6">
        <f>B421-MAX($B$2:B421)</f>
        <v>-3.1400000000000006</v>
      </c>
      <c r="F421" s="80">
        <f t="shared" si="13"/>
        <v>24</v>
      </c>
      <c r="G421" s="22" cm="1">
        <f t="array" ref="G421">Comp1[[#This Row],[Comparable '#1 Drawdown]]/MAX($B$2:B421)</f>
        <v>-0.14523589269195192</v>
      </c>
      <c r="H421" s="1" t="str">
        <f>IF(SUM(COUNTIF(Benchmark1[Benchmark '#1 Dates],Comp1[[#This Row],[Comparable '#1 Dates]]),COUNTIF(Benchmark2[Benchmark '#2 Dates],Comp1[[#This Row],[Comparable '#1 Dates]]))=2,"Pass","Fail")</f>
        <v>Pass</v>
      </c>
      <c r="I421" s="1">
        <f>IFERROR(Comp1[[#This Row],[Comparable '#1 Return]]-INDEX(Benchmark1[Benchmark '#1 Return],MATCH(Comp1[[#This Row],[Comparable '#1 Dates]],Benchmark1[Benchmark '#1 Dates],0)),"-")</f>
        <v>-3.6249362074949484E-2</v>
      </c>
      <c r="L421" s="72">
        <f>Comp1[[#This Row],[Comparable '#1 Price]]/$B$2*100</f>
        <v>126.48870636550309</v>
      </c>
    </row>
    <row r="422" spans="1:12">
      <c r="A422" s="103">
        <v>43896</v>
      </c>
      <c r="B422" s="104">
        <v>18.29</v>
      </c>
      <c r="C422" s="4">
        <f t="shared" si="12"/>
        <v>-1.0334603810763827E-2</v>
      </c>
      <c r="D422" s="1">
        <f>IFERROR(Comp1[[#This Row],[Comparable '#1 Return]]+1,"-")</f>
        <v>0.98966539618923621</v>
      </c>
      <c r="E422" s="6">
        <f>B422-MAX($B$2:B422)</f>
        <v>-3.3300000000000018</v>
      </c>
      <c r="F422" s="80">
        <f t="shared" si="13"/>
        <v>25</v>
      </c>
      <c r="G422" s="22" cm="1">
        <f t="array" ref="G422">Comp1[[#This Row],[Comparable '#1 Drawdown]]/MAX($B$2:B422)</f>
        <v>-0.15402405180388537</v>
      </c>
      <c r="H422" s="1" t="str">
        <f>IF(SUM(COUNTIF(Benchmark1[Benchmark '#1 Dates],Comp1[[#This Row],[Comparable '#1 Dates]]),COUNTIF(Benchmark2[Benchmark '#2 Dates],Comp1[[#This Row],[Comparable '#1 Dates]]))=2,"Pass","Fail")</f>
        <v>Pass</v>
      </c>
      <c r="I422" s="1">
        <f>IFERROR(Comp1[[#This Row],[Comparable '#1 Return]]-INDEX(Benchmark1[Benchmark '#1 Return],MATCH(Comp1[[#This Row],[Comparable '#1 Dates]],Benchmark1[Benchmark '#1 Dates],0)),"-")</f>
        <v>6.8658598025459674E-3</v>
      </c>
      <c r="L422" s="72">
        <f>Comp1[[#This Row],[Comparable '#1 Price]]/$B$2*100</f>
        <v>125.18822724161534</v>
      </c>
    </row>
    <row r="423" spans="1:12">
      <c r="A423" s="103">
        <v>43899</v>
      </c>
      <c r="B423" s="104">
        <v>16.78</v>
      </c>
      <c r="C423" s="4">
        <f t="shared" si="12"/>
        <v>-8.6166761363714137E-2</v>
      </c>
      <c r="D423" s="1">
        <f>IFERROR(Comp1[[#This Row],[Comparable '#1 Return]]+1,"-")</f>
        <v>0.91383323863628585</v>
      </c>
      <c r="E423" s="6">
        <f>B423-MAX($B$2:B423)</f>
        <v>-4.84</v>
      </c>
      <c r="F423" s="80">
        <f t="shared" si="13"/>
        <v>26</v>
      </c>
      <c r="G423" s="22" cm="1">
        <f t="array" ref="G423">Comp1[[#This Row],[Comparable '#1 Drawdown]]/MAX($B$2:B423)</f>
        <v>-0.22386679000925067</v>
      </c>
      <c r="H423" s="1" t="str">
        <f>IF(SUM(COUNTIF(Benchmark1[Benchmark '#1 Dates],Comp1[[#This Row],[Comparable '#1 Dates]]),COUNTIF(Benchmark2[Benchmark '#2 Dates],Comp1[[#This Row],[Comparable '#1 Dates]]))=2,"Pass","Fail")</f>
        <v>Pass</v>
      </c>
      <c r="I423" s="1">
        <f>IFERROR(Comp1[[#This Row],[Comparable '#1 Return]]-INDEX(Benchmark1[Benchmark '#1 Return],MATCH(Comp1[[#This Row],[Comparable '#1 Dates]],Benchmark1[Benchmark '#1 Dates],0)),"-")</f>
        <v>-7.1555702658686604E-3</v>
      </c>
      <c r="L423" s="72">
        <f>Comp1[[#This Row],[Comparable '#1 Price]]/$B$2*100</f>
        <v>114.85284052019166</v>
      </c>
    </row>
    <row r="424" spans="1:12">
      <c r="A424" s="103">
        <v>43900</v>
      </c>
      <c r="B424" s="104">
        <v>17.3</v>
      </c>
      <c r="C424" s="4">
        <f t="shared" si="12"/>
        <v>3.0518800464673122E-2</v>
      </c>
      <c r="D424" s="1">
        <f>IFERROR(Comp1[[#This Row],[Comparable '#1 Return]]+1,"-")</f>
        <v>1.030518800464673</v>
      </c>
      <c r="E424" s="6">
        <f>B424-MAX($B$2:B424)</f>
        <v>-4.32</v>
      </c>
      <c r="F424" s="80">
        <f t="shared" si="13"/>
        <v>27</v>
      </c>
      <c r="G424" s="22" cm="1">
        <f t="array" ref="G424">Comp1[[#This Row],[Comparable '#1 Drawdown]]/MAX($B$2:B424)</f>
        <v>-0.19981498612395929</v>
      </c>
      <c r="H424" s="1" t="str">
        <f>IF(SUM(COUNTIF(Benchmark1[Benchmark '#1 Dates],Comp1[[#This Row],[Comparable '#1 Dates]]),COUNTIF(Benchmark2[Benchmark '#2 Dates],Comp1[[#This Row],[Comparable '#1 Dates]]))=2,"Pass","Fail")</f>
        <v>Pass</v>
      </c>
      <c r="I424" s="1">
        <f>IFERROR(Comp1[[#This Row],[Comparable '#1 Return]]-INDEX(Benchmark1[Benchmark '#1 Return],MATCH(Comp1[[#This Row],[Comparable '#1 Dates]],Benchmark1[Benchmark '#1 Dates],0)),"-")</f>
        <v>-1.7694873224204922E-2</v>
      </c>
      <c r="L424" s="72">
        <f>Comp1[[#This Row],[Comparable '#1 Price]]/$B$2*100</f>
        <v>118.4120465434634</v>
      </c>
    </row>
    <row r="425" spans="1:12">
      <c r="A425" s="103">
        <v>43901</v>
      </c>
      <c r="B425" s="104">
        <v>16.559999999999999</v>
      </c>
      <c r="C425" s="4">
        <f t="shared" si="12"/>
        <v>-4.3716352546619784E-2</v>
      </c>
      <c r="D425" s="1">
        <f>IFERROR(Comp1[[#This Row],[Comparable '#1 Return]]+1,"-")</f>
        <v>0.95628364745338024</v>
      </c>
      <c r="E425" s="6">
        <f>B425-MAX($B$2:B425)</f>
        <v>-5.0600000000000023</v>
      </c>
      <c r="F425" s="80">
        <f t="shared" si="13"/>
        <v>28</v>
      </c>
      <c r="G425" s="22" cm="1">
        <f t="array" ref="G425">Comp1[[#This Row],[Comparable '#1 Drawdown]]/MAX($B$2:B425)</f>
        <v>-0.23404255319148945</v>
      </c>
      <c r="H425" s="1" t="str">
        <f>IF(SUM(COUNTIF(Benchmark1[Benchmark '#1 Dates],Comp1[[#This Row],[Comparable '#1 Dates]]),COUNTIF(Benchmark2[Benchmark '#2 Dates],Comp1[[#This Row],[Comparable '#1 Dates]]))=2,"Pass","Fail")</f>
        <v>Pass</v>
      </c>
      <c r="I425" s="1">
        <f>IFERROR(Comp1[[#This Row],[Comparable '#1 Return]]-INDEX(Benchmark1[Benchmark '#1 Return],MATCH(Comp1[[#This Row],[Comparable '#1 Dates]],Benchmark1[Benchmark '#1 Dates],0)),"-")</f>
        <v>6.383633800309485E-3</v>
      </c>
      <c r="L425" s="72">
        <f>Comp1[[#This Row],[Comparable '#1 Price]]/$B$2*100</f>
        <v>113.34702258726898</v>
      </c>
    </row>
    <row r="426" spans="1:12">
      <c r="A426" s="103">
        <v>43902</v>
      </c>
      <c r="B426" s="104">
        <v>13.82</v>
      </c>
      <c r="C426" s="4">
        <f t="shared" si="12"/>
        <v>-0.18087333061758976</v>
      </c>
      <c r="D426" s="1">
        <f>IFERROR(Comp1[[#This Row],[Comparable '#1 Return]]+1,"-")</f>
        <v>0.81912666938241019</v>
      </c>
      <c r="E426" s="6">
        <f>B426-MAX($B$2:B426)</f>
        <v>-7.8000000000000007</v>
      </c>
      <c r="F426" s="80">
        <f t="shared" si="13"/>
        <v>29</v>
      </c>
      <c r="G426" s="22" cm="1">
        <f t="array" ref="G426">Comp1[[#This Row],[Comparable '#1 Drawdown]]/MAX($B$2:B426)</f>
        <v>-0.36077705827937095</v>
      </c>
      <c r="H426" s="1" t="str">
        <f>IF(SUM(COUNTIF(Benchmark1[Benchmark '#1 Dates],Comp1[[#This Row],[Comparable '#1 Dates]]),COUNTIF(Benchmark2[Benchmark '#2 Dates],Comp1[[#This Row],[Comparable '#1 Dates]]))=2,"Pass","Fail")</f>
        <v>Pass</v>
      </c>
      <c r="I426" s="1">
        <f>IFERROR(Comp1[[#This Row],[Comparable '#1 Return]]-INDEX(Benchmark1[Benchmark '#1 Return],MATCH(Comp1[[#This Row],[Comparable '#1 Dates]],Benchmark1[Benchmark '#1 Dates],0)),"-")</f>
        <v>-8.0927597954208882E-2</v>
      </c>
      <c r="L426" s="72">
        <f>Comp1[[#This Row],[Comparable '#1 Price]]/$B$2*100</f>
        <v>94.592744695414112</v>
      </c>
    </row>
    <row r="427" spans="1:12">
      <c r="A427" s="103">
        <v>43903</v>
      </c>
      <c r="B427" s="104">
        <v>14.85</v>
      </c>
      <c r="C427" s="4">
        <f t="shared" si="12"/>
        <v>7.1883046909184636E-2</v>
      </c>
      <c r="D427" s="1">
        <f>IFERROR(Comp1[[#This Row],[Comparable '#1 Return]]+1,"-")</f>
        <v>1.0718830469091847</v>
      </c>
      <c r="E427" s="6">
        <f>B427-MAX($B$2:B427)</f>
        <v>-6.7700000000000014</v>
      </c>
      <c r="F427" s="80">
        <f t="shared" si="13"/>
        <v>30</v>
      </c>
      <c r="G427" s="22" cm="1">
        <f t="array" ref="G427">Comp1[[#This Row],[Comparable '#1 Drawdown]]/MAX($B$2:B427)</f>
        <v>-0.31313598519888997</v>
      </c>
      <c r="H427" s="1" t="str">
        <f>IF(SUM(COUNTIF(Benchmark1[Benchmark '#1 Dates],Comp1[[#This Row],[Comparable '#1 Dates]]),COUNTIF(Benchmark2[Benchmark '#2 Dates],Comp1[[#This Row],[Comparable '#1 Dates]]))=2,"Pass","Fail")</f>
        <v>Pass</v>
      </c>
      <c r="I427" s="1">
        <f>IFERROR(Comp1[[#This Row],[Comparable '#1 Return]]-INDEX(Benchmark1[Benchmark '#1 Return],MATCH(Comp1[[#This Row],[Comparable '#1 Dates]],Benchmark1[Benchmark '#1 Dates],0)),"-")</f>
        <v>-1.6925505962999424E-2</v>
      </c>
      <c r="L427" s="72">
        <f>Comp1[[#This Row],[Comparable '#1 Price]]/$B$2*100</f>
        <v>101.64271047227926</v>
      </c>
    </row>
    <row r="428" spans="1:12">
      <c r="A428" s="103">
        <v>43906</v>
      </c>
      <c r="B428" s="104">
        <v>11.85</v>
      </c>
      <c r="C428" s="4">
        <f t="shared" si="12"/>
        <v>-0.2256719976675684</v>
      </c>
      <c r="D428" s="1">
        <f>IFERROR(Comp1[[#This Row],[Comparable '#1 Return]]+1,"-")</f>
        <v>0.7743280023324316</v>
      </c>
      <c r="E428" s="6">
        <f>B428-MAX($B$2:B428)</f>
        <v>-9.7700000000000014</v>
      </c>
      <c r="F428" s="80">
        <f t="shared" si="13"/>
        <v>31</v>
      </c>
      <c r="G428" s="22" cm="1">
        <f t="array" ref="G428">Comp1[[#This Row],[Comparable '#1 Drawdown]]/MAX($B$2:B428)</f>
        <v>-0.45189639222941724</v>
      </c>
      <c r="H428" s="1" t="str">
        <f>IF(SUM(COUNTIF(Benchmark1[Benchmark '#1 Dates],Comp1[[#This Row],[Comparable '#1 Dates]]),COUNTIF(Benchmark2[Benchmark '#2 Dates],Comp1[[#This Row],[Comparable '#1 Dates]]))=2,"Pass","Fail")</f>
        <v>Pass</v>
      </c>
      <c r="I428" s="1">
        <f>IFERROR(Comp1[[#This Row],[Comparable '#1 Return]]-INDEX(Benchmark1[Benchmark '#1 Return],MATCH(Comp1[[#This Row],[Comparable '#1 Dates]],Benchmark1[Benchmark '#1 Dates],0)),"-")</f>
        <v>-9.8020880145462702E-2</v>
      </c>
      <c r="L428" s="72">
        <f>Comp1[[#This Row],[Comparable '#1 Price]]/$B$2*100</f>
        <v>81.108829568788494</v>
      </c>
    </row>
    <row r="429" spans="1:12">
      <c r="A429" s="103">
        <v>43907</v>
      </c>
      <c r="B429" s="104">
        <v>10.68</v>
      </c>
      <c r="C429" s="4">
        <f t="shared" si="12"/>
        <v>-0.10395503404909139</v>
      </c>
      <c r="D429" s="1">
        <f>IFERROR(Comp1[[#This Row],[Comparable '#1 Return]]+1,"-")</f>
        <v>0.89604496595090866</v>
      </c>
      <c r="E429" s="6">
        <f>B429-MAX($B$2:B429)</f>
        <v>-10.940000000000001</v>
      </c>
      <c r="F429" s="80">
        <f t="shared" si="13"/>
        <v>32</v>
      </c>
      <c r="G429" s="22" cm="1">
        <f t="array" ref="G429">Comp1[[#This Row],[Comparable '#1 Drawdown]]/MAX($B$2:B429)</f>
        <v>-0.50601295097132293</v>
      </c>
      <c r="H429" s="1" t="str">
        <f>IF(SUM(COUNTIF(Benchmark1[Benchmark '#1 Dates],Comp1[[#This Row],[Comparable '#1 Dates]]),COUNTIF(Benchmark2[Benchmark '#2 Dates],Comp1[[#This Row],[Comparable '#1 Dates]]))=2,"Pass","Fail")</f>
        <v>Pass</v>
      </c>
      <c r="I429" s="1">
        <f>IFERROR(Comp1[[#This Row],[Comparable '#1 Return]]-INDEX(Benchmark1[Benchmark '#1 Return],MATCH(Comp1[[#This Row],[Comparable '#1 Dates]],Benchmark1[Benchmark '#1 Dates],0)),"-")</f>
        <v>-0.16218133260353693</v>
      </c>
      <c r="L429" s="72">
        <f>Comp1[[#This Row],[Comparable '#1 Price]]/$B$2*100</f>
        <v>73.100616016427097</v>
      </c>
    </row>
    <row r="430" spans="1:12">
      <c r="A430" s="103">
        <v>43908</v>
      </c>
      <c r="B430" s="104">
        <v>7.98</v>
      </c>
      <c r="C430" s="4">
        <f t="shared" si="12"/>
        <v>-0.29143442207033132</v>
      </c>
      <c r="D430" s="1">
        <f>IFERROR(Comp1[[#This Row],[Comparable '#1 Return]]+1,"-")</f>
        <v>0.70856557792966868</v>
      </c>
      <c r="E430" s="6">
        <f>B430-MAX($B$2:B430)</f>
        <v>-13.64</v>
      </c>
      <c r="F430" s="80">
        <f t="shared" si="13"/>
        <v>33</v>
      </c>
      <c r="G430" s="22" cm="1">
        <f t="array" ref="G430">Comp1[[#This Row],[Comparable '#1 Drawdown]]/MAX($B$2:B430)</f>
        <v>-0.63089731729879739</v>
      </c>
      <c r="H430" s="1" t="str">
        <f>IF(SUM(COUNTIF(Benchmark1[Benchmark '#1 Dates],Comp1[[#This Row],[Comparable '#1 Dates]]),COUNTIF(Benchmark2[Benchmark '#2 Dates],Comp1[[#This Row],[Comparable '#1 Dates]]))=2,"Pass","Fail")</f>
        <v>Pass</v>
      </c>
      <c r="I430" s="1">
        <f>IFERROR(Comp1[[#This Row],[Comparable '#1 Return]]-INDEX(Benchmark1[Benchmark '#1 Return],MATCH(Comp1[[#This Row],[Comparable '#1 Dates]],Benchmark1[Benchmark '#1 Dates],0)),"-")</f>
        <v>-0.23820843271960754</v>
      </c>
      <c r="L430" s="72">
        <f>Comp1[[#This Row],[Comparable '#1 Price]]/$B$2*100</f>
        <v>54.620123203285431</v>
      </c>
    </row>
    <row r="431" spans="1:12">
      <c r="A431" s="103">
        <v>43909</v>
      </c>
      <c r="B431" s="104">
        <v>10.69</v>
      </c>
      <c r="C431" s="4">
        <f t="shared" si="12"/>
        <v>0.2923703135752363</v>
      </c>
      <c r="D431" s="1">
        <f>IFERROR(Comp1[[#This Row],[Comparable '#1 Return]]+1,"-")</f>
        <v>1.2923703135752362</v>
      </c>
      <c r="E431" s="6">
        <f>B431-MAX($B$2:B431)</f>
        <v>-10.930000000000001</v>
      </c>
      <c r="F431" s="80">
        <f t="shared" si="13"/>
        <v>34</v>
      </c>
      <c r="G431" s="22" cm="1">
        <f t="array" ref="G431">Comp1[[#This Row],[Comparable '#1 Drawdown]]/MAX($B$2:B431)</f>
        <v>-0.5055504162812211</v>
      </c>
      <c r="H431" s="1" t="str">
        <f>IF(SUM(COUNTIF(Benchmark1[Benchmark '#1 Dates],Comp1[[#This Row],[Comparable '#1 Dates]]),COUNTIF(Benchmark2[Benchmark '#2 Dates],Comp1[[#This Row],[Comparable '#1 Dates]]))=2,"Pass","Fail")</f>
        <v>Pass</v>
      </c>
      <c r="I431" s="1">
        <f>IFERROR(Comp1[[#This Row],[Comparable '#1 Return]]-INDEX(Benchmark1[Benchmark '#1 Return],MATCH(Comp1[[#This Row],[Comparable '#1 Dates]],Benchmark1[Benchmark '#1 Dates],0)),"-")</f>
        <v>0.28767288842903516</v>
      </c>
      <c r="L431" s="72">
        <f>Comp1[[#This Row],[Comparable '#1 Price]]/$B$2*100</f>
        <v>73.169062286105401</v>
      </c>
    </row>
    <row r="432" spans="1:12">
      <c r="A432" s="103">
        <v>43910</v>
      </c>
      <c r="B432" s="104">
        <v>9</v>
      </c>
      <c r="C432" s="4">
        <f t="shared" si="12"/>
        <v>-0.17208414770073449</v>
      </c>
      <c r="D432" s="1">
        <f>IFERROR(Comp1[[#This Row],[Comparable '#1 Return]]+1,"-")</f>
        <v>0.82791585229926556</v>
      </c>
      <c r="E432" s="6">
        <f>B432-MAX($B$2:B432)</f>
        <v>-12.620000000000001</v>
      </c>
      <c r="F432" s="80">
        <f t="shared" si="13"/>
        <v>35</v>
      </c>
      <c r="G432" s="22" cm="1">
        <f t="array" ref="G432">Comp1[[#This Row],[Comparable '#1 Drawdown]]/MAX($B$2:B432)</f>
        <v>-0.58371877890841817</v>
      </c>
      <c r="H432" s="1" t="str">
        <f>IF(SUM(COUNTIF(Benchmark1[Benchmark '#1 Dates],Comp1[[#This Row],[Comparable '#1 Dates]]),COUNTIF(Benchmark2[Benchmark '#2 Dates],Comp1[[#This Row],[Comparable '#1 Dates]]))=2,"Pass","Fail")</f>
        <v>Pass</v>
      </c>
      <c r="I432" s="1">
        <f>IFERROR(Comp1[[#This Row],[Comparable '#1 Return]]-INDEX(Benchmark1[Benchmark '#1 Return],MATCH(Comp1[[#This Row],[Comparable '#1 Dates]],Benchmark1[Benchmark '#1 Dates],0)),"-")</f>
        <v>-0.12775632200736475</v>
      </c>
      <c r="L432" s="72">
        <f>Comp1[[#This Row],[Comparable '#1 Price]]/$B$2*100</f>
        <v>61.601642710472284</v>
      </c>
    </row>
    <row r="433" spans="1:12">
      <c r="A433" s="103">
        <v>43913</v>
      </c>
      <c r="B433" s="104">
        <v>8.8800000000000008</v>
      </c>
      <c r="C433" s="4">
        <f t="shared" si="12"/>
        <v>-1.3423020332140548E-2</v>
      </c>
      <c r="D433" s="1">
        <f>IFERROR(Comp1[[#This Row],[Comparable '#1 Return]]+1,"-")</f>
        <v>0.9865769796678594</v>
      </c>
      <c r="E433" s="6">
        <f>B433-MAX($B$2:B433)</f>
        <v>-12.74</v>
      </c>
      <c r="F433" s="80">
        <f t="shared" si="13"/>
        <v>36</v>
      </c>
      <c r="G433" s="22" cm="1">
        <f t="array" ref="G433">Comp1[[#This Row],[Comparable '#1 Drawdown]]/MAX($B$2:B433)</f>
        <v>-0.58926919518963916</v>
      </c>
      <c r="H433" s="1" t="str">
        <f>IF(SUM(COUNTIF(Benchmark1[Benchmark '#1 Dates],Comp1[[#This Row],[Comparable '#1 Dates]]),COUNTIF(Benchmark2[Benchmark '#2 Dates],Comp1[[#This Row],[Comparable '#1 Dates]]))=2,"Pass","Fail")</f>
        <v>Pass</v>
      </c>
      <c r="I433" s="1">
        <f>IFERROR(Comp1[[#This Row],[Comparable '#1 Return]]-INDEX(Benchmark1[Benchmark '#1 Return],MATCH(Comp1[[#This Row],[Comparable '#1 Dates]],Benchmark1[Benchmark '#1 Dates],0)),"-")</f>
        <v>1.6308922640052223E-2</v>
      </c>
      <c r="L433" s="72">
        <f>Comp1[[#This Row],[Comparable '#1 Price]]/$B$2*100</f>
        <v>60.78028747433266</v>
      </c>
    </row>
    <row r="434" spans="1:12">
      <c r="A434" s="103">
        <v>43914</v>
      </c>
      <c r="B434" s="104">
        <v>9.9700000000000006</v>
      </c>
      <c r="C434" s="4">
        <f t="shared" si="12"/>
        <v>0.11577902696966819</v>
      </c>
      <c r="D434" s="1">
        <f>IFERROR(Comp1[[#This Row],[Comparable '#1 Return]]+1,"-")</f>
        <v>1.1157790269696681</v>
      </c>
      <c r="E434" s="6">
        <f>B434-MAX($B$2:B434)</f>
        <v>-11.65</v>
      </c>
      <c r="F434" s="80">
        <f t="shared" si="13"/>
        <v>37</v>
      </c>
      <c r="G434" s="22" cm="1">
        <f t="array" ref="G434">Comp1[[#This Row],[Comparable '#1 Drawdown]]/MAX($B$2:B434)</f>
        <v>-0.53885291396854762</v>
      </c>
      <c r="H434" s="1" t="str">
        <f>IF(SUM(COUNTIF(Benchmark1[Benchmark '#1 Dates],Comp1[[#This Row],[Comparable '#1 Dates]]),COUNTIF(Benchmark2[Benchmark '#2 Dates],Comp1[[#This Row],[Comparable '#1 Dates]]))=2,"Pass","Fail")</f>
        <v>Pass</v>
      </c>
      <c r="I434" s="1">
        <f>IFERROR(Comp1[[#This Row],[Comparable '#1 Return]]-INDEX(Benchmark1[Benchmark '#1 Return],MATCH(Comp1[[#This Row],[Comparable '#1 Dates]],Benchmark1[Benchmark '#1 Dates],0)),"-")</f>
        <v>2.6093663028354169E-2</v>
      </c>
      <c r="L434" s="72">
        <f>Comp1[[#This Row],[Comparable '#1 Price]]/$B$2*100</f>
        <v>68.240930869267629</v>
      </c>
    </row>
    <row r="435" spans="1:12">
      <c r="A435" s="103">
        <v>43915</v>
      </c>
      <c r="B435" s="104">
        <v>10.28</v>
      </c>
      <c r="C435" s="4">
        <f t="shared" si="12"/>
        <v>3.0619676053272017E-2</v>
      </c>
      <c r="D435" s="1">
        <f>IFERROR(Comp1[[#This Row],[Comparable '#1 Return]]+1,"-")</f>
        <v>1.030619676053272</v>
      </c>
      <c r="E435" s="6">
        <f>B435-MAX($B$2:B435)</f>
        <v>-11.340000000000002</v>
      </c>
      <c r="F435" s="80">
        <f t="shared" si="13"/>
        <v>38</v>
      </c>
      <c r="G435" s="22" cm="1">
        <f t="array" ref="G435">Comp1[[#This Row],[Comparable '#1 Drawdown]]/MAX($B$2:B435)</f>
        <v>-0.5245143385753932</v>
      </c>
      <c r="H435" s="1" t="str">
        <f>IF(SUM(COUNTIF(Benchmark1[Benchmark '#1 Dates],Comp1[[#This Row],[Comparable '#1 Dates]]),COUNTIF(Benchmark2[Benchmark '#2 Dates],Comp1[[#This Row],[Comparable '#1 Dates]]))=2,"Pass","Fail")</f>
        <v>Pass</v>
      </c>
      <c r="I435" s="1">
        <f>IFERROR(Comp1[[#This Row],[Comparable '#1 Return]]-INDEX(Benchmark1[Benchmark '#1 Return],MATCH(Comp1[[#This Row],[Comparable '#1 Dates]],Benchmark1[Benchmark '#1 Dates],0)),"-")</f>
        <v>1.9151500284969508E-2</v>
      </c>
      <c r="L435" s="72">
        <f>Comp1[[#This Row],[Comparable '#1 Price]]/$B$2*100</f>
        <v>70.362765229294993</v>
      </c>
    </row>
    <row r="436" spans="1:12">
      <c r="A436" s="103">
        <v>43916</v>
      </c>
      <c r="B436" s="104">
        <v>10.76</v>
      </c>
      <c r="C436" s="4">
        <f t="shared" si="12"/>
        <v>4.563529470661936E-2</v>
      </c>
      <c r="D436" s="1">
        <f>IFERROR(Comp1[[#This Row],[Comparable '#1 Return]]+1,"-")</f>
        <v>1.0456352947066194</v>
      </c>
      <c r="E436" s="6">
        <f>B436-MAX($B$2:B436)</f>
        <v>-10.860000000000001</v>
      </c>
      <c r="F436" s="80">
        <f t="shared" si="13"/>
        <v>39</v>
      </c>
      <c r="G436" s="22" cm="1">
        <f t="array" ref="G436">Comp1[[#This Row],[Comparable '#1 Drawdown]]/MAX($B$2:B436)</f>
        <v>-0.50231267345050878</v>
      </c>
      <c r="H436" s="1" t="str">
        <f>IF(SUM(COUNTIF(Benchmark1[Benchmark '#1 Dates],Comp1[[#This Row],[Comparable '#1 Dates]]),COUNTIF(Benchmark2[Benchmark '#2 Dates],Comp1[[#This Row],[Comparable '#1 Dates]]))=2,"Pass","Fail")</f>
        <v>Pass</v>
      </c>
      <c r="I436" s="1">
        <f>IFERROR(Comp1[[#This Row],[Comparable '#1 Return]]-INDEX(Benchmark1[Benchmark '#1 Return],MATCH(Comp1[[#This Row],[Comparable '#1 Dates]],Benchmark1[Benchmark '#1 Dates],0)),"-")</f>
        <v>-1.4908125486603079E-2</v>
      </c>
      <c r="L436" s="72">
        <f>Comp1[[#This Row],[Comparable '#1 Price]]/$B$2*100</f>
        <v>73.648186173853531</v>
      </c>
    </row>
    <row r="437" spans="1:12">
      <c r="A437" s="103">
        <v>43917</v>
      </c>
      <c r="B437" s="104">
        <v>10.38</v>
      </c>
      <c r="C437" s="4">
        <f t="shared" si="12"/>
        <v>-3.5954676995895725E-2</v>
      </c>
      <c r="D437" s="1">
        <f>IFERROR(Comp1[[#This Row],[Comparable '#1 Return]]+1,"-")</f>
        <v>0.96404532300410428</v>
      </c>
      <c r="E437" s="6">
        <f>B437-MAX($B$2:B437)</f>
        <v>-11.24</v>
      </c>
      <c r="F437" s="80">
        <f t="shared" si="13"/>
        <v>40</v>
      </c>
      <c r="G437" s="22" cm="1">
        <f t="array" ref="G437">Comp1[[#This Row],[Comparable '#1 Drawdown]]/MAX($B$2:B437)</f>
        <v>-0.51988899167437552</v>
      </c>
      <c r="H437" s="1" t="str">
        <f>IF(SUM(COUNTIF(Benchmark1[Benchmark '#1 Dates],Comp1[[#This Row],[Comparable '#1 Dates]]),COUNTIF(Benchmark2[Benchmark '#2 Dates],Comp1[[#This Row],[Comparable '#1 Dates]]))=2,"Pass","Fail")</f>
        <v>Pass</v>
      </c>
      <c r="I437" s="1">
        <f>IFERROR(Comp1[[#This Row],[Comparable '#1 Return]]-INDEX(Benchmark1[Benchmark '#1 Return],MATCH(Comp1[[#This Row],[Comparable '#1 Dates]],Benchmark1[Benchmark '#1 Dates],0)),"-")</f>
        <v>-1.6878128397403436E-3</v>
      </c>
      <c r="L437" s="72">
        <f>Comp1[[#This Row],[Comparable '#1 Price]]/$B$2*100</f>
        <v>71.047227926078037</v>
      </c>
    </row>
    <row r="438" spans="1:12">
      <c r="A438" s="103">
        <v>43920</v>
      </c>
      <c r="B438" s="104">
        <v>10.63</v>
      </c>
      <c r="C438" s="4">
        <f t="shared" si="12"/>
        <v>2.3799314616114085E-2</v>
      </c>
      <c r="D438" s="1">
        <f>IFERROR(Comp1[[#This Row],[Comparable '#1 Return]]+1,"-")</f>
        <v>1.0237993146161142</v>
      </c>
      <c r="E438" s="6">
        <f>B438-MAX($B$2:B438)</f>
        <v>-10.99</v>
      </c>
      <c r="F438" s="80">
        <f t="shared" si="13"/>
        <v>41</v>
      </c>
      <c r="G438" s="22" cm="1">
        <f t="array" ref="G438">Comp1[[#This Row],[Comparable '#1 Drawdown]]/MAX($B$2:B438)</f>
        <v>-0.5083256244218316</v>
      </c>
      <c r="H438" s="1" t="str">
        <f>IF(SUM(COUNTIF(Benchmark1[Benchmark '#1 Dates],Comp1[[#This Row],[Comparable '#1 Dates]]),COUNTIF(Benchmark2[Benchmark '#2 Dates],Comp1[[#This Row],[Comparable '#1 Dates]]))=2,"Pass","Fail")</f>
        <v>Pass</v>
      </c>
      <c r="I438" s="1">
        <f>IFERROR(Comp1[[#This Row],[Comparable '#1 Return]]-INDEX(Benchmark1[Benchmark '#1 Return],MATCH(Comp1[[#This Row],[Comparable '#1 Dates]],Benchmark1[Benchmark '#1 Dates],0)),"-")</f>
        <v>-9.1658253531608086E-3</v>
      </c>
      <c r="L438" s="72">
        <f>Comp1[[#This Row],[Comparable '#1 Price]]/$B$2*100</f>
        <v>72.758384668035603</v>
      </c>
    </row>
    <row r="439" spans="1:12">
      <c r="A439" s="103">
        <v>43921</v>
      </c>
      <c r="B439" s="104">
        <v>10.51</v>
      </c>
      <c r="C439" s="4">
        <f t="shared" si="12"/>
        <v>-1.1353007464996949E-2</v>
      </c>
      <c r="D439" s="1">
        <f>IFERROR(Comp1[[#This Row],[Comparable '#1 Return]]+1,"-")</f>
        <v>0.9886469925350031</v>
      </c>
      <c r="E439" s="6">
        <f>B439-MAX($B$2:B439)</f>
        <v>-11.110000000000001</v>
      </c>
      <c r="F439" s="80">
        <f t="shared" si="13"/>
        <v>42</v>
      </c>
      <c r="G439" s="22" cm="1">
        <f t="array" ref="G439">Comp1[[#This Row],[Comparable '#1 Drawdown]]/MAX($B$2:B439)</f>
        <v>-0.51387604070305282</v>
      </c>
      <c r="H439" s="1" t="str">
        <f>IF(SUM(COUNTIF(Benchmark1[Benchmark '#1 Dates],Comp1[[#This Row],[Comparable '#1 Dates]]),COUNTIF(Benchmark2[Benchmark '#2 Dates],Comp1[[#This Row],[Comparable '#1 Dates]]))=2,"Pass","Fail")</f>
        <v>Pass</v>
      </c>
      <c r="I439" s="1">
        <f>IFERROR(Comp1[[#This Row],[Comparable '#1 Return]]-INDEX(Benchmark1[Benchmark '#1 Return],MATCH(Comp1[[#This Row],[Comparable '#1 Dates]],Benchmark1[Benchmark '#1 Dates],0)),"-")</f>
        <v>4.7874668225433743E-3</v>
      </c>
      <c r="L439" s="72">
        <f>Comp1[[#This Row],[Comparable '#1 Price]]/$B$2*100</f>
        <v>71.937029431895965</v>
      </c>
    </row>
    <row r="440" spans="1:12">
      <c r="A440" s="103">
        <v>43922</v>
      </c>
      <c r="B440" s="104">
        <v>10.199999999999999</v>
      </c>
      <c r="C440" s="4">
        <f t="shared" si="12"/>
        <v>-2.9939464598634426E-2</v>
      </c>
      <c r="D440" s="1">
        <f>IFERROR(Comp1[[#This Row],[Comparable '#1 Return]]+1,"-")</f>
        <v>0.97006053540136561</v>
      </c>
      <c r="E440" s="6">
        <f>B440-MAX($B$2:B440)</f>
        <v>-11.420000000000002</v>
      </c>
      <c r="F440" s="80">
        <f t="shared" si="13"/>
        <v>43</v>
      </c>
      <c r="G440" s="22" cm="1">
        <f t="array" ref="G440">Comp1[[#This Row],[Comparable '#1 Drawdown]]/MAX($B$2:B440)</f>
        <v>-0.52821461609620723</v>
      </c>
      <c r="H440" s="1" t="str">
        <f>IF(SUM(COUNTIF(Benchmark1[Benchmark '#1 Dates],Comp1[[#This Row],[Comparable '#1 Dates]]),COUNTIF(Benchmark2[Benchmark '#2 Dates],Comp1[[#This Row],[Comparable '#1 Dates]]))=2,"Pass","Fail")</f>
        <v>Pass</v>
      </c>
      <c r="I440" s="1">
        <f>IFERROR(Comp1[[#This Row],[Comparable '#1 Return]]-INDEX(Benchmark1[Benchmark '#1 Return],MATCH(Comp1[[#This Row],[Comparable '#1 Dates]],Benchmark1[Benchmark '#1 Dates],0)),"-")</f>
        <v>1.5205373176324047E-2</v>
      </c>
      <c r="L440" s="72">
        <f>Comp1[[#This Row],[Comparable '#1 Price]]/$B$2*100</f>
        <v>69.815195071868587</v>
      </c>
    </row>
    <row r="441" spans="1:12">
      <c r="A441" s="103">
        <v>43923</v>
      </c>
      <c r="B441" s="104">
        <v>9.81</v>
      </c>
      <c r="C441" s="4">
        <f t="shared" si="12"/>
        <v>-3.8985446712953543E-2</v>
      </c>
      <c r="D441" s="1">
        <f>IFERROR(Comp1[[#This Row],[Comparable '#1 Return]]+1,"-")</f>
        <v>0.96101455328704644</v>
      </c>
      <c r="E441" s="6">
        <f>B441-MAX($B$2:B441)</f>
        <v>-11.81</v>
      </c>
      <c r="F441" s="80">
        <f t="shared" si="13"/>
        <v>44</v>
      </c>
      <c r="G441" s="22" cm="1">
        <f t="array" ref="G441">Comp1[[#This Row],[Comparable '#1 Drawdown]]/MAX($B$2:B441)</f>
        <v>-0.5462534690101758</v>
      </c>
      <c r="H441" s="1" t="str">
        <f>IF(SUM(COUNTIF(Benchmark1[Benchmark '#1 Dates],Comp1[[#This Row],[Comparable '#1 Dates]]),COUNTIF(Benchmark2[Benchmark '#2 Dates],Comp1[[#This Row],[Comparable '#1 Dates]]))=2,"Pass","Fail")</f>
        <v>Pass</v>
      </c>
      <c r="I441" s="1">
        <f>IFERROR(Comp1[[#This Row],[Comparable '#1 Return]]-INDEX(Benchmark1[Benchmark '#1 Return],MATCH(Comp1[[#This Row],[Comparable '#1 Dates]],Benchmark1[Benchmark '#1 Dates],0)),"-")</f>
        <v>-6.1557453685453248E-2</v>
      </c>
      <c r="L441" s="72">
        <f>Comp1[[#This Row],[Comparable '#1 Price]]/$B$2*100</f>
        <v>67.145790554414788</v>
      </c>
    </row>
    <row r="442" spans="1:12">
      <c r="A442" s="103">
        <v>43924</v>
      </c>
      <c r="B442" s="104">
        <v>9.24</v>
      </c>
      <c r="C442" s="4">
        <f t="shared" si="12"/>
        <v>-5.9860387923678947E-2</v>
      </c>
      <c r="D442" s="1">
        <f>IFERROR(Comp1[[#This Row],[Comparable '#1 Return]]+1,"-")</f>
        <v>0.94013961207632102</v>
      </c>
      <c r="E442" s="6">
        <f>B442-MAX($B$2:B442)</f>
        <v>-12.38</v>
      </c>
      <c r="F442" s="80">
        <f t="shared" si="13"/>
        <v>45</v>
      </c>
      <c r="G442" s="22" cm="1">
        <f t="array" ref="G442">Comp1[[#This Row],[Comparable '#1 Drawdown]]/MAX($B$2:B442)</f>
        <v>-0.57261794634597596</v>
      </c>
      <c r="H442" s="1" t="str">
        <f>IF(SUM(COUNTIF(Benchmark1[Benchmark '#1 Dates],Comp1[[#This Row],[Comparable '#1 Dates]]),COUNTIF(Benchmark2[Benchmark '#2 Dates],Comp1[[#This Row],[Comparable '#1 Dates]]))=2,"Pass","Fail")</f>
        <v>Pass</v>
      </c>
      <c r="I442" s="1">
        <f>IFERROR(Comp1[[#This Row],[Comparable '#1 Return]]-INDEX(Benchmark1[Benchmark '#1 Return],MATCH(Comp1[[#This Row],[Comparable '#1 Dates]],Benchmark1[Benchmark '#1 Dates],0)),"-")</f>
        <v>-4.4605808000533584E-2</v>
      </c>
      <c r="L442" s="72">
        <f>Comp1[[#This Row],[Comparable '#1 Price]]/$B$2*100</f>
        <v>63.244353182751546</v>
      </c>
    </row>
    <row r="443" spans="1:12">
      <c r="A443" s="103">
        <v>43927</v>
      </c>
      <c r="B443" s="104">
        <v>9.92</v>
      </c>
      <c r="C443" s="4">
        <f t="shared" si="12"/>
        <v>7.1011035643188697E-2</v>
      </c>
      <c r="D443" s="1">
        <f>IFERROR(Comp1[[#This Row],[Comparable '#1 Return]]+1,"-")</f>
        <v>1.0710110356431888</v>
      </c>
      <c r="E443" s="6">
        <f>B443-MAX($B$2:B443)</f>
        <v>-11.700000000000001</v>
      </c>
      <c r="F443" s="80">
        <f t="shared" si="13"/>
        <v>46</v>
      </c>
      <c r="G443" s="22" cm="1">
        <f t="array" ref="G443">Comp1[[#This Row],[Comparable '#1 Drawdown]]/MAX($B$2:B443)</f>
        <v>-0.5411655874190564</v>
      </c>
      <c r="H443" s="1" t="str">
        <f>IF(SUM(COUNTIF(Benchmark1[Benchmark '#1 Dates],Comp1[[#This Row],[Comparable '#1 Dates]]),COUNTIF(Benchmark2[Benchmark '#2 Dates],Comp1[[#This Row],[Comparable '#1 Dates]]))=2,"Pass","Fail")</f>
        <v>Pass</v>
      </c>
      <c r="I443" s="1">
        <f>IFERROR(Comp1[[#This Row],[Comparable '#1 Return]]-INDEX(Benchmark1[Benchmark '#1 Return],MATCH(Comp1[[#This Row],[Comparable '#1 Dates]],Benchmark1[Benchmark '#1 Dates],0)),"-")</f>
        <v>3.0407684948447339E-3</v>
      </c>
      <c r="L443" s="72">
        <f>Comp1[[#This Row],[Comparable '#1 Price]]/$B$2*100</f>
        <v>67.898699520876121</v>
      </c>
    </row>
    <row r="444" spans="1:12">
      <c r="A444" s="103">
        <v>43928</v>
      </c>
      <c r="B444" s="104">
        <v>10.66</v>
      </c>
      <c r="C444" s="4">
        <f t="shared" si="12"/>
        <v>7.1945497440917147E-2</v>
      </c>
      <c r="D444" s="1">
        <f>IFERROR(Comp1[[#This Row],[Comparable '#1 Return]]+1,"-")</f>
        <v>1.0719454974409171</v>
      </c>
      <c r="E444" s="6">
        <f>B444-MAX($B$2:B444)</f>
        <v>-10.96</v>
      </c>
      <c r="F444" s="80">
        <f t="shared" si="13"/>
        <v>47</v>
      </c>
      <c r="G444" s="22" cm="1">
        <f t="array" ref="G444">Comp1[[#This Row],[Comparable '#1 Drawdown]]/MAX($B$2:B444)</f>
        <v>-0.50693802035152635</v>
      </c>
      <c r="H444" s="1" t="str">
        <f>IF(SUM(COUNTIF(Benchmark1[Benchmark '#1 Dates],Comp1[[#This Row],[Comparable '#1 Dates]]),COUNTIF(Benchmark2[Benchmark '#2 Dates],Comp1[[#This Row],[Comparable '#1 Dates]]))=2,"Pass","Fail")</f>
        <v>Pass</v>
      </c>
      <c r="I444" s="1">
        <f>IFERROR(Comp1[[#This Row],[Comparable '#1 Return]]-INDEX(Benchmark1[Benchmark '#1 Return],MATCH(Comp1[[#This Row],[Comparable '#1 Dates]],Benchmark1[Benchmark '#1 Dates],0)),"-")</f>
        <v>7.3551004566718883E-2</v>
      </c>
      <c r="L444" s="72">
        <f>Comp1[[#This Row],[Comparable '#1 Price]]/$B$2*100</f>
        <v>72.963723477070502</v>
      </c>
    </row>
    <row r="445" spans="1:12">
      <c r="A445" s="103">
        <v>43929</v>
      </c>
      <c r="B445" s="104">
        <v>9.91</v>
      </c>
      <c r="C445" s="4">
        <f t="shared" si="12"/>
        <v>-7.2954070395801845E-2</v>
      </c>
      <c r="D445" s="1">
        <f>IFERROR(Comp1[[#This Row],[Comparable '#1 Return]]+1,"-")</f>
        <v>0.92704592960419818</v>
      </c>
      <c r="E445" s="6">
        <f>B445-MAX($B$2:B445)</f>
        <v>-11.71</v>
      </c>
      <c r="F445" s="80">
        <f t="shared" si="13"/>
        <v>48</v>
      </c>
      <c r="G445" s="22" cm="1">
        <f t="array" ref="G445">Comp1[[#This Row],[Comparable '#1 Drawdown]]/MAX($B$2:B445)</f>
        <v>-0.54162812210915823</v>
      </c>
      <c r="H445" s="1" t="str">
        <f>IF(SUM(COUNTIF(Benchmark1[Benchmark '#1 Dates],Comp1[[#This Row],[Comparable '#1 Dates]]),COUNTIF(Benchmark2[Benchmark '#2 Dates],Comp1[[#This Row],[Comparable '#1 Dates]]))=2,"Pass","Fail")</f>
        <v>Pass</v>
      </c>
      <c r="I445" s="1">
        <f>IFERROR(Comp1[[#This Row],[Comparable '#1 Return]]-INDEX(Benchmark1[Benchmark '#1 Return],MATCH(Comp1[[#This Row],[Comparable '#1 Dates]],Benchmark1[Benchmark '#1 Dates],0)),"-")</f>
        <v>-0.10644234006053294</v>
      </c>
      <c r="L445" s="72">
        <f>Comp1[[#This Row],[Comparable '#1 Price]]/$B$2*100</f>
        <v>67.830253251197817</v>
      </c>
    </row>
    <row r="446" spans="1:12">
      <c r="A446" s="103">
        <v>43930</v>
      </c>
      <c r="B446" s="104">
        <v>10.39</v>
      </c>
      <c r="C446" s="4">
        <f t="shared" si="12"/>
        <v>4.7299456769239495E-2</v>
      </c>
      <c r="D446" s="1">
        <f>IFERROR(Comp1[[#This Row],[Comparable '#1 Return]]+1,"-")</f>
        <v>1.0472994567692395</v>
      </c>
      <c r="E446" s="6">
        <f>B446-MAX($B$2:B446)</f>
        <v>-11.23</v>
      </c>
      <c r="F446" s="80">
        <f t="shared" si="13"/>
        <v>49</v>
      </c>
      <c r="G446" s="22" cm="1">
        <f t="array" ref="G446">Comp1[[#This Row],[Comparable '#1 Drawdown]]/MAX($B$2:B446)</f>
        <v>-0.51942645698427381</v>
      </c>
      <c r="H446" s="1" t="str">
        <f>IF(SUM(COUNTIF(Benchmark1[Benchmark '#1 Dates],Comp1[[#This Row],[Comparable '#1 Dates]]),COUNTIF(Benchmark2[Benchmark '#2 Dates],Comp1[[#This Row],[Comparable '#1 Dates]]))=2,"Pass","Fail")</f>
        <v>Pass</v>
      </c>
      <c r="I446" s="1">
        <f>IFERROR(Comp1[[#This Row],[Comparable '#1 Return]]-INDEX(Benchmark1[Benchmark '#1 Return],MATCH(Comp1[[#This Row],[Comparable '#1 Dates]],Benchmark1[Benchmark '#1 Dates],0)),"-")</f>
        <v>3.2916136074811829E-2</v>
      </c>
      <c r="L446" s="72">
        <f>Comp1[[#This Row],[Comparable '#1 Price]]/$B$2*100</f>
        <v>71.115674195756341</v>
      </c>
    </row>
    <row r="447" spans="1:12">
      <c r="A447" s="103">
        <v>43934</v>
      </c>
      <c r="B447" s="104">
        <v>10.119999999999999</v>
      </c>
      <c r="C447" s="4">
        <f t="shared" si="12"/>
        <v>-2.633014125181667E-2</v>
      </c>
      <c r="D447" s="1">
        <f>IFERROR(Comp1[[#This Row],[Comparable '#1 Return]]+1,"-")</f>
        <v>0.97366985874818335</v>
      </c>
      <c r="E447" s="6">
        <f>B447-MAX($B$2:B447)</f>
        <v>-11.500000000000002</v>
      </c>
      <c r="F447" s="80">
        <f t="shared" si="13"/>
        <v>50</v>
      </c>
      <c r="G447" s="22" cm="1">
        <f t="array" ref="G447">Comp1[[#This Row],[Comparable '#1 Drawdown]]/MAX($B$2:B447)</f>
        <v>-0.53191489361702138</v>
      </c>
      <c r="H447" s="1" t="str">
        <f>IF(SUM(COUNTIF(Benchmark1[Benchmark '#1 Dates],Comp1[[#This Row],[Comparable '#1 Dates]]),COUNTIF(Benchmark2[Benchmark '#2 Dates],Comp1[[#This Row],[Comparable '#1 Dates]]))=2,"Pass","Fail")</f>
        <v>Pass</v>
      </c>
      <c r="I447" s="1">
        <f>IFERROR(Comp1[[#This Row],[Comparable '#1 Return]]-INDEX(Benchmark1[Benchmark '#1 Return],MATCH(Comp1[[#This Row],[Comparable '#1 Dates]],Benchmark1[Benchmark '#1 Dates],0)),"-")</f>
        <v>-1.617409433552023E-2</v>
      </c>
      <c r="L447" s="72">
        <f>Comp1[[#This Row],[Comparable '#1 Price]]/$B$2*100</f>
        <v>69.267624914442166</v>
      </c>
    </row>
    <row r="448" spans="1:12">
      <c r="A448" s="103">
        <v>43935</v>
      </c>
      <c r="B448" s="104">
        <v>10.45</v>
      </c>
      <c r="C448" s="4">
        <f t="shared" si="12"/>
        <v>3.2088314551500449E-2</v>
      </c>
      <c r="D448" s="1">
        <f>IFERROR(Comp1[[#This Row],[Comparable '#1 Return]]+1,"-")</f>
        <v>1.0320883145515005</v>
      </c>
      <c r="E448" s="6">
        <f>B448-MAX($B$2:B448)</f>
        <v>-11.170000000000002</v>
      </c>
      <c r="F448" s="80">
        <f t="shared" si="13"/>
        <v>51</v>
      </c>
      <c r="G448" s="22" cm="1">
        <f t="array" ref="G448">Comp1[[#This Row],[Comparable '#1 Drawdown]]/MAX($B$2:B448)</f>
        <v>-0.51665124884366331</v>
      </c>
      <c r="H448" s="1" t="str">
        <f>IF(SUM(COUNTIF(Benchmark1[Benchmark '#1 Dates],Comp1[[#This Row],[Comparable '#1 Dates]]),COUNTIF(Benchmark2[Benchmark '#2 Dates],Comp1[[#This Row],[Comparable '#1 Dates]]))=2,"Pass","Fail")</f>
        <v>Pass</v>
      </c>
      <c r="I448" s="1">
        <f>IFERROR(Comp1[[#This Row],[Comparable '#1 Return]]-INDEX(Benchmark1[Benchmark '#1 Return],MATCH(Comp1[[#This Row],[Comparable '#1 Dates]],Benchmark1[Benchmark '#1 Dates],0)),"-")</f>
        <v>1.9724235206209084E-3</v>
      </c>
      <c r="L448" s="72">
        <f>Comp1[[#This Row],[Comparable '#1 Price]]/$B$2*100</f>
        <v>71.526351813826139</v>
      </c>
    </row>
    <row r="449" spans="1:12">
      <c r="A449" s="103">
        <v>43936</v>
      </c>
      <c r="B449" s="104">
        <v>9.6300000000000008</v>
      </c>
      <c r="C449" s="4">
        <f t="shared" si="12"/>
        <v>-8.1718752600785621E-2</v>
      </c>
      <c r="D449" s="1">
        <f>IFERROR(Comp1[[#This Row],[Comparable '#1 Return]]+1,"-")</f>
        <v>0.91828124739921435</v>
      </c>
      <c r="E449" s="6">
        <f>B449-MAX($B$2:B449)</f>
        <v>-11.99</v>
      </c>
      <c r="F449" s="80">
        <f t="shared" si="13"/>
        <v>52</v>
      </c>
      <c r="G449" s="22" cm="1">
        <f t="array" ref="G449">Comp1[[#This Row],[Comparable '#1 Drawdown]]/MAX($B$2:B449)</f>
        <v>-0.5545790934320074</v>
      </c>
      <c r="H449" s="1" t="str">
        <f>IF(SUM(COUNTIF(Benchmark1[Benchmark '#1 Dates],Comp1[[#This Row],[Comparable '#1 Dates]]),COUNTIF(Benchmark2[Benchmark '#2 Dates],Comp1[[#This Row],[Comparable '#1 Dates]]))=2,"Pass","Fail")</f>
        <v>Pass</v>
      </c>
      <c r="I449" s="1">
        <f>IFERROR(Comp1[[#This Row],[Comparable '#1 Return]]-INDEX(Benchmark1[Benchmark '#1 Return],MATCH(Comp1[[#This Row],[Comparable '#1 Dates]],Benchmark1[Benchmark '#1 Dates],0)),"-")</f>
        <v>-5.9442371189850476E-2</v>
      </c>
      <c r="L449" s="72">
        <f>Comp1[[#This Row],[Comparable '#1 Price]]/$B$2*100</f>
        <v>65.913757700205338</v>
      </c>
    </row>
    <row r="450" spans="1:12">
      <c r="A450" s="103">
        <v>43937</v>
      </c>
      <c r="B450" s="104">
        <v>9.24</v>
      </c>
      <c r="C450" s="4">
        <f t="shared" ref="C450:C513" si="14">IFERROR(IF(B450="","-",LN(B450/B449)),"-")</f>
        <v>-4.1341340156441399E-2</v>
      </c>
      <c r="D450" s="1">
        <f>IFERROR(Comp1[[#This Row],[Comparable '#1 Return]]+1,"-")</f>
        <v>0.95865865984355858</v>
      </c>
      <c r="E450" s="6">
        <f>B450-MAX($B$2:B450)</f>
        <v>-12.38</v>
      </c>
      <c r="F450" s="80">
        <f t="shared" ref="F450:F513" si="15">IF(E450=0,0,F449+1)</f>
        <v>53</v>
      </c>
      <c r="G450" s="22" cm="1">
        <f t="array" ref="G450">Comp1[[#This Row],[Comparable '#1 Drawdown]]/MAX($B$2:B450)</f>
        <v>-0.57261794634597596</v>
      </c>
      <c r="H450" s="1" t="str">
        <f>IF(SUM(COUNTIF(Benchmark1[Benchmark '#1 Dates],Comp1[[#This Row],[Comparable '#1 Dates]]),COUNTIF(Benchmark2[Benchmark '#2 Dates],Comp1[[#This Row],[Comparable '#1 Dates]]))=2,"Pass","Fail")</f>
        <v>Pass</v>
      </c>
      <c r="I450" s="1">
        <f>IFERROR(Comp1[[#This Row],[Comparable '#1 Return]]-INDEX(Benchmark1[Benchmark '#1 Return],MATCH(Comp1[[#This Row],[Comparable '#1 Dates]],Benchmark1[Benchmark '#1 Dates],0)),"-")</f>
        <v>-4.7141274220920404E-2</v>
      </c>
      <c r="L450" s="72">
        <f>Comp1[[#This Row],[Comparable '#1 Price]]/$B$2*100</f>
        <v>63.244353182751546</v>
      </c>
    </row>
    <row r="451" spans="1:12">
      <c r="A451" s="103">
        <v>43938</v>
      </c>
      <c r="B451" s="104">
        <v>9.2899999999999991</v>
      </c>
      <c r="C451" s="4">
        <f t="shared" si="14"/>
        <v>5.3966671721542587E-3</v>
      </c>
      <c r="D451" s="1">
        <f>IFERROR(Comp1[[#This Row],[Comparable '#1 Return]]+1,"-")</f>
        <v>1.0053966671721544</v>
      </c>
      <c r="E451" s="6">
        <f>B451-MAX($B$2:B451)</f>
        <v>-12.330000000000002</v>
      </c>
      <c r="F451" s="80">
        <f t="shared" si="15"/>
        <v>54</v>
      </c>
      <c r="G451" s="22" cm="1">
        <f t="array" ref="G451">Comp1[[#This Row],[Comparable '#1 Drawdown]]/MAX($B$2:B451)</f>
        <v>-0.57030527289546717</v>
      </c>
      <c r="H451" s="1" t="str">
        <f>IF(SUM(COUNTIF(Benchmark1[Benchmark '#1 Dates],Comp1[[#This Row],[Comparable '#1 Dates]]),COUNTIF(Benchmark2[Benchmark '#2 Dates],Comp1[[#This Row],[Comparable '#1 Dates]]))=2,"Pass","Fail")</f>
        <v>Pass</v>
      </c>
      <c r="I451" s="1">
        <f>IFERROR(Comp1[[#This Row],[Comparable '#1 Return]]-INDEX(Benchmark1[Benchmark '#1 Return],MATCH(Comp1[[#This Row],[Comparable '#1 Dates]],Benchmark1[Benchmark '#1 Dates],0)),"-")</f>
        <v>-2.1045017106777669E-2</v>
      </c>
      <c r="L451" s="72">
        <f>Comp1[[#This Row],[Comparable '#1 Price]]/$B$2*100</f>
        <v>63.586584531143053</v>
      </c>
    </row>
    <row r="452" spans="1:12">
      <c r="A452" s="103">
        <v>43941</v>
      </c>
      <c r="B452" s="104">
        <v>8.7200000000000006</v>
      </c>
      <c r="C452" s="4">
        <f t="shared" si="14"/>
        <v>-6.3319314904858773E-2</v>
      </c>
      <c r="D452" s="1">
        <f>IFERROR(Comp1[[#This Row],[Comparable '#1 Return]]+1,"-")</f>
        <v>0.93668068509514124</v>
      </c>
      <c r="E452" s="6">
        <f>B452-MAX($B$2:B452)</f>
        <v>-12.9</v>
      </c>
      <c r="F452" s="80">
        <f t="shared" si="15"/>
        <v>55</v>
      </c>
      <c r="G452" s="22" cm="1">
        <f t="array" ref="G452">Comp1[[#This Row],[Comparable '#1 Drawdown]]/MAX($B$2:B452)</f>
        <v>-0.59666975023126734</v>
      </c>
      <c r="H452" s="1" t="str">
        <f>IF(SUM(COUNTIF(Benchmark1[Benchmark '#1 Dates],Comp1[[#This Row],[Comparable '#1 Dates]]),COUNTIF(Benchmark2[Benchmark '#2 Dates],Comp1[[#This Row],[Comparable '#1 Dates]]))=2,"Pass","Fail")</f>
        <v>Pass</v>
      </c>
      <c r="I452" s="1">
        <f>IFERROR(Comp1[[#This Row],[Comparable '#1 Return]]-INDEX(Benchmark1[Benchmark '#1 Return],MATCH(Comp1[[#This Row],[Comparable '#1 Dates]],Benchmark1[Benchmark '#1 Dates],0)),"-")</f>
        <v>-4.5273652144431006E-2</v>
      </c>
      <c r="L452" s="72">
        <f>Comp1[[#This Row],[Comparable '#1 Price]]/$B$2*100</f>
        <v>59.685147159479811</v>
      </c>
    </row>
    <row r="453" spans="1:12">
      <c r="A453" s="103">
        <v>43942</v>
      </c>
      <c r="B453" s="104">
        <v>8.4450000000000003</v>
      </c>
      <c r="C453" s="4">
        <f t="shared" si="14"/>
        <v>-3.2044687661124914E-2</v>
      </c>
      <c r="D453" s="1">
        <f>IFERROR(Comp1[[#This Row],[Comparable '#1 Return]]+1,"-")</f>
        <v>0.96795531233887511</v>
      </c>
      <c r="E453" s="6">
        <f>B453-MAX($B$2:B453)</f>
        <v>-13.175000000000001</v>
      </c>
      <c r="F453" s="80">
        <f t="shared" si="15"/>
        <v>56</v>
      </c>
      <c r="G453" s="22" cm="1">
        <f t="array" ref="G453">Comp1[[#This Row],[Comparable '#1 Drawdown]]/MAX($B$2:B453)</f>
        <v>-0.60938945420906565</v>
      </c>
      <c r="H453" s="1" t="str">
        <f>IF(SUM(COUNTIF(Benchmark1[Benchmark '#1 Dates],Comp1[[#This Row],[Comparable '#1 Dates]]),COUNTIF(Benchmark2[Benchmark '#2 Dates],Comp1[[#This Row],[Comparable '#1 Dates]]))=2,"Pass","Fail")</f>
        <v>Pass</v>
      </c>
      <c r="I453" s="1">
        <f>IFERROR(Comp1[[#This Row],[Comparable '#1 Return]]-INDEX(Benchmark1[Benchmark '#1 Return],MATCH(Comp1[[#This Row],[Comparable '#1 Dates]],Benchmark1[Benchmark '#1 Dates],0)),"-")</f>
        <v>-8.9199133193944985E-4</v>
      </c>
      <c r="L453" s="72">
        <f>Comp1[[#This Row],[Comparable '#1 Price]]/$B$2*100</f>
        <v>57.802874743326491</v>
      </c>
    </row>
    <row r="454" spans="1:12">
      <c r="A454" s="103">
        <v>43943</v>
      </c>
      <c r="B454" s="104">
        <v>8.41</v>
      </c>
      <c r="C454" s="4">
        <f t="shared" si="14"/>
        <v>-4.153076274906701E-3</v>
      </c>
      <c r="D454" s="1">
        <f>IFERROR(Comp1[[#This Row],[Comparable '#1 Return]]+1,"-")</f>
        <v>0.99584692372509331</v>
      </c>
      <c r="E454" s="6">
        <f>B454-MAX($B$2:B454)</f>
        <v>-13.21</v>
      </c>
      <c r="F454" s="80">
        <f t="shared" si="15"/>
        <v>57</v>
      </c>
      <c r="G454" s="22" cm="1">
        <f t="array" ref="G454">Comp1[[#This Row],[Comparable '#1 Drawdown]]/MAX($B$2:B454)</f>
        <v>-0.61100832562442187</v>
      </c>
      <c r="H454" s="1" t="str">
        <f>IF(SUM(COUNTIF(Benchmark1[Benchmark '#1 Dates],Comp1[[#This Row],[Comparable '#1 Dates]]),COUNTIF(Benchmark2[Benchmark '#2 Dates],Comp1[[#This Row],[Comparable '#1 Dates]]))=2,"Pass","Fail")</f>
        <v>Pass</v>
      </c>
      <c r="I454" s="1">
        <f>IFERROR(Comp1[[#This Row],[Comparable '#1 Return]]-INDEX(Benchmark1[Benchmark '#1 Return],MATCH(Comp1[[#This Row],[Comparable '#1 Dates]],Benchmark1[Benchmark '#1 Dates],0)),"-")</f>
        <v>-2.682488795520167E-2</v>
      </c>
      <c r="L454" s="72">
        <f>Comp1[[#This Row],[Comparable '#1 Price]]/$B$2*100</f>
        <v>57.56331279945244</v>
      </c>
    </row>
    <row r="455" spans="1:12">
      <c r="A455" s="103">
        <v>43944</v>
      </c>
      <c r="B455" s="104">
        <v>8.33</v>
      </c>
      <c r="C455" s="4">
        <f t="shared" si="14"/>
        <v>-9.5580178061053563E-3</v>
      </c>
      <c r="D455" s="1">
        <f>IFERROR(Comp1[[#This Row],[Comparable '#1 Return]]+1,"-")</f>
        <v>0.99044198219389468</v>
      </c>
      <c r="E455" s="6">
        <f>B455-MAX($B$2:B455)</f>
        <v>-13.290000000000001</v>
      </c>
      <c r="F455" s="80">
        <f t="shared" si="15"/>
        <v>58</v>
      </c>
      <c r="G455" s="22" cm="1">
        <f t="array" ref="G455">Comp1[[#This Row],[Comparable '#1 Drawdown]]/MAX($B$2:B455)</f>
        <v>-0.6147086031452359</v>
      </c>
      <c r="H455" s="1" t="str">
        <f>IF(SUM(COUNTIF(Benchmark1[Benchmark '#1 Dates],Comp1[[#This Row],[Comparable '#1 Dates]]),COUNTIF(Benchmark2[Benchmark '#2 Dates],Comp1[[#This Row],[Comparable '#1 Dates]]))=2,"Pass","Fail")</f>
        <v>Pass</v>
      </c>
      <c r="I455" s="1">
        <f>IFERROR(Comp1[[#This Row],[Comparable '#1 Return]]-INDEX(Benchmark1[Benchmark '#1 Return],MATCH(Comp1[[#This Row],[Comparable '#1 Dates]],Benchmark1[Benchmark '#1 Dates],0)),"-")</f>
        <v>-9.0155437130020055E-3</v>
      </c>
      <c r="L455" s="72">
        <f>Comp1[[#This Row],[Comparable '#1 Price]]/$B$2*100</f>
        <v>57.015742642026012</v>
      </c>
    </row>
    <row r="456" spans="1:12">
      <c r="A456" s="103">
        <v>43945</v>
      </c>
      <c r="B456" s="104">
        <v>8.42</v>
      </c>
      <c r="C456" s="4">
        <f t="shared" si="14"/>
        <v>1.0746372075484061E-2</v>
      </c>
      <c r="D456" s="1">
        <f>IFERROR(Comp1[[#This Row],[Comparable '#1 Return]]+1,"-")</f>
        <v>1.0107463720754841</v>
      </c>
      <c r="E456" s="6">
        <f>B456-MAX($B$2:B456)</f>
        <v>-13.200000000000001</v>
      </c>
      <c r="F456" s="80">
        <f t="shared" si="15"/>
        <v>59</v>
      </c>
      <c r="G456" s="22" cm="1">
        <f t="array" ref="G456">Comp1[[#This Row],[Comparable '#1 Drawdown]]/MAX($B$2:B456)</f>
        <v>-0.61054579093432004</v>
      </c>
      <c r="H456" s="1" t="str">
        <f>IF(SUM(COUNTIF(Benchmark1[Benchmark '#1 Dates],Comp1[[#This Row],[Comparable '#1 Dates]]),COUNTIF(Benchmark2[Benchmark '#2 Dates],Comp1[[#This Row],[Comparable '#1 Dates]]))=2,"Pass","Fail")</f>
        <v>Pass</v>
      </c>
      <c r="I456" s="1">
        <f>IFERROR(Comp1[[#This Row],[Comparable '#1 Return]]-INDEX(Benchmark1[Benchmark '#1 Return],MATCH(Comp1[[#This Row],[Comparable '#1 Dates]],Benchmark1[Benchmark '#1 Dates],0)),"-")</f>
        <v>-3.0768502585888056E-3</v>
      </c>
      <c r="L456" s="72">
        <f>Comp1[[#This Row],[Comparable '#1 Price]]/$B$2*100</f>
        <v>57.631759069130737</v>
      </c>
    </row>
    <row r="457" spans="1:12">
      <c r="A457" s="103">
        <v>43948</v>
      </c>
      <c r="B457" s="104">
        <v>8.99</v>
      </c>
      <c r="C457" s="4">
        <f t="shared" si="14"/>
        <v>6.5503020229293649E-2</v>
      </c>
      <c r="D457" s="1">
        <f>IFERROR(Comp1[[#This Row],[Comparable '#1 Return]]+1,"-")</f>
        <v>1.0655030202292937</v>
      </c>
      <c r="E457" s="6">
        <f>B457-MAX($B$2:B457)</f>
        <v>-12.63</v>
      </c>
      <c r="F457" s="80">
        <f t="shared" si="15"/>
        <v>60</v>
      </c>
      <c r="G457" s="22" cm="1">
        <f t="array" ref="G457">Comp1[[#This Row],[Comparable '#1 Drawdown]]/MAX($B$2:B457)</f>
        <v>-0.58418131359851988</v>
      </c>
      <c r="H457" s="1" t="str">
        <f>IF(SUM(COUNTIF(Benchmark1[Benchmark '#1 Dates],Comp1[[#This Row],[Comparable '#1 Dates]]),COUNTIF(Benchmark2[Benchmark '#2 Dates],Comp1[[#This Row],[Comparable '#1 Dates]]))=2,"Pass","Fail")</f>
        <v>Pass</v>
      </c>
      <c r="I457" s="1">
        <f>IFERROR(Comp1[[#This Row],[Comparable '#1 Return]]-INDEX(Benchmark1[Benchmark '#1 Return],MATCH(Comp1[[#This Row],[Comparable '#1 Dates]],Benchmark1[Benchmark '#1 Dates],0)),"-")</f>
        <v>5.0896076112732884E-2</v>
      </c>
      <c r="L457" s="72">
        <f>Comp1[[#This Row],[Comparable '#1 Price]]/$B$2*100</f>
        <v>61.533196440793979</v>
      </c>
    </row>
    <row r="458" spans="1:12">
      <c r="A458" s="103">
        <v>43949</v>
      </c>
      <c r="B458" s="104">
        <v>9.6199999999999992</v>
      </c>
      <c r="C458" s="4">
        <f t="shared" si="14"/>
        <v>6.7731416194086083E-2</v>
      </c>
      <c r="D458" s="1">
        <f>IFERROR(Comp1[[#This Row],[Comparable '#1 Return]]+1,"-")</f>
        <v>1.0677314161940861</v>
      </c>
      <c r="E458" s="6">
        <f>B458-MAX($B$2:B458)</f>
        <v>-12.000000000000002</v>
      </c>
      <c r="F458" s="80">
        <f t="shared" si="15"/>
        <v>61</v>
      </c>
      <c r="G458" s="22" cm="1">
        <f t="array" ref="G458">Comp1[[#This Row],[Comparable '#1 Drawdown]]/MAX($B$2:B458)</f>
        <v>-0.55504162812210922</v>
      </c>
      <c r="H458" s="1" t="str">
        <f>IF(SUM(COUNTIF(Benchmark1[Benchmark '#1 Dates],Comp1[[#This Row],[Comparable '#1 Dates]]),COUNTIF(Benchmark2[Benchmark '#2 Dates],Comp1[[#This Row],[Comparable '#1 Dates]]))=2,"Pass","Fail")</f>
        <v>Pass</v>
      </c>
      <c r="I458" s="1">
        <f>IFERROR(Comp1[[#This Row],[Comparable '#1 Return]]-INDEX(Benchmark1[Benchmark '#1 Return],MATCH(Comp1[[#This Row],[Comparable '#1 Dates]],Benchmark1[Benchmark '#1 Dates],0)),"-")</f>
        <v>7.2986904530778801E-2</v>
      </c>
      <c r="L458" s="72">
        <f>Comp1[[#This Row],[Comparable '#1 Price]]/$B$2*100</f>
        <v>65.845311430527033</v>
      </c>
    </row>
    <row r="459" spans="1:12">
      <c r="A459" s="103">
        <v>43950</v>
      </c>
      <c r="B459" s="104">
        <v>9.7100000000000009</v>
      </c>
      <c r="C459" s="4">
        <f t="shared" si="14"/>
        <v>9.3120176256186148E-3</v>
      </c>
      <c r="D459" s="1">
        <f>IFERROR(Comp1[[#This Row],[Comparable '#1 Return]]+1,"-")</f>
        <v>1.0093120176256185</v>
      </c>
      <c r="E459" s="6">
        <f>B459-MAX($B$2:B459)</f>
        <v>-11.91</v>
      </c>
      <c r="F459" s="80">
        <f t="shared" si="15"/>
        <v>62</v>
      </c>
      <c r="G459" s="22" cm="1">
        <f t="array" ref="G459">Comp1[[#This Row],[Comparable '#1 Drawdown]]/MAX($B$2:B459)</f>
        <v>-0.55087881591119336</v>
      </c>
      <c r="H459" s="1" t="str">
        <f>IF(SUM(COUNTIF(Benchmark1[Benchmark '#1 Dates],Comp1[[#This Row],[Comparable '#1 Dates]]),COUNTIF(Benchmark2[Benchmark '#2 Dates],Comp1[[#This Row],[Comparable '#1 Dates]]))=2,"Pass","Fail")</f>
        <v>Pass</v>
      </c>
      <c r="I459" s="1">
        <f>IFERROR(Comp1[[#This Row],[Comparable '#1 Return]]-INDEX(Benchmark1[Benchmark '#1 Return],MATCH(Comp1[[#This Row],[Comparable '#1 Dates]],Benchmark1[Benchmark '#1 Dates],0)),"-")</f>
        <v>-1.6922454972559845E-2</v>
      </c>
      <c r="L459" s="72">
        <f>Comp1[[#This Row],[Comparable '#1 Price]]/$B$2*100</f>
        <v>66.461327857631773</v>
      </c>
    </row>
    <row r="460" spans="1:12">
      <c r="A460" s="103">
        <v>43951</v>
      </c>
      <c r="B460" s="104">
        <v>9.4700000000000006</v>
      </c>
      <c r="C460" s="4">
        <f t="shared" si="14"/>
        <v>-2.5027375105246691E-2</v>
      </c>
      <c r="D460" s="1">
        <f>IFERROR(Comp1[[#This Row],[Comparable '#1 Return]]+1,"-")</f>
        <v>0.97497262489475334</v>
      </c>
      <c r="E460" s="6">
        <f>B460-MAX($B$2:B460)</f>
        <v>-12.15</v>
      </c>
      <c r="F460" s="80">
        <f t="shared" si="15"/>
        <v>63</v>
      </c>
      <c r="G460" s="22" cm="1">
        <f t="array" ref="G460">Comp1[[#This Row],[Comparable '#1 Drawdown]]/MAX($B$2:B460)</f>
        <v>-0.56197964847363546</v>
      </c>
      <c r="H460" s="1" t="str">
        <f>IF(SUM(COUNTIF(Benchmark1[Benchmark '#1 Dates],Comp1[[#This Row],[Comparable '#1 Dates]]),COUNTIF(Benchmark2[Benchmark '#2 Dates],Comp1[[#This Row],[Comparable '#1 Dates]]))=2,"Pass","Fail")</f>
        <v>Pass</v>
      </c>
      <c r="I460" s="1">
        <f>IFERROR(Comp1[[#This Row],[Comparable '#1 Return]]-INDEX(Benchmark1[Benchmark '#1 Return],MATCH(Comp1[[#This Row],[Comparable '#1 Dates]],Benchmark1[Benchmark '#1 Dates],0)),"-")</f>
        <v>-1.5774007550076893E-2</v>
      </c>
      <c r="L460" s="72">
        <f>Comp1[[#This Row],[Comparable '#1 Price]]/$B$2*100</f>
        <v>64.81861738535251</v>
      </c>
    </row>
    <row r="461" spans="1:12">
      <c r="A461" s="103">
        <v>43952</v>
      </c>
      <c r="B461" s="104">
        <v>9.2100000000000009</v>
      </c>
      <c r="C461" s="4">
        <f t="shared" si="14"/>
        <v>-2.7839056930771416E-2</v>
      </c>
      <c r="D461" s="1">
        <f>IFERROR(Comp1[[#This Row],[Comparable '#1 Return]]+1,"-")</f>
        <v>0.97216094306922862</v>
      </c>
      <c r="E461" s="6">
        <f>B461-MAX($B$2:B461)</f>
        <v>-12.41</v>
      </c>
      <c r="F461" s="80">
        <f t="shared" si="15"/>
        <v>64</v>
      </c>
      <c r="G461" s="22" cm="1">
        <f t="array" ref="G461">Comp1[[#This Row],[Comparable '#1 Drawdown]]/MAX($B$2:B461)</f>
        <v>-0.57400555041628121</v>
      </c>
      <c r="H461" s="1" t="str">
        <f>IF(SUM(COUNTIF(Benchmark1[Benchmark '#1 Dates],Comp1[[#This Row],[Comparable '#1 Dates]]),COUNTIF(Benchmark2[Benchmark '#2 Dates],Comp1[[#This Row],[Comparable '#1 Dates]]))=2,"Pass","Fail")</f>
        <v>Pass</v>
      </c>
      <c r="I461" s="1">
        <f>IFERROR(Comp1[[#This Row],[Comparable '#1 Return]]-INDEX(Benchmark1[Benchmark '#1 Return],MATCH(Comp1[[#This Row],[Comparable '#1 Dates]],Benchmark1[Benchmark '#1 Dates],0)),"-")</f>
        <v>6.2309278240416446E-4</v>
      </c>
      <c r="L461" s="72">
        <f>Comp1[[#This Row],[Comparable '#1 Price]]/$B$2*100</f>
        <v>63.03901437371664</v>
      </c>
    </row>
    <row r="462" spans="1:12">
      <c r="A462" s="103">
        <v>43955</v>
      </c>
      <c r="B462" s="104">
        <v>9.3650000000000002</v>
      </c>
      <c r="C462" s="4">
        <f t="shared" si="14"/>
        <v>1.6689485628836365E-2</v>
      </c>
      <c r="D462" s="1">
        <f>IFERROR(Comp1[[#This Row],[Comparable '#1 Return]]+1,"-")</f>
        <v>1.0166894856288364</v>
      </c>
      <c r="E462" s="6">
        <f>B462-MAX($B$2:B462)</f>
        <v>-12.255000000000001</v>
      </c>
      <c r="F462" s="80">
        <f t="shared" si="15"/>
        <v>65</v>
      </c>
      <c r="G462" s="22" cm="1">
        <f t="array" ref="G462">Comp1[[#This Row],[Comparable '#1 Drawdown]]/MAX($B$2:B462)</f>
        <v>-0.566836262719704</v>
      </c>
      <c r="H462" s="1" t="str">
        <f>IF(SUM(COUNTIF(Benchmark1[Benchmark '#1 Dates],Comp1[[#This Row],[Comparable '#1 Dates]]),COUNTIF(Benchmark2[Benchmark '#2 Dates],Comp1[[#This Row],[Comparable '#1 Dates]]))=2,"Pass","Fail")</f>
        <v>Pass</v>
      </c>
      <c r="I462" s="1">
        <f>IFERROR(Comp1[[#This Row],[Comparable '#1 Return]]-INDEX(Benchmark1[Benchmark '#1 Return],MATCH(Comp1[[#This Row],[Comparable '#1 Dates]],Benchmark1[Benchmark '#1 Dates],0)),"-")</f>
        <v>1.2447253616573648E-2</v>
      </c>
      <c r="L462" s="72">
        <f>Comp1[[#This Row],[Comparable '#1 Price]]/$B$2*100</f>
        <v>64.099931553730329</v>
      </c>
    </row>
    <row r="463" spans="1:12">
      <c r="A463" s="103">
        <v>43956</v>
      </c>
      <c r="B463" s="104">
        <v>9.6</v>
      </c>
      <c r="C463" s="4">
        <f t="shared" si="14"/>
        <v>2.4783762577738688E-2</v>
      </c>
      <c r="D463" s="1">
        <f>IFERROR(Comp1[[#This Row],[Comparable '#1 Return]]+1,"-")</f>
        <v>1.0247837625777387</v>
      </c>
      <c r="E463" s="6">
        <f>B463-MAX($B$2:B463)</f>
        <v>-12.020000000000001</v>
      </c>
      <c r="F463" s="80">
        <f t="shared" si="15"/>
        <v>66</v>
      </c>
      <c r="G463" s="22" cm="1">
        <f t="array" ref="G463">Comp1[[#This Row],[Comparable '#1 Drawdown]]/MAX($B$2:B463)</f>
        <v>-0.55596669750231276</v>
      </c>
      <c r="H463" s="1" t="str">
        <f>IF(SUM(COUNTIF(Benchmark1[Benchmark '#1 Dates],Comp1[[#This Row],[Comparable '#1 Dates]]),COUNTIF(Benchmark2[Benchmark '#2 Dates],Comp1[[#This Row],[Comparable '#1 Dates]]))=2,"Pass","Fail")</f>
        <v>Pass</v>
      </c>
      <c r="I463" s="1">
        <f>IFERROR(Comp1[[#This Row],[Comparable '#1 Return]]-INDEX(Benchmark1[Benchmark '#1 Return],MATCH(Comp1[[#This Row],[Comparable '#1 Dates]],Benchmark1[Benchmark '#1 Dates],0)),"-")</f>
        <v>1.5785088410294724E-2</v>
      </c>
      <c r="L463" s="72">
        <f>Comp1[[#This Row],[Comparable '#1 Price]]/$B$2*100</f>
        <v>65.708418891170425</v>
      </c>
    </row>
    <row r="464" spans="1:12">
      <c r="A464" s="103">
        <v>43957</v>
      </c>
      <c r="B464" s="104">
        <v>9.35</v>
      </c>
      <c r="C464" s="4">
        <f t="shared" si="14"/>
        <v>-2.6386755173194887E-2</v>
      </c>
      <c r="D464" s="1">
        <f>IFERROR(Comp1[[#This Row],[Comparable '#1 Return]]+1,"-")</f>
        <v>0.97361324482680511</v>
      </c>
      <c r="E464" s="6">
        <f>B464-MAX($B$2:B464)</f>
        <v>-12.270000000000001</v>
      </c>
      <c r="F464" s="80">
        <f t="shared" si="15"/>
        <v>67</v>
      </c>
      <c r="G464" s="22" cm="1">
        <f t="array" ref="G464">Comp1[[#This Row],[Comparable '#1 Drawdown]]/MAX($B$2:B464)</f>
        <v>-0.56753006475485668</v>
      </c>
      <c r="H464" s="1" t="str">
        <f>IF(SUM(COUNTIF(Benchmark1[Benchmark '#1 Dates],Comp1[[#This Row],[Comparable '#1 Dates]]),COUNTIF(Benchmark2[Benchmark '#2 Dates],Comp1[[#This Row],[Comparable '#1 Dates]]))=2,"Pass","Fail")</f>
        <v>Pass</v>
      </c>
      <c r="I464" s="1">
        <f>IFERROR(Comp1[[#This Row],[Comparable '#1 Return]]-INDEX(Benchmark1[Benchmark '#1 Return],MATCH(Comp1[[#This Row],[Comparable '#1 Dates]],Benchmark1[Benchmark '#1 Dates],0)),"-")</f>
        <v>-1.9384722183141332E-2</v>
      </c>
      <c r="L464" s="72">
        <f>Comp1[[#This Row],[Comparable '#1 Price]]/$B$2*100</f>
        <v>63.997262149212865</v>
      </c>
    </row>
    <row r="465" spans="1:12">
      <c r="A465" s="103">
        <v>43958</v>
      </c>
      <c r="B465" s="104">
        <v>8.8000000000000007</v>
      </c>
      <c r="C465" s="4">
        <f t="shared" si="14"/>
        <v>-6.0624621816434736E-2</v>
      </c>
      <c r="D465" s="1">
        <f>IFERROR(Comp1[[#This Row],[Comparable '#1 Return]]+1,"-")</f>
        <v>0.93937537818356531</v>
      </c>
      <c r="E465" s="6">
        <f>B465-MAX($B$2:B465)</f>
        <v>-12.82</v>
      </c>
      <c r="F465" s="80">
        <f t="shared" si="15"/>
        <v>68</v>
      </c>
      <c r="G465" s="22" cm="1">
        <f t="array" ref="G465">Comp1[[#This Row],[Comparable '#1 Drawdown]]/MAX($B$2:B465)</f>
        <v>-0.5929694727104533</v>
      </c>
      <c r="H465" s="1" t="str">
        <f>IF(SUM(COUNTIF(Benchmark1[Benchmark '#1 Dates],Comp1[[#This Row],[Comparable '#1 Dates]]),COUNTIF(Benchmark2[Benchmark '#2 Dates],Comp1[[#This Row],[Comparable '#1 Dates]]))=2,"Pass","Fail")</f>
        <v>Pass</v>
      </c>
      <c r="I465" s="1">
        <f>IFERROR(Comp1[[#This Row],[Comparable '#1 Return]]-INDEX(Benchmark1[Benchmark '#1 Return],MATCH(Comp1[[#This Row],[Comparable '#1 Dates]],Benchmark1[Benchmark '#1 Dates],0)),"-")</f>
        <v>-7.2063839941188063E-2</v>
      </c>
      <c r="L465" s="72">
        <f>Comp1[[#This Row],[Comparable '#1 Price]]/$B$2*100</f>
        <v>60.232717316906239</v>
      </c>
    </row>
    <row r="466" spans="1:12">
      <c r="A466" s="103">
        <v>43959</v>
      </c>
      <c r="B466" s="104">
        <v>9.11</v>
      </c>
      <c r="C466" s="4">
        <f t="shared" si="14"/>
        <v>3.46209897877061E-2</v>
      </c>
      <c r="D466" s="1">
        <f>IFERROR(Comp1[[#This Row],[Comparable '#1 Return]]+1,"-")</f>
        <v>1.0346209897877061</v>
      </c>
      <c r="E466" s="6">
        <f>B466-MAX($B$2:B466)</f>
        <v>-12.510000000000002</v>
      </c>
      <c r="F466" s="80">
        <f t="shared" si="15"/>
        <v>69</v>
      </c>
      <c r="G466" s="22" cm="1">
        <f t="array" ref="G466">Comp1[[#This Row],[Comparable '#1 Drawdown]]/MAX($B$2:B466)</f>
        <v>-0.57863089731729889</v>
      </c>
      <c r="H466" s="1" t="str">
        <f>IF(SUM(COUNTIF(Benchmark1[Benchmark '#1 Dates],Comp1[[#This Row],[Comparable '#1 Dates]]),COUNTIF(Benchmark2[Benchmark '#2 Dates],Comp1[[#This Row],[Comparable '#1 Dates]]))=2,"Pass","Fail")</f>
        <v>Pass</v>
      </c>
      <c r="I466" s="1">
        <f>IFERROR(Comp1[[#This Row],[Comparable '#1 Return]]-INDEX(Benchmark1[Benchmark '#1 Return],MATCH(Comp1[[#This Row],[Comparable '#1 Dates]],Benchmark1[Benchmark '#1 Dates],0)),"-")</f>
        <v>1.7889142833222002E-2</v>
      </c>
      <c r="L466" s="72">
        <f>Comp1[[#This Row],[Comparable '#1 Price]]/$B$2*100</f>
        <v>62.354551676933603</v>
      </c>
    </row>
    <row r="467" spans="1:12">
      <c r="A467" s="103">
        <v>43962</v>
      </c>
      <c r="B467" s="104">
        <v>8.5500000000000007</v>
      </c>
      <c r="C467" s="4">
        <f t="shared" si="14"/>
        <v>-6.3441428323197963E-2</v>
      </c>
      <c r="D467" s="1">
        <f>IFERROR(Comp1[[#This Row],[Comparable '#1 Return]]+1,"-")</f>
        <v>0.93655857167680201</v>
      </c>
      <c r="E467" s="6">
        <f>B467-MAX($B$2:B467)</f>
        <v>-13.07</v>
      </c>
      <c r="F467" s="80">
        <f t="shared" si="15"/>
        <v>70</v>
      </c>
      <c r="G467" s="22" cm="1">
        <f t="array" ref="G467">Comp1[[#This Row],[Comparable '#1 Drawdown]]/MAX($B$2:B467)</f>
        <v>-0.60453283996299723</v>
      </c>
      <c r="H467" s="1" t="str">
        <f>IF(SUM(COUNTIF(Benchmark1[Benchmark '#1 Dates],Comp1[[#This Row],[Comparable '#1 Dates]]),COUNTIF(Benchmark2[Benchmark '#2 Dates],Comp1[[#This Row],[Comparable '#1 Dates]]))=2,"Pass","Fail")</f>
        <v>Pass</v>
      </c>
      <c r="I467" s="1">
        <f>IFERROR(Comp1[[#This Row],[Comparable '#1 Return]]-INDEX(Benchmark1[Benchmark '#1 Return],MATCH(Comp1[[#This Row],[Comparable '#1 Dates]],Benchmark1[Benchmark '#1 Dates],0)),"-")</f>
        <v>-6.3618274387115703E-2</v>
      </c>
      <c r="L467" s="72">
        <f>Comp1[[#This Row],[Comparable '#1 Price]]/$B$2*100</f>
        <v>58.521560574948673</v>
      </c>
    </row>
    <row r="468" spans="1:12">
      <c r="A468" s="103">
        <v>43963</v>
      </c>
      <c r="B468" s="104">
        <v>8.26</v>
      </c>
      <c r="C468" s="4">
        <f t="shared" si="14"/>
        <v>-3.4506695415782301E-2</v>
      </c>
      <c r="D468" s="1">
        <f>IFERROR(Comp1[[#This Row],[Comparable '#1 Return]]+1,"-")</f>
        <v>0.96549330458421767</v>
      </c>
      <c r="E468" s="6">
        <f>B468-MAX($B$2:B468)</f>
        <v>-13.360000000000001</v>
      </c>
      <c r="F468" s="80">
        <f t="shared" si="15"/>
        <v>71</v>
      </c>
      <c r="G468" s="22" cm="1">
        <f t="array" ref="G468">Comp1[[#This Row],[Comparable '#1 Drawdown]]/MAX($B$2:B468)</f>
        <v>-0.61794634597594822</v>
      </c>
      <c r="H468" s="1" t="str">
        <f>IF(SUM(COUNTIF(Benchmark1[Benchmark '#1 Dates],Comp1[[#This Row],[Comparable '#1 Dates]]),COUNTIF(Benchmark2[Benchmark '#2 Dates],Comp1[[#This Row],[Comparable '#1 Dates]]))=2,"Pass","Fail")</f>
        <v>Pass</v>
      </c>
      <c r="I468" s="1">
        <f>IFERROR(Comp1[[#This Row],[Comparable '#1 Return]]-INDEX(Benchmark1[Benchmark '#1 Return],MATCH(Comp1[[#This Row],[Comparable '#1 Dates]],Benchmark1[Benchmark '#1 Dates],0)),"-")</f>
        <v>-1.3747037785367889E-2</v>
      </c>
      <c r="L468" s="72">
        <f>Comp1[[#This Row],[Comparable '#1 Price]]/$B$2*100</f>
        <v>56.536618754277889</v>
      </c>
    </row>
    <row r="469" spans="1:12">
      <c r="A469" s="103">
        <v>43964</v>
      </c>
      <c r="B469" s="104">
        <v>7.67</v>
      </c>
      <c r="C469" s="4">
        <f t="shared" si="14"/>
        <v>-7.4107972153721849E-2</v>
      </c>
      <c r="D469" s="1">
        <f>IFERROR(Comp1[[#This Row],[Comparable '#1 Return]]+1,"-")</f>
        <v>0.92589202784627811</v>
      </c>
      <c r="E469" s="6">
        <f>B469-MAX($B$2:B469)</f>
        <v>-13.950000000000001</v>
      </c>
      <c r="F469" s="80">
        <f t="shared" si="15"/>
        <v>72</v>
      </c>
      <c r="G469" s="22" cm="1">
        <f t="array" ref="G469">Comp1[[#This Row],[Comparable '#1 Drawdown]]/MAX($B$2:B469)</f>
        <v>-0.64523589269195192</v>
      </c>
      <c r="H469" s="1" t="str">
        <f>IF(SUM(COUNTIF(Benchmark1[Benchmark '#1 Dates],Comp1[[#This Row],[Comparable '#1 Dates]]),COUNTIF(Benchmark2[Benchmark '#2 Dates],Comp1[[#This Row],[Comparable '#1 Dates]]))=2,"Pass","Fail")</f>
        <v>Pass</v>
      </c>
      <c r="I469" s="1">
        <f>IFERROR(Comp1[[#This Row],[Comparable '#1 Return]]-INDEX(Benchmark1[Benchmark '#1 Return],MATCH(Comp1[[#This Row],[Comparable '#1 Dates]],Benchmark1[Benchmark '#1 Dates],0)),"-")</f>
        <v>-5.6490442925615891E-2</v>
      </c>
      <c r="L469" s="72">
        <f>Comp1[[#This Row],[Comparable '#1 Price]]/$B$2*100</f>
        <v>52.498288843258045</v>
      </c>
    </row>
    <row r="470" spans="1:12">
      <c r="A470" s="103">
        <v>43965</v>
      </c>
      <c r="B470" s="104">
        <v>8.33</v>
      </c>
      <c r="C470" s="4">
        <f t="shared" si="14"/>
        <v>8.2546840799586574E-2</v>
      </c>
      <c r="D470" s="1">
        <f>IFERROR(Comp1[[#This Row],[Comparable '#1 Return]]+1,"-")</f>
        <v>1.0825468407995866</v>
      </c>
      <c r="E470" s="6">
        <f>B470-MAX($B$2:B470)</f>
        <v>-13.290000000000001</v>
      </c>
      <c r="F470" s="80">
        <f t="shared" si="15"/>
        <v>73</v>
      </c>
      <c r="G470" s="22" cm="1">
        <f t="array" ref="G470">Comp1[[#This Row],[Comparable '#1 Drawdown]]/MAX($B$2:B470)</f>
        <v>-0.6147086031452359</v>
      </c>
      <c r="H470" s="1" t="str">
        <f>IF(SUM(COUNTIF(Benchmark1[Benchmark '#1 Dates],Comp1[[#This Row],[Comparable '#1 Dates]]),COUNTIF(Benchmark2[Benchmark '#2 Dates],Comp1[[#This Row],[Comparable '#1 Dates]]))=2,"Pass","Fail")</f>
        <v>Pass</v>
      </c>
      <c r="I470" s="1">
        <f>IFERROR(Comp1[[#This Row],[Comparable '#1 Return]]-INDEX(Benchmark1[Benchmark '#1 Return],MATCH(Comp1[[#This Row],[Comparable '#1 Dates]],Benchmark1[Benchmark '#1 Dates],0)),"-")</f>
        <v>7.108498288063915E-2</v>
      </c>
      <c r="L470" s="72">
        <f>Comp1[[#This Row],[Comparable '#1 Price]]/$B$2*100</f>
        <v>57.015742642026012</v>
      </c>
    </row>
    <row r="471" spans="1:12">
      <c r="A471" s="103">
        <v>43966</v>
      </c>
      <c r="B471" s="104">
        <v>8.51</v>
      </c>
      <c r="C471" s="4">
        <f t="shared" si="14"/>
        <v>2.1378486406531495E-2</v>
      </c>
      <c r="D471" s="1">
        <f>IFERROR(Comp1[[#This Row],[Comparable '#1 Return]]+1,"-")</f>
        <v>1.0213784864065314</v>
      </c>
      <c r="E471" s="6">
        <f>B471-MAX($B$2:B471)</f>
        <v>-13.110000000000001</v>
      </c>
      <c r="F471" s="80">
        <f t="shared" si="15"/>
        <v>74</v>
      </c>
      <c r="G471" s="22" cm="1">
        <f t="array" ref="G471">Comp1[[#This Row],[Comparable '#1 Drawdown]]/MAX($B$2:B471)</f>
        <v>-0.6063829787234043</v>
      </c>
      <c r="H471" s="1" t="str">
        <f>IF(SUM(COUNTIF(Benchmark1[Benchmark '#1 Dates],Comp1[[#This Row],[Comparable '#1 Dates]]),COUNTIF(Benchmark2[Benchmark '#2 Dates],Comp1[[#This Row],[Comparable '#1 Dates]]))=2,"Pass","Fail")</f>
        <v>Pass</v>
      </c>
      <c r="I471" s="1">
        <f>IFERROR(Comp1[[#This Row],[Comparable '#1 Return]]-INDEX(Benchmark1[Benchmark '#1 Return],MATCH(Comp1[[#This Row],[Comparable '#1 Dates]],Benchmark1[Benchmark '#1 Dates],0)),"-")</f>
        <v>1.746213473701844E-2</v>
      </c>
      <c r="L471" s="72">
        <f>Comp1[[#This Row],[Comparable '#1 Price]]/$B$2*100</f>
        <v>58.247775496235455</v>
      </c>
    </row>
    <row r="472" spans="1:12">
      <c r="A472" s="103">
        <v>43969</v>
      </c>
      <c r="B472" s="104">
        <v>8.9700000000000006</v>
      </c>
      <c r="C472" s="4">
        <f t="shared" si="14"/>
        <v>5.264373348542209E-2</v>
      </c>
      <c r="D472" s="1">
        <f>IFERROR(Comp1[[#This Row],[Comparable '#1 Return]]+1,"-")</f>
        <v>1.0526437334854222</v>
      </c>
      <c r="E472" s="6">
        <f>B472-MAX($B$2:B472)</f>
        <v>-12.65</v>
      </c>
      <c r="F472" s="80">
        <f t="shared" si="15"/>
        <v>75</v>
      </c>
      <c r="G472" s="22" cm="1">
        <f t="array" ref="G472">Comp1[[#This Row],[Comparable '#1 Drawdown]]/MAX($B$2:B472)</f>
        <v>-0.58510638297872342</v>
      </c>
      <c r="H472" s="1" t="str">
        <f>IF(SUM(COUNTIF(Benchmark1[Benchmark '#1 Dates],Comp1[[#This Row],[Comparable '#1 Dates]]),COUNTIF(Benchmark2[Benchmark '#2 Dates],Comp1[[#This Row],[Comparable '#1 Dates]]))=2,"Pass","Fail")</f>
        <v>Pass</v>
      </c>
      <c r="I472" s="1">
        <f>IFERROR(Comp1[[#This Row],[Comparable '#1 Return]]-INDEX(Benchmark1[Benchmark '#1 Return],MATCH(Comp1[[#This Row],[Comparable '#1 Dates]],Benchmark1[Benchmark '#1 Dates],0)),"-")</f>
        <v>2.1628198741551499E-2</v>
      </c>
      <c r="L472" s="72">
        <f>Comp1[[#This Row],[Comparable '#1 Price]]/$B$2*100</f>
        <v>61.396303901437378</v>
      </c>
    </row>
    <row r="473" spans="1:12">
      <c r="A473" s="103">
        <v>43970</v>
      </c>
      <c r="B473" s="104">
        <v>8.7200000000000006</v>
      </c>
      <c r="C473" s="4">
        <f t="shared" si="14"/>
        <v>-2.8266438149816431E-2</v>
      </c>
      <c r="D473" s="1">
        <f>IFERROR(Comp1[[#This Row],[Comparable '#1 Return]]+1,"-")</f>
        <v>0.97173356185018356</v>
      </c>
      <c r="E473" s="6">
        <f>B473-MAX($B$2:B473)</f>
        <v>-12.9</v>
      </c>
      <c r="F473" s="80">
        <f t="shared" si="15"/>
        <v>76</v>
      </c>
      <c r="G473" s="22" cm="1">
        <f t="array" ref="G473">Comp1[[#This Row],[Comparable '#1 Drawdown]]/MAX($B$2:B473)</f>
        <v>-0.59666975023126734</v>
      </c>
      <c r="H473" s="1" t="str">
        <f>IF(SUM(COUNTIF(Benchmark1[Benchmark '#1 Dates],Comp1[[#This Row],[Comparable '#1 Dates]]),COUNTIF(Benchmark2[Benchmark '#2 Dates],Comp1[[#This Row],[Comparable '#1 Dates]]))=2,"Pass","Fail")</f>
        <v>Pass</v>
      </c>
      <c r="I473" s="1">
        <f>IFERROR(Comp1[[#This Row],[Comparable '#1 Return]]-INDEX(Benchmark1[Benchmark '#1 Return],MATCH(Comp1[[#This Row],[Comparable '#1 Dates]],Benchmark1[Benchmark '#1 Dates],0)),"-")</f>
        <v>-1.7727133017437412E-2</v>
      </c>
      <c r="L473" s="72">
        <f>Comp1[[#This Row],[Comparable '#1 Price]]/$B$2*100</f>
        <v>59.685147159479811</v>
      </c>
    </row>
    <row r="474" spans="1:12">
      <c r="A474" s="103">
        <v>43971</v>
      </c>
      <c r="B474" s="104">
        <v>8.93</v>
      </c>
      <c r="C474" s="4">
        <f t="shared" si="14"/>
        <v>2.379715696751936E-2</v>
      </c>
      <c r="D474" s="1">
        <f>IFERROR(Comp1[[#This Row],[Comparable '#1 Return]]+1,"-")</f>
        <v>1.0237971569675193</v>
      </c>
      <c r="E474" s="6">
        <f>B474-MAX($B$2:B474)</f>
        <v>-12.690000000000001</v>
      </c>
      <c r="F474" s="80">
        <f t="shared" si="15"/>
        <v>77</v>
      </c>
      <c r="G474" s="22" cm="1">
        <f t="array" ref="G474">Comp1[[#This Row],[Comparable '#1 Drawdown]]/MAX($B$2:B474)</f>
        <v>-0.58695652173913049</v>
      </c>
      <c r="H474" s="1" t="str">
        <f>IF(SUM(COUNTIF(Benchmark1[Benchmark '#1 Dates],Comp1[[#This Row],[Comparable '#1 Dates]]),COUNTIF(Benchmark2[Benchmark '#2 Dates],Comp1[[#This Row],[Comparable '#1 Dates]]))=2,"Pass","Fail")</f>
        <v>Pass</v>
      </c>
      <c r="I474" s="1">
        <f>IFERROR(Comp1[[#This Row],[Comparable '#1 Return]]-INDEX(Benchmark1[Benchmark '#1 Return],MATCH(Comp1[[#This Row],[Comparable '#1 Dates]],Benchmark1[Benchmark '#1 Dates],0)),"-")</f>
        <v>7.2823819818296776E-3</v>
      </c>
      <c r="L474" s="72">
        <f>Comp1[[#This Row],[Comparable '#1 Price]]/$B$2*100</f>
        <v>61.12251882272416</v>
      </c>
    </row>
    <row r="475" spans="1:12">
      <c r="A475" s="103">
        <v>43972</v>
      </c>
      <c r="B475" s="104">
        <v>9.1300000000000008</v>
      </c>
      <c r="C475" s="4">
        <f t="shared" si="14"/>
        <v>2.2149299718469496E-2</v>
      </c>
      <c r="D475" s="1">
        <f>IFERROR(Comp1[[#This Row],[Comparable '#1 Return]]+1,"-")</f>
        <v>1.0221492997184696</v>
      </c>
      <c r="E475" s="6">
        <f>B475-MAX($B$2:B475)</f>
        <v>-12.49</v>
      </c>
      <c r="F475" s="80">
        <f t="shared" si="15"/>
        <v>78</v>
      </c>
      <c r="G475" s="22" cm="1">
        <f t="array" ref="G475">Comp1[[#This Row],[Comparable '#1 Drawdown]]/MAX($B$2:B475)</f>
        <v>-0.57770582793709524</v>
      </c>
      <c r="H475" s="1" t="str">
        <f>IF(SUM(COUNTIF(Benchmark1[Benchmark '#1 Dates],Comp1[[#This Row],[Comparable '#1 Dates]]),COUNTIF(Benchmark2[Benchmark '#2 Dates],Comp1[[#This Row],[Comparable '#1 Dates]]))=2,"Pass","Fail")</f>
        <v>Pass</v>
      </c>
      <c r="I475" s="1">
        <f>IFERROR(Comp1[[#This Row],[Comparable '#1 Return]]-INDEX(Benchmark1[Benchmark '#1 Return],MATCH(Comp1[[#This Row],[Comparable '#1 Dates]],Benchmark1[Benchmark '#1 Dates],0)),"-")</f>
        <v>2.9955471332795858E-2</v>
      </c>
      <c r="L475" s="72">
        <f>Comp1[[#This Row],[Comparable '#1 Price]]/$B$2*100</f>
        <v>62.491444216290212</v>
      </c>
    </row>
    <row r="476" spans="1:12">
      <c r="A476" s="103">
        <v>43973</v>
      </c>
      <c r="B476" s="104">
        <v>9.06</v>
      </c>
      <c r="C476" s="4">
        <f t="shared" si="14"/>
        <v>-7.6965745519891526E-3</v>
      </c>
      <c r="D476" s="1">
        <f>IFERROR(Comp1[[#This Row],[Comparable '#1 Return]]+1,"-")</f>
        <v>0.99230342544801087</v>
      </c>
      <c r="E476" s="6">
        <f>B476-MAX($B$2:B476)</f>
        <v>-12.56</v>
      </c>
      <c r="F476" s="80">
        <f t="shared" si="15"/>
        <v>79</v>
      </c>
      <c r="G476" s="22" cm="1">
        <f t="array" ref="G476">Comp1[[#This Row],[Comparable '#1 Drawdown]]/MAX($B$2:B476)</f>
        <v>-0.58094357076780756</v>
      </c>
      <c r="H476" s="1" t="str">
        <f>IF(SUM(COUNTIF(Benchmark1[Benchmark '#1 Dates],Comp1[[#This Row],[Comparable '#1 Dates]]),COUNTIF(Benchmark2[Benchmark '#2 Dates],Comp1[[#This Row],[Comparable '#1 Dates]]))=2,"Pass","Fail")</f>
        <v>Pass</v>
      </c>
      <c r="I476" s="1">
        <f>IFERROR(Comp1[[#This Row],[Comparable '#1 Return]]-INDEX(Benchmark1[Benchmark '#1 Return],MATCH(Comp1[[#This Row],[Comparable '#1 Dates]],Benchmark1[Benchmark '#1 Dates],0)),"-")</f>
        <v>-1.0049953015041854E-2</v>
      </c>
      <c r="L476" s="72">
        <f>Comp1[[#This Row],[Comparable '#1 Price]]/$B$2*100</f>
        <v>62.012320328542103</v>
      </c>
    </row>
    <row r="477" spans="1:12">
      <c r="A477" s="103">
        <v>43977</v>
      </c>
      <c r="B477" s="104">
        <v>9.7050000000000001</v>
      </c>
      <c r="C477" s="4">
        <f t="shared" si="14"/>
        <v>6.87720965660856E-2</v>
      </c>
      <c r="D477" s="1">
        <f>IFERROR(Comp1[[#This Row],[Comparable '#1 Return]]+1,"-")</f>
        <v>1.0687720965660856</v>
      </c>
      <c r="E477" s="6">
        <f>B477-MAX($B$2:B477)</f>
        <v>-11.915000000000001</v>
      </c>
      <c r="F477" s="80">
        <f t="shared" si="15"/>
        <v>80</v>
      </c>
      <c r="G477" s="22" cm="1">
        <f t="array" ref="G477">Comp1[[#This Row],[Comparable '#1 Drawdown]]/MAX($B$2:B477)</f>
        <v>-0.55111008325624422</v>
      </c>
      <c r="H477" s="1" t="str">
        <f>IF(SUM(COUNTIF(Benchmark1[Benchmark '#1 Dates],Comp1[[#This Row],[Comparable '#1 Dates]]),COUNTIF(Benchmark2[Benchmark '#2 Dates],Comp1[[#This Row],[Comparable '#1 Dates]]))=2,"Pass","Fail")</f>
        <v>Pass</v>
      </c>
      <c r="I477" s="1">
        <f>IFERROR(Comp1[[#This Row],[Comparable '#1 Return]]-INDEX(Benchmark1[Benchmark '#1 Return],MATCH(Comp1[[#This Row],[Comparable '#1 Dates]],Benchmark1[Benchmark '#1 Dates],0)),"-")</f>
        <v>5.6560397329405043E-2</v>
      </c>
      <c r="L477" s="72">
        <f>Comp1[[#This Row],[Comparable '#1 Price]]/$B$2*100</f>
        <v>66.427104722792606</v>
      </c>
    </row>
    <row r="478" spans="1:12">
      <c r="A478" s="103">
        <v>43978</v>
      </c>
      <c r="B478" s="104">
        <v>10.19</v>
      </c>
      <c r="C478" s="4">
        <f t="shared" si="14"/>
        <v>4.8765630613659808E-2</v>
      </c>
      <c r="D478" s="1">
        <f>IFERROR(Comp1[[#This Row],[Comparable '#1 Return]]+1,"-")</f>
        <v>1.0487656306136599</v>
      </c>
      <c r="E478" s="6">
        <f>B478-MAX($B$2:B478)</f>
        <v>-11.430000000000001</v>
      </c>
      <c r="F478" s="80">
        <f t="shared" si="15"/>
        <v>81</v>
      </c>
      <c r="G478" s="22" cm="1">
        <f t="array" ref="G478">Comp1[[#This Row],[Comparable '#1 Drawdown]]/MAX($B$2:B478)</f>
        <v>-0.52867715078630906</v>
      </c>
      <c r="H478" s="1" t="str">
        <f>IF(SUM(COUNTIF(Benchmark1[Benchmark '#1 Dates],Comp1[[#This Row],[Comparable '#1 Dates]]),COUNTIF(Benchmark2[Benchmark '#2 Dates],Comp1[[#This Row],[Comparable '#1 Dates]]))=2,"Pass","Fail")</f>
        <v>Pass</v>
      </c>
      <c r="I478" s="1">
        <f>IFERROR(Comp1[[#This Row],[Comparable '#1 Return]]-INDEX(Benchmark1[Benchmark '#1 Return],MATCH(Comp1[[#This Row],[Comparable '#1 Dates]],Benchmark1[Benchmark '#1 Dates],0)),"-")</f>
        <v>3.4044438847762482E-2</v>
      </c>
      <c r="L478" s="72">
        <f>Comp1[[#This Row],[Comparable '#1 Price]]/$B$2*100</f>
        <v>69.746748802190282</v>
      </c>
    </row>
    <row r="479" spans="1:12">
      <c r="A479" s="103">
        <v>43979</v>
      </c>
      <c r="B479" s="104">
        <v>9.94</v>
      </c>
      <c r="C479" s="4">
        <f t="shared" si="14"/>
        <v>-2.483982656615074E-2</v>
      </c>
      <c r="D479" s="1">
        <f>IFERROR(Comp1[[#This Row],[Comparable '#1 Return]]+1,"-")</f>
        <v>0.97516017343384931</v>
      </c>
      <c r="E479" s="6">
        <f>B479-MAX($B$2:B479)</f>
        <v>-11.680000000000001</v>
      </c>
      <c r="F479" s="80">
        <f t="shared" si="15"/>
        <v>82</v>
      </c>
      <c r="G479" s="22" cm="1">
        <f t="array" ref="G479">Comp1[[#This Row],[Comparable '#1 Drawdown]]/MAX($B$2:B479)</f>
        <v>-0.54024051803885298</v>
      </c>
      <c r="H479" s="1" t="str">
        <f>IF(SUM(COUNTIF(Benchmark1[Benchmark '#1 Dates],Comp1[[#This Row],[Comparable '#1 Dates]]),COUNTIF(Benchmark2[Benchmark '#2 Dates],Comp1[[#This Row],[Comparable '#1 Dates]]))=2,"Pass","Fail")</f>
        <v>Pass</v>
      </c>
      <c r="I479" s="1">
        <f>IFERROR(Comp1[[#This Row],[Comparable '#1 Return]]-INDEX(Benchmark1[Benchmark '#1 Return],MATCH(Comp1[[#This Row],[Comparable '#1 Dates]],Benchmark1[Benchmark '#1 Dates],0)),"-")</f>
        <v>-2.2729629619241073E-2</v>
      </c>
      <c r="L479" s="72">
        <f>Comp1[[#This Row],[Comparable '#1 Price]]/$B$2*100</f>
        <v>68.035592060232716</v>
      </c>
    </row>
    <row r="480" spans="1:12">
      <c r="A480" s="103">
        <v>43980</v>
      </c>
      <c r="B480" s="104">
        <v>9.73</v>
      </c>
      <c r="C480" s="4">
        <f t="shared" si="14"/>
        <v>-2.1353124470568832E-2</v>
      </c>
      <c r="D480" s="1">
        <f>IFERROR(Comp1[[#This Row],[Comparable '#1 Return]]+1,"-")</f>
        <v>0.97864687552943119</v>
      </c>
      <c r="E480" s="6">
        <f>B480-MAX($B$2:B480)</f>
        <v>-11.89</v>
      </c>
      <c r="F480" s="80">
        <f t="shared" si="15"/>
        <v>83</v>
      </c>
      <c r="G480" s="22" cm="1">
        <f t="array" ref="G480">Comp1[[#This Row],[Comparable '#1 Drawdown]]/MAX($B$2:B480)</f>
        <v>-0.54995374653098983</v>
      </c>
      <c r="H480" s="1" t="str">
        <f>IF(SUM(COUNTIF(Benchmark1[Benchmark '#1 Dates],Comp1[[#This Row],[Comparable '#1 Dates]]),COUNTIF(Benchmark2[Benchmark '#2 Dates],Comp1[[#This Row],[Comparable '#1 Dates]]))=2,"Pass","Fail")</f>
        <v>Pass</v>
      </c>
      <c r="I480" s="1">
        <f>IFERROR(Comp1[[#This Row],[Comparable '#1 Return]]-INDEX(Benchmark1[Benchmark '#1 Return],MATCH(Comp1[[#This Row],[Comparable '#1 Dates]],Benchmark1[Benchmark '#1 Dates],0)),"-")</f>
        <v>-2.6151280166937851E-2</v>
      </c>
      <c r="L480" s="72">
        <f>Comp1[[#This Row],[Comparable '#1 Price]]/$B$2*100</f>
        <v>66.598220396988367</v>
      </c>
    </row>
    <row r="481" spans="1:12">
      <c r="A481" s="103">
        <v>43983</v>
      </c>
      <c r="B481" s="104">
        <v>10.01</v>
      </c>
      <c r="C481" s="4">
        <f t="shared" si="14"/>
        <v>2.8370697129215566E-2</v>
      </c>
      <c r="D481" s="1">
        <f>IFERROR(Comp1[[#This Row],[Comparable '#1 Return]]+1,"-")</f>
        <v>1.0283706971292155</v>
      </c>
      <c r="E481" s="6">
        <f>B481-MAX($B$2:B481)</f>
        <v>-11.610000000000001</v>
      </c>
      <c r="F481" s="80">
        <f t="shared" si="15"/>
        <v>84</v>
      </c>
      <c r="G481" s="22" cm="1">
        <f t="array" ref="G481">Comp1[[#This Row],[Comparable '#1 Drawdown]]/MAX($B$2:B481)</f>
        <v>-0.53700277520814066</v>
      </c>
      <c r="H481" s="1" t="str">
        <f>IF(SUM(COUNTIF(Benchmark1[Benchmark '#1 Dates],Comp1[[#This Row],[Comparable '#1 Dates]]),COUNTIF(Benchmark2[Benchmark '#2 Dates],Comp1[[#This Row],[Comparable '#1 Dates]]))=2,"Pass","Fail")</f>
        <v>Pass</v>
      </c>
      <c r="I481" s="1">
        <f>IFERROR(Comp1[[#This Row],[Comparable '#1 Return]]-INDEX(Benchmark1[Benchmark '#1 Return],MATCH(Comp1[[#This Row],[Comparable '#1 Dates]],Benchmark1[Benchmark '#1 Dates],0)),"-")</f>
        <v>2.4623923944308401E-2</v>
      </c>
      <c r="L481" s="72">
        <f>Comp1[[#This Row],[Comparable '#1 Price]]/$B$2*100</f>
        <v>68.514715947980832</v>
      </c>
    </row>
    <row r="482" spans="1:12">
      <c r="A482" s="103">
        <v>43984</v>
      </c>
      <c r="B482" s="104">
        <v>10.130000000000001</v>
      </c>
      <c r="C482" s="4">
        <f t="shared" si="14"/>
        <v>1.1916724933462833E-2</v>
      </c>
      <c r="D482" s="1">
        <f>IFERROR(Comp1[[#This Row],[Comparable '#1 Return]]+1,"-")</f>
        <v>1.0119167249334629</v>
      </c>
      <c r="E482" s="6">
        <f>B482-MAX($B$2:B482)</f>
        <v>-11.49</v>
      </c>
      <c r="F482" s="80">
        <f t="shared" si="15"/>
        <v>85</v>
      </c>
      <c r="G482" s="22" cm="1">
        <f t="array" ref="G482">Comp1[[#This Row],[Comparable '#1 Drawdown]]/MAX($B$2:B482)</f>
        <v>-0.53145235892691955</v>
      </c>
      <c r="H482" s="1" t="str">
        <f>IF(SUM(COUNTIF(Benchmark1[Benchmark '#1 Dates],Comp1[[#This Row],[Comparable '#1 Dates]]),COUNTIF(Benchmark2[Benchmark '#2 Dates],Comp1[[#This Row],[Comparable '#1 Dates]]))=2,"Pass","Fail")</f>
        <v>Pass</v>
      </c>
      <c r="I482" s="1">
        <f>IFERROR(Comp1[[#This Row],[Comparable '#1 Return]]-INDEX(Benchmark1[Benchmark '#1 Return],MATCH(Comp1[[#This Row],[Comparable '#1 Dates]],Benchmark1[Benchmark '#1 Dates],0)),"-")</f>
        <v>3.7396821368468457E-3</v>
      </c>
      <c r="L482" s="72">
        <f>Comp1[[#This Row],[Comparable '#1 Price]]/$B$2*100</f>
        <v>69.33607118412047</v>
      </c>
    </row>
    <row r="483" spans="1:12">
      <c r="A483" s="103">
        <v>43985</v>
      </c>
      <c r="B483" s="104">
        <v>10.85</v>
      </c>
      <c r="C483" s="4">
        <f t="shared" si="14"/>
        <v>6.8663761725876446E-2</v>
      </c>
      <c r="D483" s="1">
        <f>IFERROR(Comp1[[#This Row],[Comparable '#1 Return]]+1,"-")</f>
        <v>1.0686637617258765</v>
      </c>
      <c r="E483" s="6">
        <f>B483-MAX($B$2:B483)</f>
        <v>-10.770000000000001</v>
      </c>
      <c r="F483" s="80">
        <f t="shared" si="15"/>
        <v>86</v>
      </c>
      <c r="G483" s="22" cm="1">
        <f t="array" ref="G483">Comp1[[#This Row],[Comparable '#1 Drawdown]]/MAX($B$2:B483)</f>
        <v>-0.49814986123959298</v>
      </c>
      <c r="H483" s="1" t="str">
        <f>IF(SUM(COUNTIF(Benchmark1[Benchmark '#1 Dates],Comp1[[#This Row],[Comparable '#1 Dates]]),COUNTIF(Benchmark2[Benchmark '#2 Dates],Comp1[[#This Row],[Comparable '#1 Dates]]))=2,"Pass","Fail")</f>
        <v>Pass</v>
      </c>
      <c r="I483" s="1">
        <f>IFERROR(Comp1[[#This Row],[Comparable '#1 Return]]-INDEX(Benchmark1[Benchmark '#1 Return],MATCH(Comp1[[#This Row],[Comparable '#1 Dates]],Benchmark1[Benchmark '#1 Dates],0)),"-")</f>
        <v>5.5107746122746812E-2</v>
      </c>
      <c r="L483" s="72">
        <f>Comp1[[#This Row],[Comparable '#1 Price]]/$B$2*100</f>
        <v>74.264202600958257</v>
      </c>
    </row>
    <row r="484" spans="1:12">
      <c r="A484" s="103">
        <v>43986</v>
      </c>
      <c r="B484" s="104">
        <v>11.055</v>
      </c>
      <c r="C484" s="4">
        <f t="shared" si="14"/>
        <v>1.8717734322941101E-2</v>
      </c>
      <c r="D484" s="1">
        <f>IFERROR(Comp1[[#This Row],[Comparable '#1 Return]]+1,"-")</f>
        <v>1.018717734322941</v>
      </c>
      <c r="E484" s="6">
        <f>B484-MAX($B$2:B484)</f>
        <v>-10.565000000000001</v>
      </c>
      <c r="F484" s="80">
        <f t="shared" si="15"/>
        <v>87</v>
      </c>
      <c r="G484" s="22" cm="1">
        <f t="array" ref="G484">Comp1[[#This Row],[Comparable '#1 Drawdown]]/MAX($B$2:B484)</f>
        <v>-0.48866790009250699</v>
      </c>
      <c r="H484" s="1" t="str">
        <f>IF(SUM(COUNTIF(Benchmark1[Benchmark '#1 Dates],Comp1[[#This Row],[Comparable '#1 Dates]]),COUNTIF(Benchmark2[Benchmark '#2 Dates],Comp1[[#This Row],[Comparable '#1 Dates]]))=2,"Pass","Fail")</f>
        <v>Pass</v>
      </c>
      <c r="I484" s="1">
        <f>IFERROR(Comp1[[#This Row],[Comparable '#1 Return]]-INDEX(Benchmark1[Benchmark '#1 Return],MATCH(Comp1[[#This Row],[Comparable '#1 Dates]],Benchmark1[Benchmark '#1 Dates],0)),"-")</f>
        <v>2.2093326233868376E-2</v>
      </c>
      <c r="L484" s="72">
        <f>Comp1[[#This Row],[Comparable '#1 Price]]/$B$2*100</f>
        <v>75.667351129363453</v>
      </c>
    </row>
    <row r="485" spans="1:12">
      <c r="A485" s="103">
        <v>43987</v>
      </c>
      <c r="B485" s="104">
        <v>11.45</v>
      </c>
      <c r="C485" s="4">
        <f t="shared" si="14"/>
        <v>3.5106915690838986E-2</v>
      </c>
      <c r="D485" s="1">
        <f>IFERROR(Comp1[[#This Row],[Comparable '#1 Return]]+1,"-")</f>
        <v>1.035106915690839</v>
      </c>
      <c r="E485" s="6">
        <f>B485-MAX($B$2:B485)</f>
        <v>-10.170000000000002</v>
      </c>
      <c r="F485" s="80">
        <f t="shared" si="15"/>
        <v>88</v>
      </c>
      <c r="G485" s="22" cm="1">
        <f t="array" ref="G485">Comp1[[#This Row],[Comparable '#1 Drawdown]]/MAX($B$2:B485)</f>
        <v>-0.47039777983348757</v>
      </c>
      <c r="H485" s="1" t="str">
        <f>IF(SUM(COUNTIF(Benchmark1[Benchmark '#1 Dates],Comp1[[#This Row],[Comparable '#1 Dates]]),COUNTIF(Benchmark2[Benchmark '#2 Dates],Comp1[[#This Row],[Comparable '#1 Dates]]))=2,"Pass","Fail")</f>
        <v>Pass</v>
      </c>
      <c r="I485" s="1">
        <f>IFERROR(Comp1[[#This Row],[Comparable '#1 Return]]-INDEX(Benchmark1[Benchmark '#1 Return],MATCH(Comp1[[#This Row],[Comparable '#1 Dates]],Benchmark1[Benchmark '#1 Dates],0)),"-")</f>
        <v>9.2324055911737514E-3</v>
      </c>
      <c r="L485" s="72">
        <f>Comp1[[#This Row],[Comparable '#1 Price]]/$B$2*100</f>
        <v>78.37097878165639</v>
      </c>
    </row>
    <row r="486" spans="1:12">
      <c r="A486" s="103">
        <v>43990</v>
      </c>
      <c r="B486" s="104">
        <v>11.98</v>
      </c>
      <c r="C486" s="4">
        <f t="shared" si="14"/>
        <v>4.5248862687054719E-2</v>
      </c>
      <c r="D486" s="1">
        <f>IFERROR(Comp1[[#This Row],[Comparable '#1 Return]]+1,"-")</f>
        <v>1.0452488626870546</v>
      </c>
      <c r="E486" s="6">
        <f>B486-MAX($B$2:B486)</f>
        <v>-9.64</v>
      </c>
      <c r="F486" s="80">
        <f t="shared" si="15"/>
        <v>89</v>
      </c>
      <c r="G486" s="22" cm="1">
        <f t="array" ref="G486">Comp1[[#This Row],[Comparable '#1 Drawdown]]/MAX($B$2:B486)</f>
        <v>-0.44588344125809437</v>
      </c>
      <c r="H486" s="1" t="str">
        <f>IF(SUM(COUNTIF(Benchmark1[Benchmark '#1 Dates],Comp1[[#This Row],[Comparable '#1 Dates]]),COUNTIF(Benchmark2[Benchmark '#2 Dates],Comp1[[#This Row],[Comparable '#1 Dates]]))=2,"Pass","Fail")</f>
        <v>Pass</v>
      </c>
      <c r="I486" s="1">
        <f>IFERROR(Comp1[[#This Row],[Comparable '#1 Return]]-INDEX(Benchmark1[Benchmark '#1 Return],MATCH(Comp1[[#This Row],[Comparable '#1 Dates]],Benchmark1[Benchmark '#1 Dates],0)),"-")</f>
        <v>3.3279809690544476E-2</v>
      </c>
      <c r="L486" s="72">
        <f>Comp1[[#This Row],[Comparable '#1 Price]]/$B$2*100</f>
        <v>81.998631074606436</v>
      </c>
    </row>
    <row r="487" spans="1:12">
      <c r="A487" s="103">
        <v>43991</v>
      </c>
      <c r="B487" s="104">
        <v>11.664999999999999</v>
      </c>
      <c r="C487" s="4">
        <f t="shared" si="14"/>
        <v>-2.664568721391012E-2</v>
      </c>
      <c r="D487" s="1">
        <f>IFERROR(Comp1[[#This Row],[Comparable '#1 Return]]+1,"-")</f>
        <v>0.97335431278608986</v>
      </c>
      <c r="E487" s="6">
        <f>B487-MAX($B$2:B487)</f>
        <v>-9.9550000000000018</v>
      </c>
      <c r="F487" s="80">
        <f t="shared" si="15"/>
        <v>90</v>
      </c>
      <c r="G487" s="22" cm="1">
        <f t="array" ref="G487">Comp1[[#This Row],[Comparable '#1 Drawdown]]/MAX($B$2:B487)</f>
        <v>-0.46045328399629981</v>
      </c>
      <c r="H487" s="1" t="str">
        <f>IF(SUM(COUNTIF(Benchmark1[Benchmark '#1 Dates],Comp1[[#This Row],[Comparable '#1 Dates]]),COUNTIF(Benchmark2[Benchmark '#2 Dates],Comp1[[#This Row],[Comparable '#1 Dates]]))=2,"Pass","Fail")</f>
        <v>Pass</v>
      </c>
      <c r="I487" s="1">
        <f>IFERROR(Comp1[[#This Row],[Comparable '#1 Return]]-INDEX(Benchmark1[Benchmark '#1 Return],MATCH(Comp1[[#This Row],[Comparable '#1 Dates]],Benchmark1[Benchmark '#1 Dates],0)),"-")</f>
        <v>-1.8816641833278483E-2</v>
      </c>
      <c r="L487" s="72">
        <f>Comp1[[#This Row],[Comparable '#1 Price]]/$B$2*100</f>
        <v>79.842573579739906</v>
      </c>
    </row>
    <row r="488" spans="1:12">
      <c r="A488" s="103">
        <v>43992</v>
      </c>
      <c r="B488" s="104">
        <v>11.22</v>
      </c>
      <c r="C488" s="4">
        <f t="shared" si="14"/>
        <v>-3.889500537884287E-2</v>
      </c>
      <c r="D488" s="1">
        <f>IFERROR(Comp1[[#This Row],[Comparable '#1 Return]]+1,"-")</f>
        <v>0.96110499462115717</v>
      </c>
      <c r="E488" s="6">
        <f>B488-MAX($B$2:B488)</f>
        <v>-10.4</v>
      </c>
      <c r="F488" s="80">
        <f t="shared" si="15"/>
        <v>91</v>
      </c>
      <c r="G488" s="22" cm="1">
        <f t="array" ref="G488">Comp1[[#This Row],[Comparable '#1 Drawdown]]/MAX($B$2:B488)</f>
        <v>-0.48103607770582796</v>
      </c>
      <c r="H488" s="1" t="str">
        <f>IF(SUM(COUNTIF(Benchmark1[Benchmark '#1 Dates],Comp1[[#This Row],[Comparable '#1 Dates]]),COUNTIF(Benchmark2[Benchmark '#2 Dates],Comp1[[#This Row],[Comparable '#1 Dates]]))=2,"Pass","Fail")</f>
        <v>Pass</v>
      </c>
      <c r="I488" s="1">
        <f>IFERROR(Comp1[[#This Row],[Comparable '#1 Return]]-INDEX(Benchmark1[Benchmark '#1 Return],MATCH(Comp1[[#This Row],[Comparable '#1 Dates]],Benchmark1[Benchmark '#1 Dates],0)),"-")</f>
        <v>-3.3567124706308238E-2</v>
      </c>
      <c r="L488" s="72">
        <f>Comp1[[#This Row],[Comparable '#1 Price]]/$B$2*100</f>
        <v>76.796714579055447</v>
      </c>
    </row>
    <row r="489" spans="1:12">
      <c r="A489" s="103">
        <v>43993</v>
      </c>
      <c r="B489" s="104">
        <v>10.24</v>
      </c>
      <c r="C489" s="4">
        <f t="shared" si="14"/>
        <v>-9.1396280483188583E-2</v>
      </c>
      <c r="D489" s="1">
        <f>IFERROR(Comp1[[#This Row],[Comparable '#1 Return]]+1,"-")</f>
        <v>0.9086037195168114</v>
      </c>
      <c r="E489" s="6">
        <f>B489-MAX($B$2:B489)</f>
        <v>-11.38</v>
      </c>
      <c r="F489" s="80">
        <f t="shared" si="15"/>
        <v>92</v>
      </c>
      <c r="G489" s="22" cm="1">
        <f t="array" ref="G489">Comp1[[#This Row],[Comparable '#1 Drawdown]]/MAX($B$2:B489)</f>
        <v>-0.52636447733580016</v>
      </c>
      <c r="H489" s="1" t="str">
        <f>IF(SUM(COUNTIF(Benchmark1[Benchmark '#1 Dates],Comp1[[#This Row],[Comparable '#1 Dates]]),COUNTIF(Benchmark2[Benchmark '#2 Dates],Comp1[[#This Row],[Comparable '#1 Dates]]))=2,"Pass","Fail")</f>
        <v>Pass</v>
      </c>
      <c r="I489" s="1">
        <f>IFERROR(Comp1[[#This Row],[Comparable '#1 Return]]-INDEX(Benchmark1[Benchmark '#1 Return],MATCH(Comp1[[#This Row],[Comparable '#1 Dates]],Benchmark1[Benchmark '#1 Dates],0)),"-")</f>
        <v>-3.0643216398063715E-2</v>
      </c>
      <c r="L489" s="72">
        <f>Comp1[[#This Row],[Comparable '#1 Price]]/$B$2*100</f>
        <v>70.08898015058179</v>
      </c>
    </row>
    <row r="490" spans="1:12">
      <c r="A490" s="103">
        <v>43994</v>
      </c>
      <c r="B490" s="104">
        <v>10.38</v>
      </c>
      <c r="C490" s="4">
        <f t="shared" si="14"/>
        <v>1.3579258126380854E-2</v>
      </c>
      <c r="D490" s="1">
        <f>IFERROR(Comp1[[#This Row],[Comparable '#1 Return]]+1,"-")</f>
        <v>1.0135792581263809</v>
      </c>
      <c r="E490" s="6">
        <f>B490-MAX($B$2:B490)</f>
        <v>-11.24</v>
      </c>
      <c r="F490" s="80">
        <f t="shared" si="15"/>
        <v>93</v>
      </c>
      <c r="G490" s="22" cm="1">
        <f t="array" ref="G490">Comp1[[#This Row],[Comparable '#1 Drawdown]]/MAX($B$2:B490)</f>
        <v>-0.51988899167437552</v>
      </c>
      <c r="H490" s="1" t="str">
        <f>IF(SUM(COUNTIF(Benchmark1[Benchmark '#1 Dates],Comp1[[#This Row],[Comparable '#1 Dates]]),COUNTIF(Benchmark2[Benchmark '#2 Dates],Comp1[[#This Row],[Comparable '#1 Dates]]))=2,"Pass","Fail")</f>
        <v>Pass</v>
      </c>
      <c r="I490" s="1">
        <f>IFERROR(Comp1[[#This Row],[Comparable '#1 Return]]-INDEX(Benchmark1[Benchmark '#1 Return],MATCH(Comp1[[#This Row],[Comparable '#1 Dates]],Benchmark1[Benchmark '#1 Dates],0)),"-")</f>
        <v>6.0064597868814129E-4</v>
      </c>
      <c r="L490" s="72">
        <f>Comp1[[#This Row],[Comparable '#1 Price]]/$B$2*100</f>
        <v>71.047227926078037</v>
      </c>
    </row>
    <row r="491" spans="1:12">
      <c r="A491" s="103">
        <v>43997</v>
      </c>
      <c r="B491" s="104">
        <v>10.15</v>
      </c>
      <c r="C491" s="4">
        <f t="shared" si="14"/>
        <v>-2.2407172249946334E-2</v>
      </c>
      <c r="D491" s="1">
        <f>IFERROR(Comp1[[#This Row],[Comparable '#1 Return]]+1,"-")</f>
        <v>0.97759282775005363</v>
      </c>
      <c r="E491" s="6">
        <f>B491-MAX($B$2:B491)</f>
        <v>-11.47</v>
      </c>
      <c r="F491" s="80">
        <f t="shared" si="15"/>
        <v>94</v>
      </c>
      <c r="G491" s="22" cm="1">
        <f t="array" ref="G491">Comp1[[#This Row],[Comparable '#1 Drawdown]]/MAX($B$2:B491)</f>
        <v>-0.53052728954671602</v>
      </c>
      <c r="H491" s="1" t="str">
        <f>IF(SUM(COUNTIF(Benchmark1[Benchmark '#1 Dates],Comp1[[#This Row],[Comparable '#1 Dates]]),COUNTIF(Benchmark2[Benchmark '#2 Dates],Comp1[[#This Row],[Comparable '#1 Dates]]))=2,"Pass","Fail")</f>
        <v>Pass</v>
      </c>
      <c r="I491" s="1">
        <f>IFERROR(Comp1[[#This Row],[Comparable '#1 Return]]-INDEX(Benchmark1[Benchmark '#1 Return],MATCH(Comp1[[#This Row],[Comparable '#1 Dates]],Benchmark1[Benchmark '#1 Dates],0)),"-")</f>
        <v>-3.0683882038129544E-2</v>
      </c>
      <c r="L491" s="72">
        <f>Comp1[[#This Row],[Comparable '#1 Price]]/$B$2*100</f>
        <v>69.472963723477079</v>
      </c>
    </row>
    <row r="492" spans="1:12">
      <c r="A492" s="103">
        <v>43998</v>
      </c>
      <c r="B492" s="104">
        <v>10.3</v>
      </c>
      <c r="C492" s="4">
        <f t="shared" si="14"/>
        <v>1.4670189747793839E-2</v>
      </c>
      <c r="D492" s="1">
        <f>IFERROR(Comp1[[#This Row],[Comparable '#1 Return]]+1,"-")</f>
        <v>1.0146701897477939</v>
      </c>
      <c r="E492" s="6">
        <f>B492-MAX($B$2:B492)</f>
        <v>-11.32</v>
      </c>
      <c r="F492" s="80">
        <f t="shared" si="15"/>
        <v>95</v>
      </c>
      <c r="G492" s="22" cm="1">
        <f t="array" ref="G492">Comp1[[#This Row],[Comparable '#1 Drawdown]]/MAX($B$2:B492)</f>
        <v>-0.52358926919518967</v>
      </c>
      <c r="H492" s="1" t="str">
        <f>IF(SUM(COUNTIF(Benchmark1[Benchmark '#1 Dates],Comp1[[#This Row],[Comparable '#1 Dates]]),COUNTIF(Benchmark2[Benchmark '#2 Dates],Comp1[[#This Row],[Comparable '#1 Dates]]))=2,"Pass","Fail")</f>
        <v>Pass</v>
      </c>
      <c r="I492" s="1">
        <f>IFERROR(Comp1[[#This Row],[Comparable '#1 Return]]-INDEX(Benchmark1[Benchmark '#1 Return],MATCH(Comp1[[#This Row],[Comparable '#1 Dates]],Benchmark1[Benchmark '#1 Dates],0)),"-")</f>
        <v>-4.1150489296022334E-3</v>
      </c>
      <c r="L492" s="72">
        <f>Comp1[[#This Row],[Comparable '#1 Price]]/$B$2*100</f>
        <v>70.499657768651616</v>
      </c>
    </row>
    <row r="493" spans="1:12">
      <c r="A493" s="103">
        <v>43999</v>
      </c>
      <c r="B493" s="104">
        <v>10.25</v>
      </c>
      <c r="C493" s="4">
        <f t="shared" si="14"/>
        <v>-4.8661896511730113E-3</v>
      </c>
      <c r="D493" s="1">
        <f>IFERROR(Comp1[[#This Row],[Comparable '#1 Return]]+1,"-")</f>
        <v>0.99513381034882697</v>
      </c>
      <c r="E493" s="6">
        <f>B493-MAX($B$2:B493)</f>
        <v>-11.370000000000001</v>
      </c>
      <c r="F493" s="80">
        <f t="shared" si="15"/>
        <v>96</v>
      </c>
      <c r="G493" s="22" cm="1">
        <f t="array" ref="G493">Comp1[[#This Row],[Comparable '#1 Drawdown]]/MAX($B$2:B493)</f>
        <v>-0.52590194264569845</v>
      </c>
      <c r="H493" s="1" t="str">
        <f>IF(SUM(COUNTIF(Benchmark1[Benchmark '#1 Dates],Comp1[[#This Row],[Comparable '#1 Dates]]),COUNTIF(Benchmark2[Benchmark '#2 Dates],Comp1[[#This Row],[Comparable '#1 Dates]]))=2,"Pass","Fail")</f>
        <v>Pass</v>
      </c>
      <c r="I493" s="1">
        <f>IFERROR(Comp1[[#This Row],[Comparable '#1 Return]]-INDEX(Benchmark1[Benchmark '#1 Return],MATCH(Comp1[[#This Row],[Comparable '#1 Dates]],Benchmark1[Benchmark '#1 Dates],0)),"-")</f>
        <v>-1.2591155573355851E-3</v>
      </c>
      <c r="L493" s="72">
        <f>Comp1[[#This Row],[Comparable '#1 Price]]/$B$2*100</f>
        <v>70.157426420260094</v>
      </c>
    </row>
    <row r="494" spans="1:12">
      <c r="A494" s="103">
        <v>44000</v>
      </c>
      <c r="B494" s="104">
        <v>10.08</v>
      </c>
      <c r="C494" s="4">
        <f t="shared" si="14"/>
        <v>-1.6724442941194642E-2</v>
      </c>
      <c r="D494" s="1">
        <f>IFERROR(Comp1[[#This Row],[Comparable '#1 Return]]+1,"-")</f>
        <v>0.98327555705880532</v>
      </c>
      <c r="E494" s="6">
        <f>B494-MAX($B$2:B494)</f>
        <v>-11.540000000000001</v>
      </c>
      <c r="F494" s="80">
        <f t="shared" si="15"/>
        <v>97</v>
      </c>
      <c r="G494" s="22" cm="1">
        <f t="array" ref="G494">Comp1[[#This Row],[Comparable '#1 Drawdown]]/MAX($B$2:B494)</f>
        <v>-0.53376503237742834</v>
      </c>
      <c r="H494" s="1" t="str">
        <f>IF(SUM(COUNTIF(Benchmark1[Benchmark '#1 Dates],Comp1[[#This Row],[Comparable '#1 Dates]]),COUNTIF(Benchmark2[Benchmark '#2 Dates],Comp1[[#This Row],[Comparable '#1 Dates]]))=2,"Pass","Fail")</f>
        <v>Pass</v>
      </c>
      <c r="I494" s="1">
        <f>IFERROR(Comp1[[#This Row],[Comparable '#1 Return]]-INDEX(Benchmark1[Benchmark '#1 Return],MATCH(Comp1[[#This Row],[Comparable '#1 Dates]],Benchmark1[Benchmark '#1 Dates],0)),"-")</f>
        <v>-1.7320286933067069E-2</v>
      </c>
      <c r="L494" s="72">
        <f>Comp1[[#This Row],[Comparable '#1 Price]]/$B$2*100</f>
        <v>68.993839835728949</v>
      </c>
    </row>
    <row r="495" spans="1:12">
      <c r="A495" s="103">
        <v>44001</v>
      </c>
      <c r="B495" s="104">
        <v>10.16</v>
      </c>
      <c r="C495" s="4">
        <f t="shared" si="14"/>
        <v>7.9051795071132473E-3</v>
      </c>
      <c r="D495" s="1">
        <f>IFERROR(Comp1[[#This Row],[Comparable '#1 Return]]+1,"-")</f>
        <v>1.0079051795071132</v>
      </c>
      <c r="E495" s="6">
        <f>B495-MAX($B$2:B495)</f>
        <v>-11.46</v>
      </c>
      <c r="F495" s="80">
        <f t="shared" si="15"/>
        <v>98</v>
      </c>
      <c r="G495" s="22" cm="1">
        <f t="array" ref="G495">Comp1[[#This Row],[Comparable '#1 Drawdown]]/MAX($B$2:B495)</f>
        <v>-0.53006475485661431</v>
      </c>
      <c r="H495" s="1" t="str">
        <f>IF(SUM(COUNTIF(Benchmark1[Benchmark '#1 Dates],Comp1[[#This Row],[Comparable '#1 Dates]]),COUNTIF(Benchmark2[Benchmark '#2 Dates],Comp1[[#This Row],[Comparable '#1 Dates]]))=2,"Pass","Fail")</f>
        <v>Pass</v>
      </c>
      <c r="I495" s="1">
        <f>IFERROR(Comp1[[#This Row],[Comparable '#1 Return]]-INDEX(Benchmark1[Benchmark '#1 Return],MATCH(Comp1[[#This Row],[Comparable '#1 Dates]],Benchmark1[Benchmark '#1 Dates],0)),"-")</f>
        <v>1.3571388296817952E-2</v>
      </c>
      <c r="L495" s="72">
        <f>Comp1[[#This Row],[Comparable '#1 Price]]/$B$2*100</f>
        <v>69.541409993155384</v>
      </c>
    </row>
    <row r="496" spans="1:12">
      <c r="A496" s="103">
        <v>44004</v>
      </c>
      <c r="B496" s="104">
        <v>10.19</v>
      </c>
      <c r="C496" s="4">
        <f t="shared" si="14"/>
        <v>2.948405084297607E-3</v>
      </c>
      <c r="D496" s="1">
        <f>IFERROR(Comp1[[#This Row],[Comparable '#1 Return]]+1,"-")</f>
        <v>1.0029484050842976</v>
      </c>
      <c r="E496" s="6">
        <f>B496-MAX($B$2:B496)</f>
        <v>-11.430000000000001</v>
      </c>
      <c r="F496" s="80">
        <f t="shared" si="15"/>
        <v>99</v>
      </c>
      <c r="G496" s="22" cm="1">
        <f t="array" ref="G496">Comp1[[#This Row],[Comparable '#1 Drawdown]]/MAX($B$2:B496)</f>
        <v>-0.52867715078630906</v>
      </c>
      <c r="H496" s="1" t="str">
        <f>IF(SUM(COUNTIF(Benchmark1[Benchmark '#1 Dates],Comp1[[#This Row],[Comparable '#1 Dates]]),COUNTIF(Benchmark2[Benchmark '#2 Dates],Comp1[[#This Row],[Comparable '#1 Dates]]))=2,"Pass","Fail")</f>
        <v>Pass</v>
      </c>
      <c r="I496" s="1">
        <f>IFERROR(Comp1[[#This Row],[Comparable '#1 Return]]-INDEX(Benchmark1[Benchmark '#1 Return],MATCH(Comp1[[#This Row],[Comparable '#1 Dates]],Benchmark1[Benchmark '#1 Dates],0)),"-")</f>
        <v>-3.5251136656043913E-3</v>
      </c>
      <c r="L496" s="72">
        <f>Comp1[[#This Row],[Comparable '#1 Price]]/$B$2*100</f>
        <v>69.746748802190282</v>
      </c>
    </row>
    <row r="497" spans="1:12">
      <c r="A497" s="103">
        <v>44005</v>
      </c>
      <c r="B497" s="104">
        <v>10.29</v>
      </c>
      <c r="C497" s="4">
        <f t="shared" si="14"/>
        <v>9.7657026113248651E-3</v>
      </c>
      <c r="D497" s="1">
        <f>IFERROR(Comp1[[#This Row],[Comparable '#1 Return]]+1,"-")</f>
        <v>1.0097657026113249</v>
      </c>
      <c r="E497" s="6">
        <f>B497-MAX($B$2:B497)</f>
        <v>-11.330000000000002</v>
      </c>
      <c r="F497" s="80">
        <f t="shared" si="15"/>
        <v>100</v>
      </c>
      <c r="G497" s="22" cm="1">
        <f t="array" ref="G497">Comp1[[#This Row],[Comparable '#1 Drawdown]]/MAX($B$2:B497)</f>
        <v>-0.52405180388529149</v>
      </c>
      <c r="H497" s="1" t="str">
        <f>IF(SUM(COUNTIF(Benchmark1[Benchmark '#1 Dates],Comp1[[#This Row],[Comparable '#1 Dates]]),COUNTIF(Benchmark2[Benchmark '#2 Dates],Comp1[[#This Row],[Comparable '#1 Dates]]))=2,"Pass","Fail")</f>
        <v>Pass</v>
      </c>
      <c r="I497" s="1">
        <f>IFERROR(Comp1[[#This Row],[Comparable '#1 Return]]-INDEX(Benchmark1[Benchmark '#1 Return],MATCH(Comp1[[#This Row],[Comparable '#1 Dates]],Benchmark1[Benchmark '#1 Dates],0)),"-")</f>
        <v>5.4691745180220665E-3</v>
      </c>
      <c r="L497" s="72">
        <f>Comp1[[#This Row],[Comparable '#1 Price]]/$B$2*100</f>
        <v>70.431211498973298</v>
      </c>
    </row>
    <row r="498" spans="1:12">
      <c r="A498" s="103">
        <v>44006</v>
      </c>
      <c r="B498" s="104">
        <v>9.75</v>
      </c>
      <c r="C498" s="4">
        <f t="shared" si="14"/>
        <v>-5.390526483620231E-2</v>
      </c>
      <c r="D498" s="1">
        <f>IFERROR(Comp1[[#This Row],[Comparable '#1 Return]]+1,"-")</f>
        <v>0.94609473516379772</v>
      </c>
      <c r="E498" s="6">
        <f>B498-MAX($B$2:B498)</f>
        <v>-11.870000000000001</v>
      </c>
      <c r="F498" s="80">
        <f t="shared" si="15"/>
        <v>101</v>
      </c>
      <c r="G498" s="22" cm="1">
        <f t="array" ref="G498">Comp1[[#This Row],[Comparable '#1 Drawdown]]/MAX($B$2:B498)</f>
        <v>-0.54902867715078629</v>
      </c>
      <c r="H498" s="1" t="str">
        <f>IF(SUM(COUNTIF(Benchmark1[Benchmark '#1 Dates],Comp1[[#This Row],[Comparable '#1 Dates]]),COUNTIF(Benchmark2[Benchmark '#2 Dates],Comp1[[#This Row],[Comparable '#1 Dates]]))=2,"Pass","Fail")</f>
        <v>Pass</v>
      </c>
      <c r="I498" s="1">
        <f>IFERROR(Comp1[[#This Row],[Comparable '#1 Return]]-INDEX(Benchmark1[Benchmark '#1 Return],MATCH(Comp1[[#This Row],[Comparable '#1 Dates]],Benchmark1[Benchmark '#1 Dates],0)),"-")</f>
        <v>-2.7712938506819607E-2</v>
      </c>
      <c r="L498" s="72">
        <f>Comp1[[#This Row],[Comparable '#1 Price]]/$B$2*100</f>
        <v>66.735112936344976</v>
      </c>
    </row>
    <row r="499" spans="1:12">
      <c r="A499" s="103">
        <v>44007</v>
      </c>
      <c r="B499" s="104">
        <v>9.8000000000000007</v>
      </c>
      <c r="C499" s="4">
        <f t="shared" si="14"/>
        <v>5.1151006667704089E-3</v>
      </c>
      <c r="D499" s="1">
        <f>IFERROR(Comp1[[#This Row],[Comparable '#1 Return]]+1,"-")</f>
        <v>1.0051151006667705</v>
      </c>
      <c r="E499" s="6">
        <f>B499-MAX($B$2:B499)</f>
        <v>-11.82</v>
      </c>
      <c r="F499" s="80">
        <f t="shared" si="15"/>
        <v>102</v>
      </c>
      <c r="G499" s="22" cm="1">
        <f t="array" ref="G499">Comp1[[#This Row],[Comparable '#1 Drawdown]]/MAX($B$2:B499)</f>
        <v>-0.54671600370027751</v>
      </c>
      <c r="H499" s="1" t="str">
        <f>IF(SUM(COUNTIF(Benchmark1[Benchmark '#1 Dates],Comp1[[#This Row],[Comparable '#1 Dates]]),COUNTIF(Benchmark2[Benchmark '#2 Dates],Comp1[[#This Row],[Comparable '#1 Dates]]))=2,"Pass","Fail")</f>
        <v>Pass</v>
      </c>
      <c r="I499" s="1">
        <f>IFERROR(Comp1[[#This Row],[Comparable '#1 Return]]-INDEX(Benchmark1[Benchmark '#1 Return],MATCH(Comp1[[#This Row],[Comparable '#1 Dates]],Benchmark1[Benchmark '#1 Dates],0)),"-")</f>
        <v>-5.7824421663530464E-3</v>
      </c>
      <c r="L499" s="72">
        <f>Comp1[[#This Row],[Comparable '#1 Price]]/$B$2*100</f>
        <v>67.077344284736483</v>
      </c>
    </row>
    <row r="500" spans="1:12">
      <c r="A500" s="103">
        <v>44008</v>
      </c>
      <c r="B500" s="104">
        <v>9.6999999999999993</v>
      </c>
      <c r="C500" s="4">
        <f t="shared" si="14"/>
        <v>-1.0256500167189221E-2</v>
      </c>
      <c r="D500" s="1">
        <f>IFERROR(Comp1[[#This Row],[Comparable '#1 Return]]+1,"-")</f>
        <v>0.98974349983281074</v>
      </c>
      <c r="E500" s="6">
        <f>B500-MAX($B$2:B500)</f>
        <v>-11.920000000000002</v>
      </c>
      <c r="F500" s="80">
        <f t="shared" si="15"/>
        <v>103</v>
      </c>
      <c r="G500" s="22" cm="1">
        <f t="array" ref="G500">Comp1[[#This Row],[Comparable '#1 Drawdown]]/MAX($B$2:B500)</f>
        <v>-0.55134135060129519</v>
      </c>
      <c r="H500" s="1" t="str">
        <f>IF(SUM(COUNTIF(Benchmark1[Benchmark '#1 Dates],Comp1[[#This Row],[Comparable '#1 Dates]]),COUNTIF(Benchmark2[Benchmark '#2 Dates],Comp1[[#This Row],[Comparable '#1 Dates]]))=2,"Pass","Fail")</f>
        <v>Pass</v>
      </c>
      <c r="I500" s="1">
        <f>IFERROR(Comp1[[#This Row],[Comparable '#1 Return]]-INDEX(Benchmark1[Benchmark '#1 Return],MATCH(Comp1[[#This Row],[Comparable '#1 Dates]],Benchmark1[Benchmark '#1 Dates],0)),"-")</f>
        <v>1.4267169186227618E-2</v>
      </c>
      <c r="L500" s="72">
        <f>Comp1[[#This Row],[Comparable '#1 Price]]/$B$2*100</f>
        <v>66.392881587953454</v>
      </c>
    </row>
    <row r="501" spans="1:12">
      <c r="A501" s="103">
        <v>44011</v>
      </c>
      <c r="B501" s="104">
        <v>9.9149999999999991</v>
      </c>
      <c r="C501" s="4">
        <f t="shared" si="14"/>
        <v>2.1922876462422084E-2</v>
      </c>
      <c r="D501" s="1">
        <f>IFERROR(Comp1[[#This Row],[Comparable '#1 Return]]+1,"-")</f>
        <v>1.0219228764624222</v>
      </c>
      <c r="E501" s="6">
        <f>B501-MAX($B$2:B501)</f>
        <v>-11.705000000000002</v>
      </c>
      <c r="F501" s="80">
        <f t="shared" si="15"/>
        <v>104</v>
      </c>
      <c r="G501" s="22" cm="1">
        <f t="array" ref="G501">Comp1[[#This Row],[Comparable '#1 Drawdown]]/MAX($B$2:B501)</f>
        <v>-0.54139685476410737</v>
      </c>
      <c r="H501" s="1" t="str">
        <f>IF(SUM(COUNTIF(Benchmark1[Benchmark '#1 Dates],Comp1[[#This Row],[Comparable '#1 Dates]]),COUNTIF(Benchmark2[Benchmark '#2 Dates],Comp1[[#This Row],[Comparable '#1 Dates]]))=2,"Pass","Fail")</f>
        <v>Pass</v>
      </c>
      <c r="I501" s="1">
        <f>IFERROR(Comp1[[#This Row],[Comparable '#1 Return]]-INDEX(Benchmark1[Benchmark '#1 Return],MATCH(Comp1[[#This Row],[Comparable '#1 Dates]],Benchmark1[Benchmark '#1 Dates],0)),"-")</f>
        <v>7.3451286464481461E-3</v>
      </c>
      <c r="L501" s="72">
        <f>Comp1[[#This Row],[Comparable '#1 Price]]/$B$2*100</f>
        <v>67.864476386036955</v>
      </c>
    </row>
    <row r="502" spans="1:12">
      <c r="A502" s="103">
        <v>44012</v>
      </c>
      <c r="B502" s="104">
        <v>9.9649999999999999</v>
      </c>
      <c r="C502" s="4">
        <f t="shared" si="14"/>
        <v>5.0301916929987901E-3</v>
      </c>
      <c r="D502" s="1">
        <f>IFERROR(Comp1[[#This Row],[Comparable '#1 Return]]+1,"-")</f>
        <v>1.0050301916929989</v>
      </c>
      <c r="E502" s="6">
        <f>B502-MAX($B$2:B502)</f>
        <v>-11.655000000000001</v>
      </c>
      <c r="F502" s="80">
        <f t="shared" si="15"/>
        <v>105</v>
      </c>
      <c r="G502" s="22" cm="1">
        <f t="array" ref="G502">Comp1[[#This Row],[Comparable '#1 Drawdown]]/MAX($B$2:B502)</f>
        <v>-0.53908418131359859</v>
      </c>
      <c r="H502" s="1" t="str">
        <f>IF(SUM(COUNTIF(Benchmark1[Benchmark '#1 Dates],Comp1[[#This Row],[Comparable '#1 Dates]]),COUNTIF(Benchmark2[Benchmark '#2 Dates],Comp1[[#This Row],[Comparable '#1 Dates]]))=2,"Pass","Fail")</f>
        <v>Pass</v>
      </c>
      <c r="I502" s="1">
        <f>IFERROR(Comp1[[#This Row],[Comparable '#1 Return]]-INDEX(Benchmark1[Benchmark '#1 Return],MATCH(Comp1[[#This Row],[Comparable '#1 Dates]],Benchmark1[Benchmark '#1 Dates],0)),"-")</f>
        <v>-1.0260933431643065E-2</v>
      </c>
      <c r="L502" s="72">
        <f>Comp1[[#This Row],[Comparable '#1 Price]]/$B$2*100</f>
        <v>68.206707734428477</v>
      </c>
    </row>
    <row r="503" spans="1:12">
      <c r="A503" s="103">
        <v>44013</v>
      </c>
      <c r="B503" s="104">
        <v>9.92</v>
      </c>
      <c r="C503" s="4">
        <f t="shared" si="14"/>
        <v>-4.5260323679766372E-3</v>
      </c>
      <c r="D503" s="1">
        <f>IFERROR(Comp1[[#This Row],[Comparable '#1 Return]]+1,"-")</f>
        <v>0.99547396763202334</v>
      </c>
      <c r="E503" s="6">
        <f>B503-MAX($B$2:B503)</f>
        <v>-11.700000000000001</v>
      </c>
      <c r="F503" s="80">
        <f t="shared" si="15"/>
        <v>106</v>
      </c>
      <c r="G503" s="22" cm="1">
        <f t="array" ref="G503">Comp1[[#This Row],[Comparable '#1 Drawdown]]/MAX($B$2:B503)</f>
        <v>-0.5411655874190564</v>
      </c>
      <c r="H503" s="1" t="str">
        <f>IF(SUM(COUNTIF(Benchmark1[Benchmark '#1 Dates],Comp1[[#This Row],[Comparable '#1 Dates]]),COUNTIF(Benchmark2[Benchmark '#2 Dates],Comp1[[#This Row],[Comparable '#1 Dates]]))=2,"Pass","Fail")</f>
        <v>Pass</v>
      </c>
      <c r="I503" s="1">
        <f>IFERROR(Comp1[[#This Row],[Comparable '#1 Return]]-INDEX(Benchmark1[Benchmark '#1 Return],MATCH(Comp1[[#This Row],[Comparable '#1 Dates]],Benchmark1[Benchmark '#1 Dates],0)),"-")</f>
        <v>-9.5366389507695291E-3</v>
      </c>
      <c r="L503" s="72">
        <f>Comp1[[#This Row],[Comparable '#1 Price]]/$B$2*100</f>
        <v>67.898699520876121</v>
      </c>
    </row>
    <row r="504" spans="1:12">
      <c r="A504" s="103">
        <v>44014</v>
      </c>
      <c r="B504" s="104">
        <v>10.15</v>
      </c>
      <c r="C504" s="4">
        <f t="shared" si="14"/>
        <v>2.2920784191014922E-2</v>
      </c>
      <c r="D504" s="1">
        <f>IFERROR(Comp1[[#This Row],[Comparable '#1 Return]]+1,"-")</f>
        <v>1.0229207841910148</v>
      </c>
      <c r="E504" s="6">
        <f>B504-MAX($B$2:B504)</f>
        <v>-11.47</v>
      </c>
      <c r="F504" s="80">
        <f t="shared" si="15"/>
        <v>107</v>
      </c>
      <c r="G504" s="22" cm="1">
        <f t="array" ref="G504">Comp1[[#This Row],[Comparable '#1 Drawdown]]/MAX($B$2:B504)</f>
        <v>-0.53052728954671602</v>
      </c>
      <c r="H504" s="1" t="str">
        <f>IF(SUM(COUNTIF(Benchmark1[Benchmark '#1 Dates],Comp1[[#This Row],[Comparable '#1 Dates]]),COUNTIF(Benchmark2[Benchmark '#2 Dates],Comp1[[#This Row],[Comparable '#1 Dates]]))=2,"Pass","Fail")</f>
        <v>Pass</v>
      </c>
      <c r="I504" s="1">
        <f>IFERROR(Comp1[[#This Row],[Comparable '#1 Return]]-INDEX(Benchmark1[Benchmark '#1 Return],MATCH(Comp1[[#This Row],[Comparable '#1 Dates]],Benchmark1[Benchmark '#1 Dates],0)),"-")</f>
        <v>1.8388417574438091E-2</v>
      </c>
      <c r="L504" s="72">
        <f>Comp1[[#This Row],[Comparable '#1 Price]]/$B$2*100</f>
        <v>69.472963723477079</v>
      </c>
    </row>
    <row r="505" spans="1:12">
      <c r="A505" s="103">
        <v>44018</v>
      </c>
      <c r="B505" s="104">
        <v>10.32</v>
      </c>
      <c r="C505" s="4">
        <f t="shared" si="14"/>
        <v>1.6610054565620338E-2</v>
      </c>
      <c r="D505" s="1">
        <f>IFERROR(Comp1[[#This Row],[Comparable '#1 Return]]+1,"-")</f>
        <v>1.0166100545656203</v>
      </c>
      <c r="E505" s="6">
        <f>B505-MAX($B$2:B505)</f>
        <v>-11.3</v>
      </c>
      <c r="F505" s="80">
        <f t="shared" si="15"/>
        <v>108</v>
      </c>
      <c r="G505" s="22" cm="1">
        <f t="array" ref="G505">Comp1[[#This Row],[Comparable '#1 Drawdown]]/MAX($B$2:B505)</f>
        <v>-0.52266419981498613</v>
      </c>
      <c r="H505" s="1" t="str">
        <f>IF(SUM(COUNTIF(Benchmark1[Benchmark '#1 Dates],Comp1[[#This Row],[Comparable '#1 Dates]]),COUNTIF(Benchmark2[Benchmark '#2 Dates],Comp1[[#This Row],[Comparable '#1 Dates]]))=2,"Pass","Fail")</f>
        <v>Pass</v>
      </c>
      <c r="I505" s="1">
        <f>IFERROR(Comp1[[#This Row],[Comparable '#1 Return]]-INDEX(Benchmark1[Benchmark '#1 Return],MATCH(Comp1[[#This Row],[Comparable '#1 Dates]],Benchmark1[Benchmark '#1 Dates],0)),"-")</f>
        <v>8.5436141552065401E-4</v>
      </c>
      <c r="L505" s="72">
        <f>Comp1[[#This Row],[Comparable '#1 Price]]/$B$2*100</f>
        <v>70.636550308008211</v>
      </c>
    </row>
    <row r="506" spans="1:12">
      <c r="A506" s="103">
        <v>44019</v>
      </c>
      <c r="B506" s="104">
        <v>9.7799999999999994</v>
      </c>
      <c r="C506" s="4">
        <f t="shared" si="14"/>
        <v>-5.3744276006690808E-2</v>
      </c>
      <c r="D506" s="1">
        <f>IFERROR(Comp1[[#This Row],[Comparable '#1 Return]]+1,"-")</f>
        <v>0.94625572399330915</v>
      </c>
      <c r="E506" s="6">
        <f>B506-MAX($B$2:B506)</f>
        <v>-11.840000000000002</v>
      </c>
      <c r="F506" s="80">
        <f t="shared" si="15"/>
        <v>109</v>
      </c>
      <c r="G506" s="22" cm="1">
        <f t="array" ref="G506">Comp1[[#This Row],[Comparable '#1 Drawdown]]/MAX($B$2:B506)</f>
        <v>-0.54764107308048104</v>
      </c>
      <c r="H506" s="1" t="str">
        <f>IF(SUM(COUNTIF(Benchmark1[Benchmark '#1 Dates],Comp1[[#This Row],[Comparable '#1 Dates]]),COUNTIF(Benchmark2[Benchmark '#2 Dates],Comp1[[#This Row],[Comparable '#1 Dates]]))=2,"Pass","Fail")</f>
        <v>Pass</v>
      </c>
      <c r="I506" s="1">
        <f>IFERROR(Comp1[[#This Row],[Comparable '#1 Return]]-INDEX(Benchmark1[Benchmark '#1 Return],MATCH(Comp1[[#This Row],[Comparable '#1 Dates]],Benchmark1[Benchmark '#1 Dates],0)),"-")</f>
        <v>-4.2866523369700954E-2</v>
      </c>
      <c r="L506" s="72">
        <f>Comp1[[#This Row],[Comparable '#1 Price]]/$B$2*100</f>
        <v>66.940451745379875</v>
      </c>
    </row>
    <row r="507" spans="1:12">
      <c r="A507" s="103">
        <v>44020</v>
      </c>
      <c r="B507" s="104">
        <v>9.57</v>
      </c>
      <c r="C507" s="4">
        <f t="shared" si="14"/>
        <v>-2.1706278581862946E-2</v>
      </c>
      <c r="D507" s="1">
        <f>IFERROR(Comp1[[#This Row],[Comparable '#1 Return]]+1,"-")</f>
        <v>0.97829372141813709</v>
      </c>
      <c r="E507" s="6">
        <f>B507-MAX($B$2:B507)</f>
        <v>-12.05</v>
      </c>
      <c r="F507" s="80">
        <f t="shared" si="15"/>
        <v>110</v>
      </c>
      <c r="G507" s="22" cm="1">
        <f t="array" ref="G507">Comp1[[#This Row],[Comparable '#1 Drawdown]]/MAX($B$2:B507)</f>
        <v>-0.557354301572618</v>
      </c>
      <c r="H507" s="1" t="str">
        <f>IF(SUM(COUNTIF(Benchmark1[Benchmark '#1 Dates],Comp1[[#This Row],[Comparable '#1 Dates]]),COUNTIF(Benchmark2[Benchmark '#2 Dates],Comp1[[#This Row],[Comparable '#1 Dates]]))=2,"Pass","Fail")</f>
        <v>Pass</v>
      </c>
      <c r="I507" s="1">
        <f>IFERROR(Comp1[[#This Row],[Comparable '#1 Return]]-INDEX(Benchmark1[Benchmark '#1 Return],MATCH(Comp1[[#This Row],[Comparable '#1 Dates]],Benchmark1[Benchmark '#1 Dates],0)),"-")</f>
        <v>-2.9504936518006338E-2</v>
      </c>
      <c r="L507" s="72">
        <f>Comp1[[#This Row],[Comparable '#1 Price]]/$B$2*100</f>
        <v>65.503080082135526</v>
      </c>
    </row>
    <row r="508" spans="1:12">
      <c r="A508" s="103">
        <v>44021</v>
      </c>
      <c r="B508" s="104">
        <v>9.23</v>
      </c>
      <c r="C508" s="4">
        <f t="shared" si="14"/>
        <v>-3.6174156950102142E-2</v>
      </c>
      <c r="D508" s="1">
        <f>IFERROR(Comp1[[#This Row],[Comparable '#1 Return]]+1,"-")</f>
        <v>0.96382584304989782</v>
      </c>
      <c r="E508" s="6">
        <f>B508-MAX($B$2:B508)</f>
        <v>-12.39</v>
      </c>
      <c r="F508" s="80">
        <f t="shared" si="15"/>
        <v>111</v>
      </c>
      <c r="G508" s="22" cm="1">
        <f t="array" ref="G508">Comp1[[#This Row],[Comparable '#1 Drawdown]]/MAX($B$2:B508)</f>
        <v>-0.57308048103607767</v>
      </c>
      <c r="H508" s="1" t="str">
        <f>IF(SUM(COUNTIF(Benchmark1[Benchmark '#1 Dates],Comp1[[#This Row],[Comparable '#1 Dates]]),COUNTIF(Benchmark2[Benchmark '#2 Dates],Comp1[[#This Row],[Comparable '#1 Dates]]))=2,"Pass","Fail")</f>
        <v>Pass</v>
      </c>
      <c r="I508" s="1">
        <f>IFERROR(Comp1[[#This Row],[Comparable '#1 Return]]-INDEX(Benchmark1[Benchmark '#1 Return],MATCH(Comp1[[#This Row],[Comparable '#1 Dates]],Benchmark1[Benchmark '#1 Dates],0)),"-")</f>
        <v>-3.0513102104529951E-2</v>
      </c>
      <c r="L508" s="72">
        <f>Comp1[[#This Row],[Comparable '#1 Price]]/$B$2*100</f>
        <v>63.175906913073241</v>
      </c>
    </row>
    <row r="509" spans="1:12">
      <c r="A509" s="103">
        <v>44022</v>
      </c>
      <c r="B509" s="104">
        <v>9.52</v>
      </c>
      <c r="C509" s="4">
        <f t="shared" si="14"/>
        <v>3.0935800288513032E-2</v>
      </c>
      <c r="D509" s="1">
        <f>IFERROR(Comp1[[#This Row],[Comparable '#1 Return]]+1,"-")</f>
        <v>1.0309358002885129</v>
      </c>
      <c r="E509" s="6">
        <f>B509-MAX($B$2:B509)</f>
        <v>-12.100000000000001</v>
      </c>
      <c r="F509" s="80">
        <f t="shared" si="15"/>
        <v>112</v>
      </c>
      <c r="G509" s="22" cm="1">
        <f t="array" ref="G509">Comp1[[#This Row],[Comparable '#1 Drawdown]]/MAX($B$2:B509)</f>
        <v>-0.55966697502312679</v>
      </c>
      <c r="H509" s="1" t="str">
        <f>IF(SUM(COUNTIF(Benchmark1[Benchmark '#1 Dates],Comp1[[#This Row],[Comparable '#1 Dates]]),COUNTIF(Benchmark2[Benchmark '#2 Dates],Comp1[[#This Row],[Comparable '#1 Dates]]))=2,"Pass","Fail")</f>
        <v>Pass</v>
      </c>
      <c r="I509" s="1">
        <f>IFERROR(Comp1[[#This Row],[Comparable '#1 Return]]-INDEX(Benchmark1[Benchmark '#1 Return],MATCH(Comp1[[#This Row],[Comparable '#1 Dates]],Benchmark1[Benchmark '#1 Dates],0)),"-")</f>
        <v>2.0522826704660428E-2</v>
      </c>
      <c r="L509" s="72">
        <f>Comp1[[#This Row],[Comparable '#1 Price]]/$B$2*100</f>
        <v>65.160848733744018</v>
      </c>
    </row>
    <row r="510" spans="1:12">
      <c r="A510" s="103">
        <v>44025</v>
      </c>
      <c r="B510" s="104">
        <v>9.39</v>
      </c>
      <c r="C510" s="4">
        <f t="shared" si="14"/>
        <v>-1.3749555583102356E-2</v>
      </c>
      <c r="D510" s="1">
        <f>IFERROR(Comp1[[#This Row],[Comparable '#1 Return]]+1,"-")</f>
        <v>0.98625044441689769</v>
      </c>
      <c r="E510" s="6">
        <f>B510-MAX($B$2:B510)</f>
        <v>-12.23</v>
      </c>
      <c r="F510" s="80">
        <f t="shared" si="15"/>
        <v>113</v>
      </c>
      <c r="G510" s="22" cm="1">
        <f t="array" ref="G510">Comp1[[#This Row],[Comparable '#1 Drawdown]]/MAX($B$2:B510)</f>
        <v>-0.56567992599444961</v>
      </c>
      <c r="H510" s="1" t="str">
        <f>IF(SUM(COUNTIF(Benchmark1[Benchmark '#1 Dates],Comp1[[#This Row],[Comparable '#1 Dates]]),COUNTIF(Benchmark2[Benchmark '#2 Dates],Comp1[[#This Row],[Comparable '#1 Dates]]))=2,"Pass","Fail")</f>
        <v>Pass</v>
      </c>
      <c r="I510" s="1">
        <f>IFERROR(Comp1[[#This Row],[Comparable '#1 Return]]-INDEX(Benchmark1[Benchmark '#1 Return],MATCH(Comp1[[#This Row],[Comparable '#1 Dates]],Benchmark1[Benchmark '#1 Dates],0)),"-")</f>
        <v>-4.343348348906869E-3</v>
      </c>
      <c r="L510" s="72">
        <f>Comp1[[#This Row],[Comparable '#1 Price]]/$B$2*100</f>
        <v>64.271047227926076</v>
      </c>
    </row>
    <row r="511" spans="1:12">
      <c r="A511" s="103">
        <v>44026</v>
      </c>
      <c r="B511" s="104">
        <v>9.3000000000000007</v>
      </c>
      <c r="C511" s="4">
        <f t="shared" si="14"/>
        <v>-9.6308930609613E-3</v>
      </c>
      <c r="D511" s="1">
        <f>IFERROR(Comp1[[#This Row],[Comparable '#1 Return]]+1,"-")</f>
        <v>0.99036910693903868</v>
      </c>
      <c r="E511" s="6">
        <f>B511-MAX($B$2:B511)</f>
        <v>-12.32</v>
      </c>
      <c r="F511" s="80">
        <f t="shared" si="15"/>
        <v>114</v>
      </c>
      <c r="G511" s="22" cm="1">
        <f t="array" ref="G511">Comp1[[#This Row],[Comparable '#1 Drawdown]]/MAX($B$2:B511)</f>
        <v>-0.56984273820536535</v>
      </c>
      <c r="H511" s="1" t="str">
        <f>IF(SUM(COUNTIF(Benchmark1[Benchmark '#1 Dates],Comp1[[#This Row],[Comparable '#1 Dates]]),COUNTIF(Benchmark2[Benchmark '#2 Dates],Comp1[[#This Row],[Comparable '#1 Dates]]))=2,"Pass","Fail")</f>
        <v>Pass</v>
      </c>
      <c r="I511" s="1">
        <f>IFERROR(Comp1[[#This Row],[Comparable '#1 Return]]-INDEX(Benchmark1[Benchmark '#1 Return],MATCH(Comp1[[#This Row],[Comparable '#1 Dates]],Benchmark1[Benchmark '#1 Dates],0)),"-")</f>
        <v>-2.2947775277143184E-2</v>
      </c>
      <c r="L511" s="72">
        <f>Comp1[[#This Row],[Comparable '#1 Price]]/$B$2*100</f>
        <v>63.655030800821365</v>
      </c>
    </row>
    <row r="512" spans="1:12">
      <c r="A512" s="103">
        <v>44027</v>
      </c>
      <c r="B512" s="104">
        <v>10.095000000000001</v>
      </c>
      <c r="C512" s="4">
        <f t="shared" si="14"/>
        <v>8.2025851605590533E-2</v>
      </c>
      <c r="D512" s="1">
        <f>IFERROR(Comp1[[#This Row],[Comparable '#1 Return]]+1,"-")</f>
        <v>1.0820258516055905</v>
      </c>
      <c r="E512" s="6">
        <f>B512-MAX($B$2:B512)</f>
        <v>-11.525</v>
      </c>
      <c r="F512" s="80">
        <f t="shared" si="15"/>
        <v>115</v>
      </c>
      <c r="G512" s="22" cm="1">
        <f t="array" ref="G512">Comp1[[#This Row],[Comparable '#1 Drawdown]]/MAX($B$2:B512)</f>
        <v>-0.53307123034227566</v>
      </c>
      <c r="H512" s="1" t="str">
        <f>IF(SUM(COUNTIF(Benchmark1[Benchmark '#1 Dates],Comp1[[#This Row],[Comparable '#1 Dates]]),COUNTIF(Benchmark2[Benchmark '#2 Dates],Comp1[[#This Row],[Comparable '#1 Dates]]))=2,"Pass","Fail")</f>
        <v>Pass</v>
      </c>
      <c r="I512" s="1">
        <f>IFERROR(Comp1[[#This Row],[Comparable '#1 Return]]-INDEX(Benchmark1[Benchmark '#1 Return],MATCH(Comp1[[#This Row],[Comparable '#1 Dates]],Benchmark1[Benchmark '#1 Dates],0)),"-")</f>
        <v>7.2985756916864847E-2</v>
      </c>
      <c r="L512" s="72">
        <f>Comp1[[#This Row],[Comparable '#1 Price]]/$B$2*100</f>
        <v>69.096509240246419</v>
      </c>
    </row>
    <row r="513" spans="1:12">
      <c r="A513" s="103">
        <v>44028</v>
      </c>
      <c r="B513" s="104">
        <v>10</v>
      </c>
      <c r="C513" s="4">
        <f t="shared" si="14"/>
        <v>-9.4551587707552131E-3</v>
      </c>
      <c r="D513" s="1">
        <f>IFERROR(Comp1[[#This Row],[Comparable '#1 Return]]+1,"-")</f>
        <v>0.9905448412292448</v>
      </c>
      <c r="E513" s="6">
        <f>B513-MAX($B$2:B513)</f>
        <v>-11.620000000000001</v>
      </c>
      <c r="F513" s="80">
        <f t="shared" si="15"/>
        <v>116</v>
      </c>
      <c r="G513" s="22" cm="1">
        <f t="array" ref="G513">Comp1[[#This Row],[Comparable '#1 Drawdown]]/MAX($B$2:B513)</f>
        <v>-0.53746530989824237</v>
      </c>
      <c r="H513" s="1" t="str">
        <f>IF(SUM(COUNTIF(Benchmark1[Benchmark '#1 Dates],Comp1[[#This Row],[Comparable '#1 Dates]]),COUNTIF(Benchmark2[Benchmark '#2 Dates],Comp1[[#This Row],[Comparable '#1 Dates]]))=2,"Pass","Fail")</f>
        <v>Pass</v>
      </c>
      <c r="I513" s="1">
        <f>IFERROR(Comp1[[#This Row],[Comparable '#1 Return]]-INDEX(Benchmark1[Benchmark '#1 Return],MATCH(Comp1[[#This Row],[Comparable '#1 Dates]],Benchmark1[Benchmark '#1 Dates],0)),"-")</f>
        <v>-6.0447029965057294E-3</v>
      </c>
      <c r="L513" s="72">
        <f>Comp1[[#This Row],[Comparable '#1 Price]]/$B$2*100</f>
        <v>68.446269678302542</v>
      </c>
    </row>
    <row r="514" spans="1:12">
      <c r="A514" s="103">
        <v>44029</v>
      </c>
      <c r="B514" s="104">
        <v>10.130000000000001</v>
      </c>
      <c r="C514" s="4">
        <f t="shared" ref="C514:C577" si="16">IFERROR(IF(B514="","-",LN(B514/B513)),"-")</f>
        <v>1.291622526654645E-2</v>
      </c>
      <c r="D514" s="1">
        <f>IFERROR(Comp1[[#This Row],[Comparable '#1 Return]]+1,"-")</f>
        <v>1.0129162252665465</v>
      </c>
      <c r="E514" s="6">
        <f>B514-MAX($B$2:B514)</f>
        <v>-11.49</v>
      </c>
      <c r="F514" s="80">
        <f t="shared" ref="F514:F577" si="17">IF(E514=0,0,F513+1)</f>
        <v>117</v>
      </c>
      <c r="G514" s="22" cm="1">
        <f t="array" ref="G514">Comp1[[#This Row],[Comparable '#1 Drawdown]]/MAX($B$2:B514)</f>
        <v>-0.53145235892691955</v>
      </c>
      <c r="H514" s="1" t="str">
        <f>IF(SUM(COUNTIF(Benchmark1[Benchmark '#1 Dates],Comp1[[#This Row],[Comparable '#1 Dates]]),COUNTIF(Benchmark2[Benchmark '#2 Dates],Comp1[[#This Row],[Comparable '#1 Dates]]))=2,"Pass","Fail")</f>
        <v>Pass</v>
      </c>
      <c r="I514" s="1">
        <f>IFERROR(Comp1[[#This Row],[Comparable '#1 Return]]-INDEX(Benchmark1[Benchmark '#1 Return],MATCH(Comp1[[#This Row],[Comparable '#1 Dates]],Benchmark1[Benchmark '#1 Dates],0)),"-")</f>
        <v>1.0072670254429287E-2</v>
      </c>
      <c r="L514" s="72">
        <f>Comp1[[#This Row],[Comparable '#1 Price]]/$B$2*100</f>
        <v>69.33607118412047</v>
      </c>
    </row>
    <row r="515" spans="1:12">
      <c r="A515" s="103">
        <v>44032</v>
      </c>
      <c r="B515" s="104">
        <v>10.685</v>
      </c>
      <c r="C515" s="4">
        <f t="shared" si="16"/>
        <v>5.3339570510518824E-2</v>
      </c>
      <c r="D515" s="1">
        <f>IFERROR(Comp1[[#This Row],[Comparable '#1 Return]]+1,"-")</f>
        <v>1.0533395705105189</v>
      </c>
      <c r="E515" s="6">
        <f>B515-MAX($B$2:B515)</f>
        <v>-10.935</v>
      </c>
      <c r="F515" s="80">
        <f t="shared" si="17"/>
        <v>118</v>
      </c>
      <c r="G515" s="22" cm="1">
        <f t="array" ref="G515">Comp1[[#This Row],[Comparable '#1 Drawdown]]/MAX($B$2:B515)</f>
        <v>-0.50578168362627196</v>
      </c>
      <c r="H515" s="1" t="str">
        <f>IF(SUM(COUNTIF(Benchmark1[Benchmark '#1 Dates],Comp1[[#This Row],[Comparable '#1 Dates]]),COUNTIF(Benchmark2[Benchmark '#2 Dates],Comp1[[#This Row],[Comparable '#1 Dates]]))=2,"Pass","Fail")</f>
        <v>Pass</v>
      </c>
      <c r="I515" s="1">
        <f>IFERROR(Comp1[[#This Row],[Comparable '#1 Return]]-INDEX(Benchmark1[Benchmark '#1 Return],MATCH(Comp1[[#This Row],[Comparable '#1 Dates]],Benchmark1[Benchmark '#1 Dates],0)),"-")</f>
        <v>4.4967372148106602E-2</v>
      </c>
      <c r="L515" s="72">
        <f>Comp1[[#This Row],[Comparable '#1 Price]]/$B$2*100</f>
        <v>73.134839151266263</v>
      </c>
    </row>
    <row r="516" spans="1:12">
      <c r="A516" s="103">
        <v>44033</v>
      </c>
      <c r="B516" s="104">
        <v>11.025</v>
      </c>
      <c r="C516" s="4">
        <f t="shared" si="16"/>
        <v>3.1324532561798644E-2</v>
      </c>
      <c r="D516" s="1">
        <f>IFERROR(Comp1[[#This Row],[Comparable '#1 Return]]+1,"-")</f>
        <v>1.0313245325617986</v>
      </c>
      <c r="E516" s="6">
        <f>B516-MAX($B$2:B516)</f>
        <v>-10.595000000000001</v>
      </c>
      <c r="F516" s="80">
        <f t="shared" si="17"/>
        <v>119</v>
      </c>
      <c r="G516" s="22" cm="1">
        <f t="array" ref="G516">Comp1[[#This Row],[Comparable '#1 Drawdown]]/MAX($B$2:B516)</f>
        <v>-0.49005550416281224</v>
      </c>
      <c r="H516" s="1" t="str">
        <f>IF(SUM(COUNTIF(Benchmark1[Benchmark '#1 Dates],Comp1[[#This Row],[Comparable '#1 Dates]]),COUNTIF(Benchmark2[Benchmark '#2 Dates],Comp1[[#This Row],[Comparable '#1 Dates]]))=2,"Pass","Fail")</f>
        <v>Pass</v>
      </c>
      <c r="I516" s="1">
        <f>IFERROR(Comp1[[#This Row],[Comparable '#1 Return]]-INDEX(Benchmark1[Benchmark '#1 Return],MATCH(Comp1[[#This Row],[Comparable '#1 Dates]],Benchmark1[Benchmark '#1 Dates],0)),"-")</f>
        <v>2.9648153834851875E-2</v>
      </c>
      <c r="L516" s="72">
        <f>Comp1[[#This Row],[Comparable '#1 Price]]/$B$2*100</f>
        <v>75.46201232032854</v>
      </c>
    </row>
    <row r="517" spans="1:12">
      <c r="A517" s="103">
        <v>44034</v>
      </c>
      <c r="B517" s="104">
        <v>11.385</v>
      </c>
      <c r="C517" s="4">
        <f t="shared" si="16"/>
        <v>3.2131278182793196E-2</v>
      </c>
      <c r="D517" s="1">
        <f>IFERROR(Comp1[[#This Row],[Comparable '#1 Return]]+1,"-")</f>
        <v>1.0321312781827932</v>
      </c>
      <c r="E517" s="6">
        <f>B517-MAX($B$2:B517)</f>
        <v>-10.235000000000001</v>
      </c>
      <c r="F517" s="80">
        <f t="shared" si="17"/>
        <v>120</v>
      </c>
      <c r="G517" s="22" cm="1">
        <f t="array" ref="G517">Comp1[[#This Row],[Comparable '#1 Drawdown]]/MAX($B$2:B517)</f>
        <v>-0.47340425531914898</v>
      </c>
      <c r="H517" s="1" t="str">
        <f>IF(SUM(COUNTIF(Benchmark1[Benchmark '#1 Dates],Comp1[[#This Row],[Comparable '#1 Dates]]),COUNTIF(Benchmark2[Benchmark '#2 Dates],Comp1[[#This Row],[Comparable '#1 Dates]]))=2,"Pass","Fail")</f>
        <v>Pass</v>
      </c>
      <c r="I517" s="1">
        <f>IFERROR(Comp1[[#This Row],[Comparable '#1 Return]]-INDEX(Benchmark1[Benchmark '#1 Return],MATCH(Comp1[[#This Row],[Comparable '#1 Dates]],Benchmark1[Benchmark '#1 Dates],0)),"-")</f>
        <v>2.6401241595098428E-2</v>
      </c>
      <c r="L517" s="72">
        <f>Comp1[[#This Row],[Comparable '#1 Price]]/$B$2*100</f>
        <v>77.92607802874744</v>
      </c>
    </row>
    <row r="518" spans="1:12">
      <c r="A518" s="103">
        <v>44035</v>
      </c>
      <c r="B518" s="104">
        <v>11.275</v>
      </c>
      <c r="C518" s="4">
        <f t="shared" si="16"/>
        <v>-9.7088141269608269E-3</v>
      </c>
      <c r="D518" s="1">
        <f>IFERROR(Comp1[[#This Row],[Comparable '#1 Return]]+1,"-")</f>
        <v>0.99029118587303921</v>
      </c>
      <c r="E518" s="6">
        <f>B518-MAX($B$2:B518)</f>
        <v>-10.345000000000001</v>
      </c>
      <c r="F518" s="80">
        <f t="shared" si="17"/>
        <v>121</v>
      </c>
      <c r="G518" s="22" cm="1">
        <f t="array" ref="G518">Comp1[[#This Row],[Comparable '#1 Drawdown]]/MAX($B$2:B518)</f>
        <v>-0.47849213691026826</v>
      </c>
      <c r="H518" s="1" t="str">
        <f>IF(SUM(COUNTIF(Benchmark1[Benchmark '#1 Dates],Comp1[[#This Row],[Comparable '#1 Dates]]),COUNTIF(Benchmark2[Benchmark '#2 Dates],Comp1[[#This Row],[Comparable '#1 Dates]]))=2,"Pass","Fail")</f>
        <v>Pass</v>
      </c>
      <c r="I518" s="1">
        <f>IFERROR(Comp1[[#This Row],[Comparable '#1 Return]]-INDEX(Benchmark1[Benchmark '#1 Return],MATCH(Comp1[[#This Row],[Comparable '#1 Dates]],Benchmark1[Benchmark '#1 Dates],0)),"-")</f>
        <v>2.6853135087918437E-3</v>
      </c>
      <c r="L518" s="72">
        <f>Comp1[[#This Row],[Comparable '#1 Price]]/$B$2*100</f>
        <v>77.173169062286107</v>
      </c>
    </row>
    <row r="519" spans="1:12">
      <c r="A519" s="103">
        <v>44036</v>
      </c>
      <c r="B519" s="104">
        <v>11.04</v>
      </c>
      <c r="C519" s="4">
        <f t="shared" si="16"/>
        <v>-2.1062844539792937E-2</v>
      </c>
      <c r="D519" s="1">
        <f>IFERROR(Comp1[[#This Row],[Comparable '#1 Return]]+1,"-")</f>
        <v>0.9789371554602071</v>
      </c>
      <c r="E519" s="6">
        <f>B519-MAX($B$2:B519)</f>
        <v>-10.580000000000002</v>
      </c>
      <c r="F519" s="80">
        <f t="shared" si="17"/>
        <v>122</v>
      </c>
      <c r="G519" s="22" cm="1">
        <f t="array" ref="G519">Comp1[[#This Row],[Comparable '#1 Drawdown]]/MAX($B$2:B519)</f>
        <v>-0.48936170212765961</v>
      </c>
      <c r="H519" s="1" t="str">
        <f>IF(SUM(COUNTIF(Benchmark1[Benchmark '#1 Dates],Comp1[[#This Row],[Comparable '#1 Dates]]),COUNTIF(Benchmark2[Benchmark '#2 Dates],Comp1[[#This Row],[Comparable '#1 Dates]]))=2,"Pass","Fail")</f>
        <v>Pass</v>
      </c>
      <c r="I519" s="1">
        <f>IFERROR(Comp1[[#This Row],[Comparable '#1 Return]]-INDEX(Benchmark1[Benchmark '#1 Return],MATCH(Comp1[[#This Row],[Comparable '#1 Dates]],Benchmark1[Benchmark '#1 Dates],0)),"-")</f>
        <v>-1.4852147923863161E-2</v>
      </c>
      <c r="L519" s="72">
        <f>Comp1[[#This Row],[Comparable '#1 Price]]/$B$2*100</f>
        <v>75.564681724845997</v>
      </c>
    </row>
    <row r="520" spans="1:12">
      <c r="A520" s="103">
        <v>44039</v>
      </c>
      <c r="B520" s="104">
        <v>11.02</v>
      </c>
      <c r="C520" s="4">
        <f t="shared" si="16"/>
        <v>-1.8132371241808313E-3</v>
      </c>
      <c r="D520" s="1">
        <f>IFERROR(Comp1[[#This Row],[Comparable '#1 Return]]+1,"-")</f>
        <v>0.9981867628758192</v>
      </c>
      <c r="E520" s="6">
        <f>B520-MAX($B$2:B520)</f>
        <v>-10.600000000000001</v>
      </c>
      <c r="F520" s="80">
        <f t="shared" si="17"/>
        <v>123</v>
      </c>
      <c r="G520" s="22" cm="1">
        <f t="array" ref="G520">Comp1[[#This Row],[Comparable '#1 Drawdown]]/MAX($B$2:B520)</f>
        <v>-0.49028677150786315</v>
      </c>
      <c r="H520" s="1" t="str">
        <f>IF(SUM(COUNTIF(Benchmark1[Benchmark '#1 Dates],Comp1[[#This Row],[Comparable '#1 Dates]]),COUNTIF(Benchmark2[Benchmark '#2 Dates],Comp1[[#This Row],[Comparable '#1 Dates]]))=2,"Pass","Fail")</f>
        <v>Pass</v>
      </c>
      <c r="I520" s="1">
        <f>IFERROR(Comp1[[#This Row],[Comparable '#1 Return]]-INDEX(Benchmark1[Benchmark '#1 Return],MATCH(Comp1[[#This Row],[Comparable '#1 Dates]],Benchmark1[Benchmark '#1 Dates],0)),"-")</f>
        <v>-9.1800771859800959E-3</v>
      </c>
      <c r="L520" s="72">
        <f>Comp1[[#This Row],[Comparable '#1 Price]]/$B$2*100</f>
        <v>75.427789185489388</v>
      </c>
    </row>
    <row r="521" spans="1:12">
      <c r="A521" s="103">
        <v>44040</v>
      </c>
      <c r="B521" s="104">
        <v>10.86</v>
      </c>
      <c r="C521" s="4">
        <f t="shared" si="16"/>
        <v>-1.4625489218979014E-2</v>
      </c>
      <c r="D521" s="1">
        <f>IFERROR(Comp1[[#This Row],[Comparable '#1 Return]]+1,"-")</f>
        <v>0.98537451078102101</v>
      </c>
      <c r="E521" s="6">
        <f>B521-MAX($B$2:B521)</f>
        <v>-10.760000000000002</v>
      </c>
      <c r="F521" s="80">
        <f t="shared" si="17"/>
        <v>124</v>
      </c>
      <c r="G521" s="22" cm="1">
        <f t="array" ref="G521">Comp1[[#This Row],[Comparable '#1 Drawdown]]/MAX($B$2:B521)</f>
        <v>-0.49768732654949127</v>
      </c>
      <c r="H521" s="1" t="str">
        <f>IF(SUM(COUNTIF(Benchmark1[Benchmark '#1 Dates],Comp1[[#This Row],[Comparable '#1 Dates]]),COUNTIF(Benchmark2[Benchmark '#2 Dates],Comp1[[#This Row],[Comparable '#1 Dates]]))=2,"Pass","Fail")</f>
        <v>Pass</v>
      </c>
      <c r="I521" s="1">
        <f>IFERROR(Comp1[[#This Row],[Comparable '#1 Return]]-INDEX(Benchmark1[Benchmark '#1 Return],MATCH(Comp1[[#This Row],[Comparable '#1 Dates]],Benchmark1[Benchmark '#1 Dates],0)),"-")</f>
        <v>-8.1307056345790042E-3</v>
      </c>
      <c r="L521" s="72">
        <f>Comp1[[#This Row],[Comparable '#1 Price]]/$B$2*100</f>
        <v>74.332648870636547</v>
      </c>
    </row>
    <row r="522" spans="1:12">
      <c r="A522" s="103">
        <v>44041</v>
      </c>
      <c r="B522" s="104">
        <v>12.824999999999999</v>
      </c>
      <c r="C522" s="4">
        <f t="shared" si="16"/>
        <v>0.16631007655104385</v>
      </c>
      <c r="D522" s="1">
        <f>IFERROR(Comp1[[#This Row],[Comparable '#1 Return]]+1,"-")</f>
        <v>1.1663100765510439</v>
      </c>
      <c r="E522" s="6">
        <f>B522-MAX($B$2:B522)</f>
        <v>-8.7950000000000017</v>
      </c>
      <c r="F522" s="80">
        <f t="shared" si="17"/>
        <v>125</v>
      </c>
      <c r="G522" s="22" cm="1">
        <f t="array" ref="G522">Comp1[[#This Row],[Comparable '#1 Drawdown]]/MAX($B$2:B522)</f>
        <v>-0.40679925994449589</v>
      </c>
      <c r="H522" s="1" t="str">
        <f>IF(SUM(COUNTIF(Benchmark1[Benchmark '#1 Dates],Comp1[[#This Row],[Comparable '#1 Dates]]),COUNTIF(Benchmark2[Benchmark '#2 Dates],Comp1[[#This Row],[Comparable '#1 Dates]]))=2,"Pass","Fail")</f>
        <v>Pass</v>
      </c>
      <c r="I522" s="1">
        <f>IFERROR(Comp1[[#This Row],[Comparable '#1 Return]]-INDEX(Benchmark1[Benchmark '#1 Return],MATCH(Comp1[[#This Row],[Comparable '#1 Dates]],Benchmark1[Benchmark '#1 Dates],0)),"-")</f>
        <v>0.15395712424071384</v>
      </c>
      <c r="L522" s="72">
        <f>Comp1[[#This Row],[Comparable '#1 Price]]/$B$2*100</f>
        <v>87.782340862422998</v>
      </c>
    </row>
    <row r="523" spans="1:12">
      <c r="A523" s="103">
        <v>44042</v>
      </c>
      <c r="B523" s="104">
        <v>12.55</v>
      </c>
      <c r="C523" s="4">
        <f t="shared" si="16"/>
        <v>-2.167572547904028E-2</v>
      </c>
      <c r="D523" s="1">
        <f>IFERROR(Comp1[[#This Row],[Comparable '#1 Return]]+1,"-")</f>
        <v>0.97832427452095971</v>
      </c>
      <c r="E523" s="6">
        <f>B523-MAX($B$2:B523)</f>
        <v>-9.07</v>
      </c>
      <c r="F523" s="80">
        <f t="shared" si="17"/>
        <v>126</v>
      </c>
      <c r="G523" s="22" cm="1">
        <f t="array" ref="G523">Comp1[[#This Row],[Comparable '#1 Drawdown]]/MAX($B$2:B523)</f>
        <v>-0.41951896392229415</v>
      </c>
      <c r="H523" s="1" t="str">
        <f>IF(SUM(COUNTIF(Benchmark1[Benchmark '#1 Dates],Comp1[[#This Row],[Comparable '#1 Dates]]),COUNTIF(Benchmark2[Benchmark '#2 Dates],Comp1[[#This Row],[Comparable '#1 Dates]]))=2,"Pass","Fail")</f>
        <v>Pass</v>
      </c>
      <c r="I523" s="1">
        <f>IFERROR(Comp1[[#This Row],[Comparable '#1 Return]]-INDEX(Benchmark1[Benchmark '#1 Return],MATCH(Comp1[[#This Row],[Comparable '#1 Dates]],Benchmark1[Benchmark '#1 Dates],0)),"-")</f>
        <v>-1.7920133878383884E-2</v>
      </c>
      <c r="L523" s="72">
        <f>Comp1[[#This Row],[Comparable '#1 Price]]/$B$2*100</f>
        <v>85.900068446269685</v>
      </c>
    </row>
    <row r="524" spans="1:12">
      <c r="A524" s="103">
        <v>44043</v>
      </c>
      <c r="B524" s="104">
        <v>12.68</v>
      </c>
      <c r="C524" s="4">
        <f t="shared" si="16"/>
        <v>1.030528343128692E-2</v>
      </c>
      <c r="D524" s="1">
        <f>IFERROR(Comp1[[#This Row],[Comparable '#1 Return]]+1,"-")</f>
        <v>1.0103052834312869</v>
      </c>
      <c r="E524" s="6">
        <f>B524-MAX($B$2:B524)</f>
        <v>-8.9400000000000013</v>
      </c>
      <c r="F524" s="80">
        <f t="shared" si="17"/>
        <v>127</v>
      </c>
      <c r="G524" s="22" cm="1">
        <f t="array" ref="G524">Comp1[[#This Row],[Comparable '#1 Drawdown]]/MAX($B$2:B524)</f>
        <v>-0.41350601295097134</v>
      </c>
      <c r="H524" s="1" t="str">
        <f>IF(SUM(COUNTIF(Benchmark1[Benchmark '#1 Dates],Comp1[[#This Row],[Comparable '#1 Dates]]),COUNTIF(Benchmark2[Benchmark '#2 Dates],Comp1[[#This Row],[Comparable '#1 Dates]]))=2,"Pass","Fail")</f>
        <v>Pass</v>
      </c>
      <c r="I524" s="1">
        <f>IFERROR(Comp1[[#This Row],[Comparable '#1 Return]]-INDEX(Benchmark1[Benchmark '#1 Return],MATCH(Comp1[[#This Row],[Comparable '#1 Dates]],Benchmark1[Benchmark '#1 Dates],0)),"-")</f>
        <v>2.6640077524331604E-3</v>
      </c>
      <c r="L524" s="72">
        <f>Comp1[[#This Row],[Comparable '#1 Price]]/$B$2*100</f>
        <v>86.789869952087614</v>
      </c>
    </row>
    <row r="525" spans="1:12">
      <c r="A525" s="103">
        <v>44046</v>
      </c>
      <c r="B525" s="104">
        <v>12.18</v>
      </c>
      <c r="C525" s="4">
        <f t="shared" si="16"/>
        <v>-4.0230686727328879E-2</v>
      </c>
      <c r="D525" s="1">
        <f>IFERROR(Comp1[[#This Row],[Comparable '#1 Return]]+1,"-")</f>
        <v>0.95976931327267112</v>
      </c>
      <c r="E525" s="6">
        <f>B525-MAX($B$2:B525)</f>
        <v>-9.4400000000000013</v>
      </c>
      <c r="F525" s="80">
        <f t="shared" si="17"/>
        <v>128</v>
      </c>
      <c r="G525" s="22" cm="1">
        <f t="array" ref="G525">Comp1[[#This Row],[Comparable '#1 Drawdown]]/MAX($B$2:B525)</f>
        <v>-0.43663274745605923</v>
      </c>
      <c r="H525" s="1" t="str">
        <f>IF(SUM(COUNTIF(Benchmark1[Benchmark '#1 Dates],Comp1[[#This Row],[Comparable '#1 Dates]]),COUNTIF(Benchmark2[Benchmark '#2 Dates],Comp1[[#This Row],[Comparable '#1 Dates]]))=2,"Pass","Fail")</f>
        <v>Pass</v>
      </c>
      <c r="I525" s="1">
        <f>IFERROR(Comp1[[#This Row],[Comparable '#1 Return]]-INDEX(Benchmark1[Benchmark '#1 Return],MATCH(Comp1[[#This Row],[Comparable '#1 Dates]],Benchmark1[Benchmark '#1 Dates],0)),"-")</f>
        <v>-4.7385582402770729E-2</v>
      </c>
      <c r="L525" s="72">
        <f>Comp1[[#This Row],[Comparable '#1 Price]]/$B$2*100</f>
        <v>83.367556468172495</v>
      </c>
    </row>
    <row r="526" spans="1:12">
      <c r="A526" s="103">
        <v>44047</v>
      </c>
      <c r="B526" s="104">
        <v>12.03</v>
      </c>
      <c r="C526" s="4">
        <f t="shared" si="16"/>
        <v>-1.2391732295163497E-2</v>
      </c>
      <c r="D526" s="1">
        <f>IFERROR(Comp1[[#This Row],[Comparable '#1 Return]]+1,"-")</f>
        <v>0.98760826770483645</v>
      </c>
      <c r="E526" s="6">
        <f>B526-MAX($B$2:B526)</f>
        <v>-9.5900000000000016</v>
      </c>
      <c r="F526" s="80">
        <f t="shared" si="17"/>
        <v>129</v>
      </c>
      <c r="G526" s="22" cm="1">
        <f t="array" ref="G526">Comp1[[#This Row],[Comparable '#1 Drawdown]]/MAX($B$2:B526)</f>
        <v>-0.44357076780758564</v>
      </c>
      <c r="H526" s="1" t="str">
        <f>IF(SUM(COUNTIF(Benchmark1[Benchmark '#1 Dates],Comp1[[#This Row],[Comparable '#1 Dates]]),COUNTIF(Benchmark2[Benchmark '#2 Dates],Comp1[[#This Row],[Comparable '#1 Dates]]))=2,"Pass","Fail")</f>
        <v>Pass</v>
      </c>
      <c r="I526" s="1">
        <f>IFERROR(Comp1[[#This Row],[Comparable '#1 Return]]-INDEX(Benchmark1[Benchmark '#1 Return],MATCH(Comp1[[#This Row],[Comparable '#1 Dates]],Benchmark1[Benchmark '#1 Dates],0)),"-")</f>
        <v>-1.5995422935617586E-2</v>
      </c>
      <c r="L526" s="72">
        <f>Comp1[[#This Row],[Comparable '#1 Price]]/$B$2*100</f>
        <v>82.340862422997944</v>
      </c>
    </row>
    <row r="527" spans="1:12">
      <c r="A527" s="103">
        <v>44048</v>
      </c>
      <c r="B527" s="104">
        <v>12.08</v>
      </c>
      <c r="C527" s="4">
        <f t="shared" si="16"/>
        <v>4.1476625200813797E-3</v>
      </c>
      <c r="D527" s="1">
        <f>IFERROR(Comp1[[#This Row],[Comparable '#1 Return]]+1,"-")</f>
        <v>1.0041476625200814</v>
      </c>
      <c r="E527" s="6">
        <f>B527-MAX($B$2:B527)</f>
        <v>-9.5400000000000009</v>
      </c>
      <c r="F527" s="80">
        <f t="shared" si="17"/>
        <v>130</v>
      </c>
      <c r="G527" s="22" cm="1">
        <f t="array" ref="G527">Comp1[[#This Row],[Comparable '#1 Drawdown]]/MAX($B$2:B527)</f>
        <v>-0.4412580943570768</v>
      </c>
      <c r="H527" s="1" t="str">
        <f>IF(SUM(COUNTIF(Benchmark1[Benchmark '#1 Dates],Comp1[[#This Row],[Comparable '#1 Dates]]),COUNTIF(Benchmark2[Benchmark '#2 Dates],Comp1[[#This Row],[Comparable '#1 Dates]]))=2,"Pass","Fail")</f>
        <v>Pass</v>
      </c>
      <c r="I527" s="1">
        <f>IFERROR(Comp1[[#This Row],[Comparable '#1 Return]]-INDEX(Benchmark1[Benchmark '#1 Return],MATCH(Comp1[[#This Row],[Comparable '#1 Dates]],Benchmark1[Benchmark '#1 Dates],0)),"-")</f>
        <v>-2.2625573410078939E-3</v>
      </c>
      <c r="L527" s="72">
        <f>Comp1[[#This Row],[Comparable '#1 Price]]/$B$2*100</f>
        <v>82.683093771389466</v>
      </c>
    </row>
    <row r="528" spans="1:12">
      <c r="A528" s="103">
        <v>44049</v>
      </c>
      <c r="B528" s="104">
        <v>12.72</v>
      </c>
      <c r="C528" s="4">
        <f t="shared" si="16"/>
        <v>5.1624365405307245E-2</v>
      </c>
      <c r="D528" s="1">
        <f>IFERROR(Comp1[[#This Row],[Comparable '#1 Return]]+1,"-")</f>
        <v>1.0516243654053072</v>
      </c>
      <c r="E528" s="6">
        <f>B528-MAX($B$2:B528)</f>
        <v>-8.9</v>
      </c>
      <c r="F528" s="80">
        <f t="shared" si="17"/>
        <v>131</v>
      </c>
      <c r="G528" s="22" cm="1">
        <f t="array" ref="G528">Comp1[[#This Row],[Comparable '#1 Drawdown]]/MAX($B$2:B528)</f>
        <v>-0.41165587419056426</v>
      </c>
      <c r="H528" s="1" t="str">
        <f>IF(SUM(COUNTIF(Benchmark1[Benchmark '#1 Dates],Comp1[[#This Row],[Comparable '#1 Dates]]),COUNTIF(Benchmark2[Benchmark '#2 Dates],Comp1[[#This Row],[Comparable '#1 Dates]]))=2,"Pass","Fail")</f>
        <v>Pass</v>
      </c>
      <c r="I528" s="1">
        <f>IFERROR(Comp1[[#This Row],[Comparable '#1 Return]]-INDEX(Benchmark1[Benchmark '#1 Return],MATCH(Comp1[[#This Row],[Comparable '#1 Dates]],Benchmark1[Benchmark '#1 Dates],0)),"-")</f>
        <v>4.5218721560485876E-2</v>
      </c>
      <c r="L528" s="72">
        <f>Comp1[[#This Row],[Comparable '#1 Price]]/$B$2*100</f>
        <v>87.063655030800817</v>
      </c>
    </row>
    <row r="529" spans="1:12">
      <c r="A529" s="103">
        <v>44050</v>
      </c>
      <c r="B529" s="104">
        <v>12.9</v>
      </c>
      <c r="C529" s="4">
        <f t="shared" si="16"/>
        <v>1.4051753455650287E-2</v>
      </c>
      <c r="D529" s="1">
        <f>IFERROR(Comp1[[#This Row],[Comparable '#1 Return]]+1,"-")</f>
        <v>1.0140517534556504</v>
      </c>
      <c r="E529" s="6">
        <f>B529-MAX($B$2:B529)</f>
        <v>-8.7200000000000006</v>
      </c>
      <c r="F529" s="80">
        <f t="shared" si="17"/>
        <v>132</v>
      </c>
      <c r="G529" s="22" cm="1">
        <f t="array" ref="G529">Comp1[[#This Row],[Comparable '#1 Drawdown]]/MAX($B$2:B529)</f>
        <v>-0.40333024976873266</v>
      </c>
      <c r="H529" s="1" t="str">
        <f>IF(SUM(COUNTIF(Benchmark1[Benchmark '#1 Dates],Comp1[[#This Row],[Comparable '#1 Dates]]),COUNTIF(Benchmark2[Benchmark '#2 Dates],Comp1[[#This Row],[Comparable '#1 Dates]]))=2,"Pass","Fail")</f>
        <v>Pass</v>
      </c>
      <c r="I529" s="1">
        <f>IFERROR(Comp1[[#This Row],[Comparable '#1 Return]]-INDEX(Benchmark1[Benchmark '#1 Return],MATCH(Comp1[[#This Row],[Comparable '#1 Dates]],Benchmark1[Benchmark '#1 Dates],0)),"-")</f>
        <v>1.3416802047859666E-2</v>
      </c>
      <c r="L529" s="72">
        <f>Comp1[[#This Row],[Comparable '#1 Price]]/$B$2*100</f>
        <v>88.295687885010281</v>
      </c>
    </row>
    <row r="530" spans="1:12">
      <c r="A530" s="103">
        <v>44053</v>
      </c>
      <c r="B530" s="104">
        <v>13.33</v>
      </c>
      <c r="C530" s="4">
        <f t="shared" si="16"/>
        <v>3.2789822822990755E-2</v>
      </c>
      <c r="D530" s="1">
        <f>IFERROR(Comp1[[#This Row],[Comparable '#1 Return]]+1,"-")</f>
        <v>1.0327898228229908</v>
      </c>
      <c r="E530" s="6">
        <f>B530-MAX($B$2:B530)</f>
        <v>-8.2900000000000009</v>
      </c>
      <c r="F530" s="80">
        <f t="shared" si="17"/>
        <v>133</v>
      </c>
      <c r="G530" s="22" cm="1">
        <f t="array" ref="G530">Comp1[[#This Row],[Comparable '#1 Drawdown]]/MAX($B$2:B530)</f>
        <v>-0.38344125809435708</v>
      </c>
      <c r="H530" s="1" t="str">
        <f>IF(SUM(COUNTIF(Benchmark1[Benchmark '#1 Dates],Comp1[[#This Row],[Comparable '#1 Dates]]),COUNTIF(Benchmark2[Benchmark '#2 Dates],Comp1[[#This Row],[Comparable '#1 Dates]]))=2,"Pass","Fail")</f>
        <v>Pass</v>
      </c>
      <c r="I530" s="1">
        <f>IFERROR(Comp1[[#This Row],[Comparable '#1 Return]]-INDEX(Benchmark1[Benchmark '#1 Return],MATCH(Comp1[[#This Row],[Comparable '#1 Dates]],Benchmark1[Benchmark '#1 Dates],0)),"-")</f>
        <v>3.005148853061872E-2</v>
      </c>
      <c r="L530" s="72">
        <f>Comp1[[#This Row],[Comparable '#1 Price]]/$B$2*100</f>
        <v>91.238877481177283</v>
      </c>
    </row>
    <row r="531" spans="1:12">
      <c r="A531" s="103">
        <v>44054</v>
      </c>
      <c r="B531" s="104">
        <v>13.31</v>
      </c>
      <c r="C531" s="4">
        <f t="shared" si="16"/>
        <v>-1.5015017835970255E-3</v>
      </c>
      <c r="D531" s="1">
        <f>IFERROR(Comp1[[#This Row],[Comparable '#1 Return]]+1,"-")</f>
        <v>0.99849849821640302</v>
      </c>
      <c r="E531" s="6">
        <f>B531-MAX($B$2:B531)</f>
        <v>-8.31</v>
      </c>
      <c r="F531" s="80">
        <f t="shared" si="17"/>
        <v>134</v>
      </c>
      <c r="G531" s="22" cm="1">
        <f t="array" ref="G531">Comp1[[#This Row],[Comparable '#1 Drawdown]]/MAX($B$2:B531)</f>
        <v>-0.38436632747456062</v>
      </c>
      <c r="H531" s="1" t="str">
        <f>IF(SUM(COUNTIF(Benchmark1[Benchmark '#1 Dates],Comp1[[#This Row],[Comparable '#1 Dates]]),COUNTIF(Benchmark2[Benchmark '#2 Dates],Comp1[[#This Row],[Comparable '#1 Dates]]))=2,"Pass","Fail")</f>
        <v>Pass</v>
      </c>
      <c r="I531" s="1">
        <f>IFERROR(Comp1[[#This Row],[Comparable '#1 Return]]-INDEX(Benchmark1[Benchmark '#1 Return],MATCH(Comp1[[#This Row],[Comparable '#1 Dates]],Benchmark1[Benchmark '#1 Dates],0)),"-")</f>
        <v>6.500618650691326E-3</v>
      </c>
      <c r="L531" s="72">
        <f>Comp1[[#This Row],[Comparable '#1 Price]]/$B$2*100</f>
        <v>91.101984941820675</v>
      </c>
    </row>
    <row r="532" spans="1:12">
      <c r="A532" s="103">
        <v>44055</v>
      </c>
      <c r="B532" s="104">
        <v>13.08</v>
      </c>
      <c r="C532" s="4">
        <f t="shared" si="16"/>
        <v>-1.7431286377967613E-2</v>
      </c>
      <c r="D532" s="1">
        <f>IFERROR(Comp1[[#This Row],[Comparable '#1 Return]]+1,"-")</f>
        <v>0.98256871362203235</v>
      </c>
      <c r="E532" s="6">
        <f>B532-MAX($B$2:B532)</f>
        <v>-8.5400000000000009</v>
      </c>
      <c r="F532" s="80">
        <f t="shared" si="17"/>
        <v>135</v>
      </c>
      <c r="G532" s="22" cm="1">
        <f t="array" ref="G532">Comp1[[#This Row],[Comparable '#1 Drawdown]]/MAX($B$2:B532)</f>
        <v>-0.39500462534690106</v>
      </c>
      <c r="H532" s="1" t="str">
        <f>IF(SUM(COUNTIF(Benchmark1[Benchmark '#1 Dates],Comp1[[#This Row],[Comparable '#1 Dates]]),COUNTIF(Benchmark2[Benchmark '#2 Dates],Comp1[[#This Row],[Comparable '#1 Dates]]))=2,"Pass","Fail")</f>
        <v>Pass</v>
      </c>
      <c r="I532" s="1">
        <f>IFERROR(Comp1[[#This Row],[Comparable '#1 Return]]-INDEX(Benchmark1[Benchmark '#1 Return],MATCH(Comp1[[#This Row],[Comparable '#1 Dates]],Benchmark1[Benchmark '#1 Dates],0)),"-")</f>
        <v>-3.1330930060781845E-2</v>
      </c>
      <c r="L532" s="72">
        <f>Comp1[[#This Row],[Comparable '#1 Price]]/$B$2*100</f>
        <v>89.527720739219717</v>
      </c>
    </row>
    <row r="533" spans="1:12">
      <c r="A533" s="103">
        <v>44056</v>
      </c>
      <c r="B533" s="104">
        <v>13.06</v>
      </c>
      <c r="C533" s="4">
        <f t="shared" si="16"/>
        <v>-1.5302221807675935E-3</v>
      </c>
      <c r="D533" s="1">
        <f>IFERROR(Comp1[[#This Row],[Comparable '#1 Return]]+1,"-")</f>
        <v>0.99846977781923241</v>
      </c>
      <c r="E533" s="6">
        <f>B533-MAX($B$2:B533)</f>
        <v>-8.56</v>
      </c>
      <c r="F533" s="80">
        <f t="shared" si="17"/>
        <v>136</v>
      </c>
      <c r="G533" s="22" cm="1">
        <f t="array" ref="G533">Comp1[[#This Row],[Comparable '#1 Drawdown]]/MAX($B$2:B533)</f>
        <v>-0.39592969472710454</v>
      </c>
      <c r="H533" s="1" t="str">
        <f>IF(SUM(COUNTIF(Benchmark1[Benchmark '#1 Dates],Comp1[[#This Row],[Comparable '#1 Dates]]),COUNTIF(Benchmark2[Benchmark '#2 Dates],Comp1[[#This Row],[Comparable '#1 Dates]]))=2,"Pass","Fail")</f>
        <v>Pass</v>
      </c>
      <c r="I533" s="1">
        <f>IFERROR(Comp1[[#This Row],[Comparable '#1 Return]]-INDEX(Benchmark1[Benchmark '#1 Return],MATCH(Comp1[[#This Row],[Comparable '#1 Dates]],Benchmark1[Benchmark '#1 Dates],0)),"-")</f>
        <v>5.2019837328595112E-4</v>
      </c>
      <c r="L533" s="72">
        <f>Comp1[[#This Row],[Comparable '#1 Price]]/$B$2*100</f>
        <v>89.390828199863108</v>
      </c>
    </row>
    <row r="534" spans="1:12">
      <c r="A534" s="103">
        <v>44057</v>
      </c>
      <c r="B534" s="104">
        <v>13.1</v>
      </c>
      <c r="C534" s="4">
        <f t="shared" si="16"/>
        <v>3.0581063588208724E-3</v>
      </c>
      <c r="D534" s="1">
        <f>IFERROR(Comp1[[#This Row],[Comparable '#1 Return]]+1,"-")</f>
        <v>1.0030581063588209</v>
      </c>
      <c r="E534" s="6">
        <f>B534-MAX($B$2:B534)</f>
        <v>-8.5200000000000014</v>
      </c>
      <c r="F534" s="80">
        <f t="shared" si="17"/>
        <v>137</v>
      </c>
      <c r="G534" s="22" cm="1">
        <f t="array" ref="G534">Comp1[[#This Row],[Comparable '#1 Drawdown]]/MAX($B$2:B534)</f>
        <v>-0.39407955596669753</v>
      </c>
      <c r="H534" s="1" t="str">
        <f>IF(SUM(COUNTIF(Benchmark1[Benchmark '#1 Dates],Comp1[[#This Row],[Comparable '#1 Dates]]),COUNTIF(Benchmark2[Benchmark '#2 Dates],Comp1[[#This Row],[Comparable '#1 Dates]]))=2,"Pass","Fail")</f>
        <v>Pass</v>
      </c>
      <c r="I534" s="1">
        <f>IFERROR(Comp1[[#This Row],[Comparable '#1 Return]]-INDEX(Benchmark1[Benchmark '#1 Return],MATCH(Comp1[[#This Row],[Comparable '#1 Dates]],Benchmark1[Benchmark '#1 Dates],0)),"-")</f>
        <v>3.2297268059099746E-3</v>
      </c>
      <c r="L534" s="72">
        <f>Comp1[[#This Row],[Comparable '#1 Price]]/$B$2*100</f>
        <v>89.664613278576326</v>
      </c>
    </row>
    <row r="535" spans="1:12">
      <c r="A535" s="103">
        <v>44060</v>
      </c>
      <c r="B535" s="104">
        <v>12.86</v>
      </c>
      <c r="C535" s="4">
        <f t="shared" si="16"/>
        <v>-1.8490511397632584E-2</v>
      </c>
      <c r="D535" s="1">
        <f>IFERROR(Comp1[[#This Row],[Comparable '#1 Return]]+1,"-")</f>
        <v>0.98150948860236742</v>
      </c>
      <c r="E535" s="6">
        <f>B535-MAX($B$2:B535)</f>
        <v>-8.7600000000000016</v>
      </c>
      <c r="F535" s="80">
        <f t="shared" si="17"/>
        <v>138</v>
      </c>
      <c r="G535" s="22" cm="1">
        <f t="array" ref="G535">Comp1[[#This Row],[Comparable '#1 Drawdown]]/MAX($B$2:B535)</f>
        <v>-0.40518038852913973</v>
      </c>
      <c r="H535" s="1" t="str">
        <f>IF(SUM(COUNTIF(Benchmark1[Benchmark '#1 Dates],Comp1[[#This Row],[Comparable '#1 Dates]]),COUNTIF(Benchmark2[Benchmark '#2 Dates],Comp1[[#This Row],[Comparable '#1 Dates]]))=2,"Pass","Fail")</f>
        <v>Pass</v>
      </c>
      <c r="I535" s="1">
        <f>IFERROR(Comp1[[#This Row],[Comparable '#1 Return]]-INDEX(Benchmark1[Benchmark '#1 Return],MATCH(Comp1[[#This Row],[Comparable '#1 Dates]],Benchmark1[Benchmark '#1 Dates],0)),"-")</f>
        <v>-2.1199131730715384E-2</v>
      </c>
      <c r="L535" s="72">
        <f>Comp1[[#This Row],[Comparable '#1 Price]]/$B$2*100</f>
        <v>88.021902806297064</v>
      </c>
    </row>
    <row r="536" spans="1:12">
      <c r="A536" s="103">
        <v>44061</v>
      </c>
      <c r="B536" s="104">
        <v>12.79</v>
      </c>
      <c r="C536" s="4">
        <f t="shared" si="16"/>
        <v>-5.4581032187219995E-3</v>
      </c>
      <c r="D536" s="1">
        <f>IFERROR(Comp1[[#This Row],[Comparable '#1 Return]]+1,"-")</f>
        <v>0.99454189678127802</v>
      </c>
      <c r="E536" s="6">
        <f>B536-MAX($B$2:B536)</f>
        <v>-8.8300000000000018</v>
      </c>
      <c r="F536" s="80">
        <f t="shared" si="17"/>
        <v>139</v>
      </c>
      <c r="G536" s="22" cm="1">
        <f t="array" ref="G536">Comp1[[#This Row],[Comparable '#1 Drawdown]]/MAX($B$2:B536)</f>
        <v>-0.40841813135985205</v>
      </c>
      <c r="H536" s="1" t="str">
        <f>IF(SUM(COUNTIF(Benchmark1[Benchmark '#1 Dates],Comp1[[#This Row],[Comparable '#1 Dates]]),COUNTIF(Benchmark2[Benchmark '#2 Dates],Comp1[[#This Row],[Comparable '#1 Dates]]))=2,"Pass","Fail")</f>
        <v>Pass</v>
      </c>
      <c r="I536" s="1">
        <f>IFERROR(Comp1[[#This Row],[Comparable '#1 Return]]-INDEX(Benchmark1[Benchmark '#1 Return],MATCH(Comp1[[#This Row],[Comparable '#1 Dates]],Benchmark1[Benchmark '#1 Dates],0)),"-")</f>
        <v>-7.7558920882403477E-3</v>
      </c>
      <c r="L536" s="72">
        <f>Comp1[[#This Row],[Comparable '#1 Price]]/$B$2*100</f>
        <v>87.542778918548933</v>
      </c>
    </row>
    <row r="537" spans="1:12">
      <c r="A537" s="103">
        <v>44062</v>
      </c>
      <c r="B537" s="104">
        <v>12.89</v>
      </c>
      <c r="C537" s="4">
        <f t="shared" si="16"/>
        <v>7.7882013603448709E-3</v>
      </c>
      <c r="D537" s="1">
        <f>IFERROR(Comp1[[#This Row],[Comparable '#1 Return]]+1,"-")</f>
        <v>1.007788201360345</v>
      </c>
      <c r="E537" s="6">
        <f>B537-MAX($B$2:B537)</f>
        <v>-8.73</v>
      </c>
      <c r="F537" s="80">
        <f t="shared" si="17"/>
        <v>140</v>
      </c>
      <c r="G537" s="22" cm="1">
        <f t="array" ref="G537">Comp1[[#This Row],[Comparable '#1 Drawdown]]/MAX($B$2:B537)</f>
        <v>-0.40379278445883443</v>
      </c>
      <c r="H537" s="1" t="str">
        <f>IF(SUM(COUNTIF(Benchmark1[Benchmark '#1 Dates],Comp1[[#This Row],[Comparable '#1 Dates]]),COUNTIF(Benchmark2[Benchmark '#2 Dates],Comp1[[#This Row],[Comparable '#1 Dates]]))=2,"Pass","Fail")</f>
        <v>Pass</v>
      </c>
      <c r="I537" s="1">
        <f>IFERROR(Comp1[[#This Row],[Comparable '#1 Return]]-INDEX(Benchmark1[Benchmark '#1 Return],MATCH(Comp1[[#This Row],[Comparable '#1 Dates]],Benchmark1[Benchmark '#1 Dates],0)),"-")</f>
        <v>1.2200796605997901E-2</v>
      </c>
      <c r="L537" s="72">
        <f>Comp1[[#This Row],[Comparable '#1 Price]]/$B$2*100</f>
        <v>88.227241615331977</v>
      </c>
    </row>
    <row r="538" spans="1:12">
      <c r="A538" s="103">
        <v>44063</v>
      </c>
      <c r="B538" s="104">
        <v>12.71</v>
      </c>
      <c r="C538" s="4">
        <f t="shared" si="16"/>
        <v>-1.4062731749733362E-2</v>
      </c>
      <c r="D538" s="1">
        <f>IFERROR(Comp1[[#This Row],[Comparable '#1 Return]]+1,"-")</f>
        <v>0.98593726825026662</v>
      </c>
      <c r="E538" s="6">
        <f>B538-MAX($B$2:B538)</f>
        <v>-8.91</v>
      </c>
      <c r="F538" s="80">
        <f t="shared" si="17"/>
        <v>141</v>
      </c>
      <c r="G538" s="22" cm="1">
        <f t="array" ref="G538">Comp1[[#This Row],[Comparable '#1 Drawdown]]/MAX($B$2:B538)</f>
        <v>-0.41211840888066603</v>
      </c>
      <c r="H538" s="1" t="str">
        <f>IF(SUM(COUNTIF(Benchmark1[Benchmark '#1 Dates],Comp1[[#This Row],[Comparable '#1 Dates]]),COUNTIF(Benchmark2[Benchmark '#2 Dates],Comp1[[#This Row],[Comparable '#1 Dates]]))=2,"Pass","Fail")</f>
        <v>Pass</v>
      </c>
      <c r="I538" s="1">
        <f>IFERROR(Comp1[[#This Row],[Comparable '#1 Return]]-INDEX(Benchmark1[Benchmark '#1 Return],MATCH(Comp1[[#This Row],[Comparable '#1 Dates]],Benchmark1[Benchmark '#1 Dates],0)),"-")</f>
        <v>-1.7217373528980236E-2</v>
      </c>
      <c r="L538" s="72">
        <f>Comp1[[#This Row],[Comparable '#1 Price]]/$B$2*100</f>
        <v>86.995208761122527</v>
      </c>
    </row>
    <row r="539" spans="1:12">
      <c r="A539" s="103">
        <v>44064</v>
      </c>
      <c r="B539" s="104">
        <v>12.635</v>
      </c>
      <c r="C539" s="4">
        <f t="shared" si="16"/>
        <v>-5.918344361205208E-3</v>
      </c>
      <c r="D539" s="1">
        <f>IFERROR(Comp1[[#This Row],[Comparable '#1 Return]]+1,"-")</f>
        <v>0.9940816556387948</v>
      </c>
      <c r="E539" s="6">
        <f>B539-MAX($B$2:B539)</f>
        <v>-8.9850000000000012</v>
      </c>
      <c r="F539" s="80">
        <f t="shared" si="17"/>
        <v>142</v>
      </c>
      <c r="G539" s="22" cm="1">
        <f t="array" ref="G539">Comp1[[#This Row],[Comparable '#1 Drawdown]]/MAX($B$2:B539)</f>
        <v>-0.41558741905642926</v>
      </c>
      <c r="H539" s="1" t="str">
        <f>IF(SUM(COUNTIF(Benchmark1[Benchmark '#1 Dates],Comp1[[#This Row],[Comparable '#1 Dates]]),COUNTIF(Benchmark2[Benchmark '#2 Dates],Comp1[[#This Row],[Comparable '#1 Dates]]))=2,"Pass","Fail")</f>
        <v>Pass</v>
      </c>
      <c r="I539" s="1">
        <f>IFERROR(Comp1[[#This Row],[Comparable '#1 Return]]-INDEX(Benchmark1[Benchmark '#1 Return],MATCH(Comp1[[#This Row],[Comparable '#1 Dates]],Benchmark1[Benchmark '#1 Dates],0)),"-")</f>
        <v>-9.3518652156591164E-3</v>
      </c>
      <c r="L539" s="72">
        <f>Comp1[[#This Row],[Comparable '#1 Price]]/$B$2*100</f>
        <v>86.481861738535244</v>
      </c>
    </row>
    <row r="540" spans="1:12">
      <c r="A540" s="103">
        <v>44067</v>
      </c>
      <c r="B540" s="104">
        <v>12.87</v>
      </c>
      <c r="C540" s="4">
        <f t="shared" si="16"/>
        <v>1.8428280767877697E-2</v>
      </c>
      <c r="D540" s="1">
        <f>IFERROR(Comp1[[#This Row],[Comparable '#1 Return]]+1,"-")</f>
        <v>1.0184282807678777</v>
      </c>
      <c r="E540" s="6">
        <f>B540-MAX($B$2:B540)</f>
        <v>-8.7500000000000018</v>
      </c>
      <c r="F540" s="80">
        <f t="shared" si="17"/>
        <v>143</v>
      </c>
      <c r="G540" s="22" cm="1">
        <f t="array" ref="G540">Comp1[[#This Row],[Comparable '#1 Drawdown]]/MAX($B$2:B540)</f>
        <v>-0.40471785383903797</v>
      </c>
      <c r="H540" s="1" t="str">
        <f>IF(SUM(COUNTIF(Benchmark1[Benchmark '#1 Dates],Comp1[[#This Row],[Comparable '#1 Dates]]),COUNTIF(Benchmark2[Benchmark '#2 Dates],Comp1[[#This Row],[Comparable '#1 Dates]]))=2,"Pass","Fail")</f>
        <v>Pass</v>
      </c>
      <c r="I540" s="1">
        <f>IFERROR(Comp1[[#This Row],[Comparable '#1 Return]]-INDEX(Benchmark1[Benchmark '#1 Return],MATCH(Comp1[[#This Row],[Comparable '#1 Dates]],Benchmark1[Benchmark '#1 Dates],0)),"-")</f>
        <v>8.4334222852474727E-3</v>
      </c>
      <c r="L540" s="72">
        <f>Comp1[[#This Row],[Comparable '#1 Price]]/$B$2*100</f>
        <v>88.090349075975354</v>
      </c>
    </row>
    <row r="541" spans="1:12">
      <c r="A541" s="103">
        <v>44068</v>
      </c>
      <c r="B541" s="104">
        <v>12.61</v>
      </c>
      <c r="C541" s="4">
        <f t="shared" si="16"/>
        <v>-2.0408871631207123E-2</v>
      </c>
      <c r="D541" s="1">
        <f>IFERROR(Comp1[[#This Row],[Comparable '#1 Return]]+1,"-")</f>
        <v>0.97959112836879292</v>
      </c>
      <c r="E541" s="6">
        <f>B541-MAX($B$2:B541)</f>
        <v>-9.0100000000000016</v>
      </c>
      <c r="F541" s="80">
        <f t="shared" si="17"/>
        <v>144</v>
      </c>
      <c r="G541" s="22" cm="1">
        <f t="array" ref="G541">Comp1[[#This Row],[Comparable '#1 Drawdown]]/MAX($B$2:B541)</f>
        <v>-0.41674375578168366</v>
      </c>
      <c r="H541" s="1" t="str">
        <f>IF(SUM(COUNTIF(Benchmark1[Benchmark '#1 Dates],Comp1[[#This Row],[Comparable '#1 Dates]]),COUNTIF(Benchmark2[Benchmark '#2 Dates],Comp1[[#This Row],[Comparable '#1 Dates]]))=2,"Pass","Fail")</f>
        <v>Pass</v>
      </c>
      <c r="I541" s="1">
        <f>IFERROR(Comp1[[#This Row],[Comparable '#1 Return]]-INDEX(Benchmark1[Benchmark '#1 Return],MATCH(Comp1[[#This Row],[Comparable '#1 Dates]],Benchmark1[Benchmark '#1 Dates],0)),"-")</f>
        <v>-2.3998749793516107E-2</v>
      </c>
      <c r="L541" s="72">
        <f>Comp1[[#This Row],[Comparable '#1 Price]]/$B$2*100</f>
        <v>86.310746064339497</v>
      </c>
    </row>
    <row r="542" spans="1:12">
      <c r="A542" s="103">
        <v>44069</v>
      </c>
      <c r="B542" s="104">
        <v>12.48</v>
      </c>
      <c r="C542" s="4">
        <f t="shared" si="16"/>
        <v>-1.0362787035546547E-2</v>
      </c>
      <c r="D542" s="1">
        <f>IFERROR(Comp1[[#This Row],[Comparable '#1 Return]]+1,"-")</f>
        <v>0.98963721296445351</v>
      </c>
      <c r="E542" s="6">
        <f>B542-MAX($B$2:B542)</f>
        <v>-9.14</v>
      </c>
      <c r="F542" s="80">
        <f t="shared" si="17"/>
        <v>145</v>
      </c>
      <c r="G542" s="22" cm="1">
        <f t="array" ref="G542">Comp1[[#This Row],[Comparable '#1 Drawdown]]/MAX($B$2:B542)</f>
        <v>-0.42275670675300647</v>
      </c>
      <c r="H542" s="1" t="str">
        <f>IF(SUM(COUNTIF(Benchmark1[Benchmark '#1 Dates],Comp1[[#This Row],[Comparable '#1 Dates]]),COUNTIF(Benchmark2[Benchmark '#2 Dates],Comp1[[#This Row],[Comparable '#1 Dates]]))=2,"Pass","Fail")</f>
        <v>Pass</v>
      </c>
      <c r="I542" s="1">
        <f>IFERROR(Comp1[[#This Row],[Comparable '#1 Return]]-INDEX(Benchmark1[Benchmark '#1 Return],MATCH(Comp1[[#This Row],[Comparable '#1 Dates]],Benchmark1[Benchmark '#1 Dates],0)),"-")</f>
        <v>-2.0506888451555974E-2</v>
      </c>
      <c r="L542" s="72">
        <f>Comp1[[#This Row],[Comparable '#1 Price]]/$B$2*100</f>
        <v>85.420944558521569</v>
      </c>
    </row>
    <row r="543" spans="1:12">
      <c r="A543" s="103">
        <v>44070</v>
      </c>
      <c r="B543" s="104">
        <v>12.5</v>
      </c>
      <c r="C543" s="4">
        <f t="shared" si="16"/>
        <v>1.6012813669738276E-3</v>
      </c>
      <c r="D543" s="1">
        <f>IFERROR(Comp1[[#This Row],[Comparable '#1 Return]]+1,"-")</f>
        <v>1.0016012813669739</v>
      </c>
      <c r="E543" s="6">
        <f>B543-MAX($B$2:B543)</f>
        <v>-9.120000000000001</v>
      </c>
      <c r="F543" s="80">
        <f t="shared" si="17"/>
        <v>146</v>
      </c>
      <c r="G543" s="22" cm="1">
        <f t="array" ref="G543">Comp1[[#This Row],[Comparable '#1 Drawdown]]/MAX($B$2:B543)</f>
        <v>-0.42183163737280299</v>
      </c>
      <c r="H543" s="1" t="str">
        <f>IF(SUM(COUNTIF(Benchmark1[Benchmark '#1 Dates],Comp1[[#This Row],[Comparable '#1 Dates]]),COUNTIF(Benchmark2[Benchmark '#2 Dates],Comp1[[#This Row],[Comparable '#1 Dates]]))=2,"Pass","Fail")</f>
        <v>Pass</v>
      </c>
      <c r="I543" s="1">
        <f>IFERROR(Comp1[[#This Row],[Comparable '#1 Return]]-INDEX(Benchmark1[Benchmark '#1 Return],MATCH(Comp1[[#This Row],[Comparable '#1 Dates]],Benchmark1[Benchmark '#1 Dates],0)),"-")</f>
        <v>-6.9754645336175336E-5</v>
      </c>
      <c r="L543" s="72">
        <f>Comp1[[#This Row],[Comparable '#1 Price]]/$B$2*100</f>
        <v>85.557837097878163</v>
      </c>
    </row>
    <row r="544" spans="1:12">
      <c r="A544" s="103">
        <v>44071</v>
      </c>
      <c r="B544" s="104">
        <v>12.81</v>
      </c>
      <c r="C544" s="4">
        <f t="shared" si="16"/>
        <v>2.4497471600387372E-2</v>
      </c>
      <c r="D544" s="1">
        <f>IFERROR(Comp1[[#This Row],[Comparable '#1 Return]]+1,"-")</f>
        <v>1.0244974716003874</v>
      </c>
      <c r="E544" s="6">
        <f>B544-MAX($B$2:B544)</f>
        <v>-8.81</v>
      </c>
      <c r="F544" s="80">
        <f t="shared" si="17"/>
        <v>147</v>
      </c>
      <c r="G544" s="22" cm="1">
        <f t="array" ref="G544">Comp1[[#This Row],[Comparable '#1 Drawdown]]/MAX($B$2:B544)</f>
        <v>-0.40749306197964846</v>
      </c>
      <c r="H544" s="1" t="str">
        <f>IF(SUM(COUNTIF(Benchmark1[Benchmark '#1 Dates],Comp1[[#This Row],[Comparable '#1 Dates]]),COUNTIF(Benchmark2[Benchmark '#2 Dates],Comp1[[#This Row],[Comparable '#1 Dates]]))=2,"Pass","Fail")</f>
        <v>Pass</v>
      </c>
      <c r="I544" s="1">
        <f>IFERROR(Comp1[[#This Row],[Comparable '#1 Return]]-INDEX(Benchmark1[Benchmark '#1 Return],MATCH(Comp1[[#This Row],[Comparable '#1 Dates]],Benchmark1[Benchmark '#1 Dates],0)),"-")</f>
        <v>1.7786187133291262E-2</v>
      </c>
      <c r="L544" s="72">
        <f>Comp1[[#This Row],[Comparable '#1 Price]]/$B$2*100</f>
        <v>87.679671457905556</v>
      </c>
    </row>
    <row r="545" spans="1:12">
      <c r="A545" s="103">
        <v>44074</v>
      </c>
      <c r="B545" s="104">
        <v>12.52</v>
      </c>
      <c r="C545" s="4">
        <f t="shared" si="16"/>
        <v>-2.2898750236690437E-2</v>
      </c>
      <c r="D545" s="1">
        <f>IFERROR(Comp1[[#This Row],[Comparable '#1 Return]]+1,"-")</f>
        <v>0.97710124976330959</v>
      </c>
      <c r="E545" s="6">
        <f>B545-MAX($B$2:B545)</f>
        <v>-9.1000000000000014</v>
      </c>
      <c r="F545" s="80">
        <f t="shared" si="17"/>
        <v>148</v>
      </c>
      <c r="G545" s="22" cm="1">
        <f t="array" ref="G545">Comp1[[#This Row],[Comparable '#1 Drawdown]]/MAX($B$2:B545)</f>
        <v>-0.42090656799259951</v>
      </c>
      <c r="H545" s="1" t="str">
        <f>IF(SUM(COUNTIF(Benchmark1[Benchmark '#1 Dates],Comp1[[#This Row],[Comparable '#1 Dates]]),COUNTIF(Benchmark2[Benchmark '#2 Dates],Comp1[[#This Row],[Comparable '#1 Dates]]))=2,"Pass","Fail")</f>
        <v>Pass</v>
      </c>
      <c r="I545" s="1">
        <f>IFERROR(Comp1[[#This Row],[Comparable '#1 Return]]-INDEX(Benchmark1[Benchmark '#1 Return],MATCH(Comp1[[#This Row],[Comparable '#1 Dates]],Benchmark1[Benchmark '#1 Dates],0)),"-")</f>
        <v>-2.0699584565144657E-2</v>
      </c>
      <c r="L545" s="72">
        <f>Comp1[[#This Row],[Comparable '#1 Price]]/$B$2*100</f>
        <v>85.694729637234772</v>
      </c>
    </row>
    <row r="546" spans="1:12">
      <c r="A546" s="103">
        <v>44075</v>
      </c>
      <c r="B546" s="104">
        <v>13.04</v>
      </c>
      <c r="C546" s="4">
        <f t="shared" si="16"/>
        <v>4.0694190826554413E-2</v>
      </c>
      <c r="D546" s="1">
        <f>IFERROR(Comp1[[#This Row],[Comparable '#1 Return]]+1,"-")</f>
        <v>1.0406941908265543</v>
      </c>
      <c r="E546" s="6">
        <f>B546-MAX($B$2:B546)</f>
        <v>-8.5800000000000018</v>
      </c>
      <c r="F546" s="80">
        <f t="shared" si="17"/>
        <v>149</v>
      </c>
      <c r="G546" s="22" cm="1">
        <f t="array" ref="G546">Comp1[[#This Row],[Comparable '#1 Drawdown]]/MAX($B$2:B546)</f>
        <v>-0.39685476410730813</v>
      </c>
      <c r="H546" s="1" t="str">
        <f>IF(SUM(COUNTIF(Benchmark1[Benchmark '#1 Dates],Comp1[[#This Row],[Comparable '#1 Dates]]),COUNTIF(Benchmark2[Benchmark '#2 Dates],Comp1[[#This Row],[Comparable '#1 Dates]]))=2,"Pass","Fail")</f>
        <v>Pass</v>
      </c>
      <c r="I546" s="1">
        <f>IFERROR(Comp1[[#This Row],[Comparable '#1 Return]]-INDEX(Benchmark1[Benchmark '#1 Return],MATCH(Comp1[[#This Row],[Comparable '#1 Dates]],Benchmark1[Benchmark '#1 Dates],0)),"-")</f>
        <v>3.3196522803813022E-2</v>
      </c>
      <c r="L546" s="72">
        <f>Comp1[[#This Row],[Comparable '#1 Price]]/$B$2*100</f>
        <v>89.2539356605065</v>
      </c>
    </row>
    <row r="547" spans="1:12">
      <c r="A547" s="103">
        <v>44076</v>
      </c>
      <c r="B547" s="104">
        <v>12.9</v>
      </c>
      <c r="C547" s="4">
        <f t="shared" si="16"/>
        <v>-1.0794245130880401E-2</v>
      </c>
      <c r="D547" s="1">
        <f>IFERROR(Comp1[[#This Row],[Comparable '#1 Return]]+1,"-")</f>
        <v>0.98920575486911955</v>
      </c>
      <c r="E547" s="6">
        <f>B547-MAX($B$2:B547)</f>
        <v>-8.7200000000000006</v>
      </c>
      <c r="F547" s="80">
        <f t="shared" si="17"/>
        <v>150</v>
      </c>
      <c r="G547" s="22" cm="1">
        <f t="array" ref="G547">Comp1[[#This Row],[Comparable '#1 Drawdown]]/MAX($B$2:B547)</f>
        <v>-0.40333024976873266</v>
      </c>
      <c r="H547" s="1" t="str">
        <f>IF(SUM(COUNTIF(Benchmark1[Benchmark '#1 Dates],Comp1[[#This Row],[Comparable '#1 Dates]]),COUNTIF(Benchmark2[Benchmark '#2 Dates],Comp1[[#This Row],[Comparable '#1 Dates]]))=2,"Pass","Fail")</f>
        <v>Pass</v>
      </c>
      <c r="I547" s="1">
        <f>IFERROR(Comp1[[#This Row],[Comparable '#1 Return]]-INDEX(Benchmark1[Benchmark '#1 Return],MATCH(Comp1[[#This Row],[Comparable '#1 Dates]],Benchmark1[Benchmark '#1 Dates],0)),"-")</f>
        <v>-2.6044083828781171E-2</v>
      </c>
      <c r="L547" s="72">
        <f>Comp1[[#This Row],[Comparable '#1 Price]]/$B$2*100</f>
        <v>88.295687885010281</v>
      </c>
    </row>
    <row r="548" spans="1:12">
      <c r="A548" s="103">
        <v>44077</v>
      </c>
      <c r="B548" s="104">
        <v>12.54</v>
      </c>
      <c r="C548" s="4">
        <f t="shared" si="16"/>
        <v>-2.8303776162851936E-2</v>
      </c>
      <c r="D548" s="1">
        <f>IFERROR(Comp1[[#This Row],[Comparable '#1 Return]]+1,"-")</f>
        <v>0.97169622383714804</v>
      </c>
      <c r="E548" s="6">
        <f>B548-MAX($B$2:B548)</f>
        <v>-9.0800000000000018</v>
      </c>
      <c r="F548" s="80">
        <f t="shared" si="17"/>
        <v>151</v>
      </c>
      <c r="G548" s="22" cm="1">
        <f t="array" ref="G548">Comp1[[#This Row],[Comparable '#1 Drawdown]]/MAX($B$2:B548)</f>
        <v>-0.41998149861239598</v>
      </c>
      <c r="H548" s="1" t="str">
        <f>IF(SUM(COUNTIF(Benchmark1[Benchmark '#1 Dates],Comp1[[#This Row],[Comparable '#1 Dates]]),COUNTIF(Benchmark2[Benchmark '#2 Dates],Comp1[[#This Row],[Comparable '#1 Dates]]))=2,"Pass","Fail")</f>
        <v>Pass</v>
      </c>
      <c r="I548" s="1">
        <f>IFERROR(Comp1[[#This Row],[Comparable '#1 Return]]-INDEX(Benchmark1[Benchmark '#1 Return],MATCH(Comp1[[#This Row],[Comparable '#1 Dates]],Benchmark1[Benchmark '#1 Dates],0)),"-")</f>
        <v>7.4536003625269506E-3</v>
      </c>
      <c r="L548" s="72">
        <f>Comp1[[#This Row],[Comparable '#1 Price]]/$B$2*100</f>
        <v>85.831622176591367</v>
      </c>
    </row>
    <row r="549" spans="1:12">
      <c r="A549" s="103">
        <v>44078</v>
      </c>
      <c r="B549" s="104">
        <v>12.31</v>
      </c>
      <c r="C549" s="4">
        <f t="shared" si="16"/>
        <v>-1.8511595008412346E-2</v>
      </c>
      <c r="D549" s="1">
        <f>IFERROR(Comp1[[#This Row],[Comparable '#1 Return]]+1,"-")</f>
        <v>0.98148840499158763</v>
      </c>
      <c r="E549" s="6">
        <f>B549-MAX($B$2:B549)</f>
        <v>-9.31</v>
      </c>
      <c r="F549" s="80">
        <f t="shared" si="17"/>
        <v>152</v>
      </c>
      <c r="G549" s="22" cm="1">
        <f t="array" ref="G549">Comp1[[#This Row],[Comparable '#1 Drawdown]]/MAX($B$2:B549)</f>
        <v>-0.43061979648473636</v>
      </c>
      <c r="H549" s="1" t="str">
        <f>IF(SUM(COUNTIF(Benchmark1[Benchmark '#1 Dates],Comp1[[#This Row],[Comparable '#1 Dates]]),COUNTIF(Benchmark2[Benchmark '#2 Dates],Comp1[[#This Row],[Comparable '#1 Dates]]))=2,"Pass","Fail")</f>
        <v>Pass</v>
      </c>
      <c r="I549" s="1">
        <f>IFERROR(Comp1[[#This Row],[Comparable '#1 Return]]-INDEX(Benchmark1[Benchmark '#1 Return],MATCH(Comp1[[#This Row],[Comparable '#1 Dates]],Benchmark1[Benchmark '#1 Dates],0)),"-")</f>
        <v>-1.0345062664834669E-2</v>
      </c>
      <c r="L549" s="72">
        <f>Comp1[[#This Row],[Comparable '#1 Price]]/$B$2*100</f>
        <v>84.257357973990423</v>
      </c>
    </row>
    <row r="550" spans="1:12">
      <c r="A550" s="103">
        <v>44082</v>
      </c>
      <c r="B550" s="104">
        <v>12.3</v>
      </c>
      <c r="C550" s="4">
        <f t="shared" si="16"/>
        <v>-8.1267781799032211E-4</v>
      </c>
      <c r="D550" s="1">
        <f>IFERROR(Comp1[[#This Row],[Comparable '#1 Return]]+1,"-")</f>
        <v>0.99918732218200967</v>
      </c>
      <c r="E550" s="6">
        <f>B550-MAX($B$2:B550)</f>
        <v>-9.32</v>
      </c>
      <c r="F550" s="80">
        <f t="shared" si="17"/>
        <v>153</v>
      </c>
      <c r="G550" s="22" cm="1">
        <f t="array" ref="G550">Comp1[[#This Row],[Comparable '#1 Drawdown]]/MAX($B$2:B550)</f>
        <v>-0.43108233117483813</v>
      </c>
      <c r="H550" s="1" t="str">
        <f>IF(SUM(COUNTIF(Benchmark1[Benchmark '#1 Dates],Comp1[[#This Row],[Comparable '#1 Dates]]),COUNTIF(Benchmark2[Benchmark '#2 Dates],Comp1[[#This Row],[Comparable '#1 Dates]]))=2,"Pass","Fail")</f>
        <v>Pass</v>
      </c>
      <c r="I550" s="1">
        <f>IFERROR(Comp1[[#This Row],[Comparable '#1 Return]]-INDEX(Benchmark1[Benchmark '#1 Return],MATCH(Comp1[[#This Row],[Comparable '#1 Dates]],Benchmark1[Benchmark '#1 Dates],0)),"-")</f>
        <v>2.7336478911639605E-2</v>
      </c>
      <c r="L550" s="72">
        <f>Comp1[[#This Row],[Comparable '#1 Price]]/$B$2*100</f>
        <v>84.188911704312119</v>
      </c>
    </row>
    <row r="551" spans="1:12">
      <c r="A551" s="103">
        <v>44083</v>
      </c>
      <c r="B551" s="104">
        <v>12.47</v>
      </c>
      <c r="C551" s="4">
        <f t="shared" si="16"/>
        <v>1.3726497313573357E-2</v>
      </c>
      <c r="D551" s="1">
        <f>IFERROR(Comp1[[#This Row],[Comparable '#1 Return]]+1,"-")</f>
        <v>1.0137264973135733</v>
      </c>
      <c r="E551" s="6">
        <f>B551-MAX($B$2:B551)</f>
        <v>-9.15</v>
      </c>
      <c r="F551" s="80">
        <f t="shared" si="17"/>
        <v>154</v>
      </c>
      <c r="G551" s="22" cm="1">
        <f t="array" ref="G551">Comp1[[#This Row],[Comparable '#1 Drawdown]]/MAX($B$2:B551)</f>
        <v>-0.42321924144310824</v>
      </c>
      <c r="H551" s="1" t="str">
        <f>IF(SUM(COUNTIF(Benchmark1[Benchmark '#1 Dates],Comp1[[#This Row],[Comparable '#1 Dates]]),COUNTIF(Benchmark2[Benchmark '#2 Dates],Comp1[[#This Row],[Comparable '#1 Dates]]))=2,"Pass","Fail")</f>
        <v>Pass</v>
      </c>
      <c r="I551" s="1">
        <f>IFERROR(Comp1[[#This Row],[Comparable '#1 Return]]-INDEX(Benchmark1[Benchmark '#1 Return],MATCH(Comp1[[#This Row],[Comparable '#1 Dates]],Benchmark1[Benchmark '#1 Dates],0)),"-")</f>
        <v>-6.2172564277133951E-3</v>
      </c>
      <c r="L551" s="72">
        <f>Comp1[[#This Row],[Comparable '#1 Price]]/$B$2*100</f>
        <v>85.352498288843265</v>
      </c>
    </row>
    <row r="552" spans="1:12">
      <c r="A552" s="103">
        <v>44084</v>
      </c>
      <c r="B552" s="104">
        <v>12.17</v>
      </c>
      <c r="C552" s="4">
        <f t="shared" si="16"/>
        <v>-2.4351852692509307E-2</v>
      </c>
      <c r="D552" s="1">
        <f>IFERROR(Comp1[[#This Row],[Comparable '#1 Return]]+1,"-")</f>
        <v>0.97564814730749072</v>
      </c>
      <c r="E552" s="6">
        <f>B552-MAX($B$2:B552)</f>
        <v>-9.4500000000000011</v>
      </c>
      <c r="F552" s="80">
        <f t="shared" si="17"/>
        <v>155</v>
      </c>
      <c r="G552" s="22" cm="1">
        <f t="array" ref="G552">Comp1[[#This Row],[Comparable '#1 Drawdown]]/MAX($B$2:B552)</f>
        <v>-0.437095282146161</v>
      </c>
      <c r="H552" s="1" t="str">
        <f>IF(SUM(COUNTIF(Benchmark1[Benchmark '#1 Dates],Comp1[[#This Row],[Comparable '#1 Dates]]),COUNTIF(Benchmark2[Benchmark '#2 Dates],Comp1[[#This Row],[Comparable '#1 Dates]]))=2,"Pass","Fail")</f>
        <v>Pass</v>
      </c>
      <c r="I552" s="1">
        <f>IFERROR(Comp1[[#This Row],[Comparable '#1 Return]]-INDEX(Benchmark1[Benchmark '#1 Return],MATCH(Comp1[[#This Row],[Comparable '#1 Dates]],Benchmark1[Benchmark '#1 Dates],0)),"-")</f>
        <v>-6.6093295216132844E-3</v>
      </c>
      <c r="L552" s="72">
        <f>Comp1[[#This Row],[Comparable '#1 Price]]/$B$2*100</f>
        <v>83.299110198494191</v>
      </c>
    </row>
    <row r="553" spans="1:12">
      <c r="A553" s="103">
        <v>44085</v>
      </c>
      <c r="B553" s="104">
        <v>13.29</v>
      </c>
      <c r="C553" s="4">
        <f t="shared" si="16"/>
        <v>8.8037965725718037E-2</v>
      </c>
      <c r="D553" s="1">
        <f>IFERROR(Comp1[[#This Row],[Comparable '#1 Return]]+1,"-")</f>
        <v>1.088037965725718</v>
      </c>
      <c r="E553" s="6">
        <f>B553-MAX($B$2:B553)</f>
        <v>-8.3300000000000018</v>
      </c>
      <c r="F553" s="80">
        <f t="shared" si="17"/>
        <v>156</v>
      </c>
      <c r="G553" s="22" cm="1">
        <f t="array" ref="G553">Comp1[[#This Row],[Comparable '#1 Drawdown]]/MAX($B$2:B553)</f>
        <v>-0.38529139685476416</v>
      </c>
      <c r="H553" s="1" t="str">
        <f>IF(SUM(COUNTIF(Benchmark1[Benchmark '#1 Dates],Comp1[[#This Row],[Comparable '#1 Dates]]),COUNTIF(Benchmark2[Benchmark '#2 Dates],Comp1[[#This Row],[Comparable '#1 Dates]]))=2,"Pass","Fail")</f>
        <v>Pass</v>
      </c>
      <c r="I553" s="1">
        <f>IFERROR(Comp1[[#This Row],[Comparable '#1 Return]]-INDEX(Benchmark1[Benchmark '#1 Return],MATCH(Comp1[[#This Row],[Comparable '#1 Dates]],Benchmark1[Benchmark '#1 Dates],0)),"-")</f>
        <v>8.7504711652503439E-2</v>
      </c>
      <c r="L553" s="72">
        <f>Comp1[[#This Row],[Comparable '#1 Price]]/$B$2*100</f>
        <v>90.965092402464066</v>
      </c>
    </row>
    <row r="554" spans="1:12">
      <c r="A554" s="103">
        <v>44088</v>
      </c>
      <c r="B554" s="104">
        <v>13.13</v>
      </c>
      <c r="C554" s="4">
        <f t="shared" si="16"/>
        <v>-1.2112184410449074E-2</v>
      </c>
      <c r="D554" s="1">
        <f>IFERROR(Comp1[[#This Row],[Comparable '#1 Return]]+1,"-")</f>
        <v>0.98788781558955097</v>
      </c>
      <c r="E554" s="6">
        <f>B554-MAX($B$2:B554)</f>
        <v>-8.49</v>
      </c>
      <c r="F554" s="80">
        <f t="shared" si="17"/>
        <v>157</v>
      </c>
      <c r="G554" s="22" cm="1">
        <f t="array" ref="G554">Comp1[[#This Row],[Comparable '#1 Drawdown]]/MAX($B$2:B554)</f>
        <v>-0.39269195189639222</v>
      </c>
      <c r="H554" s="1" t="str">
        <f>IF(SUM(COUNTIF(Benchmark1[Benchmark '#1 Dates],Comp1[[#This Row],[Comparable '#1 Dates]]),COUNTIF(Benchmark2[Benchmark '#2 Dates],Comp1[[#This Row],[Comparable '#1 Dates]]))=2,"Pass","Fail")</f>
        <v>Pass</v>
      </c>
      <c r="I554" s="1">
        <f>IFERROR(Comp1[[#This Row],[Comparable '#1 Return]]-INDEX(Benchmark1[Benchmark '#1 Return],MATCH(Comp1[[#This Row],[Comparable '#1 Dates]],Benchmark1[Benchmark '#1 Dates],0)),"-")</f>
        <v>-2.4775129361764819E-2</v>
      </c>
      <c r="L554" s="72">
        <f>Comp1[[#This Row],[Comparable '#1 Price]]/$B$2*100</f>
        <v>89.869952087611239</v>
      </c>
    </row>
    <row r="555" spans="1:12">
      <c r="A555" s="103">
        <v>44089</v>
      </c>
      <c r="B555" s="104">
        <v>12.62</v>
      </c>
      <c r="C555" s="4">
        <f t="shared" si="16"/>
        <v>-3.9616831201637795E-2</v>
      </c>
      <c r="D555" s="1">
        <f>IFERROR(Comp1[[#This Row],[Comparable '#1 Return]]+1,"-")</f>
        <v>0.96038316879836216</v>
      </c>
      <c r="E555" s="6">
        <f>B555-MAX($B$2:B555)</f>
        <v>-9.0000000000000018</v>
      </c>
      <c r="F555" s="80">
        <f t="shared" si="17"/>
        <v>158</v>
      </c>
      <c r="G555" s="22" cm="1">
        <f t="array" ref="G555">Comp1[[#This Row],[Comparable '#1 Drawdown]]/MAX($B$2:B555)</f>
        <v>-0.41628122109158194</v>
      </c>
      <c r="H555" s="1" t="str">
        <f>IF(SUM(COUNTIF(Benchmark1[Benchmark '#1 Dates],Comp1[[#This Row],[Comparable '#1 Dates]]),COUNTIF(Benchmark2[Benchmark '#2 Dates],Comp1[[#This Row],[Comparable '#1 Dates]]))=2,"Pass","Fail")</f>
        <v>Pass</v>
      </c>
      <c r="I555" s="1">
        <f>IFERROR(Comp1[[#This Row],[Comparable '#1 Return]]-INDEX(Benchmark1[Benchmark '#1 Return],MATCH(Comp1[[#This Row],[Comparable '#1 Dates]],Benchmark1[Benchmark '#1 Dates],0)),"-")</f>
        <v>-4.4822441963499424E-2</v>
      </c>
      <c r="L555" s="72">
        <f>Comp1[[#This Row],[Comparable '#1 Price]]/$B$2*100</f>
        <v>86.379192334017802</v>
      </c>
    </row>
    <row r="556" spans="1:12">
      <c r="A556" s="103">
        <v>44090</v>
      </c>
      <c r="B556" s="104">
        <v>13</v>
      </c>
      <c r="C556" s="4">
        <f t="shared" si="16"/>
        <v>2.9666500348469668E-2</v>
      </c>
      <c r="D556" s="1">
        <f>IFERROR(Comp1[[#This Row],[Comparable '#1 Return]]+1,"-")</f>
        <v>1.0296665003484697</v>
      </c>
      <c r="E556" s="6">
        <f>B556-MAX($B$2:B556)</f>
        <v>-8.620000000000001</v>
      </c>
      <c r="F556" s="80">
        <f t="shared" si="17"/>
        <v>159</v>
      </c>
      <c r="G556" s="22" cm="1">
        <f t="array" ref="G556">Comp1[[#This Row],[Comparable '#1 Drawdown]]/MAX($B$2:B556)</f>
        <v>-0.39870490286771509</v>
      </c>
      <c r="H556" s="1" t="str">
        <f>IF(SUM(COUNTIF(Benchmark1[Benchmark '#1 Dates],Comp1[[#This Row],[Comparable '#1 Dates]]),COUNTIF(Benchmark2[Benchmark '#2 Dates],Comp1[[#This Row],[Comparable '#1 Dates]]))=2,"Pass","Fail")</f>
        <v>Pass</v>
      </c>
      <c r="I556" s="1">
        <f>IFERROR(Comp1[[#This Row],[Comparable '#1 Return]]-INDEX(Benchmark1[Benchmark '#1 Return],MATCH(Comp1[[#This Row],[Comparable '#1 Dates]],Benchmark1[Benchmark '#1 Dates],0)),"-")</f>
        <v>3.4296148718104623E-2</v>
      </c>
      <c r="L556" s="72">
        <f>Comp1[[#This Row],[Comparable '#1 Price]]/$B$2*100</f>
        <v>88.980150581793296</v>
      </c>
    </row>
    <row r="557" spans="1:12">
      <c r="A557" s="103">
        <v>44091</v>
      </c>
      <c r="B557" s="104">
        <v>13.16</v>
      </c>
      <c r="C557" s="4">
        <f t="shared" si="16"/>
        <v>1.2232568435634451E-2</v>
      </c>
      <c r="D557" s="1">
        <f>IFERROR(Comp1[[#This Row],[Comparable '#1 Return]]+1,"-")</f>
        <v>1.0122325684356344</v>
      </c>
      <c r="E557" s="6">
        <f>B557-MAX($B$2:B557)</f>
        <v>-8.4600000000000009</v>
      </c>
      <c r="F557" s="80">
        <f t="shared" si="17"/>
        <v>160</v>
      </c>
      <c r="G557" s="22" cm="1">
        <f t="array" ref="G557">Comp1[[#This Row],[Comparable '#1 Drawdown]]/MAX($B$2:B557)</f>
        <v>-0.39130434782608697</v>
      </c>
      <c r="H557" s="1" t="str">
        <f>IF(SUM(COUNTIF(Benchmark1[Benchmark '#1 Dates],Comp1[[#This Row],[Comparable '#1 Dates]]),COUNTIF(Benchmark2[Benchmark '#2 Dates],Comp1[[#This Row],[Comparable '#1 Dates]]))=2,"Pass","Fail")</f>
        <v>Pass</v>
      </c>
      <c r="I557" s="1">
        <f>IFERROR(Comp1[[#This Row],[Comparable '#1 Return]]-INDEX(Benchmark1[Benchmark '#1 Return],MATCH(Comp1[[#This Row],[Comparable '#1 Dates]],Benchmark1[Benchmark '#1 Dates],0)),"-")</f>
        <v>2.0680827011960147E-2</v>
      </c>
      <c r="L557" s="72">
        <f>Comp1[[#This Row],[Comparable '#1 Price]]/$B$2*100</f>
        <v>90.075290896646138</v>
      </c>
    </row>
    <row r="558" spans="1:12">
      <c r="A558" s="103">
        <v>44092</v>
      </c>
      <c r="B558" s="104">
        <v>12.99</v>
      </c>
      <c r="C558" s="4">
        <f t="shared" si="16"/>
        <v>-1.3002095214662996E-2</v>
      </c>
      <c r="D558" s="1">
        <f>IFERROR(Comp1[[#This Row],[Comparable '#1 Return]]+1,"-")</f>
        <v>0.986997904785337</v>
      </c>
      <c r="E558" s="6">
        <f>B558-MAX($B$2:B558)</f>
        <v>-8.6300000000000008</v>
      </c>
      <c r="F558" s="80">
        <f t="shared" si="17"/>
        <v>161</v>
      </c>
      <c r="G558" s="22" cm="1">
        <f t="array" ref="G558">Comp1[[#This Row],[Comparable '#1 Drawdown]]/MAX($B$2:B558)</f>
        <v>-0.39916743755781686</v>
      </c>
      <c r="H558" s="1" t="str">
        <f>IF(SUM(COUNTIF(Benchmark1[Benchmark '#1 Dates],Comp1[[#This Row],[Comparable '#1 Dates]]),COUNTIF(Benchmark2[Benchmark '#2 Dates],Comp1[[#This Row],[Comparable '#1 Dates]]))=2,"Pass","Fail")</f>
        <v>Pass</v>
      </c>
      <c r="I558" s="1">
        <f>IFERROR(Comp1[[#This Row],[Comparable '#1 Return]]-INDEX(Benchmark1[Benchmark '#1 Return],MATCH(Comp1[[#This Row],[Comparable '#1 Dates]],Benchmark1[Benchmark '#1 Dates],0)),"-")</f>
        <v>-1.7552842822056731E-3</v>
      </c>
      <c r="L558" s="72">
        <f>Comp1[[#This Row],[Comparable '#1 Price]]/$B$2*100</f>
        <v>88.911704312114992</v>
      </c>
    </row>
    <row r="559" spans="1:12">
      <c r="A559" s="103">
        <v>44095</v>
      </c>
      <c r="B559" s="104">
        <v>12.625</v>
      </c>
      <c r="C559" s="4">
        <f t="shared" si="16"/>
        <v>-2.8500855521084677E-2</v>
      </c>
      <c r="D559" s="1">
        <f>IFERROR(Comp1[[#This Row],[Comparable '#1 Return]]+1,"-")</f>
        <v>0.97149914447891528</v>
      </c>
      <c r="E559" s="6">
        <f>B559-MAX($B$2:B559)</f>
        <v>-8.995000000000001</v>
      </c>
      <c r="F559" s="80">
        <f t="shared" si="17"/>
        <v>162</v>
      </c>
      <c r="G559" s="22" cm="1">
        <f t="array" ref="G559">Comp1[[#This Row],[Comparable '#1 Drawdown]]/MAX($B$2:B559)</f>
        <v>-0.41604995374653103</v>
      </c>
      <c r="H559" s="1" t="str">
        <f>IF(SUM(COUNTIF(Benchmark1[Benchmark '#1 Dates],Comp1[[#This Row],[Comparable '#1 Dates]]),COUNTIF(Benchmark2[Benchmark '#2 Dates],Comp1[[#This Row],[Comparable '#1 Dates]]))=2,"Pass","Fail")</f>
        <v>Pass</v>
      </c>
      <c r="I559" s="1">
        <f>IFERROR(Comp1[[#This Row],[Comparable '#1 Return]]-INDEX(Benchmark1[Benchmark '#1 Return],MATCH(Comp1[[#This Row],[Comparable '#1 Dates]],Benchmark1[Benchmark '#1 Dates],0)),"-")</f>
        <v>-1.6863221318451901E-2</v>
      </c>
      <c r="L559" s="72">
        <f>Comp1[[#This Row],[Comparable '#1 Price]]/$B$2*100</f>
        <v>86.413415468856954</v>
      </c>
    </row>
    <row r="560" spans="1:12">
      <c r="A560" s="103">
        <v>44096</v>
      </c>
      <c r="B560" s="104">
        <v>12.67</v>
      </c>
      <c r="C560" s="4">
        <f t="shared" si="16"/>
        <v>3.5580191716241645E-3</v>
      </c>
      <c r="D560" s="1">
        <f>IFERROR(Comp1[[#This Row],[Comparable '#1 Return]]+1,"-")</f>
        <v>1.0035580191716242</v>
      </c>
      <c r="E560" s="6">
        <f>B560-MAX($B$2:B560)</f>
        <v>-8.9500000000000011</v>
      </c>
      <c r="F560" s="80">
        <f t="shared" si="17"/>
        <v>163</v>
      </c>
      <c r="G560" s="22" cm="1">
        <f t="array" ref="G560">Comp1[[#This Row],[Comparable '#1 Drawdown]]/MAX($B$2:B560)</f>
        <v>-0.4139685476410731</v>
      </c>
      <c r="H560" s="1" t="str">
        <f>IF(SUM(COUNTIF(Benchmark1[Benchmark '#1 Dates],Comp1[[#This Row],[Comparable '#1 Dates]]),COUNTIF(Benchmark2[Benchmark '#2 Dates],Comp1[[#This Row],[Comparable '#1 Dates]]))=2,"Pass","Fail")</f>
        <v>Pass</v>
      </c>
      <c r="I560" s="1">
        <f>IFERROR(Comp1[[#This Row],[Comparable '#1 Return]]-INDEX(Benchmark1[Benchmark '#1 Return],MATCH(Comp1[[#This Row],[Comparable '#1 Dates]],Benchmark1[Benchmark '#1 Dates],0)),"-")</f>
        <v>-6.9041897846379768E-3</v>
      </c>
      <c r="L560" s="72">
        <f>Comp1[[#This Row],[Comparable '#1 Price]]/$B$2*100</f>
        <v>86.721423682409309</v>
      </c>
    </row>
    <row r="561" spans="1:12">
      <c r="A561" s="103">
        <v>44097</v>
      </c>
      <c r="B561" s="104">
        <v>12.33</v>
      </c>
      <c r="C561" s="4">
        <f t="shared" si="16"/>
        <v>-2.7201677156794765E-2</v>
      </c>
      <c r="D561" s="1">
        <f>IFERROR(Comp1[[#This Row],[Comparable '#1 Return]]+1,"-")</f>
        <v>0.97279832284320522</v>
      </c>
      <c r="E561" s="6">
        <f>B561-MAX($B$2:B561)</f>
        <v>-9.2900000000000009</v>
      </c>
      <c r="F561" s="80">
        <f t="shared" si="17"/>
        <v>164</v>
      </c>
      <c r="G561" s="22" cm="1">
        <f t="array" ref="G561">Comp1[[#This Row],[Comparable '#1 Drawdown]]/MAX($B$2:B561)</f>
        <v>-0.42969472710453288</v>
      </c>
      <c r="H561" s="1" t="str">
        <f>IF(SUM(COUNTIF(Benchmark1[Benchmark '#1 Dates],Comp1[[#This Row],[Comparable '#1 Dates]]),COUNTIF(Benchmark2[Benchmark '#2 Dates],Comp1[[#This Row],[Comparable '#1 Dates]]))=2,"Pass","Fail")</f>
        <v>Pass</v>
      </c>
      <c r="I561" s="1">
        <f>IFERROR(Comp1[[#This Row],[Comparable '#1 Return]]-INDEX(Benchmark1[Benchmark '#1 Return],MATCH(Comp1[[#This Row],[Comparable '#1 Dates]],Benchmark1[Benchmark '#1 Dates],0)),"-")</f>
        <v>-3.1956212313659672E-3</v>
      </c>
      <c r="L561" s="72">
        <f>Comp1[[#This Row],[Comparable '#1 Price]]/$B$2*100</f>
        <v>84.394250513347018</v>
      </c>
    </row>
    <row r="562" spans="1:12">
      <c r="A562" s="103">
        <v>44098</v>
      </c>
      <c r="B562" s="104">
        <v>12.7</v>
      </c>
      <c r="C562" s="4">
        <f t="shared" si="16"/>
        <v>2.9566676288292661E-2</v>
      </c>
      <c r="D562" s="1">
        <f>IFERROR(Comp1[[#This Row],[Comparable '#1 Return]]+1,"-")</f>
        <v>1.0295666762882927</v>
      </c>
      <c r="E562" s="6">
        <f>B562-MAX($B$2:B562)</f>
        <v>-8.9200000000000017</v>
      </c>
      <c r="F562" s="80">
        <f t="shared" si="17"/>
        <v>165</v>
      </c>
      <c r="G562" s="22" cm="1">
        <f t="array" ref="G562">Comp1[[#This Row],[Comparable '#1 Drawdown]]/MAX($B$2:B562)</f>
        <v>-0.41258094357076786</v>
      </c>
      <c r="H562" s="1" t="str">
        <f>IF(SUM(COUNTIF(Benchmark1[Benchmark '#1 Dates],Comp1[[#This Row],[Comparable '#1 Dates]]),COUNTIF(Benchmark2[Benchmark '#2 Dates],Comp1[[#This Row],[Comparable '#1 Dates]]))=2,"Pass","Fail")</f>
        <v>Pass</v>
      </c>
      <c r="I562" s="1">
        <f>IFERROR(Comp1[[#This Row],[Comparable '#1 Return]]-INDEX(Benchmark1[Benchmark '#1 Return],MATCH(Comp1[[#This Row],[Comparable '#1 Dates]],Benchmark1[Benchmark '#1 Dates],0)),"-")</f>
        <v>2.6584590590393802E-2</v>
      </c>
      <c r="L562" s="72">
        <f>Comp1[[#This Row],[Comparable '#1 Price]]/$B$2*100</f>
        <v>86.926762491444208</v>
      </c>
    </row>
    <row r="563" spans="1:12">
      <c r="A563" s="103">
        <v>44099</v>
      </c>
      <c r="B563" s="104">
        <v>12.93</v>
      </c>
      <c r="C563" s="4">
        <f t="shared" si="16"/>
        <v>1.7948199319220665E-2</v>
      </c>
      <c r="D563" s="1">
        <f>IFERROR(Comp1[[#This Row],[Comparable '#1 Return]]+1,"-")</f>
        <v>1.0179481993192208</v>
      </c>
      <c r="E563" s="6">
        <f>B563-MAX($B$2:B563)</f>
        <v>-8.6900000000000013</v>
      </c>
      <c r="F563" s="80">
        <f t="shared" si="17"/>
        <v>166</v>
      </c>
      <c r="G563" s="22" cm="1">
        <f t="array" ref="G563">Comp1[[#This Row],[Comparable '#1 Drawdown]]/MAX($B$2:B563)</f>
        <v>-0.40194264569842741</v>
      </c>
      <c r="H563" s="1" t="str">
        <f>IF(SUM(COUNTIF(Benchmark1[Benchmark '#1 Dates],Comp1[[#This Row],[Comparable '#1 Dates]]),COUNTIF(Benchmark2[Benchmark '#2 Dates],Comp1[[#This Row],[Comparable '#1 Dates]]))=2,"Pass","Fail")</f>
        <v>Pass</v>
      </c>
      <c r="I563" s="1">
        <f>IFERROR(Comp1[[#This Row],[Comparable '#1 Return]]-INDEX(Benchmark1[Benchmark '#1 Return],MATCH(Comp1[[#This Row],[Comparable '#1 Dates]],Benchmark1[Benchmark '#1 Dates],0)),"-")</f>
        <v>2.0979398618275191E-3</v>
      </c>
      <c r="L563" s="72">
        <f>Comp1[[#This Row],[Comparable '#1 Price]]/$B$2*100</f>
        <v>88.501026694045166</v>
      </c>
    </row>
    <row r="564" spans="1:12">
      <c r="A564" s="103">
        <v>44102</v>
      </c>
      <c r="B564" s="104">
        <v>12.99</v>
      </c>
      <c r="C564" s="4">
        <f t="shared" si="16"/>
        <v>4.6296378987421968E-3</v>
      </c>
      <c r="D564" s="1">
        <f>IFERROR(Comp1[[#This Row],[Comparable '#1 Return]]+1,"-")</f>
        <v>1.0046296378987423</v>
      </c>
      <c r="E564" s="6">
        <f>B564-MAX($B$2:B564)</f>
        <v>-8.6300000000000008</v>
      </c>
      <c r="F564" s="80">
        <f t="shared" si="17"/>
        <v>167</v>
      </c>
      <c r="G564" s="22" cm="1">
        <f t="array" ref="G564">Comp1[[#This Row],[Comparable '#1 Drawdown]]/MAX($B$2:B564)</f>
        <v>-0.39916743755781686</v>
      </c>
      <c r="H564" s="1" t="str">
        <f>IF(SUM(COUNTIF(Benchmark1[Benchmark '#1 Dates],Comp1[[#This Row],[Comparable '#1 Dates]]),COUNTIF(Benchmark2[Benchmark '#2 Dates],Comp1[[#This Row],[Comparable '#1 Dates]]))=2,"Pass","Fail")</f>
        <v>Pass</v>
      </c>
      <c r="I564" s="1">
        <f>IFERROR(Comp1[[#This Row],[Comparable '#1 Return]]-INDEX(Benchmark1[Benchmark '#1 Return],MATCH(Comp1[[#This Row],[Comparable '#1 Dates]],Benchmark1[Benchmark '#1 Dates],0)),"-")</f>
        <v>-1.1353334579268886E-2</v>
      </c>
      <c r="L564" s="72">
        <f>Comp1[[#This Row],[Comparable '#1 Price]]/$B$2*100</f>
        <v>88.911704312114992</v>
      </c>
    </row>
    <row r="565" spans="1:12">
      <c r="A565" s="103">
        <v>44103</v>
      </c>
      <c r="B565" s="104">
        <v>13.03</v>
      </c>
      <c r="C565" s="4">
        <f t="shared" si="16"/>
        <v>3.0745604542456104E-3</v>
      </c>
      <c r="D565" s="1">
        <f>IFERROR(Comp1[[#This Row],[Comparable '#1 Return]]+1,"-")</f>
        <v>1.0030745604542457</v>
      </c>
      <c r="E565" s="6">
        <f>B565-MAX($B$2:B565)</f>
        <v>-8.5900000000000016</v>
      </c>
      <c r="F565" s="80">
        <f t="shared" si="17"/>
        <v>168</v>
      </c>
      <c r="G565" s="22" cm="1">
        <f t="array" ref="G565">Comp1[[#This Row],[Comparable '#1 Drawdown]]/MAX($B$2:B565)</f>
        <v>-0.39731729879740985</v>
      </c>
      <c r="H565" s="1" t="str">
        <f>IF(SUM(COUNTIF(Benchmark1[Benchmark '#1 Dates],Comp1[[#This Row],[Comparable '#1 Dates]]),COUNTIF(Benchmark2[Benchmark '#2 Dates],Comp1[[#This Row],[Comparable '#1 Dates]]))=2,"Pass","Fail")</f>
        <v>Pass</v>
      </c>
      <c r="I565" s="1">
        <f>IFERROR(Comp1[[#This Row],[Comparable '#1 Return]]-INDEX(Benchmark1[Benchmark '#1 Return],MATCH(Comp1[[#This Row],[Comparable '#1 Dates]],Benchmark1[Benchmark '#1 Dates],0)),"-")</f>
        <v>7.8971943960382124E-3</v>
      </c>
      <c r="L565" s="72">
        <f>Comp1[[#This Row],[Comparable '#1 Price]]/$B$2*100</f>
        <v>89.185489390828195</v>
      </c>
    </row>
    <row r="566" spans="1:12">
      <c r="A566" s="103">
        <v>44104</v>
      </c>
      <c r="B566" s="104">
        <v>13.28</v>
      </c>
      <c r="C566" s="4">
        <f t="shared" si="16"/>
        <v>1.9004752911534025E-2</v>
      </c>
      <c r="D566" s="1">
        <f>IFERROR(Comp1[[#This Row],[Comparable '#1 Return]]+1,"-")</f>
        <v>1.019004752911534</v>
      </c>
      <c r="E566" s="6">
        <f>B566-MAX($B$2:B566)</f>
        <v>-8.3400000000000016</v>
      </c>
      <c r="F566" s="80">
        <f t="shared" si="17"/>
        <v>169</v>
      </c>
      <c r="G566" s="22" cm="1">
        <f t="array" ref="G566">Comp1[[#This Row],[Comparable '#1 Drawdown]]/MAX($B$2:B566)</f>
        <v>-0.38575393154486592</v>
      </c>
      <c r="H566" s="1" t="str">
        <f>IF(SUM(COUNTIF(Benchmark1[Benchmark '#1 Dates],Comp1[[#This Row],[Comparable '#1 Dates]]),COUNTIF(Benchmark2[Benchmark '#2 Dates],Comp1[[#This Row],[Comparable '#1 Dates]]))=2,"Pass","Fail")</f>
        <v>Pass</v>
      </c>
      <c r="I566" s="1">
        <f>IFERROR(Comp1[[#This Row],[Comparable '#1 Return]]-INDEX(Benchmark1[Benchmark '#1 Return],MATCH(Comp1[[#This Row],[Comparable '#1 Dates]],Benchmark1[Benchmark '#1 Dates],0)),"-")</f>
        <v>1.0786700563567101E-2</v>
      </c>
      <c r="L566" s="72">
        <f>Comp1[[#This Row],[Comparable '#1 Price]]/$B$2*100</f>
        <v>90.896646132785762</v>
      </c>
    </row>
    <row r="567" spans="1:12">
      <c r="A567" s="103">
        <v>44105</v>
      </c>
      <c r="B567" s="104">
        <v>13.57</v>
      </c>
      <c r="C567" s="4">
        <f t="shared" si="16"/>
        <v>2.1602329798490139E-2</v>
      </c>
      <c r="D567" s="1">
        <f>IFERROR(Comp1[[#This Row],[Comparable '#1 Return]]+1,"-")</f>
        <v>1.0216023297984902</v>
      </c>
      <c r="E567" s="6">
        <f>B567-MAX($B$2:B567)</f>
        <v>-8.0500000000000007</v>
      </c>
      <c r="F567" s="80">
        <f t="shared" si="17"/>
        <v>170</v>
      </c>
      <c r="G567" s="22" cm="1">
        <f t="array" ref="G567">Comp1[[#This Row],[Comparable '#1 Drawdown]]/MAX($B$2:B567)</f>
        <v>-0.37234042553191493</v>
      </c>
      <c r="H567" s="1" t="str">
        <f>IF(SUM(COUNTIF(Benchmark1[Benchmark '#1 Dates],Comp1[[#This Row],[Comparable '#1 Dates]]),COUNTIF(Benchmark2[Benchmark '#2 Dates],Comp1[[#This Row],[Comparable '#1 Dates]]))=2,"Pass","Fail")</f>
        <v>Pass</v>
      </c>
      <c r="I567" s="1">
        <f>IFERROR(Comp1[[#This Row],[Comparable '#1 Return]]-INDEX(Benchmark1[Benchmark '#1 Return],MATCH(Comp1[[#This Row],[Comparable '#1 Dates]],Benchmark1[Benchmark '#1 Dates],0)),"-")</f>
        <v>1.6323518726718091E-2</v>
      </c>
      <c r="L567" s="72">
        <f>Comp1[[#This Row],[Comparable '#1 Price]]/$B$2*100</f>
        <v>92.881587953456545</v>
      </c>
    </row>
    <row r="568" spans="1:12">
      <c r="A568" s="103">
        <v>44106</v>
      </c>
      <c r="B568" s="104">
        <v>13.47</v>
      </c>
      <c r="C568" s="4">
        <f t="shared" si="16"/>
        <v>-7.3964834245051616E-3</v>
      </c>
      <c r="D568" s="1">
        <f>IFERROR(Comp1[[#This Row],[Comparable '#1 Return]]+1,"-")</f>
        <v>0.99260351657549484</v>
      </c>
      <c r="E568" s="6">
        <f>B568-MAX($B$2:B568)</f>
        <v>-8.15</v>
      </c>
      <c r="F568" s="80">
        <f t="shared" si="17"/>
        <v>171</v>
      </c>
      <c r="G568" s="22" cm="1">
        <f t="array" ref="G568">Comp1[[#This Row],[Comparable '#1 Drawdown]]/MAX($B$2:B568)</f>
        <v>-0.37696577243293244</v>
      </c>
      <c r="H568" s="1" t="str">
        <f>IF(SUM(COUNTIF(Benchmark1[Benchmark '#1 Dates],Comp1[[#This Row],[Comparable '#1 Dates]]),COUNTIF(Benchmark2[Benchmark '#2 Dates],Comp1[[#This Row],[Comparable '#1 Dates]]))=2,"Pass","Fail")</f>
        <v>Pass</v>
      </c>
      <c r="I568" s="1">
        <f>IFERROR(Comp1[[#This Row],[Comparable '#1 Return]]-INDEX(Benchmark1[Benchmark '#1 Return],MATCH(Comp1[[#This Row],[Comparable '#1 Dates]],Benchmark1[Benchmark '#1 Dates],0)),"-")</f>
        <v>2.2197740546091591E-3</v>
      </c>
      <c r="L568" s="72">
        <f>Comp1[[#This Row],[Comparable '#1 Price]]/$B$2*100</f>
        <v>92.197125256673516</v>
      </c>
    </row>
    <row r="569" spans="1:12">
      <c r="A569" s="103">
        <v>44109</v>
      </c>
      <c r="B569" s="104">
        <v>13.24</v>
      </c>
      <c r="C569" s="4">
        <f t="shared" si="16"/>
        <v>-1.7222439913410457E-2</v>
      </c>
      <c r="D569" s="1">
        <f>IFERROR(Comp1[[#This Row],[Comparable '#1 Return]]+1,"-")</f>
        <v>0.98277756008658956</v>
      </c>
      <c r="E569" s="6">
        <f>B569-MAX($B$2:B569)</f>
        <v>-8.3800000000000008</v>
      </c>
      <c r="F569" s="80">
        <f t="shared" si="17"/>
        <v>172</v>
      </c>
      <c r="G569" s="22" cm="1">
        <f t="array" ref="G569">Comp1[[#This Row],[Comparable '#1 Drawdown]]/MAX($B$2:B569)</f>
        <v>-0.38760407030527294</v>
      </c>
      <c r="H569" s="1" t="str">
        <f>IF(SUM(COUNTIF(Benchmark1[Benchmark '#1 Dates],Comp1[[#This Row],[Comparable '#1 Dates]]),COUNTIF(Benchmark2[Benchmark '#2 Dates],Comp1[[#This Row],[Comparable '#1 Dates]]))=2,"Pass","Fail")</f>
        <v>Pass</v>
      </c>
      <c r="I569" s="1">
        <f>IFERROR(Comp1[[#This Row],[Comparable '#1 Return]]-INDEX(Benchmark1[Benchmark '#1 Return],MATCH(Comp1[[#This Row],[Comparable '#1 Dates]],Benchmark1[Benchmark '#1 Dates],0)),"-")</f>
        <v>-3.5036273843417419E-2</v>
      </c>
      <c r="L569" s="72">
        <f>Comp1[[#This Row],[Comparable '#1 Price]]/$B$2*100</f>
        <v>90.622861054072558</v>
      </c>
    </row>
    <row r="570" spans="1:12">
      <c r="A570" s="103">
        <v>44110</v>
      </c>
      <c r="B570" s="104">
        <v>13.14</v>
      </c>
      <c r="C570" s="4">
        <f t="shared" si="16"/>
        <v>-7.5815374523976907E-3</v>
      </c>
      <c r="D570" s="1">
        <f>IFERROR(Comp1[[#This Row],[Comparable '#1 Return]]+1,"-")</f>
        <v>0.99241846254760235</v>
      </c>
      <c r="E570" s="6">
        <f>B570-MAX($B$2:B570)</f>
        <v>-8.48</v>
      </c>
      <c r="F570" s="80">
        <f t="shared" si="17"/>
        <v>173</v>
      </c>
      <c r="G570" s="22" cm="1">
        <f t="array" ref="G570">Comp1[[#This Row],[Comparable '#1 Drawdown]]/MAX($B$2:B570)</f>
        <v>-0.39222941720629045</v>
      </c>
      <c r="H570" s="1" t="str">
        <f>IF(SUM(COUNTIF(Benchmark1[Benchmark '#1 Dates],Comp1[[#This Row],[Comparable '#1 Dates]]),COUNTIF(Benchmark2[Benchmark '#2 Dates],Comp1[[#This Row],[Comparable '#1 Dates]]))=2,"Pass","Fail")</f>
        <v>Pass</v>
      </c>
      <c r="I570" s="1">
        <f>IFERROR(Comp1[[#This Row],[Comparable '#1 Return]]-INDEX(Benchmark1[Benchmark '#1 Return],MATCH(Comp1[[#This Row],[Comparable '#1 Dates]],Benchmark1[Benchmark '#1 Dates],0)),"-")</f>
        <v>6.5036969806360678E-3</v>
      </c>
      <c r="L570" s="72">
        <f>Comp1[[#This Row],[Comparable '#1 Price]]/$B$2*100</f>
        <v>89.938398357289543</v>
      </c>
    </row>
    <row r="571" spans="1:12">
      <c r="A571" s="103">
        <v>44111</v>
      </c>
      <c r="B571" s="104">
        <v>12.99</v>
      </c>
      <c r="C571" s="4">
        <f t="shared" si="16"/>
        <v>-1.1481182373956254E-2</v>
      </c>
      <c r="D571" s="1">
        <f>IFERROR(Comp1[[#This Row],[Comparable '#1 Return]]+1,"-")</f>
        <v>0.98851881762604377</v>
      </c>
      <c r="E571" s="6">
        <f>B571-MAX($B$2:B571)</f>
        <v>-8.6300000000000008</v>
      </c>
      <c r="F571" s="80">
        <f t="shared" si="17"/>
        <v>174</v>
      </c>
      <c r="G571" s="22" cm="1">
        <f t="array" ref="G571">Comp1[[#This Row],[Comparable '#1 Drawdown]]/MAX($B$2:B571)</f>
        <v>-0.39916743755781686</v>
      </c>
      <c r="H571" s="1" t="str">
        <f>IF(SUM(COUNTIF(Benchmark1[Benchmark '#1 Dates],Comp1[[#This Row],[Comparable '#1 Dates]]),COUNTIF(Benchmark2[Benchmark '#2 Dates],Comp1[[#This Row],[Comparable '#1 Dates]]))=2,"Pass","Fail")</f>
        <v>Pass</v>
      </c>
      <c r="I571" s="1">
        <f>IFERROR(Comp1[[#This Row],[Comparable '#1 Return]]-INDEX(Benchmark1[Benchmark '#1 Return],MATCH(Comp1[[#This Row],[Comparable '#1 Dates]],Benchmark1[Benchmark '#1 Dates],0)),"-")</f>
        <v>-2.8736413367812894E-2</v>
      </c>
      <c r="L571" s="72">
        <f>Comp1[[#This Row],[Comparable '#1 Price]]/$B$2*100</f>
        <v>88.911704312114992</v>
      </c>
    </row>
    <row r="572" spans="1:12">
      <c r="A572" s="103">
        <v>44112</v>
      </c>
      <c r="B572" s="104">
        <v>13.34</v>
      </c>
      <c r="C572" s="4">
        <f t="shared" si="16"/>
        <v>2.6587209804969373E-2</v>
      </c>
      <c r="D572" s="1">
        <f>IFERROR(Comp1[[#This Row],[Comparable '#1 Return]]+1,"-")</f>
        <v>1.0265872098049693</v>
      </c>
      <c r="E572" s="6">
        <f>B572-MAX($B$2:B572)</f>
        <v>-8.2800000000000011</v>
      </c>
      <c r="F572" s="80">
        <f t="shared" si="17"/>
        <v>175</v>
      </c>
      <c r="G572" s="22" cm="1">
        <f t="array" ref="G572">Comp1[[#This Row],[Comparable '#1 Drawdown]]/MAX($B$2:B572)</f>
        <v>-0.38297872340425537</v>
      </c>
      <c r="H572" s="1" t="str">
        <f>IF(SUM(COUNTIF(Benchmark1[Benchmark '#1 Dates],Comp1[[#This Row],[Comparable '#1 Dates]]),COUNTIF(Benchmark2[Benchmark '#2 Dates],Comp1[[#This Row],[Comparable '#1 Dates]]))=2,"Pass","Fail")</f>
        <v>Pass</v>
      </c>
      <c r="I572" s="1">
        <f>IFERROR(Comp1[[#This Row],[Comparable '#1 Return]]-INDEX(Benchmark1[Benchmark '#1 Return],MATCH(Comp1[[#This Row],[Comparable '#1 Dates]],Benchmark1[Benchmark '#1 Dates],0)),"-")</f>
        <v>1.8612230924008828E-2</v>
      </c>
      <c r="L572" s="72">
        <f>Comp1[[#This Row],[Comparable '#1 Price]]/$B$2*100</f>
        <v>91.307323750855588</v>
      </c>
    </row>
    <row r="573" spans="1:12">
      <c r="A573" s="103">
        <v>44113</v>
      </c>
      <c r="B573" s="104">
        <v>13.62</v>
      </c>
      <c r="C573" s="4">
        <f t="shared" si="16"/>
        <v>2.0772260233888642E-2</v>
      </c>
      <c r="D573" s="1">
        <f>IFERROR(Comp1[[#This Row],[Comparable '#1 Return]]+1,"-")</f>
        <v>1.0207722602338887</v>
      </c>
      <c r="E573" s="6">
        <f>B573-MAX($B$2:B573)</f>
        <v>-8.0000000000000018</v>
      </c>
      <c r="F573" s="80">
        <f t="shared" si="17"/>
        <v>176</v>
      </c>
      <c r="G573" s="22" cm="1">
        <f t="array" ref="G573">Comp1[[#This Row],[Comparable '#1 Drawdown]]/MAX($B$2:B573)</f>
        <v>-0.37002775208140615</v>
      </c>
      <c r="H573" s="1" t="str">
        <f>IF(SUM(COUNTIF(Benchmark1[Benchmark '#1 Dates],Comp1[[#This Row],[Comparable '#1 Dates]]),COUNTIF(Benchmark2[Benchmark '#2 Dates],Comp1[[#This Row],[Comparable '#1 Dates]]))=2,"Pass","Fail")</f>
        <v>Pass</v>
      </c>
      <c r="I573" s="1">
        <f>IFERROR(Comp1[[#This Row],[Comparable '#1 Return]]-INDEX(Benchmark1[Benchmark '#1 Return],MATCH(Comp1[[#This Row],[Comparable '#1 Dates]],Benchmark1[Benchmark '#1 Dates],0)),"-")</f>
        <v>1.2018287734046987E-2</v>
      </c>
      <c r="L573" s="72">
        <f>Comp1[[#This Row],[Comparable '#1 Price]]/$B$2*100</f>
        <v>93.223819301848039</v>
      </c>
    </row>
    <row r="574" spans="1:12">
      <c r="A574" s="103">
        <v>44116</v>
      </c>
      <c r="B574" s="104">
        <v>13.71</v>
      </c>
      <c r="C574" s="4">
        <f t="shared" si="16"/>
        <v>6.5861928528568757E-3</v>
      </c>
      <c r="D574" s="1">
        <f>IFERROR(Comp1[[#This Row],[Comparable '#1 Return]]+1,"-")</f>
        <v>1.0065861928528568</v>
      </c>
      <c r="E574" s="6">
        <f>B574-MAX($B$2:B574)</f>
        <v>-7.91</v>
      </c>
      <c r="F574" s="80">
        <f t="shared" si="17"/>
        <v>177</v>
      </c>
      <c r="G574" s="22" cm="1">
        <f t="array" ref="G574">Comp1[[#This Row],[Comparable '#1 Drawdown]]/MAX($B$2:B574)</f>
        <v>-0.36586493987049029</v>
      </c>
      <c r="H574" s="1" t="str">
        <f>IF(SUM(COUNTIF(Benchmark1[Benchmark '#1 Dates],Comp1[[#This Row],[Comparable '#1 Dates]]),COUNTIF(Benchmark2[Benchmark '#2 Dates],Comp1[[#This Row],[Comparable '#1 Dates]]))=2,"Pass","Fail")</f>
        <v>Pass</v>
      </c>
      <c r="I574" s="1">
        <f>IFERROR(Comp1[[#This Row],[Comparable '#1 Return]]-INDEX(Benchmark1[Benchmark '#1 Return],MATCH(Comp1[[#This Row],[Comparable '#1 Dates]],Benchmark1[Benchmark '#1 Dates],0)),"-")</f>
        <v>-9.6968218433127508E-3</v>
      </c>
      <c r="L574" s="72">
        <f>Comp1[[#This Row],[Comparable '#1 Price]]/$B$2*100</f>
        <v>93.839835728952778</v>
      </c>
    </row>
    <row r="575" spans="1:12">
      <c r="A575" s="103">
        <v>44117</v>
      </c>
      <c r="B575" s="104">
        <v>13.46</v>
      </c>
      <c r="C575" s="4">
        <f t="shared" si="16"/>
        <v>-1.8403169357641299E-2</v>
      </c>
      <c r="D575" s="1">
        <f>IFERROR(Comp1[[#This Row],[Comparable '#1 Return]]+1,"-")</f>
        <v>0.9815968306423587</v>
      </c>
      <c r="E575" s="6">
        <f>B575-MAX($B$2:B575)</f>
        <v>-8.16</v>
      </c>
      <c r="F575" s="80">
        <f t="shared" si="17"/>
        <v>178</v>
      </c>
      <c r="G575" s="22" cm="1">
        <f t="array" ref="G575">Comp1[[#This Row],[Comparable '#1 Drawdown]]/MAX($B$2:B575)</f>
        <v>-0.37742830712303421</v>
      </c>
      <c r="H575" s="1" t="str">
        <f>IF(SUM(COUNTIF(Benchmark1[Benchmark '#1 Dates],Comp1[[#This Row],[Comparable '#1 Dates]]),COUNTIF(Benchmark2[Benchmark '#2 Dates],Comp1[[#This Row],[Comparable '#1 Dates]]))=2,"Pass","Fail")</f>
        <v>Pass</v>
      </c>
      <c r="I575" s="1">
        <f>IFERROR(Comp1[[#This Row],[Comparable '#1 Return]]-INDEX(Benchmark1[Benchmark '#1 Return],MATCH(Comp1[[#This Row],[Comparable '#1 Dates]],Benchmark1[Benchmark '#1 Dates],0)),"-")</f>
        <v>-1.2077408682559312E-2</v>
      </c>
      <c r="L575" s="72">
        <f>Comp1[[#This Row],[Comparable '#1 Price]]/$B$2*100</f>
        <v>92.128678986995212</v>
      </c>
    </row>
    <row r="576" spans="1:12">
      <c r="A576" s="103">
        <v>44118</v>
      </c>
      <c r="B576" s="104">
        <v>13.67</v>
      </c>
      <c r="C576" s="4">
        <f t="shared" si="16"/>
        <v>1.5481326519276391E-2</v>
      </c>
      <c r="D576" s="1">
        <f>IFERROR(Comp1[[#This Row],[Comparable '#1 Return]]+1,"-")</f>
        <v>1.0154813265192764</v>
      </c>
      <c r="E576" s="6">
        <f>B576-MAX($B$2:B576)</f>
        <v>-7.9500000000000011</v>
      </c>
      <c r="F576" s="80">
        <f t="shared" si="17"/>
        <v>179</v>
      </c>
      <c r="G576" s="22" cm="1">
        <f t="array" ref="G576">Comp1[[#This Row],[Comparable '#1 Drawdown]]/MAX($B$2:B576)</f>
        <v>-0.36771507863089736</v>
      </c>
      <c r="H576" s="1" t="str">
        <f>IF(SUM(COUNTIF(Benchmark1[Benchmark '#1 Dates],Comp1[[#This Row],[Comparable '#1 Dates]]),COUNTIF(Benchmark2[Benchmark '#2 Dates],Comp1[[#This Row],[Comparable '#1 Dates]]))=2,"Pass","Fail")</f>
        <v>Pass</v>
      </c>
      <c r="I576" s="1">
        <f>IFERROR(Comp1[[#This Row],[Comparable '#1 Return]]-INDEX(Benchmark1[Benchmark '#1 Return],MATCH(Comp1[[#This Row],[Comparable '#1 Dates]],Benchmark1[Benchmark '#1 Dates],0)),"-")</f>
        <v>2.2127606561385231E-2</v>
      </c>
      <c r="L576" s="72">
        <f>Comp1[[#This Row],[Comparable '#1 Price]]/$B$2*100</f>
        <v>93.566050650239561</v>
      </c>
    </row>
    <row r="577" spans="1:12">
      <c r="A577" s="103">
        <v>44119</v>
      </c>
      <c r="B577" s="104">
        <v>13.62</v>
      </c>
      <c r="C577" s="4">
        <f t="shared" si="16"/>
        <v>-3.664350014491979E-3</v>
      </c>
      <c r="D577" s="1">
        <f>IFERROR(Comp1[[#This Row],[Comparable '#1 Return]]+1,"-")</f>
        <v>0.99633564998550805</v>
      </c>
      <c r="E577" s="6">
        <f>B577-MAX($B$2:B577)</f>
        <v>-8.0000000000000018</v>
      </c>
      <c r="F577" s="80">
        <f t="shared" si="17"/>
        <v>180</v>
      </c>
      <c r="G577" s="22" cm="1">
        <f t="array" ref="G577">Comp1[[#This Row],[Comparable '#1 Drawdown]]/MAX($B$2:B577)</f>
        <v>-0.37002775208140615</v>
      </c>
      <c r="H577" s="1" t="str">
        <f>IF(SUM(COUNTIF(Benchmark1[Benchmark '#1 Dates],Comp1[[#This Row],[Comparable '#1 Dates]]),COUNTIF(Benchmark2[Benchmark '#2 Dates],Comp1[[#This Row],[Comparable '#1 Dates]]))=2,"Pass","Fail")</f>
        <v>Pass</v>
      </c>
      <c r="I577" s="1">
        <f>IFERROR(Comp1[[#This Row],[Comparable '#1 Return]]-INDEX(Benchmark1[Benchmark '#1 Return],MATCH(Comp1[[#This Row],[Comparable '#1 Dates]],Benchmark1[Benchmark '#1 Dates],0)),"-")</f>
        <v>-2.1369081519774357E-3</v>
      </c>
      <c r="L577" s="72">
        <f>Comp1[[#This Row],[Comparable '#1 Price]]/$B$2*100</f>
        <v>93.223819301848039</v>
      </c>
    </row>
    <row r="578" spans="1:12">
      <c r="A578" s="103">
        <v>44120</v>
      </c>
      <c r="B578" s="104">
        <v>13.59</v>
      </c>
      <c r="C578" s="4">
        <f t="shared" ref="C578:C641" si="18">IFERROR(IF(B578="","-",LN(B578/B577)),"-")</f>
        <v>-2.2050725583138702E-3</v>
      </c>
      <c r="D578" s="1">
        <f>IFERROR(Comp1[[#This Row],[Comparable '#1 Return]]+1,"-")</f>
        <v>0.99779492744168607</v>
      </c>
      <c r="E578" s="6">
        <f>B578-MAX($B$2:B578)</f>
        <v>-8.0300000000000011</v>
      </c>
      <c r="F578" s="80">
        <f t="shared" ref="F578:F641" si="19">IF(E578=0,0,F577+1)</f>
        <v>181</v>
      </c>
      <c r="G578" s="22" cm="1">
        <f t="array" ref="G578">Comp1[[#This Row],[Comparable '#1 Drawdown]]/MAX($B$2:B578)</f>
        <v>-0.3714153561517114</v>
      </c>
      <c r="H578" s="1" t="str">
        <f>IF(SUM(COUNTIF(Benchmark1[Benchmark '#1 Dates],Comp1[[#This Row],[Comparable '#1 Dates]]),COUNTIF(Benchmark2[Benchmark '#2 Dates],Comp1[[#This Row],[Comparable '#1 Dates]]))=2,"Pass","Fail")</f>
        <v>Pass</v>
      </c>
      <c r="I578" s="1">
        <f>IFERROR(Comp1[[#This Row],[Comparable '#1 Return]]-INDEX(Benchmark1[Benchmark '#1 Return],MATCH(Comp1[[#This Row],[Comparable '#1 Dates]],Benchmark1[Benchmark '#1 Dates],0)),"-")</f>
        <v>-2.3389764885739977E-3</v>
      </c>
      <c r="L578" s="72">
        <f>Comp1[[#This Row],[Comparable '#1 Price]]/$B$2*100</f>
        <v>93.018480492813154</v>
      </c>
    </row>
    <row r="579" spans="1:12">
      <c r="A579" s="103">
        <v>44123</v>
      </c>
      <c r="B579" s="104">
        <v>13.61</v>
      </c>
      <c r="C579" s="4">
        <f t="shared" si="18"/>
        <v>1.47058850032222E-3</v>
      </c>
      <c r="D579" s="1">
        <f>IFERROR(Comp1[[#This Row],[Comparable '#1 Return]]+1,"-")</f>
        <v>1.0014705885003221</v>
      </c>
      <c r="E579" s="6">
        <f>B579-MAX($B$2:B579)</f>
        <v>-8.0100000000000016</v>
      </c>
      <c r="F579" s="80">
        <f t="shared" si="19"/>
        <v>182</v>
      </c>
      <c r="G579" s="22" cm="1">
        <f t="array" ref="G579">Comp1[[#This Row],[Comparable '#1 Drawdown]]/MAX($B$2:B579)</f>
        <v>-0.37049028677150792</v>
      </c>
      <c r="H579" s="1" t="str">
        <f>IF(SUM(COUNTIF(Benchmark1[Benchmark '#1 Dates],Comp1[[#This Row],[Comparable '#1 Dates]]),COUNTIF(Benchmark2[Benchmark '#2 Dates],Comp1[[#This Row],[Comparable '#1 Dates]]))=2,"Pass","Fail")</f>
        <v>Pass</v>
      </c>
      <c r="I579" s="1">
        <f>IFERROR(Comp1[[#This Row],[Comparable '#1 Return]]-INDEX(Benchmark1[Benchmark '#1 Return],MATCH(Comp1[[#This Row],[Comparable '#1 Dates]],Benchmark1[Benchmark '#1 Dates],0)),"-")</f>
        <v>1.7933401298475506E-2</v>
      </c>
      <c r="L579" s="72">
        <f>Comp1[[#This Row],[Comparable '#1 Price]]/$B$2*100</f>
        <v>93.155373032169734</v>
      </c>
    </row>
    <row r="580" spans="1:12">
      <c r="A580" s="103">
        <v>44124</v>
      </c>
      <c r="B580" s="104">
        <v>13.74</v>
      </c>
      <c r="C580" s="4">
        <f t="shared" si="18"/>
        <v>9.5064701308285905E-3</v>
      </c>
      <c r="D580" s="1">
        <f>IFERROR(Comp1[[#This Row],[Comparable '#1 Return]]+1,"-")</f>
        <v>1.0095064701308285</v>
      </c>
      <c r="E580" s="6">
        <f>B580-MAX($B$2:B580)</f>
        <v>-7.8800000000000008</v>
      </c>
      <c r="F580" s="80">
        <f t="shared" si="19"/>
        <v>183</v>
      </c>
      <c r="G580" s="22" cm="1">
        <f t="array" ref="G580">Comp1[[#This Row],[Comparable '#1 Drawdown]]/MAX($B$2:B580)</f>
        <v>-0.36447733580018504</v>
      </c>
      <c r="H580" s="1" t="str">
        <f>IF(SUM(COUNTIF(Benchmark1[Benchmark '#1 Dates],Comp1[[#This Row],[Comparable '#1 Dates]]),COUNTIF(Benchmark2[Benchmark '#2 Dates],Comp1[[#This Row],[Comparable '#1 Dates]]))=2,"Pass","Fail")</f>
        <v>Pass</v>
      </c>
      <c r="I580" s="1">
        <f>IFERROR(Comp1[[#This Row],[Comparable '#1 Return]]-INDEX(Benchmark1[Benchmark '#1 Return],MATCH(Comp1[[#This Row],[Comparable '#1 Dates]],Benchmark1[Benchmark '#1 Dates],0)),"-")</f>
        <v>4.7924644418910782E-3</v>
      </c>
      <c r="L580" s="72">
        <f>Comp1[[#This Row],[Comparable '#1 Price]]/$B$2*100</f>
        <v>94.045174537987691</v>
      </c>
    </row>
    <row r="581" spans="1:12">
      <c r="A581" s="103">
        <v>44125</v>
      </c>
      <c r="B581" s="104">
        <v>13.83</v>
      </c>
      <c r="C581" s="4">
        <f t="shared" si="18"/>
        <v>6.528858882463631E-3</v>
      </c>
      <c r="D581" s="1">
        <f>IFERROR(Comp1[[#This Row],[Comparable '#1 Return]]+1,"-")</f>
        <v>1.0065288588824637</v>
      </c>
      <c r="E581" s="6">
        <f>B581-MAX($B$2:B581)</f>
        <v>-7.7900000000000009</v>
      </c>
      <c r="F581" s="80">
        <f t="shared" si="19"/>
        <v>184</v>
      </c>
      <c r="G581" s="22" cm="1">
        <f t="array" ref="G581">Comp1[[#This Row],[Comparable '#1 Drawdown]]/MAX($B$2:B581)</f>
        <v>-0.36031452358926924</v>
      </c>
      <c r="H581" s="1" t="str">
        <f>IF(SUM(COUNTIF(Benchmark1[Benchmark '#1 Dates],Comp1[[#This Row],[Comparable '#1 Dates]]),COUNTIF(Benchmark2[Benchmark '#2 Dates],Comp1[[#This Row],[Comparable '#1 Dates]]))=2,"Pass","Fail")</f>
        <v>Pass</v>
      </c>
      <c r="I581" s="1">
        <f>IFERROR(Comp1[[#This Row],[Comparable '#1 Return]]-INDEX(Benchmark1[Benchmark '#1 Return],MATCH(Comp1[[#This Row],[Comparable '#1 Dates]],Benchmark1[Benchmark '#1 Dates],0)),"-")</f>
        <v>8.7273359896659717E-3</v>
      </c>
      <c r="L581" s="72">
        <f>Comp1[[#This Row],[Comparable '#1 Price]]/$B$2*100</f>
        <v>94.661190965092416</v>
      </c>
    </row>
    <row r="582" spans="1:12">
      <c r="A582" s="103">
        <v>44126</v>
      </c>
      <c r="B582" s="104">
        <v>13.77</v>
      </c>
      <c r="C582" s="4">
        <f t="shared" si="18"/>
        <v>-4.3478329361033982E-3</v>
      </c>
      <c r="D582" s="1">
        <f>IFERROR(Comp1[[#This Row],[Comparable '#1 Return]]+1,"-")</f>
        <v>0.99565216706389659</v>
      </c>
      <c r="E582" s="6">
        <f>B582-MAX($B$2:B582)</f>
        <v>-7.8500000000000014</v>
      </c>
      <c r="F582" s="80">
        <f t="shared" si="19"/>
        <v>185</v>
      </c>
      <c r="G582" s="22" cm="1">
        <f t="array" ref="G582">Comp1[[#This Row],[Comparable '#1 Drawdown]]/MAX($B$2:B582)</f>
        <v>-0.36308973172987979</v>
      </c>
      <c r="H582" s="1" t="str">
        <f>IF(SUM(COUNTIF(Benchmark1[Benchmark '#1 Dates],Comp1[[#This Row],[Comparable '#1 Dates]]),COUNTIF(Benchmark2[Benchmark '#2 Dates],Comp1[[#This Row],[Comparable '#1 Dates]]))=2,"Pass","Fail")</f>
        <v>Pass</v>
      </c>
      <c r="I582" s="1">
        <f>IFERROR(Comp1[[#This Row],[Comparable '#1 Return]]-INDEX(Benchmark1[Benchmark '#1 Return],MATCH(Comp1[[#This Row],[Comparable '#1 Dates]],Benchmark1[Benchmark '#1 Dates],0)),"-")</f>
        <v>-9.5545801685522382E-3</v>
      </c>
      <c r="L582" s="72">
        <f>Comp1[[#This Row],[Comparable '#1 Price]]/$B$2*100</f>
        <v>94.25051334702259</v>
      </c>
    </row>
    <row r="583" spans="1:12">
      <c r="A583" s="103">
        <v>44127</v>
      </c>
      <c r="B583" s="104">
        <v>13.81</v>
      </c>
      <c r="C583" s="4">
        <f t="shared" si="18"/>
        <v>2.9006546806373116E-3</v>
      </c>
      <c r="D583" s="1">
        <f>IFERROR(Comp1[[#This Row],[Comparable '#1 Return]]+1,"-")</f>
        <v>1.0029006546806374</v>
      </c>
      <c r="E583" s="6">
        <f>B583-MAX($B$2:B583)</f>
        <v>-7.8100000000000005</v>
      </c>
      <c r="F583" s="80">
        <f t="shared" si="19"/>
        <v>186</v>
      </c>
      <c r="G583" s="22" cm="1">
        <f t="array" ref="G583">Comp1[[#This Row],[Comparable '#1 Drawdown]]/MAX($B$2:B583)</f>
        <v>-0.36123959296947272</v>
      </c>
      <c r="H583" s="1" t="str">
        <f>IF(SUM(COUNTIF(Benchmark1[Benchmark '#1 Dates],Comp1[[#This Row],[Comparable '#1 Dates]]),COUNTIF(Benchmark2[Benchmark '#2 Dates],Comp1[[#This Row],[Comparable '#1 Dates]]))=2,"Pass","Fail")</f>
        <v>Pass</v>
      </c>
      <c r="I583" s="1">
        <f>IFERROR(Comp1[[#This Row],[Comparable '#1 Return]]-INDEX(Benchmark1[Benchmark '#1 Return],MATCH(Comp1[[#This Row],[Comparable '#1 Dates]],Benchmark1[Benchmark '#1 Dates],0)),"-")</f>
        <v>-5.3835604811365697E-4</v>
      </c>
      <c r="L583" s="72">
        <f>Comp1[[#This Row],[Comparable '#1 Price]]/$B$2*100</f>
        <v>94.524298425735807</v>
      </c>
    </row>
    <row r="584" spans="1:12">
      <c r="A584" s="103">
        <v>44130</v>
      </c>
      <c r="B584" s="104">
        <v>13.46</v>
      </c>
      <c r="C584" s="4">
        <f t="shared" si="18"/>
        <v>-2.5670643204618995E-2</v>
      </c>
      <c r="D584" s="1">
        <f>IFERROR(Comp1[[#This Row],[Comparable '#1 Return]]+1,"-")</f>
        <v>0.97432935679538102</v>
      </c>
      <c r="E584" s="6">
        <f>B584-MAX($B$2:B584)</f>
        <v>-8.16</v>
      </c>
      <c r="F584" s="80">
        <f t="shared" si="19"/>
        <v>187</v>
      </c>
      <c r="G584" s="22" cm="1">
        <f t="array" ref="G584">Comp1[[#This Row],[Comparable '#1 Drawdown]]/MAX($B$2:B584)</f>
        <v>-0.37742830712303421</v>
      </c>
      <c r="H584" s="1" t="str">
        <f>IF(SUM(COUNTIF(Benchmark1[Benchmark '#1 Dates],Comp1[[#This Row],[Comparable '#1 Dates]]),COUNTIF(Benchmark2[Benchmark '#2 Dates],Comp1[[#This Row],[Comparable '#1 Dates]]))=2,"Pass","Fail")</f>
        <v>Pass</v>
      </c>
      <c r="I584" s="1">
        <f>IFERROR(Comp1[[#This Row],[Comparable '#1 Return]]-INDEX(Benchmark1[Benchmark '#1 Return],MATCH(Comp1[[#This Row],[Comparable '#1 Dates]],Benchmark1[Benchmark '#1 Dates],0)),"-")</f>
        <v>-6.9064213615463339E-3</v>
      </c>
      <c r="L584" s="72">
        <f>Comp1[[#This Row],[Comparable '#1 Price]]/$B$2*100</f>
        <v>92.128678986995212</v>
      </c>
    </row>
    <row r="585" spans="1:12">
      <c r="A585" s="103">
        <v>44131</v>
      </c>
      <c r="B585" s="104">
        <v>13.21</v>
      </c>
      <c r="C585" s="4">
        <f t="shared" si="18"/>
        <v>-1.8748205682347842E-2</v>
      </c>
      <c r="D585" s="1">
        <f>IFERROR(Comp1[[#This Row],[Comparable '#1 Return]]+1,"-")</f>
        <v>0.98125179431765219</v>
      </c>
      <c r="E585" s="6">
        <f>B585-MAX($B$2:B585)</f>
        <v>-8.41</v>
      </c>
      <c r="F585" s="80">
        <f t="shared" si="19"/>
        <v>188</v>
      </c>
      <c r="G585" s="22" cm="1">
        <f t="array" ref="G585">Comp1[[#This Row],[Comparable '#1 Drawdown]]/MAX($B$2:B585)</f>
        <v>-0.38899167437557813</v>
      </c>
      <c r="H585" s="1" t="str">
        <f>IF(SUM(COUNTIF(Benchmark1[Benchmark '#1 Dates],Comp1[[#This Row],[Comparable '#1 Dates]]),COUNTIF(Benchmark2[Benchmark '#2 Dates],Comp1[[#This Row],[Comparable '#1 Dates]]))=2,"Pass","Fail")</f>
        <v>Pass</v>
      </c>
      <c r="I585" s="1">
        <f>IFERROR(Comp1[[#This Row],[Comparable '#1 Return]]-INDEX(Benchmark1[Benchmark '#1 Return],MATCH(Comp1[[#This Row],[Comparable '#1 Dates]],Benchmark1[Benchmark '#1 Dates],0)),"-")</f>
        <v>-1.5719847695650498E-2</v>
      </c>
      <c r="L585" s="72">
        <f>Comp1[[#This Row],[Comparable '#1 Price]]/$B$2*100</f>
        <v>90.417522245037645</v>
      </c>
    </row>
    <row r="586" spans="1:12">
      <c r="A586" s="103">
        <v>44132</v>
      </c>
      <c r="B586" s="104">
        <v>12.7</v>
      </c>
      <c r="C586" s="4">
        <f t="shared" si="18"/>
        <v>-3.9372125069688471E-2</v>
      </c>
      <c r="D586" s="1">
        <f>IFERROR(Comp1[[#This Row],[Comparable '#1 Return]]+1,"-")</f>
        <v>0.96062787493031154</v>
      </c>
      <c r="E586" s="6">
        <f>B586-MAX($B$2:B586)</f>
        <v>-8.9200000000000017</v>
      </c>
      <c r="F586" s="80">
        <f t="shared" si="19"/>
        <v>189</v>
      </c>
      <c r="G586" s="22" cm="1">
        <f t="array" ref="G586">Comp1[[#This Row],[Comparable '#1 Drawdown]]/MAX($B$2:B586)</f>
        <v>-0.41258094357076786</v>
      </c>
      <c r="H586" s="1" t="str">
        <f>IF(SUM(COUNTIF(Benchmark1[Benchmark '#1 Dates],Comp1[[#This Row],[Comparable '#1 Dates]]),COUNTIF(Benchmark2[Benchmark '#2 Dates],Comp1[[#This Row],[Comparable '#1 Dates]]))=2,"Pass","Fail")</f>
        <v>Pass</v>
      </c>
      <c r="I586" s="1">
        <f>IFERROR(Comp1[[#This Row],[Comparable '#1 Return]]-INDEX(Benchmark1[Benchmark '#1 Return],MATCH(Comp1[[#This Row],[Comparable '#1 Dates]],Benchmark1[Benchmark '#1 Dates],0)),"-")</f>
        <v>-3.4444485613434397E-3</v>
      </c>
      <c r="L586" s="72">
        <f>Comp1[[#This Row],[Comparable '#1 Price]]/$B$2*100</f>
        <v>86.926762491444208</v>
      </c>
    </row>
    <row r="587" spans="1:12">
      <c r="A587" s="103">
        <v>44133</v>
      </c>
      <c r="B587" s="104">
        <v>12.76</v>
      </c>
      <c r="C587" s="4">
        <f t="shared" si="18"/>
        <v>4.7132844520983569E-3</v>
      </c>
      <c r="D587" s="1">
        <f>IFERROR(Comp1[[#This Row],[Comparable '#1 Return]]+1,"-")</f>
        <v>1.0047132844520983</v>
      </c>
      <c r="E587" s="6">
        <f>B587-MAX($B$2:B587)</f>
        <v>-8.8600000000000012</v>
      </c>
      <c r="F587" s="80">
        <f t="shared" si="19"/>
        <v>190</v>
      </c>
      <c r="G587" s="22" cm="1">
        <f t="array" ref="G587">Comp1[[#This Row],[Comparable '#1 Drawdown]]/MAX($B$2:B587)</f>
        <v>-0.4098057354301573</v>
      </c>
      <c r="H587" s="1" t="str">
        <f>IF(SUM(COUNTIF(Benchmark1[Benchmark '#1 Dates],Comp1[[#This Row],[Comparable '#1 Dates]]),COUNTIF(Benchmark2[Benchmark '#2 Dates],Comp1[[#This Row],[Comparable '#1 Dates]]))=2,"Pass","Fail")</f>
        <v>Pass</v>
      </c>
      <c r="I587" s="1">
        <f>IFERROR(Comp1[[#This Row],[Comparable '#1 Return]]-INDEX(Benchmark1[Benchmark '#1 Return],MATCH(Comp1[[#This Row],[Comparable '#1 Dates]],Benchmark1[Benchmark '#1 Dates],0)),"-")</f>
        <v>-7.1648627252792751E-3</v>
      </c>
      <c r="L587" s="72">
        <f>Comp1[[#This Row],[Comparable '#1 Price]]/$B$2*100</f>
        <v>87.337440109514034</v>
      </c>
    </row>
    <row r="588" spans="1:12">
      <c r="A588" s="103">
        <v>44134</v>
      </c>
      <c r="B588" s="104">
        <v>13</v>
      </c>
      <c r="C588" s="4">
        <f t="shared" si="18"/>
        <v>1.863407954489301E-2</v>
      </c>
      <c r="D588" s="1">
        <f>IFERROR(Comp1[[#This Row],[Comparable '#1 Return]]+1,"-")</f>
        <v>1.0186340795448929</v>
      </c>
      <c r="E588" s="6">
        <f>B588-MAX($B$2:B588)</f>
        <v>-8.620000000000001</v>
      </c>
      <c r="F588" s="80">
        <f t="shared" si="19"/>
        <v>191</v>
      </c>
      <c r="G588" s="22" cm="1">
        <f t="array" ref="G588">Comp1[[#This Row],[Comparable '#1 Drawdown]]/MAX($B$2:B588)</f>
        <v>-0.39870490286771509</v>
      </c>
      <c r="H588" s="1" t="str">
        <f>IF(SUM(COUNTIF(Benchmark1[Benchmark '#1 Dates],Comp1[[#This Row],[Comparable '#1 Dates]]),COUNTIF(Benchmark2[Benchmark '#2 Dates],Comp1[[#This Row],[Comparable '#1 Dates]]))=2,"Pass","Fail")</f>
        <v>Pass</v>
      </c>
      <c r="I588" s="1">
        <f>IFERROR(Comp1[[#This Row],[Comparable '#1 Return]]-INDEX(Benchmark1[Benchmark '#1 Return],MATCH(Comp1[[#This Row],[Comparable '#1 Dates]],Benchmark1[Benchmark '#1 Dates],0)),"-")</f>
        <v>3.0838874485905075E-2</v>
      </c>
      <c r="L588" s="72">
        <f>Comp1[[#This Row],[Comparable '#1 Price]]/$B$2*100</f>
        <v>88.980150581793296</v>
      </c>
    </row>
    <row r="589" spans="1:12">
      <c r="A589" s="103">
        <v>44137</v>
      </c>
      <c r="B589" s="104">
        <v>13.07</v>
      </c>
      <c r="C589" s="4">
        <f t="shared" si="18"/>
        <v>5.37017017459378E-3</v>
      </c>
      <c r="D589" s="1">
        <f>IFERROR(Comp1[[#This Row],[Comparable '#1 Return]]+1,"-")</f>
        <v>1.0053701701745938</v>
      </c>
      <c r="E589" s="6">
        <f>B589-MAX($B$2:B589)</f>
        <v>-8.5500000000000007</v>
      </c>
      <c r="F589" s="80">
        <f t="shared" si="19"/>
        <v>192</v>
      </c>
      <c r="G589" s="22" cm="1">
        <f t="array" ref="G589">Comp1[[#This Row],[Comparable '#1 Drawdown]]/MAX($B$2:B589)</f>
        <v>-0.39546716003700277</v>
      </c>
      <c r="H589" s="1" t="str">
        <f>IF(SUM(COUNTIF(Benchmark1[Benchmark '#1 Dates],Comp1[[#This Row],[Comparable '#1 Dates]]),COUNTIF(Benchmark2[Benchmark '#2 Dates],Comp1[[#This Row],[Comparable '#1 Dates]]))=2,"Pass","Fail")</f>
        <v>Pass</v>
      </c>
      <c r="I589" s="1">
        <f>IFERROR(Comp1[[#This Row],[Comparable '#1 Return]]-INDEX(Benchmark1[Benchmark '#1 Return],MATCH(Comp1[[#This Row],[Comparable '#1 Dates]],Benchmark1[Benchmark '#1 Dates],0)),"-")</f>
        <v>-6.8734846476653797E-3</v>
      </c>
      <c r="L589" s="72">
        <f>Comp1[[#This Row],[Comparable '#1 Price]]/$B$2*100</f>
        <v>89.459274469541413</v>
      </c>
    </row>
    <row r="590" spans="1:12">
      <c r="A590" s="103">
        <v>44138</v>
      </c>
      <c r="B590" s="104">
        <v>13.15</v>
      </c>
      <c r="C590" s="4">
        <f t="shared" si="18"/>
        <v>6.1022309876430933E-3</v>
      </c>
      <c r="D590" s="1">
        <f>IFERROR(Comp1[[#This Row],[Comparable '#1 Return]]+1,"-")</f>
        <v>1.0061022309876431</v>
      </c>
      <c r="E590" s="6">
        <f>B590-MAX($B$2:B590)</f>
        <v>-8.4700000000000006</v>
      </c>
      <c r="F590" s="80">
        <f t="shared" si="19"/>
        <v>193</v>
      </c>
      <c r="G590" s="22" cm="1">
        <f t="array" ref="G590">Comp1[[#This Row],[Comparable '#1 Drawdown]]/MAX($B$2:B590)</f>
        <v>-0.39176688251618874</v>
      </c>
      <c r="H590" s="1" t="str">
        <f>IF(SUM(COUNTIF(Benchmark1[Benchmark '#1 Dates],Comp1[[#This Row],[Comparable '#1 Dates]]),COUNTIF(Benchmark2[Benchmark '#2 Dates],Comp1[[#This Row],[Comparable '#1 Dates]]))=2,"Pass","Fail")</f>
        <v>Pass</v>
      </c>
      <c r="I590" s="1">
        <f>IFERROR(Comp1[[#This Row],[Comparable '#1 Return]]-INDEX(Benchmark1[Benchmark '#1 Return],MATCH(Comp1[[#This Row],[Comparable '#1 Dates]],Benchmark1[Benchmark '#1 Dates],0)),"-")</f>
        <v>-1.1539093220068582E-2</v>
      </c>
      <c r="L590" s="72">
        <f>Comp1[[#This Row],[Comparable '#1 Price]]/$B$2*100</f>
        <v>90.006844626967847</v>
      </c>
    </row>
    <row r="591" spans="1:12">
      <c r="A591" s="103">
        <v>44139</v>
      </c>
      <c r="B591" s="104">
        <v>13</v>
      </c>
      <c r="C591" s="4">
        <f t="shared" si="18"/>
        <v>-1.1472401162236807E-2</v>
      </c>
      <c r="D591" s="1">
        <f>IFERROR(Comp1[[#This Row],[Comparable '#1 Return]]+1,"-")</f>
        <v>0.9885275988377632</v>
      </c>
      <c r="E591" s="6">
        <f>B591-MAX($B$2:B591)</f>
        <v>-8.620000000000001</v>
      </c>
      <c r="F591" s="80">
        <f t="shared" si="19"/>
        <v>194</v>
      </c>
      <c r="G591" s="22" cm="1">
        <f t="array" ref="G591">Comp1[[#This Row],[Comparable '#1 Drawdown]]/MAX($B$2:B591)</f>
        <v>-0.39870490286771509</v>
      </c>
      <c r="H591" s="1" t="str">
        <f>IF(SUM(COUNTIF(Benchmark1[Benchmark '#1 Dates],Comp1[[#This Row],[Comparable '#1 Dates]]),COUNTIF(Benchmark2[Benchmark '#2 Dates],Comp1[[#This Row],[Comparable '#1 Dates]]))=2,"Pass","Fail")</f>
        <v>Pass</v>
      </c>
      <c r="I591" s="1">
        <f>IFERROR(Comp1[[#This Row],[Comparable '#1 Return]]-INDEX(Benchmark1[Benchmark '#1 Return],MATCH(Comp1[[#This Row],[Comparable '#1 Dates]],Benchmark1[Benchmark '#1 Dates],0)),"-")</f>
        <v>-3.3280070868165694E-2</v>
      </c>
      <c r="L591" s="72">
        <f>Comp1[[#This Row],[Comparable '#1 Price]]/$B$2*100</f>
        <v>88.980150581793296</v>
      </c>
    </row>
    <row r="592" spans="1:12">
      <c r="A592" s="103">
        <v>44140</v>
      </c>
      <c r="B592" s="104">
        <v>14.23</v>
      </c>
      <c r="C592" s="4">
        <f t="shared" si="18"/>
        <v>9.0403054640224204E-2</v>
      </c>
      <c r="D592" s="1">
        <f>IFERROR(Comp1[[#This Row],[Comparable '#1 Return]]+1,"-")</f>
        <v>1.0904030546402241</v>
      </c>
      <c r="E592" s="6">
        <f>B592-MAX($B$2:B592)</f>
        <v>-7.3900000000000006</v>
      </c>
      <c r="F592" s="80">
        <f t="shared" si="19"/>
        <v>195</v>
      </c>
      <c r="G592" s="22" cm="1">
        <f t="array" ref="G592">Comp1[[#This Row],[Comparable '#1 Drawdown]]/MAX($B$2:B592)</f>
        <v>-0.34181313598519891</v>
      </c>
      <c r="H592" s="1" t="str">
        <f>IF(SUM(COUNTIF(Benchmark1[Benchmark '#1 Dates],Comp1[[#This Row],[Comparable '#1 Dates]]),COUNTIF(Benchmark2[Benchmark '#2 Dates],Comp1[[#This Row],[Comparable '#1 Dates]]))=2,"Pass","Fail")</f>
        <v>Pass</v>
      </c>
      <c r="I592" s="1">
        <f>IFERROR(Comp1[[#This Row],[Comparable '#1 Return]]-INDEX(Benchmark1[Benchmark '#1 Return],MATCH(Comp1[[#This Row],[Comparable '#1 Dates]],Benchmark1[Benchmark '#1 Dates],0)),"-")</f>
        <v>7.1129638824171088E-2</v>
      </c>
      <c r="L592" s="72">
        <f>Comp1[[#This Row],[Comparable '#1 Price]]/$B$2*100</f>
        <v>97.39904175222452</v>
      </c>
    </row>
    <row r="593" spans="1:12">
      <c r="A593" s="103">
        <v>44141</v>
      </c>
      <c r="B593" s="104">
        <v>14.03</v>
      </c>
      <c r="C593" s="4">
        <f t="shared" si="18"/>
        <v>-1.4154517987391466E-2</v>
      </c>
      <c r="D593" s="1">
        <f>IFERROR(Comp1[[#This Row],[Comparable '#1 Return]]+1,"-")</f>
        <v>0.98584548201260858</v>
      </c>
      <c r="E593" s="6">
        <f>B593-MAX($B$2:B593)</f>
        <v>-7.5900000000000016</v>
      </c>
      <c r="F593" s="80">
        <f t="shared" si="19"/>
        <v>196</v>
      </c>
      <c r="G593" s="22" cm="1">
        <f t="array" ref="G593">Comp1[[#This Row],[Comparable '#1 Drawdown]]/MAX($B$2:B593)</f>
        <v>-0.35106382978723411</v>
      </c>
      <c r="H593" s="1" t="str">
        <f>IF(SUM(COUNTIF(Benchmark1[Benchmark '#1 Dates],Comp1[[#This Row],[Comparable '#1 Dates]]),COUNTIF(Benchmark2[Benchmark '#2 Dates],Comp1[[#This Row],[Comparable '#1 Dates]]))=2,"Pass","Fail")</f>
        <v>Pass</v>
      </c>
      <c r="I593" s="1">
        <f>IFERROR(Comp1[[#This Row],[Comparable '#1 Return]]-INDEX(Benchmark1[Benchmark '#1 Return],MATCH(Comp1[[#This Row],[Comparable '#1 Dates]],Benchmark1[Benchmark '#1 Dates],0)),"-")</f>
        <v>-1.3866459052535564E-2</v>
      </c>
      <c r="L593" s="72">
        <f>Comp1[[#This Row],[Comparable '#1 Price]]/$B$2*100</f>
        <v>96.030116358658461</v>
      </c>
    </row>
    <row r="594" spans="1:12">
      <c r="A594" s="103">
        <v>44144</v>
      </c>
      <c r="B594" s="104">
        <v>14.17</v>
      </c>
      <c r="C594" s="4">
        <f t="shared" si="18"/>
        <v>9.9291595882196413E-3</v>
      </c>
      <c r="D594" s="1">
        <f>IFERROR(Comp1[[#This Row],[Comparable '#1 Return]]+1,"-")</f>
        <v>1.0099291595882196</v>
      </c>
      <c r="E594" s="6">
        <f>B594-MAX($B$2:B594)</f>
        <v>-7.4500000000000011</v>
      </c>
      <c r="F594" s="80">
        <f t="shared" si="19"/>
        <v>197</v>
      </c>
      <c r="G594" s="22" cm="1">
        <f t="array" ref="G594">Comp1[[#This Row],[Comparable '#1 Drawdown]]/MAX($B$2:B594)</f>
        <v>-0.34458834412580946</v>
      </c>
      <c r="H594" s="1" t="str">
        <f>IF(SUM(COUNTIF(Benchmark1[Benchmark '#1 Dates],Comp1[[#This Row],[Comparable '#1 Dates]]),COUNTIF(Benchmark2[Benchmark '#2 Dates],Comp1[[#This Row],[Comparable '#1 Dates]]))=2,"Pass","Fail")</f>
        <v>Pass</v>
      </c>
      <c r="I594" s="1">
        <f>IFERROR(Comp1[[#This Row],[Comparable '#1 Return]]-INDEX(Benchmark1[Benchmark '#1 Return],MATCH(Comp1[[#This Row],[Comparable '#1 Dates]],Benchmark1[Benchmark '#1 Dates],0)),"-")</f>
        <v>-1.7036368494394907E-3</v>
      </c>
      <c r="L594" s="72">
        <f>Comp1[[#This Row],[Comparable '#1 Price]]/$B$2*100</f>
        <v>96.988364134154693</v>
      </c>
    </row>
    <row r="595" spans="1:12">
      <c r="A595" s="103">
        <v>44145</v>
      </c>
      <c r="B595" s="104">
        <v>13.98</v>
      </c>
      <c r="C595" s="4">
        <f t="shared" si="18"/>
        <v>-1.3499316896924815E-2</v>
      </c>
      <c r="D595" s="1">
        <f>IFERROR(Comp1[[#This Row],[Comparable '#1 Return]]+1,"-")</f>
        <v>0.98650068310307515</v>
      </c>
      <c r="E595" s="6">
        <f>B595-MAX($B$2:B595)</f>
        <v>-7.6400000000000006</v>
      </c>
      <c r="F595" s="80">
        <f t="shared" si="19"/>
        <v>198</v>
      </c>
      <c r="G595" s="22" cm="1">
        <f t="array" ref="G595">Comp1[[#This Row],[Comparable '#1 Drawdown]]/MAX($B$2:B595)</f>
        <v>-0.35337650323774283</v>
      </c>
      <c r="H595" s="1" t="str">
        <f>IF(SUM(COUNTIF(Benchmark1[Benchmark '#1 Dates],Comp1[[#This Row],[Comparable '#1 Dates]]),COUNTIF(Benchmark2[Benchmark '#2 Dates],Comp1[[#This Row],[Comparable '#1 Dates]]))=2,"Pass","Fail")</f>
        <v>Pass</v>
      </c>
      <c r="I595" s="1">
        <f>IFERROR(Comp1[[#This Row],[Comparable '#1 Return]]-INDEX(Benchmark1[Benchmark '#1 Return],MATCH(Comp1[[#This Row],[Comparable '#1 Dates]],Benchmark1[Benchmark '#1 Dates],0)),"-")</f>
        <v>-1.2099578448027547E-2</v>
      </c>
      <c r="L595" s="72">
        <f>Comp1[[#This Row],[Comparable '#1 Price]]/$B$2*100</f>
        <v>95.687885010266953</v>
      </c>
    </row>
    <row r="596" spans="1:12">
      <c r="A596" s="103">
        <v>44146</v>
      </c>
      <c r="B596" s="104">
        <v>13.98</v>
      </c>
      <c r="C596" s="4">
        <f t="shared" si="18"/>
        <v>0</v>
      </c>
      <c r="D596" s="1">
        <f>IFERROR(Comp1[[#This Row],[Comparable '#1 Return]]+1,"-")</f>
        <v>1</v>
      </c>
      <c r="E596" s="6">
        <f>B596-MAX($B$2:B596)</f>
        <v>-7.6400000000000006</v>
      </c>
      <c r="F596" s="80">
        <f t="shared" si="19"/>
        <v>199</v>
      </c>
      <c r="G596" s="22" cm="1">
        <f t="array" ref="G596">Comp1[[#This Row],[Comparable '#1 Drawdown]]/MAX($B$2:B596)</f>
        <v>-0.35337650323774283</v>
      </c>
      <c r="H596" s="1" t="str">
        <f>IF(SUM(COUNTIF(Benchmark1[Benchmark '#1 Dates],Comp1[[#This Row],[Comparable '#1 Dates]]),COUNTIF(Benchmark2[Benchmark '#2 Dates],Comp1[[#This Row],[Comparable '#1 Dates]]))=2,"Pass","Fail")</f>
        <v>Pass</v>
      </c>
      <c r="I596" s="1">
        <f>IFERROR(Comp1[[#This Row],[Comparable '#1 Return]]-INDEX(Benchmark1[Benchmark '#1 Return],MATCH(Comp1[[#This Row],[Comparable '#1 Dates]],Benchmark1[Benchmark '#1 Dates],0)),"-")</f>
        <v>-7.6219868080860519E-3</v>
      </c>
      <c r="L596" s="72">
        <f>Comp1[[#This Row],[Comparable '#1 Price]]/$B$2*100</f>
        <v>95.687885010266953</v>
      </c>
    </row>
    <row r="597" spans="1:12">
      <c r="A597" s="103">
        <v>44147</v>
      </c>
      <c r="B597" s="104">
        <v>14.01</v>
      </c>
      <c r="C597" s="4">
        <f t="shared" si="18"/>
        <v>2.1436235432513691E-3</v>
      </c>
      <c r="D597" s="1">
        <f>IFERROR(Comp1[[#This Row],[Comparable '#1 Return]]+1,"-")</f>
        <v>1.0021436235432513</v>
      </c>
      <c r="E597" s="6">
        <f>B597-MAX($B$2:B597)</f>
        <v>-7.6100000000000012</v>
      </c>
      <c r="F597" s="80">
        <f t="shared" si="19"/>
        <v>200</v>
      </c>
      <c r="G597" s="22" cm="1">
        <f t="array" ref="G597">Comp1[[#This Row],[Comparable '#1 Drawdown]]/MAX($B$2:B597)</f>
        <v>-0.35198889916743759</v>
      </c>
      <c r="H597" s="1" t="str">
        <f>IF(SUM(COUNTIF(Benchmark1[Benchmark '#1 Dates],Comp1[[#This Row],[Comparable '#1 Dates]]),COUNTIF(Benchmark2[Benchmark '#2 Dates],Comp1[[#This Row],[Comparable '#1 Dates]]))=2,"Pass","Fail")</f>
        <v>Pass</v>
      </c>
      <c r="I597" s="1">
        <f>IFERROR(Comp1[[#This Row],[Comparable '#1 Return]]-INDEX(Benchmark1[Benchmark '#1 Return],MATCH(Comp1[[#This Row],[Comparable '#1 Dates]],Benchmark1[Benchmark '#1 Dates],0)),"-")</f>
        <v>1.2172556519508181E-2</v>
      </c>
      <c r="L597" s="72">
        <f>Comp1[[#This Row],[Comparable '#1 Price]]/$B$2*100</f>
        <v>95.893223819301852</v>
      </c>
    </row>
    <row r="598" spans="1:12">
      <c r="A598" s="103">
        <v>44148</v>
      </c>
      <c r="B598" s="104">
        <v>14.22</v>
      </c>
      <c r="C598" s="4">
        <f t="shared" si="18"/>
        <v>1.4878064026179295E-2</v>
      </c>
      <c r="D598" s="1">
        <f>IFERROR(Comp1[[#This Row],[Comparable '#1 Return]]+1,"-")</f>
        <v>1.0148780640261792</v>
      </c>
      <c r="E598" s="6">
        <f>B598-MAX($B$2:B598)</f>
        <v>-7.4</v>
      </c>
      <c r="F598" s="80">
        <f t="shared" si="19"/>
        <v>201</v>
      </c>
      <c r="G598" s="22" cm="1">
        <f t="array" ref="G598">Comp1[[#This Row],[Comparable '#1 Drawdown]]/MAX($B$2:B598)</f>
        <v>-0.34227567067530063</v>
      </c>
      <c r="H598" s="1" t="str">
        <f>IF(SUM(COUNTIF(Benchmark1[Benchmark '#1 Dates],Comp1[[#This Row],[Comparable '#1 Dates]]),COUNTIF(Benchmark2[Benchmark '#2 Dates],Comp1[[#This Row],[Comparable '#1 Dates]]))=2,"Pass","Fail")</f>
        <v>Pass</v>
      </c>
      <c r="I598" s="1">
        <f>IFERROR(Comp1[[#This Row],[Comparable '#1 Return]]-INDEX(Benchmark1[Benchmark '#1 Return],MATCH(Comp1[[#This Row],[Comparable '#1 Dates]],Benchmark1[Benchmark '#1 Dates],0)),"-")</f>
        <v>1.3583541963881843E-3</v>
      </c>
      <c r="L598" s="72">
        <f>Comp1[[#This Row],[Comparable '#1 Price]]/$B$2*100</f>
        <v>97.330595482546215</v>
      </c>
    </row>
    <row r="599" spans="1:12">
      <c r="A599" s="103">
        <v>44151</v>
      </c>
      <c r="B599" s="104">
        <v>14.3</v>
      </c>
      <c r="C599" s="4">
        <f t="shared" si="18"/>
        <v>5.6101128907667828E-3</v>
      </c>
      <c r="D599" s="1">
        <f>IFERROR(Comp1[[#This Row],[Comparable '#1 Return]]+1,"-")</f>
        <v>1.0056101128907668</v>
      </c>
      <c r="E599" s="6">
        <f>B599-MAX($B$2:B599)</f>
        <v>-7.32</v>
      </c>
      <c r="F599" s="80">
        <f t="shared" si="19"/>
        <v>202</v>
      </c>
      <c r="G599" s="22" cm="1">
        <f t="array" ref="G599">Comp1[[#This Row],[Comparable '#1 Drawdown]]/MAX($B$2:B599)</f>
        <v>-0.33857539315448659</v>
      </c>
      <c r="H599" s="1" t="str">
        <f>IF(SUM(COUNTIF(Benchmark1[Benchmark '#1 Dates],Comp1[[#This Row],[Comparable '#1 Dates]]),COUNTIF(Benchmark2[Benchmark '#2 Dates],Comp1[[#This Row],[Comparable '#1 Dates]]))=2,"Pass","Fail")</f>
        <v>Pass</v>
      </c>
      <c r="I599" s="1">
        <f>IFERROR(Comp1[[#This Row],[Comparable '#1 Return]]-INDEX(Benchmark1[Benchmark '#1 Return],MATCH(Comp1[[#This Row],[Comparable '#1 Dates]],Benchmark1[Benchmark '#1 Dates],0)),"-")</f>
        <v>-5.9689672361360529E-3</v>
      </c>
      <c r="L599" s="72">
        <f>Comp1[[#This Row],[Comparable '#1 Price]]/$B$2*100</f>
        <v>97.878165639972622</v>
      </c>
    </row>
    <row r="600" spans="1:12">
      <c r="A600" s="103">
        <v>44152</v>
      </c>
      <c r="B600" s="104">
        <v>14.12</v>
      </c>
      <c r="C600" s="4">
        <f t="shared" si="18"/>
        <v>-1.2667305200765686E-2</v>
      </c>
      <c r="D600" s="1">
        <f>IFERROR(Comp1[[#This Row],[Comparable '#1 Return]]+1,"-")</f>
        <v>0.98733269479923436</v>
      </c>
      <c r="E600" s="6">
        <f>B600-MAX($B$2:B600)</f>
        <v>-7.5000000000000018</v>
      </c>
      <c r="F600" s="80">
        <f t="shared" si="19"/>
        <v>203</v>
      </c>
      <c r="G600" s="22" cm="1">
        <f t="array" ref="G600">Comp1[[#This Row],[Comparable '#1 Drawdown]]/MAX($B$2:B600)</f>
        <v>-0.3469010175763183</v>
      </c>
      <c r="H600" s="1" t="str">
        <f>IF(SUM(COUNTIF(Benchmark1[Benchmark '#1 Dates],Comp1[[#This Row],[Comparable '#1 Dates]]),COUNTIF(Benchmark2[Benchmark '#2 Dates],Comp1[[#This Row],[Comparable '#1 Dates]]))=2,"Pass","Fail")</f>
        <v>Pass</v>
      </c>
      <c r="I600" s="1">
        <f>IFERROR(Comp1[[#This Row],[Comparable '#1 Return]]-INDEX(Benchmark1[Benchmark '#1 Return],MATCH(Comp1[[#This Row],[Comparable '#1 Dates]],Benchmark1[Benchmark '#1 Dates],0)),"-")</f>
        <v>-7.86496732552305E-3</v>
      </c>
      <c r="L600" s="72">
        <f>Comp1[[#This Row],[Comparable '#1 Price]]/$B$2*100</f>
        <v>96.646132785763172</v>
      </c>
    </row>
    <row r="601" spans="1:12">
      <c r="A601" s="103">
        <v>44153</v>
      </c>
      <c r="B601" s="104">
        <v>14.18</v>
      </c>
      <c r="C601" s="4">
        <f t="shared" si="18"/>
        <v>4.2402890388854421E-3</v>
      </c>
      <c r="D601" s="1">
        <f>IFERROR(Comp1[[#This Row],[Comparable '#1 Return]]+1,"-")</f>
        <v>1.0042402890388855</v>
      </c>
      <c r="E601" s="6">
        <f>B601-MAX($B$2:B601)</f>
        <v>-7.4400000000000013</v>
      </c>
      <c r="F601" s="80">
        <f t="shared" si="19"/>
        <v>204</v>
      </c>
      <c r="G601" s="22" cm="1">
        <f t="array" ref="G601">Comp1[[#This Row],[Comparable '#1 Drawdown]]/MAX($B$2:B601)</f>
        <v>-0.3441258094357077</v>
      </c>
      <c r="H601" s="1" t="str">
        <f>IF(SUM(COUNTIF(Benchmark1[Benchmark '#1 Dates],Comp1[[#This Row],[Comparable '#1 Dates]]),COUNTIF(Benchmark2[Benchmark '#2 Dates],Comp1[[#This Row],[Comparable '#1 Dates]]))=2,"Pass","Fail")</f>
        <v>Pass</v>
      </c>
      <c r="I601" s="1">
        <f>IFERROR(Comp1[[#This Row],[Comparable '#1 Return]]-INDEX(Benchmark1[Benchmark '#1 Return],MATCH(Comp1[[#This Row],[Comparable '#1 Dates]],Benchmark1[Benchmark '#1 Dates],0)),"-")</f>
        <v>1.5872237348535101E-2</v>
      </c>
      <c r="L601" s="72">
        <f>Comp1[[#This Row],[Comparable '#1 Price]]/$B$2*100</f>
        <v>97.056810403832998</v>
      </c>
    </row>
    <row r="602" spans="1:12">
      <c r="A602" s="103">
        <v>44154</v>
      </c>
      <c r="B602" s="104">
        <v>14.17</v>
      </c>
      <c r="C602" s="4">
        <f t="shared" si="18"/>
        <v>-7.0546740139237104E-4</v>
      </c>
      <c r="D602" s="1">
        <f>IFERROR(Comp1[[#This Row],[Comparable '#1 Return]]+1,"-")</f>
        <v>0.99929453259860768</v>
      </c>
      <c r="E602" s="6">
        <f>B602-MAX($B$2:B602)</f>
        <v>-7.4500000000000011</v>
      </c>
      <c r="F602" s="80">
        <f t="shared" si="19"/>
        <v>205</v>
      </c>
      <c r="G602" s="22" cm="1">
        <f t="array" ref="G602">Comp1[[#This Row],[Comparable '#1 Drawdown]]/MAX($B$2:B602)</f>
        <v>-0.34458834412580946</v>
      </c>
      <c r="H602" s="1" t="str">
        <f>IF(SUM(COUNTIF(Benchmark1[Benchmark '#1 Dates],Comp1[[#This Row],[Comparable '#1 Dates]]),COUNTIF(Benchmark2[Benchmark '#2 Dates],Comp1[[#This Row],[Comparable '#1 Dates]]))=2,"Pass","Fail")</f>
        <v>Pass</v>
      </c>
      <c r="I602" s="1">
        <f>IFERROR(Comp1[[#This Row],[Comparable '#1 Return]]-INDEX(Benchmark1[Benchmark '#1 Return],MATCH(Comp1[[#This Row],[Comparable '#1 Dates]],Benchmark1[Benchmark '#1 Dates],0)),"-")</f>
        <v>-4.6435048813997784E-3</v>
      </c>
      <c r="L602" s="72">
        <f>Comp1[[#This Row],[Comparable '#1 Price]]/$B$2*100</f>
        <v>96.988364134154693</v>
      </c>
    </row>
    <row r="603" spans="1:12">
      <c r="A603" s="103">
        <v>44155</v>
      </c>
      <c r="B603" s="104">
        <v>14.13</v>
      </c>
      <c r="C603" s="4">
        <f t="shared" si="18"/>
        <v>-2.826857006152885E-3</v>
      </c>
      <c r="D603" s="1">
        <f>IFERROR(Comp1[[#This Row],[Comparable '#1 Return]]+1,"-")</f>
        <v>0.99717314299384707</v>
      </c>
      <c r="E603" s="6">
        <f>B603-MAX($B$2:B603)</f>
        <v>-7.49</v>
      </c>
      <c r="F603" s="80">
        <f t="shared" si="19"/>
        <v>206</v>
      </c>
      <c r="G603" s="22" cm="1">
        <f t="array" ref="G603">Comp1[[#This Row],[Comparable '#1 Drawdown]]/MAX($B$2:B603)</f>
        <v>-0.34643848288621648</v>
      </c>
      <c r="H603" s="1" t="str">
        <f>IF(SUM(COUNTIF(Benchmark1[Benchmark '#1 Dates],Comp1[[#This Row],[Comparable '#1 Dates]]),COUNTIF(Benchmark2[Benchmark '#2 Dates],Comp1[[#This Row],[Comparable '#1 Dates]]))=2,"Pass","Fail")</f>
        <v>Pass</v>
      </c>
      <c r="I603" s="1">
        <f>IFERROR(Comp1[[#This Row],[Comparable '#1 Return]]-INDEX(Benchmark1[Benchmark '#1 Return],MATCH(Comp1[[#This Row],[Comparable '#1 Dates]],Benchmark1[Benchmark '#1 Dates],0)),"-")</f>
        <v>3.9868999953557287E-3</v>
      </c>
      <c r="L603" s="72">
        <f>Comp1[[#This Row],[Comparable '#1 Price]]/$B$2*100</f>
        <v>96.71457905544149</v>
      </c>
    </row>
    <row r="604" spans="1:12">
      <c r="A604" s="103">
        <v>44158</v>
      </c>
      <c r="B604" s="104">
        <v>14.21</v>
      </c>
      <c r="C604" s="4">
        <f t="shared" si="18"/>
        <v>5.6457454125731221E-3</v>
      </c>
      <c r="D604" s="1">
        <f>IFERROR(Comp1[[#This Row],[Comparable '#1 Return]]+1,"-")</f>
        <v>1.0056457454125731</v>
      </c>
      <c r="E604" s="6">
        <f>B604-MAX($B$2:B604)</f>
        <v>-7.41</v>
      </c>
      <c r="F604" s="80">
        <f t="shared" si="19"/>
        <v>207</v>
      </c>
      <c r="G604" s="22" cm="1">
        <f t="array" ref="G604">Comp1[[#This Row],[Comparable '#1 Drawdown]]/MAX($B$2:B604)</f>
        <v>-0.34273820536540239</v>
      </c>
      <c r="H604" s="1" t="str">
        <f>IF(SUM(COUNTIF(Benchmark1[Benchmark '#1 Dates],Comp1[[#This Row],[Comparable '#1 Dates]]),COUNTIF(Benchmark2[Benchmark '#2 Dates],Comp1[[#This Row],[Comparable '#1 Dates]]))=2,"Pass","Fail")</f>
        <v>Pass</v>
      </c>
      <c r="I604" s="1">
        <f>IFERROR(Comp1[[#This Row],[Comparable '#1 Return]]-INDEX(Benchmark1[Benchmark '#1 Return],MATCH(Comp1[[#This Row],[Comparable '#1 Dates]],Benchmark1[Benchmark '#1 Dates],0)),"-")</f>
        <v>2.6607465157891044E-5</v>
      </c>
      <c r="L604" s="72">
        <f>Comp1[[#This Row],[Comparable '#1 Price]]/$B$2*100</f>
        <v>97.262149212867911</v>
      </c>
    </row>
    <row r="605" spans="1:12">
      <c r="A605" s="103">
        <v>44159</v>
      </c>
      <c r="B605" s="104">
        <v>14.79</v>
      </c>
      <c r="C605" s="4">
        <f t="shared" si="18"/>
        <v>4.0005334613698991E-2</v>
      </c>
      <c r="D605" s="1">
        <f>IFERROR(Comp1[[#This Row],[Comparable '#1 Return]]+1,"-")</f>
        <v>1.040005334613699</v>
      </c>
      <c r="E605" s="6">
        <f>B605-MAX($B$2:B605)</f>
        <v>-6.8300000000000018</v>
      </c>
      <c r="F605" s="80">
        <f t="shared" si="19"/>
        <v>208</v>
      </c>
      <c r="G605" s="22" cm="1">
        <f t="array" ref="G605">Comp1[[#This Row],[Comparable '#1 Drawdown]]/MAX($B$2:B605)</f>
        <v>-0.31591119333950052</v>
      </c>
      <c r="H605" s="1" t="str">
        <f>IF(SUM(COUNTIF(Benchmark1[Benchmark '#1 Dates],Comp1[[#This Row],[Comparable '#1 Dates]]),COUNTIF(Benchmark2[Benchmark '#2 Dates],Comp1[[#This Row],[Comparable '#1 Dates]]))=2,"Pass","Fail")</f>
        <v>Pass</v>
      </c>
      <c r="I605" s="1">
        <f>IFERROR(Comp1[[#This Row],[Comparable '#1 Return]]-INDEX(Benchmark1[Benchmark '#1 Return],MATCH(Comp1[[#This Row],[Comparable '#1 Dates]],Benchmark1[Benchmark '#1 Dates],0)),"-")</f>
        <v>2.3973981141154517E-2</v>
      </c>
      <c r="L605" s="72">
        <f>Comp1[[#This Row],[Comparable '#1 Price]]/$B$2*100</f>
        <v>101.23203285420945</v>
      </c>
    </row>
    <row r="606" spans="1:12">
      <c r="A606" s="103">
        <v>44160</v>
      </c>
      <c r="B606" s="104">
        <v>14.79</v>
      </c>
      <c r="C606" s="4">
        <f t="shared" si="18"/>
        <v>0</v>
      </c>
      <c r="D606" s="1">
        <f>IFERROR(Comp1[[#This Row],[Comparable '#1 Return]]+1,"-")</f>
        <v>1</v>
      </c>
      <c r="E606" s="6">
        <f>B606-MAX($B$2:B606)</f>
        <v>-6.8300000000000018</v>
      </c>
      <c r="F606" s="80">
        <f t="shared" si="19"/>
        <v>209</v>
      </c>
      <c r="G606" s="22" cm="1">
        <f t="array" ref="G606">Comp1[[#This Row],[Comparable '#1 Drawdown]]/MAX($B$2:B606)</f>
        <v>-0.31591119333950052</v>
      </c>
      <c r="H606" s="1" t="str">
        <f>IF(SUM(COUNTIF(Benchmark1[Benchmark '#1 Dates],Comp1[[#This Row],[Comparable '#1 Dates]]),COUNTIF(Benchmark2[Benchmark '#2 Dates],Comp1[[#This Row],[Comparable '#1 Dates]]))=2,"Pass","Fail")</f>
        <v>Pass</v>
      </c>
      <c r="I606" s="1">
        <f>IFERROR(Comp1[[#This Row],[Comparable '#1 Return]]-INDEX(Benchmark1[Benchmark '#1 Return],MATCH(Comp1[[#This Row],[Comparable '#1 Dates]],Benchmark1[Benchmark '#1 Dates],0)),"-")</f>
        <v>1.5857504731777144E-3</v>
      </c>
      <c r="L606" s="72">
        <f>Comp1[[#This Row],[Comparable '#1 Price]]/$B$2*100</f>
        <v>101.23203285420945</v>
      </c>
    </row>
    <row r="607" spans="1:12">
      <c r="A607" s="103">
        <v>44162</v>
      </c>
      <c r="B607" s="104">
        <v>14.57</v>
      </c>
      <c r="C607" s="4">
        <f t="shared" si="18"/>
        <v>-1.4986656515594882E-2</v>
      </c>
      <c r="D607" s="1">
        <f>IFERROR(Comp1[[#This Row],[Comparable '#1 Return]]+1,"-")</f>
        <v>0.98501334348440517</v>
      </c>
      <c r="E607" s="6">
        <f>B607-MAX($B$2:B607)</f>
        <v>-7.0500000000000007</v>
      </c>
      <c r="F607" s="80">
        <f t="shared" si="19"/>
        <v>210</v>
      </c>
      <c r="G607" s="22" cm="1">
        <f t="array" ref="G607">Comp1[[#This Row],[Comparable '#1 Drawdown]]/MAX($B$2:B607)</f>
        <v>-0.32608695652173914</v>
      </c>
      <c r="H607" s="1" t="str">
        <f>IF(SUM(COUNTIF(Benchmark1[Benchmark '#1 Dates],Comp1[[#This Row],[Comparable '#1 Dates]]),COUNTIF(Benchmark2[Benchmark '#2 Dates],Comp1[[#This Row],[Comparable '#1 Dates]]))=2,"Pass","Fail")</f>
        <v>Pass</v>
      </c>
      <c r="I607" s="1">
        <f>IFERROR(Comp1[[#This Row],[Comparable '#1 Return]]-INDEX(Benchmark1[Benchmark '#1 Return],MATCH(Comp1[[#This Row],[Comparable '#1 Dates]],Benchmark1[Benchmark '#1 Dates],0)),"-")</f>
        <v>-1.7382808850045527E-2</v>
      </c>
      <c r="L607" s="72">
        <f>Comp1[[#This Row],[Comparable '#1 Price]]/$B$2*100</f>
        <v>99.726214921286797</v>
      </c>
    </row>
    <row r="608" spans="1:12">
      <c r="A608" s="103">
        <v>44165</v>
      </c>
      <c r="B608" s="104">
        <v>14.2</v>
      </c>
      <c r="C608" s="4">
        <f t="shared" si="18"/>
        <v>-2.572265559989844E-2</v>
      </c>
      <c r="D608" s="1">
        <f>IFERROR(Comp1[[#This Row],[Comparable '#1 Return]]+1,"-")</f>
        <v>0.97427734440010161</v>
      </c>
      <c r="E608" s="6">
        <f>B608-MAX($B$2:B608)</f>
        <v>-7.4200000000000017</v>
      </c>
      <c r="F608" s="80">
        <f t="shared" si="19"/>
        <v>211</v>
      </c>
      <c r="G608" s="22" cm="1">
        <f t="array" ref="G608">Comp1[[#This Row],[Comparable '#1 Drawdown]]/MAX($B$2:B608)</f>
        <v>-0.34320074005550422</v>
      </c>
      <c r="H608" s="1" t="str">
        <f>IF(SUM(COUNTIF(Benchmark1[Benchmark '#1 Dates],Comp1[[#This Row],[Comparable '#1 Dates]]),COUNTIF(Benchmark2[Benchmark '#2 Dates],Comp1[[#This Row],[Comparable '#1 Dates]]))=2,"Pass","Fail")</f>
        <v>Pass</v>
      </c>
      <c r="I608" s="1">
        <f>IFERROR(Comp1[[#This Row],[Comparable '#1 Return]]-INDEX(Benchmark1[Benchmark '#1 Return],MATCH(Comp1[[#This Row],[Comparable '#1 Dates]],Benchmark1[Benchmark '#1 Dates],0)),"-")</f>
        <v>-2.1116535760082343E-2</v>
      </c>
      <c r="L608" s="72">
        <f>Comp1[[#This Row],[Comparable '#1 Price]]/$B$2*100</f>
        <v>97.193702943189592</v>
      </c>
    </row>
    <row r="609" spans="1:12">
      <c r="A609" s="103">
        <v>44166</v>
      </c>
      <c r="B609" s="104">
        <v>14.45</v>
      </c>
      <c r="C609" s="4">
        <f t="shared" si="18"/>
        <v>1.7452449951226207E-2</v>
      </c>
      <c r="D609" s="1">
        <f>IFERROR(Comp1[[#This Row],[Comparable '#1 Return]]+1,"-")</f>
        <v>1.0174524499512263</v>
      </c>
      <c r="E609" s="6">
        <f>B609-MAX($B$2:B609)</f>
        <v>-7.1700000000000017</v>
      </c>
      <c r="F609" s="80">
        <f t="shared" si="19"/>
        <v>212</v>
      </c>
      <c r="G609" s="22" cm="1">
        <f t="array" ref="G609">Comp1[[#This Row],[Comparable '#1 Drawdown]]/MAX($B$2:B609)</f>
        <v>-0.3316373728029603</v>
      </c>
      <c r="H609" s="1" t="str">
        <f>IF(SUM(COUNTIF(Benchmark1[Benchmark '#1 Dates],Comp1[[#This Row],[Comparable '#1 Dates]]),COUNTIF(Benchmark2[Benchmark '#2 Dates],Comp1[[#This Row],[Comparable '#1 Dates]]))=2,"Pass","Fail")</f>
        <v>Pass</v>
      </c>
      <c r="I609" s="1">
        <f>IFERROR(Comp1[[#This Row],[Comparable '#1 Return]]-INDEX(Benchmark1[Benchmark '#1 Return],MATCH(Comp1[[#This Row],[Comparable '#1 Dates]],Benchmark1[Benchmark '#1 Dates],0)),"-")</f>
        <v>6.2443776614217687E-3</v>
      </c>
      <c r="L609" s="72">
        <f>Comp1[[#This Row],[Comparable '#1 Price]]/$B$2*100</f>
        <v>98.904859685147159</v>
      </c>
    </row>
    <row r="610" spans="1:12">
      <c r="A610" s="103">
        <v>44167</v>
      </c>
      <c r="B610" s="104">
        <v>14.43</v>
      </c>
      <c r="C610" s="4">
        <f t="shared" si="18"/>
        <v>-1.3850417726616845E-3</v>
      </c>
      <c r="D610" s="1">
        <f>IFERROR(Comp1[[#This Row],[Comparable '#1 Return]]+1,"-")</f>
        <v>0.99861495822733837</v>
      </c>
      <c r="E610" s="6">
        <f>B610-MAX($B$2:B610)</f>
        <v>-7.1900000000000013</v>
      </c>
      <c r="F610" s="80">
        <f t="shared" si="19"/>
        <v>213</v>
      </c>
      <c r="G610" s="22" cm="1">
        <f t="array" ref="G610">Comp1[[#This Row],[Comparable '#1 Drawdown]]/MAX($B$2:B610)</f>
        <v>-0.33256244218316378</v>
      </c>
      <c r="H610" s="1" t="str">
        <f>IF(SUM(COUNTIF(Benchmark1[Benchmark '#1 Dates],Comp1[[#This Row],[Comparable '#1 Dates]]),COUNTIF(Benchmark2[Benchmark '#2 Dates],Comp1[[#This Row],[Comparable '#1 Dates]]))=2,"Pass","Fail")</f>
        <v>Pass</v>
      </c>
      <c r="I610" s="1">
        <f>IFERROR(Comp1[[#This Row],[Comparable '#1 Return]]-INDEX(Benchmark1[Benchmark '#1 Return],MATCH(Comp1[[#This Row],[Comparable '#1 Dates]],Benchmark1[Benchmark '#1 Dates],0)),"-")</f>
        <v>-3.1725002641988624E-3</v>
      </c>
      <c r="L610" s="72">
        <f>Comp1[[#This Row],[Comparable '#1 Price]]/$B$2*100</f>
        <v>98.767967145790564</v>
      </c>
    </row>
    <row r="611" spans="1:12">
      <c r="A611" s="103">
        <v>44168</v>
      </c>
      <c r="B611" s="104">
        <v>14.525</v>
      </c>
      <c r="C611" s="4">
        <f t="shared" si="18"/>
        <v>6.5619299521955422E-3</v>
      </c>
      <c r="D611" s="1">
        <f>IFERROR(Comp1[[#This Row],[Comparable '#1 Return]]+1,"-")</f>
        <v>1.0065619299521955</v>
      </c>
      <c r="E611" s="6">
        <f>B611-MAX($B$2:B611)</f>
        <v>-7.0950000000000006</v>
      </c>
      <c r="F611" s="80">
        <f t="shared" si="19"/>
        <v>214</v>
      </c>
      <c r="G611" s="22" cm="1">
        <f t="array" ref="G611">Comp1[[#This Row],[Comparable '#1 Drawdown]]/MAX($B$2:B611)</f>
        <v>-0.32816836262719706</v>
      </c>
      <c r="H611" s="1" t="str">
        <f>IF(SUM(COUNTIF(Benchmark1[Benchmark '#1 Dates],Comp1[[#This Row],[Comparable '#1 Dates]]),COUNTIF(Benchmark2[Benchmark '#2 Dates],Comp1[[#This Row],[Comparable '#1 Dates]]))=2,"Pass","Fail")</f>
        <v>Pass</v>
      </c>
      <c r="I611" s="1">
        <f>IFERROR(Comp1[[#This Row],[Comparable '#1 Return]]-INDEX(Benchmark1[Benchmark '#1 Return],MATCH(Comp1[[#This Row],[Comparable '#1 Dates]],Benchmark1[Benchmark '#1 Dates],0)),"-")</f>
        <v>7.1861507425040336E-3</v>
      </c>
      <c r="L611" s="72">
        <f>Comp1[[#This Row],[Comparable '#1 Price]]/$B$2*100</f>
        <v>99.418206707734441</v>
      </c>
    </row>
    <row r="612" spans="1:12">
      <c r="A612" s="103">
        <v>44169</v>
      </c>
      <c r="B612" s="104">
        <v>14.64</v>
      </c>
      <c r="C612" s="4">
        <f t="shared" si="18"/>
        <v>7.8862057951905647E-3</v>
      </c>
      <c r="D612" s="1">
        <f>IFERROR(Comp1[[#This Row],[Comparable '#1 Return]]+1,"-")</f>
        <v>1.0078862057951905</v>
      </c>
      <c r="E612" s="6">
        <f>B612-MAX($B$2:B612)</f>
        <v>-6.98</v>
      </c>
      <c r="F612" s="80">
        <f t="shared" si="19"/>
        <v>215</v>
      </c>
      <c r="G612" s="22" cm="1">
        <f t="array" ref="G612">Comp1[[#This Row],[Comparable '#1 Drawdown]]/MAX($B$2:B612)</f>
        <v>-0.32284921369102682</v>
      </c>
      <c r="H612" s="1" t="str">
        <f>IF(SUM(COUNTIF(Benchmark1[Benchmark '#1 Dates],Comp1[[#This Row],[Comparable '#1 Dates]]),COUNTIF(Benchmark2[Benchmark '#2 Dates],Comp1[[#This Row],[Comparable '#1 Dates]]))=2,"Pass","Fail")</f>
        <v>Pass</v>
      </c>
      <c r="I612" s="1">
        <f>IFERROR(Comp1[[#This Row],[Comparable '#1 Return]]-INDEX(Benchmark1[Benchmark '#1 Return],MATCH(Comp1[[#This Row],[Comparable '#1 Dates]],Benchmark1[Benchmark '#1 Dates],0)),"-")</f>
        <v>-9.1266340973635007E-4</v>
      </c>
      <c r="L612" s="72">
        <f>Comp1[[#This Row],[Comparable '#1 Price]]/$B$2*100</f>
        <v>100.2053388090349</v>
      </c>
    </row>
    <row r="613" spans="1:12">
      <c r="A613" s="103">
        <v>44172</v>
      </c>
      <c r="B613" s="104">
        <v>14.56</v>
      </c>
      <c r="C613" s="4">
        <f t="shared" si="18"/>
        <v>-5.4794657646255957E-3</v>
      </c>
      <c r="D613" s="1">
        <f>IFERROR(Comp1[[#This Row],[Comparable '#1 Return]]+1,"-")</f>
        <v>0.99452053423537445</v>
      </c>
      <c r="E613" s="6">
        <f>B613-MAX($B$2:B613)</f>
        <v>-7.0600000000000005</v>
      </c>
      <c r="F613" s="80">
        <f t="shared" si="19"/>
        <v>216</v>
      </c>
      <c r="G613" s="22" cm="1">
        <f t="array" ref="G613">Comp1[[#This Row],[Comparable '#1 Drawdown]]/MAX($B$2:B613)</f>
        <v>-0.3265494912118409</v>
      </c>
      <c r="H613" s="1" t="str">
        <f>IF(SUM(COUNTIF(Benchmark1[Benchmark '#1 Dates],Comp1[[#This Row],[Comparable '#1 Dates]]),COUNTIF(Benchmark2[Benchmark '#2 Dates],Comp1[[#This Row],[Comparable '#1 Dates]]))=2,"Pass","Fail")</f>
        <v>Pass</v>
      </c>
      <c r="I613" s="1">
        <f>IFERROR(Comp1[[#This Row],[Comparable '#1 Return]]-INDEX(Benchmark1[Benchmark '#1 Return],MATCH(Comp1[[#This Row],[Comparable '#1 Dates]],Benchmark1[Benchmark '#1 Dates],0)),"-")</f>
        <v>-3.5425683772326026E-3</v>
      </c>
      <c r="L613" s="72">
        <f>Comp1[[#This Row],[Comparable '#1 Price]]/$B$2*100</f>
        <v>99.657768651608492</v>
      </c>
    </row>
    <row r="614" spans="1:12">
      <c r="A614" s="103">
        <v>44173</v>
      </c>
      <c r="B614" s="104">
        <v>14.66</v>
      </c>
      <c r="C614" s="4">
        <f t="shared" si="18"/>
        <v>6.8446536899654988E-3</v>
      </c>
      <c r="D614" s="1">
        <f>IFERROR(Comp1[[#This Row],[Comparable '#1 Return]]+1,"-")</f>
        <v>1.0068446536899656</v>
      </c>
      <c r="E614" s="6">
        <f>B614-MAX($B$2:B614)</f>
        <v>-6.9600000000000009</v>
      </c>
      <c r="F614" s="80">
        <f t="shared" si="19"/>
        <v>217</v>
      </c>
      <c r="G614" s="22" cm="1">
        <f t="array" ref="G614">Comp1[[#This Row],[Comparable '#1 Drawdown]]/MAX($B$2:B614)</f>
        <v>-0.32192414431082333</v>
      </c>
      <c r="H614" s="1" t="str">
        <f>IF(SUM(COUNTIF(Benchmark1[Benchmark '#1 Dates],Comp1[[#This Row],[Comparable '#1 Dates]]),COUNTIF(Benchmark2[Benchmark '#2 Dates],Comp1[[#This Row],[Comparable '#1 Dates]]))=2,"Pass","Fail")</f>
        <v>Pass</v>
      </c>
      <c r="I614" s="1">
        <f>IFERROR(Comp1[[#This Row],[Comparable '#1 Return]]-INDEX(Benchmark1[Benchmark '#1 Return],MATCH(Comp1[[#This Row],[Comparable '#1 Dates]],Benchmark1[Benchmark '#1 Dates],0)),"-")</f>
        <v>4.0628841719802522E-3</v>
      </c>
      <c r="L614" s="72">
        <f>Comp1[[#This Row],[Comparable '#1 Price]]/$B$2*100</f>
        <v>100.34223134839151</v>
      </c>
    </row>
    <row r="615" spans="1:12">
      <c r="A615" s="103">
        <v>44174</v>
      </c>
      <c r="B615" s="104">
        <v>14.74</v>
      </c>
      <c r="C615" s="4">
        <f t="shared" si="18"/>
        <v>5.4421903026850363E-3</v>
      </c>
      <c r="D615" s="1">
        <f>IFERROR(Comp1[[#This Row],[Comparable '#1 Return]]+1,"-")</f>
        <v>1.0054421903026851</v>
      </c>
      <c r="E615" s="6">
        <f>B615-MAX($B$2:B615)</f>
        <v>-6.8800000000000008</v>
      </c>
      <c r="F615" s="80">
        <f t="shared" si="19"/>
        <v>218</v>
      </c>
      <c r="G615" s="22" cm="1">
        <f t="array" ref="G615">Comp1[[#This Row],[Comparable '#1 Drawdown]]/MAX($B$2:B615)</f>
        <v>-0.31822386679000925</v>
      </c>
      <c r="H615" s="1" t="str">
        <f>IF(SUM(COUNTIF(Benchmark1[Benchmark '#1 Dates],Comp1[[#This Row],[Comparable '#1 Dates]]),COUNTIF(Benchmark2[Benchmark '#2 Dates],Comp1[[#This Row],[Comparable '#1 Dates]]))=2,"Pass","Fail")</f>
        <v>Pass</v>
      </c>
      <c r="I615" s="1">
        <f>IFERROR(Comp1[[#This Row],[Comparable '#1 Return]]-INDEX(Benchmark1[Benchmark '#1 Return],MATCH(Comp1[[#This Row],[Comparable '#1 Dates]],Benchmark1[Benchmark '#1 Dates],0)),"-")</f>
        <v>1.3422709884534497E-2</v>
      </c>
      <c r="L615" s="72">
        <f>Comp1[[#This Row],[Comparable '#1 Price]]/$B$2*100</f>
        <v>100.88980150581794</v>
      </c>
    </row>
    <row r="616" spans="1:12">
      <c r="A616" s="103">
        <v>44175</v>
      </c>
      <c r="B616" s="104">
        <v>14.97</v>
      </c>
      <c r="C616" s="4">
        <f t="shared" si="18"/>
        <v>1.5483311670346538E-2</v>
      </c>
      <c r="D616" s="1">
        <f>IFERROR(Comp1[[#This Row],[Comparable '#1 Return]]+1,"-")</f>
        <v>1.0154833116703466</v>
      </c>
      <c r="E616" s="6">
        <f>B616-MAX($B$2:B616)</f>
        <v>-6.65</v>
      </c>
      <c r="F616" s="80">
        <f t="shared" si="19"/>
        <v>219</v>
      </c>
      <c r="G616" s="22" cm="1">
        <f t="array" ref="G616">Comp1[[#This Row],[Comparable '#1 Drawdown]]/MAX($B$2:B616)</f>
        <v>-0.30758556891766881</v>
      </c>
      <c r="H616" s="1" t="str">
        <f>IF(SUM(COUNTIF(Benchmark1[Benchmark '#1 Dates],Comp1[[#This Row],[Comparable '#1 Dates]]),COUNTIF(Benchmark2[Benchmark '#2 Dates],Comp1[[#This Row],[Comparable '#1 Dates]]))=2,"Pass","Fail")</f>
        <v>Pass</v>
      </c>
      <c r="I616" s="1">
        <f>IFERROR(Comp1[[#This Row],[Comparable '#1 Return]]-INDEX(Benchmark1[Benchmark '#1 Return],MATCH(Comp1[[#This Row],[Comparable '#1 Dates]],Benchmark1[Benchmark '#1 Dates],0)),"-")</f>
        <v>1.6768162477629644E-2</v>
      </c>
      <c r="L616" s="72">
        <f>Comp1[[#This Row],[Comparable '#1 Price]]/$B$2*100</f>
        <v>102.4640657084189</v>
      </c>
    </row>
    <row r="617" spans="1:12">
      <c r="A617" s="103">
        <v>44176</v>
      </c>
      <c r="B617" s="104">
        <v>15.2</v>
      </c>
      <c r="C617" s="4">
        <f t="shared" si="18"/>
        <v>1.5247229420693694E-2</v>
      </c>
      <c r="D617" s="1">
        <f>IFERROR(Comp1[[#This Row],[Comparable '#1 Return]]+1,"-")</f>
        <v>1.0152472294206938</v>
      </c>
      <c r="E617" s="6">
        <f>B617-MAX($B$2:B617)</f>
        <v>-6.4200000000000017</v>
      </c>
      <c r="F617" s="80">
        <f t="shared" si="19"/>
        <v>220</v>
      </c>
      <c r="G617" s="22" cm="1">
        <f t="array" ref="G617">Comp1[[#This Row],[Comparable '#1 Drawdown]]/MAX($B$2:B617)</f>
        <v>-0.29694727104532848</v>
      </c>
      <c r="H617" s="1" t="str">
        <f>IF(SUM(COUNTIF(Benchmark1[Benchmark '#1 Dates],Comp1[[#This Row],[Comparable '#1 Dates]]),COUNTIF(Benchmark2[Benchmark '#2 Dates],Comp1[[#This Row],[Comparable '#1 Dates]]))=2,"Pass","Fail")</f>
        <v>Pass</v>
      </c>
      <c r="I617" s="1">
        <f>IFERROR(Comp1[[#This Row],[Comparable '#1 Return]]-INDEX(Benchmark1[Benchmark '#1 Return],MATCH(Comp1[[#This Row],[Comparable '#1 Dates]],Benchmark1[Benchmark '#1 Dates],0)),"-")</f>
        <v>1.6514563797763098E-2</v>
      </c>
      <c r="L617" s="72">
        <f>Comp1[[#This Row],[Comparable '#1 Price]]/$B$2*100</f>
        <v>104.03832991101984</v>
      </c>
    </row>
    <row r="618" spans="1:12">
      <c r="A618" s="103">
        <v>44179</v>
      </c>
      <c r="B618" s="104">
        <v>15.11</v>
      </c>
      <c r="C618" s="4">
        <f t="shared" si="18"/>
        <v>-5.9386515675824937E-3</v>
      </c>
      <c r="D618" s="1">
        <f>IFERROR(Comp1[[#This Row],[Comparable '#1 Return]]+1,"-")</f>
        <v>0.99406134843241756</v>
      </c>
      <c r="E618" s="6">
        <f>B618-MAX($B$2:B618)</f>
        <v>-6.5100000000000016</v>
      </c>
      <c r="F618" s="80">
        <f t="shared" si="19"/>
        <v>221</v>
      </c>
      <c r="G618" s="22" cm="1">
        <f t="array" ref="G618">Comp1[[#This Row],[Comparable '#1 Drawdown]]/MAX($B$2:B618)</f>
        <v>-0.30111008325624428</v>
      </c>
      <c r="H618" s="1" t="str">
        <f>IF(SUM(COUNTIF(Benchmark1[Benchmark '#1 Dates],Comp1[[#This Row],[Comparable '#1 Dates]]),COUNTIF(Benchmark2[Benchmark '#2 Dates],Comp1[[#This Row],[Comparable '#1 Dates]]))=2,"Pass","Fail")</f>
        <v>Pass</v>
      </c>
      <c r="I618" s="1">
        <f>IFERROR(Comp1[[#This Row],[Comparable '#1 Return]]-INDEX(Benchmark1[Benchmark '#1 Return],MATCH(Comp1[[#This Row],[Comparable '#1 Dates]],Benchmark1[Benchmark '#1 Dates],0)),"-")</f>
        <v>-1.5712965973980727E-3</v>
      </c>
      <c r="L618" s="72">
        <f>Comp1[[#This Row],[Comparable '#1 Price]]/$B$2*100</f>
        <v>103.42231348391513</v>
      </c>
    </row>
    <row r="619" spans="1:12">
      <c r="A619" s="103">
        <v>44180</v>
      </c>
      <c r="B619" s="104">
        <v>15.36</v>
      </c>
      <c r="C619" s="4">
        <f t="shared" si="18"/>
        <v>1.6409951434877855E-2</v>
      </c>
      <c r="D619" s="1">
        <f>IFERROR(Comp1[[#This Row],[Comparable '#1 Return]]+1,"-")</f>
        <v>1.0164099514348779</v>
      </c>
      <c r="E619" s="6">
        <f>B619-MAX($B$2:B619)</f>
        <v>-6.2600000000000016</v>
      </c>
      <c r="F619" s="80">
        <f t="shared" si="19"/>
        <v>222</v>
      </c>
      <c r="G619" s="22" cm="1">
        <f t="array" ref="G619">Comp1[[#This Row],[Comparable '#1 Drawdown]]/MAX($B$2:B619)</f>
        <v>-0.28954671600370036</v>
      </c>
      <c r="H619" s="1" t="str">
        <f>IF(SUM(COUNTIF(Benchmark1[Benchmark '#1 Dates],Comp1[[#This Row],[Comparable '#1 Dates]]),COUNTIF(Benchmark2[Benchmark '#2 Dates],Comp1[[#This Row],[Comparable '#1 Dates]]))=2,"Pass","Fail")</f>
        <v>Pass</v>
      </c>
      <c r="I619" s="1">
        <f>IFERROR(Comp1[[#This Row],[Comparable '#1 Return]]-INDEX(Benchmark1[Benchmark '#1 Return],MATCH(Comp1[[#This Row],[Comparable '#1 Dates]],Benchmark1[Benchmark '#1 Dates],0)),"-")</f>
        <v>3.5718216493886446E-3</v>
      </c>
      <c r="L619" s="72">
        <f>Comp1[[#This Row],[Comparable '#1 Price]]/$B$2*100</f>
        <v>105.1334702258727</v>
      </c>
    </row>
    <row r="620" spans="1:12">
      <c r="A620" s="103">
        <v>44181</v>
      </c>
      <c r="B620" s="104">
        <v>15.164999999999999</v>
      </c>
      <c r="C620" s="4">
        <f t="shared" si="18"/>
        <v>-1.2776586578981678E-2</v>
      </c>
      <c r="D620" s="1">
        <f>IFERROR(Comp1[[#This Row],[Comparable '#1 Return]]+1,"-")</f>
        <v>0.98722341342101827</v>
      </c>
      <c r="E620" s="6">
        <f>B620-MAX($B$2:B620)</f>
        <v>-6.4550000000000018</v>
      </c>
      <c r="F620" s="80">
        <f t="shared" si="19"/>
        <v>223</v>
      </c>
      <c r="G620" s="22" cm="1">
        <f t="array" ref="G620">Comp1[[#This Row],[Comparable '#1 Drawdown]]/MAX($B$2:B620)</f>
        <v>-0.29856614246068464</v>
      </c>
      <c r="H620" s="1" t="str">
        <f>IF(SUM(COUNTIF(Benchmark1[Benchmark '#1 Dates],Comp1[[#This Row],[Comparable '#1 Dates]]),COUNTIF(Benchmark2[Benchmark '#2 Dates],Comp1[[#This Row],[Comparable '#1 Dates]]))=2,"Pass","Fail")</f>
        <v>Pass</v>
      </c>
      <c r="I620" s="1">
        <f>IFERROR(Comp1[[#This Row],[Comparable '#1 Return]]-INDEX(Benchmark1[Benchmark '#1 Return],MATCH(Comp1[[#This Row],[Comparable '#1 Dates]],Benchmark1[Benchmark '#1 Dates],0)),"-")</f>
        <v>-1.4548337205580597E-2</v>
      </c>
      <c r="L620" s="72">
        <f>Comp1[[#This Row],[Comparable '#1 Price]]/$B$2*100</f>
        <v>103.79876796714581</v>
      </c>
    </row>
    <row r="621" spans="1:12">
      <c r="A621" s="103">
        <v>44182</v>
      </c>
      <c r="B621" s="104">
        <v>15.14</v>
      </c>
      <c r="C621" s="4">
        <f t="shared" si="18"/>
        <v>-1.6498931312416702E-3</v>
      </c>
      <c r="D621" s="1">
        <f>IFERROR(Comp1[[#This Row],[Comparable '#1 Return]]+1,"-")</f>
        <v>0.99835010686875836</v>
      </c>
      <c r="E621" s="6">
        <f>B621-MAX($B$2:B621)</f>
        <v>-6.48</v>
      </c>
      <c r="F621" s="80">
        <f t="shared" si="19"/>
        <v>224</v>
      </c>
      <c r="G621" s="22" cm="1">
        <f t="array" ref="G621">Comp1[[#This Row],[Comparable '#1 Drawdown]]/MAX($B$2:B621)</f>
        <v>-0.29972247918593897</v>
      </c>
      <c r="H621" s="1" t="str">
        <f>IF(SUM(COUNTIF(Benchmark1[Benchmark '#1 Dates],Comp1[[#This Row],[Comparable '#1 Dates]]),COUNTIF(Benchmark2[Benchmark '#2 Dates],Comp1[[#This Row],[Comparable '#1 Dates]]))=2,"Pass","Fail")</f>
        <v>Pass</v>
      </c>
      <c r="I621" s="1">
        <f>IFERROR(Comp1[[#This Row],[Comparable '#1 Return]]-INDEX(Benchmark1[Benchmark '#1 Return],MATCH(Comp1[[#This Row],[Comparable '#1 Dates]],Benchmark1[Benchmark '#1 Dates],0)),"-")</f>
        <v>-7.3905751741224317E-3</v>
      </c>
      <c r="L621" s="72">
        <f>Comp1[[#This Row],[Comparable '#1 Price]]/$B$2*100</f>
        <v>103.62765229295003</v>
      </c>
    </row>
    <row r="622" spans="1:12">
      <c r="A622" s="103">
        <v>44183</v>
      </c>
      <c r="B622" s="104">
        <v>15.06</v>
      </c>
      <c r="C622" s="4">
        <f t="shared" si="18"/>
        <v>-5.2980256375551611E-3</v>
      </c>
      <c r="D622" s="1">
        <f>IFERROR(Comp1[[#This Row],[Comparable '#1 Return]]+1,"-")</f>
        <v>0.99470197436244479</v>
      </c>
      <c r="E622" s="6">
        <f>B622-MAX($B$2:B622)</f>
        <v>-6.5600000000000005</v>
      </c>
      <c r="F622" s="80">
        <f t="shared" si="19"/>
        <v>225</v>
      </c>
      <c r="G622" s="22" cm="1">
        <f t="array" ref="G622">Comp1[[#This Row],[Comparable '#1 Drawdown]]/MAX($B$2:B622)</f>
        <v>-0.30342275670675301</v>
      </c>
      <c r="H622" s="1" t="str">
        <f>IF(SUM(COUNTIF(Benchmark1[Benchmark '#1 Dates],Comp1[[#This Row],[Comparable '#1 Dates]]),COUNTIF(Benchmark2[Benchmark '#2 Dates],Comp1[[#This Row],[Comparable '#1 Dates]]))=2,"Pass","Fail")</f>
        <v>Pass</v>
      </c>
      <c r="I622" s="1">
        <f>IFERROR(Comp1[[#This Row],[Comparable '#1 Return]]-INDEX(Benchmark1[Benchmark '#1 Return],MATCH(Comp1[[#This Row],[Comparable '#1 Dates]],Benchmark1[Benchmark '#1 Dates],0)),"-")</f>
        <v>-1.77971995074296E-3</v>
      </c>
      <c r="L622" s="72">
        <f>Comp1[[#This Row],[Comparable '#1 Price]]/$B$2*100</f>
        <v>103.08008213552363</v>
      </c>
    </row>
    <row r="623" spans="1:12">
      <c r="A623" s="103">
        <v>44186</v>
      </c>
      <c r="B623" s="104">
        <v>15.03</v>
      </c>
      <c r="C623" s="4">
        <f t="shared" si="18"/>
        <v>-1.9940186068645063E-3</v>
      </c>
      <c r="D623" s="1">
        <f>IFERROR(Comp1[[#This Row],[Comparable '#1 Return]]+1,"-")</f>
        <v>0.99800598139313546</v>
      </c>
      <c r="E623" s="6">
        <f>B623-MAX($B$2:B623)</f>
        <v>-6.5900000000000016</v>
      </c>
      <c r="F623" s="80">
        <f t="shared" si="19"/>
        <v>226</v>
      </c>
      <c r="G623" s="22" cm="1">
        <f t="array" ref="G623">Comp1[[#This Row],[Comparable '#1 Drawdown]]/MAX($B$2:B623)</f>
        <v>-0.30481036077705836</v>
      </c>
      <c r="H623" s="1" t="str">
        <f>IF(SUM(COUNTIF(Benchmark1[Benchmark '#1 Dates],Comp1[[#This Row],[Comparable '#1 Dates]]),COUNTIF(Benchmark2[Benchmark '#2 Dates],Comp1[[#This Row],[Comparable '#1 Dates]]))=2,"Pass","Fail")</f>
        <v>Pass</v>
      </c>
      <c r="I623" s="1">
        <f>IFERROR(Comp1[[#This Row],[Comparable '#1 Return]]-INDEX(Benchmark1[Benchmark '#1 Return],MATCH(Comp1[[#This Row],[Comparable '#1 Dates]],Benchmark1[Benchmark '#1 Dates],0)),"-")</f>
        <v>1.9195557817515926E-3</v>
      </c>
      <c r="L623" s="72">
        <f>Comp1[[#This Row],[Comparable '#1 Price]]/$B$2*100</f>
        <v>102.87474332648871</v>
      </c>
    </row>
    <row r="624" spans="1:12">
      <c r="A624" s="103">
        <v>44187</v>
      </c>
      <c r="B624" s="104">
        <v>14.9</v>
      </c>
      <c r="C624" s="4">
        <f t="shared" si="18"/>
        <v>-8.6869908134695594E-3</v>
      </c>
      <c r="D624" s="1">
        <f>IFERROR(Comp1[[#This Row],[Comparable '#1 Return]]+1,"-")</f>
        <v>0.99131300918653042</v>
      </c>
      <c r="E624" s="6">
        <f>B624-MAX($B$2:B624)</f>
        <v>-6.7200000000000006</v>
      </c>
      <c r="F624" s="80">
        <f t="shared" si="19"/>
        <v>227</v>
      </c>
      <c r="G624" s="22" cm="1">
        <f t="array" ref="G624">Comp1[[#This Row],[Comparable '#1 Drawdown]]/MAX($B$2:B624)</f>
        <v>-0.31082331174838113</v>
      </c>
      <c r="H624" s="1" t="str">
        <f>IF(SUM(COUNTIF(Benchmark1[Benchmark '#1 Dates],Comp1[[#This Row],[Comparable '#1 Dates]]),COUNTIF(Benchmark2[Benchmark '#2 Dates],Comp1[[#This Row],[Comparable '#1 Dates]]))=2,"Pass","Fail")</f>
        <v>Pass</v>
      </c>
      <c r="I624" s="1">
        <f>IFERROR(Comp1[[#This Row],[Comparable '#1 Return]]-INDEX(Benchmark1[Benchmark '#1 Return],MATCH(Comp1[[#This Row],[Comparable '#1 Dates]],Benchmark1[Benchmark '#1 Dates],0)),"-")</f>
        <v>-6.6119336820523854E-3</v>
      </c>
      <c r="L624" s="72">
        <f>Comp1[[#This Row],[Comparable '#1 Price]]/$B$2*100</f>
        <v>101.98494182067077</v>
      </c>
    </row>
    <row r="625" spans="1:12">
      <c r="A625" s="103">
        <v>44188</v>
      </c>
      <c r="B625" s="104">
        <v>15</v>
      </c>
      <c r="C625" s="4">
        <f t="shared" si="18"/>
        <v>6.6889881507964889E-3</v>
      </c>
      <c r="D625" s="1">
        <f>IFERROR(Comp1[[#This Row],[Comparable '#1 Return]]+1,"-")</f>
        <v>1.0066889881507965</v>
      </c>
      <c r="E625" s="6">
        <f>B625-MAX($B$2:B625)</f>
        <v>-6.620000000000001</v>
      </c>
      <c r="F625" s="80">
        <f t="shared" si="19"/>
        <v>228</v>
      </c>
      <c r="G625" s="22" cm="1">
        <f t="array" ref="G625">Comp1[[#This Row],[Comparable '#1 Drawdown]]/MAX($B$2:B625)</f>
        <v>-0.30619796484736356</v>
      </c>
      <c r="H625" s="1" t="str">
        <f>IF(SUM(COUNTIF(Benchmark1[Benchmark '#1 Dates],Comp1[[#This Row],[Comparable '#1 Dates]]),COUNTIF(Benchmark2[Benchmark '#2 Dates],Comp1[[#This Row],[Comparable '#1 Dates]]))=2,"Pass","Fail")</f>
        <v>Pass</v>
      </c>
      <c r="I625" s="1">
        <f>IFERROR(Comp1[[#This Row],[Comparable '#1 Return]]-INDEX(Benchmark1[Benchmark '#1 Return],MATCH(Comp1[[#This Row],[Comparable '#1 Dates]],Benchmark1[Benchmark '#1 Dates],0)),"-")</f>
        <v>5.942555945050056E-3</v>
      </c>
      <c r="L625" s="72">
        <f>Comp1[[#This Row],[Comparable '#1 Price]]/$B$2*100</f>
        <v>102.66940451745381</v>
      </c>
    </row>
    <row r="626" spans="1:12">
      <c r="A626" s="103">
        <v>44189</v>
      </c>
      <c r="B626" s="104">
        <v>14.96</v>
      </c>
      <c r="C626" s="4">
        <f t="shared" si="18"/>
        <v>-2.6702285558788097E-3</v>
      </c>
      <c r="D626" s="1">
        <f>IFERROR(Comp1[[#This Row],[Comparable '#1 Return]]+1,"-")</f>
        <v>0.99732977144412116</v>
      </c>
      <c r="E626" s="6">
        <f>B626-MAX($B$2:B626)</f>
        <v>-6.66</v>
      </c>
      <c r="F626" s="80">
        <f t="shared" si="19"/>
        <v>229</v>
      </c>
      <c r="G626" s="22" cm="1">
        <f t="array" ref="G626">Comp1[[#This Row],[Comparable '#1 Drawdown]]/MAX($B$2:B626)</f>
        <v>-0.30804810360777057</v>
      </c>
      <c r="H626" s="1" t="str">
        <f>IF(SUM(COUNTIF(Benchmark1[Benchmark '#1 Dates],Comp1[[#This Row],[Comparable '#1 Dates]]),COUNTIF(Benchmark2[Benchmark '#2 Dates],Comp1[[#This Row],[Comparable '#1 Dates]]))=2,"Pass","Fail")</f>
        <v>Pass</v>
      </c>
      <c r="I626" s="1">
        <f>IFERROR(Comp1[[#This Row],[Comparable '#1 Return]]-INDEX(Benchmark1[Benchmark '#1 Return],MATCH(Comp1[[#This Row],[Comparable '#1 Dates]],Benchmark1[Benchmark '#1 Dates],0)),"-")</f>
        <v>-6.198951405068865E-3</v>
      </c>
      <c r="L626" s="72">
        <f>Comp1[[#This Row],[Comparable '#1 Price]]/$B$2*100</f>
        <v>102.39561943874061</v>
      </c>
    </row>
    <row r="627" spans="1:12">
      <c r="A627" s="103">
        <v>44193</v>
      </c>
      <c r="B627" s="104">
        <v>15.07</v>
      </c>
      <c r="C627" s="4">
        <f t="shared" si="18"/>
        <v>7.3260400920728812E-3</v>
      </c>
      <c r="D627" s="1">
        <f>IFERROR(Comp1[[#This Row],[Comparable '#1 Return]]+1,"-")</f>
        <v>1.0073260400920729</v>
      </c>
      <c r="E627" s="6">
        <f>B627-MAX($B$2:B627)</f>
        <v>-6.5500000000000007</v>
      </c>
      <c r="F627" s="80">
        <f t="shared" si="19"/>
        <v>230</v>
      </c>
      <c r="G627" s="22" cm="1">
        <f t="array" ref="G627">Comp1[[#This Row],[Comparable '#1 Drawdown]]/MAX($B$2:B627)</f>
        <v>-0.30296022201665129</v>
      </c>
      <c r="H627" s="1" t="str">
        <f>IF(SUM(COUNTIF(Benchmark1[Benchmark '#1 Dates],Comp1[[#This Row],[Comparable '#1 Dates]]),COUNTIF(Benchmark2[Benchmark '#2 Dates],Comp1[[#This Row],[Comparable '#1 Dates]]))=2,"Pass","Fail")</f>
        <v>Pass</v>
      </c>
      <c r="I627" s="1">
        <f>IFERROR(Comp1[[#This Row],[Comparable '#1 Return]]-INDEX(Benchmark1[Benchmark '#1 Return],MATCH(Comp1[[#This Row],[Comparable '#1 Dates]],Benchmark1[Benchmark '#1 Dates],0)),"-")</f>
        <v>-1.358095326431186E-3</v>
      </c>
      <c r="L627" s="72">
        <f>Comp1[[#This Row],[Comparable '#1 Price]]/$B$2*100</f>
        <v>103.14852840520192</v>
      </c>
    </row>
    <row r="628" spans="1:12">
      <c r="A628" s="103">
        <v>44194</v>
      </c>
      <c r="B628" s="104">
        <v>14.84</v>
      </c>
      <c r="C628" s="4">
        <f t="shared" si="18"/>
        <v>-1.5379774899169734E-2</v>
      </c>
      <c r="D628" s="1">
        <f>IFERROR(Comp1[[#This Row],[Comparable '#1 Return]]+1,"-")</f>
        <v>0.98462022510083025</v>
      </c>
      <c r="E628" s="6">
        <f>B628-MAX($B$2:B628)</f>
        <v>-6.7800000000000011</v>
      </c>
      <c r="F628" s="80">
        <f t="shared" si="19"/>
        <v>231</v>
      </c>
      <c r="G628" s="22" cm="1">
        <f t="array" ref="G628">Comp1[[#This Row],[Comparable '#1 Drawdown]]/MAX($B$2:B628)</f>
        <v>-0.31359851988899173</v>
      </c>
      <c r="H628" s="1" t="str">
        <f>IF(SUM(COUNTIF(Benchmark1[Benchmark '#1 Dates],Comp1[[#This Row],[Comparable '#1 Dates]]),COUNTIF(Benchmark2[Benchmark '#2 Dates],Comp1[[#This Row],[Comparable '#1 Dates]]))=2,"Pass","Fail")</f>
        <v>Pass</v>
      </c>
      <c r="I628" s="1">
        <f>IFERROR(Comp1[[#This Row],[Comparable '#1 Return]]-INDEX(Benchmark1[Benchmark '#1 Return],MATCH(Comp1[[#This Row],[Comparable '#1 Dates]],Benchmark1[Benchmark '#1 Dates],0)),"-")</f>
        <v>-1.3151093491239156E-2</v>
      </c>
      <c r="L628" s="72">
        <f>Comp1[[#This Row],[Comparable '#1 Price]]/$B$2*100</f>
        <v>101.57426420260096</v>
      </c>
    </row>
    <row r="629" spans="1:12">
      <c r="A629" s="103">
        <v>44195</v>
      </c>
      <c r="B629" s="104">
        <v>14.74</v>
      </c>
      <c r="C629" s="4">
        <f t="shared" si="18"/>
        <v>-6.7613509780437954E-3</v>
      </c>
      <c r="D629" s="1">
        <f>IFERROR(Comp1[[#This Row],[Comparable '#1 Return]]+1,"-")</f>
        <v>0.99323864902195624</v>
      </c>
      <c r="E629" s="6">
        <f>B629-MAX($B$2:B629)</f>
        <v>-6.8800000000000008</v>
      </c>
      <c r="F629" s="80">
        <f t="shared" si="19"/>
        <v>232</v>
      </c>
      <c r="G629" s="22" cm="1">
        <f t="array" ref="G629">Comp1[[#This Row],[Comparable '#1 Drawdown]]/MAX($B$2:B629)</f>
        <v>-0.31822386679000925</v>
      </c>
      <c r="H629" s="1" t="str">
        <f>IF(SUM(COUNTIF(Benchmark1[Benchmark '#1 Dates],Comp1[[#This Row],[Comparable '#1 Dates]]),COUNTIF(Benchmark2[Benchmark '#2 Dates],Comp1[[#This Row],[Comparable '#1 Dates]]))=2,"Pass","Fail")</f>
        <v>Pass</v>
      </c>
      <c r="I629" s="1">
        <f>IFERROR(Comp1[[#This Row],[Comparable '#1 Return]]-INDEX(Benchmark1[Benchmark '#1 Return],MATCH(Comp1[[#This Row],[Comparable '#1 Dates]],Benchmark1[Benchmark '#1 Dates],0)),"-")</f>
        <v>-8.1025133434539168E-3</v>
      </c>
      <c r="L629" s="72">
        <f>Comp1[[#This Row],[Comparable '#1 Price]]/$B$2*100</f>
        <v>100.88980150581794</v>
      </c>
    </row>
    <row r="630" spans="1:12">
      <c r="A630" s="103">
        <v>44196</v>
      </c>
      <c r="B630" s="104">
        <v>14.56</v>
      </c>
      <c r="C630" s="4">
        <f t="shared" si="18"/>
        <v>-1.2286843992650578E-2</v>
      </c>
      <c r="D630" s="1">
        <f>IFERROR(Comp1[[#This Row],[Comparable '#1 Return]]+1,"-")</f>
        <v>0.98771315600734944</v>
      </c>
      <c r="E630" s="6">
        <f>B630-MAX($B$2:B630)</f>
        <v>-7.0600000000000005</v>
      </c>
      <c r="F630" s="80">
        <f t="shared" si="19"/>
        <v>233</v>
      </c>
      <c r="G630" s="22" cm="1">
        <f t="array" ref="G630">Comp1[[#This Row],[Comparable '#1 Drawdown]]/MAX($B$2:B630)</f>
        <v>-0.3265494912118409</v>
      </c>
      <c r="H630" s="1" t="str">
        <f>IF(SUM(COUNTIF(Benchmark1[Benchmark '#1 Dates],Comp1[[#This Row],[Comparable '#1 Dates]]),COUNTIF(Benchmark2[Benchmark '#2 Dates],Comp1[[#This Row],[Comparable '#1 Dates]]))=2,"Pass","Fail")</f>
        <v>Pass</v>
      </c>
      <c r="I630" s="1">
        <f>IFERROR(Comp1[[#This Row],[Comparable '#1 Return]]-INDEX(Benchmark1[Benchmark '#1 Return],MATCH(Comp1[[#This Row],[Comparable '#1 Dates]],Benchmark1[Benchmark '#1 Dates],0)),"-")</f>
        <v>-1.8704896816739019E-2</v>
      </c>
      <c r="L630" s="72">
        <f>Comp1[[#This Row],[Comparable '#1 Price]]/$B$2*100</f>
        <v>99.657768651608492</v>
      </c>
    </row>
    <row r="631" spans="1:12">
      <c r="A631" s="103">
        <v>44200</v>
      </c>
      <c r="B631" s="104">
        <v>14.31</v>
      </c>
      <c r="C631" s="4">
        <f t="shared" si="18"/>
        <v>-1.7319449200180421E-2</v>
      </c>
      <c r="D631" s="1">
        <f>IFERROR(Comp1[[#This Row],[Comparable '#1 Return]]+1,"-")</f>
        <v>0.98268055079981953</v>
      </c>
      <c r="E631" s="6">
        <f>B631-MAX($B$2:B631)</f>
        <v>-7.3100000000000005</v>
      </c>
      <c r="F631" s="80">
        <f t="shared" si="19"/>
        <v>234</v>
      </c>
      <c r="G631" s="22" cm="1">
        <f t="array" ref="G631">Comp1[[#This Row],[Comparable '#1 Drawdown]]/MAX($B$2:B631)</f>
        <v>-0.33811285846438482</v>
      </c>
      <c r="H631" s="1" t="str">
        <f>IF(SUM(COUNTIF(Benchmark1[Benchmark '#1 Dates],Comp1[[#This Row],[Comparable '#1 Dates]]),COUNTIF(Benchmark2[Benchmark '#2 Dates],Comp1[[#This Row],[Comparable '#1 Dates]]))=2,"Pass","Fail")</f>
        <v>Pass</v>
      </c>
      <c r="I631" s="1">
        <f>IFERROR(Comp1[[#This Row],[Comparable '#1 Return]]-INDEX(Benchmark1[Benchmark '#1 Return],MATCH(Comp1[[#This Row],[Comparable '#1 Dates]],Benchmark1[Benchmark '#1 Dates],0)),"-")</f>
        <v>-2.4534834303629859E-3</v>
      </c>
      <c r="L631" s="72">
        <f>Comp1[[#This Row],[Comparable '#1 Price]]/$B$2*100</f>
        <v>97.946611909650926</v>
      </c>
    </row>
    <row r="632" spans="1:12">
      <c r="A632" s="103">
        <v>44201</v>
      </c>
      <c r="B632" s="104">
        <v>14.27</v>
      </c>
      <c r="C632" s="4">
        <f t="shared" si="18"/>
        <v>-2.7991620796145775E-3</v>
      </c>
      <c r="D632" s="1">
        <f>IFERROR(Comp1[[#This Row],[Comparable '#1 Return]]+1,"-")</f>
        <v>0.99720083792038539</v>
      </c>
      <c r="E632" s="6">
        <f>B632-MAX($B$2:B632)</f>
        <v>-7.3500000000000014</v>
      </c>
      <c r="F632" s="80">
        <f t="shared" si="19"/>
        <v>235</v>
      </c>
      <c r="G632" s="22" cm="1">
        <f t="array" ref="G632">Comp1[[#This Row],[Comparable '#1 Drawdown]]/MAX($B$2:B632)</f>
        <v>-0.3399629972247919</v>
      </c>
      <c r="H632" s="1" t="str">
        <f>IF(SUM(COUNTIF(Benchmark1[Benchmark '#1 Dates],Comp1[[#This Row],[Comparable '#1 Dates]]),COUNTIF(Benchmark2[Benchmark '#2 Dates],Comp1[[#This Row],[Comparable '#1 Dates]]))=2,"Pass","Fail")</f>
        <v>Pass</v>
      </c>
      <c r="I632" s="1">
        <f>IFERROR(Comp1[[#This Row],[Comparable '#1 Return]]-INDEX(Benchmark1[Benchmark '#1 Return],MATCH(Comp1[[#This Row],[Comparable '#1 Dates]],Benchmark1[Benchmark '#1 Dates],0)),"-")</f>
        <v>-9.8564704410387359E-3</v>
      </c>
      <c r="L632" s="72">
        <f>Comp1[[#This Row],[Comparable '#1 Price]]/$B$2*100</f>
        <v>97.672826830937723</v>
      </c>
    </row>
    <row r="633" spans="1:12">
      <c r="A633" s="103">
        <v>44202</v>
      </c>
      <c r="B633" s="104">
        <v>14.36</v>
      </c>
      <c r="C633" s="4">
        <f t="shared" si="18"/>
        <v>6.2871321313329905E-3</v>
      </c>
      <c r="D633" s="1">
        <f>IFERROR(Comp1[[#This Row],[Comparable '#1 Return]]+1,"-")</f>
        <v>1.0062871321313329</v>
      </c>
      <c r="E633" s="6">
        <f>B633-MAX($B$2:B633)</f>
        <v>-7.2600000000000016</v>
      </c>
      <c r="F633" s="80">
        <f t="shared" si="19"/>
        <v>236</v>
      </c>
      <c r="G633" s="22" cm="1">
        <f t="array" ref="G633">Comp1[[#This Row],[Comparable '#1 Drawdown]]/MAX($B$2:B633)</f>
        <v>-0.3358001850138761</v>
      </c>
      <c r="H633" s="1" t="str">
        <f>IF(SUM(COUNTIF(Benchmark1[Benchmark '#1 Dates],Comp1[[#This Row],[Comparable '#1 Dates]]),COUNTIF(Benchmark2[Benchmark '#2 Dates],Comp1[[#This Row],[Comparable '#1 Dates]]))=2,"Pass","Fail")</f>
        <v>Pass</v>
      </c>
      <c r="I633" s="1">
        <f>IFERROR(Comp1[[#This Row],[Comparable '#1 Return]]-INDEX(Benchmark1[Benchmark '#1 Return],MATCH(Comp1[[#This Row],[Comparable '#1 Dates]],Benchmark1[Benchmark '#1 Dates],0)),"-")</f>
        <v>5.9292780363167687E-4</v>
      </c>
      <c r="L633" s="72">
        <f>Comp1[[#This Row],[Comparable '#1 Price]]/$B$2*100</f>
        <v>98.288843258042434</v>
      </c>
    </row>
    <row r="634" spans="1:12">
      <c r="A634" s="103">
        <v>44203</v>
      </c>
      <c r="B634" s="104">
        <v>14.244999999999999</v>
      </c>
      <c r="C634" s="4">
        <f t="shared" si="18"/>
        <v>-8.0405956702064973E-3</v>
      </c>
      <c r="D634" s="1">
        <f>IFERROR(Comp1[[#This Row],[Comparable '#1 Return]]+1,"-")</f>
        <v>0.99195940432979346</v>
      </c>
      <c r="E634" s="6">
        <f>B634-MAX($B$2:B634)</f>
        <v>-7.3750000000000018</v>
      </c>
      <c r="F634" s="80">
        <f t="shared" si="19"/>
        <v>237</v>
      </c>
      <c r="G634" s="22" cm="1">
        <f t="array" ref="G634">Comp1[[#This Row],[Comparable '#1 Drawdown]]/MAX($B$2:B634)</f>
        <v>-0.34111933395004634</v>
      </c>
      <c r="H634" s="1" t="str">
        <f>IF(SUM(COUNTIF(Benchmark1[Benchmark '#1 Dates],Comp1[[#This Row],[Comparable '#1 Dates]]),COUNTIF(Benchmark2[Benchmark '#2 Dates],Comp1[[#This Row],[Comparable '#1 Dates]]))=2,"Pass","Fail")</f>
        <v>Pass</v>
      </c>
      <c r="I634" s="1">
        <f>IFERROR(Comp1[[#This Row],[Comparable '#1 Return]]-INDEX(Benchmark1[Benchmark '#1 Return],MATCH(Comp1[[#This Row],[Comparable '#1 Dates]],Benchmark1[Benchmark '#1 Dates],0)),"-")</f>
        <v>-2.2779500773901243E-2</v>
      </c>
      <c r="L634" s="72">
        <f>Comp1[[#This Row],[Comparable '#1 Price]]/$B$2*100</f>
        <v>97.501711156741948</v>
      </c>
    </row>
    <row r="635" spans="1:12">
      <c r="A635" s="103">
        <v>44204</v>
      </c>
      <c r="B635" s="104">
        <v>14.37</v>
      </c>
      <c r="C635" s="4">
        <f t="shared" si="18"/>
        <v>8.7367321410618658E-3</v>
      </c>
      <c r="D635" s="1">
        <f>IFERROR(Comp1[[#This Row],[Comparable '#1 Return]]+1,"-")</f>
        <v>1.0087367321410619</v>
      </c>
      <c r="E635" s="6">
        <f>B635-MAX($B$2:B635)</f>
        <v>-7.2500000000000018</v>
      </c>
      <c r="F635" s="80">
        <f t="shared" si="19"/>
        <v>238</v>
      </c>
      <c r="G635" s="22" cm="1">
        <f t="array" ref="G635">Comp1[[#This Row],[Comparable '#1 Drawdown]]/MAX($B$2:B635)</f>
        <v>-0.33533765032377433</v>
      </c>
      <c r="H635" s="1" t="str">
        <f>IF(SUM(COUNTIF(Benchmark1[Benchmark '#1 Dates],Comp1[[#This Row],[Comparable '#1 Dates]]),COUNTIF(Benchmark2[Benchmark '#2 Dates],Comp1[[#This Row],[Comparable '#1 Dates]]))=2,"Pass","Fail")</f>
        <v>Pass</v>
      </c>
      <c r="I635" s="1">
        <f>IFERROR(Comp1[[#This Row],[Comparable '#1 Return]]-INDEX(Benchmark1[Benchmark '#1 Return],MATCH(Comp1[[#This Row],[Comparable '#1 Dates]],Benchmark1[Benchmark '#1 Dates],0)),"-")</f>
        <v>3.2597227280626879E-3</v>
      </c>
      <c r="L635" s="72">
        <f>Comp1[[#This Row],[Comparable '#1 Price]]/$B$2*100</f>
        <v>98.357289527720738</v>
      </c>
    </row>
    <row r="636" spans="1:12">
      <c r="A636" s="103">
        <v>44207</v>
      </c>
      <c r="B636" s="104">
        <v>14.305</v>
      </c>
      <c r="C636" s="4">
        <f t="shared" si="18"/>
        <v>-4.5335735888599772E-3</v>
      </c>
      <c r="D636" s="1">
        <f>IFERROR(Comp1[[#This Row],[Comparable '#1 Return]]+1,"-")</f>
        <v>0.99546642641114003</v>
      </c>
      <c r="E636" s="6">
        <f>B636-MAX($B$2:B636)</f>
        <v>-7.3150000000000013</v>
      </c>
      <c r="F636" s="80">
        <f t="shared" si="19"/>
        <v>239</v>
      </c>
      <c r="G636" s="22" cm="1">
        <f t="array" ref="G636">Comp1[[#This Row],[Comparable '#1 Drawdown]]/MAX($B$2:B636)</f>
        <v>-0.33834412580943574</v>
      </c>
      <c r="H636" s="1" t="str">
        <f>IF(SUM(COUNTIF(Benchmark1[Benchmark '#1 Dates],Comp1[[#This Row],[Comparable '#1 Dates]]),COUNTIF(Benchmark2[Benchmark '#2 Dates],Comp1[[#This Row],[Comparable '#1 Dates]]))=2,"Pass","Fail")</f>
        <v>Pass</v>
      </c>
      <c r="I636" s="1">
        <f>IFERROR(Comp1[[#This Row],[Comparable '#1 Return]]-INDEX(Benchmark1[Benchmark '#1 Return],MATCH(Comp1[[#This Row],[Comparable '#1 Dates]],Benchmark1[Benchmark '#1 Dates],0)),"-")</f>
        <v>2.04431923954121E-3</v>
      </c>
      <c r="L636" s="72">
        <f>Comp1[[#This Row],[Comparable '#1 Price]]/$B$2*100</f>
        <v>97.912388774811774</v>
      </c>
    </row>
    <row r="637" spans="1:12">
      <c r="A637" s="103">
        <v>44208</v>
      </c>
      <c r="B637" s="104">
        <v>14.33</v>
      </c>
      <c r="C637" s="4">
        <f t="shared" si="18"/>
        <v>1.7461153380069093E-3</v>
      </c>
      <c r="D637" s="1">
        <f>IFERROR(Comp1[[#This Row],[Comparable '#1 Return]]+1,"-")</f>
        <v>1.0017461153380069</v>
      </c>
      <c r="E637" s="6">
        <f>B637-MAX($B$2:B637)</f>
        <v>-7.2900000000000009</v>
      </c>
      <c r="F637" s="80">
        <f t="shared" si="19"/>
        <v>240</v>
      </c>
      <c r="G637" s="22" cm="1">
        <f t="array" ref="G637">Comp1[[#This Row],[Comparable '#1 Drawdown]]/MAX($B$2:B637)</f>
        <v>-0.33718778908418134</v>
      </c>
      <c r="H637" s="1" t="str">
        <f>IF(SUM(COUNTIF(Benchmark1[Benchmark '#1 Dates],Comp1[[#This Row],[Comparable '#1 Dates]]),COUNTIF(Benchmark2[Benchmark '#2 Dates],Comp1[[#This Row],[Comparable '#1 Dates]]))=2,"Pass","Fail")</f>
        <v>Pass</v>
      </c>
      <c r="I637" s="1">
        <f>IFERROR(Comp1[[#This Row],[Comparable '#1 Return]]-INDEX(Benchmark1[Benchmark '#1 Return],MATCH(Comp1[[#This Row],[Comparable '#1 Dates]],Benchmark1[Benchmark '#1 Dates],0)),"-")</f>
        <v>1.3287969387880067E-3</v>
      </c>
      <c r="L637" s="72">
        <f>Comp1[[#This Row],[Comparable '#1 Price]]/$B$2*100</f>
        <v>98.083504449007535</v>
      </c>
    </row>
    <row r="638" spans="1:12">
      <c r="A638" s="103">
        <v>44209</v>
      </c>
      <c r="B638" s="104">
        <v>14.215</v>
      </c>
      <c r="C638" s="4">
        <f t="shared" si="18"/>
        <v>-8.0574967371173783E-3</v>
      </c>
      <c r="D638" s="1">
        <f>IFERROR(Comp1[[#This Row],[Comparable '#1 Return]]+1,"-")</f>
        <v>0.99194250326288258</v>
      </c>
      <c r="E638" s="6">
        <f>B638-MAX($B$2:B638)</f>
        <v>-7.4050000000000011</v>
      </c>
      <c r="F638" s="80">
        <f t="shared" si="19"/>
        <v>241</v>
      </c>
      <c r="G638" s="22" cm="1">
        <f t="array" ref="G638">Comp1[[#This Row],[Comparable '#1 Drawdown]]/MAX($B$2:B638)</f>
        <v>-0.34250693802035154</v>
      </c>
      <c r="H638" s="1" t="str">
        <f>IF(SUM(COUNTIF(Benchmark1[Benchmark '#1 Dates],Comp1[[#This Row],[Comparable '#1 Dates]]),COUNTIF(Benchmark2[Benchmark '#2 Dates],Comp1[[#This Row],[Comparable '#1 Dates]]))=2,"Pass","Fail")</f>
        <v>Pass</v>
      </c>
      <c r="I638" s="1">
        <f>IFERROR(Comp1[[#This Row],[Comparable '#1 Return]]-INDEX(Benchmark1[Benchmark '#1 Return],MATCH(Comp1[[#This Row],[Comparable '#1 Dates]],Benchmark1[Benchmark '#1 Dates],0)),"-")</f>
        <v>-1.0331076344319234E-2</v>
      </c>
      <c r="L638" s="72">
        <f>Comp1[[#This Row],[Comparable '#1 Price]]/$B$2*100</f>
        <v>97.296372347707049</v>
      </c>
    </row>
    <row r="639" spans="1:12">
      <c r="A639" s="103">
        <v>44210</v>
      </c>
      <c r="B639" s="104">
        <v>14.26</v>
      </c>
      <c r="C639" s="4">
        <f t="shared" si="18"/>
        <v>3.160669883186733E-3</v>
      </c>
      <c r="D639" s="1">
        <f>IFERROR(Comp1[[#This Row],[Comparable '#1 Return]]+1,"-")</f>
        <v>1.0031606698831868</v>
      </c>
      <c r="E639" s="6">
        <f>B639-MAX($B$2:B639)</f>
        <v>-7.3600000000000012</v>
      </c>
      <c r="F639" s="80">
        <f t="shared" si="19"/>
        <v>242</v>
      </c>
      <c r="G639" s="22" cm="1">
        <f t="array" ref="G639">Comp1[[#This Row],[Comparable '#1 Drawdown]]/MAX($B$2:B639)</f>
        <v>-0.34042553191489366</v>
      </c>
      <c r="H639" s="1" t="str">
        <f>IF(SUM(COUNTIF(Benchmark1[Benchmark '#1 Dates],Comp1[[#This Row],[Comparable '#1 Dates]]),COUNTIF(Benchmark2[Benchmark '#2 Dates],Comp1[[#This Row],[Comparable '#1 Dates]]))=2,"Pass","Fail")</f>
        <v>Pass</v>
      </c>
      <c r="I639" s="1">
        <f>IFERROR(Comp1[[#This Row],[Comparable '#1 Return]]-INDEX(Benchmark1[Benchmark '#1 Return],MATCH(Comp1[[#This Row],[Comparable '#1 Dates]],Benchmark1[Benchmark '#1 Dates],0)),"-")</f>
        <v>6.9216725829567716E-3</v>
      </c>
      <c r="L639" s="72">
        <f>Comp1[[#This Row],[Comparable '#1 Price]]/$B$2*100</f>
        <v>97.604380561259418</v>
      </c>
    </row>
    <row r="640" spans="1:12">
      <c r="A640" s="103">
        <v>44211</v>
      </c>
      <c r="B640" s="104">
        <v>14.21</v>
      </c>
      <c r="C640" s="4">
        <f t="shared" si="18"/>
        <v>-3.5124728771405668E-3</v>
      </c>
      <c r="D640" s="1">
        <f>IFERROR(Comp1[[#This Row],[Comparable '#1 Return]]+1,"-")</f>
        <v>0.99648752712285948</v>
      </c>
      <c r="E640" s="6">
        <f>B640-MAX($B$2:B640)</f>
        <v>-7.41</v>
      </c>
      <c r="F640" s="80">
        <f t="shared" si="19"/>
        <v>243</v>
      </c>
      <c r="G640" s="22" cm="1">
        <f t="array" ref="G640">Comp1[[#This Row],[Comparable '#1 Drawdown]]/MAX($B$2:B640)</f>
        <v>-0.34273820536540239</v>
      </c>
      <c r="H640" s="1" t="str">
        <f>IF(SUM(COUNTIF(Benchmark1[Benchmark '#1 Dates],Comp1[[#This Row],[Comparable '#1 Dates]]),COUNTIF(Benchmark2[Benchmark '#2 Dates],Comp1[[#This Row],[Comparable '#1 Dates]]))=2,"Pass","Fail")</f>
        <v>Pass</v>
      </c>
      <c r="I640" s="1">
        <f>IFERROR(Comp1[[#This Row],[Comparable '#1 Return]]-INDEX(Benchmark1[Benchmark '#1 Return],MATCH(Comp1[[#This Row],[Comparable '#1 Dates]],Benchmark1[Benchmark '#1 Dates],0)),"-")</f>
        <v>3.7048618500623047E-3</v>
      </c>
      <c r="L640" s="72">
        <f>Comp1[[#This Row],[Comparable '#1 Price]]/$B$2*100</f>
        <v>97.262149212867911</v>
      </c>
    </row>
    <row r="641" spans="1:12">
      <c r="A641" s="103">
        <v>44215</v>
      </c>
      <c r="B641" s="104">
        <v>14.62</v>
      </c>
      <c r="C641" s="4">
        <f t="shared" si="18"/>
        <v>2.8444512212623094E-2</v>
      </c>
      <c r="D641" s="1">
        <f>IFERROR(Comp1[[#This Row],[Comparable '#1 Return]]+1,"-")</f>
        <v>1.0284445122126231</v>
      </c>
      <c r="E641" s="6">
        <f>B641-MAX($B$2:B641)</f>
        <v>-7.0000000000000018</v>
      </c>
      <c r="F641" s="80">
        <f t="shared" si="19"/>
        <v>244</v>
      </c>
      <c r="G641" s="22" cm="1">
        <f t="array" ref="G641">Comp1[[#This Row],[Comparable '#1 Drawdown]]/MAX($B$2:B641)</f>
        <v>-0.32377428307123041</v>
      </c>
      <c r="H641" s="1" t="str">
        <f>IF(SUM(COUNTIF(Benchmark1[Benchmark '#1 Dates],Comp1[[#This Row],[Comparable '#1 Dates]]),COUNTIF(Benchmark2[Benchmark '#2 Dates],Comp1[[#This Row],[Comparable '#1 Dates]]))=2,"Pass","Fail")</f>
        <v>Pass</v>
      </c>
      <c r="I641" s="1">
        <f>IFERROR(Comp1[[#This Row],[Comparable '#1 Return]]-INDEX(Benchmark1[Benchmark '#1 Return],MATCH(Comp1[[#This Row],[Comparable '#1 Dates]],Benchmark1[Benchmark '#1 Dates],0)),"-")</f>
        <v>2.0340697050853344E-2</v>
      </c>
      <c r="L641" s="72">
        <f>Comp1[[#This Row],[Comparable '#1 Price]]/$B$2*100</f>
        <v>100.0684462696783</v>
      </c>
    </row>
    <row r="642" spans="1:12">
      <c r="A642" s="103">
        <v>44216</v>
      </c>
      <c r="B642" s="104">
        <v>14.91</v>
      </c>
      <c r="C642" s="4">
        <f t="shared" ref="C642:C705" si="20">IFERROR(IF(B642="","-",LN(B642/B641)),"-")</f>
        <v>1.9641674455014652E-2</v>
      </c>
      <c r="D642" s="1">
        <f>IFERROR(Comp1[[#This Row],[Comparable '#1 Return]]+1,"-")</f>
        <v>1.0196416744550147</v>
      </c>
      <c r="E642" s="6">
        <f>B642-MAX($B$2:B642)</f>
        <v>-6.7100000000000009</v>
      </c>
      <c r="F642" s="80">
        <f t="shared" ref="F642:F705" si="21">IF(E642=0,0,F641+1)</f>
        <v>245</v>
      </c>
      <c r="G642" s="22" cm="1">
        <f t="array" ref="G642">Comp1[[#This Row],[Comparable '#1 Drawdown]]/MAX($B$2:B642)</f>
        <v>-0.31036077705827941</v>
      </c>
      <c r="H642" s="1" t="str">
        <f>IF(SUM(COUNTIF(Benchmark1[Benchmark '#1 Dates],Comp1[[#This Row],[Comparable '#1 Dates]]),COUNTIF(Benchmark2[Benchmark '#2 Dates],Comp1[[#This Row],[Comparable '#1 Dates]]))=2,"Pass","Fail")</f>
        <v>Pass</v>
      </c>
      <c r="I642" s="1">
        <f>IFERROR(Comp1[[#This Row],[Comparable '#1 Return]]-INDEX(Benchmark1[Benchmark '#1 Return],MATCH(Comp1[[#This Row],[Comparable '#1 Dates]],Benchmark1[Benchmark '#1 Dates],0)),"-")</f>
        <v>5.8027104981478537E-3</v>
      </c>
      <c r="L642" s="72">
        <f>Comp1[[#This Row],[Comparable '#1 Price]]/$B$2*100</f>
        <v>102.05338809034907</v>
      </c>
    </row>
    <row r="643" spans="1:12">
      <c r="A643" s="103">
        <v>44217</v>
      </c>
      <c r="B643" s="104">
        <v>14.324999999999999</v>
      </c>
      <c r="C643" s="4">
        <f t="shared" si="20"/>
        <v>-4.0025866175843881E-2</v>
      </c>
      <c r="D643" s="1">
        <f>IFERROR(Comp1[[#This Row],[Comparable '#1 Return]]+1,"-")</f>
        <v>0.95997413382415608</v>
      </c>
      <c r="E643" s="6">
        <f>B643-MAX($B$2:B643)</f>
        <v>-7.2950000000000017</v>
      </c>
      <c r="F643" s="80">
        <f t="shared" si="21"/>
        <v>246</v>
      </c>
      <c r="G643" s="22" cm="1">
        <f t="array" ref="G643">Comp1[[#This Row],[Comparable '#1 Drawdown]]/MAX($B$2:B643)</f>
        <v>-0.33741905642923226</v>
      </c>
      <c r="H643" s="1" t="str">
        <f>IF(SUM(COUNTIF(Benchmark1[Benchmark '#1 Dates],Comp1[[#This Row],[Comparable '#1 Dates]]),COUNTIF(Benchmark2[Benchmark '#2 Dates],Comp1[[#This Row],[Comparable '#1 Dates]]))=2,"Pass","Fail")</f>
        <v>Pass</v>
      </c>
      <c r="I643" s="1">
        <f>IFERROR(Comp1[[#This Row],[Comparable '#1 Return]]-INDEX(Benchmark1[Benchmark '#1 Return],MATCH(Comp1[[#This Row],[Comparable '#1 Dates]],Benchmark1[Benchmark '#1 Dates],0)),"-")</f>
        <v>-4.0344457771665246E-2</v>
      </c>
      <c r="L643" s="72">
        <f>Comp1[[#This Row],[Comparable '#1 Price]]/$B$2*100</f>
        <v>98.049281314168383</v>
      </c>
    </row>
    <row r="644" spans="1:12">
      <c r="A644" s="103">
        <v>44218</v>
      </c>
      <c r="B644" s="104">
        <v>13.84</v>
      </c>
      <c r="C644" s="4">
        <f t="shared" si="20"/>
        <v>-3.4443312411279674E-2</v>
      </c>
      <c r="D644" s="1">
        <f>IFERROR(Comp1[[#This Row],[Comparable '#1 Return]]+1,"-")</f>
        <v>0.96555668758872037</v>
      </c>
      <c r="E644" s="6">
        <f>B644-MAX($B$2:B644)</f>
        <v>-7.7800000000000011</v>
      </c>
      <c r="F644" s="80">
        <f t="shared" si="21"/>
        <v>247</v>
      </c>
      <c r="G644" s="22" cm="1">
        <f t="array" ref="G644">Comp1[[#This Row],[Comparable '#1 Drawdown]]/MAX($B$2:B644)</f>
        <v>-0.35985198889916747</v>
      </c>
      <c r="H644" s="1" t="str">
        <f>IF(SUM(COUNTIF(Benchmark1[Benchmark '#1 Dates],Comp1[[#This Row],[Comparable '#1 Dates]]),COUNTIF(Benchmark2[Benchmark '#2 Dates],Comp1[[#This Row],[Comparable '#1 Dates]]))=2,"Pass","Fail")</f>
        <v>Pass</v>
      </c>
      <c r="I644" s="1">
        <f>IFERROR(Comp1[[#This Row],[Comparable '#1 Return]]-INDEX(Benchmark1[Benchmark '#1 Return],MATCH(Comp1[[#This Row],[Comparable '#1 Dates]],Benchmark1[Benchmark '#1 Dates],0)),"-")</f>
        <v>-3.1426176228880089E-2</v>
      </c>
      <c r="L644" s="72">
        <f>Comp1[[#This Row],[Comparable '#1 Price]]/$B$2*100</f>
        <v>94.729637234770706</v>
      </c>
    </row>
    <row r="645" spans="1:12">
      <c r="A645" s="103">
        <v>44221</v>
      </c>
      <c r="B645" s="104">
        <v>13.43</v>
      </c>
      <c r="C645" s="4">
        <f t="shared" si="20"/>
        <v>-3.0071939654377322E-2</v>
      </c>
      <c r="D645" s="1">
        <f>IFERROR(Comp1[[#This Row],[Comparable '#1 Return]]+1,"-")</f>
        <v>0.96992806034562262</v>
      </c>
      <c r="E645" s="6">
        <f>B645-MAX($B$2:B645)</f>
        <v>-8.1900000000000013</v>
      </c>
      <c r="F645" s="80">
        <f t="shared" si="21"/>
        <v>248</v>
      </c>
      <c r="G645" s="22" cm="1">
        <f t="array" ref="G645">Comp1[[#This Row],[Comparable '#1 Drawdown]]/MAX($B$2:B645)</f>
        <v>-0.37881591119333952</v>
      </c>
      <c r="H645" s="1" t="str">
        <f>IF(SUM(COUNTIF(Benchmark1[Benchmark '#1 Dates],Comp1[[#This Row],[Comparable '#1 Dates]]),COUNTIF(Benchmark2[Benchmark '#2 Dates],Comp1[[#This Row],[Comparable '#1 Dates]]))=2,"Pass","Fail")</f>
        <v>Pass</v>
      </c>
      <c r="I645" s="1">
        <f>IFERROR(Comp1[[#This Row],[Comparable '#1 Return]]-INDEX(Benchmark1[Benchmark '#1 Return],MATCH(Comp1[[#This Row],[Comparable '#1 Dates]],Benchmark1[Benchmark '#1 Dates],0)),"-")</f>
        <v>-3.3681268380651948E-2</v>
      </c>
      <c r="L645" s="72">
        <f>Comp1[[#This Row],[Comparable '#1 Price]]/$B$2*100</f>
        <v>91.923340177960299</v>
      </c>
    </row>
    <row r="646" spans="1:12">
      <c r="A646" s="103">
        <v>44222</v>
      </c>
      <c r="B646" s="104">
        <v>13.74</v>
      </c>
      <c r="C646" s="4">
        <f t="shared" si="20"/>
        <v>2.2820276259057158E-2</v>
      </c>
      <c r="D646" s="1">
        <f>IFERROR(Comp1[[#This Row],[Comparable '#1 Return]]+1,"-")</f>
        <v>1.0228202762590572</v>
      </c>
      <c r="E646" s="6">
        <f>B646-MAX($B$2:B646)</f>
        <v>-7.8800000000000008</v>
      </c>
      <c r="F646" s="80">
        <f t="shared" si="21"/>
        <v>249</v>
      </c>
      <c r="G646" s="22" cm="1">
        <f t="array" ref="G646">Comp1[[#This Row],[Comparable '#1 Drawdown]]/MAX($B$2:B646)</f>
        <v>-0.36447733580018504</v>
      </c>
      <c r="H646" s="1" t="str">
        <f>IF(SUM(COUNTIF(Benchmark1[Benchmark '#1 Dates],Comp1[[#This Row],[Comparable '#1 Dates]]),COUNTIF(Benchmark2[Benchmark '#2 Dates],Comp1[[#This Row],[Comparable '#1 Dates]]))=2,"Pass","Fail")</f>
        <v>Pass</v>
      </c>
      <c r="I646" s="1">
        <f>IFERROR(Comp1[[#This Row],[Comparable '#1 Return]]-INDEX(Benchmark1[Benchmark '#1 Return],MATCH(Comp1[[#This Row],[Comparable '#1 Dates]],Benchmark1[Benchmark '#1 Dates],0)),"-")</f>
        <v>2.4308786988187024E-2</v>
      </c>
      <c r="L646" s="72">
        <f>Comp1[[#This Row],[Comparable '#1 Price]]/$B$2*100</f>
        <v>94.045174537987691</v>
      </c>
    </row>
    <row r="647" spans="1:12">
      <c r="A647" s="103">
        <v>44223</v>
      </c>
      <c r="B647" s="104">
        <v>13.36</v>
      </c>
      <c r="C647" s="4">
        <f t="shared" si="20"/>
        <v>-2.8046118685703718E-2</v>
      </c>
      <c r="D647" s="1">
        <f>IFERROR(Comp1[[#This Row],[Comparable '#1 Return]]+1,"-")</f>
        <v>0.97195388131429628</v>
      </c>
      <c r="E647" s="6">
        <f>B647-MAX($B$2:B647)</f>
        <v>-8.2600000000000016</v>
      </c>
      <c r="F647" s="80">
        <f t="shared" si="21"/>
        <v>250</v>
      </c>
      <c r="G647" s="22" cm="1">
        <f t="array" ref="G647">Comp1[[#This Row],[Comparable '#1 Drawdown]]/MAX($B$2:B647)</f>
        <v>-0.38205365402405184</v>
      </c>
      <c r="H647" s="1" t="str">
        <f>IF(SUM(COUNTIF(Benchmark1[Benchmark '#1 Dates],Comp1[[#This Row],[Comparable '#1 Dates]]),COUNTIF(Benchmark2[Benchmark '#2 Dates],Comp1[[#This Row],[Comparable '#1 Dates]]))=2,"Pass","Fail")</f>
        <v>Pass</v>
      </c>
      <c r="I647" s="1">
        <f>IFERROR(Comp1[[#This Row],[Comparable '#1 Return]]-INDEX(Benchmark1[Benchmark '#1 Return],MATCH(Comp1[[#This Row],[Comparable '#1 Dates]],Benchmark1[Benchmark '#1 Dates],0)),"-")</f>
        <v>-2.0333545461050026E-3</v>
      </c>
      <c r="L647" s="72">
        <f>Comp1[[#This Row],[Comparable '#1 Price]]/$B$2*100</f>
        <v>91.444216290212182</v>
      </c>
    </row>
    <row r="648" spans="1:12">
      <c r="A648" s="103">
        <v>44224</v>
      </c>
      <c r="B648" s="104">
        <v>13.25</v>
      </c>
      <c r="C648" s="4">
        <f t="shared" si="20"/>
        <v>-8.2676156762683632E-3</v>
      </c>
      <c r="D648" s="1">
        <f>IFERROR(Comp1[[#This Row],[Comparable '#1 Return]]+1,"-")</f>
        <v>0.99173238432373167</v>
      </c>
      <c r="E648" s="6">
        <f>B648-MAX($B$2:B648)</f>
        <v>-8.370000000000001</v>
      </c>
      <c r="F648" s="80">
        <f t="shared" si="21"/>
        <v>251</v>
      </c>
      <c r="G648" s="22" cm="1">
        <f t="array" ref="G648">Comp1[[#This Row],[Comparable '#1 Drawdown]]/MAX($B$2:B648)</f>
        <v>-0.38714153561517117</v>
      </c>
      <c r="H648" s="1" t="str">
        <f>IF(SUM(COUNTIF(Benchmark1[Benchmark '#1 Dates],Comp1[[#This Row],[Comparable '#1 Dates]]),COUNTIF(Benchmark2[Benchmark '#2 Dates],Comp1[[#This Row],[Comparable '#1 Dates]]))=2,"Pass","Fail")</f>
        <v>Pass</v>
      </c>
      <c r="I648" s="1">
        <f>IFERROR(Comp1[[#This Row],[Comparable '#1 Return]]-INDEX(Benchmark1[Benchmark '#1 Return],MATCH(Comp1[[#This Row],[Comparable '#1 Dates]],Benchmark1[Benchmark '#1 Dates],0)),"-")</f>
        <v>-1.7979265968371475E-2</v>
      </c>
      <c r="L648" s="72">
        <f>Comp1[[#This Row],[Comparable '#1 Price]]/$B$2*100</f>
        <v>90.691307323750863</v>
      </c>
    </row>
    <row r="649" spans="1:12">
      <c r="A649" s="103">
        <v>44225</v>
      </c>
      <c r="B649" s="104">
        <v>13.01</v>
      </c>
      <c r="C649" s="4">
        <f t="shared" si="20"/>
        <v>-1.8279259907817327E-2</v>
      </c>
      <c r="D649" s="1">
        <f>IFERROR(Comp1[[#This Row],[Comparable '#1 Return]]+1,"-")</f>
        <v>0.98172074009218269</v>
      </c>
      <c r="E649" s="6">
        <f>B649-MAX($B$2:B649)</f>
        <v>-8.6100000000000012</v>
      </c>
      <c r="F649" s="80">
        <f t="shared" si="21"/>
        <v>252</v>
      </c>
      <c r="G649" s="22" cm="1">
        <f t="array" ref="G649">Comp1[[#This Row],[Comparable '#1 Drawdown]]/MAX($B$2:B649)</f>
        <v>-0.39824236817761338</v>
      </c>
      <c r="H649" s="1" t="str">
        <f>IF(SUM(COUNTIF(Benchmark1[Benchmark '#1 Dates],Comp1[[#This Row],[Comparable '#1 Dates]]),COUNTIF(Benchmark2[Benchmark '#2 Dates],Comp1[[#This Row],[Comparable '#1 Dates]]))=2,"Pass","Fail")</f>
        <v>Pass</v>
      </c>
      <c r="I649" s="1">
        <f>IFERROR(Comp1[[#This Row],[Comparable '#1 Return]]-INDEX(Benchmark1[Benchmark '#1 Return],MATCH(Comp1[[#This Row],[Comparable '#1 Dates]],Benchmark1[Benchmark '#1 Dates],0)),"-")</f>
        <v>1.219591692397777E-3</v>
      </c>
      <c r="L649" s="72">
        <f>Comp1[[#This Row],[Comparable '#1 Price]]/$B$2*100</f>
        <v>89.048596851471601</v>
      </c>
    </row>
    <row r="650" spans="1:12">
      <c r="A650" s="103">
        <v>44228</v>
      </c>
      <c r="B650" s="104">
        <v>13.59</v>
      </c>
      <c r="C650" s="4">
        <f t="shared" si="20"/>
        <v>4.3615935638638491E-2</v>
      </c>
      <c r="D650" s="1">
        <f>IFERROR(Comp1[[#This Row],[Comparable '#1 Return]]+1,"-")</f>
        <v>1.0436159356386385</v>
      </c>
      <c r="E650" s="6">
        <f>B650-MAX($B$2:B650)</f>
        <v>-8.0300000000000011</v>
      </c>
      <c r="F650" s="80">
        <f t="shared" si="21"/>
        <v>253</v>
      </c>
      <c r="G650" s="22" cm="1">
        <f t="array" ref="G650">Comp1[[#This Row],[Comparable '#1 Drawdown]]/MAX($B$2:B650)</f>
        <v>-0.3714153561517114</v>
      </c>
      <c r="H650" s="1" t="str">
        <f>IF(SUM(COUNTIF(Benchmark1[Benchmark '#1 Dates],Comp1[[#This Row],[Comparable '#1 Dates]]),COUNTIF(Benchmark2[Benchmark '#2 Dates],Comp1[[#This Row],[Comparable '#1 Dates]]))=2,"Pass","Fail")</f>
        <v>Pass</v>
      </c>
      <c r="I650" s="1">
        <f>IFERROR(Comp1[[#This Row],[Comparable '#1 Return]]-INDEX(Benchmark1[Benchmark '#1 Return],MATCH(Comp1[[#This Row],[Comparable '#1 Dates]],Benchmark1[Benchmark '#1 Dates],0)),"-")</f>
        <v>2.7693158045855593E-2</v>
      </c>
      <c r="L650" s="72">
        <f>Comp1[[#This Row],[Comparable '#1 Price]]/$B$2*100</f>
        <v>93.018480492813154</v>
      </c>
    </row>
    <row r="651" spans="1:12">
      <c r="A651" s="103">
        <v>44229</v>
      </c>
      <c r="B651" s="104">
        <v>13.62</v>
      </c>
      <c r="C651" s="4">
        <f t="shared" si="20"/>
        <v>2.2050725583139755E-3</v>
      </c>
      <c r="D651" s="1">
        <f>IFERROR(Comp1[[#This Row],[Comparable '#1 Return]]+1,"-")</f>
        <v>1.002205072558314</v>
      </c>
      <c r="E651" s="6">
        <f>B651-MAX($B$2:B651)</f>
        <v>-8.0000000000000018</v>
      </c>
      <c r="F651" s="80">
        <f t="shared" si="21"/>
        <v>254</v>
      </c>
      <c r="G651" s="22" cm="1">
        <f t="array" ref="G651">Comp1[[#This Row],[Comparable '#1 Drawdown]]/MAX($B$2:B651)</f>
        <v>-0.37002775208140615</v>
      </c>
      <c r="H651" s="1" t="str">
        <f>IF(SUM(COUNTIF(Benchmark1[Benchmark '#1 Dates],Comp1[[#This Row],[Comparable '#1 Dates]]),COUNTIF(Benchmark2[Benchmark '#2 Dates],Comp1[[#This Row],[Comparable '#1 Dates]]))=2,"Pass","Fail")</f>
        <v>Pass</v>
      </c>
      <c r="I651" s="1">
        <f>IFERROR(Comp1[[#This Row],[Comparable '#1 Return]]-INDEX(Benchmark1[Benchmark '#1 Return],MATCH(Comp1[[#This Row],[Comparable '#1 Dates]],Benchmark1[Benchmark '#1 Dates],0)),"-")</f>
        <v>-1.1598993401796874E-2</v>
      </c>
      <c r="L651" s="72">
        <f>Comp1[[#This Row],[Comparable '#1 Price]]/$B$2*100</f>
        <v>93.223819301848039</v>
      </c>
    </row>
    <row r="652" spans="1:12">
      <c r="A652" s="103">
        <v>44230</v>
      </c>
      <c r="B652" s="104">
        <v>14.03</v>
      </c>
      <c r="C652" s="4">
        <f t="shared" si="20"/>
        <v>2.9658593393003384E-2</v>
      </c>
      <c r="D652" s="1">
        <f>IFERROR(Comp1[[#This Row],[Comparable '#1 Return]]+1,"-")</f>
        <v>1.0296585933930034</v>
      </c>
      <c r="E652" s="6">
        <f>B652-MAX($B$2:B652)</f>
        <v>-7.5900000000000016</v>
      </c>
      <c r="F652" s="80">
        <f t="shared" si="21"/>
        <v>255</v>
      </c>
      <c r="G652" s="22" cm="1">
        <f t="array" ref="G652">Comp1[[#This Row],[Comparable '#1 Drawdown]]/MAX($B$2:B652)</f>
        <v>-0.35106382978723411</v>
      </c>
      <c r="H652" s="1" t="str">
        <f>IF(SUM(COUNTIF(Benchmark1[Benchmark '#1 Dates],Comp1[[#This Row],[Comparable '#1 Dates]]),COUNTIF(Benchmark2[Benchmark '#2 Dates],Comp1[[#This Row],[Comparable '#1 Dates]]))=2,"Pass","Fail")</f>
        <v>Pass</v>
      </c>
      <c r="I652" s="1">
        <f>IFERROR(Comp1[[#This Row],[Comparable '#1 Return]]-INDEX(Benchmark1[Benchmark '#1 Return],MATCH(Comp1[[#This Row],[Comparable '#1 Dates]],Benchmark1[Benchmark '#1 Dates],0)),"-")</f>
        <v>2.8650391710157055E-2</v>
      </c>
      <c r="L652" s="72">
        <f>Comp1[[#This Row],[Comparable '#1 Price]]/$B$2*100</f>
        <v>96.030116358658461</v>
      </c>
    </row>
    <row r="653" spans="1:12">
      <c r="A653" s="103">
        <v>44231</v>
      </c>
      <c r="B653" s="104">
        <v>14</v>
      </c>
      <c r="C653" s="4">
        <f t="shared" si="20"/>
        <v>-2.1405644991108769E-3</v>
      </c>
      <c r="D653" s="1">
        <f>IFERROR(Comp1[[#This Row],[Comparable '#1 Return]]+1,"-")</f>
        <v>0.99785943550088907</v>
      </c>
      <c r="E653" s="6">
        <f>B653-MAX($B$2:B653)</f>
        <v>-7.620000000000001</v>
      </c>
      <c r="F653" s="80">
        <f t="shared" si="21"/>
        <v>256</v>
      </c>
      <c r="G653" s="22" cm="1">
        <f t="array" ref="G653">Comp1[[#This Row],[Comparable '#1 Drawdown]]/MAX($B$2:B653)</f>
        <v>-0.35245143385753935</v>
      </c>
      <c r="H653" s="1" t="str">
        <f>IF(SUM(COUNTIF(Benchmark1[Benchmark '#1 Dates],Comp1[[#This Row],[Comparable '#1 Dates]]),COUNTIF(Benchmark2[Benchmark '#2 Dates],Comp1[[#This Row],[Comparable '#1 Dates]]))=2,"Pass","Fail")</f>
        <v>Pass</v>
      </c>
      <c r="I653" s="1">
        <f>IFERROR(Comp1[[#This Row],[Comparable '#1 Return]]-INDEX(Benchmark1[Benchmark '#1 Return],MATCH(Comp1[[#This Row],[Comparable '#1 Dates]],Benchmark1[Benchmark '#1 Dates],0)),"-")</f>
        <v>-1.2934888305065142E-2</v>
      </c>
      <c r="L653" s="72">
        <f>Comp1[[#This Row],[Comparable '#1 Price]]/$B$2*100</f>
        <v>95.824777549623548</v>
      </c>
    </row>
    <row r="654" spans="1:12">
      <c r="A654" s="103">
        <v>44232</v>
      </c>
      <c r="B654" s="104">
        <v>13.98</v>
      </c>
      <c r="C654" s="4">
        <f t="shared" si="20"/>
        <v>-1.4295928095944335E-3</v>
      </c>
      <c r="D654" s="1">
        <f>IFERROR(Comp1[[#This Row],[Comparable '#1 Return]]+1,"-")</f>
        <v>0.99857040719040557</v>
      </c>
      <c r="E654" s="6">
        <f>B654-MAX($B$2:B654)</f>
        <v>-7.6400000000000006</v>
      </c>
      <c r="F654" s="80">
        <f t="shared" si="21"/>
        <v>257</v>
      </c>
      <c r="G654" s="22" cm="1">
        <f t="array" ref="G654">Comp1[[#This Row],[Comparable '#1 Drawdown]]/MAX($B$2:B654)</f>
        <v>-0.35337650323774283</v>
      </c>
      <c r="H654" s="1" t="str">
        <f>IF(SUM(COUNTIF(Benchmark1[Benchmark '#1 Dates],Comp1[[#This Row],[Comparable '#1 Dates]]),COUNTIF(Benchmark2[Benchmark '#2 Dates],Comp1[[#This Row],[Comparable '#1 Dates]]))=2,"Pass","Fail")</f>
        <v>Pass</v>
      </c>
      <c r="I654" s="1">
        <f>IFERROR(Comp1[[#This Row],[Comparable '#1 Return]]-INDEX(Benchmark1[Benchmark '#1 Return],MATCH(Comp1[[#This Row],[Comparable '#1 Dates]],Benchmark1[Benchmark '#1 Dates],0)),"-")</f>
        <v>-5.3197662306767703E-3</v>
      </c>
      <c r="L654" s="72">
        <f>Comp1[[#This Row],[Comparable '#1 Price]]/$B$2*100</f>
        <v>95.687885010266953</v>
      </c>
    </row>
    <row r="655" spans="1:12">
      <c r="A655" s="103">
        <v>44235</v>
      </c>
      <c r="B655" s="104">
        <v>14.53</v>
      </c>
      <c r="C655" s="4">
        <f t="shared" si="20"/>
        <v>3.8587740776527213E-2</v>
      </c>
      <c r="D655" s="1">
        <f>IFERROR(Comp1[[#This Row],[Comparable '#1 Return]]+1,"-")</f>
        <v>1.0385877407765272</v>
      </c>
      <c r="E655" s="6">
        <f>B655-MAX($B$2:B655)</f>
        <v>-7.0900000000000016</v>
      </c>
      <c r="F655" s="80">
        <f t="shared" si="21"/>
        <v>258</v>
      </c>
      <c r="G655" s="22" cm="1">
        <f t="array" ref="G655">Comp1[[#This Row],[Comparable '#1 Drawdown]]/MAX($B$2:B655)</f>
        <v>-0.32793709528214621</v>
      </c>
      <c r="H655" s="1" t="str">
        <f>IF(SUM(COUNTIF(Benchmark1[Benchmark '#1 Dates],Comp1[[#This Row],[Comparable '#1 Dates]]),COUNTIF(Benchmark2[Benchmark '#2 Dates],Comp1[[#This Row],[Comparable '#1 Dates]]))=2,"Pass","Fail")</f>
        <v>Pass</v>
      </c>
      <c r="I655" s="1">
        <f>IFERROR(Comp1[[#This Row],[Comparable '#1 Return]]-INDEX(Benchmark1[Benchmark '#1 Return],MATCH(Comp1[[#This Row],[Comparable '#1 Dates]],Benchmark1[Benchmark '#1 Dates],0)),"-")</f>
        <v>3.1216432010549029E-2</v>
      </c>
      <c r="L655" s="72">
        <f>Comp1[[#This Row],[Comparable '#1 Price]]/$B$2*100</f>
        <v>99.452429842573579</v>
      </c>
    </row>
    <row r="656" spans="1:12">
      <c r="A656" s="103">
        <v>44236</v>
      </c>
      <c r="B656" s="104">
        <v>14.55</v>
      </c>
      <c r="C656" s="4">
        <f t="shared" si="20"/>
        <v>1.3755160353100982E-3</v>
      </c>
      <c r="D656" s="1">
        <f>IFERROR(Comp1[[#This Row],[Comparable '#1 Return]]+1,"-")</f>
        <v>1.0013755160353102</v>
      </c>
      <c r="E656" s="6">
        <f>B656-MAX($B$2:B656)</f>
        <v>-7.07</v>
      </c>
      <c r="F656" s="80">
        <f t="shared" si="21"/>
        <v>259</v>
      </c>
      <c r="G656" s="22" cm="1">
        <f t="array" ref="G656">Comp1[[#This Row],[Comparable '#1 Drawdown]]/MAX($B$2:B656)</f>
        <v>-0.32701202590194267</v>
      </c>
      <c r="H656" s="1" t="str">
        <f>IF(SUM(COUNTIF(Benchmark1[Benchmark '#1 Dates],Comp1[[#This Row],[Comparable '#1 Dates]]),COUNTIF(Benchmark2[Benchmark '#2 Dates],Comp1[[#This Row],[Comparable '#1 Dates]]))=2,"Pass","Fail")</f>
        <v>Pass</v>
      </c>
      <c r="I656" s="1">
        <f>IFERROR(Comp1[[#This Row],[Comparable '#1 Return]]-INDEX(Benchmark1[Benchmark '#1 Return],MATCH(Comp1[[#This Row],[Comparable '#1 Dates]],Benchmark1[Benchmark '#1 Dates],0)),"-")</f>
        <v>2.4898670364600474E-3</v>
      </c>
      <c r="L656" s="72">
        <f>Comp1[[#This Row],[Comparable '#1 Price]]/$B$2*100</f>
        <v>99.589322381930188</v>
      </c>
    </row>
    <row r="657" spans="1:12">
      <c r="A657" s="103">
        <v>44237</v>
      </c>
      <c r="B657" s="104">
        <v>14.52</v>
      </c>
      <c r="C657" s="4">
        <f t="shared" si="20"/>
        <v>-2.0639842208515936E-3</v>
      </c>
      <c r="D657" s="1">
        <f>IFERROR(Comp1[[#This Row],[Comparable '#1 Return]]+1,"-")</f>
        <v>0.99793601577914837</v>
      </c>
      <c r="E657" s="6">
        <f>B657-MAX($B$2:B657)</f>
        <v>-7.1000000000000014</v>
      </c>
      <c r="F657" s="80">
        <f t="shared" si="21"/>
        <v>260</v>
      </c>
      <c r="G657" s="22" cm="1">
        <f t="array" ref="G657">Comp1[[#This Row],[Comparable '#1 Drawdown]]/MAX($B$2:B657)</f>
        <v>-0.32839962997224798</v>
      </c>
      <c r="H657" s="1" t="str">
        <f>IF(SUM(COUNTIF(Benchmark1[Benchmark '#1 Dates],Comp1[[#This Row],[Comparable '#1 Dates]]),COUNTIF(Benchmark2[Benchmark '#2 Dates],Comp1[[#This Row],[Comparable '#1 Dates]]))=2,"Pass","Fail")</f>
        <v>Pass</v>
      </c>
      <c r="I657" s="1">
        <f>IFERROR(Comp1[[#This Row],[Comparable '#1 Return]]-INDEX(Benchmark1[Benchmark '#1 Return],MATCH(Comp1[[#This Row],[Comparable '#1 Dates]],Benchmark1[Benchmark '#1 Dates],0)),"-")</f>
        <v>-1.7192970399500442E-3</v>
      </c>
      <c r="L657" s="72">
        <f>Comp1[[#This Row],[Comparable '#1 Price]]/$B$2*100</f>
        <v>99.383983572895275</v>
      </c>
    </row>
    <row r="658" spans="1:12">
      <c r="A658" s="103">
        <v>44238</v>
      </c>
      <c r="B658" s="104">
        <v>14.625</v>
      </c>
      <c r="C658" s="4">
        <f t="shared" si="20"/>
        <v>7.2053837212701635E-3</v>
      </c>
      <c r="D658" s="1">
        <f>IFERROR(Comp1[[#This Row],[Comparable '#1 Return]]+1,"-")</f>
        <v>1.0072053837212702</v>
      </c>
      <c r="E658" s="6">
        <f>B658-MAX($B$2:B658)</f>
        <v>-6.995000000000001</v>
      </c>
      <c r="F658" s="80">
        <f t="shared" si="21"/>
        <v>261</v>
      </c>
      <c r="G658" s="22" cm="1">
        <f t="array" ref="G658">Comp1[[#This Row],[Comparable '#1 Drawdown]]/MAX($B$2:B658)</f>
        <v>-0.32354301572617949</v>
      </c>
      <c r="H658" s="1" t="str">
        <f>IF(SUM(COUNTIF(Benchmark1[Benchmark '#1 Dates],Comp1[[#This Row],[Comparable '#1 Dates]]),COUNTIF(Benchmark2[Benchmark '#2 Dates],Comp1[[#This Row],[Comparable '#1 Dates]]))=2,"Pass","Fail")</f>
        <v>Pass</v>
      </c>
      <c r="I658" s="1">
        <f>IFERROR(Comp1[[#This Row],[Comparable '#1 Return]]-INDEX(Benchmark1[Benchmark '#1 Return],MATCH(Comp1[[#This Row],[Comparable '#1 Dates]],Benchmark1[Benchmark '#1 Dates],0)),"-")</f>
        <v>5.5455186249451088E-3</v>
      </c>
      <c r="L658" s="72">
        <f>Comp1[[#This Row],[Comparable '#1 Price]]/$B$2*100</f>
        <v>100.10266940451746</v>
      </c>
    </row>
    <row r="659" spans="1:12">
      <c r="A659" s="103">
        <v>44239</v>
      </c>
      <c r="B659" s="104">
        <v>14.56</v>
      </c>
      <c r="C659" s="4">
        <f t="shared" si="20"/>
        <v>-4.4543503493801968E-3</v>
      </c>
      <c r="D659" s="1">
        <f>IFERROR(Comp1[[#This Row],[Comparable '#1 Return]]+1,"-")</f>
        <v>0.99554564965061976</v>
      </c>
      <c r="E659" s="6">
        <f>B659-MAX($B$2:B659)</f>
        <v>-7.0600000000000005</v>
      </c>
      <c r="F659" s="80">
        <f t="shared" si="21"/>
        <v>262</v>
      </c>
      <c r="G659" s="22" cm="1">
        <f t="array" ref="G659">Comp1[[#This Row],[Comparable '#1 Drawdown]]/MAX($B$2:B659)</f>
        <v>-0.3265494912118409</v>
      </c>
      <c r="H659" s="1" t="str">
        <f>IF(SUM(COUNTIF(Benchmark1[Benchmark '#1 Dates],Comp1[[#This Row],[Comparable '#1 Dates]]),COUNTIF(Benchmark2[Benchmark '#2 Dates],Comp1[[#This Row],[Comparable '#1 Dates]]))=2,"Pass","Fail")</f>
        <v>Pass</v>
      </c>
      <c r="I659" s="1">
        <f>IFERROR(Comp1[[#This Row],[Comparable '#1 Return]]-INDEX(Benchmark1[Benchmark '#1 Return],MATCH(Comp1[[#This Row],[Comparable '#1 Dates]],Benchmark1[Benchmark '#1 Dates],0)),"-")</f>
        <v>-9.1564791372699354E-3</v>
      </c>
      <c r="L659" s="72">
        <f>Comp1[[#This Row],[Comparable '#1 Price]]/$B$2*100</f>
        <v>99.657768651608492</v>
      </c>
    </row>
    <row r="660" spans="1:12">
      <c r="A660" s="103">
        <v>44243</v>
      </c>
      <c r="B660" s="104">
        <v>14.45</v>
      </c>
      <c r="C660" s="4">
        <f t="shared" si="20"/>
        <v>-7.5836282100988283E-3</v>
      </c>
      <c r="D660" s="1">
        <f>IFERROR(Comp1[[#This Row],[Comparable '#1 Return]]+1,"-")</f>
        <v>0.99241637178990116</v>
      </c>
      <c r="E660" s="6">
        <f>B660-MAX($B$2:B660)</f>
        <v>-7.1700000000000017</v>
      </c>
      <c r="F660" s="80">
        <f t="shared" si="21"/>
        <v>263</v>
      </c>
      <c r="G660" s="22" cm="1">
        <f t="array" ref="G660">Comp1[[#This Row],[Comparable '#1 Drawdown]]/MAX($B$2:B660)</f>
        <v>-0.3316373728029603</v>
      </c>
      <c r="H660" s="1" t="str">
        <f>IF(SUM(COUNTIF(Benchmark1[Benchmark '#1 Dates],Comp1[[#This Row],[Comparable '#1 Dates]]),COUNTIF(Benchmark2[Benchmark '#2 Dates],Comp1[[#This Row],[Comparable '#1 Dates]]))=2,"Pass","Fail")</f>
        <v>Pass</v>
      </c>
      <c r="I660" s="1">
        <f>IFERROR(Comp1[[#This Row],[Comparable '#1 Return]]-INDEX(Benchmark1[Benchmark '#1 Return],MATCH(Comp1[[#This Row],[Comparable '#1 Dates]],Benchmark1[Benchmark '#1 Dates],0)),"-")</f>
        <v>-7.0130674152634413E-3</v>
      </c>
      <c r="L660" s="72">
        <f>Comp1[[#This Row],[Comparable '#1 Price]]/$B$2*100</f>
        <v>98.904859685147159</v>
      </c>
    </row>
    <row r="661" spans="1:12">
      <c r="A661" s="103">
        <v>44244</v>
      </c>
      <c r="B661" s="104">
        <v>14.4</v>
      </c>
      <c r="C661" s="4">
        <f t="shared" si="20"/>
        <v>-3.4662079764861725E-3</v>
      </c>
      <c r="D661" s="1">
        <f>IFERROR(Comp1[[#This Row],[Comparable '#1 Return]]+1,"-")</f>
        <v>0.99653379202351378</v>
      </c>
      <c r="E661" s="6">
        <f>B661-MAX($B$2:B661)</f>
        <v>-7.2200000000000006</v>
      </c>
      <c r="F661" s="80">
        <f t="shared" si="21"/>
        <v>264</v>
      </c>
      <c r="G661" s="22" cm="1">
        <f t="array" ref="G661">Comp1[[#This Row],[Comparable '#1 Drawdown]]/MAX($B$2:B661)</f>
        <v>-0.33395004625346902</v>
      </c>
      <c r="H661" s="1" t="str">
        <f>IF(SUM(COUNTIF(Benchmark1[Benchmark '#1 Dates],Comp1[[#This Row],[Comparable '#1 Dates]]),COUNTIF(Benchmark2[Benchmark '#2 Dates],Comp1[[#This Row],[Comparable '#1 Dates]]))=2,"Pass","Fail")</f>
        <v>Pass</v>
      </c>
      <c r="I661" s="1">
        <f>IFERROR(Comp1[[#This Row],[Comparable '#1 Return]]-INDEX(Benchmark1[Benchmark '#1 Return],MATCH(Comp1[[#This Row],[Comparable '#1 Dates]],Benchmark1[Benchmark '#1 Dates],0)),"-")</f>
        <v>-3.146078677038438E-3</v>
      </c>
      <c r="L661" s="72">
        <f>Comp1[[#This Row],[Comparable '#1 Price]]/$B$2*100</f>
        <v>98.562628336755651</v>
      </c>
    </row>
    <row r="662" spans="1:12">
      <c r="A662" s="103">
        <v>44245</v>
      </c>
      <c r="B662" s="104">
        <v>14.5</v>
      </c>
      <c r="C662" s="4">
        <f t="shared" si="20"/>
        <v>6.920442844573757E-3</v>
      </c>
      <c r="D662" s="1">
        <f>IFERROR(Comp1[[#This Row],[Comparable '#1 Return]]+1,"-")</f>
        <v>1.0069204428445737</v>
      </c>
      <c r="E662" s="6">
        <f>B662-MAX($B$2:B662)</f>
        <v>-7.120000000000001</v>
      </c>
      <c r="F662" s="80">
        <f t="shared" si="21"/>
        <v>265</v>
      </c>
      <c r="G662" s="22" cm="1">
        <f t="array" ref="G662">Comp1[[#This Row],[Comparable '#1 Drawdown]]/MAX($B$2:B662)</f>
        <v>-0.32932469935245146</v>
      </c>
      <c r="H662" s="1" t="str">
        <f>IF(SUM(COUNTIF(Benchmark1[Benchmark '#1 Dates],Comp1[[#This Row],[Comparable '#1 Dates]]),COUNTIF(Benchmark2[Benchmark '#2 Dates],Comp1[[#This Row],[Comparable '#1 Dates]]))=2,"Pass","Fail")</f>
        <v>Pass</v>
      </c>
      <c r="I662" s="1">
        <f>IFERROR(Comp1[[#This Row],[Comparable '#1 Return]]-INDEX(Benchmark1[Benchmark '#1 Return],MATCH(Comp1[[#This Row],[Comparable '#1 Dates]],Benchmark1[Benchmark '#1 Dates],0)),"-")</f>
        <v>1.1345830726728909E-2</v>
      </c>
      <c r="L662" s="72">
        <f>Comp1[[#This Row],[Comparable '#1 Price]]/$B$2*100</f>
        <v>99.24709103353868</v>
      </c>
    </row>
    <row r="663" spans="1:12">
      <c r="A663" s="103">
        <v>44246</v>
      </c>
      <c r="B663" s="104">
        <v>14.6</v>
      </c>
      <c r="C663" s="4">
        <f t="shared" si="20"/>
        <v>6.8728792877620504E-3</v>
      </c>
      <c r="D663" s="1">
        <f>IFERROR(Comp1[[#This Row],[Comparable '#1 Return]]+1,"-")</f>
        <v>1.0068728792877621</v>
      </c>
      <c r="E663" s="6">
        <f>B663-MAX($B$2:B663)</f>
        <v>-7.0200000000000014</v>
      </c>
      <c r="F663" s="80">
        <f t="shared" si="21"/>
        <v>266</v>
      </c>
      <c r="G663" s="22" cm="1">
        <f t="array" ref="G663">Comp1[[#This Row],[Comparable '#1 Drawdown]]/MAX($B$2:B663)</f>
        <v>-0.32469935245143389</v>
      </c>
      <c r="H663" s="1" t="str">
        <f>IF(SUM(COUNTIF(Benchmark1[Benchmark '#1 Dates],Comp1[[#This Row],[Comparable '#1 Dates]]),COUNTIF(Benchmark2[Benchmark '#2 Dates],Comp1[[#This Row],[Comparable '#1 Dates]]))=2,"Pass","Fail")</f>
        <v>Pass</v>
      </c>
      <c r="I663" s="1">
        <f>IFERROR(Comp1[[#This Row],[Comparable '#1 Return]]-INDEX(Benchmark1[Benchmark '#1 Return],MATCH(Comp1[[#This Row],[Comparable '#1 Dates]],Benchmark1[Benchmark '#1 Dates],0)),"-")</f>
        <v>8.7303768926897327E-3</v>
      </c>
      <c r="L663" s="72">
        <f>Comp1[[#This Row],[Comparable '#1 Price]]/$B$2*100</f>
        <v>99.931553730321696</v>
      </c>
    </row>
    <row r="664" spans="1:12">
      <c r="A664" s="103">
        <v>44249</v>
      </c>
      <c r="B664" s="104">
        <v>14.35</v>
      </c>
      <c r="C664" s="4">
        <f t="shared" si="20"/>
        <v>-1.7271586508660595E-2</v>
      </c>
      <c r="D664" s="1">
        <f>IFERROR(Comp1[[#This Row],[Comparable '#1 Return]]+1,"-")</f>
        <v>0.98272841349133944</v>
      </c>
      <c r="E664" s="6">
        <f>B664-MAX($B$2:B664)</f>
        <v>-7.2700000000000014</v>
      </c>
      <c r="F664" s="80">
        <f t="shared" si="21"/>
        <v>267</v>
      </c>
      <c r="G664" s="22" cm="1">
        <f t="array" ref="G664">Comp1[[#This Row],[Comparable '#1 Drawdown]]/MAX($B$2:B664)</f>
        <v>-0.33626271970397786</v>
      </c>
      <c r="H664" s="1" t="str">
        <f>IF(SUM(COUNTIF(Benchmark1[Benchmark '#1 Dates],Comp1[[#This Row],[Comparable '#1 Dates]]),COUNTIF(Benchmark2[Benchmark '#2 Dates],Comp1[[#This Row],[Comparable '#1 Dates]]))=2,"Pass","Fail")</f>
        <v>Pass</v>
      </c>
      <c r="I664" s="1">
        <f>IFERROR(Comp1[[#This Row],[Comparable '#1 Return]]-INDEX(Benchmark1[Benchmark '#1 Return],MATCH(Comp1[[#This Row],[Comparable '#1 Dates]],Benchmark1[Benchmark '#1 Dates],0)),"-")</f>
        <v>-9.5092045050233671E-3</v>
      </c>
      <c r="L664" s="72">
        <f>Comp1[[#This Row],[Comparable '#1 Price]]/$B$2*100</f>
        <v>98.220396988364129</v>
      </c>
    </row>
    <row r="665" spans="1:12">
      <c r="A665" s="103">
        <v>44250</v>
      </c>
      <c r="B665" s="104">
        <v>14.35</v>
      </c>
      <c r="C665" s="4">
        <f t="shared" si="20"/>
        <v>0</v>
      </c>
      <c r="D665" s="1">
        <f>IFERROR(Comp1[[#This Row],[Comparable '#1 Return]]+1,"-")</f>
        <v>1</v>
      </c>
      <c r="E665" s="6">
        <f>B665-MAX($B$2:B665)</f>
        <v>-7.2700000000000014</v>
      </c>
      <c r="F665" s="80">
        <f t="shared" si="21"/>
        <v>268</v>
      </c>
      <c r="G665" s="22" cm="1">
        <f t="array" ref="G665">Comp1[[#This Row],[Comparable '#1 Drawdown]]/MAX($B$2:B665)</f>
        <v>-0.33626271970397786</v>
      </c>
      <c r="H665" s="1" t="str">
        <f>IF(SUM(COUNTIF(Benchmark1[Benchmark '#1 Dates],Comp1[[#This Row],[Comparable '#1 Dates]]),COUNTIF(Benchmark2[Benchmark '#2 Dates],Comp1[[#This Row],[Comparable '#1 Dates]]))=2,"Pass","Fail")</f>
        <v>Pass</v>
      </c>
      <c r="I665" s="1">
        <f>IFERROR(Comp1[[#This Row],[Comparable '#1 Return]]-INDEX(Benchmark1[Benchmark '#1 Return],MATCH(Comp1[[#This Row],[Comparable '#1 Dates]],Benchmark1[Benchmark '#1 Dates],0)),"-")</f>
        <v>-1.2552521505046141E-3</v>
      </c>
      <c r="L665" s="72">
        <f>Comp1[[#This Row],[Comparable '#1 Price]]/$B$2*100</f>
        <v>98.220396988364129</v>
      </c>
    </row>
    <row r="666" spans="1:12">
      <c r="A666" s="103">
        <v>44251</v>
      </c>
      <c r="B666" s="104">
        <v>14.82</v>
      </c>
      <c r="C666" s="4">
        <f t="shared" si="20"/>
        <v>3.2227677662310709E-2</v>
      </c>
      <c r="D666" s="1">
        <f>IFERROR(Comp1[[#This Row],[Comparable '#1 Return]]+1,"-")</f>
        <v>1.0322276776623107</v>
      </c>
      <c r="E666" s="6">
        <f>B666-MAX($B$2:B666)</f>
        <v>-6.8000000000000007</v>
      </c>
      <c r="F666" s="80">
        <f t="shared" si="21"/>
        <v>269</v>
      </c>
      <c r="G666" s="22" cm="1">
        <f t="array" ref="G666">Comp1[[#This Row],[Comparable '#1 Drawdown]]/MAX($B$2:B666)</f>
        <v>-0.31452358926919521</v>
      </c>
      <c r="H666" s="1" t="str">
        <f>IF(SUM(COUNTIF(Benchmark1[Benchmark '#1 Dates],Comp1[[#This Row],[Comparable '#1 Dates]]),COUNTIF(Benchmark2[Benchmark '#2 Dates],Comp1[[#This Row],[Comparable '#1 Dates]]))=2,"Pass","Fail")</f>
        <v>Pass</v>
      </c>
      <c r="I666" s="1">
        <f>IFERROR(Comp1[[#This Row],[Comparable '#1 Return]]-INDEX(Benchmark1[Benchmark '#1 Return],MATCH(Comp1[[#This Row],[Comparable '#1 Dates]],Benchmark1[Benchmark '#1 Dates],0)),"-")</f>
        <v>2.0940284418069235E-2</v>
      </c>
      <c r="L666" s="72">
        <f>Comp1[[#This Row],[Comparable '#1 Price]]/$B$2*100</f>
        <v>101.43737166324436</v>
      </c>
    </row>
    <row r="667" spans="1:12">
      <c r="A667" s="103">
        <v>44252</v>
      </c>
      <c r="B667" s="104">
        <v>13.74</v>
      </c>
      <c r="C667" s="4">
        <f t="shared" si="20"/>
        <v>-7.5666333073737574E-2</v>
      </c>
      <c r="D667" s="1">
        <f>IFERROR(Comp1[[#This Row],[Comparable '#1 Return]]+1,"-")</f>
        <v>0.9243336669262624</v>
      </c>
      <c r="E667" s="6">
        <f>B667-MAX($B$2:B667)</f>
        <v>-7.8800000000000008</v>
      </c>
      <c r="F667" s="80">
        <f t="shared" si="21"/>
        <v>270</v>
      </c>
      <c r="G667" s="22" cm="1">
        <f t="array" ref="G667">Comp1[[#This Row],[Comparable '#1 Drawdown]]/MAX($B$2:B667)</f>
        <v>-0.36447733580018504</v>
      </c>
      <c r="H667" s="1" t="str">
        <f>IF(SUM(COUNTIF(Benchmark1[Benchmark '#1 Dates],Comp1[[#This Row],[Comparable '#1 Dates]]),COUNTIF(Benchmark2[Benchmark '#2 Dates],Comp1[[#This Row],[Comparable '#1 Dates]]))=2,"Pass","Fail")</f>
        <v>Pass</v>
      </c>
      <c r="I667" s="1">
        <f>IFERROR(Comp1[[#This Row],[Comparable '#1 Return]]-INDEX(Benchmark1[Benchmark '#1 Return],MATCH(Comp1[[#This Row],[Comparable '#1 Dates]],Benchmark1[Benchmark '#1 Dates],0)),"-")</f>
        <v>-5.0882476764882195E-2</v>
      </c>
      <c r="L667" s="72">
        <f>Comp1[[#This Row],[Comparable '#1 Price]]/$B$2*100</f>
        <v>94.045174537987691</v>
      </c>
    </row>
    <row r="668" spans="1:12">
      <c r="A668" s="103">
        <v>44253</v>
      </c>
      <c r="B668" s="104">
        <v>13.75</v>
      </c>
      <c r="C668" s="4">
        <f t="shared" si="20"/>
        <v>7.275373183769279E-4</v>
      </c>
      <c r="D668" s="1">
        <f>IFERROR(Comp1[[#This Row],[Comparable '#1 Return]]+1,"-")</f>
        <v>1.0007275373183768</v>
      </c>
      <c r="E668" s="6">
        <f>B668-MAX($B$2:B668)</f>
        <v>-7.870000000000001</v>
      </c>
      <c r="F668" s="80">
        <f t="shared" si="21"/>
        <v>271</v>
      </c>
      <c r="G668" s="22" cm="1">
        <f t="array" ref="G668">Comp1[[#This Row],[Comparable '#1 Drawdown]]/MAX($B$2:B668)</f>
        <v>-0.36401480111008327</v>
      </c>
      <c r="H668" s="1" t="str">
        <f>IF(SUM(COUNTIF(Benchmark1[Benchmark '#1 Dates],Comp1[[#This Row],[Comparable '#1 Dates]]),COUNTIF(Benchmark2[Benchmark '#2 Dates],Comp1[[#This Row],[Comparable '#1 Dates]]))=2,"Pass","Fail")</f>
        <v>Pass</v>
      </c>
      <c r="I668" s="1">
        <f>IFERROR(Comp1[[#This Row],[Comparable '#1 Return]]-INDEX(Benchmark1[Benchmark '#1 Return],MATCH(Comp1[[#This Row],[Comparable '#1 Dates]],Benchmark1[Benchmark '#1 Dates],0)),"-")</f>
        <v>5.4880659647491142E-3</v>
      </c>
      <c r="L668" s="72">
        <f>Comp1[[#This Row],[Comparable '#1 Price]]/$B$2*100</f>
        <v>94.113620807665981</v>
      </c>
    </row>
    <row r="669" spans="1:12">
      <c r="A669" s="103">
        <v>44256</v>
      </c>
      <c r="B669" s="104">
        <v>13.56</v>
      </c>
      <c r="C669" s="4">
        <f t="shared" si="20"/>
        <v>-1.3914541600330699E-2</v>
      </c>
      <c r="D669" s="1">
        <f>IFERROR(Comp1[[#This Row],[Comparable '#1 Return]]+1,"-")</f>
        <v>0.98608545839966932</v>
      </c>
      <c r="E669" s="6">
        <f>B669-MAX($B$2:B669)</f>
        <v>-8.06</v>
      </c>
      <c r="F669" s="80">
        <f t="shared" si="21"/>
        <v>272</v>
      </c>
      <c r="G669" s="22" cm="1">
        <f t="array" ref="G669">Comp1[[#This Row],[Comparable '#1 Drawdown]]/MAX($B$2:B669)</f>
        <v>-0.37280296022201664</v>
      </c>
      <c r="H669" s="1" t="str">
        <f>IF(SUM(COUNTIF(Benchmark1[Benchmark '#1 Dates],Comp1[[#This Row],[Comparable '#1 Dates]]),COUNTIF(Benchmark2[Benchmark '#2 Dates],Comp1[[#This Row],[Comparable '#1 Dates]]))=2,"Pass","Fail")</f>
        <v>Pass</v>
      </c>
      <c r="I669" s="1">
        <f>IFERROR(Comp1[[#This Row],[Comparable '#1 Return]]-INDEX(Benchmark1[Benchmark '#1 Return],MATCH(Comp1[[#This Row],[Comparable '#1 Dates]],Benchmark1[Benchmark '#1 Dates],0)),"-")</f>
        <v>-3.7425605995507941E-2</v>
      </c>
      <c r="L669" s="72">
        <f>Comp1[[#This Row],[Comparable '#1 Price]]/$B$2*100</f>
        <v>92.813141683778241</v>
      </c>
    </row>
    <row r="670" spans="1:12">
      <c r="A670" s="103">
        <v>44257</v>
      </c>
      <c r="B670" s="104">
        <v>13.76</v>
      </c>
      <c r="C670" s="4">
        <f t="shared" si="20"/>
        <v>1.4641549992947969E-2</v>
      </c>
      <c r="D670" s="1">
        <f>IFERROR(Comp1[[#This Row],[Comparable '#1 Return]]+1,"-")</f>
        <v>1.014641549992948</v>
      </c>
      <c r="E670" s="6">
        <f>B670-MAX($B$2:B670)</f>
        <v>-7.8600000000000012</v>
      </c>
      <c r="F670" s="80">
        <f t="shared" si="21"/>
        <v>273</v>
      </c>
      <c r="G670" s="22" cm="1">
        <f t="array" ref="G670">Comp1[[#This Row],[Comparable '#1 Drawdown]]/MAX($B$2:B670)</f>
        <v>-0.36355226641998156</v>
      </c>
      <c r="H670" s="1" t="str">
        <f>IF(SUM(COUNTIF(Benchmark1[Benchmark '#1 Dates],Comp1[[#This Row],[Comparable '#1 Dates]]),COUNTIF(Benchmark2[Benchmark '#2 Dates],Comp1[[#This Row],[Comparable '#1 Dates]]))=2,"Pass","Fail")</f>
        <v>Pass</v>
      </c>
      <c r="I670" s="1">
        <f>IFERROR(Comp1[[#This Row],[Comparable '#1 Return]]-INDEX(Benchmark1[Benchmark '#1 Return],MATCH(Comp1[[#This Row],[Comparable '#1 Dates]],Benchmark1[Benchmark '#1 Dates],0)),"-")</f>
        <v>2.2753100580324176E-2</v>
      </c>
      <c r="L670" s="72">
        <f>Comp1[[#This Row],[Comparable '#1 Price]]/$B$2*100</f>
        <v>94.182067077344286</v>
      </c>
    </row>
    <row r="671" spans="1:12">
      <c r="A671" s="103">
        <v>44258</v>
      </c>
      <c r="B671" s="104">
        <v>13.12</v>
      </c>
      <c r="C671" s="4">
        <f t="shared" si="20"/>
        <v>-4.7628048989254705E-2</v>
      </c>
      <c r="D671" s="1">
        <f>IFERROR(Comp1[[#This Row],[Comparable '#1 Return]]+1,"-")</f>
        <v>0.95237195101074534</v>
      </c>
      <c r="E671" s="6">
        <f>B671-MAX($B$2:B671)</f>
        <v>-8.5000000000000018</v>
      </c>
      <c r="F671" s="80">
        <f t="shared" si="21"/>
        <v>274</v>
      </c>
      <c r="G671" s="22" cm="1">
        <f t="array" ref="G671">Comp1[[#This Row],[Comparable '#1 Drawdown]]/MAX($B$2:B671)</f>
        <v>-0.39315448658649405</v>
      </c>
      <c r="H671" s="1" t="str">
        <f>IF(SUM(COUNTIF(Benchmark1[Benchmark '#1 Dates],Comp1[[#This Row],[Comparable '#1 Dates]]),COUNTIF(Benchmark2[Benchmark '#2 Dates],Comp1[[#This Row],[Comparable '#1 Dates]]))=2,"Pass","Fail")</f>
        <v>Pass</v>
      </c>
      <c r="I671" s="1">
        <f>IFERROR(Comp1[[#This Row],[Comparable '#1 Return]]-INDEX(Benchmark1[Benchmark '#1 Return],MATCH(Comp1[[#This Row],[Comparable '#1 Dates]],Benchmark1[Benchmark '#1 Dates],0)),"-")</f>
        <v>-3.4473833995727184E-2</v>
      </c>
      <c r="L671" s="72">
        <f>Comp1[[#This Row],[Comparable '#1 Price]]/$B$2*100</f>
        <v>89.80150581793292</v>
      </c>
    </row>
    <row r="672" spans="1:12">
      <c r="A672" s="103">
        <v>44259</v>
      </c>
      <c r="B672" s="104">
        <v>13.59</v>
      </c>
      <c r="C672" s="4">
        <f t="shared" si="20"/>
        <v>3.5196444647109415E-2</v>
      </c>
      <c r="D672" s="1">
        <f>IFERROR(Comp1[[#This Row],[Comparable '#1 Return]]+1,"-")</f>
        <v>1.0351964446471094</v>
      </c>
      <c r="E672" s="6">
        <f>B672-MAX($B$2:B672)</f>
        <v>-8.0300000000000011</v>
      </c>
      <c r="F672" s="80">
        <f t="shared" si="21"/>
        <v>275</v>
      </c>
      <c r="G672" s="22" cm="1">
        <f t="array" ref="G672">Comp1[[#This Row],[Comparable '#1 Drawdown]]/MAX($B$2:B672)</f>
        <v>-0.3714153561517114</v>
      </c>
      <c r="H672" s="1" t="str">
        <f>IF(SUM(COUNTIF(Benchmark1[Benchmark '#1 Dates],Comp1[[#This Row],[Comparable '#1 Dates]]),COUNTIF(Benchmark2[Benchmark '#2 Dates],Comp1[[#This Row],[Comparable '#1 Dates]]))=2,"Pass","Fail")</f>
        <v>Pass</v>
      </c>
      <c r="I672" s="1">
        <f>IFERROR(Comp1[[#This Row],[Comparable '#1 Return]]-INDEX(Benchmark1[Benchmark '#1 Return],MATCH(Comp1[[#This Row],[Comparable '#1 Dates]],Benchmark1[Benchmark '#1 Dates],0)),"-")</f>
        <v>4.8702602314070378E-2</v>
      </c>
      <c r="L672" s="72">
        <f>Comp1[[#This Row],[Comparable '#1 Price]]/$B$2*100</f>
        <v>93.018480492813154</v>
      </c>
    </row>
    <row r="673" spans="1:12">
      <c r="A673" s="103">
        <v>44260</v>
      </c>
      <c r="B673" s="104">
        <v>13.93</v>
      </c>
      <c r="C673" s="4">
        <f t="shared" si="20"/>
        <v>2.4710559628662043E-2</v>
      </c>
      <c r="D673" s="1">
        <f>IFERROR(Comp1[[#This Row],[Comparable '#1 Return]]+1,"-")</f>
        <v>1.0247105596286621</v>
      </c>
      <c r="E673" s="6">
        <f>B673-MAX($B$2:B673)</f>
        <v>-7.6900000000000013</v>
      </c>
      <c r="F673" s="80">
        <f t="shared" si="21"/>
        <v>276</v>
      </c>
      <c r="G673" s="22" cm="1">
        <f t="array" ref="G673">Comp1[[#This Row],[Comparable '#1 Drawdown]]/MAX($B$2:B673)</f>
        <v>-0.35568917668825167</v>
      </c>
      <c r="H673" s="1" t="str">
        <f>IF(SUM(COUNTIF(Benchmark1[Benchmark '#1 Dates],Comp1[[#This Row],[Comparable '#1 Dates]]),COUNTIF(Benchmark2[Benchmark '#2 Dates],Comp1[[#This Row],[Comparable '#1 Dates]]))=2,"Pass","Fail")</f>
        <v>Pass</v>
      </c>
      <c r="I673" s="1">
        <f>IFERROR(Comp1[[#This Row],[Comparable '#1 Return]]-INDEX(Benchmark1[Benchmark '#1 Return],MATCH(Comp1[[#This Row],[Comparable '#1 Dates]],Benchmark1[Benchmark '#1 Dates],0)),"-")</f>
        <v>5.4028116935459433E-3</v>
      </c>
      <c r="L673" s="72">
        <f>Comp1[[#This Row],[Comparable '#1 Price]]/$B$2*100</f>
        <v>95.345653661875431</v>
      </c>
    </row>
    <row r="674" spans="1:12">
      <c r="A674" s="103">
        <v>44263</v>
      </c>
      <c r="B674" s="104">
        <v>13.82</v>
      </c>
      <c r="C674" s="4">
        <f t="shared" si="20"/>
        <v>-7.9279694521904327E-3</v>
      </c>
      <c r="D674" s="1">
        <f>IFERROR(Comp1[[#This Row],[Comparable '#1 Return]]+1,"-")</f>
        <v>0.99207203054780957</v>
      </c>
      <c r="E674" s="6">
        <f>B674-MAX($B$2:B674)</f>
        <v>-7.8000000000000007</v>
      </c>
      <c r="F674" s="80">
        <f t="shared" si="21"/>
        <v>277</v>
      </c>
      <c r="G674" s="22" cm="1">
        <f t="array" ref="G674">Comp1[[#This Row],[Comparable '#1 Drawdown]]/MAX($B$2:B674)</f>
        <v>-0.36077705827937095</v>
      </c>
      <c r="H674" s="1" t="str">
        <f>IF(SUM(COUNTIF(Benchmark1[Benchmark '#1 Dates],Comp1[[#This Row],[Comparable '#1 Dates]]),COUNTIF(Benchmark2[Benchmark '#2 Dates],Comp1[[#This Row],[Comparable '#1 Dates]]))=2,"Pass","Fail")</f>
        <v>Pass</v>
      </c>
      <c r="I674" s="1">
        <f>IFERROR(Comp1[[#This Row],[Comparable '#1 Return]]-INDEX(Benchmark1[Benchmark '#1 Return],MATCH(Comp1[[#This Row],[Comparable '#1 Dates]],Benchmark1[Benchmark '#1 Dates],0)),"-")</f>
        <v>-2.5530595417140338E-3</v>
      </c>
      <c r="L674" s="72">
        <f>Comp1[[#This Row],[Comparable '#1 Price]]/$B$2*100</f>
        <v>94.592744695414112</v>
      </c>
    </row>
    <row r="675" spans="1:12">
      <c r="A675" s="103">
        <v>44264</v>
      </c>
      <c r="B675" s="104">
        <v>13.79</v>
      </c>
      <c r="C675" s="4">
        <f t="shared" si="20"/>
        <v>-2.1731265343134607E-3</v>
      </c>
      <c r="D675" s="1">
        <f>IFERROR(Comp1[[#This Row],[Comparable '#1 Return]]+1,"-")</f>
        <v>0.99782687346568655</v>
      </c>
      <c r="E675" s="6">
        <f>B675-MAX($B$2:B675)</f>
        <v>-7.8300000000000018</v>
      </c>
      <c r="F675" s="80">
        <f t="shared" si="21"/>
        <v>278</v>
      </c>
      <c r="G675" s="22" cm="1">
        <f t="array" ref="G675">Comp1[[#This Row],[Comparable '#1 Drawdown]]/MAX($B$2:B675)</f>
        <v>-0.36216466234967631</v>
      </c>
      <c r="H675" s="1" t="str">
        <f>IF(SUM(COUNTIF(Benchmark1[Benchmark '#1 Dates],Comp1[[#This Row],[Comparable '#1 Dates]]),COUNTIF(Benchmark2[Benchmark '#2 Dates],Comp1[[#This Row],[Comparable '#1 Dates]]))=2,"Pass","Fail")</f>
        <v>Pass</v>
      </c>
      <c r="I675" s="1">
        <f>IFERROR(Comp1[[#This Row],[Comparable '#1 Return]]-INDEX(Benchmark1[Benchmark '#1 Return],MATCH(Comp1[[#This Row],[Comparable '#1 Dates]],Benchmark1[Benchmark '#1 Dates],0)),"-")</f>
        <v>-1.6230075098797078E-2</v>
      </c>
      <c r="L675" s="72">
        <f>Comp1[[#This Row],[Comparable '#1 Price]]/$B$2*100</f>
        <v>94.387405886379199</v>
      </c>
    </row>
    <row r="676" spans="1:12">
      <c r="A676" s="103">
        <v>44265</v>
      </c>
      <c r="B676" s="104">
        <v>13.92</v>
      </c>
      <c r="C676" s="4">
        <f t="shared" si="20"/>
        <v>9.3829631010632197E-3</v>
      </c>
      <c r="D676" s="1">
        <f>IFERROR(Comp1[[#This Row],[Comparable '#1 Return]]+1,"-")</f>
        <v>1.0093829631010631</v>
      </c>
      <c r="E676" s="6">
        <f>B676-MAX($B$2:B676)</f>
        <v>-7.7000000000000011</v>
      </c>
      <c r="F676" s="80">
        <f t="shared" si="21"/>
        <v>279</v>
      </c>
      <c r="G676" s="22" cm="1">
        <f t="array" ref="G676">Comp1[[#This Row],[Comparable '#1 Drawdown]]/MAX($B$2:B676)</f>
        <v>-0.35615171137835339</v>
      </c>
      <c r="H676" s="1" t="str">
        <f>IF(SUM(COUNTIF(Benchmark1[Benchmark '#1 Dates],Comp1[[#This Row],[Comparable '#1 Dates]]),COUNTIF(Benchmark2[Benchmark '#2 Dates],Comp1[[#This Row],[Comparable '#1 Dates]]))=2,"Pass","Fail")</f>
        <v>Pass</v>
      </c>
      <c r="I676" s="1">
        <f>IFERROR(Comp1[[#This Row],[Comparable '#1 Return]]-INDEX(Benchmark1[Benchmark '#1 Return],MATCH(Comp1[[#This Row],[Comparable '#1 Dates]],Benchmark1[Benchmark '#1 Dates],0)),"-")</f>
        <v>3.3726839412207485E-3</v>
      </c>
      <c r="L676" s="72">
        <f>Comp1[[#This Row],[Comparable '#1 Price]]/$B$2*100</f>
        <v>95.277207392197127</v>
      </c>
    </row>
    <row r="677" spans="1:12">
      <c r="A677" s="103">
        <v>44266</v>
      </c>
      <c r="B677" s="104">
        <v>14.35</v>
      </c>
      <c r="C677" s="4">
        <f t="shared" si="20"/>
        <v>3.0423287299356592E-2</v>
      </c>
      <c r="D677" s="1">
        <f>IFERROR(Comp1[[#This Row],[Comparable '#1 Return]]+1,"-")</f>
        <v>1.0304232872993566</v>
      </c>
      <c r="E677" s="6">
        <f>B677-MAX($B$2:B677)</f>
        <v>-7.2700000000000014</v>
      </c>
      <c r="F677" s="80">
        <f t="shared" si="21"/>
        <v>280</v>
      </c>
      <c r="G677" s="22" cm="1">
        <f t="array" ref="G677">Comp1[[#This Row],[Comparable '#1 Drawdown]]/MAX($B$2:B677)</f>
        <v>-0.33626271970397786</v>
      </c>
      <c r="H677" s="1" t="str">
        <f>IF(SUM(COUNTIF(Benchmark1[Benchmark '#1 Dates],Comp1[[#This Row],[Comparable '#1 Dates]]),COUNTIF(Benchmark2[Benchmark '#2 Dates],Comp1[[#This Row],[Comparable '#1 Dates]]))=2,"Pass","Fail")</f>
        <v>Pass</v>
      </c>
      <c r="I677" s="1">
        <f>IFERROR(Comp1[[#This Row],[Comparable '#1 Return]]-INDEX(Benchmark1[Benchmark '#1 Return],MATCH(Comp1[[#This Row],[Comparable '#1 Dates]],Benchmark1[Benchmark '#1 Dates],0)),"-")</f>
        <v>2.0080620642640552E-2</v>
      </c>
      <c r="L677" s="72">
        <f>Comp1[[#This Row],[Comparable '#1 Price]]/$B$2*100</f>
        <v>98.220396988364129</v>
      </c>
    </row>
    <row r="678" spans="1:12">
      <c r="A678" s="103">
        <v>44267</v>
      </c>
      <c r="B678" s="104">
        <v>14.56</v>
      </c>
      <c r="C678" s="4">
        <f t="shared" si="20"/>
        <v>1.4528100562909808E-2</v>
      </c>
      <c r="D678" s="1">
        <f>IFERROR(Comp1[[#This Row],[Comparable '#1 Return]]+1,"-")</f>
        <v>1.0145281005629099</v>
      </c>
      <c r="E678" s="6">
        <f>B678-MAX($B$2:B678)</f>
        <v>-7.0600000000000005</v>
      </c>
      <c r="F678" s="80">
        <f t="shared" si="21"/>
        <v>281</v>
      </c>
      <c r="G678" s="22" cm="1">
        <f t="array" ref="G678">Comp1[[#This Row],[Comparable '#1 Drawdown]]/MAX($B$2:B678)</f>
        <v>-0.3265494912118409</v>
      </c>
      <c r="H678" s="1" t="str">
        <f>IF(SUM(COUNTIF(Benchmark1[Benchmark '#1 Dates],Comp1[[#This Row],[Comparable '#1 Dates]]),COUNTIF(Benchmark2[Benchmark '#2 Dates],Comp1[[#This Row],[Comparable '#1 Dates]]))=2,"Pass","Fail")</f>
        <v>Pass</v>
      </c>
      <c r="I678" s="1">
        <f>IFERROR(Comp1[[#This Row],[Comparable '#1 Return]]-INDEX(Benchmark1[Benchmark '#1 Return],MATCH(Comp1[[#This Row],[Comparable '#1 Dates]],Benchmark1[Benchmark '#1 Dates],0)),"-")</f>
        <v>1.3512100538046804E-2</v>
      </c>
      <c r="L678" s="72">
        <f>Comp1[[#This Row],[Comparable '#1 Price]]/$B$2*100</f>
        <v>99.657768651608492</v>
      </c>
    </row>
    <row r="679" spans="1:12">
      <c r="A679" s="103">
        <v>44270</v>
      </c>
      <c r="B679" s="104">
        <v>14.41</v>
      </c>
      <c r="C679" s="4">
        <f t="shared" si="20"/>
        <v>-1.0355632757109266E-2</v>
      </c>
      <c r="D679" s="1">
        <f>IFERROR(Comp1[[#This Row],[Comparable '#1 Return]]+1,"-")</f>
        <v>0.98964436724289073</v>
      </c>
      <c r="E679" s="6">
        <f>B679-MAX($B$2:B679)</f>
        <v>-7.2100000000000009</v>
      </c>
      <c r="F679" s="80">
        <f t="shared" si="21"/>
        <v>282</v>
      </c>
      <c r="G679" s="22" cm="1">
        <f t="array" ref="G679">Comp1[[#This Row],[Comparable '#1 Drawdown]]/MAX($B$2:B679)</f>
        <v>-0.33348751156336726</v>
      </c>
      <c r="H679" s="1" t="str">
        <f>IF(SUM(COUNTIF(Benchmark1[Benchmark '#1 Dates],Comp1[[#This Row],[Comparable '#1 Dates]]),COUNTIF(Benchmark2[Benchmark '#2 Dates],Comp1[[#This Row],[Comparable '#1 Dates]]))=2,"Pass","Fail")</f>
        <v>Pass</v>
      </c>
      <c r="I679" s="1">
        <f>IFERROR(Comp1[[#This Row],[Comparable '#1 Return]]-INDEX(Benchmark1[Benchmark '#1 Return],MATCH(Comp1[[#This Row],[Comparable '#1 Dates]],Benchmark1[Benchmark '#1 Dates],0)),"-")</f>
        <v>-1.6825198309142027E-2</v>
      </c>
      <c r="L679" s="72">
        <f>Comp1[[#This Row],[Comparable '#1 Price]]/$B$2*100</f>
        <v>98.631074606433955</v>
      </c>
    </row>
    <row r="680" spans="1:12">
      <c r="A680" s="103">
        <v>44271</v>
      </c>
      <c r="B680" s="104">
        <v>14.19</v>
      </c>
      <c r="C680" s="4">
        <f t="shared" si="20"/>
        <v>-1.5384918839479456E-2</v>
      </c>
      <c r="D680" s="1">
        <f>IFERROR(Comp1[[#This Row],[Comparable '#1 Return]]+1,"-")</f>
        <v>0.98461508116052054</v>
      </c>
      <c r="E680" s="6">
        <f>B680-MAX($B$2:B680)</f>
        <v>-7.4300000000000015</v>
      </c>
      <c r="F680" s="80">
        <f t="shared" si="21"/>
        <v>283</v>
      </c>
      <c r="G680" s="22" cm="1">
        <f t="array" ref="G680">Comp1[[#This Row],[Comparable '#1 Drawdown]]/MAX($B$2:B680)</f>
        <v>-0.34366327474560598</v>
      </c>
      <c r="H680" s="1" t="str">
        <f>IF(SUM(COUNTIF(Benchmark1[Benchmark '#1 Dates],Comp1[[#This Row],[Comparable '#1 Dates]]),COUNTIF(Benchmark2[Benchmark '#2 Dates],Comp1[[#This Row],[Comparable '#1 Dates]]))=2,"Pass","Fail")</f>
        <v>Pass</v>
      </c>
      <c r="I680" s="1">
        <f>IFERROR(Comp1[[#This Row],[Comparable '#1 Return]]-INDEX(Benchmark1[Benchmark '#1 Return],MATCH(Comp1[[#This Row],[Comparable '#1 Dates]],Benchmark1[Benchmark '#1 Dates],0)),"-")</f>
        <v>-1.3814076592017336E-2</v>
      </c>
      <c r="L680" s="72">
        <f>Comp1[[#This Row],[Comparable '#1 Price]]/$B$2*100</f>
        <v>97.125256673511302</v>
      </c>
    </row>
    <row r="681" spans="1:12">
      <c r="A681" s="103">
        <v>44272</v>
      </c>
      <c r="B681" s="104">
        <v>14.18</v>
      </c>
      <c r="C681" s="4">
        <f t="shared" si="20"/>
        <v>-7.0497006796982125E-4</v>
      </c>
      <c r="D681" s="1">
        <f>IFERROR(Comp1[[#This Row],[Comparable '#1 Return]]+1,"-")</f>
        <v>0.99929502993203023</v>
      </c>
      <c r="E681" s="6">
        <f>B681-MAX($B$2:B681)</f>
        <v>-7.4400000000000013</v>
      </c>
      <c r="F681" s="80">
        <f t="shared" si="21"/>
        <v>284</v>
      </c>
      <c r="G681" s="22" cm="1">
        <f t="array" ref="G681">Comp1[[#This Row],[Comparable '#1 Drawdown]]/MAX($B$2:B681)</f>
        <v>-0.3441258094357077</v>
      </c>
      <c r="H681" s="1" t="str">
        <f>IF(SUM(COUNTIF(Benchmark1[Benchmark '#1 Dates],Comp1[[#This Row],[Comparable '#1 Dates]]),COUNTIF(Benchmark2[Benchmark '#2 Dates],Comp1[[#This Row],[Comparable '#1 Dates]]))=2,"Pass","Fail")</f>
        <v>Pass</v>
      </c>
      <c r="I681" s="1">
        <f>IFERROR(Comp1[[#This Row],[Comparable '#1 Return]]-INDEX(Benchmark1[Benchmark '#1 Return],MATCH(Comp1[[#This Row],[Comparable '#1 Dates]],Benchmark1[Benchmark '#1 Dates],0)),"-")</f>
        <v>-3.5798685871700369E-3</v>
      </c>
      <c r="L681" s="72">
        <f>Comp1[[#This Row],[Comparable '#1 Price]]/$B$2*100</f>
        <v>97.056810403832998</v>
      </c>
    </row>
    <row r="682" spans="1:12">
      <c r="A682" s="103">
        <v>44273</v>
      </c>
      <c r="B682" s="104">
        <v>14.22</v>
      </c>
      <c r="C682" s="4">
        <f t="shared" si="20"/>
        <v>2.8169032711133734E-3</v>
      </c>
      <c r="D682" s="1">
        <f>IFERROR(Comp1[[#This Row],[Comparable '#1 Return]]+1,"-")</f>
        <v>1.0028169032711134</v>
      </c>
      <c r="E682" s="6">
        <f>B682-MAX($B$2:B682)</f>
        <v>-7.4</v>
      </c>
      <c r="F682" s="80">
        <f t="shared" si="21"/>
        <v>285</v>
      </c>
      <c r="G682" s="22" cm="1">
        <f t="array" ref="G682">Comp1[[#This Row],[Comparable '#1 Drawdown]]/MAX($B$2:B682)</f>
        <v>-0.34227567067530063</v>
      </c>
      <c r="H682" s="1" t="str">
        <f>IF(SUM(COUNTIF(Benchmark1[Benchmark '#1 Dates],Comp1[[#This Row],[Comparable '#1 Dates]]),COUNTIF(Benchmark2[Benchmark '#2 Dates],Comp1[[#This Row],[Comparable '#1 Dates]]))=2,"Pass","Fail")</f>
        <v>Pass</v>
      </c>
      <c r="I682" s="1">
        <f>IFERROR(Comp1[[#This Row],[Comparable '#1 Return]]-INDEX(Benchmark1[Benchmark '#1 Return],MATCH(Comp1[[#This Row],[Comparable '#1 Dates]],Benchmark1[Benchmark '#1 Dates],0)),"-")</f>
        <v>1.7686169113159185E-2</v>
      </c>
      <c r="L682" s="72">
        <f>Comp1[[#This Row],[Comparable '#1 Price]]/$B$2*100</f>
        <v>97.330595482546215</v>
      </c>
    </row>
    <row r="683" spans="1:12">
      <c r="A683" s="103">
        <v>44274</v>
      </c>
      <c r="B683" s="104">
        <v>14.154999999999999</v>
      </c>
      <c r="C683" s="4">
        <f t="shared" si="20"/>
        <v>-4.5815058112319692E-3</v>
      </c>
      <c r="D683" s="1">
        <f>IFERROR(Comp1[[#This Row],[Comparable '#1 Return]]+1,"-")</f>
        <v>0.99541849418876804</v>
      </c>
      <c r="E683" s="6">
        <f>B683-MAX($B$2:B683)</f>
        <v>-7.4650000000000016</v>
      </c>
      <c r="F683" s="80">
        <f t="shared" si="21"/>
        <v>286</v>
      </c>
      <c r="G683" s="22" cm="1">
        <f t="array" ref="G683">Comp1[[#This Row],[Comparable '#1 Drawdown]]/MAX($B$2:B683)</f>
        <v>-0.34528214616096214</v>
      </c>
      <c r="H683" s="1" t="str">
        <f>IF(SUM(COUNTIF(Benchmark1[Benchmark '#1 Dates],Comp1[[#This Row],[Comparable '#1 Dates]]),COUNTIF(Benchmark2[Benchmark '#2 Dates],Comp1[[#This Row],[Comparable '#1 Dates]]))=2,"Pass","Fail")</f>
        <v>Pass</v>
      </c>
      <c r="I683" s="1">
        <f>IFERROR(Comp1[[#This Row],[Comparable '#1 Return]]-INDEX(Benchmark1[Benchmark '#1 Return],MATCH(Comp1[[#This Row],[Comparable '#1 Dates]],Benchmark1[Benchmark '#1 Dates],0)),"-")</f>
        <v>-3.9780566892112E-3</v>
      </c>
      <c r="L683" s="72">
        <f>Comp1[[#This Row],[Comparable '#1 Price]]/$B$2*100</f>
        <v>96.885694729637237</v>
      </c>
    </row>
    <row r="684" spans="1:12">
      <c r="A684" s="103">
        <v>44277</v>
      </c>
      <c r="B684" s="104">
        <v>14.09</v>
      </c>
      <c r="C684" s="4">
        <f t="shared" si="20"/>
        <v>-4.6025926532739913E-3</v>
      </c>
      <c r="D684" s="1">
        <f>IFERROR(Comp1[[#This Row],[Comparable '#1 Return]]+1,"-")</f>
        <v>0.99539740734672599</v>
      </c>
      <c r="E684" s="6">
        <f>B684-MAX($B$2:B684)</f>
        <v>-7.5300000000000011</v>
      </c>
      <c r="F684" s="80">
        <f t="shared" si="21"/>
        <v>287</v>
      </c>
      <c r="G684" s="22" cm="1">
        <f t="array" ref="G684">Comp1[[#This Row],[Comparable '#1 Drawdown]]/MAX($B$2:B684)</f>
        <v>-0.34828862164662355</v>
      </c>
      <c r="H684" s="1" t="str">
        <f>IF(SUM(COUNTIF(Benchmark1[Benchmark '#1 Dates],Comp1[[#This Row],[Comparable '#1 Dates]]),COUNTIF(Benchmark2[Benchmark '#2 Dates],Comp1[[#This Row],[Comparable '#1 Dates]]))=2,"Pass","Fail")</f>
        <v>Pass</v>
      </c>
      <c r="I684" s="1">
        <f>IFERROR(Comp1[[#This Row],[Comparable '#1 Return]]-INDEX(Benchmark1[Benchmark '#1 Return],MATCH(Comp1[[#This Row],[Comparable '#1 Dates]],Benchmark1[Benchmark '#1 Dates],0)),"-")</f>
        <v>-1.1602146608724086E-2</v>
      </c>
      <c r="L684" s="72">
        <f>Comp1[[#This Row],[Comparable '#1 Price]]/$B$2*100</f>
        <v>96.440793976728273</v>
      </c>
    </row>
    <row r="685" spans="1:12">
      <c r="A685" s="103">
        <v>44278</v>
      </c>
      <c r="B685" s="104">
        <v>13.73</v>
      </c>
      <c r="C685" s="4">
        <f t="shared" si="20"/>
        <v>-2.5882106130709074E-2</v>
      </c>
      <c r="D685" s="1">
        <f>IFERROR(Comp1[[#This Row],[Comparable '#1 Return]]+1,"-")</f>
        <v>0.97411789386929093</v>
      </c>
      <c r="E685" s="6">
        <f>B685-MAX($B$2:B685)</f>
        <v>-7.8900000000000006</v>
      </c>
      <c r="F685" s="80">
        <f t="shared" si="21"/>
        <v>288</v>
      </c>
      <c r="G685" s="22" cm="1">
        <f t="array" ref="G685">Comp1[[#This Row],[Comparable '#1 Drawdown]]/MAX($B$2:B685)</f>
        <v>-0.36493987049028676</v>
      </c>
      <c r="H685" s="1" t="str">
        <f>IF(SUM(COUNTIF(Benchmark1[Benchmark '#1 Dates],Comp1[[#This Row],[Comparable '#1 Dates]]),COUNTIF(Benchmark2[Benchmark '#2 Dates],Comp1[[#This Row],[Comparable '#1 Dates]]))=2,"Pass","Fail")</f>
        <v>Pass</v>
      </c>
      <c r="I685" s="1">
        <f>IFERROR(Comp1[[#This Row],[Comparable '#1 Return]]-INDEX(Benchmark1[Benchmark '#1 Return],MATCH(Comp1[[#This Row],[Comparable '#1 Dates]],Benchmark1[Benchmark '#1 Dates],0)),"-")</f>
        <v>-1.8222149179223004E-2</v>
      </c>
      <c r="L685" s="72">
        <f>Comp1[[#This Row],[Comparable '#1 Price]]/$B$2*100</f>
        <v>93.976728268309387</v>
      </c>
    </row>
    <row r="686" spans="1:12">
      <c r="A686" s="103">
        <v>44279</v>
      </c>
      <c r="B686" s="104">
        <v>13.63</v>
      </c>
      <c r="C686" s="4">
        <f t="shared" si="20"/>
        <v>-7.3099740714383799E-3</v>
      </c>
      <c r="D686" s="1">
        <f>IFERROR(Comp1[[#This Row],[Comparable '#1 Return]]+1,"-")</f>
        <v>0.99269002592856159</v>
      </c>
      <c r="E686" s="6">
        <f>B686-MAX($B$2:B686)</f>
        <v>-7.99</v>
      </c>
      <c r="F686" s="80">
        <f t="shared" si="21"/>
        <v>289</v>
      </c>
      <c r="G686" s="22" cm="1">
        <f t="array" ref="G686">Comp1[[#This Row],[Comparable '#1 Drawdown]]/MAX($B$2:B686)</f>
        <v>-0.36956521739130432</v>
      </c>
      <c r="H686" s="1" t="str">
        <f>IF(SUM(COUNTIF(Benchmark1[Benchmark '#1 Dates],Comp1[[#This Row],[Comparable '#1 Dates]]),COUNTIF(Benchmark2[Benchmark '#2 Dates],Comp1[[#This Row],[Comparable '#1 Dates]]))=2,"Pass","Fail")</f>
        <v>Pass</v>
      </c>
      <c r="I686" s="1">
        <f>IFERROR(Comp1[[#This Row],[Comparable '#1 Return]]-INDEX(Benchmark1[Benchmark '#1 Return],MATCH(Comp1[[#This Row],[Comparable '#1 Dates]],Benchmark1[Benchmark '#1 Dates],0)),"-")</f>
        <v>-1.8292446848743498E-3</v>
      </c>
      <c r="L686" s="72">
        <f>Comp1[[#This Row],[Comparable '#1 Price]]/$B$2*100</f>
        <v>93.292265571526357</v>
      </c>
    </row>
    <row r="687" spans="1:12">
      <c r="A687" s="103">
        <v>44280</v>
      </c>
      <c r="B687" s="104">
        <v>13.59</v>
      </c>
      <c r="C687" s="4">
        <f t="shared" si="20"/>
        <v>-2.9390175453889605E-3</v>
      </c>
      <c r="D687" s="1">
        <f>IFERROR(Comp1[[#This Row],[Comparable '#1 Return]]+1,"-")</f>
        <v>0.99706098245461106</v>
      </c>
      <c r="E687" s="6">
        <f>B687-MAX($B$2:B687)</f>
        <v>-8.0300000000000011</v>
      </c>
      <c r="F687" s="80">
        <f t="shared" si="21"/>
        <v>290</v>
      </c>
      <c r="G687" s="22" cm="1">
        <f t="array" ref="G687">Comp1[[#This Row],[Comparable '#1 Drawdown]]/MAX($B$2:B687)</f>
        <v>-0.3714153561517114</v>
      </c>
      <c r="H687" s="1" t="str">
        <f>IF(SUM(COUNTIF(Benchmark1[Benchmark '#1 Dates],Comp1[[#This Row],[Comparable '#1 Dates]]),COUNTIF(Benchmark2[Benchmark '#2 Dates],Comp1[[#This Row],[Comparable '#1 Dates]]))=2,"Pass","Fail")</f>
        <v>Pass</v>
      </c>
      <c r="I687" s="1">
        <f>IFERROR(Comp1[[#This Row],[Comparable '#1 Return]]-INDEX(Benchmark1[Benchmark '#1 Return],MATCH(Comp1[[#This Row],[Comparable '#1 Dates]],Benchmark1[Benchmark '#1 Dates],0)),"-")</f>
        <v>-8.1639097352594284E-3</v>
      </c>
      <c r="L687" s="72">
        <f>Comp1[[#This Row],[Comparable '#1 Price]]/$B$2*100</f>
        <v>93.018480492813154</v>
      </c>
    </row>
    <row r="688" spans="1:12">
      <c r="A688" s="103">
        <v>44281</v>
      </c>
      <c r="B688" s="104">
        <v>13.96</v>
      </c>
      <c r="C688" s="4">
        <f t="shared" si="20"/>
        <v>2.6861869171174134E-2</v>
      </c>
      <c r="D688" s="1">
        <f>IFERROR(Comp1[[#This Row],[Comparable '#1 Return]]+1,"-")</f>
        <v>1.0268618691711742</v>
      </c>
      <c r="E688" s="6">
        <f>B688-MAX($B$2:B688)</f>
        <v>-7.66</v>
      </c>
      <c r="F688" s="80">
        <f t="shared" si="21"/>
        <v>291</v>
      </c>
      <c r="G688" s="22" cm="1">
        <f t="array" ref="G688">Comp1[[#This Row],[Comparable '#1 Drawdown]]/MAX($B$2:B688)</f>
        <v>-0.35430157261794631</v>
      </c>
      <c r="H688" s="1" t="str">
        <f>IF(SUM(COUNTIF(Benchmark1[Benchmark '#1 Dates],Comp1[[#This Row],[Comparable '#1 Dates]]),COUNTIF(Benchmark2[Benchmark '#2 Dates],Comp1[[#This Row],[Comparable '#1 Dates]]))=2,"Pass","Fail")</f>
        <v>Pass</v>
      </c>
      <c r="I688" s="1">
        <f>IFERROR(Comp1[[#This Row],[Comparable '#1 Return]]-INDEX(Benchmark1[Benchmark '#1 Return],MATCH(Comp1[[#This Row],[Comparable '#1 Dates]],Benchmark1[Benchmark '#1 Dates],0)),"-")</f>
        <v>1.03670931492339E-2</v>
      </c>
      <c r="L688" s="72">
        <f>Comp1[[#This Row],[Comparable '#1 Price]]/$B$2*100</f>
        <v>95.550992470910344</v>
      </c>
    </row>
    <row r="689" spans="1:12">
      <c r="A689" s="103">
        <v>44284</v>
      </c>
      <c r="B689" s="104">
        <v>13.63</v>
      </c>
      <c r="C689" s="4">
        <f t="shared" si="20"/>
        <v>-2.3922851625785176E-2</v>
      </c>
      <c r="D689" s="1">
        <f>IFERROR(Comp1[[#This Row],[Comparable '#1 Return]]+1,"-")</f>
        <v>0.97607714837421478</v>
      </c>
      <c r="E689" s="6">
        <f>B689-MAX($B$2:B689)</f>
        <v>-7.99</v>
      </c>
      <c r="F689" s="80">
        <f t="shared" si="21"/>
        <v>292</v>
      </c>
      <c r="G689" s="22" cm="1">
        <f t="array" ref="G689">Comp1[[#This Row],[Comparable '#1 Drawdown]]/MAX($B$2:B689)</f>
        <v>-0.36956521739130432</v>
      </c>
      <c r="H689" s="1" t="str">
        <f>IF(SUM(COUNTIF(Benchmark1[Benchmark '#1 Dates],Comp1[[#This Row],[Comparable '#1 Dates]]),COUNTIF(Benchmark2[Benchmark '#2 Dates],Comp1[[#This Row],[Comparable '#1 Dates]]))=2,"Pass","Fail")</f>
        <v>Pass</v>
      </c>
      <c r="I689" s="1">
        <f>IFERROR(Comp1[[#This Row],[Comparable '#1 Return]]-INDEX(Benchmark1[Benchmark '#1 Return],MATCH(Comp1[[#This Row],[Comparable '#1 Dates]],Benchmark1[Benchmark '#1 Dates],0)),"-")</f>
        <v>-2.3056430161994976E-2</v>
      </c>
      <c r="L689" s="72">
        <f>Comp1[[#This Row],[Comparable '#1 Price]]/$B$2*100</f>
        <v>93.292265571526357</v>
      </c>
    </row>
    <row r="690" spans="1:12">
      <c r="A690" s="103">
        <v>44285</v>
      </c>
      <c r="B690" s="104">
        <v>13.68</v>
      </c>
      <c r="C690" s="4">
        <f t="shared" si="20"/>
        <v>3.6616664859631738E-3</v>
      </c>
      <c r="D690" s="1">
        <f>IFERROR(Comp1[[#This Row],[Comparable '#1 Return]]+1,"-")</f>
        <v>1.0036616664859632</v>
      </c>
      <c r="E690" s="6">
        <f>B690-MAX($B$2:B690)</f>
        <v>-7.9400000000000013</v>
      </c>
      <c r="F690" s="80">
        <f t="shared" si="21"/>
        <v>293</v>
      </c>
      <c r="G690" s="22" cm="1">
        <f t="array" ref="G690">Comp1[[#This Row],[Comparable '#1 Drawdown]]/MAX($B$2:B690)</f>
        <v>-0.36725254394079559</v>
      </c>
      <c r="H690" s="1" t="str">
        <f>IF(SUM(COUNTIF(Benchmark1[Benchmark '#1 Dates],Comp1[[#This Row],[Comparable '#1 Dates]]),COUNTIF(Benchmark2[Benchmark '#2 Dates],Comp1[[#This Row],[Comparable '#1 Dates]]))=2,"Pass","Fail")</f>
        <v>Pass</v>
      </c>
      <c r="I690" s="1">
        <f>IFERROR(Comp1[[#This Row],[Comparable '#1 Return]]-INDEX(Benchmark1[Benchmark '#1 Return],MATCH(Comp1[[#This Row],[Comparable '#1 Dates]],Benchmark1[Benchmark '#1 Dates],0)),"-")</f>
        <v>6.8250900381492449E-3</v>
      </c>
      <c r="L690" s="72">
        <f>Comp1[[#This Row],[Comparable '#1 Price]]/$B$2*100</f>
        <v>93.634496919917865</v>
      </c>
    </row>
    <row r="691" spans="1:12">
      <c r="A691" s="103">
        <v>44286</v>
      </c>
      <c r="B691" s="104">
        <v>13.59</v>
      </c>
      <c r="C691" s="4">
        <f t="shared" si="20"/>
        <v>-6.6006840313520242E-3</v>
      </c>
      <c r="D691" s="1">
        <f>IFERROR(Comp1[[#This Row],[Comparable '#1 Return]]+1,"-")</f>
        <v>0.99339931596864794</v>
      </c>
      <c r="E691" s="6">
        <f>B691-MAX($B$2:B691)</f>
        <v>-8.0300000000000011</v>
      </c>
      <c r="F691" s="80">
        <f t="shared" si="21"/>
        <v>294</v>
      </c>
      <c r="G691" s="22" cm="1">
        <f t="array" ref="G691">Comp1[[#This Row],[Comparable '#1 Drawdown]]/MAX($B$2:B691)</f>
        <v>-0.3714153561517114</v>
      </c>
      <c r="H691" s="1" t="str">
        <f>IF(SUM(COUNTIF(Benchmark1[Benchmark '#1 Dates],Comp1[[#This Row],[Comparable '#1 Dates]]),COUNTIF(Benchmark2[Benchmark '#2 Dates],Comp1[[#This Row],[Comparable '#1 Dates]]))=2,"Pass","Fail")</f>
        <v>Pass</v>
      </c>
      <c r="I691" s="1">
        <f>IFERROR(Comp1[[#This Row],[Comparable '#1 Return]]-INDEX(Benchmark1[Benchmark '#1 Return],MATCH(Comp1[[#This Row],[Comparable '#1 Dates]],Benchmark1[Benchmark '#1 Dates],0)),"-")</f>
        <v>-1.0216643055257643E-2</v>
      </c>
      <c r="L691" s="72">
        <f>Comp1[[#This Row],[Comparable '#1 Price]]/$B$2*100</f>
        <v>93.018480492813154</v>
      </c>
    </row>
    <row r="692" spans="1:12">
      <c r="A692" s="103">
        <v>44287</v>
      </c>
      <c r="B692" s="104">
        <v>13.96</v>
      </c>
      <c r="C692" s="4">
        <f t="shared" si="20"/>
        <v>2.6861869171174134E-2</v>
      </c>
      <c r="D692" s="1">
        <f>IFERROR(Comp1[[#This Row],[Comparable '#1 Return]]+1,"-")</f>
        <v>1.0268618691711742</v>
      </c>
      <c r="E692" s="6">
        <f>B692-MAX($B$2:B692)</f>
        <v>-7.66</v>
      </c>
      <c r="F692" s="80">
        <f t="shared" si="21"/>
        <v>295</v>
      </c>
      <c r="G692" s="22" cm="1">
        <f t="array" ref="G692">Comp1[[#This Row],[Comparable '#1 Drawdown]]/MAX($B$2:B692)</f>
        <v>-0.35430157261794631</v>
      </c>
      <c r="H692" s="1" t="str">
        <f>IF(SUM(COUNTIF(Benchmark1[Benchmark '#1 Dates],Comp1[[#This Row],[Comparable '#1 Dates]]),COUNTIF(Benchmark2[Benchmark '#2 Dates],Comp1[[#This Row],[Comparable '#1 Dates]]))=2,"Pass","Fail")</f>
        <v>Pass</v>
      </c>
      <c r="I692" s="1">
        <f>IFERROR(Comp1[[#This Row],[Comparable '#1 Return]]-INDEX(Benchmark1[Benchmark '#1 Return],MATCH(Comp1[[#This Row],[Comparable '#1 Dates]],Benchmark1[Benchmark '#1 Dates],0)),"-")</f>
        <v>1.5107783936955221E-2</v>
      </c>
      <c r="L692" s="72">
        <f>Comp1[[#This Row],[Comparable '#1 Price]]/$B$2*100</f>
        <v>95.550992470910344</v>
      </c>
    </row>
    <row r="693" spans="1:12">
      <c r="A693" s="103">
        <v>44291</v>
      </c>
      <c r="B693" s="104">
        <v>14</v>
      </c>
      <c r="C693" s="4">
        <f t="shared" si="20"/>
        <v>2.8612322810321949E-3</v>
      </c>
      <c r="D693" s="1">
        <f>IFERROR(Comp1[[#This Row],[Comparable '#1 Return]]+1,"-")</f>
        <v>1.0028612322810322</v>
      </c>
      <c r="E693" s="6">
        <f>B693-MAX($B$2:B693)</f>
        <v>-7.620000000000001</v>
      </c>
      <c r="F693" s="80">
        <f t="shared" si="21"/>
        <v>296</v>
      </c>
      <c r="G693" s="22" cm="1">
        <f t="array" ref="G693">Comp1[[#This Row],[Comparable '#1 Drawdown]]/MAX($B$2:B693)</f>
        <v>-0.35245143385753935</v>
      </c>
      <c r="H693" s="1" t="str">
        <f>IF(SUM(COUNTIF(Benchmark1[Benchmark '#1 Dates],Comp1[[#This Row],[Comparable '#1 Dates]]),COUNTIF(Benchmark2[Benchmark '#2 Dates],Comp1[[#This Row],[Comparable '#1 Dates]]))=2,"Pass","Fail")</f>
        <v>Pass</v>
      </c>
      <c r="I693" s="1">
        <f>IFERROR(Comp1[[#This Row],[Comparable '#1 Return]]-INDEX(Benchmark1[Benchmark '#1 Return],MATCH(Comp1[[#This Row],[Comparable '#1 Dates]],Benchmark1[Benchmark '#1 Dates],0)),"-")</f>
        <v>-1.1475847105688212E-2</v>
      </c>
      <c r="L693" s="72">
        <f>Comp1[[#This Row],[Comparable '#1 Price]]/$B$2*100</f>
        <v>95.824777549623548</v>
      </c>
    </row>
    <row r="694" spans="1:12">
      <c r="A694" s="103">
        <v>44292</v>
      </c>
      <c r="B694" s="104">
        <v>13.9</v>
      </c>
      <c r="C694" s="4">
        <f t="shared" si="20"/>
        <v>-7.168489478612516E-3</v>
      </c>
      <c r="D694" s="1">
        <f>IFERROR(Comp1[[#This Row],[Comparable '#1 Return]]+1,"-")</f>
        <v>0.99283151052138752</v>
      </c>
      <c r="E694" s="6">
        <f>B694-MAX($B$2:B694)</f>
        <v>-7.7200000000000006</v>
      </c>
      <c r="F694" s="80">
        <f t="shared" si="21"/>
        <v>297</v>
      </c>
      <c r="G694" s="22" cm="1">
        <f t="array" ref="G694">Comp1[[#This Row],[Comparable '#1 Drawdown]]/MAX($B$2:B694)</f>
        <v>-0.35707678075855692</v>
      </c>
      <c r="H694" s="1" t="str">
        <f>IF(SUM(COUNTIF(Benchmark1[Benchmark '#1 Dates],Comp1[[#This Row],[Comparable '#1 Dates]]),COUNTIF(Benchmark2[Benchmark '#2 Dates],Comp1[[#This Row],[Comparable '#1 Dates]]))=2,"Pass","Fail")</f>
        <v>Pass</v>
      </c>
      <c r="I694" s="1">
        <f>IFERROR(Comp1[[#This Row],[Comparable '#1 Return]]-INDEX(Benchmark1[Benchmark '#1 Return],MATCH(Comp1[[#This Row],[Comparable '#1 Dates]],Benchmark1[Benchmark '#1 Dates],0)),"-")</f>
        <v>-6.1937334307189265E-3</v>
      </c>
      <c r="L694" s="72">
        <f>Comp1[[#This Row],[Comparable '#1 Price]]/$B$2*100</f>
        <v>95.140314852840518</v>
      </c>
    </row>
    <row r="695" spans="1:12">
      <c r="A695" s="103">
        <v>44293</v>
      </c>
      <c r="B695" s="104">
        <v>13.33</v>
      </c>
      <c r="C695" s="4">
        <f t="shared" si="20"/>
        <v>-4.1871705946028757E-2</v>
      </c>
      <c r="D695" s="1">
        <f>IFERROR(Comp1[[#This Row],[Comparable '#1 Return]]+1,"-")</f>
        <v>0.95812829405397126</v>
      </c>
      <c r="E695" s="6">
        <f>B695-MAX($B$2:B695)</f>
        <v>-8.2900000000000009</v>
      </c>
      <c r="F695" s="80">
        <f t="shared" si="21"/>
        <v>298</v>
      </c>
      <c r="G695" s="22" cm="1">
        <f t="array" ref="G695">Comp1[[#This Row],[Comparable '#1 Drawdown]]/MAX($B$2:B695)</f>
        <v>-0.38344125809435708</v>
      </c>
      <c r="H695" s="1" t="str">
        <f>IF(SUM(COUNTIF(Benchmark1[Benchmark '#1 Dates],Comp1[[#This Row],[Comparable '#1 Dates]]),COUNTIF(Benchmark2[Benchmark '#2 Dates],Comp1[[#This Row],[Comparable '#1 Dates]]))=2,"Pass","Fail")</f>
        <v>Pass</v>
      </c>
      <c r="I695" s="1">
        <f>IFERROR(Comp1[[#This Row],[Comparable '#1 Return]]-INDEX(Benchmark1[Benchmark '#1 Return],MATCH(Comp1[[#This Row],[Comparable '#1 Dates]],Benchmark1[Benchmark '#1 Dates],0)),"-")</f>
        <v>-4.3346402430060105E-2</v>
      </c>
      <c r="L695" s="72">
        <f>Comp1[[#This Row],[Comparable '#1 Price]]/$B$2*100</f>
        <v>91.238877481177283</v>
      </c>
    </row>
    <row r="696" spans="1:12">
      <c r="A696" s="103">
        <v>44294</v>
      </c>
      <c r="B696" s="104">
        <v>13.27</v>
      </c>
      <c r="C696" s="4">
        <f t="shared" si="20"/>
        <v>-4.5112858465012366E-3</v>
      </c>
      <c r="D696" s="1">
        <f>IFERROR(Comp1[[#This Row],[Comparable '#1 Return]]+1,"-")</f>
        <v>0.99548871415349871</v>
      </c>
      <c r="E696" s="6">
        <f>B696-MAX($B$2:B696)</f>
        <v>-8.3500000000000014</v>
      </c>
      <c r="F696" s="80">
        <f t="shared" si="21"/>
        <v>299</v>
      </c>
      <c r="G696" s="22" cm="1">
        <f t="array" ref="G696">Comp1[[#This Row],[Comparable '#1 Drawdown]]/MAX($B$2:B696)</f>
        <v>-0.38621646623496769</v>
      </c>
      <c r="H696" s="1" t="str">
        <f>IF(SUM(COUNTIF(Benchmark1[Benchmark '#1 Dates],Comp1[[#This Row],[Comparable '#1 Dates]]),COUNTIF(Benchmark2[Benchmark '#2 Dates],Comp1[[#This Row],[Comparable '#1 Dates]]))=2,"Pass","Fail")</f>
        <v>Pass</v>
      </c>
      <c r="I696" s="1">
        <f>IFERROR(Comp1[[#This Row],[Comparable '#1 Return]]-INDEX(Benchmark1[Benchmark '#1 Return],MATCH(Comp1[[#This Row],[Comparable '#1 Dates]],Benchmark1[Benchmark '#1 Dates],0)),"-")</f>
        <v>-8.7218500231990206E-3</v>
      </c>
      <c r="L696" s="72">
        <f>Comp1[[#This Row],[Comparable '#1 Price]]/$B$2*100</f>
        <v>90.828199863107457</v>
      </c>
    </row>
    <row r="697" spans="1:12">
      <c r="A697" s="103">
        <v>44295</v>
      </c>
      <c r="B697" s="104">
        <v>13.18</v>
      </c>
      <c r="C697" s="4">
        <f t="shared" si="20"/>
        <v>-6.8053192697549265E-3</v>
      </c>
      <c r="D697" s="1">
        <f>IFERROR(Comp1[[#This Row],[Comparable '#1 Return]]+1,"-")</f>
        <v>0.99319468073024508</v>
      </c>
      <c r="E697" s="6">
        <f>B697-MAX($B$2:B697)</f>
        <v>-8.4400000000000013</v>
      </c>
      <c r="F697" s="80">
        <f t="shared" si="21"/>
        <v>300</v>
      </c>
      <c r="G697" s="22" cm="1">
        <f t="array" ref="G697">Comp1[[#This Row],[Comparable '#1 Drawdown]]/MAX($B$2:B697)</f>
        <v>-0.39037927844588349</v>
      </c>
      <c r="H697" s="1" t="str">
        <f>IF(SUM(COUNTIF(Benchmark1[Benchmark '#1 Dates],Comp1[[#This Row],[Comparable '#1 Dates]]),COUNTIF(Benchmark2[Benchmark '#2 Dates],Comp1[[#This Row],[Comparable '#1 Dates]]))=2,"Pass","Fail")</f>
        <v>Pass</v>
      </c>
      <c r="I697" s="1">
        <f>IFERROR(Comp1[[#This Row],[Comparable '#1 Return]]-INDEX(Benchmark1[Benchmark '#1 Return],MATCH(Comp1[[#This Row],[Comparable '#1 Dates]],Benchmark1[Benchmark '#1 Dates],0)),"-")</f>
        <v>-1.4496616192616503E-2</v>
      </c>
      <c r="L697" s="72">
        <f>Comp1[[#This Row],[Comparable '#1 Price]]/$B$2*100</f>
        <v>90.212183436002732</v>
      </c>
    </row>
    <row r="698" spans="1:12">
      <c r="A698" s="103">
        <v>44298</v>
      </c>
      <c r="B698" s="104">
        <v>13.23</v>
      </c>
      <c r="C698" s="4">
        <f t="shared" si="20"/>
        <v>3.786449052503262E-3</v>
      </c>
      <c r="D698" s="1">
        <f>IFERROR(Comp1[[#This Row],[Comparable '#1 Return]]+1,"-")</f>
        <v>1.0037864490525032</v>
      </c>
      <c r="E698" s="6">
        <f>B698-MAX($B$2:B698)</f>
        <v>-8.39</v>
      </c>
      <c r="F698" s="80">
        <f t="shared" si="21"/>
        <v>301</v>
      </c>
      <c r="G698" s="22" cm="1">
        <f t="array" ref="G698">Comp1[[#This Row],[Comparable '#1 Drawdown]]/MAX($B$2:B698)</f>
        <v>-0.38806660499537465</v>
      </c>
      <c r="H698" s="1" t="str">
        <f>IF(SUM(COUNTIF(Benchmark1[Benchmark '#1 Dates],Comp1[[#This Row],[Comparable '#1 Dates]]),COUNTIF(Benchmark2[Benchmark '#2 Dates],Comp1[[#This Row],[Comparable '#1 Dates]]))=2,"Pass","Fail")</f>
        <v>Pass</v>
      </c>
      <c r="I698" s="1">
        <f>IFERROR(Comp1[[#This Row],[Comparable '#1 Return]]-INDEX(Benchmark1[Benchmark '#1 Return],MATCH(Comp1[[#This Row],[Comparable '#1 Dates]],Benchmark1[Benchmark '#1 Dates],0)),"-")</f>
        <v>3.9823714754981627E-3</v>
      </c>
      <c r="L698" s="72">
        <f>Comp1[[#This Row],[Comparable '#1 Price]]/$B$2*100</f>
        <v>90.554414784394254</v>
      </c>
    </row>
    <row r="699" spans="1:12">
      <c r="A699" s="103">
        <v>44299</v>
      </c>
      <c r="B699" s="104">
        <v>13.04</v>
      </c>
      <c r="C699" s="4">
        <f t="shared" si="20"/>
        <v>-1.4465421628357527E-2</v>
      </c>
      <c r="D699" s="1">
        <f>IFERROR(Comp1[[#This Row],[Comparable '#1 Return]]+1,"-")</f>
        <v>0.98553457837164249</v>
      </c>
      <c r="E699" s="6">
        <f>B699-MAX($B$2:B699)</f>
        <v>-8.5800000000000018</v>
      </c>
      <c r="F699" s="80">
        <f t="shared" si="21"/>
        <v>302</v>
      </c>
      <c r="G699" s="22" cm="1">
        <f t="array" ref="G699">Comp1[[#This Row],[Comparable '#1 Drawdown]]/MAX($B$2:B699)</f>
        <v>-0.39685476410730813</v>
      </c>
      <c r="H699" s="1" t="str">
        <f>IF(SUM(COUNTIF(Benchmark1[Benchmark '#1 Dates],Comp1[[#This Row],[Comparable '#1 Dates]]),COUNTIF(Benchmark2[Benchmark '#2 Dates],Comp1[[#This Row],[Comparable '#1 Dates]]))=2,"Pass","Fail")</f>
        <v>Pass</v>
      </c>
      <c r="I699" s="1">
        <f>IFERROR(Comp1[[#This Row],[Comparable '#1 Return]]-INDEX(Benchmark1[Benchmark '#1 Return],MATCH(Comp1[[#This Row],[Comparable '#1 Dates]],Benchmark1[Benchmark '#1 Dates],0)),"-")</f>
        <v>-1.7754712274454066E-2</v>
      </c>
      <c r="L699" s="72">
        <f>Comp1[[#This Row],[Comparable '#1 Price]]/$B$2*100</f>
        <v>89.2539356605065</v>
      </c>
    </row>
    <row r="700" spans="1:12">
      <c r="A700" s="103">
        <v>44300</v>
      </c>
      <c r="B700" s="104">
        <v>13.08</v>
      </c>
      <c r="C700" s="4">
        <f t="shared" si="20"/>
        <v>3.0627895305457308E-3</v>
      </c>
      <c r="D700" s="1">
        <f>IFERROR(Comp1[[#This Row],[Comparable '#1 Return]]+1,"-")</f>
        <v>1.0030627895305457</v>
      </c>
      <c r="E700" s="6">
        <f>B700-MAX($B$2:B700)</f>
        <v>-8.5400000000000009</v>
      </c>
      <c r="F700" s="80">
        <f t="shared" si="21"/>
        <v>303</v>
      </c>
      <c r="G700" s="22" cm="1">
        <f t="array" ref="G700">Comp1[[#This Row],[Comparable '#1 Drawdown]]/MAX($B$2:B700)</f>
        <v>-0.39500462534690106</v>
      </c>
      <c r="H700" s="1" t="str">
        <f>IF(SUM(COUNTIF(Benchmark1[Benchmark '#1 Dates],Comp1[[#This Row],[Comparable '#1 Dates]]),COUNTIF(Benchmark2[Benchmark '#2 Dates],Comp1[[#This Row],[Comparable '#1 Dates]]))=2,"Pass","Fail")</f>
        <v>Pass</v>
      </c>
      <c r="I700" s="1">
        <f>IFERROR(Comp1[[#This Row],[Comparable '#1 Return]]-INDEX(Benchmark1[Benchmark '#1 Return],MATCH(Comp1[[#This Row],[Comparable '#1 Dates]],Benchmark1[Benchmark '#1 Dates],0)),"-")</f>
        <v>7.1597245345897103E-3</v>
      </c>
      <c r="L700" s="72">
        <f>Comp1[[#This Row],[Comparable '#1 Price]]/$B$2*100</f>
        <v>89.527720739219717</v>
      </c>
    </row>
    <row r="701" spans="1:12">
      <c r="A701" s="103">
        <v>44301</v>
      </c>
      <c r="B701" s="104">
        <v>13.34</v>
      </c>
      <c r="C701" s="4">
        <f t="shared" si="20"/>
        <v>1.968269445842508E-2</v>
      </c>
      <c r="D701" s="1">
        <f>IFERROR(Comp1[[#This Row],[Comparable '#1 Return]]+1,"-")</f>
        <v>1.0196826944584252</v>
      </c>
      <c r="E701" s="6">
        <f>B701-MAX($B$2:B701)</f>
        <v>-8.2800000000000011</v>
      </c>
      <c r="F701" s="80">
        <f t="shared" si="21"/>
        <v>304</v>
      </c>
      <c r="G701" s="22" cm="1">
        <f t="array" ref="G701">Comp1[[#This Row],[Comparable '#1 Drawdown]]/MAX($B$2:B701)</f>
        <v>-0.38297872340425537</v>
      </c>
      <c r="H701" s="1" t="str">
        <f>IF(SUM(COUNTIF(Benchmark1[Benchmark '#1 Dates],Comp1[[#This Row],[Comparable '#1 Dates]]),COUNTIF(Benchmark2[Benchmark '#2 Dates],Comp1[[#This Row],[Comparable '#1 Dates]]))=2,"Pass","Fail")</f>
        <v>Pass</v>
      </c>
      <c r="I701" s="1">
        <f>IFERROR(Comp1[[#This Row],[Comparable '#1 Return]]-INDEX(Benchmark1[Benchmark '#1 Return],MATCH(Comp1[[#This Row],[Comparable '#1 Dates]],Benchmark1[Benchmark '#1 Dates],0)),"-")</f>
        <v>8.6490201541718839E-3</v>
      </c>
      <c r="L701" s="72">
        <f>Comp1[[#This Row],[Comparable '#1 Price]]/$B$2*100</f>
        <v>91.307323750855588</v>
      </c>
    </row>
    <row r="702" spans="1:12">
      <c r="A702" s="103">
        <v>44302</v>
      </c>
      <c r="B702" s="104">
        <v>13.42</v>
      </c>
      <c r="C702" s="4">
        <f t="shared" si="20"/>
        <v>5.9790910560580095E-3</v>
      </c>
      <c r="D702" s="1">
        <f>IFERROR(Comp1[[#This Row],[Comparable '#1 Return]]+1,"-")</f>
        <v>1.005979091056058</v>
      </c>
      <c r="E702" s="6">
        <f>B702-MAX($B$2:B702)</f>
        <v>-8.2000000000000011</v>
      </c>
      <c r="F702" s="80">
        <f t="shared" si="21"/>
        <v>305</v>
      </c>
      <c r="G702" s="22" cm="1">
        <f t="array" ref="G702">Comp1[[#This Row],[Comparable '#1 Drawdown]]/MAX($B$2:B702)</f>
        <v>-0.37927844588344128</v>
      </c>
      <c r="H702" s="1" t="str">
        <f>IF(SUM(COUNTIF(Benchmark1[Benchmark '#1 Dates],Comp1[[#This Row],[Comparable '#1 Dates]]),COUNTIF(Benchmark2[Benchmark '#2 Dates],Comp1[[#This Row],[Comparable '#1 Dates]]))=2,"Pass","Fail")</f>
        <v>Pass</v>
      </c>
      <c r="I702" s="1">
        <f>IFERROR(Comp1[[#This Row],[Comparable '#1 Return]]-INDEX(Benchmark1[Benchmark '#1 Return],MATCH(Comp1[[#This Row],[Comparable '#1 Dates]],Benchmark1[Benchmark '#1 Dates],0)),"-")</f>
        <v>2.3778147119675385E-3</v>
      </c>
      <c r="L702" s="72">
        <f>Comp1[[#This Row],[Comparable '#1 Price]]/$B$2*100</f>
        <v>91.854893908281994</v>
      </c>
    </row>
    <row r="703" spans="1:12">
      <c r="A703" s="103">
        <v>44305</v>
      </c>
      <c r="B703" s="104">
        <v>13.06</v>
      </c>
      <c r="C703" s="4">
        <f t="shared" si="20"/>
        <v>-2.719200769525066E-2</v>
      </c>
      <c r="D703" s="1">
        <f>IFERROR(Comp1[[#This Row],[Comparable '#1 Return]]+1,"-")</f>
        <v>0.97280799230474935</v>
      </c>
      <c r="E703" s="6">
        <f>B703-MAX($B$2:B703)</f>
        <v>-8.56</v>
      </c>
      <c r="F703" s="80">
        <f t="shared" si="21"/>
        <v>306</v>
      </c>
      <c r="G703" s="22" cm="1">
        <f t="array" ref="G703">Comp1[[#This Row],[Comparable '#1 Drawdown]]/MAX($B$2:B703)</f>
        <v>-0.39592969472710454</v>
      </c>
      <c r="H703" s="1" t="str">
        <f>IF(SUM(COUNTIF(Benchmark1[Benchmark '#1 Dates],Comp1[[#This Row],[Comparable '#1 Dates]]),COUNTIF(Benchmark2[Benchmark '#2 Dates],Comp1[[#This Row],[Comparable '#1 Dates]]))=2,"Pass","Fail")</f>
        <v>Pass</v>
      </c>
      <c r="I703" s="1">
        <f>IFERROR(Comp1[[#This Row],[Comparable '#1 Return]]-INDEX(Benchmark1[Benchmark '#1 Return],MATCH(Comp1[[#This Row],[Comparable '#1 Dates]],Benchmark1[Benchmark '#1 Dates],0)),"-")</f>
        <v>-2.1871275985300583E-2</v>
      </c>
      <c r="L703" s="72">
        <f>Comp1[[#This Row],[Comparable '#1 Price]]/$B$2*100</f>
        <v>89.390828199863108</v>
      </c>
    </row>
    <row r="704" spans="1:12">
      <c r="A704" s="103">
        <v>44306</v>
      </c>
      <c r="B704" s="104">
        <v>12.86</v>
      </c>
      <c r="C704" s="4">
        <f t="shared" si="20"/>
        <v>-1.5432405038811752E-2</v>
      </c>
      <c r="D704" s="1">
        <f>IFERROR(Comp1[[#This Row],[Comparable '#1 Return]]+1,"-")</f>
        <v>0.98456759496118829</v>
      </c>
      <c r="E704" s="6">
        <f>B704-MAX($B$2:B704)</f>
        <v>-8.7600000000000016</v>
      </c>
      <c r="F704" s="80">
        <f t="shared" si="21"/>
        <v>307</v>
      </c>
      <c r="G704" s="22" cm="1">
        <f t="array" ref="G704">Comp1[[#This Row],[Comparable '#1 Drawdown]]/MAX($B$2:B704)</f>
        <v>-0.40518038852913973</v>
      </c>
      <c r="H704" s="1" t="str">
        <f>IF(SUM(COUNTIF(Benchmark1[Benchmark '#1 Dates],Comp1[[#This Row],[Comparable '#1 Dates]]),COUNTIF(Benchmark2[Benchmark '#2 Dates],Comp1[[#This Row],[Comparable '#1 Dates]]))=2,"Pass","Fail")</f>
        <v>Pass</v>
      </c>
      <c r="I704" s="1">
        <f>IFERROR(Comp1[[#This Row],[Comparable '#1 Return]]-INDEX(Benchmark1[Benchmark '#1 Return],MATCH(Comp1[[#This Row],[Comparable '#1 Dates]],Benchmark1[Benchmark '#1 Dates],0)),"-")</f>
        <v>-8.6071202875097966E-3</v>
      </c>
      <c r="L704" s="72">
        <f>Comp1[[#This Row],[Comparable '#1 Price]]/$B$2*100</f>
        <v>88.021902806297064</v>
      </c>
    </row>
    <row r="705" spans="1:12">
      <c r="A705" s="103">
        <v>44307</v>
      </c>
      <c r="B705" s="104">
        <v>12.85</v>
      </c>
      <c r="C705" s="4">
        <f t="shared" si="20"/>
        <v>-7.7790746824445926E-4</v>
      </c>
      <c r="D705" s="1">
        <f>IFERROR(Comp1[[#This Row],[Comparable '#1 Return]]+1,"-")</f>
        <v>0.99922209253175553</v>
      </c>
      <c r="E705" s="6">
        <f>B705-MAX($B$2:B705)</f>
        <v>-8.7700000000000014</v>
      </c>
      <c r="F705" s="80">
        <f t="shared" si="21"/>
        <v>308</v>
      </c>
      <c r="G705" s="22" cm="1">
        <f t="array" ref="G705">Comp1[[#This Row],[Comparable '#1 Drawdown]]/MAX($B$2:B705)</f>
        <v>-0.4056429232192415</v>
      </c>
      <c r="H705" s="1" t="str">
        <f>IF(SUM(COUNTIF(Benchmark1[Benchmark '#1 Dates],Comp1[[#This Row],[Comparable '#1 Dates]]),COUNTIF(Benchmark2[Benchmark '#2 Dates],Comp1[[#This Row],[Comparable '#1 Dates]]))=2,"Pass","Fail")</f>
        <v>Pass</v>
      </c>
      <c r="I705" s="1">
        <f>IFERROR(Comp1[[#This Row],[Comparable '#1 Return]]-INDEX(Benchmark1[Benchmark '#1 Return],MATCH(Comp1[[#This Row],[Comparable '#1 Dates]],Benchmark1[Benchmark '#1 Dates],0)),"-")</f>
        <v>-1.0041445574900488E-2</v>
      </c>
      <c r="L705" s="72">
        <f>Comp1[[#This Row],[Comparable '#1 Price]]/$B$2*100</f>
        <v>87.953456536618759</v>
      </c>
    </row>
    <row r="706" spans="1:12">
      <c r="A706" s="103">
        <v>44308</v>
      </c>
      <c r="B706" s="104">
        <v>12.16</v>
      </c>
      <c r="C706" s="4">
        <f t="shared" ref="C706:C769" si="22">IFERROR(IF(B706="","-",LN(B706/B705)),"-")</f>
        <v>-5.5191934803207769E-2</v>
      </c>
      <c r="D706" s="1">
        <f>IFERROR(Comp1[[#This Row],[Comparable '#1 Return]]+1,"-")</f>
        <v>0.94480806519679228</v>
      </c>
      <c r="E706" s="6">
        <f>B706-MAX($B$2:B706)</f>
        <v>-9.4600000000000009</v>
      </c>
      <c r="F706" s="80">
        <f t="shared" ref="F706:F769" si="23">IF(E706=0,0,F705+1)</f>
        <v>309</v>
      </c>
      <c r="G706" s="22" cm="1">
        <f t="array" ref="G706">Comp1[[#This Row],[Comparable '#1 Drawdown]]/MAX($B$2:B706)</f>
        <v>-0.43755781683626271</v>
      </c>
      <c r="H706" s="1" t="str">
        <f>IF(SUM(COUNTIF(Benchmark1[Benchmark '#1 Dates],Comp1[[#This Row],[Comparable '#1 Dates]]),COUNTIF(Benchmark2[Benchmark '#2 Dates],Comp1[[#This Row],[Comparable '#1 Dates]]))=2,"Pass","Fail")</f>
        <v>Pass</v>
      </c>
      <c r="I706" s="1">
        <f>IFERROR(Comp1[[#This Row],[Comparable '#1 Return]]-INDEX(Benchmark1[Benchmark '#1 Return],MATCH(Comp1[[#This Row],[Comparable '#1 Dates]],Benchmark1[Benchmark '#1 Dates],0)),"-")</f>
        <v>-4.5938611985146552E-2</v>
      </c>
      <c r="L706" s="72">
        <f>Comp1[[#This Row],[Comparable '#1 Price]]/$B$2*100</f>
        <v>83.230663928815886</v>
      </c>
    </row>
    <row r="707" spans="1:12">
      <c r="A707" s="103">
        <v>44309</v>
      </c>
      <c r="B707" s="104">
        <v>12.47</v>
      </c>
      <c r="C707" s="4">
        <f t="shared" si="22"/>
        <v>2.517388315392419E-2</v>
      </c>
      <c r="D707" s="1">
        <f>IFERROR(Comp1[[#This Row],[Comparable '#1 Return]]+1,"-")</f>
        <v>1.0251738831539241</v>
      </c>
      <c r="E707" s="6">
        <f>B707-MAX($B$2:B707)</f>
        <v>-9.15</v>
      </c>
      <c r="F707" s="80">
        <f t="shared" si="23"/>
        <v>310</v>
      </c>
      <c r="G707" s="22" cm="1">
        <f t="array" ref="G707">Comp1[[#This Row],[Comparable '#1 Drawdown]]/MAX($B$2:B707)</f>
        <v>-0.42321924144310824</v>
      </c>
      <c r="H707" s="1" t="str">
        <f>IF(SUM(COUNTIF(Benchmark1[Benchmark '#1 Dates],Comp1[[#This Row],[Comparable '#1 Dates]]),COUNTIF(Benchmark2[Benchmark '#2 Dates],Comp1[[#This Row],[Comparable '#1 Dates]]))=2,"Pass","Fail")</f>
        <v>Pass</v>
      </c>
      <c r="I707" s="1">
        <f>IFERROR(Comp1[[#This Row],[Comparable '#1 Return]]-INDEX(Benchmark1[Benchmark '#1 Return],MATCH(Comp1[[#This Row],[Comparable '#1 Dates]],Benchmark1[Benchmark '#1 Dates],0)),"-")</f>
        <v>1.4305489531954006E-2</v>
      </c>
      <c r="L707" s="72">
        <f>Comp1[[#This Row],[Comparable '#1 Price]]/$B$2*100</f>
        <v>85.352498288843265</v>
      </c>
    </row>
    <row r="708" spans="1:12">
      <c r="A708" s="103">
        <v>44312</v>
      </c>
      <c r="B708" s="104">
        <v>12.42</v>
      </c>
      <c r="C708" s="4">
        <f t="shared" si="22"/>
        <v>-4.0176831866124184E-3</v>
      </c>
      <c r="D708" s="1">
        <f>IFERROR(Comp1[[#This Row],[Comparable '#1 Return]]+1,"-")</f>
        <v>0.99598231681338756</v>
      </c>
      <c r="E708" s="6">
        <f>B708-MAX($B$2:B708)</f>
        <v>-9.2000000000000011</v>
      </c>
      <c r="F708" s="80">
        <f t="shared" si="23"/>
        <v>311</v>
      </c>
      <c r="G708" s="22" cm="1">
        <f t="array" ref="G708">Comp1[[#This Row],[Comparable '#1 Drawdown]]/MAX($B$2:B708)</f>
        <v>-0.42553191489361702</v>
      </c>
      <c r="H708" s="1" t="str">
        <f>IF(SUM(COUNTIF(Benchmark1[Benchmark '#1 Dates],Comp1[[#This Row],[Comparable '#1 Dates]]),COUNTIF(Benchmark2[Benchmark '#2 Dates],Comp1[[#This Row],[Comparable '#1 Dates]]))=2,"Pass","Fail")</f>
        <v>Pass</v>
      </c>
      <c r="I708" s="1">
        <f>IFERROR(Comp1[[#This Row],[Comparable '#1 Return]]-INDEX(Benchmark1[Benchmark '#1 Return],MATCH(Comp1[[#This Row],[Comparable '#1 Dates]],Benchmark1[Benchmark '#1 Dates],0)),"-")</f>
        <v>-5.798344627373133E-3</v>
      </c>
      <c r="L708" s="72">
        <f>Comp1[[#This Row],[Comparable '#1 Price]]/$B$2*100</f>
        <v>85.010266940451757</v>
      </c>
    </row>
    <row r="709" spans="1:12">
      <c r="A709" s="103">
        <v>44313</v>
      </c>
      <c r="B709" s="104">
        <v>12</v>
      </c>
      <c r="C709" s="4">
        <f t="shared" si="22"/>
        <v>-3.4401426717332435E-2</v>
      </c>
      <c r="D709" s="1">
        <f>IFERROR(Comp1[[#This Row],[Comparable '#1 Return]]+1,"-")</f>
        <v>0.96559857328266752</v>
      </c>
      <c r="E709" s="6">
        <f>B709-MAX($B$2:B709)</f>
        <v>-9.620000000000001</v>
      </c>
      <c r="F709" s="80">
        <f t="shared" si="23"/>
        <v>312</v>
      </c>
      <c r="G709" s="22" cm="1">
        <f t="array" ref="G709">Comp1[[#This Row],[Comparable '#1 Drawdown]]/MAX($B$2:B709)</f>
        <v>-0.44495837187789089</v>
      </c>
      <c r="H709" s="1" t="str">
        <f>IF(SUM(COUNTIF(Benchmark1[Benchmark '#1 Dates],Comp1[[#This Row],[Comparable '#1 Dates]]),COUNTIF(Benchmark2[Benchmark '#2 Dates],Comp1[[#This Row],[Comparable '#1 Dates]]))=2,"Pass","Fail")</f>
        <v>Pass</v>
      </c>
      <c r="I709" s="1">
        <f>IFERROR(Comp1[[#This Row],[Comparable '#1 Return]]-INDEX(Benchmark1[Benchmark '#1 Return],MATCH(Comp1[[#This Row],[Comparable '#1 Dates]],Benchmark1[Benchmark '#1 Dates],0)),"-")</f>
        <v>-3.4186663917415323E-2</v>
      </c>
      <c r="L709" s="72">
        <f>Comp1[[#This Row],[Comparable '#1 Price]]/$B$2*100</f>
        <v>82.135523613963045</v>
      </c>
    </row>
    <row r="710" spans="1:12">
      <c r="A710" s="103">
        <v>44314</v>
      </c>
      <c r="B710" s="104">
        <v>12.12</v>
      </c>
      <c r="C710" s="4">
        <f t="shared" si="22"/>
        <v>9.950330853168092E-3</v>
      </c>
      <c r="D710" s="1">
        <f>IFERROR(Comp1[[#This Row],[Comparable '#1 Return]]+1,"-")</f>
        <v>1.0099503308531681</v>
      </c>
      <c r="E710" s="6">
        <f>B710-MAX($B$2:B710)</f>
        <v>-9.5000000000000018</v>
      </c>
      <c r="F710" s="80">
        <f t="shared" si="23"/>
        <v>313</v>
      </c>
      <c r="G710" s="22" cm="1">
        <f t="array" ref="G710">Comp1[[#This Row],[Comparable '#1 Drawdown]]/MAX($B$2:B710)</f>
        <v>-0.43940795559666979</v>
      </c>
      <c r="H710" s="1" t="str">
        <f>IF(SUM(COUNTIF(Benchmark1[Benchmark '#1 Dates],Comp1[[#This Row],[Comparable '#1 Dates]]),COUNTIF(Benchmark2[Benchmark '#2 Dates],Comp1[[#This Row],[Comparable '#1 Dates]]))=2,"Pass","Fail")</f>
        <v>Pass</v>
      </c>
      <c r="I710" s="1">
        <f>IFERROR(Comp1[[#This Row],[Comparable '#1 Return]]-INDEX(Benchmark1[Benchmark '#1 Return],MATCH(Comp1[[#This Row],[Comparable '#1 Dates]],Benchmark1[Benchmark '#1 Dates],0)),"-")</f>
        <v>1.0795076928304247E-2</v>
      </c>
      <c r="L710" s="72">
        <f>Comp1[[#This Row],[Comparable '#1 Price]]/$B$2*100</f>
        <v>82.956878850102669</v>
      </c>
    </row>
    <row r="711" spans="1:12">
      <c r="A711" s="103">
        <v>44315</v>
      </c>
      <c r="B711" s="104">
        <v>11.87</v>
      </c>
      <c r="C711" s="4">
        <f t="shared" si="22"/>
        <v>-2.0842772019591782E-2</v>
      </c>
      <c r="D711" s="1">
        <f>IFERROR(Comp1[[#This Row],[Comparable '#1 Return]]+1,"-")</f>
        <v>0.97915722798040816</v>
      </c>
      <c r="E711" s="6">
        <f>B711-MAX($B$2:B711)</f>
        <v>-9.7500000000000018</v>
      </c>
      <c r="F711" s="80">
        <f t="shared" si="23"/>
        <v>314</v>
      </c>
      <c r="G711" s="22" cm="1">
        <f t="array" ref="G711">Comp1[[#This Row],[Comparable '#1 Drawdown]]/MAX($B$2:B711)</f>
        <v>-0.45097132284921376</v>
      </c>
      <c r="H711" s="1" t="str">
        <f>IF(SUM(COUNTIF(Benchmark1[Benchmark '#1 Dates],Comp1[[#This Row],[Comparable '#1 Dates]]),COUNTIF(Benchmark2[Benchmark '#2 Dates],Comp1[[#This Row],[Comparable '#1 Dates]]))=2,"Pass","Fail")</f>
        <v>Pass</v>
      </c>
      <c r="I711" s="1">
        <f>IFERROR(Comp1[[#This Row],[Comparable '#1 Return]]-INDEX(Benchmark1[Benchmark '#1 Return],MATCH(Comp1[[#This Row],[Comparable '#1 Dates]],Benchmark1[Benchmark '#1 Dates],0)),"-")</f>
        <v>-2.7583244339532707E-2</v>
      </c>
      <c r="L711" s="72">
        <f>Comp1[[#This Row],[Comparable '#1 Price]]/$B$2*100</f>
        <v>81.245722108145102</v>
      </c>
    </row>
    <row r="712" spans="1:12">
      <c r="A712" s="103">
        <v>44316</v>
      </c>
      <c r="B712" s="104">
        <v>13.75</v>
      </c>
      <c r="C712" s="4">
        <f t="shared" si="22"/>
        <v>0.14702461549100368</v>
      </c>
      <c r="D712" s="1">
        <f>IFERROR(Comp1[[#This Row],[Comparable '#1 Return]]+1,"-")</f>
        <v>1.1470246154910038</v>
      </c>
      <c r="E712" s="6">
        <f>B712-MAX($B$2:B712)</f>
        <v>-7.870000000000001</v>
      </c>
      <c r="F712" s="80">
        <f t="shared" si="23"/>
        <v>315</v>
      </c>
      <c r="G712" s="22" cm="1">
        <f t="array" ref="G712">Comp1[[#This Row],[Comparable '#1 Drawdown]]/MAX($B$2:B712)</f>
        <v>-0.36401480111008327</v>
      </c>
      <c r="H712" s="1" t="str">
        <f>IF(SUM(COUNTIF(Benchmark1[Benchmark '#1 Dates],Comp1[[#This Row],[Comparable '#1 Dates]]),COUNTIF(Benchmark2[Benchmark '#2 Dates],Comp1[[#This Row],[Comparable '#1 Dates]]))=2,"Pass","Fail")</f>
        <v>Pass</v>
      </c>
      <c r="I712" s="1">
        <f>IFERROR(Comp1[[#This Row],[Comparable '#1 Return]]-INDEX(Benchmark1[Benchmark '#1 Return],MATCH(Comp1[[#This Row],[Comparable '#1 Dates]],Benchmark1[Benchmark '#1 Dates],0)),"-")</f>
        <v>0.15424524578088289</v>
      </c>
      <c r="L712" s="72">
        <f>Comp1[[#This Row],[Comparable '#1 Price]]/$B$2*100</f>
        <v>94.113620807665981</v>
      </c>
    </row>
    <row r="713" spans="1:12">
      <c r="A713" s="103">
        <v>44319</v>
      </c>
      <c r="B713" s="104">
        <v>13.61</v>
      </c>
      <c r="C713" s="4">
        <f t="shared" si="22"/>
        <v>-1.0234007449205594E-2</v>
      </c>
      <c r="D713" s="1">
        <f>IFERROR(Comp1[[#This Row],[Comparable '#1 Return]]+1,"-")</f>
        <v>0.98976599255079445</v>
      </c>
      <c r="E713" s="6">
        <f>B713-MAX($B$2:B713)</f>
        <v>-8.0100000000000016</v>
      </c>
      <c r="F713" s="80">
        <f t="shared" si="23"/>
        <v>316</v>
      </c>
      <c r="G713" s="22" cm="1">
        <f t="array" ref="G713">Comp1[[#This Row],[Comparable '#1 Drawdown]]/MAX($B$2:B713)</f>
        <v>-0.37049028677150792</v>
      </c>
      <c r="H713" s="1" t="str">
        <f>IF(SUM(COUNTIF(Benchmark1[Benchmark '#1 Dates],Comp1[[#This Row],[Comparable '#1 Dates]]),COUNTIF(Benchmark2[Benchmark '#2 Dates],Comp1[[#This Row],[Comparable '#1 Dates]]))=2,"Pass","Fail")</f>
        <v>Pass</v>
      </c>
      <c r="I713" s="1">
        <f>IFERROR(Comp1[[#This Row],[Comparable '#1 Return]]-INDEX(Benchmark1[Benchmark '#1 Return],MATCH(Comp1[[#This Row],[Comparable '#1 Dates]],Benchmark1[Benchmark '#1 Dates],0)),"-")</f>
        <v>-1.2976531742523195E-2</v>
      </c>
      <c r="L713" s="72">
        <f>Comp1[[#This Row],[Comparable '#1 Price]]/$B$2*100</f>
        <v>93.155373032169734</v>
      </c>
    </row>
    <row r="714" spans="1:12">
      <c r="A714" s="103">
        <v>44320</v>
      </c>
      <c r="B714" s="104">
        <v>13.525</v>
      </c>
      <c r="C714" s="4">
        <f t="shared" si="22"/>
        <v>-6.2649919308293729E-3</v>
      </c>
      <c r="D714" s="1">
        <f>IFERROR(Comp1[[#This Row],[Comparable '#1 Return]]+1,"-")</f>
        <v>0.99373500806917059</v>
      </c>
      <c r="E714" s="6">
        <f>B714-MAX($B$2:B714)</f>
        <v>-8.0950000000000006</v>
      </c>
      <c r="F714" s="80">
        <f t="shared" si="23"/>
        <v>317</v>
      </c>
      <c r="G714" s="22" cm="1">
        <f t="array" ref="G714">Comp1[[#This Row],[Comparable '#1 Drawdown]]/MAX($B$2:B714)</f>
        <v>-0.3744218316373728</v>
      </c>
      <c r="H714" s="1" t="str">
        <f>IF(SUM(COUNTIF(Benchmark1[Benchmark '#1 Dates],Comp1[[#This Row],[Comparable '#1 Dates]]),COUNTIF(Benchmark2[Benchmark '#2 Dates],Comp1[[#This Row],[Comparable '#1 Dates]]))=2,"Pass","Fail")</f>
        <v>Pass</v>
      </c>
      <c r="I714" s="1">
        <f>IFERROR(Comp1[[#This Row],[Comparable '#1 Return]]-INDEX(Benchmark1[Benchmark '#1 Return],MATCH(Comp1[[#This Row],[Comparable '#1 Dates]],Benchmark1[Benchmark '#1 Dates],0)),"-")</f>
        <v>4.3540658200572936E-4</v>
      </c>
      <c r="L714" s="72">
        <f>Comp1[[#This Row],[Comparable '#1 Price]]/$B$2*100</f>
        <v>92.573579739904176</v>
      </c>
    </row>
    <row r="715" spans="1:12">
      <c r="A715" s="103">
        <v>44321</v>
      </c>
      <c r="B715" s="104">
        <v>13.39</v>
      </c>
      <c r="C715" s="4">
        <f t="shared" si="22"/>
        <v>-1.0031665029464051E-2</v>
      </c>
      <c r="D715" s="1">
        <f>IFERROR(Comp1[[#This Row],[Comparable '#1 Return]]+1,"-")</f>
        <v>0.98996833497053593</v>
      </c>
      <c r="E715" s="6">
        <f>B715-MAX($B$2:B715)</f>
        <v>-8.23</v>
      </c>
      <c r="F715" s="80">
        <f t="shared" si="23"/>
        <v>318</v>
      </c>
      <c r="G715" s="22" cm="1">
        <f t="array" ref="G715">Comp1[[#This Row],[Comparable '#1 Drawdown]]/MAX($B$2:B715)</f>
        <v>-0.38066604995374653</v>
      </c>
      <c r="H715" s="1" t="str">
        <f>IF(SUM(COUNTIF(Benchmark1[Benchmark '#1 Dates],Comp1[[#This Row],[Comparable '#1 Dates]]),COUNTIF(Benchmark2[Benchmark '#2 Dates],Comp1[[#This Row],[Comparable '#1 Dates]]))=2,"Pass","Fail")</f>
        <v>Pass</v>
      </c>
      <c r="I715" s="1">
        <f>IFERROR(Comp1[[#This Row],[Comparable '#1 Return]]-INDEX(Benchmark1[Benchmark '#1 Return],MATCH(Comp1[[#This Row],[Comparable '#1 Dates]],Benchmark1[Benchmark '#1 Dates],0)),"-")</f>
        <v>-1.0734652140001411E-2</v>
      </c>
      <c r="L715" s="72">
        <f>Comp1[[#This Row],[Comparable '#1 Price]]/$B$2*100</f>
        <v>91.649555099247095</v>
      </c>
    </row>
    <row r="716" spans="1:12">
      <c r="A716" s="103">
        <v>44322</v>
      </c>
      <c r="B716" s="104">
        <v>13.7</v>
      </c>
      <c r="C716" s="4">
        <f t="shared" si="22"/>
        <v>2.2887673130997949E-2</v>
      </c>
      <c r="D716" s="1">
        <f>IFERROR(Comp1[[#This Row],[Comparable '#1 Return]]+1,"-")</f>
        <v>1.0228876731309979</v>
      </c>
      <c r="E716" s="6">
        <f>B716-MAX($B$2:B716)</f>
        <v>-7.9200000000000017</v>
      </c>
      <c r="F716" s="80">
        <f t="shared" si="23"/>
        <v>319</v>
      </c>
      <c r="G716" s="22" cm="1">
        <f t="array" ref="G716">Comp1[[#This Row],[Comparable '#1 Drawdown]]/MAX($B$2:B716)</f>
        <v>-0.36632747456059211</v>
      </c>
      <c r="H716" s="1" t="str">
        <f>IF(SUM(COUNTIF(Benchmark1[Benchmark '#1 Dates],Comp1[[#This Row],[Comparable '#1 Dates]]),COUNTIF(Benchmark2[Benchmark '#2 Dates],Comp1[[#This Row],[Comparable '#1 Dates]]))=2,"Pass","Fail")</f>
        <v>Pass</v>
      </c>
      <c r="I716" s="1">
        <f>IFERROR(Comp1[[#This Row],[Comparable '#1 Return]]-INDEX(Benchmark1[Benchmark '#1 Return],MATCH(Comp1[[#This Row],[Comparable '#1 Dates]],Benchmark1[Benchmark '#1 Dates],0)),"-")</f>
        <v>1.4755193755107511E-2</v>
      </c>
      <c r="L716" s="72">
        <f>Comp1[[#This Row],[Comparable '#1 Price]]/$B$2*100</f>
        <v>93.771389459274474</v>
      </c>
    </row>
    <row r="717" spans="1:12">
      <c r="A717" s="103">
        <v>44323</v>
      </c>
      <c r="B717" s="104">
        <v>13.97</v>
      </c>
      <c r="C717" s="4">
        <f t="shared" si="22"/>
        <v>1.9516340434791293E-2</v>
      </c>
      <c r="D717" s="1">
        <f>IFERROR(Comp1[[#This Row],[Comparable '#1 Return]]+1,"-")</f>
        <v>1.0195163404347913</v>
      </c>
      <c r="E717" s="6">
        <f>B717-MAX($B$2:B717)</f>
        <v>-7.65</v>
      </c>
      <c r="F717" s="80">
        <f t="shared" si="23"/>
        <v>320</v>
      </c>
      <c r="G717" s="22" cm="1">
        <f t="array" ref="G717">Comp1[[#This Row],[Comparable '#1 Drawdown]]/MAX($B$2:B717)</f>
        <v>-0.3538390379278446</v>
      </c>
      <c r="H717" s="1" t="str">
        <f>IF(SUM(COUNTIF(Benchmark1[Benchmark '#1 Dates],Comp1[[#This Row],[Comparable '#1 Dates]]),COUNTIF(Benchmark2[Benchmark '#2 Dates],Comp1[[#This Row],[Comparable '#1 Dates]]))=2,"Pass","Fail")</f>
        <v>Pass</v>
      </c>
      <c r="I717" s="1">
        <f>IFERROR(Comp1[[#This Row],[Comparable '#1 Return]]-INDEX(Benchmark1[Benchmark '#1 Return],MATCH(Comp1[[#This Row],[Comparable '#1 Dates]],Benchmark1[Benchmark '#1 Dates],0)),"-")</f>
        <v>1.216942813519355E-2</v>
      </c>
      <c r="L717" s="72">
        <f>Comp1[[#This Row],[Comparable '#1 Price]]/$B$2*100</f>
        <v>95.619438740588649</v>
      </c>
    </row>
    <row r="718" spans="1:12">
      <c r="A718" s="103">
        <v>44326</v>
      </c>
      <c r="B718" s="104">
        <v>14.14</v>
      </c>
      <c r="C718" s="4">
        <f t="shared" si="22"/>
        <v>1.2095487199556307E-2</v>
      </c>
      <c r="D718" s="1">
        <f>IFERROR(Comp1[[#This Row],[Comparable '#1 Return]]+1,"-")</f>
        <v>1.0120954871995562</v>
      </c>
      <c r="E718" s="6">
        <f>B718-MAX($B$2:B718)</f>
        <v>-7.48</v>
      </c>
      <c r="F718" s="80">
        <f t="shared" si="23"/>
        <v>321</v>
      </c>
      <c r="G718" s="22" cm="1">
        <f t="array" ref="G718">Comp1[[#This Row],[Comparable '#1 Drawdown]]/MAX($B$2:B718)</f>
        <v>-0.34597594819611471</v>
      </c>
      <c r="H718" s="1" t="str">
        <f>IF(SUM(COUNTIF(Benchmark1[Benchmark '#1 Dates],Comp1[[#This Row],[Comparable '#1 Dates]]),COUNTIF(Benchmark2[Benchmark '#2 Dates],Comp1[[#This Row],[Comparable '#1 Dates]]))=2,"Pass","Fail")</f>
        <v>Pass</v>
      </c>
      <c r="I718" s="1">
        <f>IFERROR(Comp1[[#This Row],[Comparable '#1 Return]]-INDEX(Benchmark1[Benchmark '#1 Return],MATCH(Comp1[[#This Row],[Comparable '#1 Dates]],Benchmark1[Benchmark '#1 Dates],0)),"-")</f>
        <v>2.2586944982562217E-2</v>
      </c>
      <c r="L718" s="72">
        <f>Comp1[[#This Row],[Comparable '#1 Price]]/$B$2*100</f>
        <v>96.78302532511978</v>
      </c>
    </row>
    <row r="719" spans="1:12">
      <c r="A719" s="103">
        <v>44327</v>
      </c>
      <c r="B719" s="104">
        <v>14.45</v>
      </c>
      <c r="C719" s="4">
        <f t="shared" si="22"/>
        <v>2.1686754090014394E-2</v>
      </c>
      <c r="D719" s="1">
        <f>IFERROR(Comp1[[#This Row],[Comparable '#1 Return]]+1,"-")</f>
        <v>1.0216867540900143</v>
      </c>
      <c r="E719" s="6">
        <f>B719-MAX($B$2:B719)</f>
        <v>-7.1700000000000017</v>
      </c>
      <c r="F719" s="80">
        <f t="shared" si="23"/>
        <v>322</v>
      </c>
      <c r="G719" s="22" cm="1">
        <f t="array" ref="G719">Comp1[[#This Row],[Comparable '#1 Drawdown]]/MAX($B$2:B719)</f>
        <v>-0.3316373728029603</v>
      </c>
      <c r="H719" s="1" t="str">
        <f>IF(SUM(COUNTIF(Benchmark1[Benchmark '#1 Dates],Comp1[[#This Row],[Comparable '#1 Dates]]),COUNTIF(Benchmark2[Benchmark '#2 Dates],Comp1[[#This Row],[Comparable '#1 Dates]]))=2,"Pass","Fail")</f>
        <v>Pass</v>
      </c>
      <c r="I719" s="1">
        <f>IFERROR(Comp1[[#This Row],[Comparable '#1 Return]]-INDEX(Benchmark1[Benchmark '#1 Return],MATCH(Comp1[[#This Row],[Comparable '#1 Dates]],Benchmark1[Benchmark '#1 Dates],0)),"-")</f>
        <v>3.0398982978045122E-2</v>
      </c>
      <c r="L719" s="72">
        <f>Comp1[[#This Row],[Comparable '#1 Price]]/$B$2*100</f>
        <v>98.904859685147159</v>
      </c>
    </row>
    <row r="720" spans="1:12">
      <c r="A720" s="103">
        <v>44328</v>
      </c>
      <c r="B720" s="104">
        <v>14.27</v>
      </c>
      <c r="C720" s="4">
        <f t="shared" si="22"/>
        <v>-1.2534983069696087E-2</v>
      </c>
      <c r="D720" s="1">
        <f>IFERROR(Comp1[[#This Row],[Comparable '#1 Return]]+1,"-")</f>
        <v>0.98746501693030386</v>
      </c>
      <c r="E720" s="6">
        <f>B720-MAX($B$2:B720)</f>
        <v>-7.3500000000000014</v>
      </c>
      <c r="F720" s="80">
        <f t="shared" si="23"/>
        <v>323</v>
      </c>
      <c r="G720" s="22" cm="1">
        <f t="array" ref="G720">Comp1[[#This Row],[Comparable '#1 Drawdown]]/MAX($B$2:B720)</f>
        <v>-0.3399629972247919</v>
      </c>
      <c r="H720" s="1" t="str">
        <f>IF(SUM(COUNTIF(Benchmark1[Benchmark '#1 Dates],Comp1[[#This Row],[Comparable '#1 Dates]]),COUNTIF(Benchmark2[Benchmark '#2 Dates],Comp1[[#This Row],[Comparable '#1 Dates]]))=2,"Pass","Fail")</f>
        <v>Pass</v>
      </c>
      <c r="I720" s="1">
        <f>IFERROR(Comp1[[#This Row],[Comparable '#1 Return]]-INDEX(Benchmark1[Benchmark '#1 Return],MATCH(Comp1[[#This Row],[Comparable '#1 Dates]],Benchmark1[Benchmark '#1 Dates],0)),"-")</f>
        <v>9.1471771638672959E-3</v>
      </c>
      <c r="L720" s="72">
        <f>Comp1[[#This Row],[Comparable '#1 Price]]/$B$2*100</f>
        <v>97.672826830937723</v>
      </c>
    </row>
    <row r="721" spans="1:12">
      <c r="A721" s="103">
        <v>44329</v>
      </c>
      <c r="B721" s="104">
        <v>14.25</v>
      </c>
      <c r="C721" s="4">
        <f t="shared" si="22"/>
        <v>-1.4025247740854356E-3</v>
      </c>
      <c r="D721" s="1">
        <f>IFERROR(Comp1[[#This Row],[Comparable '#1 Return]]+1,"-")</f>
        <v>0.99859747522591458</v>
      </c>
      <c r="E721" s="6">
        <f>B721-MAX($B$2:B721)</f>
        <v>-7.370000000000001</v>
      </c>
      <c r="F721" s="80">
        <f t="shared" si="23"/>
        <v>324</v>
      </c>
      <c r="G721" s="22" cm="1">
        <f t="array" ref="G721">Comp1[[#This Row],[Comparable '#1 Drawdown]]/MAX($B$2:B721)</f>
        <v>-0.34088806660499543</v>
      </c>
      <c r="H721" s="1" t="str">
        <f>IF(SUM(COUNTIF(Benchmark1[Benchmark '#1 Dates],Comp1[[#This Row],[Comparable '#1 Dates]]),COUNTIF(Benchmark2[Benchmark '#2 Dates],Comp1[[#This Row],[Comparable '#1 Dates]]))=2,"Pass","Fail")</f>
        <v>Pass</v>
      </c>
      <c r="I721" s="1">
        <f>IFERROR(Comp1[[#This Row],[Comparable '#1 Return]]-INDEX(Benchmark1[Benchmark '#1 Return],MATCH(Comp1[[#This Row],[Comparable '#1 Dates]],Benchmark1[Benchmark '#1 Dates],0)),"-")</f>
        <v>-1.3501731542915044E-2</v>
      </c>
      <c r="L721" s="72">
        <f>Comp1[[#This Row],[Comparable '#1 Price]]/$B$2*100</f>
        <v>97.535934291581114</v>
      </c>
    </row>
    <row r="722" spans="1:12">
      <c r="A722" s="103">
        <v>44330</v>
      </c>
      <c r="B722" s="104">
        <v>14.56</v>
      </c>
      <c r="C722" s="4">
        <f t="shared" si="22"/>
        <v>2.15211360538804E-2</v>
      </c>
      <c r="D722" s="1">
        <f>IFERROR(Comp1[[#This Row],[Comparable '#1 Return]]+1,"-")</f>
        <v>1.0215211360538805</v>
      </c>
      <c r="E722" s="6">
        <f>B722-MAX($B$2:B722)</f>
        <v>-7.0600000000000005</v>
      </c>
      <c r="F722" s="80">
        <f t="shared" si="23"/>
        <v>325</v>
      </c>
      <c r="G722" s="22" cm="1">
        <f t="array" ref="G722">Comp1[[#This Row],[Comparable '#1 Drawdown]]/MAX($B$2:B722)</f>
        <v>-0.3265494912118409</v>
      </c>
      <c r="H722" s="1" t="str">
        <f>IF(SUM(COUNTIF(Benchmark1[Benchmark '#1 Dates],Comp1[[#This Row],[Comparable '#1 Dates]]),COUNTIF(Benchmark2[Benchmark '#2 Dates],Comp1[[#This Row],[Comparable '#1 Dates]]))=2,"Pass","Fail")</f>
        <v>Pass</v>
      </c>
      <c r="I722" s="1">
        <f>IFERROR(Comp1[[#This Row],[Comparable '#1 Return]]-INDEX(Benchmark1[Benchmark '#1 Return],MATCH(Comp1[[#This Row],[Comparable '#1 Dates]],Benchmark1[Benchmark '#1 Dates],0)),"-")</f>
        <v>6.7114308067431142E-3</v>
      </c>
      <c r="L722" s="72">
        <f>Comp1[[#This Row],[Comparable '#1 Price]]/$B$2*100</f>
        <v>99.657768651608492</v>
      </c>
    </row>
    <row r="723" spans="1:12">
      <c r="A723" s="103">
        <v>44333</v>
      </c>
      <c r="B723" s="104">
        <v>14.58</v>
      </c>
      <c r="C723" s="4">
        <f t="shared" si="22"/>
        <v>1.3726838119721742E-3</v>
      </c>
      <c r="D723" s="1">
        <f>IFERROR(Comp1[[#This Row],[Comparable '#1 Return]]+1,"-")</f>
        <v>1.0013726838119721</v>
      </c>
      <c r="E723" s="6">
        <f>B723-MAX($B$2:B723)</f>
        <v>-7.0400000000000009</v>
      </c>
      <c r="F723" s="80">
        <f t="shared" si="23"/>
        <v>326</v>
      </c>
      <c r="G723" s="22" cm="1">
        <f t="array" ref="G723">Comp1[[#This Row],[Comparable '#1 Drawdown]]/MAX($B$2:B723)</f>
        <v>-0.32562442183163742</v>
      </c>
      <c r="H723" s="1" t="str">
        <f>IF(SUM(COUNTIF(Benchmark1[Benchmark '#1 Dates],Comp1[[#This Row],[Comparable '#1 Dates]]),COUNTIF(Benchmark2[Benchmark '#2 Dates],Comp1[[#This Row],[Comparable '#1 Dates]]))=2,"Pass","Fail")</f>
        <v>Pass</v>
      </c>
      <c r="I723" s="1">
        <f>IFERROR(Comp1[[#This Row],[Comparable '#1 Return]]-INDEX(Benchmark1[Benchmark '#1 Return],MATCH(Comp1[[#This Row],[Comparable '#1 Dates]],Benchmark1[Benchmark '#1 Dates],0)),"-")</f>
        <v>3.9067997157358906E-3</v>
      </c>
      <c r="L723" s="72">
        <f>Comp1[[#This Row],[Comparable '#1 Price]]/$B$2*100</f>
        <v>99.794661190965101</v>
      </c>
    </row>
    <row r="724" spans="1:12">
      <c r="A724" s="103">
        <v>44334</v>
      </c>
      <c r="B724" s="104">
        <v>14.53</v>
      </c>
      <c r="C724" s="4">
        <f t="shared" si="22"/>
        <v>-3.435248998320557E-3</v>
      </c>
      <c r="D724" s="1">
        <f>IFERROR(Comp1[[#This Row],[Comparable '#1 Return]]+1,"-")</f>
        <v>0.99656475100167941</v>
      </c>
      <c r="E724" s="6">
        <f>B724-MAX($B$2:B724)</f>
        <v>-7.0900000000000016</v>
      </c>
      <c r="F724" s="80">
        <f t="shared" si="23"/>
        <v>327</v>
      </c>
      <c r="G724" s="22" cm="1">
        <f t="array" ref="G724">Comp1[[#This Row],[Comparable '#1 Drawdown]]/MAX($B$2:B724)</f>
        <v>-0.32793709528214621</v>
      </c>
      <c r="H724" s="1" t="str">
        <f>IF(SUM(COUNTIF(Benchmark1[Benchmark '#1 Dates],Comp1[[#This Row],[Comparable '#1 Dates]]),COUNTIF(Benchmark2[Benchmark '#2 Dates],Comp1[[#This Row],[Comparable '#1 Dates]]))=2,"Pass","Fail")</f>
        <v>Pass</v>
      </c>
      <c r="I724" s="1">
        <f>IFERROR(Comp1[[#This Row],[Comparable '#1 Return]]-INDEX(Benchmark1[Benchmark '#1 Return],MATCH(Comp1[[#This Row],[Comparable '#1 Dates]],Benchmark1[Benchmark '#1 Dates],0)),"-")</f>
        <v>5.1186844651912276E-3</v>
      </c>
      <c r="L724" s="72">
        <f>Comp1[[#This Row],[Comparable '#1 Price]]/$B$2*100</f>
        <v>99.452429842573579</v>
      </c>
    </row>
    <row r="725" spans="1:12">
      <c r="A725" s="103">
        <v>44335</v>
      </c>
      <c r="B725" s="104">
        <v>14.48</v>
      </c>
      <c r="C725" s="4">
        <f t="shared" si="22"/>
        <v>-3.4470906246211806E-3</v>
      </c>
      <c r="D725" s="1">
        <f>IFERROR(Comp1[[#This Row],[Comparable '#1 Return]]+1,"-")</f>
        <v>0.99655290937537877</v>
      </c>
      <c r="E725" s="6">
        <f>B725-MAX($B$2:B725)</f>
        <v>-7.1400000000000006</v>
      </c>
      <c r="F725" s="80">
        <f t="shared" si="23"/>
        <v>328</v>
      </c>
      <c r="G725" s="22" cm="1">
        <f t="array" ref="G725">Comp1[[#This Row],[Comparable '#1 Drawdown]]/MAX($B$2:B725)</f>
        <v>-0.33024976873265494</v>
      </c>
      <c r="H725" s="1" t="str">
        <f>IF(SUM(COUNTIF(Benchmark1[Benchmark '#1 Dates],Comp1[[#This Row],[Comparable '#1 Dates]]),COUNTIF(Benchmark2[Benchmark '#2 Dates],Comp1[[#This Row],[Comparable '#1 Dates]]))=2,"Pass","Fail")</f>
        <v>Pass</v>
      </c>
      <c r="I725" s="1">
        <f>IFERROR(Comp1[[#This Row],[Comparable '#1 Return]]-INDEX(Benchmark1[Benchmark '#1 Return],MATCH(Comp1[[#This Row],[Comparable '#1 Dates]],Benchmark1[Benchmark '#1 Dates],0)),"-")</f>
        <v>-4.9857609535118022E-4</v>
      </c>
      <c r="L725" s="72">
        <f>Comp1[[#This Row],[Comparable '#1 Price]]/$B$2*100</f>
        <v>99.110198494182072</v>
      </c>
    </row>
    <row r="726" spans="1:12">
      <c r="A726" s="103">
        <v>44336</v>
      </c>
      <c r="B726" s="104">
        <v>14.62</v>
      </c>
      <c r="C726" s="4">
        <f t="shared" si="22"/>
        <v>9.6220673640620303E-3</v>
      </c>
      <c r="D726" s="1">
        <f>IFERROR(Comp1[[#This Row],[Comparable '#1 Return]]+1,"-")</f>
        <v>1.0096220673640621</v>
      </c>
      <c r="E726" s="6">
        <f>B726-MAX($B$2:B726)</f>
        <v>-7.0000000000000018</v>
      </c>
      <c r="F726" s="80">
        <f t="shared" si="23"/>
        <v>329</v>
      </c>
      <c r="G726" s="22" cm="1">
        <f t="array" ref="G726">Comp1[[#This Row],[Comparable '#1 Drawdown]]/MAX($B$2:B726)</f>
        <v>-0.32377428307123041</v>
      </c>
      <c r="H726" s="1" t="str">
        <f>IF(SUM(COUNTIF(Benchmark1[Benchmark '#1 Dates],Comp1[[#This Row],[Comparable '#1 Dates]]),COUNTIF(Benchmark2[Benchmark '#2 Dates],Comp1[[#This Row],[Comparable '#1 Dates]]))=2,"Pass","Fail")</f>
        <v>Pass</v>
      </c>
      <c r="I726" s="1">
        <f>IFERROR(Comp1[[#This Row],[Comparable '#1 Return]]-INDEX(Benchmark1[Benchmark '#1 Return],MATCH(Comp1[[#This Row],[Comparable '#1 Dates]],Benchmark1[Benchmark '#1 Dates],0)),"-")</f>
        <v>-8.7922004413110676E-4</v>
      </c>
      <c r="L726" s="72">
        <f>Comp1[[#This Row],[Comparable '#1 Price]]/$B$2*100</f>
        <v>100.0684462696783</v>
      </c>
    </row>
    <row r="727" spans="1:12">
      <c r="A727" s="103">
        <v>44337</v>
      </c>
      <c r="B727" s="104">
        <v>14.32</v>
      </c>
      <c r="C727" s="4">
        <f t="shared" si="22"/>
        <v>-2.0733292789132846E-2</v>
      </c>
      <c r="D727" s="1">
        <f>IFERROR(Comp1[[#This Row],[Comparable '#1 Return]]+1,"-")</f>
        <v>0.97926670721086717</v>
      </c>
      <c r="E727" s="6">
        <f>B727-MAX($B$2:B727)</f>
        <v>-7.3000000000000007</v>
      </c>
      <c r="F727" s="80">
        <f t="shared" si="23"/>
        <v>330</v>
      </c>
      <c r="G727" s="22" cm="1">
        <f t="array" ref="G727">Comp1[[#This Row],[Comparable '#1 Drawdown]]/MAX($B$2:B727)</f>
        <v>-0.33765032377428311</v>
      </c>
      <c r="H727" s="1" t="str">
        <f>IF(SUM(COUNTIF(Benchmark1[Benchmark '#1 Dates],Comp1[[#This Row],[Comparable '#1 Dates]]),COUNTIF(Benchmark2[Benchmark '#2 Dates],Comp1[[#This Row],[Comparable '#1 Dates]]))=2,"Pass","Fail")</f>
        <v>Pass</v>
      </c>
      <c r="I727" s="1">
        <f>IFERROR(Comp1[[#This Row],[Comparable '#1 Return]]-INDEX(Benchmark1[Benchmark '#1 Return],MATCH(Comp1[[#This Row],[Comparable '#1 Dates]],Benchmark1[Benchmark '#1 Dates],0)),"-")</f>
        <v>-1.9947576975423563E-2</v>
      </c>
      <c r="L727" s="72">
        <f>Comp1[[#This Row],[Comparable '#1 Price]]/$B$2*100</f>
        <v>98.01505817932923</v>
      </c>
    </row>
    <row r="728" spans="1:12">
      <c r="A728" s="103">
        <v>44340</v>
      </c>
      <c r="B728" s="104">
        <v>14.26</v>
      </c>
      <c r="C728" s="4">
        <f t="shared" si="22"/>
        <v>-4.1987465463497161E-3</v>
      </c>
      <c r="D728" s="1">
        <f>IFERROR(Comp1[[#This Row],[Comparable '#1 Return]]+1,"-")</f>
        <v>0.99580125345365034</v>
      </c>
      <c r="E728" s="6">
        <f>B728-MAX($B$2:B728)</f>
        <v>-7.3600000000000012</v>
      </c>
      <c r="F728" s="80">
        <f t="shared" si="23"/>
        <v>331</v>
      </c>
      <c r="G728" s="22" cm="1">
        <f t="array" ref="G728">Comp1[[#This Row],[Comparable '#1 Drawdown]]/MAX($B$2:B728)</f>
        <v>-0.34042553191489366</v>
      </c>
      <c r="H728" s="1" t="str">
        <f>IF(SUM(COUNTIF(Benchmark1[Benchmark '#1 Dates],Comp1[[#This Row],[Comparable '#1 Dates]]),COUNTIF(Benchmark2[Benchmark '#2 Dates],Comp1[[#This Row],[Comparable '#1 Dates]]))=2,"Pass","Fail")</f>
        <v>Pass</v>
      </c>
      <c r="I728" s="1">
        <f>IFERROR(Comp1[[#This Row],[Comparable '#1 Return]]-INDEX(Benchmark1[Benchmark '#1 Return],MATCH(Comp1[[#This Row],[Comparable '#1 Dates]],Benchmark1[Benchmark '#1 Dates],0)),"-")</f>
        <v>-1.4061129430107084E-2</v>
      </c>
      <c r="L728" s="72">
        <f>Comp1[[#This Row],[Comparable '#1 Price]]/$B$2*100</f>
        <v>97.604380561259418</v>
      </c>
    </row>
    <row r="729" spans="1:12">
      <c r="A729" s="103">
        <v>44341</v>
      </c>
      <c r="B729" s="104">
        <v>14.21</v>
      </c>
      <c r="C729" s="4">
        <f t="shared" si="22"/>
        <v>-3.5124728771405668E-3</v>
      </c>
      <c r="D729" s="1">
        <f>IFERROR(Comp1[[#This Row],[Comparable '#1 Return]]+1,"-")</f>
        <v>0.99648752712285948</v>
      </c>
      <c r="E729" s="6">
        <f>B729-MAX($B$2:B729)</f>
        <v>-7.41</v>
      </c>
      <c r="F729" s="80">
        <f t="shared" si="23"/>
        <v>332</v>
      </c>
      <c r="G729" s="22" cm="1">
        <f t="array" ref="G729">Comp1[[#This Row],[Comparable '#1 Drawdown]]/MAX($B$2:B729)</f>
        <v>-0.34273820536540239</v>
      </c>
      <c r="H729" s="1" t="str">
        <f>IF(SUM(COUNTIF(Benchmark1[Benchmark '#1 Dates],Comp1[[#This Row],[Comparable '#1 Dates]]),COUNTIF(Benchmark2[Benchmark '#2 Dates],Comp1[[#This Row],[Comparable '#1 Dates]]))=2,"Pass","Fail")</f>
        <v>Pass</v>
      </c>
      <c r="I729" s="1">
        <f>IFERROR(Comp1[[#This Row],[Comparable '#1 Return]]-INDEX(Benchmark1[Benchmark '#1 Return],MATCH(Comp1[[#This Row],[Comparable '#1 Dates]],Benchmark1[Benchmark '#1 Dates],0)),"-")</f>
        <v>-1.3865458117117849E-3</v>
      </c>
      <c r="L729" s="72">
        <f>Comp1[[#This Row],[Comparable '#1 Price]]/$B$2*100</f>
        <v>97.262149212867911</v>
      </c>
    </row>
    <row r="730" spans="1:12">
      <c r="A730" s="103">
        <v>44342</v>
      </c>
      <c r="B730" s="104">
        <v>14.42</v>
      </c>
      <c r="C730" s="4">
        <f t="shared" si="22"/>
        <v>1.4670189747793621E-2</v>
      </c>
      <c r="D730" s="1">
        <f>IFERROR(Comp1[[#This Row],[Comparable '#1 Return]]+1,"-")</f>
        <v>1.0146701897477937</v>
      </c>
      <c r="E730" s="6">
        <f>B730-MAX($B$2:B730)</f>
        <v>-7.2000000000000011</v>
      </c>
      <c r="F730" s="80">
        <f t="shared" si="23"/>
        <v>333</v>
      </c>
      <c r="G730" s="22" cm="1">
        <f t="array" ref="G730">Comp1[[#This Row],[Comparable '#1 Drawdown]]/MAX($B$2:B730)</f>
        <v>-0.33302497687326554</v>
      </c>
      <c r="H730" s="1" t="str">
        <f>IF(SUM(COUNTIF(Benchmark1[Benchmark '#1 Dates],Comp1[[#This Row],[Comparable '#1 Dates]]),COUNTIF(Benchmark2[Benchmark '#2 Dates],Comp1[[#This Row],[Comparable '#1 Dates]]))=2,"Pass","Fail")</f>
        <v>Pass</v>
      </c>
      <c r="I730" s="1">
        <f>IFERROR(Comp1[[#This Row],[Comparable '#1 Return]]-INDEX(Benchmark1[Benchmark '#1 Return],MATCH(Comp1[[#This Row],[Comparable '#1 Dates]],Benchmark1[Benchmark '#1 Dates],0)),"-")</f>
        <v>1.2795332114761823E-2</v>
      </c>
      <c r="L730" s="72">
        <f>Comp1[[#This Row],[Comparable '#1 Price]]/$B$2*100</f>
        <v>98.69952087611226</v>
      </c>
    </row>
    <row r="731" spans="1:12">
      <c r="A731" s="103">
        <v>44343</v>
      </c>
      <c r="B731" s="104">
        <v>14.53</v>
      </c>
      <c r="C731" s="4">
        <f t="shared" si="22"/>
        <v>7.5993457253885153E-3</v>
      </c>
      <c r="D731" s="1">
        <f>IFERROR(Comp1[[#This Row],[Comparable '#1 Return]]+1,"-")</f>
        <v>1.0075993457253885</v>
      </c>
      <c r="E731" s="6">
        <f>B731-MAX($B$2:B731)</f>
        <v>-7.0900000000000016</v>
      </c>
      <c r="F731" s="80">
        <f t="shared" si="23"/>
        <v>334</v>
      </c>
      <c r="G731" s="22" cm="1">
        <f t="array" ref="G731">Comp1[[#This Row],[Comparable '#1 Drawdown]]/MAX($B$2:B731)</f>
        <v>-0.32793709528214621</v>
      </c>
      <c r="H731" s="1" t="str">
        <f>IF(SUM(COUNTIF(Benchmark1[Benchmark '#1 Dates],Comp1[[#This Row],[Comparable '#1 Dates]]),COUNTIF(Benchmark2[Benchmark '#2 Dates],Comp1[[#This Row],[Comparable '#1 Dates]]))=2,"Pass","Fail")</f>
        <v>Pass</v>
      </c>
      <c r="I731" s="1">
        <f>IFERROR(Comp1[[#This Row],[Comparable '#1 Return]]-INDEX(Benchmark1[Benchmark '#1 Return],MATCH(Comp1[[#This Row],[Comparable '#1 Dates]],Benchmark1[Benchmark '#1 Dates],0)),"-")</f>
        <v>6.436491220986218E-3</v>
      </c>
      <c r="L731" s="72">
        <f>Comp1[[#This Row],[Comparable '#1 Price]]/$B$2*100</f>
        <v>99.452429842573579</v>
      </c>
    </row>
    <row r="732" spans="1:12">
      <c r="A732" s="103">
        <v>44344</v>
      </c>
      <c r="B732" s="104">
        <v>14.61</v>
      </c>
      <c r="C732" s="4">
        <f t="shared" si="22"/>
        <v>5.4907481804165907E-3</v>
      </c>
      <c r="D732" s="1">
        <f>IFERROR(Comp1[[#This Row],[Comparable '#1 Return]]+1,"-")</f>
        <v>1.0054907481804165</v>
      </c>
      <c r="E732" s="6">
        <f>B732-MAX($B$2:B732)</f>
        <v>-7.0100000000000016</v>
      </c>
      <c r="F732" s="80">
        <f t="shared" si="23"/>
        <v>335</v>
      </c>
      <c r="G732" s="22" cm="1">
        <f t="array" ref="G732">Comp1[[#This Row],[Comparable '#1 Drawdown]]/MAX($B$2:B732)</f>
        <v>-0.32423681776133217</v>
      </c>
      <c r="H732" s="1" t="str">
        <f>IF(SUM(COUNTIF(Benchmark1[Benchmark '#1 Dates],Comp1[[#This Row],[Comparable '#1 Dates]]),COUNTIF(Benchmark2[Benchmark '#2 Dates],Comp1[[#This Row],[Comparable '#1 Dates]]))=2,"Pass","Fail")</f>
        <v>Pass</v>
      </c>
      <c r="I732" s="1">
        <f>IFERROR(Comp1[[#This Row],[Comparable '#1 Return]]-INDEX(Benchmark1[Benchmark '#1 Return],MATCH(Comp1[[#This Row],[Comparable '#1 Dates]],Benchmark1[Benchmark '#1 Dates],0)),"-")</f>
        <v>4.7210279991311849E-3</v>
      </c>
      <c r="L732" s="72">
        <f>Comp1[[#This Row],[Comparable '#1 Price]]/$B$2*100</f>
        <v>100</v>
      </c>
    </row>
    <row r="733" spans="1:12">
      <c r="A733" s="103">
        <v>44348</v>
      </c>
      <c r="B733" s="104">
        <v>15.16</v>
      </c>
      <c r="C733" s="4">
        <f t="shared" si="22"/>
        <v>3.6954154451617469E-2</v>
      </c>
      <c r="D733" s="1">
        <f>IFERROR(Comp1[[#This Row],[Comparable '#1 Return]]+1,"-")</f>
        <v>1.0369541544516174</v>
      </c>
      <c r="E733" s="6">
        <f>B733-MAX($B$2:B733)</f>
        <v>-6.4600000000000009</v>
      </c>
      <c r="F733" s="80">
        <f t="shared" si="23"/>
        <v>336</v>
      </c>
      <c r="G733" s="22" cm="1">
        <f t="array" ref="G733">Comp1[[#This Row],[Comparable '#1 Drawdown]]/MAX($B$2:B733)</f>
        <v>-0.29879740980573544</v>
      </c>
      <c r="H733" s="1" t="str">
        <f>IF(SUM(COUNTIF(Benchmark1[Benchmark '#1 Dates],Comp1[[#This Row],[Comparable '#1 Dates]]),COUNTIF(Benchmark2[Benchmark '#2 Dates],Comp1[[#This Row],[Comparable '#1 Dates]]))=2,"Pass","Fail")</f>
        <v>Pass</v>
      </c>
      <c r="I733" s="1">
        <f>IFERROR(Comp1[[#This Row],[Comparable '#1 Return]]-INDEX(Benchmark1[Benchmark '#1 Return],MATCH(Comp1[[#This Row],[Comparable '#1 Dates]],Benchmark1[Benchmark '#1 Dates],0)),"-")</f>
        <v>3.7446397875397115E-2</v>
      </c>
      <c r="L733" s="72">
        <f>Comp1[[#This Row],[Comparable '#1 Price]]/$B$2*100</f>
        <v>103.76454483230664</v>
      </c>
    </row>
    <row r="734" spans="1:12">
      <c r="A734" s="103">
        <v>44349</v>
      </c>
      <c r="B734" s="104">
        <v>15.49</v>
      </c>
      <c r="C734" s="4">
        <f t="shared" si="22"/>
        <v>2.1534274214551612E-2</v>
      </c>
      <c r="D734" s="1">
        <f>IFERROR(Comp1[[#This Row],[Comparable '#1 Return]]+1,"-")</f>
        <v>1.0215342742145517</v>
      </c>
      <c r="E734" s="6">
        <f>B734-MAX($B$2:B734)</f>
        <v>-6.1300000000000008</v>
      </c>
      <c r="F734" s="80">
        <f t="shared" si="23"/>
        <v>337</v>
      </c>
      <c r="G734" s="22" cm="1">
        <f t="array" ref="G734">Comp1[[#This Row],[Comparable '#1 Drawdown]]/MAX($B$2:B734)</f>
        <v>-0.28353376503237743</v>
      </c>
      <c r="H734" s="1" t="str">
        <f>IF(SUM(COUNTIF(Benchmark1[Benchmark '#1 Dates],Comp1[[#This Row],[Comparable '#1 Dates]]),COUNTIF(Benchmark2[Benchmark '#2 Dates],Comp1[[#This Row],[Comparable '#1 Dates]]))=2,"Pass","Fail")</f>
        <v>Pass</v>
      </c>
      <c r="I734" s="1">
        <f>IFERROR(Comp1[[#This Row],[Comparable '#1 Return]]-INDEX(Benchmark1[Benchmark '#1 Return],MATCH(Comp1[[#This Row],[Comparable '#1 Dates]],Benchmark1[Benchmark '#1 Dates],0)),"-")</f>
        <v>2.0088972140534078E-2</v>
      </c>
      <c r="L734" s="72">
        <f>Comp1[[#This Row],[Comparable '#1 Price]]/$B$2*100</f>
        <v>106.02327173169064</v>
      </c>
    </row>
    <row r="735" spans="1:12">
      <c r="A735" s="103">
        <v>44350</v>
      </c>
      <c r="B735" s="104">
        <v>15.21</v>
      </c>
      <c r="C735" s="4">
        <f t="shared" si="22"/>
        <v>-1.8241548157575754E-2</v>
      </c>
      <c r="D735" s="1">
        <f>IFERROR(Comp1[[#This Row],[Comparable '#1 Return]]+1,"-")</f>
        <v>0.98175845184242427</v>
      </c>
      <c r="E735" s="6">
        <f>B735-MAX($B$2:B735)</f>
        <v>-6.41</v>
      </c>
      <c r="F735" s="80">
        <f t="shared" si="23"/>
        <v>338</v>
      </c>
      <c r="G735" s="22" cm="1">
        <f t="array" ref="G735">Comp1[[#This Row],[Comparable '#1 Drawdown]]/MAX($B$2:B735)</f>
        <v>-0.29648473635522665</v>
      </c>
      <c r="H735" s="1" t="str">
        <f>IF(SUM(COUNTIF(Benchmark1[Benchmark '#1 Dates],Comp1[[#This Row],[Comparable '#1 Dates]]),COUNTIF(Benchmark2[Benchmark '#2 Dates],Comp1[[#This Row],[Comparable '#1 Dates]]))=2,"Pass","Fail")</f>
        <v>Pass</v>
      </c>
      <c r="I735" s="1">
        <f>IFERROR(Comp1[[#This Row],[Comparable '#1 Return]]-INDEX(Benchmark1[Benchmark '#1 Return],MATCH(Comp1[[#This Row],[Comparable '#1 Dates]],Benchmark1[Benchmark '#1 Dates],0)),"-")</f>
        <v>-1.4607583280993878E-2</v>
      </c>
      <c r="L735" s="72">
        <f>Comp1[[#This Row],[Comparable '#1 Price]]/$B$2*100</f>
        <v>104.10677618069816</v>
      </c>
    </row>
    <row r="736" spans="1:12">
      <c r="A736" s="103">
        <v>44351</v>
      </c>
      <c r="B736" s="104">
        <v>15.31</v>
      </c>
      <c r="C736" s="4">
        <f t="shared" si="22"/>
        <v>6.5531033983908587E-3</v>
      </c>
      <c r="D736" s="1">
        <f>IFERROR(Comp1[[#This Row],[Comparable '#1 Return]]+1,"-")</f>
        <v>1.0065531033983908</v>
      </c>
      <c r="E736" s="6">
        <f>B736-MAX($B$2:B736)</f>
        <v>-6.3100000000000005</v>
      </c>
      <c r="F736" s="80">
        <f t="shared" si="23"/>
        <v>339</v>
      </c>
      <c r="G736" s="22" cm="1">
        <f t="array" ref="G736">Comp1[[#This Row],[Comparable '#1 Drawdown]]/MAX($B$2:B736)</f>
        <v>-0.29185938945420908</v>
      </c>
      <c r="H736" s="1" t="str">
        <f>IF(SUM(COUNTIF(Benchmark1[Benchmark '#1 Dates],Comp1[[#This Row],[Comparable '#1 Dates]]),COUNTIF(Benchmark2[Benchmark '#2 Dates],Comp1[[#This Row],[Comparable '#1 Dates]]))=2,"Pass","Fail")</f>
        <v>Pass</v>
      </c>
      <c r="I736" s="1">
        <f>IFERROR(Comp1[[#This Row],[Comparable '#1 Return]]-INDEX(Benchmark1[Benchmark '#1 Return],MATCH(Comp1[[#This Row],[Comparable '#1 Dates]],Benchmark1[Benchmark '#1 Dates],0)),"-")</f>
        <v>-2.2411856180391066E-3</v>
      </c>
      <c r="L736" s="72">
        <f>Comp1[[#This Row],[Comparable '#1 Price]]/$B$2*100</f>
        <v>104.79123887748119</v>
      </c>
    </row>
    <row r="737" spans="1:12">
      <c r="A737" s="103">
        <v>44354</v>
      </c>
      <c r="B737" s="104">
        <v>15.34</v>
      </c>
      <c r="C737" s="4">
        <f t="shared" si="22"/>
        <v>1.957586269517629E-3</v>
      </c>
      <c r="D737" s="1">
        <f>IFERROR(Comp1[[#This Row],[Comparable '#1 Return]]+1,"-")</f>
        <v>1.0019575862695176</v>
      </c>
      <c r="E737" s="6">
        <f>B737-MAX($B$2:B737)</f>
        <v>-6.2800000000000011</v>
      </c>
      <c r="F737" s="80">
        <f t="shared" si="23"/>
        <v>340</v>
      </c>
      <c r="G737" s="22" cm="1">
        <f t="array" ref="G737">Comp1[[#This Row],[Comparable '#1 Drawdown]]/MAX($B$2:B737)</f>
        <v>-0.29047178538390384</v>
      </c>
      <c r="H737" s="1" t="str">
        <f>IF(SUM(COUNTIF(Benchmark1[Benchmark '#1 Dates],Comp1[[#This Row],[Comparable '#1 Dates]]),COUNTIF(Benchmark2[Benchmark '#2 Dates],Comp1[[#This Row],[Comparable '#1 Dates]]))=2,"Pass","Fail")</f>
        <v>Pass</v>
      </c>
      <c r="I737" s="1">
        <f>IFERROR(Comp1[[#This Row],[Comparable '#1 Return]]-INDEX(Benchmark1[Benchmark '#1 Return],MATCH(Comp1[[#This Row],[Comparable '#1 Dates]],Benchmark1[Benchmark '#1 Dates],0)),"-")</f>
        <v>2.7547154782288905E-3</v>
      </c>
      <c r="L737" s="72">
        <f>Comp1[[#This Row],[Comparable '#1 Price]]/$B$2*100</f>
        <v>104.99657768651609</v>
      </c>
    </row>
    <row r="738" spans="1:12">
      <c r="A738" s="103">
        <v>44355</v>
      </c>
      <c r="B738" s="104">
        <v>15.28</v>
      </c>
      <c r="C738" s="4">
        <f t="shared" si="22"/>
        <v>-3.9190122007357192E-3</v>
      </c>
      <c r="D738" s="1">
        <f>IFERROR(Comp1[[#This Row],[Comparable '#1 Return]]+1,"-")</f>
        <v>0.99608098779926424</v>
      </c>
      <c r="E738" s="6">
        <f>B738-MAX($B$2:B738)</f>
        <v>-6.3400000000000016</v>
      </c>
      <c r="F738" s="80">
        <f t="shared" si="23"/>
        <v>341</v>
      </c>
      <c r="G738" s="22" cm="1">
        <f t="array" ref="G738">Comp1[[#This Row],[Comparable '#1 Drawdown]]/MAX($B$2:B738)</f>
        <v>-0.29324699352451439</v>
      </c>
      <c r="H738" s="1" t="str">
        <f>IF(SUM(COUNTIF(Benchmark1[Benchmark '#1 Dates],Comp1[[#This Row],[Comparable '#1 Dates]]),COUNTIF(Benchmark2[Benchmark '#2 Dates],Comp1[[#This Row],[Comparable '#1 Dates]]))=2,"Pass","Fail")</f>
        <v>Pass</v>
      </c>
      <c r="I738" s="1">
        <f>IFERROR(Comp1[[#This Row],[Comparable '#1 Return]]-INDEX(Benchmark1[Benchmark '#1 Return],MATCH(Comp1[[#This Row],[Comparable '#1 Dates]],Benchmark1[Benchmark '#1 Dates],0)),"-")</f>
        <v>-4.0928578139193756E-3</v>
      </c>
      <c r="L738" s="72">
        <f>Comp1[[#This Row],[Comparable '#1 Price]]/$B$2*100</f>
        <v>104.58590006844628</v>
      </c>
    </row>
    <row r="739" spans="1:12">
      <c r="A739" s="103">
        <v>44356</v>
      </c>
      <c r="B739" s="104">
        <v>15.2</v>
      </c>
      <c r="C739" s="4">
        <f t="shared" si="22"/>
        <v>-5.2493558861436782E-3</v>
      </c>
      <c r="D739" s="1">
        <f>IFERROR(Comp1[[#This Row],[Comparable '#1 Return]]+1,"-")</f>
        <v>0.99475064411385627</v>
      </c>
      <c r="E739" s="6">
        <f>B739-MAX($B$2:B739)</f>
        <v>-6.4200000000000017</v>
      </c>
      <c r="F739" s="80">
        <f t="shared" si="23"/>
        <v>342</v>
      </c>
      <c r="G739" s="22" cm="1">
        <f t="array" ref="G739">Comp1[[#This Row],[Comparable '#1 Drawdown]]/MAX($B$2:B739)</f>
        <v>-0.29694727104532848</v>
      </c>
      <c r="H739" s="1" t="str">
        <f>IF(SUM(COUNTIF(Benchmark1[Benchmark '#1 Dates],Comp1[[#This Row],[Comparable '#1 Dates]]),COUNTIF(Benchmark2[Benchmark '#2 Dates],Comp1[[#This Row],[Comparable '#1 Dates]]))=2,"Pass","Fail")</f>
        <v>Pass</v>
      </c>
      <c r="I739" s="1">
        <f>IFERROR(Comp1[[#This Row],[Comparable '#1 Return]]-INDEX(Benchmark1[Benchmark '#1 Return],MATCH(Comp1[[#This Row],[Comparable '#1 Dates]],Benchmark1[Benchmark '#1 Dates],0)),"-")</f>
        <v>-3.4242448213673287E-3</v>
      </c>
      <c r="L739" s="72">
        <f>Comp1[[#This Row],[Comparable '#1 Price]]/$B$2*100</f>
        <v>104.03832991101984</v>
      </c>
    </row>
    <row r="740" spans="1:12">
      <c r="A740" s="103">
        <v>44357</v>
      </c>
      <c r="B740" s="104">
        <v>15.47</v>
      </c>
      <c r="C740" s="4">
        <f t="shared" si="22"/>
        <v>1.7607236732744239E-2</v>
      </c>
      <c r="D740" s="1">
        <f>IFERROR(Comp1[[#This Row],[Comparable '#1 Return]]+1,"-")</f>
        <v>1.0176072367327442</v>
      </c>
      <c r="E740" s="6">
        <f>B740-MAX($B$2:B740)</f>
        <v>-6.15</v>
      </c>
      <c r="F740" s="80">
        <f t="shared" si="23"/>
        <v>343</v>
      </c>
      <c r="G740" s="22" cm="1">
        <f t="array" ref="G740">Comp1[[#This Row],[Comparable '#1 Drawdown]]/MAX($B$2:B740)</f>
        <v>-0.28445883441258096</v>
      </c>
      <c r="H740" s="1" t="str">
        <f>IF(SUM(COUNTIF(Benchmark1[Benchmark '#1 Dates],Comp1[[#This Row],[Comparable '#1 Dates]]),COUNTIF(Benchmark2[Benchmark '#2 Dates],Comp1[[#This Row],[Comparable '#1 Dates]]))=2,"Pass","Fail")</f>
        <v>Pass</v>
      </c>
      <c r="I740" s="1">
        <f>IFERROR(Comp1[[#This Row],[Comparable '#1 Return]]-INDEX(Benchmark1[Benchmark '#1 Return],MATCH(Comp1[[#This Row],[Comparable '#1 Dates]],Benchmark1[Benchmark '#1 Dates],0)),"-")</f>
        <v>1.2964138626642923E-2</v>
      </c>
      <c r="L740" s="72">
        <f>Comp1[[#This Row],[Comparable '#1 Price]]/$B$2*100</f>
        <v>105.88637919233403</v>
      </c>
    </row>
    <row r="741" spans="1:12">
      <c r="A741" s="103">
        <v>44358</v>
      </c>
      <c r="B741" s="104">
        <v>15.43</v>
      </c>
      <c r="C741" s="4">
        <f t="shared" si="22"/>
        <v>-2.5889982099053842E-3</v>
      </c>
      <c r="D741" s="1">
        <f>IFERROR(Comp1[[#This Row],[Comparable '#1 Return]]+1,"-")</f>
        <v>0.99741100179009456</v>
      </c>
      <c r="E741" s="6">
        <f>B741-MAX($B$2:B741)</f>
        <v>-6.1900000000000013</v>
      </c>
      <c r="F741" s="80">
        <f t="shared" si="23"/>
        <v>344</v>
      </c>
      <c r="G741" s="22" cm="1">
        <f t="array" ref="G741">Comp1[[#This Row],[Comparable '#1 Drawdown]]/MAX($B$2:B741)</f>
        <v>-0.28630897317298803</v>
      </c>
      <c r="H741" s="1" t="str">
        <f>IF(SUM(COUNTIF(Benchmark1[Benchmark '#1 Dates],Comp1[[#This Row],[Comparable '#1 Dates]]),COUNTIF(Benchmark2[Benchmark '#2 Dates],Comp1[[#This Row],[Comparable '#1 Dates]]))=2,"Pass","Fail")</f>
        <v>Pass</v>
      </c>
      <c r="I741" s="1">
        <f>IFERROR(Comp1[[#This Row],[Comparable '#1 Return]]-INDEX(Benchmark1[Benchmark '#1 Return],MATCH(Comp1[[#This Row],[Comparable '#1 Dates]],Benchmark1[Benchmark '#1 Dates],0)),"-")</f>
        <v>-4.5345617852189865E-3</v>
      </c>
      <c r="L741" s="72">
        <f>Comp1[[#This Row],[Comparable '#1 Price]]/$B$2*100</f>
        <v>105.6125941136208</v>
      </c>
    </row>
    <row r="742" spans="1:12">
      <c r="A742" s="103">
        <v>44361</v>
      </c>
      <c r="B742" s="104">
        <v>15.43</v>
      </c>
      <c r="C742" s="4">
        <f t="shared" si="22"/>
        <v>0</v>
      </c>
      <c r="D742" s="1">
        <f>IFERROR(Comp1[[#This Row],[Comparable '#1 Return]]+1,"-")</f>
        <v>1</v>
      </c>
      <c r="E742" s="6">
        <f>B742-MAX($B$2:B742)</f>
        <v>-6.1900000000000013</v>
      </c>
      <c r="F742" s="80">
        <f t="shared" si="23"/>
        <v>345</v>
      </c>
      <c r="G742" s="22" cm="1">
        <f t="array" ref="G742">Comp1[[#This Row],[Comparable '#1 Drawdown]]/MAX($B$2:B742)</f>
        <v>-0.28630897317298803</v>
      </c>
      <c r="H742" s="1" t="str">
        <f>IF(SUM(COUNTIF(Benchmark1[Benchmark '#1 Dates],Comp1[[#This Row],[Comparable '#1 Dates]]),COUNTIF(Benchmark2[Benchmark '#2 Dates],Comp1[[#This Row],[Comparable '#1 Dates]]))=2,"Pass","Fail")</f>
        <v>Pass</v>
      </c>
      <c r="I742" s="1">
        <f>IFERROR(Comp1[[#This Row],[Comparable '#1 Return]]-INDEX(Benchmark1[Benchmark '#1 Return],MATCH(Comp1[[#This Row],[Comparable '#1 Dates]],Benchmark1[Benchmark '#1 Dates],0)),"-")</f>
        <v>-1.8136937355456039E-3</v>
      </c>
      <c r="L742" s="72">
        <f>Comp1[[#This Row],[Comparable '#1 Price]]/$B$2*100</f>
        <v>105.6125941136208</v>
      </c>
    </row>
    <row r="743" spans="1:12">
      <c r="A743" s="103">
        <v>44362</v>
      </c>
      <c r="B743" s="104">
        <v>15.47</v>
      </c>
      <c r="C743" s="4">
        <f t="shared" si="22"/>
        <v>2.5889982099054033E-3</v>
      </c>
      <c r="D743" s="1">
        <f>IFERROR(Comp1[[#This Row],[Comparable '#1 Return]]+1,"-")</f>
        <v>1.0025889982099054</v>
      </c>
      <c r="E743" s="6">
        <f>B743-MAX($B$2:B743)</f>
        <v>-6.15</v>
      </c>
      <c r="F743" s="80">
        <f t="shared" si="23"/>
        <v>346</v>
      </c>
      <c r="G743" s="22" cm="1">
        <f t="array" ref="G743">Comp1[[#This Row],[Comparable '#1 Drawdown]]/MAX($B$2:B743)</f>
        <v>-0.28445883441258096</v>
      </c>
      <c r="H743" s="1" t="str">
        <f>IF(SUM(COUNTIF(Benchmark1[Benchmark '#1 Dates],Comp1[[#This Row],[Comparable '#1 Dates]]),COUNTIF(Benchmark2[Benchmark '#2 Dates],Comp1[[#This Row],[Comparable '#1 Dates]]))=2,"Pass","Fail")</f>
        <v>Pass</v>
      </c>
      <c r="I743" s="1">
        <f>IFERROR(Comp1[[#This Row],[Comparable '#1 Return]]-INDEX(Benchmark1[Benchmark '#1 Return],MATCH(Comp1[[#This Row],[Comparable '#1 Dates]],Benchmark1[Benchmark '#1 Dates],0)),"-")</f>
        <v>4.6018450327811123E-3</v>
      </c>
      <c r="L743" s="72">
        <f>Comp1[[#This Row],[Comparable '#1 Price]]/$B$2*100</f>
        <v>105.88637919233403</v>
      </c>
    </row>
    <row r="744" spans="1:12">
      <c r="A744" s="103">
        <v>44363</v>
      </c>
      <c r="B744" s="104">
        <v>15.38</v>
      </c>
      <c r="C744" s="4">
        <f t="shared" si="22"/>
        <v>-5.8347005074768166E-3</v>
      </c>
      <c r="D744" s="1">
        <f>IFERROR(Comp1[[#This Row],[Comparable '#1 Return]]+1,"-")</f>
        <v>0.99416529949252319</v>
      </c>
      <c r="E744" s="6">
        <f>B744-MAX($B$2:B744)</f>
        <v>-6.24</v>
      </c>
      <c r="F744" s="80">
        <f t="shared" si="23"/>
        <v>347</v>
      </c>
      <c r="G744" s="22" cm="1">
        <f t="array" ref="G744">Comp1[[#This Row],[Comparable '#1 Drawdown]]/MAX($B$2:B744)</f>
        <v>-0.28862164662349676</v>
      </c>
      <c r="H744" s="1" t="str">
        <f>IF(SUM(COUNTIF(Benchmark1[Benchmark '#1 Dates],Comp1[[#This Row],[Comparable '#1 Dates]]),COUNTIF(Benchmark2[Benchmark '#2 Dates],Comp1[[#This Row],[Comparable '#1 Dates]]))=2,"Pass","Fail")</f>
        <v>Pass</v>
      </c>
      <c r="I744" s="1">
        <f>IFERROR(Comp1[[#This Row],[Comparable '#1 Return]]-INDEX(Benchmark1[Benchmark '#1 Return],MATCH(Comp1[[#This Row],[Comparable '#1 Dates]],Benchmark1[Benchmark '#1 Dates],0)),"-")</f>
        <v>-4.2996929803290531E-4</v>
      </c>
      <c r="L744" s="72">
        <f>Comp1[[#This Row],[Comparable '#1 Price]]/$B$2*100</f>
        <v>105.27036276522929</v>
      </c>
    </row>
    <row r="745" spans="1:12">
      <c r="A745" s="103">
        <v>44364</v>
      </c>
      <c r="B745" s="104">
        <v>15.2</v>
      </c>
      <c r="C745" s="4">
        <f t="shared" si="22"/>
        <v>-1.1772536225267348E-2</v>
      </c>
      <c r="D745" s="1">
        <f>IFERROR(Comp1[[#This Row],[Comparable '#1 Return]]+1,"-")</f>
        <v>0.9882274637747327</v>
      </c>
      <c r="E745" s="6">
        <f>B745-MAX($B$2:B745)</f>
        <v>-6.4200000000000017</v>
      </c>
      <c r="F745" s="80">
        <f t="shared" si="23"/>
        <v>348</v>
      </c>
      <c r="G745" s="22" cm="1">
        <f t="array" ref="G745">Comp1[[#This Row],[Comparable '#1 Drawdown]]/MAX($B$2:B745)</f>
        <v>-0.29694727104532848</v>
      </c>
      <c r="H745" s="1" t="str">
        <f>IF(SUM(COUNTIF(Benchmark1[Benchmark '#1 Dates],Comp1[[#This Row],[Comparable '#1 Dates]]),COUNTIF(Benchmark2[Benchmark '#2 Dates],Comp1[[#This Row],[Comparable '#1 Dates]]))=2,"Pass","Fail")</f>
        <v>Pass</v>
      </c>
      <c r="I745" s="1">
        <f>IFERROR(Comp1[[#This Row],[Comparable '#1 Return]]-INDEX(Benchmark1[Benchmark '#1 Return],MATCH(Comp1[[#This Row],[Comparable '#1 Dates]],Benchmark1[Benchmark '#1 Dates],0)),"-")</f>
        <v>-1.1335416792633276E-2</v>
      </c>
      <c r="L745" s="72">
        <f>Comp1[[#This Row],[Comparable '#1 Price]]/$B$2*100</f>
        <v>104.03832991101984</v>
      </c>
    </row>
    <row r="746" spans="1:12">
      <c r="A746" s="103">
        <v>44365</v>
      </c>
      <c r="B746" s="104">
        <v>14.89</v>
      </c>
      <c r="C746" s="4">
        <f t="shared" si="22"/>
        <v>-2.0605581156312953E-2</v>
      </c>
      <c r="D746" s="1">
        <f>IFERROR(Comp1[[#This Row],[Comparable '#1 Return]]+1,"-")</f>
        <v>0.97939441884368705</v>
      </c>
      <c r="E746" s="6">
        <f>B746-MAX($B$2:B746)</f>
        <v>-6.73</v>
      </c>
      <c r="F746" s="80">
        <f t="shared" si="23"/>
        <v>349</v>
      </c>
      <c r="G746" s="22" cm="1">
        <f t="array" ref="G746">Comp1[[#This Row],[Comparable '#1 Drawdown]]/MAX($B$2:B746)</f>
        <v>-0.31128584643848289</v>
      </c>
      <c r="H746" s="1" t="str">
        <f>IF(SUM(COUNTIF(Benchmark1[Benchmark '#1 Dates],Comp1[[#This Row],[Comparable '#1 Dates]]),COUNTIF(Benchmark2[Benchmark '#2 Dates],Comp1[[#This Row],[Comparable '#1 Dates]]))=2,"Pass","Fail")</f>
        <v>Pass</v>
      </c>
      <c r="I746" s="1">
        <f>IFERROR(Comp1[[#This Row],[Comparable '#1 Return]]-INDEX(Benchmark1[Benchmark '#1 Return],MATCH(Comp1[[#This Row],[Comparable '#1 Dates]],Benchmark1[Benchmark '#1 Dates],0)),"-")</f>
        <v>-7.3953183435581313E-3</v>
      </c>
      <c r="L746" s="72">
        <f>Comp1[[#This Row],[Comparable '#1 Price]]/$B$2*100</f>
        <v>101.91649555099247</v>
      </c>
    </row>
    <row r="747" spans="1:12">
      <c r="A747" s="103">
        <v>44368</v>
      </c>
      <c r="B747" s="104">
        <v>15.08</v>
      </c>
      <c r="C747" s="4">
        <f t="shared" si="22"/>
        <v>1.267951588389233E-2</v>
      </c>
      <c r="D747" s="1">
        <f>IFERROR(Comp1[[#This Row],[Comparable '#1 Return]]+1,"-")</f>
        <v>1.0126795158838924</v>
      </c>
      <c r="E747" s="6">
        <f>B747-MAX($B$2:B747)</f>
        <v>-6.5400000000000009</v>
      </c>
      <c r="F747" s="80">
        <f t="shared" si="23"/>
        <v>350</v>
      </c>
      <c r="G747" s="22" cm="1">
        <f t="array" ref="G747">Comp1[[#This Row],[Comparable '#1 Drawdown]]/MAX($B$2:B747)</f>
        <v>-0.30249768732654952</v>
      </c>
      <c r="H747" s="1" t="str">
        <f>IF(SUM(COUNTIF(Benchmark1[Benchmark '#1 Dates],Comp1[[#This Row],[Comparable '#1 Dates]]),COUNTIF(Benchmark2[Benchmark '#2 Dates],Comp1[[#This Row],[Comparable '#1 Dates]]))=2,"Pass","Fail")</f>
        <v>Pass</v>
      </c>
      <c r="I747" s="1">
        <f>IFERROR(Comp1[[#This Row],[Comparable '#1 Return]]-INDEX(Benchmark1[Benchmark '#1 Return],MATCH(Comp1[[#This Row],[Comparable '#1 Dates]],Benchmark1[Benchmark '#1 Dates],0)),"-")</f>
        <v>-1.2243883787946309E-3</v>
      </c>
      <c r="L747" s="72">
        <f>Comp1[[#This Row],[Comparable '#1 Price]]/$B$2*100</f>
        <v>103.21697467488022</v>
      </c>
    </row>
    <row r="748" spans="1:12">
      <c r="A748" s="103">
        <v>44369</v>
      </c>
      <c r="B748" s="104">
        <v>14.88</v>
      </c>
      <c r="C748" s="4">
        <f t="shared" si="22"/>
        <v>-1.3351333174864113E-2</v>
      </c>
      <c r="D748" s="1">
        <f>IFERROR(Comp1[[#This Row],[Comparable '#1 Return]]+1,"-")</f>
        <v>0.98664866682513586</v>
      </c>
      <c r="E748" s="6">
        <f>B748-MAX($B$2:B748)</f>
        <v>-6.74</v>
      </c>
      <c r="F748" s="80">
        <f t="shared" si="23"/>
        <v>351</v>
      </c>
      <c r="G748" s="22" cm="1">
        <f t="array" ref="G748">Comp1[[#This Row],[Comparable '#1 Drawdown]]/MAX($B$2:B748)</f>
        <v>-0.31174838112858466</v>
      </c>
      <c r="H748" s="1" t="str">
        <f>IF(SUM(COUNTIF(Benchmark1[Benchmark '#1 Dates],Comp1[[#This Row],[Comparable '#1 Dates]]),COUNTIF(Benchmark2[Benchmark '#2 Dates],Comp1[[#This Row],[Comparable '#1 Dates]]))=2,"Pass","Fail")</f>
        <v>Pass</v>
      </c>
      <c r="I748" s="1">
        <f>IFERROR(Comp1[[#This Row],[Comparable '#1 Return]]-INDEX(Benchmark1[Benchmark '#1 Return],MATCH(Comp1[[#This Row],[Comparable '#1 Dates]],Benchmark1[Benchmark '#1 Dates],0)),"-")</f>
        <v>-1.8462109347829044E-2</v>
      </c>
      <c r="L748" s="72">
        <f>Comp1[[#This Row],[Comparable '#1 Price]]/$B$2*100</f>
        <v>101.84804928131416</v>
      </c>
    </row>
    <row r="749" spans="1:12">
      <c r="A749" s="103">
        <v>44370</v>
      </c>
      <c r="B749" s="104">
        <v>14.89</v>
      </c>
      <c r="C749" s="4">
        <f t="shared" si="22"/>
        <v>6.7181729097186478E-4</v>
      </c>
      <c r="D749" s="1">
        <f>IFERROR(Comp1[[#This Row],[Comparable '#1 Return]]+1,"-")</f>
        <v>1.0006718172909719</v>
      </c>
      <c r="E749" s="6">
        <f>B749-MAX($B$2:B749)</f>
        <v>-6.73</v>
      </c>
      <c r="F749" s="80">
        <f t="shared" si="23"/>
        <v>352</v>
      </c>
      <c r="G749" s="22" cm="1">
        <f t="array" ref="G749">Comp1[[#This Row],[Comparable '#1 Drawdown]]/MAX($B$2:B749)</f>
        <v>-0.31128584643848289</v>
      </c>
      <c r="H749" s="1" t="str">
        <f>IF(SUM(COUNTIF(Benchmark1[Benchmark '#1 Dates],Comp1[[#This Row],[Comparable '#1 Dates]]),COUNTIF(Benchmark2[Benchmark '#2 Dates],Comp1[[#This Row],[Comparable '#1 Dates]]))=2,"Pass","Fail")</f>
        <v>Pass</v>
      </c>
      <c r="I749" s="1">
        <f>IFERROR(Comp1[[#This Row],[Comparable '#1 Return]]-INDEX(Benchmark1[Benchmark '#1 Return],MATCH(Comp1[[#This Row],[Comparable '#1 Dates]],Benchmark1[Benchmark '#1 Dates],0)),"-")</f>
        <v>1.7554372885744401E-3</v>
      </c>
      <c r="L749" s="72">
        <f>Comp1[[#This Row],[Comparable '#1 Price]]/$B$2*100</f>
        <v>101.91649555099247</v>
      </c>
    </row>
    <row r="750" spans="1:12">
      <c r="A750" s="103">
        <v>44371</v>
      </c>
      <c r="B750" s="104">
        <v>15.05</v>
      </c>
      <c r="C750" s="4">
        <f t="shared" si="22"/>
        <v>1.0688144498967026E-2</v>
      </c>
      <c r="D750" s="1">
        <f>IFERROR(Comp1[[#This Row],[Comparable '#1 Return]]+1,"-")</f>
        <v>1.010688144498967</v>
      </c>
      <c r="E750" s="6">
        <f>B750-MAX($B$2:B750)</f>
        <v>-6.57</v>
      </c>
      <c r="F750" s="80">
        <f t="shared" si="23"/>
        <v>353</v>
      </c>
      <c r="G750" s="22" cm="1">
        <f t="array" ref="G750">Comp1[[#This Row],[Comparable '#1 Drawdown]]/MAX($B$2:B750)</f>
        <v>-0.30388529139685477</v>
      </c>
      <c r="H750" s="1" t="str">
        <f>IF(SUM(COUNTIF(Benchmark1[Benchmark '#1 Dates],Comp1[[#This Row],[Comparable '#1 Dates]]),COUNTIF(Benchmark2[Benchmark '#2 Dates],Comp1[[#This Row],[Comparable '#1 Dates]]))=2,"Pass","Fail")</f>
        <v>Pass</v>
      </c>
      <c r="I750" s="1">
        <f>IFERROR(Comp1[[#This Row],[Comparable '#1 Return]]-INDEX(Benchmark1[Benchmark '#1 Return],MATCH(Comp1[[#This Row],[Comparable '#1 Dates]],Benchmark1[Benchmark '#1 Dates],0)),"-")</f>
        <v>4.8938500138568332E-3</v>
      </c>
      <c r="L750" s="72">
        <f>Comp1[[#This Row],[Comparable '#1 Price]]/$B$2*100</f>
        <v>103.01163586584532</v>
      </c>
    </row>
    <row r="751" spans="1:12">
      <c r="A751" s="103">
        <v>44372</v>
      </c>
      <c r="B751" s="104">
        <v>15</v>
      </c>
      <c r="C751" s="4">
        <f t="shared" si="22"/>
        <v>-3.327790092674691E-3</v>
      </c>
      <c r="D751" s="1">
        <f>IFERROR(Comp1[[#This Row],[Comparable '#1 Return]]+1,"-")</f>
        <v>0.9966722099073253</v>
      </c>
      <c r="E751" s="6">
        <f>B751-MAX($B$2:B751)</f>
        <v>-6.620000000000001</v>
      </c>
      <c r="F751" s="80">
        <f t="shared" si="23"/>
        <v>354</v>
      </c>
      <c r="G751" s="22" cm="1">
        <f t="array" ref="G751">Comp1[[#This Row],[Comparable '#1 Drawdown]]/MAX($B$2:B751)</f>
        <v>-0.30619796484736356</v>
      </c>
      <c r="H751" s="1" t="str">
        <f>IF(SUM(COUNTIF(Benchmark1[Benchmark '#1 Dates],Comp1[[#This Row],[Comparable '#1 Dates]]),COUNTIF(Benchmark2[Benchmark '#2 Dates],Comp1[[#This Row],[Comparable '#1 Dates]]))=2,"Pass","Fail")</f>
        <v>Pass</v>
      </c>
      <c r="I751" s="1">
        <f>IFERROR(Comp1[[#This Row],[Comparable '#1 Return]]-INDEX(Benchmark1[Benchmark '#1 Return],MATCH(Comp1[[#This Row],[Comparable '#1 Dates]],Benchmark1[Benchmark '#1 Dates],0)),"-")</f>
        <v>-6.6544172301934226E-3</v>
      </c>
      <c r="L751" s="72">
        <f>Comp1[[#This Row],[Comparable '#1 Price]]/$B$2*100</f>
        <v>102.66940451745381</v>
      </c>
    </row>
    <row r="752" spans="1:12">
      <c r="A752" s="103">
        <v>44375</v>
      </c>
      <c r="B752" s="104">
        <v>14.6</v>
      </c>
      <c r="C752" s="4">
        <f t="shared" si="22"/>
        <v>-2.7028672387919374E-2</v>
      </c>
      <c r="D752" s="1">
        <f>IFERROR(Comp1[[#This Row],[Comparable '#1 Return]]+1,"-")</f>
        <v>0.97297132761208061</v>
      </c>
      <c r="E752" s="6">
        <f>B752-MAX($B$2:B752)</f>
        <v>-7.0200000000000014</v>
      </c>
      <c r="F752" s="80">
        <f t="shared" si="23"/>
        <v>355</v>
      </c>
      <c r="G752" s="22" cm="1">
        <f t="array" ref="G752">Comp1[[#This Row],[Comparable '#1 Drawdown]]/MAX($B$2:B752)</f>
        <v>-0.32469935245143389</v>
      </c>
      <c r="H752" s="1" t="str">
        <f>IF(SUM(COUNTIF(Benchmark1[Benchmark '#1 Dates],Comp1[[#This Row],[Comparable '#1 Dates]]),COUNTIF(Benchmark2[Benchmark '#2 Dates],Comp1[[#This Row],[Comparable '#1 Dates]]))=2,"Pass","Fail")</f>
        <v>Pass</v>
      </c>
      <c r="I752" s="1">
        <f>IFERROR(Comp1[[#This Row],[Comparable '#1 Return]]-INDEX(Benchmark1[Benchmark '#1 Return],MATCH(Comp1[[#This Row],[Comparable '#1 Dates]],Benchmark1[Benchmark '#1 Dates],0)),"-")</f>
        <v>-2.9339956688146613E-2</v>
      </c>
      <c r="L752" s="72">
        <f>Comp1[[#This Row],[Comparable '#1 Price]]/$B$2*100</f>
        <v>99.931553730321696</v>
      </c>
    </row>
    <row r="753" spans="1:12">
      <c r="A753" s="103">
        <v>44376</v>
      </c>
      <c r="B753" s="104">
        <v>14.48</v>
      </c>
      <c r="C753" s="4">
        <f t="shared" si="22"/>
        <v>-8.2531417567204141E-3</v>
      </c>
      <c r="D753" s="1">
        <f>IFERROR(Comp1[[#This Row],[Comparable '#1 Return]]+1,"-")</f>
        <v>0.99174685824327957</v>
      </c>
      <c r="E753" s="6">
        <f>B753-MAX($B$2:B753)</f>
        <v>-7.1400000000000006</v>
      </c>
      <c r="F753" s="80">
        <f t="shared" si="23"/>
        <v>356</v>
      </c>
      <c r="G753" s="22" cm="1">
        <f t="array" ref="G753">Comp1[[#This Row],[Comparable '#1 Drawdown]]/MAX($B$2:B753)</f>
        <v>-0.33024976873265494</v>
      </c>
      <c r="H753" s="1" t="str">
        <f>IF(SUM(COUNTIF(Benchmark1[Benchmark '#1 Dates],Comp1[[#This Row],[Comparable '#1 Dates]]),COUNTIF(Benchmark2[Benchmark '#2 Dates],Comp1[[#This Row],[Comparable '#1 Dates]]))=2,"Pass","Fail")</f>
        <v>Pass</v>
      </c>
      <c r="I753" s="1">
        <f>IFERROR(Comp1[[#This Row],[Comparable '#1 Return]]-INDEX(Benchmark1[Benchmark '#1 Return],MATCH(Comp1[[#This Row],[Comparable '#1 Dates]],Benchmark1[Benchmark '#1 Dates],0)),"-")</f>
        <v>-8.5313553301785434E-3</v>
      </c>
      <c r="L753" s="72">
        <f>Comp1[[#This Row],[Comparable '#1 Price]]/$B$2*100</f>
        <v>99.110198494182072</v>
      </c>
    </row>
    <row r="754" spans="1:12">
      <c r="A754" s="103">
        <v>44377</v>
      </c>
      <c r="B754" s="104">
        <v>14.51</v>
      </c>
      <c r="C754" s="4">
        <f t="shared" si="22"/>
        <v>2.06967993852618E-3</v>
      </c>
      <c r="D754" s="1">
        <f>IFERROR(Comp1[[#This Row],[Comparable '#1 Return]]+1,"-")</f>
        <v>1.0020696799385262</v>
      </c>
      <c r="E754" s="6">
        <f>B754-MAX($B$2:B754)</f>
        <v>-7.1100000000000012</v>
      </c>
      <c r="F754" s="80">
        <f t="shared" si="23"/>
        <v>357</v>
      </c>
      <c r="G754" s="22" cm="1">
        <f t="array" ref="G754">Comp1[[#This Row],[Comparable '#1 Drawdown]]/MAX($B$2:B754)</f>
        <v>-0.32886216466234974</v>
      </c>
      <c r="H754" s="1" t="str">
        <f>IF(SUM(COUNTIF(Benchmark1[Benchmark '#1 Dates],Comp1[[#This Row],[Comparable '#1 Dates]]),COUNTIF(Benchmark2[Benchmark '#2 Dates],Comp1[[#This Row],[Comparable '#1 Dates]]))=2,"Pass","Fail")</f>
        <v>Pass</v>
      </c>
      <c r="I754" s="1">
        <f>IFERROR(Comp1[[#This Row],[Comparable '#1 Return]]-INDEX(Benchmark1[Benchmark '#1 Return],MATCH(Comp1[[#This Row],[Comparable '#1 Dates]],Benchmark1[Benchmark '#1 Dates],0)),"-")</f>
        <v>7.43616625831062E-4</v>
      </c>
      <c r="L754" s="72">
        <f>Comp1[[#This Row],[Comparable '#1 Price]]/$B$2*100</f>
        <v>99.315537303216971</v>
      </c>
    </row>
    <row r="755" spans="1:12">
      <c r="A755" s="103">
        <v>44378</v>
      </c>
      <c r="B755" s="104">
        <v>14.76</v>
      </c>
      <c r="C755" s="4">
        <f t="shared" si="22"/>
        <v>1.7082752276229976E-2</v>
      </c>
      <c r="D755" s="1">
        <f>IFERROR(Comp1[[#This Row],[Comparable '#1 Return]]+1,"-")</f>
        <v>1.01708275227623</v>
      </c>
      <c r="E755" s="6">
        <f>B755-MAX($B$2:B755)</f>
        <v>-6.8600000000000012</v>
      </c>
      <c r="F755" s="80">
        <f t="shared" si="23"/>
        <v>358</v>
      </c>
      <c r="G755" s="22" cm="1">
        <f t="array" ref="G755">Comp1[[#This Row],[Comparable '#1 Drawdown]]/MAX($B$2:B755)</f>
        <v>-0.31729879740980577</v>
      </c>
      <c r="H755" s="1" t="str">
        <f>IF(SUM(COUNTIF(Benchmark1[Benchmark '#1 Dates],Comp1[[#This Row],[Comparable '#1 Dates]]),COUNTIF(Benchmark2[Benchmark '#2 Dates],Comp1[[#This Row],[Comparable '#1 Dates]]))=2,"Pass","Fail")</f>
        <v>Pass</v>
      </c>
      <c r="I755" s="1">
        <f>IFERROR(Comp1[[#This Row],[Comparable '#1 Return]]-INDEX(Benchmark1[Benchmark '#1 Return],MATCH(Comp1[[#This Row],[Comparable '#1 Dates]],Benchmark1[Benchmark '#1 Dates],0)),"-")</f>
        <v>1.1873894864618251E-2</v>
      </c>
      <c r="L755" s="72">
        <f>Comp1[[#This Row],[Comparable '#1 Price]]/$B$2*100</f>
        <v>101.02669404517455</v>
      </c>
    </row>
    <row r="756" spans="1:12">
      <c r="A756" s="103">
        <v>44379</v>
      </c>
      <c r="B756" s="104">
        <v>14.79</v>
      </c>
      <c r="C756" s="4">
        <f t="shared" si="22"/>
        <v>2.0304575503819213E-3</v>
      </c>
      <c r="D756" s="1">
        <f>IFERROR(Comp1[[#This Row],[Comparable '#1 Return]]+1,"-")</f>
        <v>1.002030457550382</v>
      </c>
      <c r="E756" s="6">
        <f>B756-MAX($B$2:B756)</f>
        <v>-6.8300000000000018</v>
      </c>
      <c r="F756" s="80">
        <f t="shared" si="23"/>
        <v>359</v>
      </c>
      <c r="G756" s="22" cm="1">
        <f t="array" ref="G756">Comp1[[#This Row],[Comparable '#1 Drawdown]]/MAX($B$2:B756)</f>
        <v>-0.31591119333950052</v>
      </c>
      <c r="H756" s="1" t="str">
        <f>IF(SUM(COUNTIF(Benchmark1[Benchmark '#1 Dates],Comp1[[#This Row],[Comparable '#1 Dates]]),COUNTIF(Benchmark2[Benchmark '#2 Dates],Comp1[[#This Row],[Comparable '#1 Dates]]))=2,"Pass","Fail")</f>
        <v>Pass</v>
      </c>
      <c r="I756" s="1">
        <f>IFERROR(Comp1[[#This Row],[Comparable '#1 Return]]-INDEX(Benchmark1[Benchmark '#1 Return],MATCH(Comp1[[#This Row],[Comparable '#1 Dates]],Benchmark1[Benchmark '#1 Dates],0)),"-")</f>
        <v>-5.4413845096755297E-3</v>
      </c>
      <c r="L756" s="72">
        <f>Comp1[[#This Row],[Comparable '#1 Price]]/$B$2*100</f>
        <v>101.23203285420945</v>
      </c>
    </row>
    <row r="757" spans="1:12">
      <c r="A757" s="103">
        <v>44383</v>
      </c>
      <c r="B757" s="104">
        <v>14.86</v>
      </c>
      <c r="C757" s="4">
        <f t="shared" si="22"/>
        <v>4.721762566904689E-3</v>
      </c>
      <c r="D757" s="1">
        <f>IFERROR(Comp1[[#This Row],[Comparable '#1 Return]]+1,"-")</f>
        <v>1.0047217625669047</v>
      </c>
      <c r="E757" s="6">
        <f>B757-MAX($B$2:B757)</f>
        <v>-6.7600000000000016</v>
      </c>
      <c r="F757" s="80">
        <f t="shared" si="23"/>
        <v>360</v>
      </c>
      <c r="G757" s="22" cm="1">
        <f t="array" ref="G757">Comp1[[#This Row],[Comparable '#1 Drawdown]]/MAX($B$2:B757)</f>
        <v>-0.3126734505087882</v>
      </c>
      <c r="H757" s="1" t="str">
        <f>IF(SUM(COUNTIF(Benchmark1[Benchmark '#1 Dates],Comp1[[#This Row],[Comparable '#1 Dates]]),COUNTIF(Benchmark2[Benchmark '#2 Dates],Comp1[[#This Row],[Comparable '#1 Dates]]))=2,"Pass","Fail")</f>
        <v>Pass</v>
      </c>
      <c r="I757" s="1">
        <f>IFERROR(Comp1[[#This Row],[Comparable '#1 Return]]-INDEX(Benchmark1[Benchmark '#1 Return],MATCH(Comp1[[#This Row],[Comparable '#1 Dates]],Benchmark1[Benchmark '#1 Dates],0)),"-")</f>
        <v>6.7447460613100085E-3</v>
      </c>
      <c r="L757" s="72">
        <f>Comp1[[#This Row],[Comparable '#1 Price]]/$B$2*100</f>
        <v>101.71115674195757</v>
      </c>
    </row>
    <row r="758" spans="1:12">
      <c r="A758" s="103">
        <v>44384</v>
      </c>
      <c r="B758" s="104">
        <v>14.87</v>
      </c>
      <c r="C758" s="4">
        <f t="shared" si="22"/>
        <v>6.7272118245055481E-4</v>
      </c>
      <c r="D758" s="1">
        <f>IFERROR(Comp1[[#This Row],[Comparable '#1 Return]]+1,"-")</f>
        <v>1.0006727211824507</v>
      </c>
      <c r="E758" s="6">
        <f>B758-MAX($B$2:B758)</f>
        <v>-6.7500000000000018</v>
      </c>
      <c r="F758" s="80">
        <f t="shared" si="23"/>
        <v>361</v>
      </c>
      <c r="G758" s="22" cm="1">
        <f t="array" ref="G758">Comp1[[#This Row],[Comparable '#1 Drawdown]]/MAX($B$2:B758)</f>
        <v>-0.31221091581868649</v>
      </c>
      <c r="H758" s="1" t="str">
        <f>IF(SUM(COUNTIF(Benchmark1[Benchmark '#1 Dates],Comp1[[#This Row],[Comparable '#1 Dates]]),COUNTIF(Benchmark2[Benchmark '#2 Dates],Comp1[[#This Row],[Comparable '#1 Dates]]))=2,"Pass","Fail")</f>
        <v>Pass</v>
      </c>
      <c r="I758" s="1">
        <f>IFERROR(Comp1[[#This Row],[Comparable '#1 Return]]-INDEX(Benchmark1[Benchmark '#1 Return],MATCH(Comp1[[#This Row],[Comparable '#1 Dates]],Benchmark1[Benchmark '#1 Dates],0)),"-")</f>
        <v>-2.680695055461185E-3</v>
      </c>
      <c r="L758" s="72">
        <f>Comp1[[#This Row],[Comparable '#1 Price]]/$B$2*100</f>
        <v>101.77960301163587</v>
      </c>
    </row>
    <row r="759" spans="1:12">
      <c r="A759" s="103">
        <v>44385</v>
      </c>
      <c r="B759" s="104">
        <v>14.49</v>
      </c>
      <c r="C759" s="4">
        <f t="shared" si="22"/>
        <v>-2.5887004139472654E-2</v>
      </c>
      <c r="D759" s="1">
        <f>IFERROR(Comp1[[#This Row],[Comparable '#1 Return]]+1,"-")</f>
        <v>0.97411299586052735</v>
      </c>
      <c r="E759" s="6">
        <f>B759-MAX($B$2:B759)</f>
        <v>-7.1300000000000008</v>
      </c>
      <c r="F759" s="80">
        <f t="shared" si="23"/>
        <v>362</v>
      </c>
      <c r="G759" s="22" cm="1">
        <f t="array" ref="G759">Comp1[[#This Row],[Comparable '#1 Drawdown]]/MAX($B$2:B759)</f>
        <v>-0.32978723404255322</v>
      </c>
      <c r="H759" s="1" t="str">
        <f>IF(SUM(COUNTIF(Benchmark1[Benchmark '#1 Dates],Comp1[[#This Row],[Comparable '#1 Dates]]),COUNTIF(Benchmark2[Benchmark '#2 Dates],Comp1[[#This Row],[Comparable '#1 Dates]]))=2,"Pass","Fail")</f>
        <v>Pass</v>
      </c>
      <c r="I759" s="1">
        <f>IFERROR(Comp1[[#This Row],[Comparable '#1 Return]]-INDEX(Benchmark1[Benchmark '#1 Return],MATCH(Comp1[[#This Row],[Comparable '#1 Dates]],Benchmark1[Benchmark '#1 Dates],0)),"-")</f>
        <v>-1.7287851674901818E-2</v>
      </c>
      <c r="L759" s="72">
        <f>Comp1[[#This Row],[Comparable '#1 Price]]/$B$2*100</f>
        <v>99.178644763860376</v>
      </c>
    </row>
    <row r="760" spans="1:12">
      <c r="A760" s="103">
        <v>44386</v>
      </c>
      <c r="B760" s="104">
        <v>14.62</v>
      </c>
      <c r="C760" s="4">
        <f t="shared" si="22"/>
        <v>8.9316979890413165E-3</v>
      </c>
      <c r="D760" s="1">
        <f>IFERROR(Comp1[[#This Row],[Comparable '#1 Return]]+1,"-")</f>
        <v>1.0089316979890413</v>
      </c>
      <c r="E760" s="6">
        <f>B760-MAX($B$2:B760)</f>
        <v>-7.0000000000000018</v>
      </c>
      <c r="F760" s="80">
        <f t="shared" si="23"/>
        <v>363</v>
      </c>
      <c r="G760" s="22" cm="1">
        <f t="array" ref="G760">Comp1[[#This Row],[Comparable '#1 Drawdown]]/MAX($B$2:B760)</f>
        <v>-0.32377428307123041</v>
      </c>
      <c r="H760" s="1" t="str">
        <f>IF(SUM(COUNTIF(Benchmark1[Benchmark '#1 Dates],Comp1[[#This Row],[Comparable '#1 Dates]]),COUNTIF(Benchmark2[Benchmark '#2 Dates],Comp1[[#This Row],[Comparable '#1 Dates]]))=2,"Pass","Fail")</f>
        <v>Pass</v>
      </c>
      <c r="I760" s="1">
        <f>IFERROR(Comp1[[#This Row],[Comparable '#1 Return]]-INDEX(Benchmark1[Benchmark '#1 Return],MATCH(Comp1[[#This Row],[Comparable '#1 Dates]],Benchmark1[Benchmark '#1 Dates],0)),"-")</f>
        <v>-2.2839051419461485E-3</v>
      </c>
      <c r="L760" s="72">
        <f>Comp1[[#This Row],[Comparable '#1 Price]]/$B$2*100</f>
        <v>100.0684462696783</v>
      </c>
    </row>
    <row r="761" spans="1:12">
      <c r="A761" s="103">
        <v>44389</v>
      </c>
      <c r="B761" s="104">
        <v>14.75</v>
      </c>
      <c r="C761" s="4">
        <f t="shared" si="22"/>
        <v>8.8526284641965453E-3</v>
      </c>
      <c r="D761" s="1">
        <f>IFERROR(Comp1[[#This Row],[Comparable '#1 Return]]+1,"-")</f>
        <v>1.0088526284641965</v>
      </c>
      <c r="E761" s="6">
        <f>B761-MAX($B$2:B761)</f>
        <v>-6.870000000000001</v>
      </c>
      <c r="F761" s="80">
        <f t="shared" si="23"/>
        <v>364</v>
      </c>
      <c r="G761" s="22" cm="1">
        <f t="array" ref="G761">Comp1[[#This Row],[Comparable '#1 Drawdown]]/MAX($B$2:B761)</f>
        <v>-0.31776133209990753</v>
      </c>
      <c r="H761" s="1" t="str">
        <f>IF(SUM(COUNTIF(Benchmark1[Benchmark '#1 Dates],Comp1[[#This Row],[Comparable '#1 Dates]]),COUNTIF(Benchmark2[Benchmark '#2 Dates],Comp1[[#This Row],[Comparable '#1 Dates]]))=2,"Pass","Fail")</f>
        <v>Pass</v>
      </c>
      <c r="I761" s="1">
        <f>IFERROR(Comp1[[#This Row],[Comparable '#1 Return]]-INDEX(Benchmark1[Benchmark '#1 Return],MATCH(Comp1[[#This Row],[Comparable '#1 Dates]],Benchmark1[Benchmark '#1 Dates],0)),"-")</f>
        <v>5.4086171134895677E-3</v>
      </c>
      <c r="L761" s="72">
        <f>Comp1[[#This Row],[Comparable '#1 Price]]/$B$2*100</f>
        <v>100.95824777549625</v>
      </c>
    </row>
    <row r="762" spans="1:12">
      <c r="A762" s="103">
        <v>44390</v>
      </c>
      <c r="B762" s="104">
        <v>14.62</v>
      </c>
      <c r="C762" s="4">
        <f t="shared" si="22"/>
        <v>-8.8526284641964707E-3</v>
      </c>
      <c r="D762" s="1">
        <f>IFERROR(Comp1[[#This Row],[Comparable '#1 Return]]+1,"-")</f>
        <v>0.99114737153580357</v>
      </c>
      <c r="E762" s="6">
        <f>B762-MAX($B$2:B762)</f>
        <v>-7.0000000000000018</v>
      </c>
      <c r="F762" s="80">
        <f t="shared" si="23"/>
        <v>365</v>
      </c>
      <c r="G762" s="22" cm="1">
        <f t="array" ref="G762">Comp1[[#This Row],[Comparable '#1 Drawdown]]/MAX($B$2:B762)</f>
        <v>-0.32377428307123041</v>
      </c>
      <c r="H762" s="1" t="str">
        <f>IF(SUM(COUNTIF(Benchmark1[Benchmark '#1 Dates],Comp1[[#This Row],[Comparable '#1 Dates]]),COUNTIF(Benchmark2[Benchmark '#2 Dates],Comp1[[#This Row],[Comparable '#1 Dates]]))=2,"Pass","Fail")</f>
        <v>Pass</v>
      </c>
      <c r="I762" s="1">
        <f>IFERROR(Comp1[[#This Row],[Comparable '#1 Return]]-INDEX(Benchmark1[Benchmark '#1 Return],MATCH(Comp1[[#This Row],[Comparable '#1 Dates]],Benchmark1[Benchmark '#1 Dates],0)),"-")</f>
        <v>-5.3305208538766431E-3</v>
      </c>
      <c r="L762" s="72">
        <f>Comp1[[#This Row],[Comparable '#1 Price]]/$B$2*100</f>
        <v>100.0684462696783</v>
      </c>
    </row>
    <row r="763" spans="1:12">
      <c r="A763" s="103">
        <v>44391</v>
      </c>
      <c r="B763" s="104">
        <v>14.59</v>
      </c>
      <c r="C763" s="4">
        <f t="shared" si="22"/>
        <v>-2.0540917869381185E-3</v>
      </c>
      <c r="D763" s="1">
        <f>IFERROR(Comp1[[#This Row],[Comparable '#1 Return]]+1,"-")</f>
        <v>0.99794590821306184</v>
      </c>
      <c r="E763" s="6">
        <f>B763-MAX($B$2:B763)</f>
        <v>-7.0300000000000011</v>
      </c>
      <c r="F763" s="80">
        <f t="shared" si="23"/>
        <v>366</v>
      </c>
      <c r="G763" s="22" cm="1">
        <f t="array" ref="G763">Comp1[[#This Row],[Comparable '#1 Drawdown]]/MAX($B$2:B763)</f>
        <v>-0.32516188714153565</v>
      </c>
      <c r="H763" s="1" t="str">
        <f>IF(SUM(COUNTIF(Benchmark1[Benchmark '#1 Dates],Comp1[[#This Row],[Comparable '#1 Dates]]),COUNTIF(Benchmark2[Benchmark '#2 Dates],Comp1[[#This Row],[Comparable '#1 Dates]]))=2,"Pass","Fail")</f>
        <v>Pass</v>
      </c>
      <c r="I763" s="1">
        <f>IFERROR(Comp1[[#This Row],[Comparable '#1 Return]]-INDEX(Benchmark1[Benchmark '#1 Return],MATCH(Comp1[[#This Row],[Comparable '#1 Dates]],Benchmark1[Benchmark '#1 Dates],0)),"-")</f>
        <v>-3.2176679041783559E-3</v>
      </c>
      <c r="L763" s="72">
        <f>Comp1[[#This Row],[Comparable '#1 Price]]/$B$2*100</f>
        <v>99.863107460643391</v>
      </c>
    </row>
    <row r="764" spans="1:12">
      <c r="A764" s="103">
        <v>44392</v>
      </c>
      <c r="B764" s="104">
        <v>14.57</v>
      </c>
      <c r="C764" s="4">
        <f t="shared" si="22"/>
        <v>-1.3717423275807702E-3</v>
      </c>
      <c r="D764" s="1">
        <f>IFERROR(Comp1[[#This Row],[Comparable '#1 Return]]+1,"-")</f>
        <v>0.99862825767241925</v>
      </c>
      <c r="E764" s="6">
        <f>B764-MAX($B$2:B764)</f>
        <v>-7.0500000000000007</v>
      </c>
      <c r="F764" s="80">
        <f t="shared" si="23"/>
        <v>367</v>
      </c>
      <c r="G764" s="22" cm="1">
        <f t="array" ref="G764">Comp1[[#This Row],[Comparable '#1 Drawdown]]/MAX($B$2:B764)</f>
        <v>-0.32608695652173914</v>
      </c>
      <c r="H764" s="1" t="str">
        <f>IF(SUM(COUNTIF(Benchmark1[Benchmark '#1 Dates],Comp1[[#This Row],[Comparable '#1 Dates]]),COUNTIF(Benchmark2[Benchmark '#2 Dates],Comp1[[#This Row],[Comparable '#1 Dates]]))=2,"Pass","Fail")</f>
        <v>Pass</v>
      </c>
      <c r="I764" s="1">
        <f>IFERROR(Comp1[[#This Row],[Comparable '#1 Return]]-INDEX(Benchmark1[Benchmark '#1 Return],MATCH(Comp1[[#This Row],[Comparable '#1 Dates]],Benchmark1[Benchmark '#1 Dates],0)),"-")</f>
        <v>1.8958035627400669E-3</v>
      </c>
      <c r="L764" s="72">
        <f>Comp1[[#This Row],[Comparable '#1 Price]]/$B$2*100</f>
        <v>99.726214921286797</v>
      </c>
    </row>
    <row r="765" spans="1:12">
      <c r="A765" s="103">
        <v>44393</v>
      </c>
      <c r="B765" s="104">
        <v>14.48</v>
      </c>
      <c r="C765" s="4">
        <f t="shared" si="22"/>
        <v>-6.1962332495431446E-3</v>
      </c>
      <c r="D765" s="1">
        <f>IFERROR(Comp1[[#This Row],[Comparable '#1 Return]]+1,"-")</f>
        <v>0.9938037667504569</v>
      </c>
      <c r="E765" s="6">
        <f>B765-MAX($B$2:B765)</f>
        <v>-7.1400000000000006</v>
      </c>
      <c r="F765" s="80">
        <f t="shared" si="23"/>
        <v>368</v>
      </c>
      <c r="G765" s="22" cm="1">
        <f t="array" ref="G765">Comp1[[#This Row],[Comparable '#1 Drawdown]]/MAX($B$2:B765)</f>
        <v>-0.33024976873265494</v>
      </c>
      <c r="H765" s="1" t="str">
        <f>IF(SUM(COUNTIF(Benchmark1[Benchmark '#1 Dates],Comp1[[#This Row],[Comparable '#1 Dates]]),COUNTIF(Benchmark2[Benchmark '#2 Dates],Comp1[[#This Row],[Comparable '#1 Dates]]))=2,"Pass","Fail")</f>
        <v>Pass</v>
      </c>
      <c r="I765" s="1">
        <f>IFERROR(Comp1[[#This Row],[Comparable '#1 Return]]-INDEX(Benchmark1[Benchmark '#1 Return],MATCH(Comp1[[#This Row],[Comparable '#1 Dates]],Benchmark1[Benchmark '#1 Dates],0)),"-")</f>
        <v>1.3709471010813906E-3</v>
      </c>
      <c r="L765" s="72">
        <f>Comp1[[#This Row],[Comparable '#1 Price]]/$B$2*100</f>
        <v>99.110198494182072</v>
      </c>
    </row>
    <row r="766" spans="1:12">
      <c r="A766" s="103">
        <v>44396</v>
      </c>
      <c r="B766" s="104">
        <v>14.5</v>
      </c>
      <c r="C766" s="4">
        <f t="shared" si="22"/>
        <v>1.3802624689584903E-3</v>
      </c>
      <c r="D766" s="1">
        <f>IFERROR(Comp1[[#This Row],[Comparable '#1 Return]]+1,"-")</f>
        <v>1.0013802624689585</v>
      </c>
      <c r="E766" s="6">
        <f>B766-MAX($B$2:B766)</f>
        <v>-7.120000000000001</v>
      </c>
      <c r="F766" s="80">
        <f t="shared" si="23"/>
        <v>369</v>
      </c>
      <c r="G766" s="22" cm="1">
        <f t="array" ref="G766">Comp1[[#This Row],[Comparable '#1 Drawdown]]/MAX($B$2:B766)</f>
        <v>-0.32932469935245146</v>
      </c>
      <c r="H766" s="1" t="str">
        <f>IF(SUM(COUNTIF(Benchmark1[Benchmark '#1 Dates],Comp1[[#This Row],[Comparable '#1 Dates]]),COUNTIF(Benchmark2[Benchmark '#2 Dates],Comp1[[#This Row],[Comparable '#1 Dates]]))=2,"Pass","Fail")</f>
        <v>Pass</v>
      </c>
      <c r="I766" s="1">
        <f>IFERROR(Comp1[[#This Row],[Comparable '#1 Return]]-INDEX(Benchmark1[Benchmark '#1 Return],MATCH(Comp1[[#This Row],[Comparable '#1 Dates]],Benchmark1[Benchmark '#1 Dates],0)),"-")</f>
        <v>1.7376018291769584E-2</v>
      </c>
      <c r="L766" s="72">
        <f>Comp1[[#This Row],[Comparable '#1 Price]]/$B$2*100</f>
        <v>99.24709103353868</v>
      </c>
    </row>
    <row r="767" spans="1:12">
      <c r="A767" s="103">
        <v>44397</v>
      </c>
      <c r="B767" s="104">
        <v>14.75</v>
      </c>
      <c r="C767" s="4">
        <f t="shared" si="22"/>
        <v>1.709443335930004E-2</v>
      </c>
      <c r="D767" s="1">
        <f>IFERROR(Comp1[[#This Row],[Comparable '#1 Return]]+1,"-")</f>
        <v>1.0170944333592999</v>
      </c>
      <c r="E767" s="6">
        <f>B767-MAX($B$2:B767)</f>
        <v>-6.870000000000001</v>
      </c>
      <c r="F767" s="80">
        <f t="shared" si="23"/>
        <v>370</v>
      </c>
      <c r="G767" s="22" cm="1">
        <f t="array" ref="G767">Comp1[[#This Row],[Comparable '#1 Drawdown]]/MAX($B$2:B767)</f>
        <v>-0.31776133209990753</v>
      </c>
      <c r="H767" s="1" t="str">
        <f>IF(SUM(COUNTIF(Benchmark1[Benchmark '#1 Dates],Comp1[[#This Row],[Comparable '#1 Dates]]),COUNTIF(Benchmark2[Benchmark '#2 Dates],Comp1[[#This Row],[Comparable '#1 Dates]]))=2,"Pass","Fail")</f>
        <v>Pass</v>
      </c>
      <c r="I767" s="1">
        <f>IFERROR(Comp1[[#This Row],[Comparable '#1 Return]]-INDEX(Benchmark1[Benchmark '#1 Return],MATCH(Comp1[[#This Row],[Comparable '#1 Dates]],Benchmark1[Benchmark '#1 Dates],0)),"-")</f>
        <v>2.0465266125148634E-3</v>
      </c>
      <c r="L767" s="72">
        <f>Comp1[[#This Row],[Comparable '#1 Price]]/$B$2*100</f>
        <v>100.95824777549625</v>
      </c>
    </row>
    <row r="768" spans="1:12">
      <c r="A768" s="103">
        <v>44398</v>
      </c>
      <c r="B768" s="104">
        <v>14.67</v>
      </c>
      <c r="C768" s="4">
        <f t="shared" si="22"/>
        <v>-5.4384906309385087E-3</v>
      </c>
      <c r="D768" s="1">
        <f>IFERROR(Comp1[[#This Row],[Comparable '#1 Return]]+1,"-")</f>
        <v>0.99456150936906151</v>
      </c>
      <c r="E768" s="6">
        <f>B768-MAX($B$2:B768)</f>
        <v>-6.9500000000000011</v>
      </c>
      <c r="F768" s="80">
        <f t="shared" si="23"/>
        <v>371</v>
      </c>
      <c r="G768" s="22" cm="1">
        <f t="array" ref="G768">Comp1[[#This Row],[Comparable '#1 Drawdown]]/MAX($B$2:B768)</f>
        <v>-0.32146160962072157</v>
      </c>
      <c r="H768" s="1" t="str">
        <f>IF(SUM(COUNTIF(Benchmark1[Benchmark '#1 Dates],Comp1[[#This Row],[Comparable '#1 Dates]]),COUNTIF(Benchmark2[Benchmark '#2 Dates],Comp1[[#This Row],[Comparable '#1 Dates]]))=2,"Pass","Fail")</f>
        <v>Pass</v>
      </c>
      <c r="I768" s="1">
        <f>IFERROR(Comp1[[#This Row],[Comparable '#1 Return]]-INDEX(Benchmark1[Benchmark '#1 Return],MATCH(Comp1[[#This Row],[Comparable '#1 Dates]],Benchmark1[Benchmark '#1 Dates],0)),"-")</f>
        <v>-1.3647637862637533E-2</v>
      </c>
      <c r="L768" s="72">
        <f>Comp1[[#This Row],[Comparable '#1 Price]]/$B$2*100</f>
        <v>100.41067761806981</v>
      </c>
    </row>
    <row r="769" spans="1:12">
      <c r="A769" s="103">
        <v>44399</v>
      </c>
      <c r="B769" s="104">
        <v>14.46</v>
      </c>
      <c r="C769" s="4">
        <f t="shared" si="22"/>
        <v>-1.4418375424271712E-2</v>
      </c>
      <c r="D769" s="1">
        <f>IFERROR(Comp1[[#This Row],[Comparable '#1 Return]]+1,"-")</f>
        <v>0.98558162457572829</v>
      </c>
      <c r="E769" s="6">
        <f>B769-MAX($B$2:B769)</f>
        <v>-7.16</v>
      </c>
      <c r="F769" s="80">
        <f t="shared" si="23"/>
        <v>372</v>
      </c>
      <c r="G769" s="22" cm="1">
        <f t="array" ref="G769">Comp1[[#This Row],[Comparable '#1 Drawdown]]/MAX($B$2:B769)</f>
        <v>-0.33117483811285847</v>
      </c>
      <c r="H769" s="1" t="str">
        <f>IF(SUM(COUNTIF(Benchmark1[Benchmark '#1 Dates],Comp1[[#This Row],[Comparable '#1 Dates]]),COUNTIF(Benchmark2[Benchmark '#2 Dates],Comp1[[#This Row],[Comparable '#1 Dates]]))=2,"Pass","Fail")</f>
        <v>Pass</v>
      </c>
      <c r="I769" s="1">
        <f>IFERROR(Comp1[[#This Row],[Comparable '#1 Return]]-INDEX(Benchmark1[Benchmark '#1 Return],MATCH(Comp1[[#This Row],[Comparable '#1 Dates]],Benchmark1[Benchmark '#1 Dates],0)),"-")</f>
        <v>-1.6431118971809284E-2</v>
      </c>
      <c r="L769" s="72">
        <f>Comp1[[#This Row],[Comparable '#1 Price]]/$B$2*100</f>
        <v>98.973305954825477</v>
      </c>
    </row>
    <row r="770" spans="1:12">
      <c r="A770" s="103">
        <v>44400</v>
      </c>
      <c r="B770" s="104">
        <v>14.53</v>
      </c>
      <c r="C770" s="4">
        <f t="shared" ref="C770:C833" si="24">IFERROR(IF(B770="","-",LN(B770/B769)),"-")</f>
        <v>4.8292608515728905E-3</v>
      </c>
      <c r="D770" s="1">
        <f>IFERROR(Comp1[[#This Row],[Comparable '#1 Return]]+1,"-")</f>
        <v>1.004829260851573</v>
      </c>
      <c r="E770" s="6">
        <f>B770-MAX($B$2:B770)</f>
        <v>-7.0900000000000016</v>
      </c>
      <c r="F770" s="80">
        <f t="shared" ref="F770:F833" si="25">IF(E770=0,0,F769+1)</f>
        <v>373</v>
      </c>
      <c r="G770" s="22" cm="1">
        <f t="array" ref="G770">Comp1[[#This Row],[Comparable '#1 Drawdown]]/MAX($B$2:B770)</f>
        <v>-0.32793709528214621</v>
      </c>
      <c r="H770" s="1" t="str">
        <f>IF(SUM(COUNTIF(Benchmark1[Benchmark '#1 Dates],Comp1[[#This Row],[Comparable '#1 Dates]]),COUNTIF(Benchmark2[Benchmark '#2 Dates],Comp1[[#This Row],[Comparable '#1 Dates]]))=2,"Pass","Fail")</f>
        <v>Pass</v>
      </c>
      <c r="I770" s="1">
        <f>IFERROR(Comp1[[#This Row],[Comparable '#1 Return]]-INDEX(Benchmark1[Benchmark '#1 Return],MATCH(Comp1[[#This Row],[Comparable '#1 Dates]],Benchmark1[Benchmark '#1 Dates],0)),"-")</f>
        <v>-5.2667381015752239E-3</v>
      </c>
      <c r="L770" s="72">
        <f>Comp1[[#This Row],[Comparable '#1 Price]]/$B$2*100</f>
        <v>99.452429842573579</v>
      </c>
    </row>
    <row r="771" spans="1:12">
      <c r="A771" s="103">
        <v>44403</v>
      </c>
      <c r="B771" s="104">
        <v>14.49</v>
      </c>
      <c r="C771" s="4">
        <f t="shared" si="24"/>
        <v>-2.7567212496004195E-3</v>
      </c>
      <c r="D771" s="1">
        <f>IFERROR(Comp1[[#This Row],[Comparable '#1 Return]]+1,"-")</f>
        <v>0.99724327875039953</v>
      </c>
      <c r="E771" s="6">
        <f>B771-MAX($B$2:B771)</f>
        <v>-7.1300000000000008</v>
      </c>
      <c r="F771" s="80">
        <f t="shared" si="25"/>
        <v>374</v>
      </c>
      <c r="G771" s="22" cm="1">
        <f t="array" ref="G771">Comp1[[#This Row],[Comparable '#1 Drawdown]]/MAX($B$2:B771)</f>
        <v>-0.32978723404255322</v>
      </c>
      <c r="H771" s="1" t="str">
        <f>IF(SUM(COUNTIF(Benchmark1[Benchmark '#1 Dates],Comp1[[#This Row],[Comparable '#1 Dates]]),COUNTIF(Benchmark2[Benchmark '#2 Dates],Comp1[[#This Row],[Comparable '#1 Dates]]))=2,"Pass","Fail")</f>
        <v>Pass</v>
      </c>
      <c r="I771" s="1">
        <f>IFERROR(Comp1[[#This Row],[Comparable '#1 Return]]-INDEX(Benchmark1[Benchmark '#1 Return],MATCH(Comp1[[#This Row],[Comparable '#1 Dates]],Benchmark1[Benchmark '#1 Dates],0)),"-")</f>
        <v>-5.1363931873032176E-3</v>
      </c>
      <c r="L771" s="72">
        <f>Comp1[[#This Row],[Comparable '#1 Price]]/$B$2*100</f>
        <v>99.178644763860376</v>
      </c>
    </row>
    <row r="772" spans="1:12">
      <c r="A772" s="103">
        <v>44404</v>
      </c>
      <c r="B772" s="104">
        <v>14.44</v>
      </c>
      <c r="C772" s="4">
        <f t="shared" si="24"/>
        <v>-3.4566228679108711E-3</v>
      </c>
      <c r="D772" s="1">
        <f>IFERROR(Comp1[[#This Row],[Comparable '#1 Return]]+1,"-")</f>
        <v>0.99654337713208918</v>
      </c>
      <c r="E772" s="6">
        <f>B772-MAX($B$2:B772)</f>
        <v>-7.1800000000000015</v>
      </c>
      <c r="F772" s="80">
        <f t="shared" si="25"/>
        <v>375</v>
      </c>
      <c r="G772" s="22" cm="1">
        <f t="array" ref="G772">Comp1[[#This Row],[Comparable '#1 Drawdown]]/MAX($B$2:B772)</f>
        <v>-0.33209990749306201</v>
      </c>
      <c r="H772" s="1" t="str">
        <f>IF(SUM(COUNTIF(Benchmark1[Benchmark '#1 Dates],Comp1[[#This Row],[Comparable '#1 Dates]]),COUNTIF(Benchmark2[Benchmark '#2 Dates],Comp1[[#This Row],[Comparable '#1 Dates]]))=2,"Pass","Fail")</f>
        <v>Pass</v>
      </c>
      <c r="I772" s="1">
        <f>IFERROR(Comp1[[#This Row],[Comparable '#1 Return]]-INDEX(Benchmark1[Benchmark '#1 Return],MATCH(Comp1[[#This Row],[Comparable '#1 Dates]],Benchmark1[Benchmark '#1 Dates],0)),"-")</f>
        <v>1.2671018785850975E-3</v>
      </c>
      <c r="L772" s="72">
        <f>Comp1[[#This Row],[Comparable '#1 Price]]/$B$2*100</f>
        <v>98.836413415468854</v>
      </c>
    </row>
    <row r="773" spans="1:12">
      <c r="A773" s="103">
        <v>44405</v>
      </c>
      <c r="B773" s="104">
        <v>14.74</v>
      </c>
      <c r="C773" s="4">
        <f t="shared" si="24"/>
        <v>2.0562753296510507E-2</v>
      </c>
      <c r="D773" s="1">
        <f>IFERROR(Comp1[[#This Row],[Comparable '#1 Return]]+1,"-")</f>
        <v>1.0205627532965105</v>
      </c>
      <c r="E773" s="6">
        <f>B773-MAX($B$2:B773)</f>
        <v>-6.8800000000000008</v>
      </c>
      <c r="F773" s="80">
        <f t="shared" si="25"/>
        <v>376</v>
      </c>
      <c r="G773" s="22" cm="1">
        <f t="array" ref="G773">Comp1[[#This Row],[Comparable '#1 Drawdown]]/MAX($B$2:B773)</f>
        <v>-0.31822386679000925</v>
      </c>
      <c r="H773" s="1" t="str">
        <f>IF(SUM(COUNTIF(Benchmark1[Benchmark '#1 Dates],Comp1[[#This Row],[Comparable '#1 Dates]]),COUNTIF(Benchmark2[Benchmark '#2 Dates],Comp1[[#This Row],[Comparable '#1 Dates]]))=2,"Pass","Fail")</f>
        <v>Pass</v>
      </c>
      <c r="I773" s="1">
        <f>IFERROR(Comp1[[#This Row],[Comparable '#1 Return]]-INDEX(Benchmark1[Benchmark '#1 Return],MATCH(Comp1[[#This Row],[Comparable '#1 Dates]],Benchmark1[Benchmark '#1 Dates],0)),"-")</f>
        <v>2.0750788338348557E-2</v>
      </c>
      <c r="L773" s="72">
        <f>Comp1[[#This Row],[Comparable '#1 Price]]/$B$2*100</f>
        <v>100.88980150581794</v>
      </c>
    </row>
    <row r="774" spans="1:12">
      <c r="A774" s="103">
        <v>44406</v>
      </c>
      <c r="B774" s="104">
        <v>15.02</v>
      </c>
      <c r="C774" s="4">
        <f t="shared" si="24"/>
        <v>1.8817759574798056E-2</v>
      </c>
      <c r="D774" s="1">
        <f>IFERROR(Comp1[[#This Row],[Comparable '#1 Return]]+1,"-")</f>
        <v>1.018817759574798</v>
      </c>
      <c r="E774" s="6">
        <f>B774-MAX($B$2:B774)</f>
        <v>-6.6000000000000014</v>
      </c>
      <c r="F774" s="80">
        <f t="shared" si="25"/>
        <v>377</v>
      </c>
      <c r="G774" s="22" cm="1">
        <f t="array" ref="G774">Comp1[[#This Row],[Comparable '#1 Drawdown]]/MAX($B$2:B774)</f>
        <v>-0.30527289546716008</v>
      </c>
      <c r="H774" s="1" t="str">
        <f>IF(SUM(COUNTIF(Benchmark1[Benchmark '#1 Dates],Comp1[[#This Row],[Comparable '#1 Dates]]),COUNTIF(Benchmark2[Benchmark '#2 Dates],Comp1[[#This Row],[Comparable '#1 Dates]]))=2,"Pass","Fail")</f>
        <v>Pass</v>
      </c>
      <c r="I774" s="1">
        <f>IFERROR(Comp1[[#This Row],[Comparable '#1 Return]]-INDEX(Benchmark1[Benchmark '#1 Return],MATCH(Comp1[[#This Row],[Comparable '#1 Dates]],Benchmark1[Benchmark '#1 Dates],0)),"-")</f>
        <v>1.4619633056415175E-2</v>
      </c>
      <c r="L774" s="72">
        <f>Comp1[[#This Row],[Comparable '#1 Price]]/$B$2*100</f>
        <v>102.80629705681041</v>
      </c>
    </row>
    <row r="775" spans="1:12">
      <c r="A775" s="103">
        <v>44407</v>
      </c>
      <c r="B775" s="104">
        <v>14.81</v>
      </c>
      <c r="C775" s="4">
        <f t="shared" si="24"/>
        <v>-1.408001805628124E-2</v>
      </c>
      <c r="D775" s="1">
        <f>IFERROR(Comp1[[#This Row],[Comparable '#1 Return]]+1,"-")</f>
        <v>0.98591998194371877</v>
      </c>
      <c r="E775" s="6">
        <f>B775-MAX($B$2:B775)</f>
        <v>-6.8100000000000005</v>
      </c>
      <c r="F775" s="80">
        <f t="shared" si="25"/>
        <v>378</v>
      </c>
      <c r="G775" s="22" cm="1">
        <f t="array" ref="G775">Comp1[[#This Row],[Comparable '#1 Drawdown]]/MAX($B$2:B775)</f>
        <v>-0.31498612395929698</v>
      </c>
      <c r="H775" s="1" t="str">
        <f>IF(SUM(COUNTIF(Benchmark1[Benchmark '#1 Dates],Comp1[[#This Row],[Comparable '#1 Dates]]),COUNTIF(Benchmark2[Benchmark '#2 Dates],Comp1[[#This Row],[Comparable '#1 Dates]]))=2,"Pass","Fail")</f>
        <v>Pass</v>
      </c>
      <c r="I775" s="1">
        <f>IFERROR(Comp1[[#This Row],[Comparable '#1 Return]]-INDEX(Benchmark1[Benchmark '#1 Return],MATCH(Comp1[[#This Row],[Comparable '#1 Dates]],Benchmark1[Benchmark '#1 Dates],0)),"-")</f>
        <v>-8.6605189574147264E-3</v>
      </c>
      <c r="L775" s="72">
        <f>Comp1[[#This Row],[Comparable '#1 Price]]/$B$2*100</f>
        <v>101.36892539356606</v>
      </c>
    </row>
    <row r="776" spans="1:12">
      <c r="A776" s="103">
        <v>44410</v>
      </c>
      <c r="B776" s="104">
        <v>14.9</v>
      </c>
      <c r="C776" s="4">
        <f t="shared" si="24"/>
        <v>6.0585846717060932E-3</v>
      </c>
      <c r="D776" s="1">
        <f>IFERROR(Comp1[[#This Row],[Comparable '#1 Return]]+1,"-")</f>
        <v>1.0060585846717061</v>
      </c>
      <c r="E776" s="6">
        <f>B776-MAX($B$2:B776)</f>
        <v>-6.7200000000000006</v>
      </c>
      <c r="F776" s="80">
        <f t="shared" si="25"/>
        <v>379</v>
      </c>
      <c r="G776" s="22" cm="1">
        <f t="array" ref="G776">Comp1[[#This Row],[Comparable '#1 Drawdown]]/MAX($B$2:B776)</f>
        <v>-0.31082331174838113</v>
      </c>
      <c r="H776" s="1" t="str">
        <f>IF(SUM(COUNTIF(Benchmark1[Benchmark '#1 Dates],Comp1[[#This Row],[Comparable '#1 Dates]]),COUNTIF(Benchmark2[Benchmark '#2 Dates],Comp1[[#This Row],[Comparable '#1 Dates]]))=2,"Pass","Fail")</f>
        <v>Pass</v>
      </c>
      <c r="I776" s="1">
        <f>IFERROR(Comp1[[#This Row],[Comparable '#1 Return]]-INDEX(Benchmark1[Benchmark '#1 Return],MATCH(Comp1[[#This Row],[Comparable '#1 Dates]],Benchmark1[Benchmark '#1 Dates],0)),"-")</f>
        <v>7.9050071588688889E-3</v>
      </c>
      <c r="L776" s="72">
        <f>Comp1[[#This Row],[Comparable '#1 Price]]/$B$2*100</f>
        <v>101.98494182067077</v>
      </c>
    </row>
    <row r="777" spans="1:12">
      <c r="A777" s="103">
        <v>44411</v>
      </c>
      <c r="B777" s="104">
        <v>15.13</v>
      </c>
      <c r="C777" s="4">
        <f t="shared" si="24"/>
        <v>1.5318314848851149E-2</v>
      </c>
      <c r="D777" s="1">
        <f>IFERROR(Comp1[[#This Row],[Comparable '#1 Return]]+1,"-")</f>
        <v>1.0153183148488512</v>
      </c>
      <c r="E777" s="6">
        <f>B777-MAX($B$2:B777)</f>
        <v>-6.49</v>
      </c>
      <c r="F777" s="80">
        <f t="shared" si="25"/>
        <v>380</v>
      </c>
      <c r="G777" s="22" cm="1">
        <f t="array" ref="G777">Comp1[[#This Row],[Comparable '#1 Drawdown]]/MAX($B$2:B777)</f>
        <v>-0.30018501387604068</v>
      </c>
      <c r="H777" s="1" t="str">
        <f>IF(SUM(COUNTIF(Benchmark1[Benchmark '#1 Dates],Comp1[[#This Row],[Comparable '#1 Dates]]),COUNTIF(Benchmark2[Benchmark '#2 Dates],Comp1[[#This Row],[Comparable '#1 Dates]]))=2,"Pass","Fail")</f>
        <v>Pass</v>
      </c>
      <c r="I777" s="1">
        <f>IFERROR(Comp1[[#This Row],[Comparable '#1 Return]]-INDEX(Benchmark1[Benchmark '#1 Return],MATCH(Comp1[[#This Row],[Comparable '#1 Dates]],Benchmark1[Benchmark '#1 Dates],0)),"-")</f>
        <v>7.1465523988361382E-3</v>
      </c>
      <c r="L777" s="72">
        <f>Comp1[[#This Row],[Comparable '#1 Price]]/$B$2*100</f>
        <v>103.55920602327173</v>
      </c>
    </row>
    <row r="778" spans="1:12">
      <c r="A778" s="103">
        <v>44412</v>
      </c>
      <c r="B778" s="104">
        <v>15</v>
      </c>
      <c r="C778" s="4">
        <f t="shared" si="24"/>
        <v>-8.6293266980545253E-3</v>
      </c>
      <c r="D778" s="1">
        <f>IFERROR(Comp1[[#This Row],[Comparable '#1 Return]]+1,"-")</f>
        <v>0.9913706733019455</v>
      </c>
      <c r="E778" s="6">
        <f>B778-MAX($B$2:B778)</f>
        <v>-6.620000000000001</v>
      </c>
      <c r="F778" s="80">
        <f t="shared" si="25"/>
        <v>381</v>
      </c>
      <c r="G778" s="22" cm="1">
        <f t="array" ref="G778">Comp1[[#This Row],[Comparable '#1 Drawdown]]/MAX($B$2:B778)</f>
        <v>-0.30619796484736356</v>
      </c>
      <c r="H778" s="1" t="str">
        <f>IF(SUM(COUNTIF(Benchmark1[Benchmark '#1 Dates],Comp1[[#This Row],[Comparable '#1 Dates]]),COUNTIF(Benchmark2[Benchmark '#2 Dates],Comp1[[#This Row],[Comparable '#1 Dates]]))=2,"Pass","Fail")</f>
        <v>Pass</v>
      </c>
      <c r="I778" s="1">
        <f>IFERROR(Comp1[[#This Row],[Comparable '#1 Return]]-INDEX(Benchmark1[Benchmark '#1 Return],MATCH(Comp1[[#This Row],[Comparable '#1 Dates]],Benchmark1[Benchmark '#1 Dates],0)),"-")</f>
        <v>-3.9855373345717279E-3</v>
      </c>
      <c r="L778" s="72">
        <f>Comp1[[#This Row],[Comparable '#1 Price]]/$B$2*100</f>
        <v>102.66940451745381</v>
      </c>
    </row>
    <row r="779" spans="1:12">
      <c r="A779" s="103">
        <v>44413</v>
      </c>
      <c r="B779" s="104">
        <v>15.45</v>
      </c>
      <c r="C779" s="4">
        <f t="shared" si="24"/>
        <v>2.9558802241544429E-2</v>
      </c>
      <c r="D779" s="1">
        <f>IFERROR(Comp1[[#This Row],[Comparable '#1 Return]]+1,"-")</f>
        <v>1.0295588022415445</v>
      </c>
      <c r="E779" s="6">
        <f>B779-MAX($B$2:B779)</f>
        <v>-6.1700000000000017</v>
      </c>
      <c r="F779" s="80">
        <f t="shared" si="25"/>
        <v>382</v>
      </c>
      <c r="G779" s="22" cm="1">
        <f t="array" ref="G779">Comp1[[#This Row],[Comparable '#1 Drawdown]]/MAX($B$2:B779)</f>
        <v>-0.2853839037927845</v>
      </c>
      <c r="H779" s="1" t="str">
        <f>IF(SUM(COUNTIF(Benchmark1[Benchmark '#1 Dates],Comp1[[#This Row],[Comparable '#1 Dates]]),COUNTIF(Benchmark2[Benchmark '#2 Dates],Comp1[[#This Row],[Comparable '#1 Dates]]))=2,"Pass","Fail")</f>
        <v>Pass</v>
      </c>
      <c r="I779" s="1">
        <f>IFERROR(Comp1[[#This Row],[Comparable '#1 Return]]-INDEX(Benchmark1[Benchmark '#1 Return],MATCH(Comp1[[#This Row],[Comparable '#1 Dates]],Benchmark1[Benchmark '#1 Dates],0)),"-")</f>
        <v>2.3570866157514785E-2</v>
      </c>
      <c r="L779" s="72">
        <f>Comp1[[#This Row],[Comparable '#1 Price]]/$B$2*100</f>
        <v>105.74948665297741</v>
      </c>
    </row>
    <row r="780" spans="1:12">
      <c r="A780" s="103">
        <v>44414</v>
      </c>
      <c r="B780" s="104">
        <v>15.62</v>
      </c>
      <c r="C780" s="4">
        <f t="shared" si="24"/>
        <v>1.0943141067785418E-2</v>
      </c>
      <c r="D780" s="1">
        <f>IFERROR(Comp1[[#This Row],[Comparable '#1 Return]]+1,"-")</f>
        <v>1.0109431410677854</v>
      </c>
      <c r="E780" s="6">
        <f>B780-MAX($B$2:B780)</f>
        <v>-6.0000000000000018</v>
      </c>
      <c r="F780" s="80">
        <f t="shared" si="25"/>
        <v>383</v>
      </c>
      <c r="G780" s="22" cm="1">
        <f t="array" ref="G780">Comp1[[#This Row],[Comparable '#1 Drawdown]]/MAX($B$2:B780)</f>
        <v>-0.27752081406105467</v>
      </c>
      <c r="H780" s="1" t="str">
        <f>IF(SUM(COUNTIF(Benchmark1[Benchmark '#1 Dates],Comp1[[#This Row],[Comparable '#1 Dates]]),COUNTIF(Benchmark2[Benchmark '#2 Dates],Comp1[[#This Row],[Comparable '#1 Dates]]))=2,"Pass","Fail")</f>
        <v>Pass</v>
      </c>
      <c r="I780" s="1">
        <f>IFERROR(Comp1[[#This Row],[Comparable '#1 Return]]-INDEX(Benchmark1[Benchmark '#1 Return],MATCH(Comp1[[#This Row],[Comparable '#1 Dates]],Benchmark1[Benchmark '#1 Dates],0)),"-")</f>
        <v>9.2704393033192865E-3</v>
      </c>
      <c r="L780" s="72">
        <f>Comp1[[#This Row],[Comparable '#1 Price]]/$B$2*100</f>
        <v>106.91307323750856</v>
      </c>
    </row>
    <row r="781" spans="1:12">
      <c r="A781" s="103">
        <v>44417</v>
      </c>
      <c r="B781" s="104">
        <v>15.36</v>
      </c>
      <c r="C781" s="4">
        <f t="shared" si="24"/>
        <v>-1.6785416692013836E-2</v>
      </c>
      <c r="D781" s="1">
        <f>IFERROR(Comp1[[#This Row],[Comparable '#1 Return]]+1,"-")</f>
        <v>0.98321458330798617</v>
      </c>
      <c r="E781" s="6">
        <f>B781-MAX($B$2:B781)</f>
        <v>-6.2600000000000016</v>
      </c>
      <c r="F781" s="80">
        <f t="shared" si="25"/>
        <v>384</v>
      </c>
      <c r="G781" s="22" cm="1">
        <f t="array" ref="G781">Comp1[[#This Row],[Comparable '#1 Drawdown]]/MAX($B$2:B781)</f>
        <v>-0.28954671600370036</v>
      </c>
      <c r="H781" s="1" t="str">
        <f>IF(SUM(COUNTIF(Benchmark1[Benchmark '#1 Dates],Comp1[[#This Row],[Comparable '#1 Dates]]),COUNTIF(Benchmark2[Benchmark '#2 Dates],Comp1[[#This Row],[Comparable '#1 Dates]]))=2,"Pass","Fail")</f>
        <v>Pass</v>
      </c>
      <c r="I781" s="1">
        <f>IFERROR(Comp1[[#This Row],[Comparable '#1 Return]]-INDEX(Benchmark1[Benchmark '#1 Return],MATCH(Comp1[[#This Row],[Comparable '#1 Dates]],Benchmark1[Benchmark '#1 Dates],0)),"-")</f>
        <v>-1.5846230251777407E-2</v>
      </c>
      <c r="L781" s="72">
        <f>Comp1[[#This Row],[Comparable '#1 Price]]/$B$2*100</f>
        <v>105.1334702258727</v>
      </c>
    </row>
    <row r="782" spans="1:12">
      <c r="A782" s="103">
        <v>44418</v>
      </c>
      <c r="B782" s="104">
        <v>15.32</v>
      </c>
      <c r="C782" s="4">
        <f t="shared" si="24"/>
        <v>-2.6075634070808302E-3</v>
      </c>
      <c r="D782" s="1">
        <f>IFERROR(Comp1[[#This Row],[Comparable '#1 Return]]+1,"-")</f>
        <v>0.99739243659291921</v>
      </c>
      <c r="E782" s="6">
        <f>B782-MAX($B$2:B782)</f>
        <v>-6.3000000000000007</v>
      </c>
      <c r="F782" s="80">
        <f t="shared" si="25"/>
        <v>385</v>
      </c>
      <c r="G782" s="22" cm="1">
        <f t="array" ref="G782">Comp1[[#This Row],[Comparable '#1 Drawdown]]/MAX($B$2:B782)</f>
        <v>-0.29139685476410732</v>
      </c>
      <c r="H782" s="1" t="str">
        <f>IF(SUM(COUNTIF(Benchmark1[Benchmark '#1 Dates],Comp1[[#This Row],[Comparable '#1 Dates]]),COUNTIF(Benchmark2[Benchmark '#2 Dates],Comp1[[#This Row],[Comparable '#1 Dates]]))=2,"Pass","Fail")</f>
        <v>Pass</v>
      </c>
      <c r="I782" s="1">
        <f>IFERROR(Comp1[[#This Row],[Comparable '#1 Return]]-INDEX(Benchmark1[Benchmark '#1 Return],MATCH(Comp1[[#This Row],[Comparable '#1 Dates]],Benchmark1[Benchmark '#1 Dates],0)),"-")</f>
        <v>-3.599745511219497E-3</v>
      </c>
      <c r="L782" s="72">
        <f>Comp1[[#This Row],[Comparable '#1 Price]]/$B$2*100</f>
        <v>104.85968514715948</v>
      </c>
    </row>
    <row r="783" spans="1:12">
      <c r="A783" s="103">
        <v>44419</v>
      </c>
      <c r="B783" s="104">
        <v>15.37</v>
      </c>
      <c r="C783" s="4">
        <f t="shared" si="24"/>
        <v>3.2583932380590751E-3</v>
      </c>
      <c r="D783" s="1">
        <f>IFERROR(Comp1[[#This Row],[Comparable '#1 Return]]+1,"-")</f>
        <v>1.003258393238059</v>
      </c>
      <c r="E783" s="6">
        <f>B783-MAX($B$2:B783)</f>
        <v>-6.2500000000000018</v>
      </c>
      <c r="F783" s="80">
        <f t="shared" si="25"/>
        <v>386</v>
      </c>
      <c r="G783" s="22" cm="1">
        <f t="array" ref="G783">Comp1[[#This Row],[Comparable '#1 Drawdown]]/MAX($B$2:B783)</f>
        <v>-0.28908418131359859</v>
      </c>
      <c r="H783" s="1" t="str">
        <f>IF(SUM(COUNTIF(Benchmark1[Benchmark '#1 Dates],Comp1[[#This Row],[Comparable '#1 Dates]]),COUNTIF(Benchmark2[Benchmark '#2 Dates],Comp1[[#This Row],[Comparable '#1 Dates]]))=2,"Pass","Fail")</f>
        <v>Pass</v>
      </c>
      <c r="I783" s="1">
        <f>IFERROR(Comp1[[#This Row],[Comparable '#1 Return]]-INDEX(Benchmark1[Benchmark '#1 Return],MATCH(Comp1[[#This Row],[Comparable '#1 Dates]],Benchmark1[Benchmark '#1 Dates],0)),"-")</f>
        <v>7.9325577672854138E-4</v>
      </c>
      <c r="L783" s="72">
        <f>Comp1[[#This Row],[Comparable '#1 Price]]/$B$2*100</f>
        <v>105.20191649555099</v>
      </c>
    </row>
    <row r="784" spans="1:12">
      <c r="A784" s="103">
        <v>44420</v>
      </c>
      <c r="B784" s="104">
        <v>15.65</v>
      </c>
      <c r="C784" s="4">
        <f t="shared" si="24"/>
        <v>1.8053359435657741E-2</v>
      </c>
      <c r="D784" s="1">
        <f>IFERROR(Comp1[[#This Row],[Comparable '#1 Return]]+1,"-")</f>
        <v>1.0180533594356578</v>
      </c>
      <c r="E784" s="6">
        <f>B784-MAX($B$2:B784)</f>
        <v>-5.9700000000000006</v>
      </c>
      <c r="F784" s="80">
        <f t="shared" si="25"/>
        <v>387</v>
      </c>
      <c r="G784" s="22" cm="1">
        <f t="array" ref="G784">Comp1[[#This Row],[Comparable '#1 Drawdown]]/MAX($B$2:B784)</f>
        <v>-0.27613320999074931</v>
      </c>
      <c r="H784" s="1" t="str">
        <f>IF(SUM(COUNTIF(Benchmark1[Benchmark '#1 Dates],Comp1[[#This Row],[Comparable '#1 Dates]]),COUNTIF(Benchmark2[Benchmark '#2 Dates],Comp1[[#This Row],[Comparable '#1 Dates]]))=2,"Pass","Fail")</f>
        <v>Pass</v>
      </c>
      <c r="I784" s="1">
        <f>IFERROR(Comp1[[#This Row],[Comparable '#1 Return]]-INDEX(Benchmark1[Benchmark '#1 Return],MATCH(Comp1[[#This Row],[Comparable '#1 Dates]],Benchmark1[Benchmark '#1 Dates],0)),"-")</f>
        <v>1.5105994662861352E-2</v>
      </c>
      <c r="L784" s="72">
        <f>Comp1[[#This Row],[Comparable '#1 Price]]/$B$2*100</f>
        <v>107.11841204654347</v>
      </c>
    </row>
    <row r="785" spans="1:12">
      <c r="A785" s="103">
        <v>44421</v>
      </c>
      <c r="B785" s="104">
        <v>16.100000000000001</v>
      </c>
      <c r="C785" s="4">
        <f t="shared" si="24"/>
        <v>2.834835500425513E-2</v>
      </c>
      <c r="D785" s="1">
        <f>IFERROR(Comp1[[#This Row],[Comparable '#1 Return]]+1,"-")</f>
        <v>1.0283483550042551</v>
      </c>
      <c r="E785" s="6">
        <f>B785-MAX($B$2:B785)</f>
        <v>-5.52</v>
      </c>
      <c r="F785" s="80">
        <f t="shared" si="25"/>
        <v>388</v>
      </c>
      <c r="G785" s="22" cm="1">
        <f t="array" ref="G785">Comp1[[#This Row],[Comparable '#1 Drawdown]]/MAX($B$2:B785)</f>
        <v>-0.25531914893617019</v>
      </c>
      <c r="H785" s="1" t="str">
        <f>IF(SUM(COUNTIF(Benchmark1[Benchmark '#1 Dates],Comp1[[#This Row],[Comparable '#1 Dates]]),COUNTIF(Benchmark2[Benchmark '#2 Dates],Comp1[[#This Row],[Comparable '#1 Dates]]))=2,"Pass","Fail")</f>
        <v>Pass</v>
      </c>
      <c r="I785" s="1">
        <f>IFERROR(Comp1[[#This Row],[Comparable '#1 Return]]-INDEX(Benchmark1[Benchmark '#1 Return],MATCH(Comp1[[#This Row],[Comparable '#1 Dates]],Benchmark1[Benchmark '#1 Dates],0)),"-")</f>
        <v>2.674202535278777E-2</v>
      </c>
      <c r="L785" s="72">
        <f>Comp1[[#This Row],[Comparable '#1 Price]]/$B$2*100</f>
        <v>110.19849418206708</v>
      </c>
    </row>
    <row r="786" spans="1:12">
      <c r="A786" s="103">
        <v>44424</v>
      </c>
      <c r="B786" s="104">
        <v>15.96</v>
      </c>
      <c r="C786" s="4">
        <f t="shared" si="24"/>
        <v>-8.7336799687546662E-3</v>
      </c>
      <c r="D786" s="1">
        <f>IFERROR(Comp1[[#This Row],[Comparable '#1 Return]]+1,"-")</f>
        <v>0.99126632003124537</v>
      </c>
      <c r="E786" s="6">
        <f>B786-MAX($B$2:B786)</f>
        <v>-5.66</v>
      </c>
      <c r="F786" s="80">
        <f t="shared" si="25"/>
        <v>389</v>
      </c>
      <c r="G786" s="22" cm="1">
        <f t="array" ref="G786">Comp1[[#This Row],[Comparable '#1 Drawdown]]/MAX($B$2:B786)</f>
        <v>-0.26179463459759483</v>
      </c>
      <c r="H786" s="1" t="str">
        <f>IF(SUM(COUNTIF(Benchmark1[Benchmark '#1 Dates],Comp1[[#This Row],[Comparable '#1 Dates]]),COUNTIF(Benchmark2[Benchmark '#2 Dates],Comp1[[#This Row],[Comparable '#1 Dates]]))=2,"Pass","Fail")</f>
        <v>Pass</v>
      </c>
      <c r="I786" s="1">
        <f>IFERROR(Comp1[[#This Row],[Comparable '#1 Return]]-INDEX(Benchmark1[Benchmark '#1 Return],MATCH(Comp1[[#This Row],[Comparable '#1 Dates]],Benchmark1[Benchmark '#1 Dates],0)),"-")</f>
        <v>-1.135009921063674E-2</v>
      </c>
      <c r="L786" s="72">
        <f>Comp1[[#This Row],[Comparable '#1 Price]]/$B$2*100</f>
        <v>109.24024640657086</v>
      </c>
    </row>
    <row r="787" spans="1:12">
      <c r="A787" s="103">
        <v>44425</v>
      </c>
      <c r="B787" s="104">
        <v>15.68</v>
      </c>
      <c r="C787" s="4">
        <f t="shared" si="24"/>
        <v>-1.7699577099400975E-2</v>
      </c>
      <c r="D787" s="1">
        <f>IFERROR(Comp1[[#This Row],[Comparable '#1 Return]]+1,"-")</f>
        <v>0.98230042290059905</v>
      </c>
      <c r="E787" s="6">
        <f>B787-MAX($B$2:B787)</f>
        <v>-5.9400000000000013</v>
      </c>
      <c r="F787" s="80">
        <f t="shared" si="25"/>
        <v>390</v>
      </c>
      <c r="G787" s="22" cm="1">
        <f t="array" ref="G787">Comp1[[#This Row],[Comparable '#1 Drawdown]]/MAX($B$2:B787)</f>
        <v>-0.27474560592044406</v>
      </c>
      <c r="H787" s="1" t="str">
        <f>IF(SUM(COUNTIF(Benchmark1[Benchmark '#1 Dates],Comp1[[#This Row],[Comparable '#1 Dates]]),COUNTIF(Benchmark2[Benchmark '#2 Dates],Comp1[[#This Row],[Comparable '#1 Dates]]))=2,"Pass","Fail")</f>
        <v>Pass</v>
      </c>
      <c r="I787" s="1">
        <f>IFERROR(Comp1[[#This Row],[Comparable '#1 Return]]-INDEX(Benchmark1[Benchmark '#1 Return],MATCH(Comp1[[#This Row],[Comparable '#1 Dates]],Benchmark1[Benchmark '#1 Dates],0)),"-")</f>
        <v>-1.0613060025077798E-2</v>
      </c>
      <c r="L787" s="72">
        <f>Comp1[[#This Row],[Comparable '#1 Price]]/$B$2*100</f>
        <v>107.32375085557837</v>
      </c>
    </row>
    <row r="788" spans="1:12">
      <c r="A788" s="103">
        <v>44426</v>
      </c>
      <c r="B788" s="104">
        <v>15.59</v>
      </c>
      <c r="C788" s="4">
        <f t="shared" si="24"/>
        <v>-5.7563318525766655E-3</v>
      </c>
      <c r="D788" s="1">
        <f>IFERROR(Comp1[[#This Row],[Comparable '#1 Return]]+1,"-")</f>
        <v>0.99424366814742338</v>
      </c>
      <c r="E788" s="6">
        <f>B788-MAX($B$2:B788)</f>
        <v>-6.0300000000000011</v>
      </c>
      <c r="F788" s="80">
        <f t="shared" si="25"/>
        <v>391</v>
      </c>
      <c r="G788" s="22" cm="1">
        <f t="array" ref="G788">Comp1[[#This Row],[Comparable '#1 Drawdown]]/MAX($B$2:B788)</f>
        <v>-0.27890841813135991</v>
      </c>
      <c r="H788" s="1" t="str">
        <f>IF(SUM(COUNTIF(Benchmark1[Benchmark '#1 Dates],Comp1[[#This Row],[Comparable '#1 Dates]]),COUNTIF(Benchmark2[Benchmark '#2 Dates],Comp1[[#This Row],[Comparable '#1 Dates]]))=2,"Pass","Fail")</f>
        <v>Pass</v>
      </c>
      <c r="I788" s="1">
        <f>IFERROR(Comp1[[#This Row],[Comparable '#1 Return]]-INDEX(Benchmark1[Benchmark '#1 Return],MATCH(Comp1[[#This Row],[Comparable '#1 Dates]],Benchmark1[Benchmark '#1 Dates],0)),"-")</f>
        <v>5.0501076750004408E-3</v>
      </c>
      <c r="L788" s="72">
        <f>Comp1[[#This Row],[Comparable '#1 Price]]/$B$2*100</f>
        <v>106.70773442847366</v>
      </c>
    </row>
    <row r="789" spans="1:12">
      <c r="A789" s="103">
        <v>44427</v>
      </c>
      <c r="B789" s="104">
        <v>15.35</v>
      </c>
      <c r="C789" s="4">
        <f t="shared" si="24"/>
        <v>-1.5514209036479019E-2</v>
      </c>
      <c r="D789" s="1">
        <f>IFERROR(Comp1[[#This Row],[Comparable '#1 Return]]+1,"-")</f>
        <v>0.98448579096352096</v>
      </c>
      <c r="E789" s="6">
        <f>B789-MAX($B$2:B789)</f>
        <v>-6.2700000000000014</v>
      </c>
      <c r="F789" s="80">
        <f t="shared" si="25"/>
        <v>392</v>
      </c>
      <c r="G789" s="22" cm="1">
        <f t="array" ref="G789">Comp1[[#This Row],[Comparable '#1 Drawdown]]/MAX($B$2:B789)</f>
        <v>-0.29000925069380207</v>
      </c>
      <c r="H789" s="1" t="str">
        <f>IF(SUM(COUNTIF(Benchmark1[Benchmark '#1 Dates],Comp1[[#This Row],[Comparable '#1 Dates]]),COUNTIF(Benchmark2[Benchmark '#2 Dates],Comp1[[#This Row],[Comparable '#1 Dates]]))=2,"Pass","Fail")</f>
        <v>Pass</v>
      </c>
      <c r="I789" s="1">
        <f>IFERROR(Comp1[[#This Row],[Comparable '#1 Return]]-INDEX(Benchmark1[Benchmark '#1 Return],MATCH(Comp1[[#This Row],[Comparable '#1 Dates]],Benchmark1[Benchmark '#1 Dates],0)),"-")</f>
        <v>-1.6771650387615165E-2</v>
      </c>
      <c r="L789" s="72">
        <f>Comp1[[#This Row],[Comparable '#1 Price]]/$B$2*100</f>
        <v>105.06502395619439</v>
      </c>
    </row>
    <row r="790" spans="1:12">
      <c r="A790" s="103">
        <v>44428</v>
      </c>
      <c r="B790" s="104">
        <v>15.62</v>
      </c>
      <c r="C790" s="4">
        <f t="shared" si="24"/>
        <v>1.7436670378333623E-2</v>
      </c>
      <c r="D790" s="1">
        <f>IFERROR(Comp1[[#This Row],[Comparable '#1 Return]]+1,"-")</f>
        <v>1.0174366703783335</v>
      </c>
      <c r="E790" s="6">
        <f>B790-MAX($B$2:B790)</f>
        <v>-6.0000000000000018</v>
      </c>
      <c r="F790" s="80">
        <f t="shared" si="25"/>
        <v>393</v>
      </c>
      <c r="G790" s="22" cm="1">
        <f t="array" ref="G790">Comp1[[#This Row],[Comparable '#1 Drawdown]]/MAX($B$2:B790)</f>
        <v>-0.27752081406105467</v>
      </c>
      <c r="H790" s="1" t="str">
        <f>IF(SUM(COUNTIF(Benchmark1[Benchmark '#1 Dates],Comp1[[#This Row],[Comparable '#1 Dates]]),COUNTIF(Benchmark2[Benchmark '#2 Dates],Comp1[[#This Row],[Comparable '#1 Dates]]))=2,"Pass","Fail")</f>
        <v>Pass</v>
      </c>
      <c r="I790" s="1">
        <f>IFERROR(Comp1[[#This Row],[Comparable '#1 Return]]-INDEX(Benchmark1[Benchmark '#1 Return],MATCH(Comp1[[#This Row],[Comparable '#1 Dates]],Benchmark1[Benchmark '#1 Dates],0)),"-")</f>
        <v>9.3298344803718937E-3</v>
      </c>
      <c r="L790" s="72">
        <f>Comp1[[#This Row],[Comparable '#1 Price]]/$B$2*100</f>
        <v>106.91307323750856</v>
      </c>
    </row>
    <row r="791" spans="1:12">
      <c r="A791" s="103">
        <v>44431</v>
      </c>
      <c r="B791" s="104">
        <v>15.78</v>
      </c>
      <c r="C791" s="4">
        <f t="shared" si="24"/>
        <v>1.0191171006188283E-2</v>
      </c>
      <c r="D791" s="1">
        <f>IFERROR(Comp1[[#This Row],[Comparable '#1 Return]]+1,"-")</f>
        <v>1.0101911710061884</v>
      </c>
      <c r="E791" s="6">
        <f>B791-MAX($B$2:B791)</f>
        <v>-5.8400000000000016</v>
      </c>
      <c r="F791" s="80">
        <f t="shared" si="25"/>
        <v>394</v>
      </c>
      <c r="G791" s="22" cm="1">
        <f t="array" ref="G791">Comp1[[#This Row],[Comparable '#1 Drawdown]]/MAX($B$2:B791)</f>
        <v>-0.27012025901942655</v>
      </c>
      <c r="H791" s="1" t="str">
        <f>IF(SUM(COUNTIF(Benchmark1[Benchmark '#1 Dates],Comp1[[#This Row],[Comparable '#1 Dates]]),COUNTIF(Benchmark2[Benchmark '#2 Dates],Comp1[[#This Row],[Comparable '#1 Dates]]))=2,"Pass","Fail")</f>
        <v>Pass</v>
      </c>
      <c r="I791" s="1">
        <f>IFERROR(Comp1[[#This Row],[Comparable '#1 Return]]-INDEX(Benchmark1[Benchmark '#1 Return],MATCH(Comp1[[#This Row],[Comparable '#1 Dates]],Benchmark1[Benchmark '#1 Dates],0)),"-")</f>
        <v>1.7022843317964775E-3</v>
      </c>
      <c r="L791" s="72">
        <f>Comp1[[#This Row],[Comparable '#1 Price]]/$B$2*100</f>
        <v>108.00821355236138</v>
      </c>
    </row>
    <row r="792" spans="1:12">
      <c r="A792" s="103">
        <v>44432</v>
      </c>
      <c r="B792" s="104">
        <v>16.010000000000002</v>
      </c>
      <c r="C792" s="4">
        <f t="shared" si="24"/>
        <v>1.4470211590895239E-2</v>
      </c>
      <c r="D792" s="1">
        <f>IFERROR(Comp1[[#This Row],[Comparable '#1 Return]]+1,"-")</f>
        <v>1.0144702115908952</v>
      </c>
      <c r="E792" s="6">
        <f>B792-MAX($B$2:B792)</f>
        <v>-5.6099999999999994</v>
      </c>
      <c r="F792" s="80">
        <f t="shared" si="25"/>
        <v>395</v>
      </c>
      <c r="G792" s="22" cm="1">
        <f t="array" ref="G792">Comp1[[#This Row],[Comparable '#1 Drawdown]]/MAX($B$2:B792)</f>
        <v>-0.25948196114708599</v>
      </c>
      <c r="H792" s="1" t="str">
        <f>IF(SUM(COUNTIF(Benchmark1[Benchmark '#1 Dates],Comp1[[#This Row],[Comparable '#1 Dates]]),COUNTIF(Benchmark2[Benchmark '#2 Dates],Comp1[[#This Row],[Comparable '#1 Dates]]))=2,"Pass","Fail")</f>
        <v>Pass</v>
      </c>
      <c r="I792" s="1">
        <f>IFERROR(Comp1[[#This Row],[Comparable '#1 Return]]-INDEX(Benchmark1[Benchmark '#1 Return],MATCH(Comp1[[#This Row],[Comparable '#1 Dates]],Benchmark1[Benchmark '#1 Dates],0)),"-")</f>
        <v>1.2974817827976071E-2</v>
      </c>
      <c r="L792" s="72">
        <f>Comp1[[#This Row],[Comparable '#1 Price]]/$B$2*100</f>
        <v>109.58247775496237</v>
      </c>
    </row>
    <row r="793" spans="1:12">
      <c r="A793" s="103">
        <v>44433</v>
      </c>
      <c r="B793" s="104">
        <v>15.994999999999999</v>
      </c>
      <c r="C793" s="4">
        <f t="shared" si="24"/>
        <v>-9.3735360714210887E-4</v>
      </c>
      <c r="D793" s="1">
        <f>IFERROR(Comp1[[#This Row],[Comparable '#1 Return]]+1,"-")</f>
        <v>0.99906264639285791</v>
      </c>
      <c r="E793" s="6">
        <f>B793-MAX($B$2:B793)</f>
        <v>-5.6250000000000018</v>
      </c>
      <c r="F793" s="80">
        <f t="shared" si="25"/>
        <v>396</v>
      </c>
      <c r="G793" s="22" cm="1">
        <f t="array" ref="G793">Comp1[[#This Row],[Comparable '#1 Drawdown]]/MAX($B$2:B793)</f>
        <v>-0.26017576318223873</v>
      </c>
      <c r="H793" s="1" t="str">
        <f>IF(SUM(COUNTIF(Benchmark1[Benchmark '#1 Dates],Comp1[[#This Row],[Comparable '#1 Dates]]),COUNTIF(Benchmark2[Benchmark '#2 Dates],Comp1[[#This Row],[Comparable '#1 Dates]]))=2,"Pass","Fail")</f>
        <v>Pass</v>
      </c>
      <c r="I793" s="1">
        <f>IFERROR(Comp1[[#This Row],[Comparable '#1 Return]]-INDEX(Benchmark1[Benchmark '#1 Return],MATCH(Comp1[[#This Row],[Comparable '#1 Dates]],Benchmark1[Benchmark '#1 Dates],0)),"-")</f>
        <v>-3.1542963970901216E-3</v>
      </c>
      <c r="L793" s="72">
        <f>Comp1[[#This Row],[Comparable '#1 Price]]/$B$2*100</f>
        <v>109.47980835044491</v>
      </c>
    </row>
    <row r="794" spans="1:12">
      <c r="A794" s="103">
        <v>44434</v>
      </c>
      <c r="B794" s="104">
        <v>15.86</v>
      </c>
      <c r="C794" s="4">
        <f t="shared" si="24"/>
        <v>-8.475957194779336E-3</v>
      </c>
      <c r="D794" s="1">
        <f>IFERROR(Comp1[[#This Row],[Comparable '#1 Return]]+1,"-")</f>
        <v>0.99152404280522066</v>
      </c>
      <c r="E794" s="6">
        <f>B794-MAX($B$2:B794)</f>
        <v>-5.7600000000000016</v>
      </c>
      <c r="F794" s="80">
        <f t="shared" si="25"/>
        <v>397</v>
      </c>
      <c r="G794" s="22" cm="1">
        <f t="array" ref="G794">Comp1[[#This Row],[Comparable '#1 Drawdown]]/MAX($B$2:B794)</f>
        <v>-0.26641998149861246</v>
      </c>
      <c r="H794" s="1" t="str">
        <f>IF(SUM(COUNTIF(Benchmark1[Benchmark '#1 Dates],Comp1[[#This Row],[Comparable '#1 Dates]]),COUNTIF(Benchmark2[Benchmark '#2 Dates],Comp1[[#This Row],[Comparable '#1 Dates]]))=2,"Pass","Fail")</f>
        <v>Pass</v>
      </c>
      <c r="I794" s="1">
        <f>IFERROR(Comp1[[#This Row],[Comparable '#1 Return]]-INDEX(Benchmark1[Benchmark '#1 Return],MATCH(Comp1[[#This Row],[Comparable '#1 Dates]],Benchmark1[Benchmark '#1 Dates],0)),"-")</f>
        <v>-2.6329796937834115E-3</v>
      </c>
      <c r="L794" s="72">
        <f>Comp1[[#This Row],[Comparable '#1 Price]]/$B$2*100</f>
        <v>108.55578370978782</v>
      </c>
    </row>
    <row r="795" spans="1:12">
      <c r="A795" s="103">
        <v>44435</v>
      </c>
      <c r="B795" s="104">
        <v>15.99</v>
      </c>
      <c r="C795" s="4">
        <f t="shared" si="24"/>
        <v>8.1633106391610557E-3</v>
      </c>
      <c r="D795" s="1">
        <f>IFERROR(Comp1[[#This Row],[Comparable '#1 Return]]+1,"-")</f>
        <v>1.008163310639161</v>
      </c>
      <c r="E795" s="6">
        <f>B795-MAX($B$2:B795)</f>
        <v>-5.6300000000000008</v>
      </c>
      <c r="F795" s="80">
        <f t="shared" si="25"/>
        <v>398</v>
      </c>
      <c r="G795" s="22" cm="1">
        <f t="array" ref="G795">Comp1[[#This Row],[Comparable '#1 Drawdown]]/MAX($B$2:B795)</f>
        <v>-0.26040703052728958</v>
      </c>
      <c r="H795" s="1" t="str">
        <f>IF(SUM(COUNTIF(Benchmark1[Benchmark '#1 Dates],Comp1[[#This Row],[Comparable '#1 Dates]]),COUNTIF(Benchmark2[Benchmark '#2 Dates],Comp1[[#This Row],[Comparable '#1 Dates]]))=2,"Pass","Fail")</f>
        <v>Pass</v>
      </c>
      <c r="I795" s="1">
        <f>IFERROR(Comp1[[#This Row],[Comparable '#1 Return]]-INDEX(Benchmark1[Benchmark '#1 Return],MATCH(Comp1[[#This Row],[Comparable '#1 Dates]],Benchmark1[Benchmark '#1 Dates],0)),"-")</f>
        <v>-6.0634872773374614E-4</v>
      </c>
      <c r="L795" s="72">
        <f>Comp1[[#This Row],[Comparable '#1 Price]]/$B$2*100</f>
        <v>109.44558521560575</v>
      </c>
    </row>
    <row r="796" spans="1:12">
      <c r="A796" s="103">
        <v>44438</v>
      </c>
      <c r="B796" s="104">
        <v>15.94</v>
      </c>
      <c r="C796" s="4">
        <f t="shared" si="24"/>
        <v>-3.1318534837939337E-3</v>
      </c>
      <c r="D796" s="1">
        <f>IFERROR(Comp1[[#This Row],[Comparable '#1 Return]]+1,"-")</f>
        <v>0.99686814651620603</v>
      </c>
      <c r="E796" s="6">
        <f>B796-MAX($B$2:B796)</f>
        <v>-5.6800000000000015</v>
      </c>
      <c r="F796" s="80">
        <f t="shared" si="25"/>
        <v>399</v>
      </c>
      <c r="G796" s="22" cm="1">
        <f t="array" ref="G796">Comp1[[#This Row],[Comparable '#1 Drawdown]]/MAX($B$2:B796)</f>
        <v>-0.26271970397779837</v>
      </c>
      <c r="H796" s="1" t="str">
        <f>IF(SUM(COUNTIF(Benchmark1[Benchmark '#1 Dates],Comp1[[#This Row],[Comparable '#1 Dates]]),COUNTIF(Benchmark2[Benchmark '#2 Dates],Comp1[[#This Row],[Comparable '#1 Dates]]))=2,"Pass","Fail")</f>
        <v>Pass</v>
      </c>
      <c r="I796" s="1">
        <f>IFERROR(Comp1[[#This Row],[Comparable '#1 Return]]-INDEX(Benchmark1[Benchmark '#1 Return],MATCH(Comp1[[#This Row],[Comparable '#1 Dates]],Benchmark1[Benchmark '#1 Dates],0)),"-")</f>
        <v>-7.4302058597082166E-3</v>
      </c>
      <c r="L796" s="72">
        <f>Comp1[[#This Row],[Comparable '#1 Price]]/$B$2*100</f>
        <v>109.10335386721424</v>
      </c>
    </row>
    <row r="797" spans="1:12">
      <c r="A797" s="103">
        <v>44439</v>
      </c>
      <c r="B797" s="104">
        <v>15.93</v>
      </c>
      <c r="C797" s="4">
        <f t="shared" si="24"/>
        <v>-6.275494401118012E-4</v>
      </c>
      <c r="D797" s="1">
        <f>IFERROR(Comp1[[#This Row],[Comparable '#1 Return]]+1,"-")</f>
        <v>0.99937245055988821</v>
      </c>
      <c r="E797" s="6">
        <f>B797-MAX($B$2:B797)</f>
        <v>-5.6900000000000013</v>
      </c>
      <c r="F797" s="80">
        <f t="shared" si="25"/>
        <v>400</v>
      </c>
      <c r="G797" s="22" cm="1">
        <f t="array" ref="G797">Comp1[[#This Row],[Comparable '#1 Drawdown]]/MAX($B$2:B797)</f>
        <v>-0.26318223866790014</v>
      </c>
      <c r="H797" s="1" t="str">
        <f>IF(SUM(COUNTIF(Benchmark1[Benchmark '#1 Dates],Comp1[[#This Row],[Comparable '#1 Dates]]),COUNTIF(Benchmark2[Benchmark '#2 Dates],Comp1[[#This Row],[Comparable '#1 Dates]]))=2,"Pass","Fail")</f>
        <v>Pass</v>
      </c>
      <c r="I797" s="1">
        <f>IFERROR(Comp1[[#This Row],[Comparable '#1 Return]]-INDEX(Benchmark1[Benchmark '#1 Return],MATCH(Comp1[[#This Row],[Comparable '#1 Dates]],Benchmark1[Benchmark '#1 Dates],0)),"-")</f>
        <v>7.2329029179657705E-4</v>
      </c>
      <c r="L797" s="72">
        <f>Comp1[[#This Row],[Comparable '#1 Price]]/$B$2*100</f>
        <v>109.03490759753593</v>
      </c>
    </row>
    <row r="798" spans="1:12">
      <c r="A798" s="103">
        <v>44440</v>
      </c>
      <c r="B798" s="104">
        <v>15.91</v>
      </c>
      <c r="C798" s="4">
        <f t="shared" si="24"/>
        <v>-1.2562815722616701E-3</v>
      </c>
      <c r="D798" s="1">
        <f>IFERROR(Comp1[[#This Row],[Comparable '#1 Return]]+1,"-")</f>
        <v>0.99874371842773835</v>
      </c>
      <c r="E798" s="6">
        <f>B798-MAX($B$2:B798)</f>
        <v>-5.7100000000000009</v>
      </c>
      <c r="F798" s="80">
        <f t="shared" si="25"/>
        <v>401</v>
      </c>
      <c r="G798" s="22" cm="1">
        <f t="array" ref="G798">Comp1[[#This Row],[Comparable '#1 Drawdown]]/MAX($B$2:B798)</f>
        <v>-0.26410730804810362</v>
      </c>
      <c r="H798" s="1" t="str">
        <f>IF(SUM(COUNTIF(Benchmark1[Benchmark '#1 Dates],Comp1[[#This Row],[Comparable '#1 Dates]]),COUNTIF(Benchmark2[Benchmark '#2 Dates],Comp1[[#This Row],[Comparable '#1 Dates]]))=2,"Pass","Fail")</f>
        <v>Pass</v>
      </c>
      <c r="I798" s="1">
        <f>IFERROR(Comp1[[#This Row],[Comparable '#1 Return]]-INDEX(Benchmark1[Benchmark '#1 Return],MATCH(Comp1[[#This Row],[Comparable '#1 Dates]],Benchmark1[Benchmark '#1 Dates],0)),"-")</f>
        <v>-1.5684706801441313E-3</v>
      </c>
      <c r="L798" s="72">
        <f>Comp1[[#This Row],[Comparable '#1 Price]]/$B$2*100</f>
        <v>108.89801505817933</v>
      </c>
    </row>
    <row r="799" spans="1:12">
      <c r="A799" s="103">
        <v>44441</v>
      </c>
      <c r="B799" s="104">
        <v>15.86</v>
      </c>
      <c r="C799" s="4">
        <f t="shared" si="24"/>
        <v>-3.1476261429936423E-3</v>
      </c>
      <c r="D799" s="1">
        <f>IFERROR(Comp1[[#This Row],[Comparable '#1 Return]]+1,"-")</f>
        <v>0.99685237385700631</v>
      </c>
      <c r="E799" s="6">
        <f>B799-MAX($B$2:B799)</f>
        <v>-5.7600000000000016</v>
      </c>
      <c r="F799" s="80">
        <f t="shared" si="25"/>
        <v>402</v>
      </c>
      <c r="G799" s="22" cm="1">
        <f t="array" ref="G799">Comp1[[#This Row],[Comparable '#1 Drawdown]]/MAX($B$2:B799)</f>
        <v>-0.26641998149861246</v>
      </c>
      <c r="H799" s="1" t="str">
        <f>IF(SUM(COUNTIF(Benchmark1[Benchmark '#1 Dates],Comp1[[#This Row],[Comparable '#1 Dates]]),COUNTIF(Benchmark2[Benchmark '#2 Dates],Comp1[[#This Row],[Comparable '#1 Dates]]))=2,"Pass","Fail")</f>
        <v>Pass</v>
      </c>
      <c r="I799" s="1">
        <f>IFERROR(Comp1[[#This Row],[Comparable '#1 Return]]-INDEX(Benchmark1[Benchmark '#1 Return],MATCH(Comp1[[#This Row],[Comparable '#1 Dates]],Benchmark1[Benchmark '#1 Dates],0)),"-")</f>
        <v>-5.9848067278548299E-3</v>
      </c>
      <c r="L799" s="72">
        <f>Comp1[[#This Row],[Comparable '#1 Price]]/$B$2*100</f>
        <v>108.55578370978782</v>
      </c>
    </row>
    <row r="800" spans="1:12">
      <c r="A800" s="103">
        <v>44442</v>
      </c>
      <c r="B800" s="104">
        <v>15.61</v>
      </c>
      <c r="C800" s="4">
        <f t="shared" si="24"/>
        <v>-1.588848167936123E-2</v>
      </c>
      <c r="D800" s="1">
        <f>IFERROR(Comp1[[#This Row],[Comparable '#1 Return]]+1,"-")</f>
        <v>0.98411151832063881</v>
      </c>
      <c r="E800" s="6">
        <f>B800-MAX($B$2:B800)</f>
        <v>-6.0100000000000016</v>
      </c>
      <c r="F800" s="80">
        <f t="shared" si="25"/>
        <v>403</v>
      </c>
      <c r="G800" s="22" cm="1">
        <f t="array" ref="G800">Comp1[[#This Row],[Comparable '#1 Drawdown]]/MAX($B$2:B800)</f>
        <v>-0.27798334875115638</v>
      </c>
      <c r="H800" s="1" t="str">
        <f>IF(SUM(COUNTIF(Benchmark1[Benchmark '#1 Dates],Comp1[[#This Row],[Comparable '#1 Dates]]),COUNTIF(Benchmark2[Benchmark '#2 Dates],Comp1[[#This Row],[Comparable '#1 Dates]]))=2,"Pass","Fail")</f>
        <v>Pass</v>
      </c>
      <c r="I800" s="1">
        <f>IFERROR(Comp1[[#This Row],[Comparable '#1 Return]]-INDEX(Benchmark1[Benchmark '#1 Return],MATCH(Comp1[[#This Row],[Comparable '#1 Dates]],Benchmark1[Benchmark '#1 Dates],0)),"-")</f>
        <v>-1.5554827439550006E-2</v>
      </c>
      <c r="L800" s="72">
        <f>Comp1[[#This Row],[Comparable '#1 Price]]/$B$2*100</f>
        <v>106.84462696783027</v>
      </c>
    </row>
    <row r="801" spans="1:12">
      <c r="A801" s="103">
        <v>44446</v>
      </c>
      <c r="B801" s="104">
        <v>16.02</v>
      </c>
      <c r="C801" s="4">
        <f t="shared" si="24"/>
        <v>2.592620711287251E-2</v>
      </c>
      <c r="D801" s="1">
        <f>IFERROR(Comp1[[#This Row],[Comparable '#1 Return]]+1,"-")</f>
        <v>1.0259262071128725</v>
      </c>
      <c r="E801" s="6">
        <f>B801-MAX($B$2:B801)</f>
        <v>-5.6000000000000014</v>
      </c>
      <c r="F801" s="80">
        <f t="shared" si="25"/>
        <v>404</v>
      </c>
      <c r="G801" s="22" cm="1">
        <f t="array" ref="G801">Comp1[[#This Row],[Comparable '#1 Drawdown]]/MAX($B$2:B801)</f>
        <v>-0.25901942645698434</v>
      </c>
      <c r="H801" s="1" t="str">
        <f>IF(SUM(COUNTIF(Benchmark1[Benchmark '#1 Dates],Comp1[[#This Row],[Comparable '#1 Dates]]),COUNTIF(Benchmark2[Benchmark '#2 Dates],Comp1[[#This Row],[Comparable '#1 Dates]]))=2,"Pass","Fail")</f>
        <v>Pass</v>
      </c>
      <c r="I801" s="1">
        <f>IFERROR(Comp1[[#This Row],[Comparable '#1 Return]]-INDEX(Benchmark1[Benchmark '#1 Return],MATCH(Comp1[[#This Row],[Comparable '#1 Dates]],Benchmark1[Benchmark '#1 Dates],0)),"-")</f>
        <v>2.9328553208584119E-2</v>
      </c>
      <c r="L801" s="72">
        <f>Comp1[[#This Row],[Comparable '#1 Price]]/$B$2*100</f>
        <v>109.65092402464064</v>
      </c>
    </row>
    <row r="802" spans="1:12">
      <c r="A802" s="103">
        <v>44447</v>
      </c>
      <c r="B802" s="104">
        <v>16.260000000000002</v>
      </c>
      <c r="C802" s="4">
        <f t="shared" si="24"/>
        <v>1.4870162479451407E-2</v>
      </c>
      <c r="D802" s="1">
        <f>IFERROR(Comp1[[#This Row],[Comparable '#1 Return]]+1,"-")</f>
        <v>1.0148701624794514</v>
      </c>
      <c r="E802" s="6">
        <f>B802-MAX($B$2:B802)</f>
        <v>-5.3599999999999994</v>
      </c>
      <c r="F802" s="80">
        <f t="shared" si="25"/>
        <v>405</v>
      </c>
      <c r="G802" s="22" cm="1">
        <f t="array" ref="G802">Comp1[[#This Row],[Comparable '#1 Drawdown]]/MAX($B$2:B802)</f>
        <v>-0.24791859389454204</v>
      </c>
      <c r="H802" s="1" t="str">
        <f>IF(SUM(COUNTIF(Benchmark1[Benchmark '#1 Dates],Comp1[[#This Row],[Comparable '#1 Dates]]),COUNTIF(Benchmark2[Benchmark '#2 Dates],Comp1[[#This Row],[Comparable '#1 Dates]]))=2,"Pass","Fail")</f>
        <v>Pass</v>
      </c>
      <c r="I802" s="1">
        <f>IFERROR(Comp1[[#This Row],[Comparable '#1 Return]]-INDEX(Benchmark1[Benchmark '#1 Return],MATCH(Comp1[[#This Row],[Comparable '#1 Dates]],Benchmark1[Benchmark '#1 Dates],0)),"-")</f>
        <v>1.6189437796814483E-2</v>
      </c>
      <c r="L802" s="72">
        <f>Comp1[[#This Row],[Comparable '#1 Price]]/$B$2*100</f>
        <v>111.29363449691994</v>
      </c>
    </row>
    <row r="803" spans="1:12">
      <c r="A803" s="103">
        <v>44448</v>
      </c>
      <c r="B803" s="104">
        <v>16.329999999999998</v>
      </c>
      <c r="C803" s="4">
        <f t="shared" si="24"/>
        <v>4.2958028627090427E-3</v>
      </c>
      <c r="D803" s="1">
        <f>IFERROR(Comp1[[#This Row],[Comparable '#1 Return]]+1,"-")</f>
        <v>1.0042958028627091</v>
      </c>
      <c r="E803" s="6">
        <f>B803-MAX($B$2:B803)</f>
        <v>-5.2900000000000027</v>
      </c>
      <c r="F803" s="80">
        <f t="shared" si="25"/>
        <v>406</v>
      </c>
      <c r="G803" s="22" cm="1">
        <f t="array" ref="G803">Comp1[[#This Row],[Comparable '#1 Drawdown]]/MAX($B$2:B803)</f>
        <v>-0.24468085106382989</v>
      </c>
      <c r="H803" s="1" t="str">
        <f>IF(SUM(COUNTIF(Benchmark1[Benchmark '#1 Dates],Comp1[[#This Row],[Comparable '#1 Dates]]),COUNTIF(Benchmark2[Benchmark '#2 Dates],Comp1[[#This Row],[Comparable '#1 Dates]]))=2,"Pass","Fail")</f>
        <v>Pass</v>
      </c>
      <c r="I803" s="1">
        <f>IFERROR(Comp1[[#This Row],[Comparable '#1 Return]]-INDEX(Benchmark1[Benchmark '#1 Return],MATCH(Comp1[[#This Row],[Comparable '#1 Dates]],Benchmark1[Benchmark '#1 Dates],0)),"-")</f>
        <v>8.9107581497846582E-3</v>
      </c>
      <c r="L803" s="72">
        <f>Comp1[[#This Row],[Comparable '#1 Price]]/$B$2*100</f>
        <v>111.77275838466802</v>
      </c>
    </row>
    <row r="804" spans="1:12">
      <c r="A804" s="103">
        <v>44449</v>
      </c>
      <c r="B804" s="104">
        <v>16.8</v>
      </c>
      <c r="C804" s="4">
        <f t="shared" si="24"/>
        <v>2.8374979426839583E-2</v>
      </c>
      <c r="D804" s="1">
        <f>IFERROR(Comp1[[#This Row],[Comparable '#1 Return]]+1,"-")</f>
        <v>1.0283749794268395</v>
      </c>
      <c r="E804" s="6">
        <f>B804-MAX($B$2:B804)</f>
        <v>-4.82</v>
      </c>
      <c r="F804" s="80">
        <f t="shared" si="25"/>
        <v>407</v>
      </c>
      <c r="G804" s="22" cm="1">
        <f t="array" ref="G804">Comp1[[#This Row],[Comparable '#1 Drawdown]]/MAX($B$2:B804)</f>
        <v>-0.22294172062904719</v>
      </c>
      <c r="H804" s="1" t="str">
        <f>IF(SUM(COUNTIF(Benchmark1[Benchmark '#1 Dates],Comp1[[#This Row],[Comparable '#1 Dates]]),COUNTIF(Benchmark2[Benchmark '#2 Dates],Comp1[[#This Row],[Comparable '#1 Dates]]))=2,"Pass","Fail")</f>
        <v>Pass</v>
      </c>
      <c r="I804" s="1">
        <f>IFERROR(Comp1[[#This Row],[Comparable '#1 Return]]-INDEX(Benchmark1[Benchmark '#1 Return],MATCH(Comp1[[#This Row],[Comparable '#1 Dates]],Benchmark1[Benchmark '#1 Dates],0)),"-")</f>
        <v>3.6128586002026487E-2</v>
      </c>
      <c r="L804" s="72">
        <f>Comp1[[#This Row],[Comparable '#1 Price]]/$B$2*100</f>
        <v>114.98973305954827</v>
      </c>
    </row>
    <row r="805" spans="1:12">
      <c r="A805" s="103">
        <v>44452</v>
      </c>
      <c r="B805" s="104">
        <v>17</v>
      </c>
      <c r="C805" s="4">
        <f t="shared" si="24"/>
        <v>1.1834457647002798E-2</v>
      </c>
      <c r="D805" s="1">
        <f>IFERROR(Comp1[[#This Row],[Comparable '#1 Return]]+1,"-")</f>
        <v>1.0118344576470029</v>
      </c>
      <c r="E805" s="6">
        <f>B805-MAX($B$2:B805)</f>
        <v>-4.620000000000001</v>
      </c>
      <c r="F805" s="80">
        <f t="shared" si="25"/>
        <v>408</v>
      </c>
      <c r="G805" s="22" cm="1">
        <f t="array" ref="G805">Comp1[[#This Row],[Comparable '#1 Drawdown]]/MAX($B$2:B805)</f>
        <v>-0.21369102682701205</v>
      </c>
      <c r="H805" s="1" t="str">
        <f>IF(SUM(COUNTIF(Benchmark1[Benchmark '#1 Dates],Comp1[[#This Row],[Comparable '#1 Dates]]),COUNTIF(Benchmark2[Benchmark '#2 Dates],Comp1[[#This Row],[Comparable '#1 Dates]]))=2,"Pass","Fail")</f>
        <v>Pass</v>
      </c>
      <c r="I805" s="1">
        <f>IFERROR(Comp1[[#This Row],[Comparable '#1 Return]]-INDEX(Benchmark1[Benchmark '#1 Return],MATCH(Comp1[[#This Row],[Comparable '#1 Dates]],Benchmark1[Benchmark '#1 Dates],0)),"-")</f>
        <v>9.5613311234809002E-3</v>
      </c>
      <c r="L805" s="72">
        <f>Comp1[[#This Row],[Comparable '#1 Price]]/$B$2*100</f>
        <v>116.3586584531143</v>
      </c>
    </row>
    <row r="806" spans="1:12">
      <c r="A806" s="103">
        <v>44453</v>
      </c>
      <c r="B806" s="104">
        <v>16.96</v>
      </c>
      <c r="C806" s="4">
        <f t="shared" si="24"/>
        <v>-2.3557136924590365E-3</v>
      </c>
      <c r="D806" s="1">
        <f>IFERROR(Comp1[[#This Row],[Comparable '#1 Return]]+1,"-")</f>
        <v>0.99764428630754098</v>
      </c>
      <c r="E806" s="6">
        <f>B806-MAX($B$2:B806)</f>
        <v>-4.66</v>
      </c>
      <c r="F806" s="80">
        <f t="shared" si="25"/>
        <v>409</v>
      </c>
      <c r="G806" s="22" cm="1">
        <f t="array" ref="G806">Comp1[[#This Row],[Comparable '#1 Drawdown]]/MAX($B$2:B806)</f>
        <v>-0.21554116558741906</v>
      </c>
      <c r="H806" s="1" t="str">
        <f>IF(SUM(COUNTIF(Benchmark1[Benchmark '#1 Dates],Comp1[[#This Row],[Comparable '#1 Dates]]),COUNTIF(Benchmark2[Benchmark '#2 Dates],Comp1[[#This Row],[Comparable '#1 Dates]]))=2,"Pass","Fail")</f>
        <v>Pass</v>
      </c>
      <c r="I806" s="1">
        <f>IFERROR(Comp1[[#This Row],[Comparable '#1 Return]]-INDEX(Benchmark1[Benchmark '#1 Return],MATCH(Comp1[[#This Row],[Comparable '#1 Dates]],Benchmark1[Benchmark '#1 Dates],0)),"-")</f>
        <v>3.4066627292386538E-3</v>
      </c>
      <c r="L806" s="72">
        <f>Comp1[[#This Row],[Comparable '#1 Price]]/$B$2*100</f>
        <v>116.0848733744011</v>
      </c>
    </row>
    <row r="807" spans="1:12">
      <c r="A807" s="103">
        <v>44454</v>
      </c>
      <c r="B807" s="104">
        <v>16.96</v>
      </c>
      <c r="C807" s="4">
        <f t="shared" si="24"/>
        <v>0</v>
      </c>
      <c r="D807" s="1">
        <f>IFERROR(Comp1[[#This Row],[Comparable '#1 Return]]+1,"-")</f>
        <v>1</v>
      </c>
      <c r="E807" s="6">
        <f>B807-MAX($B$2:B807)</f>
        <v>-4.66</v>
      </c>
      <c r="F807" s="80">
        <f t="shared" si="25"/>
        <v>410</v>
      </c>
      <c r="G807" s="22" cm="1">
        <f t="array" ref="G807">Comp1[[#This Row],[Comparable '#1 Drawdown]]/MAX($B$2:B807)</f>
        <v>-0.21554116558741906</v>
      </c>
      <c r="H807" s="1" t="str">
        <f>IF(SUM(COUNTIF(Benchmark1[Benchmark '#1 Dates],Comp1[[#This Row],[Comparable '#1 Dates]]),COUNTIF(Benchmark2[Benchmark '#2 Dates],Comp1[[#This Row],[Comparable '#1 Dates]]))=2,"Pass","Fail")</f>
        <v>Pass</v>
      </c>
      <c r="I807" s="1">
        <f>IFERROR(Comp1[[#This Row],[Comparable '#1 Return]]-INDEX(Benchmark1[Benchmark '#1 Return],MATCH(Comp1[[#This Row],[Comparable '#1 Dates]],Benchmark1[Benchmark '#1 Dates],0)),"-")</f>
        <v>-8.4385704566928912E-3</v>
      </c>
      <c r="L807" s="72">
        <f>Comp1[[#This Row],[Comparable '#1 Price]]/$B$2*100</f>
        <v>116.0848733744011</v>
      </c>
    </row>
    <row r="808" spans="1:12">
      <c r="A808" s="103">
        <v>44455</v>
      </c>
      <c r="B808" s="104">
        <v>17.5</v>
      </c>
      <c r="C808" s="4">
        <f t="shared" si="24"/>
        <v>3.1343250565711335E-2</v>
      </c>
      <c r="D808" s="1">
        <f>IFERROR(Comp1[[#This Row],[Comparable '#1 Return]]+1,"-")</f>
        <v>1.0313432505657114</v>
      </c>
      <c r="E808" s="6">
        <f>B808-MAX($B$2:B808)</f>
        <v>-4.120000000000001</v>
      </c>
      <c r="F808" s="80">
        <f t="shared" si="25"/>
        <v>411</v>
      </c>
      <c r="G808" s="22" cm="1">
        <f t="array" ref="G808">Comp1[[#This Row],[Comparable '#1 Drawdown]]/MAX($B$2:B808)</f>
        <v>-0.19056429232192418</v>
      </c>
      <c r="H808" s="1" t="str">
        <f>IF(SUM(COUNTIF(Benchmark1[Benchmark '#1 Dates],Comp1[[#This Row],[Comparable '#1 Dates]]),COUNTIF(Benchmark2[Benchmark '#2 Dates],Comp1[[#This Row],[Comparable '#1 Dates]]))=2,"Pass","Fail")</f>
        <v>Pass</v>
      </c>
      <c r="I808" s="1">
        <f>IFERROR(Comp1[[#This Row],[Comparable '#1 Return]]-INDEX(Benchmark1[Benchmark '#1 Return],MATCH(Comp1[[#This Row],[Comparable '#1 Dates]],Benchmark1[Benchmark '#1 Dates],0)),"-")</f>
        <v>3.2895270017204839E-2</v>
      </c>
      <c r="L808" s="72">
        <f>Comp1[[#This Row],[Comparable '#1 Price]]/$B$2*100</f>
        <v>119.78097193702943</v>
      </c>
    </row>
    <row r="809" spans="1:12">
      <c r="A809" s="103">
        <v>44456</v>
      </c>
      <c r="B809" s="104">
        <v>17.489999999999998</v>
      </c>
      <c r="C809" s="4">
        <f t="shared" si="24"/>
        <v>-5.7159189895776444E-4</v>
      </c>
      <c r="D809" s="1">
        <f>IFERROR(Comp1[[#This Row],[Comparable '#1 Return]]+1,"-")</f>
        <v>0.99942840810104228</v>
      </c>
      <c r="E809" s="6">
        <f>B809-MAX($B$2:B809)</f>
        <v>-4.1300000000000026</v>
      </c>
      <c r="F809" s="80">
        <f t="shared" si="25"/>
        <v>412</v>
      </c>
      <c r="G809" s="22" cm="1">
        <f t="array" ref="G809">Comp1[[#This Row],[Comparable '#1 Drawdown]]/MAX($B$2:B809)</f>
        <v>-0.191026827012026</v>
      </c>
      <c r="H809" s="1" t="str">
        <f>IF(SUM(COUNTIF(Benchmark1[Benchmark '#1 Dates],Comp1[[#This Row],[Comparable '#1 Dates]]),COUNTIF(Benchmark2[Benchmark '#2 Dates],Comp1[[#This Row],[Comparable '#1 Dates]]))=2,"Pass","Fail")</f>
        <v>Pass</v>
      </c>
      <c r="I809" s="1">
        <f>IFERROR(Comp1[[#This Row],[Comparable '#1 Return]]-INDEX(Benchmark1[Benchmark '#1 Return],MATCH(Comp1[[#This Row],[Comparable '#1 Dates]],Benchmark1[Benchmark '#1 Dates],0)),"-")</f>
        <v>8.5822747753121348E-3</v>
      </c>
      <c r="L809" s="72">
        <f>Comp1[[#This Row],[Comparable '#1 Price]]/$B$2*100</f>
        <v>119.71252566735113</v>
      </c>
    </row>
    <row r="810" spans="1:12">
      <c r="A810" s="103">
        <v>44459</v>
      </c>
      <c r="B810" s="104">
        <v>17.190000000000001</v>
      </c>
      <c r="C810" s="4">
        <f t="shared" si="24"/>
        <v>-1.7301469635752666E-2</v>
      </c>
      <c r="D810" s="1">
        <f>IFERROR(Comp1[[#This Row],[Comparable '#1 Return]]+1,"-")</f>
        <v>0.98269853036424737</v>
      </c>
      <c r="E810" s="6">
        <f>B810-MAX($B$2:B810)</f>
        <v>-4.43</v>
      </c>
      <c r="F810" s="80">
        <f t="shared" si="25"/>
        <v>413</v>
      </c>
      <c r="G810" s="22" cm="1">
        <f t="array" ref="G810">Comp1[[#This Row],[Comparable '#1 Drawdown]]/MAX($B$2:B810)</f>
        <v>-0.2049028677150786</v>
      </c>
      <c r="H810" s="1" t="str">
        <f>IF(SUM(COUNTIF(Benchmark1[Benchmark '#1 Dates],Comp1[[#This Row],[Comparable '#1 Dates]]),COUNTIF(Benchmark2[Benchmark '#2 Dates],Comp1[[#This Row],[Comparable '#1 Dates]]))=2,"Pass","Fail")</f>
        <v>Pass</v>
      </c>
      <c r="I810" s="1">
        <f>IFERROR(Comp1[[#This Row],[Comparable '#1 Return]]-INDEX(Benchmark1[Benchmark '#1 Return],MATCH(Comp1[[#This Row],[Comparable '#1 Dates]],Benchmark1[Benchmark '#1 Dates],0)),"-")</f>
        <v>-1.7852809292342661E-4</v>
      </c>
      <c r="L810" s="72">
        <f>Comp1[[#This Row],[Comparable '#1 Price]]/$B$2*100</f>
        <v>117.65913757700206</v>
      </c>
    </row>
    <row r="811" spans="1:12">
      <c r="A811" s="103">
        <v>44460</v>
      </c>
      <c r="B811" s="104">
        <v>17.170000000000002</v>
      </c>
      <c r="C811" s="4">
        <f t="shared" si="24"/>
        <v>-1.1641444853737134E-3</v>
      </c>
      <c r="D811" s="1">
        <f>IFERROR(Comp1[[#This Row],[Comparable '#1 Return]]+1,"-")</f>
        <v>0.99883585551462628</v>
      </c>
      <c r="E811" s="6">
        <f>B811-MAX($B$2:B811)</f>
        <v>-4.4499999999999993</v>
      </c>
      <c r="F811" s="80">
        <f t="shared" si="25"/>
        <v>414</v>
      </c>
      <c r="G811" s="22" cm="1">
        <f t="array" ref="G811">Comp1[[#This Row],[Comparable '#1 Drawdown]]/MAX($B$2:B811)</f>
        <v>-0.2058279370952821</v>
      </c>
      <c r="H811" s="1" t="str">
        <f>IF(SUM(COUNTIF(Benchmark1[Benchmark '#1 Dates],Comp1[[#This Row],[Comparable '#1 Dates]]),COUNTIF(Benchmark2[Benchmark '#2 Dates],Comp1[[#This Row],[Comparable '#1 Dates]]))=2,"Pass","Fail")</f>
        <v>Pass</v>
      </c>
      <c r="I811" s="1">
        <f>IFERROR(Comp1[[#This Row],[Comparable '#1 Return]]-INDEX(Benchmark1[Benchmark '#1 Return],MATCH(Comp1[[#This Row],[Comparable '#1 Dates]],Benchmark1[Benchmark '#1 Dates],0)),"-")</f>
        <v>-3.516916228622415E-4</v>
      </c>
      <c r="L811" s="72">
        <f>Comp1[[#This Row],[Comparable '#1 Price]]/$B$2*100</f>
        <v>117.52224503764546</v>
      </c>
    </row>
    <row r="812" spans="1:12">
      <c r="A812" s="103">
        <v>44461</v>
      </c>
      <c r="B812" s="104">
        <v>17.149999999999999</v>
      </c>
      <c r="C812" s="4">
        <f t="shared" si="24"/>
        <v>-1.165501297435432E-3</v>
      </c>
      <c r="D812" s="1">
        <f>IFERROR(Comp1[[#This Row],[Comparable '#1 Return]]+1,"-")</f>
        <v>0.99883449870256458</v>
      </c>
      <c r="E812" s="6">
        <f>B812-MAX($B$2:B812)</f>
        <v>-4.4700000000000024</v>
      </c>
      <c r="F812" s="80">
        <f t="shared" si="25"/>
        <v>415</v>
      </c>
      <c r="G812" s="22" cm="1">
        <f t="array" ref="G812">Comp1[[#This Row],[Comparable '#1 Drawdown]]/MAX($B$2:B812)</f>
        <v>-0.20675300647548575</v>
      </c>
      <c r="H812" s="1" t="str">
        <f>IF(SUM(COUNTIF(Benchmark1[Benchmark '#1 Dates],Comp1[[#This Row],[Comparable '#1 Dates]]),COUNTIF(Benchmark2[Benchmark '#2 Dates],Comp1[[#This Row],[Comparable '#1 Dates]]))=2,"Pass","Fail")</f>
        <v>Pass</v>
      </c>
      <c r="I812" s="1">
        <f>IFERROR(Comp1[[#This Row],[Comparable '#1 Return]]-INDEX(Benchmark1[Benchmark '#1 Return],MATCH(Comp1[[#This Row],[Comparable '#1 Dates]],Benchmark1[Benchmark '#1 Dates],0)),"-")</f>
        <v>-1.0639653861266122E-2</v>
      </c>
      <c r="L812" s="72">
        <f>Comp1[[#This Row],[Comparable '#1 Price]]/$B$2*100</f>
        <v>117.38535249828882</v>
      </c>
    </row>
    <row r="813" spans="1:12">
      <c r="A813" s="103">
        <v>44462</v>
      </c>
      <c r="B813" s="104">
        <v>17.54</v>
      </c>
      <c r="C813" s="4">
        <f t="shared" si="24"/>
        <v>2.2485813332088201E-2</v>
      </c>
      <c r="D813" s="1">
        <f>IFERROR(Comp1[[#This Row],[Comparable '#1 Return]]+1,"-")</f>
        <v>1.0224858133320882</v>
      </c>
      <c r="E813" s="6">
        <f>B813-MAX($B$2:B813)</f>
        <v>-4.0800000000000018</v>
      </c>
      <c r="F813" s="80">
        <f t="shared" si="25"/>
        <v>416</v>
      </c>
      <c r="G813" s="22" cm="1">
        <f t="array" ref="G813">Comp1[[#This Row],[Comparable '#1 Drawdown]]/MAX($B$2:B813)</f>
        <v>-0.18871415356151719</v>
      </c>
      <c r="H813" s="1" t="str">
        <f>IF(SUM(COUNTIF(Benchmark1[Benchmark '#1 Dates],Comp1[[#This Row],[Comparable '#1 Dates]]),COUNTIF(Benchmark2[Benchmark '#2 Dates],Comp1[[#This Row],[Comparable '#1 Dates]]))=2,"Pass","Fail")</f>
        <v>Pass</v>
      </c>
      <c r="I813" s="1">
        <f>IFERROR(Comp1[[#This Row],[Comparable '#1 Return]]-INDEX(Benchmark1[Benchmark '#1 Return],MATCH(Comp1[[#This Row],[Comparable '#1 Dates]],Benchmark1[Benchmark '#1 Dates],0)),"-")</f>
        <v>1.0422535475927386E-2</v>
      </c>
      <c r="L813" s="72">
        <f>Comp1[[#This Row],[Comparable '#1 Price]]/$B$2*100</f>
        <v>120.05475701574264</v>
      </c>
    </row>
    <row r="814" spans="1:12">
      <c r="A814" s="103">
        <v>44463</v>
      </c>
      <c r="B814" s="104">
        <v>17.239999999999998</v>
      </c>
      <c r="C814" s="4">
        <f t="shared" si="24"/>
        <v>-1.7251721708489934E-2</v>
      </c>
      <c r="D814" s="1">
        <f>IFERROR(Comp1[[#This Row],[Comparable '#1 Return]]+1,"-")</f>
        <v>0.98274827829151001</v>
      </c>
      <c r="E814" s="6">
        <f>B814-MAX($B$2:B814)</f>
        <v>-4.3800000000000026</v>
      </c>
      <c r="F814" s="80">
        <f t="shared" si="25"/>
        <v>417</v>
      </c>
      <c r="G814" s="22" cm="1">
        <f t="array" ref="G814">Comp1[[#This Row],[Comparable '#1 Drawdown]]/MAX($B$2:B814)</f>
        <v>-0.20259019426456995</v>
      </c>
      <c r="H814" s="1" t="str">
        <f>IF(SUM(COUNTIF(Benchmark1[Benchmark '#1 Dates],Comp1[[#This Row],[Comparable '#1 Dates]]),COUNTIF(Benchmark2[Benchmark '#2 Dates],Comp1[[#This Row],[Comparable '#1 Dates]]))=2,"Pass","Fail")</f>
        <v>Pass</v>
      </c>
      <c r="I814" s="1">
        <f>IFERROR(Comp1[[#This Row],[Comparable '#1 Return]]-INDEX(Benchmark1[Benchmark '#1 Return],MATCH(Comp1[[#This Row],[Comparable '#1 Dates]],Benchmark1[Benchmark '#1 Dates],0)),"-")</f>
        <v>-1.871028566238369E-2</v>
      </c>
      <c r="L814" s="72">
        <f>Comp1[[#This Row],[Comparable '#1 Price]]/$B$2*100</f>
        <v>118.00136892539356</v>
      </c>
    </row>
    <row r="815" spans="1:12">
      <c r="A815" s="103">
        <v>44466</v>
      </c>
      <c r="B815" s="104">
        <v>17.739999999999998</v>
      </c>
      <c r="C815" s="4">
        <f t="shared" si="24"/>
        <v>2.8589711645886424E-2</v>
      </c>
      <c r="D815" s="1">
        <f>IFERROR(Comp1[[#This Row],[Comparable '#1 Return]]+1,"-")</f>
        <v>1.0285897116458864</v>
      </c>
      <c r="E815" s="6">
        <f>B815-MAX($B$2:B815)</f>
        <v>-3.8800000000000026</v>
      </c>
      <c r="F815" s="80">
        <f t="shared" si="25"/>
        <v>418</v>
      </c>
      <c r="G815" s="22" cm="1">
        <f t="array" ref="G815">Comp1[[#This Row],[Comparable '#1 Drawdown]]/MAX($B$2:B815)</f>
        <v>-0.17946345975948208</v>
      </c>
      <c r="H815" s="1" t="str">
        <f>IF(SUM(COUNTIF(Benchmark1[Benchmark '#1 Dates],Comp1[[#This Row],[Comparable '#1 Dates]]),COUNTIF(Benchmark2[Benchmark '#2 Dates],Comp1[[#This Row],[Comparable '#1 Dates]]))=2,"Pass","Fail")</f>
        <v>Pass</v>
      </c>
      <c r="I815" s="1">
        <f>IFERROR(Comp1[[#This Row],[Comparable '#1 Return]]-INDEX(Benchmark1[Benchmark '#1 Return],MATCH(Comp1[[#This Row],[Comparable '#1 Dates]],Benchmark1[Benchmark '#1 Dates],0)),"-")</f>
        <v>3.136937125856331E-2</v>
      </c>
      <c r="L815" s="72">
        <f>Comp1[[#This Row],[Comparable '#1 Price]]/$B$2*100</f>
        <v>121.4236824093087</v>
      </c>
    </row>
    <row r="816" spans="1:12">
      <c r="A816" s="103">
        <v>44467</v>
      </c>
      <c r="B816" s="104">
        <v>17.52</v>
      </c>
      <c r="C816" s="4">
        <f t="shared" si="24"/>
        <v>-1.2478891373187969E-2</v>
      </c>
      <c r="D816" s="1">
        <f>IFERROR(Comp1[[#This Row],[Comparable '#1 Return]]+1,"-")</f>
        <v>0.98752110862681208</v>
      </c>
      <c r="E816" s="6">
        <f>B816-MAX($B$2:B816)</f>
        <v>-4.1000000000000014</v>
      </c>
      <c r="F816" s="80">
        <f t="shared" si="25"/>
        <v>419</v>
      </c>
      <c r="G816" s="22" cm="1">
        <f t="array" ref="G816">Comp1[[#This Row],[Comparable '#1 Drawdown]]/MAX($B$2:B816)</f>
        <v>-0.1896392229417207</v>
      </c>
      <c r="H816" s="1" t="str">
        <f>IF(SUM(COUNTIF(Benchmark1[Benchmark '#1 Dates],Comp1[[#This Row],[Comparable '#1 Dates]]),COUNTIF(Benchmark2[Benchmark '#2 Dates],Comp1[[#This Row],[Comparable '#1 Dates]]))=2,"Pass","Fail")</f>
        <v>Pass</v>
      </c>
      <c r="I816" s="1">
        <f>IFERROR(Comp1[[#This Row],[Comparable '#1 Return]]-INDEX(Benchmark1[Benchmark '#1 Return],MATCH(Comp1[[#This Row],[Comparable '#1 Dates]],Benchmark1[Benchmark '#1 Dates],0)),"-")</f>
        <v>8.0945217469268471E-3</v>
      </c>
      <c r="L816" s="72">
        <f>Comp1[[#This Row],[Comparable '#1 Price]]/$B$2*100</f>
        <v>119.91786447638604</v>
      </c>
    </row>
    <row r="817" spans="1:12">
      <c r="A817" s="103">
        <v>44468</v>
      </c>
      <c r="B817" s="104">
        <v>17.170000000000002</v>
      </c>
      <c r="C817" s="4">
        <f t="shared" si="24"/>
        <v>-2.0179410598861053E-2</v>
      </c>
      <c r="D817" s="1">
        <f>IFERROR(Comp1[[#This Row],[Comparable '#1 Return]]+1,"-")</f>
        <v>0.97982058940113892</v>
      </c>
      <c r="E817" s="6">
        <f>B817-MAX($B$2:B817)</f>
        <v>-4.4499999999999993</v>
      </c>
      <c r="F817" s="80">
        <f t="shared" si="25"/>
        <v>420</v>
      </c>
      <c r="G817" s="22" cm="1">
        <f t="array" ref="G817">Comp1[[#This Row],[Comparable '#1 Drawdown]]/MAX($B$2:B817)</f>
        <v>-0.2058279370952821</v>
      </c>
      <c r="H817" s="1" t="str">
        <f>IF(SUM(COUNTIF(Benchmark1[Benchmark '#1 Dates],Comp1[[#This Row],[Comparable '#1 Dates]]),COUNTIF(Benchmark2[Benchmark '#2 Dates],Comp1[[#This Row],[Comparable '#1 Dates]]))=2,"Pass","Fail")</f>
        <v>Pass</v>
      </c>
      <c r="I817" s="1">
        <f>IFERROR(Comp1[[#This Row],[Comparable '#1 Return]]-INDEX(Benchmark1[Benchmark '#1 Return],MATCH(Comp1[[#This Row],[Comparable '#1 Dates]],Benchmark1[Benchmark '#1 Dates],0)),"-")</f>
        <v>-2.174659093046551E-2</v>
      </c>
      <c r="L817" s="72">
        <f>Comp1[[#This Row],[Comparable '#1 Price]]/$B$2*100</f>
        <v>117.52224503764546</v>
      </c>
    </row>
    <row r="818" spans="1:12">
      <c r="A818" s="103">
        <v>44469</v>
      </c>
      <c r="B818" s="104">
        <v>16.989999999999998</v>
      </c>
      <c r="C818" s="4">
        <f t="shared" si="24"/>
        <v>-1.0538739225543669E-2</v>
      </c>
      <c r="D818" s="1">
        <f>IFERROR(Comp1[[#This Row],[Comparable '#1 Return]]+1,"-")</f>
        <v>0.98946126077445629</v>
      </c>
      <c r="E818" s="6">
        <f>B818-MAX($B$2:B818)</f>
        <v>-4.6300000000000026</v>
      </c>
      <c r="F818" s="80">
        <f t="shared" si="25"/>
        <v>421</v>
      </c>
      <c r="G818" s="22" cm="1">
        <f t="array" ref="G818">Comp1[[#This Row],[Comparable '#1 Drawdown]]/MAX($B$2:B818)</f>
        <v>-0.2141535615171139</v>
      </c>
      <c r="H818" s="1" t="str">
        <f>IF(SUM(COUNTIF(Benchmark1[Benchmark '#1 Dates],Comp1[[#This Row],[Comparable '#1 Dates]]),COUNTIF(Benchmark2[Benchmark '#2 Dates],Comp1[[#This Row],[Comparable '#1 Dates]]))=2,"Pass","Fail")</f>
        <v>Pass</v>
      </c>
      <c r="I818" s="1">
        <f>IFERROR(Comp1[[#This Row],[Comparable '#1 Return]]-INDEX(Benchmark1[Benchmark '#1 Return],MATCH(Comp1[[#This Row],[Comparable '#1 Dates]],Benchmark1[Benchmark '#1 Dates],0)),"-")</f>
        <v>1.443014334763704E-3</v>
      </c>
      <c r="L818" s="72">
        <f>Comp1[[#This Row],[Comparable '#1 Price]]/$B$2*100</f>
        <v>116.290212183436</v>
      </c>
    </row>
    <row r="819" spans="1:12">
      <c r="A819" s="103">
        <v>44470</v>
      </c>
      <c r="B819" s="104">
        <v>17.989999999999998</v>
      </c>
      <c r="C819" s="4">
        <f t="shared" si="24"/>
        <v>5.7191112278601165E-2</v>
      </c>
      <c r="D819" s="1">
        <f>IFERROR(Comp1[[#This Row],[Comparable '#1 Return]]+1,"-")</f>
        <v>1.0571911122786011</v>
      </c>
      <c r="E819" s="6">
        <f>B819-MAX($B$2:B819)</f>
        <v>-3.6300000000000026</v>
      </c>
      <c r="F819" s="80">
        <f t="shared" si="25"/>
        <v>422</v>
      </c>
      <c r="G819" s="22" cm="1">
        <f t="array" ref="G819">Comp1[[#This Row],[Comparable '#1 Drawdown]]/MAX($B$2:B819)</f>
        <v>-0.16790009250693813</v>
      </c>
      <c r="H819" s="1" t="str">
        <f>IF(SUM(COUNTIF(Benchmark1[Benchmark '#1 Dates],Comp1[[#This Row],[Comparable '#1 Dates]]),COUNTIF(Benchmark2[Benchmark '#2 Dates],Comp1[[#This Row],[Comparable '#1 Dates]]))=2,"Pass","Fail")</f>
        <v>Pass</v>
      </c>
      <c r="I819" s="1">
        <f>IFERROR(Comp1[[#This Row],[Comparable '#1 Return]]-INDEX(Benchmark1[Benchmark '#1 Return],MATCH(Comp1[[#This Row],[Comparable '#1 Dates]],Benchmark1[Benchmark '#1 Dates],0)),"-")</f>
        <v>4.5765128181896861E-2</v>
      </c>
      <c r="L819" s="72">
        <f>Comp1[[#This Row],[Comparable '#1 Price]]/$B$2*100</f>
        <v>123.13483915126623</v>
      </c>
    </row>
    <row r="820" spans="1:12">
      <c r="A820" s="103">
        <v>44473</v>
      </c>
      <c r="B820" s="104">
        <v>17.84</v>
      </c>
      <c r="C820" s="4">
        <f t="shared" si="24"/>
        <v>-8.3729208105783864E-3</v>
      </c>
      <c r="D820" s="1">
        <f>IFERROR(Comp1[[#This Row],[Comparable '#1 Return]]+1,"-")</f>
        <v>0.99162707918942161</v>
      </c>
      <c r="E820" s="6">
        <f>B820-MAX($B$2:B820)</f>
        <v>-3.7800000000000011</v>
      </c>
      <c r="F820" s="80">
        <f t="shared" si="25"/>
        <v>423</v>
      </c>
      <c r="G820" s="22" cm="1">
        <f t="array" ref="G820">Comp1[[#This Row],[Comparable '#1 Drawdown]]/MAX($B$2:B820)</f>
        <v>-0.17483811285846443</v>
      </c>
      <c r="H820" s="1" t="str">
        <f>IF(SUM(COUNTIF(Benchmark1[Benchmark '#1 Dates],Comp1[[#This Row],[Comparable '#1 Dates]]),COUNTIF(Benchmark2[Benchmark '#2 Dates],Comp1[[#This Row],[Comparable '#1 Dates]]))=2,"Pass","Fail")</f>
        <v>Pass</v>
      </c>
      <c r="I820" s="1">
        <f>IFERROR(Comp1[[#This Row],[Comparable '#1 Return]]-INDEX(Benchmark1[Benchmark '#1 Return],MATCH(Comp1[[#This Row],[Comparable '#1 Dates]],Benchmark1[Benchmark '#1 Dates],0)),"-")</f>
        <v>4.6979848030324952E-3</v>
      </c>
      <c r="L820" s="72">
        <f>Comp1[[#This Row],[Comparable '#1 Price]]/$B$2*100</f>
        <v>122.10814510609171</v>
      </c>
    </row>
    <row r="821" spans="1:12">
      <c r="A821" s="103">
        <v>44474</v>
      </c>
      <c r="B821" s="104">
        <v>18.170000000000002</v>
      </c>
      <c r="C821" s="4">
        <f t="shared" si="24"/>
        <v>1.8328755256216685E-2</v>
      </c>
      <c r="D821" s="1">
        <f>IFERROR(Comp1[[#This Row],[Comparable '#1 Return]]+1,"-")</f>
        <v>1.0183287552562166</v>
      </c>
      <c r="E821" s="6">
        <f>B821-MAX($B$2:B821)</f>
        <v>-3.4499999999999993</v>
      </c>
      <c r="F821" s="80">
        <f t="shared" si="25"/>
        <v>424</v>
      </c>
      <c r="G821" s="22" cm="1">
        <f t="array" ref="G821">Comp1[[#This Row],[Comparable '#1 Drawdown]]/MAX($B$2:B821)</f>
        <v>-0.15957446808510634</v>
      </c>
      <c r="H821" s="1" t="str">
        <f>IF(SUM(COUNTIF(Benchmark1[Benchmark '#1 Dates],Comp1[[#This Row],[Comparable '#1 Dates]]),COUNTIF(Benchmark2[Benchmark '#2 Dates],Comp1[[#This Row],[Comparable '#1 Dates]]))=2,"Pass","Fail")</f>
        <v>Pass</v>
      </c>
      <c r="I821" s="1">
        <f>IFERROR(Comp1[[#This Row],[Comparable '#1 Return]]-INDEX(Benchmark1[Benchmark '#1 Return],MATCH(Comp1[[#This Row],[Comparable '#1 Dates]],Benchmark1[Benchmark '#1 Dates],0)),"-")</f>
        <v>7.8599363523143683E-3</v>
      </c>
      <c r="L821" s="72">
        <f>Comp1[[#This Row],[Comparable '#1 Price]]/$B$2*100</f>
        <v>124.36687200547571</v>
      </c>
    </row>
    <row r="822" spans="1:12">
      <c r="A822" s="103">
        <v>44475</v>
      </c>
      <c r="B822" s="104">
        <v>17.48</v>
      </c>
      <c r="C822" s="4">
        <f t="shared" si="24"/>
        <v>-3.8714512180690511E-2</v>
      </c>
      <c r="D822" s="1">
        <f>IFERROR(Comp1[[#This Row],[Comparable '#1 Return]]+1,"-")</f>
        <v>0.96128548781930945</v>
      </c>
      <c r="E822" s="6">
        <f>B822-MAX($B$2:B822)</f>
        <v>-4.1400000000000006</v>
      </c>
      <c r="F822" s="80">
        <f t="shared" si="25"/>
        <v>425</v>
      </c>
      <c r="G822" s="22" cm="1">
        <f t="array" ref="G822">Comp1[[#This Row],[Comparable '#1 Drawdown]]/MAX($B$2:B822)</f>
        <v>-0.19148936170212769</v>
      </c>
      <c r="H822" s="1" t="str">
        <f>IF(SUM(COUNTIF(Benchmark1[Benchmark '#1 Dates],Comp1[[#This Row],[Comparable '#1 Dates]]),COUNTIF(Benchmark2[Benchmark '#2 Dates],Comp1[[#This Row],[Comparable '#1 Dates]]))=2,"Pass","Fail")</f>
        <v>Pass</v>
      </c>
      <c r="I822" s="1">
        <f>IFERROR(Comp1[[#This Row],[Comparable '#1 Return]]-INDEX(Benchmark1[Benchmark '#1 Return],MATCH(Comp1[[#This Row],[Comparable '#1 Dates]],Benchmark1[Benchmark '#1 Dates],0)),"-")</f>
        <v>-4.28087668259245E-2</v>
      </c>
      <c r="L822" s="72">
        <f>Comp1[[#This Row],[Comparable '#1 Price]]/$B$2*100</f>
        <v>119.64407939767283</v>
      </c>
    </row>
    <row r="823" spans="1:12">
      <c r="A823" s="103">
        <v>44476</v>
      </c>
      <c r="B823" s="104">
        <v>17.579999999999998</v>
      </c>
      <c r="C823" s="4">
        <f t="shared" si="24"/>
        <v>5.7045220296413528E-3</v>
      </c>
      <c r="D823" s="1">
        <f>IFERROR(Comp1[[#This Row],[Comparable '#1 Return]]+1,"-")</f>
        <v>1.0057045220296414</v>
      </c>
      <c r="E823" s="6">
        <f>B823-MAX($B$2:B823)</f>
        <v>-4.0400000000000027</v>
      </c>
      <c r="F823" s="80">
        <f t="shared" si="25"/>
        <v>426</v>
      </c>
      <c r="G823" s="22" cm="1">
        <f t="array" ref="G823">Comp1[[#This Row],[Comparable '#1 Drawdown]]/MAX($B$2:B823)</f>
        <v>-0.1868640148011102</v>
      </c>
      <c r="H823" s="1" t="str">
        <f>IF(SUM(COUNTIF(Benchmark1[Benchmark '#1 Dates],Comp1[[#This Row],[Comparable '#1 Dates]]),COUNTIF(Benchmark2[Benchmark '#2 Dates],Comp1[[#This Row],[Comparable '#1 Dates]]))=2,"Pass","Fail")</f>
        <v>Pass</v>
      </c>
      <c r="I823" s="1">
        <f>IFERROR(Comp1[[#This Row],[Comparable '#1 Return]]-INDEX(Benchmark1[Benchmark '#1 Return],MATCH(Comp1[[#This Row],[Comparable '#1 Dates]],Benchmark1[Benchmark '#1 Dates],0)),"-")</f>
        <v>-2.5613862598113475E-3</v>
      </c>
      <c r="L823" s="72">
        <f>Comp1[[#This Row],[Comparable '#1 Price]]/$B$2*100</f>
        <v>120.32854209445586</v>
      </c>
    </row>
    <row r="824" spans="1:12">
      <c r="A824" s="103">
        <v>44477</v>
      </c>
      <c r="B824" s="104">
        <v>17.399999999999999</v>
      </c>
      <c r="C824" s="4">
        <f t="shared" si="24"/>
        <v>-1.0291686036547525E-2</v>
      </c>
      <c r="D824" s="1">
        <f>IFERROR(Comp1[[#This Row],[Comparable '#1 Return]]+1,"-")</f>
        <v>0.98970831396345249</v>
      </c>
      <c r="E824" s="6">
        <f>B824-MAX($B$2:B824)</f>
        <v>-4.2200000000000024</v>
      </c>
      <c r="F824" s="80">
        <f t="shared" si="25"/>
        <v>427</v>
      </c>
      <c r="G824" s="22" cm="1">
        <f t="array" ref="G824">Comp1[[#This Row],[Comparable '#1 Drawdown]]/MAX($B$2:B824)</f>
        <v>-0.19518963922294183</v>
      </c>
      <c r="H824" s="1" t="str">
        <f>IF(SUM(COUNTIF(Benchmark1[Benchmark '#1 Dates],Comp1[[#This Row],[Comparable '#1 Dates]]),COUNTIF(Benchmark2[Benchmark '#2 Dates],Comp1[[#This Row],[Comparable '#1 Dates]]))=2,"Pass","Fail")</f>
        <v>Pass</v>
      </c>
      <c r="I824" s="1">
        <f>IFERROR(Comp1[[#This Row],[Comparable '#1 Return]]-INDEX(Benchmark1[Benchmark '#1 Return],MATCH(Comp1[[#This Row],[Comparable '#1 Dates]],Benchmark1[Benchmark '#1 Dates],0)),"-")</f>
        <v>-8.3749163432172615E-3</v>
      </c>
      <c r="L824" s="72">
        <f>Comp1[[#This Row],[Comparable '#1 Price]]/$B$2*100</f>
        <v>119.09650924024639</v>
      </c>
    </row>
    <row r="825" spans="1:12">
      <c r="A825" s="103">
        <v>44480</v>
      </c>
      <c r="B825" s="104">
        <v>17.3</v>
      </c>
      <c r="C825" s="4">
        <f t="shared" si="24"/>
        <v>-5.7637047167499065E-3</v>
      </c>
      <c r="D825" s="1">
        <f>IFERROR(Comp1[[#This Row],[Comparable '#1 Return]]+1,"-")</f>
        <v>0.99423629528325008</v>
      </c>
      <c r="E825" s="6">
        <f>B825-MAX($B$2:B825)</f>
        <v>-4.32</v>
      </c>
      <c r="F825" s="80">
        <f t="shared" si="25"/>
        <v>428</v>
      </c>
      <c r="G825" s="22" cm="1">
        <f t="array" ref="G825">Comp1[[#This Row],[Comparable '#1 Drawdown]]/MAX($B$2:B825)</f>
        <v>-0.19981498612395929</v>
      </c>
      <c r="H825" s="1" t="str">
        <f>IF(SUM(COUNTIF(Benchmark1[Benchmark '#1 Dates],Comp1[[#This Row],[Comparable '#1 Dates]]),COUNTIF(Benchmark2[Benchmark '#2 Dates],Comp1[[#This Row],[Comparable '#1 Dates]]))=2,"Pass","Fail")</f>
        <v>Pass</v>
      </c>
      <c r="I825" s="1">
        <f>IFERROR(Comp1[[#This Row],[Comparable '#1 Return]]-INDEX(Benchmark1[Benchmark '#1 Return],MATCH(Comp1[[#This Row],[Comparable '#1 Dates]],Benchmark1[Benchmark '#1 Dates],0)),"-")</f>
        <v>1.1252040237983117E-3</v>
      </c>
      <c r="L825" s="72">
        <f>Comp1[[#This Row],[Comparable '#1 Price]]/$B$2*100</f>
        <v>118.4120465434634</v>
      </c>
    </row>
    <row r="826" spans="1:12">
      <c r="A826" s="103">
        <v>44481</v>
      </c>
      <c r="B826" s="104">
        <v>17.149999999999999</v>
      </c>
      <c r="C826" s="4">
        <f t="shared" si="24"/>
        <v>-8.7083278917844207E-3</v>
      </c>
      <c r="D826" s="1">
        <f>IFERROR(Comp1[[#This Row],[Comparable '#1 Return]]+1,"-")</f>
        <v>0.99129167210821556</v>
      </c>
      <c r="E826" s="6">
        <f>B826-MAX($B$2:B826)</f>
        <v>-4.4700000000000024</v>
      </c>
      <c r="F826" s="80">
        <f t="shared" si="25"/>
        <v>429</v>
      </c>
      <c r="G826" s="22" cm="1">
        <f t="array" ref="G826">Comp1[[#This Row],[Comparable '#1 Drawdown]]/MAX($B$2:B826)</f>
        <v>-0.20675300647548575</v>
      </c>
      <c r="H826" s="1" t="str">
        <f>IF(SUM(COUNTIF(Benchmark1[Benchmark '#1 Dates],Comp1[[#This Row],[Comparable '#1 Dates]]),COUNTIF(Benchmark2[Benchmark '#2 Dates],Comp1[[#This Row],[Comparable '#1 Dates]]))=2,"Pass","Fail")</f>
        <v>Pass</v>
      </c>
      <c r="I826" s="1">
        <f>IFERROR(Comp1[[#This Row],[Comparable '#1 Return]]-INDEX(Benchmark1[Benchmark '#1 Return],MATCH(Comp1[[#This Row],[Comparable '#1 Dates]],Benchmark1[Benchmark '#1 Dates],0)),"-")</f>
        <v>-6.2875929410778067E-3</v>
      </c>
      <c r="L826" s="72">
        <f>Comp1[[#This Row],[Comparable '#1 Price]]/$B$2*100</f>
        <v>117.38535249828882</v>
      </c>
    </row>
    <row r="827" spans="1:12">
      <c r="A827" s="103">
        <v>44482</v>
      </c>
      <c r="B827" s="104">
        <v>17.29</v>
      </c>
      <c r="C827" s="4">
        <f t="shared" si="24"/>
        <v>8.1301260832503091E-3</v>
      </c>
      <c r="D827" s="1">
        <f>IFERROR(Comp1[[#This Row],[Comparable '#1 Return]]+1,"-")</f>
        <v>1.0081301260832503</v>
      </c>
      <c r="E827" s="6">
        <f>B827-MAX($B$2:B827)</f>
        <v>-4.3300000000000018</v>
      </c>
      <c r="F827" s="80">
        <f t="shared" si="25"/>
        <v>430</v>
      </c>
      <c r="G827" s="22" cm="1">
        <f t="array" ref="G827">Comp1[[#This Row],[Comparable '#1 Drawdown]]/MAX($B$2:B827)</f>
        <v>-0.20027752081406114</v>
      </c>
      <c r="H827" s="1" t="str">
        <f>IF(SUM(COUNTIF(Benchmark1[Benchmark '#1 Dates],Comp1[[#This Row],[Comparable '#1 Dates]]),COUNTIF(Benchmark2[Benchmark '#2 Dates],Comp1[[#This Row],[Comparable '#1 Dates]]))=2,"Pass","Fail")</f>
        <v>Pass</v>
      </c>
      <c r="I827" s="1">
        <f>IFERROR(Comp1[[#This Row],[Comparable '#1 Return]]-INDEX(Benchmark1[Benchmark '#1 Return],MATCH(Comp1[[#This Row],[Comparable '#1 Dates]],Benchmark1[Benchmark '#1 Dates],0)),"-")</f>
        <v>5.1101881473671132E-3</v>
      </c>
      <c r="L827" s="72">
        <f>Comp1[[#This Row],[Comparable '#1 Price]]/$B$2*100</f>
        <v>118.34360027378507</v>
      </c>
    </row>
    <row r="828" spans="1:12">
      <c r="A828" s="103">
        <v>44483</v>
      </c>
      <c r="B828" s="104">
        <v>17.350000000000001</v>
      </c>
      <c r="C828" s="4">
        <f t="shared" si="24"/>
        <v>3.4642066976691933E-3</v>
      </c>
      <c r="D828" s="1">
        <f>IFERROR(Comp1[[#This Row],[Comparable '#1 Return]]+1,"-")</f>
        <v>1.0034642066976691</v>
      </c>
      <c r="E828" s="6">
        <f>B828-MAX($B$2:B828)</f>
        <v>-4.2699999999999996</v>
      </c>
      <c r="F828" s="80">
        <f t="shared" si="25"/>
        <v>431</v>
      </c>
      <c r="G828" s="22" cm="1">
        <f t="array" ref="G828">Comp1[[#This Row],[Comparable '#1 Drawdown]]/MAX($B$2:B828)</f>
        <v>-0.19750231267345048</v>
      </c>
      <c r="H828" s="1" t="str">
        <f>IF(SUM(COUNTIF(Benchmark1[Benchmark '#1 Dates],Comp1[[#This Row],[Comparable '#1 Dates]]),COUNTIF(Benchmark2[Benchmark '#2 Dates],Comp1[[#This Row],[Comparable '#1 Dates]]))=2,"Pass","Fail")</f>
        <v>Pass</v>
      </c>
      <c r="I828" s="1">
        <f>IFERROR(Comp1[[#This Row],[Comparable '#1 Return]]-INDEX(Benchmark1[Benchmark '#1 Return],MATCH(Comp1[[#This Row],[Comparable '#1 Dates]],Benchmark1[Benchmark '#1 Dates],0)),"-")</f>
        <v>-1.3454917567581905E-2</v>
      </c>
      <c r="L828" s="72">
        <f>Comp1[[#This Row],[Comparable '#1 Price]]/$B$2*100</f>
        <v>118.75427789185491</v>
      </c>
    </row>
    <row r="829" spans="1:12">
      <c r="A829" s="103">
        <v>44484</v>
      </c>
      <c r="B829" s="104">
        <v>17.3</v>
      </c>
      <c r="C829" s="4">
        <f t="shared" si="24"/>
        <v>-2.8860048891349867E-3</v>
      </c>
      <c r="D829" s="1">
        <f>IFERROR(Comp1[[#This Row],[Comparable '#1 Return]]+1,"-")</f>
        <v>0.99711399511086496</v>
      </c>
      <c r="E829" s="6">
        <f>B829-MAX($B$2:B829)</f>
        <v>-4.32</v>
      </c>
      <c r="F829" s="80">
        <f t="shared" si="25"/>
        <v>432</v>
      </c>
      <c r="G829" s="22" cm="1">
        <f t="array" ref="G829">Comp1[[#This Row],[Comparable '#1 Drawdown]]/MAX($B$2:B829)</f>
        <v>-0.19981498612395929</v>
      </c>
      <c r="H829" s="1" t="str">
        <f>IF(SUM(COUNTIF(Benchmark1[Benchmark '#1 Dates],Comp1[[#This Row],[Comparable '#1 Dates]]),COUNTIF(Benchmark2[Benchmark '#2 Dates],Comp1[[#This Row],[Comparable '#1 Dates]]))=2,"Pass","Fail")</f>
        <v>Pass</v>
      </c>
      <c r="I829" s="1">
        <f>IFERROR(Comp1[[#This Row],[Comparable '#1 Return]]-INDEX(Benchmark1[Benchmark '#1 Return],MATCH(Comp1[[#This Row],[Comparable '#1 Dates]],Benchmark1[Benchmark '#1 Dates],0)),"-")</f>
        <v>-1.0317113907551776E-2</v>
      </c>
      <c r="L829" s="72">
        <f>Comp1[[#This Row],[Comparable '#1 Price]]/$B$2*100</f>
        <v>118.4120465434634</v>
      </c>
    </row>
    <row r="830" spans="1:12">
      <c r="A830" s="103">
        <v>44487</v>
      </c>
      <c r="B830" s="104">
        <v>17.13</v>
      </c>
      <c r="C830" s="4">
        <f t="shared" si="24"/>
        <v>-9.8751891677048582E-3</v>
      </c>
      <c r="D830" s="1">
        <f>IFERROR(Comp1[[#This Row],[Comparable '#1 Return]]+1,"-")</f>
        <v>0.99012481083229509</v>
      </c>
      <c r="E830" s="6">
        <f>B830-MAX($B$2:B830)</f>
        <v>-4.490000000000002</v>
      </c>
      <c r="F830" s="80">
        <f t="shared" si="25"/>
        <v>433</v>
      </c>
      <c r="G830" s="22" cm="1">
        <f t="array" ref="G830">Comp1[[#This Row],[Comparable '#1 Drawdown]]/MAX($B$2:B830)</f>
        <v>-0.20767807585568926</v>
      </c>
      <c r="H830" s="1" t="str">
        <f>IF(SUM(COUNTIF(Benchmark1[Benchmark '#1 Dates],Comp1[[#This Row],[Comparable '#1 Dates]]),COUNTIF(Benchmark2[Benchmark '#2 Dates],Comp1[[#This Row],[Comparable '#1 Dates]]))=2,"Pass","Fail")</f>
        <v>Pass</v>
      </c>
      <c r="I830" s="1">
        <f>IFERROR(Comp1[[#This Row],[Comparable '#1 Return]]-INDEX(Benchmark1[Benchmark '#1 Return],MATCH(Comp1[[#This Row],[Comparable '#1 Dates]],Benchmark1[Benchmark '#1 Dates],0)),"-")</f>
        <v>-1.324476733006737E-2</v>
      </c>
      <c r="L830" s="72">
        <f>Comp1[[#This Row],[Comparable '#1 Price]]/$B$2*100</f>
        <v>117.24845995893223</v>
      </c>
    </row>
    <row r="831" spans="1:12">
      <c r="A831" s="103">
        <v>44488</v>
      </c>
      <c r="B831" s="104">
        <v>17.34</v>
      </c>
      <c r="C831" s="4">
        <f t="shared" si="24"/>
        <v>1.2184659016367219E-2</v>
      </c>
      <c r="D831" s="1">
        <f>IFERROR(Comp1[[#This Row],[Comparable '#1 Return]]+1,"-")</f>
        <v>1.0121846590163672</v>
      </c>
      <c r="E831" s="6">
        <f>B831-MAX($B$2:B831)</f>
        <v>-4.2800000000000011</v>
      </c>
      <c r="F831" s="80">
        <f t="shared" si="25"/>
        <v>434</v>
      </c>
      <c r="G831" s="22" cm="1">
        <f t="array" ref="G831">Comp1[[#This Row],[Comparable '#1 Drawdown]]/MAX($B$2:B831)</f>
        <v>-0.1979648473635523</v>
      </c>
      <c r="H831" s="1" t="str">
        <f>IF(SUM(COUNTIF(Benchmark1[Benchmark '#1 Dates],Comp1[[#This Row],[Comparable '#1 Dates]]),COUNTIF(Benchmark2[Benchmark '#2 Dates],Comp1[[#This Row],[Comparable '#1 Dates]]))=2,"Pass","Fail")</f>
        <v>Pass</v>
      </c>
      <c r="I831" s="1">
        <f>IFERROR(Comp1[[#This Row],[Comparable '#1 Return]]-INDEX(Benchmark1[Benchmark '#1 Return],MATCH(Comp1[[#This Row],[Comparable '#1 Dates]],Benchmark1[Benchmark '#1 Dates],0)),"-")</f>
        <v>4.8184733525187731E-3</v>
      </c>
      <c r="L831" s="72">
        <f>Comp1[[#This Row],[Comparable '#1 Price]]/$B$2*100</f>
        <v>118.68583162217658</v>
      </c>
    </row>
    <row r="832" spans="1:12">
      <c r="A832" s="103">
        <v>44489</v>
      </c>
      <c r="B832" s="104">
        <v>17.059999999999999</v>
      </c>
      <c r="C832" s="4">
        <f t="shared" si="24"/>
        <v>-1.6279429288862834E-2</v>
      </c>
      <c r="D832" s="1">
        <f>IFERROR(Comp1[[#This Row],[Comparable '#1 Return]]+1,"-")</f>
        <v>0.98372057071113717</v>
      </c>
      <c r="E832" s="6">
        <f>B832-MAX($B$2:B832)</f>
        <v>-4.5600000000000023</v>
      </c>
      <c r="F832" s="80">
        <f t="shared" si="25"/>
        <v>435</v>
      </c>
      <c r="G832" s="22" cm="1">
        <f t="array" ref="G832">Comp1[[#This Row],[Comparable '#1 Drawdown]]/MAX($B$2:B832)</f>
        <v>-0.21091581868640158</v>
      </c>
      <c r="H832" s="1" t="str">
        <f>IF(SUM(COUNTIF(Benchmark1[Benchmark '#1 Dates],Comp1[[#This Row],[Comparable '#1 Dates]]),COUNTIF(Benchmark2[Benchmark '#2 Dates],Comp1[[#This Row],[Comparable '#1 Dates]]))=2,"Pass","Fail")</f>
        <v>Pass</v>
      </c>
      <c r="I832" s="1">
        <f>IFERROR(Comp1[[#This Row],[Comparable '#1 Return]]-INDEX(Benchmark1[Benchmark '#1 Return],MATCH(Comp1[[#This Row],[Comparable '#1 Dates]],Benchmark1[Benchmark '#1 Dates],0)),"-")</f>
        <v>-1.9937086180691028E-2</v>
      </c>
      <c r="L832" s="72">
        <f>Comp1[[#This Row],[Comparable '#1 Price]]/$B$2*100</f>
        <v>116.76933607118411</v>
      </c>
    </row>
    <row r="833" spans="1:12">
      <c r="A833" s="103">
        <v>44490</v>
      </c>
      <c r="B833" s="104">
        <v>17.36</v>
      </c>
      <c r="C833" s="4">
        <f t="shared" si="24"/>
        <v>1.7432167168671017E-2</v>
      </c>
      <c r="D833" s="1">
        <f>IFERROR(Comp1[[#This Row],[Comparable '#1 Return]]+1,"-")</f>
        <v>1.017432167168671</v>
      </c>
      <c r="E833" s="6">
        <f>B833-MAX($B$2:B833)</f>
        <v>-4.2600000000000016</v>
      </c>
      <c r="F833" s="80">
        <f t="shared" si="25"/>
        <v>436</v>
      </c>
      <c r="G833" s="22" cm="1">
        <f t="array" ref="G833">Comp1[[#This Row],[Comparable '#1 Drawdown]]/MAX($B$2:B833)</f>
        <v>-0.19703977798334882</v>
      </c>
      <c r="H833" s="1" t="str">
        <f>IF(SUM(COUNTIF(Benchmark1[Benchmark '#1 Dates],Comp1[[#This Row],[Comparable '#1 Dates]]),COUNTIF(Benchmark2[Benchmark '#2 Dates],Comp1[[#This Row],[Comparable '#1 Dates]]))=2,"Pass","Fail")</f>
        <v>Pass</v>
      </c>
      <c r="I833" s="1">
        <f>IFERROR(Comp1[[#This Row],[Comparable '#1 Return]]-INDEX(Benchmark1[Benchmark '#1 Return],MATCH(Comp1[[#This Row],[Comparable '#1 Dates]],Benchmark1[Benchmark '#1 Dates],0)),"-")</f>
        <v>1.4440915362107809E-2</v>
      </c>
      <c r="L833" s="72">
        <f>Comp1[[#This Row],[Comparable '#1 Price]]/$B$2*100</f>
        <v>118.82272416153319</v>
      </c>
    </row>
    <row r="834" spans="1:12">
      <c r="A834" s="103">
        <v>44491</v>
      </c>
      <c r="B834" s="104">
        <v>17.329999999999998</v>
      </c>
      <c r="C834" s="4">
        <f t="shared" ref="C834:C897" si="26">IFERROR(IF(B834="","-",LN(B834/B833)),"-")</f>
        <v>-1.7296055046894614E-3</v>
      </c>
      <c r="D834" s="1">
        <f>IFERROR(Comp1[[#This Row],[Comparable '#1 Return]]+1,"-")</f>
        <v>0.99827039449531052</v>
      </c>
      <c r="E834" s="6">
        <f>B834-MAX($B$2:B834)</f>
        <v>-4.2900000000000027</v>
      </c>
      <c r="F834" s="80">
        <f t="shared" ref="F834:F897" si="27">IF(E834=0,0,F833+1)</f>
        <v>437</v>
      </c>
      <c r="G834" s="22" cm="1">
        <f t="array" ref="G834">Comp1[[#This Row],[Comparable '#1 Drawdown]]/MAX($B$2:B834)</f>
        <v>-0.19842738205365415</v>
      </c>
      <c r="H834" s="1" t="str">
        <f>IF(SUM(COUNTIF(Benchmark1[Benchmark '#1 Dates],Comp1[[#This Row],[Comparable '#1 Dates]]),COUNTIF(Benchmark2[Benchmark '#2 Dates],Comp1[[#This Row],[Comparable '#1 Dates]]))=2,"Pass","Fail")</f>
        <v>Pass</v>
      </c>
      <c r="I834" s="1">
        <f>IFERROR(Comp1[[#This Row],[Comparable '#1 Return]]-INDEX(Benchmark1[Benchmark '#1 Return],MATCH(Comp1[[#This Row],[Comparable '#1 Dates]],Benchmark1[Benchmark '#1 Dates],0)),"-")</f>
        <v>-6.5577005347290771E-4</v>
      </c>
      <c r="L834" s="72">
        <f>Comp1[[#This Row],[Comparable '#1 Price]]/$B$2*100</f>
        <v>118.61738535249829</v>
      </c>
    </row>
    <row r="835" spans="1:12">
      <c r="A835" s="103">
        <v>44494</v>
      </c>
      <c r="B835" s="104">
        <v>17.12</v>
      </c>
      <c r="C835" s="4">
        <f t="shared" si="26"/>
        <v>-1.2191733013918559E-2</v>
      </c>
      <c r="D835" s="1">
        <f>IFERROR(Comp1[[#This Row],[Comparable '#1 Return]]+1,"-")</f>
        <v>0.98780826698608148</v>
      </c>
      <c r="E835" s="6">
        <f>B835-MAX($B$2:B835)</f>
        <v>-4.5</v>
      </c>
      <c r="F835" s="80">
        <f t="shared" si="27"/>
        <v>438</v>
      </c>
      <c r="G835" s="22" cm="1">
        <f t="array" ref="G835">Comp1[[#This Row],[Comparable '#1 Drawdown]]/MAX($B$2:B835)</f>
        <v>-0.20814061054579092</v>
      </c>
      <c r="H835" s="1" t="str">
        <f>IF(SUM(COUNTIF(Benchmark1[Benchmark '#1 Dates],Comp1[[#This Row],[Comparable '#1 Dates]]),COUNTIF(Benchmark2[Benchmark '#2 Dates],Comp1[[#This Row],[Comparable '#1 Dates]]))=2,"Pass","Fail")</f>
        <v>Pass</v>
      </c>
      <c r="I835" s="1">
        <f>IFERROR(Comp1[[#This Row],[Comparable '#1 Return]]-INDEX(Benchmark1[Benchmark '#1 Return],MATCH(Comp1[[#This Row],[Comparable '#1 Dates]],Benchmark1[Benchmark '#1 Dates],0)),"-")</f>
        <v>-1.6928622180713636E-2</v>
      </c>
      <c r="L835" s="72">
        <f>Comp1[[#This Row],[Comparable '#1 Price]]/$B$2*100</f>
        <v>117.18001368925395</v>
      </c>
    </row>
    <row r="836" spans="1:12">
      <c r="A836" s="103">
        <v>44495</v>
      </c>
      <c r="B836" s="104">
        <v>17.03</v>
      </c>
      <c r="C836" s="4">
        <f t="shared" si="26"/>
        <v>-5.2708760389991666E-3</v>
      </c>
      <c r="D836" s="1">
        <f>IFERROR(Comp1[[#This Row],[Comparable '#1 Return]]+1,"-")</f>
        <v>0.99472912396100088</v>
      </c>
      <c r="E836" s="6">
        <f>B836-MAX($B$2:B836)</f>
        <v>-4.59</v>
      </c>
      <c r="F836" s="80">
        <f t="shared" si="27"/>
        <v>439</v>
      </c>
      <c r="G836" s="22" cm="1">
        <f t="array" ref="G836">Comp1[[#This Row],[Comparable '#1 Drawdown]]/MAX($B$2:B836)</f>
        <v>-0.21230342275670674</v>
      </c>
      <c r="H836" s="1" t="str">
        <f>IF(SUM(COUNTIF(Benchmark1[Benchmark '#1 Dates],Comp1[[#This Row],[Comparable '#1 Dates]]),COUNTIF(Benchmark2[Benchmark '#2 Dates],Comp1[[#This Row],[Comparable '#1 Dates]]))=2,"Pass","Fail")</f>
        <v>Pass</v>
      </c>
      <c r="I836" s="1">
        <f>IFERROR(Comp1[[#This Row],[Comparable '#1 Return]]-INDEX(Benchmark1[Benchmark '#1 Return],MATCH(Comp1[[#This Row],[Comparable '#1 Dates]],Benchmark1[Benchmark '#1 Dates],0)),"-")</f>
        <v>-7.0891878978346359E-3</v>
      </c>
      <c r="L836" s="72">
        <f>Comp1[[#This Row],[Comparable '#1 Price]]/$B$2*100</f>
        <v>116.56399726214923</v>
      </c>
    </row>
    <row r="837" spans="1:12">
      <c r="A837" s="103">
        <v>44496</v>
      </c>
      <c r="B837" s="104">
        <v>16.600000000000001</v>
      </c>
      <c r="C837" s="4">
        <f t="shared" si="26"/>
        <v>-2.5573799312099355E-2</v>
      </c>
      <c r="D837" s="1">
        <f>IFERROR(Comp1[[#This Row],[Comparable '#1 Return]]+1,"-")</f>
        <v>0.97442620068790065</v>
      </c>
      <c r="E837" s="6">
        <f>B837-MAX($B$2:B837)</f>
        <v>-5.0199999999999996</v>
      </c>
      <c r="F837" s="80">
        <f t="shared" si="27"/>
        <v>440</v>
      </c>
      <c r="G837" s="22" cm="1">
        <f t="array" ref="G837">Comp1[[#This Row],[Comparable '#1 Drawdown]]/MAX($B$2:B837)</f>
        <v>-0.23219241443108229</v>
      </c>
      <c r="H837" s="1" t="str">
        <f>IF(SUM(COUNTIF(Benchmark1[Benchmark '#1 Dates],Comp1[[#This Row],[Comparable '#1 Dates]]),COUNTIF(Benchmark2[Benchmark '#2 Dates],Comp1[[#This Row],[Comparable '#1 Dates]]))=2,"Pass","Fail")</f>
        <v>Pass</v>
      </c>
      <c r="I837" s="1">
        <f>IFERROR(Comp1[[#This Row],[Comparable '#1 Return]]-INDEX(Benchmark1[Benchmark '#1 Return],MATCH(Comp1[[#This Row],[Comparable '#1 Dates]],Benchmark1[Benchmark '#1 Dates],0)),"-")</f>
        <v>-2.050990257503181E-2</v>
      </c>
      <c r="L837" s="72">
        <f>Comp1[[#This Row],[Comparable '#1 Price]]/$B$2*100</f>
        <v>113.62080766598221</v>
      </c>
    </row>
    <row r="838" spans="1:12">
      <c r="A838" s="103">
        <v>44497</v>
      </c>
      <c r="B838" s="104">
        <v>16.82</v>
      </c>
      <c r="C838" s="4">
        <f t="shared" si="26"/>
        <v>1.3165959182304303E-2</v>
      </c>
      <c r="D838" s="1">
        <f>IFERROR(Comp1[[#This Row],[Comparable '#1 Return]]+1,"-")</f>
        <v>1.0131659591823043</v>
      </c>
      <c r="E838" s="6">
        <f>B838-MAX($B$2:B838)</f>
        <v>-4.8000000000000007</v>
      </c>
      <c r="F838" s="80">
        <f t="shared" si="27"/>
        <v>441</v>
      </c>
      <c r="G838" s="22" cm="1">
        <f t="array" ref="G838">Comp1[[#This Row],[Comparable '#1 Drawdown]]/MAX($B$2:B838)</f>
        <v>-0.22201665124884368</v>
      </c>
      <c r="H838" s="1" t="str">
        <f>IF(SUM(COUNTIF(Benchmark1[Benchmark '#1 Dates],Comp1[[#This Row],[Comparable '#1 Dates]]),COUNTIF(Benchmark2[Benchmark '#2 Dates],Comp1[[#This Row],[Comparable '#1 Dates]]))=2,"Pass","Fail")</f>
        <v>Pass</v>
      </c>
      <c r="I838" s="1">
        <f>IFERROR(Comp1[[#This Row],[Comparable '#1 Return]]-INDEX(Benchmark1[Benchmark '#1 Return],MATCH(Comp1[[#This Row],[Comparable '#1 Dates]],Benchmark1[Benchmark '#1 Dates],0)),"-")</f>
        <v>3.3859351498090086E-3</v>
      </c>
      <c r="L838" s="72">
        <f>Comp1[[#This Row],[Comparable '#1 Price]]/$B$2*100</f>
        <v>115.12662559890488</v>
      </c>
    </row>
    <row r="839" spans="1:12">
      <c r="A839" s="103">
        <v>44498</v>
      </c>
      <c r="B839" s="104">
        <v>17.32</v>
      </c>
      <c r="C839" s="4">
        <f t="shared" si="26"/>
        <v>2.9293248589487012E-2</v>
      </c>
      <c r="D839" s="1">
        <f>IFERROR(Comp1[[#This Row],[Comparable '#1 Return]]+1,"-")</f>
        <v>1.029293248589487</v>
      </c>
      <c r="E839" s="6">
        <f>B839-MAX($B$2:B839)</f>
        <v>-4.3000000000000007</v>
      </c>
      <c r="F839" s="80">
        <f t="shared" si="27"/>
        <v>442</v>
      </c>
      <c r="G839" s="22" cm="1">
        <f t="array" ref="G839">Comp1[[#This Row],[Comparable '#1 Drawdown]]/MAX($B$2:B839)</f>
        <v>-0.19888991674375581</v>
      </c>
      <c r="H839" s="1" t="str">
        <f>IF(SUM(COUNTIF(Benchmark1[Benchmark '#1 Dates],Comp1[[#This Row],[Comparable '#1 Dates]]),COUNTIF(Benchmark2[Benchmark '#2 Dates],Comp1[[#This Row],[Comparable '#1 Dates]]))=2,"Pass","Fail")</f>
        <v>Pass</v>
      </c>
      <c r="I839" s="1">
        <f>IFERROR(Comp1[[#This Row],[Comparable '#1 Return]]-INDEX(Benchmark1[Benchmark '#1 Return],MATCH(Comp1[[#This Row],[Comparable '#1 Dates]],Benchmark1[Benchmark '#1 Dates],0)),"-")</f>
        <v>2.7345460142957169E-2</v>
      </c>
      <c r="L839" s="72">
        <f>Comp1[[#This Row],[Comparable '#1 Price]]/$B$2*100</f>
        <v>118.54893908281998</v>
      </c>
    </row>
    <row r="840" spans="1:12">
      <c r="A840" s="103">
        <v>44501</v>
      </c>
      <c r="B840" s="104">
        <v>10.1</v>
      </c>
      <c r="C840" s="4">
        <f t="shared" si="26"/>
        <v>-0.53932647928707544</v>
      </c>
      <c r="D840" s="1">
        <f>IFERROR(Comp1[[#This Row],[Comparable '#1 Return]]+1,"-")</f>
        <v>0.46067352071292456</v>
      </c>
      <c r="E840" s="6">
        <f>B840-MAX($B$2:B840)</f>
        <v>-11.520000000000001</v>
      </c>
      <c r="F840" s="80">
        <f t="shared" si="27"/>
        <v>443</v>
      </c>
      <c r="G840" s="22" cm="1">
        <f t="array" ref="G840">Comp1[[#This Row],[Comparable '#1 Drawdown]]/MAX($B$2:B840)</f>
        <v>-0.5328399629972248</v>
      </c>
      <c r="H840" s="1" t="str">
        <f>IF(SUM(COUNTIF(Benchmark1[Benchmark '#1 Dates],Comp1[[#This Row],[Comparable '#1 Dates]]),COUNTIF(Benchmark2[Benchmark '#2 Dates],Comp1[[#This Row],[Comparable '#1 Dates]]))=2,"Pass","Fail")</f>
        <v>Pass</v>
      </c>
      <c r="I840" s="1">
        <f>IFERROR(Comp1[[#This Row],[Comparable '#1 Return]]-INDEX(Benchmark1[Benchmark '#1 Return],MATCH(Comp1[[#This Row],[Comparable '#1 Dates]],Benchmark1[Benchmark '#1 Dates],0)),"-")</f>
        <v>-0.54112630942357731</v>
      </c>
      <c r="L840" s="72">
        <f>Comp1[[#This Row],[Comparable '#1 Price]]/$B$2*100</f>
        <v>69.130732375085557</v>
      </c>
    </row>
    <row r="841" spans="1:12">
      <c r="A841" s="103">
        <v>44502</v>
      </c>
      <c r="B841" s="104">
        <v>9.6199999999999992</v>
      </c>
      <c r="C841" s="4">
        <f t="shared" si="26"/>
        <v>-4.8691159169598687E-2</v>
      </c>
      <c r="D841" s="1">
        <f>IFERROR(Comp1[[#This Row],[Comparable '#1 Return]]+1,"-")</f>
        <v>0.95130884083040135</v>
      </c>
      <c r="E841" s="6">
        <f>B841-MAX($B$2:B841)</f>
        <v>-12.000000000000002</v>
      </c>
      <c r="F841" s="80">
        <f t="shared" si="27"/>
        <v>444</v>
      </c>
      <c r="G841" s="22" cm="1">
        <f t="array" ref="G841">Comp1[[#This Row],[Comparable '#1 Drawdown]]/MAX($B$2:B841)</f>
        <v>-0.55504162812210922</v>
      </c>
      <c r="H841" s="1" t="str">
        <f>IF(SUM(COUNTIF(Benchmark1[Benchmark '#1 Dates],Comp1[[#This Row],[Comparable '#1 Dates]]),COUNTIF(Benchmark2[Benchmark '#2 Dates],Comp1[[#This Row],[Comparable '#1 Dates]]))=2,"Pass","Fail")</f>
        <v>Pass</v>
      </c>
      <c r="I841" s="1">
        <f>IFERROR(Comp1[[#This Row],[Comparable '#1 Return]]-INDEX(Benchmark1[Benchmark '#1 Return],MATCH(Comp1[[#This Row],[Comparable '#1 Dates]],Benchmark1[Benchmark '#1 Dates],0)),"-")</f>
        <v>-5.2364844359789074E-2</v>
      </c>
      <c r="L841" s="72">
        <f>Comp1[[#This Row],[Comparable '#1 Price]]/$B$2*100</f>
        <v>65.845311430527033</v>
      </c>
    </row>
    <row r="842" spans="1:12">
      <c r="A842" s="103">
        <v>44503</v>
      </c>
      <c r="B842" s="104">
        <v>10.18</v>
      </c>
      <c r="C842" s="4">
        <f t="shared" si="26"/>
        <v>5.6580746444761562E-2</v>
      </c>
      <c r="D842" s="1">
        <f>IFERROR(Comp1[[#This Row],[Comparable '#1 Return]]+1,"-")</f>
        <v>1.0565807464447616</v>
      </c>
      <c r="E842" s="6">
        <f>B842-MAX($B$2:B842)</f>
        <v>-11.440000000000001</v>
      </c>
      <c r="F842" s="80">
        <f t="shared" si="27"/>
        <v>445</v>
      </c>
      <c r="G842" s="22" cm="1">
        <f t="array" ref="G842">Comp1[[#This Row],[Comparable '#1 Drawdown]]/MAX($B$2:B842)</f>
        <v>-0.52913968547641077</v>
      </c>
      <c r="H842" s="1" t="str">
        <f>IF(SUM(COUNTIF(Benchmark1[Benchmark '#1 Dates],Comp1[[#This Row],[Comparable '#1 Dates]]),COUNTIF(Benchmark2[Benchmark '#2 Dates],Comp1[[#This Row],[Comparable '#1 Dates]]))=2,"Pass","Fail")</f>
        <v>Pass</v>
      </c>
      <c r="I842" s="1">
        <f>IFERROR(Comp1[[#This Row],[Comparable '#1 Return]]-INDEX(Benchmark1[Benchmark '#1 Return],MATCH(Comp1[[#This Row],[Comparable '#1 Dates]],Benchmark1[Benchmark '#1 Dates],0)),"-")</f>
        <v>5.0141050583028396E-2</v>
      </c>
      <c r="L842" s="72">
        <f>Comp1[[#This Row],[Comparable '#1 Price]]/$B$2*100</f>
        <v>69.678302532511978</v>
      </c>
    </row>
    <row r="843" spans="1:12">
      <c r="A843" s="103">
        <v>44504</v>
      </c>
      <c r="B843" s="104">
        <v>11.26</v>
      </c>
      <c r="C843" s="4">
        <f t="shared" si="26"/>
        <v>0.10083161158916767</v>
      </c>
      <c r="D843" s="1">
        <f>IFERROR(Comp1[[#This Row],[Comparable '#1 Return]]+1,"-")</f>
        <v>1.1008316115891676</v>
      </c>
      <c r="E843" s="6">
        <f>B843-MAX($B$2:B843)</f>
        <v>-10.360000000000001</v>
      </c>
      <c r="F843" s="80">
        <f t="shared" si="27"/>
        <v>446</v>
      </c>
      <c r="G843" s="22" cm="1">
        <f t="array" ref="G843">Comp1[[#This Row],[Comparable '#1 Drawdown]]/MAX($B$2:B843)</f>
        <v>-0.47918593894542094</v>
      </c>
      <c r="H843" s="1" t="str">
        <f>IF(SUM(COUNTIF(Benchmark1[Benchmark '#1 Dates],Comp1[[#This Row],[Comparable '#1 Dates]]),COUNTIF(Benchmark2[Benchmark '#2 Dates],Comp1[[#This Row],[Comparable '#1 Dates]]))=2,"Pass","Fail")</f>
        <v>Pass</v>
      </c>
      <c r="I843" s="1">
        <f>IFERROR(Comp1[[#This Row],[Comparable '#1 Return]]-INDEX(Benchmark1[Benchmark '#1 Return],MATCH(Comp1[[#This Row],[Comparable '#1 Dates]],Benchmark1[Benchmark '#1 Dates],0)),"-")</f>
        <v>9.6659238245752524E-2</v>
      </c>
      <c r="L843" s="72">
        <f>Comp1[[#This Row],[Comparable '#1 Price]]/$B$2*100</f>
        <v>77.07049965776865</v>
      </c>
    </row>
    <row r="844" spans="1:12">
      <c r="A844" s="103">
        <v>44505</v>
      </c>
      <c r="B844" s="104">
        <v>11.83</v>
      </c>
      <c r="C844" s="4">
        <f t="shared" si="26"/>
        <v>4.9382055278751183E-2</v>
      </c>
      <c r="D844" s="1">
        <f>IFERROR(Comp1[[#This Row],[Comparable '#1 Return]]+1,"-")</f>
        <v>1.0493820552787512</v>
      </c>
      <c r="E844" s="6">
        <f>B844-MAX($B$2:B844)</f>
        <v>-9.7900000000000009</v>
      </c>
      <c r="F844" s="80">
        <f t="shared" si="27"/>
        <v>447</v>
      </c>
      <c r="G844" s="22" cm="1">
        <f t="array" ref="G844">Comp1[[#This Row],[Comparable '#1 Drawdown]]/MAX($B$2:B844)</f>
        <v>-0.45282146160962072</v>
      </c>
      <c r="H844" s="1" t="str">
        <f>IF(SUM(COUNTIF(Benchmark1[Benchmark '#1 Dates],Comp1[[#This Row],[Comparable '#1 Dates]]),COUNTIF(Benchmark2[Benchmark '#2 Dates],Comp1[[#This Row],[Comparable '#1 Dates]]))=2,"Pass","Fail")</f>
        <v>Pass</v>
      </c>
      <c r="I844" s="1">
        <f>IFERROR(Comp1[[#This Row],[Comparable '#1 Return]]-INDEX(Benchmark1[Benchmark '#1 Return],MATCH(Comp1[[#This Row],[Comparable '#1 Dates]],Benchmark1[Benchmark '#1 Dates],0)),"-")</f>
        <v>4.5655938689134958E-2</v>
      </c>
      <c r="L844" s="72">
        <f>Comp1[[#This Row],[Comparable '#1 Price]]/$B$2*100</f>
        <v>80.971937029431899</v>
      </c>
    </row>
    <row r="845" spans="1:12">
      <c r="A845" s="103">
        <v>44508</v>
      </c>
      <c r="B845" s="104">
        <v>12.13</v>
      </c>
      <c r="C845" s="4">
        <f t="shared" si="26"/>
        <v>2.5043044965663449E-2</v>
      </c>
      <c r="D845" s="1">
        <f>IFERROR(Comp1[[#This Row],[Comparable '#1 Return]]+1,"-")</f>
        <v>1.0250430449656633</v>
      </c>
      <c r="E845" s="6">
        <f>B845-MAX($B$2:B845)</f>
        <v>-9.49</v>
      </c>
      <c r="F845" s="80">
        <f t="shared" si="27"/>
        <v>448</v>
      </c>
      <c r="G845" s="22" cm="1">
        <f t="array" ref="G845">Comp1[[#This Row],[Comparable '#1 Drawdown]]/MAX($B$2:B845)</f>
        <v>-0.43894542090656796</v>
      </c>
      <c r="H845" s="1" t="str">
        <f>IF(SUM(COUNTIF(Benchmark1[Benchmark '#1 Dates],Comp1[[#This Row],[Comparable '#1 Dates]]),COUNTIF(Benchmark2[Benchmark '#2 Dates],Comp1[[#This Row],[Comparable '#1 Dates]]))=2,"Pass","Fail")</f>
        <v>Pass</v>
      </c>
      <c r="I845" s="1">
        <f>IFERROR(Comp1[[#This Row],[Comparable '#1 Return]]-INDEX(Benchmark1[Benchmark '#1 Return],MATCH(Comp1[[#This Row],[Comparable '#1 Dates]],Benchmark1[Benchmark '#1 Dates],0)),"-")</f>
        <v>2.415462353892095E-2</v>
      </c>
      <c r="L845" s="72">
        <f>Comp1[[#This Row],[Comparable '#1 Price]]/$B$2*100</f>
        <v>83.025325119780973</v>
      </c>
    </row>
    <row r="846" spans="1:12">
      <c r="A846" s="103">
        <v>44509</v>
      </c>
      <c r="B846" s="104">
        <v>12.01</v>
      </c>
      <c r="C846" s="4">
        <f t="shared" si="26"/>
        <v>-9.9420868640666474E-3</v>
      </c>
      <c r="D846" s="1">
        <f>IFERROR(Comp1[[#This Row],[Comparable '#1 Return]]+1,"-")</f>
        <v>0.99005791313593339</v>
      </c>
      <c r="E846" s="6">
        <f>B846-MAX($B$2:B846)</f>
        <v>-9.6100000000000012</v>
      </c>
      <c r="F846" s="80">
        <f t="shared" si="27"/>
        <v>449</v>
      </c>
      <c r="G846" s="22" cm="1">
        <f t="array" ref="G846">Comp1[[#This Row],[Comparable '#1 Drawdown]]/MAX($B$2:B846)</f>
        <v>-0.44449583718778912</v>
      </c>
      <c r="H846" s="1" t="str">
        <f>IF(SUM(COUNTIF(Benchmark1[Benchmark '#1 Dates],Comp1[[#This Row],[Comparable '#1 Dates]]),COUNTIF(Benchmark2[Benchmark '#2 Dates],Comp1[[#This Row],[Comparable '#1 Dates]]))=2,"Pass","Fail")</f>
        <v>Pass</v>
      </c>
      <c r="I846" s="1">
        <f>IFERROR(Comp1[[#This Row],[Comparable '#1 Return]]-INDEX(Benchmark1[Benchmark '#1 Return],MATCH(Comp1[[#This Row],[Comparable '#1 Dates]],Benchmark1[Benchmark '#1 Dates],0)),"-")</f>
        <v>-6.4370341680152435E-3</v>
      </c>
      <c r="L846" s="72">
        <f>Comp1[[#This Row],[Comparable '#1 Price]]/$B$2*100</f>
        <v>82.203969883641349</v>
      </c>
    </row>
    <row r="847" spans="1:12">
      <c r="A847" s="103">
        <v>44510</v>
      </c>
      <c r="B847" s="104">
        <v>11.78</v>
      </c>
      <c r="C847" s="4">
        <f t="shared" si="26"/>
        <v>-1.9336457868451583E-2</v>
      </c>
      <c r="D847" s="1">
        <f>IFERROR(Comp1[[#This Row],[Comparable '#1 Return]]+1,"-")</f>
        <v>0.98066354213154838</v>
      </c>
      <c r="E847" s="6">
        <f>B847-MAX($B$2:B847)</f>
        <v>-9.8400000000000016</v>
      </c>
      <c r="F847" s="80">
        <f t="shared" si="27"/>
        <v>450</v>
      </c>
      <c r="G847" s="22" cm="1">
        <f t="array" ref="G847">Comp1[[#This Row],[Comparable '#1 Drawdown]]/MAX($B$2:B847)</f>
        <v>-0.45513413506012956</v>
      </c>
      <c r="H847" s="1" t="str">
        <f>IF(SUM(COUNTIF(Benchmark1[Benchmark '#1 Dates],Comp1[[#This Row],[Comparable '#1 Dates]]),COUNTIF(Benchmark2[Benchmark '#2 Dates],Comp1[[#This Row],[Comparable '#1 Dates]]))=2,"Pass","Fail")</f>
        <v>Pass</v>
      </c>
      <c r="I847" s="1">
        <f>IFERROR(Comp1[[#This Row],[Comparable '#1 Return]]-INDEX(Benchmark1[Benchmark '#1 Return],MATCH(Comp1[[#This Row],[Comparable '#1 Dates]],Benchmark1[Benchmark '#1 Dates],0)),"-")</f>
        <v>-1.1075870866634491E-2</v>
      </c>
      <c r="L847" s="72">
        <f>Comp1[[#This Row],[Comparable '#1 Price]]/$B$2*100</f>
        <v>80.629705681040392</v>
      </c>
    </row>
    <row r="848" spans="1:12">
      <c r="A848" s="103">
        <v>44511</v>
      </c>
      <c r="B848" s="104">
        <v>11.27</v>
      </c>
      <c r="C848" s="4">
        <f t="shared" si="26"/>
        <v>-4.4258850171755737E-2</v>
      </c>
      <c r="D848" s="1">
        <f>IFERROR(Comp1[[#This Row],[Comparable '#1 Return]]+1,"-")</f>
        <v>0.95574114982824421</v>
      </c>
      <c r="E848" s="6">
        <f>B848-MAX($B$2:B848)</f>
        <v>-10.350000000000001</v>
      </c>
      <c r="F848" s="80">
        <f t="shared" si="27"/>
        <v>451</v>
      </c>
      <c r="G848" s="22" cm="1">
        <f t="array" ref="G848">Comp1[[#This Row],[Comparable '#1 Drawdown]]/MAX($B$2:B848)</f>
        <v>-0.47872340425531917</v>
      </c>
      <c r="H848" s="1" t="str">
        <f>IF(SUM(COUNTIF(Benchmark1[Benchmark '#1 Dates],Comp1[[#This Row],[Comparable '#1 Dates]]),COUNTIF(Benchmark2[Benchmark '#2 Dates],Comp1[[#This Row],[Comparable '#1 Dates]]))=2,"Pass","Fail")</f>
        <v>Pass</v>
      </c>
      <c r="I848" s="1">
        <f>IFERROR(Comp1[[#This Row],[Comparable '#1 Return]]-INDEX(Benchmark1[Benchmark '#1 Return],MATCH(Comp1[[#This Row],[Comparable '#1 Dates]],Benchmark1[Benchmark '#1 Dates],0)),"-")</f>
        <v>-4.4809956477217382E-2</v>
      </c>
      <c r="L848" s="72">
        <f>Comp1[[#This Row],[Comparable '#1 Price]]/$B$2*100</f>
        <v>77.138945927446954</v>
      </c>
    </row>
    <row r="849" spans="1:12">
      <c r="A849" s="103">
        <v>44512</v>
      </c>
      <c r="B849" s="104">
        <v>11.17</v>
      </c>
      <c r="C849" s="4">
        <f t="shared" si="26"/>
        <v>-8.9127149705755301E-3</v>
      </c>
      <c r="D849" s="1">
        <f>IFERROR(Comp1[[#This Row],[Comparable '#1 Return]]+1,"-")</f>
        <v>0.99108728502942445</v>
      </c>
      <c r="E849" s="6">
        <f>B849-MAX($B$2:B849)</f>
        <v>-10.450000000000001</v>
      </c>
      <c r="F849" s="80">
        <f t="shared" si="27"/>
        <v>452</v>
      </c>
      <c r="G849" s="22" cm="1">
        <f t="array" ref="G849">Comp1[[#This Row],[Comparable '#1 Drawdown]]/MAX($B$2:B849)</f>
        <v>-0.48334875115633674</v>
      </c>
      <c r="H849" s="1" t="str">
        <f>IF(SUM(COUNTIF(Benchmark1[Benchmark '#1 Dates],Comp1[[#This Row],[Comparable '#1 Dates]]),COUNTIF(Benchmark2[Benchmark '#2 Dates],Comp1[[#This Row],[Comparable '#1 Dates]]))=2,"Pass","Fail")</f>
        <v>Pass</v>
      </c>
      <c r="I849" s="1">
        <f>IFERROR(Comp1[[#This Row],[Comparable '#1 Return]]-INDEX(Benchmark1[Benchmark '#1 Return],MATCH(Comp1[[#This Row],[Comparable '#1 Dates]],Benchmark1[Benchmark '#1 Dates],0)),"-")</f>
        <v>-1.6109011173624947E-2</v>
      </c>
      <c r="L849" s="72">
        <f>Comp1[[#This Row],[Comparable '#1 Price]]/$B$2*100</f>
        <v>76.454483230663925</v>
      </c>
    </row>
    <row r="850" spans="1:12">
      <c r="A850" s="103">
        <v>44515</v>
      </c>
      <c r="B850" s="104">
        <v>10.98</v>
      </c>
      <c r="C850" s="4">
        <f t="shared" si="26"/>
        <v>-1.7156176999724725E-2</v>
      </c>
      <c r="D850" s="1">
        <f>IFERROR(Comp1[[#This Row],[Comparable '#1 Return]]+1,"-")</f>
        <v>0.98284382300027529</v>
      </c>
      <c r="E850" s="6">
        <f>B850-MAX($B$2:B850)</f>
        <v>-10.64</v>
      </c>
      <c r="F850" s="80">
        <f t="shared" si="27"/>
        <v>453</v>
      </c>
      <c r="G850" s="22" cm="1">
        <f t="array" ref="G850">Comp1[[#This Row],[Comparable '#1 Drawdown]]/MAX($B$2:B850)</f>
        <v>-0.49213691026827011</v>
      </c>
      <c r="H850" s="1" t="str">
        <f>IF(SUM(COUNTIF(Benchmark1[Benchmark '#1 Dates],Comp1[[#This Row],[Comparable '#1 Dates]]),COUNTIF(Benchmark2[Benchmark '#2 Dates],Comp1[[#This Row],[Comparable '#1 Dates]]))=2,"Pass","Fail")</f>
        <v>Pass</v>
      </c>
      <c r="I850" s="1">
        <f>IFERROR(Comp1[[#This Row],[Comparable '#1 Return]]-INDEX(Benchmark1[Benchmark '#1 Return],MATCH(Comp1[[#This Row],[Comparable '#1 Dates]],Benchmark1[Benchmark '#1 Dates],0)),"-")</f>
        <v>-1.7146812517272323E-2</v>
      </c>
      <c r="L850" s="72">
        <f>Comp1[[#This Row],[Comparable '#1 Price]]/$B$2*100</f>
        <v>75.154004106776185</v>
      </c>
    </row>
    <row r="851" spans="1:12">
      <c r="A851" s="103">
        <v>44516</v>
      </c>
      <c r="B851" s="104">
        <v>11.15</v>
      </c>
      <c r="C851" s="4">
        <f t="shared" si="26"/>
        <v>1.5364061824743246E-2</v>
      </c>
      <c r="D851" s="1">
        <f>IFERROR(Comp1[[#This Row],[Comparable '#1 Return]]+1,"-")</f>
        <v>1.0153640618247433</v>
      </c>
      <c r="E851" s="6">
        <f>B851-MAX($B$2:B851)</f>
        <v>-10.47</v>
      </c>
      <c r="F851" s="80">
        <f t="shared" si="27"/>
        <v>454</v>
      </c>
      <c r="G851" s="22" cm="1">
        <f t="array" ref="G851">Comp1[[#This Row],[Comparable '#1 Drawdown]]/MAX($B$2:B851)</f>
        <v>-0.48427382053654022</v>
      </c>
      <c r="H851" s="1" t="str">
        <f>IF(SUM(COUNTIF(Benchmark1[Benchmark '#1 Dates],Comp1[[#This Row],[Comparable '#1 Dates]]),COUNTIF(Benchmark2[Benchmark '#2 Dates],Comp1[[#This Row],[Comparable '#1 Dates]]))=2,"Pass","Fail")</f>
        <v>Pass</v>
      </c>
      <c r="I851" s="1">
        <f>IFERROR(Comp1[[#This Row],[Comparable '#1 Return]]-INDEX(Benchmark1[Benchmark '#1 Return],MATCH(Comp1[[#This Row],[Comparable '#1 Dates]],Benchmark1[Benchmark '#1 Dates],0)),"-")</f>
        <v>1.1507671076414532E-2</v>
      </c>
      <c r="L851" s="72">
        <f>Comp1[[#This Row],[Comparable '#1 Price]]/$B$2*100</f>
        <v>76.317590691307331</v>
      </c>
    </row>
    <row r="852" spans="1:12">
      <c r="A852" s="103">
        <v>44517</v>
      </c>
      <c r="B852" s="104">
        <v>11.1</v>
      </c>
      <c r="C852" s="4">
        <f t="shared" si="26"/>
        <v>-4.4943895878393264E-3</v>
      </c>
      <c r="D852" s="1">
        <f>IFERROR(Comp1[[#This Row],[Comparable '#1 Return]]+1,"-")</f>
        <v>0.99550561041216068</v>
      </c>
      <c r="E852" s="6">
        <f>B852-MAX($B$2:B852)</f>
        <v>-10.520000000000001</v>
      </c>
      <c r="F852" s="80">
        <f t="shared" si="27"/>
        <v>455</v>
      </c>
      <c r="G852" s="22" cm="1">
        <f t="array" ref="G852">Comp1[[#This Row],[Comparable '#1 Drawdown]]/MAX($B$2:B852)</f>
        <v>-0.48658649398704906</v>
      </c>
      <c r="H852" s="1" t="str">
        <f>IF(SUM(COUNTIF(Benchmark1[Benchmark '#1 Dates],Comp1[[#This Row],[Comparable '#1 Dates]]),COUNTIF(Benchmark2[Benchmark '#2 Dates],Comp1[[#This Row],[Comparable '#1 Dates]]))=2,"Pass","Fail")</f>
        <v>Pass</v>
      </c>
      <c r="I852" s="1">
        <f>IFERROR(Comp1[[#This Row],[Comparable '#1 Return]]-INDEX(Benchmark1[Benchmark '#1 Return],MATCH(Comp1[[#This Row],[Comparable '#1 Dates]],Benchmark1[Benchmark '#1 Dates],0)),"-")</f>
        <v>-1.8901299574252332E-3</v>
      </c>
      <c r="L852" s="72">
        <f>Comp1[[#This Row],[Comparable '#1 Price]]/$B$2*100</f>
        <v>75.975359342915823</v>
      </c>
    </row>
    <row r="853" spans="1:12">
      <c r="A853" s="103">
        <v>44518</v>
      </c>
      <c r="B853" s="104">
        <v>10.82</v>
      </c>
      <c r="C853" s="4">
        <f t="shared" si="26"/>
        <v>-2.5548834899952952E-2</v>
      </c>
      <c r="D853" s="1">
        <f>IFERROR(Comp1[[#This Row],[Comparable '#1 Return]]+1,"-")</f>
        <v>0.97445116510004703</v>
      </c>
      <c r="E853" s="6">
        <f>B853-MAX($B$2:B853)</f>
        <v>-10.8</v>
      </c>
      <c r="F853" s="80">
        <f t="shared" si="27"/>
        <v>456</v>
      </c>
      <c r="G853" s="22" cm="1">
        <f t="array" ref="G853">Comp1[[#This Row],[Comparable '#1 Drawdown]]/MAX($B$2:B853)</f>
        <v>-0.49953746530989823</v>
      </c>
      <c r="H853" s="1" t="str">
        <f>IF(SUM(COUNTIF(Benchmark1[Benchmark '#1 Dates],Comp1[[#This Row],[Comparable '#1 Dates]]),COUNTIF(Benchmark2[Benchmark '#2 Dates],Comp1[[#This Row],[Comparable '#1 Dates]]))=2,"Pass","Fail")</f>
        <v>Pass</v>
      </c>
      <c r="I853" s="1">
        <f>IFERROR(Comp1[[#This Row],[Comparable '#1 Return]]-INDEX(Benchmark1[Benchmark '#1 Return],MATCH(Comp1[[#This Row],[Comparable '#1 Dates]],Benchmark1[Benchmark '#1 Dates],0)),"-")</f>
        <v>-2.8928138319599537E-2</v>
      </c>
      <c r="L853" s="72">
        <f>Comp1[[#This Row],[Comparable '#1 Price]]/$B$2*100</f>
        <v>74.058863791923343</v>
      </c>
    </row>
    <row r="854" spans="1:12">
      <c r="A854" s="103">
        <v>44519</v>
      </c>
      <c r="B854" s="104">
        <v>11</v>
      </c>
      <c r="C854" s="4">
        <f t="shared" si="26"/>
        <v>1.649899938003507E-2</v>
      </c>
      <c r="D854" s="1">
        <f>IFERROR(Comp1[[#This Row],[Comparable '#1 Return]]+1,"-")</f>
        <v>1.0164989993800351</v>
      </c>
      <c r="E854" s="6">
        <f>B854-MAX($B$2:B854)</f>
        <v>-10.620000000000001</v>
      </c>
      <c r="F854" s="80">
        <f t="shared" si="27"/>
        <v>457</v>
      </c>
      <c r="G854" s="22" cm="1">
        <f t="array" ref="G854">Comp1[[#This Row],[Comparable '#1 Drawdown]]/MAX($B$2:B854)</f>
        <v>-0.49121184088806663</v>
      </c>
      <c r="H854" s="1" t="str">
        <f>IF(SUM(COUNTIF(Benchmark1[Benchmark '#1 Dates],Comp1[[#This Row],[Comparable '#1 Dates]]),COUNTIF(Benchmark2[Benchmark '#2 Dates],Comp1[[#This Row],[Comparable '#1 Dates]]))=2,"Pass","Fail")</f>
        <v>Pass</v>
      </c>
      <c r="I854" s="1">
        <f>IFERROR(Comp1[[#This Row],[Comparable '#1 Return]]-INDEX(Benchmark1[Benchmark '#1 Return],MATCH(Comp1[[#This Row],[Comparable '#1 Dates]],Benchmark1[Benchmark '#1 Dates],0)),"-")</f>
        <v>1.7900081987660951E-2</v>
      </c>
      <c r="L854" s="72">
        <f>Comp1[[#This Row],[Comparable '#1 Price]]/$B$2*100</f>
        <v>75.290896646132794</v>
      </c>
    </row>
    <row r="855" spans="1:12">
      <c r="A855" s="103">
        <v>44522</v>
      </c>
      <c r="B855" s="104">
        <v>10.93</v>
      </c>
      <c r="C855" s="4">
        <f t="shared" si="26"/>
        <v>-6.3839706099233368E-3</v>
      </c>
      <c r="D855" s="1">
        <f>IFERROR(Comp1[[#This Row],[Comparable '#1 Return]]+1,"-")</f>
        <v>0.99361602939007665</v>
      </c>
      <c r="E855" s="6">
        <f>B855-MAX($B$2:B855)</f>
        <v>-10.690000000000001</v>
      </c>
      <c r="F855" s="80">
        <f t="shared" si="27"/>
        <v>458</v>
      </c>
      <c r="G855" s="22" cm="1">
        <f t="array" ref="G855">Comp1[[#This Row],[Comparable '#1 Drawdown]]/MAX($B$2:B855)</f>
        <v>-0.49444958371877895</v>
      </c>
      <c r="H855" s="1" t="str">
        <f>IF(SUM(COUNTIF(Benchmark1[Benchmark '#1 Dates],Comp1[[#This Row],[Comparable '#1 Dates]]),COUNTIF(Benchmark2[Benchmark '#2 Dates],Comp1[[#This Row],[Comparable '#1 Dates]]))=2,"Pass","Fail")</f>
        <v>Pass</v>
      </c>
      <c r="I855" s="1">
        <f>IFERROR(Comp1[[#This Row],[Comparable '#1 Return]]-INDEX(Benchmark1[Benchmark '#1 Return],MATCH(Comp1[[#This Row],[Comparable '#1 Dates]],Benchmark1[Benchmark '#1 Dates],0)),"-")</f>
        <v>-3.1836012646991262E-3</v>
      </c>
      <c r="L855" s="72">
        <f>Comp1[[#This Row],[Comparable '#1 Price]]/$B$2*100</f>
        <v>74.811772758384663</v>
      </c>
    </row>
    <row r="856" spans="1:12">
      <c r="A856" s="103">
        <v>44523</v>
      </c>
      <c r="B856" s="104">
        <v>11.14</v>
      </c>
      <c r="C856" s="4">
        <f t="shared" si="26"/>
        <v>1.9030932310690876E-2</v>
      </c>
      <c r="D856" s="1">
        <f>IFERROR(Comp1[[#This Row],[Comparable '#1 Return]]+1,"-")</f>
        <v>1.019030932310691</v>
      </c>
      <c r="E856" s="6">
        <f>B856-MAX($B$2:B856)</f>
        <v>-10.48</v>
      </c>
      <c r="F856" s="80">
        <f t="shared" si="27"/>
        <v>459</v>
      </c>
      <c r="G856" s="22" cm="1">
        <f t="array" ref="G856">Comp1[[#This Row],[Comparable '#1 Drawdown]]/MAX($B$2:B856)</f>
        <v>-0.48473635522664199</v>
      </c>
      <c r="H856" s="1" t="str">
        <f>IF(SUM(COUNTIF(Benchmark1[Benchmark '#1 Dates],Comp1[[#This Row],[Comparable '#1 Dates]]),COUNTIF(Benchmark2[Benchmark '#2 Dates],Comp1[[#This Row],[Comparable '#1 Dates]]))=2,"Pass","Fail")</f>
        <v>Pass</v>
      </c>
      <c r="I856" s="1">
        <f>IFERROR(Comp1[[#This Row],[Comparable '#1 Return]]-INDEX(Benchmark1[Benchmark '#1 Return],MATCH(Comp1[[#This Row],[Comparable '#1 Dates]],Benchmark1[Benchmark '#1 Dates],0)),"-")</f>
        <v>1.7376483707802315E-2</v>
      </c>
      <c r="L856" s="72">
        <f>Comp1[[#This Row],[Comparable '#1 Price]]/$B$2*100</f>
        <v>76.249144421629026</v>
      </c>
    </row>
    <row r="857" spans="1:12">
      <c r="A857" s="103">
        <v>44524</v>
      </c>
      <c r="B857" s="104">
        <v>11.08</v>
      </c>
      <c r="C857" s="4">
        <f t="shared" si="26"/>
        <v>-5.4005531800002775E-3</v>
      </c>
      <c r="D857" s="1">
        <f>IFERROR(Comp1[[#This Row],[Comparable '#1 Return]]+1,"-")</f>
        <v>0.99459944681999968</v>
      </c>
      <c r="E857" s="6">
        <f>B857-MAX($B$2:B857)</f>
        <v>-10.540000000000001</v>
      </c>
      <c r="F857" s="80">
        <f t="shared" si="27"/>
        <v>460</v>
      </c>
      <c r="G857" s="22" cm="1">
        <f t="array" ref="G857">Comp1[[#This Row],[Comparable '#1 Drawdown]]/MAX($B$2:B857)</f>
        <v>-0.48751156336725254</v>
      </c>
      <c r="H857" s="1" t="str">
        <f>IF(SUM(COUNTIF(Benchmark1[Benchmark '#1 Dates],Comp1[[#This Row],[Comparable '#1 Dates]]),COUNTIF(Benchmark2[Benchmark '#2 Dates],Comp1[[#This Row],[Comparable '#1 Dates]]))=2,"Pass","Fail")</f>
        <v>Pass</v>
      </c>
      <c r="I857" s="1">
        <f>IFERROR(Comp1[[#This Row],[Comparable '#1 Return]]-INDEX(Benchmark1[Benchmark '#1 Return],MATCH(Comp1[[#This Row],[Comparable '#1 Dates]],Benchmark1[Benchmark '#1 Dates],0)),"-")</f>
        <v>-7.6932749407923745E-3</v>
      </c>
      <c r="L857" s="72">
        <f>Comp1[[#This Row],[Comparable '#1 Price]]/$B$2*100</f>
        <v>75.838466803559214</v>
      </c>
    </row>
    <row r="858" spans="1:12">
      <c r="A858" s="103">
        <v>44526</v>
      </c>
      <c r="B858" s="104">
        <v>10.8</v>
      </c>
      <c r="C858" s="4">
        <f t="shared" si="26"/>
        <v>-2.5595547188963653E-2</v>
      </c>
      <c r="D858" s="1">
        <f>IFERROR(Comp1[[#This Row],[Comparable '#1 Return]]+1,"-")</f>
        <v>0.97440445281103638</v>
      </c>
      <c r="E858" s="6">
        <f>B858-MAX($B$2:B858)</f>
        <v>-10.82</v>
      </c>
      <c r="F858" s="80">
        <f t="shared" si="27"/>
        <v>461</v>
      </c>
      <c r="G858" s="22" cm="1">
        <f t="array" ref="G858">Comp1[[#This Row],[Comparable '#1 Drawdown]]/MAX($B$2:B858)</f>
        <v>-0.50046253469010171</v>
      </c>
      <c r="H858" s="1" t="str">
        <f>IF(SUM(COUNTIF(Benchmark1[Benchmark '#1 Dates],Comp1[[#This Row],[Comparable '#1 Dates]]),COUNTIF(Benchmark2[Benchmark '#2 Dates],Comp1[[#This Row],[Comparable '#1 Dates]]))=2,"Pass","Fail")</f>
        <v>Pass</v>
      </c>
      <c r="I858" s="1">
        <f>IFERROR(Comp1[[#This Row],[Comparable '#1 Return]]-INDEX(Benchmark1[Benchmark '#1 Return],MATCH(Comp1[[#This Row],[Comparable '#1 Dates]],Benchmark1[Benchmark '#1 Dates],0)),"-")</f>
        <v>-2.6070947769801685E-3</v>
      </c>
      <c r="L858" s="72">
        <f>Comp1[[#This Row],[Comparable '#1 Price]]/$B$2*100</f>
        <v>73.921971252566749</v>
      </c>
    </row>
    <row r="859" spans="1:12">
      <c r="A859" s="103">
        <v>44529</v>
      </c>
      <c r="B859" s="104">
        <v>10.54</v>
      </c>
      <c r="C859" s="4">
        <f t="shared" si="26"/>
        <v>-2.436859101695792E-2</v>
      </c>
      <c r="D859" s="1">
        <f>IFERROR(Comp1[[#This Row],[Comparable '#1 Return]]+1,"-")</f>
        <v>0.97563140898304213</v>
      </c>
      <c r="E859" s="6">
        <f>B859-MAX($B$2:B859)</f>
        <v>-11.080000000000002</v>
      </c>
      <c r="F859" s="80">
        <f t="shared" si="27"/>
        <v>462</v>
      </c>
      <c r="G859" s="22" cm="1">
        <f t="array" ref="G859">Comp1[[#This Row],[Comparable '#1 Drawdown]]/MAX($B$2:B859)</f>
        <v>-0.51248843663274757</v>
      </c>
      <c r="H859" s="1" t="str">
        <f>IF(SUM(COUNTIF(Benchmark1[Benchmark '#1 Dates],Comp1[[#This Row],[Comparable '#1 Dates]]),COUNTIF(Benchmark2[Benchmark '#2 Dates],Comp1[[#This Row],[Comparable '#1 Dates]]))=2,"Pass","Fail")</f>
        <v>Pass</v>
      </c>
      <c r="I859" s="1">
        <f>IFERROR(Comp1[[#This Row],[Comparable '#1 Return]]-INDEX(Benchmark1[Benchmark '#1 Return],MATCH(Comp1[[#This Row],[Comparable '#1 Dates]],Benchmark1[Benchmark '#1 Dates],0)),"-")</f>
        <v>-3.7482863953405346E-2</v>
      </c>
      <c r="L859" s="72">
        <f>Comp1[[#This Row],[Comparable '#1 Price]]/$B$2*100</f>
        <v>72.142368240930864</v>
      </c>
    </row>
    <row r="860" spans="1:12">
      <c r="A860" s="103">
        <v>44530</v>
      </c>
      <c r="B860" s="104">
        <v>10</v>
      </c>
      <c r="C860" s="4">
        <f t="shared" si="26"/>
        <v>-5.2592450119170499E-2</v>
      </c>
      <c r="D860" s="1">
        <f>IFERROR(Comp1[[#This Row],[Comparable '#1 Return]]+1,"-")</f>
        <v>0.94740754988082954</v>
      </c>
      <c r="E860" s="6">
        <f>B860-MAX($B$2:B860)</f>
        <v>-11.620000000000001</v>
      </c>
      <c r="F860" s="80">
        <f t="shared" si="27"/>
        <v>463</v>
      </c>
      <c r="G860" s="22" cm="1">
        <f t="array" ref="G860">Comp1[[#This Row],[Comparable '#1 Drawdown]]/MAX($B$2:B860)</f>
        <v>-0.53746530989824237</v>
      </c>
      <c r="H860" s="1" t="str">
        <f>IF(SUM(COUNTIF(Benchmark1[Benchmark '#1 Dates],Comp1[[#This Row],[Comparable '#1 Dates]]),COUNTIF(Benchmark2[Benchmark '#2 Dates],Comp1[[#This Row],[Comparable '#1 Dates]]))=2,"Pass","Fail")</f>
        <v>Pass</v>
      </c>
      <c r="I860" s="1">
        <f>IFERROR(Comp1[[#This Row],[Comparable '#1 Return]]-INDEX(Benchmark1[Benchmark '#1 Return],MATCH(Comp1[[#This Row],[Comparable '#1 Dates]],Benchmark1[Benchmark '#1 Dates],0)),"-")</f>
        <v>-3.3449359606405438E-2</v>
      </c>
      <c r="L860" s="72">
        <f>Comp1[[#This Row],[Comparable '#1 Price]]/$B$2*100</f>
        <v>68.446269678302542</v>
      </c>
    </row>
    <row r="861" spans="1:12">
      <c r="A861" s="103">
        <v>44531</v>
      </c>
      <c r="B861" s="104">
        <v>9.75</v>
      </c>
      <c r="C861" s="4">
        <f t="shared" si="26"/>
        <v>-2.5317807984289897E-2</v>
      </c>
      <c r="D861" s="1">
        <f>IFERROR(Comp1[[#This Row],[Comparable '#1 Return]]+1,"-")</f>
        <v>0.97468219201571005</v>
      </c>
      <c r="E861" s="6">
        <f>B861-MAX($B$2:B861)</f>
        <v>-11.870000000000001</v>
      </c>
      <c r="F861" s="80">
        <f t="shared" si="27"/>
        <v>464</v>
      </c>
      <c r="G861" s="22" cm="1">
        <f t="array" ref="G861">Comp1[[#This Row],[Comparable '#1 Drawdown]]/MAX($B$2:B861)</f>
        <v>-0.54902867715078629</v>
      </c>
      <c r="H861" s="1" t="str">
        <f>IF(SUM(COUNTIF(Benchmark1[Benchmark '#1 Dates],Comp1[[#This Row],[Comparable '#1 Dates]]),COUNTIF(Benchmark2[Benchmark '#2 Dates],Comp1[[#This Row],[Comparable '#1 Dates]]))=2,"Pass","Fail")</f>
        <v>Pass</v>
      </c>
      <c r="I861" s="1">
        <f>IFERROR(Comp1[[#This Row],[Comparable '#1 Return]]-INDEX(Benchmark1[Benchmark '#1 Return],MATCH(Comp1[[#This Row],[Comparable '#1 Dates]],Benchmark1[Benchmark '#1 Dates],0)),"-")</f>
        <v>-1.3431078847820516E-2</v>
      </c>
      <c r="L861" s="72">
        <f>Comp1[[#This Row],[Comparable '#1 Price]]/$B$2*100</f>
        <v>66.735112936344976</v>
      </c>
    </row>
    <row r="862" spans="1:12">
      <c r="A862" s="103">
        <v>44532</v>
      </c>
      <c r="B862" s="104">
        <v>10.16</v>
      </c>
      <c r="C862" s="4">
        <f t="shared" si="26"/>
        <v>4.1191157140580137E-2</v>
      </c>
      <c r="D862" s="1">
        <f>IFERROR(Comp1[[#This Row],[Comparable '#1 Return]]+1,"-")</f>
        <v>1.0411911571405801</v>
      </c>
      <c r="E862" s="6">
        <f>B862-MAX($B$2:B862)</f>
        <v>-11.46</v>
      </c>
      <c r="F862" s="80">
        <f t="shared" si="27"/>
        <v>465</v>
      </c>
      <c r="G862" s="22" cm="1">
        <f t="array" ref="G862">Comp1[[#This Row],[Comparable '#1 Drawdown]]/MAX($B$2:B862)</f>
        <v>-0.53006475485661431</v>
      </c>
      <c r="H862" s="1" t="str">
        <f>IF(SUM(COUNTIF(Benchmark1[Benchmark '#1 Dates],Comp1[[#This Row],[Comparable '#1 Dates]]),COUNTIF(Benchmark2[Benchmark '#2 Dates],Comp1[[#This Row],[Comparable '#1 Dates]]))=2,"Pass","Fail")</f>
        <v>Pass</v>
      </c>
      <c r="I862" s="1">
        <f>IFERROR(Comp1[[#This Row],[Comparable '#1 Return]]-INDEX(Benchmark1[Benchmark '#1 Return],MATCH(Comp1[[#This Row],[Comparable '#1 Dates]],Benchmark1[Benchmark '#1 Dates],0)),"-")</f>
        <v>2.7095563283333873E-2</v>
      </c>
      <c r="L862" s="72">
        <f>Comp1[[#This Row],[Comparable '#1 Price]]/$B$2*100</f>
        <v>69.541409993155384</v>
      </c>
    </row>
    <row r="863" spans="1:12">
      <c r="A863" s="103">
        <v>44533</v>
      </c>
      <c r="B863" s="104">
        <v>10.1</v>
      </c>
      <c r="C863" s="4">
        <f t="shared" si="26"/>
        <v>-5.9230183031221675E-3</v>
      </c>
      <c r="D863" s="1">
        <f>IFERROR(Comp1[[#This Row],[Comparable '#1 Return]]+1,"-")</f>
        <v>0.99407698169687786</v>
      </c>
      <c r="E863" s="6">
        <f>B863-MAX($B$2:B863)</f>
        <v>-11.520000000000001</v>
      </c>
      <c r="F863" s="80">
        <f t="shared" si="27"/>
        <v>466</v>
      </c>
      <c r="G863" s="22" cm="1">
        <f t="array" ref="G863">Comp1[[#This Row],[Comparable '#1 Drawdown]]/MAX($B$2:B863)</f>
        <v>-0.5328399629972248</v>
      </c>
      <c r="H863" s="1" t="str">
        <f>IF(SUM(COUNTIF(Benchmark1[Benchmark '#1 Dates],Comp1[[#This Row],[Comparable '#1 Dates]]),COUNTIF(Benchmark2[Benchmark '#2 Dates],Comp1[[#This Row],[Comparable '#1 Dates]]))=2,"Pass","Fail")</f>
        <v>Pass</v>
      </c>
      <c r="I863" s="1">
        <f>IFERROR(Comp1[[#This Row],[Comparable '#1 Return]]-INDEX(Benchmark1[Benchmark '#1 Return],MATCH(Comp1[[#This Row],[Comparable '#1 Dates]],Benchmark1[Benchmark '#1 Dates],0)),"-")</f>
        <v>2.5620409254923813E-3</v>
      </c>
      <c r="L863" s="72">
        <f>Comp1[[#This Row],[Comparable '#1 Price]]/$B$2*100</f>
        <v>69.130732375085557</v>
      </c>
    </row>
    <row r="864" spans="1:12">
      <c r="A864" s="103">
        <v>44536</v>
      </c>
      <c r="B864" s="104">
        <v>10.47</v>
      </c>
      <c r="C864" s="4">
        <f t="shared" si="26"/>
        <v>3.5978601035231754E-2</v>
      </c>
      <c r="D864" s="1">
        <f>IFERROR(Comp1[[#This Row],[Comparable '#1 Return]]+1,"-")</f>
        <v>1.0359786010352316</v>
      </c>
      <c r="E864" s="6">
        <f>B864-MAX($B$2:B864)</f>
        <v>-11.15</v>
      </c>
      <c r="F864" s="80">
        <f t="shared" si="27"/>
        <v>467</v>
      </c>
      <c r="G864" s="22" cm="1">
        <f t="array" ref="G864">Comp1[[#This Row],[Comparable '#1 Drawdown]]/MAX($B$2:B864)</f>
        <v>-0.51572617946345978</v>
      </c>
      <c r="H864" s="1" t="str">
        <f>IF(SUM(COUNTIF(Benchmark1[Benchmark '#1 Dates],Comp1[[#This Row],[Comparable '#1 Dates]]),COUNTIF(Benchmark2[Benchmark '#2 Dates],Comp1[[#This Row],[Comparable '#1 Dates]]))=2,"Pass","Fail")</f>
        <v>Pass</v>
      </c>
      <c r="I864" s="1">
        <f>IFERROR(Comp1[[#This Row],[Comparable '#1 Return]]-INDEX(Benchmark1[Benchmark '#1 Return],MATCH(Comp1[[#This Row],[Comparable '#1 Dates]],Benchmark1[Benchmark '#1 Dates],0)),"-")</f>
        <v>2.4315084603321477E-2</v>
      </c>
      <c r="L864" s="72">
        <f>Comp1[[#This Row],[Comparable '#1 Price]]/$B$2*100</f>
        <v>71.663244353182748</v>
      </c>
    </row>
    <row r="865" spans="1:12">
      <c r="A865" s="103">
        <v>44537</v>
      </c>
      <c r="B865" s="104">
        <v>10.55</v>
      </c>
      <c r="C865" s="4">
        <f t="shared" si="26"/>
        <v>7.6118350396300744E-3</v>
      </c>
      <c r="D865" s="1">
        <f>IFERROR(Comp1[[#This Row],[Comparable '#1 Return]]+1,"-")</f>
        <v>1.0076118350396301</v>
      </c>
      <c r="E865" s="6">
        <f>B865-MAX($B$2:B865)</f>
        <v>-11.07</v>
      </c>
      <c r="F865" s="80">
        <f t="shared" si="27"/>
        <v>468</v>
      </c>
      <c r="G865" s="22" cm="1">
        <f t="array" ref="G865">Comp1[[#This Row],[Comparable '#1 Drawdown]]/MAX($B$2:B865)</f>
        <v>-0.51202590194264563</v>
      </c>
      <c r="H865" s="1" t="str">
        <f>IF(SUM(COUNTIF(Benchmark1[Benchmark '#1 Dates],Comp1[[#This Row],[Comparable '#1 Dates]]),COUNTIF(Benchmark2[Benchmark '#2 Dates],Comp1[[#This Row],[Comparable '#1 Dates]]))=2,"Pass","Fail")</f>
        <v>Pass</v>
      </c>
      <c r="I865" s="1">
        <f>IFERROR(Comp1[[#This Row],[Comparable '#1 Return]]-INDEX(Benchmark1[Benchmark '#1 Return],MATCH(Comp1[[#This Row],[Comparable '#1 Dates]],Benchmark1[Benchmark '#1 Dates],0)),"-")</f>
        <v>-1.2882391694522009E-2</v>
      </c>
      <c r="L865" s="72">
        <f>Comp1[[#This Row],[Comparable '#1 Price]]/$B$2*100</f>
        <v>72.210814510609183</v>
      </c>
    </row>
    <row r="866" spans="1:12">
      <c r="A866" s="103">
        <v>44538</v>
      </c>
      <c r="B866" s="104">
        <v>10.95</v>
      </c>
      <c r="C866" s="4">
        <f t="shared" si="26"/>
        <v>3.7213596340434273E-2</v>
      </c>
      <c r="D866" s="1">
        <f>IFERROR(Comp1[[#This Row],[Comparable '#1 Return]]+1,"-")</f>
        <v>1.0372135963404343</v>
      </c>
      <c r="E866" s="6">
        <f>B866-MAX($B$2:B866)</f>
        <v>-10.670000000000002</v>
      </c>
      <c r="F866" s="80">
        <f t="shared" si="27"/>
        <v>469</v>
      </c>
      <c r="G866" s="22" cm="1">
        <f t="array" ref="G866">Comp1[[#This Row],[Comparable '#1 Drawdown]]/MAX($B$2:B866)</f>
        <v>-0.49352451433857547</v>
      </c>
      <c r="H866" s="1" t="str">
        <f>IF(SUM(COUNTIF(Benchmark1[Benchmark '#1 Dates],Comp1[[#This Row],[Comparable '#1 Dates]]),COUNTIF(Benchmark2[Benchmark '#2 Dates],Comp1[[#This Row],[Comparable '#1 Dates]]))=2,"Pass","Fail")</f>
        <v>Pass</v>
      </c>
      <c r="I866" s="1">
        <f>IFERROR(Comp1[[#This Row],[Comparable '#1 Return]]-INDEX(Benchmark1[Benchmark '#1 Return],MATCH(Comp1[[#This Row],[Comparable '#1 Dates]],Benchmark1[Benchmark '#1 Dates],0)),"-")</f>
        <v>3.4132538258006273E-2</v>
      </c>
      <c r="L866" s="72">
        <f>Comp1[[#This Row],[Comparable '#1 Price]]/$B$2*100</f>
        <v>74.948665297741272</v>
      </c>
    </row>
    <row r="867" spans="1:12">
      <c r="A867" s="103">
        <v>44539</v>
      </c>
      <c r="B867" s="104">
        <v>10.51</v>
      </c>
      <c r="C867" s="4">
        <f t="shared" si="26"/>
        <v>-4.1012271373649975E-2</v>
      </c>
      <c r="D867" s="1">
        <f>IFERROR(Comp1[[#This Row],[Comparable '#1 Return]]+1,"-")</f>
        <v>0.95898772862635007</v>
      </c>
      <c r="E867" s="6">
        <f>B867-MAX($B$2:B867)</f>
        <v>-11.110000000000001</v>
      </c>
      <c r="F867" s="80">
        <f t="shared" si="27"/>
        <v>470</v>
      </c>
      <c r="G867" s="22" cm="1">
        <f t="array" ref="G867">Comp1[[#This Row],[Comparable '#1 Drawdown]]/MAX($B$2:B867)</f>
        <v>-0.51387604070305282</v>
      </c>
      <c r="H867" s="1" t="str">
        <f>IF(SUM(COUNTIF(Benchmark1[Benchmark '#1 Dates],Comp1[[#This Row],[Comparable '#1 Dates]]),COUNTIF(Benchmark2[Benchmark '#2 Dates],Comp1[[#This Row],[Comparable '#1 Dates]]))=2,"Pass","Fail")</f>
        <v>Pass</v>
      </c>
      <c r="I867" s="1">
        <f>IFERROR(Comp1[[#This Row],[Comparable '#1 Return]]-INDEX(Benchmark1[Benchmark '#1 Return],MATCH(Comp1[[#This Row],[Comparable '#1 Dates]],Benchmark1[Benchmark '#1 Dates],0)),"-")</f>
        <v>-3.380653428098386E-2</v>
      </c>
      <c r="L867" s="72">
        <f>Comp1[[#This Row],[Comparable '#1 Price]]/$B$2*100</f>
        <v>71.937029431895965</v>
      </c>
    </row>
    <row r="868" spans="1:12">
      <c r="A868" s="103">
        <v>44540</v>
      </c>
      <c r="B868" s="104">
        <v>10.48</v>
      </c>
      <c r="C868" s="4">
        <f t="shared" si="26"/>
        <v>-2.8585059959635372E-3</v>
      </c>
      <c r="D868" s="1">
        <f>IFERROR(Comp1[[#This Row],[Comparable '#1 Return]]+1,"-")</f>
        <v>0.99714149400403651</v>
      </c>
      <c r="E868" s="6">
        <f>B868-MAX($B$2:B868)</f>
        <v>-11.14</v>
      </c>
      <c r="F868" s="80">
        <f t="shared" si="27"/>
        <v>471</v>
      </c>
      <c r="G868" s="22" cm="1">
        <f t="array" ref="G868">Comp1[[#This Row],[Comparable '#1 Drawdown]]/MAX($B$2:B868)</f>
        <v>-0.51526364477335795</v>
      </c>
      <c r="H868" s="1" t="str">
        <f>IF(SUM(COUNTIF(Benchmark1[Benchmark '#1 Dates],Comp1[[#This Row],[Comparable '#1 Dates]]),COUNTIF(Benchmark2[Benchmark '#2 Dates],Comp1[[#This Row],[Comparable '#1 Dates]]))=2,"Pass","Fail")</f>
        <v>Pass</v>
      </c>
      <c r="I868" s="1">
        <f>IFERROR(Comp1[[#This Row],[Comparable '#1 Return]]-INDEX(Benchmark1[Benchmark '#1 Return],MATCH(Comp1[[#This Row],[Comparable '#1 Dates]],Benchmark1[Benchmark '#1 Dates],0)),"-")</f>
        <v>-1.2362343623191517E-2</v>
      </c>
      <c r="L868" s="72">
        <f>Comp1[[#This Row],[Comparable '#1 Price]]/$B$2*100</f>
        <v>71.731690622861052</v>
      </c>
    </row>
    <row r="869" spans="1:12">
      <c r="A869" s="103">
        <v>44543</v>
      </c>
      <c r="B869" s="104">
        <v>10.14</v>
      </c>
      <c r="C869" s="4">
        <f t="shared" si="26"/>
        <v>-3.2980680729859026E-2</v>
      </c>
      <c r="D869" s="1">
        <f>IFERROR(Comp1[[#This Row],[Comparable '#1 Return]]+1,"-")</f>
        <v>0.96701931927014095</v>
      </c>
      <c r="E869" s="6">
        <f>B869-MAX($B$2:B869)</f>
        <v>-11.48</v>
      </c>
      <c r="F869" s="80">
        <f t="shared" si="27"/>
        <v>472</v>
      </c>
      <c r="G869" s="22" cm="1">
        <f t="array" ref="G869">Comp1[[#This Row],[Comparable '#1 Drawdown]]/MAX($B$2:B869)</f>
        <v>-0.53098982423681773</v>
      </c>
      <c r="H869" s="1" t="str">
        <f>IF(SUM(COUNTIF(Benchmark1[Benchmark '#1 Dates],Comp1[[#This Row],[Comparable '#1 Dates]]),COUNTIF(Benchmark2[Benchmark '#2 Dates],Comp1[[#This Row],[Comparable '#1 Dates]]))=2,"Pass","Fail")</f>
        <v>Pass</v>
      </c>
      <c r="I869" s="1">
        <f>IFERROR(Comp1[[#This Row],[Comparable '#1 Return]]-INDEX(Benchmark1[Benchmark '#1 Return],MATCH(Comp1[[#This Row],[Comparable '#1 Dates]],Benchmark1[Benchmark '#1 Dates],0)),"-")</f>
        <v>-2.3802049533694095E-2</v>
      </c>
      <c r="L869" s="72">
        <f>Comp1[[#This Row],[Comparable '#1 Price]]/$B$2*100</f>
        <v>69.404517453798775</v>
      </c>
    </row>
    <row r="870" spans="1:12">
      <c r="A870" s="103">
        <v>44544</v>
      </c>
      <c r="B870" s="104">
        <v>10.16</v>
      </c>
      <c r="C870" s="4">
        <f t="shared" si="26"/>
        <v>1.9704439872987385E-3</v>
      </c>
      <c r="D870" s="1">
        <f>IFERROR(Comp1[[#This Row],[Comparable '#1 Return]]+1,"-")</f>
        <v>1.0019704439872987</v>
      </c>
      <c r="E870" s="6">
        <f>B870-MAX($B$2:B870)</f>
        <v>-11.46</v>
      </c>
      <c r="F870" s="80">
        <f t="shared" si="27"/>
        <v>473</v>
      </c>
      <c r="G870" s="22" cm="1">
        <f t="array" ref="G870">Comp1[[#This Row],[Comparable '#1 Drawdown]]/MAX($B$2:B870)</f>
        <v>-0.53006475485661431</v>
      </c>
      <c r="H870" s="1" t="str">
        <f>IF(SUM(COUNTIF(Benchmark1[Benchmark '#1 Dates],Comp1[[#This Row],[Comparable '#1 Dates]]),COUNTIF(Benchmark2[Benchmark '#2 Dates],Comp1[[#This Row],[Comparable '#1 Dates]]))=2,"Pass","Fail")</f>
        <v>Pass</v>
      </c>
      <c r="I870" s="1">
        <f>IFERROR(Comp1[[#This Row],[Comparable '#1 Return]]-INDEX(Benchmark1[Benchmark '#1 Return],MATCH(Comp1[[#This Row],[Comparable '#1 Dates]],Benchmark1[Benchmark '#1 Dates],0)),"-")</f>
        <v>9.4700485365920989E-3</v>
      </c>
      <c r="L870" s="72">
        <f>Comp1[[#This Row],[Comparable '#1 Price]]/$B$2*100</f>
        <v>69.541409993155384</v>
      </c>
    </row>
    <row r="871" spans="1:12">
      <c r="A871" s="103">
        <v>44545</v>
      </c>
      <c r="B871" s="104">
        <v>10.38</v>
      </c>
      <c r="C871" s="4">
        <f t="shared" si="26"/>
        <v>2.142243558740671E-2</v>
      </c>
      <c r="D871" s="1">
        <f>IFERROR(Comp1[[#This Row],[Comparable '#1 Return]]+1,"-")</f>
        <v>1.0214224355874066</v>
      </c>
      <c r="E871" s="6">
        <f>B871-MAX($B$2:B871)</f>
        <v>-11.24</v>
      </c>
      <c r="F871" s="80">
        <f t="shared" si="27"/>
        <v>474</v>
      </c>
      <c r="G871" s="22" cm="1">
        <f t="array" ref="G871">Comp1[[#This Row],[Comparable '#1 Drawdown]]/MAX($B$2:B871)</f>
        <v>-0.51988899167437552</v>
      </c>
      <c r="H871" s="1" t="str">
        <f>IF(SUM(COUNTIF(Benchmark1[Benchmark '#1 Dates],Comp1[[#This Row],[Comparable '#1 Dates]]),COUNTIF(Benchmark2[Benchmark '#2 Dates],Comp1[[#This Row],[Comparable '#1 Dates]]))=2,"Pass","Fail")</f>
        <v>Pass</v>
      </c>
      <c r="I871" s="1">
        <f>IFERROR(Comp1[[#This Row],[Comparable '#1 Return]]-INDEX(Benchmark1[Benchmark '#1 Return],MATCH(Comp1[[#This Row],[Comparable '#1 Dates]],Benchmark1[Benchmark '#1 Dates],0)),"-")</f>
        <v>5.2048788694625259E-3</v>
      </c>
      <c r="L871" s="72">
        <f>Comp1[[#This Row],[Comparable '#1 Price]]/$B$2*100</f>
        <v>71.047227926078037</v>
      </c>
    </row>
    <row r="872" spans="1:12">
      <c r="A872" s="103">
        <v>44546</v>
      </c>
      <c r="B872" s="104">
        <v>10.64</v>
      </c>
      <c r="C872" s="4">
        <f t="shared" si="26"/>
        <v>2.4739606175755751E-2</v>
      </c>
      <c r="D872" s="1">
        <f>IFERROR(Comp1[[#This Row],[Comparable '#1 Return]]+1,"-")</f>
        <v>1.0247396061757557</v>
      </c>
      <c r="E872" s="6">
        <f>B872-MAX($B$2:B872)</f>
        <v>-10.98</v>
      </c>
      <c r="F872" s="80">
        <f t="shared" si="27"/>
        <v>475</v>
      </c>
      <c r="G872" s="22" cm="1">
        <f t="array" ref="G872">Comp1[[#This Row],[Comparable '#1 Drawdown]]/MAX($B$2:B872)</f>
        <v>-0.50786308973172989</v>
      </c>
      <c r="H872" s="1" t="str">
        <f>IF(SUM(COUNTIF(Benchmark1[Benchmark '#1 Dates],Comp1[[#This Row],[Comparable '#1 Dates]]),COUNTIF(Benchmark2[Benchmark '#2 Dates],Comp1[[#This Row],[Comparable '#1 Dates]]))=2,"Pass","Fail")</f>
        <v>Pass</v>
      </c>
      <c r="I872" s="1">
        <f>IFERROR(Comp1[[#This Row],[Comparable '#1 Return]]-INDEX(Benchmark1[Benchmark '#1 Return],MATCH(Comp1[[#This Row],[Comparable '#1 Dates]],Benchmark1[Benchmark '#1 Dates],0)),"-")</f>
        <v>3.3522004727138781E-2</v>
      </c>
      <c r="L872" s="72">
        <f>Comp1[[#This Row],[Comparable '#1 Price]]/$B$2*100</f>
        <v>72.826830937713908</v>
      </c>
    </row>
    <row r="873" spans="1:12">
      <c r="A873" s="103">
        <v>44547</v>
      </c>
      <c r="B873" s="104">
        <v>11.17</v>
      </c>
      <c r="C873" s="4">
        <f t="shared" si="26"/>
        <v>4.8611129167610914E-2</v>
      </c>
      <c r="D873" s="1">
        <f>IFERROR(Comp1[[#This Row],[Comparable '#1 Return]]+1,"-")</f>
        <v>1.048611129167611</v>
      </c>
      <c r="E873" s="6">
        <f>B873-MAX($B$2:B873)</f>
        <v>-10.450000000000001</v>
      </c>
      <c r="F873" s="80">
        <f t="shared" si="27"/>
        <v>476</v>
      </c>
      <c r="G873" s="22" cm="1">
        <f t="array" ref="G873">Comp1[[#This Row],[Comparable '#1 Drawdown]]/MAX($B$2:B873)</f>
        <v>-0.48334875115633674</v>
      </c>
      <c r="H873" s="1" t="str">
        <f>IF(SUM(COUNTIF(Benchmark1[Benchmark '#1 Dates],Comp1[[#This Row],[Comparable '#1 Dates]]),COUNTIF(Benchmark2[Benchmark '#2 Dates],Comp1[[#This Row],[Comparable '#1 Dates]]))=2,"Pass","Fail")</f>
        <v>Pass</v>
      </c>
      <c r="I873" s="1">
        <f>IFERROR(Comp1[[#This Row],[Comparable '#1 Return]]-INDEX(Benchmark1[Benchmark '#1 Return],MATCH(Comp1[[#This Row],[Comparable '#1 Dates]],Benchmark1[Benchmark '#1 Dates],0)),"-")</f>
        <v>5.8952616171773317E-2</v>
      </c>
      <c r="L873" s="72">
        <f>Comp1[[#This Row],[Comparable '#1 Price]]/$B$2*100</f>
        <v>76.454483230663925</v>
      </c>
    </row>
    <row r="874" spans="1:12">
      <c r="A874" s="103">
        <v>44550</v>
      </c>
      <c r="B874" s="104">
        <v>11.46</v>
      </c>
      <c r="C874" s="4">
        <f t="shared" si="26"/>
        <v>2.5631098205484346E-2</v>
      </c>
      <c r="D874" s="1">
        <f>IFERROR(Comp1[[#This Row],[Comparable '#1 Return]]+1,"-")</f>
        <v>1.0256310982054844</v>
      </c>
      <c r="E874" s="6">
        <f>B874-MAX($B$2:B874)</f>
        <v>-10.16</v>
      </c>
      <c r="F874" s="80">
        <f t="shared" si="27"/>
        <v>477</v>
      </c>
      <c r="G874" s="22" cm="1">
        <f t="array" ref="G874">Comp1[[#This Row],[Comparable '#1 Drawdown]]/MAX($B$2:B874)</f>
        <v>-0.46993524514338575</v>
      </c>
      <c r="H874" s="1" t="str">
        <f>IF(SUM(COUNTIF(Benchmark1[Benchmark '#1 Dates],Comp1[[#This Row],[Comparable '#1 Dates]]),COUNTIF(Benchmark2[Benchmark '#2 Dates],Comp1[[#This Row],[Comparable '#1 Dates]]))=2,"Pass","Fail")</f>
        <v>Pass</v>
      </c>
      <c r="I874" s="1">
        <f>IFERROR(Comp1[[#This Row],[Comparable '#1 Return]]-INDEX(Benchmark1[Benchmark '#1 Return],MATCH(Comp1[[#This Row],[Comparable '#1 Dates]],Benchmark1[Benchmark '#1 Dates],0)),"-")</f>
        <v>3.708485517439046E-2</v>
      </c>
      <c r="L874" s="72">
        <f>Comp1[[#This Row],[Comparable '#1 Price]]/$B$2*100</f>
        <v>78.439425051334709</v>
      </c>
    </row>
    <row r="875" spans="1:12">
      <c r="A875" s="103">
        <v>44551</v>
      </c>
      <c r="B875" s="104">
        <v>12.38</v>
      </c>
      <c r="C875" s="4">
        <f t="shared" si="26"/>
        <v>7.721955596985644E-2</v>
      </c>
      <c r="D875" s="1">
        <f>IFERROR(Comp1[[#This Row],[Comparable '#1 Return]]+1,"-")</f>
        <v>1.0772195559698565</v>
      </c>
      <c r="E875" s="6">
        <f>B875-MAX($B$2:B875)</f>
        <v>-9.24</v>
      </c>
      <c r="F875" s="80">
        <f t="shared" si="27"/>
        <v>478</v>
      </c>
      <c r="G875" s="22" cm="1">
        <f t="array" ref="G875">Comp1[[#This Row],[Comparable '#1 Drawdown]]/MAX($B$2:B875)</f>
        <v>-0.42738205365402404</v>
      </c>
      <c r="H875" s="1" t="str">
        <f>IF(SUM(COUNTIF(Benchmark1[Benchmark '#1 Dates],Comp1[[#This Row],[Comparable '#1 Dates]]),COUNTIF(Benchmark2[Benchmark '#2 Dates],Comp1[[#This Row],[Comparable '#1 Dates]]))=2,"Pass","Fail")</f>
        <v>Pass</v>
      </c>
      <c r="I875" s="1">
        <f>IFERROR(Comp1[[#This Row],[Comparable '#1 Return]]-INDEX(Benchmark1[Benchmark '#1 Return],MATCH(Comp1[[#This Row],[Comparable '#1 Dates]],Benchmark1[Benchmark '#1 Dates],0)),"-")</f>
        <v>5.9597910969672784E-2</v>
      </c>
      <c r="L875" s="72">
        <f>Comp1[[#This Row],[Comparable '#1 Price]]/$B$2*100</f>
        <v>84.73648186173854</v>
      </c>
    </row>
    <row r="876" spans="1:12">
      <c r="A876" s="103">
        <v>44552</v>
      </c>
      <c r="B876" s="104">
        <v>11.99</v>
      </c>
      <c r="C876" s="4">
        <f t="shared" si="26"/>
        <v>-3.2009298217027193E-2</v>
      </c>
      <c r="D876" s="1">
        <f>IFERROR(Comp1[[#This Row],[Comparable '#1 Return]]+1,"-")</f>
        <v>0.96799070178297275</v>
      </c>
      <c r="E876" s="6">
        <f>B876-MAX($B$2:B876)</f>
        <v>-9.6300000000000008</v>
      </c>
      <c r="F876" s="80">
        <f t="shared" si="27"/>
        <v>479</v>
      </c>
      <c r="G876" s="22" cm="1">
        <f t="array" ref="G876">Comp1[[#This Row],[Comparable '#1 Drawdown]]/MAX($B$2:B876)</f>
        <v>-0.4454209065679926</v>
      </c>
      <c r="H876" s="1" t="str">
        <f>IF(SUM(COUNTIF(Benchmark1[Benchmark '#1 Dates],Comp1[[#This Row],[Comparable '#1 Dates]]),COUNTIF(Benchmark2[Benchmark '#2 Dates],Comp1[[#This Row],[Comparable '#1 Dates]]))=2,"Pass","Fail")</f>
        <v>Pass</v>
      </c>
      <c r="I876" s="1">
        <f>IFERROR(Comp1[[#This Row],[Comparable '#1 Return]]-INDEX(Benchmark1[Benchmark '#1 Return],MATCH(Comp1[[#This Row],[Comparable '#1 Dates]],Benchmark1[Benchmark '#1 Dates],0)),"-")</f>
        <v>-4.2139066611538913E-2</v>
      </c>
      <c r="L876" s="72">
        <f>Comp1[[#This Row],[Comparable '#1 Price]]/$B$2*100</f>
        <v>82.067077344284741</v>
      </c>
    </row>
    <row r="877" spans="1:12">
      <c r="A877" s="103">
        <v>44553</v>
      </c>
      <c r="B877" s="104">
        <v>12.18</v>
      </c>
      <c r="C877" s="4">
        <f t="shared" si="26"/>
        <v>1.5722293242328055E-2</v>
      </c>
      <c r="D877" s="1">
        <f>IFERROR(Comp1[[#This Row],[Comparable '#1 Return]]+1,"-")</f>
        <v>1.015722293242328</v>
      </c>
      <c r="E877" s="6">
        <f>B877-MAX($B$2:B877)</f>
        <v>-9.4400000000000013</v>
      </c>
      <c r="F877" s="80">
        <f t="shared" si="27"/>
        <v>480</v>
      </c>
      <c r="G877" s="22" cm="1">
        <f t="array" ref="G877">Comp1[[#This Row],[Comparable '#1 Drawdown]]/MAX($B$2:B877)</f>
        <v>-0.43663274745605923</v>
      </c>
      <c r="H877" s="1" t="str">
        <f>IF(SUM(COUNTIF(Benchmark1[Benchmark '#1 Dates],Comp1[[#This Row],[Comparable '#1 Dates]]),COUNTIF(Benchmark2[Benchmark '#2 Dates],Comp1[[#This Row],[Comparable '#1 Dates]]))=2,"Pass","Fail")</f>
        <v>Pass</v>
      </c>
      <c r="I877" s="1">
        <f>IFERROR(Comp1[[#This Row],[Comparable '#1 Return]]-INDEX(Benchmark1[Benchmark '#1 Return],MATCH(Comp1[[#This Row],[Comparable '#1 Dates]],Benchmark1[Benchmark '#1 Dates],0)),"-")</f>
        <v>9.518582899870693E-3</v>
      </c>
      <c r="L877" s="72">
        <f>Comp1[[#This Row],[Comparable '#1 Price]]/$B$2*100</f>
        <v>83.367556468172495</v>
      </c>
    </row>
    <row r="878" spans="1:12">
      <c r="A878" s="103">
        <v>44557</v>
      </c>
      <c r="B878" s="104">
        <v>12.05</v>
      </c>
      <c r="C878" s="4">
        <f t="shared" si="26"/>
        <v>-1.0730602345086894E-2</v>
      </c>
      <c r="D878" s="1">
        <f>IFERROR(Comp1[[#This Row],[Comparable '#1 Return]]+1,"-")</f>
        <v>0.98926939765491306</v>
      </c>
      <c r="E878" s="6">
        <f>B878-MAX($B$2:B878)</f>
        <v>-9.57</v>
      </c>
      <c r="F878" s="80">
        <f t="shared" si="27"/>
        <v>481</v>
      </c>
      <c r="G878" s="22" cm="1">
        <f t="array" ref="G878">Comp1[[#This Row],[Comparable '#1 Drawdown]]/MAX($B$2:B878)</f>
        <v>-0.44264569842738205</v>
      </c>
      <c r="H878" s="1" t="str">
        <f>IF(SUM(COUNTIF(Benchmark1[Benchmark '#1 Dates],Comp1[[#This Row],[Comparable '#1 Dates]]),COUNTIF(Benchmark2[Benchmark '#2 Dates],Comp1[[#This Row],[Comparable '#1 Dates]]))=2,"Pass","Fail")</f>
        <v>Pass</v>
      </c>
      <c r="I878" s="1">
        <f>IFERROR(Comp1[[#This Row],[Comparable '#1 Return]]-INDEX(Benchmark1[Benchmark '#1 Return],MATCH(Comp1[[#This Row],[Comparable '#1 Dates]],Benchmark1[Benchmark '#1 Dates],0)),"-")</f>
        <v>-2.4475454355392369E-2</v>
      </c>
      <c r="L878" s="72">
        <f>Comp1[[#This Row],[Comparable '#1 Price]]/$B$2*100</f>
        <v>82.477754962354553</v>
      </c>
    </row>
    <row r="879" spans="1:12">
      <c r="A879" s="103">
        <v>44558</v>
      </c>
      <c r="B879" s="104">
        <v>11.98</v>
      </c>
      <c r="C879" s="4">
        <f t="shared" si="26"/>
        <v>-5.8260672493606908E-3</v>
      </c>
      <c r="D879" s="1">
        <f>IFERROR(Comp1[[#This Row],[Comparable '#1 Return]]+1,"-")</f>
        <v>0.99417393275063926</v>
      </c>
      <c r="E879" s="6">
        <f>B879-MAX($B$2:B879)</f>
        <v>-9.64</v>
      </c>
      <c r="F879" s="80">
        <f t="shared" si="27"/>
        <v>482</v>
      </c>
      <c r="G879" s="22" cm="1">
        <f t="array" ref="G879">Comp1[[#This Row],[Comparable '#1 Drawdown]]/MAX($B$2:B879)</f>
        <v>-0.44588344125809437</v>
      </c>
      <c r="H879" s="1" t="str">
        <f>IF(SUM(COUNTIF(Benchmark1[Benchmark '#1 Dates],Comp1[[#This Row],[Comparable '#1 Dates]]),COUNTIF(Benchmark2[Benchmark '#2 Dates],Comp1[[#This Row],[Comparable '#1 Dates]]))=2,"Pass","Fail")</f>
        <v>Pass</v>
      </c>
      <c r="I879" s="1">
        <f>IFERROR(Comp1[[#This Row],[Comparable '#1 Return]]-INDEX(Benchmark1[Benchmark '#1 Return],MATCH(Comp1[[#This Row],[Comparable '#1 Dates]],Benchmark1[Benchmark '#1 Dates],0)),"-")</f>
        <v>-4.8158214078752159E-3</v>
      </c>
      <c r="L879" s="72">
        <f>Comp1[[#This Row],[Comparable '#1 Price]]/$B$2*100</f>
        <v>81.998631074606436</v>
      </c>
    </row>
    <row r="880" spans="1:12">
      <c r="A880" s="103">
        <v>44559</v>
      </c>
      <c r="B880" s="104">
        <v>12.04</v>
      </c>
      <c r="C880" s="4">
        <f t="shared" si="26"/>
        <v>4.9958471933716697E-3</v>
      </c>
      <c r="D880" s="1">
        <f>IFERROR(Comp1[[#This Row],[Comparable '#1 Return]]+1,"-")</f>
        <v>1.0049958471933718</v>
      </c>
      <c r="E880" s="6">
        <f>B880-MAX($B$2:B880)</f>
        <v>-9.5800000000000018</v>
      </c>
      <c r="F880" s="80">
        <f t="shared" si="27"/>
        <v>483</v>
      </c>
      <c r="G880" s="22" cm="1">
        <f t="array" ref="G880">Comp1[[#This Row],[Comparable '#1 Drawdown]]/MAX($B$2:B880)</f>
        <v>-0.44310823311748387</v>
      </c>
      <c r="H880" s="1" t="str">
        <f>IF(SUM(COUNTIF(Benchmark1[Benchmark '#1 Dates],Comp1[[#This Row],[Comparable '#1 Dates]]),COUNTIF(Benchmark2[Benchmark '#2 Dates],Comp1[[#This Row],[Comparable '#1 Dates]]))=2,"Pass","Fail")</f>
        <v>Pass</v>
      </c>
      <c r="I880" s="1">
        <f>IFERROR(Comp1[[#This Row],[Comparable '#1 Return]]-INDEX(Benchmark1[Benchmark '#1 Return],MATCH(Comp1[[#This Row],[Comparable '#1 Dates]],Benchmark1[Benchmark '#1 Dates],0)),"-")</f>
        <v>3.5961777546641427E-3</v>
      </c>
      <c r="L880" s="72">
        <f>Comp1[[#This Row],[Comparable '#1 Price]]/$B$2*100</f>
        <v>82.409308692676248</v>
      </c>
    </row>
    <row r="881" spans="1:12">
      <c r="A881" s="103">
        <v>44560</v>
      </c>
      <c r="B881" s="104">
        <v>12.11</v>
      </c>
      <c r="C881" s="4">
        <f t="shared" si="26"/>
        <v>5.7971176843259146E-3</v>
      </c>
      <c r="D881" s="1">
        <f>IFERROR(Comp1[[#This Row],[Comparable '#1 Return]]+1,"-")</f>
        <v>1.0057971176843259</v>
      </c>
      <c r="E881" s="6">
        <f>B881-MAX($B$2:B881)</f>
        <v>-9.5100000000000016</v>
      </c>
      <c r="F881" s="80">
        <f t="shared" si="27"/>
        <v>484</v>
      </c>
      <c r="G881" s="22" cm="1">
        <f t="array" ref="G881">Comp1[[#This Row],[Comparable '#1 Drawdown]]/MAX($B$2:B881)</f>
        <v>-0.43987049028677155</v>
      </c>
      <c r="H881" s="1" t="str">
        <f>IF(SUM(COUNTIF(Benchmark1[Benchmark '#1 Dates],Comp1[[#This Row],[Comparable '#1 Dates]]),COUNTIF(Benchmark2[Benchmark '#2 Dates],Comp1[[#This Row],[Comparable '#1 Dates]]))=2,"Pass","Fail")</f>
        <v>Pass</v>
      </c>
      <c r="I881" s="1">
        <f>IFERROR(Comp1[[#This Row],[Comparable '#1 Return]]-INDEX(Benchmark1[Benchmark '#1 Return],MATCH(Comp1[[#This Row],[Comparable '#1 Dates]],Benchmark1[Benchmark '#1 Dates],0)),"-")</f>
        <v>8.7915906363210516E-3</v>
      </c>
      <c r="L881" s="72">
        <f>Comp1[[#This Row],[Comparable '#1 Price]]/$B$2*100</f>
        <v>82.888432580424364</v>
      </c>
    </row>
    <row r="882" spans="1:12">
      <c r="A882" s="103">
        <v>44561</v>
      </c>
      <c r="B882" s="104">
        <v>12.24</v>
      </c>
      <c r="C882" s="4">
        <f t="shared" si="26"/>
        <v>1.067771951917911E-2</v>
      </c>
      <c r="D882" s="1">
        <f>IFERROR(Comp1[[#This Row],[Comparable '#1 Return]]+1,"-")</f>
        <v>1.0106777195191792</v>
      </c>
      <c r="E882" s="6">
        <f>B882-MAX($B$2:B882)</f>
        <v>-9.3800000000000008</v>
      </c>
      <c r="F882" s="80">
        <f t="shared" si="27"/>
        <v>485</v>
      </c>
      <c r="G882" s="22" cm="1">
        <f t="array" ref="G882">Comp1[[#This Row],[Comparable '#1 Drawdown]]/MAX($B$2:B882)</f>
        <v>-0.43385753931544868</v>
      </c>
      <c r="H882" s="1" t="str">
        <f>IF(SUM(COUNTIF(Benchmark1[Benchmark '#1 Dates],Comp1[[#This Row],[Comparable '#1 Dates]]),COUNTIF(Benchmark2[Benchmark '#2 Dates],Comp1[[#This Row],[Comparable '#1 Dates]]))=2,"Pass","Fail")</f>
        <v>Pass</v>
      </c>
      <c r="I882" s="1">
        <f>IFERROR(Comp1[[#This Row],[Comparable '#1 Return]]-INDEX(Benchmark1[Benchmark '#1 Return],MATCH(Comp1[[#This Row],[Comparable '#1 Dates]],Benchmark1[Benchmark '#1 Dates],0)),"-")</f>
        <v>1.3306123836206218E-2</v>
      </c>
      <c r="L882" s="72">
        <f>Comp1[[#This Row],[Comparable '#1 Price]]/$B$2*100</f>
        <v>83.778234086242307</v>
      </c>
    </row>
    <row r="883" spans="1:12">
      <c r="A883" s="103">
        <v>44564</v>
      </c>
      <c r="B883" s="104">
        <v>12.01</v>
      </c>
      <c r="C883" s="4">
        <f t="shared" si="26"/>
        <v>-1.8969640992287897E-2</v>
      </c>
      <c r="D883" s="1">
        <f>IFERROR(Comp1[[#This Row],[Comparable '#1 Return]]+1,"-")</f>
        <v>0.98103035900771207</v>
      </c>
      <c r="E883" s="6">
        <f>B883-MAX($B$2:B883)</f>
        <v>-9.6100000000000012</v>
      </c>
      <c r="F883" s="80">
        <f t="shared" si="27"/>
        <v>486</v>
      </c>
      <c r="G883" s="22" cm="1">
        <f t="array" ref="G883">Comp1[[#This Row],[Comparable '#1 Drawdown]]/MAX($B$2:B883)</f>
        <v>-0.44449583718778912</v>
      </c>
      <c r="H883" s="1" t="str">
        <f>IF(SUM(COUNTIF(Benchmark1[Benchmark '#1 Dates],Comp1[[#This Row],[Comparable '#1 Dates]]),COUNTIF(Benchmark2[Benchmark '#2 Dates],Comp1[[#This Row],[Comparable '#1 Dates]]))=2,"Pass","Fail")</f>
        <v>Pass</v>
      </c>
      <c r="I883" s="1">
        <f>IFERROR(Comp1[[#This Row],[Comparable '#1 Return]]-INDEX(Benchmark1[Benchmark '#1 Return],MATCH(Comp1[[#This Row],[Comparable '#1 Dates]],Benchmark1[Benchmark '#1 Dates],0)),"-")</f>
        <v>-2.5323126343882237E-2</v>
      </c>
      <c r="L883" s="72">
        <f>Comp1[[#This Row],[Comparable '#1 Price]]/$B$2*100</f>
        <v>82.203969883641349</v>
      </c>
    </row>
    <row r="884" spans="1:12">
      <c r="A884" s="103">
        <v>44565</v>
      </c>
      <c r="B884" s="104">
        <v>12.01</v>
      </c>
      <c r="C884" s="4">
        <f t="shared" si="26"/>
        <v>0</v>
      </c>
      <c r="D884" s="1">
        <f>IFERROR(Comp1[[#This Row],[Comparable '#1 Return]]+1,"-")</f>
        <v>1</v>
      </c>
      <c r="E884" s="6">
        <f>B884-MAX($B$2:B884)</f>
        <v>-9.6100000000000012</v>
      </c>
      <c r="F884" s="80">
        <f t="shared" si="27"/>
        <v>487</v>
      </c>
      <c r="G884" s="22" cm="1">
        <f t="array" ref="G884">Comp1[[#This Row],[Comparable '#1 Drawdown]]/MAX($B$2:B884)</f>
        <v>-0.44449583718778912</v>
      </c>
      <c r="H884" s="1" t="str">
        <f>IF(SUM(COUNTIF(Benchmark1[Benchmark '#1 Dates],Comp1[[#This Row],[Comparable '#1 Dates]]),COUNTIF(Benchmark2[Benchmark '#2 Dates],Comp1[[#This Row],[Comparable '#1 Dates]]))=2,"Pass","Fail")</f>
        <v>Pass</v>
      </c>
      <c r="I884" s="1">
        <f>IFERROR(Comp1[[#This Row],[Comparable '#1 Return]]-INDEX(Benchmark1[Benchmark '#1 Return],MATCH(Comp1[[#This Row],[Comparable '#1 Dates]],Benchmark1[Benchmark '#1 Dates],0)),"-")</f>
        <v>6.3065571208981792E-4</v>
      </c>
      <c r="L884" s="72">
        <f>Comp1[[#This Row],[Comparable '#1 Price]]/$B$2*100</f>
        <v>82.203969883641349</v>
      </c>
    </row>
    <row r="885" spans="1:12">
      <c r="A885" s="103">
        <v>44566</v>
      </c>
      <c r="B885" s="104">
        <v>11.93</v>
      </c>
      <c r="C885" s="4">
        <f t="shared" si="26"/>
        <v>-6.6833999820673801E-3</v>
      </c>
      <c r="D885" s="1">
        <f>IFERROR(Comp1[[#This Row],[Comparable '#1 Return]]+1,"-")</f>
        <v>0.99331660001793265</v>
      </c>
      <c r="E885" s="6">
        <f>B885-MAX($B$2:B885)</f>
        <v>-9.6900000000000013</v>
      </c>
      <c r="F885" s="80">
        <f t="shared" si="27"/>
        <v>488</v>
      </c>
      <c r="G885" s="22" cm="1">
        <f t="array" ref="G885">Comp1[[#This Row],[Comparable '#1 Drawdown]]/MAX($B$2:B885)</f>
        <v>-0.44819611470860321</v>
      </c>
      <c r="H885" s="1" t="str">
        <f>IF(SUM(COUNTIF(Benchmark1[Benchmark '#1 Dates],Comp1[[#This Row],[Comparable '#1 Dates]]),COUNTIF(Benchmark2[Benchmark '#2 Dates],Comp1[[#This Row],[Comparable '#1 Dates]]))=2,"Pass","Fail")</f>
        <v>Pass</v>
      </c>
      <c r="I885" s="1">
        <f>IFERROR(Comp1[[#This Row],[Comparable '#1 Return]]-INDEX(Benchmark1[Benchmark '#1 Return],MATCH(Comp1[[#This Row],[Comparable '#1 Dates]],Benchmark1[Benchmark '#1 Dates],0)),"-")</f>
        <v>1.2899640528934232E-2</v>
      </c>
      <c r="L885" s="72">
        <f>Comp1[[#This Row],[Comparable '#1 Price]]/$B$2*100</f>
        <v>81.656399726214929</v>
      </c>
    </row>
    <row r="886" spans="1:12">
      <c r="A886" s="103">
        <v>44567</v>
      </c>
      <c r="B886" s="104">
        <v>12.07</v>
      </c>
      <c r="C886" s="4">
        <f t="shared" si="26"/>
        <v>1.1666798999615381E-2</v>
      </c>
      <c r="D886" s="1">
        <f>IFERROR(Comp1[[#This Row],[Comparable '#1 Return]]+1,"-")</f>
        <v>1.0116667989996153</v>
      </c>
      <c r="E886" s="6">
        <f>B886-MAX($B$2:B886)</f>
        <v>-9.5500000000000007</v>
      </c>
      <c r="F886" s="80">
        <f t="shared" si="27"/>
        <v>489</v>
      </c>
      <c r="G886" s="22" cm="1">
        <f t="array" ref="G886">Comp1[[#This Row],[Comparable '#1 Drawdown]]/MAX($B$2:B886)</f>
        <v>-0.44172062904717857</v>
      </c>
      <c r="H886" s="1" t="str">
        <f>IF(SUM(COUNTIF(Benchmark1[Benchmark '#1 Dates],Comp1[[#This Row],[Comparable '#1 Dates]]),COUNTIF(Benchmark2[Benchmark '#2 Dates],Comp1[[#This Row],[Comparable '#1 Dates]]))=2,"Pass","Fail")</f>
        <v>Pass</v>
      </c>
      <c r="I886" s="1">
        <f>IFERROR(Comp1[[#This Row],[Comparable '#1 Return]]-INDEX(Benchmark1[Benchmark '#1 Return],MATCH(Comp1[[#This Row],[Comparable '#1 Dates]],Benchmark1[Benchmark '#1 Dates],0)),"-")</f>
        <v>1.2629812274644787E-2</v>
      </c>
      <c r="L886" s="72">
        <f>Comp1[[#This Row],[Comparable '#1 Price]]/$B$2*100</f>
        <v>82.614647501711161</v>
      </c>
    </row>
    <row r="887" spans="1:12">
      <c r="A887" s="103">
        <v>44568</v>
      </c>
      <c r="B887" s="104">
        <v>12.14</v>
      </c>
      <c r="C887" s="4">
        <f t="shared" si="26"/>
        <v>5.7827505219121269E-3</v>
      </c>
      <c r="D887" s="1">
        <f>IFERROR(Comp1[[#This Row],[Comparable '#1 Return]]+1,"-")</f>
        <v>1.0057827505219121</v>
      </c>
      <c r="E887" s="6">
        <f>B887-MAX($B$2:B887)</f>
        <v>-9.48</v>
      </c>
      <c r="F887" s="80">
        <f t="shared" si="27"/>
        <v>490</v>
      </c>
      <c r="G887" s="22" cm="1">
        <f t="array" ref="G887">Comp1[[#This Row],[Comparable '#1 Drawdown]]/MAX($B$2:B887)</f>
        <v>-0.43848288621646625</v>
      </c>
      <c r="H887" s="1" t="str">
        <f>IF(SUM(COUNTIF(Benchmark1[Benchmark '#1 Dates],Comp1[[#This Row],[Comparable '#1 Dates]]),COUNTIF(Benchmark2[Benchmark '#2 Dates],Comp1[[#This Row],[Comparable '#1 Dates]]))=2,"Pass","Fail")</f>
        <v>Pass</v>
      </c>
      <c r="I887" s="1">
        <f>IFERROR(Comp1[[#This Row],[Comparable '#1 Return]]-INDEX(Benchmark1[Benchmark '#1 Return],MATCH(Comp1[[#This Row],[Comparable '#1 Dates]],Benchmark1[Benchmark '#1 Dates],0)),"-")</f>
        <v>9.8425034331241987E-3</v>
      </c>
      <c r="L887" s="72">
        <f>Comp1[[#This Row],[Comparable '#1 Price]]/$B$2*100</f>
        <v>83.093771389459278</v>
      </c>
    </row>
    <row r="888" spans="1:12">
      <c r="A888" s="103">
        <v>44571</v>
      </c>
      <c r="B888" s="104">
        <v>12.06</v>
      </c>
      <c r="C888" s="4">
        <f t="shared" si="26"/>
        <v>-6.611594332312818E-3</v>
      </c>
      <c r="D888" s="1">
        <f>IFERROR(Comp1[[#This Row],[Comparable '#1 Return]]+1,"-")</f>
        <v>0.99338840566768716</v>
      </c>
      <c r="E888" s="6">
        <f>B888-MAX($B$2:B888)</f>
        <v>-9.56</v>
      </c>
      <c r="F888" s="80">
        <f t="shared" si="27"/>
        <v>491</v>
      </c>
      <c r="G888" s="22" cm="1">
        <f t="array" ref="G888">Comp1[[#This Row],[Comparable '#1 Drawdown]]/MAX($B$2:B888)</f>
        <v>-0.44218316373728028</v>
      </c>
      <c r="H888" s="1" t="str">
        <f>IF(SUM(COUNTIF(Benchmark1[Benchmark '#1 Dates],Comp1[[#This Row],[Comparable '#1 Dates]]),COUNTIF(Benchmark2[Benchmark '#2 Dates],Comp1[[#This Row],[Comparable '#1 Dates]]))=2,"Pass","Fail")</f>
        <v>Pass</v>
      </c>
      <c r="I888" s="1">
        <f>IFERROR(Comp1[[#This Row],[Comparable '#1 Return]]-INDEX(Benchmark1[Benchmark '#1 Return],MATCH(Comp1[[#This Row],[Comparable '#1 Dates]],Benchmark1[Benchmark '#1 Dates],0)),"-")</f>
        <v>-5.1700515820353923E-3</v>
      </c>
      <c r="L888" s="72">
        <f>Comp1[[#This Row],[Comparable '#1 Price]]/$B$2*100</f>
        <v>82.546201232032857</v>
      </c>
    </row>
    <row r="889" spans="1:12">
      <c r="A889" s="103">
        <v>44572</v>
      </c>
      <c r="B889" s="104">
        <v>12.1</v>
      </c>
      <c r="C889" s="4">
        <f t="shared" si="26"/>
        <v>3.3112613036560051E-3</v>
      </c>
      <c r="D889" s="1">
        <f>IFERROR(Comp1[[#This Row],[Comparable '#1 Return]]+1,"-")</f>
        <v>1.0033112613036561</v>
      </c>
      <c r="E889" s="6">
        <f>B889-MAX($B$2:B889)</f>
        <v>-9.5200000000000014</v>
      </c>
      <c r="F889" s="80">
        <f t="shared" si="27"/>
        <v>492</v>
      </c>
      <c r="G889" s="22" cm="1">
        <f t="array" ref="G889">Comp1[[#This Row],[Comparable '#1 Drawdown]]/MAX($B$2:B889)</f>
        <v>-0.44033302497687332</v>
      </c>
      <c r="H889" s="1" t="str">
        <f>IF(SUM(COUNTIF(Benchmark1[Benchmark '#1 Dates],Comp1[[#This Row],[Comparable '#1 Dates]]),COUNTIF(Benchmark2[Benchmark '#2 Dates],Comp1[[#This Row],[Comparable '#1 Dates]]))=2,"Pass","Fail")</f>
        <v>Pass</v>
      </c>
      <c r="I889" s="1">
        <f>IFERROR(Comp1[[#This Row],[Comparable '#1 Return]]-INDEX(Benchmark1[Benchmark '#1 Return],MATCH(Comp1[[#This Row],[Comparable '#1 Dates]],Benchmark1[Benchmark '#1 Dates],0)),"-")</f>
        <v>-5.8064215238571191E-3</v>
      </c>
      <c r="L889" s="72">
        <f>Comp1[[#This Row],[Comparable '#1 Price]]/$B$2*100</f>
        <v>82.81998631074606</v>
      </c>
    </row>
    <row r="890" spans="1:12">
      <c r="A890" s="103">
        <v>44573</v>
      </c>
      <c r="B890" s="104">
        <v>12</v>
      </c>
      <c r="C890" s="4">
        <f t="shared" si="26"/>
        <v>-8.2988028146950658E-3</v>
      </c>
      <c r="D890" s="1">
        <f>IFERROR(Comp1[[#This Row],[Comparable '#1 Return]]+1,"-")</f>
        <v>0.99170119718530492</v>
      </c>
      <c r="E890" s="6">
        <f>B890-MAX($B$2:B890)</f>
        <v>-9.620000000000001</v>
      </c>
      <c r="F890" s="80">
        <f t="shared" si="27"/>
        <v>493</v>
      </c>
      <c r="G890" s="22" cm="1">
        <f t="array" ref="G890">Comp1[[#This Row],[Comparable '#1 Drawdown]]/MAX($B$2:B890)</f>
        <v>-0.44495837187789089</v>
      </c>
      <c r="H890" s="1" t="str">
        <f>IF(SUM(COUNTIF(Benchmark1[Benchmark '#1 Dates],Comp1[[#This Row],[Comparable '#1 Dates]]),COUNTIF(Benchmark2[Benchmark '#2 Dates],Comp1[[#This Row],[Comparable '#1 Dates]]))=2,"Pass","Fail")</f>
        <v>Pass</v>
      </c>
      <c r="I890" s="1">
        <f>IFERROR(Comp1[[#This Row],[Comparable '#1 Return]]-INDEX(Benchmark1[Benchmark '#1 Return],MATCH(Comp1[[#This Row],[Comparable '#1 Dates]],Benchmark1[Benchmark '#1 Dates],0)),"-")</f>
        <v>-1.1112200120938198E-2</v>
      </c>
      <c r="L890" s="72">
        <f>Comp1[[#This Row],[Comparable '#1 Price]]/$B$2*100</f>
        <v>82.135523613963045</v>
      </c>
    </row>
    <row r="891" spans="1:12">
      <c r="A891" s="103">
        <v>44574</v>
      </c>
      <c r="B891" s="104">
        <v>11.85</v>
      </c>
      <c r="C891" s="4">
        <f t="shared" si="26"/>
        <v>-1.2578782206860185E-2</v>
      </c>
      <c r="D891" s="1">
        <f>IFERROR(Comp1[[#This Row],[Comparable '#1 Return]]+1,"-")</f>
        <v>0.98742121779313985</v>
      </c>
      <c r="E891" s="6">
        <f>B891-MAX($B$2:B891)</f>
        <v>-9.7700000000000014</v>
      </c>
      <c r="F891" s="80">
        <f t="shared" si="27"/>
        <v>494</v>
      </c>
      <c r="G891" s="22" cm="1">
        <f t="array" ref="G891">Comp1[[#This Row],[Comparable '#1 Drawdown]]/MAX($B$2:B891)</f>
        <v>-0.45189639222941724</v>
      </c>
      <c r="H891" s="1" t="str">
        <f>IF(SUM(COUNTIF(Benchmark1[Benchmark '#1 Dates],Comp1[[#This Row],[Comparable '#1 Dates]]),COUNTIF(Benchmark2[Benchmark '#2 Dates],Comp1[[#This Row],[Comparable '#1 Dates]]))=2,"Pass","Fail")</f>
        <v>Pass</v>
      </c>
      <c r="I891" s="1">
        <f>IFERROR(Comp1[[#This Row],[Comparable '#1 Return]]-INDEX(Benchmark1[Benchmark '#1 Return],MATCH(Comp1[[#This Row],[Comparable '#1 Dates]],Benchmark1[Benchmark '#1 Dates],0)),"-")</f>
        <v>1.7672432588193131E-3</v>
      </c>
      <c r="L891" s="72">
        <f>Comp1[[#This Row],[Comparable '#1 Price]]/$B$2*100</f>
        <v>81.108829568788494</v>
      </c>
    </row>
    <row r="892" spans="1:12">
      <c r="A892" s="103">
        <v>44575</v>
      </c>
      <c r="B892" s="104">
        <v>11.91</v>
      </c>
      <c r="C892" s="4">
        <f t="shared" si="26"/>
        <v>5.0505157860685716E-3</v>
      </c>
      <c r="D892" s="1">
        <f>IFERROR(Comp1[[#This Row],[Comparable '#1 Return]]+1,"-")</f>
        <v>1.0050505157860685</v>
      </c>
      <c r="E892" s="6">
        <f>B892-MAX($B$2:B892)</f>
        <v>-9.7100000000000009</v>
      </c>
      <c r="F892" s="80">
        <f t="shared" si="27"/>
        <v>495</v>
      </c>
      <c r="G892" s="22" cm="1">
        <f t="array" ref="G892">Comp1[[#This Row],[Comparable '#1 Drawdown]]/MAX($B$2:B892)</f>
        <v>-0.44912118408880669</v>
      </c>
      <c r="H892" s="1" t="str">
        <f>IF(SUM(COUNTIF(Benchmark1[Benchmark '#1 Dates],Comp1[[#This Row],[Comparable '#1 Dates]]),COUNTIF(Benchmark2[Benchmark '#2 Dates],Comp1[[#This Row],[Comparable '#1 Dates]]))=2,"Pass","Fail")</f>
        <v>Pass</v>
      </c>
      <c r="I892" s="1">
        <f>IFERROR(Comp1[[#This Row],[Comparable '#1 Return]]-INDEX(Benchmark1[Benchmark '#1 Return],MATCH(Comp1[[#This Row],[Comparable '#1 Dates]],Benchmark1[Benchmark '#1 Dates],0)),"-")</f>
        <v>4.2290872765714648E-3</v>
      </c>
      <c r="L892" s="72">
        <f>Comp1[[#This Row],[Comparable '#1 Price]]/$B$2*100</f>
        <v>81.51950718685832</v>
      </c>
    </row>
    <row r="893" spans="1:12">
      <c r="A893" s="103">
        <v>44579</v>
      </c>
      <c r="B893" s="104">
        <v>11.76</v>
      </c>
      <c r="C893" s="4">
        <f t="shared" si="26"/>
        <v>-1.2674440896727937E-2</v>
      </c>
      <c r="D893" s="1">
        <f>IFERROR(Comp1[[#This Row],[Comparable '#1 Return]]+1,"-")</f>
        <v>0.98732555910327202</v>
      </c>
      <c r="E893" s="6">
        <f>B893-MAX($B$2:B893)</f>
        <v>-9.8600000000000012</v>
      </c>
      <c r="F893" s="80">
        <f t="shared" si="27"/>
        <v>496</v>
      </c>
      <c r="G893" s="22" cm="1">
        <f t="array" ref="G893">Comp1[[#This Row],[Comparable '#1 Drawdown]]/MAX($B$2:B893)</f>
        <v>-0.45605920444033304</v>
      </c>
      <c r="H893" s="1" t="str">
        <f>IF(SUM(COUNTIF(Benchmark1[Benchmark '#1 Dates],Comp1[[#This Row],[Comparable '#1 Dates]]),COUNTIF(Benchmark2[Benchmark '#2 Dates],Comp1[[#This Row],[Comparable '#1 Dates]]))=2,"Pass","Fail")</f>
        <v>Pass</v>
      </c>
      <c r="I893" s="1">
        <f>IFERROR(Comp1[[#This Row],[Comparable '#1 Return]]-INDEX(Benchmark1[Benchmark '#1 Return],MATCH(Comp1[[#This Row],[Comparable '#1 Dates]],Benchmark1[Benchmark '#1 Dates],0)),"-")</f>
        <v>5.8858464198021307E-3</v>
      </c>
      <c r="L893" s="72">
        <f>Comp1[[#This Row],[Comparable '#1 Price]]/$B$2*100</f>
        <v>80.492813141683783</v>
      </c>
    </row>
    <row r="894" spans="1:12">
      <c r="A894" s="103">
        <v>44580</v>
      </c>
      <c r="B894" s="104">
        <v>11.78</v>
      </c>
      <c r="C894" s="4">
        <f t="shared" si="26"/>
        <v>1.6992357529598428E-3</v>
      </c>
      <c r="D894" s="1">
        <f>IFERROR(Comp1[[#This Row],[Comparable '#1 Return]]+1,"-")</f>
        <v>1.0016992357529599</v>
      </c>
      <c r="E894" s="6">
        <f>B894-MAX($B$2:B894)</f>
        <v>-9.8400000000000016</v>
      </c>
      <c r="F894" s="80">
        <f t="shared" si="27"/>
        <v>497</v>
      </c>
      <c r="G894" s="22" cm="1">
        <f t="array" ref="G894">Comp1[[#This Row],[Comparable '#1 Drawdown]]/MAX($B$2:B894)</f>
        <v>-0.45513413506012956</v>
      </c>
      <c r="H894" s="1" t="str">
        <f>IF(SUM(COUNTIF(Benchmark1[Benchmark '#1 Dates],Comp1[[#This Row],[Comparable '#1 Dates]]),COUNTIF(Benchmark2[Benchmark '#2 Dates],Comp1[[#This Row],[Comparable '#1 Dates]]))=2,"Pass","Fail")</f>
        <v>Pass</v>
      </c>
      <c r="I894" s="1">
        <f>IFERROR(Comp1[[#This Row],[Comparable '#1 Return]]-INDEX(Benchmark1[Benchmark '#1 Return],MATCH(Comp1[[#This Row],[Comparable '#1 Dates]],Benchmark1[Benchmark '#1 Dates],0)),"-")</f>
        <v>1.1435738530549244E-2</v>
      </c>
      <c r="L894" s="72">
        <f>Comp1[[#This Row],[Comparable '#1 Price]]/$B$2*100</f>
        <v>80.629705681040392</v>
      </c>
    </row>
    <row r="895" spans="1:12">
      <c r="A895" s="103">
        <v>44581</v>
      </c>
      <c r="B895" s="104">
        <v>11.81</v>
      </c>
      <c r="C895" s="4">
        <f t="shared" si="26"/>
        <v>2.5434519858303691E-3</v>
      </c>
      <c r="D895" s="1">
        <f>IFERROR(Comp1[[#This Row],[Comparable '#1 Return]]+1,"-")</f>
        <v>1.0025434519858303</v>
      </c>
      <c r="E895" s="6">
        <f>B895-MAX($B$2:B895)</f>
        <v>-9.81</v>
      </c>
      <c r="F895" s="80">
        <f t="shared" si="27"/>
        <v>498</v>
      </c>
      <c r="G895" s="22" cm="1">
        <f t="array" ref="G895">Comp1[[#This Row],[Comparable '#1 Drawdown]]/MAX($B$2:B895)</f>
        <v>-0.45374653098982426</v>
      </c>
      <c r="H895" s="1" t="str">
        <f>IF(SUM(COUNTIF(Benchmark1[Benchmark '#1 Dates],Comp1[[#This Row],[Comparable '#1 Dates]]),COUNTIF(Benchmark2[Benchmark '#2 Dates],Comp1[[#This Row],[Comparable '#1 Dates]]))=2,"Pass","Fail")</f>
        <v>Pass</v>
      </c>
      <c r="I895" s="1">
        <f>IFERROR(Comp1[[#This Row],[Comparable '#1 Return]]-INDEX(Benchmark1[Benchmark '#1 Return],MATCH(Comp1[[#This Row],[Comparable '#1 Dates]],Benchmark1[Benchmark '#1 Dates],0)),"-")</f>
        <v>1.3642693183079271E-2</v>
      </c>
      <c r="L895" s="72">
        <f>Comp1[[#This Row],[Comparable '#1 Price]]/$B$2*100</f>
        <v>80.835044490075305</v>
      </c>
    </row>
    <row r="896" spans="1:12">
      <c r="A896" s="103">
        <v>44582</v>
      </c>
      <c r="B896" s="104">
        <v>11.71</v>
      </c>
      <c r="C896" s="4">
        <f t="shared" si="26"/>
        <v>-8.5034525996448857E-3</v>
      </c>
      <c r="D896" s="1">
        <f>IFERROR(Comp1[[#This Row],[Comparable '#1 Return]]+1,"-")</f>
        <v>0.99149654740035509</v>
      </c>
      <c r="E896" s="6">
        <f>B896-MAX($B$2:B896)</f>
        <v>-9.91</v>
      </c>
      <c r="F896" s="80">
        <f t="shared" si="27"/>
        <v>499</v>
      </c>
      <c r="G896" s="22" cm="1">
        <f t="array" ref="G896">Comp1[[#This Row],[Comparable '#1 Drawdown]]/MAX($B$2:B896)</f>
        <v>-0.45837187789084177</v>
      </c>
      <c r="H896" s="1" t="str">
        <f>IF(SUM(COUNTIF(Benchmark1[Benchmark '#1 Dates],Comp1[[#This Row],[Comparable '#1 Dates]]),COUNTIF(Benchmark2[Benchmark '#2 Dates],Comp1[[#This Row],[Comparable '#1 Dates]]))=2,"Pass","Fail")</f>
        <v>Pass</v>
      </c>
      <c r="I896" s="1">
        <f>IFERROR(Comp1[[#This Row],[Comparable '#1 Return]]-INDEX(Benchmark1[Benchmark '#1 Return],MATCH(Comp1[[#This Row],[Comparable '#1 Dates]],Benchmark1[Benchmark '#1 Dates],0)),"-")</f>
        <v>1.0592186832132202E-2</v>
      </c>
      <c r="L896" s="72">
        <f>Comp1[[#This Row],[Comparable '#1 Price]]/$B$2*100</f>
        <v>80.150581793292275</v>
      </c>
    </row>
    <row r="897" spans="1:12">
      <c r="A897" s="103">
        <v>44585</v>
      </c>
      <c r="B897" s="104">
        <v>11.81</v>
      </c>
      <c r="C897" s="4">
        <f t="shared" si="26"/>
        <v>8.5034525996448892E-3</v>
      </c>
      <c r="D897" s="1">
        <f>IFERROR(Comp1[[#This Row],[Comparable '#1 Return]]+1,"-")</f>
        <v>1.0085034525996448</v>
      </c>
      <c r="E897" s="6">
        <f>B897-MAX($B$2:B897)</f>
        <v>-9.81</v>
      </c>
      <c r="F897" s="80">
        <f t="shared" si="27"/>
        <v>500</v>
      </c>
      <c r="G897" s="22" cm="1">
        <f t="array" ref="G897">Comp1[[#This Row],[Comparable '#1 Drawdown]]/MAX($B$2:B897)</f>
        <v>-0.45374653098982426</v>
      </c>
      <c r="H897" s="1" t="str">
        <f>IF(SUM(COUNTIF(Benchmark1[Benchmark '#1 Dates],Comp1[[#This Row],[Comparable '#1 Dates]]),COUNTIF(Benchmark2[Benchmark '#2 Dates],Comp1[[#This Row],[Comparable '#1 Dates]]))=2,"Pass","Fail")</f>
        <v>Pass</v>
      </c>
      <c r="I897" s="1">
        <f>IFERROR(Comp1[[#This Row],[Comparable '#1 Return]]-INDEX(Benchmark1[Benchmark '#1 Return],MATCH(Comp1[[#This Row],[Comparable '#1 Dates]],Benchmark1[Benchmark '#1 Dates],0)),"-")</f>
        <v>5.7359305623277904E-3</v>
      </c>
      <c r="L897" s="72">
        <f>Comp1[[#This Row],[Comparable '#1 Price]]/$B$2*100</f>
        <v>80.835044490075305</v>
      </c>
    </row>
    <row r="898" spans="1:12">
      <c r="A898" s="103">
        <v>44586</v>
      </c>
      <c r="B898" s="104">
        <v>11.75</v>
      </c>
      <c r="C898" s="4">
        <f t="shared" ref="C898:C961" si="28">IFERROR(IF(B898="","-",LN(B898/B897)),"-")</f>
        <v>-5.0933896191030122E-3</v>
      </c>
      <c r="D898" s="1">
        <f>IFERROR(Comp1[[#This Row],[Comparable '#1 Return]]+1,"-")</f>
        <v>0.99490661038089701</v>
      </c>
      <c r="E898" s="6">
        <f>B898-MAX($B$2:B898)</f>
        <v>-9.870000000000001</v>
      </c>
      <c r="F898" s="80">
        <f t="shared" ref="F898:F961" si="29">IF(E898=0,0,F897+1)</f>
        <v>501</v>
      </c>
      <c r="G898" s="22" cm="1">
        <f t="array" ref="G898">Comp1[[#This Row],[Comparable '#1 Drawdown]]/MAX($B$2:B898)</f>
        <v>-0.45652173913043481</v>
      </c>
      <c r="H898" s="1" t="str">
        <f>IF(SUM(COUNTIF(Benchmark1[Benchmark '#1 Dates],Comp1[[#This Row],[Comparable '#1 Dates]]),COUNTIF(Benchmark2[Benchmark '#2 Dates],Comp1[[#This Row],[Comparable '#1 Dates]]))=2,"Pass","Fail")</f>
        <v>Pass</v>
      </c>
      <c r="I898" s="1">
        <f>IFERROR(Comp1[[#This Row],[Comparable '#1 Return]]-INDEX(Benchmark1[Benchmark '#1 Return],MATCH(Comp1[[#This Row],[Comparable '#1 Dates]],Benchmark1[Benchmark '#1 Dates],0)),"-")</f>
        <v>7.1517991922996557E-3</v>
      </c>
      <c r="L898" s="72">
        <f>Comp1[[#This Row],[Comparable '#1 Price]]/$B$2*100</f>
        <v>80.424366872005479</v>
      </c>
    </row>
    <row r="899" spans="1:12">
      <c r="A899" s="103">
        <v>44587</v>
      </c>
      <c r="B899" s="104">
        <v>11.79</v>
      </c>
      <c r="C899" s="4">
        <f t="shared" si="28"/>
        <v>3.3984739591115514E-3</v>
      </c>
      <c r="D899" s="1">
        <f>IFERROR(Comp1[[#This Row],[Comparable '#1 Return]]+1,"-")</f>
        <v>1.0033984739591115</v>
      </c>
      <c r="E899" s="6">
        <f>B899-MAX($B$2:B899)</f>
        <v>-9.8300000000000018</v>
      </c>
      <c r="F899" s="80">
        <f t="shared" si="29"/>
        <v>502</v>
      </c>
      <c r="G899" s="22" cm="1">
        <f t="array" ref="G899">Comp1[[#This Row],[Comparable '#1 Drawdown]]/MAX($B$2:B899)</f>
        <v>-0.4546716003700278</v>
      </c>
      <c r="H899" s="1" t="str">
        <f>IF(SUM(COUNTIF(Benchmark1[Benchmark '#1 Dates],Comp1[[#This Row],[Comparable '#1 Dates]]),COUNTIF(Benchmark2[Benchmark '#2 Dates],Comp1[[#This Row],[Comparable '#1 Dates]]))=2,"Pass","Fail")</f>
        <v>Pass</v>
      </c>
      <c r="I899" s="1">
        <f>IFERROR(Comp1[[#This Row],[Comparable '#1 Return]]-INDEX(Benchmark1[Benchmark '#1 Return],MATCH(Comp1[[#This Row],[Comparable '#1 Dates]],Benchmark1[Benchmark '#1 Dates],0)),"-")</f>
        <v>4.897429515804603E-3</v>
      </c>
      <c r="L899" s="72">
        <f>Comp1[[#This Row],[Comparable '#1 Price]]/$B$2*100</f>
        <v>80.698151950718682</v>
      </c>
    </row>
    <row r="900" spans="1:12">
      <c r="A900" s="103">
        <v>44588</v>
      </c>
      <c r="B900" s="104">
        <v>11.53</v>
      </c>
      <c r="C900" s="4">
        <f t="shared" si="28"/>
        <v>-2.2299380268311877E-2</v>
      </c>
      <c r="D900" s="1">
        <f>IFERROR(Comp1[[#This Row],[Comparable '#1 Return]]+1,"-")</f>
        <v>0.97770061973168809</v>
      </c>
      <c r="E900" s="6">
        <f>B900-MAX($B$2:B900)</f>
        <v>-10.090000000000002</v>
      </c>
      <c r="F900" s="80">
        <f t="shared" si="29"/>
        <v>503</v>
      </c>
      <c r="G900" s="22" cm="1">
        <f t="array" ref="G900">Comp1[[#This Row],[Comparable '#1 Drawdown]]/MAX($B$2:B900)</f>
        <v>-0.46669750231267348</v>
      </c>
      <c r="H900" s="1" t="str">
        <f>IF(SUM(COUNTIF(Benchmark1[Benchmark '#1 Dates],Comp1[[#This Row],[Comparable '#1 Dates]]),COUNTIF(Benchmark2[Benchmark '#2 Dates],Comp1[[#This Row],[Comparable '#1 Dates]]))=2,"Pass","Fail")</f>
        <v>Pass</v>
      </c>
      <c r="I900" s="1">
        <f>IFERROR(Comp1[[#This Row],[Comparable '#1 Return]]-INDEX(Benchmark1[Benchmark '#1 Return],MATCH(Comp1[[#This Row],[Comparable '#1 Dates]],Benchmark1[Benchmark '#1 Dates],0)),"-")</f>
        <v>-1.6902004250620613E-2</v>
      </c>
      <c r="L900" s="72">
        <f>Comp1[[#This Row],[Comparable '#1 Price]]/$B$2*100</f>
        <v>78.918548939082825</v>
      </c>
    </row>
    <row r="901" spans="1:12">
      <c r="A901" s="103">
        <v>44589</v>
      </c>
      <c r="B901" s="104">
        <v>12.07</v>
      </c>
      <c r="C901" s="4">
        <f t="shared" si="28"/>
        <v>4.577070082847251E-2</v>
      </c>
      <c r="D901" s="1">
        <f>IFERROR(Comp1[[#This Row],[Comparable '#1 Return]]+1,"-")</f>
        <v>1.0457707008284725</v>
      </c>
      <c r="E901" s="6">
        <f>B901-MAX($B$2:B901)</f>
        <v>-9.5500000000000007</v>
      </c>
      <c r="F901" s="80">
        <f t="shared" si="29"/>
        <v>504</v>
      </c>
      <c r="G901" s="22" cm="1">
        <f t="array" ref="G901">Comp1[[#This Row],[Comparable '#1 Drawdown]]/MAX($B$2:B901)</f>
        <v>-0.44172062904717857</v>
      </c>
      <c r="H901" s="1" t="str">
        <f>IF(SUM(COUNTIF(Benchmark1[Benchmark '#1 Dates],Comp1[[#This Row],[Comparable '#1 Dates]]),COUNTIF(Benchmark2[Benchmark '#2 Dates],Comp1[[#This Row],[Comparable '#1 Dates]]))=2,"Pass","Fail")</f>
        <v>Pass</v>
      </c>
      <c r="I901" s="1">
        <f>IFERROR(Comp1[[#This Row],[Comparable '#1 Return]]-INDEX(Benchmark1[Benchmark '#1 Return],MATCH(Comp1[[#This Row],[Comparable '#1 Dates]],Benchmark1[Benchmark '#1 Dates],0)),"-")</f>
        <v>2.1715858941003793E-2</v>
      </c>
      <c r="L901" s="72">
        <f>Comp1[[#This Row],[Comparable '#1 Price]]/$B$2*100</f>
        <v>82.614647501711161</v>
      </c>
    </row>
    <row r="902" spans="1:12">
      <c r="A902" s="103">
        <v>44592</v>
      </c>
      <c r="B902" s="104">
        <v>12.65</v>
      </c>
      <c r="C902" s="4">
        <f t="shared" si="28"/>
        <v>4.6934180064089108E-2</v>
      </c>
      <c r="D902" s="1">
        <f>IFERROR(Comp1[[#This Row],[Comparable '#1 Return]]+1,"-")</f>
        <v>1.046934180064089</v>
      </c>
      <c r="E902" s="6">
        <f>B902-MAX($B$2:B902)</f>
        <v>-8.9700000000000006</v>
      </c>
      <c r="F902" s="80">
        <f t="shared" si="29"/>
        <v>505</v>
      </c>
      <c r="G902" s="22" cm="1">
        <f t="array" ref="G902">Comp1[[#This Row],[Comparable '#1 Drawdown]]/MAX($B$2:B902)</f>
        <v>-0.41489361702127658</v>
      </c>
      <c r="H902" s="1" t="str">
        <f>IF(SUM(COUNTIF(Benchmark1[Benchmark '#1 Dates],Comp1[[#This Row],[Comparable '#1 Dates]]),COUNTIF(Benchmark2[Benchmark '#2 Dates],Comp1[[#This Row],[Comparable '#1 Dates]]))=2,"Pass","Fail")</f>
        <v>Pass</v>
      </c>
      <c r="I902" s="1">
        <f>IFERROR(Comp1[[#This Row],[Comparable '#1 Return]]-INDEX(Benchmark1[Benchmark '#1 Return],MATCH(Comp1[[#This Row],[Comparable '#1 Dates]],Benchmark1[Benchmark '#1 Dates],0)),"-")</f>
        <v>2.8224625911812986E-2</v>
      </c>
      <c r="L902" s="72">
        <f>Comp1[[#This Row],[Comparable '#1 Price]]/$B$2*100</f>
        <v>86.584531143052715</v>
      </c>
    </row>
    <row r="903" spans="1:12">
      <c r="A903" s="103">
        <v>44593</v>
      </c>
      <c r="B903" s="104">
        <v>12.25</v>
      </c>
      <c r="C903" s="4">
        <f t="shared" si="28"/>
        <v>-3.2131278182793294E-2</v>
      </c>
      <c r="D903" s="1">
        <f>IFERROR(Comp1[[#This Row],[Comparable '#1 Return]]+1,"-")</f>
        <v>0.96786872181720673</v>
      </c>
      <c r="E903" s="6">
        <f>B903-MAX($B$2:B903)</f>
        <v>-9.370000000000001</v>
      </c>
      <c r="F903" s="80">
        <f t="shared" si="29"/>
        <v>506</v>
      </c>
      <c r="G903" s="22" cm="1">
        <f t="array" ref="G903">Comp1[[#This Row],[Comparable '#1 Drawdown]]/MAX($B$2:B903)</f>
        <v>-0.43339500462534691</v>
      </c>
      <c r="H903" s="1" t="str">
        <f>IF(SUM(COUNTIF(Benchmark1[Benchmark '#1 Dates],Comp1[[#This Row],[Comparable '#1 Dates]]),COUNTIF(Benchmark2[Benchmark '#2 Dates],Comp1[[#This Row],[Comparable '#1 Dates]]))=2,"Pass","Fail")</f>
        <v>Pass</v>
      </c>
      <c r="I903" s="1">
        <f>IFERROR(Comp1[[#This Row],[Comparable '#1 Return]]-INDEX(Benchmark1[Benchmark '#1 Return],MATCH(Comp1[[#This Row],[Comparable '#1 Dates]],Benchmark1[Benchmark '#1 Dates],0)),"-")</f>
        <v>-3.8971108604689407E-2</v>
      </c>
      <c r="L903" s="72">
        <f>Comp1[[#This Row],[Comparable '#1 Price]]/$B$2*100</f>
        <v>83.846680355920611</v>
      </c>
    </row>
    <row r="904" spans="1:12">
      <c r="A904" s="103">
        <v>44594</v>
      </c>
      <c r="B904" s="104">
        <v>12.37</v>
      </c>
      <c r="C904" s="4">
        <f t="shared" si="28"/>
        <v>9.7482494136604363E-3</v>
      </c>
      <c r="D904" s="1">
        <f>IFERROR(Comp1[[#This Row],[Comparable '#1 Return]]+1,"-")</f>
        <v>1.0097482494136605</v>
      </c>
      <c r="E904" s="6">
        <f>B904-MAX($B$2:B904)</f>
        <v>-9.2500000000000018</v>
      </c>
      <c r="F904" s="80">
        <f t="shared" si="29"/>
        <v>507</v>
      </c>
      <c r="G904" s="22" cm="1">
        <f t="array" ref="G904">Comp1[[#This Row],[Comparable '#1 Drawdown]]/MAX($B$2:B904)</f>
        <v>-0.42784458834412586</v>
      </c>
      <c r="H904" s="1" t="str">
        <f>IF(SUM(COUNTIF(Benchmark1[Benchmark '#1 Dates],Comp1[[#This Row],[Comparable '#1 Dates]]),COUNTIF(Benchmark2[Benchmark '#2 Dates],Comp1[[#This Row],[Comparable '#1 Dates]]))=2,"Pass","Fail")</f>
        <v>Pass</v>
      </c>
      <c r="I904" s="1">
        <f>IFERROR(Comp1[[#This Row],[Comparable '#1 Return]]-INDEX(Benchmark1[Benchmark '#1 Return],MATCH(Comp1[[#This Row],[Comparable '#1 Dates]],Benchmark1[Benchmark '#1 Dates],0)),"-")</f>
        <v>3.7035016714347807E-4</v>
      </c>
      <c r="L904" s="72">
        <f>Comp1[[#This Row],[Comparable '#1 Price]]/$B$2*100</f>
        <v>84.668035592060235</v>
      </c>
    </row>
    <row r="905" spans="1:12">
      <c r="A905" s="103">
        <v>44595</v>
      </c>
      <c r="B905" s="104">
        <v>12.25</v>
      </c>
      <c r="C905" s="4">
        <f t="shared" si="28"/>
        <v>-9.7482494136604779E-3</v>
      </c>
      <c r="D905" s="1">
        <f>IFERROR(Comp1[[#This Row],[Comparable '#1 Return]]+1,"-")</f>
        <v>0.99025175058633952</v>
      </c>
      <c r="E905" s="6">
        <f>B905-MAX($B$2:B905)</f>
        <v>-9.370000000000001</v>
      </c>
      <c r="F905" s="80">
        <f t="shared" si="29"/>
        <v>508</v>
      </c>
      <c r="G905" s="22" cm="1">
        <f t="array" ref="G905">Comp1[[#This Row],[Comparable '#1 Drawdown]]/MAX($B$2:B905)</f>
        <v>-0.43339500462534691</v>
      </c>
      <c r="H905" s="1" t="str">
        <f>IF(SUM(COUNTIF(Benchmark1[Benchmark '#1 Dates],Comp1[[#This Row],[Comparable '#1 Dates]]),COUNTIF(Benchmark2[Benchmark '#2 Dates],Comp1[[#This Row],[Comparable '#1 Dates]]))=2,"Pass","Fail")</f>
        <v>Pass</v>
      </c>
      <c r="I905" s="1">
        <f>IFERROR(Comp1[[#This Row],[Comparable '#1 Return]]-INDEX(Benchmark1[Benchmark '#1 Return],MATCH(Comp1[[#This Row],[Comparable '#1 Dates]],Benchmark1[Benchmark '#1 Dates],0)),"-")</f>
        <v>1.4944048787653031E-2</v>
      </c>
      <c r="L905" s="72">
        <f>Comp1[[#This Row],[Comparable '#1 Price]]/$B$2*100</f>
        <v>83.846680355920611</v>
      </c>
    </row>
    <row r="906" spans="1:12">
      <c r="A906" s="103">
        <v>44596</v>
      </c>
      <c r="B906" s="104">
        <v>12.55</v>
      </c>
      <c r="C906" s="4">
        <f t="shared" si="28"/>
        <v>2.4194728587056971E-2</v>
      </c>
      <c r="D906" s="1">
        <f>IFERROR(Comp1[[#This Row],[Comparable '#1 Return]]+1,"-")</f>
        <v>1.024194728587057</v>
      </c>
      <c r="E906" s="6">
        <f>B906-MAX($B$2:B906)</f>
        <v>-9.07</v>
      </c>
      <c r="F906" s="80">
        <f t="shared" si="29"/>
        <v>509</v>
      </c>
      <c r="G906" s="22" cm="1">
        <f t="array" ref="G906">Comp1[[#This Row],[Comparable '#1 Drawdown]]/MAX($B$2:B906)</f>
        <v>-0.41951896392229415</v>
      </c>
      <c r="H906" s="1" t="str">
        <f>IF(SUM(COUNTIF(Benchmark1[Benchmark '#1 Dates],Comp1[[#This Row],[Comparable '#1 Dates]]),COUNTIF(Benchmark2[Benchmark '#2 Dates],Comp1[[#This Row],[Comparable '#1 Dates]]))=2,"Pass","Fail")</f>
        <v>Pass</v>
      </c>
      <c r="I906" s="1">
        <f>IFERROR(Comp1[[#This Row],[Comparable '#1 Return]]-INDEX(Benchmark1[Benchmark '#1 Return],MATCH(Comp1[[#This Row],[Comparable '#1 Dates]],Benchmark1[Benchmark '#1 Dates],0)),"-")</f>
        <v>1.9051128166599342E-2</v>
      </c>
      <c r="L906" s="72">
        <f>Comp1[[#This Row],[Comparable '#1 Price]]/$B$2*100</f>
        <v>85.900068446269685</v>
      </c>
    </row>
    <row r="907" spans="1:12">
      <c r="A907" s="103">
        <v>44599</v>
      </c>
      <c r="B907" s="104">
        <v>12.34</v>
      </c>
      <c r="C907" s="4">
        <f t="shared" si="28"/>
        <v>-1.6874647100551258E-2</v>
      </c>
      <c r="D907" s="1">
        <f>IFERROR(Comp1[[#This Row],[Comparable '#1 Return]]+1,"-")</f>
        <v>0.98312535289944869</v>
      </c>
      <c r="E907" s="6">
        <f>B907-MAX($B$2:B907)</f>
        <v>-9.2800000000000011</v>
      </c>
      <c r="F907" s="80">
        <f t="shared" si="29"/>
        <v>510</v>
      </c>
      <c r="G907" s="22" cm="1">
        <f t="array" ref="G907">Comp1[[#This Row],[Comparable '#1 Drawdown]]/MAX($B$2:B907)</f>
        <v>-0.42923219241443111</v>
      </c>
      <c r="H907" s="1" t="str">
        <f>IF(SUM(COUNTIF(Benchmark1[Benchmark '#1 Dates],Comp1[[#This Row],[Comparable '#1 Dates]]),COUNTIF(Benchmark2[Benchmark '#2 Dates],Comp1[[#This Row],[Comparable '#1 Dates]]))=2,"Pass","Fail")</f>
        <v>Pass</v>
      </c>
      <c r="I907" s="1">
        <f>IFERROR(Comp1[[#This Row],[Comparable '#1 Return]]-INDEX(Benchmark1[Benchmark '#1 Return],MATCH(Comp1[[#This Row],[Comparable '#1 Dates]],Benchmark1[Benchmark '#1 Dates],0)),"-")</f>
        <v>-1.316461879697781E-2</v>
      </c>
      <c r="L907" s="72">
        <f>Comp1[[#This Row],[Comparable '#1 Price]]/$B$2*100</f>
        <v>84.462696783025322</v>
      </c>
    </row>
    <row r="908" spans="1:12">
      <c r="A908" s="103">
        <v>44600</v>
      </c>
      <c r="B908" s="104">
        <v>12.49</v>
      </c>
      <c r="C908" s="4">
        <f t="shared" si="28"/>
        <v>1.2082305660244579E-2</v>
      </c>
      <c r="D908" s="1">
        <f>IFERROR(Comp1[[#This Row],[Comparable '#1 Return]]+1,"-")</f>
        <v>1.0120823056602446</v>
      </c>
      <c r="E908" s="6">
        <f>B908-MAX($B$2:B908)</f>
        <v>-9.1300000000000008</v>
      </c>
      <c r="F908" s="80">
        <f t="shared" si="29"/>
        <v>511</v>
      </c>
      <c r="G908" s="22" cm="1">
        <f t="array" ref="G908">Comp1[[#This Row],[Comparable '#1 Drawdown]]/MAX($B$2:B908)</f>
        <v>-0.42229417206290476</v>
      </c>
      <c r="H908" s="1" t="str">
        <f>IF(SUM(COUNTIF(Benchmark1[Benchmark '#1 Dates],Comp1[[#This Row],[Comparable '#1 Dates]]),COUNTIF(Benchmark2[Benchmark '#2 Dates],Comp1[[#This Row],[Comparable '#1 Dates]]))=2,"Pass","Fail")</f>
        <v>Pass</v>
      </c>
      <c r="I908" s="1">
        <f>IFERROR(Comp1[[#This Row],[Comparable '#1 Return]]-INDEX(Benchmark1[Benchmark '#1 Return],MATCH(Comp1[[#This Row],[Comparable '#1 Dates]],Benchmark1[Benchmark '#1 Dates],0)),"-")</f>
        <v>3.7153757336359002E-3</v>
      </c>
      <c r="L908" s="72">
        <f>Comp1[[#This Row],[Comparable '#1 Price]]/$B$2*100</f>
        <v>85.489390828199859</v>
      </c>
    </row>
    <row r="909" spans="1:12">
      <c r="A909" s="103">
        <v>44601</v>
      </c>
      <c r="B909" s="104">
        <v>13.03</v>
      </c>
      <c r="C909" s="4">
        <f t="shared" si="28"/>
        <v>4.2326066999267435E-2</v>
      </c>
      <c r="D909" s="1">
        <f>IFERROR(Comp1[[#This Row],[Comparable '#1 Return]]+1,"-")</f>
        <v>1.0423260669992673</v>
      </c>
      <c r="E909" s="6">
        <f>B909-MAX($B$2:B909)</f>
        <v>-8.5900000000000016</v>
      </c>
      <c r="F909" s="80">
        <f t="shared" si="29"/>
        <v>512</v>
      </c>
      <c r="G909" s="22" cm="1">
        <f t="array" ref="G909">Comp1[[#This Row],[Comparable '#1 Drawdown]]/MAX($B$2:B909)</f>
        <v>-0.39731729879740985</v>
      </c>
      <c r="H909" s="1" t="str">
        <f>IF(SUM(COUNTIF(Benchmark1[Benchmark '#1 Dates],Comp1[[#This Row],[Comparable '#1 Dates]]),COUNTIF(Benchmark2[Benchmark '#2 Dates],Comp1[[#This Row],[Comparable '#1 Dates]]))=2,"Pass","Fail")</f>
        <v>Pass</v>
      </c>
      <c r="I909" s="1">
        <f>IFERROR(Comp1[[#This Row],[Comparable '#1 Return]]-INDEX(Benchmark1[Benchmark '#1 Return],MATCH(Comp1[[#This Row],[Comparable '#1 Dates]],Benchmark1[Benchmark '#1 Dates],0)),"-")</f>
        <v>2.7913245998133517E-2</v>
      </c>
      <c r="L909" s="72">
        <f>Comp1[[#This Row],[Comparable '#1 Price]]/$B$2*100</f>
        <v>89.185489390828195</v>
      </c>
    </row>
    <row r="910" spans="1:12">
      <c r="A910" s="103">
        <v>44602</v>
      </c>
      <c r="B910" s="104">
        <v>12.57</v>
      </c>
      <c r="C910" s="4">
        <f t="shared" si="28"/>
        <v>-3.5941368534597666E-2</v>
      </c>
      <c r="D910" s="1">
        <f>IFERROR(Comp1[[#This Row],[Comparable '#1 Return]]+1,"-")</f>
        <v>0.96405863146540238</v>
      </c>
      <c r="E910" s="6">
        <f>B910-MAX($B$2:B910)</f>
        <v>-9.0500000000000007</v>
      </c>
      <c r="F910" s="80">
        <f t="shared" si="29"/>
        <v>513</v>
      </c>
      <c r="G910" s="22" cm="1">
        <f t="array" ref="G910">Comp1[[#This Row],[Comparable '#1 Drawdown]]/MAX($B$2:B910)</f>
        <v>-0.41859389454209067</v>
      </c>
      <c r="H910" s="1" t="str">
        <f>IF(SUM(COUNTIF(Benchmark1[Benchmark '#1 Dates],Comp1[[#This Row],[Comparable '#1 Dates]]),COUNTIF(Benchmark2[Benchmark '#2 Dates],Comp1[[#This Row],[Comparable '#1 Dates]]))=2,"Pass","Fail")</f>
        <v>Pass</v>
      </c>
      <c r="I910" s="1">
        <f>IFERROR(Comp1[[#This Row],[Comparable '#1 Return]]-INDEX(Benchmark1[Benchmark '#1 Return],MATCH(Comp1[[#This Row],[Comparable '#1 Dates]],Benchmark1[Benchmark '#1 Dates],0)),"-")</f>
        <v>-1.766087003462322E-2</v>
      </c>
      <c r="L910" s="72">
        <f>Comp1[[#This Row],[Comparable '#1 Price]]/$B$2*100</f>
        <v>86.036960985626294</v>
      </c>
    </row>
    <row r="911" spans="1:12">
      <c r="A911" s="103">
        <v>44603</v>
      </c>
      <c r="B911" s="104">
        <v>12.27</v>
      </c>
      <c r="C911" s="4">
        <f t="shared" si="28"/>
        <v>-2.4155763879336038E-2</v>
      </c>
      <c r="D911" s="1">
        <f>IFERROR(Comp1[[#This Row],[Comparable '#1 Return]]+1,"-")</f>
        <v>0.97584423612066395</v>
      </c>
      <c r="E911" s="6">
        <f>B911-MAX($B$2:B911)</f>
        <v>-9.3500000000000014</v>
      </c>
      <c r="F911" s="80">
        <f t="shared" si="29"/>
        <v>514</v>
      </c>
      <c r="G911" s="22" cm="1">
        <f t="array" ref="G911">Comp1[[#This Row],[Comparable '#1 Drawdown]]/MAX($B$2:B911)</f>
        <v>-0.43246993524514343</v>
      </c>
      <c r="H911" s="1" t="str">
        <f>IF(SUM(COUNTIF(Benchmark1[Benchmark '#1 Dates],Comp1[[#This Row],[Comparable '#1 Dates]]),COUNTIF(Benchmark2[Benchmark '#2 Dates],Comp1[[#This Row],[Comparable '#1 Dates]]))=2,"Pass","Fail")</f>
        <v>Pass</v>
      </c>
      <c r="I911" s="1">
        <f>IFERROR(Comp1[[#This Row],[Comparable '#1 Return]]-INDEX(Benchmark1[Benchmark '#1 Return],MATCH(Comp1[[#This Row],[Comparable '#1 Dates]],Benchmark1[Benchmark '#1 Dates],0)),"-")</f>
        <v>-5.002216579775922E-3</v>
      </c>
      <c r="L911" s="72">
        <f>Comp1[[#This Row],[Comparable '#1 Price]]/$B$2*100</f>
        <v>83.983572895277206</v>
      </c>
    </row>
    <row r="912" spans="1:12">
      <c r="A912" s="103">
        <v>44606</v>
      </c>
      <c r="B912" s="104">
        <v>12.49</v>
      </c>
      <c r="C912" s="4">
        <f t="shared" si="28"/>
        <v>1.777106541466621E-2</v>
      </c>
      <c r="D912" s="1">
        <f>IFERROR(Comp1[[#This Row],[Comparable '#1 Return]]+1,"-")</f>
        <v>1.0177710654146661</v>
      </c>
      <c r="E912" s="6">
        <f>B912-MAX($B$2:B912)</f>
        <v>-9.1300000000000008</v>
      </c>
      <c r="F912" s="80">
        <f t="shared" si="29"/>
        <v>515</v>
      </c>
      <c r="G912" s="22" cm="1">
        <f t="array" ref="G912">Comp1[[#This Row],[Comparable '#1 Drawdown]]/MAX($B$2:B912)</f>
        <v>-0.42229417206290476</v>
      </c>
      <c r="H912" s="1" t="str">
        <f>IF(SUM(COUNTIF(Benchmark1[Benchmark '#1 Dates],Comp1[[#This Row],[Comparable '#1 Dates]]),COUNTIF(Benchmark2[Benchmark '#2 Dates],Comp1[[#This Row],[Comparable '#1 Dates]]))=2,"Pass","Fail")</f>
        <v>Pass</v>
      </c>
      <c r="I912" s="1">
        <f>IFERROR(Comp1[[#This Row],[Comparable '#1 Return]]-INDEX(Benchmark1[Benchmark '#1 Return],MATCH(Comp1[[#This Row],[Comparable '#1 Dates]],Benchmark1[Benchmark '#1 Dates],0)),"-")</f>
        <v>2.161890487717703E-2</v>
      </c>
      <c r="L912" s="72">
        <f>Comp1[[#This Row],[Comparable '#1 Price]]/$B$2*100</f>
        <v>85.489390828199859</v>
      </c>
    </row>
    <row r="913" spans="1:12">
      <c r="A913" s="103">
        <v>44607</v>
      </c>
      <c r="B913" s="104">
        <v>12.45</v>
      </c>
      <c r="C913" s="4">
        <f t="shared" si="28"/>
        <v>-3.2077012267697313E-3</v>
      </c>
      <c r="D913" s="1">
        <f>IFERROR(Comp1[[#This Row],[Comparable '#1 Return]]+1,"-")</f>
        <v>0.99679229877323028</v>
      </c>
      <c r="E913" s="6">
        <f>B913-MAX($B$2:B913)</f>
        <v>-9.1700000000000017</v>
      </c>
      <c r="F913" s="80">
        <f t="shared" si="29"/>
        <v>516</v>
      </c>
      <c r="G913" s="22" cm="1">
        <f t="array" ref="G913">Comp1[[#This Row],[Comparable '#1 Drawdown]]/MAX($B$2:B913)</f>
        <v>-0.42414431082331183</v>
      </c>
      <c r="H913" s="1" t="str">
        <f>IF(SUM(COUNTIF(Benchmark1[Benchmark '#1 Dates],Comp1[[#This Row],[Comparable '#1 Dates]]),COUNTIF(Benchmark2[Benchmark '#2 Dates],Comp1[[#This Row],[Comparable '#1 Dates]]))=2,"Pass","Fail")</f>
        <v>Pass</v>
      </c>
      <c r="I913" s="1">
        <f>IFERROR(Comp1[[#This Row],[Comparable '#1 Return]]-INDEX(Benchmark1[Benchmark '#1 Return],MATCH(Comp1[[#This Row],[Comparable '#1 Dates]],Benchmark1[Benchmark '#1 Dates],0)),"-")</f>
        <v>-1.8853076007061178E-2</v>
      </c>
      <c r="L913" s="72">
        <f>Comp1[[#This Row],[Comparable '#1 Price]]/$B$2*100</f>
        <v>85.215605749486656</v>
      </c>
    </row>
    <row r="914" spans="1:12">
      <c r="A914" s="103">
        <v>44608</v>
      </c>
      <c r="B914" s="104">
        <v>12.57</v>
      </c>
      <c r="C914" s="4">
        <f t="shared" si="28"/>
        <v>9.5923996914395078E-3</v>
      </c>
      <c r="D914" s="1">
        <f>IFERROR(Comp1[[#This Row],[Comparable '#1 Return]]+1,"-")</f>
        <v>1.0095923996914395</v>
      </c>
      <c r="E914" s="6">
        <f>B914-MAX($B$2:B914)</f>
        <v>-9.0500000000000007</v>
      </c>
      <c r="F914" s="80">
        <f t="shared" si="29"/>
        <v>517</v>
      </c>
      <c r="G914" s="22" cm="1">
        <f t="array" ref="G914">Comp1[[#This Row],[Comparable '#1 Drawdown]]/MAX($B$2:B914)</f>
        <v>-0.41859389454209067</v>
      </c>
      <c r="H914" s="1" t="str">
        <f>IF(SUM(COUNTIF(Benchmark1[Benchmark '#1 Dates],Comp1[[#This Row],[Comparable '#1 Dates]]),COUNTIF(Benchmark2[Benchmark '#2 Dates],Comp1[[#This Row],[Comparable '#1 Dates]]))=2,"Pass","Fail")</f>
        <v>Pass</v>
      </c>
      <c r="I914" s="1">
        <f>IFERROR(Comp1[[#This Row],[Comparable '#1 Return]]-INDEX(Benchmark1[Benchmark '#1 Return],MATCH(Comp1[[#This Row],[Comparable '#1 Dates]],Benchmark1[Benchmark '#1 Dates],0)),"-")</f>
        <v>8.7122711071382676E-3</v>
      </c>
      <c r="L914" s="72">
        <f>Comp1[[#This Row],[Comparable '#1 Price]]/$B$2*100</f>
        <v>86.036960985626294</v>
      </c>
    </row>
    <row r="915" spans="1:12">
      <c r="A915" s="103">
        <v>44609</v>
      </c>
      <c r="B915" s="104">
        <v>12.22</v>
      </c>
      <c r="C915" s="4">
        <f t="shared" si="28"/>
        <v>-2.8239068858706813E-2</v>
      </c>
      <c r="D915" s="1">
        <f>IFERROR(Comp1[[#This Row],[Comparable '#1 Return]]+1,"-")</f>
        <v>0.97176093114129314</v>
      </c>
      <c r="E915" s="6">
        <f>B915-MAX($B$2:B915)</f>
        <v>-9.4</v>
      </c>
      <c r="F915" s="80">
        <f t="shared" si="29"/>
        <v>518</v>
      </c>
      <c r="G915" s="22" cm="1">
        <f t="array" ref="G915">Comp1[[#This Row],[Comparable '#1 Drawdown]]/MAX($B$2:B915)</f>
        <v>-0.43478260869565216</v>
      </c>
      <c r="H915" s="1" t="str">
        <f>IF(SUM(COUNTIF(Benchmark1[Benchmark '#1 Dates],Comp1[[#This Row],[Comparable '#1 Dates]]),COUNTIF(Benchmark2[Benchmark '#2 Dates],Comp1[[#This Row],[Comparable '#1 Dates]]))=2,"Pass","Fail")</f>
        <v>Pass</v>
      </c>
      <c r="I915" s="1">
        <f>IFERROR(Comp1[[#This Row],[Comparable '#1 Return]]-INDEX(Benchmark1[Benchmark '#1 Return],MATCH(Comp1[[#This Row],[Comparable '#1 Dates]],Benchmark1[Benchmark '#1 Dates],0)),"-")</f>
        <v>-6.8379919743016097E-3</v>
      </c>
      <c r="L915" s="72">
        <f>Comp1[[#This Row],[Comparable '#1 Price]]/$B$2*100</f>
        <v>83.641341546885712</v>
      </c>
    </row>
    <row r="916" spans="1:12">
      <c r="A916" s="103">
        <v>44610</v>
      </c>
      <c r="B916" s="104">
        <v>12.04</v>
      </c>
      <c r="C916" s="4">
        <f t="shared" si="28"/>
        <v>-1.4839513862774446E-2</v>
      </c>
      <c r="D916" s="1">
        <f>IFERROR(Comp1[[#This Row],[Comparable '#1 Return]]+1,"-")</f>
        <v>0.98516048613722551</v>
      </c>
      <c r="E916" s="6">
        <f>B916-MAX($B$2:B916)</f>
        <v>-9.5800000000000018</v>
      </c>
      <c r="F916" s="80">
        <f t="shared" si="29"/>
        <v>519</v>
      </c>
      <c r="G916" s="22" cm="1">
        <f t="array" ref="G916">Comp1[[#This Row],[Comparable '#1 Drawdown]]/MAX($B$2:B916)</f>
        <v>-0.44310823311748387</v>
      </c>
      <c r="H916" s="1" t="str">
        <f>IF(SUM(COUNTIF(Benchmark1[Benchmark '#1 Dates],Comp1[[#This Row],[Comparable '#1 Dates]]),COUNTIF(Benchmark2[Benchmark '#2 Dates],Comp1[[#This Row],[Comparable '#1 Dates]]))=2,"Pass","Fail")</f>
        <v>Pass</v>
      </c>
      <c r="I916" s="1">
        <f>IFERROR(Comp1[[#This Row],[Comparable '#1 Return]]-INDEX(Benchmark1[Benchmark '#1 Return],MATCH(Comp1[[#This Row],[Comparable '#1 Dates]],Benchmark1[Benchmark '#1 Dates],0)),"-")</f>
        <v>-7.6476151602078365E-3</v>
      </c>
      <c r="L916" s="72">
        <f>Comp1[[#This Row],[Comparable '#1 Price]]/$B$2*100</f>
        <v>82.409308692676248</v>
      </c>
    </row>
    <row r="917" spans="1:12">
      <c r="A917" s="103">
        <v>44614</v>
      </c>
      <c r="B917" s="104">
        <v>11.95</v>
      </c>
      <c r="C917" s="4">
        <f t="shared" si="28"/>
        <v>-7.5031615031552713E-3</v>
      </c>
      <c r="D917" s="1">
        <f>IFERROR(Comp1[[#This Row],[Comparable '#1 Return]]+1,"-")</f>
        <v>0.99249683849684478</v>
      </c>
      <c r="E917" s="6">
        <f>B917-MAX($B$2:B917)</f>
        <v>-9.6700000000000017</v>
      </c>
      <c r="F917" s="80">
        <f t="shared" si="29"/>
        <v>520</v>
      </c>
      <c r="G917" s="22" cm="1">
        <f t="array" ref="G917">Comp1[[#This Row],[Comparable '#1 Drawdown]]/MAX($B$2:B917)</f>
        <v>-0.44727104532839967</v>
      </c>
      <c r="H917" s="1" t="str">
        <f>IF(SUM(COUNTIF(Benchmark1[Benchmark '#1 Dates],Comp1[[#This Row],[Comparable '#1 Dates]]),COUNTIF(Benchmark2[Benchmark '#2 Dates],Comp1[[#This Row],[Comparable '#1 Dates]]))=2,"Pass","Fail")</f>
        <v>Pass</v>
      </c>
      <c r="I917" s="1">
        <f>IFERROR(Comp1[[#This Row],[Comparable '#1 Return]]-INDEX(Benchmark1[Benchmark '#1 Return],MATCH(Comp1[[#This Row],[Comparable '#1 Dates]],Benchmark1[Benchmark '#1 Dates],0)),"-")</f>
        <v>2.6918647850598708E-3</v>
      </c>
      <c r="L917" s="72">
        <f>Comp1[[#This Row],[Comparable '#1 Price]]/$B$2*100</f>
        <v>81.793292265571523</v>
      </c>
    </row>
    <row r="918" spans="1:12">
      <c r="A918" s="103">
        <v>44615</v>
      </c>
      <c r="B918" s="104">
        <v>11.92</v>
      </c>
      <c r="C918" s="4">
        <f t="shared" si="28"/>
        <v>-2.5136167403159008E-3</v>
      </c>
      <c r="D918" s="1">
        <f>IFERROR(Comp1[[#This Row],[Comparable '#1 Return]]+1,"-")</f>
        <v>0.99748638325968408</v>
      </c>
      <c r="E918" s="6">
        <f>B918-MAX($B$2:B918)</f>
        <v>-9.7000000000000011</v>
      </c>
      <c r="F918" s="80">
        <f t="shared" si="29"/>
        <v>521</v>
      </c>
      <c r="G918" s="22" cm="1">
        <f t="array" ref="G918">Comp1[[#This Row],[Comparable '#1 Drawdown]]/MAX($B$2:B918)</f>
        <v>-0.44865864939870492</v>
      </c>
      <c r="H918" s="1" t="str">
        <f>IF(SUM(COUNTIF(Benchmark1[Benchmark '#1 Dates],Comp1[[#This Row],[Comparable '#1 Dates]]),COUNTIF(Benchmark2[Benchmark '#2 Dates],Comp1[[#This Row],[Comparable '#1 Dates]]))=2,"Pass","Fail")</f>
        <v>Pass</v>
      </c>
      <c r="I918" s="1">
        <f>IFERROR(Comp1[[#This Row],[Comparable '#1 Return]]-INDEX(Benchmark1[Benchmark '#1 Return],MATCH(Comp1[[#This Row],[Comparable '#1 Dates]],Benchmark1[Benchmark '#1 Dates],0)),"-")</f>
        <v>1.6068461319900293E-2</v>
      </c>
      <c r="L918" s="72">
        <f>Comp1[[#This Row],[Comparable '#1 Price]]/$B$2*100</f>
        <v>81.587953456536624</v>
      </c>
    </row>
    <row r="919" spans="1:12">
      <c r="A919" s="103">
        <v>44616</v>
      </c>
      <c r="B919" s="104">
        <v>11.72</v>
      </c>
      <c r="C919" s="4">
        <f t="shared" si="28"/>
        <v>-1.6920877488337063E-2</v>
      </c>
      <c r="D919" s="1">
        <f>IFERROR(Comp1[[#This Row],[Comparable '#1 Return]]+1,"-")</f>
        <v>0.98307912251166296</v>
      </c>
      <c r="E919" s="6">
        <f>B919-MAX($B$2:B919)</f>
        <v>-9.9</v>
      </c>
      <c r="F919" s="80">
        <f t="shared" si="29"/>
        <v>522</v>
      </c>
      <c r="G919" s="22" cm="1">
        <f t="array" ref="G919">Comp1[[#This Row],[Comparable '#1 Drawdown]]/MAX($B$2:B919)</f>
        <v>-0.45790934320074006</v>
      </c>
      <c r="H919" s="1" t="str">
        <f>IF(SUM(COUNTIF(Benchmark1[Benchmark '#1 Dates],Comp1[[#This Row],[Comparable '#1 Dates]]),COUNTIF(Benchmark2[Benchmark '#2 Dates],Comp1[[#This Row],[Comparable '#1 Dates]]))=2,"Pass","Fail")</f>
        <v>Pass</v>
      </c>
      <c r="I919" s="1">
        <f>IFERROR(Comp1[[#This Row],[Comparable '#1 Return]]-INDEX(Benchmark1[Benchmark '#1 Return],MATCH(Comp1[[#This Row],[Comparable '#1 Dates]],Benchmark1[Benchmark '#1 Dates],0)),"-")</f>
        <v>-3.1764852399794999E-2</v>
      </c>
      <c r="L919" s="72">
        <f>Comp1[[#This Row],[Comparable '#1 Price]]/$B$2*100</f>
        <v>80.21902806297058</v>
      </c>
    </row>
    <row r="920" spans="1:12">
      <c r="A920" s="103">
        <v>44617</v>
      </c>
      <c r="B920" s="104">
        <v>11.34</v>
      </c>
      <c r="C920" s="4">
        <f t="shared" si="28"/>
        <v>-3.2960485849260583E-2</v>
      </c>
      <c r="D920" s="1">
        <f>IFERROR(Comp1[[#This Row],[Comparable '#1 Return]]+1,"-")</f>
        <v>0.96703951415073941</v>
      </c>
      <c r="E920" s="6">
        <f>B920-MAX($B$2:B920)</f>
        <v>-10.280000000000001</v>
      </c>
      <c r="F920" s="80">
        <f t="shared" si="29"/>
        <v>523</v>
      </c>
      <c r="G920" s="22" cm="1">
        <f t="array" ref="G920">Comp1[[#This Row],[Comparable '#1 Drawdown]]/MAX($B$2:B920)</f>
        <v>-0.47548566142460685</v>
      </c>
      <c r="H920" s="1" t="str">
        <f>IF(SUM(COUNTIF(Benchmark1[Benchmark '#1 Dates],Comp1[[#This Row],[Comparable '#1 Dates]]),COUNTIF(Benchmark2[Benchmark '#2 Dates],Comp1[[#This Row],[Comparable '#1 Dates]]))=2,"Pass","Fail")</f>
        <v>Pass</v>
      </c>
      <c r="I920" s="1">
        <f>IFERROR(Comp1[[#This Row],[Comparable '#1 Return]]-INDEX(Benchmark1[Benchmark '#1 Return],MATCH(Comp1[[#This Row],[Comparable '#1 Dates]],Benchmark1[Benchmark '#1 Dates],0)),"-")</f>
        <v>-5.5088588121338933E-2</v>
      </c>
      <c r="L920" s="72">
        <f>Comp1[[#This Row],[Comparable '#1 Price]]/$B$2*100</f>
        <v>77.618069815195085</v>
      </c>
    </row>
    <row r="921" spans="1:12">
      <c r="A921" s="103">
        <v>44620</v>
      </c>
      <c r="B921" s="104">
        <v>10.84</v>
      </c>
      <c r="C921" s="4">
        <f t="shared" si="28"/>
        <v>-4.5093302288105916E-2</v>
      </c>
      <c r="D921" s="1">
        <f>IFERROR(Comp1[[#This Row],[Comparable '#1 Return]]+1,"-")</f>
        <v>0.95490669771189407</v>
      </c>
      <c r="E921" s="6">
        <f>B921-MAX($B$2:B921)</f>
        <v>-10.780000000000001</v>
      </c>
      <c r="F921" s="80">
        <f t="shared" si="29"/>
        <v>524</v>
      </c>
      <c r="G921" s="22" cm="1">
        <f t="array" ref="G921">Comp1[[#This Row],[Comparable '#1 Drawdown]]/MAX($B$2:B921)</f>
        <v>-0.49861239592969475</v>
      </c>
      <c r="H921" s="1" t="str">
        <f>IF(SUM(COUNTIF(Benchmark1[Benchmark '#1 Dates],Comp1[[#This Row],[Comparable '#1 Dates]]),COUNTIF(Benchmark2[Benchmark '#2 Dates],Comp1[[#This Row],[Comparable '#1 Dates]]))=2,"Pass","Fail")</f>
        <v>Pass</v>
      </c>
      <c r="I921" s="1">
        <f>IFERROR(Comp1[[#This Row],[Comparable '#1 Return]]-INDEX(Benchmark1[Benchmark '#1 Return],MATCH(Comp1[[#This Row],[Comparable '#1 Dates]],Benchmark1[Benchmark '#1 Dates],0)),"-")</f>
        <v>-4.2646483088079445E-2</v>
      </c>
      <c r="L921" s="72">
        <f>Comp1[[#This Row],[Comparable '#1 Price]]/$B$2*100</f>
        <v>74.195756331279952</v>
      </c>
    </row>
    <row r="922" spans="1:12">
      <c r="A922" s="103">
        <v>44621</v>
      </c>
      <c r="B922" s="104">
        <v>11.34</v>
      </c>
      <c r="C922" s="4">
        <f t="shared" si="28"/>
        <v>4.5093302288105798E-2</v>
      </c>
      <c r="D922" s="1">
        <f>IFERROR(Comp1[[#This Row],[Comparable '#1 Return]]+1,"-")</f>
        <v>1.0450933022881057</v>
      </c>
      <c r="E922" s="6">
        <f>B922-MAX($B$2:B922)</f>
        <v>-10.280000000000001</v>
      </c>
      <c r="F922" s="80">
        <f t="shared" si="29"/>
        <v>525</v>
      </c>
      <c r="G922" s="22" cm="1">
        <f t="array" ref="G922">Comp1[[#This Row],[Comparable '#1 Drawdown]]/MAX($B$2:B922)</f>
        <v>-0.47548566142460685</v>
      </c>
      <c r="H922" s="1" t="str">
        <f>IF(SUM(COUNTIF(Benchmark1[Benchmark '#1 Dates],Comp1[[#This Row],[Comparable '#1 Dates]]),COUNTIF(Benchmark2[Benchmark '#2 Dates],Comp1[[#This Row],[Comparable '#1 Dates]]))=2,"Pass","Fail")</f>
        <v>Pass</v>
      </c>
      <c r="I922" s="1">
        <f>IFERROR(Comp1[[#This Row],[Comparable '#1 Return]]-INDEX(Benchmark1[Benchmark '#1 Return],MATCH(Comp1[[#This Row],[Comparable '#1 Dates]],Benchmark1[Benchmark '#1 Dates],0)),"-")</f>
        <v>6.0687791416161062E-2</v>
      </c>
      <c r="L922" s="72">
        <f>Comp1[[#This Row],[Comparable '#1 Price]]/$B$2*100</f>
        <v>77.618069815195085</v>
      </c>
    </row>
    <row r="923" spans="1:12">
      <c r="A923" s="103">
        <v>44622</v>
      </c>
      <c r="B923" s="104">
        <v>11.34</v>
      </c>
      <c r="C923" s="4">
        <f t="shared" si="28"/>
        <v>0</v>
      </c>
      <c r="D923" s="1">
        <f>IFERROR(Comp1[[#This Row],[Comparable '#1 Return]]+1,"-")</f>
        <v>1</v>
      </c>
      <c r="E923" s="6">
        <f>B923-MAX($B$2:B923)</f>
        <v>-10.280000000000001</v>
      </c>
      <c r="F923" s="80">
        <f t="shared" si="29"/>
        <v>526</v>
      </c>
      <c r="G923" s="22" cm="1">
        <f t="array" ref="G923">Comp1[[#This Row],[Comparable '#1 Drawdown]]/MAX($B$2:B923)</f>
        <v>-0.47548566142460685</v>
      </c>
      <c r="H923" s="1" t="str">
        <f>IF(SUM(COUNTIF(Benchmark1[Benchmark '#1 Dates],Comp1[[#This Row],[Comparable '#1 Dates]]),COUNTIF(Benchmark2[Benchmark '#2 Dates],Comp1[[#This Row],[Comparable '#1 Dates]]))=2,"Pass","Fail")</f>
        <v>Pass</v>
      </c>
      <c r="I923" s="1">
        <f>IFERROR(Comp1[[#This Row],[Comparable '#1 Return]]-INDEX(Benchmark1[Benchmark '#1 Return],MATCH(Comp1[[#This Row],[Comparable '#1 Dates]],Benchmark1[Benchmark '#1 Dates],0)),"-")</f>
        <v>-1.8472173056965063E-2</v>
      </c>
      <c r="L923" s="72">
        <f>Comp1[[#This Row],[Comparable '#1 Price]]/$B$2*100</f>
        <v>77.618069815195085</v>
      </c>
    </row>
    <row r="924" spans="1:12">
      <c r="A924" s="103">
        <v>44623</v>
      </c>
      <c r="B924" s="104">
        <v>11.45</v>
      </c>
      <c r="C924" s="4">
        <f t="shared" si="28"/>
        <v>9.6534317006425601E-3</v>
      </c>
      <c r="D924" s="1">
        <f>IFERROR(Comp1[[#This Row],[Comparable '#1 Return]]+1,"-")</f>
        <v>1.0096534317006425</v>
      </c>
      <c r="E924" s="6">
        <f>B924-MAX($B$2:B924)</f>
        <v>-10.170000000000002</v>
      </c>
      <c r="F924" s="80">
        <f t="shared" si="29"/>
        <v>527</v>
      </c>
      <c r="G924" s="22" cm="1">
        <f t="array" ref="G924">Comp1[[#This Row],[Comparable '#1 Drawdown]]/MAX($B$2:B924)</f>
        <v>-0.47039777983348757</v>
      </c>
      <c r="H924" s="1" t="str">
        <f>IF(SUM(COUNTIF(Benchmark1[Benchmark '#1 Dates],Comp1[[#This Row],[Comparable '#1 Dates]]),COUNTIF(Benchmark2[Benchmark '#2 Dates],Comp1[[#This Row],[Comparable '#1 Dates]]))=2,"Pass","Fail")</f>
        <v>Pass</v>
      </c>
      <c r="I924" s="1">
        <f>IFERROR(Comp1[[#This Row],[Comparable '#1 Return]]-INDEX(Benchmark1[Benchmark '#1 Return],MATCH(Comp1[[#This Row],[Comparable '#1 Dates]],Benchmark1[Benchmark '#1 Dates],0)),"-")</f>
        <v>1.4923674832335334E-2</v>
      </c>
      <c r="L924" s="72">
        <f>Comp1[[#This Row],[Comparable '#1 Price]]/$B$2*100</f>
        <v>78.37097878165639</v>
      </c>
    </row>
    <row r="925" spans="1:12">
      <c r="A925" s="103">
        <v>44624</v>
      </c>
      <c r="B925" s="104">
        <v>11.36</v>
      </c>
      <c r="C925" s="4">
        <f t="shared" si="28"/>
        <v>-7.8913167072433149E-3</v>
      </c>
      <c r="D925" s="1">
        <f>IFERROR(Comp1[[#This Row],[Comparable '#1 Return]]+1,"-")</f>
        <v>0.9921086832927567</v>
      </c>
      <c r="E925" s="6">
        <f>B925-MAX($B$2:B925)</f>
        <v>-10.260000000000002</v>
      </c>
      <c r="F925" s="80">
        <f t="shared" si="29"/>
        <v>528</v>
      </c>
      <c r="G925" s="22" cm="1">
        <f t="array" ref="G925">Comp1[[#This Row],[Comparable '#1 Drawdown]]/MAX($B$2:B925)</f>
        <v>-0.47456059204440337</v>
      </c>
      <c r="H925" s="1" t="str">
        <f>IF(SUM(COUNTIF(Benchmark1[Benchmark '#1 Dates],Comp1[[#This Row],[Comparable '#1 Dates]]),COUNTIF(Benchmark2[Benchmark '#2 Dates],Comp1[[#This Row],[Comparable '#1 Dates]]))=2,"Pass","Fail")</f>
        <v>Pass</v>
      </c>
      <c r="I925" s="1">
        <f>IFERROR(Comp1[[#This Row],[Comparable '#1 Return]]-INDEX(Benchmark1[Benchmark '#1 Return],MATCH(Comp1[[#This Row],[Comparable '#1 Dates]],Benchmark1[Benchmark '#1 Dates],0)),"-")</f>
        <v>7.2929452034844675E-5</v>
      </c>
      <c r="L925" s="72">
        <f>Comp1[[#This Row],[Comparable '#1 Price]]/$B$2*100</f>
        <v>77.754962354551665</v>
      </c>
    </row>
    <row r="926" spans="1:12">
      <c r="A926" s="103">
        <v>44627</v>
      </c>
      <c r="B926" s="104">
        <v>11.58</v>
      </c>
      <c r="C926" s="4">
        <f t="shared" si="28"/>
        <v>1.918105885184403E-2</v>
      </c>
      <c r="D926" s="1">
        <f>IFERROR(Comp1[[#This Row],[Comparable '#1 Return]]+1,"-")</f>
        <v>1.019181058851844</v>
      </c>
      <c r="E926" s="6">
        <f>B926-MAX($B$2:B926)</f>
        <v>-10.040000000000001</v>
      </c>
      <c r="F926" s="80">
        <f t="shared" si="29"/>
        <v>529</v>
      </c>
      <c r="G926" s="22" cm="1">
        <f t="array" ref="G926">Comp1[[#This Row],[Comparable '#1 Drawdown]]/MAX($B$2:B926)</f>
        <v>-0.4643848288621647</v>
      </c>
      <c r="H926" s="1" t="str">
        <f>IF(SUM(COUNTIF(Benchmark1[Benchmark '#1 Dates],Comp1[[#This Row],[Comparable '#1 Dates]]),COUNTIF(Benchmark2[Benchmark '#2 Dates],Comp1[[#This Row],[Comparable '#1 Dates]]))=2,"Pass","Fail")</f>
        <v>Pass</v>
      </c>
      <c r="I926" s="1">
        <f>IFERROR(Comp1[[#This Row],[Comparable '#1 Return]]-INDEX(Benchmark1[Benchmark '#1 Return],MATCH(Comp1[[#This Row],[Comparable '#1 Dates]],Benchmark1[Benchmark '#1 Dates],0)),"-")</f>
        <v>4.9144773425401966E-2</v>
      </c>
      <c r="L926" s="72">
        <f>Comp1[[#This Row],[Comparable '#1 Price]]/$B$2*100</f>
        <v>79.260780287474347</v>
      </c>
    </row>
    <row r="927" spans="1:12">
      <c r="A927" s="103">
        <v>44628</v>
      </c>
      <c r="B927" s="104">
        <v>11.77</v>
      </c>
      <c r="C927" s="4">
        <f t="shared" si="28"/>
        <v>1.6274449127336148E-2</v>
      </c>
      <c r="D927" s="1">
        <f>IFERROR(Comp1[[#This Row],[Comparable '#1 Return]]+1,"-")</f>
        <v>1.0162744491273361</v>
      </c>
      <c r="E927" s="6">
        <f>B927-MAX($B$2:B927)</f>
        <v>-9.8500000000000014</v>
      </c>
      <c r="F927" s="80">
        <f t="shared" si="29"/>
        <v>530</v>
      </c>
      <c r="G927" s="22" cm="1">
        <f t="array" ref="G927">Comp1[[#This Row],[Comparable '#1 Drawdown]]/MAX($B$2:B927)</f>
        <v>-0.45559666975023133</v>
      </c>
      <c r="H927" s="1" t="str">
        <f>IF(SUM(COUNTIF(Benchmark1[Benchmark '#1 Dates],Comp1[[#This Row],[Comparable '#1 Dates]]),COUNTIF(Benchmark2[Benchmark '#2 Dates],Comp1[[#This Row],[Comparable '#1 Dates]]))=2,"Pass","Fail")</f>
        <v>Pass</v>
      </c>
      <c r="I927" s="1">
        <f>IFERROR(Comp1[[#This Row],[Comparable '#1 Return]]-INDEX(Benchmark1[Benchmark '#1 Return],MATCH(Comp1[[#This Row],[Comparable '#1 Dates]],Benchmark1[Benchmark '#1 Dates],0)),"-")</f>
        <v>2.3533067866643251E-2</v>
      </c>
      <c r="L927" s="72">
        <f>Comp1[[#This Row],[Comparable '#1 Price]]/$B$2*100</f>
        <v>80.561259411362087</v>
      </c>
    </row>
    <row r="928" spans="1:12">
      <c r="A928" s="103">
        <v>44629</v>
      </c>
      <c r="B928" s="104">
        <v>11.95</v>
      </c>
      <c r="C928" s="4">
        <f t="shared" si="28"/>
        <v>1.5177357105334207E-2</v>
      </c>
      <c r="D928" s="1">
        <f>IFERROR(Comp1[[#This Row],[Comparable '#1 Return]]+1,"-")</f>
        <v>1.0151773571053342</v>
      </c>
      <c r="E928" s="6">
        <f>B928-MAX($B$2:B928)</f>
        <v>-9.6700000000000017</v>
      </c>
      <c r="F928" s="80">
        <f t="shared" si="29"/>
        <v>531</v>
      </c>
      <c r="G928" s="22" cm="1">
        <f t="array" ref="G928">Comp1[[#This Row],[Comparable '#1 Drawdown]]/MAX($B$2:B928)</f>
        <v>-0.44727104532839967</v>
      </c>
      <c r="H928" s="1" t="str">
        <f>IF(SUM(COUNTIF(Benchmark1[Benchmark '#1 Dates],Comp1[[#This Row],[Comparable '#1 Dates]]),COUNTIF(Benchmark2[Benchmark '#2 Dates],Comp1[[#This Row],[Comparable '#1 Dates]]))=2,"Pass","Fail")</f>
        <v>Pass</v>
      </c>
      <c r="I928" s="1">
        <f>IFERROR(Comp1[[#This Row],[Comparable '#1 Return]]-INDEX(Benchmark1[Benchmark '#1 Return],MATCH(Comp1[[#This Row],[Comparable '#1 Dates]],Benchmark1[Benchmark '#1 Dates],0)),"-")</f>
        <v>-1.0195355172220517E-2</v>
      </c>
      <c r="L928" s="72">
        <f>Comp1[[#This Row],[Comparable '#1 Price]]/$B$2*100</f>
        <v>81.793292265571523</v>
      </c>
    </row>
    <row r="929" spans="1:12">
      <c r="A929" s="103">
        <v>44630</v>
      </c>
      <c r="B929" s="104">
        <v>12.16</v>
      </c>
      <c r="C929" s="4">
        <f t="shared" si="28"/>
        <v>1.7420598160501441E-2</v>
      </c>
      <c r="D929" s="1">
        <f>IFERROR(Comp1[[#This Row],[Comparable '#1 Return]]+1,"-")</f>
        <v>1.0174205981605013</v>
      </c>
      <c r="E929" s="6">
        <f>B929-MAX($B$2:B929)</f>
        <v>-9.4600000000000009</v>
      </c>
      <c r="F929" s="80">
        <f t="shared" si="29"/>
        <v>532</v>
      </c>
      <c r="G929" s="22" cm="1">
        <f t="array" ref="G929">Comp1[[#This Row],[Comparable '#1 Drawdown]]/MAX($B$2:B929)</f>
        <v>-0.43755781683626271</v>
      </c>
      <c r="H929" s="1" t="str">
        <f>IF(SUM(COUNTIF(Benchmark1[Benchmark '#1 Dates],Comp1[[#This Row],[Comparable '#1 Dates]]),COUNTIF(Benchmark2[Benchmark '#2 Dates],Comp1[[#This Row],[Comparable '#1 Dates]]))=2,"Pass","Fail")</f>
        <v>Pass</v>
      </c>
      <c r="I929" s="1">
        <f>IFERROR(Comp1[[#This Row],[Comparable '#1 Return]]-INDEX(Benchmark1[Benchmark '#1 Return],MATCH(Comp1[[#This Row],[Comparable '#1 Dates]],Benchmark1[Benchmark '#1 Dates],0)),"-")</f>
        <v>2.1720530498398234E-2</v>
      </c>
      <c r="L929" s="72">
        <f>Comp1[[#This Row],[Comparable '#1 Price]]/$B$2*100</f>
        <v>83.230663928815886</v>
      </c>
    </row>
    <row r="930" spans="1:12">
      <c r="A930" s="103">
        <v>44631</v>
      </c>
      <c r="B930" s="104">
        <v>12.15</v>
      </c>
      <c r="C930" s="4">
        <f t="shared" si="28"/>
        <v>-8.2270675146350837E-4</v>
      </c>
      <c r="D930" s="1">
        <f>IFERROR(Comp1[[#This Row],[Comparable '#1 Return]]+1,"-")</f>
        <v>0.99917729324853655</v>
      </c>
      <c r="E930" s="6">
        <f>B930-MAX($B$2:B930)</f>
        <v>-9.4700000000000006</v>
      </c>
      <c r="F930" s="80">
        <f t="shared" si="29"/>
        <v>533</v>
      </c>
      <c r="G930" s="22" cm="1">
        <f t="array" ref="G930">Comp1[[#This Row],[Comparable '#1 Drawdown]]/MAX($B$2:B930)</f>
        <v>-0.43802035152636448</v>
      </c>
      <c r="H930" s="1" t="str">
        <f>IF(SUM(COUNTIF(Benchmark1[Benchmark '#1 Dates],Comp1[[#This Row],[Comparable '#1 Dates]]),COUNTIF(Benchmark2[Benchmark '#2 Dates],Comp1[[#This Row],[Comparable '#1 Dates]]))=2,"Pass","Fail")</f>
        <v>Pass</v>
      </c>
      <c r="I930" s="1">
        <f>IFERROR(Comp1[[#This Row],[Comparable '#1 Return]]-INDEX(Benchmark1[Benchmark '#1 Return],MATCH(Comp1[[#This Row],[Comparable '#1 Dates]],Benchmark1[Benchmark '#1 Dates],0)),"-")</f>
        <v>1.2224314883125691E-2</v>
      </c>
      <c r="L930" s="72">
        <f>Comp1[[#This Row],[Comparable '#1 Price]]/$B$2*100</f>
        <v>83.162217659137582</v>
      </c>
    </row>
    <row r="931" spans="1:12">
      <c r="A931" s="103">
        <v>44634</v>
      </c>
      <c r="B931" s="104">
        <v>11.98</v>
      </c>
      <c r="C931" s="4">
        <f t="shared" si="28"/>
        <v>-1.4090577099254131E-2</v>
      </c>
      <c r="D931" s="1">
        <f>IFERROR(Comp1[[#This Row],[Comparable '#1 Return]]+1,"-")</f>
        <v>0.9859094229007459</v>
      </c>
      <c r="E931" s="6">
        <f>B931-MAX($B$2:B931)</f>
        <v>-9.64</v>
      </c>
      <c r="F931" s="80">
        <f t="shared" si="29"/>
        <v>534</v>
      </c>
      <c r="G931" s="22" cm="1">
        <f t="array" ref="G931">Comp1[[#This Row],[Comparable '#1 Drawdown]]/MAX($B$2:B931)</f>
        <v>-0.44588344125809437</v>
      </c>
      <c r="H931" s="1" t="str">
        <f>IF(SUM(COUNTIF(Benchmark1[Benchmark '#1 Dates],Comp1[[#This Row],[Comparable '#1 Dates]]),COUNTIF(Benchmark2[Benchmark '#2 Dates],Comp1[[#This Row],[Comparable '#1 Dates]]))=2,"Pass","Fail")</f>
        <v>Pass</v>
      </c>
      <c r="I931" s="1">
        <f>IFERROR(Comp1[[#This Row],[Comparable '#1 Return]]-INDEX(Benchmark1[Benchmark '#1 Return],MATCH(Comp1[[#This Row],[Comparable '#1 Dates]],Benchmark1[Benchmark '#1 Dates],0)),"-")</f>
        <v>-6.6419218049227234E-3</v>
      </c>
      <c r="L931" s="72">
        <f>Comp1[[#This Row],[Comparable '#1 Price]]/$B$2*100</f>
        <v>81.998631074606436</v>
      </c>
    </row>
    <row r="932" spans="1:12">
      <c r="A932" s="103">
        <v>44635</v>
      </c>
      <c r="B932" s="104">
        <v>12.68</v>
      </c>
      <c r="C932" s="4">
        <f t="shared" si="28"/>
        <v>5.6787356321776561E-2</v>
      </c>
      <c r="D932" s="1">
        <f>IFERROR(Comp1[[#This Row],[Comparable '#1 Return]]+1,"-")</f>
        <v>1.0567873563217764</v>
      </c>
      <c r="E932" s="6">
        <f>B932-MAX($B$2:B932)</f>
        <v>-8.9400000000000013</v>
      </c>
      <c r="F932" s="80">
        <f t="shared" si="29"/>
        <v>535</v>
      </c>
      <c r="G932" s="22" cm="1">
        <f t="array" ref="G932">Comp1[[#This Row],[Comparable '#1 Drawdown]]/MAX($B$2:B932)</f>
        <v>-0.41350601295097134</v>
      </c>
      <c r="H932" s="1" t="str">
        <f>IF(SUM(COUNTIF(Benchmark1[Benchmark '#1 Dates],Comp1[[#This Row],[Comparable '#1 Dates]]),COUNTIF(Benchmark2[Benchmark '#2 Dates],Comp1[[#This Row],[Comparable '#1 Dates]]))=2,"Pass","Fail")</f>
        <v>Pass</v>
      </c>
      <c r="I932" s="1">
        <f>IFERROR(Comp1[[#This Row],[Comparable '#1 Return]]-INDEX(Benchmark1[Benchmark '#1 Return],MATCH(Comp1[[#This Row],[Comparable '#1 Dates]],Benchmark1[Benchmark '#1 Dates],0)),"-")</f>
        <v>3.5606249265819498E-2</v>
      </c>
      <c r="L932" s="72">
        <f>Comp1[[#This Row],[Comparable '#1 Price]]/$B$2*100</f>
        <v>86.789869952087614</v>
      </c>
    </row>
    <row r="933" spans="1:12">
      <c r="A933" s="103">
        <v>44636</v>
      </c>
      <c r="B933" s="104">
        <v>12.68</v>
      </c>
      <c r="C933" s="4">
        <f t="shared" si="28"/>
        <v>0</v>
      </c>
      <c r="D933" s="1">
        <f>IFERROR(Comp1[[#This Row],[Comparable '#1 Return]]+1,"-")</f>
        <v>1</v>
      </c>
      <c r="E933" s="6">
        <f>B933-MAX($B$2:B933)</f>
        <v>-8.9400000000000013</v>
      </c>
      <c r="F933" s="80">
        <f t="shared" si="29"/>
        <v>536</v>
      </c>
      <c r="G933" s="22" cm="1">
        <f t="array" ref="G933">Comp1[[#This Row],[Comparable '#1 Drawdown]]/MAX($B$2:B933)</f>
        <v>-0.41350601295097134</v>
      </c>
      <c r="H933" s="1" t="str">
        <f>IF(SUM(COUNTIF(Benchmark1[Benchmark '#1 Dates],Comp1[[#This Row],[Comparable '#1 Dates]]),COUNTIF(Benchmark2[Benchmark '#2 Dates],Comp1[[#This Row],[Comparable '#1 Dates]]))=2,"Pass","Fail")</f>
        <v>Pass</v>
      </c>
      <c r="I933" s="1">
        <f>IFERROR(Comp1[[#This Row],[Comparable '#1 Return]]-INDEX(Benchmark1[Benchmark '#1 Return],MATCH(Comp1[[#This Row],[Comparable '#1 Dates]],Benchmark1[Benchmark '#1 Dates],0)),"-")</f>
        <v>-2.2137363365630831E-2</v>
      </c>
      <c r="L933" s="72">
        <f>Comp1[[#This Row],[Comparable '#1 Price]]/$B$2*100</f>
        <v>86.789869952087614</v>
      </c>
    </row>
    <row r="934" spans="1:12">
      <c r="A934" s="103">
        <v>44637</v>
      </c>
      <c r="B934" s="104">
        <v>12.52</v>
      </c>
      <c r="C934" s="4">
        <f t="shared" si="28"/>
        <v>-1.2698583337127431E-2</v>
      </c>
      <c r="D934" s="1">
        <f>IFERROR(Comp1[[#This Row],[Comparable '#1 Return]]+1,"-")</f>
        <v>0.98730141666287252</v>
      </c>
      <c r="E934" s="6">
        <f>B934-MAX($B$2:B934)</f>
        <v>-9.1000000000000014</v>
      </c>
      <c r="F934" s="80">
        <f t="shared" si="29"/>
        <v>537</v>
      </c>
      <c r="G934" s="22" cm="1">
        <f t="array" ref="G934">Comp1[[#This Row],[Comparable '#1 Drawdown]]/MAX($B$2:B934)</f>
        <v>-0.42090656799259951</v>
      </c>
      <c r="H934" s="1" t="str">
        <f>IF(SUM(COUNTIF(Benchmark1[Benchmark '#1 Dates],Comp1[[#This Row],[Comparable '#1 Dates]]),COUNTIF(Benchmark2[Benchmark '#2 Dates],Comp1[[#This Row],[Comparable '#1 Dates]]))=2,"Pass","Fail")</f>
        <v>Pass</v>
      </c>
      <c r="I934" s="1">
        <f>IFERROR(Comp1[[#This Row],[Comparable '#1 Return]]-INDEX(Benchmark1[Benchmark '#1 Return],MATCH(Comp1[[#This Row],[Comparable '#1 Dates]],Benchmark1[Benchmark '#1 Dates],0)),"-")</f>
        <v>-2.4970900632695952E-2</v>
      </c>
      <c r="L934" s="72">
        <f>Comp1[[#This Row],[Comparable '#1 Price]]/$B$2*100</f>
        <v>85.694729637234772</v>
      </c>
    </row>
    <row r="935" spans="1:12">
      <c r="A935" s="103">
        <v>44638</v>
      </c>
      <c r="B935" s="104">
        <v>12.49</v>
      </c>
      <c r="C935" s="4">
        <f t="shared" si="28"/>
        <v>-2.3990415344661079E-3</v>
      </c>
      <c r="D935" s="1">
        <f>IFERROR(Comp1[[#This Row],[Comparable '#1 Return]]+1,"-")</f>
        <v>0.99760095846553387</v>
      </c>
      <c r="E935" s="6">
        <f>B935-MAX($B$2:B935)</f>
        <v>-9.1300000000000008</v>
      </c>
      <c r="F935" s="80">
        <f t="shared" si="29"/>
        <v>538</v>
      </c>
      <c r="G935" s="22" cm="1">
        <f t="array" ref="G935">Comp1[[#This Row],[Comparable '#1 Drawdown]]/MAX($B$2:B935)</f>
        <v>-0.42229417206290476</v>
      </c>
      <c r="H935" s="1" t="str">
        <f>IF(SUM(COUNTIF(Benchmark1[Benchmark '#1 Dates],Comp1[[#This Row],[Comparable '#1 Dates]]),COUNTIF(Benchmark2[Benchmark '#2 Dates],Comp1[[#This Row],[Comparable '#1 Dates]]))=2,"Pass","Fail")</f>
        <v>Pass</v>
      </c>
      <c r="I935" s="1">
        <f>IFERROR(Comp1[[#This Row],[Comparable '#1 Return]]-INDEX(Benchmark1[Benchmark '#1 Return],MATCH(Comp1[[#This Row],[Comparable '#1 Dates]],Benchmark1[Benchmark '#1 Dates],0)),"-")</f>
        <v>-1.3993812504695247E-2</v>
      </c>
      <c r="L935" s="72">
        <f>Comp1[[#This Row],[Comparable '#1 Price]]/$B$2*100</f>
        <v>85.489390828199859</v>
      </c>
    </row>
    <row r="936" spans="1:12">
      <c r="A936" s="103">
        <v>44641</v>
      </c>
      <c r="B936" s="104">
        <v>12.69</v>
      </c>
      <c r="C936" s="4">
        <f t="shared" si="28"/>
        <v>1.5885957588809878E-2</v>
      </c>
      <c r="D936" s="1">
        <f>IFERROR(Comp1[[#This Row],[Comparable '#1 Return]]+1,"-")</f>
        <v>1.01588595758881</v>
      </c>
      <c r="E936" s="6">
        <f>B936-MAX($B$2:B936)</f>
        <v>-8.9300000000000015</v>
      </c>
      <c r="F936" s="80">
        <f t="shared" si="29"/>
        <v>539</v>
      </c>
      <c r="G936" s="22" cm="1">
        <f t="array" ref="G936">Comp1[[#This Row],[Comparable '#1 Drawdown]]/MAX($B$2:B936)</f>
        <v>-0.41304347826086962</v>
      </c>
      <c r="H936" s="1" t="str">
        <f>IF(SUM(COUNTIF(Benchmark1[Benchmark '#1 Dates],Comp1[[#This Row],[Comparable '#1 Dates]]),COUNTIF(Benchmark2[Benchmark '#2 Dates],Comp1[[#This Row],[Comparable '#1 Dates]]))=2,"Pass","Fail")</f>
        <v>Pass</v>
      </c>
      <c r="I936" s="1">
        <f>IFERROR(Comp1[[#This Row],[Comparable '#1 Return]]-INDEX(Benchmark1[Benchmark '#1 Return],MATCH(Comp1[[#This Row],[Comparable '#1 Dates]],Benchmark1[Benchmark '#1 Dates],0)),"-")</f>
        <v>1.6320155074303028E-2</v>
      </c>
      <c r="L936" s="72">
        <f>Comp1[[#This Row],[Comparable '#1 Price]]/$B$2*100</f>
        <v>86.858316221765918</v>
      </c>
    </row>
    <row r="937" spans="1:12">
      <c r="A937" s="103">
        <v>44642</v>
      </c>
      <c r="B937" s="104">
        <v>12.7</v>
      </c>
      <c r="C937" s="4">
        <f t="shared" si="28"/>
        <v>7.8771173824918625E-4</v>
      </c>
      <c r="D937" s="1">
        <f>IFERROR(Comp1[[#This Row],[Comparable '#1 Return]]+1,"-")</f>
        <v>1.0007877117382491</v>
      </c>
      <c r="E937" s="6">
        <f>B937-MAX($B$2:B937)</f>
        <v>-8.9200000000000017</v>
      </c>
      <c r="F937" s="80">
        <f t="shared" si="29"/>
        <v>540</v>
      </c>
      <c r="G937" s="22" cm="1">
        <f t="array" ref="G937">Comp1[[#This Row],[Comparable '#1 Drawdown]]/MAX($B$2:B937)</f>
        <v>-0.41258094357076786</v>
      </c>
      <c r="H937" s="1" t="str">
        <f>IF(SUM(COUNTIF(Benchmark1[Benchmark '#1 Dates],Comp1[[#This Row],[Comparable '#1 Dates]]),COUNTIF(Benchmark2[Benchmark '#2 Dates],Comp1[[#This Row],[Comparable '#1 Dates]]))=2,"Pass","Fail")</f>
        <v>Pass</v>
      </c>
      <c r="I937" s="1">
        <f>IFERROR(Comp1[[#This Row],[Comparable '#1 Return]]-INDEX(Benchmark1[Benchmark '#1 Return],MATCH(Comp1[[#This Row],[Comparable '#1 Dates]],Benchmark1[Benchmark '#1 Dates],0)),"-")</f>
        <v>-1.0452175537250696E-2</v>
      </c>
      <c r="L937" s="72">
        <f>Comp1[[#This Row],[Comparable '#1 Price]]/$B$2*100</f>
        <v>86.926762491444208</v>
      </c>
    </row>
    <row r="938" spans="1:12">
      <c r="A938" s="103">
        <v>44643</v>
      </c>
      <c r="B938" s="104">
        <v>12.78</v>
      </c>
      <c r="C938" s="4">
        <f t="shared" si="28"/>
        <v>6.2794554848431012E-3</v>
      </c>
      <c r="D938" s="1">
        <f>IFERROR(Comp1[[#This Row],[Comparable '#1 Return]]+1,"-")</f>
        <v>1.0062794554848431</v>
      </c>
      <c r="E938" s="6">
        <f>B938-MAX($B$2:B938)</f>
        <v>-8.8400000000000016</v>
      </c>
      <c r="F938" s="80">
        <f t="shared" si="29"/>
        <v>541</v>
      </c>
      <c r="G938" s="22" cm="1">
        <f t="array" ref="G938">Comp1[[#This Row],[Comparable '#1 Drawdown]]/MAX($B$2:B938)</f>
        <v>-0.40888066604995382</v>
      </c>
      <c r="H938" s="1" t="str">
        <f>IF(SUM(COUNTIF(Benchmark1[Benchmark '#1 Dates],Comp1[[#This Row],[Comparable '#1 Dates]]),COUNTIF(Benchmark2[Benchmark '#2 Dates],Comp1[[#This Row],[Comparable '#1 Dates]]))=2,"Pass","Fail")</f>
        <v>Pass</v>
      </c>
      <c r="I938" s="1">
        <f>IFERROR(Comp1[[#This Row],[Comparable '#1 Return]]-INDEX(Benchmark1[Benchmark '#1 Return],MATCH(Comp1[[#This Row],[Comparable '#1 Dates]],Benchmark1[Benchmark '#1 Dates],0)),"-")</f>
        <v>1.8628204294688963E-2</v>
      </c>
      <c r="L938" s="72">
        <f>Comp1[[#This Row],[Comparable '#1 Price]]/$B$2*100</f>
        <v>87.474332648870629</v>
      </c>
    </row>
    <row r="939" spans="1:12">
      <c r="A939" s="103">
        <v>44644</v>
      </c>
      <c r="B939" s="104">
        <v>12.98</v>
      </c>
      <c r="C939" s="4">
        <f t="shared" si="28"/>
        <v>1.5528262326555194E-2</v>
      </c>
      <c r="D939" s="1">
        <f>IFERROR(Comp1[[#This Row],[Comparable '#1 Return]]+1,"-")</f>
        <v>1.0155282623265551</v>
      </c>
      <c r="E939" s="6">
        <f>B939-MAX($B$2:B939)</f>
        <v>-8.64</v>
      </c>
      <c r="F939" s="80">
        <f t="shared" si="29"/>
        <v>542</v>
      </c>
      <c r="G939" s="22" cm="1">
        <f t="array" ref="G939">Comp1[[#This Row],[Comparable '#1 Drawdown]]/MAX($B$2:B939)</f>
        <v>-0.39962997224791857</v>
      </c>
      <c r="H939" s="1" t="str">
        <f>IF(SUM(COUNTIF(Benchmark1[Benchmark '#1 Dates],Comp1[[#This Row],[Comparable '#1 Dates]]),COUNTIF(Benchmark2[Benchmark '#2 Dates],Comp1[[#This Row],[Comparable '#1 Dates]]))=2,"Pass","Fail")</f>
        <v>Pass</v>
      </c>
      <c r="I939" s="1">
        <f>IFERROR(Comp1[[#This Row],[Comparable '#1 Return]]-INDEX(Benchmark1[Benchmark '#1 Return],MATCH(Comp1[[#This Row],[Comparable '#1 Dates]],Benchmark1[Benchmark '#1 Dates],0)),"-")</f>
        <v>1.2850073834833678E-3</v>
      </c>
      <c r="L939" s="72">
        <f>Comp1[[#This Row],[Comparable '#1 Price]]/$B$2*100</f>
        <v>88.843258042436688</v>
      </c>
    </row>
    <row r="940" spans="1:12">
      <c r="A940" s="103">
        <v>44645</v>
      </c>
      <c r="B940" s="104">
        <v>13.11</v>
      </c>
      <c r="C940" s="4">
        <f t="shared" si="28"/>
        <v>9.9655864996645513E-3</v>
      </c>
      <c r="D940" s="1">
        <f>IFERROR(Comp1[[#This Row],[Comparable '#1 Return]]+1,"-")</f>
        <v>1.0099655864996646</v>
      </c>
      <c r="E940" s="6">
        <f>B940-MAX($B$2:B940)</f>
        <v>-8.5100000000000016</v>
      </c>
      <c r="F940" s="80">
        <f t="shared" si="29"/>
        <v>543</v>
      </c>
      <c r="G940" s="22" cm="1">
        <f t="array" ref="G940">Comp1[[#This Row],[Comparable '#1 Drawdown]]/MAX($B$2:B940)</f>
        <v>-0.39361702127659581</v>
      </c>
      <c r="H940" s="1" t="str">
        <f>IF(SUM(COUNTIF(Benchmark1[Benchmark '#1 Dates],Comp1[[#This Row],[Comparable '#1 Dates]]),COUNTIF(Benchmark2[Benchmark '#2 Dates],Comp1[[#This Row],[Comparable '#1 Dates]]))=2,"Pass","Fail")</f>
        <v>Pass</v>
      </c>
      <c r="I940" s="1">
        <f>IFERROR(Comp1[[#This Row],[Comparable '#1 Return]]-INDEX(Benchmark1[Benchmark '#1 Return],MATCH(Comp1[[#This Row],[Comparable '#1 Dates]],Benchmark1[Benchmark '#1 Dates],0)),"-")</f>
        <v>4.9133188442898879E-3</v>
      </c>
      <c r="L940" s="72">
        <f>Comp1[[#This Row],[Comparable '#1 Price]]/$B$2*100</f>
        <v>89.73305954825463</v>
      </c>
    </row>
    <row r="941" spans="1:12">
      <c r="A941" s="103">
        <v>44648</v>
      </c>
      <c r="B941" s="104">
        <v>13.04</v>
      </c>
      <c r="C941" s="4">
        <f t="shared" si="28"/>
        <v>-5.3537412771015626E-3</v>
      </c>
      <c r="D941" s="1">
        <f>IFERROR(Comp1[[#This Row],[Comparable '#1 Return]]+1,"-")</f>
        <v>0.99464625872289847</v>
      </c>
      <c r="E941" s="6">
        <f>B941-MAX($B$2:B941)</f>
        <v>-8.5800000000000018</v>
      </c>
      <c r="F941" s="80">
        <f t="shared" si="29"/>
        <v>544</v>
      </c>
      <c r="G941" s="22" cm="1">
        <f t="array" ref="G941">Comp1[[#This Row],[Comparable '#1 Drawdown]]/MAX($B$2:B941)</f>
        <v>-0.39685476410730813</v>
      </c>
      <c r="H941" s="1" t="str">
        <f>IF(SUM(COUNTIF(Benchmark1[Benchmark '#1 Dates],Comp1[[#This Row],[Comparable '#1 Dates]]),COUNTIF(Benchmark2[Benchmark '#2 Dates],Comp1[[#This Row],[Comparable '#1 Dates]]))=2,"Pass","Fail")</f>
        <v>Pass</v>
      </c>
      <c r="I941" s="1">
        <f>IFERROR(Comp1[[#This Row],[Comparable '#1 Return]]-INDEX(Benchmark1[Benchmark '#1 Return],MATCH(Comp1[[#This Row],[Comparable '#1 Dates]],Benchmark1[Benchmark '#1 Dates],0)),"-")</f>
        <v>-1.2473294783610811E-2</v>
      </c>
      <c r="L941" s="72">
        <f>Comp1[[#This Row],[Comparable '#1 Price]]/$B$2*100</f>
        <v>89.2539356605065</v>
      </c>
    </row>
    <row r="942" spans="1:12">
      <c r="A942" s="103">
        <v>44649</v>
      </c>
      <c r="B942" s="104">
        <v>12.82</v>
      </c>
      <c r="C942" s="4">
        <f t="shared" si="28"/>
        <v>-1.7015105005982814E-2</v>
      </c>
      <c r="D942" s="1">
        <f>IFERROR(Comp1[[#This Row],[Comparable '#1 Return]]+1,"-")</f>
        <v>0.9829848949940172</v>
      </c>
      <c r="E942" s="6">
        <f>B942-MAX($B$2:B942)</f>
        <v>-8.8000000000000007</v>
      </c>
      <c r="F942" s="80">
        <f t="shared" si="29"/>
        <v>545</v>
      </c>
      <c r="G942" s="22" cm="1">
        <f t="array" ref="G942">Comp1[[#This Row],[Comparable '#1 Drawdown]]/MAX($B$2:B942)</f>
        <v>-0.40703052728954675</v>
      </c>
      <c r="H942" s="1" t="str">
        <f>IF(SUM(COUNTIF(Benchmark1[Benchmark '#1 Dates],Comp1[[#This Row],[Comparable '#1 Dates]]),COUNTIF(Benchmark2[Benchmark '#2 Dates],Comp1[[#This Row],[Comparable '#1 Dates]]))=2,"Pass","Fail")</f>
        <v>Pass</v>
      </c>
      <c r="I942" s="1">
        <f>IFERROR(Comp1[[#This Row],[Comparable '#1 Return]]-INDEX(Benchmark1[Benchmark '#1 Return],MATCH(Comp1[[#This Row],[Comparable '#1 Dates]],Benchmark1[Benchmark '#1 Dates],0)),"-")</f>
        <v>-2.9198983201944122E-2</v>
      </c>
      <c r="L942" s="72">
        <f>Comp1[[#This Row],[Comparable '#1 Price]]/$B$2*100</f>
        <v>87.748117727583846</v>
      </c>
    </row>
    <row r="943" spans="1:12">
      <c r="A943" s="103">
        <v>44650</v>
      </c>
      <c r="B943" s="104">
        <v>12.23</v>
      </c>
      <c r="C943" s="4">
        <f t="shared" si="28"/>
        <v>-4.7114501793442967E-2</v>
      </c>
      <c r="D943" s="1">
        <f>IFERROR(Comp1[[#This Row],[Comparable '#1 Return]]+1,"-")</f>
        <v>0.95288549820655699</v>
      </c>
      <c r="E943" s="6">
        <f>B943-MAX($B$2:B943)</f>
        <v>-9.39</v>
      </c>
      <c r="F943" s="80">
        <f t="shared" si="29"/>
        <v>546</v>
      </c>
      <c r="G943" s="22" cm="1">
        <f t="array" ref="G943">Comp1[[#This Row],[Comparable '#1 Drawdown]]/MAX($B$2:B943)</f>
        <v>-0.43432007400555045</v>
      </c>
      <c r="H943" s="1" t="str">
        <f>IF(SUM(COUNTIF(Benchmark1[Benchmark '#1 Dates],Comp1[[#This Row],[Comparable '#1 Dates]]),COUNTIF(Benchmark2[Benchmark '#2 Dates],Comp1[[#This Row],[Comparable '#1 Dates]]))=2,"Pass","Fail")</f>
        <v>Pass</v>
      </c>
      <c r="I943" s="1">
        <f>IFERROR(Comp1[[#This Row],[Comparable '#1 Return]]-INDEX(Benchmark1[Benchmark '#1 Return],MATCH(Comp1[[#This Row],[Comparable '#1 Dates]],Benchmark1[Benchmark '#1 Dates],0)),"-")</f>
        <v>-4.0799542212491463E-2</v>
      </c>
      <c r="L943" s="72">
        <f>Comp1[[#This Row],[Comparable '#1 Price]]/$B$2*100</f>
        <v>83.709787816564003</v>
      </c>
    </row>
    <row r="944" spans="1:12">
      <c r="A944" s="103">
        <v>44651</v>
      </c>
      <c r="B944" s="104">
        <v>11.85</v>
      </c>
      <c r="C944" s="4">
        <f t="shared" si="28"/>
        <v>-3.1564082117940859E-2</v>
      </c>
      <c r="D944" s="1">
        <f>IFERROR(Comp1[[#This Row],[Comparable '#1 Return]]+1,"-")</f>
        <v>0.96843591788205918</v>
      </c>
      <c r="E944" s="6">
        <f>B944-MAX($B$2:B944)</f>
        <v>-9.7700000000000014</v>
      </c>
      <c r="F944" s="80">
        <f t="shared" si="29"/>
        <v>547</v>
      </c>
      <c r="G944" s="22" cm="1">
        <f t="array" ref="G944">Comp1[[#This Row],[Comparable '#1 Drawdown]]/MAX($B$2:B944)</f>
        <v>-0.45189639222941724</v>
      </c>
      <c r="H944" s="1" t="str">
        <f>IF(SUM(COUNTIF(Benchmark1[Benchmark '#1 Dates],Comp1[[#This Row],[Comparable '#1 Dates]]),COUNTIF(Benchmark2[Benchmark '#2 Dates],Comp1[[#This Row],[Comparable '#1 Dates]]))=2,"Pass","Fail")</f>
        <v>Pass</v>
      </c>
      <c r="I944" s="1">
        <f>IFERROR(Comp1[[#This Row],[Comparable '#1 Return]]-INDEX(Benchmark1[Benchmark '#1 Return],MATCH(Comp1[[#This Row],[Comparable '#1 Dates]],Benchmark1[Benchmark '#1 Dates],0)),"-")</f>
        <v>-1.5788818278823703E-2</v>
      </c>
      <c r="L944" s="72">
        <f>Comp1[[#This Row],[Comparable '#1 Price]]/$B$2*100</f>
        <v>81.108829568788494</v>
      </c>
    </row>
    <row r="945" spans="1:12">
      <c r="A945" s="103">
        <v>44652</v>
      </c>
      <c r="B945" s="104">
        <v>11.95</v>
      </c>
      <c r="C945" s="4">
        <f t="shared" si="28"/>
        <v>8.4034107963793792E-3</v>
      </c>
      <c r="D945" s="1">
        <f>IFERROR(Comp1[[#This Row],[Comparable '#1 Return]]+1,"-")</f>
        <v>1.0084034107963793</v>
      </c>
      <c r="E945" s="6">
        <f>B945-MAX($B$2:B945)</f>
        <v>-9.6700000000000017</v>
      </c>
      <c r="F945" s="80">
        <f t="shared" si="29"/>
        <v>548</v>
      </c>
      <c r="G945" s="22" cm="1">
        <f t="array" ref="G945">Comp1[[#This Row],[Comparable '#1 Drawdown]]/MAX($B$2:B945)</f>
        <v>-0.44727104532839967</v>
      </c>
      <c r="H945" s="1" t="str">
        <f>IF(SUM(COUNTIF(Benchmark1[Benchmark '#1 Dates],Comp1[[#This Row],[Comparable '#1 Dates]]),COUNTIF(Benchmark2[Benchmark '#2 Dates],Comp1[[#This Row],[Comparable '#1 Dates]]))=2,"Pass","Fail")</f>
        <v>Pass</v>
      </c>
      <c r="I945" s="1">
        <f>IFERROR(Comp1[[#This Row],[Comparable '#1 Return]]-INDEX(Benchmark1[Benchmark '#1 Return],MATCH(Comp1[[#This Row],[Comparable '#1 Dates]],Benchmark1[Benchmark '#1 Dates],0)),"-")</f>
        <v>5.0006688476537907E-3</v>
      </c>
      <c r="L945" s="72">
        <f>Comp1[[#This Row],[Comparable '#1 Price]]/$B$2*100</f>
        <v>81.793292265571523</v>
      </c>
    </row>
    <row r="946" spans="1:12">
      <c r="A946" s="103">
        <v>44655</v>
      </c>
      <c r="B946" s="104">
        <v>11.77</v>
      </c>
      <c r="C946" s="4">
        <f t="shared" si="28"/>
        <v>-1.5177357105334341E-2</v>
      </c>
      <c r="D946" s="1">
        <f>IFERROR(Comp1[[#This Row],[Comparable '#1 Return]]+1,"-")</f>
        <v>0.9848226428946657</v>
      </c>
      <c r="E946" s="6">
        <f>B946-MAX($B$2:B946)</f>
        <v>-9.8500000000000014</v>
      </c>
      <c r="F946" s="80">
        <f t="shared" si="29"/>
        <v>549</v>
      </c>
      <c r="G946" s="22" cm="1">
        <f t="array" ref="G946">Comp1[[#This Row],[Comparable '#1 Drawdown]]/MAX($B$2:B946)</f>
        <v>-0.45559666975023133</v>
      </c>
      <c r="H946" s="1" t="str">
        <f>IF(SUM(COUNTIF(Benchmark1[Benchmark '#1 Dates],Comp1[[#This Row],[Comparable '#1 Dates]]),COUNTIF(Benchmark2[Benchmark '#2 Dates],Comp1[[#This Row],[Comparable '#1 Dates]]))=2,"Pass","Fail")</f>
        <v>Pass</v>
      </c>
      <c r="I946" s="1">
        <f>IFERROR(Comp1[[#This Row],[Comparable '#1 Return]]-INDEX(Benchmark1[Benchmark '#1 Return],MATCH(Comp1[[#This Row],[Comparable '#1 Dates]],Benchmark1[Benchmark '#1 Dates],0)),"-")</f>
        <v>-2.323580900868509E-2</v>
      </c>
      <c r="L946" s="72">
        <f>Comp1[[#This Row],[Comparable '#1 Price]]/$B$2*100</f>
        <v>80.561259411362087</v>
      </c>
    </row>
    <row r="947" spans="1:12">
      <c r="A947" s="103">
        <v>44656</v>
      </c>
      <c r="B947" s="104">
        <v>11.55</v>
      </c>
      <c r="C947" s="4">
        <f t="shared" si="28"/>
        <v>-1.8868484304382691E-2</v>
      </c>
      <c r="D947" s="1">
        <f>IFERROR(Comp1[[#This Row],[Comparable '#1 Return]]+1,"-")</f>
        <v>0.9811315156956173</v>
      </c>
      <c r="E947" s="6">
        <f>B947-MAX($B$2:B947)</f>
        <v>-10.07</v>
      </c>
      <c r="F947" s="80">
        <f t="shared" si="29"/>
        <v>550</v>
      </c>
      <c r="G947" s="22" cm="1">
        <f t="array" ref="G947">Comp1[[#This Row],[Comparable '#1 Drawdown]]/MAX($B$2:B947)</f>
        <v>-0.46577243293246995</v>
      </c>
      <c r="H947" s="1" t="str">
        <f>IF(SUM(COUNTIF(Benchmark1[Benchmark '#1 Dates],Comp1[[#This Row],[Comparable '#1 Dates]]),COUNTIF(Benchmark2[Benchmark '#2 Dates],Comp1[[#This Row],[Comparable '#1 Dates]]))=2,"Pass","Fail")</f>
        <v>Pass</v>
      </c>
      <c r="I947" s="1">
        <f>IFERROR(Comp1[[#This Row],[Comparable '#1 Return]]-INDEX(Benchmark1[Benchmark '#1 Return],MATCH(Comp1[[#This Row],[Comparable '#1 Dates]],Benchmark1[Benchmark '#1 Dates],0)),"-")</f>
        <v>-6.2386479487472005E-3</v>
      </c>
      <c r="L947" s="72">
        <f>Comp1[[#This Row],[Comparable '#1 Price]]/$B$2*100</f>
        <v>79.055441478439434</v>
      </c>
    </row>
    <row r="948" spans="1:12">
      <c r="A948" s="103">
        <v>44657</v>
      </c>
      <c r="B948" s="104">
        <v>11.36</v>
      </c>
      <c r="C948" s="4">
        <f t="shared" si="28"/>
        <v>-1.6587023674797412E-2</v>
      </c>
      <c r="D948" s="1">
        <f>IFERROR(Comp1[[#This Row],[Comparable '#1 Return]]+1,"-")</f>
        <v>0.98341297632520264</v>
      </c>
      <c r="E948" s="6">
        <f>B948-MAX($B$2:B948)</f>
        <v>-10.260000000000002</v>
      </c>
      <c r="F948" s="80">
        <f t="shared" si="29"/>
        <v>551</v>
      </c>
      <c r="G948" s="22" cm="1">
        <f t="array" ref="G948">Comp1[[#This Row],[Comparable '#1 Drawdown]]/MAX($B$2:B948)</f>
        <v>-0.47456059204440337</v>
      </c>
      <c r="H948" s="1" t="str">
        <f>IF(SUM(COUNTIF(Benchmark1[Benchmark '#1 Dates],Comp1[[#This Row],[Comparable '#1 Dates]]),COUNTIF(Benchmark2[Benchmark '#2 Dates],Comp1[[#This Row],[Comparable '#1 Dates]]))=2,"Pass","Fail")</f>
        <v>Pass</v>
      </c>
      <c r="I948" s="1">
        <f>IFERROR(Comp1[[#This Row],[Comparable '#1 Return]]-INDEX(Benchmark1[Benchmark '#1 Return],MATCH(Comp1[[#This Row],[Comparable '#1 Dates]],Benchmark1[Benchmark '#1 Dates],0)),"-")</f>
        <v>-6.8229154669910072E-3</v>
      </c>
      <c r="L948" s="72">
        <f>Comp1[[#This Row],[Comparable '#1 Price]]/$B$2*100</f>
        <v>77.754962354551665</v>
      </c>
    </row>
    <row r="949" spans="1:12">
      <c r="A949" s="103">
        <v>44658</v>
      </c>
      <c r="B949" s="104">
        <v>11.45</v>
      </c>
      <c r="C949" s="4">
        <f t="shared" si="28"/>
        <v>7.8913167072432715E-3</v>
      </c>
      <c r="D949" s="1">
        <f>IFERROR(Comp1[[#This Row],[Comparable '#1 Return]]+1,"-")</f>
        <v>1.0078913167072432</v>
      </c>
      <c r="E949" s="6">
        <f>B949-MAX($B$2:B949)</f>
        <v>-10.170000000000002</v>
      </c>
      <c r="F949" s="80">
        <f t="shared" si="29"/>
        <v>552</v>
      </c>
      <c r="G949" s="22" cm="1">
        <f t="array" ref="G949">Comp1[[#This Row],[Comparable '#1 Drawdown]]/MAX($B$2:B949)</f>
        <v>-0.47039777983348757</v>
      </c>
      <c r="H949" s="1" t="str">
        <f>IF(SUM(COUNTIF(Benchmark1[Benchmark '#1 Dates],Comp1[[#This Row],[Comparable '#1 Dates]]),COUNTIF(Benchmark2[Benchmark '#2 Dates],Comp1[[#This Row],[Comparable '#1 Dates]]))=2,"Pass","Fail")</f>
        <v>Pass</v>
      </c>
      <c r="I949" s="1">
        <f>IFERROR(Comp1[[#This Row],[Comparable '#1 Return]]-INDEX(Benchmark1[Benchmark '#1 Return],MATCH(Comp1[[#This Row],[Comparable '#1 Dates]],Benchmark1[Benchmark '#1 Dates],0)),"-")</f>
        <v>3.6478369214479854E-3</v>
      </c>
      <c r="L949" s="72">
        <f>Comp1[[#This Row],[Comparable '#1 Price]]/$B$2*100</f>
        <v>78.37097878165639</v>
      </c>
    </row>
    <row r="950" spans="1:12">
      <c r="A950" s="103">
        <v>44659</v>
      </c>
      <c r="B950" s="104">
        <v>11.59</v>
      </c>
      <c r="C950" s="4">
        <f t="shared" si="28"/>
        <v>1.2152927351411758E-2</v>
      </c>
      <c r="D950" s="1">
        <f>IFERROR(Comp1[[#This Row],[Comparable '#1 Return]]+1,"-")</f>
        <v>1.0121529273514118</v>
      </c>
      <c r="E950" s="6">
        <f>B950-MAX($B$2:B950)</f>
        <v>-10.030000000000001</v>
      </c>
      <c r="F950" s="80">
        <f t="shared" si="29"/>
        <v>553</v>
      </c>
      <c r="G950" s="22" cm="1">
        <f t="array" ref="G950">Comp1[[#This Row],[Comparable '#1 Drawdown]]/MAX($B$2:B950)</f>
        <v>-0.46392229417206293</v>
      </c>
      <c r="H950" s="1" t="str">
        <f>IF(SUM(COUNTIF(Benchmark1[Benchmark '#1 Dates],Comp1[[#This Row],[Comparable '#1 Dates]]),COUNTIF(Benchmark2[Benchmark '#2 Dates],Comp1[[#This Row],[Comparable '#1 Dates]]))=2,"Pass","Fail")</f>
        <v>Pass</v>
      </c>
      <c r="I950" s="1">
        <f>IFERROR(Comp1[[#This Row],[Comparable '#1 Return]]-INDEX(Benchmark1[Benchmark '#1 Return],MATCH(Comp1[[#This Row],[Comparable '#1 Dates]],Benchmark1[Benchmark '#1 Dates],0)),"-")</f>
        <v>1.4806916345005049E-2</v>
      </c>
      <c r="L950" s="72">
        <f>Comp1[[#This Row],[Comparable '#1 Price]]/$B$2*100</f>
        <v>79.329226557152637</v>
      </c>
    </row>
    <row r="951" spans="1:12">
      <c r="A951" s="103">
        <v>44662</v>
      </c>
      <c r="B951" s="104">
        <v>11.53</v>
      </c>
      <c r="C951" s="4">
        <f t="shared" si="28"/>
        <v>-5.1903230706927357E-3</v>
      </c>
      <c r="D951" s="1">
        <f>IFERROR(Comp1[[#This Row],[Comparable '#1 Return]]+1,"-")</f>
        <v>0.99480967692930722</v>
      </c>
      <c r="E951" s="6">
        <f>B951-MAX($B$2:B951)</f>
        <v>-10.090000000000002</v>
      </c>
      <c r="F951" s="80">
        <f t="shared" si="29"/>
        <v>554</v>
      </c>
      <c r="G951" s="22" cm="1">
        <f t="array" ref="G951">Comp1[[#This Row],[Comparable '#1 Drawdown]]/MAX($B$2:B951)</f>
        <v>-0.46669750231267348</v>
      </c>
      <c r="H951" s="1" t="str">
        <f>IF(SUM(COUNTIF(Benchmark1[Benchmark '#1 Dates],Comp1[[#This Row],[Comparable '#1 Dates]]),COUNTIF(Benchmark2[Benchmark '#2 Dates],Comp1[[#This Row],[Comparable '#1 Dates]]))=2,"Pass","Fail")</f>
        <v>Pass</v>
      </c>
      <c r="I951" s="1">
        <f>IFERROR(Comp1[[#This Row],[Comparable '#1 Return]]-INDEX(Benchmark1[Benchmark '#1 Return],MATCH(Comp1[[#This Row],[Comparable '#1 Dates]],Benchmark1[Benchmark '#1 Dates],0)),"-")</f>
        <v>1.1831677692241031E-2</v>
      </c>
      <c r="L951" s="72">
        <f>Comp1[[#This Row],[Comparable '#1 Price]]/$B$2*100</f>
        <v>78.918548939082825</v>
      </c>
    </row>
    <row r="952" spans="1:12">
      <c r="A952" s="103">
        <v>44663</v>
      </c>
      <c r="B952" s="104">
        <v>11.61</v>
      </c>
      <c r="C952" s="4">
        <f t="shared" si="28"/>
        <v>6.9144614288324116E-3</v>
      </c>
      <c r="D952" s="1">
        <f>IFERROR(Comp1[[#This Row],[Comparable '#1 Return]]+1,"-")</f>
        <v>1.0069144614288323</v>
      </c>
      <c r="E952" s="6">
        <f>B952-MAX($B$2:B952)</f>
        <v>-10.010000000000002</v>
      </c>
      <c r="F952" s="80">
        <f t="shared" si="29"/>
        <v>555</v>
      </c>
      <c r="G952" s="22" cm="1">
        <f t="array" ref="G952">Comp1[[#This Row],[Comparable '#1 Drawdown]]/MAX($B$2:B952)</f>
        <v>-0.46299722479185945</v>
      </c>
      <c r="H952" s="1" t="str">
        <f>IF(SUM(COUNTIF(Benchmark1[Benchmark '#1 Dates],Comp1[[#This Row],[Comparable '#1 Dates]]),COUNTIF(Benchmark2[Benchmark '#2 Dates],Comp1[[#This Row],[Comparable '#1 Dates]]))=2,"Pass","Fail")</f>
        <v>Pass</v>
      </c>
      <c r="I952" s="1">
        <f>IFERROR(Comp1[[#This Row],[Comparable '#1 Return]]-INDEX(Benchmark1[Benchmark '#1 Return],MATCH(Comp1[[#This Row],[Comparable '#1 Dates]],Benchmark1[Benchmark '#1 Dates],0)),"-")</f>
        <v>1.0338206786417935E-2</v>
      </c>
      <c r="L952" s="72">
        <f>Comp1[[#This Row],[Comparable '#1 Price]]/$B$2*100</f>
        <v>79.466119096509232</v>
      </c>
    </row>
    <row r="953" spans="1:12">
      <c r="A953" s="103">
        <v>44664</v>
      </c>
      <c r="B953" s="104">
        <v>11.91</v>
      </c>
      <c r="C953" s="4">
        <f t="shared" si="28"/>
        <v>2.5511587657408723E-2</v>
      </c>
      <c r="D953" s="1">
        <f>IFERROR(Comp1[[#This Row],[Comparable '#1 Return]]+1,"-")</f>
        <v>1.0255115876574088</v>
      </c>
      <c r="E953" s="6">
        <f>B953-MAX($B$2:B953)</f>
        <v>-9.7100000000000009</v>
      </c>
      <c r="F953" s="80">
        <f t="shared" si="29"/>
        <v>556</v>
      </c>
      <c r="G953" s="22" cm="1">
        <f t="array" ref="G953">Comp1[[#This Row],[Comparable '#1 Drawdown]]/MAX($B$2:B953)</f>
        <v>-0.44912118408880669</v>
      </c>
      <c r="H953" s="1" t="str">
        <f>IF(SUM(COUNTIF(Benchmark1[Benchmark '#1 Dates],Comp1[[#This Row],[Comparable '#1 Dates]]),COUNTIF(Benchmark2[Benchmark '#2 Dates],Comp1[[#This Row],[Comparable '#1 Dates]]))=2,"Pass","Fail")</f>
        <v>Pass</v>
      </c>
      <c r="I953" s="1">
        <f>IFERROR(Comp1[[#This Row],[Comparable '#1 Return]]-INDEX(Benchmark1[Benchmark '#1 Return],MATCH(Comp1[[#This Row],[Comparable '#1 Dates]],Benchmark1[Benchmark '#1 Dates],0)),"-")</f>
        <v>1.4397873057097567E-2</v>
      </c>
      <c r="L953" s="72">
        <f>Comp1[[#This Row],[Comparable '#1 Price]]/$B$2*100</f>
        <v>81.51950718685832</v>
      </c>
    </row>
    <row r="954" spans="1:12">
      <c r="A954" s="103">
        <v>44665</v>
      </c>
      <c r="B954" s="104">
        <v>12.05</v>
      </c>
      <c r="C954" s="4">
        <f t="shared" si="28"/>
        <v>1.1686276569455263E-2</v>
      </c>
      <c r="D954" s="1">
        <f>IFERROR(Comp1[[#This Row],[Comparable '#1 Return]]+1,"-")</f>
        <v>1.0116862765694552</v>
      </c>
      <c r="E954" s="6">
        <f>B954-MAX($B$2:B954)</f>
        <v>-9.57</v>
      </c>
      <c r="F954" s="80">
        <f t="shared" si="29"/>
        <v>557</v>
      </c>
      <c r="G954" s="22" cm="1">
        <f t="array" ref="G954">Comp1[[#This Row],[Comparable '#1 Drawdown]]/MAX($B$2:B954)</f>
        <v>-0.44264569842738205</v>
      </c>
      <c r="H954" s="1" t="str">
        <f>IF(SUM(COUNTIF(Benchmark1[Benchmark '#1 Dates],Comp1[[#This Row],[Comparable '#1 Dates]]),COUNTIF(Benchmark2[Benchmark '#2 Dates],Comp1[[#This Row],[Comparable '#1 Dates]]))=2,"Pass","Fail")</f>
        <v>Pass</v>
      </c>
      <c r="I954" s="1">
        <f>IFERROR(Comp1[[#This Row],[Comparable '#1 Return]]-INDEX(Benchmark1[Benchmark '#1 Return],MATCH(Comp1[[#This Row],[Comparable '#1 Dates]],Benchmark1[Benchmark '#1 Dates],0)),"-")</f>
        <v>2.3905691960815923E-2</v>
      </c>
      <c r="L954" s="72">
        <f>Comp1[[#This Row],[Comparable '#1 Price]]/$B$2*100</f>
        <v>82.477754962354553</v>
      </c>
    </row>
    <row r="955" spans="1:12">
      <c r="A955" s="103">
        <v>44669</v>
      </c>
      <c r="B955" s="104">
        <v>12.06</v>
      </c>
      <c r="C955" s="4">
        <f t="shared" si="28"/>
        <v>8.2953136237537883E-4</v>
      </c>
      <c r="D955" s="1">
        <f>IFERROR(Comp1[[#This Row],[Comparable '#1 Return]]+1,"-")</f>
        <v>1.0008295313623754</v>
      </c>
      <c r="E955" s="6">
        <f>B955-MAX($B$2:B955)</f>
        <v>-9.56</v>
      </c>
      <c r="F955" s="80">
        <f t="shared" si="29"/>
        <v>558</v>
      </c>
      <c r="G955" s="22" cm="1">
        <f t="array" ref="G955">Comp1[[#This Row],[Comparable '#1 Drawdown]]/MAX($B$2:B955)</f>
        <v>-0.44218316373728028</v>
      </c>
      <c r="H955" s="1" t="str">
        <f>IF(SUM(COUNTIF(Benchmark1[Benchmark '#1 Dates],Comp1[[#This Row],[Comparable '#1 Dates]]),COUNTIF(Benchmark2[Benchmark '#2 Dates],Comp1[[#This Row],[Comparable '#1 Dates]]))=2,"Pass","Fail")</f>
        <v>Pass</v>
      </c>
      <c r="I955" s="1">
        <f>IFERROR(Comp1[[#This Row],[Comparable '#1 Return]]-INDEX(Benchmark1[Benchmark '#1 Return],MATCH(Comp1[[#This Row],[Comparable '#1 Dates]],Benchmark1[Benchmark '#1 Dates],0)),"-")</f>
        <v>1.0338259356518797E-3</v>
      </c>
      <c r="L955" s="72">
        <f>Comp1[[#This Row],[Comparable '#1 Price]]/$B$2*100</f>
        <v>82.546201232032857</v>
      </c>
    </row>
    <row r="956" spans="1:12">
      <c r="A956" s="103">
        <v>44670</v>
      </c>
      <c r="B956" s="104">
        <v>11.56</v>
      </c>
      <c r="C956" s="4">
        <f t="shared" si="28"/>
        <v>-4.2343328054808005E-2</v>
      </c>
      <c r="D956" s="1">
        <f>IFERROR(Comp1[[#This Row],[Comparable '#1 Return]]+1,"-")</f>
        <v>0.957656671945192</v>
      </c>
      <c r="E956" s="6">
        <f>B956-MAX($B$2:B956)</f>
        <v>-10.06</v>
      </c>
      <c r="F956" s="80">
        <f t="shared" si="29"/>
        <v>559</v>
      </c>
      <c r="G956" s="22" cm="1">
        <f t="array" ref="G956">Comp1[[#This Row],[Comparable '#1 Drawdown]]/MAX($B$2:B956)</f>
        <v>-0.46530989824236818</v>
      </c>
      <c r="H956" s="1" t="str">
        <f>IF(SUM(COUNTIF(Benchmark1[Benchmark '#1 Dates],Comp1[[#This Row],[Comparable '#1 Dates]]),COUNTIF(Benchmark2[Benchmark '#2 Dates],Comp1[[#This Row],[Comparable '#1 Dates]]))=2,"Pass","Fail")</f>
        <v>Pass</v>
      </c>
      <c r="I956" s="1">
        <f>IFERROR(Comp1[[#This Row],[Comparable '#1 Return]]-INDEX(Benchmark1[Benchmark '#1 Return],MATCH(Comp1[[#This Row],[Comparable '#1 Dates]],Benchmark1[Benchmark '#1 Dates],0)),"-")</f>
        <v>-5.8273301226415844E-2</v>
      </c>
      <c r="L956" s="72">
        <f>Comp1[[#This Row],[Comparable '#1 Price]]/$B$2*100</f>
        <v>79.123887748117738</v>
      </c>
    </row>
    <row r="957" spans="1:12">
      <c r="A957" s="103">
        <v>44671</v>
      </c>
      <c r="B957" s="104">
        <v>11.72</v>
      </c>
      <c r="C957" s="4">
        <f t="shared" si="28"/>
        <v>1.3745920904635136E-2</v>
      </c>
      <c r="D957" s="1">
        <f>IFERROR(Comp1[[#This Row],[Comparable '#1 Return]]+1,"-")</f>
        <v>1.0137459209046351</v>
      </c>
      <c r="E957" s="6">
        <f>B957-MAX($B$2:B957)</f>
        <v>-9.9</v>
      </c>
      <c r="F957" s="80">
        <f t="shared" si="29"/>
        <v>560</v>
      </c>
      <c r="G957" s="22" cm="1">
        <f t="array" ref="G957">Comp1[[#This Row],[Comparable '#1 Drawdown]]/MAX($B$2:B957)</f>
        <v>-0.45790934320074006</v>
      </c>
      <c r="H957" s="1" t="str">
        <f>IF(SUM(COUNTIF(Benchmark1[Benchmark '#1 Dates],Comp1[[#This Row],[Comparable '#1 Dates]]),COUNTIF(Benchmark2[Benchmark '#2 Dates],Comp1[[#This Row],[Comparable '#1 Dates]]))=2,"Pass","Fail")</f>
        <v>Pass</v>
      </c>
      <c r="I957" s="1">
        <f>IFERROR(Comp1[[#This Row],[Comparable '#1 Return]]-INDEX(Benchmark1[Benchmark '#1 Return],MATCH(Comp1[[#This Row],[Comparable '#1 Dates]],Benchmark1[Benchmark '#1 Dates],0)),"-")</f>
        <v>1.4364582629645769E-2</v>
      </c>
      <c r="L957" s="72">
        <f>Comp1[[#This Row],[Comparable '#1 Price]]/$B$2*100</f>
        <v>80.21902806297058</v>
      </c>
    </row>
    <row r="958" spans="1:12">
      <c r="A958" s="103">
        <v>44672</v>
      </c>
      <c r="B958" s="104">
        <v>11.6</v>
      </c>
      <c r="C958" s="4">
        <f t="shared" si="28"/>
        <v>-1.0291686036547636E-2</v>
      </c>
      <c r="D958" s="1">
        <f>IFERROR(Comp1[[#This Row],[Comparable '#1 Return]]+1,"-")</f>
        <v>0.98970831396345238</v>
      </c>
      <c r="E958" s="6">
        <f>B958-MAX($B$2:B958)</f>
        <v>-10.020000000000001</v>
      </c>
      <c r="F958" s="80">
        <f t="shared" si="29"/>
        <v>561</v>
      </c>
      <c r="G958" s="22" cm="1">
        <f t="array" ref="G958">Comp1[[#This Row],[Comparable '#1 Drawdown]]/MAX($B$2:B958)</f>
        <v>-0.46345975948196116</v>
      </c>
      <c r="H958" s="1" t="str">
        <f>IF(SUM(COUNTIF(Benchmark1[Benchmark '#1 Dates],Comp1[[#This Row],[Comparable '#1 Dates]]),COUNTIF(Benchmark2[Benchmark '#2 Dates],Comp1[[#This Row],[Comparable '#1 Dates]]))=2,"Pass","Fail")</f>
        <v>Pass</v>
      </c>
      <c r="I958" s="1">
        <f>IFERROR(Comp1[[#This Row],[Comparable '#1 Return]]-INDEX(Benchmark1[Benchmark '#1 Return],MATCH(Comp1[[#This Row],[Comparable '#1 Dates]],Benchmark1[Benchmark '#1 Dates],0)),"-")</f>
        <v>4.5704453589812538E-3</v>
      </c>
      <c r="L958" s="72">
        <f>Comp1[[#This Row],[Comparable '#1 Price]]/$B$2*100</f>
        <v>79.397672826830927</v>
      </c>
    </row>
    <row r="959" spans="1:12">
      <c r="A959" s="103">
        <v>44673</v>
      </c>
      <c r="B959" s="104">
        <v>11.35</v>
      </c>
      <c r="C959" s="4">
        <f t="shared" si="28"/>
        <v>-2.1787354184907296E-2</v>
      </c>
      <c r="D959" s="1">
        <f>IFERROR(Comp1[[#This Row],[Comparable '#1 Return]]+1,"-")</f>
        <v>0.97821264581509271</v>
      </c>
      <c r="E959" s="6">
        <f>B959-MAX($B$2:B959)</f>
        <v>-10.270000000000001</v>
      </c>
      <c r="F959" s="80">
        <f t="shared" si="29"/>
        <v>562</v>
      </c>
      <c r="G959" s="22" cm="1">
        <f t="array" ref="G959">Comp1[[#This Row],[Comparable '#1 Drawdown]]/MAX($B$2:B959)</f>
        <v>-0.47502312673450514</v>
      </c>
      <c r="H959" s="1" t="str">
        <f>IF(SUM(COUNTIF(Benchmark1[Benchmark '#1 Dates],Comp1[[#This Row],[Comparable '#1 Dates]]),COUNTIF(Benchmark2[Benchmark '#2 Dates],Comp1[[#This Row],[Comparable '#1 Dates]]))=2,"Pass","Fail")</f>
        <v>Pass</v>
      </c>
      <c r="I959" s="1">
        <f>IFERROR(Comp1[[#This Row],[Comparable '#1 Return]]-INDEX(Benchmark1[Benchmark '#1 Return],MATCH(Comp1[[#This Row],[Comparable '#1 Dates]],Benchmark1[Benchmark '#1 Dates],0)),"-")</f>
        <v>6.3464527714789352E-3</v>
      </c>
      <c r="L959" s="72">
        <f>Comp1[[#This Row],[Comparable '#1 Price]]/$B$2*100</f>
        <v>77.686516084873375</v>
      </c>
    </row>
    <row r="960" spans="1:12">
      <c r="A960" s="103">
        <v>44676</v>
      </c>
      <c r="B960" s="104">
        <v>11.64</v>
      </c>
      <c r="C960" s="4">
        <f t="shared" si="28"/>
        <v>2.522969837588019E-2</v>
      </c>
      <c r="D960" s="1">
        <f>IFERROR(Comp1[[#This Row],[Comparable '#1 Return]]+1,"-")</f>
        <v>1.0252296983758802</v>
      </c>
      <c r="E960" s="6">
        <f>B960-MAX($B$2:B960)</f>
        <v>-9.98</v>
      </c>
      <c r="F960" s="80">
        <f t="shared" si="29"/>
        <v>563</v>
      </c>
      <c r="G960" s="22" cm="1">
        <f t="array" ref="G960">Comp1[[#This Row],[Comparable '#1 Drawdown]]/MAX($B$2:B960)</f>
        <v>-0.46160962072155409</v>
      </c>
      <c r="H960" s="1" t="str">
        <f>IF(SUM(COUNTIF(Benchmark1[Benchmark '#1 Dates],Comp1[[#This Row],[Comparable '#1 Dates]]),COUNTIF(Benchmark2[Benchmark '#2 Dates],Comp1[[#This Row],[Comparable '#1 Dates]]))=2,"Pass","Fail")</f>
        <v>Pass</v>
      </c>
      <c r="I960" s="1">
        <f>IFERROR(Comp1[[#This Row],[Comparable '#1 Return]]-INDEX(Benchmark1[Benchmark '#1 Return],MATCH(Comp1[[#This Row],[Comparable '#1 Dates]],Benchmark1[Benchmark '#1 Dates],0)),"-")</f>
        <v>1.9547808033763069E-2</v>
      </c>
      <c r="L960" s="72">
        <f>Comp1[[#This Row],[Comparable '#1 Price]]/$B$2*100</f>
        <v>79.671457905544145</v>
      </c>
    </row>
    <row r="961" spans="1:12">
      <c r="A961" s="103">
        <v>44677</v>
      </c>
      <c r="B961" s="104">
        <v>11.63</v>
      </c>
      <c r="C961" s="4">
        <f t="shared" si="28"/>
        <v>-8.5947577271870451E-4</v>
      </c>
      <c r="D961" s="1">
        <f>IFERROR(Comp1[[#This Row],[Comparable '#1 Return]]+1,"-")</f>
        <v>0.99914052422728128</v>
      </c>
      <c r="E961" s="6">
        <f>B961-MAX($B$2:B961)</f>
        <v>-9.99</v>
      </c>
      <c r="F961" s="80">
        <f t="shared" si="29"/>
        <v>564</v>
      </c>
      <c r="G961" s="22" cm="1">
        <f t="array" ref="G961">Comp1[[#This Row],[Comparable '#1 Drawdown]]/MAX($B$2:B961)</f>
        <v>-0.46207215541165586</v>
      </c>
      <c r="H961" s="1" t="str">
        <f>IF(SUM(COUNTIF(Benchmark1[Benchmark '#1 Dates],Comp1[[#This Row],[Comparable '#1 Dates]]),COUNTIF(Benchmark2[Benchmark '#2 Dates],Comp1[[#This Row],[Comparable '#1 Dates]]))=2,"Pass","Fail")</f>
        <v>Pass</v>
      </c>
      <c r="I961" s="1">
        <f>IFERROR(Comp1[[#This Row],[Comparable '#1 Return]]-INDEX(Benchmark1[Benchmark '#1 Return],MATCH(Comp1[[#This Row],[Comparable '#1 Dates]],Benchmark1[Benchmark '#1 Dates],0)),"-")</f>
        <v>2.7690382461425089E-2</v>
      </c>
      <c r="L961" s="72">
        <f>Comp1[[#This Row],[Comparable '#1 Price]]/$B$2*100</f>
        <v>79.603011635865855</v>
      </c>
    </row>
    <row r="962" spans="1:12">
      <c r="A962" s="103">
        <v>44678</v>
      </c>
      <c r="B962" s="104">
        <v>11.68</v>
      </c>
      <c r="C962" s="4">
        <f t="shared" ref="C962:C1025" si="30">IFERROR(IF(B962="","-",LN(B962/B961)),"-")</f>
        <v>4.2900108695079131E-3</v>
      </c>
      <c r="D962" s="1">
        <f>IFERROR(Comp1[[#This Row],[Comparable '#1 Return]]+1,"-")</f>
        <v>1.0042900108695079</v>
      </c>
      <c r="E962" s="6">
        <f>B962-MAX($B$2:B962)</f>
        <v>-9.9400000000000013</v>
      </c>
      <c r="F962" s="80">
        <f t="shared" ref="F962:F1025" si="31">IF(E962=0,0,F961+1)</f>
        <v>565</v>
      </c>
      <c r="G962" s="22" cm="1">
        <f t="array" ref="G962">Comp1[[#This Row],[Comparable '#1 Drawdown]]/MAX($B$2:B962)</f>
        <v>-0.45975948196114713</v>
      </c>
      <c r="H962" s="1" t="str">
        <f>IF(SUM(COUNTIF(Benchmark1[Benchmark '#1 Dates],Comp1[[#This Row],[Comparable '#1 Dates]]),COUNTIF(Benchmark2[Benchmark '#2 Dates],Comp1[[#This Row],[Comparable '#1 Dates]]))=2,"Pass","Fail")</f>
        <v>Pass</v>
      </c>
      <c r="I962" s="1">
        <f>IFERROR(Comp1[[#This Row],[Comparable '#1 Return]]-INDEX(Benchmark1[Benchmark '#1 Return],MATCH(Comp1[[#This Row],[Comparable '#1 Dates]],Benchmark1[Benchmark '#1 Dates],0)),"-")</f>
        <v>2.194577158620873E-3</v>
      </c>
      <c r="L962" s="72">
        <f>Comp1[[#This Row],[Comparable '#1 Price]]/$B$2*100</f>
        <v>79.945242984257362</v>
      </c>
    </row>
    <row r="963" spans="1:12">
      <c r="A963" s="103">
        <v>44679</v>
      </c>
      <c r="B963" s="104">
        <v>11.58</v>
      </c>
      <c r="C963" s="4">
        <f t="shared" si="30"/>
        <v>-8.5985052552317934E-3</v>
      </c>
      <c r="D963" s="1">
        <f>IFERROR(Comp1[[#This Row],[Comparable '#1 Return]]+1,"-")</f>
        <v>0.99140149474476824</v>
      </c>
      <c r="E963" s="6">
        <f>B963-MAX($B$2:B963)</f>
        <v>-10.040000000000001</v>
      </c>
      <c r="F963" s="80">
        <f t="shared" si="31"/>
        <v>566</v>
      </c>
      <c r="G963" s="22" cm="1">
        <f t="array" ref="G963">Comp1[[#This Row],[Comparable '#1 Drawdown]]/MAX($B$2:B963)</f>
        <v>-0.4643848288621647</v>
      </c>
      <c r="H963" s="1" t="str">
        <f>IF(SUM(COUNTIF(Benchmark1[Benchmark '#1 Dates],Comp1[[#This Row],[Comparable '#1 Dates]]),COUNTIF(Benchmark2[Benchmark '#2 Dates],Comp1[[#This Row],[Comparable '#1 Dates]]))=2,"Pass","Fail")</f>
        <v>Pass</v>
      </c>
      <c r="I963" s="1">
        <f>IFERROR(Comp1[[#This Row],[Comparable '#1 Return]]-INDEX(Benchmark1[Benchmark '#1 Return],MATCH(Comp1[[#This Row],[Comparable '#1 Dates]],Benchmark1[Benchmark '#1 Dates],0)),"-")</f>
        <v>-3.3045523189490777E-2</v>
      </c>
      <c r="L963" s="72">
        <f>Comp1[[#This Row],[Comparable '#1 Price]]/$B$2*100</f>
        <v>79.260780287474347</v>
      </c>
    </row>
    <row r="964" spans="1:12">
      <c r="A964" s="103">
        <v>44680</v>
      </c>
      <c r="B964" s="104">
        <v>11.33</v>
      </c>
      <c r="C964" s="4">
        <f t="shared" si="30"/>
        <v>-2.1825397104934242E-2</v>
      </c>
      <c r="D964" s="1">
        <f>IFERROR(Comp1[[#This Row],[Comparable '#1 Return]]+1,"-")</f>
        <v>0.97817460289506575</v>
      </c>
      <c r="E964" s="6">
        <f>B964-MAX($B$2:B964)</f>
        <v>-10.290000000000001</v>
      </c>
      <c r="F964" s="80">
        <f t="shared" si="31"/>
        <v>567</v>
      </c>
      <c r="G964" s="22" cm="1">
        <f t="array" ref="G964">Comp1[[#This Row],[Comparable '#1 Drawdown]]/MAX($B$2:B964)</f>
        <v>-0.47594819611470862</v>
      </c>
      <c r="H964" s="1" t="str">
        <f>IF(SUM(COUNTIF(Benchmark1[Benchmark '#1 Dates],Comp1[[#This Row],[Comparable '#1 Dates]]),COUNTIF(Benchmark2[Benchmark '#2 Dates],Comp1[[#This Row],[Comparable '#1 Dates]]))=2,"Pass","Fail")</f>
        <v>Pass</v>
      </c>
      <c r="I964" s="1">
        <f>IFERROR(Comp1[[#This Row],[Comparable '#1 Return]]-INDEX(Benchmark1[Benchmark '#1 Return],MATCH(Comp1[[#This Row],[Comparable '#1 Dates]],Benchmark1[Benchmark '#1 Dates],0)),"-")</f>
        <v>1.5134921943443683E-2</v>
      </c>
      <c r="L964" s="72">
        <f>Comp1[[#This Row],[Comparable '#1 Price]]/$B$2*100</f>
        <v>77.549623545516781</v>
      </c>
    </row>
    <row r="965" spans="1:12">
      <c r="A965" s="103">
        <v>44683</v>
      </c>
      <c r="B965" s="104">
        <v>11.32</v>
      </c>
      <c r="C965" s="4">
        <f t="shared" si="30"/>
        <v>-8.8300226487806081E-4</v>
      </c>
      <c r="D965" s="1">
        <f>IFERROR(Comp1[[#This Row],[Comparable '#1 Return]]+1,"-")</f>
        <v>0.99911699773512197</v>
      </c>
      <c r="E965" s="6">
        <f>B965-MAX($B$2:B965)</f>
        <v>-10.3</v>
      </c>
      <c r="F965" s="80">
        <f t="shared" si="31"/>
        <v>568</v>
      </c>
      <c r="G965" s="22" cm="1">
        <f t="array" ref="G965">Comp1[[#This Row],[Comparable '#1 Drawdown]]/MAX($B$2:B965)</f>
        <v>-0.47641073080481039</v>
      </c>
      <c r="H965" s="1" t="str">
        <f>IF(SUM(COUNTIF(Benchmark1[Benchmark '#1 Dates],Comp1[[#This Row],[Comparable '#1 Dates]]),COUNTIF(Benchmark2[Benchmark '#2 Dates],Comp1[[#This Row],[Comparable '#1 Dates]]))=2,"Pass","Fail")</f>
        <v>Pass</v>
      </c>
      <c r="I965" s="1">
        <f>IFERROR(Comp1[[#This Row],[Comparable '#1 Return]]-INDEX(Benchmark1[Benchmark '#1 Return],MATCH(Comp1[[#This Row],[Comparable '#1 Dates]],Benchmark1[Benchmark '#1 Dates],0)),"-")</f>
        <v>-6.5425561150939636E-3</v>
      </c>
      <c r="L965" s="72">
        <f>Comp1[[#This Row],[Comparable '#1 Price]]/$B$2*100</f>
        <v>77.481177275838476</v>
      </c>
    </row>
    <row r="966" spans="1:12">
      <c r="A966" s="103">
        <v>44684</v>
      </c>
      <c r="B966" s="104">
        <v>11.33</v>
      </c>
      <c r="C966" s="4">
        <f t="shared" si="30"/>
        <v>8.8300226487807762E-4</v>
      </c>
      <c r="D966" s="1">
        <f>IFERROR(Comp1[[#This Row],[Comparable '#1 Return]]+1,"-")</f>
        <v>1.000883002264878</v>
      </c>
      <c r="E966" s="6">
        <f>B966-MAX($B$2:B966)</f>
        <v>-10.290000000000001</v>
      </c>
      <c r="F966" s="80">
        <f t="shared" si="31"/>
        <v>569</v>
      </c>
      <c r="G966" s="22" cm="1">
        <f t="array" ref="G966">Comp1[[#This Row],[Comparable '#1 Drawdown]]/MAX($B$2:B966)</f>
        <v>-0.47594819611470862</v>
      </c>
      <c r="H966" s="1" t="str">
        <f>IF(SUM(COUNTIF(Benchmark1[Benchmark '#1 Dates],Comp1[[#This Row],[Comparable '#1 Dates]]),COUNTIF(Benchmark2[Benchmark '#2 Dates],Comp1[[#This Row],[Comparable '#1 Dates]]))=2,"Pass","Fail")</f>
        <v>Pass</v>
      </c>
      <c r="I966" s="1">
        <f>IFERROR(Comp1[[#This Row],[Comparable '#1 Return]]-INDEX(Benchmark1[Benchmark '#1 Return],MATCH(Comp1[[#This Row],[Comparable '#1 Dates]],Benchmark1[Benchmark '#1 Dates],0)),"-")</f>
        <v>-3.9419950629542583E-3</v>
      </c>
      <c r="L966" s="72">
        <f>Comp1[[#This Row],[Comparable '#1 Price]]/$B$2*100</f>
        <v>77.549623545516781</v>
      </c>
    </row>
    <row r="967" spans="1:12">
      <c r="A967" s="103">
        <v>44685</v>
      </c>
      <c r="B967" s="104">
        <v>11.36</v>
      </c>
      <c r="C967" s="4">
        <f t="shared" si="30"/>
        <v>2.644338253090202E-3</v>
      </c>
      <c r="D967" s="1">
        <f>IFERROR(Comp1[[#This Row],[Comparable '#1 Return]]+1,"-")</f>
        <v>1.0026443382530903</v>
      </c>
      <c r="E967" s="6">
        <f>B967-MAX($B$2:B967)</f>
        <v>-10.260000000000002</v>
      </c>
      <c r="F967" s="80">
        <f t="shared" si="31"/>
        <v>570</v>
      </c>
      <c r="G967" s="22" cm="1">
        <f t="array" ref="G967">Comp1[[#This Row],[Comparable '#1 Drawdown]]/MAX($B$2:B967)</f>
        <v>-0.47456059204440337</v>
      </c>
      <c r="H967" s="1" t="str">
        <f>IF(SUM(COUNTIF(Benchmark1[Benchmark '#1 Dates],Comp1[[#This Row],[Comparable '#1 Dates]]),COUNTIF(Benchmark2[Benchmark '#2 Dates],Comp1[[#This Row],[Comparable '#1 Dates]]))=2,"Pass","Fail")</f>
        <v>Pass</v>
      </c>
      <c r="I967" s="1">
        <f>IFERROR(Comp1[[#This Row],[Comparable '#1 Return]]-INDEX(Benchmark1[Benchmark '#1 Return],MATCH(Comp1[[#This Row],[Comparable '#1 Dates]],Benchmark1[Benchmark '#1 Dates],0)),"-")</f>
        <v>-2.6782801727365965E-2</v>
      </c>
      <c r="L967" s="72">
        <f>Comp1[[#This Row],[Comparable '#1 Price]]/$B$2*100</f>
        <v>77.754962354551665</v>
      </c>
    </row>
    <row r="968" spans="1:12">
      <c r="A968" s="103">
        <v>44686</v>
      </c>
      <c r="B968" s="104">
        <v>11.97</v>
      </c>
      <c r="C968" s="4">
        <f t="shared" si="30"/>
        <v>5.2305106276876658E-2</v>
      </c>
      <c r="D968" s="1">
        <f>IFERROR(Comp1[[#This Row],[Comparable '#1 Return]]+1,"-")</f>
        <v>1.0523051062768767</v>
      </c>
      <c r="E968" s="6">
        <f>B968-MAX($B$2:B968)</f>
        <v>-9.65</v>
      </c>
      <c r="F968" s="80">
        <f t="shared" si="31"/>
        <v>571</v>
      </c>
      <c r="G968" s="22" cm="1">
        <f t="array" ref="G968">Comp1[[#This Row],[Comparable '#1 Drawdown]]/MAX($B$2:B968)</f>
        <v>-0.44634597594819608</v>
      </c>
      <c r="H968" s="1" t="str">
        <f>IF(SUM(COUNTIF(Benchmark1[Benchmark '#1 Dates],Comp1[[#This Row],[Comparable '#1 Dates]]),COUNTIF(Benchmark2[Benchmark '#2 Dates],Comp1[[#This Row],[Comparable '#1 Dates]]))=2,"Pass","Fail")</f>
        <v>Pass</v>
      </c>
      <c r="I968" s="1">
        <f>IFERROR(Comp1[[#This Row],[Comparable '#1 Return]]-INDEX(Benchmark1[Benchmark '#1 Return],MATCH(Comp1[[#This Row],[Comparable '#1 Dates]],Benchmark1[Benchmark '#1 Dates],0)),"-")</f>
        <v>8.8607284200003411E-2</v>
      </c>
      <c r="L968" s="72">
        <f>Comp1[[#This Row],[Comparable '#1 Price]]/$B$2*100</f>
        <v>81.930184804928146</v>
      </c>
    </row>
    <row r="969" spans="1:12">
      <c r="A969" s="103">
        <v>44687</v>
      </c>
      <c r="B969" s="104">
        <v>11.69</v>
      </c>
      <c r="C969" s="4">
        <f t="shared" si="30"/>
        <v>-2.3669744085904849E-2</v>
      </c>
      <c r="D969" s="1">
        <f>IFERROR(Comp1[[#This Row],[Comparable '#1 Return]]+1,"-")</f>
        <v>0.97633025591409517</v>
      </c>
      <c r="E969" s="6">
        <f>B969-MAX($B$2:B969)</f>
        <v>-9.9300000000000015</v>
      </c>
      <c r="F969" s="80">
        <f t="shared" si="31"/>
        <v>572</v>
      </c>
      <c r="G969" s="22" cm="1">
        <f t="array" ref="G969">Comp1[[#This Row],[Comparable '#1 Drawdown]]/MAX($B$2:B969)</f>
        <v>-0.45929694727104536</v>
      </c>
      <c r="H969" s="1" t="str">
        <f>IF(SUM(COUNTIF(Benchmark1[Benchmark '#1 Dates],Comp1[[#This Row],[Comparable '#1 Dates]]),COUNTIF(Benchmark2[Benchmark '#2 Dates],Comp1[[#This Row],[Comparable '#1 Dates]]))=2,"Pass","Fail")</f>
        <v>Pass</v>
      </c>
      <c r="I969" s="1">
        <f>IFERROR(Comp1[[#This Row],[Comparable '#1 Return]]-INDEX(Benchmark1[Benchmark '#1 Return],MATCH(Comp1[[#This Row],[Comparable '#1 Dates]],Benchmark1[Benchmark '#1 Dates],0)),"-")</f>
        <v>-1.7978949045350669E-2</v>
      </c>
      <c r="L969" s="72">
        <f>Comp1[[#This Row],[Comparable '#1 Price]]/$B$2*100</f>
        <v>80.013689253935667</v>
      </c>
    </row>
    <row r="970" spans="1:12">
      <c r="A970" s="103">
        <v>44690</v>
      </c>
      <c r="B970" s="104">
        <v>11.48</v>
      </c>
      <c r="C970" s="4">
        <f t="shared" si="30"/>
        <v>-1.8127384592556604E-2</v>
      </c>
      <c r="D970" s="1">
        <f>IFERROR(Comp1[[#This Row],[Comparable '#1 Return]]+1,"-")</f>
        <v>0.98187261540744342</v>
      </c>
      <c r="E970" s="6">
        <f>B970-MAX($B$2:B970)</f>
        <v>-10.14</v>
      </c>
      <c r="F970" s="80">
        <f t="shared" si="31"/>
        <v>573</v>
      </c>
      <c r="G970" s="22" cm="1">
        <f t="array" ref="G970">Comp1[[#This Row],[Comparable '#1 Drawdown]]/MAX($B$2:B970)</f>
        <v>-0.46901017576318227</v>
      </c>
      <c r="H970" s="1" t="str">
        <f>IF(SUM(COUNTIF(Benchmark1[Benchmark '#1 Dates],Comp1[[#This Row],[Comparable '#1 Dates]]),COUNTIF(Benchmark2[Benchmark '#2 Dates],Comp1[[#This Row],[Comparable '#1 Dates]]))=2,"Pass","Fail")</f>
        <v>Pass</v>
      </c>
      <c r="I970" s="1">
        <f>IFERROR(Comp1[[#This Row],[Comparable '#1 Return]]-INDEX(Benchmark1[Benchmark '#1 Return],MATCH(Comp1[[#This Row],[Comparable '#1 Dates]],Benchmark1[Benchmark '#1 Dates],0)),"-")</f>
        <v>1.4433771935535196E-2</v>
      </c>
      <c r="L970" s="72">
        <f>Comp1[[#This Row],[Comparable '#1 Price]]/$B$2*100</f>
        <v>78.576317590691318</v>
      </c>
    </row>
    <row r="971" spans="1:12">
      <c r="A971" s="103">
        <v>44691</v>
      </c>
      <c r="B971" s="104">
        <v>11.49</v>
      </c>
      <c r="C971" s="4">
        <f t="shared" si="30"/>
        <v>8.7070096924389095E-4</v>
      </c>
      <c r="D971" s="1">
        <f>IFERROR(Comp1[[#This Row],[Comparable '#1 Return]]+1,"-")</f>
        <v>1.0008707009692439</v>
      </c>
      <c r="E971" s="6">
        <f>B971-MAX($B$2:B971)</f>
        <v>-10.130000000000001</v>
      </c>
      <c r="F971" s="80">
        <f t="shared" si="31"/>
        <v>574</v>
      </c>
      <c r="G971" s="22" cm="1">
        <f t="array" ref="G971">Comp1[[#This Row],[Comparable '#1 Drawdown]]/MAX($B$2:B971)</f>
        <v>-0.4685476410730805</v>
      </c>
      <c r="H971" s="1" t="str">
        <f>IF(SUM(COUNTIF(Benchmark1[Benchmark '#1 Dates],Comp1[[#This Row],[Comparable '#1 Dates]]),COUNTIF(Benchmark2[Benchmark '#2 Dates],Comp1[[#This Row],[Comparable '#1 Dates]]))=2,"Pass","Fail")</f>
        <v>Pass</v>
      </c>
      <c r="I971" s="1">
        <f>IFERROR(Comp1[[#This Row],[Comparable '#1 Return]]-INDEX(Benchmark1[Benchmark '#1 Return],MATCH(Comp1[[#This Row],[Comparable '#1 Dates]],Benchmark1[Benchmark '#1 Dates],0)),"-")</f>
        <v>-1.5859961717862609E-3</v>
      </c>
      <c r="L971" s="72">
        <f>Comp1[[#This Row],[Comparable '#1 Price]]/$B$2*100</f>
        <v>78.644763860369622</v>
      </c>
    </row>
    <row r="972" spans="1:12">
      <c r="A972" s="103">
        <v>44692</v>
      </c>
      <c r="B972" s="104">
        <v>11.29</v>
      </c>
      <c r="C972" s="4">
        <f t="shared" si="30"/>
        <v>-1.7559713699093791E-2</v>
      </c>
      <c r="D972" s="1">
        <f>IFERROR(Comp1[[#This Row],[Comparable '#1 Return]]+1,"-")</f>
        <v>0.98244028630090618</v>
      </c>
      <c r="E972" s="6">
        <f>B972-MAX($B$2:B972)</f>
        <v>-10.330000000000002</v>
      </c>
      <c r="F972" s="80">
        <f t="shared" si="31"/>
        <v>575</v>
      </c>
      <c r="G972" s="22" cm="1">
        <f t="array" ref="G972">Comp1[[#This Row],[Comparable '#1 Drawdown]]/MAX($B$2:B972)</f>
        <v>-0.47779833487511569</v>
      </c>
      <c r="H972" s="1" t="str">
        <f>IF(SUM(COUNTIF(Benchmark1[Benchmark '#1 Dates],Comp1[[#This Row],[Comparable '#1 Dates]]),COUNTIF(Benchmark2[Benchmark '#2 Dates],Comp1[[#This Row],[Comparable '#1 Dates]]))=2,"Pass","Fail")</f>
        <v>Pass</v>
      </c>
      <c r="I972" s="1">
        <f>IFERROR(Comp1[[#This Row],[Comparable '#1 Return]]-INDEX(Benchmark1[Benchmark '#1 Return],MATCH(Comp1[[#This Row],[Comparable '#1 Dates]],Benchmark1[Benchmark '#1 Dates],0)),"-")</f>
        <v>-9.5950732291330554E-4</v>
      </c>
      <c r="L972" s="72">
        <f>Comp1[[#This Row],[Comparable '#1 Price]]/$B$2*100</f>
        <v>77.275838466803563</v>
      </c>
    </row>
    <row r="973" spans="1:12">
      <c r="A973" s="103">
        <v>44693</v>
      </c>
      <c r="B973" s="104">
        <v>11.51</v>
      </c>
      <c r="C973" s="4">
        <f t="shared" si="30"/>
        <v>1.9298844572220589E-2</v>
      </c>
      <c r="D973" s="1">
        <f>IFERROR(Comp1[[#This Row],[Comparable '#1 Return]]+1,"-")</f>
        <v>1.0192988445722206</v>
      </c>
      <c r="E973" s="6">
        <f>B973-MAX($B$2:B973)</f>
        <v>-10.110000000000001</v>
      </c>
      <c r="F973" s="80">
        <f t="shared" si="31"/>
        <v>576</v>
      </c>
      <c r="G973" s="22" cm="1">
        <f t="array" ref="G973">Comp1[[#This Row],[Comparable '#1 Drawdown]]/MAX($B$2:B973)</f>
        <v>-0.46762257169287702</v>
      </c>
      <c r="H973" s="1" t="str">
        <f>IF(SUM(COUNTIF(Benchmark1[Benchmark '#1 Dates],Comp1[[#This Row],[Comparable '#1 Dates]]),COUNTIF(Benchmark2[Benchmark '#2 Dates],Comp1[[#This Row],[Comparable '#1 Dates]]))=2,"Pass","Fail")</f>
        <v>Pass</v>
      </c>
      <c r="I973" s="1">
        <f>IFERROR(Comp1[[#This Row],[Comparable '#1 Return]]-INDEX(Benchmark1[Benchmark '#1 Return],MATCH(Comp1[[#This Row],[Comparable '#1 Dates]],Benchmark1[Benchmark '#1 Dates],0)),"-")</f>
        <v>2.0596372257364284E-2</v>
      </c>
      <c r="L973" s="72">
        <f>Comp1[[#This Row],[Comparable '#1 Price]]/$B$2*100</f>
        <v>78.781656399726216</v>
      </c>
    </row>
    <row r="974" spans="1:12">
      <c r="A974" s="103">
        <v>44694</v>
      </c>
      <c r="B974" s="104">
        <v>11.49</v>
      </c>
      <c r="C974" s="4">
        <f t="shared" si="30"/>
        <v>-1.7391308731268757E-3</v>
      </c>
      <c r="D974" s="1">
        <f>IFERROR(Comp1[[#This Row],[Comparable '#1 Return]]+1,"-")</f>
        <v>0.99826086912687317</v>
      </c>
      <c r="E974" s="6">
        <f>B974-MAX($B$2:B974)</f>
        <v>-10.130000000000001</v>
      </c>
      <c r="F974" s="80">
        <f t="shared" si="31"/>
        <v>577</v>
      </c>
      <c r="G974" s="22" cm="1">
        <f t="array" ref="G974">Comp1[[#This Row],[Comparable '#1 Drawdown]]/MAX($B$2:B974)</f>
        <v>-0.4685476410730805</v>
      </c>
      <c r="H974" s="1" t="str">
        <f>IF(SUM(COUNTIF(Benchmark1[Benchmark '#1 Dates],Comp1[[#This Row],[Comparable '#1 Dates]]),COUNTIF(Benchmark2[Benchmark '#2 Dates],Comp1[[#This Row],[Comparable '#1 Dates]]))=2,"Pass","Fail")</f>
        <v>Pass</v>
      </c>
      <c r="I974" s="1">
        <f>IFERROR(Comp1[[#This Row],[Comparable '#1 Return]]-INDEX(Benchmark1[Benchmark '#1 Return],MATCH(Comp1[[#This Row],[Comparable '#1 Dates]],Benchmark1[Benchmark '#1 Dates],0)),"-")</f>
        <v>-2.5328276810869962E-2</v>
      </c>
      <c r="L974" s="72">
        <f>Comp1[[#This Row],[Comparable '#1 Price]]/$B$2*100</f>
        <v>78.644763860369622</v>
      </c>
    </row>
    <row r="975" spans="1:12">
      <c r="A975" s="103">
        <v>44697</v>
      </c>
      <c r="B975" s="104">
        <v>11.69</v>
      </c>
      <c r="C975" s="4">
        <f t="shared" si="30"/>
        <v>1.7256683623312744E-2</v>
      </c>
      <c r="D975" s="1">
        <f>IFERROR(Comp1[[#This Row],[Comparable '#1 Return]]+1,"-")</f>
        <v>1.0172566836233128</v>
      </c>
      <c r="E975" s="6">
        <f>B975-MAX($B$2:B975)</f>
        <v>-9.9300000000000015</v>
      </c>
      <c r="F975" s="80">
        <f t="shared" si="31"/>
        <v>578</v>
      </c>
      <c r="G975" s="22" cm="1">
        <f t="array" ref="G975">Comp1[[#This Row],[Comparable '#1 Drawdown]]/MAX($B$2:B975)</f>
        <v>-0.45929694727104536</v>
      </c>
      <c r="H975" s="1" t="str">
        <f>IF(SUM(COUNTIF(Benchmark1[Benchmark '#1 Dates],Comp1[[#This Row],[Comparable '#1 Dates]]),COUNTIF(Benchmark2[Benchmark '#2 Dates],Comp1[[#This Row],[Comparable '#1 Dates]]))=2,"Pass","Fail")</f>
        <v>Pass</v>
      </c>
      <c r="I975" s="1">
        <f>IFERROR(Comp1[[#This Row],[Comparable '#1 Return]]-INDEX(Benchmark1[Benchmark '#1 Return],MATCH(Comp1[[#This Row],[Comparable '#1 Dates]],Benchmark1[Benchmark '#1 Dates],0)),"-")</f>
        <v>2.1211116439958926E-2</v>
      </c>
      <c r="L975" s="72">
        <f>Comp1[[#This Row],[Comparable '#1 Price]]/$B$2*100</f>
        <v>80.013689253935667</v>
      </c>
    </row>
    <row r="976" spans="1:12">
      <c r="A976" s="103">
        <v>44698</v>
      </c>
      <c r="B976" s="104">
        <v>12.19</v>
      </c>
      <c r="C976" s="4">
        <f t="shared" si="30"/>
        <v>4.1882168009203191E-2</v>
      </c>
      <c r="D976" s="1">
        <f>IFERROR(Comp1[[#This Row],[Comparable '#1 Return]]+1,"-")</f>
        <v>1.0418821680092032</v>
      </c>
      <c r="E976" s="6">
        <f>B976-MAX($B$2:B976)</f>
        <v>-9.4300000000000015</v>
      </c>
      <c r="F976" s="80">
        <f t="shared" si="31"/>
        <v>579</v>
      </c>
      <c r="G976" s="22" cm="1">
        <f t="array" ref="G976">Comp1[[#This Row],[Comparable '#1 Drawdown]]/MAX($B$2:B976)</f>
        <v>-0.43617021276595752</v>
      </c>
      <c r="H976" s="1" t="str">
        <f>IF(SUM(COUNTIF(Benchmark1[Benchmark '#1 Dates],Comp1[[#This Row],[Comparable '#1 Dates]]),COUNTIF(Benchmark2[Benchmark '#2 Dates],Comp1[[#This Row],[Comparable '#1 Dates]]))=2,"Pass","Fail")</f>
        <v>Pass</v>
      </c>
      <c r="I976" s="1">
        <f>IFERROR(Comp1[[#This Row],[Comparable '#1 Return]]-INDEX(Benchmark1[Benchmark '#1 Return],MATCH(Comp1[[#This Row],[Comparable '#1 Dates]],Benchmark1[Benchmark '#1 Dates],0)),"-")</f>
        <v>2.1913289695796395E-2</v>
      </c>
      <c r="L976" s="72">
        <f>Comp1[[#This Row],[Comparable '#1 Price]]/$B$2*100</f>
        <v>83.436002737850785</v>
      </c>
    </row>
    <row r="977" spans="1:12">
      <c r="A977" s="103">
        <v>44699</v>
      </c>
      <c r="B977" s="104">
        <v>12.14</v>
      </c>
      <c r="C977" s="4">
        <f t="shared" si="30"/>
        <v>-4.1101578618278753E-3</v>
      </c>
      <c r="D977" s="1">
        <f>IFERROR(Comp1[[#This Row],[Comparable '#1 Return]]+1,"-")</f>
        <v>0.99588984213817211</v>
      </c>
      <c r="E977" s="6">
        <f>B977-MAX($B$2:B977)</f>
        <v>-9.48</v>
      </c>
      <c r="F977" s="80">
        <f t="shared" si="31"/>
        <v>580</v>
      </c>
      <c r="G977" s="22" cm="1">
        <f t="array" ref="G977">Comp1[[#This Row],[Comparable '#1 Drawdown]]/MAX($B$2:B977)</f>
        <v>-0.43848288621646625</v>
      </c>
      <c r="H977" s="1" t="str">
        <f>IF(SUM(COUNTIF(Benchmark1[Benchmark '#1 Dates],Comp1[[#This Row],[Comparable '#1 Dates]]),COUNTIF(Benchmark2[Benchmark '#2 Dates],Comp1[[#This Row],[Comparable '#1 Dates]]))=2,"Pass","Fail")</f>
        <v>Pass</v>
      </c>
      <c r="I977" s="1">
        <f>IFERROR(Comp1[[#This Row],[Comparable '#1 Return]]-INDEX(Benchmark1[Benchmark '#1 Return],MATCH(Comp1[[#This Row],[Comparable '#1 Dates]],Benchmark1[Benchmark '#1 Dates],0)),"-")</f>
        <v>3.7123770827204985E-2</v>
      </c>
      <c r="L977" s="72">
        <f>Comp1[[#This Row],[Comparable '#1 Price]]/$B$2*100</f>
        <v>83.093771389459278</v>
      </c>
    </row>
    <row r="978" spans="1:12">
      <c r="A978" s="103">
        <v>44700</v>
      </c>
      <c r="B978" s="104">
        <v>12.4</v>
      </c>
      <c r="C978" s="4">
        <f t="shared" si="30"/>
        <v>2.1190686979639054E-2</v>
      </c>
      <c r="D978" s="1">
        <f>IFERROR(Comp1[[#This Row],[Comparable '#1 Return]]+1,"-")</f>
        <v>1.021190686979639</v>
      </c>
      <c r="E978" s="6">
        <f>B978-MAX($B$2:B978)</f>
        <v>-9.2200000000000006</v>
      </c>
      <c r="F978" s="80">
        <f t="shared" si="31"/>
        <v>581</v>
      </c>
      <c r="G978" s="22" cm="1">
        <f t="array" ref="G978">Comp1[[#This Row],[Comparable '#1 Drawdown]]/MAX($B$2:B978)</f>
        <v>-0.42645698427382056</v>
      </c>
      <c r="H978" s="1" t="str">
        <f>IF(SUM(COUNTIF(Benchmark1[Benchmark '#1 Dates],Comp1[[#This Row],[Comparable '#1 Dates]]),COUNTIF(Benchmark2[Benchmark '#2 Dates],Comp1[[#This Row],[Comparable '#1 Dates]]))=2,"Pass","Fail")</f>
        <v>Pass</v>
      </c>
      <c r="I978" s="1">
        <f>IFERROR(Comp1[[#This Row],[Comparable '#1 Return]]-INDEX(Benchmark1[Benchmark '#1 Return],MATCH(Comp1[[#This Row],[Comparable '#1 Dates]],Benchmark1[Benchmark '#1 Dates],0)),"-")</f>
        <v>2.7042303863397739E-2</v>
      </c>
      <c r="L978" s="72">
        <f>Comp1[[#This Row],[Comparable '#1 Price]]/$B$2*100</f>
        <v>84.873374401095148</v>
      </c>
    </row>
    <row r="979" spans="1:12">
      <c r="A979" s="103">
        <v>44701</v>
      </c>
      <c r="B979" s="104">
        <v>12.54</v>
      </c>
      <c r="C979" s="4">
        <f t="shared" si="30"/>
        <v>1.1227062593783402E-2</v>
      </c>
      <c r="D979" s="1">
        <f>IFERROR(Comp1[[#This Row],[Comparable '#1 Return]]+1,"-")</f>
        <v>1.0112270625937834</v>
      </c>
      <c r="E979" s="6">
        <f>B979-MAX($B$2:B979)</f>
        <v>-9.0800000000000018</v>
      </c>
      <c r="F979" s="80">
        <f t="shared" si="31"/>
        <v>582</v>
      </c>
      <c r="G979" s="22" cm="1">
        <f t="array" ref="G979">Comp1[[#This Row],[Comparable '#1 Drawdown]]/MAX($B$2:B979)</f>
        <v>-0.41998149861239598</v>
      </c>
      <c r="H979" s="1" t="str">
        <f>IF(SUM(COUNTIF(Benchmark1[Benchmark '#1 Dates],Comp1[[#This Row],[Comparable '#1 Dates]]),COUNTIF(Benchmark2[Benchmark '#2 Dates],Comp1[[#This Row],[Comparable '#1 Dates]]))=2,"Pass","Fail")</f>
        <v>Pass</v>
      </c>
      <c r="I979" s="1">
        <f>IFERROR(Comp1[[#This Row],[Comparable '#1 Return]]-INDEX(Benchmark1[Benchmark '#1 Return],MATCH(Comp1[[#This Row],[Comparable '#1 Dates]],Benchmark1[Benchmark '#1 Dates],0)),"-")</f>
        <v>1.1080016669336563E-2</v>
      </c>
      <c r="L979" s="72">
        <f>Comp1[[#This Row],[Comparable '#1 Price]]/$B$2*100</f>
        <v>85.831622176591367</v>
      </c>
    </row>
    <row r="980" spans="1:12">
      <c r="A980" s="103">
        <v>44704</v>
      </c>
      <c r="B980" s="104">
        <v>12.57</v>
      </c>
      <c r="C980" s="4">
        <f t="shared" si="30"/>
        <v>2.3894873973814854E-3</v>
      </c>
      <c r="D980" s="1">
        <f>IFERROR(Comp1[[#This Row],[Comparable '#1 Return]]+1,"-")</f>
        <v>1.0023894873973815</v>
      </c>
      <c r="E980" s="6">
        <f>B980-MAX($B$2:B980)</f>
        <v>-9.0500000000000007</v>
      </c>
      <c r="F980" s="80">
        <f t="shared" si="31"/>
        <v>583</v>
      </c>
      <c r="G980" s="22" cm="1">
        <f t="array" ref="G980">Comp1[[#This Row],[Comparable '#1 Drawdown]]/MAX($B$2:B980)</f>
        <v>-0.41859389454209067</v>
      </c>
      <c r="H980" s="1" t="str">
        <f>IF(SUM(COUNTIF(Benchmark1[Benchmark '#1 Dates],Comp1[[#This Row],[Comparable '#1 Dates]]),COUNTIF(Benchmark2[Benchmark '#2 Dates],Comp1[[#This Row],[Comparable '#1 Dates]]))=2,"Pass","Fail")</f>
        <v>Pass</v>
      </c>
      <c r="I980" s="1">
        <f>IFERROR(Comp1[[#This Row],[Comparable '#1 Return]]-INDEX(Benchmark1[Benchmark '#1 Return],MATCH(Comp1[[#This Row],[Comparable '#1 Dates]],Benchmark1[Benchmark '#1 Dates],0)),"-")</f>
        <v>-1.5995786369818511E-2</v>
      </c>
      <c r="L980" s="72">
        <f>Comp1[[#This Row],[Comparable '#1 Price]]/$B$2*100</f>
        <v>86.036960985626294</v>
      </c>
    </row>
    <row r="981" spans="1:12">
      <c r="A981" s="103">
        <v>44705</v>
      </c>
      <c r="B981" s="104">
        <v>12.59</v>
      </c>
      <c r="C981" s="4">
        <f t="shared" si="30"/>
        <v>1.5898254540997771E-3</v>
      </c>
      <c r="D981" s="1">
        <f>IFERROR(Comp1[[#This Row],[Comparable '#1 Return]]+1,"-")</f>
        <v>1.0015898254540998</v>
      </c>
      <c r="E981" s="6">
        <f>B981-MAX($B$2:B981)</f>
        <v>-9.0300000000000011</v>
      </c>
      <c r="F981" s="80">
        <f t="shared" si="31"/>
        <v>584</v>
      </c>
      <c r="G981" s="22" cm="1">
        <f t="array" ref="G981">Comp1[[#This Row],[Comparable '#1 Drawdown]]/MAX($B$2:B981)</f>
        <v>-0.41766882516188719</v>
      </c>
      <c r="H981" s="1" t="str">
        <f>IF(SUM(COUNTIF(Benchmark1[Benchmark '#1 Dates],Comp1[[#This Row],[Comparable '#1 Dates]]),COUNTIF(Benchmark2[Benchmark '#2 Dates],Comp1[[#This Row],[Comparable '#1 Dates]]))=2,"Pass","Fail")</f>
        <v>Pass</v>
      </c>
      <c r="I981" s="1">
        <f>IFERROR(Comp1[[#This Row],[Comparable '#1 Return]]-INDEX(Benchmark1[Benchmark '#1 Return],MATCH(Comp1[[#This Row],[Comparable '#1 Dates]],Benchmark1[Benchmark '#1 Dates],0)),"-")</f>
        <v>9.7449454214644047E-3</v>
      </c>
      <c r="L981" s="72">
        <f>Comp1[[#This Row],[Comparable '#1 Price]]/$B$2*100</f>
        <v>86.173853524982889</v>
      </c>
    </row>
    <row r="982" spans="1:12">
      <c r="A982" s="103">
        <v>44706</v>
      </c>
      <c r="B982" s="104">
        <v>12.94</v>
      </c>
      <c r="C982" s="4">
        <f t="shared" si="30"/>
        <v>2.7420441016498587E-2</v>
      </c>
      <c r="D982" s="1">
        <f>IFERROR(Comp1[[#This Row],[Comparable '#1 Return]]+1,"-")</f>
        <v>1.0274204410164987</v>
      </c>
      <c r="E982" s="6">
        <f>B982-MAX($B$2:B982)</f>
        <v>-8.6800000000000015</v>
      </c>
      <c r="F982" s="80">
        <f t="shared" si="31"/>
        <v>585</v>
      </c>
      <c r="G982" s="22" cm="1">
        <f t="array" ref="G982">Comp1[[#This Row],[Comparable '#1 Drawdown]]/MAX($B$2:B982)</f>
        <v>-0.4014801110083257</v>
      </c>
      <c r="H982" s="1" t="str">
        <f>IF(SUM(COUNTIF(Benchmark1[Benchmark '#1 Dates],Comp1[[#This Row],[Comparable '#1 Dates]]),COUNTIF(Benchmark2[Benchmark '#2 Dates],Comp1[[#This Row],[Comparable '#1 Dates]]))=2,"Pass","Fail")</f>
        <v>Pass</v>
      </c>
      <c r="I982" s="1">
        <f>IFERROR(Comp1[[#This Row],[Comparable '#1 Return]]-INDEX(Benchmark1[Benchmark '#1 Return],MATCH(Comp1[[#This Row],[Comparable '#1 Dates]],Benchmark1[Benchmark '#1 Dates],0)),"-")</f>
        <v>1.8012605917515058E-2</v>
      </c>
      <c r="L982" s="72">
        <f>Comp1[[#This Row],[Comparable '#1 Price]]/$B$2*100</f>
        <v>88.56947296372347</v>
      </c>
    </row>
    <row r="983" spans="1:12">
      <c r="A983" s="103">
        <v>44707</v>
      </c>
      <c r="B983" s="104">
        <v>13.02</v>
      </c>
      <c r="C983" s="4">
        <f t="shared" si="30"/>
        <v>6.1633477076687678E-3</v>
      </c>
      <c r="D983" s="1">
        <f>IFERROR(Comp1[[#This Row],[Comparable '#1 Return]]+1,"-")</f>
        <v>1.0061633477076688</v>
      </c>
      <c r="E983" s="6">
        <f>B983-MAX($B$2:B983)</f>
        <v>-8.6000000000000014</v>
      </c>
      <c r="F983" s="80">
        <f t="shared" si="31"/>
        <v>586</v>
      </c>
      <c r="G983" s="22" cm="1">
        <f t="array" ref="G983">Comp1[[#This Row],[Comparable '#1 Drawdown]]/MAX($B$2:B983)</f>
        <v>-0.39777983348751161</v>
      </c>
      <c r="H983" s="1" t="str">
        <f>IF(SUM(COUNTIF(Benchmark1[Benchmark '#1 Dates],Comp1[[#This Row],[Comparable '#1 Dates]]),COUNTIF(Benchmark2[Benchmark '#2 Dates],Comp1[[#This Row],[Comparable '#1 Dates]]))=2,"Pass","Fail")</f>
        <v>Pass</v>
      </c>
      <c r="I983" s="1">
        <f>IFERROR(Comp1[[#This Row],[Comparable '#1 Return]]-INDEX(Benchmark1[Benchmark '#1 Return],MATCH(Comp1[[#This Row],[Comparable '#1 Dates]],Benchmark1[Benchmark '#1 Dates],0)),"-")</f>
        <v>-1.3524310060041175E-2</v>
      </c>
      <c r="L983" s="72">
        <f>Comp1[[#This Row],[Comparable '#1 Price]]/$B$2*100</f>
        <v>89.117043121149891</v>
      </c>
    </row>
    <row r="984" spans="1:12">
      <c r="A984" s="103">
        <v>44708</v>
      </c>
      <c r="B984" s="104">
        <v>13.32</v>
      </c>
      <c r="C984" s="4">
        <f t="shared" si="30"/>
        <v>2.2780028331819906E-2</v>
      </c>
      <c r="D984" s="1">
        <f>IFERROR(Comp1[[#This Row],[Comparable '#1 Return]]+1,"-")</f>
        <v>1.0227800283318198</v>
      </c>
      <c r="E984" s="6">
        <f>B984-MAX($B$2:B984)</f>
        <v>-8.3000000000000007</v>
      </c>
      <c r="F984" s="80">
        <f t="shared" si="31"/>
        <v>587</v>
      </c>
      <c r="G984" s="22" cm="1">
        <f t="array" ref="G984">Comp1[[#This Row],[Comparable '#1 Drawdown]]/MAX($B$2:B984)</f>
        <v>-0.38390379278445885</v>
      </c>
      <c r="H984" s="1" t="str">
        <f>IF(SUM(COUNTIF(Benchmark1[Benchmark '#1 Dates],Comp1[[#This Row],[Comparable '#1 Dates]]),COUNTIF(Benchmark2[Benchmark '#2 Dates],Comp1[[#This Row],[Comparable '#1 Dates]]))=2,"Pass","Fail")</f>
        <v>Pass</v>
      </c>
      <c r="I984" s="1">
        <f>IFERROR(Comp1[[#This Row],[Comparable '#1 Return]]-INDEX(Benchmark1[Benchmark '#1 Return],MATCH(Comp1[[#This Row],[Comparable '#1 Dates]],Benchmark1[Benchmark '#1 Dates],0)),"-")</f>
        <v>-1.6604807887502307E-3</v>
      </c>
      <c r="L984" s="72">
        <f>Comp1[[#This Row],[Comparable '#1 Price]]/$B$2*100</f>
        <v>91.170431211498979</v>
      </c>
    </row>
    <row r="985" spans="1:12">
      <c r="A985" s="103">
        <v>44712</v>
      </c>
      <c r="B985" s="104">
        <v>12.73</v>
      </c>
      <c r="C985" s="4">
        <f t="shared" si="30"/>
        <v>-4.5305252542927957E-2</v>
      </c>
      <c r="D985" s="1">
        <f>IFERROR(Comp1[[#This Row],[Comparable '#1 Return]]+1,"-")</f>
        <v>0.95469474745707206</v>
      </c>
      <c r="E985" s="6">
        <f>B985-MAX($B$2:B985)</f>
        <v>-8.89</v>
      </c>
      <c r="F985" s="80">
        <f t="shared" si="31"/>
        <v>588</v>
      </c>
      <c r="G985" s="22" cm="1">
        <f t="array" ref="G985">Comp1[[#This Row],[Comparable '#1 Drawdown]]/MAX($B$2:B985)</f>
        <v>-0.41119333950046255</v>
      </c>
      <c r="H985" s="1" t="str">
        <f>IF(SUM(COUNTIF(Benchmark1[Benchmark '#1 Dates],Comp1[[#This Row],[Comparable '#1 Dates]]),COUNTIF(Benchmark2[Benchmark '#2 Dates],Comp1[[#This Row],[Comparable '#1 Dates]]))=2,"Pass","Fail")</f>
        <v>Pass</v>
      </c>
      <c r="I985" s="1">
        <f>IFERROR(Comp1[[#This Row],[Comparable '#1 Return]]-INDEX(Benchmark1[Benchmark '#1 Return],MATCH(Comp1[[#This Row],[Comparable '#1 Dates]],Benchmark1[Benchmark '#1 Dates],0)),"-")</f>
        <v>-3.9011054665861675E-2</v>
      </c>
      <c r="L985" s="72">
        <f>Comp1[[#This Row],[Comparable '#1 Price]]/$B$2*100</f>
        <v>87.132101300479121</v>
      </c>
    </row>
    <row r="986" spans="1:12">
      <c r="A986" s="103">
        <v>44713</v>
      </c>
      <c r="B986" s="104">
        <v>12.82</v>
      </c>
      <c r="C986" s="4">
        <f t="shared" si="30"/>
        <v>7.0450389232088384E-3</v>
      </c>
      <c r="D986" s="1">
        <f>IFERROR(Comp1[[#This Row],[Comparable '#1 Return]]+1,"-")</f>
        <v>1.0070450389232088</v>
      </c>
      <c r="E986" s="6">
        <f>B986-MAX($B$2:B986)</f>
        <v>-8.8000000000000007</v>
      </c>
      <c r="F986" s="80">
        <f t="shared" si="31"/>
        <v>589</v>
      </c>
      <c r="G986" s="22" cm="1">
        <f t="array" ref="G986">Comp1[[#This Row],[Comparable '#1 Drawdown]]/MAX($B$2:B986)</f>
        <v>-0.40703052728954675</v>
      </c>
      <c r="H986" s="1" t="str">
        <f>IF(SUM(COUNTIF(Benchmark1[Benchmark '#1 Dates],Comp1[[#This Row],[Comparable '#1 Dates]]),COUNTIF(Benchmark2[Benchmark '#2 Dates],Comp1[[#This Row],[Comparable '#1 Dates]]))=2,"Pass","Fail")</f>
        <v>Pass</v>
      </c>
      <c r="I986" s="1">
        <f>IFERROR(Comp1[[#This Row],[Comparable '#1 Return]]-INDEX(Benchmark1[Benchmark '#1 Return],MATCH(Comp1[[#This Row],[Comparable '#1 Dates]],Benchmark1[Benchmark '#1 Dates],0)),"-")</f>
        <v>1.4555472003032123E-2</v>
      </c>
      <c r="L986" s="72">
        <f>Comp1[[#This Row],[Comparable '#1 Price]]/$B$2*100</f>
        <v>87.748117727583846</v>
      </c>
    </row>
    <row r="987" spans="1:12">
      <c r="A987" s="103">
        <v>44714</v>
      </c>
      <c r="B987" s="104">
        <v>13.14</v>
      </c>
      <c r="C987" s="4">
        <f t="shared" si="30"/>
        <v>2.465456156394058E-2</v>
      </c>
      <c r="D987" s="1">
        <f>IFERROR(Comp1[[#This Row],[Comparable '#1 Return]]+1,"-")</f>
        <v>1.0246545615639406</v>
      </c>
      <c r="E987" s="6">
        <f>B987-MAX($B$2:B987)</f>
        <v>-8.48</v>
      </c>
      <c r="F987" s="80">
        <f t="shared" si="31"/>
        <v>590</v>
      </c>
      <c r="G987" s="22" cm="1">
        <f t="array" ref="G987">Comp1[[#This Row],[Comparable '#1 Drawdown]]/MAX($B$2:B987)</f>
        <v>-0.39222941720629045</v>
      </c>
      <c r="H987" s="1" t="str">
        <f>IF(SUM(COUNTIF(Benchmark1[Benchmark '#1 Dates],Comp1[[#This Row],[Comparable '#1 Dates]]),COUNTIF(Benchmark2[Benchmark '#2 Dates],Comp1[[#This Row],[Comparable '#1 Dates]]))=2,"Pass","Fail")</f>
        <v>Pass</v>
      </c>
      <c r="I987" s="1">
        <f>IFERROR(Comp1[[#This Row],[Comparable '#1 Return]]-INDEX(Benchmark1[Benchmark '#1 Return],MATCH(Comp1[[#This Row],[Comparable '#1 Dates]],Benchmark1[Benchmark '#1 Dates],0)),"-")</f>
        <v>6.3917453825472308E-3</v>
      </c>
      <c r="L987" s="72">
        <f>Comp1[[#This Row],[Comparable '#1 Price]]/$B$2*100</f>
        <v>89.938398357289543</v>
      </c>
    </row>
    <row r="988" spans="1:12">
      <c r="A988" s="103">
        <v>44715</v>
      </c>
      <c r="B988" s="104">
        <v>13.15</v>
      </c>
      <c r="C988" s="4">
        <f t="shared" si="30"/>
        <v>7.6074556730913203E-4</v>
      </c>
      <c r="D988" s="1">
        <f>IFERROR(Comp1[[#This Row],[Comparable '#1 Return]]+1,"-")</f>
        <v>1.0007607455673091</v>
      </c>
      <c r="E988" s="6">
        <f>B988-MAX($B$2:B988)</f>
        <v>-8.4700000000000006</v>
      </c>
      <c r="F988" s="80">
        <f t="shared" si="31"/>
        <v>591</v>
      </c>
      <c r="G988" s="22" cm="1">
        <f t="array" ref="G988">Comp1[[#This Row],[Comparable '#1 Drawdown]]/MAX($B$2:B988)</f>
        <v>-0.39176688251618874</v>
      </c>
      <c r="H988" s="1" t="str">
        <f>IF(SUM(COUNTIF(Benchmark1[Benchmark '#1 Dates],Comp1[[#This Row],[Comparable '#1 Dates]]),COUNTIF(Benchmark2[Benchmark '#2 Dates],Comp1[[#This Row],[Comparable '#1 Dates]]))=2,"Pass","Fail")</f>
        <v>Pass</v>
      </c>
      <c r="I988" s="1">
        <f>IFERROR(Comp1[[#This Row],[Comparable '#1 Return]]-INDEX(Benchmark1[Benchmark '#1 Return],MATCH(Comp1[[#This Row],[Comparable '#1 Dates]],Benchmark1[Benchmark '#1 Dates],0)),"-")</f>
        <v>1.724382792335671E-2</v>
      </c>
      <c r="L988" s="72">
        <f>Comp1[[#This Row],[Comparable '#1 Price]]/$B$2*100</f>
        <v>90.006844626967847</v>
      </c>
    </row>
    <row r="989" spans="1:12">
      <c r="A989" s="103">
        <v>44718</v>
      </c>
      <c r="B989" s="104">
        <v>12.97</v>
      </c>
      <c r="C989" s="4">
        <f t="shared" si="30"/>
        <v>-1.3782760295421073E-2</v>
      </c>
      <c r="D989" s="1">
        <f>IFERROR(Comp1[[#This Row],[Comparable '#1 Return]]+1,"-")</f>
        <v>0.98621723970457897</v>
      </c>
      <c r="E989" s="6">
        <f>B989-MAX($B$2:B989)</f>
        <v>-8.65</v>
      </c>
      <c r="F989" s="80">
        <f t="shared" si="31"/>
        <v>592</v>
      </c>
      <c r="G989" s="22" cm="1">
        <f t="array" ref="G989">Comp1[[#This Row],[Comparable '#1 Drawdown]]/MAX($B$2:B989)</f>
        <v>-0.40009250693802034</v>
      </c>
      <c r="H989" s="1" t="str">
        <f>IF(SUM(COUNTIF(Benchmark1[Benchmark '#1 Dates],Comp1[[#This Row],[Comparable '#1 Dates]]),COUNTIF(Benchmark2[Benchmark '#2 Dates],Comp1[[#This Row],[Comparable '#1 Dates]]))=2,"Pass","Fail")</f>
        <v>Pass</v>
      </c>
      <c r="I989" s="1">
        <f>IFERROR(Comp1[[#This Row],[Comparable '#1 Return]]-INDEX(Benchmark1[Benchmark '#1 Return],MATCH(Comp1[[#This Row],[Comparable '#1 Dates]],Benchmark1[Benchmark '#1 Dates],0)),"-")</f>
        <v>-1.6916196139286157E-2</v>
      </c>
      <c r="L989" s="72">
        <f>Comp1[[#This Row],[Comparable '#1 Price]]/$B$2*100</f>
        <v>88.774811772758383</v>
      </c>
    </row>
    <row r="990" spans="1:12">
      <c r="A990" s="103">
        <v>44719</v>
      </c>
      <c r="B990" s="104">
        <v>12.98</v>
      </c>
      <c r="C990" s="4">
        <f t="shared" si="30"/>
        <v>7.707129475913023E-4</v>
      </c>
      <c r="D990" s="1">
        <f>IFERROR(Comp1[[#This Row],[Comparable '#1 Return]]+1,"-")</f>
        <v>1.0007707129475913</v>
      </c>
      <c r="E990" s="6">
        <f>B990-MAX($B$2:B990)</f>
        <v>-8.64</v>
      </c>
      <c r="F990" s="80">
        <f t="shared" si="31"/>
        <v>593</v>
      </c>
      <c r="G990" s="22" cm="1">
        <f t="array" ref="G990">Comp1[[#This Row],[Comparable '#1 Drawdown]]/MAX($B$2:B990)</f>
        <v>-0.39962997224791857</v>
      </c>
      <c r="H990" s="1" t="str">
        <f>IF(SUM(COUNTIF(Benchmark1[Benchmark '#1 Dates],Comp1[[#This Row],[Comparable '#1 Dates]]),COUNTIF(Benchmark2[Benchmark '#2 Dates],Comp1[[#This Row],[Comparable '#1 Dates]]))=2,"Pass","Fail")</f>
        <v>Pass</v>
      </c>
      <c r="I990" s="1">
        <f>IFERROR(Comp1[[#This Row],[Comparable '#1 Return]]-INDEX(Benchmark1[Benchmark '#1 Return],MATCH(Comp1[[#This Row],[Comparable '#1 Dates]],Benchmark1[Benchmark '#1 Dates],0)),"-")</f>
        <v>-8.7085566008450639E-3</v>
      </c>
      <c r="L990" s="72">
        <f>Comp1[[#This Row],[Comparable '#1 Price]]/$B$2*100</f>
        <v>88.843258042436688</v>
      </c>
    </row>
    <row r="991" spans="1:12">
      <c r="A991" s="103">
        <v>44720</v>
      </c>
      <c r="B991" s="104">
        <v>12.43</v>
      </c>
      <c r="C991" s="4">
        <f t="shared" si="30"/>
        <v>-4.3296805753324188E-2</v>
      </c>
      <c r="D991" s="1">
        <f>IFERROR(Comp1[[#This Row],[Comparable '#1 Return]]+1,"-")</f>
        <v>0.95670319424667583</v>
      </c>
      <c r="E991" s="6">
        <f>B991-MAX($B$2:B991)</f>
        <v>-9.1900000000000013</v>
      </c>
      <c r="F991" s="80">
        <f t="shared" si="31"/>
        <v>594</v>
      </c>
      <c r="G991" s="22" cm="1">
        <f t="array" ref="G991">Comp1[[#This Row],[Comparable '#1 Drawdown]]/MAX($B$2:B991)</f>
        <v>-0.42506938020351531</v>
      </c>
      <c r="H991" s="1" t="str">
        <f>IF(SUM(COUNTIF(Benchmark1[Benchmark '#1 Dates],Comp1[[#This Row],[Comparable '#1 Dates]]),COUNTIF(Benchmark2[Benchmark '#2 Dates],Comp1[[#This Row],[Comparable '#1 Dates]]))=2,"Pass","Fail")</f>
        <v>Pass</v>
      </c>
      <c r="I991" s="1">
        <f>IFERROR(Comp1[[#This Row],[Comparable '#1 Return]]-INDEX(Benchmark1[Benchmark '#1 Return],MATCH(Comp1[[#This Row],[Comparable '#1 Dates]],Benchmark1[Benchmark '#1 Dates],0)),"-")</f>
        <v>-3.2444021013512112E-2</v>
      </c>
      <c r="L991" s="72">
        <f>Comp1[[#This Row],[Comparable '#1 Price]]/$B$2*100</f>
        <v>85.078713210130047</v>
      </c>
    </row>
    <row r="992" spans="1:12">
      <c r="A992" s="103">
        <v>44721</v>
      </c>
      <c r="B992" s="104">
        <v>12.28</v>
      </c>
      <c r="C992" s="4">
        <f t="shared" si="30"/>
        <v>-1.2140982803623359E-2</v>
      </c>
      <c r="D992" s="1">
        <f>IFERROR(Comp1[[#This Row],[Comparable '#1 Return]]+1,"-")</f>
        <v>0.98785901719637659</v>
      </c>
      <c r="E992" s="6">
        <f>B992-MAX($B$2:B992)</f>
        <v>-9.3400000000000016</v>
      </c>
      <c r="F992" s="80">
        <f t="shared" si="31"/>
        <v>595</v>
      </c>
      <c r="G992" s="22" cm="1">
        <f t="array" ref="G992">Comp1[[#This Row],[Comparable '#1 Drawdown]]/MAX($B$2:B992)</f>
        <v>-0.43200740055504167</v>
      </c>
      <c r="H992" s="1" t="str">
        <f>IF(SUM(COUNTIF(Benchmark1[Benchmark '#1 Dates],Comp1[[#This Row],[Comparable '#1 Dates]]),COUNTIF(Benchmark2[Benchmark '#2 Dates],Comp1[[#This Row],[Comparable '#1 Dates]]))=2,"Pass","Fail")</f>
        <v>Pass</v>
      </c>
      <c r="I992" s="1">
        <f>IFERROR(Comp1[[#This Row],[Comparable '#1 Return]]-INDEX(Benchmark1[Benchmark '#1 Return],MATCH(Comp1[[#This Row],[Comparable '#1 Dates]],Benchmark1[Benchmark '#1 Dates],0)),"-")</f>
        <v>1.1946462153313573E-2</v>
      </c>
      <c r="L992" s="72">
        <f>Comp1[[#This Row],[Comparable '#1 Price]]/$B$2*100</f>
        <v>84.05201916495551</v>
      </c>
    </row>
    <row r="993" spans="1:12">
      <c r="A993" s="103">
        <v>44722</v>
      </c>
      <c r="B993" s="104">
        <v>12</v>
      </c>
      <c r="C993" s="4">
        <f t="shared" si="30"/>
        <v>-2.306527293099599E-2</v>
      </c>
      <c r="D993" s="1">
        <f>IFERROR(Comp1[[#This Row],[Comparable '#1 Return]]+1,"-")</f>
        <v>0.97693472706900397</v>
      </c>
      <c r="E993" s="6">
        <f>B993-MAX($B$2:B993)</f>
        <v>-9.620000000000001</v>
      </c>
      <c r="F993" s="80">
        <f t="shared" si="31"/>
        <v>596</v>
      </c>
      <c r="G993" s="22" cm="1">
        <f t="array" ref="G993">Comp1[[#This Row],[Comparable '#1 Drawdown]]/MAX($B$2:B993)</f>
        <v>-0.44495837187789089</v>
      </c>
      <c r="H993" s="1" t="str">
        <f>IF(SUM(COUNTIF(Benchmark1[Benchmark '#1 Dates],Comp1[[#This Row],[Comparable '#1 Dates]]),COUNTIF(Benchmark2[Benchmark '#2 Dates],Comp1[[#This Row],[Comparable '#1 Dates]]))=2,"Pass","Fail")</f>
        <v>Pass</v>
      </c>
      <c r="I993" s="1">
        <f>IFERROR(Comp1[[#This Row],[Comparable '#1 Return]]-INDEX(Benchmark1[Benchmark '#1 Return],MATCH(Comp1[[#This Row],[Comparable '#1 Dates]],Benchmark1[Benchmark '#1 Dates],0)),"-")</f>
        <v>6.4756303362758436E-3</v>
      </c>
      <c r="L993" s="72">
        <f>Comp1[[#This Row],[Comparable '#1 Price]]/$B$2*100</f>
        <v>82.135523613963045</v>
      </c>
    </row>
    <row r="994" spans="1:12">
      <c r="A994" s="103">
        <v>44725</v>
      </c>
      <c r="B994" s="104">
        <v>11.57</v>
      </c>
      <c r="C994" s="4">
        <f t="shared" si="30"/>
        <v>-3.6491108582415041E-2</v>
      </c>
      <c r="D994" s="1">
        <f>IFERROR(Comp1[[#This Row],[Comparable '#1 Return]]+1,"-")</f>
        <v>0.963508891417585</v>
      </c>
      <c r="E994" s="6">
        <f>B994-MAX($B$2:B994)</f>
        <v>-10.050000000000001</v>
      </c>
      <c r="F994" s="80">
        <f t="shared" si="31"/>
        <v>597</v>
      </c>
      <c r="G994" s="22" cm="1">
        <f t="array" ref="G994">Comp1[[#This Row],[Comparable '#1 Drawdown]]/MAX($B$2:B994)</f>
        <v>-0.46484736355226641</v>
      </c>
      <c r="H994" s="1" t="str">
        <f>IF(SUM(COUNTIF(Benchmark1[Benchmark '#1 Dates],Comp1[[#This Row],[Comparable '#1 Dates]]),COUNTIF(Benchmark2[Benchmark '#2 Dates],Comp1[[#This Row],[Comparable '#1 Dates]]))=2,"Pass","Fail")</f>
        <v>Pass</v>
      </c>
      <c r="I994" s="1">
        <f>IFERROR(Comp1[[#This Row],[Comparable '#1 Return]]-INDEX(Benchmark1[Benchmark '#1 Return],MATCH(Comp1[[#This Row],[Comparable '#1 Dates]],Benchmark1[Benchmark '#1 Dates],0)),"-")</f>
        <v>3.0506355656033102E-3</v>
      </c>
      <c r="L994" s="72">
        <f>Comp1[[#This Row],[Comparable '#1 Price]]/$B$2*100</f>
        <v>79.192334017796043</v>
      </c>
    </row>
    <row r="995" spans="1:12">
      <c r="A995" s="103">
        <v>44726</v>
      </c>
      <c r="B995" s="104">
        <v>11.39</v>
      </c>
      <c r="C995" s="4">
        <f t="shared" si="30"/>
        <v>-1.5679763746494404E-2</v>
      </c>
      <c r="D995" s="1">
        <f>IFERROR(Comp1[[#This Row],[Comparable '#1 Return]]+1,"-")</f>
        <v>0.98432023625350562</v>
      </c>
      <c r="E995" s="6">
        <f>B995-MAX($B$2:B995)</f>
        <v>-10.23</v>
      </c>
      <c r="F995" s="80">
        <f t="shared" si="31"/>
        <v>598</v>
      </c>
      <c r="G995" s="22" cm="1">
        <f t="array" ref="G995">Comp1[[#This Row],[Comparable '#1 Drawdown]]/MAX($B$2:B995)</f>
        <v>-0.47317298797409807</v>
      </c>
      <c r="H995" s="1" t="str">
        <f>IF(SUM(COUNTIF(Benchmark1[Benchmark '#1 Dates],Comp1[[#This Row],[Comparable '#1 Dates]]),COUNTIF(Benchmark2[Benchmark '#2 Dates],Comp1[[#This Row],[Comparable '#1 Dates]]))=2,"Pass","Fail")</f>
        <v>Pass</v>
      </c>
      <c r="I995" s="1">
        <f>IFERROR(Comp1[[#This Row],[Comparable '#1 Return]]-INDEX(Benchmark1[Benchmark '#1 Return],MATCH(Comp1[[#This Row],[Comparable '#1 Dates]],Benchmark1[Benchmark '#1 Dates],0)),"-")</f>
        <v>-1.1900482208966995E-2</v>
      </c>
      <c r="L995" s="72">
        <f>Comp1[[#This Row],[Comparable '#1 Price]]/$B$2*100</f>
        <v>77.960301163586593</v>
      </c>
    </row>
    <row r="996" spans="1:12">
      <c r="A996" s="103">
        <v>44727</v>
      </c>
      <c r="B996" s="104">
        <v>11.41</v>
      </c>
      <c r="C996" s="4">
        <f t="shared" si="30"/>
        <v>1.7543864148933739E-3</v>
      </c>
      <c r="D996" s="1">
        <f>IFERROR(Comp1[[#This Row],[Comparable '#1 Return]]+1,"-")</f>
        <v>1.0017543864148934</v>
      </c>
      <c r="E996" s="6">
        <f>B996-MAX($B$2:B996)</f>
        <v>-10.210000000000001</v>
      </c>
      <c r="F996" s="80">
        <f t="shared" si="31"/>
        <v>599</v>
      </c>
      <c r="G996" s="22" cm="1">
        <f t="array" ref="G996">Comp1[[#This Row],[Comparable '#1 Drawdown]]/MAX($B$2:B996)</f>
        <v>-0.47224791859389453</v>
      </c>
      <c r="H996" s="1" t="str">
        <f>IF(SUM(COUNTIF(Benchmark1[Benchmark '#1 Dates],Comp1[[#This Row],[Comparable '#1 Dates]]),COUNTIF(Benchmark2[Benchmark '#2 Dates],Comp1[[#This Row],[Comparable '#1 Dates]]))=2,"Pass","Fail")</f>
        <v>Pass</v>
      </c>
      <c r="I996" s="1">
        <f>IFERROR(Comp1[[#This Row],[Comparable '#1 Return]]-INDEX(Benchmark1[Benchmark '#1 Return],MATCH(Comp1[[#This Row],[Comparable '#1 Dates]],Benchmark1[Benchmark '#1 Dates],0)),"-")</f>
        <v>-1.2730861034655318E-2</v>
      </c>
      <c r="L996" s="72">
        <f>Comp1[[#This Row],[Comparable '#1 Price]]/$B$2*100</f>
        <v>78.097193702943187</v>
      </c>
    </row>
    <row r="997" spans="1:12">
      <c r="A997" s="103">
        <v>44728</v>
      </c>
      <c r="B997" s="104">
        <v>11.13</v>
      </c>
      <c r="C997" s="4">
        <f t="shared" si="30"/>
        <v>-2.4845998586530776E-2</v>
      </c>
      <c r="D997" s="1">
        <f>IFERROR(Comp1[[#This Row],[Comparable '#1 Return]]+1,"-")</f>
        <v>0.9751540014134692</v>
      </c>
      <c r="E997" s="6">
        <f>B997-MAX($B$2:B997)</f>
        <v>-10.49</v>
      </c>
      <c r="F997" s="80">
        <f t="shared" si="31"/>
        <v>600</v>
      </c>
      <c r="G997" s="22" cm="1">
        <f t="array" ref="G997">Comp1[[#This Row],[Comparable '#1 Drawdown]]/MAX($B$2:B997)</f>
        <v>-0.48519888991674376</v>
      </c>
      <c r="H997" s="1" t="str">
        <f>IF(SUM(COUNTIF(Benchmark1[Benchmark '#1 Dates],Comp1[[#This Row],[Comparable '#1 Dates]]),COUNTIF(Benchmark2[Benchmark '#2 Dates],Comp1[[#This Row],[Comparable '#1 Dates]]))=2,"Pass","Fail")</f>
        <v>Pass</v>
      </c>
      <c r="I997" s="1">
        <f>IFERROR(Comp1[[#This Row],[Comparable '#1 Return]]-INDEX(Benchmark1[Benchmark '#1 Return],MATCH(Comp1[[#This Row],[Comparable '#1 Dates]],Benchmark1[Benchmark '#1 Dates],0)),"-")</f>
        <v>8.2059279301548368E-3</v>
      </c>
      <c r="L997" s="72">
        <f>Comp1[[#This Row],[Comparable '#1 Price]]/$B$2*100</f>
        <v>76.180698151950736</v>
      </c>
    </row>
    <row r="998" spans="1:12">
      <c r="A998" s="103">
        <v>44729</v>
      </c>
      <c r="B998" s="104">
        <v>11.4</v>
      </c>
      <c r="C998" s="4">
        <f t="shared" si="30"/>
        <v>2.3969190112996187E-2</v>
      </c>
      <c r="D998" s="1">
        <f>IFERROR(Comp1[[#This Row],[Comparable '#1 Return]]+1,"-")</f>
        <v>1.0239691901129961</v>
      </c>
      <c r="E998" s="6">
        <f>B998-MAX($B$2:B998)</f>
        <v>-10.220000000000001</v>
      </c>
      <c r="F998" s="80">
        <f t="shared" si="31"/>
        <v>601</v>
      </c>
      <c r="G998" s="22" cm="1">
        <f t="array" ref="G998">Comp1[[#This Row],[Comparable '#1 Drawdown]]/MAX($B$2:B998)</f>
        <v>-0.4727104532839963</v>
      </c>
      <c r="H998" s="1" t="str">
        <f>IF(SUM(COUNTIF(Benchmark1[Benchmark '#1 Dates],Comp1[[#This Row],[Comparable '#1 Dates]]),COUNTIF(Benchmark2[Benchmark '#2 Dates],Comp1[[#This Row],[Comparable '#1 Dates]]))=2,"Pass","Fail")</f>
        <v>Pass</v>
      </c>
      <c r="I998" s="1">
        <f>IFERROR(Comp1[[#This Row],[Comparable '#1 Return]]-INDEX(Benchmark1[Benchmark '#1 Return],MATCH(Comp1[[#This Row],[Comparable '#1 Dates]],Benchmark1[Benchmark '#1 Dates],0)),"-")</f>
        <v>2.1769709991208152E-2</v>
      </c>
      <c r="L998" s="72">
        <f>Comp1[[#This Row],[Comparable '#1 Price]]/$B$2*100</f>
        <v>78.028747433264883</v>
      </c>
    </row>
    <row r="999" spans="1:12">
      <c r="A999" s="103">
        <v>44733</v>
      </c>
      <c r="B999" s="104">
        <v>11.45</v>
      </c>
      <c r="C999" s="4">
        <f t="shared" si="30"/>
        <v>4.3763745997987815E-3</v>
      </c>
      <c r="D999" s="1">
        <f>IFERROR(Comp1[[#This Row],[Comparable '#1 Return]]+1,"-")</f>
        <v>1.0043763745997987</v>
      </c>
      <c r="E999" s="6">
        <f>B999-MAX($B$2:B999)</f>
        <v>-10.170000000000002</v>
      </c>
      <c r="F999" s="80">
        <f t="shared" si="31"/>
        <v>602</v>
      </c>
      <c r="G999" s="22" cm="1">
        <f t="array" ref="G999">Comp1[[#This Row],[Comparable '#1 Drawdown]]/MAX($B$2:B999)</f>
        <v>-0.47039777983348757</v>
      </c>
      <c r="H999" s="1" t="str">
        <f>IF(SUM(COUNTIF(Benchmark1[Benchmark '#1 Dates],Comp1[[#This Row],[Comparable '#1 Dates]]),COUNTIF(Benchmark2[Benchmark '#2 Dates],Comp1[[#This Row],[Comparable '#1 Dates]]))=2,"Pass","Fail")</f>
        <v>Pass</v>
      </c>
      <c r="I999" s="1">
        <f>IFERROR(Comp1[[#This Row],[Comparable '#1 Return]]-INDEX(Benchmark1[Benchmark '#1 Return],MATCH(Comp1[[#This Row],[Comparable '#1 Dates]],Benchmark1[Benchmark '#1 Dates],0)),"-")</f>
        <v>-1.9805204800212122E-2</v>
      </c>
      <c r="L999" s="72">
        <f>Comp1[[#This Row],[Comparable '#1 Price]]/$B$2*100</f>
        <v>78.37097878165639</v>
      </c>
    </row>
    <row r="1000" spans="1:12">
      <c r="A1000" s="103">
        <v>44734</v>
      </c>
      <c r="B1000" s="104">
        <v>10.8</v>
      </c>
      <c r="C1000" s="4">
        <f t="shared" si="30"/>
        <v>-5.8443595870074548E-2</v>
      </c>
      <c r="D1000" s="1">
        <f>IFERROR(Comp1[[#This Row],[Comparable '#1 Return]]+1,"-")</f>
        <v>0.94155640412992547</v>
      </c>
      <c r="E1000" s="6">
        <f>B1000-MAX($B$2:B1000)</f>
        <v>-10.82</v>
      </c>
      <c r="F1000" s="80">
        <f t="shared" si="31"/>
        <v>603</v>
      </c>
      <c r="G1000" s="22" cm="1">
        <f t="array" ref="G1000">Comp1[[#This Row],[Comparable '#1 Drawdown]]/MAX($B$2:B1000)</f>
        <v>-0.50046253469010171</v>
      </c>
      <c r="H1000" s="1" t="str">
        <f>IF(SUM(COUNTIF(Benchmark1[Benchmark '#1 Dates],Comp1[[#This Row],[Comparable '#1 Dates]]),COUNTIF(Benchmark2[Benchmark '#2 Dates],Comp1[[#This Row],[Comparable '#1 Dates]]))=2,"Pass","Fail")</f>
        <v>Pass</v>
      </c>
      <c r="I1000" s="1">
        <f>IFERROR(Comp1[[#This Row],[Comparable '#1 Return]]-INDEX(Benchmark1[Benchmark '#1 Return],MATCH(Comp1[[#This Row],[Comparable '#1 Dates]],Benchmark1[Benchmark '#1 Dates],0)),"-")</f>
        <v>-5.714258153085567E-2</v>
      </c>
      <c r="L1000" s="72">
        <f>Comp1[[#This Row],[Comparable '#1 Price]]/$B$2*100</f>
        <v>73.921971252566749</v>
      </c>
    </row>
    <row r="1001" spans="1:12">
      <c r="A1001" s="103">
        <v>44735</v>
      </c>
      <c r="B1001" s="104">
        <v>10.95</v>
      </c>
      <c r="C1001" s="4">
        <f t="shared" si="30"/>
        <v>1.3793322132335769E-2</v>
      </c>
      <c r="D1001" s="1">
        <f>IFERROR(Comp1[[#This Row],[Comparable '#1 Return]]+1,"-")</f>
        <v>1.0137933221323359</v>
      </c>
      <c r="E1001" s="6">
        <f>B1001-MAX($B$2:B1001)</f>
        <v>-10.670000000000002</v>
      </c>
      <c r="F1001" s="80">
        <f t="shared" si="31"/>
        <v>604</v>
      </c>
      <c r="G1001" s="22" cm="1">
        <f t="array" ref="G1001">Comp1[[#This Row],[Comparable '#1 Drawdown]]/MAX($B$2:B1001)</f>
        <v>-0.49352451433857547</v>
      </c>
      <c r="H1001" s="1" t="str">
        <f>IF(SUM(COUNTIF(Benchmark1[Benchmark '#1 Dates],Comp1[[#This Row],[Comparable '#1 Dates]]),COUNTIF(Benchmark2[Benchmark '#2 Dates],Comp1[[#This Row],[Comparable '#1 Dates]]))=2,"Pass","Fail")</f>
        <v>Pass</v>
      </c>
      <c r="I1001" s="1">
        <f>IFERROR(Comp1[[#This Row],[Comparable '#1 Return]]-INDEX(Benchmark1[Benchmark '#1 Return],MATCH(Comp1[[#This Row],[Comparable '#1 Dates]],Benchmark1[Benchmark '#1 Dates],0)),"-")</f>
        <v>4.3077843480416548E-3</v>
      </c>
      <c r="L1001" s="72">
        <f>Comp1[[#This Row],[Comparable '#1 Price]]/$B$2*100</f>
        <v>74.948665297741272</v>
      </c>
    </row>
    <row r="1002" spans="1:12">
      <c r="A1002" s="103">
        <v>44736</v>
      </c>
      <c r="B1002" s="104">
        <v>11.35</v>
      </c>
      <c r="C1002" s="4">
        <f t="shared" si="30"/>
        <v>3.5878287664901851E-2</v>
      </c>
      <c r="D1002" s="1">
        <f>IFERROR(Comp1[[#This Row],[Comparable '#1 Return]]+1,"-")</f>
        <v>1.0358782876649018</v>
      </c>
      <c r="E1002" s="6">
        <f>B1002-MAX($B$2:B1002)</f>
        <v>-10.270000000000001</v>
      </c>
      <c r="F1002" s="80">
        <f t="shared" si="31"/>
        <v>605</v>
      </c>
      <c r="G1002" s="22" cm="1">
        <f t="array" ref="G1002">Comp1[[#This Row],[Comparable '#1 Drawdown]]/MAX($B$2:B1002)</f>
        <v>-0.47502312673450514</v>
      </c>
      <c r="H1002" s="1" t="str">
        <f>IF(SUM(COUNTIF(Benchmark1[Benchmark '#1 Dates],Comp1[[#This Row],[Comparable '#1 Dates]]),COUNTIF(Benchmark2[Benchmark '#2 Dates],Comp1[[#This Row],[Comparable '#1 Dates]]))=2,"Pass","Fail")</f>
        <v>Pass</v>
      </c>
      <c r="I1002" s="1">
        <f>IFERROR(Comp1[[#This Row],[Comparable '#1 Return]]-INDEX(Benchmark1[Benchmark '#1 Return],MATCH(Comp1[[#This Row],[Comparable '#1 Dates]],Benchmark1[Benchmark '#1 Dates],0)),"-")</f>
        <v>5.7710825475154048E-3</v>
      </c>
      <c r="L1002" s="72">
        <f>Comp1[[#This Row],[Comparable '#1 Price]]/$B$2*100</f>
        <v>77.686516084873375</v>
      </c>
    </row>
    <row r="1003" spans="1:12">
      <c r="A1003" s="103">
        <v>44739</v>
      </c>
      <c r="B1003" s="104">
        <v>11.47</v>
      </c>
      <c r="C1003" s="4">
        <f t="shared" si="30"/>
        <v>1.0517187213867678E-2</v>
      </c>
      <c r="D1003" s="1">
        <f>IFERROR(Comp1[[#This Row],[Comparable '#1 Return]]+1,"-")</f>
        <v>1.0105171872138676</v>
      </c>
      <c r="E1003" s="6">
        <f>B1003-MAX($B$2:B1003)</f>
        <v>-10.15</v>
      </c>
      <c r="F1003" s="80">
        <f t="shared" si="31"/>
        <v>606</v>
      </c>
      <c r="G1003" s="22" cm="1">
        <f t="array" ref="G1003">Comp1[[#This Row],[Comparable '#1 Drawdown]]/MAX($B$2:B1003)</f>
        <v>-0.46947271045328398</v>
      </c>
      <c r="H1003" s="1" t="str">
        <f>IF(SUM(COUNTIF(Benchmark1[Benchmark '#1 Dates],Comp1[[#This Row],[Comparable '#1 Dates]]),COUNTIF(Benchmark2[Benchmark '#2 Dates],Comp1[[#This Row],[Comparable '#1 Dates]]))=2,"Pass","Fail")</f>
        <v>Pass</v>
      </c>
      <c r="I1003" s="1">
        <f>IFERROR(Comp1[[#This Row],[Comparable '#1 Return]]-INDEX(Benchmark1[Benchmark '#1 Return],MATCH(Comp1[[#This Row],[Comparable '#1 Dates]],Benchmark1[Benchmark '#1 Dates],0)),"-")</f>
        <v>1.3494642510353292E-2</v>
      </c>
      <c r="L1003" s="72">
        <f>Comp1[[#This Row],[Comparable '#1 Price]]/$B$2*100</f>
        <v>78.507871321013013</v>
      </c>
    </row>
    <row r="1004" spans="1:12">
      <c r="A1004" s="103">
        <v>44740</v>
      </c>
      <c r="B1004" s="104">
        <v>11.33</v>
      </c>
      <c r="C1004" s="4">
        <f t="shared" si="30"/>
        <v>-1.2280856101364397E-2</v>
      </c>
      <c r="D1004" s="1">
        <f>IFERROR(Comp1[[#This Row],[Comparable '#1 Return]]+1,"-")</f>
        <v>0.98771914389863558</v>
      </c>
      <c r="E1004" s="6">
        <f>B1004-MAX($B$2:B1004)</f>
        <v>-10.290000000000001</v>
      </c>
      <c r="F1004" s="80">
        <f t="shared" si="31"/>
        <v>607</v>
      </c>
      <c r="G1004" s="22" cm="1">
        <f t="array" ref="G1004">Comp1[[#This Row],[Comparable '#1 Drawdown]]/MAX($B$2:B1004)</f>
        <v>-0.47594819611470862</v>
      </c>
      <c r="H1004" s="1" t="str">
        <f>IF(SUM(COUNTIF(Benchmark1[Benchmark '#1 Dates],Comp1[[#This Row],[Comparable '#1 Dates]]),COUNTIF(Benchmark2[Benchmark '#2 Dates],Comp1[[#This Row],[Comparable '#1 Dates]]))=2,"Pass","Fail")</f>
        <v>Pass</v>
      </c>
      <c r="I1004" s="1">
        <f>IFERROR(Comp1[[#This Row],[Comparable '#1 Return]]-INDEX(Benchmark1[Benchmark '#1 Return],MATCH(Comp1[[#This Row],[Comparable '#1 Dates]],Benchmark1[Benchmark '#1 Dates],0)),"-")</f>
        <v>8.0699449780681897E-3</v>
      </c>
      <c r="L1004" s="72">
        <f>Comp1[[#This Row],[Comparable '#1 Price]]/$B$2*100</f>
        <v>77.549623545516781</v>
      </c>
    </row>
    <row r="1005" spans="1:12">
      <c r="A1005" s="103">
        <v>44741</v>
      </c>
      <c r="B1005" s="104">
        <v>11.25</v>
      </c>
      <c r="C1005" s="4">
        <f t="shared" si="30"/>
        <v>-7.0859463894858352E-3</v>
      </c>
      <c r="D1005" s="1">
        <f>IFERROR(Comp1[[#This Row],[Comparable '#1 Return]]+1,"-")</f>
        <v>0.99291405361051421</v>
      </c>
      <c r="E1005" s="6">
        <f>B1005-MAX($B$2:B1005)</f>
        <v>-10.370000000000001</v>
      </c>
      <c r="F1005" s="80">
        <f t="shared" si="31"/>
        <v>608</v>
      </c>
      <c r="G1005" s="22" cm="1">
        <f t="array" ref="G1005">Comp1[[#This Row],[Comparable '#1 Drawdown]]/MAX($B$2:B1005)</f>
        <v>-0.47964847363552271</v>
      </c>
      <c r="H1005" s="1" t="str">
        <f>IF(SUM(COUNTIF(Benchmark1[Benchmark '#1 Dates],Comp1[[#This Row],[Comparable '#1 Dates]]),COUNTIF(Benchmark2[Benchmark '#2 Dates],Comp1[[#This Row],[Comparable '#1 Dates]]))=2,"Pass","Fail")</f>
        <v>Pass</v>
      </c>
      <c r="I1005" s="1">
        <f>IFERROR(Comp1[[#This Row],[Comparable '#1 Return]]-INDEX(Benchmark1[Benchmark '#1 Return],MATCH(Comp1[[#This Row],[Comparable '#1 Dates]],Benchmark1[Benchmark '#1 Dates],0)),"-")</f>
        <v>-6.375735478015624E-3</v>
      </c>
      <c r="L1005" s="72">
        <f>Comp1[[#This Row],[Comparable '#1 Price]]/$B$2*100</f>
        <v>77.002053388090346</v>
      </c>
    </row>
    <row r="1006" spans="1:12">
      <c r="A1006" s="103">
        <v>44742</v>
      </c>
      <c r="B1006" s="104">
        <v>11.57</v>
      </c>
      <c r="C1006" s="4">
        <f t="shared" si="30"/>
        <v>2.8047412555156116E-2</v>
      </c>
      <c r="D1006" s="1">
        <f>IFERROR(Comp1[[#This Row],[Comparable '#1 Return]]+1,"-")</f>
        <v>1.0280474125551562</v>
      </c>
      <c r="E1006" s="6">
        <f>B1006-MAX($B$2:B1006)</f>
        <v>-10.050000000000001</v>
      </c>
      <c r="F1006" s="80">
        <f t="shared" si="31"/>
        <v>609</v>
      </c>
      <c r="G1006" s="22" cm="1">
        <f t="array" ref="G1006">Comp1[[#This Row],[Comparable '#1 Drawdown]]/MAX($B$2:B1006)</f>
        <v>-0.46484736355226641</v>
      </c>
      <c r="H1006" s="1" t="str">
        <f>IF(SUM(COUNTIF(Benchmark1[Benchmark '#1 Dates],Comp1[[#This Row],[Comparable '#1 Dates]]),COUNTIF(Benchmark2[Benchmark '#2 Dates],Comp1[[#This Row],[Comparable '#1 Dates]]))=2,"Pass","Fail")</f>
        <v>Pass</v>
      </c>
      <c r="I1006" s="1">
        <f>IFERROR(Comp1[[#This Row],[Comparable '#1 Return]]-INDEX(Benchmark1[Benchmark '#1 Return],MATCH(Comp1[[#This Row],[Comparable '#1 Dates]],Benchmark1[Benchmark '#1 Dates],0)),"-")</f>
        <v>3.6844659307878135E-2</v>
      </c>
      <c r="L1006" s="72">
        <f>Comp1[[#This Row],[Comparable '#1 Price]]/$B$2*100</f>
        <v>79.192334017796043</v>
      </c>
    </row>
    <row r="1007" spans="1:12">
      <c r="A1007" s="103">
        <v>44743</v>
      </c>
      <c r="B1007" s="104">
        <v>11.72</v>
      </c>
      <c r="C1007" s="4">
        <f t="shared" si="30"/>
        <v>1.2881242943281399E-2</v>
      </c>
      <c r="D1007" s="1">
        <f>IFERROR(Comp1[[#This Row],[Comparable '#1 Return]]+1,"-")</f>
        <v>1.0128812429432814</v>
      </c>
      <c r="E1007" s="6">
        <f>B1007-MAX($B$2:B1007)</f>
        <v>-9.9</v>
      </c>
      <c r="F1007" s="80">
        <f t="shared" si="31"/>
        <v>610</v>
      </c>
      <c r="G1007" s="22" cm="1">
        <f t="array" ref="G1007">Comp1[[#This Row],[Comparable '#1 Drawdown]]/MAX($B$2:B1007)</f>
        <v>-0.45790934320074006</v>
      </c>
      <c r="H1007" s="1" t="str">
        <f>IF(SUM(COUNTIF(Benchmark1[Benchmark '#1 Dates],Comp1[[#This Row],[Comparable '#1 Dates]]),COUNTIF(Benchmark2[Benchmark '#2 Dates],Comp1[[#This Row],[Comparable '#1 Dates]]))=2,"Pass","Fail")</f>
        <v>Pass</v>
      </c>
      <c r="I1007" s="1">
        <f>IFERROR(Comp1[[#This Row],[Comparable '#1 Return]]-INDEX(Benchmark1[Benchmark '#1 Return],MATCH(Comp1[[#This Row],[Comparable '#1 Dates]],Benchmark1[Benchmark '#1 Dates],0)),"-")</f>
        <v>2.385081314581719E-3</v>
      </c>
      <c r="L1007" s="72">
        <f>Comp1[[#This Row],[Comparable '#1 Price]]/$B$2*100</f>
        <v>80.21902806297058</v>
      </c>
    </row>
    <row r="1008" spans="1:12">
      <c r="A1008" s="103">
        <v>44747</v>
      </c>
      <c r="B1008" s="104">
        <v>11.34</v>
      </c>
      <c r="C1008" s="4">
        <f t="shared" si="30"/>
        <v>-3.2960485849260583E-2</v>
      </c>
      <c r="D1008" s="1">
        <f>IFERROR(Comp1[[#This Row],[Comparable '#1 Return]]+1,"-")</f>
        <v>0.96703951415073941</v>
      </c>
      <c r="E1008" s="6">
        <f>B1008-MAX($B$2:B1008)</f>
        <v>-10.280000000000001</v>
      </c>
      <c r="F1008" s="80">
        <f t="shared" si="31"/>
        <v>611</v>
      </c>
      <c r="G1008" s="22" cm="1">
        <f t="array" ref="G1008">Comp1[[#This Row],[Comparable '#1 Drawdown]]/MAX($B$2:B1008)</f>
        <v>-0.47548566142460685</v>
      </c>
      <c r="H1008" s="1" t="str">
        <f>IF(SUM(COUNTIF(Benchmark1[Benchmark '#1 Dates],Comp1[[#This Row],[Comparable '#1 Dates]]),COUNTIF(Benchmark2[Benchmark '#2 Dates],Comp1[[#This Row],[Comparable '#1 Dates]]))=2,"Pass","Fail")</f>
        <v>Pass</v>
      </c>
      <c r="I1008" s="1">
        <f>IFERROR(Comp1[[#This Row],[Comparable '#1 Return]]-INDEX(Benchmark1[Benchmark '#1 Return],MATCH(Comp1[[#This Row],[Comparable '#1 Dates]],Benchmark1[Benchmark '#1 Dates],0)),"-")</f>
        <v>-3.4544532343362806E-2</v>
      </c>
      <c r="L1008" s="72">
        <f>Comp1[[#This Row],[Comparable '#1 Price]]/$B$2*100</f>
        <v>77.618069815195085</v>
      </c>
    </row>
    <row r="1009" spans="1:12">
      <c r="A1009" s="103">
        <v>44748</v>
      </c>
      <c r="B1009" s="104">
        <v>11.33</v>
      </c>
      <c r="C1009" s="4">
        <f t="shared" si="30"/>
        <v>-8.8222325969103746E-4</v>
      </c>
      <c r="D1009" s="1">
        <f>IFERROR(Comp1[[#This Row],[Comparable '#1 Return]]+1,"-")</f>
        <v>0.99911777674030899</v>
      </c>
      <c r="E1009" s="6">
        <f>B1009-MAX($B$2:B1009)</f>
        <v>-10.290000000000001</v>
      </c>
      <c r="F1009" s="80">
        <f t="shared" si="31"/>
        <v>612</v>
      </c>
      <c r="G1009" s="22" cm="1">
        <f t="array" ref="G1009">Comp1[[#This Row],[Comparable '#1 Drawdown]]/MAX($B$2:B1009)</f>
        <v>-0.47594819611470862</v>
      </c>
      <c r="H1009" s="1" t="str">
        <f>IF(SUM(COUNTIF(Benchmark1[Benchmark '#1 Dates],Comp1[[#This Row],[Comparable '#1 Dates]]),COUNTIF(Benchmark2[Benchmark '#2 Dates],Comp1[[#This Row],[Comparable '#1 Dates]]))=2,"Pass","Fail")</f>
        <v>Pass</v>
      </c>
      <c r="I1009" s="1">
        <f>IFERROR(Comp1[[#This Row],[Comparable '#1 Return]]-INDEX(Benchmark1[Benchmark '#1 Return],MATCH(Comp1[[#This Row],[Comparable '#1 Dates]],Benchmark1[Benchmark '#1 Dates],0)),"-")</f>
        <v>-4.4491839406465561E-3</v>
      </c>
      <c r="L1009" s="72">
        <f>Comp1[[#This Row],[Comparable '#1 Price]]/$B$2*100</f>
        <v>77.549623545516781</v>
      </c>
    </row>
    <row r="1010" spans="1:12">
      <c r="A1010" s="103">
        <v>44749</v>
      </c>
      <c r="B1010" s="104">
        <v>11.37</v>
      </c>
      <c r="C1010" s="4">
        <f t="shared" si="30"/>
        <v>3.5242327225296828E-3</v>
      </c>
      <c r="D1010" s="1">
        <f>IFERROR(Comp1[[#This Row],[Comparable '#1 Return]]+1,"-")</f>
        <v>1.0035242327225298</v>
      </c>
      <c r="E1010" s="6">
        <f>B1010-MAX($B$2:B1010)</f>
        <v>-10.250000000000002</v>
      </c>
      <c r="F1010" s="80">
        <f t="shared" si="31"/>
        <v>613</v>
      </c>
      <c r="G1010" s="22" cm="1">
        <f t="array" ref="G1010">Comp1[[#This Row],[Comparable '#1 Drawdown]]/MAX($B$2:B1010)</f>
        <v>-0.47409805735430161</v>
      </c>
      <c r="H1010" s="1" t="str">
        <f>IF(SUM(COUNTIF(Benchmark1[Benchmark '#1 Dates],Comp1[[#This Row],[Comparable '#1 Dates]]),COUNTIF(Benchmark2[Benchmark '#2 Dates],Comp1[[#This Row],[Comparable '#1 Dates]]))=2,"Pass","Fail")</f>
        <v>Pass</v>
      </c>
      <c r="I1010" s="1">
        <f>IFERROR(Comp1[[#This Row],[Comparable '#1 Return]]-INDEX(Benchmark1[Benchmark '#1 Return],MATCH(Comp1[[#This Row],[Comparable '#1 Dates]],Benchmark1[Benchmark '#1 Dates],0)),"-")</f>
        <v>-1.132980190958368E-2</v>
      </c>
      <c r="L1010" s="72">
        <f>Comp1[[#This Row],[Comparable '#1 Price]]/$B$2*100</f>
        <v>77.82340862422997</v>
      </c>
    </row>
    <row r="1011" spans="1:12">
      <c r="A1011" s="103">
        <v>44750</v>
      </c>
      <c r="B1011" s="104">
        <v>11.47</v>
      </c>
      <c r="C1011" s="4">
        <f t="shared" si="30"/>
        <v>8.7566233788347742E-3</v>
      </c>
      <c r="D1011" s="1">
        <f>IFERROR(Comp1[[#This Row],[Comparable '#1 Return]]+1,"-")</f>
        <v>1.0087566233788348</v>
      </c>
      <c r="E1011" s="6">
        <f>B1011-MAX($B$2:B1011)</f>
        <v>-10.15</v>
      </c>
      <c r="F1011" s="80">
        <f t="shared" si="31"/>
        <v>614</v>
      </c>
      <c r="G1011" s="22" cm="1">
        <f t="array" ref="G1011">Comp1[[#This Row],[Comparable '#1 Drawdown]]/MAX($B$2:B1011)</f>
        <v>-0.46947271045328398</v>
      </c>
      <c r="H1011" s="1" t="str">
        <f>IF(SUM(COUNTIF(Benchmark1[Benchmark '#1 Dates],Comp1[[#This Row],[Comparable '#1 Dates]]),COUNTIF(Benchmark2[Benchmark '#2 Dates],Comp1[[#This Row],[Comparable '#1 Dates]]))=2,"Pass","Fail")</f>
        <v>Pass</v>
      </c>
      <c r="I1011" s="1">
        <f>IFERROR(Comp1[[#This Row],[Comparable '#1 Return]]-INDEX(Benchmark1[Benchmark '#1 Return],MATCH(Comp1[[#This Row],[Comparable '#1 Dates]],Benchmark1[Benchmark '#1 Dates],0)),"-")</f>
        <v>9.5885504989724358E-3</v>
      </c>
      <c r="L1011" s="72">
        <f>Comp1[[#This Row],[Comparable '#1 Price]]/$B$2*100</f>
        <v>78.507871321013013</v>
      </c>
    </row>
    <row r="1012" spans="1:12">
      <c r="A1012" s="103">
        <v>44753</v>
      </c>
      <c r="B1012" s="104">
        <v>11.42</v>
      </c>
      <c r="C1012" s="4">
        <f t="shared" si="30"/>
        <v>-4.36872691341526E-3</v>
      </c>
      <c r="D1012" s="1">
        <f>IFERROR(Comp1[[#This Row],[Comparable '#1 Return]]+1,"-")</f>
        <v>0.99563127308658472</v>
      </c>
      <c r="E1012" s="6">
        <f>B1012-MAX($B$2:B1012)</f>
        <v>-10.200000000000001</v>
      </c>
      <c r="F1012" s="80">
        <f t="shared" si="31"/>
        <v>615</v>
      </c>
      <c r="G1012" s="22" cm="1">
        <f t="array" ref="G1012">Comp1[[#This Row],[Comparable '#1 Drawdown]]/MAX($B$2:B1012)</f>
        <v>-0.47178538390379282</v>
      </c>
      <c r="H1012" s="1" t="str">
        <f>IF(SUM(COUNTIF(Benchmark1[Benchmark '#1 Dates],Comp1[[#This Row],[Comparable '#1 Dates]]),COUNTIF(Benchmark2[Benchmark '#2 Dates],Comp1[[#This Row],[Comparable '#1 Dates]]))=2,"Pass","Fail")</f>
        <v>Pass</v>
      </c>
      <c r="I1012" s="1">
        <f>IFERROR(Comp1[[#This Row],[Comparable '#1 Return]]-INDEX(Benchmark1[Benchmark '#1 Return],MATCH(Comp1[[#This Row],[Comparable '#1 Dates]],Benchmark1[Benchmark '#1 Dates],0)),"-")</f>
        <v>7.224124938754602E-3</v>
      </c>
      <c r="L1012" s="72">
        <f>Comp1[[#This Row],[Comparable '#1 Price]]/$B$2*100</f>
        <v>78.165639972621491</v>
      </c>
    </row>
    <row r="1013" spans="1:12">
      <c r="A1013" s="103">
        <v>44754</v>
      </c>
      <c r="B1013" s="104">
        <v>11.15</v>
      </c>
      <c r="C1013" s="4">
        <f t="shared" si="30"/>
        <v>-2.392670632173639E-2</v>
      </c>
      <c r="D1013" s="1">
        <f>IFERROR(Comp1[[#This Row],[Comparable '#1 Return]]+1,"-")</f>
        <v>0.97607329367826356</v>
      </c>
      <c r="E1013" s="6">
        <f>B1013-MAX($B$2:B1013)</f>
        <v>-10.47</v>
      </c>
      <c r="F1013" s="80">
        <f t="shared" si="31"/>
        <v>616</v>
      </c>
      <c r="G1013" s="22" cm="1">
        <f t="array" ref="G1013">Comp1[[#This Row],[Comparable '#1 Drawdown]]/MAX($B$2:B1013)</f>
        <v>-0.48427382053654022</v>
      </c>
      <c r="H1013" s="1" t="str">
        <f>IF(SUM(COUNTIF(Benchmark1[Benchmark '#1 Dates],Comp1[[#This Row],[Comparable '#1 Dates]]),COUNTIF(Benchmark2[Benchmark '#2 Dates],Comp1[[#This Row],[Comparable '#1 Dates]]))=2,"Pass","Fail")</f>
        <v>Pass</v>
      </c>
      <c r="I1013" s="1">
        <f>IFERROR(Comp1[[#This Row],[Comparable '#1 Return]]-INDEX(Benchmark1[Benchmark '#1 Return],MATCH(Comp1[[#This Row],[Comparable '#1 Dates]],Benchmark1[Benchmark '#1 Dates],0)),"-")</f>
        <v>-1.4638380215302822E-2</v>
      </c>
      <c r="L1013" s="72">
        <f>Comp1[[#This Row],[Comparable '#1 Price]]/$B$2*100</f>
        <v>76.317590691307331</v>
      </c>
    </row>
    <row r="1014" spans="1:12">
      <c r="A1014" s="103">
        <v>44755</v>
      </c>
      <c r="B1014" s="104">
        <v>11.32</v>
      </c>
      <c r="C1014" s="4">
        <f t="shared" si="30"/>
        <v>1.513157486890911E-2</v>
      </c>
      <c r="D1014" s="1">
        <f>IFERROR(Comp1[[#This Row],[Comparable '#1 Return]]+1,"-")</f>
        <v>1.0151315748689091</v>
      </c>
      <c r="E1014" s="6">
        <f>B1014-MAX($B$2:B1014)</f>
        <v>-10.3</v>
      </c>
      <c r="F1014" s="80">
        <f t="shared" si="31"/>
        <v>617</v>
      </c>
      <c r="G1014" s="22" cm="1">
        <f t="array" ref="G1014">Comp1[[#This Row],[Comparable '#1 Drawdown]]/MAX($B$2:B1014)</f>
        <v>-0.47641073080481039</v>
      </c>
      <c r="H1014" s="1" t="str">
        <f>IF(SUM(COUNTIF(Benchmark1[Benchmark '#1 Dates],Comp1[[#This Row],[Comparable '#1 Dates]]),COUNTIF(Benchmark2[Benchmark '#2 Dates],Comp1[[#This Row],[Comparable '#1 Dates]]))=2,"Pass","Fail")</f>
        <v>Pass</v>
      </c>
      <c r="I1014" s="1">
        <f>IFERROR(Comp1[[#This Row],[Comparable '#1 Return]]-INDEX(Benchmark1[Benchmark '#1 Return],MATCH(Comp1[[#This Row],[Comparable '#1 Dates]],Benchmark1[Benchmark '#1 Dates],0)),"-")</f>
        <v>1.9597688384220397E-2</v>
      </c>
      <c r="L1014" s="72">
        <f>Comp1[[#This Row],[Comparable '#1 Price]]/$B$2*100</f>
        <v>77.481177275838476</v>
      </c>
    </row>
    <row r="1015" spans="1:12">
      <c r="A1015" s="103">
        <v>44756</v>
      </c>
      <c r="B1015" s="104">
        <v>11.04</v>
      </c>
      <c r="C1015" s="4">
        <f t="shared" si="30"/>
        <v>-2.5046031926087689E-2</v>
      </c>
      <c r="D1015" s="1">
        <f>IFERROR(Comp1[[#This Row],[Comparable '#1 Return]]+1,"-")</f>
        <v>0.97495396807391232</v>
      </c>
      <c r="E1015" s="6">
        <f>B1015-MAX($B$2:B1015)</f>
        <v>-10.580000000000002</v>
      </c>
      <c r="F1015" s="80">
        <f t="shared" si="31"/>
        <v>618</v>
      </c>
      <c r="G1015" s="22" cm="1">
        <f t="array" ref="G1015">Comp1[[#This Row],[Comparable '#1 Drawdown]]/MAX($B$2:B1015)</f>
        <v>-0.48936170212765961</v>
      </c>
      <c r="H1015" s="1" t="str">
        <f>IF(SUM(COUNTIF(Benchmark1[Benchmark '#1 Dates],Comp1[[#This Row],[Comparable '#1 Dates]]),COUNTIF(Benchmark2[Benchmark '#2 Dates],Comp1[[#This Row],[Comparable '#1 Dates]]))=2,"Pass","Fail")</f>
        <v>Pass</v>
      </c>
      <c r="I1015" s="1">
        <f>IFERROR(Comp1[[#This Row],[Comparable '#1 Return]]-INDEX(Benchmark1[Benchmark '#1 Return],MATCH(Comp1[[#This Row],[Comparable '#1 Dates]],Benchmark1[Benchmark '#1 Dates],0)),"-")</f>
        <v>-2.2042076051638181E-2</v>
      </c>
      <c r="L1015" s="72">
        <f>Comp1[[#This Row],[Comparable '#1 Price]]/$B$2*100</f>
        <v>75.564681724845997</v>
      </c>
    </row>
    <row r="1016" spans="1:12">
      <c r="A1016" s="103">
        <v>44757</v>
      </c>
      <c r="B1016" s="104">
        <v>11.42</v>
      </c>
      <c r="C1016" s="4">
        <f t="shared" si="30"/>
        <v>3.3841163378914949E-2</v>
      </c>
      <c r="D1016" s="1">
        <f>IFERROR(Comp1[[#This Row],[Comparable '#1 Return]]+1,"-")</f>
        <v>1.0338411633789149</v>
      </c>
      <c r="E1016" s="6">
        <f>B1016-MAX($B$2:B1016)</f>
        <v>-10.200000000000001</v>
      </c>
      <c r="F1016" s="80">
        <f t="shared" si="31"/>
        <v>619</v>
      </c>
      <c r="G1016" s="22" cm="1">
        <f t="array" ref="G1016">Comp1[[#This Row],[Comparable '#1 Drawdown]]/MAX($B$2:B1016)</f>
        <v>-0.47178538390379282</v>
      </c>
      <c r="H1016" s="1" t="str">
        <f>IF(SUM(COUNTIF(Benchmark1[Benchmark '#1 Dates],Comp1[[#This Row],[Comparable '#1 Dates]]),COUNTIF(Benchmark2[Benchmark '#2 Dates],Comp1[[#This Row],[Comparable '#1 Dates]]))=2,"Pass","Fail")</f>
        <v>Pass</v>
      </c>
      <c r="I1016" s="1">
        <f>IFERROR(Comp1[[#This Row],[Comparable '#1 Return]]-INDEX(Benchmark1[Benchmark '#1 Return],MATCH(Comp1[[#This Row],[Comparable '#1 Dates]],Benchmark1[Benchmark '#1 Dates],0)),"-")</f>
        <v>1.4820517437841924E-2</v>
      </c>
      <c r="L1016" s="72">
        <f>Comp1[[#This Row],[Comparable '#1 Price]]/$B$2*100</f>
        <v>78.165639972621491</v>
      </c>
    </row>
    <row r="1017" spans="1:12">
      <c r="A1017" s="103">
        <v>44760</v>
      </c>
      <c r="B1017" s="104">
        <v>11.5</v>
      </c>
      <c r="C1017" s="4">
        <f t="shared" si="30"/>
        <v>6.9808311413401408E-3</v>
      </c>
      <c r="D1017" s="1">
        <f>IFERROR(Comp1[[#This Row],[Comparable '#1 Return]]+1,"-")</f>
        <v>1.0069808311413402</v>
      </c>
      <c r="E1017" s="6">
        <f>B1017-MAX($B$2:B1017)</f>
        <v>-10.120000000000001</v>
      </c>
      <c r="F1017" s="80">
        <f t="shared" si="31"/>
        <v>620</v>
      </c>
      <c r="G1017" s="22" cm="1">
        <f t="array" ref="G1017">Comp1[[#This Row],[Comparable '#1 Drawdown]]/MAX($B$2:B1017)</f>
        <v>-0.46808510638297873</v>
      </c>
      <c r="H1017" s="1" t="str">
        <f>IF(SUM(COUNTIF(Benchmark1[Benchmark '#1 Dates],Comp1[[#This Row],[Comparable '#1 Dates]]),COUNTIF(Benchmark2[Benchmark '#2 Dates],Comp1[[#This Row],[Comparable '#1 Dates]]))=2,"Pass","Fail")</f>
        <v>Pass</v>
      </c>
      <c r="I1017" s="1">
        <f>IFERROR(Comp1[[#This Row],[Comparable '#1 Return]]-INDEX(Benchmark1[Benchmark '#1 Return],MATCH(Comp1[[#This Row],[Comparable '#1 Dates]],Benchmark1[Benchmark '#1 Dates],0)),"-")</f>
        <v>1.5379609344597339E-2</v>
      </c>
      <c r="L1017" s="72">
        <f>Comp1[[#This Row],[Comparable '#1 Price]]/$B$2*100</f>
        <v>78.713210130047912</v>
      </c>
    </row>
    <row r="1018" spans="1:12">
      <c r="A1018" s="103">
        <v>44761</v>
      </c>
      <c r="B1018" s="104">
        <v>11.81</v>
      </c>
      <c r="C1018" s="4">
        <f t="shared" si="30"/>
        <v>2.6599594840066663E-2</v>
      </c>
      <c r="D1018" s="1">
        <f>IFERROR(Comp1[[#This Row],[Comparable '#1 Return]]+1,"-")</f>
        <v>1.0265995948400666</v>
      </c>
      <c r="E1018" s="6">
        <f>B1018-MAX($B$2:B1018)</f>
        <v>-9.81</v>
      </c>
      <c r="F1018" s="80">
        <f t="shared" si="31"/>
        <v>621</v>
      </c>
      <c r="G1018" s="22" cm="1">
        <f t="array" ref="G1018">Comp1[[#This Row],[Comparable '#1 Drawdown]]/MAX($B$2:B1018)</f>
        <v>-0.45374653098982426</v>
      </c>
      <c r="H1018" s="1" t="str">
        <f>IF(SUM(COUNTIF(Benchmark1[Benchmark '#1 Dates],Comp1[[#This Row],[Comparable '#1 Dates]]),COUNTIF(Benchmark2[Benchmark '#2 Dates],Comp1[[#This Row],[Comparable '#1 Dates]]))=2,"Pass","Fail")</f>
        <v>Pass</v>
      </c>
      <c r="I1018" s="1">
        <f>IFERROR(Comp1[[#This Row],[Comparable '#1 Return]]-INDEX(Benchmark1[Benchmark '#1 Return],MATCH(Comp1[[#This Row],[Comparable '#1 Dates]],Benchmark1[Benchmark '#1 Dates],0)),"-")</f>
        <v>-6.5309941147737374E-4</v>
      </c>
      <c r="L1018" s="72">
        <f>Comp1[[#This Row],[Comparable '#1 Price]]/$B$2*100</f>
        <v>80.835044490075305</v>
      </c>
    </row>
    <row r="1019" spans="1:12">
      <c r="A1019" s="103">
        <v>44762</v>
      </c>
      <c r="B1019" s="104">
        <v>11.83</v>
      </c>
      <c r="C1019" s="4">
        <f t="shared" si="30"/>
        <v>1.6920477810245234E-3</v>
      </c>
      <c r="D1019" s="1">
        <f>IFERROR(Comp1[[#This Row],[Comparable '#1 Return]]+1,"-")</f>
        <v>1.0016920477810245</v>
      </c>
      <c r="E1019" s="6">
        <f>B1019-MAX($B$2:B1019)</f>
        <v>-9.7900000000000009</v>
      </c>
      <c r="F1019" s="80">
        <f t="shared" si="31"/>
        <v>622</v>
      </c>
      <c r="G1019" s="22" cm="1">
        <f t="array" ref="G1019">Comp1[[#This Row],[Comparable '#1 Drawdown]]/MAX($B$2:B1019)</f>
        <v>-0.45282146160962072</v>
      </c>
      <c r="H1019" s="1" t="str">
        <f>IF(SUM(COUNTIF(Benchmark1[Benchmark '#1 Dates],Comp1[[#This Row],[Comparable '#1 Dates]]),COUNTIF(Benchmark2[Benchmark '#2 Dates],Comp1[[#This Row],[Comparable '#1 Dates]]))=2,"Pass","Fail")</f>
        <v>Pass</v>
      </c>
      <c r="I1019" s="1">
        <f>IFERROR(Comp1[[#This Row],[Comparable '#1 Return]]-INDEX(Benchmark1[Benchmark '#1 Return],MATCH(Comp1[[#This Row],[Comparable '#1 Dates]],Benchmark1[Benchmark '#1 Dates],0)),"-")</f>
        <v>-4.1862521807982805E-3</v>
      </c>
      <c r="L1019" s="72">
        <f>Comp1[[#This Row],[Comparable '#1 Price]]/$B$2*100</f>
        <v>80.971937029431899</v>
      </c>
    </row>
    <row r="1020" spans="1:12">
      <c r="A1020" s="103">
        <v>44763</v>
      </c>
      <c r="B1020" s="104">
        <v>11.75</v>
      </c>
      <c r="C1020" s="4">
        <f t="shared" si="30"/>
        <v>-6.7854374001274599E-3</v>
      </c>
      <c r="D1020" s="1">
        <f>IFERROR(Comp1[[#This Row],[Comparable '#1 Return]]+1,"-")</f>
        <v>0.99321456259987251</v>
      </c>
      <c r="E1020" s="6">
        <f>B1020-MAX($B$2:B1020)</f>
        <v>-9.870000000000001</v>
      </c>
      <c r="F1020" s="80">
        <f t="shared" si="31"/>
        <v>623</v>
      </c>
      <c r="G1020" s="22" cm="1">
        <f t="array" ref="G1020">Comp1[[#This Row],[Comparable '#1 Drawdown]]/MAX($B$2:B1020)</f>
        <v>-0.45652173913043481</v>
      </c>
      <c r="H1020" s="1" t="str">
        <f>IF(SUM(COUNTIF(Benchmark1[Benchmark '#1 Dates],Comp1[[#This Row],[Comparable '#1 Dates]]),COUNTIF(Benchmark2[Benchmark '#2 Dates],Comp1[[#This Row],[Comparable '#1 Dates]]))=2,"Pass","Fail")</f>
        <v>Pass</v>
      </c>
      <c r="I1020" s="1">
        <f>IFERROR(Comp1[[#This Row],[Comparable '#1 Return]]-INDEX(Benchmark1[Benchmark '#1 Return],MATCH(Comp1[[#This Row],[Comparable '#1 Dates]],Benchmark1[Benchmark '#1 Dates],0)),"-")</f>
        <v>-1.65991698747039E-2</v>
      </c>
      <c r="L1020" s="72">
        <f>Comp1[[#This Row],[Comparable '#1 Price]]/$B$2*100</f>
        <v>80.424366872005479</v>
      </c>
    </row>
    <row r="1021" spans="1:12">
      <c r="A1021" s="103">
        <v>44764</v>
      </c>
      <c r="B1021" s="104">
        <v>11.63</v>
      </c>
      <c r="C1021" s="4">
        <f t="shared" si="30"/>
        <v>-1.0265274059594792E-2</v>
      </c>
      <c r="D1021" s="1">
        <f>IFERROR(Comp1[[#This Row],[Comparable '#1 Return]]+1,"-")</f>
        <v>0.98973472594040524</v>
      </c>
      <c r="E1021" s="6">
        <f>B1021-MAX($B$2:B1021)</f>
        <v>-9.99</v>
      </c>
      <c r="F1021" s="80">
        <f t="shared" si="31"/>
        <v>624</v>
      </c>
      <c r="G1021" s="22" cm="1">
        <f t="array" ref="G1021">Comp1[[#This Row],[Comparable '#1 Drawdown]]/MAX($B$2:B1021)</f>
        <v>-0.46207215541165586</v>
      </c>
      <c r="H1021" s="1" t="str">
        <f>IF(SUM(COUNTIF(Benchmark1[Benchmark '#1 Dates],Comp1[[#This Row],[Comparable '#1 Dates]]),COUNTIF(Benchmark2[Benchmark '#2 Dates],Comp1[[#This Row],[Comparable '#1 Dates]]))=2,"Pass","Fail")</f>
        <v>Pass</v>
      </c>
      <c r="I1021" s="1">
        <f>IFERROR(Comp1[[#This Row],[Comparable '#1 Return]]-INDEX(Benchmark1[Benchmark '#1 Return],MATCH(Comp1[[#This Row],[Comparable '#1 Dates]],Benchmark1[Benchmark '#1 Dates],0)),"-")</f>
        <v>-8.8988121230158465E-4</v>
      </c>
      <c r="L1021" s="72">
        <f>Comp1[[#This Row],[Comparable '#1 Price]]/$B$2*100</f>
        <v>79.603011635865855</v>
      </c>
    </row>
    <row r="1022" spans="1:12">
      <c r="A1022" s="103">
        <v>44767</v>
      </c>
      <c r="B1022" s="104">
        <v>11.71</v>
      </c>
      <c r="C1022" s="4">
        <f t="shared" si="30"/>
        <v>6.8552110790528718E-3</v>
      </c>
      <c r="D1022" s="1">
        <f>IFERROR(Comp1[[#This Row],[Comparable '#1 Return]]+1,"-")</f>
        <v>1.006855211079053</v>
      </c>
      <c r="E1022" s="6">
        <f>B1022-MAX($B$2:B1022)</f>
        <v>-9.91</v>
      </c>
      <c r="F1022" s="80">
        <f t="shared" si="31"/>
        <v>625</v>
      </c>
      <c r="G1022" s="22" cm="1">
        <f t="array" ref="G1022">Comp1[[#This Row],[Comparable '#1 Drawdown]]/MAX($B$2:B1022)</f>
        <v>-0.45837187789084177</v>
      </c>
      <c r="H1022" s="1" t="str">
        <f>IF(SUM(COUNTIF(Benchmark1[Benchmark '#1 Dates],Comp1[[#This Row],[Comparable '#1 Dates]]),COUNTIF(Benchmark2[Benchmark '#2 Dates],Comp1[[#This Row],[Comparable '#1 Dates]]))=2,"Pass","Fail")</f>
        <v>Pass</v>
      </c>
      <c r="I1022" s="1">
        <f>IFERROR(Comp1[[#This Row],[Comparable '#1 Return]]-INDEX(Benchmark1[Benchmark '#1 Return],MATCH(Comp1[[#This Row],[Comparable '#1 Dates]],Benchmark1[Benchmark '#1 Dates],0)),"-")</f>
        <v>5.5409355969577899E-3</v>
      </c>
      <c r="L1022" s="72">
        <f>Comp1[[#This Row],[Comparable '#1 Price]]/$B$2*100</f>
        <v>80.150581793292275</v>
      </c>
    </row>
    <row r="1023" spans="1:12">
      <c r="A1023" s="103">
        <v>44768</v>
      </c>
      <c r="B1023" s="104">
        <v>11.7</v>
      </c>
      <c r="C1023" s="4">
        <f t="shared" si="30"/>
        <v>-8.5433580591564261E-4</v>
      </c>
      <c r="D1023" s="1">
        <f>IFERROR(Comp1[[#This Row],[Comparable '#1 Return]]+1,"-")</f>
        <v>0.99914566419408435</v>
      </c>
      <c r="E1023" s="6">
        <f>B1023-MAX($B$2:B1023)</f>
        <v>-9.9200000000000017</v>
      </c>
      <c r="F1023" s="80">
        <f t="shared" si="31"/>
        <v>626</v>
      </c>
      <c r="G1023" s="22" cm="1">
        <f t="array" ref="G1023">Comp1[[#This Row],[Comparable '#1 Drawdown]]/MAX($B$2:B1023)</f>
        <v>-0.45883441258094365</v>
      </c>
      <c r="H1023" s="1" t="str">
        <f>IF(SUM(COUNTIF(Benchmark1[Benchmark '#1 Dates],Comp1[[#This Row],[Comparable '#1 Dates]]),COUNTIF(Benchmark2[Benchmark '#2 Dates],Comp1[[#This Row],[Comparable '#1 Dates]]))=2,"Pass","Fail")</f>
        <v>Pass</v>
      </c>
      <c r="I1023" s="1">
        <f>IFERROR(Comp1[[#This Row],[Comparable '#1 Return]]-INDEX(Benchmark1[Benchmark '#1 Return],MATCH(Comp1[[#This Row],[Comparable '#1 Dates]],Benchmark1[Benchmark '#1 Dates],0)),"-")</f>
        <v>1.0757352546028991E-2</v>
      </c>
      <c r="L1023" s="72">
        <f>Comp1[[#This Row],[Comparable '#1 Price]]/$B$2*100</f>
        <v>80.082135523613957</v>
      </c>
    </row>
    <row r="1024" spans="1:12">
      <c r="A1024" s="103">
        <v>44769</v>
      </c>
      <c r="B1024" s="104">
        <v>11.79</v>
      </c>
      <c r="C1024" s="4">
        <f t="shared" si="30"/>
        <v>7.6628727455690972E-3</v>
      </c>
      <c r="D1024" s="1">
        <f>IFERROR(Comp1[[#This Row],[Comparable '#1 Return]]+1,"-")</f>
        <v>1.0076628727455692</v>
      </c>
      <c r="E1024" s="6">
        <f>B1024-MAX($B$2:B1024)</f>
        <v>-9.8300000000000018</v>
      </c>
      <c r="F1024" s="80">
        <f t="shared" si="31"/>
        <v>627</v>
      </c>
      <c r="G1024" s="22" cm="1">
        <f t="array" ref="G1024">Comp1[[#This Row],[Comparable '#1 Drawdown]]/MAX($B$2:B1024)</f>
        <v>-0.4546716003700278</v>
      </c>
      <c r="H1024" s="1" t="str">
        <f>IF(SUM(COUNTIF(Benchmark1[Benchmark '#1 Dates],Comp1[[#This Row],[Comparable '#1 Dates]]),COUNTIF(Benchmark2[Benchmark '#2 Dates],Comp1[[#This Row],[Comparable '#1 Dates]]))=2,"Pass","Fail")</f>
        <v>Pass</v>
      </c>
      <c r="I1024" s="1">
        <f>IFERROR(Comp1[[#This Row],[Comparable '#1 Return]]-INDEX(Benchmark1[Benchmark '#1 Return],MATCH(Comp1[[#This Row],[Comparable '#1 Dates]],Benchmark1[Benchmark '#1 Dates],0)),"-")</f>
        <v>-1.815786311930959E-2</v>
      </c>
      <c r="L1024" s="72">
        <f>Comp1[[#This Row],[Comparable '#1 Price]]/$B$2*100</f>
        <v>80.698151950718682</v>
      </c>
    </row>
    <row r="1025" spans="1:12">
      <c r="A1025" s="103">
        <v>44770</v>
      </c>
      <c r="B1025" s="104">
        <v>11.95</v>
      </c>
      <c r="C1025" s="4">
        <f t="shared" si="30"/>
        <v>1.3479563828240235E-2</v>
      </c>
      <c r="D1025" s="1">
        <f>IFERROR(Comp1[[#This Row],[Comparable '#1 Return]]+1,"-")</f>
        <v>1.0134795638282403</v>
      </c>
      <c r="E1025" s="6">
        <f>B1025-MAX($B$2:B1025)</f>
        <v>-9.6700000000000017</v>
      </c>
      <c r="F1025" s="80">
        <f t="shared" si="31"/>
        <v>628</v>
      </c>
      <c r="G1025" s="22" cm="1">
        <f t="array" ref="G1025">Comp1[[#This Row],[Comparable '#1 Drawdown]]/MAX($B$2:B1025)</f>
        <v>-0.44727104532839967</v>
      </c>
      <c r="H1025" s="1" t="str">
        <f>IF(SUM(COUNTIF(Benchmark1[Benchmark '#1 Dates],Comp1[[#This Row],[Comparable '#1 Dates]]),COUNTIF(Benchmark2[Benchmark '#2 Dates],Comp1[[#This Row],[Comparable '#1 Dates]]))=2,"Pass","Fail")</f>
        <v>Pass</v>
      </c>
      <c r="I1025" s="1">
        <f>IFERROR(Comp1[[#This Row],[Comparable '#1 Return]]-INDEX(Benchmark1[Benchmark '#1 Return],MATCH(Comp1[[#This Row],[Comparable '#1 Dates]],Benchmark1[Benchmark '#1 Dates],0)),"-")</f>
        <v>1.4187468600410699E-3</v>
      </c>
      <c r="L1025" s="72">
        <f>Comp1[[#This Row],[Comparable '#1 Price]]/$B$2*100</f>
        <v>81.793292265571523</v>
      </c>
    </row>
    <row r="1026" spans="1:12">
      <c r="A1026" s="103">
        <v>44771</v>
      </c>
      <c r="B1026" s="104">
        <v>11.84</v>
      </c>
      <c r="C1026" s="4">
        <f t="shared" ref="C1026:C1089" si="32">IFERROR(IF(B1026="","-",LN(B1026/B1025)),"-")</f>
        <v>-9.247648921659973E-3</v>
      </c>
      <c r="D1026" s="1">
        <f>IFERROR(Comp1[[#This Row],[Comparable '#1 Return]]+1,"-")</f>
        <v>0.99075235107834003</v>
      </c>
      <c r="E1026" s="6">
        <f>B1026-MAX($B$2:B1026)</f>
        <v>-9.7800000000000011</v>
      </c>
      <c r="F1026" s="80">
        <f t="shared" ref="F1026:F1089" si="33">IF(E1026=0,0,F1025+1)</f>
        <v>629</v>
      </c>
      <c r="G1026" s="22" cm="1">
        <f t="array" ref="G1026">Comp1[[#This Row],[Comparable '#1 Drawdown]]/MAX($B$2:B1026)</f>
        <v>-0.45235892691951901</v>
      </c>
      <c r="H1026" s="1" t="str">
        <f>IF(SUM(COUNTIF(Benchmark1[Benchmark '#1 Dates],Comp1[[#This Row],[Comparable '#1 Dates]]),COUNTIF(Benchmark2[Benchmark '#2 Dates],Comp1[[#This Row],[Comparable '#1 Dates]]))=2,"Pass","Fail")</f>
        <v>Pass</v>
      </c>
      <c r="I1026" s="1">
        <f>IFERROR(Comp1[[#This Row],[Comparable '#1 Return]]-INDEX(Benchmark1[Benchmark '#1 Return],MATCH(Comp1[[#This Row],[Comparable '#1 Dates]],Benchmark1[Benchmark '#1 Dates],0)),"-")</f>
        <v>-2.3353319300303162E-2</v>
      </c>
      <c r="L1026" s="72">
        <f>Comp1[[#This Row],[Comparable '#1 Price]]/$B$2*100</f>
        <v>81.040383299110204</v>
      </c>
    </row>
    <row r="1027" spans="1:12">
      <c r="A1027" s="103">
        <v>44774</v>
      </c>
      <c r="B1027" s="104">
        <v>11.56</v>
      </c>
      <c r="C1027" s="4">
        <f t="shared" si="32"/>
        <v>-2.3932766211628136E-2</v>
      </c>
      <c r="D1027" s="1">
        <f>IFERROR(Comp1[[#This Row],[Comparable '#1 Return]]+1,"-")</f>
        <v>0.9760672337883719</v>
      </c>
      <c r="E1027" s="6">
        <f>B1027-MAX($B$2:B1027)</f>
        <v>-10.06</v>
      </c>
      <c r="F1027" s="80">
        <f t="shared" si="33"/>
        <v>630</v>
      </c>
      <c r="G1027" s="22" cm="1">
        <f t="array" ref="G1027">Comp1[[#This Row],[Comparable '#1 Drawdown]]/MAX($B$2:B1027)</f>
        <v>-0.46530989824236818</v>
      </c>
      <c r="H1027" s="1" t="str">
        <f>IF(SUM(COUNTIF(Benchmark1[Benchmark '#1 Dates],Comp1[[#This Row],[Comparable '#1 Dates]]),COUNTIF(Benchmark2[Benchmark '#2 Dates],Comp1[[#This Row],[Comparable '#1 Dates]]))=2,"Pass","Fail")</f>
        <v>Pass</v>
      </c>
      <c r="I1027" s="1">
        <f>IFERROR(Comp1[[#This Row],[Comparable '#1 Return]]-INDEX(Benchmark1[Benchmark '#1 Return],MATCH(Comp1[[#This Row],[Comparable '#1 Dates]],Benchmark1[Benchmark '#1 Dates],0)),"-")</f>
        <v>-2.1106645343297193E-2</v>
      </c>
      <c r="L1027" s="72">
        <f>Comp1[[#This Row],[Comparable '#1 Price]]/$B$2*100</f>
        <v>79.123887748117738</v>
      </c>
    </row>
    <row r="1028" spans="1:12">
      <c r="A1028" s="103">
        <v>44775</v>
      </c>
      <c r="B1028" s="104">
        <v>11.51</v>
      </c>
      <c r="C1028" s="4">
        <f t="shared" si="32"/>
        <v>-4.3346405104401466E-3</v>
      </c>
      <c r="D1028" s="1">
        <f>IFERROR(Comp1[[#This Row],[Comparable '#1 Return]]+1,"-")</f>
        <v>0.99566535948955981</v>
      </c>
      <c r="E1028" s="6">
        <f>B1028-MAX($B$2:B1028)</f>
        <v>-10.110000000000001</v>
      </c>
      <c r="F1028" s="80">
        <f t="shared" si="33"/>
        <v>631</v>
      </c>
      <c r="G1028" s="22" cm="1">
        <f t="array" ref="G1028">Comp1[[#This Row],[Comparable '#1 Drawdown]]/MAX($B$2:B1028)</f>
        <v>-0.46762257169287702</v>
      </c>
      <c r="H1028" s="1" t="str">
        <f>IF(SUM(COUNTIF(Benchmark1[Benchmark '#1 Dates],Comp1[[#This Row],[Comparable '#1 Dates]]),COUNTIF(Benchmark2[Benchmark '#2 Dates],Comp1[[#This Row],[Comparable '#1 Dates]]))=2,"Pass","Fail")</f>
        <v>Pass</v>
      </c>
      <c r="I1028" s="1">
        <f>IFERROR(Comp1[[#This Row],[Comparable '#1 Return]]-INDEX(Benchmark1[Benchmark '#1 Return],MATCH(Comp1[[#This Row],[Comparable '#1 Dates]],Benchmark1[Benchmark '#1 Dates],0)),"-")</f>
        <v>2.3511534627535429E-3</v>
      </c>
      <c r="L1028" s="72">
        <f>Comp1[[#This Row],[Comparable '#1 Price]]/$B$2*100</f>
        <v>78.781656399726216</v>
      </c>
    </row>
    <row r="1029" spans="1:12">
      <c r="A1029" s="103">
        <v>44776</v>
      </c>
      <c r="B1029" s="104">
        <v>11.52</v>
      </c>
      <c r="C1029" s="4">
        <f t="shared" si="32"/>
        <v>8.6843253395397244E-4</v>
      </c>
      <c r="D1029" s="1">
        <f>IFERROR(Comp1[[#This Row],[Comparable '#1 Return]]+1,"-")</f>
        <v>1.0008684325339541</v>
      </c>
      <c r="E1029" s="6">
        <f>B1029-MAX($B$2:B1029)</f>
        <v>-10.100000000000001</v>
      </c>
      <c r="F1029" s="80">
        <f t="shared" si="33"/>
        <v>632</v>
      </c>
      <c r="G1029" s="22" cm="1">
        <f t="array" ref="G1029">Comp1[[#This Row],[Comparable '#1 Drawdown]]/MAX($B$2:B1029)</f>
        <v>-0.46716003700277525</v>
      </c>
      <c r="H1029" s="1" t="str">
        <f>IF(SUM(COUNTIF(Benchmark1[Benchmark '#1 Dates],Comp1[[#This Row],[Comparable '#1 Dates]]),COUNTIF(Benchmark2[Benchmark '#2 Dates],Comp1[[#This Row],[Comparable '#1 Dates]]))=2,"Pass","Fail")</f>
        <v>Pass</v>
      </c>
      <c r="I1029" s="1">
        <f>IFERROR(Comp1[[#This Row],[Comparable '#1 Return]]-INDEX(Benchmark1[Benchmark '#1 Return],MATCH(Comp1[[#This Row],[Comparable '#1 Dates]],Benchmark1[Benchmark '#1 Dates],0)),"-")</f>
        <v>-1.4650883588695592E-2</v>
      </c>
      <c r="L1029" s="72">
        <f>Comp1[[#This Row],[Comparable '#1 Price]]/$B$2*100</f>
        <v>78.850102669404521</v>
      </c>
    </row>
    <row r="1030" spans="1:12">
      <c r="A1030" s="103">
        <v>44777</v>
      </c>
      <c r="B1030" s="104">
        <v>11.9</v>
      </c>
      <c r="C1030" s="4">
        <f t="shared" si="32"/>
        <v>3.2453744849738571E-2</v>
      </c>
      <c r="D1030" s="1">
        <f>IFERROR(Comp1[[#This Row],[Comparable '#1 Return]]+1,"-")</f>
        <v>1.0324537448497386</v>
      </c>
      <c r="E1030" s="6">
        <f>B1030-MAX($B$2:B1030)</f>
        <v>-9.7200000000000006</v>
      </c>
      <c r="F1030" s="80">
        <f t="shared" si="33"/>
        <v>633</v>
      </c>
      <c r="G1030" s="22" cm="1">
        <f t="array" ref="G1030">Comp1[[#This Row],[Comparable '#1 Drawdown]]/MAX($B$2:B1030)</f>
        <v>-0.4495837187789084</v>
      </c>
      <c r="H1030" s="1" t="str">
        <f>IF(SUM(COUNTIF(Benchmark1[Benchmark '#1 Dates],Comp1[[#This Row],[Comparable '#1 Dates]]),COUNTIF(Benchmark2[Benchmark '#2 Dates],Comp1[[#This Row],[Comparable '#1 Dates]]))=2,"Pass","Fail")</f>
        <v>Pass</v>
      </c>
      <c r="I1030" s="1">
        <f>IFERROR(Comp1[[#This Row],[Comparable '#1 Return]]-INDEX(Benchmark1[Benchmark '#1 Return],MATCH(Comp1[[#This Row],[Comparable '#1 Dates]],Benchmark1[Benchmark '#1 Dates],0)),"-")</f>
        <v>3.3231042728993715E-2</v>
      </c>
      <c r="L1030" s="72">
        <f>Comp1[[#This Row],[Comparable '#1 Price]]/$B$2*100</f>
        <v>81.451060917180016</v>
      </c>
    </row>
    <row r="1031" spans="1:12">
      <c r="A1031" s="103">
        <v>44778</v>
      </c>
      <c r="B1031" s="104">
        <v>11.18</v>
      </c>
      <c r="C1031" s="4">
        <f t="shared" si="32"/>
        <v>-6.2411932390530611E-2</v>
      </c>
      <c r="D1031" s="1">
        <f>IFERROR(Comp1[[#This Row],[Comparable '#1 Return]]+1,"-")</f>
        <v>0.93758806760946944</v>
      </c>
      <c r="E1031" s="6">
        <f>B1031-MAX($B$2:B1031)</f>
        <v>-10.440000000000001</v>
      </c>
      <c r="F1031" s="80">
        <f t="shared" si="33"/>
        <v>634</v>
      </c>
      <c r="G1031" s="22" cm="1">
        <f t="array" ref="G1031">Comp1[[#This Row],[Comparable '#1 Drawdown]]/MAX($B$2:B1031)</f>
        <v>-0.48288621646623503</v>
      </c>
      <c r="H1031" s="1" t="str">
        <f>IF(SUM(COUNTIF(Benchmark1[Benchmark '#1 Dates],Comp1[[#This Row],[Comparable '#1 Dates]]),COUNTIF(Benchmark2[Benchmark '#2 Dates],Comp1[[#This Row],[Comparable '#1 Dates]]))=2,"Pass","Fail")</f>
        <v>Pass</v>
      </c>
      <c r="I1031" s="1">
        <f>IFERROR(Comp1[[#This Row],[Comparable '#1 Return]]-INDEX(Benchmark1[Benchmark '#1 Return],MATCH(Comp1[[#This Row],[Comparable '#1 Dates]],Benchmark1[Benchmark '#1 Dates],0)),"-")</f>
        <v>-6.0783633112047805E-2</v>
      </c>
      <c r="L1031" s="72">
        <f>Comp1[[#This Row],[Comparable '#1 Price]]/$B$2*100</f>
        <v>76.522929500342229</v>
      </c>
    </row>
    <row r="1032" spans="1:12">
      <c r="A1032" s="103">
        <v>44781</v>
      </c>
      <c r="B1032" s="104">
        <v>11.18</v>
      </c>
      <c r="C1032" s="4">
        <f t="shared" si="32"/>
        <v>0</v>
      </c>
      <c r="D1032" s="1">
        <f>IFERROR(Comp1[[#This Row],[Comparable '#1 Return]]+1,"-")</f>
        <v>1</v>
      </c>
      <c r="E1032" s="6">
        <f>B1032-MAX($B$2:B1032)</f>
        <v>-10.440000000000001</v>
      </c>
      <c r="F1032" s="80">
        <f t="shared" si="33"/>
        <v>635</v>
      </c>
      <c r="G1032" s="22" cm="1">
        <f t="array" ref="G1032">Comp1[[#This Row],[Comparable '#1 Drawdown]]/MAX($B$2:B1032)</f>
        <v>-0.48288621646623503</v>
      </c>
      <c r="H1032" s="1" t="str">
        <f>IF(SUM(COUNTIF(Benchmark1[Benchmark '#1 Dates],Comp1[[#This Row],[Comparable '#1 Dates]]),COUNTIF(Benchmark2[Benchmark '#2 Dates],Comp1[[#This Row],[Comparable '#1 Dates]]))=2,"Pass","Fail")</f>
        <v>Pass</v>
      </c>
      <c r="I1032" s="1">
        <f>IFERROR(Comp1[[#This Row],[Comparable '#1 Return]]-INDEX(Benchmark1[Benchmark '#1 Return],MATCH(Comp1[[#This Row],[Comparable '#1 Dates]],Benchmark1[Benchmark '#1 Dates],0)),"-")</f>
        <v>1.2385212391996113E-3</v>
      </c>
      <c r="L1032" s="72">
        <f>Comp1[[#This Row],[Comparable '#1 Price]]/$B$2*100</f>
        <v>76.522929500342229</v>
      </c>
    </row>
    <row r="1033" spans="1:12">
      <c r="A1033" s="103">
        <v>44782</v>
      </c>
      <c r="B1033" s="104">
        <v>11.23</v>
      </c>
      <c r="C1033" s="4">
        <f t="shared" si="32"/>
        <v>4.4623010233986859E-3</v>
      </c>
      <c r="D1033" s="1">
        <f>IFERROR(Comp1[[#This Row],[Comparable '#1 Return]]+1,"-")</f>
        <v>1.0044623010233986</v>
      </c>
      <c r="E1033" s="6">
        <f>B1033-MAX($B$2:B1033)</f>
        <v>-10.39</v>
      </c>
      <c r="F1033" s="80">
        <f t="shared" si="33"/>
        <v>636</v>
      </c>
      <c r="G1033" s="22" cm="1">
        <f t="array" ref="G1033">Comp1[[#This Row],[Comparable '#1 Drawdown]]/MAX($B$2:B1033)</f>
        <v>-0.48057354301572619</v>
      </c>
      <c r="H1033" s="1" t="str">
        <f>IF(SUM(COUNTIF(Benchmark1[Benchmark '#1 Dates],Comp1[[#This Row],[Comparable '#1 Dates]]),COUNTIF(Benchmark2[Benchmark '#2 Dates],Comp1[[#This Row],[Comparable '#1 Dates]]))=2,"Pass","Fail")</f>
        <v>Pass</v>
      </c>
      <c r="I1033" s="1">
        <f>IFERROR(Comp1[[#This Row],[Comparable '#1 Return]]-INDEX(Benchmark1[Benchmark '#1 Return],MATCH(Comp1[[#This Row],[Comparable '#1 Dates]],Benchmark1[Benchmark '#1 Dates],0)),"-")</f>
        <v>8.7206874189539579E-3</v>
      </c>
      <c r="L1033" s="72">
        <f>Comp1[[#This Row],[Comparable '#1 Price]]/$B$2*100</f>
        <v>76.865160848733751</v>
      </c>
    </row>
    <row r="1034" spans="1:12">
      <c r="A1034" s="103">
        <v>44783</v>
      </c>
      <c r="B1034" s="104">
        <v>11.4</v>
      </c>
      <c r="C1034" s="4">
        <f t="shared" si="32"/>
        <v>1.5024586650097902E-2</v>
      </c>
      <c r="D1034" s="1">
        <f>IFERROR(Comp1[[#This Row],[Comparable '#1 Return]]+1,"-")</f>
        <v>1.015024586650098</v>
      </c>
      <c r="E1034" s="6">
        <f>B1034-MAX($B$2:B1034)</f>
        <v>-10.220000000000001</v>
      </c>
      <c r="F1034" s="80">
        <f t="shared" si="33"/>
        <v>637</v>
      </c>
      <c r="G1034" s="22" cm="1">
        <f t="array" ref="G1034">Comp1[[#This Row],[Comparable '#1 Drawdown]]/MAX($B$2:B1034)</f>
        <v>-0.4727104532839963</v>
      </c>
      <c r="H1034" s="1" t="str">
        <f>IF(SUM(COUNTIF(Benchmark1[Benchmark '#1 Dates],Comp1[[#This Row],[Comparable '#1 Dates]]),COUNTIF(Benchmark2[Benchmark '#2 Dates],Comp1[[#This Row],[Comparable '#1 Dates]]))=2,"Pass","Fail")</f>
        <v>Pass</v>
      </c>
      <c r="I1034" s="1">
        <f>IFERROR(Comp1[[#This Row],[Comparable '#1 Return]]-INDEX(Benchmark1[Benchmark '#1 Return],MATCH(Comp1[[#This Row],[Comparable '#1 Dates]],Benchmark1[Benchmark '#1 Dates],0)),"-")</f>
        <v>-6.0436927846420872E-3</v>
      </c>
      <c r="L1034" s="72">
        <f>Comp1[[#This Row],[Comparable '#1 Price]]/$B$2*100</f>
        <v>78.028747433264883</v>
      </c>
    </row>
    <row r="1035" spans="1:12">
      <c r="A1035" s="103">
        <v>44784</v>
      </c>
      <c r="B1035" s="104">
        <v>11.26</v>
      </c>
      <c r="C1035" s="4">
        <f t="shared" si="32"/>
        <v>-1.2356732688905492E-2</v>
      </c>
      <c r="D1035" s="1">
        <f>IFERROR(Comp1[[#This Row],[Comparable '#1 Return]]+1,"-")</f>
        <v>0.98764326731109453</v>
      </c>
      <c r="E1035" s="6">
        <f>B1035-MAX($B$2:B1035)</f>
        <v>-10.360000000000001</v>
      </c>
      <c r="F1035" s="80">
        <f t="shared" si="33"/>
        <v>638</v>
      </c>
      <c r="G1035" s="22" cm="1">
        <f t="array" ref="G1035">Comp1[[#This Row],[Comparable '#1 Drawdown]]/MAX($B$2:B1035)</f>
        <v>-0.47918593894542094</v>
      </c>
      <c r="H1035" s="1" t="str">
        <f>IF(SUM(COUNTIF(Benchmark1[Benchmark '#1 Dates],Comp1[[#This Row],[Comparable '#1 Dates]]),COUNTIF(Benchmark2[Benchmark '#2 Dates],Comp1[[#This Row],[Comparable '#1 Dates]]))=2,"Pass","Fail")</f>
        <v>Pass</v>
      </c>
      <c r="I1035" s="1">
        <f>IFERROR(Comp1[[#This Row],[Comparable '#1 Return]]-INDEX(Benchmark1[Benchmark '#1 Return],MATCH(Comp1[[#This Row],[Comparable '#1 Dates]],Benchmark1[Benchmark '#1 Dates],0)),"-")</f>
        <v>-1.1651992295678305E-2</v>
      </c>
      <c r="L1035" s="72">
        <f>Comp1[[#This Row],[Comparable '#1 Price]]/$B$2*100</f>
        <v>77.07049965776865</v>
      </c>
    </row>
    <row r="1036" spans="1:12">
      <c r="A1036" s="103">
        <v>44785</v>
      </c>
      <c r="B1036" s="104">
        <v>11.35</v>
      </c>
      <c r="C1036" s="4">
        <f t="shared" si="32"/>
        <v>7.9611212158674192E-3</v>
      </c>
      <c r="D1036" s="1">
        <f>IFERROR(Comp1[[#This Row],[Comparable '#1 Return]]+1,"-")</f>
        <v>1.0079611212158675</v>
      </c>
      <c r="E1036" s="6">
        <f>B1036-MAX($B$2:B1036)</f>
        <v>-10.270000000000001</v>
      </c>
      <c r="F1036" s="80">
        <f t="shared" si="33"/>
        <v>639</v>
      </c>
      <c r="G1036" s="22" cm="1">
        <f t="array" ref="G1036">Comp1[[#This Row],[Comparable '#1 Drawdown]]/MAX($B$2:B1036)</f>
        <v>-0.47502312673450514</v>
      </c>
      <c r="H1036" s="1" t="str">
        <f>IF(SUM(COUNTIF(Benchmark1[Benchmark '#1 Dates],Comp1[[#This Row],[Comparable '#1 Dates]]),COUNTIF(Benchmark2[Benchmark '#2 Dates],Comp1[[#This Row],[Comparable '#1 Dates]]))=2,"Pass","Fail")</f>
        <v>Pass</v>
      </c>
      <c r="I1036" s="1">
        <f>IFERROR(Comp1[[#This Row],[Comparable '#1 Return]]-INDEX(Benchmark1[Benchmark '#1 Return],MATCH(Comp1[[#This Row],[Comparable '#1 Dates]],Benchmark1[Benchmark '#1 Dates],0)),"-")</f>
        <v>-9.2120231173450778E-3</v>
      </c>
      <c r="L1036" s="72">
        <f>Comp1[[#This Row],[Comparable '#1 Price]]/$B$2*100</f>
        <v>77.686516084873375</v>
      </c>
    </row>
    <row r="1037" spans="1:12">
      <c r="A1037" s="103">
        <v>44788</v>
      </c>
      <c r="B1037" s="104">
        <v>11.54</v>
      </c>
      <c r="C1037" s="4">
        <f t="shared" si="32"/>
        <v>1.6601517152541861E-2</v>
      </c>
      <c r="D1037" s="1">
        <f>IFERROR(Comp1[[#This Row],[Comparable '#1 Return]]+1,"-")</f>
        <v>1.0166015171525418</v>
      </c>
      <c r="E1037" s="6">
        <f>B1037-MAX($B$2:B1037)</f>
        <v>-10.080000000000002</v>
      </c>
      <c r="F1037" s="80">
        <f t="shared" si="33"/>
        <v>640</v>
      </c>
      <c r="G1037" s="22" cm="1">
        <f t="array" ref="G1037">Comp1[[#This Row],[Comparable '#1 Drawdown]]/MAX($B$2:B1037)</f>
        <v>-0.46623496762257177</v>
      </c>
      <c r="H1037" s="1" t="str">
        <f>IF(SUM(COUNTIF(Benchmark1[Benchmark '#1 Dates],Comp1[[#This Row],[Comparable '#1 Dates]]),COUNTIF(Benchmark2[Benchmark '#2 Dates],Comp1[[#This Row],[Comparable '#1 Dates]]))=2,"Pass","Fail")</f>
        <v>Pass</v>
      </c>
      <c r="I1037" s="1">
        <f>IFERROR(Comp1[[#This Row],[Comparable '#1 Return]]-INDEX(Benchmark1[Benchmark '#1 Return],MATCH(Comp1[[#This Row],[Comparable '#1 Dates]],Benchmark1[Benchmark '#1 Dates],0)),"-")</f>
        <v>1.2639201121309854E-2</v>
      </c>
      <c r="L1037" s="72">
        <f>Comp1[[#This Row],[Comparable '#1 Price]]/$B$2*100</f>
        <v>78.98699520876113</v>
      </c>
    </row>
    <row r="1038" spans="1:12">
      <c r="A1038" s="103">
        <v>44789</v>
      </c>
      <c r="B1038" s="104">
        <v>11.47</v>
      </c>
      <c r="C1038" s="4">
        <f t="shared" si="32"/>
        <v>-6.0843299386740173E-3</v>
      </c>
      <c r="D1038" s="1">
        <f>IFERROR(Comp1[[#This Row],[Comparable '#1 Return]]+1,"-")</f>
        <v>0.99391567006132597</v>
      </c>
      <c r="E1038" s="6">
        <f>B1038-MAX($B$2:B1038)</f>
        <v>-10.15</v>
      </c>
      <c r="F1038" s="80">
        <f t="shared" si="33"/>
        <v>641</v>
      </c>
      <c r="G1038" s="22" cm="1">
        <f t="array" ref="G1038">Comp1[[#This Row],[Comparable '#1 Drawdown]]/MAX($B$2:B1038)</f>
        <v>-0.46947271045328398</v>
      </c>
      <c r="H1038" s="1" t="str">
        <f>IF(SUM(COUNTIF(Benchmark1[Benchmark '#1 Dates],Comp1[[#This Row],[Comparable '#1 Dates]]),COUNTIF(Benchmark2[Benchmark '#2 Dates],Comp1[[#This Row],[Comparable '#1 Dates]]))=2,"Pass","Fail")</f>
        <v>Pass</v>
      </c>
      <c r="I1038" s="1">
        <f>IFERROR(Comp1[[#This Row],[Comparable '#1 Return]]-INDEX(Benchmark1[Benchmark '#1 Return],MATCH(Comp1[[#This Row],[Comparable '#1 Dates]],Benchmark1[Benchmark '#1 Dates],0)),"-")</f>
        <v>-7.9572722068510723E-3</v>
      </c>
      <c r="L1038" s="72">
        <f>Comp1[[#This Row],[Comparable '#1 Price]]/$B$2*100</f>
        <v>78.507871321013013</v>
      </c>
    </row>
    <row r="1039" spans="1:12">
      <c r="A1039" s="103">
        <v>44790</v>
      </c>
      <c r="B1039" s="104">
        <v>11.36</v>
      </c>
      <c r="C1039" s="4">
        <f t="shared" si="32"/>
        <v>-9.636517848274153E-3</v>
      </c>
      <c r="D1039" s="1">
        <f>IFERROR(Comp1[[#This Row],[Comparable '#1 Return]]+1,"-")</f>
        <v>0.99036348215172587</v>
      </c>
      <c r="E1039" s="6">
        <f>B1039-MAX($B$2:B1039)</f>
        <v>-10.260000000000002</v>
      </c>
      <c r="F1039" s="80">
        <f t="shared" si="33"/>
        <v>642</v>
      </c>
      <c r="G1039" s="22" cm="1">
        <f t="array" ref="G1039">Comp1[[#This Row],[Comparable '#1 Drawdown]]/MAX($B$2:B1039)</f>
        <v>-0.47456059204440337</v>
      </c>
      <c r="H1039" s="1" t="str">
        <f>IF(SUM(COUNTIF(Benchmark1[Benchmark '#1 Dates],Comp1[[#This Row],[Comparable '#1 Dates]]),COUNTIF(Benchmark2[Benchmark '#2 Dates],Comp1[[#This Row],[Comparable '#1 Dates]]))=2,"Pass","Fail")</f>
        <v>Pass</v>
      </c>
      <c r="I1039" s="1">
        <f>IFERROR(Comp1[[#This Row],[Comparable '#1 Return]]-INDEX(Benchmark1[Benchmark '#1 Return],MATCH(Comp1[[#This Row],[Comparable '#1 Dates]],Benchmark1[Benchmark '#1 Dates],0)),"-")</f>
        <v>-2.3722810457032142E-3</v>
      </c>
      <c r="L1039" s="72">
        <f>Comp1[[#This Row],[Comparable '#1 Price]]/$B$2*100</f>
        <v>77.754962354551665</v>
      </c>
    </row>
    <row r="1040" spans="1:12">
      <c r="A1040" s="103">
        <v>44791</v>
      </c>
      <c r="B1040" s="104">
        <v>11.36</v>
      </c>
      <c r="C1040" s="4">
        <f t="shared" si="32"/>
        <v>0</v>
      </c>
      <c r="D1040" s="1">
        <f>IFERROR(Comp1[[#This Row],[Comparable '#1 Return]]+1,"-")</f>
        <v>1</v>
      </c>
      <c r="E1040" s="6">
        <f>B1040-MAX($B$2:B1040)</f>
        <v>-10.260000000000002</v>
      </c>
      <c r="F1040" s="80">
        <f t="shared" si="33"/>
        <v>643</v>
      </c>
      <c r="G1040" s="22" cm="1">
        <f t="array" ref="G1040">Comp1[[#This Row],[Comparable '#1 Drawdown]]/MAX($B$2:B1040)</f>
        <v>-0.47456059204440337</v>
      </c>
      <c r="H1040" s="1" t="str">
        <f>IF(SUM(COUNTIF(Benchmark1[Benchmark '#1 Dates],Comp1[[#This Row],[Comparable '#1 Dates]]),COUNTIF(Benchmark2[Benchmark '#2 Dates],Comp1[[#This Row],[Comparable '#1 Dates]]))=2,"Pass","Fail")</f>
        <v>Pass</v>
      </c>
      <c r="I1040" s="1">
        <f>IFERROR(Comp1[[#This Row],[Comparable '#1 Return]]-INDEX(Benchmark1[Benchmark '#1 Return],MATCH(Comp1[[#This Row],[Comparable '#1 Dates]],Benchmark1[Benchmark '#1 Dates],0)),"-")</f>
        <v>-2.2679179929348671E-3</v>
      </c>
      <c r="L1040" s="72">
        <f>Comp1[[#This Row],[Comparable '#1 Price]]/$B$2*100</f>
        <v>77.754962354551665</v>
      </c>
    </row>
    <row r="1041" spans="1:12">
      <c r="A1041" s="103">
        <v>44792</v>
      </c>
      <c r="B1041" s="104">
        <v>11.41</v>
      </c>
      <c r="C1041" s="4">
        <f t="shared" si="32"/>
        <v>4.3917505809790017E-3</v>
      </c>
      <c r="D1041" s="1">
        <f>IFERROR(Comp1[[#This Row],[Comparable '#1 Return]]+1,"-")</f>
        <v>1.004391750580979</v>
      </c>
      <c r="E1041" s="6">
        <f>B1041-MAX($B$2:B1041)</f>
        <v>-10.210000000000001</v>
      </c>
      <c r="F1041" s="80">
        <f t="shared" si="33"/>
        <v>644</v>
      </c>
      <c r="G1041" s="22" cm="1">
        <f t="array" ref="G1041">Comp1[[#This Row],[Comparable '#1 Drawdown]]/MAX($B$2:B1041)</f>
        <v>-0.47224791859389453</v>
      </c>
      <c r="H1041" s="1" t="str">
        <f>IF(SUM(COUNTIF(Benchmark1[Benchmark '#1 Dates],Comp1[[#This Row],[Comparable '#1 Dates]]),COUNTIF(Benchmark2[Benchmark '#2 Dates],Comp1[[#This Row],[Comparable '#1 Dates]]))=2,"Pass","Fail")</f>
        <v>Pass</v>
      </c>
      <c r="I1041" s="1">
        <f>IFERROR(Comp1[[#This Row],[Comparable '#1 Return]]-INDEX(Benchmark1[Benchmark '#1 Return],MATCH(Comp1[[#This Row],[Comparable '#1 Dates]],Benchmark1[Benchmark '#1 Dates],0)),"-")</f>
        <v>1.7376636252390529E-2</v>
      </c>
      <c r="L1041" s="72">
        <f>Comp1[[#This Row],[Comparable '#1 Price]]/$B$2*100</f>
        <v>78.097193702943187</v>
      </c>
    </row>
    <row r="1042" spans="1:12">
      <c r="A1042" s="103">
        <v>44795</v>
      </c>
      <c r="B1042" s="104">
        <v>11.33</v>
      </c>
      <c r="C1042" s="4">
        <f t="shared" si="32"/>
        <v>-7.0360888340693312E-3</v>
      </c>
      <c r="D1042" s="1">
        <f>IFERROR(Comp1[[#This Row],[Comparable '#1 Return]]+1,"-")</f>
        <v>0.99296391116593063</v>
      </c>
      <c r="E1042" s="6">
        <f>B1042-MAX($B$2:B1042)</f>
        <v>-10.290000000000001</v>
      </c>
      <c r="F1042" s="80">
        <f t="shared" si="33"/>
        <v>645</v>
      </c>
      <c r="G1042" s="22" cm="1">
        <f t="array" ref="G1042">Comp1[[#This Row],[Comparable '#1 Drawdown]]/MAX($B$2:B1042)</f>
        <v>-0.47594819611470862</v>
      </c>
      <c r="H1042" s="1" t="str">
        <f>IF(SUM(COUNTIF(Benchmark1[Benchmark '#1 Dates],Comp1[[#This Row],[Comparable '#1 Dates]]),COUNTIF(Benchmark2[Benchmark '#2 Dates],Comp1[[#This Row],[Comparable '#1 Dates]]))=2,"Pass","Fail")</f>
        <v>Pass</v>
      </c>
      <c r="I1042" s="1">
        <f>IFERROR(Comp1[[#This Row],[Comparable '#1 Return]]-INDEX(Benchmark1[Benchmark '#1 Return],MATCH(Comp1[[#This Row],[Comparable '#1 Dates]],Benchmark1[Benchmark '#1 Dates],0)),"-")</f>
        <v>1.4597099359474949E-2</v>
      </c>
      <c r="L1042" s="72">
        <f>Comp1[[#This Row],[Comparable '#1 Price]]/$B$2*100</f>
        <v>77.549623545516781</v>
      </c>
    </row>
    <row r="1043" spans="1:12">
      <c r="A1043" s="103">
        <v>44796</v>
      </c>
      <c r="B1043" s="104">
        <v>11.25</v>
      </c>
      <c r="C1043" s="4">
        <f t="shared" si="32"/>
        <v>-7.0859463894858352E-3</v>
      </c>
      <c r="D1043" s="1">
        <f>IFERROR(Comp1[[#This Row],[Comparable '#1 Return]]+1,"-")</f>
        <v>0.99291405361051421</v>
      </c>
      <c r="E1043" s="6">
        <f>B1043-MAX($B$2:B1043)</f>
        <v>-10.370000000000001</v>
      </c>
      <c r="F1043" s="80">
        <f t="shared" si="33"/>
        <v>646</v>
      </c>
      <c r="G1043" s="22" cm="1">
        <f t="array" ref="G1043">Comp1[[#This Row],[Comparable '#1 Drawdown]]/MAX($B$2:B1043)</f>
        <v>-0.47964847363552271</v>
      </c>
      <c r="H1043" s="1" t="str">
        <f>IF(SUM(COUNTIF(Benchmark1[Benchmark '#1 Dates],Comp1[[#This Row],[Comparable '#1 Dates]]),COUNTIF(Benchmark2[Benchmark '#2 Dates],Comp1[[#This Row],[Comparable '#1 Dates]]))=2,"Pass","Fail")</f>
        <v>Pass</v>
      </c>
      <c r="I1043" s="1">
        <f>IFERROR(Comp1[[#This Row],[Comparable '#1 Return]]-INDEX(Benchmark1[Benchmark '#1 Return],MATCH(Comp1[[#This Row],[Comparable '#1 Dates]],Benchmark1[Benchmark '#1 Dates],0)),"-")</f>
        <v>-4.846418996372899E-3</v>
      </c>
      <c r="L1043" s="72">
        <f>Comp1[[#This Row],[Comparable '#1 Price]]/$B$2*100</f>
        <v>77.002053388090346</v>
      </c>
    </row>
    <row r="1044" spans="1:12">
      <c r="A1044" s="103">
        <v>44797</v>
      </c>
      <c r="B1044" s="104">
        <v>11.13</v>
      </c>
      <c r="C1044" s="4">
        <f t="shared" si="32"/>
        <v>-1.0723963362975611E-2</v>
      </c>
      <c r="D1044" s="1">
        <f>IFERROR(Comp1[[#This Row],[Comparable '#1 Return]]+1,"-")</f>
        <v>0.98927603663702435</v>
      </c>
      <c r="E1044" s="6">
        <f>B1044-MAX($B$2:B1044)</f>
        <v>-10.49</v>
      </c>
      <c r="F1044" s="80">
        <f t="shared" si="33"/>
        <v>647</v>
      </c>
      <c r="G1044" s="22" cm="1">
        <f t="array" ref="G1044">Comp1[[#This Row],[Comparable '#1 Drawdown]]/MAX($B$2:B1044)</f>
        <v>-0.48519888991674376</v>
      </c>
      <c r="H1044" s="1" t="str">
        <f>IF(SUM(COUNTIF(Benchmark1[Benchmark '#1 Dates],Comp1[[#This Row],[Comparable '#1 Dates]]),COUNTIF(Benchmark2[Benchmark '#2 Dates],Comp1[[#This Row],[Comparable '#1 Dates]]))=2,"Pass","Fail")</f>
        <v>Pass</v>
      </c>
      <c r="I1044" s="1">
        <f>IFERROR(Comp1[[#This Row],[Comparable '#1 Return]]-INDEX(Benchmark1[Benchmark '#1 Return],MATCH(Comp1[[#This Row],[Comparable '#1 Dates]],Benchmark1[Benchmark '#1 Dates],0)),"-")</f>
        <v>-1.3635827966063146E-2</v>
      </c>
      <c r="L1044" s="72">
        <f>Comp1[[#This Row],[Comparable '#1 Price]]/$B$2*100</f>
        <v>76.180698151950736</v>
      </c>
    </row>
    <row r="1045" spans="1:12">
      <c r="A1045" s="103">
        <v>44798</v>
      </c>
      <c r="B1045" s="104">
        <v>11.18</v>
      </c>
      <c r="C1045" s="4">
        <f t="shared" si="32"/>
        <v>4.4823024394996056E-3</v>
      </c>
      <c r="D1045" s="1">
        <f>IFERROR(Comp1[[#This Row],[Comparable '#1 Return]]+1,"-")</f>
        <v>1.0044823024394995</v>
      </c>
      <c r="E1045" s="6">
        <f>B1045-MAX($B$2:B1045)</f>
        <v>-10.440000000000001</v>
      </c>
      <c r="F1045" s="80">
        <f t="shared" si="33"/>
        <v>648</v>
      </c>
      <c r="G1045" s="22" cm="1">
        <f t="array" ref="G1045">Comp1[[#This Row],[Comparable '#1 Drawdown]]/MAX($B$2:B1045)</f>
        <v>-0.48288621646623503</v>
      </c>
      <c r="H1045" s="1" t="str">
        <f>IF(SUM(COUNTIF(Benchmark1[Benchmark '#1 Dates],Comp1[[#This Row],[Comparable '#1 Dates]]),COUNTIF(Benchmark2[Benchmark '#2 Dates],Comp1[[#This Row],[Comparable '#1 Dates]]))=2,"Pass","Fail")</f>
        <v>Pass</v>
      </c>
      <c r="I1045" s="1">
        <f>IFERROR(Comp1[[#This Row],[Comparable '#1 Return]]-INDEX(Benchmark1[Benchmark '#1 Return],MATCH(Comp1[[#This Row],[Comparable '#1 Dates]],Benchmark1[Benchmark '#1 Dates],0)),"-")</f>
        <v>-9.5111968293382001E-3</v>
      </c>
      <c r="L1045" s="72">
        <f>Comp1[[#This Row],[Comparable '#1 Price]]/$B$2*100</f>
        <v>76.522929500342229</v>
      </c>
    </row>
    <row r="1046" spans="1:12">
      <c r="A1046" s="103">
        <v>44799</v>
      </c>
      <c r="B1046" s="104">
        <v>10.83</v>
      </c>
      <c r="C1046" s="4">
        <f t="shared" si="32"/>
        <v>-3.1806406714053784E-2</v>
      </c>
      <c r="D1046" s="1">
        <f>IFERROR(Comp1[[#This Row],[Comparable '#1 Return]]+1,"-")</f>
        <v>0.96819359328594623</v>
      </c>
      <c r="E1046" s="6">
        <f>B1046-MAX($B$2:B1046)</f>
        <v>-10.790000000000001</v>
      </c>
      <c r="F1046" s="80">
        <f t="shared" si="33"/>
        <v>649</v>
      </c>
      <c r="G1046" s="22" cm="1">
        <f t="array" ref="G1046">Comp1[[#This Row],[Comparable '#1 Drawdown]]/MAX($B$2:B1046)</f>
        <v>-0.49907493061979652</v>
      </c>
      <c r="H1046" s="1" t="str">
        <f>IF(SUM(COUNTIF(Benchmark1[Benchmark '#1 Dates],Comp1[[#This Row],[Comparable '#1 Dates]]),COUNTIF(Benchmark2[Benchmark '#2 Dates],Comp1[[#This Row],[Comparable '#1 Dates]]))=2,"Pass","Fail")</f>
        <v>Pass</v>
      </c>
      <c r="I1046" s="1">
        <f>IFERROR(Comp1[[#This Row],[Comparable '#1 Return]]-INDEX(Benchmark1[Benchmark '#1 Return],MATCH(Comp1[[#This Row],[Comparable '#1 Dates]],Benchmark1[Benchmark '#1 Dates],0)),"-")</f>
        <v>2.4612648226294623E-3</v>
      </c>
      <c r="L1046" s="72">
        <f>Comp1[[#This Row],[Comparable '#1 Price]]/$B$2*100</f>
        <v>74.127310061601648</v>
      </c>
    </row>
    <row r="1047" spans="1:12">
      <c r="A1047" s="103">
        <v>44802</v>
      </c>
      <c r="B1047" s="104">
        <v>11</v>
      </c>
      <c r="C1047" s="4">
        <f t="shared" si="32"/>
        <v>1.5575211785471372E-2</v>
      </c>
      <c r="D1047" s="1">
        <f>IFERROR(Comp1[[#This Row],[Comparable '#1 Return]]+1,"-")</f>
        <v>1.0155752117854713</v>
      </c>
      <c r="E1047" s="6">
        <f>B1047-MAX($B$2:B1047)</f>
        <v>-10.620000000000001</v>
      </c>
      <c r="F1047" s="80">
        <f t="shared" si="33"/>
        <v>650</v>
      </c>
      <c r="G1047" s="22" cm="1">
        <f t="array" ref="G1047">Comp1[[#This Row],[Comparable '#1 Drawdown]]/MAX($B$2:B1047)</f>
        <v>-0.49121184088806663</v>
      </c>
      <c r="H1047" s="1" t="str">
        <f>IF(SUM(COUNTIF(Benchmark1[Benchmark '#1 Dates],Comp1[[#This Row],[Comparable '#1 Dates]]),COUNTIF(Benchmark2[Benchmark '#2 Dates],Comp1[[#This Row],[Comparable '#1 Dates]]))=2,"Pass","Fail")</f>
        <v>Pass</v>
      </c>
      <c r="I1047" s="1">
        <f>IFERROR(Comp1[[#This Row],[Comparable '#1 Return]]-INDEX(Benchmark1[Benchmark '#1 Return],MATCH(Comp1[[#This Row],[Comparable '#1 Dates]],Benchmark1[Benchmark '#1 Dates],0)),"-")</f>
        <v>2.2263948850518408E-2</v>
      </c>
      <c r="L1047" s="72">
        <f>Comp1[[#This Row],[Comparable '#1 Price]]/$B$2*100</f>
        <v>75.290896646132794</v>
      </c>
    </row>
    <row r="1048" spans="1:12">
      <c r="A1048" s="103">
        <v>44803</v>
      </c>
      <c r="B1048" s="104">
        <v>11.01</v>
      </c>
      <c r="C1048" s="4">
        <f t="shared" si="32"/>
        <v>9.0867793621811225E-4</v>
      </c>
      <c r="D1048" s="1">
        <f>IFERROR(Comp1[[#This Row],[Comparable '#1 Return]]+1,"-")</f>
        <v>1.0009086779362182</v>
      </c>
      <c r="E1048" s="6">
        <f>B1048-MAX($B$2:B1048)</f>
        <v>-10.610000000000001</v>
      </c>
      <c r="F1048" s="80">
        <f t="shared" si="33"/>
        <v>651</v>
      </c>
      <c r="G1048" s="22" cm="1">
        <f t="array" ref="G1048">Comp1[[#This Row],[Comparable '#1 Drawdown]]/MAX($B$2:B1048)</f>
        <v>-0.49074930619796486</v>
      </c>
      <c r="H1048" s="1" t="str">
        <f>IF(SUM(COUNTIF(Benchmark1[Benchmark '#1 Dates],Comp1[[#This Row],[Comparable '#1 Dates]]),COUNTIF(Benchmark2[Benchmark '#2 Dates],Comp1[[#This Row],[Comparable '#1 Dates]]))=2,"Pass","Fail")</f>
        <v>Pass</v>
      </c>
      <c r="I1048" s="1">
        <f>IFERROR(Comp1[[#This Row],[Comparable '#1 Return]]-INDEX(Benchmark1[Benchmark '#1 Return],MATCH(Comp1[[#This Row],[Comparable '#1 Dates]],Benchmark1[Benchmark '#1 Dates],0)),"-")</f>
        <v>1.1998316526376616E-2</v>
      </c>
      <c r="L1048" s="72">
        <f>Comp1[[#This Row],[Comparable '#1 Price]]/$B$2*100</f>
        <v>75.359342915811084</v>
      </c>
    </row>
    <row r="1049" spans="1:12">
      <c r="A1049" s="103">
        <v>44804</v>
      </c>
      <c r="B1049" s="104">
        <v>11.02</v>
      </c>
      <c r="C1049" s="4">
        <f t="shared" si="32"/>
        <v>9.0785299017973606E-4</v>
      </c>
      <c r="D1049" s="1">
        <f>IFERROR(Comp1[[#This Row],[Comparable '#1 Return]]+1,"-")</f>
        <v>1.0009078529901798</v>
      </c>
      <c r="E1049" s="6">
        <f>B1049-MAX($B$2:B1049)</f>
        <v>-10.600000000000001</v>
      </c>
      <c r="F1049" s="80">
        <f t="shared" si="33"/>
        <v>652</v>
      </c>
      <c r="G1049" s="22" cm="1">
        <f t="array" ref="G1049">Comp1[[#This Row],[Comparable '#1 Drawdown]]/MAX($B$2:B1049)</f>
        <v>-0.49028677150786315</v>
      </c>
      <c r="H1049" s="1" t="str">
        <f>IF(SUM(COUNTIF(Benchmark1[Benchmark '#1 Dates],Comp1[[#This Row],[Comparable '#1 Dates]]),COUNTIF(Benchmark2[Benchmark '#2 Dates],Comp1[[#This Row],[Comparable '#1 Dates]]))=2,"Pass","Fail")</f>
        <v>Pass</v>
      </c>
      <c r="I1049" s="1">
        <f>IFERROR(Comp1[[#This Row],[Comparable '#1 Return]]-INDEX(Benchmark1[Benchmark '#1 Return],MATCH(Comp1[[#This Row],[Comparable '#1 Dates]],Benchmark1[Benchmark '#1 Dates],0)),"-")</f>
        <v>8.7563383387679328E-3</v>
      </c>
      <c r="L1049" s="72">
        <f>Comp1[[#This Row],[Comparable '#1 Price]]/$B$2*100</f>
        <v>75.427789185489388</v>
      </c>
    </row>
    <row r="1050" spans="1:12">
      <c r="A1050" s="103">
        <v>44805</v>
      </c>
      <c r="B1050" s="104">
        <v>11.04</v>
      </c>
      <c r="C1050" s="4">
        <f t="shared" si="32"/>
        <v>1.8132371241807218E-3</v>
      </c>
      <c r="D1050" s="1">
        <f>IFERROR(Comp1[[#This Row],[Comparable '#1 Return]]+1,"-")</f>
        <v>1.0018132371241808</v>
      </c>
      <c r="E1050" s="6">
        <f>B1050-MAX($B$2:B1050)</f>
        <v>-10.580000000000002</v>
      </c>
      <c r="F1050" s="80">
        <f t="shared" si="33"/>
        <v>653</v>
      </c>
      <c r="G1050" s="22" cm="1">
        <f t="array" ref="G1050">Comp1[[#This Row],[Comparable '#1 Drawdown]]/MAX($B$2:B1050)</f>
        <v>-0.48936170212765961</v>
      </c>
      <c r="H1050" s="1" t="str">
        <f>IF(SUM(COUNTIF(Benchmark1[Benchmark '#1 Dates],Comp1[[#This Row],[Comparable '#1 Dates]]),COUNTIF(Benchmark2[Benchmark '#2 Dates],Comp1[[#This Row],[Comparable '#1 Dates]]))=2,"Pass","Fail")</f>
        <v>Pass</v>
      </c>
      <c r="I1050" s="1">
        <f>IFERROR(Comp1[[#This Row],[Comparable '#1 Return]]-INDEX(Benchmark1[Benchmark '#1 Return],MATCH(Comp1[[#This Row],[Comparable '#1 Dates]],Benchmark1[Benchmark '#1 Dates],0)),"-")</f>
        <v>-1.1788090485440228E-3</v>
      </c>
      <c r="L1050" s="72">
        <f>Comp1[[#This Row],[Comparable '#1 Price]]/$B$2*100</f>
        <v>75.564681724845997</v>
      </c>
    </row>
    <row r="1051" spans="1:12">
      <c r="A1051" s="103">
        <v>44806</v>
      </c>
      <c r="B1051" s="104">
        <v>10.93</v>
      </c>
      <c r="C1051" s="4">
        <f t="shared" si="32"/>
        <v>-1.0013738660502048E-2</v>
      </c>
      <c r="D1051" s="1">
        <f>IFERROR(Comp1[[#This Row],[Comparable '#1 Return]]+1,"-")</f>
        <v>0.98998626133949796</v>
      </c>
      <c r="E1051" s="6">
        <f>B1051-MAX($B$2:B1051)</f>
        <v>-10.690000000000001</v>
      </c>
      <c r="F1051" s="80">
        <f t="shared" si="33"/>
        <v>654</v>
      </c>
      <c r="G1051" s="22" cm="1">
        <f t="array" ref="G1051">Comp1[[#This Row],[Comparable '#1 Drawdown]]/MAX($B$2:B1051)</f>
        <v>-0.49444958371877895</v>
      </c>
      <c r="H1051" s="1" t="str">
        <f>IF(SUM(COUNTIF(Benchmark1[Benchmark '#1 Dates],Comp1[[#This Row],[Comparable '#1 Dates]]),COUNTIF(Benchmark2[Benchmark '#2 Dates],Comp1[[#This Row],[Comparable '#1 Dates]]))=2,"Pass","Fail")</f>
        <v>Pass</v>
      </c>
      <c r="I1051" s="1">
        <f>IFERROR(Comp1[[#This Row],[Comparable '#1 Return]]-INDEX(Benchmark1[Benchmark '#1 Return],MATCH(Comp1[[#This Row],[Comparable '#1 Dates]],Benchmark1[Benchmark '#1 Dates],0)),"-")</f>
        <v>7.8096466157330513E-4</v>
      </c>
      <c r="L1051" s="72">
        <f>Comp1[[#This Row],[Comparable '#1 Price]]/$B$2*100</f>
        <v>74.811772758384663</v>
      </c>
    </row>
    <row r="1052" spans="1:12">
      <c r="A1052" s="103">
        <v>44810</v>
      </c>
      <c r="B1052" s="104">
        <v>10.98</v>
      </c>
      <c r="C1052" s="4">
        <f t="shared" si="32"/>
        <v>4.5641338929373531E-3</v>
      </c>
      <c r="D1052" s="1">
        <f>IFERROR(Comp1[[#This Row],[Comparable '#1 Return]]+1,"-")</f>
        <v>1.0045641338929374</v>
      </c>
      <c r="E1052" s="6">
        <f>B1052-MAX($B$2:B1052)</f>
        <v>-10.64</v>
      </c>
      <c r="F1052" s="80">
        <f t="shared" si="33"/>
        <v>655</v>
      </c>
      <c r="G1052" s="22" cm="1">
        <f t="array" ref="G1052">Comp1[[#This Row],[Comparable '#1 Drawdown]]/MAX($B$2:B1052)</f>
        <v>-0.49213691026827011</v>
      </c>
      <c r="H1052" s="1" t="str">
        <f>IF(SUM(COUNTIF(Benchmark1[Benchmark '#1 Dates],Comp1[[#This Row],[Comparable '#1 Dates]]),COUNTIF(Benchmark2[Benchmark '#2 Dates],Comp1[[#This Row],[Comparable '#1 Dates]]))=2,"Pass","Fail")</f>
        <v>Pass</v>
      </c>
      <c r="I1052" s="1">
        <f>IFERROR(Comp1[[#This Row],[Comparable '#1 Return]]-INDEX(Benchmark1[Benchmark '#1 Return],MATCH(Comp1[[#This Row],[Comparable '#1 Dates]],Benchmark1[Benchmark '#1 Dates],0)),"-")</f>
        <v>8.6674772685633346E-3</v>
      </c>
      <c r="L1052" s="72">
        <f>Comp1[[#This Row],[Comparable '#1 Price]]/$B$2*100</f>
        <v>75.154004106776185</v>
      </c>
    </row>
    <row r="1053" spans="1:12">
      <c r="A1053" s="103">
        <v>44811</v>
      </c>
      <c r="B1053" s="104">
        <v>11.1</v>
      </c>
      <c r="C1053" s="4">
        <f t="shared" si="32"/>
        <v>1.0869672236903891E-2</v>
      </c>
      <c r="D1053" s="1">
        <f>IFERROR(Comp1[[#This Row],[Comparable '#1 Return]]+1,"-")</f>
        <v>1.0108696722369039</v>
      </c>
      <c r="E1053" s="6">
        <f>B1053-MAX($B$2:B1053)</f>
        <v>-10.520000000000001</v>
      </c>
      <c r="F1053" s="80">
        <f t="shared" si="33"/>
        <v>656</v>
      </c>
      <c r="G1053" s="22" cm="1">
        <f t="array" ref="G1053">Comp1[[#This Row],[Comparable '#1 Drawdown]]/MAX($B$2:B1053)</f>
        <v>-0.48658649398704906</v>
      </c>
      <c r="H1053" s="1" t="str">
        <f>IF(SUM(COUNTIF(Benchmark1[Benchmark '#1 Dates],Comp1[[#This Row],[Comparable '#1 Dates]]),COUNTIF(Benchmark2[Benchmark '#2 Dates],Comp1[[#This Row],[Comparable '#1 Dates]]))=2,"Pass","Fail")</f>
        <v>Pass</v>
      </c>
      <c r="I1053" s="1">
        <f>IFERROR(Comp1[[#This Row],[Comparable '#1 Return]]-INDEX(Benchmark1[Benchmark '#1 Return],MATCH(Comp1[[#This Row],[Comparable '#1 Dates]],Benchmark1[Benchmark '#1 Dates],0)),"-")</f>
        <v>-7.3063654058754691E-3</v>
      </c>
      <c r="L1053" s="72">
        <f>Comp1[[#This Row],[Comparable '#1 Price]]/$B$2*100</f>
        <v>75.975359342915823</v>
      </c>
    </row>
    <row r="1054" spans="1:12">
      <c r="A1054" s="103">
        <v>44812</v>
      </c>
      <c r="B1054" s="104">
        <v>11.04</v>
      </c>
      <c r="C1054" s="4">
        <f t="shared" si="32"/>
        <v>-5.4200674693392556E-3</v>
      </c>
      <c r="D1054" s="1">
        <f>IFERROR(Comp1[[#This Row],[Comparable '#1 Return]]+1,"-")</f>
        <v>0.99457993253066079</v>
      </c>
      <c r="E1054" s="6">
        <f>B1054-MAX($B$2:B1054)</f>
        <v>-10.580000000000002</v>
      </c>
      <c r="F1054" s="80">
        <f t="shared" si="33"/>
        <v>657</v>
      </c>
      <c r="G1054" s="22" cm="1">
        <f t="array" ref="G1054">Comp1[[#This Row],[Comparable '#1 Drawdown]]/MAX($B$2:B1054)</f>
        <v>-0.48936170212765961</v>
      </c>
      <c r="H1054" s="1" t="str">
        <f>IF(SUM(COUNTIF(Benchmark1[Benchmark '#1 Dates],Comp1[[#This Row],[Comparable '#1 Dates]]),COUNTIF(Benchmark2[Benchmark '#2 Dates],Comp1[[#This Row],[Comparable '#1 Dates]]))=2,"Pass","Fail")</f>
        <v>Pass</v>
      </c>
      <c r="I1054" s="1">
        <f>IFERROR(Comp1[[#This Row],[Comparable '#1 Return]]-INDEX(Benchmark1[Benchmark '#1 Return],MATCH(Comp1[[#This Row],[Comparable '#1 Dates]],Benchmark1[Benchmark '#1 Dates],0)),"-")</f>
        <v>-1.2007630181594352E-2</v>
      </c>
      <c r="L1054" s="72">
        <f>Comp1[[#This Row],[Comparable '#1 Price]]/$B$2*100</f>
        <v>75.564681724845997</v>
      </c>
    </row>
    <row r="1055" spans="1:12">
      <c r="A1055" s="103">
        <v>44813</v>
      </c>
      <c r="B1055" s="104">
        <v>11.15</v>
      </c>
      <c r="C1055" s="4">
        <f t="shared" si="32"/>
        <v>9.9144570571786123E-3</v>
      </c>
      <c r="D1055" s="1">
        <f>IFERROR(Comp1[[#This Row],[Comparable '#1 Return]]+1,"-")</f>
        <v>1.0099144570571785</v>
      </c>
      <c r="E1055" s="6">
        <f>B1055-MAX($B$2:B1055)</f>
        <v>-10.47</v>
      </c>
      <c r="F1055" s="80">
        <f t="shared" si="33"/>
        <v>658</v>
      </c>
      <c r="G1055" s="22" cm="1">
        <f t="array" ref="G1055">Comp1[[#This Row],[Comparable '#1 Drawdown]]/MAX($B$2:B1055)</f>
        <v>-0.48427382053654022</v>
      </c>
      <c r="H1055" s="1" t="str">
        <f>IF(SUM(COUNTIF(Benchmark1[Benchmark '#1 Dates],Comp1[[#This Row],[Comparable '#1 Dates]]),COUNTIF(Benchmark2[Benchmark '#2 Dates],Comp1[[#This Row],[Comparable '#1 Dates]]))=2,"Pass","Fail")</f>
        <v>Pass</v>
      </c>
      <c r="I1055" s="1">
        <f>IFERROR(Comp1[[#This Row],[Comparable '#1 Return]]-INDEX(Benchmark1[Benchmark '#1 Return],MATCH(Comp1[[#This Row],[Comparable '#1 Dates]],Benchmark1[Benchmark '#1 Dates],0)),"-")</f>
        <v>-5.2423063444205151E-3</v>
      </c>
      <c r="L1055" s="72">
        <f>Comp1[[#This Row],[Comparable '#1 Price]]/$B$2*100</f>
        <v>76.317590691307331</v>
      </c>
    </row>
    <row r="1056" spans="1:12">
      <c r="A1056" s="103">
        <v>44816</v>
      </c>
      <c r="B1056" s="104">
        <v>11.55</v>
      </c>
      <c r="C1056" s="4">
        <f t="shared" si="32"/>
        <v>3.5245939061674884E-2</v>
      </c>
      <c r="D1056" s="1">
        <f>IFERROR(Comp1[[#This Row],[Comparable '#1 Return]]+1,"-")</f>
        <v>1.0352459390616748</v>
      </c>
      <c r="E1056" s="6">
        <f>B1056-MAX($B$2:B1056)</f>
        <v>-10.07</v>
      </c>
      <c r="F1056" s="80">
        <f t="shared" si="33"/>
        <v>659</v>
      </c>
      <c r="G1056" s="22" cm="1">
        <f t="array" ref="G1056">Comp1[[#This Row],[Comparable '#1 Drawdown]]/MAX($B$2:B1056)</f>
        <v>-0.46577243293246995</v>
      </c>
      <c r="H1056" s="1" t="str">
        <f>IF(SUM(COUNTIF(Benchmark1[Benchmark '#1 Dates],Comp1[[#This Row],[Comparable '#1 Dates]]),COUNTIF(Benchmark2[Benchmark '#2 Dates],Comp1[[#This Row],[Comparable '#1 Dates]]))=2,"Pass","Fail")</f>
        <v>Pass</v>
      </c>
      <c r="I1056" s="1">
        <f>IFERROR(Comp1[[#This Row],[Comparable '#1 Return]]-INDEX(Benchmark1[Benchmark '#1 Return],MATCH(Comp1[[#This Row],[Comparable '#1 Dates]],Benchmark1[Benchmark '#1 Dates],0)),"-")</f>
        <v>2.471834272183554E-2</v>
      </c>
      <c r="L1056" s="72">
        <f>Comp1[[#This Row],[Comparable '#1 Price]]/$B$2*100</f>
        <v>79.055441478439434</v>
      </c>
    </row>
    <row r="1057" spans="1:12">
      <c r="A1057" s="103">
        <v>44817</v>
      </c>
      <c r="B1057" s="104">
        <v>11.4</v>
      </c>
      <c r="C1057" s="4">
        <f t="shared" si="32"/>
        <v>-1.3072081567352775E-2</v>
      </c>
      <c r="D1057" s="1">
        <f>IFERROR(Comp1[[#This Row],[Comparable '#1 Return]]+1,"-")</f>
        <v>0.98692791843264727</v>
      </c>
      <c r="E1057" s="6">
        <f>B1057-MAX($B$2:B1057)</f>
        <v>-10.220000000000001</v>
      </c>
      <c r="F1057" s="80">
        <f t="shared" si="33"/>
        <v>660</v>
      </c>
      <c r="G1057" s="22" cm="1">
        <f t="array" ref="G1057">Comp1[[#This Row],[Comparable '#1 Drawdown]]/MAX($B$2:B1057)</f>
        <v>-0.4727104532839963</v>
      </c>
      <c r="H1057" s="1" t="str">
        <f>IF(SUM(COUNTIF(Benchmark1[Benchmark '#1 Dates],Comp1[[#This Row],[Comparable '#1 Dates]]),COUNTIF(Benchmark2[Benchmark '#2 Dates],Comp1[[#This Row],[Comparable '#1 Dates]]))=2,"Pass","Fail")</f>
        <v>Pass</v>
      </c>
      <c r="I1057" s="1">
        <f>IFERROR(Comp1[[#This Row],[Comparable '#1 Return]]-INDEX(Benchmark1[Benchmark '#1 Return],MATCH(Comp1[[#This Row],[Comparable '#1 Dates]],Benchmark1[Benchmark '#1 Dates],0)),"-")</f>
        <v>3.1125717430518014E-2</v>
      </c>
      <c r="L1057" s="72">
        <f>Comp1[[#This Row],[Comparable '#1 Price]]/$B$2*100</f>
        <v>78.028747433264883</v>
      </c>
    </row>
    <row r="1058" spans="1:12">
      <c r="A1058" s="103">
        <v>44818</v>
      </c>
      <c r="B1058" s="104">
        <v>11.28</v>
      </c>
      <c r="C1058" s="4">
        <f t="shared" si="32"/>
        <v>-1.0582109330536972E-2</v>
      </c>
      <c r="D1058" s="1">
        <f>IFERROR(Comp1[[#This Row],[Comparable '#1 Return]]+1,"-")</f>
        <v>0.98941789066946306</v>
      </c>
      <c r="E1058" s="6">
        <f>B1058-MAX($B$2:B1058)</f>
        <v>-10.340000000000002</v>
      </c>
      <c r="F1058" s="80">
        <f t="shared" si="33"/>
        <v>661</v>
      </c>
      <c r="G1058" s="22" cm="1">
        <f t="array" ref="G1058">Comp1[[#This Row],[Comparable '#1 Drawdown]]/MAX($B$2:B1058)</f>
        <v>-0.47826086956521746</v>
      </c>
      <c r="H1058" s="1" t="str">
        <f>IF(SUM(COUNTIF(Benchmark1[Benchmark '#1 Dates],Comp1[[#This Row],[Comparable '#1 Dates]]),COUNTIF(Benchmark2[Benchmark '#2 Dates],Comp1[[#This Row],[Comparable '#1 Dates]]))=2,"Pass","Fail")</f>
        <v>Pass</v>
      </c>
      <c r="I1058" s="1">
        <f>IFERROR(Comp1[[#This Row],[Comparable '#1 Return]]-INDEX(Benchmark1[Benchmark '#1 Return],MATCH(Comp1[[#This Row],[Comparable '#1 Dates]],Benchmark1[Benchmark '#1 Dates],0)),"-")</f>
        <v>-1.3963145455836832E-2</v>
      </c>
      <c r="L1058" s="72">
        <f>Comp1[[#This Row],[Comparable '#1 Price]]/$B$2*100</f>
        <v>77.207392197125259</v>
      </c>
    </row>
    <row r="1059" spans="1:12">
      <c r="A1059" s="103">
        <v>44819</v>
      </c>
      <c r="B1059" s="104">
        <v>11.57</v>
      </c>
      <c r="C1059" s="4">
        <f t="shared" si="32"/>
        <v>2.5384295135672443E-2</v>
      </c>
      <c r="D1059" s="1">
        <f>IFERROR(Comp1[[#This Row],[Comparable '#1 Return]]+1,"-")</f>
        <v>1.0253842951356724</v>
      </c>
      <c r="E1059" s="6">
        <f>B1059-MAX($B$2:B1059)</f>
        <v>-10.050000000000001</v>
      </c>
      <c r="F1059" s="80">
        <f t="shared" si="33"/>
        <v>662</v>
      </c>
      <c r="G1059" s="22" cm="1">
        <f t="array" ref="G1059">Comp1[[#This Row],[Comparable '#1 Drawdown]]/MAX($B$2:B1059)</f>
        <v>-0.46484736355226641</v>
      </c>
      <c r="H1059" s="1" t="str">
        <f>IF(SUM(COUNTIF(Benchmark1[Benchmark '#1 Dates],Comp1[[#This Row],[Comparable '#1 Dates]]),COUNTIF(Benchmark2[Benchmark '#2 Dates],Comp1[[#This Row],[Comparable '#1 Dates]]))=2,"Pass","Fail")</f>
        <v>Pass</v>
      </c>
      <c r="I1059" s="1">
        <f>IFERROR(Comp1[[#This Row],[Comparable '#1 Return]]-INDEX(Benchmark1[Benchmark '#1 Return],MATCH(Comp1[[#This Row],[Comparable '#1 Dates]],Benchmark1[Benchmark '#1 Dates],0)),"-")</f>
        <v>3.6766466736370615E-2</v>
      </c>
      <c r="L1059" s="72">
        <f>Comp1[[#This Row],[Comparable '#1 Price]]/$B$2*100</f>
        <v>79.192334017796043</v>
      </c>
    </row>
    <row r="1060" spans="1:12">
      <c r="A1060" s="103">
        <v>44820</v>
      </c>
      <c r="B1060" s="104">
        <v>11.51</v>
      </c>
      <c r="C1060" s="4">
        <f t="shared" si="32"/>
        <v>-5.199318471793995E-3</v>
      </c>
      <c r="D1060" s="1">
        <f>IFERROR(Comp1[[#This Row],[Comparable '#1 Return]]+1,"-")</f>
        <v>0.994800681528206</v>
      </c>
      <c r="E1060" s="6">
        <f>B1060-MAX($B$2:B1060)</f>
        <v>-10.110000000000001</v>
      </c>
      <c r="F1060" s="80">
        <f t="shared" si="33"/>
        <v>663</v>
      </c>
      <c r="G1060" s="22" cm="1">
        <f t="array" ref="G1060">Comp1[[#This Row],[Comparable '#1 Drawdown]]/MAX($B$2:B1060)</f>
        <v>-0.46762257169287702</v>
      </c>
      <c r="H1060" s="1" t="str">
        <f>IF(SUM(COUNTIF(Benchmark1[Benchmark '#1 Dates],Comp1[[#This Row],[Comparable '#1 Dates]]),COUNTIF(Benchmark2[Benchmark '#2 Dates],Comp1[[#This Row],[Comparable '#1 Dates]]))=2,"Pass","Fail")</f>
        <v>Pass</v>
      </c>
      <c r="I1060" s="1">
        <f>IFERROR(Comp1[[#This Row],[Comparable '#1 Return]]-INDEX(Benchmark1[Benchmark '#1 Return],MATCH(Comp1[[#This Row],[Comparable '#1 Dates]],Benchmark1[Benchmark '#1 Dates],0)),"-")</f>
        <v>2.0083499739510591E-3</v>
      </c>
      <c r="L1060" s="72">
        <f>Comp1[[#This Row],[Comparable '#1 Price]]/$B$2*100</f>
        <v>78.781656399726216</v>
      </c>
    </row>
    <row r="1061" spans="1:12">
      <c r="A1061" s="103">
        <v>44823</v>
      </c>
      <c r="B1061" s="104">
        <v>11.66</v>
      </c>
      <c r="C1061" s="4">
        <f t="shared" si="32"/>
        <v>1.2947958188555169E-2</v>
      </c>
      <c r="D1061" s="1">
        <f>IFERROR(Comp1[[#This Row],[Comparable '#1 Return]]+1,"-")</f>
        <v>1.0129479581885552</v>
      </c>
      <c r="E1061" s="6">
        <f>B1061-MAX($B$2:B1061)</f>
        <v>-9.9600000000000009</v>
      </c>
      <c r="F1061" s="80">
        <f t="shared" si="33"/>
        <v>664</v>
      </c>
      <c r="G1061" s="22" cm="1">
        <f t="array" ref="G1061">Comp1[[#This Row],[Comparable '#1 Drawdown]]/MAX($B$2:B1061)</f>
        <v>-0.46068455134135061</v>
      </c>
      <c r="H1061" s="1" t="str">
        <f>IF(SUM(COUNTIF(Benchmark1[Benchmark '#1 Dates],Comp1[[#This Row],[Comparable '#1 Dates]]),COUNTIF(Benchmark2[Benchmark '#2 Dates],Comp1[[#This Row],[Comparable '#1 Dates]]))=2,"Pass","Fail")</f>
        <v>Pass</v>
      </c>
      <c r="I1061" s="1">
        <f>IFERROR(Comp1[[#This Row],[Comparable '#1 Return]]-INDEX(Benchmark1[Benchmark '#1 Return],MATCH(Comp1[[#This Row],[Comparable '#1 Dates]],Benchmark1[Benchmark '#1 Dates],0)),"-")</f>
        <v>6.1163565023550906E-3</v>
      </c>
      <c r="L1061" s="72">
        <f>Comp1[[#This Row],[Comparable '#1 Price]]/$B$2*100</f>
        <v>79.808350444900753</v>
      </c>
    </row>
    <row r="1062" spans="1:12">
      <c r="A1062" s="103">
        <v>44824</v>
      </c>
      <c r="B1062" s="104">
        <v>11.93</v>
      </c>
      <c r="C1062" s="4">
        <f t="shared" si="32"/>
        <v>2.2892055187478333E-2</v>
      </c>
      <c r="D1062" s="1">
        <f>IFERROR(Comp1[[#This Row],[Comparable '#1 Return]]+1,"-")</f>
        <v>1.0228920551874783</v>
      </c>
      <c r="E1062" s="6">
        <f>B1062-MAX($B$2:B1062)</f>
        <v>-9.6900000000000013</v>
      </c>
      <c r="F1062" s="80">
        <f t="shared" si="33"/>
        <v>665</v>
      </c>
      <c r="G1062" s="22" cm="1">
        <f t="array" ref="G1062">Comp1[[#This Row],[Comparable '#1 Drawdown]]/MAX($B$2:B1062)</f>
        <v>-0.44819611470860321</v>
      </c>
      <c r="H1062" s="1" t="str">
        <f>IF(SUM(COUNTIF(Benchmark1[Benchmark '#1 Dates],Comp1[[#This Row],[Comparable '#1 Dates]]),COUNTIF(Benchmark2[Benchmark '#2 Dates],Comp1[[#This Row],[Comparable '#1 Dates]]))=2,"Pass","Fail")</f>
        <v>Pass</v>
      </c>
      <c r="I1062" s="1">
        <f>IFERROR(Comp1[[#This Row],[Comparable '#1 Return]]-INDEX(Benchmark1[Benchmark '#1 Return],MATCH(Comp1[[#This Row],[Comparable '#1 Dates]],Benchmark1[Benchmark '#1 Dates],0)),"-")</f>
        <v>3.4226018450885132E-2</v>
      </c>
      <c r="L1062" s="72">
        <f>Comp1[[#This Row],[Comparable '#1 Price]]/$B$2*100</f>
        <v>81.656399726214929</v>
      </c>
    </row>
    <row r="1063" spans="1:12">
      <c r="A1063" s="103">
        <v>44825</v>
      </c>
      <c r="B1063" s="104">
        <v>11.86</v>
      </c>
      <c r="C1063" s="4">
        <f t="shared" si="32"/>
        <v>-5.8848425402453471E-3</v>
      </c>
      <c r="D1063" s="1">
        <f>IFERROR(Comp1[[#This Row],[Comparable '#1 Return]]+1,"-")</f>
        <v>0.99411515745975465</v>
      </c>
      <c r="E1063" s="6">
        <f>B1063-MAX($B$2:B1063)</f>
        <v>-9.7600000000000016</v>
      </c>
      <c r="F1063" s="80">
        <f t="shared" si="33"/>
        <v>666</v>
      </c>
      <c r="G1063" s="22" cm="1">
        <f t="array" ref="G1063">Comp1[[#This Row],[Comparable '#1 Drawdown]]/MAX($B$2:B1063)</f>
        <v>-0.45143385753931548</v>
      </c>
      <c r="H1063" s="1" t="str">
        <f>IF(SUM(COUNTIF(Benchmark1[Benchmark '#1 Dates],Comp1[[#This Row],[Comparable '#1 Dates]]),COUNTIF(Benchmark2[Benchmark '#2 Dates],Comp1[[#This Row],[Comparable '#1 Dates]]))=2,"Pass","Fail")</f>
        <v>Pass</v>
      </c>
      <c r="I1063" s="1">
        <f>IFERROR(Comp1[[#This Row],[Comparable '#1 Return]]-INDEX(Benchmark1[Benchmark '#1 Return],MATCH(Comp1[[#This Row],[Comparable '#1 Dates]],Benchmark1[Benchmark '#1 Dates],0)),"-")</f>
        <v>1.1380228650131406E-2</v>
      </c>
      <c r="L1063" s="72">
        <f>Comp1[[#This Row],[Comparable '#1 Price]]/$B$2*100</f>
        <v>81.177275838466798</v>
      </c>
    </row>
    <row r="1064" spans="1:12">
      <c r="A1064" s="103">
        <v>44826</v>
      </c>
      <c r="B1064" s="104">
        <v>11.55</v>
      </c>
      <c r="C1064" s="4">
        <f t="shared" si="32"/>
        <v>-2.6485956601776717E-2</v>
      </c>
      <c r="D1064" s="1">
        <f>IFERROR(Comp1[[#This Row],[Comparable '#1 Return]]+1,"-")</f>
        <v>0.97351404339822323</v>
      </c>
      <c r="E1064" s="6">
        <f>B1064-MAX($B$2:B1064)</f>
        <v>-10.07</v>
      </c>
      <c r="F1064" s="80">
        <f t="shared" si="33"/>
        <v>667</v>
      </c>
      <c r="G1064" s="22" cm="1">
        <f t="array" ref="G1064">Comp1[[#This Row],[Comparable '#1 Drawdown]]/MAX($B$2:B1064)</f>
        <v>-0.46577243293246995</v>
      </c>
      <c r="H1064" s="1" t="str">
        <f>IF(SUM(COUNTIF(Benchmark1[Benchmark '#1 Dates],Comp1[[#This Row],[Comparable '#1 Dates]]),COUNTIF(Benchmark2[Benchmark '#2 Dates],Comp1[[#This Row],[Comparable '#1 Dates]]))=2,"Pass","Fail")</f>
        <v>Pass</v>
      </c>
      <c r="I1064" s="1">
        <f>IFERROR(Comp1[[#This Row],[Comparable '#1 Return]]-INDEX(Benchmark1[Benchmark '#1 Return],MATCH(Comp1[[#This Row],[Comparable '#1 Dates]],Benchmark1[Benchmark '#1 Dates],0)),"-")</f>
        <v>-1.802223756955848E-2</v>
      </c>
      <c r="L1064" s="72">
        <f>Comp1[[#This Row],[Comparable '#1 Price]]/$B$2*100</f>
        <v>79.055441478439434</v>
      </c>
    </row>
    <row r="1065" spans="1:12">
      <c r="A1065" s="103">
        <v>44827</v>
      </c>
      <c r="B1065" s="104">
        <v>11.28</v>
      </c>
      <c r="C1065" s="4">
        <f t="shared" si="32"/>
        <v>-2.365419089788983E-2</v>
      </c>
      <c r="D1065" s="1">
        <f>IFERROR(Comp1[[#This Row],[Comparable '#1 Return]]+1,"-")</f>
        <v>0.97634580910211022</v>
      </c>
      <c r="E1065" s="6">
        <f>B1065-MAX($B$2:B1065)</f>
        <v>-10.340000000000002</v>
      </c>
      <c r="F1065" s="80">
        <f t="shared" si="33"/>
        <v>668</v>
      </c>
      <c r="G1065" s="22" cm="1">
        <f t="array" ref="G1065">Comp1[[#This Row],[Comparable '#1 Drawdown]]/MAX($B$2:B1065)</f>
        <v>-0.47826086956521746</v>
      </c>
      <c r="H1065" s="1" t="str">
        <f>IF(SUM(COUNTIF(Benchmark1[Benchmark '#1 Dates],Comp1[[#This Row],[Comparable '#1 Dates]]),COUNTIF(Benchmark2[Benchmark '#2 Dates],Comp1[[#This Row],[Comparable '#1 Dates]]))=2,"Pass","Fail")</f>
        <v>Pass</v>
      </c>
      <c r="I1065" s="1">
        <f>IFERROR(Comp1[[#This Row],[Comparable '#1 Return]]-INDEX(Benchmark1[Benchmark '#1 Return],MATCH(Comp1[[#This Row],[Comparable '#1 Dates]],Benchmark1[Benchmark '#1 Dates],0)),"-")</f>
        <v>-6.2720069286487726E-3</v>
      </c>
      <c r="L1065" s="72">
        <f>Comp1[[#This Row],[Comparable '#1 Price]]/$B$2*100</f>
        <v>77.207392197125259</v>
      </c>
    </row>
    <row r="1066" spans="1:12">
      <c r="A1066" s="103">
        <v>44830</v>
      </c>
      <c r="B1066" s="104">
        <v>11</v>
      </c>
      <c r="C1066" s="4">
        <f t="shared" si="32"/>
        <v>-2.5135973271542274E-2</v>
      </c>
      <c r="D1066" s="1">
        <f>IFERROR(Comp1[[#This Row],[Comparable '#1 Return]]+1,"-")</f>
        <v>0.97486402672845773</v>
      </c>
      <c r="E1066" s="6">
        <f>B1066-MAX($B$2:B1066)</f>
        <v>-10.620000000000001</v>
      </c>
      <c r="F1066" s="80">
        <f t="shared" si="33"/>
        <v>669</v>
      </c>
      <c r="G1066" s="22" cm="1">
        <f t="array" ref="G1066">Comp1[[#This Row],[Comparable '#1 Drawdown]]/MAX($B$2:B1066)</f>
        <v>-0.49121184088806663</v>
      </c>
      <c r="H1066" s="1" t="str">
        <f>IF(SUM(COUNTIF(Benchmark1[Benchmark '#1 Dates],Comp1[[#This Row],[Comparable '#1 Dates]]),COUNTIF(Benchmark2[Benchmark '#2 Dates],Comp1[[#This Row],[Comparable '#1 Dates]]))=2,"Pass","Fail")</f>
        <v>Pass</v>
      </c>
      <c r="I1066" s="1">
        <f>IFERROR(Comp1[[#This Row],[Comparable '#1 Return]]-INDEX(Benchmark1[Benchmark '#1 Return],MATCH(Comp1[[#This Row],[Comparable '#1 Dates]],Benchmark1[Benchmark '#1 Dates],0)),"-")</f>
        <v>-1.4741246799245907E-2</v>
      </c>
      <c r="L1066" s="72">
        <f>Comp1[[#This Row],[Comparable '#1 Price]]/$B$2*100</f>
        <v>75.290896646132794</v>
      </c>
    </row>
    <row r="1067" spans="1:12">
      <c r="A1067" s="103">
        <v>44831</v>
      </c>
      <c r="B1067" s="104">
        <v>10.02</v>
      </c>
      <c r="C1067" s="4">
        <f t="shared" si="32"/>
        <v>-9.3312177141651825E-2</v>
      </c>
      <c r="D1067" s="1">
        <f>IFERROR(Comp1[[#This Row],[Comparable '#1 Return]]+1,"-")</f>
        <v>0.90668782285834815</v>
      </c>
      <c r="E1067" s="6">
        <f>B1067-MAX($B$2:B1067)</f>
        <v>-11.600000000000001</v>
      </c>
      <c r="F1067" s="80">
        <f t="shared" si="33"/>
        <v>670</v>
      </c>
      <c r="G1067" s="22" cm="1">
        <f t="array" ref="G1067">Comp1[[#This Row],[Comparable '#1 Drawdown]]/MAX($B$2:B1067)</f>
        <v>-0.53654024051803895</v>
      </c>
      <c r="H1067" s="1" t="str">
        <f>IF(SUM(COUNTIF(Benchmark1[Benchmark '#1 Dates],Comp1[[#This Row],[Comparable '#1 Dates]]),COUNTIF(Benchmark2[Benchmark '#2 Dates],Comp1[[#This Row],[Comparable '#1 Dates]]))=2,"Pass","Fail")</f>
        <v>Pass</v>
      </c>
      <c r="I1067" s="1">
        <f>IFERROR(Comp1[[#This Row],[Comparable '#1 Return]]-INDEX(Benchmark1[Benchmark '#1 Return],MATCH(Comp1[[#This Row],[Comparable '#1 Dates]],Benchmark1[Benchmark '#1 Dates],0)),"-")</f>
        <v>-9.1188940621389283E-2</v>
      </c>
      <c r="L1067" s="72">
        <f>Comp1[[#This Row],[Comparable '#1 Price]]/$B$2*100</f>
        <v>68.583162217659137</v>
      </c>
    </row>
    <row r="1068" spans="1:12">
      <c r="A1068" s="103">
        <v>44832</v>
      </c>
      <c r="B1068" s="104">
        <v>10.43</v>
      </c>
      <c r="C1068" s="4">
        <f t="shared" si="32"/>
        <v>4.0103173355962418E-2</v>
      </c>
      <c r="D1068" s="1">
        <f>IFERROR(Comp1[[#This Row],[Comparable '#1 Return]]+1,"-")</f>
        <v>1.0401031733559625</v>
      </c>
      <c r="E1068" s="6">
        <f>B1068-MAX($B$2:B1068)</f>
        <v>-11.190000000000001</v>
      </c>
      <c r="F1068" s="80">
        <f t="shared" si="33"/>
        <v>671</v>
      </c>
      <c r="G1068" s="22" cm="1">
        <f t="array" ref="G1068">Comp1[[#This Row],[Comparable '#1 Drawdown]]/MAX($B$2:B1068)</f>
        <v>-0.51757631822386685</v>
      </c>
      <c r="H1068" s="1" t="str">
        <f>IF(SUM(COUNTIF(Benchmark1[Benchmark '#1 Dates],Comp1[[#This Row],[Comparable '#1 Dates]]),COUNTIF(Benchmark2[Benchmark '#2 Dates],Comp1[[#This Row],[Comparable '#1 Dates]]))=2,"Pass","Fail")</f>
        <v>Pass</v>
      </c>
      <c r="I1068" s="1">
        <f>IFERROR(Comp1[[#This Row],[Comparable '#1 Return]]-INDEX(Benchmark1[Benchmark '#1 Return],MATCH(Comp1[[#This Row],[Comparable '#1 Dates]],Benchmark1[Benchmark '#1 Dates],0)),"-")</f>
        <v>2.06223509788322E-2</v>
      </c>
      <c r="L1068" s="72">
        <f>Comp1[[#This Row],[Comparable '#1 Price]]/$B$2*100</f>
        <v>71.389459274469544</v>
      </c>
    </row>
    <row r="1069" spans="1:12">
      <c r="A1069" s="103">
        <v>44833</v>
      </c>
      <c r="B1069" s="104">
        <v>10.62</v>
      </c>
      <c r="C1069" s="4">
        <f t="shared" si="32"/>
        <v>1.8052746801111748E-2</v>
      </c>
      <c r="D1069" s="1">
        <f>IFERROR(Comp1[[#This Row],[Comparable '#1 Return]]+1,"-")</f>
        <v>1.0180527468011118</v>
      </c>
      <c r="E1069" s="6">
        <f>B1069-MAX($B$2:B1069)</f>
        <v>-11.000000000000002</v>
      </c>
      <c r="F1069" s="80">
        <f t="shared" si="33"/>
        <v>672</v>
      </c>
      <c r="G1069" s="22" cm="1">
        <f t="array" ref="G1069">Comp1[[#This Row],[Comparable '#1 Drawdown]]/MAX($B$2:B1069)</f>
        <v>-0.50878815911193342</v>
      </c>
      <c r="H1069" s="1" t="str">
        <f>IF(SUM(COUNTIF(Benchmark1[Benchmark '#1 Dates],Comp1[[#This Row],[Comparable '#1 Dates]]),COUNTIF(Benchmark2[Benchmark '#2 Dates],Comp1[[#This Row],[Comparable '#1 Dates]]))=2,"Pass","Fail")</f>
        <v>Pass</v>
      </c>
      <c r="I1069" s="1">
        <f>IFERROR(Comp1[[#This Row],[Comparable '#1 Return]]-INDEX(Benchmark1[Benchmark '#1 Return],MATCH(Comp1[[#This Row],[Comparable '#1 Dates]],Benchmark1[Benchmark '#1 Dates],0)),"-")</f>
        <v>3.9405692525858599E-2</v>
      </c>
      <c r="L1069" s="72">
        <f>Comp1[[#This Row],[Comparable '#1 Price]]/$B$2*100</f>
        <v>72.689938398357285</v>
      </c>
    </row>
    <row r="1070" spans="1:12">
      <c r="A1070" s="103">
        <v>44834</v>
      </c>
      <c r="B1070" s="104">
        <v>10.55</v>
      </c>
      <c r="C1070" s="4">
        <f t="shared" si="32"/>
        <v>-6.6131558917171184E-3</v>
      </c>
      <c r="D1070" s="1">
        <f>IFERROR(Comp1[[#This Row],[Comparable '#1 Return]]+1,"-")</f>
        <v>0.99338684410828293</v>
      </c>
      <c r="E1070" s="6">
        <f>B1070-MAX($B$2:B1070)</f>
        <v>-11.07</v>
      </c>
      <c r="F1070" s="80">
        <f t="shared" si="33"/>
        <v>673</v>
      </c>
      <c r="G1070" s="22" cm="1">
        <f t="array" ref="G1070">Comp1[[#This Row],[Comparable '#1 Drawdown]]/MAX($B$2:B1070)</f>
        <v>-0.51202590194264563</v>
      </c>
      <c r="H1070" s="1" t="str">
        <f>IF(SUM(COUNTIF(Benchmark1[Benchmark '#1 Dates],Comp1[[#This Row],[Comparable '#1 Dates]]),COUNTIF(Benchmark2[Benchmark '#2 Dates],Comp1[[#This Row],[Comparable '#1 Dates]]))=2,"Pass","Fail")</f>
        <v>Pass</v>
      </c>
      <c r="I1070" s="1">
        <f>IFERROR(Comp1[[#This Row],[Comparable '#1 Return]]-INDEX(Benchmark1[Benchmark '#1 Return],MATCH(Comp1[[#This Row],[Comparable '#1 Dates]],Benchmark1[Benchmark '#1 Dates],0)),"-")</f>
        <v>8.5665809250999765E-3</v>
      </c>
      <c r="L1070" s="72">
        <f>Comp1[[#This Row],[Comparable '#1 Price]]/$B$2*100</f>
        <v>72.210814510609183</v>
      </c>
    </row>
    <row r="1071" spans="1:12">
      <c r="A1071" s="103">
        <v>44837</v>
      </c>
      <c r="B1071" s="104">
        <v>10.55</v>
      </c>
      <c r="C1071" s="4">
        <f t="shared" si="32"/>
        <v>0</v>
      </c>
      <c r="D1071" s="1">
        <f>IFERROR(Comp1[[#This Row],[Comparable '#1 Return]]+1,"-")</f>
        <v>1</v>
      </c>
      <c r="E1071" s="6">
        <f>B1071-MAX($B$2:B1071)</f>
        <v>-11.07</v>
      </c>
      <c r="F1071" s="80">
        <f t="shared" si="33"/>
        <v>674</v>
      </c>
      <c r="G1071" s="22" cm="1">
        <f t="array" ref="G1071">Comp1[[#This Row],[Comparable '#1 Drawdown]]/MAX($B$2:B1071)</f>
        <v>-0.51202590194264563</v>
      </c>
      <c r="H1071" s="1" t="str">
        <f>IF(SUM(COUNTIF(Benchmark1[Benchmark '#1 Dates],Comp1[[#This Row],[Comparable '#1 Dates]]),COUNTIF(Benchmark2[Benchmark '#2 Dates],Comp1[[#This Row],[Comparable '#1 Dates]]))=2,"Pass","Fail")</f>
        <v>Pass</v>
      </c>
      <c r="I1071" s="1">
        <f>IFERROR(Comp1[[#This Row],[Comparable '#1 Return]]-INDEX(Benchmark1[Benchmark '#1 Return],MATCH(Comp1[[#This Row],[Comparable '#1 Dates]],Benchmark1[Benchmark '#1 Dates],0)),"-")</f>
        <v>-2.5553161775542111E-2</v>
      </c>
      <c r="L1071" s="72">
        <f>Comp1[[#This Row],[Comparable '#1 Price]]/$B$2*100</f>
        <v>72.210814510609183</v>
      </c>
    </row>
    <row r="1072" spans="1:12">
      <c r="A1072" s="103">
        <v>44838</v>
      </c>
      <c r="B1072" s="104">
        <v>11.01</v>
      </c>
      <c r="C1072" s="4">
        <f t="shared" si="32"/>
        <v>4.26780908125131E-2</v>
      </c>
      <c r="D1072" s="1">
        <f>IFERROR(Comp1[[#This Row],[Comparable '#1 Return]]+1,"-")</f>
        <v>1.0426780908125131</v>
      </c>
      <c r="E1072" s="6">
        <f>B1072-MAX($B$2:B1072)</f>
        <v>-10.610000000000001</v>
      </c>
      <c r="F1072" s="80">
        <f t="shared" si="33"/>
        <v>675</v>
      </c>
      <c r="G1072" s="22" cm="1">
        <f t="array" ref="G1072">Comp1[[#This Row],[Comparable '#1 Drawdown]]/MAX($B$2:B1072)</f>
        <v>-0.49074930619796486</v>
      </c>
      <c r="H1072" s="1" t="str">
        <f>IF(SUM(COUNTIF(Benchmark1[Benchmark '#1 Dates],Comp1[[#This Row],[Comparable '#1 Dates]]),COUNTIF(Benchmark2[Benchmark '#2 Dates],Comp1[[#This Row],[Comparable '#1 Dates]]))=2,"Pass","Fail")</f>
        <v>Pass</v>
      </c>
      <c r="I1072" s="1">
        <f>IFERROR(Comp1[[#This Row],[Comparable '#1 Return]]-INDEX(Benchmark1[Benchmark '#1 Return],MATCH(Comp1[[#This Row],[Comparable '#1 Dates]],Benchmark1[Benchmark '#1 Dates],0)),"-")</f>
        <v>1.2552728939032594E-2</v>
      </c>
      <c r="L1072" s="72">
        <f>Comp1[[#This Row],[Comparable '#1 Price]]/$B$2*100</f>
        <v>75.359342915811084</v>
      </c>
    </row>
    <row r="1073" spans="1:12">
      <c r="A1073" s="103">
        <v>44839</v>
      </c>
      <c r="B1073" s="104">
        <v>11.05</v>
      </c>
      <c r="C1073" s="4">
        <f t="shared" si="32"/>
        <v>3.6264772291732814E-3</v>
      </c>
      <c r="D1073" s="1">
        <f>IFERROR(Comp1[[#This Row],[Comparable '#1 Return]]+1,"-")</f>
        <v>1.0036264772291732</v>
      </c>
      <c r="E1073" s="6">
        <f>B1073-MAX($B$2:B1073)</f>
        <v>-10.57</v>
      </c>
      <c r="F1073" s="80">
        <f t="shared" si="33"/>
        <v>676</v>
      </c>
      <c r="G1073" s="22" cm="1">
        <f t="array" ref="G1073">Comp1[[#This Row],[Comparable '#1 Drawdown]]/MAX($B$2:B1073)</f>
        <v>-0.48889916743755779</v>
      </c>
      <c r="H1073" s="1" t="str">
        <f>IF(SUM(COUNTIF(Benchmark1[Benchmark '#1 Dates],Comp1[[#This Row],[Comparable '#1 Dates]]),COUNTIF(Benchmark2[Benchmark '#2 Dates],Comp1[[#This Row],[Comparable '#1 Dates]]))=2,"Pass","Fail")</f>
        <v>Pass</v>
      </c>
      <c r="I1073" s="1">
        <f>IFERROR(Comp1[[#This Row],[Comparable '#1 Return]]-INDEX(Benchmark1[Benchmark '#1 Return],MATCH(Comp1[[#This Row],[Comparable '#1 Dates]],Benchmark1[Benchmark '#1 Dates],0)),"-")</f>
        <v>5.6458238829287981E-3</v>
      </c>
      <c r="L1073" s="72">
        <f>Comp1[[#This Row],[Comparable '#1 Price]]/$B$2*100</f>
        <v>75.633127994524301</v>
      </c>
    </row>
    <row r="1074" spans="1:12">
      <c r="A1074" s="103">
        <v>44840</v>
      </c>
      <c r="B1074" s="104">
        <v>11.35</v>
      </c>
      <c r="C1074" s="4">
        <f t="shared" si="32"/>
        <v>2.6787315963649763E-2</v>
      </c>
      <c r="D1074" s="1">
        <f>IFERROR(Comp1[[#This Row],[Comparable '#1 Return]]+1,"-")</f>
        <v>1.0267873159636498</v>
      </c>
      <c r="E1074" s="6">
        <f>B1074-MAX($B$2:B1074)</f>
        <v>-10.270000000000001</v>
      </c>
      <c r="F1074" s="80">
        <f t="shared" si="33"/>
        <v>677</v>
      </c>
      <c r="G1074" s="22" cm="1">
        <f t="array" ref="G1074">Comp1[[#This Row],[Comparable '#1 Drawdown]]/MAX($B$2:B1074)</f>
        <v>-0.47502312673450514</v>
      </c>
      <c r="H1074" s="1" t="str">
        <f>IF(SUM(COUNTIF(Benchmark1[Benchmark '#1 Dates],Comp1[[#This Row],[Comparable '#1 Dates]]),COUNTIF(Benchmark2[Benchmark '#2 Dates],Comp1[[#This Row],[Comparable '#1 Dates]]))=2,"Pass","Fail")</f>
        <v>Pass</v>
      </c>
      <c r="I1074" s="1">
        <f>IFERROR(Comp1[[#This Row],[Comparable '#1 Return]]-INDEX(Benchmark1[Benchmark '#1 Return],MATCH(Comp1[[#This Row],[Comparable '#1 Dates]],Benchmark1[Benchmark '#1 Dates],0)),"-")</f>
        <v>3.7085646254317282E-2</v>
      </c>
      <c r="L1074" s="72">
        <f>Comp1[[#This Row],[Comparable '#1 Price]]/$B$2*100</f>
        <v>77.686516084873375</v>
      </c>
    </row>
    <row r="1075" spans="1:12">
      <c r="A1075" s="103">
        <v>44841</v>
      </c>
      <c r="B1075" s="104">
        <v>10.6</v>
      </c>
      <c r="C1075" s="4">
        <f t="shared" si="32"/>
        <v>-6.8363742809390171E-2</v>
      </c>
      <c r="D1075" s="1">
        <f>IFERROR(Comp1[[#This Row],[Comparable '#1 Return]]+1,"-")</f>
        <v>0.93163625719060983</v>
      </c>
      <c r="E1075" s="6">
        <f>B1075-MAX($B$2:B1075)</f>
        <v>-11.020000000000001</v>
      </c>
      <c r="F1075" s="80">
        <f t="shared" si="33"/>
        <v>678</v>
      </c>
      <c r="G1075" s="22" cm="1">
        <f t="array" ref="G1075">Comp1[[#This Row],[Comparable '#1 Drawdown]]/MAX($B$2:B1075)</f>
        <v>-0.50971322849213696</v>
      </c>
      <c r="H1075" s="1" t="str">
        <f>IF(SUM(COUNTIF(Benchmark1[Benchmark '#1 Dates],Comp1[[#This Row],[Comparable '#1 Dates]]),COUNTIF(Benchmark2[Benchmark '#2 Dates],Comp1[[#This Row],[Comparable '#1 Dates]]))=2,"Pass","Fail")</f>
        <v>Pass</v>
      </c>
      <c r="I1075" s="1">
        <f>IFERROR(Comp1[[#This Row],[Comparable '#1 Return]]-INDEX(Benchmark1[Benchmark '#1 Return],MATCH(Comp1[[#This Row],[Comparable '#1 Dates]],Benchmark1[Benchmark '#1 Dates],0)),"-")</f>
        <v>-3.9960627514055241E-2</v>
      </c>
      <c r="L1075" s="72">
        <f>Comp1[[#This Row],[Comparable '#1 Price]]/$B$2*100</f>
        <v>72.55304585900069</v>
      </c>
    </row>
    <row r="1076" spans="1:12">
      <c r="A1076" s="103">
        <v>44844</v>
      </c>
      <c r="B1076" s="104">
        <v>10.7</v>
      </c>
      <c r="C1076" s="4">
        <f t="shared" si="32"/>
        <v>9.3897403498389171E-3</v>
      </c>
      <c r="D1076" s="1">
        <f>IFERROR(Comp1[[#This Row],[Comparable '#1 Return]]+1,"-")</f>
        <v>1.0093897403498389</v>
      </c>
      <c r="E1076" s="6">
        <f>B1076-MAX($B$2:B1076)</f>
        <v>-10.920000000000002</v>
      </c>
      <c r="F1076" s="80">
        <f t="shared" si="33"/>
        <v>679</v>
      </c>
      <c r="G1076" s="22" cm="1">
        <f t="array" ref="G1076">Comp1[[#This Row],[Comparable '#1 Drawdown]]/MAX($B$2:B1076)</f>
        <v>-0.50508788159111939</v>
      </c>
      <c r="H1076" s="1" t="str">
        <f>IF(SUM(COUNTIF(Benchmark1[Benchmark '#1 Dates],Comp1[[#This Row],[Comparable '#1 Dates]]),COUNTIF(Benchmark2[Benchmark '#2 Dates],Comp1[[#This Row],[Comparable '#1 Dates]]))=2,"Pass","Fail")</f>
        <v>Pass</v>
      </c>
      <c r="I1076" s="1">
        <f>IFERROR(Comp1[[#This Row],[Comparable '#1 Return]]-INDEX(Benchmark1[Benchmark '#1 Return],MATCH(Comp1[[#This Row],[Comparable '#1 Dates]],Benchmark1[Benchmark '#1 Dates],0)),"-")</f>
        <v>1.6911110269414831E-2</v>
      </c>
      <c r="L1076" s="72">
        <f>Comp1[[#This Row],[Comparable '#1 Price]]/$B$2*100</f>
        <v>73.237508555783705</v>
      </c>
    </row>
    <row r="1077" spans="1:12">
      <c r="A1077" s="103">
        <v>44845</v>
      </c>
      <c r="B1077" s="104">
        <v>10.58</v>
      </c>
      <c r="C1077" s="4">
        <f t="shared" si="32"/>
        <v>-1.1278315037707078E-2</v>
      </c>
      <c r="D1077" s="1">
        <f>IFERROR(Comp1[[#This Row],[Comparable '#1 Return]]+1,"-")</f>
        <v>0.98872168496229296</v>
      </c>
      <c r="E1077" s="6">
        <f>B1077-MAX($B$2:B1077)</f>
        <v>-11.040000000000001</v>
      </c>
      <c r="F1077" s="80">
        <f t="shared" si="33"/>
        <v>680</v>
      </c>
      <c r="G1077" s="22" cm="1">
        <f t="array" ref="G1077">Comp1[[#This Row],[Comparable '#1 Drawdown]]/MAX($B$2:B1077)</f>
        <v>-0.5106382978723405</v>
      </c>
      <c r="H1077" s="1" t="str">
        <f>IF(SUM(COUNTIF(Benchmark1[Benchmark '#1 Dates],Comp1[[#This Row],[Comparable '#1 Dates]]),COUNTIF(Benchmark2[Benchmark '#2 Dates],Comp1[[#This Row],[Comparable '#1 Dates]]))=2,"Pass","Fail")</f>
        <v>Pass</v>
      </c>
      <c r="I1077" s="1">
        <f>IFERROR(Comp1[[#This Row],[Comparable '#1 Return]]-INDEX(Benchmark1[Benchmark '#1 Return],MATCH(Comp1[[#This Row],[Comparable '#1 Dates]],Benchmark1[Benchmark '#1 Dates],0)),"-")</f>
        <v>-4.7389692759101862E-3</v>
      </c>
      <c r="L1077" s="72">
        <f>Comp1[[#This Row],[Comparable '#1 Price]]/$B$2*100</f>
        <v>72.416153319644081</v>
      </c>
    </row>
    <row r="1078" spans="1:12">
      <c r="A1078" s="103">
        <v>44846</v>
      </c>
      <c r="B1078" s="104">
        <v>10.82</v>
      </c>
      <c r="C1078" s="4">
        <f t="shared" si="32"/>
        <v>2.2430846988182134E-2</v>
      </c>
      <c r="D1078" s="1">
        <f>IFERROR(Comp1[[#This Row],[Comparable '#1 Return]]+1,"-")</f>
        <v>1.0224308469881822</v>
      </c>
      <c r="E1078" s="6">
        <f>B1078-MAX($B$2:B1078)</f>
        <v>-10.8</v>
      </c>
      <c r="F1078" s="80">
        <f t="shared" si="33"/>
        <v>681</v>
      </c>
      <c r="G1078" s="22" cm="1">
        <f t="array" ref="G1078">Comp1[[#This Row],[Comparable '#1 Drawdown]]/MAX($B$2:B1078)</f>
        <v>-0.49953746530989823</v>
      </c>
      <c r="H1078" s="1" t="str">
        <f>IF(SUM(COUNTIF(Benchmark1[Benchmark '#1 Dates],Comp1[[#This Row],[Comparable '#1 Dates]]),COUNTIF(Benchmark2[Benchmark '#2 Dates],Comp1[[#This Row],[Comparable '#1 Dates]]))=2,"Pass","Fail")</f>
        <v>Pass</v>
      </c>
      <c r="I1078" s="1">
        <f>IFERROR(Comp1[[#This Row],[Comparable '#1 Return]]-INDEX(Benchmark1[Benchmark '#1 Return],MATCH(Comp1[[#This Row],[Comparable '#1 Dates]],Benchmark1[Benchmark '#1 Dates],0)),"-")</f>
        <v>2.5727099388199955E-2</v>
      </c>
      <c r="L1078" s="72">
        <f>Comp1[[#This Row],[Comparable '#1 Price]]/$B$2*100</f>
        <v>74.058863791923343</v>
      </c>
    </row>
    <row r="1079" spans="1:12">
      <c r="A1079" s="103">
        <v>44847</v>
      </c>
      <c r="B1079" s="104">
        <v>10.86</v>
      </c>
      <c r="C1079" s="4">
        <f t="shared" si="32"/>
        <v>3.690041087453742E-3</v>
      </c>
      <c r="D1079" s="1">
        <f>IFERROR(Comp1[[#This Row],[Comparable '#1 Return]]+1,"-")</f>
        <v>1.0036900410874536</v>
      </c>
      <c r="E1079" s="6">
        <f>B1079-MAX($B$2:B1079)</f>
        <v>-10.760000000000002</v>
      </c>
      <c r="F1079" s="80">
        <f t="shared" si="33"/>
        <v>682</v>
      </c>
      <c r="G1079" s="22" cm="1">
        <f t="array" ref="G1079">Comp1[[#This Row],[Comparable '#1 Drawdown]]/MAX($B$2:B1079)</f>
        <v>-0.49768732654949127</v>
      </c>
      <c r="H1079" s="1" t="str">
        <f>IF(SUM(COUNTIF(Benchmark1[Benchmark '#1 Dates],Comp1[[#This Row],[Comparable '#1 Dates]]),COUNTIF(Benchmark2[Benchmark '#2 Dates],Comp1[[#This Row],[Comparable '#1 Dates]]))=2,"Pass","Fail")</f>
        <v>Pass</v>
      </c>
      <c r="I1079" s="1">
        <f>IFERROR(Comp1[[#This Row],[Comparable '#1 Return]]-INDEX(Benchmark1[Benchmark '#1 Return],MATCH(Comp1[[#This Row],[Comparable '#1 Dates]],Benchmark1[Benchmark '#1 Dates],0)),"-")</f>
        <v>-2.1942606643492069E-2</v>
      </c>
      <c r="L1079" s="72">
        <f>Comp1[[#This Row],[Comparable '#1 Price]]/$B$2*100</f>
        <v>74.332648870636547</v>
      </c>
    </row>
    <row r="1080" spans="1:12">
      <c r="A1080" s="103">
        <v>44848</v>
      </c>
      <c r="B1080" s="104">
        <v>10.4</v>
      </c>
      <c r="C1080" s="4">
        <f t="shared" si="32"/>
        <v>-4.3280508358462283E-2</v>
      </c>
      <c r="D1080" s="1">
        <f>IFERROR(Comp1[[#This Row],[Comparable '#1 Return]]+1,"-")</f>
        <v>0.95671949164153769</v>
      </c>
      <c r="E1080" s="6">
        <f>B1080-MAX($B$2:B1080)</f>
        <v>-11.22</v>
      </c>
      <c r="F1080" s="80">
        <f t="shared" si="33"/>
        <v>683</v>
      </c>
      <c r="G1080" s="22" cm="1">
        <f t="array" ref="G1080">Comp1[[#This Row],[Comparable '#1 Drawdown]]/MAX($B$2:B1080)</f>
        <v>-0.5189639222941721</v>
      </c>
      <c r="H1080" s="1" t="str">
        <f>IF(SUM(COUNTIF(Benchmark1[Benchmark '#1 Dates],Comp1[[#This Row],[Comparable '#1 Dates]]),COUNTIF(Benchmark2[Benchmark '#2 Dates],Comp1[[#This Row],[Comparable '#1 Dates]]))=2,"Pass","Fail")</f>
        <v>Pass</v>
      </c>
      <c r="I1080" s="1">
        <f>IFERROR(Comp1[[#This Row],[Comparable '#1 Return]]-INDEX(Benchmark1[Benchmark '#1 Return],MATCH(Comp1[[#This Row],[Comparable '#1 Dates]],Benchmark1[Benchmark '#1 Dates],0)),"-")</f>
        <v>-1.9334278766538225E-2</v>
      </c>
      <c r="L1080" s="72">
        <f>Comp1[[#This Row],[Comparable '#1 Price]]/$B$2*100</f>
        <v>71.184120465434646</v>
      </c>
    </row>
    <row r="1081" spans="1:12">
      <c r="A1081" s="103">
        <v>44851</v>
      </c>
      <c r="B1081" s="104">
        <v>10.79</v>
      </c>
      <c r="C1081" s="4">
        <f t="shared" si="32"/>
        <v>3.6813973122716184E-2</v>
      </c>
      <c r="D1081" s="1">
        <f>IFERROR(Comp1[[#This Row],[Comparable '#1 Return]]+1,"-")</f>
        <v>1.0368139731227162</v>
      </c>
      <c r="E1081" s="6">
        <f>B1081-MAX($B$2:B1081)</f>
        <v>-10.830000000000002</v>
      </c>
      <c r="F1081" s="80">
        <f t="shared" si="33"/>
        <v>684</v>
      </c>
      <c r="G1081" s="22" cm="1">
        <f t="array" ref="G1081">Comp1[[#This Row],[Comparable '#1 Drawdown]]/MAX($B$2:B1081)</f>
        <v>-0.50092506938020354</v>
      </c>
      <c r="H1081" s="1" t="str">
        <f>IF(SUM(COUNTIF(Benchmark1[Benchmark '#1 Dates],Comp1[[#This Row],[Comparable '#1 Dates]]),COUNTIF(Benchmark2[Benchmark '#2 Dates],Comp1[[#This Row],[Comparable '#1 Dates]]))=2,"Pass","Fail")</f>
        <v>Pass</v>
      </c>
      <c r="I1081" s="1">
        <f>IFERROR(Comp1[[#This Row],[Comparable '#1 Return]]-INDEX(Benchmark1[Benchmark '#1 Return],MATCH(Comp1[[#This Row],[Comparable '#1 Dates]],Benchmark1[Benchmark '#1 Dates],0)),"-")</f>
        <v>1.0677136886505817E-2</v>
      </c>
      <c r="L1081" s="72">
        <f>Comp1[[#This Row],[Comparable '#1 Price]]/$B$2*100</f>
        <v>73.85352498288843</v>
      </c>
    </row>
    <row r="1082" spans="1:12">
      <c r="A1082" s="103">
        <v>44852</v>
      </c>
      <c r="B1082" s="104">
        <v>10.97</v>
      </c>
      <c r="C1082" s="4">
        <f t="shared" si="32"/>
        <v>1.6544495017095671E-2</v>
      </c>
      <c r="D1082" s="1">
        <f>IFERROR(Comp1[[#This Row],[Comparable '#1 Return]]+1,"-")</f>
        <v>1.0165444950170957</v>
      </c>
      <c r="E1082" s="6">
        <f>B1082-MAX($B$2:B1082)</f>
        <v>-10.65</v>
      </c>
      <c r="F1082" s="80">
        <f t="shared" si="33"/>
        <v>685</v>
      </c>
      <c r="G1082" s="22" cm="1">
        <f t="array" ref="G1082">Comp1[[#This Row],[Comparable '#1 Drawdown]]/MAX($B$2:B1082)</f>
        <v>-0.49259944495837188</v>
      </c>
      <c r="H1082" s="1" t="str">
        <f>IF(SUM(COUNTIF(Benchmark1[Benchmark '#1 Dates],Comp1[[#This Row],[Comparable '#1 Dates]]),COUNTIF(Benchmark2[Benchmark '#2 Dates],Comp1[[#This Row],[Comparable '#1 Dates]]))=2,"Pass","Fail")</f>
        <v>Pass</v>
      </c>
      <c r="I1082" s="1">
        <f>IFERROR(Comp1[[#This Row],[Comparable '#1 Return]]-INDEX(Benchmark1[Benchmark '#1 Return],MATCH(Comp1[[#This Row],[Comparable '#1 Dates]],Benchmark1[Benchmark '#1 Dates],0)),"-")</f>
        <v>5.1820370971277802E-3</v>
      </c>
      <c r="L1082" s="72">
        <f>Comp1[[#This Row],[Comparable '#1 Price]]/$B$2*100</f>
        <v>75.08555783709788</v>
      </c>
    </row>
    <row r="1083" spans="1:12">
      <c r="A1083" s="103">
        <v>44853</v>
      </c>
      <c r="B1083" s="104">
        <v>10.81</v>
      </c>
      <c r="C1083" s="4">
        <f t="shared" si="32"/>
        <v>-1.4692642636022034E-2</v>
      </c>
      <c r="D1083" s="1">
        <f>IFERROR(Comp1[[#This Row],[Comparable '#1 Return]]+1,"-")</f>
        <v>0.98530735736397801</v>
      </c>
      <c r="E1083" s="6">
        <f>B1083-MAX($B$2:B1083)</f>
        <v>-10.81</v>
      </c>
      <c r="F1083" s="80">
        <f t="shared" si="33"/>
        <v>686</v>
      </c>
      <c r="G1083" s="22" cm="1">
        <f t="array" ref="G1083">Comp1[[#This Row],[Comparable '#1 Drawdown]]/MAX($B$2:B1083)</f>
        <v>-0.5</v>
      </c>
      <c r="H1083" s="1" t="str">
        <f>IF(SUM(COUNTIF(Benchmark1[Benchmark '#1 Dates],Comp1[[#This Row],[Comparable '#1 Dates]]),COUNTIF(Benchmark2[Benchmark '#2 Dates],Comp1[[#This Row],[Comparable '#1 Dates]]))=2,"Pass","Fail")</f>
        <v>Pass</v>
      </c>
      <c r="I1083" s="1">
        <f>IFERROR(Comp1[[#This Row],[Comparable '#1 Return]]-INDEX(Benchmark1[Benchmark '#1 Return],MATCH(Comp1[[#This Row],[Comparable '#1 Dates]],Benchmark1[Benchmark '#1 Dates],0)),"-")</f>
        <v>-7.9961597100634274E-3</v>
      </c>
      <c r="L1083" s="72">
        <f>Comp1[[#This Row],[Comparable '#1 Price]]/$B$2*100</f>
        <v>73.990417522245039</v>
      </c>
    </row>
    <row r="1084" spans="1:12">
      <c r="A1084" s="103">
        <v>44854</v>
      </c>
      <c r="B1084" s="104">
        <v>10.73</v>
      </c>
      <c r="C1084" s="4">
        <f t="shared" si="32"/>
        <v>-7.4280750085098605E-3</v>
      </c>
      <c r="D1084" s="1">
        <f>IFERROR(Comp1[[#This Row],[Comparable '#1 Return]]+1,"-")</f>
        <v>0.99257192499149016</v>
      </c>
      <c r="E1084" s="6">
        <f>B1084-MAX($B$2:B1084)</f>
        <v>-10.89</v>
      </c>
      <c r="F1084" s="80">
        <f t="shared" si="33"/>
        <v>687</v>
      </c>
      <c r="G1084" s="22" cm="1">
        <f t="array" ref="G1084">Comp1[[#This Row],[Comparable '#1 Drawdown]]/MAX($B$2:B1084)</f>
        <v>-0.50370027752081403</v>
      </c>
      <c r="H1084" s="1" t="str">
        <f>IF(SUM(COUNTIF(Benchmark1[Benchmark '#1 Dates],Comp1[[#This Row],[Comparable '#1 Dates]]),COUNTIF(Benchmark2[Benchmark '#2 Dates],Comp1[[#This Row],[Comparable '#1 Dates]]))=2,"Pass","Fail")</f>
        <v>Pass</v>
      </c>
      <c r="I1084" s="1">
        <f>IFERROR(Comp1[[#This Row],[Comparable '#1 Return]]-INDEX(Benchmark1[Benchmark '#1 Return],MATCH(Comp1[[#This Row],[Comparable '#1 Dates]],Benchmark1[Benchmark '#1 Dates],0)),"-")</f>
        <v>5.5324555175985217E-4</v>
      </c>
      <c r="L1084" s="72">
        <f>Comp1[[#This Row],[Comparable '#1 Price]]/$B$2*100</f>
        <v>73.442847364818618</v>
      </c>
    </row>
    <row r="1085" spans="1:12">
      <c r="A1085" s="103">
        <v>44855</v>
      </c>
      <c r="B1085" s="104">
        <v>10.94</v>
      </c>
      <c r="C1085" s="4">
        <f t="shared" si="32"/>
        <v>1.9382240351227872E-2</v>
      </c>
      <c r="D1085" s="1">
        <f>IFERROR(Comp1[[#This Row],[Comparable '#1 Return]]+1,"-")</f>
        <v>1.0193822403512278</v>
      </c>
      <c r="E1085" s="6">
        <f>B1085-MAX($B$2:B1085)</f>
        <v>-10.680000000000001</v>
      </c>
      <c r="F1085" s="80">
        <f t="shared" si="33"/>
        <v>688</v>
      </c>
      <c r="G1085" s="22" cm="1">
        <f t="array" ref="G1085">Comp1[[#This Row],[Comparable '#1 Drawdown]]/MAX($B$2:B1085)</f>
        <v>-0.49398704902867718</v>
      </c>
      <c r="H1085" s="1" t="str">
        <f>IF(SUM(COUNTIF(Benchmark1[Benchmark '#1 Dates],Comp1[[#This Row],[Comparable '#1 Dates]]),COUNTIF(Benchmark2[Benchmark '#2 Dates],Comp1[[#This Row],[Comparable '#1 Dates]]))=2,"Pass","Fail")</f>
        <v>Pass</v>
      </c>
      <c r="I1085" s="1">
        <f>IFERROR(Comp1[[#This Row],[Comparable '#1 Return]]-INDEX(Benchmark1[Benchmark '#1 Return],MATCH(Comp1[[#This Row],[Comparable '#1 Dates]],Benchmark1[Benchmark '#1 Dates],0)),"-")</f>
        <v>-4.0648736014660958E-3</v>
      </c>
      <c r="L1085" s="72">
        <f>Comp1[[#This Row],[Comparable '#1 Price]]/$B$2*100</f>
        <v>74.880219028062967</v>
      </c>
    </row>
    <row r="1086" spans="1:12">
      <c r="A1086" s="103">
        <v>44858</v>
      </c>
      <c r="B1086" s="104">
        <v>11</v>
      </c>
      <c r="C1086" s="4">
        <f t="shared" si="32"/>
        <v>5.4694758045354761E-3</v>
      </c>
      <c r="D1086" s="1">
        <f>IFERROR(Comp1[[#This Row],[Comparable '#1 Return]]+1,"-")</f>
        <v>1.0054694758045355</v>
      </c>
      <c r="E1086" s="6">
        <f>B1086-MAX($B$2:B1086)</f>
        <v>-10.620000000000001</v>
      </c>
      <c r="F1086" s="80">
        <f t="shared" si="33"/>
        <v>689</v>
      </c>
      <c r="G1086" s="22" cm="1">
        <f t="array" ref="G1086">Comp1[[#This Row],[Comparable '#1 Drawdown]]/MAX($B$2:B1086)</f>
        <v>-0.49121184088806663</v>
      </c>
      <c r="H1086" s="1" t="str">
        <f>IF(SUM(COUNTIF(Benchmark1[Benchmark '#1 Dates],Comp1[[#This Row],[Comparable '#1 Dates]]),COUNTIF(Benchmark2[Benchmark '#2 Dates],Comp1[[#This Row],[Comparable '#1 Dates]]))=2,"Pass","Fail")</f>
        <v>Pass</v>
      </c>
      <c r="I1086" s="1">
        <f>IFERROR(Comp1[[#This Row],[Comparable '#1 Return]]-INDEX(Benchmark1[Benchmark '#1 Return],MATCH(Comp1[[#This Row],[Comparable '#1 Dates]],Benchmark1[Benchmark '#1 Dates],0)),"-")</f>
        <v>-6.3424263744346412E-3</v>
      </c>
      <c r="L1086" s="72">
        <f>Comp1[[#This Row],[Comparable '#1 Price]]/$B$2*100</f>
        <v>75.290896646132794</v>
      </c>
    </row>
    <row r="1087" spans="1:12">
      <c r="A1087" s="103">
        <v>44859</v>
      </c>
      <c r="B1087" s="104">
        <v>12.29</v>
      </c>
      <c r="C1087" s="4">
        <f t="shared" si="32"/>
        <v>0.11089065077957284</v>
      </c>
      <c r="D1087" s="1">
        <f>IFERROR(Comp1[[#This Row],[Comparable '#1 Return]]+1,"-")</f>
        <v>1.1108906507795728</v>
      </c>
      <c r="E1087" s="6">
        <f>B1087-MAX($B$2:B1087)</f>
        <v>-9.3300000000000018</v>
      </c>
      <c r="F1087" s="80">
        <f t="shared" si="33"/>
        <v>690</v>
      </c>
      <c r="G1087" s="22" cm="1">
        <f t="array" ref="G1087">Comp1[[#This Row],[Comparable '#1 Drawdown]]/MAX($B$2:B1087)</f>
        <v>-0.43154486586493995</v>
      </c>
      <c r="H1087" s="1" t="str">
        <f>IF(SUM(COUNTIF(Benchmark1[Benchmark '#1 Dates],Comp1[[#This Row],[Comparable '#1 Dates]]),COUNTIF(Benchmark2[Benchmark '#2 Dates],Comp1[[#This Row],[Comparable '#1 Dates]]))=2,"Pass","Fail")</f>
        <v>Pass</v>
      </c>
      <c r="I1087" s="1">
        <f>IFERROR(Comp1[[#This Row],[Comparable '#1 Return]]-INDEX(Benchmark1[Benchmark '#1 Return],MATCH(Comp1[[#This Row],[Comparable '#1 Dates]],Benchmark1[Benchmark '#1 Dates],0)),"-")</f>
        <v>9.4753387631902525E-2</v>
      </c>
      <c r="L1087" s="72">
        <f>Comp1[[#This Row],[Comparable '#1 Price]]/$B$2*100</f>
        <v>84.1204654346338</v>
      </c>
    </row>
    <row r="1088" spans="1:12">
      <c r="A1088" s="103">
        <v>44860</v>
      </c>
      <c r="B1088" s="104">
        <v>12.5</v>
      </c>
      <c r="C1088" s="4">
        <f t="shared" si="32"/>
        <v>1.6942720730312135E-2</v>
      </c>
      <c r="D1088" s="1">
        <f>IFERROR(Comp1[[#This Row],[Comparable '#1 Return]]+1,"-")</f>
        <v>1.0169427207303121</v>
      </c>
      <c r="E1088" s="6">
        <f>B1088-MAX($B$2:B1088)</f>
        <v>-9.120000000000001</v>
      </c>
      <c r="F1088" s="80">
        <f t="shared" si="33"/>
        <v>691</v>
      </c>
      <c r="G1088" s="22" cm="1">
        <f t="array" ref="G1088">Comp1[[#This Row],[Comparable '#1 Drawdown]]/MAX($B$2:B1088)</f>
        <v>-0.42183163737280299</v>
      </c>
      <c r="H1088" s="1" t="str">
        <f>IF(SUM(COUNTIF(Benchmark1[Benchmark '#1 Dates],Comp1[[#This Row],[Comparable '#1 Dates]]),COUNTIF(Benchmark2[Benchmark '#2 Dates],Comp1[[#This Row],[Comparable '#1 Dates]]))=2,"Pass","Fail")</f>
        <v>Pass</v>
      </c>
      <c r="I1088" s="1">
        <f>IFERROR(Comp1[[#This Row],[Comparable '#1 Return]]-INDEX(Benchmark1[Benchmark '#1 Return],MATCH(Comp1[[#This Row],[Comparable '#1 Dates]],Benchmark1[Benchmark '#1 Dates],0)),"-")</f>
        <v>2.4359850292543256E-2</v>
      </c>
      <c r="L1088" s="72">
        <f>Comp1[[#This Row],[Comparable '#1 Price]]/$B$2*100</f>
        <v>85.557837097878163</v>
      </c>
    </row>
    <row r="1089" spans="1:12">
      <c r="A1089" s="103">
        <v>44861</v>
      </c>
      <c r="B1089" s="104">
        <v>12.75</v>
      </c>
      <c r="C1089" s="4">
        <f t="shared" si="32"/>
        <v>1.980262729617973E-2</v>
      </c>
      <c r="D1089" s="1">
        <f>IFERROR(Comp1[[#This Row],[Comparable '#1 Return]]+1,"-")</f>
        <v>1.0198026272961798</v>
      </c>
      <c r="E1089" s="6">
        <f>B1089-MAX($B$2:B1089)</f>
        <v>-8.870000000000001</v>
      </c>
      <c r="F1089" s="80">
        <f t="shared" si="33"/>
        <v>692</v>
      </c>
      <c r="G1089" s="22" cm="1">
        <f t="array" ref="G1089">Comp1[[#This Row],[Comparable '#1 Drawdown]]/MAX($B$2:B1089)</f>
        <v>-0.41026827012025907</v>
      </c>
      <c r="H1089" s="1" t="str">
        <f>IF(SUM(COUNTIF(Benchmark1[Benchmark '#1 Dates],Comp1[[#This Row],[Comparable '#1 Dates]]),COUNTIF(Benchmark2[Benchmark '#2 Dates],Comp1[[#This Row],[Comparable '#1 Dates]]))=2,"Pass","Fail")</f>
        <v>Pass</v>
      </c>
      <c r="I1089" s="1">
        <f>IFERROR(Comp1[[#This Row],[Comparable '#1 Return]]-INDEX(Benchmark1[Benchmark '#1 Return],MATCH(Comp1[[#This Row],[Comparable '#1 Dates]],Benchmark1[Benchmark '#1 Dates],0)),"-")</f>
        <v>2.5903213520894773E-2</v>
      </c>
      <c r="L1089" s="72">
        <f>Comp1[[#This Row],[Comparable '#1 Price]]/$B$2*100</f>
        <v>87.26899383983573</v>
      </c>
    </row>
    <row r="1090" spans="1:12">
      <c r="A1090" s="103">
        <v>44862</v>
      </c>
      <c r="B1090" s="104">
        <v>12.78</v>
      </c>
      <c r="C1090" s="4">
        <f t="shared" ref="C1090:C1153" si="34">IFERROR(IF(B1090="","-",LN(B1090/B1089)),"-")</f>
        <v>2.3501773449534514E-3</v>
      </c>
      <c r="D1090" s="1">
        <f>IFERROR(Comp1[[#This Row],[Comparable '#1 Return]]+1,"-")</f>
        <v>1.0023501773449535</v>
      </c>
      <c r="E1090" s="6">
        <f>B1090-MAX($B$2:B1090)</f>
        <v>-8.8400000000000016</v>
      </c>
      <c r="F1090" s="80">
        <f t="shared" ref="F1090:F1153" si="35">IF(E1090=0,0,F1089+1)</f>
        <v>693</v>
      </c>
      <c r="G1090" s="22" cm="1">
        <f t="array" ref="G1090">Comp1[[#This Row],[Comparable '#1 Drawdown]]/MAX($B$2:B1090)</f>
        <v>-0.40888066604995382</v>
      </c>
      <c r="H1090" s="1" t="str">
        <f>IF(SUM(COUNTIF(Benchmark1[Benchmark '#1 Dates],Comp1[[#This Row],[Comparable '#1 Dates]]),COUNTIF(Benchmark2[Benchmark '#2 Dates],Comp1[[#This Row],[Comparable '#1 Dates]]))=2,"Pass","Fail")</f>
        <v>Pass</v>
      </c>
      <c r="I1090" s="1">
        <f>IFERROR(Comp1[[#This Row],[Comparable '#1 Return]]-INDEX(Benchmark1[Benchmark '#1 Return],MATCH(Comp1[[#This Row],[Comparable '#1 Dates]],Benchmark1[Benchmark '#1 Dates],0)),"-")</f>
        <v>-2.1979325030212209E-2</v>
      </c>
      <c r="L1090" s="72">
        <f>Comp1[[#This Row],[Comparable '#1 Price]]/$B$2*100</f>
        <v>87.474332648870629</v>
      </c>
    </row>
    <row r="1091" spans="1:12">
      <c r="A1091" s="103">
        <v>44865</v>
      </c>
      <c r="B1091" s="104">
        <v>12.64</v>
      </c>
      <c r="C1091" s="4">
        <f t="shared" si="34"/>
        <v>-1.1015060230677318E-2</v>
      </c>
      <c r="D1091" s="1">
        <f>IFERROR(Comp1[[#This Row],[Comparable '#1 Return]]+1,"-")</f>
        <v>0.98898493976932267</v>
      </c>
      <c r="E1091" s="6">
        <f>B1091-MAX($B$2:B1091)</f>
        <v>-8.98</v>
      </c>
      <c r="F1091" s="80">
        <f t="shared" si="35"/>
        <v>694</v>
      </c>
      <c r="G1091" s="22" cm="1">
        <f t="array" ref="G1091">Comp1[[#This Row],[Comparable '#1 Drawdown]]/MAX($B$2:B1091)</f>
        <v>-0.41535615171137835</v>
      </c>
      <c r="H1091" s="1" t="str">
        <f>IF(SUM(COUNTIF(Benchmark1[Benchmark '#1 Dates],Comp1[[#This Row],[Comparable '#1 Dates]]),COUNTIF(Benchmark2[Benchmark '#2 Dates],Comp1[[#This Row],[Comparable '#1 Dates]]))=2,"Pass","Fail")</f>
        <v>Pass</v>
      </c>
      <c r="I1091" s="1">
        <f>IFERROR(Comp1[[#This Row],[Comparable '#1 Return]]-INDEX(Benchmark1[Benchmark '#1 Return],MATCH(Comp1[[#This Row],[Comparable '#1 Dates]],Benchmark1[Benchmark '#1 Dates],0)),"-")</f>
        <v>-3.5310623633367762E-3</v>
      </c>
      <c r="L1091" s="72">
        <f>Comp1[[#This Row],[Comparable '#1 Price]]/$B$2*100</f>
        <v>86.51608487337441</v>
      </c>
    </row>
    <row r="1092" spans="1:12">
      <c r="A1092" s="103">
        <v>44866</v>
      </c>
      <c r="B1092" s="104">
        <v>12.65</v>
      </c>
      <c r="C1092" s="4">
        <f t="shared" si="34"/>
        <v>7.9082645481777091E-4</v>
      </c>
      <c r="D1092" s="1">
        <f>IFERROR(Comp1[[#This Row],[Comparable '#1 Return]]+1,"-")</f>
        <v>1.0007908264548178</v>
      </c>
      <c r="E1092" s="6">
        <f>B1092-MAX($B$2:B1092)</f>
        <v>-8.9700000000000006</v>
      </c>
      <c r="F1092" s="80">
        <f t="shared" si="35"/>
        <v>695</v>
      </c>
      <c r="G1092" s="22" cm="1">
        <f t="array" ref="G1092">Comp1[[#This Row],[Comparable '#1 Drawdown]]/MAX($B$2:B1092)</f>
        <v>-0.41489361702127658</v>
      </c>
      <c r="H1092" s="1" t="str">
        <f>IF(SUM(COUNTIF(Benchmark1[Benchmark '#1 Dates],Comp1[[#This Row],[Comparable '#1 Dates]]),COUNTIF(Benchmark2[Benchmark '#2 Dates],Comp1[[#This Row],[Comparable '#1 Dates]]))=2,"Pass","Fail")</f>
        <v>Pass</v>
      </c>
      <c r="I1092" s="1">
        <f>IFERROR(Comp1[[#This Row],[Comparable '#1 Return]]-INDEX(Benchmark1[Benchmark '#1 Return],MATCH(Comp1[[#This Row],[Comparable '#1 Dates]],Benchmark1[Benchmark '#1 Dates],0)),"-")</f>
        <v>4.8993398959673185E-3</v>
      </c>
      <c r="L1092" s="72">
        <f>Comp1[[#This Row],[Comparable '#1 Price]]/$B$2*100</f>
        <v>86.584531143052715</v>
      </c>
    </row>
    <row r="1093" spans="1:12">
      <c r="A1093" s="103">
        <v>44867</v>
      </c>
      <c r="B1093" s="104">
        <v>11.96</v>
      </c>
      <c r="C1093" s="4">
        <f t="shared" si="34"/>
        <v>-5.6089466651043467E-2</v>
      </c>
      <c r="D1093" s="1">
        <f>IFERROR(Comp1[[#This Row],[Comparable '#1 Return]]+1,"-")</f>
        <v>0.94391053334895658</v>
      </c>
      <c r="E1093" s="6">
        <f>B1093-MAX($B$2:B1093)</f>
        <v>-9.66</v>
      </c>
      <c r="F1093" s="80">
        <f t="shared" si="35"/>
        <v>696</v>
      </c>
      <c r="G1093" s="22" cm="1">
        <f t="array" ref="G1093">Comp1[[#This Row],[Comparable '#1 Drawdown]]/MAX($B$2:B1093)</f>
        <v>-0.44680851063829785</v>
      </c>
      <c r="H1093" s="1" t="str">
        <f>IF(SUM(COUNTIF(Benchmark1[Benchmark '#1 Dates],Comp1[[#This Row],[Comparable '#1 Dates]]),COUNTIF(Benchmark2[Benchmark '#2 Dates],Comp1[[#This Row],[Comparable '#1 Dates]]))=2,"Pass","Fail")</f>
        <v>Pass</v>
      </c>
      <c r="I1093" s="1">
        <f>IFERROR(Comp1[[#This Row],[Comparable '#1 Return]]-INDEX(Benchmark1[Benchmark '#1 Return],MATCH(Comp1[[#This Row],[Comparable '#1 Dates]],Benchmark1[Benchmark '#1 Dates],0)),"-")</f>
        <v>-3.0769324475303509E-2</v>
      </c>
      <c r="L1093" s="72">
        <f>Comp1[[#This Row],[Comparable '#1 Price]]/$B$2*100</f>
        <v>81.861738535249842</v>
      </c>
    </row>
    <row r="1094" spans="1:12">
      <c r="A1094" s="103">
        <v>44868</v>
      </c>
      <c r="B1094" s="104">
        <v>12.494999999999999</v>
      </c>
      <c r="C1094" s="4">
        <f t="shared" si="34"/>
        <v>4.3760815764429868E-2</v>
      </c>
      <c r="D1094" s="1">
        <f>IFERROR(Comp1[[#This Row],[Comparable '#1 Return]]+1,"-")</f>
        <v>1.0437608157644298</v>
      </c>
      <c r="E1094" s="6">
        <f>B1094-MAX($B$2:B1094)</f>
        <v>-9.1250000000000018</v>
      </c>
      <c r="F1094" s="80">
        <f t="shared" si="35"/>
        <v>697</v>
      </c>
      <c r="G1094" s="22" cm="1">
        <f t="array" ref="G1094">Comp1[[#This Row],[Comparable '#1 Drawdown]]/MAX($B$2:B1094)</f>
        <v>-0.4220629047178539</v>
      </c>
      <c r="H1094" s="1" t="str">
        <f>IF(SUM(COUNTIF(Benchmark1[Benchmark '#1 Dates],Comp1[[#This Row],[Comparable '#1 Dates]]),COUNTIF(Benchmark2[Benchmark '#2 Dates],Comp1[[#This Row],[Comparable '#1 Dates]]))=2,"Pass","Fail")</f>
        <v>Pass</v>
      </c>
      <c r="I1094" s="1">
        <f>IFERROR(Comp1[[#This Row],[Comparable '#1 Return]]-INDEX(Benchmark1[Benchmark '#1 Return],MATCH(Comp1[[#This Row],[Comparable '#1 Dates]],Benchmark1[Benchmark '#1 Dates],0)),"-")</f>
        <v>5.4402465695656904E-2</v>
      </c>
      <c r="L1094" s="72">
        <f>Comp1[[#This Row],[Comparable '#1 Price]]/$B$2*100</f>
        <v>85.523613963039011</v>
      </c>
    </row>
    <row r="1095" spans="1:12">
      <c r="A1095" s="103">
        <v>44869</v>
      </c>
      <c r="B1095" s="104">
        <v>12.22</v>
      </c>
      <c r="C1095" s="4">
        <f t="shared" si="34"/>
        <v>-2.2254610543466311E-2</v>
      </c>
      <c r="D1095" s="1">
        <f>IFERROR(Comp1[[#This Row],[Comparable '#1 Return]]+1,"-")</f>
        <v>0.97774538945653366</v>
      </c>
      <c r="E1095" s="6">
        <f>B1095-MAX($B$2:B1095)</f>
        <v>-9.4</v>
      </c>
      <c r="F1095" s="80">
        <f t="shared" si="35"/>
        <v>698</v>
      </c>
      <c r="G1095" s="22" cm="1">
        <f t="array" ref="G1095">Comp1[[#This Row],[Comparable '#1 Drawdown]]/MAX($B$2:B1095)</f>
        <v>-0.43478260869565216</v>
      </c>
      <c r="H1095" s="1" t="str">
        <f>IF(SUM(COUNTIF(Benchmark1[Benchmark '#1 Dates],Comp1[[#This Row],[Comparable '#1 Dates]]),COUNTIF(Benchmark2[Benchmark '#2 Dates],Comp1[[#This Row],[Comparable '#1 Dates]]))=2,"Pass","Fail")</f>
        <v>Pass</v>
      </c>
      <c r="I1095" s="1">
        <f>IFERROR(Comp1[[#This Row],[Comparable '#1 Return]]-INDEX(Benchmark1[Benchmark '#1 Return],MATCH(Comp1[[#This Row],[Comparable '#1 Dates]],Benchmark1[Benchmark '#1 Dates],0)),"-")</f>
        <v>-3.5779564296553559E-2</v>
      </c>
      <c r="L1095" s="72">
        <f>Comp1[[#This Row],[Comparable '#1 Price]]/$B$2*100</f>
        <v>83.641341546885712</v>
      </c>
    </row>
    <row r="1096" spans="1:12">
      <c r="A1096" s="103">
        <v>44872</v>
      </c>
      <c r="B1096" s="104">
        <v>12.2</v>
      </c>
      <c r="C1096" s="4">
        <f t="shared" si="34"/>
        <v>-1.6380020042384695E-3</v>
      </c>
      <c r="D1096" s="1">
        <f>IFERROR(Comp1[[#This Row],[Comparable '#1 Return]]+1,"-")</f>
        <v>0.99836199799576153</v>
      </c>
      <c r="E1096" s="6">
        <f>B1096-MAX($B$2:B1096)</f>
        <v>-9.4200000000000017</v>
      </c>
      <c r="F1096" s="80">
        <f t="shared" si="35"/>
        <v>699</v>
      </c>
      <c r="G1096" s="22" cm="1">
        <f t="array" ref="G1096">Comp1[[#This Row],[Comparable '#1 Drawdown]]/MAX($B$2:B1096)</f>
        <v>-0.43570767807585575</v>
      </c>
      <c r="H1096" s="1" t="str">
        <f>IF(SUM(COUNTIF(Benchmark1[Benchmark '#1 Dates],Comp1[[#This Row],[Comparable '#1 Dates]]),COUNTIF(Benchmark2[Benchmark '#2 Dates],Comp1[[#This Row],[Comparable '#1 Dates]]))=2,"Pass","Fail")</f>
        <v>Pass</v>
      </c>
      <c r="I1096" s="1">
        <f>IFERROR(Comp1[[#This Row],[Comparable '#1 Return]]-INDEX(Benchmark1[Benchmark '#1 Return],MATCH(Comp1[[#This Row],[Comparable '#1 Dates]],Benchmark1[Benchmark '#1 Dates],0)),"-")</f>
        <v>-1.1208317452876695E-2</v>
      </c>
      <c r="L1096" s="72">
        <f>Comp1[[#This Row],[Comparable '#1 Price]]/$B$2*100</f>
        <v>83.504449007529089</v>
      </c>
    </row>
    <row r="1097" spans="1:12">
      <c r="A1097" s="103">
        <v>44873</v>
      </c>
      <c r="B1097" s="104">
        <v>11.8</v>
      </c>
      <c r="C1097" s="4">
        <f t="shared" si="34"/>
        <v>-3.3336420267591718E-2</v>
      </c>
      <c r="D1097" s="1">
        <f>IFERROR(Comp1[[#This Row],[Comparable '#1 Return]]+1,"-")</f>
        <v>0.96666357973240824</v>
      </c>
      <c r="E1097" s="6">
        <f>B1097-MAX($B$2:B1097)</f>
        <v>-9.82</v>
      </c>
      <c r="F1097" s="80">
        <f t="shared" si="35"/>
        <v>700</v>
      </c>
      <c r="G1097" s="22" cm="1">
        <f t="array" ref="G1097">Comp1[[#This Row],[Comparable '#1 Drawdown]]/MAX($B$2:B1097)</f>
        <v>-0.45420906567992597</v>
      </c>
      <c r="H1097" s="1" t="str">
        <f>IF(SUM(COUNTIF(Benchmark1[Benchmark '#1 Dates],Comp1[[#This Row],[Comparable '#1 Dates]]),COUNTIF(Benchmark2[Benchmark '#2 Dates],Comp1[[#This Row],[Comparable '#1 Dates]]))=2,"Pass","Fail")</f>
        <v>Pass</v>
      </c>
      <c r="I1097" s="1">
        <f>IFERROR(Comp1[[#This Row],[Comparable '#1 Return]]-INDEX(Benchmark1[Benchmark '#1 Return],MATCH(Comp1[[#This Row],[Comparable '#1 Dates]],Benchmark1[Benchmark '#1 Dates],0)),"-")</f>
        <v>-3.8916874245275117E-2</v>
      </c>
      <c r="L1097" s="72">
        <f>Comp1[[#This Row],[Comparable '#1 Price]]/$B$2*100</f>
        <v>80.766598220397</v>
      </c>
    </row>
    <row r="1098" spans="1:12">
      <c r="A1098" s="103">
        <v>44874</v>
      </c>
      <c r="B1098" s="104">
        <v>12.2</v>
      </c>
      <c r="C1098" s="4">
        <f t="shared" si="34"/>
        <v>3.3336420267591711E-2</v>
      </c>
      <c r="D1098" s="1">
        <f>IFERROR(Comp1[[#This Row],[Comparable '#1 Return]]+1,"-")</f>
        <v>1.0333364202675916</v>
      </c>
      <c r="E1098" s="6">
        <f>B1098-MAX($B$2:B1098)</f>
        <v>-9.4200000000000017</v>
      </c>
      <c r="F1098" s="80">
        <f t="shared" si="35"/>
        <v>701</v>
      </c>
      <c r="G1098" s="22" cm="1">
        <f t="array" ref="G1098">Comp1[[#This Row],[Comparable '#1 Drawdown]]/MAX($B$2:B1098)</f>
        <v>-0.43570767807585575</v>
      </c>
      <c r="H1098" s="1" t="str">
        <f>IF(SUM(COUNTIF(Benchmark1[Benchmark '#1 Dates],Comp1[[#This Row],[Comparable '#1 Dates]]),COUNTIF(Benchmark2[Benchmark '#2 Dates],Comp1[[#This Row],[Comparable '#1 Dates]]))=2,"Pass","Fail")</f>
        <v>Pass</v>
      </c>
      <c r="I1098" s="1">
        <f>IFERROR(Comp1[[#This Row],[Comparable '#1 Return]]-INDEX(Benchmark1[Benchmark '#1 Return],MATCH(Comp1[[#This Row],[Comparable '#1 Dates]],Benchmark1[Benchmark '#1 Dates],0)),"-")</f>
        <v>5.4332009842900542E-2</v>
      </c>
      <c r="L1098" s="72">
        <f>Comp1[[#This Row],[Comparable '#1 Price]]/$B$2*100</f>
        <v>83.504449007529089</v>
      </c>
    </row>
    <row r="1099" spans="1:12">
      <c r="A1099" s="103">
        <v>44875</v>
      </c>
      <c r="B1099" s="104">
        <v>12.31</v>
      </c>
      <c r="C1099" s="4">
        <f t="shared" si="34"/>
        <v>8.9759884571513765E-3</v>
      </c>
      <c r="D1099" s="1">
        <f>IFERROR(Comp1[[#This Row],[Comparable '#1 Return]]+1,"-")</f>
        <v>1.0089759884571514</v>
      </c>
      <c r="E1099" s="6">
        <f>B1099-MAX($B$2:B1099)</f>
        <v>-9.31</v>
      </c>
      <c r="F1099" s="80">
        <f t="shared" si="35"/>
        <v>702</v>
      </c>
      <c r="G1099" s="22" cm="1">
        <f t="array" ref="G1099">Comp1[[#This Row],[Comparable '#1 Drawdown]]/MAX($B$2:B1099)</f>
        <v>-0.43061979648473636</v>
      </c>
      <c r="H1099" s="1" t="str">
        <f>IF(SUM(COUNTIF(Benchmark1[Benchmark '#1 Dates],Comp1[[#This Row],[Comparable '#1 Dates]]),COUNTIF(Benchmark2[Benchmark '#2 Dates],Comp1[[#This Row],[Comparable '#1 Dates]]))=2,"Pass","Fail")</f>
        <v>Pass</v>
      </c>
      <c r="I1099" s="1">
        <f>IFERROR(Comp1[[#This Row],[Comparable '#1 Return]]-INDEX(Benchmark1[Benchmark '#1 Return],MATCH(Comp1[[#This Row],[Comparable '#1 Dates]],Benchmark1[Benchmark '#1 Dates],0)),"-")</f>
        <v>-4.4975902716514762E-2</v>
      </c>
      <c r="L1099" s="72">
        <f>Comp1[[#This Row],[Comparable '#1 Price]]/$B$2*100</f>
        <v>84.257357973990423</v>
      </c>
    </row>
    <row r="1100" spans="1:12">
      <c r="A1100" s="103">
        <v>44876</v>
      </c>
      <c r="B1100" s="104">
        <v>12.06</v>
      </c>
      <c r="C1100" s="4">
        <f t="shared" si="34"/>
        <v>-2.0517748897322757E-2</v>
      </c>
      <c r="D1100" s="1">
        <f>IFERROR(Comp1[[#This Row],[Comparable '#1 Return]]+1,"-")</f>
        <v>0.97948225110267728</v>
      </c>
      <c r="E1100" s="6">
        <f>B1100-MAX($B$2:B1100)</f>
        <v>-9.56</v>
      </c>
      <c r="F1100" s="80">
        <f t="shared" si="35"/>
        <v>703</v>
      </c>
      <c r="G1100" s="22" cm="1">
        <f t="array" ref="G1100">Comp1[[#This Row],[Comparable '#1 Drawdown]]/MAX($B$2:B1100)</f>
        <v>-0.44218316373728028</v>
      </c>
      <c r="H1100" s="1" t="str">
        <f>IF(SUM(COUNTIF(Benchmark1[Benchmark '#1 Dates],Comp1[[#This Row],[Comparable '#1 Dates]]),COUNTIF(Benchmark2[Benchmark '#2 Dates],Comp1[[#This Row],[Comparable '#1 Dates]]))=2,"Pass","Fail")</f>
        <v>Pass</v>
      </c>
      <c r="I1100" s="1">
        <f>IFERROR(Comp1[[#This Row],[Comparable '#1 Return]]-INDEX(Benchmark1[Benchmark '#1 Return],MATCH(Comp1[[#This Row],[Comparable '#1 Dates]],Benchmark1[Benchmark '#1 Dates],0)),"-")</f>
        <v>-2.9715474215128657E-2</v>
      </c>
      <c r="L1100" s="72">
        <f>Comp1[[#This Row],[Comparable '#1 Price]]/$B$2*100</f>
        <v>82.546201232032857</v>
      </c>
    </row>
    <row r="1101" spans="1:12">
      <c r="A1101" s="103">
        <v>44879</v>
      </c>
      <c r="B1101" s="104">
        <v>12.11</v>
      </c>
      <c r="C1101" s="4">
        <f t="shared" si="34"/>
        <v>4.1373662659614265E-3</v>
      </c>
      <c r="D1101" s="1">
        <f>IFERROR(Comp1[[#This Row],[Comparable '#1 Return]]+1,"-")</f>
        <v>1.0041373662659614</v>
      </c>
      <c r="E1101" s="6">
        <f>B1101-MAX($B$2:B1101)</f>
        <v>-9.5100000000000016</v>
      </c>
      <c r="F1101" s="80">
        <f t="shared" si="35"/>
        <v>704</v>
      </c>
      <c r="G1101" s="22" cm="1">
        <f t="array" ref="G1101">Comp1[[#This Row],[Comparable '#1 Drawdown]]/MAX($B$2:B1101)</f>
        <v>-0.43987049028677155</v>
      </c>
      <c r="H1101" s="1" t="str">
        <f>IF(SUM(COUNTIF(Benchmark1[Benchmark '#1 Dates],Comp1[[#This Row],[Comparable '#1 Dates]]),COUNTIF(Benchmark2[Benchmark '#2 Dates],Comp1[[#This Row],[Comparable '#1 Dates]]))=2,"Pass","Fail")</f>
        <v>Pass</v>
      </c>
      <c r="I1101" s="1">
        <f>IFERROR(Comp1[[#This Row],[Comparable '#1 Return]]-INDEX(Benchmark1[Benchmark '#1 Return],MATCH(Comp1[[#This Row],[Comparable '#1 Dates]],Benchmark1[Benchmark '#1 Dates],0)),"-")</f>
        <v>1.3111997969802872E-2</v>
      </c>
      <c r="L1101" s="72">
        <f>Comp1[[#This Row],[Comparable '#1 Price]]/$B$2*100</f>
        <v>82.888432580424364</v>
      </c>
    </row>
    <row r="1102" spans="1:12">
      <c r="A1102" s="103">
        <v>44880</v>
      </c>
      <c r="B1102" s="104">
        <v>12.15</v>
      </c>
      <c r="C1102" s="4">
        <f t="shared" si="34"/>
        <v>3.2976122215566729E-3</v>
      </c>
      <c r="D1102" s="1">
        <f>IFERROR(Comp1[[#This Row],[Comparable '#1 Return]]+1,"-")</f>
        <v>1.0032976122215567</v>
      </c>
      <c r="E1102" s="6">
        <f>B1102-MAX($B$2:B1102)</f>
        <v>-9.4700000000000006</v>
      </c>
      <c r="F1102" s="80">
        <f t="shared" si="35"/>
        <v>705</v>
      </c>
      <c r="G1102" s="22" cm="1">
        <f t="array" ref="G1102">Comp1[[#This Row],[Comparable '#1 Drawdown]]/MAX($B$2:B1102)</f>
        <v>-0.43802035152636448</v>
      </c>
      <c r="H1102" s="1" t="str">
        <f>IF(SUM(COUNTIF(Benchmark1[Benchmark '#1 Dates],Comp1[[#This Row],[Comparable '#1 Dates]]),COUNTIF(Benchmark2[Benchmark '#2 Dates],Comp1[[#This Row],[Comparable '#1 Dates]]))=2,"Pass","Fail")</f>
        <v>Pass</v>
      </c>
      <c r="I1102" s="1">
        <f>IFERROR(Comp1[[#This Row],[Comparable '#1 Return]]-INDEX(Benchmark1[Benchmark '#1 Return],MATCH(Comp1[[#This Row],[Comparable '#1 Dates]],Benchmark1[Benchmark '#1 Dates],0)),"-")</f>
        <v>-5.3778434682737516E-3</v>
      </c>
      <c r="L1102" s="72">
        <f>Comp1[[#This Row],[Comparable '#1 Price]]/$B$2*100</f>
        <v>83.162217659137582</v>
      </c>
    </row>
    <row r="1103" spans="1:12">
      <c r="A1103" s="103">
        <v>44881</v>
      </c>
      <c r="B1103" s="104">
        <v>10.78</v>
      </c>
      <c r="C1103" s="4">
        <f t="shared" si="34"/>
        <v>-0.11963660430570644</v>
      </c>
      <c r="D1103" s="1">
        <f>IFERROR(Comp1[[#This Row],[Comparable '#1 Return]]+1,"-")</f>
        <v>0.88036339569429356</v>
      </c>
      <c r="E1103" s="6">
        <f>B1103-MAX($B$2:B1103)</f>
        <v>-10.840000000000002</v>
      </c>
      <c r="F1103" s="80">
        <f t="shared" si="35"/>
        <v>706</v>
      </c>
      <c r="G1103" s="22" cm="1">
        <f t="array" ref="G1103">Comp1[[#This Row],[Comparable '#1 Drawdown]]/MAX($B$2:B1103)</f>
        <v>-0.50138760407030536</v>
      </c>
      <c r="H1103" s="1" t="str">
        <f>IF(SUM(COUNTIF(Benchmark1[Benchmark '#1 Dates],Comp1[[#This Row],[Comparable '#1 Dates]]),COUNTIF(Benchmark2[Benchmark '#2 Dates],Comp1[[#This Row],[Comparable '#1 Dates]]))=2,"Pass","Fail")</f>
        <v>Pass</v>
      </c>
      <c r="I1103" s="1">
        <f>IFERROR(Comp1[[#This Row],[Comparable '#1 Return]]-INDEX(Benchmark1[Benchmark '#1 Return],MATCH(Comp1[[#This Row],[Comparable '#1 Dates]],Benchmark1[Benchmark '#1 Dates],0)),"-")</f>
        <v>-0.11135032812528942</v>
      </c>
      <c r="L1103" s="72">
        <f>Comp1[[#This Row],[Comparable '#1 Price]]/$B$2*100</f>
        <v>73.785078713210126</v>
      </c>
    </row>
    <row r="1104" spans="1:12">
      <c r="A1104" s="103">
        <v>44882</v>
      </c>
      <c r="B1104" s="104">
        <v>10.050000000000001</v>
      </c>
      <c r="C1104" s="4">
        <f t="shared" si="34"/>
        <v>-7.0119930975766229E-2</v>
      </c>
      <c r="D1104" s="1">
        <f>IFERROR(Comp1[[#This Row],[Comparable '#1 Return]]+1,"-")</f>
        <v>0.92988006902423381</v>
      </c>
      <c r="E1104" s="6">
        <f>B1104-MAX($B$2:B1104)</f>
        <v>-11.57</v>
      </c>
      <c r="F1104" s="80">
        <f t="shared" si="35"/>
        <v>707</v>
      </c>
      <c r="G1104" s="22" cm="1">
        <f t="array" ref="G1104">Comp1[[#This Row],[Comparable '#1 Drawdown]]/MAX($B$2:B1104)</f>
        <v>-0.53515263644773359</v>
      </c>
      <c r="H1104" s="1" t="str">
        <f>IF(SUM(COUNTIF(Benchmark1[Benchmark '#1 Dates],Comp1[[#This Row],[Comparable '#1 Dates]]),COUNTIF(Benchmark2[Benchmark '#2 Dates],Comp1[[#This Row],[Comparable '#1 Dates]]))=2,"Pass","Fail")</f>
        <v>Pass</v>
      </c>
      <c r="I1104" s="1">
        <f>IFERROR(Comp1[[#This Row],[Comparable '#1 Return]]-INDEX(Benchmark1[Benchmark '#1 Return],MATCH(Comp1[[#This Row],[Comparable '#1 Dates]],Benchmark1[Benchmark '#1 Dates],0)),"-")</f>
        <v>-6.7024454841669745E-2</v>
      </c>
      <c r="L1104" s="72">
        <f>Comp1[[#This Row],[Comparable '#1 Price]]/$B$2*100</f>
        <v>68.78850102669405</v>
      </c>
    </row>
    <row r="1105" spans="1:12">
      <c r="A1105" s="103">
        <v>44883</v>
      </c>
      <c r="B1105" s="104">
        <v>10.210000000000001</v>
      </c>
      <c r="C1105" s="4">
        <f t="shared" si="34"/>
        <v>1.5794997671489446E-2</v>
      </c>
      <c r="D1105" s="1">
        <f>IFERROR(Comp1[[#This Row],[Comparable '#1 Return]]+1,"-")</f>
        <v>1.0157949976714895</v>
      </c>
      <c r="E1105" s="6">
        <f>B1105-MAX($B$2:B1105)</f>
        <v>-11.41</v>
      </c>
      <c r="F1105" s="80">
        <f t="shared" si="35"/>
        <v>708</v>
      </c>
      <c r="G1105" s="22" cm="1">
        <f t="array" ref="G1105">Comp1[[#This Row],[Comparable '#1 Drawdown]]/MAX($B$2:B1105)</f>
        <v>-0.52775208140610541</v>
      </c>
      <c r="H1105" s="1" t="str">
        <f>IF(SUM(COUNTIF(Benchmark1[Benchmark '#1 Dates],Comp1[[#This Row],[Comparable '#1 Dates]]),COUNTIF(Benchmark2[Benchmark '#2 Dates],Comp1[[#This Row],[Comparable '#1 Dates]]))=2,"Pass","Fail")</f>
        <v>Pass</v>
      </c>
      <c r="I1105" s="1">
        <f>IFERROR(Comp1[[#This Row],[Comparable '#1 Return]]-INDEX(Benchmark1[Benchmark '#1 Return],MATCH(Comp1[[#This Row],[Comparable '#1 Dates]],Benchmark1[Benchmark '#1 Dates],0)),"-")</f>
        <v>1.1047375018980676E-2</v>
      </c>
      <c r="L1105" s="72">
        <f>Comp1[[#This Row],[Comparable '#1 Price]]/$B$2*100</f>
        <v>69.883641341546905</v>
      </c>
    </row>
    <row r="1106" spans="1:12">
      <c r="A1106" s="103">
        <v>44886</v>
      </c>
      <c r="B1106" s="104">
        <v>10.46</v>
      </c>
      <c r="C1106" s="4">
        <f t="shared" si="34"/>
        <v>2.4190826460202697E-2</v>
      </c>
      <c r="D1106" s="1">
        <f>IFERROR(Comp1[[#This Row],[Comparable '#1 Return]]+1,"-")</f>
        <v>1.0241908264602027</v>
      </c>
      <c r="E1106" s="6">
        <f>B1106-MAX($B$2:B1106)</f>
        <v>-11.16</v>
      </c>
      <c r="F1106" s="80">
        <f t="shared" si="35"/>
        <v>709</v>
      </c>
      <c r="G1106" s="22" cm="1">
        <f t="array" ref="G1106">Comp1[[#This Row],[Comparable '#1 Drawdown]]/MAX($B$2:B1106)</f>
        <v>-0.51618871415356149</v>
      </c>
      <c r="H1106" s="1" t="str">
        <f>IF(SUM(COUNTIF(Benchmark1[Benchmark '#1 Dates],Comp1[[#This Row],[Comparable '#1 Dates]]),COUNTIF(Benchmark2[Benchmark '#2 Dates],Comp1[[#This Row],[Comparable '#1 Dates]]))=2,"Pass","Fail")</f>
        <v>Pass</v>
      </c>
      <c r="I1106" s="1">
        <f>IFERROR(Comp1[[#This Row],[Comparable '#1 Return]]-INDEX(Benchmark1[Benchmark '#1 Return],MATCH(Comp1[[#This Row],[Comparable '#1 Dates]],Benchmark1[Benchmark '#1 Dates],0)),"-")</f>
        <v>2.8082577868637437E-2</v>
      </c>
      <c r="L1106" s="72">
        <f>Comp1[[#This Row],[Comparable '#1 Price]]/$B$2*100</f>
        <v>71.594798083504458</v>
      </c>
    </row>
    <row r="1107" spans="1:12">
      <c r="A1107" s="103">
        <v>44887</v>
      </c>
      <c r="B1107" s="104">
        <v>10.49</v>
      </c>
      <c r="C1107" s="4">
        <f t="shared" si="34"/>
        <v>2.8639637714289396E-3</v>
      </c>
      <c r="D1107" s="1">
        <f>IFERROR(Comp1[[#This Row],[Comparable '#1 Return]]+1,"-")</f>
        <v>1.0028639637714289</v>
      </c>
      <c r="E1107" s="6">
        <f>B1107-MAX($B$2:B1107)</f>
        <v>-11.13</v>
      </c>
      <c r="F1107" s="80">
        <f t="shared" si="35"/>
        <v>710</v>
      </c>
      <c r="G1107" s="22" cm="1">
        <f t="array" ref="G1107">Comp1[[#This Row],[Comparable '#1 Drawdown]]/MAX($B$2:B1107)</f>
        <v>-0.51480111008325624</v>
      </c>
      <c r="H1107" s="1" t="str">
        <f>IF(SUM(COUNTIF(Benchmark1[Benchmark '#1 Dates],Comp1[[#This Row],[Comparable '#1 Dates]]),COUNTIF(Benchmark2[Benchmark '#2 Dates],Comp1[[#This Row],[Comparable '#1 Dates]]))=2,"Pass","Fail")</f>
        <v>Pass</v>
      </c>
      <c r="I1107" s="1">
        <f>IFERROR(Comp1[[#This Row],[Comparable '#1 Return]]-INDEX(Benchmark1[Benchmark '#1 Return],MATCH(Comp1[[#This Row],[Comparable '#1 Dates]],Benchmark1[Benchmark '#1 Dates],0)),"-")</f>
        <v>-1.0624932714814527E-2</v>
      </c>
      <c r="L1107" s="72">
        <f>Comp1[[#This Row],[Comparable '#1 Price]]/$B$2*100</f>
        <v>71.800136892539356</v>
      </c>
    </row>
    <row r="1108" spans="1:12">
      <c r="A1108" s="103">
        <v>44888</v>
      </c>
      <c r="B1108" s="104">
        <v>10.199999999999999</v>
      </c>
      <c r="C1108" s="4">
        <f t="shared" si="34"/>
        <v>-2.803470211798053E-2</v>
      </c>
      <c r="D1108" s="1">
        <f>IFERROR(Comp1[[#This Row],[Comparable '#1 Return]]+1,"-")</f>
        <v>0.97196529788201946</v>
      </c>
      <c r="E1108" s="6">
        <f>B1108-MAX($B$2:B1108)</f>
        <v>-11.420000000000002</v>
      </c>
      <c r="F1108" s="80">
        <f t="shared" si="35"/>
        <v>711</v>
      </c>
      <c r="G1108" s="22" cm="1">
        <f t="array" ref="G1108">Comp1[[#This Row],[Comparable '#1 Drawdown]]/MAX($B$2:B1108)</f>
        <v>-0.52821461609620723</v>
      </c>
      <c r="H1108" s="1" t="str">
        <f>IF(SUM(COUNTIF(Benchmark1[Benchmark '#1 Dates],Comp1[[#This Row],[Comparable '#1 Dates]]),COUNTIF(Benchmark2[Benchmark '#2 Dates],Comp1[[#This Row],[Comparable '#1 Dates]]))=2,"Pass","Fail")</f>
        <v>Pass</v>
      </c>
      <c r="I1108" s="1">
        <f>IFERROR(Comp1[[#This Row],[Comparable '#1 Return]]-INDEX(Benchmark1[Benchmark '#1 Return],MATCH(Comp1[[#This Row],[Comparable '#1 Dates]],Benchmark1[Benchmark '#1 Dates],0)),"-")</f>
        <v>-3.3932917744670416E-2</v>
      </c>
      <c r="L1108" s="72">
        <f>Comp1[[#This Row],[Comparable '#1 Price]]/$B$2*100</f>
        <v>69.815195071868587</v>
      </c>
    </row>
    <row r="1109" spans="1:12">
      <c r="A1109" s="103">
        <v>44890</v>
      </c>
      <c r="B1109" s="104">
        <v>10.31</v>
      </c>
      <c r="C1109" s="4">
        <f t="shared" si="34"/>
        <v>1.0726577738643342E-2</v>
      </c>
      <c r="D1109" s="1">
        <f>IFERROR(Comp1[[#This Row],[Comparable '#1 Return]]+1,"-")</f>
        <v>1.0107265777386434</v>
      </c>
      <c r="E1109" s="6">
        <f>B1109-MAX($B$2:B1109)</f>
        <v>-11.31</v>
      </c>
      <c r="F1109" s="80">
        <f t="shared" si="35"/>
        <v>712</v>
      </c>
      <c r="G1109" s="22" cm="1">
        <f t="array" ref="G1109">Comp1[[#This Row],[Comparable '#1 Drawdown]]/MAX($B$2:B1109)</f>
        <v>-0.52312673450508784</v>
      </c>
      <c r="H1109" s="1" t="str">
        <f>IF(SUM(COUNTIF(Benchmark1[Benchmark '#1 Dates],Comp1[[#This Row],[Comparable '#1 Dates]]),COUNTIF(Benchmark2[Benchmark '#2 Dates],Comp1[[#This Row],[Comparable '#1 Dates]]))=2,"Pass","Fail")</f>
        <v>Pass</v>
      </c>
      <c r="I1109" s="1">
        <f>IFERROR(Comp1[[#This Row],[Comparable '#1 Return]]-INDEX(Benchmark1[Benchmark '#1 Return],MATCH(Comp1[[#This Row],[Comparable '#1 Dates]],Benchmark1[Benchmark '#1 Dates],0)),"-")</f>
        <v>1.1011348857219603E-2</v>
      </c>
      <c r="L1109" s="72">
        <f>Comp1[[#This Row],[Comparable '#1 Price]]/$B$2*100</f>
        <v>70.568104038329921</v>
      </c>
    </row>
    <row r="1110" spans="1:12">
      <c r="A1110" s="103">
        <v>44893</v>
      </c>
      <c r="B1110" s="104">
        <v>10.26</v>
      </c>
      <c r="C1110" s="4">
        <f t="shared" si="34"/>
        <v>-4.8614582862452002E-3</v>
      </c>
      <c r="D1110" s="1">
        <f>IFERROR(Comp1[[#This Row],[Comparable '#1 Return]]+1,"-")</f>
        <v>0.99513854171375482</v>
      </c>
      <c r="E1110" s="6">
        <f>B1110-MAX($B$2:B1110)</f>
        <v>-11.360000000000001</v>
      </c>
      <c r="F1110" s="80">
        <f t="shared" si="35"/>
        <v>713</v>
      </c>
      <c r="G1110" s="22" cm="1">
        <f t="array" ref="G1110">Comp1[[#This Row],[Comparable '#1 Drawdown]]/MAX($B$2:B1110)</f>
        <v>-0.52543940795559674</v>
      </c>
      <c r="H1110" s="1" t="str">
        <f>IF(SUM(COUNTIF(Benchmark1[Benchmark '#1 Dates],Comp1[[#This Row],[Comparable '#1 Dates]]),COUNTIF(Benchmark2[Benchmark '#2 Dates],Comp1[[#This Row],[Comparable '#1 Dates]]))=2,"Pass","Fail")</f>
        <v>Pass</v>
      </c>
      <c r="I1110" s="1">
        <f>IFERROR(Comp1[[#This Row],[Comparable '#1 Return]]-INDEX(Benchmark1[Benchmark '#1 Return],MATCH(Comp1[[#This Row],[Comparable '#1 Dates]],Benchmark1[Benchmark '#1 Dates],0)),"-")</f>
        <v>1.0701609002315544E-2</v>
      </c>
      <c r="L1110" s="72">
        <f>Comp1[[#This Row],[Comparable '#1 Price]]/$B$2*100</f>
        <v>70.225872689938399</v>
      </c>
    </row>
    <row r="1111" spans="1:12">
      <c r="A1111" s="103">
        <v>44894</v>
      </c>
      <c r="B1111" s="104">
        <v>10.220000000000001</v>
      </c>
      <c r="C1111" s="4">
        <f t="shared" si="34"/>
        <v>-3.9062549670649885E-3</v>
      </c>
      <c r="D1111" s="1">
        <f>IFERROR(Comp1[[#This Row],[Comparable '#1 Return]]+1,"-")</f>
        <v>0.99609374503293502</v>
      </c>
      <c r="E1111" s="6">
        <f>B1111-MAX($B$2:B1111)</f>
        <v>-11.4</v>
      </c>
      <c r="F1111" s="80">
        <f t="shared" si="35"/>
        <v>714</v>
      </c>
      <c r="G1111" s="22" cm="1">
        <f t="array" ref="G1111">Comp1[[#This Row],[Comparable '#1 Drawdown]]/MAX($B$2:B1111)</f>
        <v>-0.5272895467160037</v>
      </c>
      <c r="H1111" s="1" t="str">
        <f>IF(SUM(COUNTIF(Benchmark1[Benchmark '#1 Dates],Comp1[[#This Row],[Comparable '#1 Dates]]),COUNTIF(Benchmark2[Benchmark '#2 Dates],Comp1[[#This Row],[Comparable '#1 Dates]]))=2,"Pass","Fail")</f>
        <v>Pass</v>
      </c>
      <c r="I1111" s="1">
        <f>IFERROR(Comp1[[#This Row],[Comparable '#1 Return]]-INDEX(Benchmark1[Benchmark '#1 Return],MATCH(Comp1[[#This Row],[Comparable '#1 Dates]],Benchmark1[Benchmark '#1 Dates],0)),"-")</f>
        <v>-2.311630831747302E-3</v>
      </c>
      <c r="L1111" s="72">
        <f>Comp1[[#This Row],[Comparable '#1 Price]]/$B$2*100</f>
        <v>69.952087611225195</v>
      </c>
    </row>
    <row r="1112" spans="1:12">
      <c r="A1112" s="103">
        <v>44895</v>
      </c>
      <c r="B1112" s="104">
        <v>10.48</v>
      </c>
      <c r="C1112" s="4">
        <f t="shared" si="34"/>
        <v>2.5122094117337672E-2</v>
      </c>
      <c r="D1112" s="1">
        <f>IFERROR(Comp1[[#This Row],[Comparable '#1 Return]]+1,"-")</f>
        <v>1.0251220941173376</v>
      </c>
      <c r="E1112" s="6">
        <f>B1112-MAX($B$2:B1112)</f>
        <v>-11.14</v>
      </c>
      <c r="F1112" s="80">
        <f t="shared" si="35"/>
        <v>715</v>
      </c>
      <c r="G1112" s="22" cm="1">
        <f t="array" ref="G1112">Comp1[[#This Row],[Comparable '#1 Drawdown]]/MAX($B$2:B1112)</f>
        <v>-0.51526364477335795</v>
      </c>
      <c r="H1112" s="1" t="str">
        <f>IF(SUM(COUNTIF(Benchmark1[Benchmark '#1 Dates],Comp1[[#This Row],[Comparable '#1 Dates]]),COUNTIF(Benchmark2[Benchmark '#2 Dates],Comp1[[#This Row],[Comparable '#1 Dates]]))=2,"Pass","Fail")</f>
        <v>Pass</v>
      </c>
      <c r="I1112" s="1">
        <f>IFERROR(Comp1[[#This Row],[Comparable '#1 Return]]-INDEX(Benchmark1[Benchmark '#1 Return],MATCH(Comp1[[#This Row],[Comparable '#1 Dates]],Benchmark1[Benchmark '#1 Dates],0)),"-")</f>
        <v>-5.3566861559907752E-3</v>
      </c>
      <c r="L1112" s="72">
        <f>Comp1[[#This Row],[Comparable '#1 Price]]/$B$2*100</f>
        <v>71.731690622861052</v>
      </c>
    </row>
    <row r="1113" spans="1:12">
      <c r="A1113" s="103">
        <v>44896</v>
      </c>
      <c r="B1113" s="104">
        <v>10.3</v>
      </c>
      <c r="C1113" s="4">
        <f t="shared" si="34"/>
        <v>-1.7324783657306018E-2</v>
      </c>
      <c r="D1113" s="1">
        <f>IFERROR(Comp1[[#This Row],[Comparable '#1 Return]]+1,"-")</f>
        <v>0.98267521634269395</v>
      </c>
      <c r="E1113" s="6">
        <f>B1113-MAX($B$2:B1113)</f>
        <v>-11.32</v>
      </c>
      <c r="F1113" s="80">
        <f t="shared" si="35"/>
        <v>716</v>
      </c>
      <c r="G1113" s="22" cm="1">
        <f t="array" ref="G1113">Comp1[[#This Row],[Comparable '#1 Drawdown]]/MAX($B$2:B1113)</f>
        <v>-0.52358926919518967</v>
      </c>
      <c r="H1113" s="1" t="str">
        <f>IF(SUM(COUNTIF(Benchmark1[Benchmark '#1 Dates],Comp1[[#This Row],[Comparable '#1 Dates]]),COUNTIF(Benchmark2[Benchmark '#2 Dates],Comp1[[#This Row],[Comparable '#1 Dates]]))=2,"Pass","Fail")</f>
        <v>Pass</v>
      </c>
      <c r="I1113" s="1">
        <f>IFERROR(Comp1[[#This Row],[Comparable '#1 Return]]-INDEX(Benchmark1[Benchmark '#1 Return],MATCH(Comp1[[#This Row],[Comparable '#1 Dates]],Benchmark1[Benchmark '#1 Dates],0)),"-")</f>
        <v>-1.6456763165380073E-2</v>
      </c>
      <c r="L1113" s="72">
        <f>Comp1[[#This Row],[Comparable '#1 Price]]/$B$2*100</f>
        <v>70.499657768651616</v>
      </c>
    </row>
    <row r="1114" spans="1:12">
      <c r="A1114" s="103">
        <v>44897</v>
      </c>
      <c r="B1114" s="104">
        <v>10.23</v>
      </c>
      <c r="C1114" s="4">
        <f t="shared" si="34"/>
        <v>-6.8193152720549483E-3</v>
      </c>
      <c r="D1114" s="1">
        <f>IFERROR(Comp1[[#This Row],[Comparable '#1 Return]]+1,"-")</f>
        <v>0.99318068472794507</v>
      </c>
      <c r="E1114" s="6">
        <f>B1114-MAX($B$2:B1114)</f>
        <v>-11.39</v>
      </c>
      <c r="F1114" s="80">
        <f t="shared" si="35"/>
        <v>717</v>
      </c>
      <c r="G1114" s="22" cm="1">
        <f t="array" ref="G1114">Comp1[[#This Row],[Comparable '#1 Drawdown]]/MAX($B$2:B1114)</f>
        <v>-0.52682701202590199</v>
      </c>
      <c r="H1114" s="1" t="str">
        <f>IF(SUM(COUNTIF(Benchmark1[Benchmark '#1 Dates],Comp1[[#This Row],[Comparable '#1 Dates]]),COUNTIF(Benchmark2[Benchmark '#2 Dates],Comp1[[#This Row],[Comparable '#1 Dates]]))=2,"Pass","Fail")</f>
        <v>Pass</v>
      </c>
      <c r="I1114" s="1">
        <f>IFERROR(Comp1[[#This Row],[Comparable '#1 Return]]-INDEX(Benchmark1[Benchmark '#1 Return],MATCH(Comp1[[#This Row],[Comparable '#1 Dates]],Benchmark1[Benchmark '#1 Dates],0)),"-")</f>
        <v>-5.6248428194227403E-3</v>
      </c>
      <c r="L1114" s="72">
        <f>Comp1[[#This Row],[Comparable '#1 Price]]/$B$2*100</f>
        <v>70.0205338809035</v>
      </c>
    </row>
    <row r="1115" spans="1:12">
      <c r="A1115" s="103">
        <v>44900</v>
      </c>
      <c r="B1115" s="104">
        <v>10.15</v>
      </c>
      <c r="C1115" s="4">
        <f t="shared" si="34"/>
        <v>-7.8508744757387668E-3</v>
      </c>
      <c r="D1115" s="1">
        <f>IFERROR(Comp1[[#This Row],[Comparable '#1 Return]]+1,"-")</f>
        <v>0.99214912552426127</v>
      </c>
      <c r="E1115" s="6">
        <f>B1115-MAX($B$2:B1115)</f>
        <v>-11.47</v>
      </c>
      <c r="F1115" s="80">
        <f t="shared" si="35"/>
        <v>718</v>
      </c>
      <c r="G1115" s="22" cm="1">
        <f t="array" ref="G1115">Comp1[[#This Row],[Comparable '#1 Drawdown]]/MAX($B$2:B1115)</f>
        <v>-0.53052728954671602</v>
      </c>
      <c r="H1115" s="1" t="str">
        <f>IF(SUM(COUNTIF(Benchmark1[Benchmark '#1 Dates],Comp1[[#This Row],[Comparable '#1 Dates]]),COUNTIF(Benchmark2[Benchmark '#2 Dates],Comp1[[#This Row],[Comparable '#1 Dates]]))=2,"Pass","Fail")</f>
        <v>Pass</v>
      </c>
      <c r="I1115" s="1">
        <f>IFERROR(Comp1[[#This Row],[Comparable '#1 Return]]-INDEX(Benchmark1[Benchmark '#1 Return],MATCH(Comp1[[#This Row],[Comparable '#1 Dates]],Benchmark1[Benchmark '#1 Dates],0)),"-")</f>
        <v>1.0205394405747711E-2</v>
      </c>
      <c r="L1115" s="72">
        <f>Comp1[[#This Row],[Comparable '#1 Price]]/$B$2*100</f>
        <v>69.472963723477079</v>
      </c>
    </row>
    <row r="1116" spans="1:12">
      <c r="A1116" s="103">
        <v>44901</v>
      </c>
      <c r="B1116" s="104">
        <v>10.16</v>
      </c>
      <c r="C1116" s="4">
        <f t="shared" si="34"/>
        <v>9.8473666253955983E-4</v>
      </c>
      <c r="D1116" s="1">
        <f>IFERROR(Comp1[[#This Row],[Comparable '#1 Return]]+1,"-")</f>
        <v>1.0009847366625395</v>
      </c>
      <c r="E1116" s="6">
        <f>B1116-MAX($B$2:B1116)</f>
        <v>-11.46</v>
      </c>
      <c r="F1116" s="80">
        <f t="shared" si="35"/>
        <v>719</v>
      </c>
      <c r="G1116" s="22" cm="1">
        <f t="array" ref="G1116">Comp1[[#This Row],[Comparable '#1 Drawdown]]/MAX($B$2:B1116)</f>
        <v>-0.53006475485661431</v>
      </c>
      <c r="H1116" s="1" t="str">
        <f>IF(SUM(COUNTIF(Benchmark1[Benchmark '#1 Dates],Comp1[[#This Row],[Comparable '#1 Dates]]),COUNTIF(Benchmark2[Benchmark '#2 Dates],Comp1[[#This Row],[Comparable '#1 Dates]]))=2,"Pass","Fail")</f>
        <v>Pass</v>
      </c>
      <c r="I1116" s="1">
        <f>IFERROR(Comp1[[#This Row],[Comparable '#1 Return]]-INDEX(Benchmark1[Benchmark '#1 Return],MATCH(Comp1[[#This Row],[Comparable '#1 Dates]],Benchmark1[Benchmark '#1 Dates],0)),"-")</f>
        <v>1.5488605979731677E-2</v>
      </c>
      <c r="L1116" s="72">
        <f>Comp1[[#This Row],[Comparable '#1 Price]]/$B$2*100</f>
        <v>69.541409993155384</v>
      </c>
    </row>
    <row r="1117" spans="1:12">
      <c r="A1117" s="103">
        <v>44902</v>
      </c>
      <c r="B1117" s="104">
        <v>10.08</v>
      </c>
      <c r="C1117" s="4">
        <f t="shared" si="34"/>
        <v>-7.9051795071132611E-3</v>
      </c>
      <c r="D1117" s="1">
        <f>IFERROR(Comp1[[#This Row],[Comparable '#1 Return]]+1,"-")</f>
        <v>0.99209482049288678</v>
      </c>
      <c r="E1117" s="6">
        <f>B1117-MAX($B$2:B1117)</f>
        <v>-11.540000000000001</v>
      </c>
      <c r="F1117" s="80">
        <f t="shared" si="35"/>
        <v>720</v>
      </c>
      <c r="G1117" s="22" cm="1">
        <f t="array" ref="G1117">Comp1[[#This Row],[Comparable '#1 Drawdown]]/MAX($B$2:B1117)</f>
        <v>-0.53376503237742834</v>
      </c>
      <c r="H1117" s="1" t="str">
        <f>IF(SUM(COUNTIF(Benchmark1[Benchmark '#1 Dates],Comp1[[#This Row],[Comparable '#1 Dates]]),COUNTIF(Benchmark2[Benchmark '#2 Dates],Comp1[[#This Row],[Comparable '#1 Dates]]))=2,"Pass","Fail")</f>
        <v>Pass</v>
      </c>
      <c r="I1117" s="1">
        <f>IFERROR(Comp1[[#This Row],[Comparable '#1 Return]]-INDEX(Benchmark1[Benchmark '#1 Return],MATCH(Comp1[[#This Row],[Comparable '#1 Dates]],Benchmark1[Benchmark '#1 Dates],0)),"-")</f>
        <v>-6.042086184579072E-3</v>
      </c>
      <c r="L1117" s="72">
        <f>Comp1[[#This Row],[Comparable '#1 Price]]/$B$2*100</f>
        <v>68.993839835728949</v>
      </c>
    </row>
    <row r="1118" spans="1:12">
      <c r="A1118" s="103">
        <v>44903</v>
      </c>
      <c r="B1118" s="104">
        <v>9.75</v>
      </c>
      <c r="C1118" s="4">
        <f t="shared" si="34"/>
        <v>-3.3285977633466746E-2</v>
      </c>
      <c r="D1118" s="1">
        <f>IFERROR(Comp1[[#This Row],[Comparable '#1 Return]]+1,"-")</f>
        <v>0.96671402236653325</v>
      </c>
      <c r="E1118" s="6">
        <f>B1118-MAX($B$2:B1118)</f>
        <v>-11.870000000000001</v>
      </c>
      <c r="F1118" s="80">
        <f t="shared" si="35"/>
        <v>721</v>
      </c>
      <c r="G1118" s="22" cm="1">
        <f t="array" ref="G1118">Comp1[[#This Row],[Comparable '#1 Drawdown]]/MAX($B$2:B1118)</f>
        <v>-0.54902867715078629</v>
      </c>
      <c r="H1118" s="1" t="str">
        <f>IF(SUM(COUNTIF(Benchmark1[Benchmark '#1 Dates],Comp1[[#This Row],[Comparable '#1 Dates]]),COUNTIF(Benchmark2[Benchmark '#2 Dates],Comp1[[#This Row],[Comparable '#1 Dates]]))=2,"Pass","Fail")</f>
        <v>Pass</v>
      </c>
      <c r="I1118" s="1">
        <f>IFERROR(Comp1[[#This Row],[Comparable '#1 Return]]-INDEX(Benchmark1[Benchmark '#1 Return],MATCH(Comp1[[#This Row],[Comparable '#1 Dates]],Benchmark1[Benchmark '#1 Dates],0)),"-")</f>
        <v>-4.0779028022449912E-2</v>
      </c>
      <c r="L1118" s="72">
        <f>Comp1[[#This Row],[Comparable '#1 Price]]/$B$2*100</f>
        <v>66.735112936344976</v>
      </c>
    </row>
    <row r="1119" spans="1:12">
      <c r="A1119" s="103">
        <v>44904</v>
      </c>
      <c r="B1119" s="104">
        <v>9.9</v>
      </c>
      <c r="C1119" s="4">
        <f t="shared" si="34"/>
        <v>1.5267472130788381E-2</v>
      </c>
      <c r="D1119" s="1">
        <f>IFERROR(Comp1[[#This Row],[Comparable '#1 Return]]+1,"-")</f>
        <v>1.0152674721307884</v>
      </c>
      <c r="E1119" s="6">
        <f>B1119-MAX($B$2:B1119)</f>
        <v>-11.72</v>
      </c>
      <c r="F1119" s="80">
        <f t="shared" si="35"/>
        <v>722</v>
      </c>
      <c r="G1119" s="22" cm="1">
        <f t="array" ref="G1119">Comp1[[#This Row],[Comparable '#1 Drawdown]]/MAX($B$2:B1119)</f>
        <v>-0.54209065679925994</v>
      </c>
      <c r="H1119" s="1" t="str">
        <f>IF(SUM(COUNTIF(Benchmark1[Benchmark '#1 Dates],Comp1[[#This Row],[Comparable '#1 Dates]]),COUNTIF(Benchmark2[Benchmark '#2 Dates],Comp1[[#This Row],[Comparable '#1 Dates]]))=2,"Pass","Fail")</f>
        <v>Pass</v>
      </c>
      <c r="I1119" s="1">
        <f>IFERROR(Comp1[[#This Row],[Comparable '#1 Return]]-INDEX(Benchmark1[Benchmark '#1 Return],MATCH(Comp1[[#This Row],[Comparable '#1 Dates]],Benchmark1[Benchmark '#1 Dates],0)),"-")</f>
        <v>2.2645488396857507E-2</v>
      </c>
      <c r="L1119" s="72">
        <f>Comp1[[#This Row],[Comparable '#1 Price]]/$B$2*100</f>
        <v>67.761806981519513</v>
      </c>
    </row>
    <row r="1120" spans="1:12">
      <c r="A1120" s="103">
        <v>44907</v>
      </c>
      <c r="B1120" s="104">
        <v>10</v>
      </c>
      <c r="C1120" s="4">
        <f t="shared" si="34"/>
        <v>1.0050335853501506E-2</v>
      </c>
      <c r="D1120" s="1">
        <f>IFERROR(Comp1[[#This Row],[Comparable '#1 Return]]+1,"-")</f>
        <v>1.0100503358535016</v>
      </c>
      <c r="E1120" s="6">
        <f>B1120-MAX($B$2:B1120)</f>
        <v>-11.620000000000001</v>
      </c>
      <c r="F1120" s="80">
        <f t="shared" si="35"/>
        <v>723</v>
      </c>
      <c r="G1120" s="22" cm="1">
        <f t="array" ref="G1120">Comp1[[#This Row],[Comparable '#1 Drawdown]]/MAX($B$2:B1120)</f>
        <v>-0.53746530989824237</v>
      </c>
      <c r="H1120" s="1" t="str">
        <f>IF(SUM(COUNTIF(Benchmark1[Benchmark '#1 Dates],Comp1[[#This Row],[Comparable '#1 Dates]]),COUNTIF(Benchmark2[Benchmark '#2 Dates],Comp1[[#This Row],[Comparable '#1 Dates]]))=2,"Pass","Fail")</f>
        <v>Pass</v>
      </c>
      <c r="I1120" s="1">
        <f>IFERROR(Comp1[[#This Row],[Comparable '#1 Return]]-INDEX(Benchmark1[Benchmark '#1 Return],MATCH(Comp1[[#This Row],[Comparable '#1 Dates]],Benchmark1[Benchmark '#1 Dates],0)),"-")</f>
        <v>-4.1281911229422378E-3</v>
      </c>
      <c r="L1120" s="72">
        <f>Comp1[[#This Row],[Comparable '#1 Price]]/$B$2*100</f>
        <v>68.446269678302542</v>
      </c>
    </row>
    <row r="1121" spans="1:12">
      <c r="A1121" s="103">
        <v>44908</v>
      </c>
      <c r="B1121" s="104">
        <v>10.119999999999999</v>
      </c>
      <c r="C1121" s="4">
        <f t="shared" si="34"/>
        <v>1.1928570865273812E-2</v>
      </c>
      <c r="D1121" s="1">
        <f>IFERROR(Comp1[[#This Row],[Comparable '#1 Return]]+1,"-")</f>
        <v>1.0119285708652739</v>
      </c>
      <c r="E1121" s="6">
        <f>B1121-MAX($B$2:B1121)</f>
        <v>-11.500000000000002</v>
      </c>
      <c r="F1121" s="80">
        <f t="shared" si="35"/>
        <v>724</v>
      </c>
      <c r="G1121" s="22" cm="1">
        <f t="array" ref="G1121">Comp1[[#This Row],[Comparable '#1 Drawdown]]/MAX($B$2:B1121)</f>
        <v>-0.53191489361702138</v>
      </c>
      <c r="H1121" s="1" t="str">
        <f>IF(SUM(COUNTIF(Benchmark1[Benchmark '#1 Dates],Comp1[[#This Row],[Comparable '#1 Dates]]),COUNTIF(Benchmark2[Benchmark '#2 Dates],Comp1[[#This Row],[Comparable '#1 Dates]]))=2,"Pass","Fail")</f>
        <v>Pass</v>
      </c>
      <c r="I1121" s="1">
        <f>IFERROR(Comp1[[#This Row],[Comparable '#1 Return]]-INDEX(Benchmark1[Benchmark '#1 Return],MATCH(Comp1[[#This Row],[Comparable '#1 Dates]],Benchmark1[Benchmark '#1 Dates],0)),"-")</f>
        <v>4.6635905274422847E-3</v>
      </c>
      <c r="L1121" s="72">
        <f>Comp1[[#This Row],[Comparable '#1 Price]]/$B$2*100</f>
        <v>69.267624914442166</v>
      </c>
    </row>
    <row r="1122" spans="1:12">
      <c r="A1122" s="103">
        <v>44909</v>
      </c>
      <c r="B1122" s="104">
        <v>10</v>
      </c>
      <c r="C1122" s="4">
        <f t="shared" si="34"/>
        <v>-1.1928570865273732E-2</v>
      </c>
      <c r="D1122" s="1">
        <f>IFERROR(Comp1[[#This Row],[Comparable '#1 Return]]+1,"-")</f>
        <v>0.98807142913472623</v>
      </c>
      <c r="E1122" s="6">
        <f>B1122-MAX($B$2:B1122)</f>
        <v>-11.620000000000001</v>
      </c>
      <c r="F1122" s="80">
        <f t="shared" si="35"/>
        <v>725</v>
      </c>
      <c r="G1122" s="22" cm="1">
        <f t="array" ref="G1122">Comp1[[#This Row],[Comparable '#1 Drawdown]]/MAX($B$2:B1122)</f>
        <v>-0.53746530989824237</v>
      </c>
      <c r="H1122" s="1" t="str">
        <f>IF(SUM(COUNTIF(Benchmark1[Benchmark '#1 Dates],Comp1[[#This Row],[Comparable '#1 Dates]]),COUNTIF(Benchmark2[Benchmark '#2 Dates],Comp1[[#This Row],[Comparable '#1 Dates]]))=2,"Pass","Fail")</f>
        <v>Pass</v>
      </c>
      <c r="I1122" s="1">
        <f>IFERROR(Comp1[[#This Row],[Comparable '#1 Return]]-INDEX(Benchmark1[Benchmark '#1 Return],MATCH(Comp1[[#This Row],[Comparable '#1 Dates]],Benchmark1[Benchmark '#1 Dates],0)),"-")</f>
        <v>-5.8560072833767664E-3</v>
      </c>
      <c r="L1122" s="72">
        <f>Comp1[[#This Row],[Comparable '#1 Price]]/$B$2*100</f>
        <v>68.446269678302542</v>
      </c>
    </row>
    <row r="1123" spans="1:12">
      <c r="A1123" s="103">
        <v>44910</v>
      </c>
      <c r="B1123" s="104">
        <v>9.94</v>
      </c>
      <c r="C1123" s="4">
        <f t="shared" si="34"/>
        <v>-6.0180723255630212E-3</v>
      </c>
      <c r="D1123" s="1">
        <f>IFERROR(Comp1[[#This Row],[Comparable '#1 Return]]+1,"-")</f>
        <v>0.99398192767443694</v>
      </c>
      <c r="E1123" s="6">
        <f>B1123-MAX($B$2:B1123)</f>
        <v>-11.680000000000001</v>
      </c>
      <c r="F1123" s="80">
        <f t="shared" si="35"/>
        <v>726</v>
      </c>
      <c r="G1123" s="22" cm="1">
        <f t="array" ref="G1123">Comp1[[#This Row],[Comparable '#1 Drawdown]]/MAX($B$2:B1123)</f>
        <v>-0.54024051803885298</v>
      </c>
      <c r="H1123" s="1" t="str">
        <f>IF(SUM(COUNTIF(Benchmark1[Benchmark '#1 Dates],Comp1[[#This Row],[Comparable '#1 Dates]]),COUNTIF(Benchmark2[Benchmark '#2 Dates],Comp1[[#This Row],[Comparable '#1 Dates]]))=2,"Pass","Fail")</f>
        <v>Pass</v>
      </c>
      <c r="I1123" s="1">
        <f>IFERROR(Comp1[[#This Row],[Comparable '#1 Return]]-INDEX(Benchmark1[Benchmark '#1 Return],MATCH(Comp1[[#This Row],[Comparable '#1 Dates]],Benchmark1[Benchmark '#1 Dates],0)),"-")</f>
        <v>1.9218210152920745E-2</v>
      </c>
      <c r="L1123" s="72">
        <f>Comp1[[#This Row],[Comparable '#1 Price]]/$B$2*100</f>
        <v>68.035592060232716</v>
      </c>
    </row>
    <row r="1124" spans="1:12">
      <c r="A1124" s="103">
        <v>44911</v>
      </c>
      <c r="B1124" s="104">
        <v>9.49</v>
      </c>
      <c r="C1124" s="4">
        <f t="shared" si="34"/>
        <v>-4.6328408046646077E-2</v>
      </c>
      <c r="D1124" s="1">
        <f>IFERROR(Comp1[[#This Row],[Comparable '#1 Return]]+1,"-")</f>
        <v>0.95367159195335394</v>
      </c>
      <c r="E1124" s="6">
        <f>B1124-MAX($B$2:B1124)</f>
        <v>-12.13</v>
      </c>
      <c r="F1124" s="80">
        <f t="shared" si="35"/>
        <v>727</v>
      </c>
      <c r="G1124" s="22" cm="1">
        <f t="array" ref="G1124">Comp1[[#This Row],[Comparable '#1 Drawdown]]/MAX($B$2:B1124)</f>
        <v>-0.56105457909343204</v>
      </c>
      <c r="H1124" s="1" t="str">
        <f>IF(SUM(COUNTIF(Benchmark1[Benchmark '#1 Dates],Comp1[[#This Row],[Comparable '#1 Dates]]),COUNTIF(Benchmark2[Benchmark '#2 Dates],Comp1[[#This Row],[Comparable '#1 Dates]]))=2,"Pass","Fail")</f>
        <v>Pass</v>
      </c>
      <c r="I1124" s="1">
        <f>IFERROR(Comp1[[#This Row],[Comparable '#1 Return]]-INDEX(Benchmark1[Benchmark '#1 Return],MATCH(Comp1[[#This Row],[Comparable '#1 Dates]],Benchmark1[Benchmark '#1 Dates],0)),"-")</f>
        <v>-3.5128213515370869E-2</v>
      </c>
      <c r="L1124" s="72">
        <f>Comp1[[#This Row],[Comparable '#1 Price]]/$B$2*100</f>
        <v>64.955509924709105</v>
      </c>
    </row>
    <row r="1125" spans="1:12">
      <c r="A1125" s="103">
        <v>44914</v>
      </c>
      <c r="B1125" s="104">
        <v>9.33</v>
      </c>
      <c r="C1125" s="4">
        <f t="shared" si="34"/>
        <v>-1.7003597762584057E-2</v>
      </c>
      <c r="D1125" s="1">
        <f>IFERROR(Comp1[[#This Row],[Comparable '#1 Return]]+1,"-")</f>
        <v>0.98299640223741591</v>
      </c>
      <c r="E1125" s="6">
        <f>B1125-MAX($B$2:B1125)</f>
        <v>-12.290000000000001</v>
      </c>
      <c r="F1125" s="80">
        <f t="shared" si="35"/>
        <v>728</v>
      </c>
      <c r="G1125" s="22" cm="1">
        <f t="array" ref="G1125">Comp1[[#This Row],[Comparable '#1 Drawdown]]/MAX($B$2:B1125)</f>
        <v>-0.5684551341350601</v>
      </c>
      <c r="H1125" s="1" t="str">
        <f>IF(SUM(COUNTIF(Benchmark1[Benchmark '#1 Dates],Comp1[[#This Row],[Comparable '#1 Dates]]),COUNTIF(Benchmark2[Benchmark '#2 Dates],Comp1[[#This Row],[Comparable '#1 Dates]]))=2,"Pass","Fail")</f>
        <v>Pass</v>
      </c>
      <c r="I1125" s="1">
        <f>IFERROR(Comp1[[#This Row],[Comparable '#1 Return]]-INDEX(Benchmark1[Benchmark '#1 Return],MATCH(Comp1[[#This Row],[Comparable '#1 Dates]],Benchmark1[Benchmark '#1 Dates],0)),"-")</f>
        <v>-7.9539048436409673E-3</v>
      </c>
      <c r="L1125" s="72">
        <f>Comp1[[#This Row],[Comparable '#1 Price]]/$B$2*100</f>
        <v>63.860369609856271</v>
      </c>
    </row>
    <row r="1126" spans="1:12">
      <c r="A1126" s="103">
        <v>44915</v>
      </c>
      <c r="B1126" s="104">
        <v>9.41</v>
      </c>
      <c r="C1126" s="4">
        <f t="shared" si="34"/>
        <v>8.5379387380358704E-3</v>
      </c>
      <c r="D1126" s="1">
        <f>IFERROR(Comp1[[#This Row],[Comparable '#1 Return]]+1,"-")</f>
        <v>1.0085379387380358</v>
      </c>
      <c r="E1126" s="6">
        <f>B1126-MAX($B$2:B1126)</f>
        <v>-12.21</v>
      </c>
      <c r="F1126" s="80">
        <f t="shared" si="35"/>
        <v>729</v>
      </c>
      <c r="G1126" s="22" cm="1">
        <f t="array" ref="G1126">Comp1[[#This Row],[Comparable '#1 Drawdown]]/MAX($B$2:B1126)</f>
        <v>-0.56475485661424607</v>
      </c>
      <c r="H1126" s="1" t="str">
        <f>IF(SUM(COUNTIF(Benchmark1[Benchmark '#1 Dates],Comp1[[#This Row],[Comparable '#1 Dates]]),COUNTIF(Benchmark2[Benchmark '#2 Dates],Comp1[[#This Row],[Comparable '#1 Dates]]))=2,"Pass","Fail")</f>
        <v>Pass</v>
      </c>
      <c r="I1126" s="1">
        <f>IFERROR(Comp1[[#This Row],[Comparable '#1 Return]]-INDEX(Benchmark1[Benchmark '#1 Return],MATCH(Comp1[[#This Row],[Comparable '#1 Dates]],Benchmark1[Benchmark '#1 Dates],0)),"-")</f>
        <v>7.5008771747498253E-3</v>
      </c>
      <c r="L1126" s="72">
        <f>Comp1[[#This Row],[Comparable '#1 Price]]/$B$2*100</f>
        <v>64.407939767282684</v>
      </c>
    </row>
    <row r="1127" spans="1:12">
      <c r="A1127" s="103">
        <v>44916</v>
      </c>
      <c r="B1127" s="104">
        <v>9.68</v>
      </c>
      <c r="C1127" s="4">
        <f t="shared" si="34"/>
        <v>2.8288947691197251E-2</v>
      </c>
      <c r="D1127" s="1">
        <f>IFERROR(Comp1[[#This Row],[Comparable '#1 Return]]+1,"-")</f>
        <v>1.0282889476911972</v>
      </c>
      <c r="E1127" s="6">
        <f>B1127-MAX($B$2:B1127)</f>
        <v>-11.940000000000001</v>
      </c>
      <c r="F1127" s="80">
        <f t="shared" si="35"/>
        <v>730</v>
      </c>
      <c r="G1127" s="22" cm="1">
        <f t="array" ref="G1127">Comp1[[#This Row],[Comparable '#1 Drawdown]]/MAX($B$2:B1127)</f>
        <v>-0.55226641998149861</v>
      </c>
      <c r="H1127" s="1" t="str">
        <f>IF(SUM(COUNTIF(Benchmark1[Benchmark '#1 Dates],Comp1[[#This Row],[Comparable '#1 Dates]]),COUNTIF(Benchmark2[Benchmark '#2 Dates],Comp1[[#This Row],[Comparable '#1 Dates]]))=2,"Pass","Fail")</f>
        <v>Pass</v>
      </c>
      <c r="I1127" s="1">
        <f>IFERROR(Comp1[[#This Row],[Comparable '#1 Return]]-INDEX(Benchmark1[Benchmark '#1 Return],MATCH(Comp1[[#This Row],[Comparable '#1 Dates]],Benchmark1[Benchmark '#1 Dates],0)),"-")</f>
        <v>1.3530192285671599E-2</v>
      </c>
      <c r="L1127" s="72">
        <f>Comp1[[#This Row],[Comparable '#1 Price]]/$B$2*100</f>
        <v>66.255989048596859</v>
      </c>
    </row>
    <row r="1128" spans="1:12">
      <c r="A1128" s="103">
        <v>44917</v>
      </c>
      <c r="B1128" s="104">
        <v>9.69</v>
      </c>
      <c r="C1128" s="4">
        <f t="shared" si="34"/>
        <v>1.032524614189184E-3</v>
      </c>
      <c r="D1128" s="1">
        <f>IFERROR(Comp1[[#This Row],[Comparable '#1 Return]]+1,"-")</f>
        <v>1.0010325246141891</v>
      </c>
      <c r="E1128" s="6">
        <f>B1128-MAX($B$2:B1128)</f>
        <v>-11.930000000000001</v>
      </c>
      <c r="F1128" s="80">
        <f t="shared" si="35"/>
        <v>731</v>
      </c>
      <c r="G1128" s="22" cm="1">
        <f t="array" ref="G1128">Comp1[[#This Row],[Comparable '#1 Drawdown]]/MAX($B$2:B1128)</f>
        <v>-0.5518038852913969</v>
      </c>
      <c r="H1128" s="1" t="str">
        <f>IF(SUM(COUNTIF(Benchmark1[Benchmark '#1 Dates],Comp1[[#This Row],[Comparable '#1 Dates]]),COUNTIF(Benchmark2[Benchmark '#2 Dates],Comp1[[#This Row],[Comparable '#1 Dates]]))=2,"Pass","Fail")</f>
        <v>Pass</v>
      </c>
      <c r="I1128" s="1">
        <f>IFERROR(Comp1[[#This Row],[Comparable '#1 Return]]-INDEX(Benchmark1[Benchmark '#1 Return],MATCH(Comp1[[#This Row],[Comparable '#1 Dates]],Benchmark1[Benchmark '#1 Dates],0)),"-")</f>
        <v>1.5590514729180799E-2</v>
      </c>
      <c r="L1128" s="72">
        <f>Comp1[[#This Row],[Comparable '#1 Price]]/$B$2*100</f>
        <v>66.32443531827515</v>
      </c>
    </row>
    <row r="1129" spans="1:12">
      <c r="A1129" s="103">
        <v>44918</v>
      </c>
      <c r="B1129" s="104">
        <v>9.68</v>
      </c>
      <c r="C1129" s="4">
        <f t="shared" si="34"/>
        <v>-1.032524614189153E-3</v>
      </c>
      <c r="D1129" s="1">
        <f>IFERROR(Comp1[[#This Row],[Comparable '#1 Return]]+1,"-")</f>
        <v>0.99896747538581088</v>
      </c>
      <c r="E1129" s="6">
        <f>B1129-MAX($B$2:B1129)</f>
        <v>-11.940000000000001</v>
      </c>
      <c r="F1129" s="80">
        <f t="shared" si="35"/>
        <v>732</v>
      </c>
      <c r="G1129" s="22" cm="1">
        <f t="array" ref="G1129">Comp1[[#This Row],[Comparable '#1 Drawdown]]/MAX($B$2:B1129)</f>
        <v>-0.55226641998149861</v>
      </c>
      <c r="H1129" s="1" t="str">
        <f>IF(SUM(COUNTIF(Benchmark1[Benchmark '#1 Dates],Comp1[[#This Row],[Comparable '#1 Dates]]),COUNTIF(Benchmark2[Benchmark '#2 Dates],Comp1[[#This Row],[Comparable '#1 Dates]]))=2,"Pass","Fail")</f>
        <v>Pass</v>
      </c>
      <c r="I1129" s="1">
        <f>IFERROR(Comp1[[#This Row],[Comparable '#1 Return]]-INDEX(Benchmark1[Benchmark '#1 Return],MATCH(Comp1[[#This Row],[Comparable '#1 Dates]],Benchmark1[Benchmark '#1 Dates],0)),"-")</f>
        <v>-6.8830054979585244E-3</v>
      </c>
      <c r="L1129" s="72">
        <f>Comp1[[#This Row],[Comparable '#1 Price]]/$B$2*100</f>
        <v>66.255989048596859</v>
      </c>
    </row>
    <row r="1130" spans="1:12">
      <c r="A1130" s="103">
        <v>44922</v>
      </c>
      <c r="B1130" s="104">
        <v>9.7799999999999994</v>
      </c>
      <c r="C1130" s="4">
        <f t="shared" si="34"/>
        <v>1.027758275824023E-2</v>
      </c>
      <c r="D1130" s="1">
        <f>IFERROR(Comp1[[#This Row],[Comparable '#1 Return]]+1,"-")</f>
        <v>1.0102775827582402</v>
      </c>
      <c r="E1130" s="6">
        <f>B1130-MAX($B$2:B1130)</f>
        <v>-11.840000000000002</v>
      </c>
      <c r="F1130" s="80">
        <f t="shared" si="35"/>
        <v>733</v>
      </c>
      <c r="G1130" s="22" cm="1">
        <f t="array" ref="G1130">Comp1[[#This Row],[Comparable '#1 Drawdown]]/MAX($B$2:B1130)</f>
        <v>-0.54764107308048104</v>
      </c>
      <c r="H1130" s="1" t="str">
        <f>IF(SUM(COUNTIF(Benchmark1[Benchmark '#1 Dates],Comp1[[#This Row],[Comparable '#1 Dates]]),COUNTIF(Benchmark2[Benchmark '#2 Dates],Comp1[[#This Row],[Comparable '#1 Dates]]))=2,"Pass","Fail")</f>
        <v>Pass</v>
      </c>
      <c r="I1130" s="1">
        <f>IFERROR(Comp1[[#This Row],[Comparable '#1 Return]]-INDEX(Benchmark1[Benchmark '#1 Return],MATCH(Comp1[[#This Row],[Comparable '#1 Dates]],Benchmark1[Benchmark '#1 Dates],0)),"-")</f>
        <v>1.43343120537733E-2</v>
      </c>
      <c r="L1130" s="72">
        <f>Comp1[[#This Row],[Comparable '#1 Price]]/$B$2*100</f>
        <v>66.940451745379875</v>
      </c>
    </row>
    <row r="1131" spans="1:12">
      <c r="A1131" s="103">
        <v>44923</v>
      </c>
      <c r="B1131" s="104">
        <v>9.67</v>
      </c>
      <c r="C1131" s="4">
        <f t="shared" si="34"/>
        <v>-1.1311174581522906E-2</v>
      </c>
      <c r="D1131" s="1">
        <f>IFERROR(Comp1[[#This Row],[Comparable '#1 Return]]+1,"-")</f>
        <v>0.98868882541847714</v>
      </c>
      <c r="E1131" s="6">
        <f>B1131-MAX($B$2:B1131)</f>
        <v>-11.950000000000001</v>
      </c>
      <c r="F1131" s="80">
        <f t="shared" si="35"/>
        <v>734</v>
      </c>
      <c r="G1131" s="22" cm="1">
        <f t="array" ref="G1131">Comp1[[#This Row],[Comparable '#1 Drawdown]]/MAX($B$2:B1131)</f>
        <v>-0.55272895467160044</v>
      </c>
      <c r="H1131" s="1" t="str">
        <f>IF(SUM(COUNTIF(Benchmark1[Benchmark '#1 Dates],Comp1[[#This Row],[Comparable '#1 Dates]]),COUNTIF(Benchmark2[Benchmark '#2 Dates],Comp1[[#This Row],[Comparable '#1 Dates]]))=2,"Pass","Fail")</f>
        <v>Pass</v>
      </c>
      <c r="I1131" s="1">
        <f>IFERROR(Comp1[[#This Row],[Comparable '#1 Return]]-INDEX(Benchmark1[Benchmark '#1 Return],MATCH(Comp1[[#This Row],[Comparable '#1 Dates]],Benchmark1[Benchmark '#1 Dates],0)),"-")</f>
        <v>7.8158604119003307E-4</v>
      </c>
      <c r="L1131" s="72">
        <f>Comp1[[#This Row],[Comparable '#1 Price]]/$B$2*100</f>
        <v>66.187542778918555</v>
      </c>
    </row>
    <row r="1132" spans="1:12">
      <c r="A1132" s="103">
        <v>44924</v>
      </c>
      <c r="B1132" s="104">
        <v>9.7899999999999991</v>
      </c>
      <c r="C1132" s="4">
        <f t="shared" si="34"/>
        <v>1.2333147077216073E-2</v>
      </c>
      <c r="D1132" s="1">
        <f>IFERROR(Comp1[[#This Row],[Comparable '#1 Return]]+1,"-")</f>
        <v>1.0123331470772161</v>
      </c>
      <c r="E1132" s="6">
        <f>B1132-MAX($B$2:B1132)</f>
        <v>-11.830000000000002</v>
      </c>
      <c r="F1132" s="80">
        <f t="shared" si="35"/>
        <v>735</v>
      </c>
      <c r="G1132" s="22" cm="1">
        <f t="array" ref="G1132">Comp1[[#This Row],[Comparable '#1 Drawdown]]/MAX($B$2:B1132)</f>
        <v>-0.54717853839037933</v>
      </c>
      <c r="H1132" s="1" t="str">
        <f>IF(SUM(COUNTIF(Benchmark1[Benchmark '#1 Dates],Comp1[[#This Row],[Comparable '#1 Dates]]),COUNTIF(Benchmark2[Benchmark '#2 Dates],Comp1[[#This Row],[Comparable '#1 Dates]]))=2,"Pass","Fail")</f>
        <v>Pass</v>
      </c>
      <c r="I1132" s="1">
        <f>IFERROR(Comp1[[#This Row],[Comparable '#1 Return]]-INDEX(Benchmark1[Benchmark '#1 Return],MATCH(Comp1[[#This Row],[Comparable '#1 Dates]],Benchmark1[Benchmark '#1 Dates],0)),"-")</f>
        <v>-4.9778045311948994E-3</v>
      </c>
      <c r="L1132" s="72">
        <f>Comp1[[#This Row],[Comparable '#1 Price]]/$B$2*100</f>
        <v>67.008898015058165</v>
      </c>
    </row>
    <row r="1133" spans="1:12">
      <c r="A1133" s="103">
        <v>44925</v>
      </c>
      <c r="B1133" s="104">
        <v>9.6199999999999992</v>
      </c>
      <c r="C1133" s="4">
        <f t="shared" si="34"/>
        <v>-1.7517191864803893E-2</v>
      </c>
      <c r="D1133" s="1">
        <f>IFERROR(Comp1[[#This Row],[Comparable '#1 Return]]+1,"-")</f>
        <v>0.98248280813519606</v>
      </c>
      <c r="E1133" s="6">
        <f>B1133-MAX($B$2:B1133)</f>
        <v>-12.000000000000002</v>
      </c>
      <c r="F1133" s="80">
        <f t="shared" si="35"/>
        <v>736</v>
      </c>
      <c r="G1133" s="22" cm="1">
        <f t="array" ref="G1133">Comp1[[#This Row],[Comparable '#1 Drawdown]]/MAX($B$2:B1133)</f>
        <v>-0.55504162812210922</v>
      </c>
      <c r="H1133" s="1" t="str">
        <f>IF(SUM(COUNTIF(Benchmark1[Benchmark '#1 Dates],Comp1[[#This Row],[Comparable '#1 Dates]]),COUNTIF(Benchmark2[Benchmark '#2 Dates],Comp1[[#This Row],[Comparable '#1 Dates]]))=2,"Pass","Fail")</f>
        <v>Pass</v>
      </c>
      <c r="I1133" s="1">
        <f>IFERROR(Comp1[[#This Row],[Comparable '#1 Return]]-INDEX(Benchmark1[Benchmark '#1 Return],MATCH(Comp1[[#This Row],[Comparable '#1 Dates]],Benchmark1[Benchmark '#1 Dates],0)),"-")</f>
        <v>-1.497149595702708E-2</v>
      </c>
      <c r="L1133" s="72">
        <f>Comp1[[#This Row],[Comparable '#1 Price]]/$B$2*100</f>
        <v>65.845311430527033</v>
      </c>
    </row>
    <row r="1134" spans="1:12">
      <c r="A1134" s="103">
        <v>44929</v>
      </c>
      <c r="B1134" s="104">
        <v>9.83</v>
      </c>
      <c r="C1134" s="4">
        <f t="shared" si="34"/>
        <v>2.1594669481460146E-2</v>
      </c>
      <c r="D1134" s="1">
        <f>IFERROR(Comp1[[#This Row],[Comparable '#1 Return]]+1,"-")</f>
        <v>1.0215946694814602</v>
      </c>
      <c r="E1134" s="6">
        <f>B1134-MAX($B$2:B1134)</f>
        <v>-11.790000000000001</v>
      </c>
      <c r="F1134" s="80">
        <f t="shared" si="35"/>
        <v>737</v>
      </c>
      <c r="G1134" s="22" cm="1">
        <f t="array" ref="G1134">Comp1[[#This Row],[Comparable '#1 Drawdown]]/MAX($B$2:B1134)</f>
        <v>-0.54532839962997226</v>
      </c>
      <c r="H1134" s="1" t="str">
        <f>IF(SUM(COUNTIF(Benchmark1[Benchmark '#1 Dates],Comp1[[#This Row],[Comparable '#1 Dates]]),COUNTIF(Benchmark2[Benchmark '#2 Dates],Comp1[[#This Row],[Comparable '#1 Dates]]))=2,"Pass","Fail")</f>
        <v>Pass</v>
      </c>
      <c r="I1134" s="1">
        <f>IFERROR(Comp1[[#This Row],[Comparable '#1 Return]]-INDEX(Benchmark1[Benchmark '#1 Return],MATCH(Comp1[[#This Row],[Comparable '#1 Dates]],Benchmark1[Benchmark '#1 Dates],0)),"-")</f>
        <v>2.5602800702933064E-2</v>
      </c>
      <c r="L1134" s="72">
        <f>Comp1[[#This Row],[Comparable '#1 Price]]/$B$2*100</f>
        <v>67.282683093771396</v>
      </c>
    </row>
    <row r="1135" spans="1:12">
      <c r="A1135" s="103">
        <v>44930</v>
      </c>
      <c r="B1135" s="104">
        <v>9.8000000000000007</v>
      </c>
      <c r="C1135" s="4">
        <f t="shared" si="34"/>
        <v>-3.0565484825488781E-3</v>
      </c>
      <c r="D1135" s="1">
        <f>IFERROR(Comp1[[#This Row],[Comparable '#1 Return]]+1,"-")</f>
        <v>0.99694345151745112</v>
      </c>
      <c r="E1135" s="6">
        <f>B1135-MAX($B$2:B1135)</f>
        <v>-11.82</v>
      </c>
      <c r="F1135" s="80">
        <f t="shared" si="35"/>
        <v>738</v>
      </c>
      <c r="G1135" s="22" cm="1">
        <f t="array" ref="G1135">Comp1[[#This Row],[Comparable '#1 Drawdown]]/MAX($B$2:B1135)</f>
        <v>-0.54671600370027751</v>
      </c>
      <c r="H1135" s="1" t="str">
        <f>IF(SUM(COUNTIF(Benchmark1[Benchmark '#1 Dates],Comp1[[#This Row],[Comparable '#1 Dates]]),COUNTIF(Benchmark2[Benchmark '#2 Dates],Comp1[[#This Row],[Comparable '#1 Dates]]))=2,"Pass","Fail")</f>
        <v>Pass</v>
      </c>
      <c r="I1135" s="1">
        <f>IFERROR(Comp1[[#This Row],[Comparable '#1 Return]]-INDEX(Benchmark1[Benchmark '#1 Return],MATCH(Comp1[[#This Row],[Comparable '#1 Dates]],Benchmark1[Benchmark '#1 Dates],0)),"-")</f>
        <v>-1.056655852551437E-2</v>
      </c>
      <c r="L1135" s="72">
        <f>Comp1[[#This Row],[Comparable '#1 Price]]/$B$2*100</f>
        <v>67.077344284736483</v>
      </c>
    </row>
    <row r="1136" spans="1:12">
      <c r="A1136" s="103">
        <v>44931</v>
      </c>
      <c r="B1136" s="104">
        <v>9.76</v>
      </c>
      <c r="C1136" s="4">
        <f t="shared" si="34"/>
        <v>-4.0899852515251661E-3</v>
      </c>
      <c r="D1136" s="1">
        <f>IFERROR(Comp1[[#This Row],[Comparable '#1 Return]]+1,"-")</f>
        <v>0.99591001474847485</v>
      </c>
      <c r="E1136" s="6">
        <f>B1136-MAX($B$2:B1136)</f>
        <v>-11.860000000000001</v>
      </c>
      <c r="F1136" s="80">
        <f t="shared" si="35"/>
        <v>739</v>
      </c>
      <c r="G1136" s="22" cm="1">
        <f t="array" ref="G1136">Comp1[[#This Row],[Comparable '#1 Drawdown]]/MAX($B$2:B1136)</f>
        <v>-0.54856614246068458</v>
      </c>
      <c r="H1136" s="1" t="str">
        <f>IF(SUM(COUNTIF(Benchmark1[Benchmark '#1 Dates],Comp1[[#This Row],[Comparable '#1 Dates]]),COUNTIF(Benchmark2[Benchmark '#2 Dates],Comp1[[#This Row],[Comparable '#1 Dates]]))=2,"Pass","Fail")</f>
        <v>Pass</v>
      </c>
      <c r="I1136" s="1">
        <f>IFERROR(Comp1[[#This Row],[Comparable '#1 Return]]-INDEX(Benchmark1[Benchmark '#1 Return],MATCH(Comp1[[#This Row],[Comparable '#1 Dates]],Benchmark1[Benchmark '#1 Dates],0)),"-")</f>
        <v>7.6220140057137887E-3</v>
      </c>
      <c r="L1136" s="72">
        <f>Comp1[[#This Row],[Comparable '#1 Price]]/$B$2*100</f>
        <v>66.80355920602328</v>
      </c>
    </row>
    <row r="1137" spans="1:12">
      <c r="A1137" s="103">
        <v>44932</v>
      </c>
      <c r="B1137" s="104">
        <v>9.75</v>
      </c>
      <c r="C1137" s="4">
        <f t="shared" si="34"/>
        <v>-1.025115415245297E-3</v>
      </c>
      <c r="D1137" s="1">
        <f>IFERROR(Comp1[[#This Row],[Comparable '#1 Return]]+1,"-")</f>
        <v>0.9989748845847547</v>
      </c>
      <c r="E1137" s="6">
        <f>B1137-MAX($B$2:B1137)</f>
        <v>-11.870000000000001</v>
      </c>
      <c r="F1137" s="80">
        <f t="shared" si="35"/>
        <v>740</v>
      </c>
      <c r="G1137" s="22" cm="1">
        <f t="array" ref="G1137">Comp1[[#This Row],[Comparable '#1 Drawdown]]/MAX($B$2:B1137)</f>
        <v>-0.54902867715078629</v>
      </c>
      <c r="H1137" s="1" t="str">
        <f>IF(SUM(COUNTIF(Benchmark1[Benchmark '#1 Dates],Comp1[[#This Row],[Comparable '#1 Dates]]),COUNTIF(Benchmark2[Benchmark '#2 Dates],Comp1[[#This Row],[Comparable '#1 Dates]]))=2,"Pass","Fail")</f>
        <v>Pass</v>
      </c>
      <c r="I1137" s="1">
        <f>IFERROR(Comp1[[#This Row],[Comparable '#1 Return]]-INDEX(Benchmark1[Benchmark '#1 Return],MATCH(Comp1[[#This Row],[Comparable '#1 Dates]],Benchmark1[Benchmark '#1 Dates],0)),"-")</f>
        <v>-2.3607055429854369E-2</v>
      </c>
      <c r="L1137" s="72">
        <f>Comp1[[#This Row],[Comparable '#1 Price]]/$B$2*100</f>
        <v>66.735112936344976</v>
      </c>
    </row>
    <row r="1138" spans="1:12">
      <c r="A1138" s="103">
        <v>44935</v>
      </c>
      <c r="B1138" s="104">
        <v>9.61</v>
      </c>
      <c r="C1138" s="4">
        <f t="shared" si="34"/>
        <v>-1.44630620275547E-2</v>
      </c>
      <c r="D1138" s="1">
        <f>IFERROR(Comp1[[#This Row],[Comparable '#1 Return]]+1,"-")</f>
        <v>0.98553693797244535</v>
      </c>
      <c r="E1138" s="6">
        <f>B1138-MAX($B$2:B1138)</f>
        <v>-12.010000000000002</v>
      </c>
      <c r="F1138" s="80">
        <f t="shared" si="35"/>
        <v>741</v>
      </c>
      <c r="G1138" s="22" cm="1">
        <f t="array" ref="G1138">Comp1[[#This Row],[Comparable '#1 Drawdown]]/MAX($B$2:B1138)</f>
        <v>-0.55550416281221093</v>
      </c>
      <c r="H1138" s="1" t="str">
        <f>IF(SUM(COUNTIF(Benchmark1[Benchmark '#1 Dates],Comp1[[#This Row],[Comparable '#1 Dates]]),COUNTIF(Benchmark2[Benchmark '#2 Dates],Comp1[[#This Row],[Comparable '#1 Dates]]))=2,"Pass","Fail")</f>
        <v>Pass</v>
      </c>
      <c r="I1138" s="1">
        <f>IFERROR(Comp1[[#This Row],[Comparable '#1 Return]]-INDEX(Benchmark1[Benchmark '#1 Return],MATCH(Comp1[[#This Row],[Comparable '#1 Dates]],Benchmark1[Benchmark '#1 Dates],0)),"-")</f>
        <v>-1.3696533304180232E-2</v>
      </c>
      <c r="L1138" s="72">
        <f>Comp1[[#This Row],[Comparable '#1 Price]]/$B$2*100</f>
        <v>65.776865160848729</v>
      </c>
    </row>
    <row r="1139" spans="1:12">
      <c r="A1139" s="103">
        <v>44936</v>
      </c>
      <c r="B1139" s="104">
        <v>9.9</v>
      </c>
      <c r="C1139" s="4">
        <f t="shared" si="34"/>
        <v>2.9730534158343216E-2</v>
      </c>
      <c r="D1139" s="1">
        <f>IFERROR(Comp1[[#This Row],[Comparable '#1 Return]]+1,"-")</f>
        <v>1.0297305341583431</v>
      </c>
      <c r="E1139" s="6">
        <f>B1139-MAX($B$2:B1139)</f>
        <v>-11.72</v>
      </c>
      <c r="F1139" s="80">
        <f t="shared" si="35"/>
        <v>742</v>
      </c>
      <c r="G1139" s="22" cm="1">
        <f t="array" ref="G1139">Comp1[[#This Row],[Comparable '#1 Drawdown]]/MAX($B$2:B1139)</f>
        <v>-0.54209065679925994</v>
      </c>
      <c r="H1139" s="1" t="str">
        <f>IF(SUM(COUNTIF(Benchmark1[Benchmark '#1 Dates],Comp1[[#This Row],[Comparable '#1 Dates]]),COUNTIF(Benchmark2[Benchmark '#2 Dates],Comp1[[#This Row],[Comparable '#1 Dates]]))=2,"Pass","Fail")</f>
        <v>Pass</v>
      </c>
      <c r="I1139" s="1">
        <f>IFERROR(Comp1[[#This Row],[Comparable '#1 Return]]-INDEX(Benchmark1[Benchmark '#1 Return],MATCH(Comp1[[#This Row],[Comparable '#1 Dates]],Benchmark1[Benchmark '#1 Dates],0)),"-")</f>
        <v>2.2775896595519686E-2</v>
      </c>
      <c r="L1139" s="72">
        <f>Comp1[[#This Row],[Comparable '#1 Price]]/$B$2*100</f>
        <v>67.761806981519513</v>
      </c>
    </row>
    <row r="1140" spans="1:12">
      <c r="A1140" s="103">
        <v>44937</v>
      </c>
      <c r="B1140" s="104">
        <v>9.81</v>
      </c>
      <c r="C1140" s="4">
        <f t="shared" si="34"/>
        <v>-9.1324835632724741E-3</v>
      </c>
      <c r="D1140" s="1">
        <f>IFERROR(Comp1[[#This Row],[Comparable '#1 Return]]+1,"-")</f>
        <v>0.99086751643672755</v>
      </c>
      <c r="E1140" s="6">
        <f>B1140-MAX($B$2:B1140)</f>
        <v>-11.81</v>
      </c>
      <c r="F1140" s="80">
        <f t="shared" si="35"/>
        <v>743</v>
      </c>
      <c r="G1140" s="22" cm="1">
        <f t="array" ref="G1140">Comp1[[#This Row],[Comparable '#1 Drawdown]]/MAX($B$2:B1140)</f>
        <v>-0.5462534690101758</v>
      </c>
      <c r="H1140" s="1" t="str">
        <f>IF(SUM(COUNTIF(Benchmark1[Benchmark '#1 Dates],Comp1[[#This Row],[Comparable '#1 Dates]]),COUNTIF(Benchmark2[Benchmark '#2 Dates],Comp1[[#This Row],[Comparable '#1 Dates]]))=2,"Pass","Fail")</f>
        <v>Pass</v>
      </c>
      <c r="I1140" s="1">
        <f>IFERROR(Comp1[[#This Row],[Comparable '#1 Return]]-INDEX(Benchmark1[Benchmark '#1 Return],MATCH(Comp1[[#This Row],[Comparable '#1 Dates]],Benchmark1[Benchmark '#1 Dates],0)),"-")</f>
        <v>-2.1900181932677787E-2</v>
      </c>
      <c r="L1140" s="72">
        <f>Comp1[[#This Row],[Comparable '#1 Price]]/$B$2*100</f>
        <v>67.145790554414788</v>
      </c>
    </row>
    <row r="1141" spans="1:12">
      <c r="A1141" s="103">
        <v>44938</v>
      </c>
      <c r="B1141" s="104">
        <v>9.94</v>
      </c>
      <c r="C1141" s="4">
        <f t="shared" si="34"/>
        <v>1.3164747091210851E-2</v>
      </c>
      <c r="D1141" s="1">
        <f>IFERROR(Comp1[[#This Row],[Comparable '#1 Return]]+1,"-")</f>
        <v>1.0131647470912108</v>
      </c>
      <c r="E1141" s="6">
        <f>B1141-MAX($B$2:B1141)</f>
        <v>-11.680000000000001</v>
      </c>
      <c r="F1141" s="80">
        <f t="shared" si="35"/>
        <v>744</v>
      </c>
      <c r="G1141" s="22" cm="1">
        <f t="array" ref="G1141">Comp1[[#This Row],[Comparable '#1 Drawdown]]/MAX($B$2:B1141)</f>
        <v>-0.54024051803885298</v>
      </c>
      <c r="H1141" s="1" t="str">
        <f>IF(SUM(COUNTIF(Benchmark1[Benchmark '#1 Dates],Comp1[[#This Row],[Comparable '#1 Dates]]),COUNTIF(Benchmark2[Benchmark '#2 Dates],Comp1[[#This Row],[Comparable '#1 Dates]]))=2,"Pass","Fail")</f>
        <v>Pass</v>
      </c>
      <c r="I1141" s="1">
        <f>IFERROR(Comp1[[#This Row],[Comparable '#1 Return]]-INDEX(Benchmark1[Benchmark '#1 Return],MATCH(Comp1[[#This Row],[Comparable '#1 Dates]],Benchmark1[Benchmark '#1 Dates],0)),"-")</f>
        <v>9.7565202804682088E-3</v>
      </c>
      <c r="L1141" s="72">
        <f>Comp1[[#This Row],[Comparable '#1 Price]]/$B$2*100</f>
        <v>68.035592060232716</v>
      </c>
    </row>
    <row r="1142" spans="1:12">
      <c r="A1142" s="103">
        <v>44939</v>
      </c>
      <c r="B1142" s="104">
        <v>10.06</v>
      </c>
      <c r="C1142" s="4">
        <f t="shared" si="34"/>
        <v>1.2000144003110558E-2</v>
      </c>
      <c r="D1142" s="1">
        <f>IFERROR(Comp1[[#This Row],[Comparable '#1 Return]]+1,"-")</f>
        <v>1.0120001440031106</v>
      </c>
      <c r="E1142" s="6">
        <f>B1142-MAX($B$2:B1142)</f>
        <v>-11.56</v>
      </c>
      <c r="F1142" s="80">
        <f t="shared" si="35"/>
        <v>745</v>
      </c>
      <c r="G1142" s="22" cm="1">
        <f t="array" ref="G1142">Comp1[[#This Row],[Comparable '#1 Drawdown]]/MAX($B$2:B1142)</f>
        <v>-0.53469010175763187</v>
      </c>
      <c r="H1142" s="1" t="str">
        <f>IF(SUM(COUNTIF(Benchmark1[Benchmark '#1 Dates],Comp1[[#This Row],[Comparable '#1 Dates]]),COUNTIF(Benchmark2[Benchmark '#2 Dates],Comp1[[#This Row],[Comparable '#1 Dates]]))=2,"Pass","Fail")</f>
        <v>Pass</v>
      </c>
      <c r="I1142" s="1">
        <f>IFERROR(Comp1[[#This Row],[Comparable '#1 Return]]-INDEX(Benchmark1[Benchmark '#1 Return],MATCH(Comp1[[#This Row],[Comparable '#1 Dates]],Benchmark1[Benchmark '#1 Dates],0)),"-")</f>
        <v>8.0102141111491887E-3</v>
      </c>
      <c r="L1142" s="72">
        <f>Comp1[[#This Row],[Comparable '#1 Price]]/$B$2*100</f>
        <v>68.856947296372354</v>
      </c>
    </row>
    <row r="1143" spans="1:12">
      <c r="A1143" s="103">
        <v>44943</v>
      </c>
      <c r="B1143" s="104">
        <v>10.31</v>
      </c>
      <c r="C1143" s="4">
        <f t="shared" si="34"/>
        <v>2.4547133357275448E-2</v>
      </c>
      <c r="D1143" s="1">
        <f>IFERROR(Comp1[[#This Row],[Comparable '#1 Return]]+1,"-")</f>
        <v>1.0245471333572755</v>
      </c>
      <c r="E1143" s="6">
        <f>B1143-MAX($B$2:B1143)</f>
        <v>-11.31</v>
      </c>
      <c r="F1143" s="80">
        <f t="shared" si="35"/>
        <v>746</v>
      </c>
      <c r="G1143" s="22" cm="1">
        <f t="array" ref="G1143">Comp1[[#This Row],[Comparable '#1 Drawdown]]/MAX($B$2:B1143)</f>
        <v>-0.52312673450508784</v>
      </c>
      <c r="H1143" s="1" t="str">
        <f>IF(SUM(COUNTIF(Benchmark1[Benchmark '#1 Dates],Comp1[[#This Row],[Comparable '#1 Dates]]),COUNTIF(Benchmark2[Benchmark '#2 Dates],Comp1[[#This Row],[Comparable '#1 Dates]]))=2,"Pass","Fail")</f>
        <v>Pass</v>
      </c>
      <c r="I1143" s="1">
        <f>IFERROR(Comp1[[#This Row],[Comparable '#1 Return]]-INDEX(Benchmark1[Benchmark '#1 Return],MATCH(Comp1[[#This Row],[Comparable '#1 Dates]],Benchmark1[Benchmark '#1 Dates],0)),"-")</f>
        <v>2.6579834745661057E-2</v>
      </c>
      <c r="L1143" s="72">
        <f>Comp1[[#This Row],[Comparable '#1 Price]]/$B$2*100</f>
        <v>70.568104038329921</v>
      </c>
    </row>
    <row r="1144" spans="1:12">
      <c r="A1144" s="103">
        <v>44944</v>
      </c>
      <c r="B1144" s="104">
        <v>10.39</v>
      </c>
      <c r="C1144" s="4">
        <f t="shared" si="34"/>
        <v>7.7295070822673909E-3</v>
      </c>
      <c r="D1144" s="1">
        <f>IFERROR(Comp1[[#This Row],[Comparable '#1 Return]]+1,"-")</f>
        <v>1.0077295070822674</v>
      </c>
      <c r="E1144" s="6">
        <f>B1144-MAX($B$2:B1144)</f>
        <v>-11.23</v>
      </c>
      <c r="F1144" s="80">
        <f t="shared" si="35"/>
        <v>747</v>
      </c>
      <c r="G1144" s="22" cm="1">
        <f t="array" ref="G1144">Comp1[[#This Row],[Comparable '#1 Drawdown]]/MAX($B$2:B1144)</f>
        <v>-0.51942645698427381</v>
      </c>
      <c r="H1144" s="1" t="str">
        <f>IF(SUM(COUNTIF(Benchmark1[Benchmark '#1 Dates],Comp1[[#This Row],[Comparable '#1 Dates]]),COUNTIF(Benchmark2[Benchmark '#2 Dates],Comp1[[#This Row],[Comparable '#1 Dates]]))=2,"Pass","Fail")</f>
        <v>Pass</v>
      </c>
      <c r="I1144" s="1">
        <f>IFERROR(Comp1[[#This Row],[Comparable '#1 Return]]-INDEX(Benchmark1[Benchmark '#1 Return],MATCH(Comp1[[#This Row],[Comparable '#1 Dates]],Benchmark1[Benchmark '#1 Dates],0)),"-")</f>
        <v>2.3413944979267121E-2</v>
      </c>
      <c r="L1144" s="72">
        <f>Comp1[[#This Row],[Comparable '#1 Price]]/$B$2*100</f>
        <v>71.115674195756341</v>
      </c>
    </row>
    <row r="1145" spans="1:12">
      <c r="A1145" s="103">
        <v>44945</v>
      </c>
      <c r="B1145" s="104">
        <v>10.3</v>
      </c>
      <c r="C1145" s="4">
        <f t="shared" si="34"/>
        <v>-8.6999098755459053E-3</v>
      </c>
      <c r="D1145" s="1">
        <f>IFERROR(Comp1[[#This Row],[Comparable '#1 Return]]+1,"-")</f>
        <v>0.99130009012445408</v>
      </c>
      <c r="E1145" s="6">
        <f>B1145-MAX($B$2:B1145)</f>
        <v>-11.32</v>
      </c>
      <c r="F1145" s="80">
        <f t="shared" si="35"/>
        <v>748</v>
      </c>
      <c r="G1145" s="22" cm="1">
        <f t="array" ref="G1145">Comp1[[#This Row],[Comparable '#1 Drawdown]]/MAX($B$2:B1145)</f>
        <v>-0.52358926919518967</v>
      </c>
      <c r="H1145" s="1" t="str">
        <f>IF(SUM(COUNTIF(Benchmark1[Benchmark '#1 Dates],Comp1[[#This Row],[Comparable '#1 Dates]]),COUNTIF(Benchmark2[Benchmark '#2 Dates],Comp1[[#This Row],[Comparable '#1 Dates]]))=2,"Pass","Fail")</f>
        <v>Pass</v>
      </c>
      <c r="I1145" s="1">
        <f>IFERROR(Comp1[[#This Row],[Comparable '#1 Return]]-INDEX(Benchmark1[Benchmark '#1 Return],MATCH(Comp1[[#This Row],[Comparable '#1 Dates]],Benchmark1[Benchmark '#1 Dates],0)),"-")</f>
        <v>-1.0328644439959993E-3</v>
      </c>
      <c r="L1145" s="72">
        <f>Comp1[[#This Row],[Comparable '#1 Price]]/$B$2*100</f>
        <v>70.499657768651616</v>
      </c>
    </row>
    <row r="1146" spans="1:12">
      <c r="A1146" s="103">
        <v>44946</v>
      </c>
      <c r="B1146" s="104">
        <v>10.7</v>
      </c>
      <c r="C1146" s="4">
        <f t="shared" si="34"/>
        <v>3.8099846232270175E-2</v>
      </c>
      <c r="D1146" s="1">
        <f>IFERROR(Comp1[[#This Row],[Comparable '#1 Return]]+1,"-")</f>
        <v>1.0380998462322701</v>
      </c>
      <c r="E1146" s="6">
        <f>B1146-MAX($B$2:B1146)</f>
        <v>-10.920000000000002</v>
      </c>
      <c r="F1146" s="80">
        <f t="shared" si="35"/>
        <v>749</v>
      </c>
      <c r="G1146" s="22" cm="1">
        <f t="array" ref="G1146">Comp1[[#This Row],[Comparable '#1 Drawdown]]/MAX($B$2:B1146)</f>
        <v>-0.50508788159111939</v>
      </c>
      <c r="H1146" s="1" t="str">
        <f>IF(SUM(COUNTIF(Benchmark1[Benchmark '#1 Dates],Comp1[[#This Row],[Comparable '#1 Dates]]),COUNTIF(Benchmark2[Benchmark '#2 Dates],Comp1[[#This Row],[Comparable '#1 Dates]]))=2,"Pass","Fail")</f>
        <v>Pass</v>
      </c>
      <c r="I1146" s="1">
        <f>IFERROR(Comp1[[#This Row],[Comparable '#1 Return]]-INDEX(Benchmark1[Benchmark '#1 Return],MATCH(Comp1[[#This Row],[Comparable '#1 Dates]],Benchmark1[Benchmark '#1 Dates],0)),"-")</f>
        <v>1.935928238387543E-2</v>
      </c>
      <c r="L1146" s="72">
        <f>Comp1[[#This Row],[Comparable '#1 Price]]/$B$2*100</f>
        <v>73.237508555783705</v>
      </c>
    </row>
    <row r="1147" spans="1:12">
      <c r="A1147" s="103">
        <v>44949</v>
      </c>
      <c r="B1147" s="104">
        <v>10.62</v>
      </c>
      <c r="C1147" s="4">
        <f t="shared" si="34"/>
        <v>-7.5047256540676927E-3</v>
      </c>
      <c r="D1147" s="1">
        <f>IFERROR(Comp1[[#This Row],[Comparable '#1 Return]]+1,"-")</f>
        <v>0.99249527434593232</v>
      </c>
      <c r="E1147" s="6">
        <f>B1147-MAX($B$2:B1147)</f>
        <v>-11.000000000000002</v>
      </c>
      <c r="F1147" s="80">
        <f t="shared" si="35"/>
        <v>750</v>
      </c>
      <c r="G1147" s="22" cm="1">
        <f t="array" ref="G1147">Comp1[[#This Row],[Comparable '#1 Drawdown]]/MAX($B$2:B1147)</f>
        <v>-0.50878815911193342</v>
      </c>
      <c r="H1147" s="1" t="str">
        <f>IF(SUM(COUNTIF(Benchmark1[Benchmark '#1 Dates],Comp1[[#This Row],[Comparable '#1 Dates]]),COUNTIF(Benchmark2[Benchmark '#2 Dates],Comp1[[#This Row],[Comparable '#1 Dates]]))=2,"Pass","Fail")</f>
        <v>Pass</v>
      </c>
      <c r="I1147" s="1">
        <f>IFERROR(Comp1[[#This Row],[Comparable '#1 Return]]-INDEX(Benchmark1[Benchmark '#1 Return],MATCH(Comp1[[#This Row],[Comparable '#1 Dates]],Benchmark1[Benchmark '#1 Dates],0)),"-")</f>
        <v>-1.9316960309502248E-2</v>
      </c>
      <c r="L1147" s="72">
        <f>Comp1[[#This Row],[Comparable '#1 Price]]/$B$2*100</f>
        <v>72.689938398357285</v>
      </c>
    </row>
    <row r="1148" spans="1:12">
      <c r="A1148" s="103">
        <v>44950</v>
      </c>
      <c r="B1148" s="104">
        <v>10.84</v>
      </c>
      <c r="C1148" s="4">
        <f t="shared" si="34"/>
        <v>2.0503980197707369E-2</v>
      </c>
      <c r="D1148" s="1">
        <f>IFERROR(Comp1[[#This Row],[Comparable '#1 Return]]+1,"-")</f>
        <v>1.0205039801977074</v>
      </c>
      <c r="E1148" s="6">
        <f>B1148-MAX($B$2:B1148)</f>
        <v>-10.780000000000001</v>
      </c>
      <c r="F1148" s="80">
        <f t="shared" si="35"/>
        <v>751</v>
      </c>
      <c r="G1148" s="22" cm="1">
        <f t="array" ref="G1148">Comp1[[#This Row],[Comparable '#1 Drawdown]]/MAX($B$2:B1148)</f>
        <v>-0.49861239592969475</v>
      </c>
      <c r="H1148" s="1" t="str">
        <f>IF(SUM(COUNTIF(Benchmark1[Benchmark '#1 Dates],Comp1[[#This Row],[Comparable '#1 Dates]]),COUNTIF(Benchmark2[Benchmark '#2 Dates],Comp1[[#This Row],[Comparable '#1 Dates]]))=2,"Pass","Fail")</f>
        <v>Pass</v>
      </c>
      <c r="I1148" s="1">
        <f>IFERROR(Comp1[[#This Row],[Comparable '#1 Return]]-INDEX(Benchmark1[Benchmark '#1 Return],MATCH(Comp1[[#This Row],[Comparable '#1 Dates]],Benchmark1[Benchmark '#1 Dates],0)),"-")</f>
        <v>2.1216801388560781E-2</v>
      </c>
      <c r="L1148" s="72">
        <f>Comp1[[#This Row],[Comparable '#1 Price]]/$B$2*100</f>
        <v>74.195756331279952</v>
      </c>
    </row>
    <row r="1149" spans="1:12">
      <c r="A1149" s="103">
        <v>44951</v>
      </c>
      <c r="B1149" s="104">
        <v>10.98</v>
      </c>
      <c r="C1149" s="4">
        <f t="shared" si="34"/>
        <v>1.2832440069884578E-2</v>
      </c>
      <c r="D1149" s="1">
        <f>IFERROR(Comp1[[#This Row],[Comparable '#1 Return]]+1,"-")</f>
        <v>1.0128324400698845</v>
      </c>
      <c r="E1149" s="6">
        <f>B1149-MAX($B$2:B1149)</f>
        <v>-10.64</v>
      </c>
      <c r="F1149" s="80">
        <f t="shared" si="35"/>
        <v>752</v>
      </c>
      <c r="G1149" s="22" cm="1">
        <f t="array" ref="G1149">Comp1[[#This Row],[Comparable '#1 Drawdown]]/MAX($B$2:B1149)</f>
        <v>-0.49213691026827011</v>
      </c>
      <c r="H1149" s="1" t="str">
        <f>IF(SUM(COUNTIF(Benchmark1[Benchmark '#1 Dates],Comp1[[#This Row],[Comparable '#1 Dates]]),COUNTIF(Benchmark2[Benchmark '#2 Dates],Comp1[[#This Row],[Comparable '#1 Dates]]))=2,"Pass","Fail")</f>
        <v>Pass</v>
      </c>
      <c r="I1149" s="1">
        <f>IFERROR(Comp1[[#This Row],[Comparable '#1 Return]]-INDEX(Benchmark1[Benchmark '#1 Return],MATCH(Comp1[[#This Row],[Comparable '#1 Dates]],Benchmark1[Benchmark '#1 Dates],0)),"-")</f>
        <v>1.3014304247343537E-2</v>
      </c>
      <c r="L1149" s="72">
        <f>Comp1[[#This Row],[Comparable '#1 Price]]/$B$2*100</f>
        <v>75.154004106776185</v>
      </c>
    </row>
    <row r="1150" spans="1:12">
      <c r="A1150" s="103">
        <v>44952</v>
      </c>
      <c r="B1150" s="104">
        <v>11</v>
      </c>
      <c r="C1150" s="4">
        <f t="shared" si="34"/>
        <v>1.8198367169858993E-3</v>
      </c>
      <c r="D1150" s="1">
        <f>IFERROR(Comp1[[#This Row],[Comparable '#1 Return]]+1,"-")</f>
        <v>1.0018198367169859</v>
      </c>
      <c r="E1150" s="6">
        <f>B1150-MAX($B$2:B1150)</f>
        <v>-10.620000000000001</v>
      </c>
      <c r="F1150" s="80">
        <f t="shared" si="35"/>
        <v>753</v>
      </c>
      <c r="G1150" s="22" cm="1">
        <f t="array" ref="G1150">Comp1[[#This Row],[Comparable '#1 Drawdown]]/MAX($B$2:B1150)</f>
        <v>-0.49121184088806663</v>
      </c>
      <c r="H1150" s="1" t="str">
        <f>IF(SUM(COUNTIF(Benchmark1[Benchmark '#1 Dates],Comp1[[#This Row],[Comparable '#1 Dates]]),COUNTIF(Benchmark2[Benchmark '#2 Dates],Comp1[[#This Row],[Comparable '#1 Dates]]))=2,"Pass","Fail")</f>
        <v>Pass</v>
      </c>
      <c r="I1150" s="1">
        <f>IFERROR(Comp1[[#This Row],[Comparable '#1 Return]]-INDEX(Benchmark1[Benchmark '#1 Return],MATCH(Comp1[[#This Row],[Comparable '#1 Dates]],Benchmark1[Benchmark '#1 Dates],0)),"-")</f>
        <v>-9.1274174902526879E-3</v>
      </c>
      <c r="L1150" s="72">
        <f>Comp1[[#This Row],[Comparable '#1 Price]]/$B$2*100</f>
        <v>75.290896646132794</v>
      </c>
    </row>
    <row r="1151" spans="1:12">
      <c r="A1151" s="103">
        <v>44953</v>
      </c>
      <c r="B1151" s="104">
        <v>11</v>
      </c>
      <c r="C1151" s="4">
        <f t="shared" si="34"/>
        <v>0</v>
      </c>
      <c r="D1151" s="1">
        <f>IFERROR(Comp1[[#This Row],[Comparable '#1 Return]]+1,"-")</f>
        <v>1</v>
      </c>
      <c r="E1151" s="6">
        <f>B1151-MAX($B$2:B1151)</f>
        <v>-10.620000000000001</v>
      </c>
      <c r="F1151" s="80">
        <f t="shared" si="35"/>
        <v>754</v>
      </c>
      <c r="G1151" s="22" cm="1">
        <f t="array" ref="G1151">Comp1[[#This Row],[Comparable '#1 Drawdown]]/MAX($B$2:B1151)</f>
        <v>-0.49121184088806663</v>
      </c>
      <c r="H1151" s="1" t="str">
        <f>IF(SUM(COUNTIF(Benchmark1[Benchmark '#1 Dates],Comp1[[#This Row],[Comparable '#1 Dates]]),COUNTIF(Benchmark2[Benchmark '#2 Dates],Comp1[[#This Row],[Comparable '#1 Dates]]))=2,"Pass","Fail")</f>
        <v>Pass</v>
      </c>
      <c r="I1151" s="1">
        <f>IFERROR(Comp1[[#This Row],[Comparable '#1 Return]]-INDEX(Benchmark1[Benchmark '#1 Return],MATCH(Comp1[[#This Row],[Comparable '#1 Dates]],Benchmark1[Benchmark '#1 Dates],0)),"-")</f>
        <v>-2.4919356395980093E-3</v>
      </c>
      <c r="L1151" s="72">
        <f>Comp1[[#This Row],[Comparable '#1 Price]]/$B$2*100</f>
        <v>75.290896646132794</v>
      </c>
    </row>
    <row r="1152" spans="1:12">
      <c r="A1152" s="103">
        <v>44956</v>
      </c>
      <c r="B1152" s="104">
        <v>10.92</v>
      </c>
      <c r="C1152" s="4">
        <f t="shared" si="34"/>
        <v>-7.2993024816116079E-3</v>
      </c>
      <c r="D1152" s="1">
        <f>IFERROR(Comp1[[#This Row],[Comparable '#1 Return]]+1,"-")</f>
        <v>0.99270069751838841</v>
      </c>
      <c r="E1152" s="6">
        <f>B1152-MAX($B$2:B1152)</f>
        <v>-10.700000000000001</v>
      </c>
      <c r="F1152" s="80">
        <f t="shared" si="35"/>
        <v>755</v>
      </c>
      <c r="G1152" s="22" cm="1">
        <f t="array" ref="G1152">Comp1[[#This Row],[Comparable '#1 Drawdown]]/MAX($B$2:B1152)</f>
        <v>-0.49491211840888072</v>
      </c>
      <c r="H1152" s="1" t="str">
        <f>IF(SUM(COUNTIF(Benchmark1[Benchmark '#1 Dates],Comp1[[#This Row],[Comparable '#1 Dates]]),COUNTIF(Benchmark2[Benchmark '#2 Dates],Comp1[[#This Row],[Comparable '#1 Dates]]))=2,"Pass","Fail")</f>
        <v>Pass</v>
      </c>
      <c r="I1152" s="1">
        <f>IFERROR(Comp1[[#This Row],[Comparable '#1 Return]]-INDEX(Benchmark1[Benchmark '#1 Return],MATCH(Comp1[[#This Row],[Comparable '#1 Dates]],Benchmark1[Benchmark '#1 Dates],0)),"-")</f>
        <v>5.7531981616633391E-3</v>
      </c>
      <c r="L1152" s="72">
        <f>Comp1[[#This Row],[Comparable '#1 Price]]/$B$2*100</f>
        <v>74.743326488706359</v>
      </c>
    </row>
    <row r="1153" spans="1:12">
      <c r="A1153" s="103">
        <v>44957</v>
      </c>
      <c r="B1153" s="104">
        <v>10.98</v>
      </c>
      <c r="C1153" s="4">
        <f t="shared" si="34"/>
        <v>5.4794657646255705E-3</v>
      </c>
      <c r="D1153" s="1">
        <f>IFERROR(Comp1[[#This Row],[Comparable '#1 Return]]+1,"-")</f>
        <v>1.0054794657646255</v>
      </c>
      <c r="E1153" s="6">
        <f>B1153-MAX($B$2:B1153)</f>
        <v>-10.64</v>
      </c>
      <c r="F1153" s="80">
        <f t="shared" si="35"/>
        <v>756</v>
      </c>
      <c r="G1153" s="22" cm="1">
        <f t="array" ref="G1153">Comp1[[#This Row],[Comparable '#1 Drawdown]]/MAX($B$2:B1153)</f>
        <v>-0.49213691026827011</v>
      </c>
      <c r="H1153" s="1" t="str">
        <f>IF(SUM(COUNTIF(Benchmark1[Benchmark '#1 Dates],Comp1[[#This Row],[Comparable '#1 Dates]]),COUNTIF(Benchmark2[Benchmark '#2 Dates],Comp1[[#This Row],[Comparable '#1 Dates]]))=2,"Pass","Fail")</f>
        <v>Pass</v>
      </c>
      <c r="I1153" s="1">
        <f>IFERROR(Comp1[[#This Row],[Comparable '#1 Return]]-INDEX(Benchmark1[Benchmark '#1 Return],MATCH(Comp1[[#This Row],[Comparable '#1 Dates]],Benchmark1[Benchmark '#1 Dates],0)),"-")</f>
        <v>-9.0571169126882241E-3</v>
      </c>
      <c r="L1153" s="72">
        <f>Comp1[[#This Row],[Comparable '#1 Price]]/$B$2*100</f>
        <v>75.154004106776185</v>
      </c>
    </row>
    <row r="1154" spans="1:12">
      <c r="A1154" s="103">
        <v>44958</v>
      </c>
      <c r="B1154" s="104">
        <v>11.28</v>
      </c>
      <c r="C1154" s="4">
        <f t="shared" ref="C1154:C1217" si="36">IFERROR(IF(B1154="","-",LN(B1154/B1153)),"-")</f>
        <v>2.695580998852808E-2</v>
      </c>
      <c r="D1154" s="1">
        <f>IFERROR(Comp1[[#This Row],[Comparable '#1 Return]]+1,"-")</f>
        <v>1.0269558099885281</v>
      </c>
      <c r="E1154" s="6">
        <f>B1154-MAX($B$2:B1154)</f>
        <v>-10.340000000000002</v>
      </c>
      <c r="F1154" s="80">
        <f t="shared" ref="F1154:F1217" si="37">IF(E1154=0,0,F1153+1)</f>
        <v>757</v>
      </c>
      <c r="G1154" s="22" cm="1">
        <f t="array" ref="G1154">Comp1[[#This Row],[Comparable '#1 Drawdown]]/MAX($B$2:B1154)</f>
        <v>-0.47826086956521746</v>
      </c>
      <c r="H1154" s="1" t="str">
        <f>IF(SUM(COUNTIF(Benchmark1[Benchmark '#1 Dates],Comp1[[#This Row],[Comparable '#1 Dates]]),COUNTIF(Benchmark2[Benchmark '#2 Dates],Comp1[[#This Row],[Comparable '#1 Dates]]))=2,"Pass","Fail")</f>
        <v>Pass</v>
      </c>
      <c r="I1154" s="1">
        <f>IFERROR(Comp1[[#This Row],[Comparable '#1 Return]]-INDEX(Benchmark1[Benchmark '#1 Return],MATCH(Comp1[[#This Row],[Comparable '#1 Dates]],Benchmark1[Benchmark '#1 Dates],0)),"-")</f>
        <v>1.6558558979882898E-2</v>
      </c>
      <c r="L1154" s="72">
        <f>Comp1[[#This Row],[Comparable '#1 Price]]/$B$2*100</f>
        <v>77.207392197125259</v>
      </c>
    </row>
    <row r="1155" spans="1:12">
      <c r="A1155" s="103">
        <v>44959</v>
      </c>
      <c r="B1155" s="104">
        <v>11.18</v>
      </c>
      <c r="C1155" s="4">
        <f t="shared" si="36"/>
        <v>-8.9047783429597217E-3</v>
      </c>
      <c r="D1155" s="1">
        <f>IFERROR(Comp1[[#This Row],[Comparable '#1 Return]]+1,"-")</f>
        <v>0.99109522165704023</v>
      </c>
      <c r="E1155" s="6">
        <f>B1155-MAX($B$2:B1155)</f>
        <v>-10.440000000000001</v>
      </c>
      <c r="F1155" s="80">
        <f t="shared" si="37"/>
        <v>758</v>
      </c>
      <c r="G1155" s="22" cm="1">
        <f t="array" ref="G1155">Comp1[[#This Row],[Comparable '#1 Drawdown]]/MAX($B$2:B1155)</f>
        <v>-0.48288621646623503</v>
      </c>
      <c r="H1155" s="1" t="str">
        <f>IF(SUM(COUNTIF(Benchmark1[Benchmark '#1 Dates],Comp1[[#This Row],[Comparable '#1 Dates]]),COUNTIF(Benchmark2[Benchmark '#2 Dates],Comp1[[#This Row],[Comparable '#1 Dates]]))=2,"Pass","Fail")</f>
        <v>Pass</v>
      </c>
      <c r="I1155" s="1">
        <f>IFERROR(Comp1[[#This Row],[Comparable '#1 Return]]-INDEX(Benchmark1[Benchmark '#1 Return],MATCH(Comp1[[#This Row],[Comparable '#1 Dates]],Benchmark1[Benchmark '#1 Dates],0)),"-")</f>
        <v>-2.3496056534292674E-2</v>
      </c>
      <c r="L1155" s="72">
        <f>Comp1[[#This Row],[Comparable '#1 Price]]/$B$2*100</f>
        <v>76.522929500342229</v>
      </c>
    </row>
    <row r="1156" spans="1:12">
      <c r="A1156" s="103">
        <v>44960</v>
      </c>
      <c r="B1156" s="104">
        <v>11.24</v>
      </c>
      <c r="C1156" s="4">
        <f t="shared" si="36"/>
        <v>5.3523767385920606E-3</v>
      </c>
      <c r="D1156" s="1">
        <f>IFERROR(Comp1[[#This Row],[Comparable '#1 Return]]+1,"-")</f>
        <v>1.0053523767385921</v>
      </c>
      <c r="E1156" s="6">
        <f>B1156-MAX($B$2:B1156)</f>
        <v>-10.38</v>
      </c>
      <c r="F1156" s="80">
        <f t="shared" si="37"/>
        <v>759</v>
      </c>
      <c r="G1156" s="22" cm="1">
        <f t="array" ref="G1156">Comp1[[#This Row],[Comparable '#1 Drawdown]]/MAX($B$2:B1156)</f>
        <v>-0.48011100832562442</v>
      </c>
      <c r="H1156" s="1" t="str">
        <f>IF(SUM(COUNTIF(Benchmark1[Benchmark '#1 Dates],Comp1[[#This Row],[Comparable '#1 Dates]]),COUNTIF(Benchmark2[Benchmark '#2 Dates],Comp1[[#This Row],[Comparable '#1 Dates]]))=2,"Pass","Fail")</f>
        <v>Pass</v>
      </c>
      <c r="I1156" s="1">
        <f>IFERROR(Comp1[[#This Row],[Comparable '#1 Return]]-INDEX(Benchmark1[Benchmark '#1 Return],MATCH(Comp1[[#This Row],[Comparable '#1 Dates]],Benchmark1[Benchmark '#1 Dates],0)),"-")</f>
        <v>1.5759579050559559E-2</v>
      </c>
      <c r="L1156" s="72">
        <f>Comp1[[#This Row],[Comparable '#1 Price]]/$B$2*100</f>
        <v>76.933607118412056</v>
      </c>
    </row>
    <row r="1157" spans="1:12">
      <c r="A1157" s="103">
        <v>44963</v>
      </c>
      <c r="B1157" s="104">
        <v>10.68</v>
      </c>
      <c r="C1157" s="4">
        <f t="shared" si="36"/>
        <v>-5.1106010933496301E-2</v>
      </c>
      <c r="D1157" s="1">
        <f>IFERROR(Comp1[[#This Row],[Comparable '#1 Return]]+1,"-")</f>
        <v>0.94889398906650368</v>
      </c>
      <c r="E1157" s="6">
        <f>B1157-MAX($B$2:B1157)</f>
        <v>-10.940000000000001</v>
      </c>
      <c r="F1157" s="80">
        <f t="shared" si="37"/>
        <v>760</v>
      </c>
      <c r="G1157" s="22" cm="1">
        <f t="array" ref="G1157">Comp1[[#This Row],[Comparable '#1 Drawdown]]/MAX($B$2:B1157)</f>
        <v>-0.50601295097132293</v>
      </c>
      <c r="H1157" s="1" t="str">
        <f>IF(SUM(COUNTIF(Benchmark1[Benchmark '#1 Dates],Comp1[[#This Row],[Comparable '#1 Dates]]),COUNTIF(Benchmark2[Benchmark '#2 Dates],Comp1[[#This Row],[Comparable '#1 Dates]]))=2,"Pass","Fail")</f>
        <v>Pass</v>
      </c>
      <c r="I1157" s="1">
        <f>IFERROR(Comp1[[#This Row],[Comparable '#1 Return]]-INDEX(Benchmark1[Benchmark '#1 Return],MATCH(Comp1[[#This Row],[Comparable '#1 Dates]],Benchmark1[Benchmark '#1 Dates],0)),"-")</f>
        <v>-4.4946421706337426E-2</v>
      </c>
      <c r="L1157" s="72">
        <f>Comp1[[#This Row],[Comparable '#1 Price]]/$B$2*100</f>
        <v>73.100616016427097</v>
      </c>
    </row>
    <row r="1158" spans="1:12">
      <c r="A1158" s="103">
        <v>44964</v>
      </c>
      <c r="B1158" s="104">
        <v>10.66</v>
      </c>
      <c r="C1158" s="4">
        <f t="shared" si="36"/>
        <v>-1.8744147943503039E-3</v>
      </c>
      <c r="D1158" s="1">
        <f>IFERROR(Comp1[[#This Row],[Comparable '#1 Return]]+1,"-")</f>
        <v>0.99812558520564965</v>
      </c>
      <c r="E1158" s="6">
        <f>B1158-MAX($B$2:B1158)</f>
        <v>-10.96</v>
      </c>
      <c r="F1158" s="80">
        <f t="shared" si="37"/>
        <v>761</v>
      </c>
      <c r="G1158" s="22" cm="1">
        <f t="array" ref="G1158">Comp1[[#This Row],[Comparable '#1 Drawdown]]/MAX($B$2:B1158)</f>
        <v>-0.50693802035152635</v>
      </c>
      <c r="H1158" s="1" t="str">
        <f>IF(SUM(COUNTIF(Benchmark1[Benchmark '#1 Dates],Comp1[[#This Row],[Comparable '#1 Dates]]),COUNTIF(Benchmark2[Benchmark '#2 Dates],Comp1[[#This Row],[Comparable '#1 Dates]]))=2,"Pass","Fail")</f>
        <v>Pass</v>
      </c>
      <c r="I1158" s="1">
        <f>IFERROR(Comp1[[#This Row],[Comparable '#1 Return]]-INDEX(Benchmark1[Benchmark '#1 Return],MATCH(Comp1[[#This Row],[Comparable '#1 Dates]],Benchmark1[Benchmark '#1 Dates],0)),"-")</f>
        <v>-1.4664475555417961E-2</v>
      </c>
      <c r="L1158" s="72">
        <f>Comp1[[#This Row],[Comparable '#1 Price]]/$B$2*100</f>
        <v>72.963723477070502</v>
      </c>
    </row>
    <row r="1159" spans="1:12">
      <c r="A1159" s="103">
        <v>44965</v>
      </c>
      <c r="B1159" s="104">
        <v>10.46</v>
      </c>
      <c r="C1159" s="4">
        <f t="shared" si="36"/>
        <v>-1.8939960100921614E-2</v>
      </c>
      <c r="D1159" s="1">
        <f>IFERROR(Comp1[[#This Row],[Comparable '#1 Return]]+1,"-")</f>
        <v>0.98106003989907842</v>
      </c>
      <c r="E1159" s="6">
        <f>B1159-MAX($B$2:B1159)</f>
        <v>-11.16</v>
      </c>
      <c r="F1159" s="80">
        <f t="shared" si="37"/>
        <v>762</v>
      </c>
      <c r="G1159" s="22" cm="1">
        <f t="array" ref="G1159">Comp1[[#This Row],[Comparable '#1 Drawdown]]/MAX($B$2:B1159)</f>
        <v>-0.51618871415356149</v>
      </c>
      <c r="H1159" s="1" t="str">
        <f>IF(SUM(COUNTIF(Benchmark1[Benchmark '#1 Dates],Comp1[[#This Row],[Comparable '#1 Dates]]),COUNTIF(Benchmark2[Benchmark '#2 Dates],Comp1[[#This Row],[Comparable '#1 Dates]]))=2,"Pass","Fail")</f>
        <v>Pass</v>
      </c>
      <c r="I1159" s="1">
        <f>IFERROR(Comp1[[#This Row],[Comparable '#1 Return]]-INDEX(Benchmark1[Benchmark '#1 Return],MATCH(Comp1[[#This Row],[Comparable '#1 Dates]],Benchmark1[Benchmark '#1 Dates],0)),"-")</f>
        <v>-7.7986948792946251E-3</v>
      </c>
      <c r="L1159" s="72">
        <f>Comp1[[#This Row],[Comparable '#1 Price]]/$B$2*100</f>
        <v>71.594798083504458</v>
      </c>
    </row>
    <row r="1160" spans="1:12">
      <c r="A1160" s="103">
        <v>44966</v>
      </c>
      <c r="B1160" s="104">
        <v>10.53</v>
      </c>
      <c r="C1160" s="4">
        <f t="shared" si="36"/>
        <v>6.6698675091072324E-3</v>
      </c>
      <c r="D1160" s="1">
        <f>IFERROR(Comp1[[#This Row],[Comparable '#1 Return]]+1,"-")</f>
        <v>1.0066698675091073</v>
      </c>
      <c r="E1160" s="6">
        <f>B1160-MAX($B$2:B1160)</f>
        <v>-11.090000000000002</v>
      </c>
      <c r="F1160" s="80">
        <f t="shared" si="37"/>
        <v>763</v>
      </c>
      <c r="G1160" s="22" cm="1">
        <f t="array" ref="G1160">Comp1[[#This Row],[Comparable '#1 Drawdown]]/MAX($B$2:B1160)</f>
        <v>-0.51295097132284928</v>
      </c>
      <c r="H1160" s="1" t="str">
        <f>IF(SUM(COUNTIF(Benchmark1[Benchmark '#1 Dates],Comp1[[#This Row],[Comparable '#1 Dates]]),COUNTIF(Benchmark2[Benchmark '#2 Dates],Comp1[[#This Row],[Comparable '#1 Dates]]))=2,"Pass","Fail")</f>
        <v>Pass</v>
      </c>
      <c r="I1160" s="1">
        <f>IFERROR(Comp1[[#This Row],[Comparable '#1 Return]]-INDEX(Benchmark1[Benchmark '#1 Return],MATCH(Comp1[[#This Row],[Comparable '#1 Dates]],Benchmark1[Benchmark '#1 Dates],0)),"-")</f>
        <v>1.5538946634919202E-2</v>
      </c>
      <c r="L1160" s="72">
        <f>Comp1[[#This Row],[Comparable '#1 Price]]/$B$2*100</f>
        <v>72.07392197125256</v>
      </c>
    </row>
    <row r="1161" spans="1:12">
      <c r="A1161" s="103">
        <v>44967</v>
      </c>
      <c r="B1161" s="104">
        <v>10.53</v>
      </c>
      <c r="C1161" s="4">
        <f t="shared" si="36"/>
        <v>0</v>
      </c>
      <c r="D1161" s="1">
        <f>IFERROR(Comp1[[#This Row],[Comparable '#1 Return]]+1,"-")</f>
        <v>1</v>
      </c>
      <c r="E1161" s="6">
        <f>B1161-MAX($B$2:B1161)</f>
        <v>-11.090000000000002</v>
      </c>
      <c r="F1161" s="80">
        <f t="shared" si="37"/>
        <v>764</v>
      </c>
      <c r="G1161" s="22" cm="1">
        <f t="array" ref="G1161">Comp1[[#This Row],[Comparable '#1 Drawdown]]/MAX($B$2:B1161)</f>
        <v>-0.51295097132284928</v>
      </c>
      <c r="H1161" s="1" t="str">
        <f>IF(SUM(COUNTIF(Benchmark1[Benchmark '#1 Dates],Comp1[[#This Row],[Comparable '#1 Dates]]),COUNTIF(Benchmark2[Benchmark '#2 Dates],Comp1[[#This Row],[Comparable '#1 Dates]]))=2,"Pass","Fail")</f>
        <v>Pass</v>
      </c>
      <c r="I1161" s="1">
        <f>IFERROR(Comp1[[#This Row],[Comparable '#1 Return]]-INDEX(Benchmark1[Benchmark '#1 Return],MATCH(Comp1[[#This Row],[Comparable '#1 Dates]],Benchmark1[Benchmark '#1 Dates],0)),"-")</f>
        <v>-2.1922148860585356E-3</v>
      </c>
      <c r="L1161" s="72">
        <f>Comp1[[#This Row],[Comparable '#1 Price]]/$B$2*100</f>
        <v>72.07392197125256</v>
      </c>
    </row>
    <row r="1162" spans="1:12">
      <c r="A1162" s="103">
        <v>44970</v>
      </c>
      <c r="B1162" s="104">
        <v>10.69</v>
      </c>
      <c r="C1162" s="4">
        <f t="shared" si="36"/>
        <v>1.5080398891069841E-2</v>
      </c>
      <c r="D1162" s="1">
        <f>IFERROR(Comp1[[#This Row],[Comparable '#1 Return]]+1,"-")</f>
        <v>1.0150803988910699</v>
      </c>
      <c r="E1162" s="6">
        <f>B1162-MAX($B$2:B1162)</f>
        <v>-10.930000000000001</v>
      </c>
      <c r="F1162" s="80">
        <f t="shared" si="37"/>
        <v>765</v>
      </c>
      <c r="G1162" s="22" cm="1">
        <f t="array" ref="G1162">Comp1[[#This Row],[Comparable '#1 Drawdown]]/MAX($B$2:B1162)</f>
        <v>-0.5055504162812211</v>
      </c>
      <c r="H1162" s="1" t="str">
        <f>IF(SUM(COUNTIF(Benchmark1[Benchmark '#1 Dates],Comp1[[#This Row],[Comparable '#1 Dates]]),COUNTIF(Benchmark2[Benchmark '#2 Dates],Comp1[[#This Row],[Comparable '#1 Dates]]))=2,"Pass","Fail")</f>
        <v>Pass</v>
      </c>
      <c r="I1162" s="1">
        <f>IFERROR(Comp1[[#This Row],[Comparable '#1 Return]]-INDEX(Benchmark1[Benchmark '#1 Return],MATCH(Comp1[[#This Row],[Comparable '#1 Dates]],Benchmark1[Benchmark '#1 Dates],0)),"-")</f>
        <v>3.6980412070704259E-3</v>
      </c>
      <c r="L1162" s="72">
        <f>Comp1[[#This Row],[Comparable '#1 Price]]/$B$2*100</f>
        <v>73.169062286105401</v>
      </c>
    </row>
    <row r="1163" spans="1:12">
      <c r="A1163" s="103">
        <v>44971</v>
      </c>
      <c r="B1163" s="104">
        <v>10.57</v>
      </c>
      <c r="C1163" s="4">
        <f t="shared" si="36"/>
        <v>-1.1288925154807544E-2</v>
      </c>
      <c r="D1163" s="1">
        <f>IFERROR(Comp1[[#This Row],[Comparable '#1 Return]]+1,"-")</f>
        <v>0.98871107484519249</v>
      </c>
      <c r="E1163" s="6">
        <f>B1163-MAX($B$2:B1163)</f>
        <v>-11.05</v>
      </c>
      <c r="F1163" s="80">
        <f t="shared" si="37"/>
        <v>766</v>
      </c>
      <c r="G1163" s="22" cm="1">
        <f t="array" ref="G1163">Comp1[[#This Row],[Comparable '#1 Drawdown]]/MAX($B$2:B1163)</f>
        <v>-0.51110083256244221</v>
      </c>
      <c r="H1163" s="1" t="str">
        <f>IF(SUM(COUNTIF(Benchmark1[Benchmark '#1 Dates],Comp1[[#This Row],[Comparable '#1 Dates]]),COUNTIF(Benchmark2[Benchmark '#2 Dates],Comp1[[#This Row],[Comparable '#1 Dates]]))=2,"Pass","Fail")</f>
        <v>Pass</v>
      </c>
      <c r="I1163" s="1">
        <f>IFERROR(Comp1[[#This Row],[Comparable '#1 Return]]-INDEX(Benchmark1[Benchmark '#1 Return],MATCH(Comp1[[#This Row],[Comparable '#1 Dates]],Benchmark1[Benchmark '#1 Dates],0)),"-")</f>
        <v>-1.1009948143885374E-2</v>
      </c>
      <c r="L1163" s="72">
        <f>Comp1[[#This Row],[Comparable '#1 Price]]/$B$2*100</f>
        <v>72.347707049965777</v>
      </c>
    </row>
    <row r="1164" spans="1:12">
      <c r="A1164" s="103">
        <v>44972</v>
      </c>
      <c r="B1164" s="104">
        <v>10.64</v>
      </c>
      <c r="C1164" s="4">
        <f t="shared" si="36"/>
        <v>6.6006840313520927E-3</v>
      </c>
      <c r="D1164" s="1">
        <f>IFERROR(Comp1[[#This Row],[Comparable '#1 Return]]+1,"-")</f>
        <v>1.0066006840313522</v>
      </c>
      <c r="E1164" s="6">
        <f>B1164-MAX($B$2:B1164)</f>
        <v>-10.98</v>
      </c>
      <c r="F1164" s="80">
        <f t="shared" si="37"/>
        <v>767</v>
      </c>
      <c r="G1164" s="22" cm="1">
        <f t="array" ref="G1164">Comp1[[#This Row],[Comparable '#1 Drawdown]]/MAX($B$2:B1164)</f>
        <v>-0.50786308973172989</v>
      </c>
      <c r="H1164" s="1" t="str">
        <f>IF(SUM(COUNTIF(Benchmark1[Benchmark '#1 Dates],Comp1[[#This Row],[Comparable '#1 Dates]]),COUNTIF(Benchmark2[Benchmark '#2 Dates],Comp1[[#This Row],[Comparable '#1 Dates]]))=2,"Pass","Fail")</f>
        <v>Pass</v>
      </c>
      <c r="I1164" s="1">
        <f>IFERROR(Comp1[[#This Row],[Comparable '#1 Return]]-INDEX(Benchmark1[Benchmark '#1 Return],MATCH(Comp1[[#This Row],[Comparable '#1 Dates]],Benchmark1[Benchmark '#1 Dates],0)),"-")</f>
        <v>3.8314184553010205E-3</v>
      </c>
      <c r="L1164" s="72">
        <f>Comp1[[#This Row],[Comparable '#1 Price]]/$B$2*100</f>
        <v>72.826830937713908</v>
      </c>
    </row>
    <row r="1165" spans="1:12">
      <c r="A1165" s="103">
        <v>44973</v>
      </c>
      <c r="B1165" s="104">
        <v>10.69</v>
      </c>
      <c r="C1165" s="4">
        <f t="shared" si="36"/>
        <v>4.6882411234555384E-3</v>
      </c>
      <c r="D1165" s="1">
        <f>IFERROR(Comp1[[#This Row],[Comparable '#1 Return]]+1,"-")</f>
        <v>1.0046882411234554</v>
      </c>
      <c r="E1165" s="6">
        <f>B1165-MAX($B$2:B1165)</f>
        <v>-10.930000000000001</v>
      </c>
      <c r="F1165" s="80">
        <f t="shared" si="37"/>
        <v>768</v>
      </c>
      <c r="G1165" s="22" cm="1">
        <f t="array" ref="G1165">Comp1[[#This Row],[Comparable '#1 Drawdown]]/MAX($B$2:B1165)</f>
        <v>-0.5055504162812211</v>
      </c>
      <c r="H1165" s="1" t="str">
        <f>IF(SUM(COUNTIF(Benchmark1[Benchmark '#1 Dates],Comp1[[#This Row],[Comparable '#1 Dates]]),COUNTIF(Benchmark2[Benchmark '#2 Dates],Comp1[[#This Row],[Comparable '#1 Dates]]))=2,"Pass","Fail")</f>
        <v>Pass</v>
      </c>
      <c r="I1165" s="1">
        <f>IFERROR(Comp1[[#This Row],[Comparable '#1 Return]]-INDEX(Benchmark1[Benchmark '#1 Return],MATCH(Comp1[[#This Row],[Comparable '#1 Dates]],Benchmark1[Benchmark '#1 Dates],0)),"-")</f>
        <v>1.8573829191853818E-2</v>
      </c>
      <c r="L1165" s="72">
        <f>Comp1[[#This Row],[Comparable '#1 Price]]/$B$2*100</f>
        <v>73.169062286105401</v>
      </c>
    </row>
    <row r="1166" spans="1:12">
      <c r="A1166" s="103">
        <v>44974</v>
      </c>
      <c r="B1166" s="104">
        <v>10.76</v>
      </c>
      <c r="C1166" s="4">
        <f t="shared" si="36"/>
        <v>6.5268296966846011E-3</v>
      </c>
      <c r="D1166" s="1">
        <f>IFERROR(Comp1[[#This Row],[Comparable '#1 Return]]+1,"-")</f>
        <v>1.0065268296966845</v>
      </c>
      <c r="E1166" s="6">
        <f>B1166-MAX($B$2:B1166)</f>
        <v>-10.860000000000001</v>
      </c>
      <c r="F1166" s="80">
        <f t="shared" si="37"/>
        <v>769</v>
      </c>
      <c r="G1166" s="22" cm="1">
        <f t="array" ref="G1166">Comp1[[#This Row],[Comparable '#1 Drawdown]]/MAX($B$2:B1166)</f>
        <v>-0.50231267345050878</v>
      </c>
      <c r="H1166" s="1" t="str">
        <f>IF(SUM(COUNTIF(Benchmark1[Benchmark '#1 Dates],Comp1[[#This Row],[Comparable '#1 Dates]]),COUNTIF(Benchmark2[Benchmark '#2 Dates],Comp1[[#This Row],[Comparable '#1 Dates]]))=2,"Pass","Fail")</f>
        <v>Pass</v>
      </c>
      <c r="I1166" s="1">
        <f>IFERROR(Comp1[[#This Row],[Comparable '#1 Return]]-INDEX(Benchmark1[Benchmark '#1 Return],MATCH(Comp1[[#This Row],[Comparable '#1 Dates]],Benchmark1[Benchmark '#1 Dates],0)),"-")</f>
        <v>9.2967341266385062E-3</v>
      </c>
      <c r="L1166" s="72">
        <f>Comp1[[#This Row],[Comparable '#1 Price]]/$B$2*100</f>
        <v>73.648186173853531</v>
      </c>
    </row>
    <row r="1167" spans="1:12">
      <c r="A1167" s="103">
        <v>44978</v>
      </c>
      <c r="B1167" s="104">
        <v>10.54</v>
      </c>
      <c r="C1167" s="4">
        <f t="shared" si="36"/>
        <v>-2.06580116204221E-2</v>
      </c>
      <c r="D1167" s="1">
        <f>IFERROR(Comp1[[#This Row],[Comparable '#1 Return]]+1,"-")</f>
        <v>0.97934198837957787</v>
      </c>
      <c r="E1167" s="6">
        <f>B1167-MAX($B$2:B1167)</f>
        <v>-11.080000000000002</v>
      </c>
      <c r="F1167" s="80">
        <f t="shared" si="37"/>
        <v>770</v>
      </c>
      <c r="G1167" s="22" cm="1">
        <f t="array" ref="G1167">Comp1[[#This Row],[Comparable '#1 Drawdown]]/MAX($B$2:B1167)</f>
        <v>-0.51248843663274757</v>
      </c>
      <c r="H1167" s="1" t="str">
        <f>IF(SUM(COUNTIF(Benchmark1[Benchmark '#1 Dates],Comp1[[#This Row],[Comparable '#1 Dates]]),COUNTIF(Benchmark2[Benchmark '#2 Dates],Comp1[[#This Row],[Comparable '#1 Dates]]))=2,"Pass","Fail")</f>
        <v>Pass</v>
      </c>
      <c r="I1167" s="1">
        <f>IFERROR(Comp1[[#This Row],[Comparable '#1 Return]]-INDEX(Benchmark1[Benchmark '#1 Return],MATCH(Comp1[[#This Row],[Comparable '#1 Dates]],Benchmark1[Benchmark '#1 Dates],0)),"-")</f>
        <v>-4.1128225524824855E-4</v>
      </c>
      <c r="L1167" s="72">
        <f>Comp1[[#This Row],[Comparable '#1 Price]]/$B$2*100</f>
        <v>72.142368240930864</v>
      </c>
    </row>
    <row r="1168" spans="1:12">
      <c r="A1168" s="103">
        <v>44979</v>
      </c>
      <c r="B1168" s="104">
        <v>10.39</v>
      </c>
      <c r="C1168" s="4">
        <f t="shared" si="36"/>
        <v>-1.4333738002080064E-2</v>
      </c>
      <c r="D1168" s="1">
        <f>IFERROR(Comp1[[#This Row],[Comparable '#1 Return]]+1,"-")</f>
        <v>0.98566626199791996</v>
      </c>
      <c r="E1168" s="6">
        <f>B1168-MAX($B$2:B1168)</f>
        <v>-11.23</v>
      </c>
      <c r="F1168" s="80">
        <f t="shared" si="37"/>
        <v>771</v>
      </c>
      <c r="G1168" s="22" cm="1">
        <f t="array" ref="G1168">Comp1[[#This Row],[Comparable '#1 Drawdown]]/MAX($B$2:B1168)</f>
        <v>-0.51942645698427381</v>
      </c>
      <c r="H1168" s="1" t="str">
        <f>IF(SUM(COUNTIF(Benchmark1[Benchmark '#1 Dates],Comp1[[#This Row],[Comparable '#1 Dates]]),COUNTIF(Benchmark2[Benchmark '#2 Dates],Comp1[[#This Row],[Comparable '#1 Dates]]))=2,"Pass","Fail")</f>
        <v>Pass</v>
      </c>
      <c r="I1168" s="1">
        <f>IFERROR(Comp1[[#This Row],[Comparable '#1 Return]]-INDEX(Benchmark1[Benchmark '#1 Return],MATCH(Comp1[[#This Row],[Comparable '#1 Dates]],Benchmark1[Benchmark '#1 Dates],0)),"-")</f>
        <v>-1.2759166583345966E-2</v>
      </c>
      <c r="L1168" s="72">
        <f>Comp1[[#This Row],[Comparable '#1 Price]]/$B$2*100</f>
        <v>71.115674195756341</v>
      </c>
    </row>
    <row r="1169" spans="1:12">
      <c r="A1169" s="103">
        <v>44980</v>
      </c>
      <c r="B1169" s="104">
        <v>12</v>
      </c>
      <c r="C1169" s="4">
        <f t="shared" si="36"/>
        <v>0.14406284467686428</v>
      </c>
      <c r="D1169" s="1">
        <f>IFERROR(Comp1[[#This Row],[Comparable '#1 Return]]+1,"-")</f>
        <v>1.1440628446768644</v>
      </c>
      <c r="E1169" s="6">
        <f>B1169-MAX($B$2:B1169)</f>
        <v>-9.620000000000001</v>
      </c>
      <c r="F1169" s="80">
        <f t="shared" si="37"/>
        <v>772</v>
      </c>
      <c r="G1169" s="22" cm="1">
        <f t="array" ref="G1169">Comp1[[#This Row],[Comparable '#1 Drawdown]]/MAX($B$2:B1169)</f>
        <v>-0.44495837187789089</v>
      </c>
      <c r="H1169" s="1" t="str">
        <f>IF(SUM(COUNTIF(Benchmark1[Benchmark '#1 Dates],Comp1[[#This Row],[Comparable '#1 Dates]]),COUNTIF(Benchmark2[Benchmark '#2 Dates],Comp1[[#This Row],[Comparable '#1 Dates]]))=2,"Pass","Fail")</f>
        <v>Pass</v>
      </c>
      <c r="I1169" s="1">
        <f>IFERROR(Comp1[[#This Row],[Comparable '#1 Return]]-INDEX(Benchmark1[Benchmark '#1 Return],MATCH(Comp1[[#This Row],[Comparable '#1 Dates]],Benchmark1[Benchmark '#1 Dates],0)),"-")</f>
        <v>0.13874619202777566</v>
      </c>
      <c r="L1169" s="72">
        <f>Comp1[[#This Row],[Comparable '#1 Price]]/$B$2*100</f>
        <v>82.135523613963045</v>
      </c>
    </row>
    <row r="1170" spans="1:12">
      <c r="A1170" s="103">
        <v>44981</v>
      </c>
      <c r="B1170" s="104">
        <v>11.97</v>
      </c>
      <c r="C1170" s="4">
        <f t="shared" si="36"/>
        <v>-2.503130218118477E-3</v>
      </c>
      <c r="D1170" s="1">
        <f>IFERROR(Comp1[[#This Row],[Comparable '#1 Return]]+1,"-")</f>
        <v>0.99749686978188157</v>
      </c>
      <c r="E1170" s="6">
        <f>B1170-MAX($B$2:B1170)</f>
        <v>-9.65</v>
      </c>
      <c r="F1170" s="80">
        <f t="shared" si="37"/>
        <v>773</v>
      </c>
      <c r="G1170" s="22" cm="1">
        <f t="array" ref="G1170">Comp1[[#This Row],[Comparable '#1 Drawdown]]/MAX($B$2:B1170)</f>
        <v>-0.44634597594819608</v>
      </c>
      <c r="H1170" s="1" t="str">
        <f>IF(SUM(COUNTIF(Benchmark1[Benchmark '#1 Dates],Comp1[[#This Row],[Comparable '#1 Dates]]),COUNTIF(Benchmark2[Benchmark '#2 Dates],Comp1[[#This Row],[Comparable '#1 Dates]]))=2,"Pass","Fail")</f>
        <v>Pass</v>
      </c>
      <c r="I1170" s="1">
        <f>IFERROR(Comp1[[#This Row],[Comparable '#1 Return]]-INDEX(Benchmark1[Benchmark '#1 Return],MATCH(Comp1[[#This Row],[Comparable '#1 Dates]],Benchmark1[Benchmark '#1 Dates],0)),"-")</f>
        <v>8.0919308143323661E-3</v>
      </c>
      <c r="L1170" s="72">
        <f>Comp1[[#This Row],[Comparable '#1 Price]]/$B$2*100</f>
        <v>81.930184804928146</v>
      </c>
    </row>
    <row r="1171" spans="1:12">
      <c r="A1171" s="103">
        <v>44984</v>
      </c>
      <c r="B1171" s="104">
        <v>11.87</v>
      </c>
      <c r="C1171" s="4">
        <f t="shared" si="36"/>
        <v>-8.3893109483052231E-3</v>
      </c>
      <c r="D1171" s="1">
        <f>IFERROR(Comp1[[#This Row],[Comparable '#1 Return]]+1,"-")</f>
        <v>0.9916106890516948</v>
      </c>
      <c r="E1171" s="6">
        <f>B1171-MAX($B$2:B1171)</f>
        <v>-9.7500000000000018</v>
      </c>
      <c r="F1171" s="80">
        <f t="shared" si="37"/>
        <v>774</v>
      </c>
      <c r="G1171" s="22" cm="1">
        <f t="array" ref="G1171">Comp1[[#This Row],[Comparable '#1 Drawdown]]/MAX($B$2:B1171)</f>
        <v>-0.45097132284921376</v>
      </c>
      <c r="H1171" s="1" t="str">
        <f>IF(SUM(COUNTIF(Benchmark1[Benchmark '#1 Dates],Comp1[[#This Row],[Comparable '#1 Dates]]),COUNTIF(Benchmark2[Benchmark '#2 Dates],Comp1[[#This Row],[Comparable '#1 Dates]]))=2,"Pass","Fail")</f>
        <v>Pass</v>
      </c>
      <c r="I1171" s="1">
        <f>IFERROR(Comp1[[#This Row],[Comparable '#1 Return]]-INDEX(Benchmark1[Benchmark '#1 Return],MATCH(Comp1[[#This Row],[Comparable '#1 Dates]],Benchmark1[Benchmark '#1 Dates],0)),"-")</f>
        <v>-1.1458498271593825E-2</v>
      </c>
      <c r="L1171" s="72">
        <f>Comp1[[#This Row],[Comparable '#1 Price]]/$B$2*100</f>
        <v>81.245722108145102</v>
      </c>
    </row>
    <row r="1172" spans="1:12">
      <c r="A1172" s="103">
        <v>44985</v>
      </c>
      <c r="B1172" s="104">
        <v>11.86</v>
      </c>
      <c r="C1172" s="4">
        <f t="shared" si="36"/>
        <v>-8.4281505199727542E-4</v>
      </c>
      <c r="D1172" s="1">
        <f>IFERROR(Comp1[[#This Row],[Comparable '#1 Return]]+1,"-")</f>
        <v>0.99915718494800276</v>
      </c>
      <c r="E1172" s="6">
        <f>B1172-MAX($B$2:B1172)</f>
        <v>-9.7600000000000016</v>
      </c>
      <c r="F1172" s="80">
        <f t="shared" si="37"/>
        <v>775</v>
      </c>
      <c r="G1172" s="22" cm="1">
        <f t="array" ref="G1172">Comp1[[#This Row],[Comparable '#1 Drawdown]]/MAX($B$2:B1172)</f>
        <v>-0.45143385753931548</v>
      </c>
      <c r="H1172" s="1" t="str">
        <f>IF(SUM(COUNTIF(Benchmark1[Benchmark '#1 Dates],Comp1[[#This Row],[Comparable '#1 Dates]]),COUNTIF(Benchmark2[Benchmark '#2 Dates],Comp1[[#This Row],[Comparable '#1 Dates]]))=2,"Pass","Fail")</f>
        <v>Pass</v>
      </c>
      <c r="I1172" s="1">
        <f>IFERROR(Comp1[[#This Row],[Comparable '#1 Return]]-INDEX(Benchmark1[Benchmark '#1 Return],MATCH(Comp1[[#This Row],[Comparable '#1 Dates]],Benchmark1[Benchmark '#1 Dates],0)),"-")</f>
        <v>2.1969859386790809E-3</v>
      </c>
      <c r="L1172" s="72">
        <f>Comp1[[#This Row],[Comparable '#1 Price]]/$B$2*100</f>
        <v>81.177275838466798</v>
      </c>
    </row>
    <row r="1173" spans="1:12">
      <c r="A1173" s="103">
        <v>44986</v>
      </c>
      <c r="B1173" s="104">
        <v>11.55</v>
      </c>
      <c r="C1173" s="4">
        <f t="shared" si="36"/>
        <v>-2.6485956601776717E-2</v>
      </c>
      <c r="D1173" s="1">
        <f>IFERROR(Comp1[[#This Row],[Comparable '#1 Return]]+1,"-")</f>
        <v>0.97351404339822323</v>
      </c>
      <c r="E1173" s="6">
        <f>B1173-MAX($B$2:B1173)</f>
        <v>-10.07</v>
      </c>
      <c r="F1173" s="80">
        <f t="shared" si="37"/>
        <v>776</v>
      </c>
      <c r="G1173" s="22" cm="1">
        <f t="array" ref="G1173">Comp1[[#This Row],[Comparable '#1 Drawdown]]/MAX($B$2:B1173)</f>
        <v>-0.46577243293246995</v>
      </c>
      <c r="H1173" s="1" t="str">
        <f>IF(SUM(COUNTIF(Benchmark1[Benchmark '#1 Dates],Comp1[[#This Row],[Comparable '#1 Dates]]),COUNTIF(Benchmark2[Benchmark '#2 Dates],Comp1[[#This Row],[Comparable '#1 Dates]]))=2,"Pass","Fail")</f>
        <v>Pass</v>
      </c>
      <c r="I1173" s="1">
        <f>IFERROR(Comp1[[#This Row],[Comparable '#1 Return]]-INDEX(Benchmark1[Benchmark '#1 Return],MATCH(Comp1[[#This Row],[Comparable '#1 Dates]],Benchmark1[Benchmark '#1 Dates],0)),"-")</f>
        <v>-2.1749718982234763E-2</v>
      </c>
      <c r="L1173" s="72">
        <f>Comp1[[#This Row],[Comparable '#1 Price]]/$B$2*100</f>
        <v>79.055441478439434</v>
      </c>
    </row>
    <row r="1174" spans="1:12">
      <c r="A1174" s="103">
        <v>44987</v>
      </c>
      <c r="B1174" s="104">
        <v>11.72</v>
      </c>
      <c r="C1174" s="4">
        <f t="shared" si="36"/>
        <v>1.4611347181063978E-2</v>
      </c>
      <c r="D1174" s="1">
        <f>IFERROR(Comp1[[#This Row],[Comparable '#1 Return]]+1,"-")</f>
        <v>1.014611347181064</v>
      </c>
      <c r="E1174" s="6">
        <f>B1174-MAX($B$2:B1174)</f>
        <v>-9.9</v>
      </c>
      <c r="F1174" s="80">
        <f t="shared" si="37"/>
        <v>777</v>
      </c>
      <c r="G1174" s="22" cm="1">
        <f t="array" ref="G1174">Comp1[[#This Row],[Comparable '#1 Drawdown]]/MAX($B$2:B1174)</f>
        <v>-0.45790934320074006</v>
      </c>
      <c r="H1174" s="1" t="str">
        <f>IF(SUM(COUNTIF(Benchmark1[Benchmark '#1 Dates],Comp1[[#This Row],[Comparable '#1 Dates]]),COUNTIF(Benchmark2[Benchmark '#2 Dates],Comp1[[#This Row],[Comparable '#1 Dates]]))=2,"Pass","Fail")</f>
        <v>Pass</v>
      </c>
      <c r="I1174" s="1">
        <f>IFERROR(Comp1[[#This Row],[Comparable '#1 Return]]-INDEX(Benchmark1[Benchmark '#1 Return],MATCH(Comp1[[#This Row],[Comparable '#1 Dates]],Benchmark1[Benchmark '#1 Dates],0)),"-")</f>
        <v>7.0583232020778527E-3</v>
      </c>
      <c r="L1174" s="72">
        <f>Comp1[[#This Row],[Comparable '#1 Price]]/$B$2*100</f>
        <v>80.21902806297058</v>
      </c>
    </row>
    <row r="1175" spans="1:12">
      <c r="A1175" s="103">
        <v>44988</v>
      </c>
      <c r="B1175" s="104">
        <v>11.91</v>
      </c>
      <c r="C1175" s="4">
        <f t="shared" si="36"/>
        <v>1.6081599218342145E-2</v>
      </c>
      <c r="D1175" s="1">
        <f>IFERROR(Comp1[[#This Row],[Comparable '#1 Return]]+1,"-")</f>
        <v>1.0160815992183421</v>
      </c>
      <c r="E1175" s="6">
        <f>B1175-MAX($B$2:B1175)</f>
        <v>-9.7100000000000009</v>
      </c>
      <c r="F1175" s="80">
        <f t="shared" si="37"/>
        <v>778</v>
      </c>
      <c r="G1175" s="22" cm="1">
        <f t="array" ref="G1175">Comp1[[#This Row],[Comparable '#1 Drawdown]]/MAX($B$2:B1175)</f>
        <v>-0.44912118408880669</v>
      </c>
      <c r="H1175" s="1" t="str">
        <f>IF(SUM(COUNTIF(Benchmark1[Benchmark '#1 Dates],Comp1[[#This Row],[Comparable '#1 Dates]]),COUNTIF(Benchmark2[Benchmark '#2 Dates],Comp1[[#This Row],[Comparable '#1 Dates]]))=2,"Pass","Fail")</f>
        <v>Pass</v>
      </c>
      <c r="I1175" s="1">
        <f>IFERROR(Comp1[[#This Row],[Comparable '#1 Return]]-INDEX(Benchmark1[Benchmark '#1 Return],MATCH(Comp1[[#This Row],[Comparable '#1 Dates]],Benchmark1[Benchmark '#1 Dates],0)),"-")</f>
        <v>6.3953484798106447E-5</v>
      </c>
      <c r="L1175" s="72">
        <f>Comp1[[#This Row],[Comparable '#1 Price]]/$B$2*100</f>
        <v>81.51950718685832</v>
      </c>
    </row>
    <row r="1176" spans="1:12">
      <c r="A1176" s="103">
        <v>44991</v>
      </c>
      <c r="B1176" s="104">
        <v>11.86</v>
      </c>
      <c r="C1176" s="4">
        <f t="shared" si="36"/>
        <v>-4.2069897976294377E-3</v>
      </c>
      <c r="D1176" s="1">
        <f>IFERROR(Comp1[[#This Row],[Comparable '#1 Return]]+1,"-")</f>
        <v>0.99579301020237054</v>
      </c>
      <c r="E1176" s="6">
        <f>B1176-MAX($B$2:B1176)</f>
        <v>-9.7600000000000016</v>
      </c>
      <c r="F1176" s="80">
        <f t="shared" si="37"/>
        <v>779</v>
      </c>
      <c r="G1176" s="22" cm="1">
        <f t="array" ref="G1176">Comp1[[#This Row],[Comparable '#1 Drawdown]]/MAX($B$2:B1176)</f>
        <v>-0.45143385753931548</v>
      </c>
      <c r="H1176" s="1" t="str">
        <f>IF(SUM(COUNTIF(Benchmark1[Benchmark '#1 Dates],Comp1[[#This Row],[Comparable '#1 Dates]]),COUNTIF(Benchmark2[Benchmark '#2 Dates],Comp1[[#This Row],[Comparable '#1 Dates]]))=2,"Pass","Fail")</f>
        <v>Pass</v>
      </c>
      <c r="I1176" s="1">
        <f>IFERROR(Comp1[[#This Row],[Comparable '#1 Return]]-INDEX(Benchmark1[Benchmark '#1 Return],MATCH(Comp1[[#This Row],[Comparable '#1 Dates]],Benchmark1[Benchmark '#1 Dates],0)),"-")</f>
        <v>-4.8939549925395434E-3</v>
      </c>
      <c r="L1176" s="72">
        <f>Comp1[[#This Row],[Comparable '#1 Price]]/$B$2*100</f>
        <v>81.177275838466798</v>
      </c>
    </row>
    <row r="1177" spans="1:12">
      <c r="A1177" s="103">
        <v>44992</v>
      </c>
      <c r="B1177" s="104">
        <v>11.86</v>
      </c>
      <c r="C1177" s="4">
        <f t="shared" si="36"/>
        <v>0</v>
      </c>
      <c r="D1177" s="1">
        <f>IFERROR(Comp1[[#This Row],[Comparable '#1 Return]]+1,"-")</f>
        <v>1</v>
      </c>
      <c r="E1177" s="6">
        <f>B1177-MAX($B$2:B1177)</f>
        <v>-9.7600000000000016</v>
      </c>
      <c r="F1177" s="80">
        <f t="shared" si="37"/>
        <v>780</v>
      </c>
      <c r="G1177" s="22" cm="1">
        <f t="array" ref="G1177">Comp1[[#This Row],[Comparable '#1 Drawdown]]/MAX($B$2:B1177)</f>
        <v>-0.45143385753931548</v>
      </c>
      <c r="H1177" s="1" t="str">
        <f>IF(SUM(COUNTIF(Benchmark1[Benchmark '#1 Dates],Comp1[[#This Row],[Comparable '#1 Dates]]),COUNTIF(Benchmark2[Benchmark '#2 Dates],Comp1[[#This Row],[Comparable '#1 Dates]]))=2,"Pass","Fail")</f>
        <v>Pass</v>
      </c>
      <c r="I1177" s="1">
        <f>IFERROR(Comp1[[#This Row],[Comparable '#1 Return]]-INDEX(Benchmark1[Benchmark '#1 Return],MATCH(Comp1[[#This Row],[Comparable '#1 Dates]],Benchmark1[Benchmark '#1 Dates],0)),"-")</f>
        <v>1.5444403957306981E-2</v>
      </c>
      <c r="L1177" s="72">
        <f>Comp1[[#This Row],[Comparable '#1 Price]]/$B$2*100</f>
        <v>81.177275838466798</v>
      </c>
    </row>
    <row r="1178" spans="1:12">
      <c r="A1178" s="103">
        <v>44993</v>
      </c>
      <c r="B1178" s="104">
        <v>11.9</v>
      </c>
      <c r="C1178" s="4">
        <f t="shared" si="36"/>
        <v>3.3670065479044697E-3</v>
      </c>
      <c r="D1178" s="1">
        <f>IFERROR(Comp1[[#This Row],[Comparable '#1 Return]]+1,"-")</f>
        <v>1.0033670065479046</v>
      </c>
      <c r="E1178" s="6">
        <f>B1178-MAX($B$2:B1178)</f>
        <v>-9.7200000000000006</v>
      </c>
      <c r="F1178" s="80">
        <f t="shared" si="37"/>
        <v>781</v>
      </c>
      <c r="G1178" s="22" cm="1">
        <f t="array" ref="G1178">Comp1[[#This Row],[Comparable '#1 Drawdown]]/MAX($B$2:B1178)</f>
        <v>-0.4495837187789084</v>
      </c>
      <c r="H1178" s="1" t="str">
        <f>IF(SUM(COUNTIF(Benchmark1[Benchmark '#1 Dates],Comp1[[#This Row],[Comparable '#1 Dates]]),COUNTIF(Benchmark2[Benchmark '#2 Dates],Comp1[[#This Row],[Comparable '#1 Dates]]))=2,"Pass","Fail")</f>
        <v>Pass</v>
      </c>
      <c r="I1178" s="1">
        <f>IFERROR(Comp1[[#This Row],[Comparable '#1 Return]]-INDEX(Benchmark1[Benchmark '#1 Return],MATCH(Comp1[[#This Row],[Comparable '#1 Dates]],Benchmark1[Benchmark '#1 Dates],0)),"-")</f>
        <v>1.9530695595074425E-3</v>
      </c>
      <c r="L1178" s="72">
        <f>Comp1[[#This Row],[Comparable '#1 Price]]/$B$2*100</f>
        <v>81.451060917180016</v>
      </c>
    </row>
    <row r="1179" spans="1:12">
      <c r="A1179" s="103">
        <v>44994</v>
      </c>
      <c r="B1179" s="104">
        <v>11.72</v>
      </c>
      <c r="C1179" s="4">
        <f t="shared" si="36"/>
        <v>-1.5241615968617089E-2</v>
      </c>
      <c r="D1179" s="1">
        <f>IFERROR(Comp1[[#This Row],[Comparable '#1 Return]]+1,"-")</f>
        <v>0.98475838403138294</v>
      </c>
      <c r="E1179" s="6">
        <f>B1179-MAX($B$2:B1179)</f>
        <v>-9.9</v>
      </c>
      <c r="F1179" s="80">
        <f t="shared" si="37"/>
        <v>782</v>
      </c>
      <c r="G1179" s="22" cm="1">
        <f t="array" ref="G1179">Comp1[[#This Row],[Comparable '#1 Drawdown]]/MAX($B$2:B1179)</f>
        <v>-0.45790934320074006</v>
      </c>
      <c r="H1179" s="1" t="str">
        <f>IF(SUM(COUNTIF(Benchmark1[Benchmark '#1 Dates],Comp1[[#This Row],[Comparable '#1 Dates]]),COUNTIF(Benchmark2[Benchmark '#2 Dates],Comp1[[#This Row],[Comparable '#1 Dates]]))=2,"Pass","Fail")</f>
        <v>Pass</v>
      </c>
      <c r="I1179" s="1">
        <f>IFERROR(Comp1[[#This Row],[Comparable '#1 Return]]-INDEX(Benchmark1[Benchmark '#1 Return],MATCH(Comp1[[#This Row],[Comparable '#1 Dates]],Benchmark1[Benchmark '#1 Dates],0)),"-")</f>
        <v>3.3907068157717213E-3</v>
      </c>
      <c r="L1179" s="72">
        <f>Comp1[[#This Row],[Comparable '#1 Price]]/$B$2*100</f>
        <v>80.21902806297058</v>
      </c>
    </row>
    <row r="1180" spans="1:12">
      <c r="A1180" s="103">
        <v>44995</v>
      </c>
      <c r="B1180" s="104">
        <v>11.54</v>
      </c>
      <c r="C1180" s="4">
        <f t="shared" si="36"/>
        <v>-1.5477523068913174E-2</v>
      </c>
      <c r="D1180" s="1">
        <f>IFERROR(Comp1[[#This Row],[Comparable '#1 Return]]+1,"-")</f>
        <v>0.98452247693108685</v>
      </c>
      <c r="E1180" s="6">
        <f>B1180-MAX($B$2:B1180)</f>
        <v>-10.080000000000002</v>
      </c>
      <c r="F1180" s="80">
        <f t="shared" si="37"/>
        <v>783</v>
      </c>
      <c r="G1180" s="22" cm="1">
        <f t="array" ref="G1180">Comp1[[#This Row],[Comparable '#1 Drawdown]]/MAX($B$2:B1180)</f>
        <v>-0.46623496762257177</v>
      </c>
      <c r="H1180" s="1" t="str">
        <f>IF(SUM(COUNTIF(Benchmark1[Benchmark '#1 Dates],Comp1[[#This Row],[Comparable '#1 Dates]]),COUNTIF(Benchmark2[Benchmark '#2 Dates],Comp1[[#This Row],[Comparable '#1 Dates]]))=2,"Pass","Fail")</f>
        <v>Pass</v>
      </c>
      <c r="I1180" s="1">
        <f>IFERROR(Comp1[[#This Row],[Comparable '#1 Return]]-INDEX(Benchmark1[Benchmark '#1 Return],MATCH(Comp1[[#This Row],[Comparable '#1 Dates]],Benchmark1[Benchmark '#1 Dates],0)),"-")</f>
        <v>-8.9316311884034619E-4</v>
      </c>
      <c r="L1180" s="72">
        <f>Comp1[[#This Row],[Comparable '#1 Price]]/$B$2*100</f>
        <v>78.98699520876113</v>
      </c>
    </row>
    <row r="1181" spans="1:12">
      <c r="A1181" s="103">
        <v>44998</v>
      </c>
      <c r="B1181" s="104">
        <v>11.43</v>
      </c>
      <c r="C1181" s="4">
        <f t="shared" si="36"/>
        <v>-9.5777832732341344E-3</v>
      </c>
      <c r="D1181" s="1">
        <f>IFERROR(Comp1[[#This Row],[Comparable '#1 Return]]+1,"-")</f>
        <v>0.99042221672676589</v>
      </c>
      <c r="E1181" s="6">
        <f>B1181-MAX($B$2:B1181)</f>
        <v>-10.190000000000001</v>
      </c>
      <c r="F1181" s="80">
        <f t="shared" si="37"/>
        <v>784</v>
      </c>
      <c r="G1181" s="22" cm="1">
        <f t="array" ref="G1181">Comp1[[#This Row],[Comparable '#1 Drawdown]]/MAX($B$2:B1181)</f>
        <v>-0.47132284921369105</v>
      </c>
      <c r="H1181" s="1" t="str">
        <f>IF(SUM(COUNTIF(Benchmark1[Benchmark '#1 Dates],Comp1[[#This Row],[Comparable '#1 Dates]]),COUNTIF(Benchmark2[Benchmark '#2 Dates],Comp1[[#This Row],[Comparable '#1 Dates]]))=2,"Pass","Fail")</f>
        <v>Pass</v>
      </c>
      <c r="I1181" s="1">
        <f>IFERROR(Comp1[[#This Row],[Comparable '#1 Return]]-INDEX(Benchmark1[Benchmark '#1 Return],MATCH(Comp1[[#This Row],[Comparable '#1 Dates]],Benchmark1[Benchmark '#1 Dates],0)),"-")</f>
        <v>-8.0674078440893266E-3</v>
      </c>
      <c r="L1181" s="72">
        <f>Comp1[[#This Row],[Comparable '#1 Price]]/$B$2*100</f>
        <v>78.234086242299796</v>
      </c>
    </row>
    <row r="1182" spans="1:12">
      <c r="A1182" s="103">
        <v>44999</v>
      </c>
      <c r="B1182" s="104">
        <v>11.71</v>
      </c>
      <c r="C1182" s="4">
        <f t="shared" si="36"/>
        <v>2.4201699802906883E-2</v>
      </c>
      <c r="D1182" s="1">
        <f>IFERROR(Comp1[[#This Row],[Comparable '#1 Return]]+1,"-")</f>
        <v>1.0242016998029069</v>
      </c>
      <c r="E1182" s="6">
        <f>B1182-MAX($B$2:B1182)</f>
        <v>-9.91</v>
      </c>
      <c r="F1182" s="80">
        <f t="shared" si="37"/>
        <v>785</v>
      </c>
      <c r="G1182" s="22" cm="1">
        <f t="array" ref="G1182">Comp1[[#This Row],[Comparable '#1 Drawdown]]/MAX($B$2:B1182)</f>
        <v>-0.45837187789084177</v>
      </c>
      <c r="H1182" s="1" t="str">
        <f>IF(SUM(COUNTIF(Benchmark1[Benchmark '#1 Dates],Comp1[[#This Row],[Comparable '#1 Dates]]),COUNTIF(Benchmark2[Benchmark '#2 Dates],Comp1[[#This Row],[Comparable '#1 Dates]]))=2,"Pass","Fail")</f>
        <v>Pass</v>
      </c>
      <c r="I1182" s="1">
        <f>IFERROR(Comp1[[#This Row],[Comparable '#1 Return]]-INDEX(Benchmark1[Benchmark '#1 Return],MATCH(Comp1[[#This Row],[Comparable '#1 Dates]],Benchmark1[Benchmark '#1 Dates],0)),"-")</f>
        <v>7.8605774110856383E-3</v>
      </c>
      <c r="L1182" s="72">
        <f>Comp1[[#This Row],[Comparable '#1 Price]]/$B$2*100</f>
        <v>80.150581793292275</v>
      </c>
    </row>
    <row r="1183" spans="1:12">
      <c r="A1183" s="103">
        <v>45000</v>
      </c>
      <c r="B1183" s="104">
        <v>11.6</v>
      </c>
      <c r="C1183" s="4">
        <f t="shared" si="36"/>
        <v>-9.4380794973071523E-3</v>
      </c>
      <c r="D1183" s="1">
        <f>IFERROR(Comp1[[#This Row],[Comparable '#1 Return]]+1,"-")</f>
        <v>0.99056192050269287</v>
      </c>
      <c r="E1183" s="6">
        <f>B1183-MAX($B$2:B1183)</f>
        <v>-10.020000000000001</v>
      </c>
      <c r="F1183" s="80">
        <f t="shared" si="37"/>
        <v>786</v>
      </c>
      <c r="G1183" s="22" cm="1">
        <f t="array" ref="G1183">Comp1[[#This Row],[Comparable '#1 Drawdown]]/MAX($B$2:B1183)</f>
        <v>-0.46345975948196116</v>
      </c>
      <c r="H1183" s="1" t="str">
        <f>IF(SUM(COUNTIF(Benchmark1[Benchmark '#1 Dates],Comp1[[#This Row],[Comparable '#1 Dates]]),COUNTIF(Benchmark2[Benchmark '#2 Dates],Comp1[[#This Row],[Comparable '#1 Dates]]))=2,"Pass","Fail")</f>
        <v>Pass</v>
      </c>
      <c r="I1183" s="1">
        <f>IFERROR(Comp1[[#This Row],[Comparable '#1 Return]]-INDEX(Benchmark1[Benchmark '#1 Return],MATCH(Comp1[[#This Row],[Comparable '#1 Dates]],Benchmark1[Benchmark '#1 Dates],0)),"-")</f>
        <v>-2.4326836158895457E-3</v>
      </c>
      <c r="L1183" s="72">
        <f>Comp1[[#This Row],[Comparable '#1 Price]]/$B$2*100</f>
        <v>79.397672826830927</v>
      </c>
    </row>
    <row r="1184" spans="1:12">
      <c r="A1184" s="103">
        <v>45001</v>
      </c>
      <c r="B1184" s="104">
        <v>11.65</v>
      </c>
      <c r="C1184" s="4">
        <f t="shared" si="36"/>
        <v>4.3010818993907017E-3</v>
      </c>
      <c r="D1184" s="1">
        <f>IFERROR(Comp1[[#This Row],[Comparable '#1 Return]]+1,"-")</f>
        <v>1.0043010818993907</v>
      </c>
      <c r="E1184" s="6">
        <f>B1184-MAX($B$2:B1184)</f>
        <v>-9.9700000000000006</v>
      </c>
      <c r="F1184" s="80">
        <f t="shared" si="37"/>
        <v>787</v>
      </c>
      <c r="G1184" s="22" cm="1">
        <f t="array" ref="G1184">Comp1[[#This Row],[Comparable '#1 Drawdown]]/MAX($B$2:B1184)</f>
        <v>-0.46114708603145238</v>
      </c>
      <c r="H1184" s="1" t="str">
        <f>IF(SUM(COUNTIF(Benchmark1[Benchmark '#1 Dates],Comp1[[#This Row],[Comparable '#1 Dates]]),COUNTIF(Benchmark2[Benchmark '#2 Dates],Comp1[[#This Row],[Comparable '#1 Dates]]))=2,"Pass","Fail")</f>
        <v>Pass</v>
      </c>
      <c r="I1184" s="1">
        <f>IFERROR(Comp1[[#This Row],[Comparable '#1 Return]]-INDEX(Benchmark1[Benchmark '#1 Return],MATCH(Comp1[[#This Row],[Comparable '#1 Dates]],Benchmark1[Benchmark '#1 Dates],0)),"-")</f>
        <v>-1.3109590567678318E-2</v>
      </c>
      <c r="L1184" s="72">
        <f>Comp1[[#This Row],[Comparable '#1 Price]]/$B$2*100</f>
        <v>79.739904175222449</v>
      </c>
    </row>
    <row r="1185" spans="1:12">
      <c r="A1185" s="103">
        <v>45002</v>
      </c>
      <c r="B1185" s="104">
        <v>11.49</v>
      </c>
      <c r="C1185" s="4">
        <f t="shared" si="36"/>
        <v>-1.3829088151045247E-2</v>
      </c>
      <c r="D1185" s="1">
        <f>IFERROR(Comp1[[#This Row],[Comparable '#1 Return]]+1,"-")</f>
        <v>0.98617091184895478</v>
      </c>
      <c r="E1185" s="6">
        <f>B1185-MAX($B$2:B1185)</f>
        <v>-10.130000000000001</v>
      </c>
      <c r="F1185" s="80">
        <f t="shared" si="37"/>
        <v>788</v>
      </c>
      <c r="G1185" s="22" cm="1">
        <f t="array" ref="G1185">Comp1[[#This Row],[Comparable '#1 Drawdown]]/MAX($B$2:B1185)</f>
        <v>-0.4685476410730805</v>
      </c>
      <c r="H1185" s="1" t="str">
        <f>IF(SUM(COUNTIF(Benchmark1[Benchmark '#1 Dates],Comp1[[#This Row],[Comparable '#1 Dates]]),COUNTIF(Benchmark2[Benchmark '#2 Dates],Comp1[[#This Row],[Comparable '#1 Dates]]))=2,"Pass","Fail")</f>
        <v>Pass</v>
      </c>
      <c r="I1185" s="1">
        <f>IFERROR(Comp1[[#This Row],[Comparable '#1 Return]]-INDEX(Benchmark1[Benchmark '#1 Return],MATCH(Comp1[[#This Row],[Comparable '#1 Dates]],Benchmark1[Benchmark '#1 Dates],0)),"-")</f>
        <v>-2.7475109761399535E-3</v>
      </c>
      <c r="L1185" s="72">
        <f>Comp1[[#This Row],[Comparable '#1 Price]]/$B$2*100</f>
        <v>78.644763860369622</v>
      </c>
    </row>
    <row r="1186" spans="1:12">
      <c r="A1186" s="103">
        <v>45005</v>
      </c>
      <c r="B1186" s="104">
        <v>11.47</v>
      </c>
      <c r="C1186" s="4">
        <f t="shared" si="36"/>
        <v>-1.7421607193849257E-3</v>
      </c>
      <c r="D1186" s="1">
        <f>IFERROR(Comp1[[#This Row],[Comparable '#1 Return]]+1,"-")</f>
        <v>0.99825783928061507</v>
      </c>
      <c r="E1186" s="6">
        <f>B1186-MAX($B$2:B1186)</f>
        <v>-10.15</v>
      </c>
      <c r="F1186" s="80">
        <f t="shared" si="37"/>
        <v>789</v>
      </c>
      <c r="G1186" s="22" cm="1">
        <f t="array" ref="G1186">Comp1[[#This Row],[Comparable '#1 Drawdown]]/MAX($B$2:B1186)</f>
        <v>-0.46947271045328398</v>
      </c>
      <c r="H1186" s="1" t="str">
        <f>IF(SUM(COUNTIF(Benchmark1[Benchmark '#1 Dates],Comp1[[#This Row],[Comparable '#1 Dates]]),COUNTIF(Benchmark2[Benchmark '#2 Dates],Comp1[[#This Row],[Comparable '#1 Dates]]))=2,"Pass","Fail")</f>
        <v>Pass</v>
      </c>
      <c r="I1186" s="1">
        <f>IFERROR(Comp1[[#This Row],[Comparable '#1 Return]]-INDEX(Benchmark1[Benchmark '#1 Return],MATCH(Comp1[[#This Row],[Comparable '#1 Dates]],Benchmark1[Benchmark '#1 Dates],0)),"-")</f>
        <v>-1.0621411629599084E-2</v>
      </c>
      <c r="L1186" s="72">
        <f>Comp1[[#This Row],[Comparable '#1 Price]]/$B$2*100</f>
        <v>78.507871321013013</v>
      </c>
    </row>
    <row r="1187" spans="1:12">
      <c r="A1187" s="103">
        <v>45006</v>
      </c>
      <c r="B1187" s="104">
        <v>11.45</v>
      </c>
      <c r="C1187" s="4">
        <f t="shared" si="36"/>
        <v>-1.7452011410307498E-3</v>
      </c>
      <c r="D1187" s="1">
        <f>IFERROR(Comp1[[#This Row],[Comparable '#1 Return]]+1,"-")</f>
        <v>0.99825479885896928</v>
      </c>
      <c r="E1187" s="6">
        <f>B1187-MAX($B$2:B1187)</f>
        <v>-10.170000000000002</v>
      </c>
      <c r="F1187" s="80">
        <f t="shared" si="37"/>
        <v>790</v>
      </c>
      <c r="G1187" s="22" cm="1">
        <f t="array" ref="G1187">Comp1[[#This Row],[Comparable '#1 Drawdown]]/MAX($B$2:B1187)</f>
        <v>-0.47039777983348757</v>
      </c>
      <c r="H1187" s="1" t="str">
        <f>IF(SUM(COUNTIF(Benchmark1[Benchmark '#1 Dates],Comp1[[#This Row],[Comparable '#1 Dates]]),COUNTIF(Benchmark2[Benchmark '#2 Dates],Comp1[[#This Row],[Comparable '#1 Dates]]))=2,"Pass","Fail")</f>
        <v>Pass</v>
      </c>
      <c r="I1187" s="1">
        <f>IFERROR(Comp1[[#This Row],[Comparable '#1 Return]]-INDEX(Benchmark1[Benchmark '#1 Return],MATCH(Comp1[[#This Row],[Comparable '#1 Dates]],Benchmark1[Benchmark '#1 Dates],0)),"-")</f>
        <v>-1.4644981280223403E-2</v>
      </c>
      <c r="L1187" s="72">
        <f>Comp1[[#This Row],[Comparable '#1 Price]]/$B$2*100</f>
        <v>78.37097878165639</v>
      </c>
    </row>
    <row r="1188" spans="1:12">
      <c r="A1188" s="103">
        <v>45007</v>
      </c>
      <c r="B1188" s="104">
        <v>11.27</v>
      </c>
      <c r="C1188" s="4">
        <f t="shared" si="36"/>
        <v>-1.5845401948563737E-2</v>
      </c>
      <c r="D1188" s="1">
        <f>IFERROR(Comp1[[#This Row],[Comparable '#1 Return]]+1,"-")</f>
        <v>0.98415459805143624</v>
      </c>
      <c r="E1188" s="6">
        <f>B1188-MAX($B$2:B1188)</f>
        <v>-10.350000000000001</v>
      </c>
      <c r="F1188" s="80">
        <f t="shared" si="37"/>
        <v>791</v>
      </c>
      <c r="G1188" s="22" cm="1">
        <f t="array" ref="G1188">Comp1[[#This Row],[Comparable '#1 Drawdown]]/MAX($B$2:B1188)</f>
        <v>-0.47872340425531917</v>
      </c>
      <c r="H1188" s="1" t="str">
        <f>IF(SUM(COUNTIF(Benchmark1[Benchmark '#1 Dates],Comp1[[#This Row],[Comparable '#1 Dates]]),COUNTIF(Benchmark2[Benchmark '#2 Dates],Comp1[[#This Row],[Comparable '#1 Dates]]))=2,"Pass","Fail")</f>
        <v>Pass</v>
      </c>
      <c r="I1188" s="1">
        <f>IFERROR(Comp1[[#This Row],[Comparable '#1 Return]]-INDEX(Benchmark1[Benchmark '#1 Return],MATCH(Comp1[[#This Row],[Comparable '#1 Dates]],Benchmark1[Benchmark '#1 Dates],0)),"-")</f>
        <v>7.5532195676701261E-4</v>
      </c>
      <c r="L1188" s="72">
        <f>Comp1[[#This Row],[Comparable '#1 Price]]/$B$2*100</f>
        <v>77.138945927446954</v>
      </c>
    </row>
    <row r="1189" spans="1:12">
      <c r="A1189" s="103">
        <v>45008</v>
      </c>
      <c r="B1189" s="104">
        <v>11.36</v>
      </c>
      <c r="C1189" s="4">
        <f t="shared" si="36"/>
        <v>7.9540852413203574E-3</v>
      </c>
      <c r="D1189" s="1">
        <f>IFERROR(Comp1[[#This Row],[Comparable '#1 Return]]+1,"-")</f>
        <v>1.0079540852413205</v>
      </c>
      <c r="E1189" s="6">
        <f>B1189-MAX($B$2:B1189)</f>
        <v>-10.260000000000002</v>
      </c>
      <c r="F1189" s="80">
        <f t="shared" si="37"/>
        <v>792</v>
      </c>
      <c r="G1189" s="22" cm="1">
        <f t="array" ref="G1189">Comp1[[#This Row],[Comparable '#1 Drawdown]]/MAX($B$2:B1189)</f>
        <v>-0.47456059204440337</v>
      </c>
      <c r="H1189" s="1" t="str">
        <f>IF(SUM(COUNTIF(Benchmark1[Benchmark '#1 Dates],Comp1[[#This Row],[Comparable '#1 Dates]]),COUNTIF(Benchmark2[Benchmark '#2 Dates],Comp1[[#This Row],[Comparable '#1 Dates]]))=2,"Pass","Fail")</f>
        <v>Pass</v>
      </c>
      <c r="I1189" s="1">
        <f>IFERROR(Comp1[[#This Row],[Comparable '#1 Return]]-INDEX(Benchmark1[Benchmark '#1 Return],MATCH(Comp1[[#This Row],[Comparable '#1 Dates]],Benchmark1[Benchmark '#1 Dates],0)),"-")</f>
        <v>4.9734103817092451E-3</v>
      </c>
      <c r="L1189" s="72">
        <f>Comp1[[#This Row],[Comparable '#1 Price]]/$B$2*100</f>
        <v>77.754962354551665</v>
      </c>
    </row>
    <row r="1190" spans="1:12">
      <c r="A1190" s="103">
        <v>45009</v>
      </c>
      <c r="B1190" s="104">
        <v>11.51</v>
      </c>
      <c r="C1190" s="4">
        <f t="shared" si="36"/>
        <v>1.3117809440786049E-2</v>
      </c>
      <c r="D1190" s="1">
        <f>IFERROR(Comp1[[#This Row],[Comparable '#1 Return]]+1,"-")</f>
        <v>1.013117809440786</v>
      </c>
      <c r="E1190" s="6">
        <f>B1190-MAX($B$2:B1190)</f>
        <v>-10.110000000000001</v>
      </c>
      <c r="F1190" s="80">
        <f t="shared" si="37"/>
        <v>793</v>
      </c>
      <c r="G1190" s="22" cm="1">
        <f t="array" ref="G1190">Comp1[[#This Row],[Comparable '#1 Drawdown]]/MAX($B$2:B1190)</f>
        <v>-0.46762257169287702</v>
      </c>
      <c r="H1190" s="1" t="str">
        <f>IF(SUM(COUNTIF(Benchmark1[Benchmark '#1 Dates],Comp1[[#This Row],[Comparable '#1 Dates]]),COUNTIF(Benchmark2[Benchmark '#2 Dates],Comp1[[#This Row],[Comparable '#1 Dates]]))=2,"Pass","Fail")</f>
        <v>Pass</v>
      </c>
      <c r="I1190" s="1">
        <f>IFERROR(Comp1[[#This Row],[Comparable '#1 Return]]-INDEX(Benchmark1[Benchmark '#1 Return],MATCH(Comp1[[#This Row],[Comparable '#1 Dates]],Benchmark1[Benchmark '#1 Dates],0)),"-")</f>
        <v>7.4956995437378037E-3</v>
      </c>
      <c r="L1190" s="72">
        <f>Comp1[[#This Row],[Comparable '#1 Price]]/$B$2*100</f>
        <v>78.781656399726216</v>
      </c>
    </row>
    <row r="1191" spans="1:12">
      <c r="A1191" s="103">
        <v>45012</v>
      </c>
      <c r="B1191" s="104">
        <v>11.69</v>
      </c>
      <c r="C1191" s="4">
        <f t="shared" si="36"/>
        <v>1.5517552750185657E-2</v>
      </c>
      <c r="D1191" s="1">
        <f>IFERROR(Comp1[[#This Row],[Comparable '#1 Return]]+1,"-")</f>
        <v>1.0155175527501856</v>
      </c>
      <c r="E1191" s="6">
        <f>B1191-MAX($B$2:B1191)</f>
        <v>-9.9300000000000015</v>
      </c>
      <c r="F1191" s="80">
        <f t="shared" si="37"/>
        <v>794</v>
      </c>
      <c r="G1191" s="22" cm="1">
        <f t="array" ref="G1191">Comp1[[#This Row],[Comparable '#1 Drawdown]]/MAX($B$2:B1191)</f>
        <v>-0.45929694727104536</v>
      </c>
      <c r="H1191" s="1" t="str">
        <f>IF(SUM(COUNTIF(Benchmark1[Benchmark '#1 Dates],Comp1[[#This Row],[Comparable '#1 Dates]]),COUNTIF(Benchmark2[Benchmark '#2 Dates],Comp1[[#This Row],[Comparable '#1 Dates]]))=2,"Pass","Fail")</f>
        <v>Pass</v>
      </c>
      <c r="I1191" s="1">
        <f>IFERROR(Comp1[[#This Row],[Comparable '#1 Return]]-INDEX(Benchmark1[Benchmark '#1 Return],MATCH(Comp1[[#This Row],[Comparable '#1 Dates]],Benchmark1[Benchmark '#1 Dates],0)),"-")</f>
        <v>1.3871522612559873E-2</v>
      </c>
      <c r="L1191" s="72">
        <f>Comp1[[#This Row],[Comparable '#1 Price]]/$B$2*100</f>
        <v>80.013689253935667</v>
      </c>
    </row>
    <row r="1192" spans="1:12">
      <c r="A1192" s="103">
        <v>45013</v>
      </c>
      <c r="B1192" s="104">
        <v>11.63</v>
      </c>
      <c r="C1192" s="4">
        <f t="shared" si="36"/>
        <v>-5.1458089534038368E-3</v>
      </c>
      <c r="D1192" s="1">
        <f>IFERROR(Comp1[[#This Row],[Comparable '#1 Return]]+1,"-")</f>
        <v>0.99485419104659611</v>
      </c>
      <c r="E1192" s="6">
        <f>B1192-MAX($B$2:B1192)</f>
        <v>-9.99</v>
      </c>
      <c r="F1192" s="80">
        <f t="shared" si="37"/>
        <v>795</v>
      </c>
      <c r="G1192" s="22" cm="1">
        <f t="array" ref="G1192">Comp1[[#This Row],[Comparable '#1 Drawdown]]/MAX($B$2:B1192)</f>
        <v>-0.46207215541165586</v>
      </c>
      <c r="H1192" s="1" t="str">
        <f>IF(SUM(COUNTIF(Benchmark1[Benchmark '#1 Dates],Comp1[[#This Row],[Comparable '#1 Dates]]),COUNTIF(Benchmark2[Benchmark '#2 Dates],Comp1[[#This Row],[Comparable '#1 Dates]]))=2,"Pass","Fail")</f>
        <v>Pass</v>
      </c>
      <c r="I1192" s="1">
        <f>IFERROR(Comp1[[#This Row],[Comparable '#1 Return]]-INDEX(Benchmark1[Benchmark '#1 Return],MATCH(Comp1[[#This Row],[Comparable '#1 Dates]],Benchmark1[Benchmark '#1 Dates],0)),"-")</f>
        <v>-3.5712398582310716E-3</v>
      </c>
      <c r="L1192" s="72">
        <f>Comp1[[#This Row],[Comparable '#1 Price]]/$B$2*100</f>
        <v>79.603011635865855</v>
      </c>
    </row>
    <row r="1193" spans="1:12">
      <c r="A1193" s="103">
        <v>45014</v>
      </c>
      <c r="B1193" s="104">
        <v>11.55</v>
      </c>
      <c r="C1193" s="4">
        <f t="shared" si="36"/>
        <v>-6.9025295627704632E-3</v>
      </c>
      <c r="D1193" s="1">
        <f>IFERROR(Comp1[[#This Row],[Comparable '#1 Return]]+1,"-")</f>
        <v>0.99309747043722951</v>
      </c>
      <c r="E1193" s="6">
        <f>B1193-MAX($B$2:B1193)</f>
        <v>-10.07</v>
      </c>
      <c r="F1193" s="80">
        <f t="shared" si="37"/>
        <v>796</v>
      </c>
      <c r="G1193" s="22" cm="1">
        <f t="array" ref="G1193">Comp1[[#This Row],[Comparable '#1 Drawdown]]/MAX($B$2:B1193)</f>
        <v>-0.46577243293246995</v>
      </c>
      <c r="H1193" s="1" t="str">
        <f>IF(SUM(COUNTIF(Benchmark1[Benchmark '#1 Dates],Comp1[[#This Row],[Comparable '#1 Dates]]),COUNTIF(Benchmark2[Benchmark '#2 Dates],Comp1[[#This Row],[Comparable '#1 Dates]]))=2,"Pass","Fail")</f>
        <v>Pass</v>
      </c>
      <c r="I1193" s="1">
        <f>IFERROR(Comp1[[#This Row],[Comparable '#1 Return]]-INDEX(Benchmark1[Benchmark '#1 Return],MATCH(Comp1[[#This Row],[Comparable '#1 Dates]],Benchmark1[Benchmark '#1 Dates],0)),"-")</f>
        <v>-2.1039797858994812E-2</v>
      </c>
      <c r="L1193" s="72">
        <f>Comp1[[#This Row],[Comparable '#1 Price]]/$B$2*100</f>
        <v>79.055441478439434</v>
      </c>
    </row>
    <row r="1194" spans="1:12">
      <c r="A1194" s="103">
        <v>45015</v>
      </c>
      <c r="B1194" s="104">
        <v>11.62</v>
      </c>
      <c r="C1194" s="4">
        <f t="shared" si="36"/>
        <v>6.0423144559624406E-3</v>
      </c>
      <c r="D1194" s="1">
        <f>IFERROR(Comp1[[#This Row],[Comparable '#1 Return]]+1,"-")</f>
        <v>1.0060423144559625</v>
      </c>
      <c r="E1194" s="6">
        <f>B1194-MAX($B$2:B1194)</f>
        <v>-10.000000000000002</v>
      </c>
      <c r="F1194" s="80">
        <f t="shared" si="37"/>
        <v>797</v>
      </c>
      <c r="G1194" s="22" cm="1">
        <f t="array" ref="G1194">Comp1[[#This Row],[Comparable '#1 Drawdown]]/MAX($B$2:B1194)</f>
        <v>-0.46253469010175768</v>
      </c>
      <c r="H1194" s="1" t="str">
        <f>IF(SUM(COUNTIF(Benchmark1[Benchmark '#1 Dates],Comp1[[#This Row],[Comparable '#1 Dates]]),COUNTIF(Benchmark2[Benchmark '#2 Dates],Comp1[[#This Row],[Comparable '#1 Dates]]))=2,"Pass","Fail")</f>
        <v>Pass</v>
      </c>
      <c r="I1194" s="1">
        <f>IFERROR(Comp1[[#This Row],[Comparable '#1 Return]]-INDEX(Benchmark1[Benchmark '#1 Return],MATCH(Comp1[[#This Row],[Comparable '#1 Dates]],Benchmark1[Benchmark '#1 Dates],0)),"-")</f>
        <v>3.4399852722880823E-4</v>
      </c>
      <c r="L1194" s="72">
        <f>Comp1[[#This Row],[Comparable '#1 Price]]/$B$2*100</f>
        <v>79.534565366187536</v>
      </c>
    </row>
    <row r="1195" spans="1:12">
      <c r="A1195" s="103">
        <v>45016</v>
      </c>
      <c r="B1195" s="104">
        <v>11.76</v>
      </c>
      <c r="C1195" s="4">
        <f t="shared" si="36"/>
        <v>1.197619104671584E-2</v>
      </c>
      <c r="D1195" s="1">
        <f>IFERROR(Comp1[[#This Row],[Comparable '#1 Return]]+1,"-")</f>
        <v>1.0119761910467158</v>
      </c>
      <c r="E1195" s="6">
        <f>B1195-MAX($B$2:B1195)</f>
        <v>-9.8600000000000012</v>
      </c>
      <c r="F1195" s="80">
        <f t="shared" si="37"/>
        <v>798</v>
      </c>
      <c r="G1195" s="22" cm="1">
        <f t="array" ref="G1195">Comp1[[#This Row],[Comparable '#1 Drawdown]]/MAX($B$2:B1195)</f>
        <v>-0.45605920444033304</v>
      </c>
      <c r="H1195" s="1" t="str">
        <f>IF(SUM(COUNTIF(Benchmark1[Benchmark '#1 Dates],Comp1[[#This Row],[Comparable '#1 Dates]]),COUNTIF(Benchmark2[Benchmark '#2 Dates],Comp1[[#This Row],[Comparable '#1 Dates]]))=2,"Pass","Fail")</f>
        <v>Pass</v>
      </c>
      <c r="I1195" s="1">
        <f>IFERROR(Comp1[[#This Row],[Comparable '#1 Return]]-INDEX(Benchmark1[Benchmark '#1 Return],MATCH(Comp1[[#This Row],[Comparable '#1 Dates]],Benchmark1[Benchmark '#1 Dates],0)),"-")</f>
        <v>-2.3579594751964739E-3</v>
      </c>
      <c r="L1195" s="72">
        <f>Comp1[[#This Row],[Comparable '#1 Price]]/$B$2*100</f>
        <v>80.492813141683783</v>
      </c>
    </row>
    <row r="1196" spans="1:12">
      <c r="A1196" s="103">
        <v>45019</v>
      </c>
      <c r="B1196" s="104">
        <v>11.51</v>
      </c>
      <c r="C1196" s="4">
        <f t="shared" si="36"/>
        <v>-2.1487719736689639E-2</v>
      </c>
      <c r="D1196" s="1">
        <f>IFERROR(Comp1[[#This Row],[Comparable '#1 Return]]+1,"-")</f>
        <v>0.97851228026331039</v>
      </c>
      <c r="E1196" s="6">
        <f>B1196-MAX($B$2:B1196)</f>
        <v>-10.110000000000001</v>
      </c>
      <c r="F1196" s="80">
        <f t="shared" si="37"/>
        <v>799</v>
      </c>
      <c r="G1196" s="22" cm="1">
        <f t="array" ref="G1196">Comp1[[#This Row],[Comparable '#1 Drawdown]]/MAX($B$2:B1196)</f>
        <v>-0.46762257169287702</v>
      </c>
      <c r="H1196" s="1" t="str">
        <f>IF(SUM(COUNTIF(Benchmark1[Benchmark '#1 Dates],Comp1[[#This Row],[Comparable '#1 Dates]]),COUNTIF(Benchmark2[Benchmark '#2 Dates],Comp1[[#This Row],[Comparable '#1 Dates]]))=2,"Pass","Fail")</f>
        <v>Pass</v>
      </c>
      <c r="I1196" s="1">
        <f>IFERROR(Comp1[[#This Row],[Comparable '#1 Return]]-INDEX(Benchmark1[Benchmark '#1 Return],MATCH(Comp1[[#This Row],[Comparable '#1 Dates]],Benchmark1[Benchmark '#1 Dates],0)),"-")</f>
        <v>-2.5178256577444484E-2</v>
      </c>
      <c r="L1196" s="72">
        <f>Comp1[[#This Row],[Comparable '#1 Price]]/$B$2*100</f>
        <v>78.781656399726216</v>
      </c>
    </row>
    <row r="1197" spans="1:12">
      <c r="A1197" s="103">
        <v>45020</v>
      </c>
      <c r="B1197" s="104">
        <v>11.38</v>
      </c>
      <c r="C1197" s="4">
        <f t="shared" si="36"/>
        <v>-1.1358794035606292E-2</v>
      </c>
      <c r="D1197" s="1">
        <f>IFERROR(Comp1[[#This Row],[Comparable '#1 Return]]+1,"-")</f>
        <v>0.98864120596439375</v>
      </c>
      <c r="E1197" s="6">
        <f>B1197-MAX($B$2:B1197)</f>
        <v>-10.24</v>
      </c>
      <c r="F1197" s="80">
        <f t="shared" si="37"/>
        <v>800</v>
      </c>
      <c r="G1197" s="22" cm="1">
        <f t="array" ref="G1197">Comp1[[#This Row],[Comparable '#1 Drawdown]]/MAX($B$2:B1197)</f>
        <v>-0.47363552266419978</v>
      </c>
      <c r="H1197" s="1" t="str">
        <f>IF(SUM(COUNTIF(Benchmark1[Benchmark '#1 Dates],Comp1[[#This Row],[Comparable '#1 Dates]]),COUNTIF(Benchmark2[Benchmark '#2 Dates],Comp1[[#This Row],[Comparable '#1 Dates]]))=2,"Pass","Fail")</f>
        <v>Pass</v>
      </c>
      <c r="I1197" s="1">
        <f>IFERROR(Comp1[[#This Row],[Comparable '#1 Return]]-INDEX(Benchmark1[Benchmark '#1 Return],MATCH(Comp1[[#This Row],[Comparable '#1 Dates]],Benchmark1[Benchmark '#1 Dates],0)),"-")</f>
        <v>-5.5455915297351775E-3</v>
      </c>
      <c r="L1197" s="72">
        <f>Comp1[[#This Row],[Comparable '#1 Price]]/$B$2*100</f>
        <v>77.891854893908288</v>
      </c>
    </row>
    <row r="1198" spans="1:12">
      <c r="A1198" s="103">
        <v>45021</v>
      </c>
      <c r="B1198" s="104">
        <v>11.4</v>
      </c>
      <c r="C1198" s="4">
        <f t="shared" si="36"/>
        <v>1.7559267022647909E-3</v>
      </c>
      <c r="D1198" s="1">
        <f>IFERROR(Comp1[[#This Row],[Comparable '#1 Return]]+1,"-")</f>
        <v>1.0017559267022649</v>
      </c>
      <c r="E1198" s="6">
        <f>B1198-MAX($B$2:B1198)</f>
        <v>-10.220000000000001</v>
      </c>
      <c r="F1198" s="80">
        <f t="shared" si="37"/>
        <v>801</v>
      </c>
      <c r="G1198" s="22" cm="1">
        <f t="array" ref="G1198">Comp1[[#This Row],[Comparable '#1 Drawdown]]/MAX($B$2:B1198)</f>
        <v>-0.4727104532839963</v>
      </c>
      <c r="H1198" s="1" t="str">
        <f>IF(SUM(COUNTIF(Benchmark1[Benchmark '#1 Dates],Comp1[[#This Row],[Comparable '#1 Dates]]),COUNTIF(Benchmark2[Benchmark '#2 Dates],Comp1[[#This Row],[Comparable '#1 Dates]]))=2,"Pass","Fail")</f>
        <v>Pass</v>
      </c>
      <c r="I1198" s="1">
        <f>IFERROR(Comp1[[#This Row],[Comparable '#1 Return]]-INDEX(Benchmark1[Benchmark '#1 Return],MATCH(Comp1[[#This Row],[Comparable '#1 Dates]],Benchmark1[Benchmark '#1 Dates],0)),"-")</f>
        <v>4.252264284018958E-3</v>
      </c>
      <c r="L1198" s="72">
        <f>Comp1[[#This Row],[Comparable '#1 Price]]/$B$2*100</f>
        <v>78.028747433264883</v>
      </c>
    </row>
    <row r="1199" spans="1:12">
      <c r="A1199" s="103">
        <v>45022</v>
      </c>
      <c r="B1199" s="104">
        <v>11.29</v>
      </c>
      <c r="C1199" s="4">
        <f t="shared" si="36"/>
        <v>-9.6959772388792703E-3</v>
      </c>
      <c r="D1199" s="1">
        <f>IFERROR(Comp1[[#This Row],[Comparable '#1 Return]]+1,"-")</f>
        <v>0.99030402276112073</v>
      </c>
      <c r="E1199" s="6">
        <f>B1199-MAX($B$2:B1199)</f>
        <v>-10.330000000000002</v>
      </c>
      <c r="F1199" s="80">
        <f t="shared" si="37"/>
        <v>802</v>
      </c>
      <c r="G1199" s="22" cm="1">
        <f t="array" ref="G1199">Comp1[[#This Row],[Comparable '#1 Drawdown]]/MAX($B$2:B1199)</f>
        <v>-0.47779833487511569</v>
      </c>
      <c r="H1199" s="1" t="str">
        <f>IF(SUM(COUNTIF(Benchmark1[Benchmark '#1 Dates],Comp1[[#This Row],[Comparable '#1 Dates]]),COUNTIF(Benchmark2[Benchmark '#2 Dates],Comp1[[#This Row],[Comparable '#1 Dates]]))=2,"Pass","Fail")</f>
        <v>Pass</v>
      </c>
      <c r="I1199" s="1">
        <f>IFERROR(Comp1[[#This Row],[Comparable '#1 Return]]-INDEX(Benchmark1[Benchmark '#1 Return],MATCH(Comp1[[#This Row],[Comparable '#1 Dates]],Benchmark1[Benchmark '#1 Dates],0)),"-")</f>
        <v>-1.3269563100578625E-2</v>
      </c>
      <c r="L1199" s="72">
        <f>Comp1[[#This Row],[Comparable '#1 Price]]/$B$2*100</f>
        <v>77.275838466803563</v>
      </c>
    </row>
    <row r="1200" spans="1:12">
      <c r="A1200" s="103">
        <v>45026</v>
      </c>
      <c r="B1200" s="104">
        <v>11.37</v>
      </c>
      <c r="C1200" s="4">
        <f t="shared" si="36"/>
        <v>7.0609296008739275E-3</v>
      </c>
      <c r="D1200" s="1">
        <f>IFERROR(Comp1[[#This Row],[Comparable '#1 Return]]+1,"-")</f>
        <v>1.0070609296008739</v>
      </c>
      <c r="E1200" s="6">
        <f>B1200-MAX($B$2:B1200)</f>
        <v>-10.250000000000002</v>
      </c>
      <c r="F1200" s="80">
        <f t="shared" si="37"/>
        <v>803</v>
      </c>
      <c r="G1200" s="22" cm="1">
        <f t="array" ref="G1200">Comp1[[#This Row],[Comparable '#1 Drawdown]]/MAX($B$2:B1200)</f>
        <v>-0.47409805735430161</v>
      </c>
      <c r="H1200" s="1" t="str">
        <f>IF(SUM(COUNTIF(Benchmark1[Benchmark '#1 Dates],Comp1[[#This Row],[Comparable '#1 Dates]]),COUNTIF(Benchmark2[Benchmark '#2 Dates],Comp1[[#This Row],[Comparable '#1 Dates]]))=2,"Pass","Fail")</f>
        <v>Pass</v>
      </c>
      <c r="I1200" s="1">
        <f>IFERROR(Comp1[[#This Row],[Comparable '#1 Return]]-INDEX(Benchmark1[Benchmark '#1 Return],MATCH(Comp1[[#This Row],[Comparable '#1 Dates]],Benchmark1[Benchmark '#1 Dates],0)),"-")</f>
        <v>6.0641999481912531E-3</v>
      </c>
      <c r="L1200" s="72">
        <f>Comp1[[#This Row],[Comparable '#1 Price]]/$B$2*100</f>
        <v>77.82340862422997</v>
      </c>
    </row>
    <row r="1201" spans="1:12">
      <c r="A1201" s="103">
        <v>45027</v>
      </c>
      <c r="B1201" s="104">
        <v>11.53</v>
      </c>
      <c r="C1201" s="4">
        <f t="shared" si="36"/>
        <v>1.3974026518522963E-2</v>
      </c>
      <c r="D1201" s="1">
        <f>IFERROR(Comp1[[#This Row],[Comparable '#1 Return]]+1,"-")</f>
        <v>1.0139740265185229</v>
      </c>
      <c r="E1201" s="6">
        <f>B1201-MAX($B$2:B1201)</f>
        <v>-10.090000000000002</v>
      </c>
      <c r="F1201" s="80">
        <f t="shared" si="37"/>
        <v>804</v>
      </c>
      <c r="G1201" s="22" cm="1">
        <f t="array" ref="G1201">Comp1[[#This Row],[Comparable '#1 Drawdown]]/MAX($B$2:B1201)</f>
        <v>-0.46669750231267348</v>
      </c>
      <c r="H1201" s="1" t="str">
        <f>IF(SUM(COUNTIF(Benchmark1[Benchmark '#1 Dates],Comp1[[#This Row],[Comparable '#1 Dates]]),COUNTIF(Benchmark2[Benchmark '#2 Dates],Comp1[[#This Row],[Comparable '#1 Dates]]))=2,"Pass","Fail")</f>
        <v>Pass</v>
      </c>
      <c r="I1201" s="1">
        <f>IFERROR(Comp1[[#This Row],[Comparable '#1 Return]]-INDEX(Benchmark1[Benchmark '#1 Return],MATCH(Comp1[[#This Row],[Comparable '#1 Dates]],Benchmark1[Benchmark '#1 Dates],0)),"-")</f>
        <v>1.4015725958936322E-2</v>
      </c>
      <c r="L1201" s="72">
        <f>Comp1[[#This Row],[Comparable '#1 Price]]/$B$2*100</f>
        <v>78.918548939082825</v>
      </c>
    </row>
    <row r="1202" spans="1:12">
      <c r="A1202" s="103">
        <v>45028</v>
      </c>
      <c r="B1202" s="104">
        <v>11.57</v>
      </c>
      <c r="C1202" s="4">
        <f t="shared" si="36"/>
        <v>3.4632069246175183E-3</v>
      </c>
      <c r="D1202" s="1">
        <f>IFERROR(Comp1[[#This Row],[Comparable '#1 Return]]+1,"-")</f>
        <v>1.0034632069246174</v>
      </c>
      <c r="E1202" s="6">
        <f>B1202-MAX($B$2:B1202)</f>
        <v>-10.050000000000001</v>
      </c>
      <c r="F1202" s="80">
        <f t="shared" si="37"/>
        <v>805</v>
      </c>
      <c r="G1202" s="22" cm="1">
        <f t="array" ref="G1202">Comp1[[#This Row],[Comparable '#1 Drawdown]]/MAX($B$2:B1202)</f>
        <v>-0.46484736355226641</v>
      </c>
      <c r="H1202" s="1" t="str">
        <f>IF(SUM(COUNTIF(Benchmark1[Benchmark '#1 Dates],Comp1[[#This Row],[Comparable '#1 Dates]]),COUNTIF(Benchmark2[Benchmark '#2 Dates],Comp1[[#This Row],[Comparable '#1 Dates]]))=2,"Pass","Fail")</f>
        <v>Pass</v>
      </c>
      <c r="I1202" s="1">
        <f>IFERROR(Comp1[[#This Row],[Comparable '#1 Return]]-INDEX(Benchmark1[Benchmark '#1 Return],MATCH(Comp1[[#This Row],[Comparable '#1 Dates]],Benchmark1[Benchmark '#1 Dates],0)),"-")</f>
        <v>7.6059095752446654E-3</v>
      </c>
      <c r="L1202" s="72">
        <f>Comp1[[#This Row],[Comparable '#1 Price]]/$B$2*100</f>
        <v>79.192334017796043</v>
      </c>
    </row>
    <row r="1203" spans="1:12">
      <c r="A1203" s="103">
        <v>45029</v>
      </c>
      <c r="B1203" s="104">
        <v>11.9</v>
      </c>
      <c r="C1203" s="4">
        <f t="shared" si="36"/>
        <v>2.8122858911898512E-2</v>
      </c>
      <c r="D1203" s="1">
        <f>IFERROR(Comp1[[#This Row],[Comparable '#1 Return]]+1,"-")</f>
        <v>1.0281228589118985</v>
      </c>
      <c r="E1203" s="6">
        <f>B1203-MAX($B$2:B1203)</f>
        <v>-9.7200000000000006</v>
      </c>
      <c r="F1203" s="80">
        <f t="shared" si="37"/>
        <v>806</v>
      </c>
      <c r="G1203" s="22" cm="1">
        <f t="array" ref="G1203">Comp1[[#This Row],[Comparable '#1 Drawdown]]/MAX($B$2:B1203)</f>
        <v>-0.4495837187789084</v>
      </c>
      <c r="H1203" s="1" t="str">
        <f>IF(SUM(COUNTIF(Benchmark1[Benchmark '#1 Dates],Comp1[[#This Row],[Comparable '#1 Dates]]),COUNTIF(Benchmark2[Benchmark '#2 Dates],Comp1[[#This Row],[Comparable '#1 Dates]]))=2,"Pass","Fail")</f>
        <v>Pass</v>
      </c>
      <c r="I1203" s="1">
        <f>IFERROR(Comp1[[#This Row],[Comparable '#1 Return]]-INDEX(Benchmark1[Benchmark '#1 Return],MATCH(Comp1[[#This Row],[Comparable '#1 Dates]],Benchmark1[Benchmark '#1 Dates],0)),"-")</f>
        <v>1.4949363665511906E-2</v>
      </c>
      <c r="L1203" s="72">
        <f>Comp1[[#This Row],[Comparable '#1 Price]]/$B$2*100</f>
        <v>81.451060917180016</v>
      </c>
    </row>
    <row r="1204" spans="1:12">
      <c r="A1204" s="103">
        <v>45030</v>
      </c>
      <c r="B1204" s="104">
        <v>12.04</v>
      </c>
      <c r="C1204" s="4">
        <f t="shared" si="36"/>
        <v>1.1696039763191236E-2</v>
      </c>
      <c r="D1204" s="1">
        <f>IFERROR(Comp1[[#This Row],[Comparable '#1 Return]]+1,"-")</f>
        <v>1.0116960397631913</v>
      </c>
      <c r="E1204" s="6">
        <f>B1204-MAX($B$2:B1204)</f>
        <v>-9.5800000000000018</v>
      </c>
      <c r="F1204" s="80">
        <f t="shared" si="37"/>
        <v>807</v>
      </c>
      <c r="G1204" s="22" cm="1">
        <f t="array" ref="G1204">Comp1[[#This Row],[Comparable '#1 Drawdown]]/MAX($B$2:B1204)</f>
        <v>-0.44310823311748387</v>
      </c>
      <c r="H1204" s="1" t="str">
        <f>IF(SUM(COUNTIF(Benchmark1[Benchmark '#1 Dates],Comp1[[#This Row],[Comparable '#1 Dates]]),COUNTIF(Benchmark2[Benchmark '#2 Dates],Comp1[[#This Row],[Comparable '#1 Dates]]))=2,"Pass","Fail")</f>
        <v>Pass</v>
      </c>
      <c r="I1204" s="1">
        <f>IFERROR(Comp1[[#This Row],[Comparable '#1 Return]]-INDEX(Benchmark1[Benchmark '#1 Return],MATCH(Comp1[[#This Row],[Comparable '#1 Dates]],Benchmark1[Benchmark '#1 Dates],0)),"-")</f>
        <v>1.3766900091448583E-2</v>
      </c>
      <c r="L1204" s="72">
        <f>Comp1[[#This Row],[Comparable '#1 Price]]/$B$2*100</f>
        <v>82.409308692676248</v>
      </c>
    </row>
    <row r="1205" spans="1:12">
      <c r="A1205" s="103">
        <v>45033</v>
      </c>
      <c r="B1205" s="104">
        <v>12.02</v>
      </c>
      <c r="C1205" s="4">
        <f t="shared" si="36"/>
        <v>-1.6625107736134141E-3</v>
      </c>
      <c r="D1205" s="1">
        <f>IFERROR(Comp1[[#This Row],[Comparable '#1 Return]]+1,"-")</f>
        <v>0.99833748922638654</v>
      </c>
      <c r="E1205" s="6">
        <f>B1205-MAX($B$2:B1205)</f>
        <v>-9.6000000000000014</v>
      </c>
      <c r="F1205" s="80">
        <f t="shared" si="37"/>
        <v>808</v>
      </c>
      <c r="G1205" s="22" cm="1">
        <f t="array" ref="G1205">Comp1[[#This Row],[Comparable '#1 Drawdown]]/MAX($B$2:B1205)</f>
        <v>-0.44403330249768735</v>
      </c>
      <c r="H1205" s="1" t="str">
        <f>IF(SUM(COUNTIF(Benchmark1[Benchmark '#1 Dates],Comp1[[#This Row],[Comparable '#1 Dates]]),COUNTIF(Benchmark2[Benchmark '#2 Dates],Comp1[[#This Row],[Comparable '#1 Dates]]))=2,"Pass","Fail")</f>
        <v>Pass</v>
      </c>
      <c r="I1205" s="1">
        <f>IFERROR(Comp1[[#This Row],[Comparable '#1 Return]]-INDEX(Benchmark1[Benchmark '#1 Return],MATCH(Comp1[[#This Row],[Comparable '#1 Dates]],Benchmark1[Benchmark '#1 Dates],0)),"-")</f>
        <v>-4.9641715426966384E-3</v>
      </c>
      <c r="L1205" s="72">
        <f>Comp1[[#This Row],[Comparable '#1 Price]]/$B$2*100</f>
        <v>82.272416153319654</v>
      </c>
    </row>
    <row r="1206" spans="1:12">
      <c r="A1206" s="103">
        <v>45034</v>
      </c>
      <c r="B1206" s="104">
        <v>11.97</v>
      </c>
      <c r="C1206" s="4">
        <f t="shared" si="36"/>
        <v>-4.168409537179626E-3</v>
      </c>
      <c r="D1206" s="1">
        <f>IFERROR(Comp1[[#This Row],[Comparable '#1 Return]]+1,"-")</f>
        <v>0.99583159046282033</v>
      </c>
      <c r="E1206" s="6">
        <f>B1206-MAX($B$2:B1206)</f>
        <v>-9.65</v>
      </c>
      <c r="F1206" s="80">
        <f t="shared" si="37"/>
        <v>809</v>
      </c>
      <c r="G1206" s="22" cm="1">
        <f t="array" ref="G1206">Comp1[[#This Row],[Comparable '#1 Drawdown]]/MAX($B$2:B1206)</f>
        <v>-0.44634597594819608</v>
      </c>
      <c r="H1206" s="1" t="str">
        <f>IF(SUM(COUNTIF(Benchmark1[Benchmark '#1 Dates],Comp1[[#This Row],[Comparable '#1 Dates]]),COUNTIF(Benchmark2[Benchmark '#2 Dates],Comp1[[#This Row],[Comparable '#1 Dates]]))=2,"Pass","Fail")</f>
        <v>Pass</v>
      </c>
      <c r="I1206" s="1">
        <f>IFERROR(Comp1[[#This Row],[Comparable '#1 Return]]-INDEX(Benchmark1[Benchmark '#1 Return],MATCH(Comp1[[#This Row],[Comparable '#1 Dates]],Benchmark1[Benchmark '#1 Dates],0)),"-")</f>
        <v>-5.0226432816930277E-3</v>
      </c>
      <c r="L1206" s="72">
        <f>Comp1[[#This Row],[Comparable '#1 Price]]/$B$2*100</f>
        <v>81.930184804928146</v>
      </c>
    </row>
    <row r="1207" spans="1:12">
      <c r="A1207" s="103">
        <v>45035</v>
      </c>
      <c r="B1207" s="104">
        <v>11.8</v>
      </c>
      <c r="C1207" s="4">
        <f t="shared" si="36"/>
        <v>-1.4303988098262646E-2</v>
      </c>
      <c r="D1207" s="1">
        <f>IFERROR(Comp1[[#This Row],[Comparable '#1 Return]]+1,"-")</f>
        <v>0.98569601190173739</v>
      </c>
      <c r="E1207" s="6">
        <f>B1207-MAX($B$2:B1207)</f>
        <v>-9.82</v>
      </c>
      <c r="F1207" s="80">
        <f t="shared" si="37"/>
        <v>810</v>
      </c>
      <c r="G1207" s="22" cm="1">
        <f t="array" ref="G1207">Comp1[[#This Row],[Comparable '#1 Drawdown]]/MAX($B$2:B1207)</f>
        <v>-0.45420906567992597</v>
      </c>
      <c r="H1207" s="1" t="str">
        <f>IF(SUM(COUNTIF(Benchmark1[Benchmark '#1 Dates],Comp1[[#This Row],[Comparable '#1 Dates]]),COUNTIF(Benchmark2[Benchmark '#2 Dates],Comp1[[#This Row],[Comparable '#1 Dates]]))=2,"Pass","Fail")</f>
        <v>Pass</v>
      </c>
      <c r="I1207" s="1">
        <f>IFERROR(Comp1[[#This Row],[Comparable '#1 Return]]-INDEX(Benchmark1[Benchmark '#1 Return],MATCH(Comp1[[#This Row],[Comparable '#1 Dates]],Benchmark1[Benchmark '#1 Dates],0)),"-")</f>
        <v>-1.4219477541073389E-2</v>
      </c>
      <c r="L1207" s="72">
        <f>Comp1[[#This Row],[Comparable '#1 Price]]/$B$2*100</f>
        <v>80.766598220397</v>
      </c>
    </row>
    <row r="1208" spans="1:12">
      <c r="A1208" s="103">
        <v>45036</v>
      </c>
      <c r="B1208" s="104">
        <v>11.9</v>
      </c>
      <c r="C1208" s="4">
        <f t="shared" si="36"/>
        <v>8.4388686458646035E-3</v>
      </c>
      <c r="D1208" s="1">
        <f>IFERROR(Comp1[[#This Row],[Comparable '#1 Return]]+1,"-")</f>
        <v>1.0084388686458645</v>
      </c>
      <c r="E1208" s="6">
        <f>B1208-MAX($B$2:B1208)</f>
        <v>-9.7200000000000006</v>
      </c>
      <c r="F1208" s="80">
        <f t="shared" si="37"/>
        <v>811</v>
      </c>
      <c r="G1208" s="22" cm="1">
        <f t="array" ref="G1208">Comp1[[#This Row],[Comparable '#1 Drawdown]]/MAX($B$2:B1208)</f>
        <v>-0.4495837187789084</v>
      </c>
      <c r="H1208" s="1" t="str">
        <f>IF(SUM(COUNTIF(Benchmark1[Benchmark '#1 Dates],Comp1[[#This Row],[Comparable '#1 Dates]]),COUNTIF(Benchmark2[Benchmark '#2 Dates],Comp1[[#This Row],[Comparable '#1 Dates]]))=2,"Pass","Fail")</f>
        <v>Pass</v>
      </c>
      <c r="I1208" s="1">
        <f>IFERROR(Comp1[[#This Row],[Comparable '#1 Return]]-INDEX(Benchmark1[Benchmark '#1 Return],MATCH(Comp1[[#This Row],[Comparable '#1 Dates]],Benchmark1[Benchmark '#1 Dates],0)),"-")</f>
        <v>1.440839185824723E-2</v>
      </c>
      <c r="L1208" s="72">
        <f>Comp1[[#This Row],[Comparable '#1 Price]]/$B$2*100</f>
        <v>81.451060917180016</v>
      </c>
    </row>
    <row r="1209" spans="1:12">
      <c r="A1209" s="103">
        <v>45037</v>
      </c>
      <c r="B1209" s="104">
        <v>11.99</v>
      </c>
      <c r="C1209" s="4">
        <f t="shared" si="36"/>
        <v>7.5345689219391485E-3</v>
      </c>
      <c r="D1209" s="1">
        <f>IFERROR(Comp1[[#This Row],[Comparable '#1 Return]]+1,"-")</f>
        <v>1.007534568921939</v>
      </c>
      <c r="E1209" s="6">
        <f>B1209-MAX($B$2:B1209)</f>
        <v>-9.6300000000000008</v>
      </c>
      <c r="F1209" s="80">
        <f t="shared" si="37"/>
        <v>812</v>
      </c>
      <c r="G1209" s="22" cm="1">
        <f t="array" ref="G1209">Comp1[[#This Row],[Comparable '#1 Drawdown]]/MAX($B$2:B1209)</f>
        <v>-0.4454209065679926</v>
      </c>
      <c r="H1209" s="1" t="str">
        <f>IF(SUM(COUNTIF(Benchmark1[Benchmark '#1 Dates],Comp1[[#This Row],[Comparable '#1 Dates]]),COUNTIF(Benchmark2[Benchmark '#2 Dates],Comp1[[#This Row],[Comparable '#1 Dates]]))=2,"Pass","Fail")</f>
        <v>Pass</v>
      </c>
      <c r="I1209" s="1">
        <f>IFERROR(Comp1[[#This Row],[Comparable '#1 Return]]-INDEX(Benchmark1[Benchmark '#1 Return],MATCH(Comp1[[#This Row],[Comparable '#1 Dates]],Benchmark1[Benchmark '#1 Dates],0)),"-")</f>
        <v>6.6320372098141438E-3</v>
      </c>
      <c r="L1209" s="72">
        <f>Comp1[[#This Row],[Comparable '#1 Price]]/$B$2*100</f>
        <v>82.067077344284741</v>
      </c>
    </row>
    <row r="1210" spans="1:12">
      <c r="A1210" s="103">
        <v>45040</v>
      </c>
      <c r="B1210" s="104">
        <v>12</v>
      </c>
      <c r="C1210" s="4">
        <f t="shared" si="36"/>
        <v>8.3368074857740867E-4</v>
      </c>
      <c r="D1210" s="1">
        <f>IFERROR(Comp1[[#This Row],[Comparable '#1 Return]]+1,"-")</f>
        <v>1.0008336807485774</v>
      </c>
      <c r="E1210" s="6">
        <f>B1210-MAX($B$2:B1210)</f>
        <v>-9.620000000000001</v>
      </c>
      <c r="F1210" s="80">
        <f t="shared" si="37"/>
        <v>813</v>
      </c>
      <c r="G1210" s="22" cm="1">
        <f t="array" ref="G1210">Comp1[[#This Row],[Comparable '#1 Drawdown]]/MAX($B$2:B1210)</f>
        <v>-0.44495837187789089</v>
      </c>
      <c r="H1210" s="1" t="str">
        <f>IF(SUM(COUNTIF(Benchmark1[Benchmark '#1 Dates],Comp1[[#This Row],[Comparable '#1 Dates]]),COUNTIF(Benchmark2[Benchmark '#2 Dates],Comp1[[#This Row],[Comparable '#1 Dates]]))=2,"Pass","Fail")</f>
        <v>Pass</v>
      </c>
      <c r="I1210" s="1">
        <f>IFERROR(Comp1[[#This Row],[Comparable '#1 Return]]-INDEX(Benchmark1[Benchmark '#1 Return],MATCH(Comp1[[#This Row],[Comparable '#1 Dates]],Benchmark1[Benchmark '#1 Dates],0)),"-")</f>
        <v>-1.8320504668752806E-5</v>
      </c>
      <c r="L1210" s="72">
        <f>Comp1[[#This Row],[Comparable '#1 Price]]/$B$2*100</f>
        <v>82.135523613963045</v>
      </c>
    </row>
    <row r="1211" spans="1:12">
      <c r="A1211" s="103">
        <v>45041</v>
      </c>
      <c r="B1211" s="104">
        <v>12.18</v>
      </c>
      <c r="C1211" s="4">
        <f t="shared" si="36"/>
        <v>1.4888612493750559E-2</v>
      </c>
      <c r="D1211" s="1">
        <f>IFERROR(Comp1[[#This Row],[Comparable '#1 Return]]+1,"-")</f>
        <v>1.0148886124937506</v>
      </c>
      <c r="E1211" s="6">
        <f>B1211-MAX($B$2:B1211)</f>
        <v>-9.4400000000000013</v>
      </c>
      <c r="F1211" s="80">
        <f t="shared" si="37"/>
        <v>814</v>
      </c>
      <c r="G1211" s="22" cm="1">
        <f t="array" ref="G1211">Comp1[[#This Row],[Comparable '#1 Drawdown]]/MAX($B$2:B1211)</f>
        <v>-0.43663274745605923</v>
      </c>
      <c r="H1211" s="1" t="str">
        <f>IF(SUM(COUNTIF(Benchmark1[Benchmark '#1 Dates],Comp1[[#This Row],[Comparable '#1 Dates]]),COUNTIF(Benchmark2[Benchmark '#2 Dates],Comp1[[#This Row],[Comparable '#1 Dates]]))=2,"Pass","Fail")</f>
        <v>Pass</v>
      </c>
      <c r="I1211" s="1">
        <f>IFERROR(Comp1[[#This Row],[Comparable '#1 Return]]-INDEX(Benchmark1[Benchmark '#1 Return],MATCH(Comp1[[#This Row],[Comparable '#1 Dates]],Benchmark1[Benchmark '#1 Dates],0)),"-")</f>
        <v>3.0826762137719781E-2</v>
      </c>
      <c r="L1211" s="72">
        <f>Comp1[[#This Row],[Comparable '#1 Price]]/$B$2*100</f>
        <v>83.367556468172495</v>
      </c>
    </row>
    <row r="1212" spans="1:12">
      <c r="A1212" s="103">
        <v>45042</v>
      </c>
      <c r="B1212" s="104">
        <v>12.16</v>
      </c>
      <c r="C1212" s="4">
        <f t="shared" si="36"/>
        <v>-1.6433857437300147E-3</v>
      </c>
      <c r="D1212" s="1">
        <f>IFERROR(Comp1[[#This Row],[Comparable '#1 Return]]+1,"-")</f>
        <v>0.99835661425626998</v>
      </c>
      <c r="E1212" s="6">
        <f>B1212-MAX($B$2:B1212)</f>
        <v>-9.4600000000000009</v>
      </c>
      <c r="F1212" s="80">
        <f t="shared" si="37"/>
        <v>815</v>
      </c>
      <c r="G1212" s="22" cm="1">
        <f t="array" ref="G1212">Comp1[[#This Row],[Comparable '#1 Drawdown]]/MAX($B$2:B1212)</f>
        <v>-0.43755781683626271</v>
      </c>
      <c r="H1212" s="1" t="str">
        <f>IF(SUM(COUNTIF(Benchmark1[Benchmark '#1 Dates],Comp1[[#This Row],[Comparable '#1 Dates]]),COUNTIF(Benchmark2[Benchmark '#2 Dates],Comp1[[#This Row],[Comparable '#1 Dates]]))=2,"Pass","Fail")</f>
        <v>Pass</v>
      </c>
      <c r="I1212" s="1">
        <f>IFERROR(Comp1[[#This Row],[Comparable '#1 Return]]-INDEX(Benchmark1[Benchmark '#1 Return],MATCH(Comp1[[#This Row],[Comparable '#1 Dates]],Benchmark1[Benchmark '#1 Dates],0)),"-")</f>
        <v>2.2058752697235824E-3</v>
      </c>
      <c r="L1212" s="72">
        <f>Comp1[[#This Row],[Comparable '#1 Price]]/$B$2*100</f>
        <v>83.230663928815886</v>
      </c>
    </row>
    <row r="1213" spans="1:12">
      <c r="A1213" s="103">
        <v>45043</v>
      </c>
      <c r="B1213" s="104">
        <v>12.28</v>
      </c>
      <c r="C1213" s="4">
        <f t="shared" si="36"/>
        <v>9.8200461809752945E-3</v>
      </c>
      <c r="D1213" s="1">
        <f>IFERROR(Comp1[[#This Row],[Comparable '#1 Return]]+1,"-")</f>
        <v>1.0098200461809752</v>
      </c>
      <c r="E1213" s="6">
        <f>B1213-MAX($B$2:B1213)</f>
        <v>-9.3400000000000016</v>
      </c>
      <c r="F1213" s="80">
        <f t="shared" si="37"/>
        <v>816</v>
      </c>
      <c r="G1213" s="22" cm="1">
        <f t="array" ref="G1213">Comp1[[#This Row],[Comparable '#1 Drawdown]]/MAX($B$2:B1213)</f>
        <v>-0.43200740055504167</v>
      </c>
      <c r="H1213" s="1" t="str">
        <f>IF(SUM(COUNTIF(Benchmark1[Benchmark '#1 Dates],Comp1[[#This Row],[Comparable '#1 Dates]]),COUNTIF(Benchmark2[Benchmark '#2 Dates],Comp1[[#This Row],[Comparable '#1 Dates]]))=2,"Pass","Fail")</f>
        <v>Pass</v>
      </c>
      <c r="I1213" s="1">
        <f>IFERROR(Comp1[[#This Row],[Comparable '#1 Return]]-INDEX(Benchmark1[Benchmark '#1 Return],MATCH(Comp1[[#This Row],[Comparable '#1 Dates]],Benchmark1[Benchmark '#1 Dates],0)),"-")</f>
        <v>-9.5582067969121835E-3</v>
      </c>
      <c r="L1213" s="72">
        <f>Comp1[[#This Row],[Comparable '#1 Price]]/$B$2*100</f>
        <v>84.05201916495551</v>
      </c>
    </row>
    <row r="1214" spans="1:12">
      <c r="A1214" s="103">
        <v>45044</v>
      </c>
      <c r="B1214" s="104">
        <v>12.39</v>
      </c>
      <c r="C1214" s="4">
        <f t="shared" si="36"/>
        <v>8.9177729220547893E-3</v>
      </c>
      <c r="D1214" s="1">
        <f>IFERROR(Comp1[[#This Row],[Comparable '#1 Return]]+1,"-")</f>
        <v>1.0089177729220549</v>
      </c>
      <c r="E1214" s="6">
        <f>B1214-MAX($B$2:B1214)</f>
        <v>-9.23</v>
      </c>
      <c r="F1214" s="80">
        <f t="shared" si="37"/>
        <v>817</v>
      </c>
      <c r="G1214" s="22" cm="1">
        <f t="array" ref="G1214">Comp1[[#This Row],[Comparable '#1 Drawdown]]/MAX($B$2:B1214)</f>
        <v>-0.42691951896392227</v>
      </c>
      <c r="H1214" s="1" t="str">
        <f>IF(SUM(COUNTIF(Benchmark1[Benchmark '#1 Dates],Comp1[[#This Row],[Comparable '#1 Dates]]),COUNTIF(Benchmark2[Benchmark '#2 Dates],Comp1[[#This Row],[Comparable '#1 Dates]]))=2,"Pass","Fail")</f>
        <v>Pass</v>
      </c>
      <c r="I1214" s="1">
        <f>IFERROR(Comp1[[#This Row],[Comparable '#1 Return]]-INDEX(Benchmark1[Benchmark '#1 Return],MATCH(Comp1[[#This Row],[Comparable '#1 Dates]],Benchmark1[Benchmark '#1 Dates],0)),"-")</f>
        <v>6.9861642618133067E-4</v>
      </c>
      <c r="L1214" s="72">
        <f>Comp1[[#This Row],[Comparable '#1 Price]]/$B$2*100</f>
        <v>84.804928131416844</v>
      </c>
    </row>
    <row r="1215" spans="1:12">
      <c r="A1215" s="103">
        <v>45047</v>
      </c>
      <c r="B1215" s="104">
        <v>12.41</v>
      </c>
      <c r="C1215" s="4">
        <f t="shared" si="36"/>
        <v>1.6129035754647791E-3</v>
      </c>
      <c r="D1215" s="1">
        <f>IFERROR(Comp1[[#This Row],[Comparable '#1 Return]]+1,"-")</f>
        <v>1.0016129035754648</v>
      </c>
      <c r="E1215" s="6">
        <f>B1215-MAX($B$2:B1215)</f>
        <v>-9.2100000000000009</v>
      </c>
      <c r="F1215" s="80">
        <f t="shared" si="37"/>
        <v>818</v>
      </c>
      <c r="G1215" s="22" cm="1">
        <f t="array" ref="G1215">Comp1[[#This Row],[Comparable '#1 Drawdown]]/MAX($B$2:B1215)</f>
        <v>-0.42599444958371879</v>
      </c>
      <c r="H1215" s="1" t="str">
        <f>IF(SUM(COUNTIF(Benchmark1[Benchmark '#1 Dates],Comp1[[#This Row],[Comparable '#1 Dates]]),COUNTIF(Benchmark2[Benchmark '#2 Dates],Comp1[[#This Row],[Comparable '#1 Dates]]))=2,"Pass","Fail")</f>
        <v>Pass</v>
      </c>
      <c r="I1215" s="1">
        <f>IFERROR(Comp1[[#This Row],[Comparable '#1 Return]]-INDEX(Benchmark1[Benchmark '#1 Return],MATCH(Comp1[[#This Row],[Comparable '#1 Dates]],Benchmark1[Benchmark '#1 Dates],0)),"-")</f>
        <v>2.000200594549844E-3</v>
      </c>
      <c r="L1215" s="72">
        <f>Comp1[[#This Row],[Comparable '#1 Price]]/$B$2*100</f>
        <v>84.941820670773453</v>
      </c>
    </row>
    <row r="1216" spans="1:12">
      <c r="A1216" s="103">
        <v>45048</v>
      </c>
      <c r="B1216" s="104">
        <v>11.97</v>
      </c>
      <c r="C1216" s="4">
        <f t="shared" si="36"/>
        <v>-3.6099079646633975E-2</v>
      </c>
      <c r="D1216" s="1">
        <f>IFERROR(Comp1[[#This Row],[Comparable '#1 Return]]+1,"-")</f>
        <v>0.96390092035336605</v>
      </c>
      <c r="E1216" s="6">
        <f>B1216-MAX($B$2:B1216)</f>
        <v>-9.65</v>
      </c>
      <c r="F1216" s="80">
        <f t="shared" si="37"/>
        <v>819</v>
      </c>
      <c r="G1216" s="22" cm="1">
        <f t="array" ref="G1216">Comp1[[#This Row],[Comparable '#1 Drawdown]]/MAX($B$2:B1216)</f>
        <v>-0.44634597594819608</v>
      </c>
      <c r="H1216" s="1" t="str">
        <f>IF(SUM(COUNTIF(Benchmark1[Benchmark '#1 Dates],Comp1[[#This Row],[Comparable '#1 Dates]]),COUNTIF(Benchmark2[Benchmark '#2 Dates],Comp1[[#This Row],[Comparable '#1 Dates]]))=2,"Pass","Fail")</f>
        <v>Pass</v>
      </c>
      <c r="I1216" s="1">
        <f>IFERROR(Comp1[[#This Row],[Comparable '#1 Return]]-INDEX(Benchmark1[Benchmark '#1 Return],MATCH(Comp1[[#This Row],[Comparable '#1 Dates]],Benchmark1[Benchmark '#1 Dates],0)),"-")</f>
        <v>-2.4446037395417966E-2</v>
      </c>
      <c r="L1216" s="72">
        <f>Comp1[[#This Row],[Comparable '#1 Price]]/$B$2*100</f>
        <v>81.930184804928146</v>
      </c>
    </row>
    <row r="1217" spans="1:12">
      <c r="A1217" s="103">
        <v>45049</v>
      </c>
      <c r="B1217" s="104">
        <v>11.89</v>
      </c>
      <c r="C1217" s="4">
        <f t="shared" si="36"/>
        <v>-6.7058088671913168E-3</v>
      </c>
      <c r="D1217" s="1">
        <f>IFERROR(Comp1[[#This Row],[Comparable '#1 Return]]+1,"-")</f>
        <v>0.9932941911328087</v>
      </c>
      <c r="E1217" s="6">
        <f>B1217-MAX($B$2:B1217)</f>
        <v>-9.73</v>
      </c>
      <c r="F1217" s="80">
        <f t="shared" si="37"/>
        <v>820</v>
      </c>
      <c r="G1217" s="22" cm="1">
        <f t="array" ref="G1217">Comp1[[#This Row],[Comparable '#1 Drawdown]]/MAX($B$2:B1217)</f>
        <v>-0.45004625346901017</v>
      </c>
      <c r="H1217" s="1" t="str">
        <f>IF(SUM(COUNTIF(Benchmark1[Benchmark '#1 Dates],Comp1[[#This Row],[Comparable '#1 Dates]]),COUNTIF(Benchmark2[Benchmark '#2 Dates],Comp1[[#This Row],[Comparable '#1 Dates]]))=2,"Pass","Fail")</f>
        <v>Pass</v>
      </c>
      <c r="I1217" s="1">
        <f>IFERROR(Comp1[[#This Row],[Comparable '#1 Return]]-INDEX(Benchmark1[Benchmark '#1 Return],MATCH(Comp1[[#This Row],[Comparable '#1 Dates]],Benchmark1[Benchmark '#1 Dates],0)),"-")</f>
        <v>3.1664464078162095E-4</v>
      </c>
      <c r="L1217" s="72">
        <f>Comp1[[#This Row],[Comparable '#1 Price]]/$B$2*100</f>
        <v>81.382614647501711</v>
      </c>
    </row>
    <row r="1218" spans="1:12">
      <c r="A1218" s="103">
        <v>45050</v>
      </c>
      <c r="B1218" s="104">
        <v>11.82</v>
      </c>
      <c r="C1218" s="4">
        <f t="shared" ref="C1218:C1256" si="38">IFERROR(IF(B1218="","-",LN(B1218/B1217)),"-")</f>
        <v>-5.9046987247383326E-3</v>
      </c>
      <c r="D1218" s="1">
        <f>IFERROR(Comp1[[#This Row],[Comparable '#1 Return]]+1,"-")</f>
        <v>0.99409530127526169</v>
      </c>
      <c r="E1218" s="6">
        <f>B1218-MAX($B$2:B1218)</f>
        <v>-9.8000000000000007</v>
      </c>
      <c r="F1218" s="80">
        <f t="shared" ref="F1218:F1256" si="39">IF(E1218=0,0,F1217+1)</f>
        <v>821</v>
      </c>
      <c r="G1218" s="22" cm="1">
        <f t="array" ref="G1218">Comp1[[#This Row],[Comparable '#1 Drawdown]]/MAX($B$2:B1218)</f>
        <v>-0.45328399629972249</v>
      </c>
      <c r="H1218" s="1" t="str">
        <f>IF(SUM(COUNTIF(Benchmark1[Benchmark '#1 Dates],Comp1[[#This Row],[Comparable '#1 Dates]]),COUNTIF(Benchmark2[Benchmark '#2 Dates],Comp1[[#This Row],[Comparable '#1 Dates]]))=2,"Pass","Fail")</f>
        <v>Pass</v>
      </c>
      <c r="I1218" s="1">
        <f>IFERROR(Comp1[[#This Row],[Comparable '#1 Return]]-INDEX(Benchmark1[Benchmark '#1 Return],MATCH(Comp1[[#This Row],[Comparable '#1 Dates]],Benchmark1[Benchmark '#1 Dates],0)),"-")</f>
        <v>1.3415172358742927E-3</v>
      </c>
      <c r="L1218" s="72">
        <f>Comp1[[#This Row],[Comparable '#1 Price]]/$B$2*100</f>
        <v>80.903490759753595</v>
      </c>
    </row>
    <row r="1219" spans="1:12">
      <c r="A1219" s="103">
        <v>45051</v>
      </c>
      <c r="B1219" s="104">
        <v>12.32</v>
      </c>
      <c r="C1219" s="4">
        <f t="shared" si="38"/>
        <v>4.1430946127421667E-2</v>
      </c>
      <c r="D1219" s="1">
        <f>IFERROR(Comp1[[#This Row],[Comparable '#1 Return]]+1,"-")</f>
        <v>1.0414309461274216</v>
      </c>
      <c r="E1219" s="6">
        <f>B1219-MAX($B$2:B1219)</f>
        <v>-9.3000000000000007</v>
      </c>
      <c r="F1219" s="80">
        <f t="shared" si="39"/>
        <v>822</v>
      </c>
      <c r="G1219" s="22" cm="1">
        <f t="array" ref="G1219">Comp1[[#This Row],[Comparable '#1 Drawdown]]/MAX($B$2:B1219)</f>
        <v>-0.43015726179463459</v>
      </c>
      <c r="H1219" s="1" t="str">
        <f>IF(SUM(COUNTIF(Benchmark1[Benchmark '#1 Dates],Comp1[[#This Row],[Comparable '#1 Dates]]),COUNTIF(Benchmark2[Benchmark '#2 Dates],Comp1[[#This Row],[Comparable '#1 Dates]]))=2,"Pass","Fail")</f>
        <v>Pass</v>
      </c>
      <c r="I1219" s="1">
        <f>IFERROR(Comp1[[#This Row],[Comparable '#1 Return]]-INDEX(Benchmark1[Benchmark '#1 Return],MATCH(Comp1[[#This Row],[Comparable '#1 Dates]],Benchmark1[Benchmark '#1 Dates],0)),"-")</f>
        <v>2.3123209846588579E-2</v>
      </c>
      <c r="L1219" s="72">
        <f>Comp1[[#This Row],[Comparable '#1 Price]]/$B$2*100</f>
        <v>84.325804243668728</v>
      </c>
    </row>
    <row r="1220" spans="1:12">
      <c r="A1220" s="103">
        <v>45054</v>
      </c>
      <c r="B1220" s="104">
        <v>11.95</v>
      </c>
      <c r="C1220" s="4">
        <f t="shared" si="38"/>
        <v>-3.0492679727854091E-2</v>
      </c>
      <c r="D1220" s="1">
        <f>IFERROR(Comp1[[#This Row],[Comparable '#1 Return]]+1,"-")</f>
        <v>0.96950732027214592</v>
      </c>
      <c r="E1220" s="6">
        <f>B1220-MAX($B$2:B1220)</f>
        <v>-9.6700000000000017</v>
      </c>
      <c r="F1220" s="80">
        <f t="shared" si="39"/>
        <v>823</v>
      </c>
      <c r="G1220" s="22" cm="1">
        <f t="array" ref="G1220">Comp1[[#This Row],[Comparable '#1 Drawdown]]/MAX($B$2:B1220)</f>
        <v>-0.44727104532839967</v>
      </c>
      <c r="H1220" s="1" t="str">
        <f>IF(SUM(COUNTIF(Benchmark1[Benchmark '#1 Dates],Comp1[[#This Row],[Comparable '#1 Dates]]),COUNTIF(Benchmark2[Benchmark '#2 Dates],Comp1[[#This Row],[Comparable '#1 Dates]]))=2,"Pass","Fail")</f>
        <v>Pass</v>
      </c>
      <c r="I1220" s="1">
        <f>IFERROR(Comp1[[#This Row],[Comparable '#1 Return]]-INDEX(Benchmark1[Benchmark '#1 Return],MATCH(Comp1[[#This Row],[Comparable '#1 Dates]],Benchmark1[Benchmark '#1 Dates],0)),"-")</f>
        <v>-3.0944586866921732E-2</v>
      </c>
      <c r="L1220" s="72">
        <f>Comp1[[#This Row],[Comparable '#1 Price]]/$B$2*100</f>
        <v>81.793292265571523</v>
      </c>
    </row>
    <row r="1221" spans="1:12">
      <c r="A1221" s="103">
        <v>45055</v>
      </c>
      <c r="B1221" s="104">
        <v>11.93</v>
      </c>
      <c r="C1221" s="4">
        <f t="shared" si="38"/>
        <v>-1.6750422676948438E-3</v>
      </c>
      <c r="D1221" s="1">
        <f>IFERROR(Comp1[[#This Row],[Comparable '#1 Return]]+1,"-")</f>
        <v>0.99832495773230512</v>
      </c>
      <c r="E1221" s="6">
        <f>B1221-MAX($B$2:B1221)</f>
        <v>-9.6900000000000013</v>
      </c>
      <c r="F1221" s="80">
        <f t="shared" si="39"/>
        <v>824</v>
      </c>
      <c r="G1221" s="22" cm="1">
        <f t="array" ref="G1221">Comp1[[#This Row],[Comparable '#1 Drawdown]]/MAX($B$2:B1221)</f>
        <v>-0.44819611470860321</v>
      </c>
      <c r="H1221" s="1" t="str">
        <f>IF(SUM(COUNTIF(Benchmark1[Benchmark '#1 Dates],Comp1[[#This Row],[Comparable '#1 Dates]]),COUNTIF(Benchmark2[Benchmark '#2 Dates],Comp1[[#This Row],[Comparable '#1 Dates]]))=2,"Pass","Fail")</f>
        <v>Pass</v>
      </c>
      <c r="I1221" s="1">
        <f>IFERROR(Comp1[[#This Row],[Comparable '#1 Return]]-INDEX(Benchmark1[Benchmark '#1 Return],MATCH(Comp1[[#This Row],[Comparable '#1 Dates]],Benchmark1[Benchmark '#1 Dates],0)),"-")</f>
        <v>2.9147523504374244E-3</v>
      </c>
      <c r="L1221" s="72">
        <f>Comp1[[#This Row],[Comparable '#1 Price]]/$B$2*100</f>
        <v>81.656399726214929</v>
      </c>
    </row>
    <row r="1222" spans="1:12">
      <c r="A1222" s="103">
        <v>45056</v>
      </c>
      <c r="B1222" s="104">
        <v>12</v>
      </c>
      <c r="C1222" s="4">
        <f t="shared" si="38"/>
        <v>5.8504136781755605E-3</v>
      </c>
      <c r="D1222" s="1">
        <f>IFERROR(Comp1[[#This Row],[Comparable '#1 Return]]+1,"-")</f>
        <v>1.0058504136781756</v>
      </c>
      <c r="E1222" s="6">
        <f>B1222-MAX($B$2:B1222)</f>
        <v>-9.620000000000001</v>
      </c>
      <c r="F1222" s="80">
        <f t="shared" si="39"/>
        <v>825</v>
      </c>
      <c r="G1222" s="22" cm="1">
        <f t="array" ref="G1222">Comp1[[#This Row],[Comparable '#1 Drawdown]]/MAX($B$2:B1222)</f>
        <v>-0.44495837187789089</v>
      </c>
      <c r="H1222" s="1" t="str">
        <f>IF(SUM(COUNTIF(Benchmark1[Benchmark '#1 Dates],Comp1[[#This Row],[Comparable '#1 Dates]]),COUNTIF(Benchmark2[Benchmark '#2 Dates],Comp1[[#This Row],[Comparable '#1 Dates]]))=2,"Pass","Fail")</f>
        <v>Pass</v>
      </c>
      <c r="I1222" s="1">
        <f>IFERROR(Comp1[[#This Row],[Comparable '#1 Return]]-INDEX(Benchmark1[Benchmark '#1 Return],MATCH(Comp1[[#This Row],[Comparable '#1 Dates]],Benchmark1[Benchmark '#1 Dates],0)),"-")</f>
        <v>1.3768112284767136E-3</v>
      </c>
      <c r="L1222" s="72">
        <f>Comp1[[#This Row],[Comparable '#1 Price]]/$B$2*100</f>
        <v>82.135523613963045</v>
      </c>
    </row>
    <row r="1223" spans="1:12">
      <c r="A1223" s="103">
        <v>45057</v>
      </c>
      <c r="B1223" s="104">
        <v>11.99</v>
      </c>
      <c r="C1223" s="4">
        <f t="shared" si="38"/>
        <v>-8.3368074857745312E-4</v>
      </c>
      <c r="D1223" s="1">
        <f>IFERROR(Comp1[[#This Row],[Comparable '#1 Return]]+1,"-")</f>
        <v>0.99916631925142252</v>
      </c>
      <c r="E1223" s="6">
        <f>B1223-MAX($B$2:B1223)</f>
        <v>-9.6300000000000008</v>
      </c>
      <c r="F1223" s="80">
        <f t="shared" si="39"/>
        <v>826</v>
      </c>
      <c r="G1223" s="22" cm="1">
        <f t="array" ref="G1223">Comp1[[#This Row],[Comparable '#1 Drawdown]]/MAX($B$2:B1223)</f>
        <v>-0.4454209065679926</v>
      </c>
      <c r="H1223" s="1" t="str">
        <f>IF(SUM(COUNTIF(Benchmark1[Benchmark '#1 Dates],Comp1[[#This Row],[Comparable '#1 Dates]]),COUNTIF(Benchmark2[Benchmark '#2 Dates],Comp1[[#This Row],[Comparable '#1 Dates]]))=2,"Pass","Fail")</f>
        <v>Pass</v>
      </c>
      <c r="I1223" s="1">
        <f>IFERROR(Comp1[[#This Row],[Comparable '#1 Return]]-INDEX(Benchmark1[Benchmark '#1 Return],MATCH(Comp1[[#This Row],[Comparable '#1 Dates]],Benchmark1[Benchmark '#1 Dates],0)),"-")</f>
        <v>8.6460144225409077E-4</v>
      </c>
      <c r="L1223" s="72">
        <f>Comp1[[#This Row],[Comparable '#1 Price]]/$B$2*100</f>
        <v>82.067077344284741</v>
      </c>
    </row>
    <row r="1224" spans="1:12">
      <c r="A1224" s="103">
        <v>45058</v>
      </c>
      <c r="B1224" s="104">
        <v>12.01</v>
      </c>
      <c r="C1224" s="4">
        <f t="shared" si="38"/>
        <v>1.6666670524692463E-3</v>
      </c>
      <c r="D1224" s="1">
        <f>IFERROR(Comp1[[#This Row],[Comparable '#1 Return]]+1,"-")</f>
        <v>1.0016666670524692</v>
      </c>
      <c r="E1224" s="6">
        <f>B1224-MAX($B$2:B1224)</f>
        <v>-9.6100000000000012</v>
      </c>
      <c r="F1224" s="80">
        <f t="shared" si="39"/>
        <v>827</v>
      </c>
      <c r="G1224" s="22" cm="1">
        <f t="array" ref="G1224">Comp1[[#This Row],[Comparable '#1 Drawdown]]/MAX($B$2:B1224)</f>
        <v>-0.44449583718778912</v>
      </c>
      <c r="H1224" s="1" t="str">
        <f>IF(SUM(COUNTIF(Benchmark1[Benchmark '#1 Dates],Comp1[[#This Row],[Comparable '#1 Dates]]),COUNTIF(Benchmark2[Benchmark '#2 Dates],Comp1[[#This Row],[Comparable '#1 Dates]]))=2,"Pass","Fail")</f>
        <v>Pass</v>
      </c>
      <c r="I1224" s="1">
        <f>IFERROR(Comp1[[#This Row],[Comparable '#1 Return]]-INDEX(Benchmark1[Benchmark '#1 Return],MATCH(Comp1[[#This Row],[Comparable '#1 Dates]],Benchmark1[Benchmark '#1 Dates],0)),"-")</f>
        <v>3.2512787900930767E-3</v>
      </c>
      <c r="L1224" s="72">
        <f>Comp1[[#This Row],[Comparable '#1 Price]]/$B$2*100</f>
        <v>82.203969883641349</v>
      </c>
    </row>
    <row r="1225" spans="1:12">
      <c r="A1225" s="103">
        <v>45061</v>
      </c>
      <c r="B1225" s="104">
        <v>11.99</v>
      </c>
      <c r="C1225" s="4">
        <f t="shared" si="38"/>
        <v>-1.666667052469229E-3</v>
      </c>
      <c r="D1225" s="1">
        <f>IFERROR(Comp1[[#This Row],[Comparable '#1 Return]]+1,"-")</f>
        <v>0.99833333294753079</v>
      </c>
      <c r="E1225" s="6">
        <f>B1225-MAX($B$2:B1225)</f>
        <v>-9.6300000000000008</v>
      </c>
      <c r="F1225" s="80">
        <f t="shared" si="39"/>
        <v>828</v>
      </c>
      <c r="G1225" s="22" cm="1">
        <f t="array" ref="G1225">Comp1[[#This Row],[Comparable '#1 Drawdown]]/MAX($B$2:B1225)</f>
        <v>-0.4454209065679926</v>
      </c>
      <c r="H1225" s="1" t="str">
        <f>IF(SUM(COUNTIF(Benchmark1[Benchmark '#1 Dates],Comp1[[#This Row],[Comparable '#1 Dates]]),COUNTIF(Benchmark2[Benchmark '#2 Dates],Comp1[[#This Row],[Comparable '#1 Dates]]))=2,"Pass","Fail")</f>
        <v>Pass</v>
      </c>
      <c r="I1225" s="1">
        <f>IFERROR(Comp1[[#This Row],[Comparable '#1 Return]]-INDEX(Benchmark1[Benchmark '#1 Return],MATCH(Comp1[[#This Row],[Comparable '#1 Dates]],Benchmark1[Benchmark '#1 Dates],0)),"-")</f>
        <v>-4.6213067920538335E-3</v>
      </c>
      <c r="L1225" s="72">
        <f>Comp1[[#This Row],[Comparable '#1 Price]]/$B$2*100</f>
        <v>82.067077344284741</v>
      </c>
    </row>
    <row r="1226" spans="1:12">
      <c r="A1226" s="103">
        <v>45062</v>
      </c>
      <c r="B1226" s="104">
        <v>11.95</v>
      </c>
      <c r="C1226" s="4">
        <f t="shared" si="38"/>
        <v>-3.3416906619033247E-3</v>
      </c>
      <c r="D1226" s="1">
        <f>IFERROR(Comp1[[#This Row],[Comparable '#1 Return]]+1,"-")</f>
        <v>0.99665830933809663</v>
      </c>
      <c r="E1226" s="6">
        <f>B1226-MAX($B$2:B1226)</f>
        <v>-9.6700000000000017</v>
      </c>
      <c r="F1226" s="80">
        <f t="shared" si="39"/>
        <v>829</v>
      </c>
      <c r="G1226" s="22" cm="1">
        <f t="array" ref="G1226">Comp1[[#This Row],[Comparable '#1 Drawdown]]/MAX($B$2:B1226)</f>
        <v>-0.44727104532839967</v>
      </c>
      <c r="H1226" s="1" t="str">
        <f>IF(SUM(COUNTIF(Benchmark1[Benchmark '#1 Dates],Comp1[[#This Row],[Comparable '#1 Dates]]),COUNTIF(Benchmark2[Benchmark '#2 Dates],Comp1[[#This Row],[Comparable '#1 Dates]]))=2,"Pass","Fail")</f>
        <v>Pass</v>
      </c>
      <c r="I1226" s="1">
        <f>IFERROR(Comp1[[#This Row],[Comparable '#1 Return]]-INDEX(Benchmark1[Benchmark '#1 Return],MATCH(Comp1[[#This Row],[Comparable '#1 Dates]],Benchmark1[Benchmark '#1 Dates],0)),"-")</f>
        <v>3.0581925948724811E-3</v>
      </c>
      <c r="L1226" s="72">
        <f>Comp1[[#This Row],[Comparable '#1 Price]]/$B$2*100</f>
        <v>81.793292265571523</v>
      </c>
    </row>
    <row r="1227" spans="1:12">
      <c r="A1227" s="103">
        <v>45063</v>
      </c>
      <c r="B1227" s="104">
        <v>12.01</v>
      </c>
      <c r="C1227" s="4">
        <f t="shared" si="38"/>
        <v>5.0083577143725791E-3</v>
      </c>
      <c r="D1227" s="1">
        <f>IFERROR(Comp1[[#This Row],[Comparable '#1 Return]]+1,"-")</f>
        <v>1.0050083577143725</v>
      </c>
      <c r="E1227" s="6">
        <f>B1227-MAX($B$2:B1227)</f>
        <v>-9.6100000000000012</v>
      </c>
      <c r="F1227" s="80">
        <f t="shared" si="39"/>
        <v>830</v>
      </c>
      <c r="G1227" s="22" cm="1">
        <f t="array" ref="G1227">Comp1[[#This Row],[Comparable '#1 Drawdown]]/MAX($B$2:B1227)</f>
        <v>-0.44449583718778912</v>
      </c>
      <c r="H1227" s="1" t="str">
        <f>IF(SUM(COUNTIF(Benchmark1[Benchmark '#1 Dates],Comp1[[#This Row],[Comparable '#1 Dates]]),COUNTIF(Benchmark2[Benchmark '#2 Dates],Comp1[[#This Row],[Comparable '#1 Dates]]))=2,"Pass","Fail")</f>
        <v>Pass</v>
      </c>
      <c r="I1227" s="1">
        <f>IFERROR(Comp1[[#This Row],[Comparable '#1 Return]]-INDEX(Benchmark1[Benchmark '#1 Return],MATCH(Comp1[[#This Row],[Comparable '#1 Dates]],Benchmark1[Benchmark '#1 Dates],0)),"-")</f>
        <v>-6.8132166398579873E-3</v>
      </c>
      <c r="L1227" s="72">
        <f>Comp1[[#This Row],[Comparable '#1 Price]]/$B$2*100</f>
        <v>82.203969883641349</v>
      </c>
    </row>
    <row r="1228" spans="1:12">
      <c r="A1228" s="103">
        <v>45064</v>
      </c>
      <c r="B1228" s="104">
        <v>12.3</v>
      </c>
      <c r="C1228" s="4">
        <f t="shared" si="38"/>
        <v>2.3859626286479606E-2</v>
      </c>
      <c r="D1228" s="1">
        <f>IFERROR(Comp1[[#This Row],[Comparable '#1 Return]]+1,"-")</f>
        <v>1.0238596262864796</v>
      </c>
      <c r="E1228" s="6">
        <f>B1228-MAX($B$2:B1228)</f>
        <v>-9.32</v>
      </c>
      <c r="F1228" s="80">
        <f t="shared" si="39"/>
        <v>831</v>
      </c>
      <c r="G1228" s="22" cm="1">
        <f t="array" ref="G1228">Comp1[[#This Row],[Comparable '#1 Drawdown]]/MAX($B$2:B1228)</f>
        <v>-0.43108233117483813</v>
      </c>
      <c r="H1228" s="1" t="str">
        <f>IF(SUM(COUNTIF(Benchmark1[Benchmark '#1 Dates],Comp1[[#This Row],[Comparable '#1 Dates]]),COUNTIF(Benchmark2[Benchmark '#2 Dates],Comp1[[#This Row],[Comparable '#1 Dates]]))=2,"Pass","Fail")</f>
        <v>Pass</v>
      </c>
      <c r="I1228" s="1">
        <f>IFERROR(Comp1[[#This Row],[Comparable '#1 Return]]-INDEX(Benchmark1[Benchmark '#1 Return],MATCH(Comp1[[#This Row],[Comparable '#1 Dates]],Benchmark1[Benchmark '#1 Dates],0)),"-")</f>
        <v>1.4458811688383399E-2</v>
      </c>
      <c r="L1228" s="72">
        <f>Comp1[[#This Row],[Comparable '#1 Price]]/$B$2*100</f>
        <v>84.188911704312119</v>
      </c>
    </row>
    <row r="1229" spans="1:12">
      <c r="A1229" s="103">
        <v>45065</v>
      </c>
      <c r="B1229" s="104">
        <v>12.3</v>
      </c>
      <c r="C1229" s="4">
        <f t="shared" si="38"/>
        <v>0</v>
      </c>
      <c r="D1229" s="1">
        <f>IFERROR(Comp1[[#This Row],[Comparable '#1 Return]]+1,"-")</f>
        <v>1</v>
      </c>
      <c r="E1229" s="6">
        <f>B1229-MAX($B$2:B1229)</f>
        <v>-9.32</v>
      </c>
      <c r="F1229" s="80">
        <f t="shared" si="39"/>
        <v>832</v>
      </c>
      <c r="G1229" s="22" cm="1">
        <f t="array" ref="G1229">Comp1[[#This Row],[Comparable '#1 Drawdown]]/MAX($B$2:B1229)</f>
        <v>-0.43108233117483813</v>
      </c>
      <c r="H1229" s="1" t="str">
        <f>IF(SUM(COUNTIF(Benchmark1[Benchmark '#1 Dates],Comp1[[#This Row],[Comparable '#1 Dates]]),COUNTIF(Benchmark2[Benchmark '#2 Dates],Comp1[[#This Row],[Comparable '#1 Dates]]))=2,"Pass","Fail")</f>
        <v>Pass</v>
      </c>
      <c r="I1229" s="1">
        <f>IFERROR(Comp1[[#This Row],[Comparable '#1 Return]]-INDEX(Benchmark1[Benchmark '#1 Return],MATCH(Comp1[[#This Row],[Comparable '#1 Dates]],Benchmark1[Benchmark '#1 Dates],0)),"-")</f>
        <v>1.4472323450046105E-3</v>
      </c>
      <c r="L1229" s="72">
        <f>Comp1[[#This Row],[Comparable '#1 Price]]/$B$2*100</f>
        <v>84.188911704312119</v>
      </c>
    </row>
    <row r="1230" spans="1:12">
      <c r="A1230" s="103">
        <v>45068</v>
      </c>
      <c r="B1230" s="104">
        <v>12.26</v>
      </c>
      <c r="C1230" s="4">
        <f t="shared" si="38"/>
        <v>-3.2573318703065105E-3</v>
      </c>
      <c r="D1230" s="1">
        <f>IFERROR(Comp1[[#This Row],[Comparable '#1 Return]]+1,"-")</f>
        <v>0.99674266812969348</v>
      </c>
      <c r="E1230" s="6">
        <f>B1230-MAX($B$2:B1230)</f>
        <v>-9.3600000000000012</v>
      </c>
      <c r="F1230" s="80">
        <f t="shared" si="39"/>
        <v>833</v>
      </c>
      <c r="G1230" s="22" cm="1">
        <f t="array" ref="G1230">Comp1[[#This Row],[Comparable '#1 Drawdown]]/MAX($B$2:B1230)</f>
        <v>-0.4329324699352452</v>
      </c>
      <c r="H1230" s="1" t="str">
        <f>IF(SUM(COUNTIF(Benchmark1[Benchmark '#1 Dates],Comp1[[#This Row],[Comparable '#1 Dates]]),COUNTIF(Benchmark2[Benchmark '#2 Dates],Comp1[[#This Row],[Comparable '#1 Dates]]))=2,"Pass","Fail")</f>
        <v>Pass</v>
      </c>
      <c r="I1230" s="1">
        <f>IFERROR(Comp1[[#This Row],[Comparable '#1 Return]]-INDEX(Benchmark1[Benchmark '#1 Return],MATCH(Comp1[[#This Row],[Comparable '#1 Dates]],Benchmark1[Benchmark '#1 Dates],0)),"-")</f>
        <v>-3.4125964074701552E-3</v>
      </c>
      <c r="L1230" s="72">
        <f>Comp1[[#This Row],[Comparable '#1 Price]]/$B$2*100</f>
        <v>83.915126625598901</v>
      </c>
    </row>
    <row r="1231" spans="1:12">
      <c r="A1231" s="103">
        <v>45069</v>
      </c>
      <c r="B1231" s="104">
        <v>12.32</v>
      </c>
      <c r="C1231" s="4">
        <f t="shared" si="38"/>
        <v>4.8820275973083188E-3</v>
      </c>
      <c r="D1231" s="1">
        <f>IFERROR(Comp1[[#This Row],[Comparable '#1 Return]]+1,"-")</f>
        <v>1.0048820275973083</v>
      </c>
      <c r="E1231" s="6">
        <f>B1231-MAX($B$2:B1231)</f>
        <v>-9.3000000000000007</v>
      </c>
      <c r="F1231" s="80">
        <f t="shared" si="39"/>
        <v>834</v>
      </c>
      <c r="G1231" s="22" cm="1">
        <f t="array" ref="G1231">Comp1[[#This Row],[Comparable '#1 Drawdown]]/MAX($B$2:B1231)</f>
        <v>-0.43015726179463459</v>
      </c>
      <c r="H1231" s="1" t="str">
        <f>IF(SUM(COUNTIF(Benchmark1[Benchmark '#1 Dates],Comp1[[#This Row],[Comparable '#1 Dates]]),COUNTIF(Benchmark2[Benchmark '#2 Dates],Comp1[[#This Row],[Comparable '#1 Dates]]))=2,"Pass","Fail")</f>
        <v>Pass</v>
      </c>
      <c r="I1231" s="1">
        <f>IFERROR(Comp1[[#This Row],[Comparable '#1 Return]]-INDEX(Benchmark1[Benchmark '#1 Return],MATCH(Comp1[[#This Row],[Comparable '#1 Dates]],Benchmark1[Benchmark '#1 Dates],0)),"-")</f>
        <v>1.6168872570949139E-2</v>
      </c>
      <c r="L1231" s="72">
        <f>Comp1[[#This Row],[Comparable '#1 Price]]/$B$2*100</f>
        <v>84.325804243668728</v>
      </c>
    </row>
    <row r="1232" spans="1:12">
      <c r="A1232" s="103">
        <v>45070</v>
      </c>
      <c r="B1232" s="104">
        <v>12.29</v>
      </c>
      <c r="C1232" s="4">
        <f t="shared" si="38"/>
        <v>-2.4380345274303988E-3</v>
      </c>
      <c r="D1232" s="1">
        <f>IFERROR(Comp1[[#This Row],[Comparable '#1 Return]]+1,"-")</f>
        <v>0.99756196547256959</v>
      </c>
      <c r="E1232" s="6">
        <f>B1232-MAX($B$2:B1232)</f>
        <v>-9.3300000000000018</v>
      </c>
      <c r="F1232" s="80">
        <f t="shared" si="39"/>
        <v>835</v>
      </c>
      <c r="G1232" s="22" cm="1">
        <f t="array" ref="G1232">Comp1[[#This Row],[Comparable '#1 Drawdown]]/MAX($B$2:B1232)</f>
        <v>-0.43154486586493995</v>
      </c>
      <c r="H1232" s="1" t="str">
        <f>IF(SUM(COUNTIF(Benchmark1[Benchmark '#1 Dates],Comp1[[#This Row],[Comparable '#1 Dates]]),COUNTIF(Benchmark2[Benchmark '#2 Dates],Comp1[[#This Row],[Comparable '#1 Dates]]))=2,"Pass","Fail")</f>
        <v>Pass</v>
      </c>
      <c r="I1232" s="1">
        <f>IFERROR(Comp1[[#This Row],[Comparable '#1 Return]]-INDEX(Benchmark1[Benchmark '#1 Return],MATCH(Comp1[[#This Row],[Comparable '#1 Dates]],Benchmark1[Benchmark '#1 Dates],0)),"-")</f>
        <v>4.9067032063059551E-3</v>
      </c>
      <c r="L1232" s="72">
        <f>Comp1[[#This Row],[Comparable '#1 Price]]/$B$2*100</f>
        <v>84.1204654346338</v>
      </c>
    </row>
    <row r="1233" spans="1:12">
      <c r="A1233" s="103">
        <v>45071</v>
      </c>
      <c r="B1233" s="104">
        <v>12.39</v>
      </c>
      <c r="C1233" s="4">
        <f t="shared" si="38"/>
        <v>8.1037720631077399E-3</v>
      </c>
      <c r="D1233" s="1">
        <f>IFERROR(Comp1[[#This Row],[Comparable '#1 Return]]+1,"-")</f>
        <v>1.0081037720631076</v>
      </c>
      <c r="E1233" s="6">
        <f>B1233-MAX($B$2:B1233)</f>
        <v>-9.23</v>
      </c>
      <c r="F1233" s="80">
        <f t="shared" si="39"/>
        <v>836</v>
      </c>
      <c r="G1233" s="22" cm="1">
        <f t="array" ref="G1233">Comp1[[#This Row],[Comparable '#1 Drawdown]]/MAX($B$2:B1233)</f>
        <v>-0.42691951896392227</v>
      </c>
      <c r="H1233" s="1" t="str">
        <f>IF(SUM(COUNTIF(Benchmark1[Benchmark '#1 Dates],Comp1[[#This Row],[Comparable '#1 Dates]]),COUNTIF(Benchmark2[Benchmark '#2 Dates],Comp1[[#This Row],[Comparable '#1 Dates]]))=2,"Pass","Fail")</f>
        <v>Pass</v>
      </c>
      <c r="I1233" s="1">
        <f>IFERROR(Comp1[[#This Row],[Comparable '#1 Return]]-INDEX(Benchmark1[Benchmark '#1 Return],MATCH(Comp1[[#This Row],[Comparable '#1 Dates]],Benchmark1[Benchmark '#1 Dates],0)),"-")</f>
        <v>-6.1611071798170318E-4</v>
      </c>
      <c r="L1233" s="72">
        <f>Comp1[[#This Row],[Comparable '#1 Price]]/$B$2*100</f>
        <v>84.804928131416844</v>
      </c>
    </row>
    <row r="1234" spans="1:12">
      <c r="A1234" s="103">
        <v>45072</v>
      </c>
      <c r="B1234" s="104">
        <v>12.39</v>
      </c>
      <c r="C1234" s="4">
        <f t="shared" si="38"/>
        <v>0</v>
      </c>
      <c r="D1234" s="1">
        <f>IFERROR(Comp1[[#This Row],[Comparable '#1 Return]]+1,"-")</f>
        <v>1</v>
      </c>
      <c r="E1234" s="6">
        <f>B1234-MAX($B$2:B1234)</f>
        <v>-9.23</v>
      </c>
      <c r="F1234" s="80">
        <f t="shared" si="39"/>
        <v>837</v>
      </c>
      <c r="G1234" s="22" cm="1">
        <f t="array" ref="G1234">Comp1[[#This Row],[Comparable '#1 Drawdown]]/MAX($B$2:B1234)</f>
        <v>-0.42691951896392227</v>
      </c>
      <c r="H1234" s="1" t="str">
        <f>IF(SUM(COUNTIF(Benchmark1[Benchmark '#1 Dates],Comp1[[#This Row],[Comparable '#1 Dates]]),COUNTIF(Benchmark2[Benchmark '#2 Dates],Comp1[[#This Row],[Comparable '#1 Dates]]))=2,"Pass","Fail")</f>
        <v>Pass</v>
      </c>
      <c r="I1234" s="1">
        <f>IFERROR(Comp1[[#This Row],[Comparable '#1 Return]]-INDEX(Benchmark1[Benchmark '#1 Return],MATCH(Comp1[[#This Row],[Comparable '#1 Dates]],Benchmark1[Benchmark '#1 Dates],0)),"-")</f>
        <v>-1.2965214160777604E-2</v>
      </c>
      <c r="L1234" s="72">
        <f>Comp1[[#This Row],[Comparable '#1 Price]]/$B$2*100</f>
        <v>84.804928131416844</v>
      </c>
    </row>
    <row r="1235" spans="1:12">
      <c r="A1235" s="103">
        <v>45076</v>
      </c>
      <c r="B1235" s="104">
        <v>12.22</v>
      </c>
      <c r="C1235" s="4">
        <f t="shared" si="38"/>
        <v>-1.3815741897601848E-2</v>
      </c>
      <c r="D1235" s="1">
        <f>IFERROR(Comp1[[#This Row],[Comparable '#1 Return]]+1,"-")</f>
        <v>0.98618425810239818</v>
      </c>
      <c r="E1235" s="6">
        <f>B1235-MAX($B$2:B1235)</f>
        <v>-9.4</v>
      </c>
      <c r="F1235" s="80">
        <f t="shared" si="39"/>
        <v>838</v>
      </c>
      <c r="G1235" s="22" cm="1">
        <f t="array" ref="G1235">Comp1[[#This Row],[Comparable '#1 Drawdown]]/MAX($B$2:B1235)</f>
        <v>-0.43478260869565216</v>
      </c>
      <c r="H1235" s="1" t="str">
        <f>IF(SUM(COUNTIF(Benchmark1[Benchmark '#1 Dates],Comp1[[#This Row],[Comparable '#1 Dates]]),COUNTIF(Benchmark2[Benchmark '#2 Dates],Comp1[[#This Row],[Comparable '#1 Dates]]))=2,"Pass","Fail")</f>
        <v>Pass</v>
      </c>
      <c r="I1235" s="1">
        <f>IFERROR(Comp1[[#This Row],[Comparable '#1 Return]]-INDEX(Benchmark1[Benchmark '#1 Return],MATCH(Comp1[[#This Row],[Comparable '#1 Dates]],Benchmark1[Benchmark '#1 Dates],0)),"-")</f>
        <v>-1.3831950842849335E-2</v>
      </c>
      <c r="L1235" s="72">
        <f>Comp1[[#This Row],[Comparable '#1 Price]]/$B$2*100</f>
        <v>83.641341546885712</v>
      </c>
    </row>
    <row r="1236" spans="1:12">
      <c r="A1236" s="103">
        <v>45077</v>
      </c>
      <c r="B1236" s="104">
        <v>12.1</v>
      </c>
      <c r="C1236" s="4">
        <f t="shared" si="38"/>
        <v>-9.8685011407538912E-3</v>
      </c>
      <c r="D1236" s="1">
        <f>IFERROR(Comp1[[#This Row],[Comparable '#1 Return]]+1,"-")</f>
        <v>0.99013149885924612</v>
      </c>
      <c r="E1236" s="6">
        <f>B1236-MAX($B$2:B1236)</f>
        <v>-9.5200000000000014</v>
      </c>
      <c r="F1236" s="80">
        <f t="shared" si="39"/>
        <v>839</v>
      </c>
      <c r="G1236" s="22" cm="1">
        <f t="array" ref="G1236">Comp1[[#This Row],[Comparable '#1 Drawdown]]/MAX($B$2:B1236)</f>
        <v>-0.44033302497687332</v>
      </c>
      <c r="H1236" s="1" t="str">
        <f>IF(SUM(COUNTIF(Benchmark1[Benchmark '#1 Dates],Comp1[[#This Row],[Comparable '#1 Dates]]),COUNTIF(Benchmark2[Benchmark '#2 Dates],Comp1[[#This Row],[Comparable '#1 Dates]]))=2,"Pass","Fail")</f>
        <v>Pass</v>
      </c>
      <c r="I1236" s="1">
        <f>IFERROR(Comp1[[#This Row],[Comparable '#1 Return]]-INDEX(Benchmark1[Benchmark '#1 Return],MATCH(Comp1[[#This Row],[Comparable '#1 Dates]],Benchmark1[Benchmark '#1 Dates],0)),"-")</f>
        <v>-3.7398781115565664E-3</v>
      </c>
      <c r="L1236" s="72">
        <f>Comp1[[#This Row],[Comparable '#1 Price]]/$B$2*100</f>
        <v>82.81998631074606</v>
      </c>
    </row>
    <row r="1237" spans="1:12">
      <c r="A1237" s="103">
        <v>45078</v>
      </c>
      <c r="B1237" s="104">
        <v>12.23</v>
      </c>
      <c r="C1237" s="4">
        <f t="shared" si="38"/>
        <v>1.0686497096385701E-2</v>
      </c>
      <c r="D1237" s="1">
        <f>IFERROR(Comp1[[#This Row],[Comparable '#1 Return]]+1,"-")</f>
        <v>1.0106864970963858</v>
      </c>
      <c r="E1237" s="6">
        <f>B1237-MAX($B$2:B1237)</f>
        <v>-9.39</v>
      </c>
      <c r="F1237" s="80">
        <f t="shared" si="39"/>
        <v>840</v>
      </c>
      <c r="G1237" s="22" cm="1">
        <f t="array" ref="G1237">Comp1[[#This Row],[Comparable '#1 Drawdown]]/MAX($B$2:B1237)</f>
        <v>-0.43432007400555045</v>
      </c>
      <c r="H1237" s="1" t="str">
        <f>IF(SUM(COUNTIF(Benchmark1[Benchmark '#1 Dates],Comp1[[#This Row],[Comparable '#1 Dates]]),COUNTIF(Benchmark2[Benchmark '#2 Dates],Comp1[[#This Row],[Comparable '#1 Dates]]))=2,"Pass","Fail")</f>
        <v>Pass</v>
      </c>
      <c r="I1237" s="1">
        <f>IFERROR(Comp1[[#This Row],[Comparable '#1 Return]]-INDEX(Benchmark1[Benchmark '#1 Return],MATCH(Comp1[[#This Row],[Comparable '#1 Dates]],Benchmark1[Benchmark '#1 Dates],0)),"-")</f>
        <v>8.7913107265469304E-4</v>
      </c>
      <c r="L1237" s="72">
        <f>Comp1[[#This Row],[Comparable '#1 Price]]/$B$2*100</f>
        <v>83.709787816564003</v>
      </c>
    </row>
    <row r="1238" spans="1:12">
      <c r="A1238" s="103">
        <v>45079</v>
      </c>
      <c r="B1238" s="104">
        <v>12.455</v>
      </c>
      <c r="C1238" s="4">
        <f t="shared" si="38"/>
        <v>1.8230199015062648E-2</v>
      </c>
      <c r="D1238" s="1">
        <f>IFERROR(Comp1[[#This Row],[Comparable '#1 Return]]+1,"-")</f>
        <v>1.0182301990150626</v>
      </c>
      <c r="E1238" s="6">
        <f>B1238-MAX($B$2:B1238)</f>
        <v>-9.1650000000000009</v>
      </c>
      <c r="F1238" s="80">
        <f t="shared" si="39"/>
        <v>841</v>
      </c>
      <c r="G1238" s="22" cm="1">
        <f t="array" ref="G1238">Comp1[[#This Row],[Comparable '#1 Drawdown]]/MAX($B$2:B1238)</f>
        <v>-0.42391304347826092</v>
      </c>
      <c r="H1238" s="1" t="str">
        <f>IF(SUM(COUNTIF(Benchmark1[Benchmark '#1 Dates],Comp1[[#This Row],[Comparable '#1 Dates]]),COUNTIF(Benchmark2[Benchmark '#2 Dates],Comp1[[#This Row],[Comparable '#1 Dates]]))=2,"Pass","Fail")</f>
        <v>Pass</v>
      </c>
      <c r="I1238" s="1">
        <f>IFERROR(Comp1[[#This Row],[Comparable '#1 Return]]-INDEX(Benchmark1[Benchmark '#1 Return],MATCH(Comp1[[#This Row],[Comparable '#1 Dates]],Benchmark1[Benchmark '#1 Dates],0)),"-")</f>
        <v>3.8014942445977681E-3</v>
      </c>
      <c r="L1238" s="72">
        <f>Comp1[[#This Row],[Comparable '#1 Price]]/$B$2*100</f>
        <v>85.249828884325808</v>
      </c>
    </row>
    <row r="1239" spans="1:12">
      <c r="A1239" s="103">
        <v>45082</v>
      </c>
      <c r="B1239" s="104">
        <v>12.34</v>
      </c>
      <c r="C1239" s="4">
        <f t="shared" si="38"/>
        <v>-9.2761302369019551E-3</v>
      </c>
      <c r="D1239" s="1">
        <f>IFERROR(Comp1[[#This Row],[Comparable '#1 Return]]+1,"-")</f>
        <v>0.99072386976309801</v>
      </c>
      <c r="E1239" s="6">
        <f>B1239-MAX($B$2:B1239)</f>
        <v>-9.2800000000000011</v>
      </c>
      <c r="F1239" s="80">
        <f t="shared" si="39"/>
        <v>842</v>
      </c>
      <c r="G1239" s="22" cm="1">
        <f t="array" ref="G1239">Comp1[[#This Row],[Comparable '#1 Drawdown]]/MAX($B$2:B1239)</f>
        <v>-0.42923219241443111</v>
      </c>
      <c r="H1239" s="1" t="str">
        <f>IF(SUM(COUNTIF(Benchmark1[Benchmark '#1 Dates],Comp1[[#This Row],[Comparable '#1 Dates]]),COUNTIF(Benchmark2[Benchmark '#2 Dates],Comp1[[#This Row],[Comparable '#1 Dates]]))=2,"Pass","Fail")</f>
        <v>Pass</v>
      </c>
      <c r="I1239" s="1">
        <f>IFERROR(Comp1[[#This Row],[Comparable '#1 Return]]-INDEX(Benchmark1[Benchmark '#1 Return],MATCH(Comp1[[#This Row],[Comparable '#1 Dates]],Benchmark1[Benchmark '#1 Dates],0)),"-")</f>
        <v>-7.272570497171912E-3</v>
      </c>
      <c r="L1239" s="72">
        <f>Comp1[[#This Row],[Comparable '#1 Price]]/$B$2*100</f>
        <v>84.462696783025322</v>
      </c>
    </row>
    <row r="1240" spans="1:12">
      <c r="A1240" s="103">
        <v>45083</v>
      </c>
      <c r="B1240" s="104">
        <v>12.46</v>
      </c>
      <c r="C1240" s="4">
        <f t="shared" si="38"/>
        <v>9.6774948820654381E-3</v>
      </c>
      <c r="D1240" s="1">
        <f>IFERROR(Comp1[[#This Row],[Comparable '#1 Return]]+1,"-")</f>
        <v>1.0096774948820655</v>
      </c>
      <c r="E1240" s="6">
        <f>B1240-MAX($B$2:B1240)</f>
        <v>-9.16</v>
      </c>
      <c r="F1240" s="80">
        <f t="shared" si="39"/>
        <v>843</v>
      </c>
      <c r="G1240" s="22" cm="1">
        <f t="array" ref="G1240">Comp1[[#This Row],[Comparable '#1 Drawdown]]/MAX($B$2:B1240)</f>
        <v>-0.42368177613320995</v>
      </c>
      <c r="H1240" s="1" t="str">
        <f>IF(SUM(COUNTIF(Benchmark1[Benchmark '#1 Dates],Comp1[[#This Row],[Comparable '#1 Dates]]),COUNTIF(Benchmark2[Benchmark '#2 Dates],Comp1[[#This Row],[Comparable '#1 Dates]]))=2,"Pass","Fail")</f>
        <v>Pass</v>
      </c>
      <c r="I1240" s="1">
        <f>IFERROR(Comp1[[#This Row],[Comparable '#1 Return]]-INDEX(Benchmark1[Benchmark '#1 Return],MATCH(Comp1[[#This Row],[Comparable '#1 Dates]],Benchmark1[Benchmark '#1 Dates],0)),"-")</f>
        <v>7.3277350217614426E-3</v>
      </c>
      <c r="L1240" s="72">
        <f>Comp1[[#This Row],[Comparable '#1 Price]]/$B$2*100</f>
        <v>85.284052019164974</v>
      </c>
    </row>
    <row r="1241" spans="1:12">
      <c r="A1241" s="103">
        <v>45084</v>
      </c>
      <c r="B1241" s="104">
        <v>12.56</v>
      </c>
      <c r="C1241" s="4">
        <f t="shared" si="38"/>
        <v>7.9936476807455845E-3</v>
      </c>
      <c r="D1241" s="1">
        <f>IFERROR(Comp1[[#This Row],[Comparable '#1 Return]]+1,"-")</f>
        <v>1.0079936476807456</v>
      </c>
      <c r="E1241" s="6">
        <f>B1241-MAX($B$2:B1241)</f>
        <v>-9.06</v>
      </c>
      <c r="F1241" s="80">
        <f t="shared" si="39"/>
        <v>844</v>
      </c>
      <c r="G1241" s="22" cm="1">
        <f t="array" ref="G1241">Comp1[[#This Row],[Comparable '#1 Drawdown]]/MAX($B$2:B1241)</f>
        <v>-0.41905642923219244</v>
      </c>
      <c r="H1241" s="1" t="str">
        <f>IF(SUM(COUNTIF(Benchmark1[Benchmark '#1 Dates],Comp1[[#This Row],[Comparable '#1 Dates]]),COUNTIF(Benchmark2[Benchmark '#2 Dates],Comp1[[#This Row],[Comparable '#1 Dates]]))=2,"Pass","Fail")</f>
        <v>Pass</v>
      </c>
      <c r="I1241" s="1">
        <f>IFERROR(Comp1[[#This Row],[Comparable '#1 Return]]-INDEX(Benchmark1[Benchmark '#1 Return],MATCH(Comp1[[#This Row],[Comparable '#1 Dates]],Benchmark1[Benchmark '#1 Dates],0)),"-")</f>
        <v>1.1812906726921701E-2</v>
      </c>
      <c r="L1241" s="72">
        <f>Comp1[[#This Row],[Comparable '#1 Price]]/$B$2*100</f>
        <v>85.96851471594799</v>
      </c>
    </row>
    <row r="1242" spans="1:12">
      <c r="A1242" s="103">
        <v>45085</v>
      </c>
      <c r="B1242" s="104">
        <v>12.36</v>
      </c>
      <c r="C1242" s="4">
        <f t="shared" si="38"/>
        <v>-1.6051709010508015E-2</v>
      </c>
      <c r="D1242" s="1">
        <f>IFERROR(Comp1[[#This Row],[Comparable '#1 Return]]+1,"-")</f>
        <v>0.98394829098949199</v>
      </c>
      <c r="E1242" s="6">
        <f>B1242-MAX($B$2:B1242)</f>
        <v>-9.2600000000000016</v>
      </c>
      <c r="F1242" s="80">
        <f t="shared" si="39"/>
        <v>845</v>
      </c>
      <c r="G1242" s="22" cm="1">
        <f t="array" ref="G1242">Comp1[[#This Row],[Comparable '#1 Drawdown]]/MAX($B$2:B1242)</f>
        <v>-0.42830712303422763</v>
      </c>
      <c r="H1242" s="1" t="str">
        <f>IF(SUM(COUNTIF(Benchmark1[Benchmark '#1 Dates],Comp1[[#This Row],[Comparable '#1 Dates]]),COUNTIF(Benchmark2[Benchmark '#2 Dates],Comp1[[#This Row],[Comparable '#1 Dates]]))=2,"Pass","Fail")</f>
        <v>Pass</v>
      </c>
      <c r="I1242" s="1">
        <f>IFERROR(Comp1[[#This Row],[Comparable '#1 Return]]-INDEX(Benchmark1[Benchmark '#1 Return],MATCH(Comp1[[#This Row],[Comparable '#1 Dates]],Benchmark1[Benchmark '#1 Dates],0)),"-")</f>
        <v>-2.2221084940620181E-2</v>
      </c>
      <c r="L1242" s="72">
        <f>Comp1[[#This Row],[Comparable '#1 Price]]/$B$2*100</f>
        <v>84.599589322381931</v>
      </c>
    </row>
    <row r="1243" spans="1:12">
      <c r="A1243" s="103">
        <v>45086</v>
      </c>
      <c r="B1243" s="104">
        <v>12.23</v>
      </c>
      <c r="C1243" s="4">
        <f t="shared" si="38"/>
        <v>-1.0573502330463684E-2</v>
      </c>
      <c r="D1243" s="1">
        <f>IFERROR(Comp1[[#This Row],[Comparable '#1 Return]]+1,"-")</f>
        <v>0.98942649766953628</v>
      </c>
      <c r="E1243" s="6">
        <f>B1243-MAX($B$2:B1243)</f>
        <v>-9.39</v>
      </c>
      <c r="F1243" s="80">
        <f t="shared" si="39"/>
        <v>846</v>
      </c>
      <c r="G1243" s="22" cm="1">
        <f t="array" ref="G1243">Comp1[[#This Row],[Comparable '#1 Drawdown]]/MAX($B$2:B1243)</f>
        <v>-0.43432007400555045</v>
      </c>
      <c r="H1243" s="1" t="str">
        <f>IF(SUM(COUNTIF(Benchmark1[Benchmark '#1 Dates],Comp1[[#This Row],[Comparable '#1 Dates]]),COUNTIF(Benchmark2[Benchmark '#2 Dates],Comp1[[#This Row],[Comparable '#1 Dates]]))=2,"Pass","Fail")</f>
        <v>Pass</v>
      </c>
      <c r="I1243" s="1">
        <f>IFERROR(Comp1[[#This Row],[Comparable '#1 Return]]-INDEX(Benchmark1[Benchmark '#1 Return],MATCH(Comp1[[#This Row],[Comparable '#1 Dates]],Benchmark1[Benchmark '#1 Dates],0)),"-")</f>
        <v>-1.1720870867162836E-2</v>
      </c>
      <c r="L1243" s="72">
        <f>Comp1[[#This Row],[Comparable '#1 Price]]/$B$2*100</f>
        <v>83.709787816564003</v>
      </c>
    </row>
    <row r="1244" spans="1:12">
      <c r="A1244" s="103">
        <v>45089</v>
      </c>
      <c r="B1244" s="104">
        <v>12.06</v>
      </c>
      <c r="C1244" s="4">
        <f t="shared" si="38"/>
        <v>-1.3997758400041627E-2</v>
      </c>
      <c r="D1244" s="1">
        <f>IFERROR(Comp1[[#This Row],[Comparable '#1 Return]]+1,"-")</f>
        <v>0.98600224159995842</v>
      </c>
      <c r="E1244" s="6">
        <f>B1244-MAX($B$2:B1244)</f>
        <v>-9.56</v>
      </c>
      <c r="F1244" s="80">
        <f t="shared" si="39"/>
        <v>847</v>
      </c>
      <c r="G1244" s="22" cm="1">
        <f t="array" ref="G1244">Comp1[[#This Row],[Comparable '#1 Drawdown]]/MAX($B$2:B1244)</f>
        <v>-0.44218316373728028</v>
      </c>
      <c r="H1244" s="1" t="str">
        <f>IF(SUM(COUNTIF(Benchmark1[Benchmark '#1 Dates],Comp1[[#This Row],[Comparable '#1 Dates]]),COUNTIF(Benchmark2[Benchmark '#2 Dates],Comp1[[#This Row],[Comparable '#1 Dates]]))=2,"Pass","Fail")</f>
        <v>Pass</v>
      </c>
      <c r="I1244" s="1">
        <f>IFERROR(Comp1[[#This Row],[Comparable '#1 Return]]-INDEX(Benchmark1[Benchmark '#1 Return],MATCH(Comp1[[#This Row],[Comparable '#1 Dates]],Benchmark1[Benchmark '#1 Dates],0)),"-")</f>
        <v>-2.3277308573672127E-2</v>
      </c>
      <c r="L1244" s="72">
        <f>Comp1[[#This Row],[Comparable '#1 Price]]/$B$2*100</f>
        <v>82.546201232032857</v>
      </c>
    </row>
    <row r="1245" spans="1:12">
      <c r="A1245" s="103">
        <v>45090</v>
      </c>
      <c r="B1245" s="104">
        <v>11.92</v>
      </c>
      <c r="C1245" s="4">
        <f t="shared" si="38"/>
        <v>-1.1676529661835742E-2</v>
      </c>
      <c r="D1245" s="1">
        <f>IFERROR(Comp1[[#This Row],[Comparable '#1 Return]]+1,"-")</f>
        <v>0.98832347033816426</v>
      </c>
      <c r="E1245" s="6">
        <f>B1245-MAX($B$2:B1245)</f>
        <v>-9.7000000000000011</v>
      </c>
      <c r="F1245" s="80">
        <f t="shared" si="39"/>
        <v>848</v>
      </c>
      <c r="G1245" s="22" cm="1">
        <f t="array" ref="G1245">Comp1[[#This Row],[Comparable '#1 Drawdown]]/MAX($B$2:B1245)</f>
        <v>-0.44865864939870492</v>
      </c>
      <c r="H1245" s="1" t="str">
        <f>IF(SUM(COUNTIF(Benchmark1[Benchmark '#1 Dates],Comp1[[#This Row],[Comparable '#1 Dates]]),COUNTIF(Benchmark2[Benchmark '#2 Dates],Comp1[[#This Row],[Comparable '#1 Dates]]))=2,"Pass","Fail")</f>
        <v>Pass</v>
      </c>
      <c r="I1245" s="1">
        <f>IFERROR(Comp1[[#This Row],[Comparable '#1 Return]]-INDEX(Benchmark1[Benchmark '#1 Return],MATCH(Comp1[[#This Row],[Comparable '#1 Dates]],Benchmark1[Benchmark '#1 Dates],0)),"-")</f>
        <v>-1.8583344649629213E-2</v>
      </c>
      <c r="L1245" s="72">
        <f>Comp1[[#This Row],[Comparable '#1 Price]]/$B$2*100</f>
        <v>81.587953456536624</v>
      </c>
    </row>
    <row r="1246" spans="1:12">
      <c r="A1246" s="103">
        <v>45091</v>
      </c>
      <c r="B1246" s="104">
        <v>11.66</v>
      </c>
      <c r="C1246" s="4">
        <f t="shared" si="38"/>
        <v>-2.2053480714857378E-2</v>
      </c>
      <c r="D1246" s="1">
        <f>IFERROR(Comp1[[#This Row],[Comparable '#1 Return]]+1,"-")</f>
        <v>0.97794651928514265</v>
      </c>
      <c r="E1246" s="6">
        <f>B1246-MAX($B$2:B1246)</f>
        <v>-9.9600000000000009</v>
      </c>
      <c r="F1246" s="80">
        <f t="shared" si="39"/>
        <v>849</v>
      </c>
      <c r="G1246" s="22" cm="1">
        <f t="array" ref="G1246">Comp1[[#This Row],[Comparable '#1 Drawdown]]/MAX($B$2:B1246)</f>
        <v>-0.46068455134135061</v>
      </c>
      <c r="H1246" s="1" t="str">
        <f>IF(SUM(COUNTIF(Benchmark1[Benchmark '#1 Dates],Comp1[[#This Row],[Comparable '#1 Dates]]),COUNTIF(Benchmark2[Benchmark '#2 Dates],Comp1[[#This Row],[Comparable '#1 Dates]]))=2,"Pass","Fail")</f>
        <v>Pass</v>
      </c>
      <c r="I1246" s="1">
        <f>IFERROR(Comp1[[#This Row],[Comparable '#1 Return]]-INDEX(Benchmark1[Benchmark '#1 Return],MATCH(Comp1[[#This Row],[Comparable '#1 Dates]],Benchmark1[Benchmark '#1 Dates],0)),"-")</f>
        <v>-2.2873252563071822E-2</v>
      </c>
      <c r="L1246" s="72">
        <f>Comp1[[#This Row],[Comparable '#1 Price]]/$B$2*100</f>
        <v>79.808350444900753</v>
      </c>
    </row>
    <row r="1247" spans="1:12">
      <c r="A1247" s="103">
        <v>45092</v>
      </c>
      <c r="B1247" s="104">
        <v>11.73</v>
      </c>
      <c r="C1247" s="4">
        <f t="shared" si="38"/>
        <v>5.9854817430378239E-3</v>
      </c>
      <c r="D1247" s="1">
        <f>IFERROR(Comp1[[#This Row],[Comparable '#1 Return]]+1,"-")</f>
        <v>1.0059854817430378</v>
      </c>
      <c r="E1247" s="6">
        <f>B1247-MAX($B$2:B1247)</f>
        <v>-9.89</v>
      </c>
      <c r="F1247" s="80">
        <f t="shared" si="39"/>
        <v>850</v>
      </c>
      <c r="G1247" s="22" cm="1">
        <f t="array" ref="G1247">Comp1[[#This Row],[Comparable '#1 Drawdown]]/MAX($B$2:B1247)</f>
        <v>-0.45744680851063829</v>
      </c>
      <c r="H1247" s="1" t="str">
        <f>IF(SUM(COUNTIF(Benchmark1[Benchmark '#1 Dates],Comp1[[#This Row],[Comparable '#1 Dates]]),COUNTIF(Benchmark2[Benchmark '#2 Dates],Comp1[[#This Row],[Comparable '#1 Dates]]))=2,"Pass","Fail")</f>
        <v>Pass</v>
      </c>
      <c r="I1247" s="1">
        <f>IFERROR(Comp1[[#This Row],[Comparable '#1 Return]]-INDEX(Benchmark1[Benchmark '#1 Return],MATCH(Comp1[[#This Row],[Comparable '#1 Dates]],Benchmark1[Benchmark '#1 Dates],0)),"-")</f>
        <v>-6.1201894099695347E-3</v>
      </c>
      <c r="L1247" s="72">
        <f>Comp1[[#This Row],[Comparable '#1 Price]]/$B$2*100</f>
        <v>80.287474332648884</v>
      </c>
    </row>
    <row r="1248" spans="1:12">
      <c r="A1248" s="103">
        <v>45093</v>
      </c>
      <c r="B1248" s="104">
        <v>11.76</v>
      </c>
      <c r="C1248" s="4">
        <f t="shared" si="38"/>
        <v>2.5542798050967007E-3</v>
      </c>
      <c r="D1248" s="1">
        <f>IFERROR(Comp1[[#This Row],[Comparable '#1 Return]]+1,"-")</f>
        <v>1.0025542798050966</v>
      </c>
      <c r="E1248" s="6">
        <f>B1248-MAX($B$2:B1248)</f>
        <v>-9.8600000000000012</v>
      </c>
      <c r="F1248" s="80">
        <f t="shared" si="39"/>
        <v>851</v>
      </c>
      <c r="G1248" s="22" cm="1">
        <f t="array" ref="G1248">Comp1[[#This Row],[Comparable '#1 Drawdown]]/MAX($B$2:B1248)</f>
        <v>-0.45605920444033304</v>
      </c>
      <c r="H1248" s="1" t="str">
        <f>IF(SUM(COUNTIF(Benchmark1[Benchmark '#1 Dates],Comp1[[#This Row],[Comparable '#1 Dates]]),COUNTIF(Benchmark2[Benchmark '#2 Dates],Comp1[[#This Row],[Comparable '#1 Dates]]))=2,"Pass","Fail")</f>
        <v>Pass</v>
      </c>
      <c r="I1248" s="1">
        <f>IFERROR(Comp1[[#This Row],[Comparable '#1 Return]]-INDEX(Benchmark1[Benchmark '#1 Return],MATCH(Comp1[[#This Row],[Comparable '#1 Dates]],Benchmark1[Benchmark '#1 Dates],0)),"-")</f>
        <v>6.2326308050789075E-3</v>
      </c>
      <c r="L1248" s="72">
        <f>Comp1[[#This Row],[Comparable '#1 Price]]/$B$2*100</f>
        <v>80.492813141683783</v>
      </c>
    </row>
    <row r="1249" spans="1:12">
      <c r="A1249" s="103">
        <v>45097</v>
      </c>
      <c r="B1249" s="104">
        <v>11.73</v>
      </c>
      <c r="C1249" s="4">
        <f t="shared" si="38"/>
        <v>-2.5542798050967423E-3</v>
      </c>
      <c r="D1249" s="1">
        <f>IFERROR(Comp1[[#This Row],[Comparable '#1 Return]]+1,"-")</f>
        <v>0.9974457201949033</v>
      </c>
      <c r="E1249" s="6">
        <f>B1249-MAX($B$2:B1249)</f>
        <v>-9.89</v>
      </c>
      <c r="F1249" s="80">
        <f t="shared" si="39"/>
        <v>852</v>
      </c>
      <c r="G1249" s="22" cm="1">
        <f t="array" ref="G1249">Comp1[[#This Row],[Comparable '#1 Drawdown]]/MAX($B$2:B1249)</f>
        <v>-0.45744680851063829</v>
      </c>
      <c r="H1249" s="1" t="str">
        <f>IF(SUM(COUNTIF(Benchmark1[Benchmark '#1 Dates],Comp1[[#This Row],[Comparable '#1 Dates]]),COUNTIF(Benchmark2[Benchmark '#2 Dates],Comp1[[#This Row],[Comparable '#1 Dates]]))=2,"Pass","Fail")</f>
        <v>Pass</v>
      </c>
      <c r="I1249" s="1">
        <f>IFERROR(Comp1[[#This Row],[Comparable '#1 Return]]-INDEX(Benchmark1[Benchmark '#1 Return],MATCH(Comp1[[#This Row],[Comparable '#1 Dates]],Benchmark1[Benchmark '#1 Dates],0)),"-")</f>
        <v>2.1931452084592504E-3</v>
      </c>
      <c r="L1249" s="72">
        <f>Comp1[[#This Row],[Comparable '#1 Price]]/$B$2*100</f>
        <v>80.287474332648884</v>
      </c>
    </row>
    <row r="1250" spans="1:12">
      <c r="A1250" s="103">
        <v>45098</v>
      </c>
      <c r="B1250" s="104">
        <v>12.16</v>
      </c>
      <c r="C1250" s="4">
        <f t="shared" si="38"/>
        <v>3.6002213872636787E-2</v>
      </c>
      <c r="D1250" s="1">
        <f>IFERROR(Comp1[[#This Row],[Comparable '#1 Return]]+1,"-")</f>
        <v>1.0360022138726368</v>
      </c>
      <c r="E1250" s="6">
        <f>B1250-MAX($B$2:B1250)</f>
        <v>-9.4600000000000009</v>
      </c>
      <c r="F1250" s="80">
        <f t="shared" si="39"/>
        <v>853</v>
      </c>
      <c r="G1250" s="22" cm="1">
        <f t="array" ref="G1250">Comp1[[#This Row],[Comparable '#1 Drawdown]]/MAX($B$2:B1250)</f>
        <v>-0.43755781683626271</v>
      </c>
      <c r="H1250" s="1" t="str">
        <f>IF(SUM(COUNTIF(Benchmark1[Benchmark '#1 Dates],Comp1[[#This Row],[Comparable '#1 Dates]]),COUNTIF(Benchmark2[Benchmark '#2 Dates],Comp1[[#This Row],[Comparable '#1 Dates]]))=2,"Pass","Fail")</f>
        <v>Pass</v>
      </c>
      <c r="I1250" s="1">
        <f>IFERROR(Comp1[[#This Row],[Comparable '#1 Return]]-INDEX(Benchmark1[Benchmark '#1 Return],MATCH(Comp1[[#This Row],[Comparable '#1 Dates]],Benchmark1[Benchmark '#1 Dates],0)),"-")</f>
        <v>4.1261278270261728E-2</v>
      </c>
      <c r="L1250" s="72">
        <f>Comp1[[#This Row],[Comparable '#1 Price]]/$B$2*100</f>
        <v>83.230663928815886</v>
      </c>
    </row>
    <row r="1251" spans="1:12">
      <c r="A1251" s="103">
        <v>45099</v>
      </c>
      <c r="B1251" s="104">
        <v>12.05</v>
      </c>
      <c r="C1251" s="4">
        <f t="shared" si="38"/>
        <v>-9.0872166013568692E-3</v>
      </c>
      <c r="D1251" s="1">
        <f>IFERROR(Comp1[[#This Row],[Comparable '#1 Return]]+1,"-")</f>
        <v>0.99091278339864308</v>
      </c>
      <c r="E1251" s="6">
        <f>B1251-MAX($B$2:B1251)</f>
        <v>-9.57</v>
      </c>
      <c r="F1251" s="80">
        <f t="shared" si="39"/>
        <v>854</v>
      </c>
      <c r="G1251" s="22" cm="1">
        <f t="array" ref="G1251">Comp1[[#This Row],[Comparable '#1 Drawdown]]/MAX($B$2:B1251)</f>
        <v>-0.44264569842738205</v>
      </c>
      <c r="H1251" s="1" t="str">
        <f>IF(SUM(COUNTIF(Benchmark1[Benchmark '#1 Dates],Comp1[[#This Row],[Comparable '#1 Dates]]),COUNTIF(Benchmark2[Benchmark '#2 Dates],Comp1[[#This Row],[Comparable '#1 Dates]]))=2,"Pass","Fail")</f>
        <v>Pass</v>
      </c>
      <c r="I1251" s="1">
        <f>IFERROR(Comp1[[#This Row],[Comparable '#1 Return]]-INDEX(Benchmark1[Benchmark '#1 Return],MATCH(Comp1[[#This Row],[Comparable '#1 Dates]],Benchmark1[Benchmark '#1 Dates],0)),"-")</f>
        <v>-1.2791249402503879E-2</v>
      </c>
      <c r="L1251" s="72">
        <f>Comp1[[#This Row],[Comparable '#1 Price]]/$B$2*100</f>
        <v>82.477754962354553</v>
      </c>
    </row>
    <row r="1252" spans="1:12">
      <c r="A1252" s="103">
        <v>45100</v>
      </c>
      <c r="B1252" s="104">
        <v>11.62</v>
      </c>
      <c r="C1252" s="4">
        <f t="shared" si="38"/>
        <v>-3.6336908512898933E-2</v>
      </c>
      <c r="D1252" s="1">
        <f>IFERROR(Comp1[[#This Row],[Comparable '#1 Return]]+1,"-")</f>
        <v>0.96366309148710105</v>
      </c>
      <c r="E1252" s="6">
        <f>B1252-MAX($B$2:B1252)</f>
        <v>-10.000000000000002</v>
      </c>
      <c r="F1252" s="80">
        <f t="shared" si="39"/>
        <v>855</v>
      </c>
      <c r="G1252" s="22" cm="1">
        <f t="array" ref="G1252">Comp1[[#This Row],[Comparable '#1 Drawdown]]/MAX($B$2:B1252)</f>
        <v>-0.46253469010175768</v>
      </c>
      <c r="H1252" s="1" t="str">
        <f>IF(SUM(COUNTIF(Benchmark1[Benchmark '#1 Dates],Comp1[[#This Row],[Comparable '#1 Dates]]),COUNTIF(Benchmark2[Benchmark '#2 Dates],Comp1[[#This Row],[Comparable '#1 Dates]]))=2,"Pass","Fail")</f>
        <v>Pass</v>
      </c>
      <c r="I1252" s="1">
        <f>IFERROR(Comp1[[#This Row],[Comparable '#1 Return]]-INDEX(Benchmark1[Benchmark '#1 Return],MATCH(Comp1[[#This Row],[Comparable '#1 Dates]],Benchmark1[Benchmark '#1 Dates],0)),"-")</f>
        <v>-2.8648679185451636E-2</v>
      </c>
      <c r="L1252" s="72">
        <f>Comp1[[#This Row],[Comparable '#1 Price]]/$B$2*100</f>
        <v>79.534565366187536</v>
      </c>
    </row>
    <row r="1253" spans="1:12">
      <c r="A1253" s="103">
        <v>45103</v>
      </c>
      <c r="B1253" s="104">
        <v>11.74</v>
      </c>
      <c r="C1253" s="4">
        <f t="shared" si="38"/>
        <v>1.0274062976185284E-2</v>
      </c>
      <c r="D1253" s="1">
        <f>IFERROR(Comp1[[#This Row],[Comparable '#1 Return]]+1,"-")</f>
        <v>1.0102740629761853</v>
      </c>
      <c r="E1253" s="6">
        <f>B1253-MAX($B$2:B1253)</f>
        <v>-9.8800000000000008</v>
      </c>
      <c r="F1253" s="80">
        <f t="shared" si="39"/>
        <v>856</v>
      </c>
      <c r="G1253" s="22" cm="1">
        <f t="array" ref="G1253">Comp1[[#This Row],[Comparable '#1 Drawdown]]/MAX($B$2:B1253)</f>
        <v>-0.45698427382053658</v>
      </c>
      <c r="H1253" s="1" t="str">
        <f>IF(SUM(COUNTIF(Benchmark1[Benchmark '#1 Dates],Comp1[[#This Row],[Comparable '#1 Dates]]),COUNTIF(Benchmark2[Benchmark '#2 Dates],Comp1[[#This Row],[Comparable '#1 Dates]]))=2,"Pass","Fail")</f>
        <v>Pass</v>
      </c>
      <c r="I1253" s="1">
        <f>IFERROR(Comp1[[#This Row],[Comparable '#1 Return]]-INDEX(Benchmark1[Benchmark '#1 Return],MATCH(Comp1[[#This Row],[Comparable '#1 Dates]],Benchmark1[Benchmark '#1 Dates],0)),"-")</f>
        <v>1.4770721563993474E-2</v>
      </c>
      <c r="L1253" s="72">
        <f>Comp1[[#This Row],[Comparable '#1 Price]]/$B$2*100</f>
        <v>80.355920602327174</v>
      </c>
    </row>
    <row r="1254" spans="1:12">
      <c r="A1254" s="103">
        <v>45104</v>
      </c>
      <c r="B1254" s="104">
        <v>11.68</v>
      </c>
      <c r="C1254" s="4">
        <f t="shared" si="38"/>
        <v>-5.1238369998693953E-3</v>
      </c>
      <c r="D1254" s="1">
        <f>IFERROR(Comp1[[#This Row],[Comparable '#1 Return]]+1,"-")</f>
        <v>0.9948761630001306</v>
      </c>
      <c r="E1254" s="6">
        <f>B1254-MAX($B$2:B1254)</f>
        <v>-9.9400000000000013</v>
      </c>
      <c r="F1254" s="80">
        <f t="shared" si="39"/>
        <v>857</v>
      </c>
      <c r="G1254" s="22" cm="1">
        <f t="array" ref="G1254">Comp1[[#This Row],[Comparable '#1 Drawdown]]/MAX($B$2:B1254)</f>
        <v>-0.45975948196114713</v>
      </c>
      <c r="H1254" s="1" t="str">
        <f>IF(SUM(COUNTIF(Benchmark1[Benchmark '#1 Dates],Comp1[[#This Row],[Comparable '#1 Dates]]),COUNTIF(Benchmark2[Benchmark '#2 Dates],Comp1[[#This Row],[Comparable '#1 Dates]]))=2,"Pass","Fail")</f>
        <v>Pass</v>
      </c>
      <c r="I1254" s="1">
        <f>IFERROR(Comp1[[#This Row],[Comparable '#1 Return]]-INDEX(Benchmark1[Benchmark '#1 Return],MATCH(Comp1[[#This Row],[Comparable '#1 Dates]],Benchmark1[Benchmark '#1 Dates],0)),"-")</f>
        <v>-1.6513054815707248E-2</v>
      </c>
      <c r="L1254" s="72">
        <f>Comp1[[#This Row],[Comparable '#1 Price]]/$B$2*100</f>
        <v>79.945242984257362</v>
      </c>
    </row>
    <row r="1255" spans="1:12">
      <c r="A1255" s="103">
        <v>45105</v>
      </c>
      <c r="B1255" s="104">
        <v>11.36</v>
      </c>
      <c r="C1255" s="4">
        <f t="shared" si="38"/>
        <v>-2.7779564107075706E-2</v>
      </c>
      <c r="D1255" s="1">
        <f>IFERROR(Comp1[[#This Row],[Comparable '#1 Return]]+1,"-")</f>
        <v>0.97222043589292428</v>
      </c>
      <c r="E1255" s="6">
        <f>B1255-MAX($B$2:B1255)</f>
        <v>-10.260000000000002</v>
      </c>
      <c r="F1255" s="80">
        <f t="shared" si="39"/>
        <v>858</v>
      </c>
      <c r="G1255" s="22" cm="1">
        <f t="array" ref="G1255">Comp1[[#This Row],[Comparable '#1 Drawdown]]/MAX($B$2:B1255)</f>
        <v>-0.47456059204440337</v>
      </c>
      <c r="H1255" s="1" t="str">
        <f>IF(SUM(COUNTIF(Benchmark1[Benchmark '#1 Dates],Comp1[[#This Row],[Comparable '#1 Dates]]),COUNTIF(Benchmark2[Benchmark '#2 Dates],Comp1[[#This Row],[Comparable '#1 Dates]]))=2,"Pass","Fail")</f>
        <v>Pass</v>
      </c>
      <c r="I1255" s="1">
        <f>IFERROR(Comp1[[#This Row],[Comparable '#1 Return]]-INDEX(Benchmark1[Benchmark '#1 Return],MATCH(Comp1[[#This Row],[Comparable '#1 Dates]],Benchmark1[Benchmark '#1 Dates],0)),"-")</f>
        <v>-2.7427407469408908E-2</v>
      </c>
      <c r="L1255" s="72">
        <f>Comp1[[#This Row],[Comparable '#1 Price]]/$B$2*100</f>
        <v>77.754962354551665</v>
      </c>
    </row>
    <row r="1256" spans="1:12">
      <c r="A1256" s="103">
        <v>45106</v>
      </c>
      <c r="B1256" s="104">
        <v>11.74</v>
      </c>
      <c r="C1256" s="4">
        <f t="shared" si="38"/>
        <v>3.2903401106945215E-2</v>
      </c>
      <c r="D1256" s="1">
        <f>IFERROR(Comp1[[#This Row],[Comparable '#1 Return]]+1,"-")</f>
        <v>1.0329034011069451</v>
      </c>
      <c r="E1256" s="6">
        <f>B1256-MAX($B$2:B1259)</f>
        <v>-9.8800000000000008</v>
      </c>
      <c r="F1256" s="80">
        <f t="shared" si="39"/>
        <v>859</v>
      </c>
      <c r="G1256" s="22" cm="1">
        <f t="array" ref="G1256">Comp1[[#This Row],[Comparable '#1 Drawdown]]/MAX($B$2:B1259)</f>
        <v>-0.45698427382053658</v>
      </c>
      <c r="H1256" s="1" t="str">
        <f>IF(SUM(COUNTIF(Benchmark1[Benchmark '#1 Dates],Comp1[[#This Row],[Comparable '#1 Dates]]),COUNTIF(Benchmark2[Benchmark '#2 Dates],Comp1[[#This Row],[Comparable '#1 Dates]]))=2,"Pass","Fail")</f>
        <v>Pass</v>
      </c>
      <c r="I1256" s="1">
        <f>IFERROR(Comp1[[#This Row],[Comparable '#1 Return]]-INDEX(Benchmark1[Benchmark '#1 Return],MATCH(Comp1[[#This Row],[Comparable '#1 Dates]],Benchmark1[Benchmark '#1 Dates],0)),"-")</f>
        <v>2.8439921268970401E-2</v>
      </c>
      <c r="L1256" s="72">
        <f>Comp1[[#This Row],[Comparable '#1 Price]]/$B$2*100</f>
        <v>80.355920602327174</v>
      </c>
    </row>
    <row r="1257" spans="1:12">
      <c r="A1257" s="103">
        <v>45107</v>
      </c>
      <c r="B1257" s="104">
        <v>12.09</v>
      </c>
      <c r="C1257" s="4">
        <f t="shared" ref="C1257:C1258" si="40">IFERROR(IF(B1257="","-",LN(B1257/B1256)),"-")</f>
        <v>2.9376850226750992E-2</v>
      </c>
      <c r="D1257" s="1">
        <f>IFERROR(Comp1[[#This Row],[Comparable '#1 Return]]+1,"-")</f>
        <v>1.0293768502267511</v>
      </c>
      <c r="E1257" s="6">
        <f>B1257-MAX($B$2:B1257)</f>
        <v>-9.5300000000000011</v>
      </c>
      <c r="F1257" s="80">
        <f t="shared" ref="F1257:F1258" si="41">IF(E1257=0,0,F1256+1)</f>
        <v>860</v>
      </c>
      <c r="G1257" s="22" cm="1">
        <f t="array" ref="G1257">Comp1[[#This Row],[Comparable '#1 Drawdown]]/MAX($B$2:B1257)</f>
        <v>-0.44079555966697503</v>
      </c>
      <c r="H1257" s="1" t="str">
        <f>IF(SUM(COUNTIF(Benchmark1[Benchmark '#1 Dates],Comp1[[#This Row],[Comparable '#1 Dates]]),COUNTIF(Benchmark2[Benchmark '#2 Dates],Comp1[[#This Row],[Comparable '#1 Dates]]))=2,"Pass","Fail")</f>
        <v>Pass</v>
      </c>
      <c r="I1257" s="1">
        <f>IFERROR(Comp1[[#This Row],[Comparable '#1 Return]]-INDEX(Benchmark1[Benchmark '#1 Return],MATCH(Comp1[[#This Row],[Comparable '#1 Dates]],Benchmark1[Benchmark '#1 Dates],0)),"-")</f>
        <v>1.718296974442772E-2</v>
      </c>
    </row>
    <row r="1258" spans="1:12">
      <c r="A1258" s="103">
        <v>45110</v>
      </c>
      <c r="B1258" s="104">
        <v>12.05</v>
      </c>
      <c r="C1258" s="4">
        <f t="shared" si="40"/>
        <v>-3.3140046900372233E-3</v>
      </c>
      <c r="D1258" s="1">
        <f>IFERROR(Comp1[[#This Row],[Comparable '#1 Return]]+1,"-")</f>
        <v>0.99668599530996282</v>
      </c>
      <c r="E1258" s="6">
        <f>B1258-MAX($B$2:B1259)</f>
        <v>-9.57</v>
      </c>
      <c r="F1258" s="80">
        <f t="shared" si="41"/>
        <v>861</v>
      </c>
      <c r="G1258" s="22" cm="1">
        <f t="array" ref="G1258">Comp1[[#This Row],[Comparable '#1 Drawdown]]/MAX($B$2:B1259)</f>
        <v>-0.44264569842738205</v>
      </c>
      <c r="H1258" s="1" t="str">
        <f>IF(SUM(COUNTIF(Benchmark1[Benchmark '#1 Dates],Comp1[[#This Row],[Comparable '#1 Dates]]),COUNTIF(Benchmark2[Benchmark '#2 Dates],Comp1[[#This Row],[Comparable '#1 Dates]]))=2,"Pass","Fail")</f>
        <v>Pass</v>
      </c>
      <c r="I1258" s="1">
        <f>IFERROR(Comp1[[#This Row],[Comparable '#1 Return]]-INDEX(Benchmark1[Benchmark '#1 Return],MATCH(Comp1[[#This Row],[Comparable '#1 Dates]],Benchmark1[Benchmark '#1 Dates],0)),"-")</f>
        <v>-4.484581576561745E-3</v>
      </c>
    </row>
    <row r="1259" spans="1:12">
      <c r="A1259" s="103">
        <v>45112</v>
      </c>
      <c r="B1259" s="104">
        <v>12.21</v>
      </c>
      <c r="C1259" s="4">
        <f>IFERROR(IF(B1259="","-",LN(B1259/B1258)),"-")</f>
        <v>1.3190628185949264E-2</v>
      </c>
      <c r="D1259" s="1">
        <f>IFERROR(Comp1[[#This Row],[Comparable '#1 Return]]+1,"-")</f>
        <v>1.0131906281859493</v>
      </c>
      <c r="E1259" s="6">
        <f>B1259-MAX($B$2:B1259)</f>
        <v>-9.41</v>
      </c>
      <c r="F1259" s="80">
        <f>IF(E1259=0,0,F1258+1)</f>
        <v>862</v>
      </c>
      <c r="G1259" s="22" cm="1">
        <f t="array" ref="G1259">Comp1[[#This Row],[Comparable '#1 Drawdown]]/MAX($B$2:B1259)</f>
        <v>-0.43524514338575393</v>
      </c>
      <c r="H1259" s="1" t="str">
        <f>IF(SUM(COUNTIF(Benchmark1[Benchmark '#1 Dates],Comp1[[#This Row],[Comparable '#1 Dates]]),COUNTIF(Benchmark2[Benchmark '#2 Dates],Comp1[[#This Row],[Comparable '#1 Dates]]))=2,"Pass","Fail")</f>
        <v>Pass</v>
      </c>
      <c r="I1259" s="1">
        <f>IFERROR(Comp1[[#This Row],[Comparable '#1 Return]]-INDEX(Benchmark1[Benchmark '#1 Return],MATCH(Comp1[[#This Row],[Comparable '#1 Dates]],Benchmark1[Benchmark '#1 Dates],0)),"-")</f>
        <v>1.5160677941115057E-2</v>
      </c>
    </row>
  </sheetData>
  <phoneticPr fontId="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A3F7B-B718-4B45-9DFD-2A5905E775C5}">
  <sheetPr codeName="Sheet8">
    <tabColor theme="1"/>
  </sheetPr>
  <dimension ref="A1:L1258"/>
  <sheetViews>
    <sheetView zoomScale="85" zoomScaleNormal="85" workbookViewId="0">
      <pane ySplit="1" topLeftCell="A2" activePane="bottomLeft" state="frozen"/>
      <selection pane="bottomLeft" activeCell="B1259" sqref="B1259"/>
    </sheetView>
  </sheetViews>
  <sheetFormatPr defaultColWidth="8.85546875" defaultRowHeight="15"/>
  <cols>
    <col min="1" max="1" width="15.140625" bestFit="1" customWidth="1"/>
    <col min="2" max="2" width="14.42578125" bestFit="1" customWidth="1"/>
    <col min="3" max="3" width="15.42578125" bestFit="1" customWidth="1"/>
    <col min="4" max="4" width="18.42578125" bestFit="1" customWidth="1"/>
    <col min="5" max="5" width="17.7109375" bestFit="1" customWidth="1"/>
    <col min="6" max="6" width="17.7109375" style="82" customWidth="1"/>
    <col min="7" max="7" width="24" style="75" bestFit="1" customWidth="1"/>
    <col min="8" max="8" width="18" bestFit="1" customWidth="1"/>
    <col min="9" max="9" width="32" bestFit="1" customWidth="1"/>
  </cols>
  <sheetData>
    <row r="1" spans="1:12" s="2" customFormat="1" ht="36" customHeight="1" thickBot="1">
      <c r="A1" s="3" t="s">
        <v>94</v>
      </c>
      <c r="B1" s="3" t="s">
        <v>78</v>
      </c>
      <c r="C1" s="8" t="s">
        <v>79</v>
      </c>
      <c r="D1" s="8" t="s">
        <v>95</v>
      </c>
      <c r="E1" s="8" t="s">
        <v>96</v>
      </c>
      <c r="F1" s="81" t="s">
        <v>97</v>
      </c>
      <c r="G1" s="76" t="s">
        <v>98</v>
      </c>
      <c r="H1" s="7" t="s">
        <v>77</v>
      </c>
      <c r="I1" s="7" t="s">
        <v>80</v>
      </c>
      <c r="L1" s="73" t="s">
        <v>99</v>
      </c>
    </row>
    <row r="2" spans="1:12">
      <c r="A2" s="96">
        <v>43286</v>
      </c>
      <c r="B2" s="101">
        <v>49.7</v>
      </c>
      <c r="C2" s="4" t="str">
        <f t="shared" ref="C2:C65" si="0">IFERROR(IF(B2="","-",LN(B2/B1)),"-")</f>
        <v>-</v>
      </c>
      <c r="D2" s="4" t="str">
        <f>IFERROR(Comp2[[#This Row],[Comparable '#2 Return]]+1,"-")</f>
        <v>-</v>
      </c>
      <c r="E2" s="6">
        <f>B2-MAX($B$2:B2)</f>
        <v>0</v>
      </c>
      <c r="F2" s="80">
        <f t="shared" ref="F2:F65" si="1">IF(E2=0,0,F1+1)</f>
        <v>0</v>
      </c>
      <c r="G2" s="77">
        <f>Comp2[[#This Row],[Comparable '#2 Drawdown]]/MAX($B$2:B2)</f>
        <v>0</v>
      </c>
      <c r="H2" s="1" t="str">
        <f>IF(SUM(COUNTIF(Benchmark1[Benchmark '#1 Dates],Comp2[[#This Row],[Comparable '#2 Dates]]),COUNTIF(Benchmark2[Benchmark '#2 Dates],Comp2[[#This Row],[Comparable '#2 Dates]]))=2,"Pass","Fail")</f>
        <v>Pass</v>
      </c>
      <c r="I2" s="1" t="str">
        <f>IFERROR(Comp2[[#This Row],[Comparable '#2 Return]]-INDEX(Benchmark1[Benchmark '#1 Return],MATCH(Comp2[[#This Row],[Comparable '#2 Dates]],Benchmark1[Benchmark '#1 Dates],0)),"-")</f>
        <v>-</v>
      </c>
      <c r="L2" s="72">
        <f>Comp2[[#This Row],[Comparable '#2 Price]]/$B$2*100</f>
        <v>100</v>
      </c>
    </row>
    <row r="3" spans="1:12">
      <c r="A3" s="96">
        <v>43287</v>
      </c>
      <c r="B3" s="101">
        <v>50.65</v>
      </c>
      <c r="C3" s="4">
        <f t="shared" si="0"/>
        <v>1.8934297592109194E-2</v>
      </c>
      <c r="D3" s="1">
        <f>IFERROR(Comp2[[#This Row],[Comparable '#2 Return]]+1,"-")</f>
        <v>1.0189342975921092</v>
      </c>
      <c r="E3" s="6">
        <f>B3-MAX($B$2:B3)</f>
        <v>0</v>
      </c>
      <c r="F3" s="80">
        <f t="shared" si="1"/>
        <v>0</v>
      </c>
      <c r="G3" s="77">
        <f>Comp2[[#This Row],[Comparable '#2 Drawdown]]/MAX($B$2:B3)</f>
        <v>0</v>
      </c>
      <c r="H3" s="1" t="str">
        <f>IF(SUM(COUNTIF(Benchmark1[Benchmark '#1 Dates],Comp2[[#This Row],[Comparable '#2 Dates]]),COUNTIF(Benchmark2[Benchmark '#2 Dates],Comp2[[#This Row],[Comparable '#2 Dates]]))=2,"Pass","Fail")</f>
        <v>Pass</v>
      </c>
      <c r="I3" s="1">
        <f>IFERROR(Comp2[[#This Row],[Comparable '#2 Return]]-INDEX(Benchmark1[Benchmark '#1 Return],MATCH(Comp2[[#This Row],[Comparable '#2 Dates]],Benchmark1[Benchmark '#1 Dates],0)),"-")</f>
        <v>1.0489010889226248E-2</v>
      </c>
      <c r="L3" s="72">
        <f>Comp2[[#This Row],[Comparable '#2 Price]]/$B$2*100</f>
        <v>101.91146881287725</v>
      </c>
    </row>
    <row r="4" spans="1:12">
      <c r="A4" s="96">
        <v>43290</v>
      </c>
      <c r="B4" s="101">
        <v>51.5</v>
      </c>
      <c r="C4" s="4">
        <f t="shared" si="0"/>
        <v>1.6642576974998092E-2</v>
      </c>
      <c r="D4" s="1">
        <f>IFERROR(Comp2[[#This Row],[Comparable '#2 Return]]+1,"-")</f>
        <v>1.016642576974998</v>
      </c>
      <c r="E4" s="6">
        <f>B4-MAX($B$2:B4)</f>
        <v>0</v>
      </c>
      <c r="F4" s="80">
        <f t="shared" si="1"/>
        <v>0</v>
      </c>
      <c r="G4" s="77">
        <f>Comp2[[#This Row],[Comparable '#2 Drawdown]]/MAX($B$2:B4)</f>
        <v>0</v>
      </c>
      <c r="H4" s="1" t="str">
        <f>IF(SUM(COUNTIF(Benchmark1[Benchmark '#1 Dates],Comp2[[#This Row],[Comparable '#2 Dates]]),COUNTIF(Benchmark2[Benchmark '#2 Dates],Comp2[[#This Row],[Comparable '#2 Dates]]))=2,"Pass","Fail")</f>
        <v>Pass</v>
      </c>
      <c r="I4" s="1">
        <f>IFERROR(Comp2[[#This Row],[Comparable '#2 Return]]-INDEX(Benchmark1[Benchmark '#1 Return],MATCH(Comp2[[#This Row],[Comparable '#2 Dates]],Benchmark1[Benchmark '#1 Dates],0)),"-")</f>
        <v>7.8577636911656909E-3</v>
      </c>
      <c r="L4" s="72">
        <f>Comp2[[#This Row],[Comparable '#2 Price]]/$B$2*100</f>
        <v>103.62173038229376</v>
      </c>
    </row>
    <row r="5" spans="1:12">
      <c r="A5" s="96">
        <v>43291</v>
      </c>
      <c r="B5" s="101">
        <v>51.9</v>
      </c>
      <c r="C5" s="4">
        <f t="shared" si="0"/>
        <v>7.7369825021524011E-3</v>
      </c>
      <c r="D5" s="1">
        <f>IFERROR(Comp2[[#This Row],[Comparable '#2 Return]]+1,"-")</f>
        <v>1.0077369825021525</v>
      </c>
      <c r="E5" s="6">
        <f>B5-MAX($B$2:B5)</f>
        <v>0</v>
      </c>
      <c r="F5" s="80">
        <f t="shared" si="1"/>
        <v>0</v>
      </c>
      <c r="G5" s="77">
        <f>Comp2[[#This Row],[Comparable '#2 Drawdown]]/MAX($B$2:B5)</f>
        <v>0</v>
      </c>
      <c r="H5" s="1" t="str">
        <f>IF(SUM(COUNTIF(Benchmark1[Benchmark '#1 Dates],Comp2[[#This Row],[Comparable '#2 Dates]]),COUNTIF(Benchmark2[Benchmark '#2 Dates],Comp2[[#This Row],[Comparable '#2 Dates]]))=2,"Pass","Fail")</f>
        <v>Pass</v>
      </c>
      <c r="I5" s="1">
        <f>IFERROR(Comp2[[#This Row],[Comparable '#2 Return]]-INDEX(Benchmark1[Benchmark '#1 Return],MATCH(Comp2[[#This Row],[Comparable '#2 Dates]],Benchmark1[Benchmark '#1 Dates],0)),"-")</f>
        <v>4.2712603792697083E-3</v>
      </c>
      <c r="L5" s="72">
        <f>Comp2[[#This Row],[Comparable '#2 Price]]/$B$2*100</f>
        <v>104.42655935613681</v>
      </c>
    </row>
    <row r="6" spans="1:12">
      <c r="A6" s="96">
        <v>43292</v>
      </c>
      <c r="B6" s="101">
        <v>52.5</v>
      </c>
      <c r="C6" s="4">
        <f t="shared" si="0"/>
        <v>1.1494379425735212E-2</v>
      </c>
      <c r="D6" s="1">
        <f>IFERROR(Comp2[[#This Row],[Comparable '#2 Return]]+1,"-")</f>
        <v>1.0114943794257352</v>
      </c>
      <c r="E6" s="6">
        <f>B6-MAX($B$2:B6)</f>
        <v>0</v>
      </c>
      <c r="F6" s="80">
        <f t="shared" si="1"/>
        <v>0</v>
      </c>
      <c r="G6" s="77">
        <f>Comp2[[#This Row],[Comparable '#2 Drawdown]]/MAX($B$2:B6)</f>
        <v>0</v>
      </c>
      <c r="H6" s="1" t="str">
        <f>IF(SUM(COUNTIF(Benchmark1[Benchmark '#1 Dates],Comp2[[#This Row],[Comparable '#2 Dates]]),COUNTIF(Benchmark2[Benchmark '#2 Dates],Comp2[[#This Row],[Comparable '#2 Dates]]))=2,"Pass","Fail")</f>
        <v>Pass</v>
      </c>
      <c r="I6" s="1">
        <f>IFERROR(Comp2[[#This Row],[Comparable '#2 Return]]-INDEX(Benchmark1[Benchmark '#1 Return],MATCH(Comp2[[#This Row],[Comparable '#2 Dates]],Benchmark1[Benchmark '#1 Dates],0)),"-")</f>
        <v>1.8614446569538996E-2</v>
      </c>
      <c r="L6" s="72">
        <f>Comp2[[#This Row],[Comparable '#2 Price]]/$B$2*100</f>
        <v>105.63380281690141</v>
      </c>
    </row>
    <row r="7" spans="1:12">
      <c r="A7" s="96">
        <v>43293</v>
      </c>
      <c r="B7" s="101">
        <v>52.65</v>
      </c>
      <c r="C7" s="4">
        <f t="shared" si="0"/>
        <v>2.8530689824064807E-3</v>
      </c>
      <c r="D7" s="1">
        <f>IFERROR(Comp2[[#This Row],[Comparable '#2 Return]]+1,"-")</f>
        <v>1.0028530689824064</v>
      </c>
      <c r="E7" s="6">
        <f>B7-MAX($B$2:B7)</f>
        <v>0</v>
      </c>
      <c r="F7" s="80">
        <f t="shared" si="1"/>
        <v>0</v>
      </c>
      <c r="G7" s="77">
        <f>Comp2[[#This Row],[Comparable '#2 Drawdown]]/MAX($B$2:B7)</f>
        <v>0</v>
      </c>
      <c r="H7" s="1" t="str">
        <f>IF(SUM(COUNTIF(Benchmark1[Benchmark '#1 Dates],Comp2[[#This Row],[Comparable '#2 Dates]]),COUNTIF(Benchmark2[Benchmark '#2 Dates],Comp2[[#This Row],[Comparable '#2 Dates]]))=2,"Pass","Fail")</f>
        <v>Pass</v>
      </c>
      <c r="I7" s="1">
        <f>IFERROR(Comp2[[#This Row],[Comparable '#2 Return]]-INDEX(Benchmark1[Benchmark '#1 Return],MATCH(Comp2[[#This Row],[Comparable '#2 Dates]],Benchmark1[Benchmark '#1 Dates],0)),"-")</f>
        <v>-5.8577248727921874E-3</v>
      </c>
      <c r="L7" s="72">
        <f>Comp2[[#This Row],[Comparable '#2 Price]]/$B$2*100</f>
        <v>105.93561368209254</v>
      </c>
    </row>
    <row r="8" spans="1:12">
      <c r="A8" s="96">
        <v>43294</v>
      </c>
      <c r="B8" s="101">
        <v>52.25</v>
      </c>
      <c r="C8" s="4">
        <f t="shared" si="0"/>
        <v>-7.6263477350640707E-3</v>
      </c>
      <c r="D8" s="1">
        <f>IFERROR(Comp2[[#This Row],[Comparable '#2 Return]]+1,"-")</f>
        <v>0.9923736522649359</v>
      </c>
      <c r="E8" s="6">
        <f>B8-MAX($B$2:B8)</f>
        <v>-0.39999999999999858</v>
      </c>
      <c r="F8" s="80">
        <f t="shared" si="1"/>
        <v>1</v>
      </c>
      <c r="G8" s="77">
        <f>Comp2[[#This Row],[Comparable '#2 Drawdown]]/MAX($B$2:B8)</f>
        <v>-7.5973409306742375E-3</v>
      </c>
      <c r="H8" s="1" t="str">
        <f>IF(SUM(COUNTIF(Benchmark1[Benchmark '#1 Dates],Comp2[[#This Row],[Comparable '#2 Dates]]),COUNTIF(Benchmark2[Benchmark '#2 Dates],Comp2[[#This Row],[Comparable '#2 Dates]]))=2,"Pass","Fail")</f>
        <v>Pass</v>
      </c>
      <c r="I8" s="1">
        <f>IFERROR(Comp2[[#This Row],[Comparable '#2 Return]]-INDEX(Benchmark1[Benchmark '#1 Return],MATCH(Comp2[[#This Row],[Comparable '#2 Dates]],Benchmark1[Benchmark '#1 Dates],0)),"-")</f>
        <v>-8.7065861413020244E-3</v>
      </c>
      <c r="L8" s="72">
        <f>Comp2[[#This Row],[Comparable '#2 Price]]/$B$2*100</f>
        <v>105.13078470824948</v>
      </c>
    </row>
    <row r="9" spans="1:12">
      <c r="A9" s="96">
        <v>43297</v>
      </c>
      <c r="B9" s="101">
        <v>52.1</v>
      </c>
      <c r="C9" s="4">
        <f t="shared" si="0"/>
        <v>-2.8749420855990995E-3</v>
      </c>
      <c r="D9" s="1">
        <f>IFERROR(Comp2[[#This Row],[Comparable '#2 Return]]+1,"-")</f>
        <v>0.99712505791440087</v>
      </c>
      <c r="E9" s="6">
        <f>B9-MAX($B$2:B9)</f>
        <v>-0.54999999999999716</v>
      </c>
      <c r="F9" s="80">
        <f t="shared" si="1"/>
        <v>2</v>
      </c>
      <c r="G9" s="77">
        <f>Comp2[[#This Row],[Comparable '#2 Drawdown]]/MAX($B$2:B9)</f>
        <v>-1.0446343779677059E-2</v>
      </c>
      <c r="H9" s="1" t="str">
        <f>IF(SUM(COUNTIF(Benchmark1[Benchmark '#1 Dates],Comp2[[#This Row],[Comparable '#2 Dates]]),COUNTIF(Benchmark2[Benchmark '#2 Dates],Comp2[[#This Row],[Comparable '#2 Dates]]))=2,"Pass","Fail")</f>
        <v>Pass</v>
      </c>
      <c r="I9" s="1">
        <f>IFERROR(Comp2[[#This Row],[Comparable '#2 Return]]-INDEX(Benchmark1[Benchmark '#1 Return],MATCH(Comp2[[#This Row],[Comparable '#2 Dates]],Benchmark1[Benchmark '#1 Dates],0)),"-")</f>
        <v>-1.8474780574088061E-3</v>
      </c>
      <c r="L9" s="72">
        <f>Comp2[[#This Row],[Comparable '#2 Price]]/$B$2*100</f>
        <v>104.82897384305834</v>
      </c>
    </row>
    <row r="10" spans="1:12">
      <c r="A10" s="96">
        <v>43298</v>
      </c>
      <c r="B10" s="101">
        <v>52.7</v>
      </c>
      <c r="C10" s="4">
        <f t="shared" si="0"/>
        <v>1.1450506787995505E-2</v>
      </c>
      <c r="D10" s="1">
        <f>IFERROR(Comp2[[#This Row],[Comparable '#2 Return]]+1,"-")</f>
        <v>1.0114505067879955</v>
      </c>
      <c r="E10" s="6">
        <f>B10-MAX($B$2:B10)</f>
        <v>0</v>
      </c>
      <c r="F10" s="80">
        <f t="shared" si="1"/>
        <v>0</v>
      </c>
      <c r="G10" s="77">
        <f>Comp2[[#This Row],[Comparable '#2 Drawdown]]/MAX($B$2:B10)</f>
        <v>0</v>
      </c>
      <c r="H10" s="1" t="str">
        <f>IF(SUM(COUNTIF(Benchmark1[Benchmark '#1 Dates],Comp2[[#This Row],[Comparable '#2 Dates]]),COUNTIF(Benchmark2[Benchmark '#2 Dates],Comp2[[#This Row],[Comparable '#2 Dates]]))=2,"Pass","Fail")</f>
        <v>Pass</v>
      </c>
      <c r="I10" s="1">
        <f>IFERROR(Comp2[[#This Row],[Comparable '#2 Return]]-INDEX(Benchmark1[Benchmark '#1 Return],MATCH(Comp2[[#This Row],[Comparable '#2 Dates]],Benchmark1[Benchmark '#1 Dates],0)),"-")</f>
        <v>7.4857920654525685E-3</v>
      </c>
      <c r="L10" s="72">
        <f>Comp2[[#This Row],[Comparable '#2 Price]]/$B$2*100</f>
        <v>106.03621730382294</v>
      </c>
    </row>
    <row r="11" spans="1:12">
      <c r="A11" s="96">
        <v>43299</v>
      </c>
      <c r="B11" s="101">
        <v>53.2</v>
      </c>
      <c r="C11" s="4">
        <f t="shared" si="0"/>
        <v>9.4429408002820875E-3</v>
      </c>
      <c r="D11" s="1">
        <f>IFERROR(Comp2[[#This Row],[Comparable '#2 Return]]+1,"-")</f>
        <v>1.0094429408002821</v>
      </c>
      <c r="E11" s="6">
        <f>B11-MAX($B$2:B11)</f>
        <v>0</v>
      </c>
      <c r="F11" s="80">
        <f t="shared" si="1"/>
        <v>0</v>
      </c>
      <c r="G11" s="77">
        <f>Comp2[[#This Row],[Comparable '#2 Drawdown]]/MAX($B$2:B11)</f>
        <v>0</v>
      </c>
      <c r="H11" s="1" t="str">
        <f>IF(SUM(COUNTIF(Benchmark1[Benchmark '#1 Dates],Comp2[[#This Row],[Comparable '#2 Dates]]),COUNTIF(Benchmark2[Benchmark '#2 Dates],Comp2[[#This Row],[Comparable '#2 Dates]]))=2,"Pass","Fail")</f>
        <v>Pass</v>
      </c>
      <c r="I11" s="1">
        <f>IFERROR(Comp2[[#This Row],[Comparable '#2 Return]]-INDEX(Benchmark1[Benchmark '#1 Return],MATCH(Comp2[[#This Row],[Comparable '#2 Dates]],Benchmark1[Benchmark '#1 Dates],0)),"-")</f>
        <v>7.285437000254075E-3</v>
      </c>
      <c r="L11" s="72">
        <f>Comp2[[#This Row],[Comparable '#2 Price]]/$B$2*100</f>
        <v>107.04225352112675</v>
      </c>
    </row>
    <row r="12" spans="1:12">
      <c r="A12" s="96">
        <v>43300</v>
      </c>
      <c r="B12" s="101">
        <v>52.7</v>
      </c>
      <c r="C12" s="4">
        <f t="shared" si="0"/>
        <v>-9.4429408002820719E-3</v>
      </c>
      <c r="D12" s="1">
        <f>IFERROR(Comp2[[#This Row],[Comparable '#2 Return]]+1,"-")</f>
        <v>0.99055705919971793</v>
      </c>
      <c r="E12" s="6">
        <f>B12-MAX($B$2:B12)</f>
        <v>-0.5</v>
      </c>
      <c r="F12" s="80">
        <f t="shared" si="1"/>
        <v>1</v>
      </c>
      <c r="G12" s="77">
        <f>Comp2[[#This Row],[Comparable '#2 Drawdown]]/MAX($B$2:B12)</f>
        <v>-9.3984962406015032E-3</v>
      </c>
      <c r="H12" s="1" t="str">
        <f>IF(SUM(COUNTIF(Benchmark1[Benchmark '#1 Dates],Comp2[[#This Row],[Comparable '#2 Dates]]),COUNTIF(Benchmark2[Benchmark '#2 Dates],Comp2[[#This Row],[Comparable '#2 Dates]]))=2,"Pass","Fail")</f>
        <v>Pass</v>
      </c>
      <c r="I12" s="1">
        <f>IFERROR(Comp2[[#This Row],[Comparable '#2 Return]]-INDEX(Benchmark1[Benchmark '#1 Return],MATCH(Comp2[[#This Row],[Comparable '#2 Dates]],Benchmark1[Benchmark '#1 Dates],0)),"-")</f>
        <v>-5.4834529653079037E-3</v>
      </c>
      <c r="L12" s="72">
        <f>Comp2[[#This Row],[Comparable '#2 Price]]/$B$2*100</f>
        <v>106.03621730382294</v>
      </c>
    </row>
    <row r="13" spans="1:12">
      <c r="A13" s="96">
        <v>43301</v>
      </c>
      <c r="B13" s="101">
        <v>52.85</v>
      </c>
      <c r="C13" s="4">
        <f t="shared" si="0"/>
        <v>2.8422567689300737E-3</v>
      </c>
      <c r="D13" s="1">
        <f>IFERROR(Comp2[[#This Row],[Comparable '#2 Return]]+1,"-")</f>
        <v>1.0028422567689301</v>
      </c>
      <c r="E13" s="6">
        <f>B13-MAX($B$2:B13)</f>
        <v>-0.35000000000000142</v>
      </c>
      <c r="F13" s="80">
        <f t="shared" si="1"/>
        <v>2</v>
      </c>
      <c r="G13" s="77">
        <f>Comp2[[#This Row],[Comparable '#2 Drawdown]]/MAX($B$2:B13)</f>
        <v>-6.5789473684210792E-3</v>
      </c>
      <c r="H13" s="1" t="str">
        <f>IF(SUM(COUNTIF(Benchmark1[Benchmark '#1 Dates],Comp2[[#This Row],[Comparable '#2 Dates]]),COUNTIF(Benchmark2[Benchmark '#2 Dates],Comp2[[#This Row],[Comparable '#2 Dates]]))=2,"Pass","Fail")</f>
        <v>Pass</v>
      </c>
      <c r="I13" s="1">
        <f>IFERROR(Comp2[[#This Row],[Comparable '#2 Return]]-INDEX(Benchmark1[Benchmark '#1 Return],MATCH(Comp2[[#This Row],[Comparable '#2 Dates]],Benchmark1[Benchmark '#1 Dates],0)),"-")</f>
        <v>3.7930856019690981E-3</v>
      </c>
      <c r="L13" s="72">
        <f>Comp2[[#This Row],[Comparable '#2 Price]]/$B$2*100</f>
        <v>106.33802816901408</v>
      </c>
    </row>
    <row r="14" spans="1:12">
      <c r="A14" s="96">
        <v>43304</v>
      </c>
      <c r="B14" s="101">
        <v>53.55</v>
      </c>
      <c r="C14" s="4">
        <f t="shared" si="0"/>
        <v>1.3158084577510982E-2</v>
      </c>
      <c r="D14" s="1">
        <f>IFERROR(Comp2[[#This Row],[Comparable '#2 Return]]+1,"-")</f>
        <v>1.013158084577511</v>
      </c>
      <c r="E14" s="6">
        <f>B14-MAX($B$2:B14)</f>
        <v>0</v>
      </c>
      <c r="F14" s="80">
        <f t="shared" si="1"/>
        <v>0</v>
      </c>
      <c r="G14" s="77">
        <f>Comp2[[#This Row],[Comparable '#2 Drawdown]]/MAX($B$2:B14)</f>
        <v>0</v>
      </c>
      <c r="H14" s="1" t="str">
        <f>IF(SUM(COUNTIF(Benchmark1[Benchmark '#1 Dates],Comp2[[#This Row],[Comparable '#2 Dates]]),COUNTIF(Benchmark2[Benchmark '#2 Dates],Comp2[[#This Row],[Comparable '#2 Dates]]))=2,"Pass","Fail")</f>
        <v>Pass</v>
      </c>
      <c r="I14" s="1">
        <f>IFERROR(Comp2[[#This Row],[Comparable '#2 Return]]-INDEX(Benchmark1[Benchmark '#1 Return],MATCH(Comp2[[#This Row],[Comparable '#2 Dates]],Benchmark1[Benchmark '#1 Dates],0)),"-")</f>
        <v>1.1319972280014658E-2</v>
      </c>
      <c r="L14" s="72">
        <f>Comp2[[#This Row],[Comparable '#2 Price]]/$B$2*100</f>
        <v>107.74647887323943</v>
      </c>
    </row>
    <row r="15" spans="1:12">
      <c r="A15" s="96">
        <v>43305</v>
      </c>
      <c r="B15" s="101">
        <v>54.15</v>
      </c>
      <c r="C15" s="4">
        <f t="shared" si="0"/>
        <v>1.1142176553241803E-2</v>
      </c>
      <c r="D15" s="1">
        <f>IFERROR(Comp2[[#This Row],[Comparable '#2 Return]]+1,"-")</f>
        <v>1.0111421765532418</v>
      </c>
      <c r="E15" s="6">
        <f>B15-MAX($B$2:B15)</f>
        <v>0</v>
      </c>
      <c r="F15" s="80">
        <f t="shared" si="1"/>
        <v>0</v>
      </c>
      <c r="G15" s="77">
        <f>Comp2[[#This Row],[Comparable '#2 Drawdown]]/MAX($B$2:B15)</f>
        <v>0</v>
      </c>
      <c r="H15" s="1" t="str">
        <f>IF(SUM(COUNTIF(Benchmark1[Benchmark '#1 Dates],Comp2[[#This Row],[Comparable '#2 Dates]]),COUNTIF(Benchmark2[Benchmark '#2 Dates],Comp2[[#This Row],[Comparable '#2 Dates]]))=2,"Pass","Fail")</f>
        <v>Pass</v>
      </c>
      <c r="I15" s="1">
        <f>IFERROR(Comp2[[#This Row],[Comparable '#2 Return]]-INDEX(Benchmark1[Benchmark '#1 Return],MATCH(Comp2[[#This Row],[Comparable '#2 Dates]],Benchmark1[Benchmark '#1 Dates],0)),"-")</f>
        <v>6.3721985032385367E-3</v>
      </c>
      <c r="L15" s="72">
        <f>Comp2[[#This Row],[Comparable '#2 Price]]/$B$2*100</f>
        <v>108.95372233400403</v>
      </c>
    </row>
    <row r="16" spans="1:12">
      <c r="A16" s="96">
        <v>43306</v>
      </c>
      <c r="B16" s="101">
        <v>54.7</v>
      </c>
      <c r="C16" s="4">
        <f t="shared" si="0"/>
        <v>1.0105735980936028E-2</v>
      </c>
      <c r="D16" s="1">
        <f>IFERROR(Comp2[[#This Row],[Comparable '#2 Return]]+1,"-")</f>
        <v>1.010105735980936</v>
      </c>
      <c r="E16" s="6">
        <f>B16-MAX($B$2:B16)</f>
        <v>0</v>
      </c>
      <c r="F16" s="80">
        <f t="shared" si="1"/>
        <v>0</v>
      </c>
      <c r="G16" s="77">
        <f>Comp2[[#This Row],[Comparable '#2 Drawdown]]/MAX($B$2:B16)</f>
        <v>0</v>
      </c>
      <c r="H16" s="1" t="str">
        <f>IF(SUM(COUNTIF(Benchmark1[Benchmark '#1 Dates],Comp2[[#This Row],[Comparable '#2 Dates]]),COUNTIF(Benchmark2[Benchmark '#2 Dates],Comp2[[#This Row],[Comparable '#2 Dates]]))=2,"Pass","Fail")</f>
        <v>Pass</v>
      </c>
      <c r="I16" s="1">
        <f>IFERROR(Comp2[[#This Row],[Comparable '#2 Return]]-INDEX(Benchmark1[Benchmark '#1 Return],MATCH(Comp2[[#This Row],[Comparable '#2 Dates]],Benchmark1[Benchmark '#1 Dates],0)),"-")</f>
        <v>1.0478626346258572E-3</v>
      </c>
      <c r="L16" s="72">
        <f>Comp2[[#This Row],[Comparable '#2 Price]]/$B$2*100</f>
        <v>110.06036217303823</v>
      </c>
    </row>
    <row r="17" spans="1:12">
      <c r="A17" s="96">
        <v>43307</v>
      </c>
      <c r="B17" s="101">
        <v>55.05</v>
      </c>
      <c r="C17" s="4">
        <f t="shared" si="0"/>
        <v>6.3781537407533928E-3</v>
      </c>
      <c r="D17" s="1">
        <f>IFERROR(Comp2[[#This Row],[Comparable '#2 Return]]+1,"-")</f>
        <v>1.0063781537407535</v>
      </c>
      <c r="E17" s="6">
        <f>B17-MAX($B$2:B17)</f>
        <v>0</v>
      </c>
      <c r="F17" s="80">
        <f t="shared" si="1"/>
        <v>0</v>
      </c>
      <c r="G17" s="77">
        <f>Comp2[[#This Row],[Comparable '#2 Drawdown]]/MAX($B$2:B17)</f>
        <v>0</v>
      </c>
      <c r="H17" s="1" t="str">
        <f>IF(SUM(COUNTIF(Benchmark1[Benchmark '#1 Dates],Comp2[[#This Row],[Comparable '#2 Dates]]),COUNTIF(Benchmark2[Benchmark '#2 Dates],Comp2[[#This Row],[Comparable '#2 Dates]]))=2,"Pass","Fail")</f>
        <v>Pass</v>
      </c>
      <c r="I17" s="1">
        <f>IFERROR(Comp2[[#This Row],[Comparable '#2 Return]]-INDEX(Benchmark1[Benchmark '#1 Return],MATCH(Comp2[[#This Row],[Comparable '#2 Dates]],Benchmark1[Benchmark '#1 Dates],0)),"-")</f>
        <v>9.4139780343875795E-3</v>
      </c>
      <c r="L17" s="72">
        <f>Comp2[[#This Row],[Comparable '#2 Price]]/$B$2*100</f>
        <v>110.7645875251509</v>
      </c>
    </row>
    <row r="18" spans="1:12">
      <c r="A18" s="96">
        <v>43308</v>
      </c>
      <c r="B18" s="101">
        <v>54.8</v>
      </c>
      <c r="C18" s="4">
        <f t="shared" si="0"/>
        <v>-4.5516692147190754E-3</v>
      </c>
      <c r="D18" s="1">
        <f>IFERROR(Comp2[[#This Row],[Comparable '#2 Return]]+1,"-")</f>
        <v>0.99544833078528094</v>
      </c>
      <c r="E18" s="6">
        <f>B18-MAX($B$2:B18)</f>
        <v>-0.25</v>
      </c>
      <c r="F18" s="80">
        <f t="shared" si="1"/>
        <v>1</v>
      </c>
      <c r="G18" s="77">
        <f>Comp2[[#This Row],[Comparable '#2 Drawdown]]/MAX($B$2:B18)</f>
        <v>-4.5413260672116261E-3</v>
      </c>
      <c r="H18" s="1" t="str">
        <f>IF(SUM(COUNTIF(Benchmark1[Benchmark '#1 Dates],Comp2[[#This Row],[Comparable '#2 Dates]]),COUNTIF(Benchmark2[Benchmark '#2 Dates],Comp2[[#This Row],[Comparable '#2 Dates]]))=2,"Pass","Fail")</f>
        <v>Pass</v>
      </c>
      <c r="I18" s="1">
        <f>IFERROR(Comp2[[#This Row],[Comparable '#2 Return]]-INDEX(Benchmark1[Benchmark '#1 Return],MATCH(Comp2[[#This Row],[Comparable '#2 Dates]],Benchmark1[Benchmark '#1 Dates],0)),"-")</f>
        <v>2.0330473600469919E-3</v>
      </c>
      <c r="L18" s="72">
        <f>Comp2[[#This Row],[Comparable '#2 Price]]/$B$2*100</f>
        <v>110.26156941649899</v>
      </c>
    </row>
    <row r="19" spans="1:12">
      <c r="A19" s="96">
        <v>43311</v>
      </c>
      <c r="B19" s="101">
        <v>54.75</v>
      </c>
      <c r="C19" s="4">
        <f t="shared" si="0"/>
        <v>-9.1282525735957791E-4</v>
      </c>
      <c r="D19" s="1">
        <f>IFERROR(Comp2[[#This Row],[Comparable '#2 Return]]+1,"-")</f>
        <v>0.99908717474264042</v>
      </c>
      <c r="E19" s="6">
        <f>B19-MAX($B$2:B19)</f>
        <v>-0.29999999999999716</v>
      </c>
      <c r="F19" s="80">
        <f t="shared" si="1"/>
        <v>2</v>
      </c>
      <c r="G19" s="77">
        <f>Comp2[[#This Row],[Comparable '#2 Drawdown]]/MAX($B$2:B19)</f>
        <v>-5.4495912806538996E-3</v>
      </c>
      <c r="H19" s="1" t="str">
        <f>IF(SUM(COUNTIF(Benchmark1[Benchmark '#1 Dates],Comp2[[#This Row],[Comparable '#2 Dates]]),COUNTIF(Benchmark2[Benchmark '#2 Dates],Comp2[[#This Row],[Comparable '#2 Dates]]))=2,"Pass","Fail")</f>
        <v>Pass</v>
      </c>
      <c r="I19" s="1">
        <f>IFERROR(Comp2[[#This Row],[Comparable '#2 Return]]-INDEX(Benchmark1[Benchmark '#1 Return],MATCH(Comp2[[#This Row],[Comparable '#2 Dates]],Benchmark1[Benchmark '#1 Dates],0)),"-")</f>
        <v>4.8566166670347246E-3</v>
      </c>
      <c r="L19" s="72">
        <f>Comp2[[#This Row],[Comparable '#2 Price]]/$B$2*100</f>
        <v>110.1609657947686</v>
      </c>
    </row>
    <row r="20" spans="1:12">
      <c r="A20" s="96">
        <v>43312</v>
      </c>
      <c r="B20" s="101">
        <v>54.55</v>
      </c>
      <c r="C20" s="4">
        <f t="shared" si="0"/>
        <v>-3.6596564175303986E-3</v>
      </c>
      <c r="D20" s="1">
        <f>IFERROR(Comp2[[#This Row],[Comparable '#2 Return]]+1,"-")</f>
        <v>0.99634034358246959</v>
      </c>
      <c r="E20" s="6">
        <f>B20-MAX($B$2:B20)</f>
        <v>-0.5</v>
      </c>
      <c r="F20" s="80">
        <f t="shared" si="1"/>
        <v>3</v>
      </c>
      <c r="G20" s="77">
        <f>Comp2[[#This Row],[Comparable '#2 Drawdown]]/MAX($B$2:B20)</f>
        <v>-9.0826521344232521E-3</v>
      </c>
      <c r="H20" s="1" t="str">
        <f>IF(SUM(COUNTIF(Benchmark1[Benchmark '#1 Dates],Comp2[[#This Row],[Comparable '#2 Dates]]),COUNTIF(Benchmark2[Benchmark '#2 Dates],Comp2[[#This Row],[Comparable '#2 Dates]]))=2,"Pass","Fail")</f>
        <v>Pass</v>
      </c>
      <c r="I20" s="1">
        <f>IFERROR(Comp2[[#This Row],[Comparable '#2 Return]]-INDEX(Benchmark1[Benchmark '#1 Return],MATCH(Comp2[[#This Row],[Comparable '#2 Dates]],Benchmark1[Benchmark '#1 Dates],0)),"-")</f>
        <v>-8.5315126499023227E-3</v>
      </c>
      <c r="L20" s="72">
        <f>Comp2[[#This Row],[Comparable '#2 Price]]/$B$2*100</f>
        <v>109.75855130784706</v>
      </c>
    </row>
    <row r="21" spans="1:12">
      <c r="A21" s="96">
        <v>43313</v>
      </c>
      <c r="B21" s="101">
        <v>55.55</v>
      </c>
      <c r="C21" s="4">
        <f t="shared" si="0"/>
        <v>1.8165803806559272E-2</v>
      </c>
      <c r="D21" s="1">
        <f>IFERROR(Comp2[[#This Row],[Comparable '#2 Return]]+1,"-")</f>
        <v>1.0181658038065593</v>
      </c>
      <c r="E21" s="6">
        <f>B21-MAX($B$2:B21)</f>
        <v>0</v>
      </c>
      <c r="F21" s="80">
        <f t="shared" si="1"/>
        <v>0</v>
      </c>
      <c r="G21" s="77">
        <f>Comp2[[#This Row],[Comparable '#2 Drawdown]]/MAX($B$2:B21)</f>
        <v>0</v>
      </c>
      <c r="H21" s="1" t="str">
        <f>IF(SUM(COUNTIF(Benchmark1[Benchmark '#1 Dates],Comp2[[#This Row],[Comparable '#2 Dates]]),COUNTIF(Benchmark2[Benchmark '#2 Dates],Comp2[[#This Row],[Comparable '#2 Dates]]))=2,"Pass","Fail")</f>
        <v>Pass</v>
      </c>
      <c r="I21" s="1">
        <f>IFERROR(Comp2[[#This Row],[Comparable '#2 Return]]-INDEX(Benchmark1[Benchmark '#1 Return],MATCH(Comp2[[#This Row],[Comparable '#2 Dates]],Benchmark1[Benchmark '#1 Dates],0)),"-")</f>
        <v>1.9204490247985945E-2</v>
      </c>
      <c r="L21" s="72">
        <f>Comp2[[#This Row],[Comparable '#2 Price]]/$B$2*100</f>
        <v>111.77062374245472</v>
      </c>
    </row>
    <row r="22" spans="1:12">
      <c r="A22" s="96">
        <v>43314</v>
      </c>
      <c r="B22" s="101">
        <v>55.5</v>
      </c>
      <c r="C22" s="4">
        <f t="shared" si="0"/>
        <v>-9.0049533325009513E-4</v>
      </c>
      <c r="D22" s="1">
        <f>IFERROR(Comp2[[#This Row],[Comparable '#2 Return]]+1,"-")</f>
        <v>0.9990995046667499</v>
      </c>
      <c r="E22" s="6">
        <f>B22-MAX($B$2:B22)</f>
        <v>-4.9999999999997158E-2</v>
      </c>
      <c r="F22" s="80">
        <f t="shared" si="1"/>
        <v>1</v>
      </c>
      <c r="G22" s="77">
        <f>Comp2[[#This Row],[Comparable '#2 Drawdown]]/MAX($B$2:B22)</f>
        <v>-9.0009000900084899E-4</v>
      </c>
      <c r="H22" s="1" t="str">
        <f>IF(SUM(COUNTIF(Benchmark1[Benchmark '#1 Dates],Comp2[[#This Row],[Comparable '#2 Dates]]),COUNTIF(Benchmark2[Benchmark '#2 Dates],Comp2[[#This Row],[Comparable '#2 Dates]]))=2,"Pass","Fail")</f>
        <v>Pass</v>
      </c>
      <c r="I22" s="1">
        <f>IFERROR(Comp2[[#This Row],[Comparable '#2 Return]]-INDEX(Benchmark1[Benchmark '#1 Return],MATCH(Comp2[[#This Row],[Comparable '#2 Dates]],Benchmark1[Benchmark '#1 Dates],0)),"-")</f>
        <v>-5.8125325736526137E-3</v>
      </c>
      <c r="L22" s="72">
        <f>Comp2[[#This Row],[Comparable '#2 Price]]/$B$2*100</f>
        <v>111.67002012072433</v>
      </c>
    </row>
    <row r="23" spans="1:12">
      <c r="A23" s="96">
        <v>43315</v>
      </c>
      <c r="B23" s="101">
        <v>55.2</v>
      </c>
      <c r="C23" s="4">
        <f t="shared" si="0"/>
        <v>-5.4200674693391446E-3</v>
      </c>
      <c r="D23" s="1">
        <f>IFERROR(Comp2[[#This Row],[Comparable '#2 Return]]+1,"-")</f>
        <v>0.9945799325306609</v>
      </c>
      <c r="E23" s="6">
        <f>B23-MAX($B$2:B23)</f>
        <v>-0.34999999999999432</v>
      </c>
      <c r="F23" s="80">
        <f t="shared" si="1"/>
        <v>2</v>
      </c>
      <c r="G23" s="77">
        <f>Comp2[[#This Row],[Comparable '#2 Drawdown]]/MAX($B$2:B23)</f>
        <v>-6.300630063006199E-3</v>
      </c>
      <c r="H23" s="1" t="str">
        <f>IF(SUM(COUNTIF(Benchmark1[Benchmark '#1 Dates],Comp2[[#This Row],[Comparable '#2 Dates]]),COUNTIF(Benchmark2[Benchmark '#2 Dates],Comp2[[#This Row],[Comparable '#2 Dates]]))=2,"Pass","Fail")</f>
        <v>Pass</v>
      </c>
      <c r="I23" s="1">
        <f>IFERROR(Comp2[[#This Row],[Comparable '#2 Return]]-INDEX(Benchmark1[Benchmark '#1 Return],MATCH(Comp2[[#This Row],[Comparable '#2 Dates]],Benchmark1[Benchmark '#1 Dates],0)),"-")</f>
        <v>-1.005532219457486E-2</v>
      </c>
      <c r="L23" s="72">
        <f>Comp2[[#This Row],[Comparable '#2 Price]]/$B$2*100</f>
        <v>111.06639839034204</v>
      </c>
    </row>
    <row r="24" spans="1:12">
      <c r="A24" s="96">
        <v>43318</v>
      </c>
      <c r="B24" s="101">
        <v>55.25</v>
      </c>
      <c r="C24" s="4">
        <f t="shared" si="0"/>
        <v>9.0538711481251964E-4</v>
      </c>
      <c r="D24" s="1">
        <f>IFERROR(Comp2[[#This Row],[Comparable '#2 Return]]+1,"-")</f>
        <v>1.0009053871148126</v>
      </c>
      <c r="E24" s="6">
        <f>B24-MAX($B$2:B24)</f>
        <v>-0.29999999999999716</v>
      </c>
      <c r="F24" s="80">
        <f t="shared" si="1"/>
        <v>3</v>
      </c>
      <c r="G24" s="77">
        <f>Comp2[[#This Row],[Comparable '#2 Drawdown]]/MAX($B$2:B24)</f>
        <v>-5.4005400540053494E-3</v>
      </c>
      <c r="H24" s="1" t="str">
        <f>IF(SUM(COUNTIF(Benchmark1[Benchmark '#1 Dates],Comp2[[#This Row],[Comparable '#2 Dates]]),COUNTIF(Benchmark2[Benchmark '#2 Dates],Comp2[[#This Row],[Comparable '#2 Dates]]))=2,"Pass","Fail")</f>
        <v>Pass</v>
      </c>
      <c r="I24" s="1">
        <f>IFERROR(Comp2[[#This Row],[Comparable '#2 Return]]-INDEX(Benchmark1[Benchmark '#1 Return],MATCH(Comp2[[#This Row],[Comparable '#2 Dates]],Benchmark1[Benchmark '#1 Dates],0)),"-")</f>
        <v>-2.6242122583594474E-3</v>
      </c>
      <c r="L24" s="72">
        <f>Comp2[[#This Row],[Comparable '#2 Price]]/$B$2*100</f>
        <v>111.16700201207243</v>
      </c>
    </row>
    <row r="25" spans="1:12">
      <c r="A25" s="96">
        <v>43319</v>
      </c>
      <c r="B25" s="101">
        <v>55.05</v>
      </c>
      <c r="C25" s="4">
        <f t="shared" si="0"/>
        <v>-3.6264772291733265E-3</v>
      </c>
      <c r="D25" s="1">
        <f>IFERROR(Comp2[[#This Row],[Comparable '#2 Return]]+1,"-")</f>
        <v>0.99637352277082669</v>
      </c>
      <c r="E25" s="6">
        <f>B25-MAX($B$2:B25)</f>
        <v>-0.5</v>
      </c>
      <c r="F25" s="80">
        <f t="shared" si="1"/>
        <v>4</v>
      </c>
      <c r="G25" s="77">
        <f>Comp2[[#This Row],[Comparable '#2 Drawdown]]/MAX($B$2:B25)</f>
        <v>-9.0009000900090012E-3</v>
      </c>
      <c r="H25" s="1" t="str">
        <f>IF(SUM(COUNTIF(Benchmark1[Benchmark '#1 Dates],Comp2[[#This Row],[Comparable '#2 Dates]]),COUNTIF(Benchmark2[Benchmark '#2 Dates],Comp2[[#This Row],[Comparable '#2 Dates]]))=2,"Pass","Fail")</f>
        <v>Pass</v>
      </c>
      <c r="I25" s="1">
        <f>IFERROR(Comp2[[#This Row],[Comparable '#2 Return]]-INDEX(Benchmark1[Benchmark '#1 Return],MATCH(Comp2[[#This Row],[Comparable '#2 Dates]],Benchmark1[Benchmark '#1 Dates],0)),"-")</f>
        <v>-6.448390395123787E-3</v>
      </c>
      <c r="L25" s="72">
        <f>Comp2[[#This Row],[Comparable '#2 Price]]/$B$2*100</f>
        <v>110.7645875251509</v>
      </c>
    </row>
    <row r="26" spans="1:12">
      <c r="A26" s="96">
        <v>43320</v>
      </c>
      <c r="B26" s="101">
        <v>55.25</v>
      </c>
      <c r="C26" s="4">
        <f t="shared" si="0"/>
        <v>3.6264772291732814E-3</v>
      </c>
      <c r="D26" s="1">
        <f>IFERROR(Comp2[[#This Row],[Comparable '#2 Return]]+1,"-")</f>
        <v>1.0036264772291732</v>
      </c>
      <c r="E26" s="6">
        <f>B26-MAX($B$2:B26)</f>
        <v>-0.29999999999999716</v>
      </c>
      <c r="F26" s="80">
        <f t="shared" si="1"/>
        <v>5</v>
      </c>
      <c r="G26" s="77">
        <f>Comp2[[#This Row],[Comparable '#2 Drawdown]]/MAX($B$2:B26)</f>
        <v>-5.4005400540053494E-3</v>
      </c>
      <c r="H26" s="1" t="str">
        <f>IF(SUM(COUNTIF(Benchmark1[Benchmark '#1 Dates],Comp2[[#This Row],[Comparable '#2 Dates]]),COUNTIF(Benchmark2[Benchmark '#2 Dates],Comp2[[#This Row],[Comparable '#2 Dates]]))=2,"Pass","Fail")</f>
        <v>Pass</v>
      </c>
      <c r="I26" s="1">
        <f>IFERROR(Comp2[[#This Row],[Comparable '#2 Return]]-INDEX(Benchmark1[Benchmark '#1 Return],MATCH(Comp2[[#This Row],[Comparable '#2 Dates]],Benchmark1[Benchmark '#1 Dates],0)),"-")</f>
        <v>3.8878467316600966E-3</v>
      </c>
      <c r="L26" s="72">
        <f>Comp2[[#This Row],[Comparable '#2 Price]]/$B$2*100</f>
        <v>111.16700201207243</v>
      </c>
    </row>
    <row r="27" spans="1:12">
      <c r="A27" s="96">
        <v>43321</v>
      </c>
      <c r="B27" s="101">
        <v>55.25</v>
      </c>
      <c r="C27" s="4">
        <f t="shared" si="0"/>
        <v>0</v>
      </c>
      <c r="D27" s="1">
        <f>IFERROR(Comp2[[#This Row],[Comparable '#2 Return]]+1,"-")</f>
        <v>1</v>
      </c>
      <c r="E27" s="6">
        <f>B27-MAX($B$2:B27)</f>
        <v>-0.29999999999999716</v>
      </c>
      <c r="F27" s="80">
        <f t="shared" si="1"/>
        <v>6</v>
      </c>
      <c r="G27" s="77">
        <f>Comp2[[#This Row],[Comparable '#2 Drawdown]]/MAX($B$2:B27)</f>
        <v>-5.4005400540053494E-3</v>
      </c>
      <c r="H27" s="1" t="str">
        <f>IF(SUM(COUNTIF(Benchmark1[Benchmark '#1 Dates],Comp2[[#This Row],[Comparable '#2 Dates]]),COUNTIF(Benchmark2[Benchmark '#2 Dates],Comp2[[#This Row],[Comparable '#2 Dates]]))=2,"Pass","Fail")</f>
        <v>Pass</v>
      </c>
      <c r="I27" s="1">
        <f>IFERROR(Comp2[[#This Row],[Comparable '#2 Return]]-INDEX(Benchmark1[Benchmark '#1 Return],MATCH(Comp2[[#This Row],[Comparable '#2 Dates]],Benchmark1[Benchmark '#1 Dates],0)),"-")</f>
        <v>1.4429486394696464E-3</v>
      </c>
      <c r="L27" s="72">
        <f>Comp2[[#This Row],[Comparable '#2 Price]]/$B$2*100</f>
        <v>111.16700201207243</v>
      </c>
    </row>
    <row r="28" spans="1:12">
      <c r="A28" s="96">
        <v>43322</v>
      </c>
      <c r="B28" s="101">
        <v>55.45</v>
      </c>
      <c r="C28" s="4">
        <f t="shared" si="0"/>
        <v>3.6133733985138313E-3</v>
      </c>
      <c r="D28" s="1">
        <f>IFERROR(Comp2[[#This Row],[Comparable '#2 Return]]+1,"-")</f>
        <v>1.0036133733985138</v>
      </c>
      <c r="E28" s="6">
        <f>B28-MAX($B$2:B28)</f>
        <v>-9.9999999999994316E-2</v>
      </c>
      <c r="F28" s="80">
        <f t="shared" si="1"/>
        <v>7</v>
      </c>
      <c r="G28" s="77">
        <f>Comp2[[#This Row],[Comparable '#2 Drawdown]]/MAX($B$2:B28)</f>
        <v>-1.800180018001698E-3</v>
      </c>
      <c r="H28" s="1" t="str">
        <f>IF(SUM(COUNTIF(Benchmark1[Benchmark '#1 Dates],Comp2[[#This Row],[Comparable '#2 Dates]]),COUNTIF(Benchmark2[Benchmark '#2 Dates],Comp2[[#This Row],[Comparable '#2 Dates]]))=2,"Pass","Fail")</f>
        <v>Pass</v>
      </c>
      <c r="I28" s="1">
        <f>IFERROR(Comp2[[#This Row],[Comparable '#2 Return]]-INDEX(Benchmark1[Benchmark '#1 Return],MATCH(Comp2[[#This Row],[Comparable '#2 Dates]],Benchmark1[Benchmark '#1 Dates],0)),"-")</f>
        <v>1.0752770284515576E-2</v>
      </c>
      <c r="L28" s="72">
        <f>Comp2[[#This Row],[Comparable '#2 Price]]/$B$2*100</f>
        <v>111.56941649899397</v>
      </c>
    </row>
    <row r="29" spans="1:12">
      <c r="A29" s="96">
        <v>43325</v>
      </c>
      <c r="B29" s="101">
        <v>54.75</v>
      </c>
      <c r="C29" s="4">
        <f t="shared" si="0"/>
        <v>-1.2704345099765849E-2</v>
      </c>
      <c r="D29" s="1">
        <f>IFERROR(Comp2[[#This Row],[Comparable '#2 Return]]+1,"-")</f>
        <v>0.98729565490023419</v>
      </c>
      <c r="E29" s="6">
        <f>B29-MAX($B$2:B29)</f>
        <v>-0.79999999999999716</v>
      </c>
      <c r="F29" s="80">
        <f t="shared" si="1"/>
        <v>8</v>
      </c>
      <c r="G29" s="77">
        <f>Comp2[[#This Row],[Comparable '#2 Drawdown]]/MAX($B$2:B29)</f>
        <v>-1.4401440144014351E-2</v>
      </c>
      <c r="H29" s="1" t="str">
        <f>IF(SUM(COUNTIF(Benchmark1[Benchmark '#1 Dates],Comp2[[#This Row],[Comparable '#2 Dates]]),COUNTIF(Benchmark2[Benchmark '#2 Dates],Comp2[[#This Row],[Comparable '#2 Dates]]))=2,"Pass","Fail")</f>
        <v>Pass</v>
      </c>
      <c r="I29" s="1">
        <f>IFERROR(Comp2[[#This Row],[Comparable '#2 Return]]-INDEX(Benchmark1[Benchmark '#1 Return],MATCH(Comp2[[#This Row],[Comparable '#2 Dates]],Benchmark1[Benchmark '#1 Dates],0)),"-")</f>
        <v>-8.6884344648687668E-3</v>
      </c>
      <c r="L29" s="72">
        <f>Comp2[[#This Row],[Comparable '#2 Price]]/$B$2*100</f>
        <v>110.1609657947686</v>
      </c>
    </row>
    <row r="30" spans="1:12">
      <c r="A30" s="96">
        <v>43326</v>
      </c>
      <c r="B30" s="101">
        <v>55.75</v>
      </c>
      <c r="C30" s="4">
        <f t="shared" si="0"/>
        <v>1.8100041643617937E-2</v>
      </c>
      <c r="D30" s="1">
        <f>IFERROR(Comp2[[#This Row],[Comparable '#2 Return]]+1,"-")</f>
        <v>1.0181000416436179</v>
      </c>
      <c r="E30" s="6">
        <f>B30-MAX($B$2:B30)</f>
        <v>0</v>
      </c>
      <c r="F30" s="80">
        <f t="shared" si="1"/>
        <v>0</v>
      </c>
      <c r="G30" s="77">
        <f>Comp2[[#This Row],[Comparable '#2 Drawdown]]/MAX($B$2:B30)</f>
        <v>0</v>
      </c>
      <c r="H30" s="1" t="str">
        <f>IF(SUM(COUNTIF(Benchmark1[Benchmark '#1 Dates],Comp2[[#This Row],[Comparable '#2 Dates]]),COUNTIF(Benchmark2[Benchmark '#2 Dates],Comp2[[#This Row],[Comparable '#2 Dates]]))=2,"Pass","Fail")</f>
        <v>Pass</v>
      </c>
      <c r="I30" s="1">
        <f>IFERROR(Comp2[[#This Row],[Comparable '#2 Return]]-INDEX(Benchmark1[Benchmark '#1 Return],MATCH(Comp2[[#This Row],[Comparable '#2 Dates]],Benchmark1[Benchmark '#1 Dates],0)),"-")</f>
        <v>1.1732119314886984E-2</v>
      </c>
      <c r="L30" s="72">
        <f>Comp2[[#This Row],[Comparable '#2 Price]]/$B$2*100</f>
        <v>112.17303822937626</v>
      </c>
    </row>
    <row r="31" spans="1:12">
      <c r="A31" s="96">
        <v>43327</v>
      </c>
      <c r="B31" s="101">
        <v>56.05</v>
      </c>
      <c r="C31" s="4">
        <f t="shared" si="0"/>
        <v>5.3667391779406602E-3</v>
      </c>
      <c r="D31" s="1">
        <f>IFERROR(Comp2[[#This Row],[Comparable '#2 Return]]+1,"-")</f>
        <v>1.0053667391779406</v>
      </c>
      <c r="E31" s="6">
        <f>B31-MAX($B$2:B31)</f>
        <v>0</v>
      </c>
      <c r="F31" s="80">
        <f t="shared" si="1"/>
        <v>0</v>
      </c>
      <c r="G31" s="77">
        <f>Comp2[[#This Row],[Comparable '#2 Drawdown]]/MAX($B$2:B31)</f>
        <v>0</v>
      </c>
      <c r="H31" s="1" t="str">
        <f>IF(SUM(COUNTIF(Benchmark1[Benchmark '#1 Dates],Comp2[[#This Row],[Comparable '#2 Dates]]),COUNTIF(Benchmark2[Benchmark '#2 Dates],Comp2[[#This Row],[Comparable '#2 Dates]]))=2,"Pass","Fail")</f>
        <v>Pass</v>
      </c>
      <c r="I31" s="1">
        <f>IFERROR(Comp2[[#This Row],[Comparable '#2 Return]]-INDEX(Benchmark1[Benchmark '#1 Return],MATCH(Comp2[[#This Row],[Comparable '#2 Dates]],Benchmark1[Benchmark '#1 Dates],0)),"-")</f>
        <v>1.2995308631570061E-2</v>
      </c>
      <c r="L31" s="72">
        <f>Comp2[[#This Row],[Comparable '#2 Price]]/$B$2*100</f>
        <v>112.77665995975855</v>
      </c>
    </row>
    <row r="32" spans="1:12">
      <c r="A32" s="96">
        <v>43328</v>
      </c>
      <c r="B32" s="101">
        <v>55.75</v>
      </c>
      <c r="C32" s="4">
        <f t="shared" si="0"/>
        <v>-5.3667391779406749E-3</v>
      </c>
      <c r="D32" s="1">
        <f>IFERROR(Comp2[[#This Row],[Comparable '#2 Return]]+1,"-")</f>
        <v>0.99463326082205927</v>
      </c>
      <c r="E32" s="6">
        <f>B32-MAX($B$2:B32)</f>
        <v>-0.29999999999999716</v>
      </c>
      <c r="F32" s="80">
        <f t="shared" si="1"/>
        <v>1</v>
      </c>
      <c r="G32" s="77">
        <f>Comp2[[#This Row],[Comparable '#2 Drawdown]]/MAX($B$2:B32)</f>
        <v>-5.3523639607492802E-3</v>
      </c>
      <c r="H32" s="1" t="str">
        <f>IF(SUM(COUNTIF(Benchmark1[Benchmark '#1 Dates],Comp2[[#This Row],[Comparable '#2 Dates]]),COUNTIF(Benchmark2[Benchmark '#2 Dates],Comp2[[#This Row],[Comparable '#2 Dates]]))=2,"Pass","Fail")</f>
        <v>Pass</v>
      </c>
      <c r="I32" s="1">
        <f>IFERROR(Comp2[[#This Row],[Comparable '#2 Return]]-INDEX(Benchmark1[Benchmark '#1 Return],MATCH(Comp2[[#This Row],[Comparable '#2 Dates]],Benchmark1[Benchmark '#1 Dates],0)),"-")</f>
        <v>-1.3253230687207847E-2</v>
      </c>
      <c r="L32" s="72">
        <f>Comp2[[#This Row],[Comparable '#2 Price]]/$B$2*100</f>
        <v>112.17303822937626</v>
      </c>
    </row>
    <row r="33" spans="1:12">
      <c r="A33" s="96">
        <v>43329</v>
      </c>
      <c r="B33" s="101">
        <v>47.2</v>
      </c>
      <c r="C33" s="4">
        <f t="shared" si="0"/>
        <v>-0.16648351774871842</v>
      </c>
      <c r="D33" s="1">
        <f>IFERROR(Comp2[[#This Row],[Comparable '#2 Return]]+1,"-")</f>
        <v>0.83351648225128161</v>
      </c>
      <c r="E33" s="6">
        <f>B33-MAX($B$2:B33)</f>
        <v>-8.8499999999999943</v>
      </c>
      <c r="F33" s="80">
        <f t="shared" si="1"/>
        <v>2</v>
      </c>
      <c r="G33" s="77">
        <f>Comp2[[#This Row],[Comparable '#2 Drawdown]]/MAX($B$2:B33)</f>
        <v>-0.15789473684210517</v>
      </c>
      <c r="H33" s="1" t="str">
        <f>IF(SUM(COUNTIF(Benchmark1[Benchmark '#1 Dates],Comp2[[#This Row],[Comparable '#2 Dates]]),COUNTIF(Benchmark2[Benchmark '#2 Dates],Comp2[[#This Row],[Comparable '#2 Dates]]))=2,"Pass","Fail")</f>
        <v>Pass</v>
      </c>
      <c r="I33" s="1">
        <f>IFERROR(Comp2[[#This Row],[Comparable '#2 Return]]-INDEX(Benchmark1[Benchmark '#1 Return],MATCH(Comp2[[#This Row],[Comparable '#2 Dates]],Benchmark1[Benchmark '#1 Dates],0)),"-")</f>
        <v>-0.16980242380869795</v>
      </c>
      <c r="L33" s="72">
        <f>Comp2[[#This Row],[Comparable '#2 Price]]/$B$2*100</f>
        <v>94.969818913480879</v>
      </c>
    </row>
    <row r="34" spans="1:12">
      <c r="A34" s="96">
        <v>43332</v>
      </c>
      <c r="B34" s="101">
        <v>48.4</v>
      </c>
      <c r="C34" s="4">
        <f t="shared" si="0"/>
        <v>2.5105921131076261E-2</v>
      </c>
      <c r="D34" s="1">
        <f>IFERROR(Comp2[[#This Row],[Comparable '#2 Return]]+1,"-")</f>
        <v>1.0251059211310762</v>
      </c>
      <c r="E34" s="6">
        <f>B34-MAX($B$2:B34)</f>
        <v>-7.6499999999999986</v>
      </c>
      <c r="F34" s="80">
        <f t="shared" si="1"/>
        <v>3</v>
      </c>
      <c r="G34" s="77">
        <f>Comp2[[#This Row],[Comparable '#2 Drawdown]]/MAX($B$2:B34)</f>
        <v>-0.13648528099910792</v>
      </c>
      <c r="H34" s="1" t="str">
        <f>IF(SUM(COUNTIF(Benchmark1[Benchmark '#1 Dates],Comp2[[#This Row],[Comparable '#2 Dates]]),COUNTIF(Benchmark2[Benchmark '#2 Dates],Comp2[[#This Row],[Comparable '#2 Dates]]))=2,"Pass","Fail")</f>
        <v>Pass</v>
      </c>
      <c r="I34" s="1">
        <f>IFERROR(Comp2[[#This Row],[Comparable '#2 Return]]-INDEX(Benchmark1[Benchmark '#1 Return],MATCH(Comp2[[#This Row],[Comparable '#2 Dates]],Benchmark1[Benchmark '#1 Dates],0)),"-")</f>
        <v>2.2680067308475556E-2</v>
      </c>
      <c r="L34" s="72">
        <f>Comp2[[#This Row],[Comparable '#2 Price]]/$B$2*100</f>
        <v>97.384305835010053</v>
      </c>
    </row>
    <row r="35" spans="1:12">
      <c r="A35" s="96">
        <v>43333</v>
      </c>
      <c r="B35" s="101">
        <v>48.5</v>
      </c>
      <c r="C35" s="4">
        <f t="shared" si="0"/>
        <v>2.0639842208514275E-3</v>
      </c>
      <c r="D35" s="1">
        <f>IFERROR(Comp2[[#This Row],[Comparable '#2 Return]]+1,"-")</f>
        <v>1.0020639842208514</v>
      </c>
      <c r="E35" s="6">
        <f>B35-MAX($B$2:B35)</f>
        <v>-7.5499999999999972</v>
      </c>
      <c r="F35" s="80">
        <f t="shared" si="1"/>
        <v>4</v>
      </c>
      <c r="G35" s="77">
        <f>Comp2[[#This Row],[Comparable '#2 Drawdown]]/MAX($B$2:B35)</f>
        <v>-0.13470115967885812</v>
      </c>
      <c r="H35" s="1" t="str">
        <f>IF(SUM(COUNTIF(Benchmark1[Benchmark '#1 Dates],Comp2[[#This Row],[Comparable '#2 Dates]]),COUNTIF(Benchmark2[Benchmark '#2 Dates],Comp2[[#This Row],[Comparable '#2 Dates]]))=2,"Pass","Fail")</f>
        <v>Pass</v>
      </c>
      <c r="I35" s="1">
        <f>IFERROR(Comp2[[#This Row],[Comparable '#2 Return]]-INDEX(Benchmark1[Benchmark '#1 Return],MATCH(Comp2[[#This Row],[Comparable '#2 Dates]],Benchmark1[Benchmark '#1 Dates],0)),"-")</f>
        <v>8.1337190841086759E-9</v>
      </c>
      <c r="L35" s="72">
        <f>Comp2[[#This Row],[Comparable '#2 Price]]/$B$2*100</f>
        <v>97.585513078470825</v>
      </c>
    </row>
    <row r="36" spans="1:12">
      <c r="A36" s="96">
        <v>43334</v>
      </c>
      <c r="B36" s="101">
        <v>49.05</v>
      </c>
      <c r="C36" s="4">
        <f t="shared" si="0"/>
        <v>1.1276388067934537E-2</v>
      </c>
      <c r="D36" s="1">
        <f>IFERROR(Comp2[[#This Row],[Comparable '#2 Return]]+1,"-")</f>
        <v>1.0112763880679345</v>
      </c>
      <c r="E36" s="6">
        <f>B36-MAX($B$2:B36)</f>
        <v>-7</v>
      </c>
      <c r="F36" s="80">
        <f t="shared" si="1"/>
        <v>5</v>
      </c>
      <c r="G36" s="77">
        <f>Comp2[[#This Row],[Comparable '#2 Drawdown]]/MAX($B$2:B36)</f>
        <v>-0.1248884924174844</v>
      </c>
      <c r="H36" s="1" t="str">
        <f>IF(SUM(COUNTIF(Benchmark1[Benchmark '#1 Dates],Comp2[[#This Row],[Comparable '#2 Dates]]),COUNTIF(Benchmark2[Benchmark '#2 Dates],Comp2[[#This Row],[Comparable '#2 Dates]]))=2,"Pass","Fail")</f>
        <v>Pass</v>
      </c>
      <c r="I36" s="1">
        <f>IFERROR(Comp2[[#This Row],[Comparable '#2 Return]]-INDEX(Benchmark1[Benchmark '#1 Return],MATCH(Comp2[[#This Row],[Comparable '#2 Dates]],Benchmark1[Benchmark '#1 Dates],0)),"-")</f>
        <v>1.1671986807266062E-2</v>
      </c>
      <c r="L36" s="72">
        <f>Comp2[[#This Row],[Comparable '#2 Price]]/$B$2*100</f>
        <v>98.692152917505013</v>
      </c>
    </row>
    <row r="37" spans="1:12">
      <c r="A37" s="96">
        <v>43335</v>
      </c>
      <c r="B37" s="101">
        <v>48.75</v>
      </c>
      <c r="C37" s="4">
        <f t="shared" si="0"/>
        <v>-6.1349885675158321E-3</v>
      </c>
      <c r="D37" s="1">
        <f>IFERROR(Comp2[[#This Row],[Comparable '#2 Return]]+1,"-")</f>
        <v>0.99386501143248418</v>
      </c>
      <c r="E37" s="6">
        <f>B37-MAX($B$2:B37)</f>
        <v>-7.2999999999999972</v>
      </c>
      <c r="F37" s="80">
        <f t="shared" si="1"/>
        <v>6</v>
      </c>
      <c r="G37" s="77">
        <f>Comp2[[#This Row],[Comparable '#2 Drawdown]]/MAX($B$2:B37)</f>
        <v>-0.13024085637823368</v>
      </c>
      <c r="H37" s="1" t="str">
        <f>IF(SUM(COUNTIF(Benchmark1[Benchmark '#1 Dates],Comp2[[#This Row],[Comparable '#2 Dates]]),COUNTIF(Benchmark2[Benchmark '#2 Dates],Comp2[[#This Row],[Comparable '#2 Dates]]))=2,"Pass","Fail")</f>
        <v>Pass</v>
      </c>
      <c r="I37" s="1">
        <f>IFERROR(Comp2[[#This Row],[Comparable '#2 Return]]-INDEX(Benchmark1[Benchmark '#1 Return],MATCH(Comp2[[#This Row],[Comparable '#2 Dates]],Benchmark1[Benchmark '#1 Dates],0)),"-")</f>
        <v>-4.4408970087664677E-3</v>
      </c>
      <c r="L37" s="72">
        <f>Comp2[[#This Row],[Comparable '#2 Price]]/$B$2*100</f>
        <v>98.088531187122726</v>
      </c>
    </row>
    <row r="38" spans="1:12">
      <c r="A38" s="96">
        <v>43336</v>
      </c>
      <c r="B38" s="101">
        <v>48.7</v>
      </c>
      <c r="C38" s="4">
        <f t="shared" si="0"/>
        <v>-1.0261673553120061E-3</v>
      </c>
      <c r="D38" s="1">
        <f>IFERROR(Comp2[[#This Row],[Comparable '#2 Return]]+1,"-")</f>
        <v>0.99897383264468798</v>
      </c>
      <c r="E38" s="6">
        <f>B38-MAX($B$2:B38)</f>
        <v>-7.3499999999999943</v>
      </c>
      <c r="F38" s="80">
        <f t="shared" si="1"/>
        <v>7</v>
      </c>
      <c r="G38" s="77">
        <f>Comp2[[#This Row],[Comparable '#2 Drawdown]]/MAX($B$2:B38)</f>
        <v>-0.13113291703835853</v>
      </c>
      <c r="H38" s="1" t="str">
        <f>IF(SUM(COUNTIF(Benchmark1[Benchmark '#1 Dates],Comp2[[#This Row],[Comparable '#2 Dates]]),COUNTIF(Benchmark2[Benchmark '#2 Dates],Comp2[[#This Row],[Comparable '#2 Dates]]))=2,"Pass","Fail")</f>
        <v>Pass</v>
      </c>
      <c r="I38" s="1">
        <f>IFERROR(Comp2[[#This Row],[Comparable '#2 Return]]-INDEX(Benchmark1[Benchmark '#1 Return],MATCH(Comp2[[#This Row],[Comparable '#2 Dates]],Benchmark1[Benchmark '#1 Dates],0)),"-")</f>
        <v>-7.2053995586689491E-3</v>
      </c>
      <c r="L38" s="72">
        <f>Comp2[[#This Row],[Comparable '#2 Price]]/$B$2*100</f>
        <v>97.987927565392354</v>
      </c>
    </row>
    <row r="39" spans="1:12">
      <c r="A39" s="96">
        <v>43339</v>
      </c>
      <c r="B39" s="101">
        <v>48.4</v>
      </c>
      <c r="C39" s="4">
        <f t="shared" si="0"/>
        <v>-6.1792163659581201E-3</v>
      </c>
      <c r="D39" s="1">
        <f>IFERROR(Comp2[[#This Row],[Comparable '#2 Return]]+1,"-")</f>
        <v>0.99382078363404192</v>
      </c>
      <c r="E39" s="6">
        <f>B39-MAX($B$2:B39)</f>
        <v>-7.6499999999999986</v>
      </c>
      <c r="F39" s="80">
        <f t="shared" si="1"/>
        <v>8</v>
      </c>
      <c r="G39" s="77">
        <f>Comp2[[#This Row],[Comparable '#2 Drawdown]]/MAX($B$2:B39)</f>
        <v>-0.13648528099910792</v>
      </c>
      <c r="H39" s="1" t="str">
        <f>IF(SUM(COUNTIF(Benchmark1[Benchmark '#1 Dates],Comp2[[#This Row],[Comparable '#2 Dates]]),COUNTIF(Benchmark2[Benchmark '#2 Dates],Comp2[[#This Row],[Comparable '#2 Dates]]))=2,"Pass","Fail")</f>
        <v>Pass</v>
      </c>
      <c r="I39" s="1">
        <f>IFERROR(Comp2[[#This Row],[Comparable '#2 Return]]-INDEX(Benchmark1[Benchmark '#1 Return],MATCH(Comp2[[#This Row],[Comparable '#2 Dates]],Benchmark1[Benchmark '#1 Dates],0)),"-")</f>
        <v>-1.3819131808175688E-2</v>
      </c>
      <c r="L39" s="72">
        <f>Comp2[[#This Row],[Comparable '#2 Price]]/$B$2*100</f>
        <v>97.384305835010053</v>
      </c>
    </row>
    <row r="40" spans="1:12">
      <c r="A40" s="96">
        <v>43340</v>
      </c>
      <c r="B40" s="101">
        <v>47.7</v>
      </c>
      <c r="C40" s="4">
        <f t="shared" si="0"/>
        <v>-1.4568415828290385E-2</v>
      </c>
      <c r="D40" s="1">
        <f>IFERROR(Comp2[[#This Row],[Comparable '#2 Return]]+1,"-")</f>
        <v>0.98543158417170962</v>
      </c>
      <c r="E40" s="6">
        <f>B40-MAX($B$2:B40)</f>
        <v>-8.3499999999999943</v>
      </c>
      <c r="F40" s="80">
        <f t="shared" si="1"/>
        <v>9</v>
      </c>
      <c r="G40" s="77">
        <f>Comp2[[#This Row],[Comparable '#2 Drawdown]]/MAX($B$2:B40)</f>
        <v>-0.14897413024085629</v>
      </c>
      <c r="H40" s="1" t="str">
        <f>IF(SUM(COUNTIF(Benchmark1[Benchmark '#1 Dates],Comp2[[#This Row],[Comparable '#2 Dates]]),COUNTIF(Benchmark2[Benchmark '#2 Dates],Comp2[[#This Row],[Comparable '#2 Dates]]))=2,"Pass","Fail")</f>
        <v>Pass</v>
      </c>
      <c r="I40" s="1">
        <f>IFERROR(Comp2[[#This Row],[Comparable '#2 Return]]-INDEX(Benchmark1[Benchmark '#1 Return],MATCH(Comp2[[#This Row],[Comparable '#2 Dates]],Benchmark1[Benchmark '#1 Dates],0)),"-")</f>
        <v>-1.4839860285292767E-2</v>
      </c>
      <c r="L40" s="72">
        <f>Comp2[[#This Row],[Comparable '#2 Price]]/$B$2*100</f>
        <v>95.975855130784709</v>
      </c>
    </row>
    <row r="41" spans="1:12">
      <c r="A41" s="96">
        <v>43341</v>
      </c>
      <c r="B41" s="101">
        <v>47.7</v>
      </c>
      <c r="C41" s="4">
        <f t="shared" si="0"/>
        <v>0</v>
      </c>
      <c r="D41" s="1">
        <f>IFERROR(Comp2[[#This Row],[Comparable '#2 Return]]+1,"-")</f>
        <v>1</v>
      </c>
      <c r="E41" s="6">
        <f>B41-MAX($B$2:B41)</f>
        <v>-8.3499999999999943</v>
      </c>
      <c r="F41" s="80">
        <f t="shared" si="1"/>
        <v>10</v>
      </c>
      <c r="G41" s="77">
        <f>Comp2[[#This Row],[Comparable '#2 Drawdown]]/MAX($B$2:B41)</f>
        <v>-0.14897413024085629</v>
      </c>
      <c r="H41" s="1" t="str">
        <f>IF(SUM(COUNTIF(Benchmark1[Benchmark '#1 Dates],Comp2[[#This Row],[Comparable '#2 Dates]]),COUNTIF(Benchmark2[Benchmark '#2 Dates],Comp2[[#This Row],[Comparable '#2 Dates]]))=2,"Pass","Fail")</f>
        <v>Pass</v>
      </c>
      <c r="I41" s="1">
        <f>IFERROR(Comp2[[#This Row],[Comparable '#2 Return]]-INDEX(Benchmark1[Benchmark '#1 Return],MATCH(Comp2[[#This Row],[Comparable '#2 Dates]],Benchmark1[Benchmark '#1 Dates],0)),"-")</f>
        <v>-5.684998646735594E-3</v>
      </c>
      <c r="L41" s="72">
        <f>Comp2[[#This Row],[Comparable '#2 Price]]/$B$2*100</f>
        <v>95.975855130784709</v>
      </c>
    </row>
    <row r="42" spans="1:12">
      <c r="A42" s="96">
        <v>43342</v>
      </c>
      <c r="B42" s="101">
        <v>47.8</v>
      </c>
      <c r="C42" s="4">
        <f t="shared" si="0"/>
        <v>2.0942416031146851E-3</v>
      </c>
      <c r="D42" s="1">
        <f>IFERROR(Comp2[[#This Row],[Comparable '#2 Return]]+1,"-")</f>
        <v>1.0020942416031147</v>
      </c>
      <c r="E42" s="6">
        <f>B42-MAX($B$2:B42)</f>
        <v>-8.25</v>
      </c>
      <c r="F42" s="80">
        <f t="shared" si="1"/>
        <v>11</v>
      </c>
      <c r="G42" s="77">
        <f>Comp2[[#This Row],[Comparable '#2 Drawdown]]/MAX($B$2:B42)</f>
        <v>-0.1471900089206066</v>
      </c>
      <c r="H42" s="1" t="str">
        <f>IF(SUM(COUNTIF(Benchmark1[Benchmark '#1 Dates],Comp2[[#This Row],[Comparable '#2 Dates]]),COUNTIF(Benchmark2[Benchmark '#2 Dates],Comp2[[#This Row],[Comparable '#2 Dates]]))=2,"Pass","Fail")</f>
        <v>Pass</v>
      </c>
      <c r="I42" s="1">
        <f>IFERROR(Comp2[[#This Row],[Comparable '#2 Return]]-INDEX(Benchmark1[Benchmark '#1 Return],MATCH(Comp2[[#This Row],[Comparable '#2 Dates]],Benchmark1[Benchmark '#1 Dates],0)),"-")</f>
        <v>6.5360016862457222E-3</v>
      </c>
      <c r="L42" s="72">
        <f>Comp2[[#This Row],[Comparable '#2 Price]]/$B$2*100</f>
        <v>96.177062374245452</v>
      </c>
    </row>
    <row r="43" spans="1:12">
      <c r="A43" s="96">
        <v>43343</v>
      </c>
      <c r="B43" s="101">
        <v>47.85</v>
      </c>
      <c r="C43" s="4">
        <f t="shared" si="0"/>
        <v>1.0454784015529657E-3</v>
      </c>
      <c r="D43" s="1">
        <f>IFERROR(Comp2[[#This Row],[Comparable '#2 Return]]+1,"-")</f>
        <v>1.001045478401553</v>
      </c>
      <c r="E43" s="6">
        <f>B43-MAX($B$2:B43)</f>
        <v>-8.1999999999999957</v>
      </c>
      <c r="F43" s="80">
        <f t="shared" si="1"/>
        <v>12</v>
      </c>
      <c r="G43" s="77">
        <f>Comp2[[#This Row],[Comparable '#2 Drawdown]]/MAX($B$2:B43)</f>
        <v>-0.14629794826048165</v>
      </c>
      <c r="H43" s="1" t="str">
        <f>IF(SUM(COUNTIF(Benchmark1[Benchmark '#1 Dates],Comp2[[#This Row],[Comparable '#2 Dates]]),COUNTIF(Benchmark2[Benchmark '#2 Dates],Comp2[[#This Row],[Comparable '#2 Dates]]))=2,"Pass","Fail")</f>
        <v>Pass</v>
      </c>
      <c r="I43" s="1">
        <f>IFERROR(Comp2[[#This Row],[Comparable '#2 Return]]-INDEX(Benchmark1[Benchmark '#1 Return],MATCH(Comp2[[#This Row],[Comparable '#2 Dates]],Benchmark1[Benchmark '#1 Dates],0)),"-")</f>
        <v>9.1068439395078642E-4</v>
      </c>
      <c r="L43" s="72">
        <f>Comp2[[#This Row],[Comparable '#2 Price]]/$B$2*100</f>
        <v>96.277665995975852</v>
      </c>
    </row>
    <row r="44" spans="1:12">
      <c r="A44" s="96">
        <v>43347</v>
      </c>
      <c r="B44" s="101">
        <v>47.75</v>
      </c>
      <c r="C44" s="4">
        <f t="shared" si="0"/>
        <v>-2.0920509722240632E-3</v>
      </c>
      <c r="D44" s="1">
        <f>IFERROR(Comp2[[#This Row],[Comparable '#2 Return]]+1,"-")</f>
        <v>0.99790794902777591</v>
      </c>
      <c r="E44" s="6">
        <f>B44-MAX($B$2:B44)</f>
        <v>-8.2999999999999972</v>
      </c>
      <c r="F44" s="80">
        <f t="shared" si="1"/>
        <v>13</v>
      </c>
      <c r="G44" s="77">
        <f>Comp2[[#This Row],[Comparable '#2 Drawdown]]/MAX($B$2:B44)</f>
        <v>-0.14808206958073145</v>
      </c>
      <c r="H44" s="1" t="str">
        <f>IF(SUM(COUNTIF(Benchmark1[Benchmark '#1 Dates],Comp2[[#This Row],[Comparable '#2 Dates]]),COUNTIF(Benchmark2[Benchmark '#2 Dates],Comp2[[#This Row],[Comparable '#2 Dates]]))=2,"Pass","Fail")</f>
        <v>Pass</v>
      </c>
      <c r="I44" s="1">
        <f>IFERROR(Comp2[[#This Row],[Comparable '#2 Return]]-INDEX(Benchmark1[Benchmark '#1 Return],MATCH(Comp2[[#This Row],[Comparable '#2 Dates]],Benchmark1[Benchmark '#1 Dates],0)),"-")</f>
        <v>-4.3831081986491958E-4</v>
      </c>
      <c r="L44" s="72">
        <f>Comp2[[#This Row],[Comparable '#2 Price]]/$B$2*100</f>
        <v>96.07645875251508</v>
      </c>
    </row>
    <row r="45" spans="1:12">
      <c r="A45" s="96">
        <v>43348</v>
      </c>
      <c r="B45" s="101">
        <v>47.75</v>
      </c>
      <c r="C45" s="4">
        <f t="shared" si="0"/>
        <v>0</v>
      </c>
      <c r="D45" s="1">
        <f>IFERROR(Comp2[[#This Row],[Comparable '#2 Return]]+1,"-")</f>
        <v>1</v>
      </c>
      <c r="E45" s="6">
        <f>B45-MAX($B$2:B45)</f>
        <v>-8.2999999999999972</v>
      </c>
      <c r="F45" s="80">
        <f t="shared" si="1"/>
        <v>14</v>
      </c>
      <c r="G45" s="77">
        <f>Comp2[[#This Row],[Comparable '#2 Drawdown]]/MAX($B$2:B45)</f>
        <v>-0.14808206958073145</v>
      </c>
      <c r="H45" s="1" t="str">
        <f>IF(SUM(COUNTIF(Benchmark1[Benchmark '#1 Dates],Comp2[[#This Row],[Comparable '#2 Dates]]),COUNTIF(Benchmark2[Benchmark '#2 Dates],Comp2[[#This Row],[Comparable '#2 Dates]]))=2,"Pass","Fail")</f>
        <v>Pass</v>
      </c>
      <c r="I45" s="1">
        <f>IFERROR(Comp2[[#This Row],[Comparable '#2 Return]]-INDEX(Benchmark1[Benchmark '#1 Return],MATCH(Comp2[[#This Row],[Comparable '#2 Dates]],Benchmark1[Benchmark '#1 Dates],0)),"-")</f>
        <v>2.8076184152149878E-3</v>
      </c>
      <c r="L45" s="72">
        <f>Comp2[[#This Row],[Comparable '#2 Price]]/$B$2*100</f>
        <v>96.07645875251508</v>
      </c>
    </row>
    <row r="46" spans="1:12">
      <c r="A46" s="96">
        <v>43349</v>
      </c>
      <c r="B46" s="101">
        <v>46.55</v>
      </c>
      <c r="C46" s="4">
        <f t="shared" si="0"/>
        <v>-2.5452063203663181E-2</v>
      </c>
      <c r="D46" s="1">
        <f>IFERROR(Comp2[[#This Row],[Comparable '#2 Return]]+1,"-")</f>
        <v>0.97454793679633678</v>
      </c>
      <c r="E46" s="6">
        <f>B46-MAX($B$2:B46)</f>
        <v>-9.5</v>
      </c>
      <c r="F46" s="80">
        <f t="shared" si="1"/>
        <v>15</v>
      </c>
      <c r="G46" s="77">
        <f>Comp2[[#This Row],[Comparable '#2 Drawdown]]/MAX($B$2:B46)</f>
        <v>-0.16949152542372883</v>
      </c>
      <c r="H46" s="1" t="str">
        <f>IF(SUM(COUNTIF(Benchmark1[Benchmark '#1 Dates],Comp2[[#This Row],[Comparable '#2 Dates]]),COUNTIF(Benchmark2[Benchmark '#2 Dates],Comp2[[#This Row],[Comparable '#2 Dates]]))=2,"Pass","Fail")</f>
        <v>Pass</v>
      </c>
      <c r="I46" s="1">
        <f>IFERROR(Comp2[[#This Row],[Comparable '#2 Return]]-INDEX(Benchmark1[Benchmark '#1 Return],MATCH(Comp2[[#This Row],[Comparable '#2 Dates]],Benchmark1[Benchmark '#1 Dates],0)),"-")</f>
        <v>-2.1793311591782487E-2</v>
      </c>
      <c r="L46" s="72">
        <f>Comp2[[#This Row],[Comparable '#2 Price]]/$B$2*100</f>
        <v>93.661971830985905</v>
      </c>
    </row>
    <row r="47" spans="1:12">
      <c r="A47" s="96">
        <v>43350</v>
      </c>
      <c r="B47" s="101">
        <v>46</v>
      </c>
      <c r="C47" s="4">
        <f t="shared" si="0"/>
        <v>-1.1885607233980971E-2</v>
      </c>
      <c r="D47" s="1">
        <f>IFERROR(Comp2[[#This Row],[Comparable '#2 Return]]+1,"-")</f>
        <v>0.98811439276601898</v>
      </c>
      <c r="E47" s="6">
        <f>B47-MAX($B$2:B47)</f>
        <v>-10.049999999999997</v>
      </c>
      <c r="F47" s="80">
        <f t="shared" si="1"/>
        <v>16</v>
      </c>
      <c r="G47" s="77">
        <f>Comp2[[#This Row],[Comparable '#2 Drawdown]]/MAX($B$2:B47)</f>
        <v>-0.17930419268510256</v>
      </c>
      <c r="H47" s="1" t="str">
        <f>IF(SUM(COUNTIF(Benchmark1[Benchmark '#1 Dates],Comp2[[#This Row],[Comparable '#2 Dates]]),COUNTIF(Benchmark2[Benchmark '#2 Dates],Comp2[[#This Row],[Comparable '#2 Dates]]))=2,"Pass","Fail")</f>
        <v>Pass</v>
      </c>
      <c r="I47" s="1">
        <f>IFERROR(Comp2[[#This Row],[Comparable '#2 Return]]-INDEX(Benchmark1[Benchmark '#1 Return],MATCH(Comp2[[#This Row],[Comparable '#2 Dates]],Benchmark1[Benchmark '#1 Dates],0)),"-")</f>
        <v>-9.669536966671128E-3</v>
      </c>
      <c r="L47" s="72">
        <f>Comp2[[#This Row],[Comparable '#2 Price]]/$B$2*100</f>
        <v>92.555331991951704</v>
      </c>
    </row>
    <row r="48" spans="1:12">
      <c r="A48" s="96">
        <v>43353</v>
      </c>
      <c r="B48" s="101">
        <v>45.25</v>
      </c>
      <c r="C48" s="4">
        <f t="shared" si="0"/>
        <v>-1.6438726343159835E-2</v>
      </c>
      <c r="D48" s="1">
        <f>IFERROR(Comp2[[#This Row],[Comparable '#2 Return]]+1,"-")</f>
        <v>0.98356127365684021</v>
      </c>
      <c r="E48" s="6">
        <f>B48-MAX($B$2:B48)</f>
        <v>-10.799999999999997</v>
      </c>
      <c r="F48" s="80">
        <f t="shared" si="1"/>
        <v>17</v>
      </c>
      <c r="G48" s="77">
        <f>Comp2[[#This Row],[Comparable '#2 Drawdown]]/MAX($B$2:B48)</f>
        <v>-0.19268510258697588</v>
      </c>
      <c r="H48" s="1" t="str">
        <f>IF(SUM(COUNTIF(Benchmark1[Benchmark '#1 Dates],Comp2[[#This Row],[Comparable '#2 Dates]]),COUNTIF(Benchmark2[Benchmark '#2 Dates],Comp2[[#This Row],[Comparable '#2 Dates]]))=2,"Pass","Fail")</f>
        <v>Pass</v>
      </c>
      <c r="I48" s="1">
        <f>IFERROR(Comp2[[#This Row],[Comparable '#2 Return]]-INDEX(Benchmark1[Benchmark '#1 Return],MATCH(Comp2[[#This Row],[Comparable '#2 Dates]],Benchmark1[Benchmark '#1 Dates],0)),"-")</f>
        <v>-1.8332899731689035E-2</v>
      </c>
      <c r="L48" s="72">
        <f>Comp2[[#This Row],[Comparable '#2 Price]]/$B$2*100</f>
        <v>91.046277665995973</v>
      </c>
    </row>
    <row r="49" spans="1:12">
      <c r="A49" s="96">
        <v>43354</v>
      </c>
      <c r="B49" s="101">
        <v>45.3</v>
      </c>
      <c r="C49" s="4">
        <f t="shared" si="0"/>
        <v>1.1043623430532275E-3</v>
      </c>
      <c r="D49" s="1">
        <f>IFERROR(Comp2[[#This Row],[Comparable '#2 Return]]+1,"-")</f>
        <v>1.0011043623430533</v>
      </c>
      <c r="E49" s="6">
        <f>B49-MAX($B$2:B49)</f>
        <v>-10.75</v>
      </c>
      <c r="F49" s="80">
        <f t="shared" si="1"/>
        <v>18</v>
      </c>
      <c r="G49" s="77">
        <f>Comp2[[#This Row],[Comparable '#2 Drawdown]]/MAX($B$2:B49)</f>
        <v>-0.19179304192685104</v>
      </c>
      <c r="H49" s="1" t="str">
        <f>IF(SUM(COUNTIF(Benchmark1[Benchmark '#1 Dates],Comp2[[#This Row],[Comparable '#2 Dates]]),COUNTIF(Benchmark2[Benchmark '#2 Dates],Comp2[[#This Row],[Comparable '#2 Dates]]))=2,"Pass","Fail")</f>
        <v>Pass</v>
      </c>
      <c r="I49" s="1">
        <f>IFERROR(Comp2[[#This Row],[Comparable '#2 Return]]-INDEX(Benchmark1[Benchmark '#1 Return],MATCH(Comp2[[#This Row],[Comparable '#2 Dates]],Benchmark1[Benchmark '#1 Dates],0)),"-")</f>
        <v>-2.6311542924504555E-3</v>
      </c>
      <c r="L49" s="72">
        <f>Comp2[[#This Row],[Comparable '#2 Price]]/$B$2*100</f>
        <v>91.146881287726345</v>
      </c>
    </row>
    <row r="50" spans="1:12">
      <c r="A50" s="96">
        <v>43355</v>
      </c>
      <c r="B50" s="101">
        <v>44.5</v>
      </c>
      <c r="C50" s="4">
        <f t="shared" si="0"/>
        <v>-1.7817843316793786E-2</v>
      </c>
      <c r="D50" s="1">
        <f>IFERROR(Comp2[[#This Row],[Comparable '#2 Return]]+1,"-")</f>
        <v>0.98218215668320619</v>
      </c>
      <c r="E50" s="6">
        <f>B50-MAX($B$2:B50)</f>
        <v>-11.549999999999997</v>
      </c>
      <c r="F50" s="80">
        <f t="shared" si="1"/>
        <v>19</v>
      </c>
      <c r="G50" s="77">
        <f>Comp2[[#This Row],[Comparable '#2 Drawdown]]/MAX($B$2:B50)</f>
        <v>-0.2060660124888492</v>
      </c>
      <c r="H50" s="1" t="str">
        <f>IF(SUM(COUNTIF(Benchmark1[Benchmark '#1 Dates],Comp2[[#This Row],[Comparable '#2 Dates]]),COUNTIF(Benchmark2[Benchmark '#2 Dates],Comp2[[#This Row],[Comparable '#2 Dates]]))=2,"Pass","Fail")</f>
        <v>Pass</v>
      </c>
      <c r="I50" s="1">
        <f>IFERROR(Comp2[[#This Row],[Comparable '#2 Return]]-INDEX(Benchmark1[Benchmark '#1 Return],MATCH(Comp2[[#This Row],[Comparable '#2 Dates]],Benchmark1[Benchmark '#1 Dates],0)),"-")</f>
        <v>-1.8171968724834359E-2</v>
      </c>
      <c r="L50" s="72">
        <f>Comp2[[#This Row],[Comparable '#2 Price]]/$B$2*100</f>
        <v>89.537223340040242</v>
      </c>
    </row>
    <row r="51" spans="1:12">
      <c r="A51" s="96">
        <v>43356</v>
      </c>
      <c r="B51" s="101">
        <v>44.85</v>
      </c>
      <c r="C51" s="4">
        <f t="shared" si="0"/>
        <v>7.8343993326105924E-3</v>
      </c>
      <c r="D51" s="1">
        <f>IFERROR(Comp2[[#This Row],[Comparable '#2 Return]]+1,"-")</f>
        <v>1.0078343993326107</v>
      </c>
      <c r="E51" s="6">
        <f>B51-MAX($B$2:B51)</f>
        <v>-11.199999999999996</v>
      </c>
      <c r="F51" s="80">
        <f t="shared" si="1"/>
        <v>20</v>
      </c>
      <c r="G51" s="77">
        <f>Comp2[[#This Row],[Comparable '#2 Drawdown]]/MAX($B$2:B51)</f>
        <v>-0.19982158786797496</v>
      </c>
      <c r="H51" s="1" t="str">
        <f>IF(SUM(COUNTIF(Benchmark1[Benchmark '#1 Dates],Comp2[[#This Row],[Comparable '#2 Dates]]),COUNTIF(Benchmark2[Benchmark '#2 Dates],Comp2[[#This Row],[Comparable '#2 Dates]]))=2,"Pass","Fail")</f>
        <v>Pass</v>
      </c>
      <c r="I51" s="1">
        <f>IFERROR(Comp2[[#This Row],[Comparable '#2 Return]]-INDEX(Benchmark1[Benchmark '#1 Return],MATCH(Comp2[[#This Row],[Comparable '#2 Dates]],Benchmark1[Benchmark '#1 Dates],0)),"-")</f>
        <v>2.5635636064029839E-3</v>
      </c>
      <c r="L51" s="72">
        <f>Comp2[[#This Row],[Comparable '#2 Price]]/$B$2*100</f>
        <v>90.241448692152915</v>
      </c>
    </row>
    <row r="52" spans="1:12">
      <c r="A52" s="96">
        <v>43357</v>
      </c>
      <c r="B52" s="101">
        <v>44.85</v>
      </c>
      <c r="C52" s="4">
        <f t="shared" si="0"/>
        <v>0</v>
      </c>
      <c r="D52" s="1">
        <f>IFERROR(Comp2[[#This Row],[Comparable '#2 Return]]+1,"-")</f>
        <v>1</v>
      </c>
      <c r="E52" s="6">
        <f>B52-MAX($B$2:B52)</f>
        <v>-11.199999999999996</v>
      </c>
      <c r="F52" s="80">
        <f t="shared" si="1"/>
        <v>21</v>
      </c>
      <c r="G52" s="77">
        <f>Comp2[[#This Row],[Comparable '#2 Drawdown]]/MAX($B$2:B52)</f>
        <v>-0.19982158786797496</v>
      </c>
      <c r="H52" s="1" t="str">
        <f>IF(SUM(COUNTIF(Benchmark1[Benchmark '#1 Dates],Comp2[[#This Row],[Comparable '#2 Dates]]),COUNTIF(Benchmark2[Benchmark '#2 Dates],Comp2[[#This Row],[Comparable '#2 Dates]]))=2,"Pass","Fail")</f>
        <v>Pass</v>
      </c>
      <c r="I52" s="1">
        <f>IFERROR(Comp2[[#This Row],[Comparable '#2 Return]]-INDEX(Benchmark1[Benchmark '#1 Return],MATCH(Comp2[[#This Row],[Comparable '#2 Dates]],Benchmark1[Benchmark '#1 Dates],0)),"-")</f>
        <v>-2.7250932839016807E-4</v>
      </c>
      <c r="L52" s="72">
        <f>Comp2[[#This Row],[Comparable '#2 Price]]/$B$2*100</f>
        <v>90.241448692152915</v>
      </c>
    </row>
    <row r="53" spans="1:12">
      <c r="A53" s="96">
        <v>43360</v>
      </c>
      <c r="B53" s="101">
        <v>44.65</v>
      </c>
      <c r="C53" s="4">
        <f t="shared" si="0"/>
        <v>-4.469281182297143E-3</v>
      </c>
      <c r="D53" s="1">
        <f>IFERROR(Comp2[[#This Row],[Comparable '#2 Return]]+1,"-")</f>
        <v>0.99553071881770283</v>
      </c>
      <c r="E53" s="6">
        <f>B53-MAX($B$2:B53)</f>
        <v>-11.399999999999999</v>
      </c>
      <c r="F53" s="80">
        <f t="shared" si="1"/>
        <v>22</v>
      </c>
      <c r="G53" s="77">
        <f>Comp2[[#This Row],[Comparable '#2 Drawdown]]/MAX($B$2:B53)</f>
        <v>-0.20338983050847456</v>
      </c>
      <c r="H53" s="1" t="str">
        <f>IF(SUM(COUNTIF(Benchmark1[Benchmark '#1 Dates],Comp2[[#This Row],[Comparable '#2 Dates]]),COUNTIF(Benchmark2[Benchmark '#2 Dates],Comp2[[#This Row],[Comparable '#2 Dates]]))=2,"Pass","Fail")</f>
        <v>Pass</v>
      </c>
      <c r="I53" s="1">
        <f>IFERROR(Comp2[[#This Row],[Comparable '#2 Return]]-INDEX(Benchmark1[Benchmark '#1 Return],MATCH(Comp2[[#This Row],[Comparable '#2 Dates]],Benchmark1[Benchmark '#1 Dates],0)),"-")</f>
        <v>1.1140485401312768E-3</v>
      </c>
      <c r="L53" s="72">
        <f>Comp2[[#This Row],[Comparable '#2 Price]]/$B$2*100</f>
        <v>89.839034205231385</v>
      </c>
    </row>
    <row r="54" spans="1:12">
      <c r="A54" s="96">
        <v>43361</v>
      </c>
      <c r="B54" s="101">
        <v>44.85</v>
      </c>
      <c r="C54" s="4">
        <f t="shared" si="0"/>
        <v>4.4692811822970432E-3</v>
      </c>
      <c r="D54" s="1">
        <f>IFERROR(Comp2[[#This Row],[Comparable '#2 Return]]+1,"-")</f>
        <v>1.0044692811822971</v>
      </c>
      <c r="E54" s="6">
        <f>B54-MAX($B$2:B54)</f>
        <v>-11.199999999999996</v>
      </c>
      <c r="F54" s="80">
        <f t="shared" si="1"/>
        <v>23</v>
      </c>
      <c r="G54" s="77">
        <f>Comp2[[#This Row],[Comparable '#2 Drawdown]]/MAX($B$2:B54)</f>
        <v>-0.19982158786797496</v>
      </c>
      <c r="H54" s="1" t="str">
        <f>IF(SUM(COUNTIF(Benchmark1[Benchmark '#1 Dates],Comp2[[#This Row],[Comparable '#2 Dates]]),COUNTIF(Benchmark2[Benchmark '#2 Dates],Comp2[[#This Row],[Comparable '#2 Dates]]))=2,"Pass","Fail")</f>
        <v>Pass</v>
      </c>
      <c r="I54" s="1">
        <f>IFERROR(Comp2[[#This Row],[Comparable '#2 Return]]-INDEX(Benchmark1[Benchmark '#1 Return],MATCH(Comp2[[#This Row],[Comparable '#2 Dates]],Benchmark1[Benchmark '#1 Dates],0)),"-")</f>
        <v>-8.8519458364832992E-4</v>
      </c>
      <c r="L54" s="72">
        <f>Comp2[[#This Row],[Comparable '#2 Price]]/$B$2*100</f>
        <v>90.241448692152915</v>
      </c>
    </row>
    <row r="55" spans="1:12">
      <c r="A55" s="96">
        <v>43362</v>
      </c>
      <c r="B55" s="101">
        <v>45.05</v>
      </c>
      <c r="C55" s="4">
        <f t="shared" si="0"/>
        <v>4.4493955495416458E-3</v>
      </c>
      <c r="D55" s="1">
        <f>IFERROR(Comp2[[#This Row],[Comparable '#2 Return]]+1,"-")</f>
        <v>1.0044493955495417</v>
      </c>
      <c r="E55" s="6">
        <f>B55-MAX($B$2:B55)</f>
        <v>-11</v>
      </c>
      <c r="F55" s="80">
        <f t="shared" si="1"/>
        <v>24</v>
      </c>
      <c r="G55" s="77">
        <f>Comp2[[#This Row],[Comparable '#2 Drawdown]]/MAX($B$2:B55)</f>
        <v>-0.19625334522747548</v>
      </c>
      <c r="H55" s="1" t="str">
        <f>IF(SUM(COUNTIF(Benchmark1[Benchmark '#1 Dates],Comp2[[#This Row],[Comparable '#2 Dates]]),COUNTIF(Benchmark2[Benchmark '#2 Dates],Comp2[[#This Row],[Comparable '#2 Dates]]))=2,"Pass","Fail")</f>
        <v>Pass</v>
      </c>
      <c r="I55" s="1">
        <f>IFERROR(Comp2[[#This Row],[Comparable '#2 Return]]-INDEX(Benchmark1[Benchmark '#1 Return],MATCH(Comp2[[#This Row],[Comparable '#2 Dates]],Benchmark1[Benchmark '#1 Dates],0)),"-")</f>
        <v>3.19867692054782E-3</v>
      </c>
      <c r="L55" s="72">
        <f>Comp2[[#This Row],[Comparable '#2 Price]]/$B$2*100</f>
        <v>90.64386317907443</v>
      </c>
    </row>
    <row r="56" spans="1:12">
      <c r="A56" s="96">
        <v>43363</v>
      </c>
      <c r="B56" s="101">
        <v>45.45</v>
      </c>
      <c r="C56" s="4">
        <f t="shared" si="0"/>
        <v>8.839836569141021E-3</v>
      </c>
      <c r="D56" s="1">
        <f>IFERROR(Comp2[[#This Row],[Comparable '#2 Return]]+1,"-")</f>
        <v>1.0088398365691411</v>
      </c>
      <c r="E56" s="6">
        <f>B56-MAX($B$2:B56)</f>
        <v>-10.599999999999994</v>
      </c>
      <c r="F56" s="80">
        <f t="shared" si="1"/>
        <v>25</v>
      </c>
      <c r="G56" s="77">
        <f>Comp2[[#This Row],[Comparable '#2 Drawdown]]/MAX($B$2:B56)</f>
        <v>-0.18911685994647626</v>
      </c>
      <c r="H56" s="1" t="str">
        <f>IF(SUM(COUNTIF(Benchmark1[Benchmark '#1 Dates],Comp2[[#This Row],[Comparable '#2 Dates]]),COUNTIF(Benchmark2[Benchmark '#2 Dates],Comp2[[#This Row],[Comparable '#2 Dates]]))=2,"Pass","Fail")</f>
        <v>Pass</v>
      </c>
      <c r="I56" s="1">
        <f>IFERROR(Comp2[[#This Row],[Comparable '#2 Return]]-INDEX(Benchmark1[Benchmark '#1 Return],MATCH(Comp2[[#This Row],[Comparable '#2 Dates]],Benchmark1[Benchmark '#1 Dates],0)),"-")</f>
        <v>1.0295682631204749E-3</v>
      </c>
      <c r="L56" s="72">
        <f>Comp2[[#This Row],[Comparable '#2 Price]]/$B$2*100</f>
        <v>91.448692152917516</v>
      </c>
    </row>
    <row r="57" spans="1:12">
      <c r="A57" s="96">
        <v>43364</v>
      </c>
      <c r="B57" s="101">
        <v>45.35</v>
      </c>
      <c r="C57" s="4">
        <f t="shared" si="0"/>
        <v>-2.2026440623422947E-3</v>
      </c>
      <c r="D57" s="1">
        <f>IFERROR(Comp2[[#This Row],[Comparable '#2 Return]]+1,"-")</f>
        <v>0.99779735593765773</v>
      </c>
      <c r="E57" s="6">
        <f>B57-MAX($B$2:B57)</f>
        <v>-10.699999999999996</v>
      </c>
      <c r="F57" s="80">
        <f t="shared" si="1"/>
        <v>26</v>
      </c>
      <c r="G57" s="77">
        <f>Comp2[[#This Row],[Comparable '#2 Drawdown]]/MAX($B$2:B57)</f>
        <v>-0.19090098126672608</v>
      </c>
      <c r="H57" s="1" t="str">
        <f>IF(SUM(COUNTIF(Benchmark1[Benchmark '#1 Dates],Comp2[[#This Row],[Comparable '#2 Dates]]),COUNTIF(Benchmark2[Benchmark '#2 Dates],Comp2[[#This Row],[Comparable '#2 Dates]]))=2,"Pass","Fail")</f>
        <v>Pass</v>
      </c>
      <c r="I57" s="1">
        <f>IFERROR(Comp2[[#This Row],[Comparable '#2 Return]]-INDEX(Benchmark1[Benchmark '#1 Return],MATCH(Comp2[[#This Row],[Comparable '#2 Dates]],Benchmark1[Benchmark '#1 Dates],0)),"-")</f>
        <v>-1.8344255008418645E-3</v>
      </c>
      <c r="L57" s="72">
        <f>Comp2[[#This Row],[Comparable '#2 Price]]/$B$2*100</f>
        <v>91.24748490945673</v>
      </c>
    </row>
    <row r="58" spans="1:12">
      <c r="A58" s="96">
        <v>43367</v>
      </c>
      <c r="B58" s="101">
        <v>46.05</v>
      </c>
      <c r="C58" s="4">
        <f t="shared" si="0"/>
        <v>1.5317586140170191E-2</v>
      </c>
      <c r="D58" s="1">
        <f>IFERROR(Comp2[[#This Row],[Comparable '#2 Return]]+1,"-")</f>
        <v>1.0153175861401702</v>
      </c>
      <c r="E58" s="6">
        <f>B58-MAX($B$2:B58)</f>
        <v>-10</v>
      </c>
      <c r="F58" s="80">
        <f t="shared" si="1"/>
        <v>27</v>
      </c>
      <c r="G58" s="77">
        <f>Comp2[[#This Row],[Comparable '#2 Drawdown]]/MAX($B$2:B58)</f>
        <v>-0.17841213202497772</v>
      </c>
      <c r="H58" s="1" t="str">
        <f>IF(SUM(COUNTIF(Benchmark1[Benchmark '#1 Dates],Comp2[[#This Row],[Comparable '#2 Dates]]),COUNTIF(Benchmark2[Benchmark '#2 Dates],Comp2[[#This Row],[Comparable '#2 Dates]]))=2,"Pass","Fail")</f>
        <v>Pass</v>
      </c>
      <c r="I58" s="1">
        <f>IFERROR(Comp2[[#This Row],[Comparable '#2 Return]]-INDEX(Benchmark1[Benchmark '#1 Return],MATCH(Comp2[[#This Row],[Comparable '#2 Dates]],Benchmark1[Benchmark '#1 Dates],0)),"-")</f>
        <v>1.8837499243172764E-2</v>
      </c>
      <c r="L58" s="72">
        <f>Comp2[[#This Row],[Comparable '#2 Price]]/$B$2*100</f>
        <v>92.65593561368209</v>
      </c>
    </row>
    <row r="59" spans="1:12">
      <c r="A59" s="96">
        <v>43368</v>
      </c>
      <c r="B59" s="101">
        <v>47.15</v>
      </c>
      <c r="C59" s="4">
        <f t="shared" si="0"/>
        <v>2.3606246378150661E-2</v>
      </c>
      <c r="D59" s="1">
        <f>IFERROR(Comp2[[#This Row],[Comparable '#2 Return]]+1,"-")</f>
        <v>1.0236062463781506</v>
      </c>
      <c r="E59" s="6">
        <f>B59-MAX($B$2:B59)</f>
        <v>-8.8999999999999986</v>
      </c>
      <c r="F59" s="80">
        <f t="shared" si="1"/>
        <v>28</v>
      </c>
      <c r="G59" s="77">
        <f>Comp2[[#This Row],[Comparable '#2 Drawdown]]/MAX($B$2:B59)</f>
        <v>-0.15878679750223013</v>
      </c>
      <c r="H59" s="1" t="str">
        <f>IF(SUM(COUNTIF(Benchmark1[Benchmark '#1 Dates],Comp2[[#This Row],[Comparable '#2 Dates]]),COUNTIF(Benchmark2[Benchmark '#2 Dates],Comp2[[#This Row],[Comparable '#2 Dates]]))=2,"Pass","Fail")</f>
        <v>Pass</v>
      </c>
      <c r="I59" s="1">
        <f>IFERROR(Comp2[[#This Row],[Comparable '#2 Return]]-INDEX(Benchmark1[Benchmark '#1 Return],MATCH(Comp2[[#This Row],[Comparable '#2 Dates]],Benchmark1[Benchmark '#1 Dates],0)),"-")</f>
        <v>2.4911784333591598E-2</v>
      </c>
      <c r="L59" s="72">
        <f>Comp2[[#This Row],[Comparable '#2 Price]]/$B$2*100</f>
        <v>94.869215291750493</v>
      </c>
    </row>
    <row r="60" spans="1:12">
      <c r="A60" s="96">
        <v>43369</v>
      </c>
      <c r="B60" s="101">
        <v>47.35</v>
      </c>
      <c r="C60" s="4">
        <f t="shared" si="0"/>
        <v>4.2328105526207626E-3</v>
      </c>
      <c r="D60" s="1">
        <f>IFERROR(Comp2[[#This Row],[Comparable '#2 Return]]+1,"-")</f>
        <v>1.0042328105526208</v>
      </c>
      <c r="E60" s="6">
        <f>B60-MAX($B$2:B60)</f>
        <v>-8.6999999999999957</v>
      </c>
      <c r="F60" s="80">
        <f t="shared" si="1"/>
        <v>29</v>
      </c>
      <c r="G60" s="77">
        <f>Comp2[[#This Row],[Comparable '#2 Drawdown]]/MAX($B$2:B60)</f>
        <v>-0.15521855486173053</v>
      </c>
      <c r="H60" s="1" t="str">
        <f>IF(SUM(COUNTIF(Benchmark1[Benchmark '#1 Dates],Comp2[[#This Row],[Comparable '#2 Dates]]),COUNTIF(Benchmark2[Benchmark '#2 Dates],Comp2[[#This Row],[Comparable '#2 Dates]]))=2,"Pass","Fail")</f>
        <v>Pass</v>
      </c>
      <c r="I60" s="1">
        <f>IFERROR(Comp2[[#This Row],[Comparable '#2 Return]]-INDEX(Benchmark1[Benchmark '#1 Return],MATCH(Comp2[[#This Row],[Comparable '#2 Dates]],Benchmark1[Benchmark '#1 Dates],0)),"-")</f>
        <v>7.5304677135891538E-3</v>
      </c>
      <c r="L60" s="72">
        <f>Comp2[[#This Row],[Comparable '#2 Price]]/$B$2*100</f>
        <v>95.271629778672036</v>
      </c>
    </row>
    <row r="61" spans="1:12">
      <c r="A61" s="96">
        <v>43370</v>
      </c>
      <c r="B61" s="101">
        <v>47.5</v>
      </c>
      <c r="C61" s="4">
        <f t="shared" si="0"/>
        <v>3.162891408508217E-3</v>
      </c>
      <c r="D61" s="1">
        <f>IFERROR(Comp2[[#This Row],[Comparable '#2 Return]]+1,"-")</f>
        <v>1.0031628914085082</v>
      </c>
      <c r="E61" s="6">
        <f>B61-MAX($B$2:B61)</f>
        <v>-8.5499999999999972</v>
      </c>
      <c r="F61" s="80">
        <f t="shared" si="1"/>
        <v>30</v>
      </c>
      <c r="G61" s="77">
        <f>Comp2[[#This Row],[Comparable '#2 Drawdown]]/MAX($B$2:B61)</f>
        <v>-0.15254237288135589</v>
      </c>
      <c r="H61" s="1" t="str">
        <f>IF(SUM(COUNTIF(Benchmark1[Benchmark '#1 Dates],Comp2[[#This Row],[Comparable '#2 Dates]]),COUNTIF(Benchmark2[Benchmark '#2 Dates],Comp2[[#This Row],[Comparable '#2 Dates]]))=2,"Pass","Fail")</f>
        <v>Pass</v>
      </c>
      <c r="I61" s="1">
        <f>IFERROR(Comp2[[#This Row],[Comparable '#2 Return]]-INDEX(Benchmark1[Benchmark '#1 Return],MATCH(Comp2[[#This Row],[Comparable '#2 Dates]],Benchmark1[Benchmark '#1 Dates],0)),"-")</f>
        <v>4.0252935886046608E-4</v>
      </c>
      <c r="L61" s="72">
        <f>Comp2[[#This Row],[Comparable '#2 Price]]/$B$2*100</f>
        <v>95.573440643863165</v>
      </c>
    </row>
    <row r="62" spans="1:12">
      <c r="A62" s="96">
        <v>43371</v>
      </c>
      <c r="B62" s="101">
        <v>48.2</v>
      </c>
      <c r="C62" s="4">
        <f t="shared" si="0"/>
        <v>1.4629310015959096E-2</v>
      </c>
      <c r="D62" s="1">
        <f>IFERROR(Comp2[[#This Row],[Comparable '#2 Return]]+1,"-")</f>
        <v>1.0146293100159591</v>
      </c>
      <c r="E62" s="6">
        <f>B62-MAX($B$2:B62)</f>
        <v>-7.8499999999999943</v>
      </c>
      <c r="F62" s="80">
        <f t="shared" si="1"/>
        <v>31</v>
      </c>
      <c r="G62" s="77">
        <f>Comp2[[#This Row],[Comparable '#2 Drawdown]]/MAX($B$2:B62)</f>
        <v>-0.14005352363960741</v>
      </c>
      <c r="H62" s="1" t="str">
        <f>IF(SUM(COUNTIF(Benchmark1[Benchmark '#1 Dates],Comp2[[#This Row],[Comparable '#2 Dates]]),COUNTIF(Benchmark2[Benchmark '#2 Dates],Comp2[[#This Row],[Comparable '#2 Dates]]))=2,"Pass","Fail")</f>
        <v>Pass</v>
      </c>
      <c r="I62" s="1">
        <f>IFERROR(Comp2[[#This Row],[Comparable '#2 Return]]-INDEX(Benchmark1[Benchmark '#1 Return],MATCH(Comp2[[#This Row],[Comparable '#2 Dates]],Benchmark1[Benchmark '#1 Dates],0)),"-")</f>
        <v>1.4636189323173728E-2</v>
      </c>
      <c r="L62" s="72">
        <f>Comp2[[#This Row],[Comparable '#2 Price]]/$B$2*100</f>
        <v>96.981891348088539</v>
      </c>
    </row>
    <row r="63" spans="1:12">
      <c r="A63" s="96">
        <v>43374</v>
      </c>
      <c r="B63" s="101">
        <v>47.88</v>
      </c>
      <c r="C63" s="4">
        <f t="shared" si="0"/>
        <v>-6.6611403667821987E-3</v>
      </c>
      <c r="D63" s="1">
        <f>IFERROR(Comp2[[#This Row],[Comparable '#2 Return]]+1,"-")</f>
        <v>0.99333885963321777</v>
      </c>
      <c r="E63" s="6">
        <f>B63-MAX($B$2:B63)</f>
        <v>-8.1699999999999946</v>
      </c>
      <c r="F63" s="80">
        <f t="shared" si="1"/>
        <v>32</v>
      </c>
      <c r="G63" s="77">
        <f>Comp2[[#This Row],[Comparable '#2 Drawdown]]/MAX($B$2:B63)</f>
        <v>-0.1457627118644067</v>
      </c>
      <c r="H63" s="1" t="str">
        <f>IF(SUM(COUNTIF(Benchmark1[Benchmark '#1 Dates],Comp2[[#This Row],[Comparable '#2 Dates]]),COUNTIF(Benchmark2[Benchmark '#2 Dates],Comp2[[#This Row],[Comparable '#2 Dates]]))=2,"Pass","Fail")</f>
        <v>Pass</v>
      </c>
      <c r="I63" s="1">
        <f>IFERROR(Comp2[[#This Row],[Comparable '#2 Return]]-INDEX(Benchmark1[Benchmark '#1 Return],MATCH(Comp2[[#This Row],[Comparable '#2 Dates]],Benchmark1[Benchmark '#1 Dates],0)),"-")</f>
        <v>-1.0296554697976044E-2</v>
      </c>
      <c r="L63" s="72">
        <f>Comp2[[#This Row],[Comparable '#2 Price]]/$B$2*100</f>
        <v>96.338028169014095</v>
      </c>
    </row>
    <row r="64" spans="1:12">
      <c r="A64" s="96">
        <v>43375</v>
      </c>
      <c r="B64" s="101">
        <v>46.28</v>
      </c>
      <c r="C64" s="4">
        <f t="shared" si="0"/>
        <v>-3.3987978364296574E-2</v>
      </c>
      <c r="D64" s="1">
        <f>IFERROR(Comp2[[#This Row],[Comparable '#2 Return]]+1,"-")</f>
        <v>0.96601202163570343</v>
      </c>
      <c r="E64" s="6">
        <f>B64-MAX($B$2:B64)</f>
        <v>-9.769999999999996</v>
      </c>
      <c r="F64" s="80">
        <f t="shared" si="1"/>
        <v>33</v>
      </c>
      <c r="G64" s="77">
        <f>Comp2[[#This Row],[Comparable '#2 Drawdown]]/MAX($B$2:B64)</f>
        <v>-0.17430865298840315</v>
      </c>
      <c r="H64" s="1" t="str">
        <f>IF(SUM(COUNTIF(Benchmark1[Benchmark '#1 Dates],Comp2[[#This Row],[Comparable '#2 Dates]]),COUNTIF(Benchmark2[Benchmark '#2 Dates],Comp2[[#This Row],[Comparable '#2 Dates]]))=2,"Pass","Fail")</f>
        <v>Pass</v>
      </c>
      <c r="I64" s="1">
        <f>IFERROR(Comp2[[#This Row],[Comparable '#2 Return]]-INDEX(Benchmark1[Benchmark '#1 Return],MATCH(Comp2[[#This Row],[Comparable '#2 Dates]],Benchmark1[Benchmark '#1 Dates],0)),"-")</f>
        <v>-3.3592123518550579E-2</v>
      </c>
      <c r="L64" s="72">
        <f>Comp2[[#This Row],[Comparable '#2 Price]]/$B$2*100</f>
        <v>93.118712273641847</v>
      </c>
    </row>
    <row r="65" spans="1:12">
      <c r="A65" s="96">
        <v>43376</v>
      </c>
      <c r="B65" s="101">
        <v>46.74</v>
      </c>
      <c r="C65" s="4">
        <f t="shared" si="0"/>
        <v>9.8904267852361373E-3</v>
      </c>
      <c r="D65" s="1">
        <f>IFERROR(Comp2[[#This Row],[Comparable '#2 Return]]+1,"-")</f>
        <v>1.0098904267852362</v>
      </c>
      <c r="E65" s="6">
        <f>B65-MAX($B$2:B65)</f>
        <v>-9.3099999999999952</v>
      </c>
      <c r="F65" s="80">
        <f t="shared" si="1"/>
        <v>34</v>
      </c>
      <c r="G65" s="77">
        <f>Comp2[[#This Row],[Comparable '#2 Drawdown]]/MAX($B$2:B65)</f>
        <v>-0.16610169491525417</v>
      </c>
      <c r="H65" s="1" t="str">
        <f>IF(SUM(COUNTIF(Benchmark1[Benchmark '#1 Dates],Comp2[[#This Row],[Comparable '#2 Dates]]),COUNTIF(Benchmark2[Benchmark '#2 Dates],Comp2[[#This Row],[Comparable '#2 Dates]]))=2,"Pass","Fail")</f>
        <v>Pass</v>
      </c>
      <c r="I65" s="1">
        <f>IFERROR(Comp2[[#This Row],[Comparable '#2 Return]]-INDEX(Benchmark1[Benchmark '#1 Return],MATCH(Comp2[[#This Row],[Comparable '#2 Dates]],Benchmark1[Benchmark '#1 Dates],0)),"-")</f>
        <v>9.1793294621332743E-3</v>
      </c>
      <c r="L65" s="72">
        <f>Comp2[[#This Row],[Comparable '#2 Price]]/$B$2*100</f>
        <v>94.044265593561377</v>
      </c>
    </row>
    <row r="66" spans="1:12">
      <c r="A66" s="96">
        <v>43377</v>
      </c>
      <c r="B66" s="101">
        <v>45.51</v>
      </c>
      <c r="C66" s="4">
        <f t="shared" ref="C66:C129" si="2">IFERROR(IF(B66="","-",LN(B66/B65)),"-")</f>
        <v>-2.6668247082161409E-2</v>
      </c>
      <c r="D66" s="1">
        <f>IFERROR(Comp2[[#This Row],[Comparable '#2 Return]]+1,"-")</f>
        <v>0.97333175291783858</v>
      </c>
      <c r="E66" s="6">
        <f>B66-MAX($B$2:B66)</f>
        <v>-10.54</v>
      </c>
      <c r="F66" s="80">
        <f t="shared" ref="F66:F129" si="3">IF(E66=0,0,F65+1)</f>
        <v>35</v>
      </c>
      <c r="G66" s="77">
        <f>Comp2[[#This Row],[Comparable '#2 Drawdown]]/MAX($B$2:B66)</f>
        <v>-0.18804638715432648</v>
      </c>
      <c r="H66" s="1" t="str">
        <f>IF(SUM(COUNTIF(Benchmark1[Benchmark '#1 Dates],Comp2[[#This Row],[Comparable '#2 Dates]]),COUNTIF(Benchmark2[Benchmark '#2 Dates],Comp2[[#This Row],[Comparable '#2 Dates]]))=2,"Pass","Fail")</f>
        <v>Pass</v>
      </c>
      <c r="I66" s="1">
        <f>IFERROR(Comp2[[#This Row],[Comparable '#2 Return]]-INDEX(Benchmark1[Benchmark '#1 Return],MATCH(Comp2[[#This Row],[Comparable '#2 Dates]],Benchmark1[Benchmark '#1 Dates],0)),"-")</f>
        <v>-1.8464652475170103E-2</v>
      </c>
      <c r="L66" s="72">
        <f>Comp2[[#This Row],[Comparable '#2 Price]]/$B$2*100</f>
        <v>91.569416498993945</v>
      </c>
    </row>
    <row r="67" spans="1:12">
      <c r="A67" s="96">
        <v>43378</v>
      </c>
      <c r="B67" s="101">
        <v>46.05</v>
      </c>
      <c r="C67" s="4">
        <f t="shared" si="2"/>
        <v>1.1795680672765273E-2</v>
      </c>
      <c r="D67" s="1">
        <f>IFERROR(Comp2[[#This Row],[Comparable '#2 Return]]+1,"-")</f>
        <v>1.0117956806727653</v>
      </c>
      <c r="E67" s="6">
        <f>B67-MAX($B$2:B67)</f>
        <v>-10</v>
      </c>
      <c r="F67" s="80">
        <f t="shared" si="3"/>
        <v>36</v>
      </c>
      <c r="G67" s="77">
        <f>Comp2[[#This Row],[Comparable '#2 Drawdown]]/MAX($B$2:B67)</f>
        <v>-0.17841213202497772</v>
      </c>
      <c r="H67" s="1" t="str">
        <f>IF(SUM(COUNTIF(Benchmark1[Benchmark '#1 Dates],Comp2[[#This Row],[Comparable '#2 Dates]]),COUNTIF(Benchmark2[Benchmark '#2 Dates],Comp2[[#This Row],[Comparable '#2 Dates]]))=2,"Pass","Fail")</f>
        <v>Pass</v>
      </c>
      <c r="I67" s="1">
        <f>IFERROR(Comp2[[#This Row],[Comparable '#2 Return]]-INDEX(Benchmark1[Benchmark '#1 Return],MATCH(Comp2[[#This Row],[Comparable '#2 Dates]],Benchmark1[Benchmark '#1 Dates],0)),"-")</f>
        <v>1.7340793546122002E-2</v>
      </c>
      <c r="L67" s="72">
        <f>Comp2[[#This Row],[Comparable '#2 Price]]/$B$2*100</f>
        <v>92.65593561368209</v>
      </c>
    </row>
    <row r="68" spans="1:12">
      <c r="A68" s="96">
        <v>43381</v>
      </c>
      <c r="B68" s="101">
        <v>45.49</v>
      </c>
      <c r="C68" s="4">
        <f t="shared" si="2"/>
        <v>-1.2235241119403004E-2</v>
      </c>
      <c r="D68" s="1">
        <f>IFERROR(Comp2[[#This Row],[Comparable '#2 Return]]+1,"-")</f>
        <v>0.987764758880597</v>
      </c>
      <c r="E68" s="6">
        <f>B68-MAX($B$2:B68)</f>
        <v>-10.559999999999995</v>
      </c>
      <c r="F68" s="80">
        <f t="shared" si="3"/>
        <v>37</v>
      </c>
      <c r="G68" s="77">
        <f>Comp2[[#This Row],[Comparable '#2 Drawdown]]/MAX($B$2:B68)</f>
        <v>-0.18840321141837638</v>
      </c>
      <c r="H68" s="1" t="str">
        <f>IF(SUM(COUNTIF(Benchmark1[Benchmark '#1 Dates],Comp2[[#This Row],[Comparable '#2 Dates]]),COUNTIF(Benchmark2[Benchmark '#2 Dates],Comp2[[#This Row],[Comparable '#2 Dates]]))=2,"Pass","Fail")</f>
        <v>Pass</v>
      </c>
      <c r="I68" s="1">
        <f>IFERROR(Comp2[[#This Row],[Comparable '#2 Return]]-INDEX(Benchmark1[Benchmark '#1 Return],MATCH(Comp2[[#This Row],[Comparable '#2 Dates]],Benchmark1[Benchmark '#1 Dates],0)),"-")</f>
        <v>-1.1842319748607969E-2</v>
      </c>
      <c r="L68" s="72">
        <f>Comp2[[#This Row],[Comparable '#2 Price]]/$B$2*100</f>
        <v>91.529175050301816</v>
      </c>
    </row>
    <row r="69" spans="1:12">
      <c r="A69" s="96">
        <v>43382</v>
      </c>
      <c r="B69" s="101">
        <v>47.08</v>
      </c>
      <c r="C69" s="4">
        <f t="shared" si="2"/>
        <v>3.4355760810163061E-2</v>
      </c>
      <c r="D69" s="1">
        <f>IFERROR(Comp2[[#This Row],[Comparable '#2 Return]]+1,"-")</f>
        <v>1.034355760810163</v>
      </c>
      <c r="E69" s="6">
        <f>B69-MAX($B$2:B69)</f>
        <v>-8.9699999999999989</v>
      </c>
      <c r="F69" s="80">
        <f t="shared" si="3"/>
        <v>38</v>
      </c>
      <c r="G69" s="77">
        <f>Comp2[[#This Row],[Comparable '#2 Drawdown]]/MAX($B$2:B69)</f>
        <v>-0.16003568242640498</v>
      </c>
      <c r="H69" s="1" t="str">
        <f>IF(SUM(COUNTIF(Benchmark1[Benchmark '#1 Dates],Comp2[[#This Row],[Comparable '#2 Dates]]),COUNTIF(Benchmark2[Benchmark '#2 Dates],Comp2[[#This Row],[Comparable '#2 Dates]]))=2,"Pass","Fail")</f>
        <v>Pass</v>
      </c>
      <c r="I69" s="1">
        <f>IFERROR(Comp2[[#This Row],[Comparable '#2 Return]]-INDEX(Benchmark1[Benchmark '#1 Return],MATCH(Comp2[[#This Row],[Comparable '#2 Dates]],Benchmark1[Benchmark '#1 Dates],0)),"-")</f>
        <v>3.5774363401538396E-2</v>
      </c>
      <c r="L69" s="72">
        <f>Comp2[[#This Row],[Comparable '#2 Price]]/$B$2*100</f>
        <v>94.728370221327964</v>
      </c>
    </row>
    <row r="70" spans="1:12">
      <c r="A70" s="96">
        <v>43383</v>
      </c>
      <c r="B70" s="101">
        <v>47.37</v>
      </c>
      <c r="C70" s="4">
        <f t="shared" si="2"/>
        <v>6.1408345435843888E-3</v>
      </c>
      <c r="D70" s="1">
        <f>IFERROR(Comp2[[#This Row],[Comparable '#2 Return]]+1,"-")</f>
        <v>1.0061408345435845</v>
      </c>
      <c r="E70" s="6">
        <f>B70-MAX($B$2:B70)</f>
        <v>-8.68</v>
      </c>
      <c r="F70" s="80">
        <f t="shared" si="3"/>
        <v>39</v>
      </c>
      <c r="G70" s="77">
        <f>Comp2[[#This Row],[Comparable '#2 Drawdown]]/MAX($B$2:B70)</f>
        <v>-0.15486173059768066</v>
      </c>
      <c r="H70" s="1" t="str">
        <f>IF(SUM(COUNTIF(Benchmark1[Benchmark '#1 Dates],Comp2[[#This Row],[Comparable '#2 Dates]]),COUNTIF(Benchmark2[Benchmark '#2 Dates],Comp2[[#This Row],[Comparable '#2 Dates]]))=2,"Pass","Fail")</f>
        <v>Pass</v>
      </c>
      <c r="I70" s="1">
        <f>IFERROR(Comp2[[#This Row],[Comparable '#2 Return]]-INDEX(Benchmark1[Benchmark '#1 Return],MATCH(Comp2[[#This Row],[Comparable '#2 Dates]],Benchmark1[Benchmark '#1 Dates],0)),"-")</f>
        <v>3.955875183924739E-2</v>
      </c>
      <c r="L70" s="72">
        <f>Comp2[[#This Row],[Comparable '#2 Price]]/$B$2*100</f>
        <v>95.311871227364179</v>
      </c>
    </row>
    <row r="71" spans="1:12">
      <c r="A71" s="96">
        <v>43384</v>
      </c>
      <c r="B71" s="101">
        <v>46.33</v>
      </c>
      <c r="C71" s="4">
        <f t="shared" si="2"/>
        <v>-2.2199417507103442E-2</v>
      </c>
      <c r="D71" s="1">
        <f>IFERROR(Comp2[[#This Row],[Comparable '#2 Return]]+1,"-")</f>
        <v>0.97780058249289659</v>
      </c>
      <c r="E71" s="6">
        <f>B71-MAX($B$2:B71)</f>
        <v>-9.7199999999999989</v>
      </c>
      <c r="F71" s="80">
        <f t="shared" si="3"/>
        <v>40</v>
      </c>
      <c r="G71" s="77">
        <f>Comp2[[#This Row],[Comparable '#2 Drawdown]]/MAX($B$2:B71)</f>
        <v>-0.1734165923282783</v>
      </c>
      <c r="H71" s="1" t="str">
        <f>IF(SUM(COUNTIF(Benchmark1[Benchmark '#1 Dates],Comp2[[#This Row],[Comparable '#2 Dates]]),COUNTIF(Benchmark2[Benchmark '#2 Dates],Comp2[[#This Row],[Comparable '#2 Dates]]))=2,"Pass","Fail")</f>
        <v>Pass</v>
      </c>
      <c r="I71" s="1">
        <f>IFERROR(Comp2[[#This Row],[Comparable '#2 Return]]-INDEX(Benchmark1[Benchmark '#1 Return],MATCH(Comp2[[#This Row],[Comparable '#2 Dates]],Benchmark1[Benchmark '#1 Dates],0)),"-")</f>
        <v>-1.4107054919368436E-3</v>
      </c>
      <c r="L71" s="72">
        <f>Comp2[[#This Row],[Comparable '#2 Price]]/$B$2*100</f>
        <v>93.219315895372219</v>
      </c>
    </row>
    <row r="72" spans="1:12">
      <c r="A72" s="96">
        <v>43385</v>
      </c>
      <c r="B72" s="101">
        <v>45.79</v>
      </c>
      <c r="C72" s="4">
        <f t="shared" si="2"/>
        <v>-1.1723972759552866E-2</v>
      </c>
      <c r="D72" s="1">
        <f>IFERROR(Comp2[[#This Row],[Comparable '#2 Return]]+1,"-")</f>
        <v>0.98827602724044716</v>
      </c>
      <c r="E72" s="6">
        <f>B72-MAX($B$2:B72)</f>
        <v>-10.259999999999998</v>
      </c>
      <c r="F72" s="80">
        <f t="shared" si="3"/>
        <v>41</v>
      </c>
      <c r="G72" s="77">
        <f>Comp2[[#This Row],[Comparable '#2 Drawdown]]/MAX($B$2:B72)</f>
        <v>-0.18305084745762709</v>
      </c>
      <c r="H72" s="1" t="str">
        <f>IF(SUM(COUNTIF(Benchmark1[Benchmark '#1 Dates],Comp2[[#This Row],[Comparable '#2 Dates]]),COUNTIF(Benchmark2[Benchmark '#2 Dates],Comp2[[#This Row],[Comparable '#2 Dates]]))=2,"Pass","Fail")</f>
        <v>Pass</v>
      </c>
      <c r="I72" s="1">
        <f>IFERROR(Comp2[[#This Row],[Comparable '#2 Return]]-INDEX(Benchmark1[Benchmark '#1 Return],MATCH(Comp2[[#This Row],[Comparable '#2 Dates]],Benchmark1[Benchmark '#1 Dates],0)),"-")</f>
        <v>-2.5830213735151715E-2</v>
      </c>
      <c r="L72" s="72">
        <f>Comp2[[#This Row],[Comparable '#2 Price]]/$B$2*100</f>
        <v>92.132796780684103</v>
      </c>
    </row>
    <row r="73" spans="1:12">
      <c r="A73" s="96">
        <v>43388</v>
      </c>
      <c r="B73" s="101">
        <v>46.55</v>
      </c>
      <c r="C73" s="4">
        <f t="shared" si="2"/>
        <v>1.6461277054071931E-2</v>
      </c>
      <c r="D73" s="1">
        <f>IFERROR(Comp2[[#This Row],[Comparable '#2 Return]]+1,"-")</f>
        <v>1.016461277054072</v>
      </c>
      <c r="E73" s="6">
        <f>B73-MAX($B$2:B73)</f>
        <v>-9.5</v>
      </c>
      <c r="F73" s="80">
        <f t="shared" si="3"/>
        <v>42</v>
      </c>
      <c r="G73" s="77">
        <f>Comp2[[#This Row],[Comparable '#2 Drawdown]]/MAX($B$2:B73)</f>
        <v>-0.16949152542372883</v>
      </c>
      <c r="H73" s="1" t="str">
        <f>IF(SUM(COUNTIF(Benchmark1[Benchmark '#1 Dates],Comp2[[#This Row],[Comparable '#2 Dates]]),COUNTIF(Benchmark2[Benchmark '#2 Dates],Comp2[[#This Row],[Comparable '#2 Dates]]))=2,"Pass","Fail")</f>
        <v>Pass</v>
      </c>
      <c r="I73" s="1">
        <f>IFERROR(Comp2[[#This Row],[Comparable '#2 Return]]-INDEX(Benchmark1[Benchmark '#1 Return],MATCH(Comp2[[#This Row],[Comparable '#2 Dates]],Benchmark1[Benchmark '#1 Dates],0)),"-")</f>
        <v>2.2383816180682151E-2</v>
      </c>
      <c r="L73" s="72">
        <f>Comp2[[#This Row],[Comparable '#2 Price]]/$B$2*100</f>
        <v>93.661971830985905</v>
      </c>
    </row>
    <row r="74" spans="1:12">
      <c r="A74" s="96">
        <v>43389</v>
      </c>
      <c r="B74" s="101">
        <v>48.5</v>
      </c>
      <c r="C74" s="4">
        <f t="shared" si="2"/>
        <v>4.103679422036155E-2</v>
      </c>
      <c r="D74" s="1">
        <f>IFERROR(Comp2[[#This Row],[Comparable '#2 Return]]+1,"-")</f>
        <v>1.0410367942203615</v>
      </c>
      <c r="E74" s="6">
        <f>B74-MAX($B$2:B74)</f>
        <v>-7.5499999999999972</v>
      </c>
      <c r="F74" s="80">
        <f t="shared" si="3"/>
        <v>43</v>
      </c>
      <c r="G74" s="77">
        <f>Comp2[[#This Row],[Comparable '#2 Drawdown]]/MAX($B$2:B74)</f>
        <v>-0.13470115967885812</v>
      </c>
      <c r="H74" s="1" t="str">
        <f>IF(SUM(COUNTIF(Benchmark1[Benchmark '#1 Dates],Comp2[[#This Row],[Comparable '#2 Dates]]),COUNTIF(Benchmark2[Benchmark '#2 Dates],Comp2[[#This Row],[Comparable '#2 Dates]]))=2,"Pass","Fail")</f>
        <v>Pass</v>
      </c>
      <c r="I74" s="1">
        <f>IFERROR(Comp2[[#This Row],[Comparable '#2 Return]]-INDEX(Benchmark1[Benchmark '#1 Return],MATCH(Comp2[[#This Row],[Comparable '#2 Dates]],Benchmark1[Benchmark '#1 Dates],0)),"-")</f>
        <v>1.9769025627411393E-2</v>
      </c>
      <c r="L74" s="72">
        <f>Comp2[[#This Row],[Comparable '#2 Price]]/$B$2*100</f>
        <v>97.585513078470825</v>
      </c>
    </row>
    <row r="75" spans="1:12">
      <c r="A75" s="96">
        <v>43390</v>
      </c>
      <c r="B75" s="101">
        <v>48.62</v>
      </c>
      <c r="C75" s="4">
        <f t="shared" si="2"/>
        <v>2.4711709445396474E-3</v>
      </c>
      <c r="D75" s="1">
        <f>IFERROR(Comp2[[#This Row],[Comparable '#2 Return]]+1,"-")</f>
        <v>1.0024711709445397</v>
      </c>
      <c r="E75" s="6">
        <f>B75-MAX($B$2:B75)</f>
        <v>-7.43</v>
      </c>
      <c r="F75" s="80">
        <f t="shared" si="3"/>
        <v>44</v>
      </c>
      <c r="G75" s="77">
        <f>Comp2[[#This Row],[Comparable '#2 Drawdown]]/MAX($B$2:B75)</f>
        <v>-0.13256021409455843</v>
      </c>
      <c r="H75" s="1" t="str">
        <f>IF(SUM(COUNTIF(Benchmark1[Benchmark '#1 Dates],Comp2[[#This Row],[Comparable '#2 Dates]]),COUNTIF(Benchmark2[Benchmark '#2 Dates],Comp2[[#This Row],[Comparable '#2 Dates]]))=2,"Pass","Fail")</f>
        <v>Pass</v>
      </c>
      <c r="I75" s="1">
        <f>IFERROR(Comp2[[#This Row],[Comparable '#2 Return]]-INDEX(Benchmark1[Benchmark '#1 Return],MATCH(Comp2[[#This Row],[Comparable '#2 Dates]],Benchmark1[Benchmark '#1 Dates],0)),"-")</f>
        <v>2.7226650899789331E-3</v>
      </c>
      <c r="L75" s="72">
        <f>Comp2[[#This Row],[Comparable '#2 Price]]/$B$2*100</f>
        <v>97.82696177062374</v>
      </c>
    </row>
    <row r="76" spans="1:12">
      <c r="A76" s="96">
        <v>43391</v>
      </c>
      <c r="B76" s="101">
        <v>47.56</v>
      </c>
      <c r="C76" s="4">
        <f t="shared" si="2"/>
        <v>-2.2042897065396101E-2</v>
      </c>
      <c r="D76" s="1">
        <f>IFERROR(Comp2[[#This Row],[Comparable '#2 Return]]+1,"-")</f>
        <v>0.97795710293460392</v>
      </c>
      <c r="E76" s="6">
        <f>B76-MAX($B$2:B76)</f>
        <v>-8.4899999999999949</v>
      </c>
      <c r="F76" s="80">
        <f t="shared" si="3"/>
        <v>45</v>
      </c>
      <c r="G76" s="77">
        <f>Comp2[[#This Row],[Comparable '#2 Drawdown]]/MAX($B$2:B76)</f>
        <v>-0.15147190008920597</v>
      </c>
      <c r="H76" s="1" t="str">
        <f>IF(SUM(COUNTIF(Benchmark1[Benchmark '#1 Dates],Comp2[[#This Row],[Comparable '#2 Dates]]),COUNTIF(Benchmark2[Benchmark '#2 Dates],Comp2[[#This Row],[Comparable '#2 Dates]]))=2,"Pass","Fail")</f>
        <v>Pass</v>
      </c>
      <c r="I76" s="1">
        <f>IFERROR(Comp2[[#This Row],[Comparable '#2 Return]]-INDEX(Benchmark1[Benchmark '#1 Return],MATCH(Comp2[[#This Row],[Comparable '#2 Dates]],Benchmark1[Benchmark '#1 Dates],0)),"-")</f>
        <v>-7.548367512332713E-3</v>
      </c>
      <c r="L76" s="72">
        <f>Comp2[[#This Row],[Comparable '#2 Price]]/$B$2*100</f>
        <v>95.694164989939637</v>
      </c>
    </row>
    <row r="77" spans="1:12">
      <c r="A77" s="96">
        <v>43392</v>
      </c>
      <c r="B77" s="101">
        <v>47.51</v>
      </c>
      <c r="C77" s="4">
        <f t="shared" si="2"/>
        <v>-1.0518566237512181E-3</v>
      </c>
      <c r="D77" s="1">
        <f>IFERROR(Comp2[[#This Row],[Comparable '#2 Return]]+1,"-")</f>
        <v>0.99894814337624882</v>
      </c>
      <c r="E77" s="6">
        <f>B77-MAX($B$2:B77)</f>
        <v>-8.5399999999999991</v>
      </c>
      <c r="F77" s="80">
        <f t="shared" si="3"/>
        <v>46</v>
      </c>
      <c r="G77" s="77">
        <f>Comp2[[#This Row],[Comparable '#2 Drawdown]]/MAX($B$2:B77)</f>
        <v>-0.15236396074933095</v>
      </c>
      <c r="H77" s="1" t="str">
        <f>IF(SUM(COUNTIF(Benchmark1[Benchmark '#1 Dates],Comp2[[#This Row],[Comparable '#2 Dates]]),COUNTIF(Benchmark2[Benchmark '#2 Dates],Comp2[[#This Row],[Comparable '#2 Dates]]))=2,"Pass","Fail")</f>
        <v>Pass</v>
      </c>
      <c r="I77" s="1">
        <f>IFERROR(Comp2[[#This Row],[Comparable '#2 Return]]-INDEX(Benchmark1[Benchmark '#1 Return],MATCH(Comp2[[#This Row],[Comparable '#2 Dates]],Benchmark1[Benchmark '#1 Dates],0)),"-")</f>
        <v>-6.8913877745056177E-4</v>
      </c>
      <c r="L77" s="72">
        <f>Comp2[[#This Row],[Comparable '#2 Price]]/$B$2*100</f>
        <v>95.593561368209251</v>
      </c>
    </row>
    <row r="78" spans="1:12">
      <c r="A78" s="96">
        <v>43395</v>
      </c>
      <c r="B78" s="101">
        <v>47.6</v>
      </c>
      <c r="C78" s="4">
        <f t="shared" si="2"/>
        <v>1.8925460385443875E-3</v>
      </c>
      <c r="D78" s="1">
        <f>IFERROR(Comp2[[#This Row],[Comparable '#2 Return]]+1,"-")</f>
        <v>1.0018925460385444</v>
      </c>
      <c r="E78" s="6">
        <f>B78-MAX($B$2:B78)</f>
        <v>-8.4499999999999957</v>
      </c>
      <c r="F78" s="80">
        <f t="shared" si="3"/>
        <v>47</v>
      </c>
      <c r="G78" s="77">
        <f>Comp2[[#This Row],[Comparable '#2 Drawdown]]/MAX($B$2:B78)</f>
        <v>-0.15075825156110609</v>
      </c>
      <c r="H78" s="1" t="str">
        <f>IF(SUM(COUNTIF(Benchmark1[Benchmark '#1 Dates],Comp2[[#This Row],[Comparable '#2 Dates]]),COUNTIF(Benchmark2[Benchmark '#2 Dates],Comp2[[#This Row],[Comparable '#2 Dates]]))=2,"Pass","Fail")</f>
        <v>Pass</v>
      </c>
      <c r="I78" s="1">
        <f>IFERROR(Comp2[[#This Row],[Comparable '#2 Return]]-INDEX(Benchmark1[Benchmark '#1 Return],MATCH(Comp2[[#This Row],[Comparable '#2 Dates]],Benchmark1[Benchmark '#1 Dates],0)),"-")</f>
        <v>6.2001023558170901E-3</v>
      </c>
      <c r="L78" s="72">
        <f>Comp2[[#This Row],[Comparable '#2 Price]]/$B$2*100</f>
        <v>95.774647887323937</v>
      </c>
    </row>
    <row r="79" spans="1:12">
      <c r="A79" s="96">
        <v>43396</v>
      </c>
      <c r="B79" s="101">
        <v>46.86</v>
      </c>
      <c r="C79" s="4">
        <f t="shared" si="2"/>
        <v>-1.566832815772478E-2</v>
      </c>
      <c r="D79" s="1">
        <f>IFERROR(Comp2[[#This Row],[Comparable '#2 Return]]+1,"-")</f>
        <v>0.98433167184227521</v>
      </c>
      <c r="E79" s="6">
        <f>B79-MAX($B$2:B79)</f>
        <v>-9.1899999999999977</v>
      </c>
      <c r="F79" s="80">
        <f t="shared" si="3"/>
        <v>48</v>
      </c>
      <c r="G79" s="77">
        <f>Comp2[[#This Row],[Comparable '#2 Drawdown]]/MAX($B$2:B79)</f>
        <v>-0.16396074933095448</v>
      </c>
      <c r="H79" s="1" t="str">
        <f>IF(SUM(COUNTIF(Benchmark1[Benchmark '#1 Dates],Comp2[[#This Row],[Comparable '#2 Dates]]),COUNTIF(Benchmark2[Benchmark '#2 Dates],Comp2[[#This Row],[Comparable '#2 Dates]]))=2,"Pass","Fail")</f>
        <v>Pass</v>
      </c>
      <c r="I79" s="1">
        <f>IFERROR(Comp2[[#This Row],[Comparable '#2 Return]]-INDEX(Benchmark1[Benchmark '#1 Return],MATCH(Comp2[[#This Row],[Comparable '#2 Dates]],Benchmark1[Benchmark '#1 Dates],0)),"-")</f>
        <v>-1.0140737146562551E-2</v>
      </c>
      <c r="L79" s="72">
        <f>Comp2[[#This Row],[Comparable '#2 Price]]/$B$2*100</f>
        <v>94.285714285714278</v>
      </c>
    </row>
    <row r="80" spans="1:12">
      <c r="A80" s="96">
        <v>43397</v>
      </c>
      <c r="B80" s="101">
        <v>45.79</v>
      </c>
      <c r="C80" s="4">
        <f t="shared" si="2"/>
        <v>-2.3098706410645559E-2</v>
      </c>
      <c r="D80" s="1">
        <f>IFERROR(Comp2[[#This Row],[Comparable '#2 Return]]+1,"-")</f>
        <v>0.9769012935893544</v>
      </c>
      <c r="E80" s="6">
        <f>B80-MAX($B$2:B80)</f>
        <v>-10.259999999999998</v>
      </c>
      <c r="F80" s="80">
        <f t="shared" si="3"/>
        <v>49</v>
      </c>
      <c r="G80" s="77">
        <f>Comp2[[#This Row],[Comparable '#2 Drawdown]]/MAX($B$2:B80)</f>
        <v>-0.18305084745762709</v>
      </c>
      <c r="H80" s="1" t="str">
        <f>IF(SUM(COUNTIF(Benchmark1[Benchmark '#1 Dates],Comp2[[#This Row],[Comparable '#2 Dates]]),COUNTIF(Benchmark2[Benchmark '#2 Dates],Comp2[[#This Row],[Comparable '#2 Dates]]))=2,"Pass","Fail")</f>
        <v>Pass</v>
      </c>
      <c r="I80" s="1">
        <f>IFERROR(Comp2[[#This Row],[Comparable '#2 Return]]-INDEX(Benchmark1[Benchmark '#1 Return],MATCH(Comp2[[#This Row],[Comparable '#2 Dates]],Benchmark1[Benchmark '#1 Dates],0)),"-")</f>
        <v>8.2517815950242622E-3</v>
      </c>
      <c r="L80" s="72">
        <f>Comp2[[#This Row],[Comparable '#2 Price]]/$B$2*100</f>
        <v>92.132796780684103</v>
      </c>
    </row>
    <row r="81" spans="1:12">
      <c r="A81" s="96">
        <v>43398</v>
      </c>
      <c r="B81" s="101">
        <v>48.04</v>
      </c>
      <c r="C81" s="4">
        <f t="shared" si="2"/>
        <v>4.7968270542778704E-2</v>
      </c>
      <c r="D81" s="1">
        <f>IFERROR(Comp2[[#This Row],[Comparable '#2 Return]]+1,"-")</f>
        <v>1.0479682705427786</v>
      </c>
      <c r="E81" s="6">
        <f>B81-MAX($B$2:B81)</f>
        <v>-8.009999999999998</v>
      </c>
      <c r="F81" s="80">
        <f t="shared" si="3"/>
        <v>50</v>
      </c>
      <c r="G81" s="77">
        <f>Comp2[[#This Row],[Comparable '#2 Drawdown]]/MAX($B$2:B81)</f>
        <v>-0.1429081177520071</v>
      </c>
      <c r="H81" s="1" t="str">
        <f>IF(SUM(COUNTIF(Benchmark1[Benchmark '#1 Dates],Comp2[[#This Row],[Comparable '#2 Dates]]),COUNTIF(Benchmark2[Benchmark '#2 Dates],Comp2[[#This Row],[Comparable '#2 Dates]]))=2,"Pass","Fail")</f>
        <v>Pass</v>
      </c>
      <c r="I81" s="1">
        <f>IFERROR(Comp2[[#This Row],[Comparable '#2 Return]]-INDEX(Benchmark1[Benchmark '#1 Return],MATCH(Comp2[[#This Row],[Comparable '#2 Dates]],Benchmark1[Benchmark '#1 Dates],0)),"-")</f>
        <v>2.9516390527360437E-2</v>
      </c>
      <c r="L81" s="72">
        <f>Comp2[[#This Row],[Comparable '#2 Price]]/$B$2*100</f>
        <v>96.65995975855131</v>
      </c>
    </row>
    <row r="82" spans="1:12">
      <c r="A82" s="96">
        <v>43399</v>
      </c>
      <c r="B82" s="101">
        <v>48.25</v>
      </c>
      <c r="C82" s="4">
        <f t="shared" si="2"/>
        <v>4.361830573212145E-3</v>
      </c>
      <c r="D82" s="1">
        <f>IFERROR(Comp2[[#This Row],[Comparable '#2 Return]]+1,"-")</f>
        <v>1.004361830573212</v>
      </c>
      <c r="E82" s="6">
        <f>B82-MAX($B$2:B82)</f>
        <v>-7.7999999999999972</v>
      </c>
      <c r="F82" s="80">
        <f t="shared" si="3"/>
        <v>51</v>
      </c>
      <c r="G82" s="77">
        <f>Comp2[[#This Row],[Comparable '#2 Drawdown]]/MAX($B$2:B82)</f>
        <v>-0.13916146297948256</v>
      </c>
      <c r="H82" s="1" t="str">
        <f>IF(SUM(COUNTIF(Benchmark1[Benchmark '#1 Dates],Comp2[[#This Row],[Comparable '#2 Dates]]),COUNTIF(Benchmark2[Benchmark '#2 Dates],Comp2[[#This Row],[Comparable '#2 Dates]]))=2,"Pass","Fail")</f>
        <v>Pass</v>
      </c>
      <c r="I82" s="1">
        <f>IFERROR(Comp2[[#This Row],[Comparable '#2 Return]]-INDEX(Benchmark1[Benchmark '#1 Return],MATCH(Comp2[[#This Row],[Comparable '#2 Dates]],Benchmark1[Benchmark '#1 Dates],0)),"-")</f>
        <v>2.1842123988008083E-2</v>
      </c>
      <c r="L82" s="72">
        <f>Comp2[[#This Row],[Comparable '#2 Price]]/$B$2*100</f>
        <v>97.08249496981891</v>
      </c>
    </row>
    <row r="83" spans="1:12">
      <c r="A83" s="96">
        <v>43402</v>
      </c>
      <c r="B83" s="101">
        <v>48.15</v>
      </c>
      <c r="C83" s="4">
        <f t="shared" si="2"/>
        <v>-2.0746895408603554E-3</v>
      </c>
      <c r="D83" s="1">
        <f>IFERROR(Comp2[[#This Row],[Comparable '#2 Return]]+1,"-")</f>
        <v>0.99792531045913968</v>
      </c>
      <c r="E83" s="6">
        <f>B83-MAX($B$2:B83)</f>
        <v>-7.8999999999999986</v>
      </c>
      <c r="F83" s="80">
        <f t="shared" si="3"/>
        <v>52</v>
      </c>
      <c r="G83" s="77">
        <f>Comp2[[#This Row],[Comparable '#2 Drawdown]]/MAX($B$2:B83)</f>
        <v>-0.14094558429973236</v>
      </c>
      <c r="H83" s="1" t="str">
        <f>IF(SUM(COUNTIF(Benchmark1[Benchmark '#1 Dates],Comp2[[#This Row],[Comparable '#2 Dates]]),COUNTIF(Benchmark2[Benchmark '#2 Dates],Comp2[[#This Row],[Comparable '#2 Dates]]))=2,"Pass","Fail")</f>
        <v>Pass</v>
      </c>
      <c r="I83" s="1">
        <f>IFERROR(Comp2[[#This Row],[Comparable '#2 Return]]-INDEX(Benchmark1[Benchmark '#1 Return],MATCH(Comp2[[#This Row],[Comparable '#2 Dates]],Benchmark1[Benchmark '#1 Dates],0)),"-")</f>
        <v>4.506550836302527E-3</v>
      </c>
      <c r="L83" s="72">
        <f>Comp2[[#This Row],[Comparable '#2 Price]]/$B$2*100</f>
        <v>96.881287726358138</v>
      </c>
    </row>
    <row r="84" spans="1:12">
      <c r="A84" s="96">
        <v>43403</v>
      </c>
      <c r="B84" s="101">
        <v>49.55</v>
      </c>
      <c r="C84" s="4">
        <f t="shared" si="2"/>
        <v>2.866112253186251E-2</v>
      </c>
      <c r="D84" s="1">
        <f>IFERROR(Comp2[[#This Row],[Comparable '#2 Return]]+1,"-")</f>
        <v>1.0286611225318625</v>
      </c>
      <c r="E84" s="6">
        <f>B84-MAX($B$2:B84)</f>
        <v>-6.5</v>
      </c>
      <c r="F84" s="80">
        <f t="shared" si="3"/>
        <v>53</v>
      </c>
      <c r="G84" s="77">
        <f>Comp2[[#This Row],[Comparable '#2 Drawdown]]/MAX($B$2:B84)</f>
        <v>-0.11596788581623552</v>
      </c>
      <c r="H84" s="1" t="str">
        <f>IF(SUM(COUNTIF(Benchmark1[Benchmark '#1 Dates],Comp2[[#This Row],[Comparable '#2 Dates]]),COUNTIF(Benchmark2[Benchmark '#2 Dates],Comp2[[#This Row],[Comparable '#2 Dates]]))=2,"Pass","Fail")</f>
        <v>Pass</v>
      </c>
      <c r="I84" s="1">
        <f>IFERROR(Comp2[[#This Row],[Comparable '#2 Return]]-INDEX(Benchmark1[Benchmark '#1 Return],MATCH(Comp2[[#This Row],[Comparable '#2 Dates]],Benchmark1[Benchmark '#1 Dates],0)),"-")</f>
        <v>1.3113536523793483E-2</v>
      </c>
      <c r="L84" s="72">
        <f>Comp2[[#This Row],[Comparable '#2 Price]]/$B$2*100</f>
        <v>99.698189134808842</v>
      </c>
    </row>
    <row r="85" spans="1:12">
      <c r="A85" s="96">
        <v>43404</v>
      </c>
      <c r="B85" s="101">
        <v>50.63</v>
      </c>
      <c r="C85" s="4">
        <f t="shared" si="2"/>
        <v>2.1562025205820935E-2</v>
      </c>
      <c r="D85" s="1">
        <f>IFERROR(Comp2[[#This Row],[Comparable '#2 Return]]+1,"-")</f>
        <v>1.0215620252058208</v>
      </c>
      <c r="E85" s="6">
        <f>B85-MAX($B$2:B85)</f>
        <v>-5.4199999999999946</v>
      </c>
      <c r="F85" s="80">
        <f t="shared" si="3"/>
        <v>54</v>
      </c>
      <c r="G85" s="77">
        <f>Comp2[[#This Row],[Comparable '#2 Drawdown]]/MAX($B$2:B85)</f>
        <v>-9.6699375557537826E-2</v>
      </c>
      <c r="H85" s="1" t="str">
        <f>IF(SUM(COUNTIF(Benchmark1[Benchmark '#1 Dates],Comp2[[#This Row],[Comparable '#2 Dates]]),COUNTIF(Benchmark2[Benchmark '#2 Dates],Comp2[[#This Row],[Comparable '#2 Dates]]))=2,"Pass","Fail")</f>
        <v>Pass</v>
      </c>
      <c r="I85" s="1">
        <f>IFERROR(Comp2[[#This Row],[Comparable '#2 Return]]-INDEX(Benchmark1[Benchmark '#1 Return],MATCH(Comp2[[#This Row],[Comparable '#2 Dates]],Benchmark1[Benchmark '#1 Dates],0)),"-")</f>
        <v>1.0767932207803522E-2</v>
      </c>
      <c r="L85" s="72">
        <f>Comp2[[#This Row],[Comparable '#2 Price]]/$B$2*100</f>
        <v>101.8712273641851</v>
      </c>
    </row>
    <row r="86" spans="1:12">
      <c r="A86" s="96">
        <v>43405</v>
      </c>
      <c r="B86" s="101">
        <v>50</v>
      </c>
      <c r="C86" s="4">
        <f t="shared" si="2"/>
        <v>-1.2521280553671833E-2</v>
      </c>
      <c r="D86" s="1">
        <f>IFERROR(Comp2[[#This Row],[Comparable '#2 Return]]+1,"-")</f>
        <v>0.98747871944632815</v>
      </c>
      <c r="E86" s="6">
        <f>B86-MAX($B$2:B86)</f>
        <v>-6.0499999999999972</v>
      </c>
      <c r="F86" s="80">
        <f t="shared" si="3"/>
        <v>55</v>
      </c>
      <c r="G86" s="77">
        <f>Comp2[[#This Row],[Comparable '#2 Drawdown]]/MAX($B$2:B86)</f>
        <v>-0.10793933987511146</v>
      </c>
      <c r="H86" s="1" t="str">
        <f>IF(SUM(COUNTIF(Benchmark1[Benchmark '#1 Dates],Comp2[[#This Row],[Comparable '#2 Dates]]),COUNTIF(Benchmark2[Benchmark '#2 Dates],Comp2[[#This Row],[Comparable '#2 Dates]]))=2,"Pass","Fail")</f>
        <v>Pass</v>
      </c>
      <c r="I86" s="1">
        <f>IFERROR(Comp2[[#This Row],[Comparable '#2 Return]]-INDEX(Benchmark1[Benchmark '#1 Return],MATCH(Comp2[[#This Row],[Comparable '#2 Dates]],Benchmark1[Benchmark '#1 Dates],0)),"-")</f>
        <v>-2.3023004341047093E-2</v>
      </c>
      <c r="L86" s="72">
        <f>Comp2[[#This Row],[Comparable '#2 Price]]/$B$2*100</f>
        <v>100.60362173038229</v>
      </c>
    </row>
    <row r="87" spans="1:12">
      <c r="A87" s="96">
        <v>43406</v>
      </c>
      <c r="B87" s="101">
        <v>52.79</v>
      </c>
      <c r="C87" s="4">
        <f t="shared" si="2"/>
        <v>5.4298773407378875E-2</v>
      </c>
      <c r="D87" s="1">
        <f>IFERROR(Comp2[[#This Row],[Comparable '#2 Return]]+1,"-")</f>
        <v>1.0542987734073788</v>
      </c>
      <c r="E87" s="6">
        <f>B87-MAX($B$2:B87)</f>
        <v>-3.259999999999998</v>
      </c>
      <c r="F87" s="80">
        <f t="shared" si="3"/>
        <v>56</v>
      </c>
      <c r="G87" s="77">
        <f>Comp2[[#This Row],[Comparable '#2 Drawdown]]/MAX($B$2:B87)</f>
        <v>-5.8162355040142701E-2</v>
      </c>
      <c r="H87" s="1" t="str">
        <f>IF(SUM(COUNTIF(Benchmark1[Benchmark '#1 Dates],Comp2[[#This Row],[Comparable '#2 Dates]]),COUNTIF(Benchmark2[Benchmark '#2 Dates],Comp2[[#This Row],[Comparable '#2 Dates]]))=2,"Pass","Fail")</f>
        <v>Pass</v>
      </c>
      <c r="I87" s="1">
        <f>IFERROR(Comp2[[#This Row],[Comparable '#2 Return]]-INDEX(Benchmark1[Benchmark '#1 Return],MATCH(Comp2[[#This Row],[Comparable '#2 Dates]],Benchmark1[Benchmark '#1 Dates],0)),"-")</f>
        <v>6.0637002394902523E-2</v>
      </c>
      <c r="L87" s="72">
        <f>Comp2[[#This Row],[Comparable '#2 Price]]/$B$2*100</f>
        <v>106.21730382293761</v>
      </c>
    </row>
    <row r="88" spans="1:12">
      <c r="A88" s="96">
        <v>43409</v>
      </c>
      <c r="B88" s="101">
        <v>54.7</v>
      </c>
      <c r="C88" s="4">
        <f t="shared" si="2"/>
        <v>3.5541930592410675E-2</v>
      </c>
      <c r="D88" s="1">
        <f>IFERROR(Comp2[[#This Row],[Comparable '#2 Return]]+1,"-")</f>
        <v>1.0355419305924107</v>
      </c>
      <c r="E88" s="6">
        <f>B88-MAX($B$2:B88)</f>
        <v>-1.3499999999999943</v>
      </c>
      <c r="F88" s="80">
        <f t="shared" si="3"/>
        <v>57</v>
      </c>
      <c r="G88" s="77">
        <f>Comp2[[#This Row],[Comparable '#2 Drawdown]]/MAX($B$2:B88)</f>
        <v>-2.4085637823371888E-2</v>
      </c>
      <c r="H88" s="1" t="str">
        <f>IF(SUM(COUNTIF(Benchmark1[Benchmark '#1 Dates],Comp2[[#This Row],[Comparable '#2 Dates]]),COUNTIF(Benchmark2[Benchmark '#2 Dates],Comp2[[#This Row],[Comparable '#2 Dates]]))=2,"Pass","Fail")</f>
        <v>Pass</v>
      </c>
      <c r="I88" s="1">
        <f>IFERROR(Comp2[[#This Row],[Comparable '#2 Return]]-INDEX(Benchmark1[Benchmark '#1 Return],MATCH(Comp2[[#This Row],[Comparable '#2 Dates]],Benchmark1[Benchmark '#1 Dates],0)),"-")</f>
        <v>2.9955261085807018E-2</v>
      </c>
      <c r="L88" s="72">
        <f>Comp2[[#This Row],[Comparable '#2 Price]]/$B$2*100</f>
        <v>110.06036217303823</v>
      </c>
    </row>
    <row r="89" spans="1:12">
      <c r="A89" s="96">
        <v>43410</v>
      </c>
      <c r="B89" s="101">
        <v>56.04</v>
      </c>
      <c r="C89" s="4">
        <f t="shared" si="2"/>
        <v>2.4202012040870587E-2</v>
      </c>
      <c r="D89" s="1">
        <f>IFERROR(Comp2[[#This Row],[Comparable '#2 Return]]+1,"-")</f>
        <v>1.0242020120408706</v>
      </c>
      <c r="E89" s="6">
        <f>B89-MAX($B$2:B89)</f>
        <v>-9.9999999999980105E-3</v>
      </c>
      <c r="F89" s="80">
        <f t="shared" si="3"/>
        <v>58</v>
      </c>
      <c r="G89" s="77">
        <f>Comp2[[#This Row],[Comparable '#2 Drawdown]]/MAX($B$2:B89)</f>
        <v>-1.7841213202494222E-4</v>
      </c>
      <c r="H89" s="1" t="str">
        <f>IF(SUM(COUNTIF(Benchmark1[Benchmark '#1 Dates],Comp2[[#This Row],[Comparable '#2 Dates]]),COUNTIF(Benchmark2[Benchmark '#2 Dates],Comp2[[#This Row],[Comparable '#2 Dates]]))=2,"Pass","Fail")</f>
        <v>Pass</v>
      </c>
      <c r="I89" s="1">
        <f>IFERROR(Comp2[[#This Row],[Comparable '#2 Return]]-INDEX(Benchmark1[Benchmark '#1 Return],MATCH(Comp2[[#This Row],[Comparable '#2 Dates]],Benchmark1[Benchmark '#1 Dates],0)),"-")</f>
        <v>1.7963225168277336E-2</v>
      </c>
      <c r="L89" s="72">
        <f>Comp2[[#This Row],[Comparable '#2 Price]]/$B$2*100</f>
        <v>112.75653923541246</v>
      </c>
    </row>
    <row r="90" spans="1:12">
      <c r="A90" s="96">
        <v>43411</v>
      </c>
      <c r="B90" s="101">
        <v>57.89</v>
      </c>
      <c r="C90" s="4">
        <f t="shared" si="2"/>
        <v>3.2478936622106991E-2</v>
      </c>
      <c r="D90" s="1">
        <f>IFERROR(Comp2[[#This Row],[Comparable '#2 Return]]+1,"-")</f>
        <v>1.032478936622107</v>
      </c>
      <c r="E90" s="6">
        <f>B90-MAX($B$2:B90)</f>
        <v>0</v>
      </c>
      <c r="F90" s="80">
        <f t="shared" si="3"/>
        <v>0</v>
      </c>
      <c r="G90" s="77">
        <f>Comp2[[#This Row],[Comparable '#2 Drawdown]]/MAX($B$2:B90)</f>
        <v>0</v>
      </c>
      <c r="H90" s="1" t="str">
        <f>IF(SUM(COUNTIF(Benchmark1[Benchmark '#1 Dates],Comp2[[#This Row],[Comparable '#2 Dates]]),COUNTIF(Benchmark2[Benchmark '#2 Dates],Comp2[[#This Row],[Comparable '#2 Dates]]))=2,"Pass","Fail")</f>
        <v>Pass</v>
      </c>
      <c r="I90" s="1">
        <f>IFERROR(Comp2[[#This Row],[Comparable '#2 Return]]-INDEX(Benchmark1[Benchmark '#1 Return],MATCH(Comp2[[#This Row],[Comparable '#2 Dates]],Benchmark1[Benchmark '#1 Dates],0)),"-")</f>
        <v>1.1490430031479093E-2</v>
      </c>
      <c r="L90" s="72">
        <f>Comp2[[#This Row],[Comparable '#2 Price]]/$B$2*100</f>
        <v>116.47887323943662</v>
      </c>
    </row>
    <row r="91" spans="1:12">
      <c r="A91" s="96">
        <v>43412</v>
      </c>
      <c r="B91" s="101">
        <v>57.87</v>
      </c>
      <c r="C91" s="4">
        <f t="shared" si="2"/>
        <v>-3.4554250516588255E-4</v>
      </c>
      <c r="D91" s="1">
        <f>IFERROR(Comp2[[#This Row],[Comparable '#2 Return]]+1,"-")</f>
        <v>0.99965445749483417</v>
      </c>
      <c r="E91" s="6">
        <f>B91-MAX($B$2:B91)</f>
        <v>-2.0000000000003126E-2</v>
      </c>
      <c r="F91" s="80">
        <f t="shared" si="3"/>
        <v>1</v>
      </c>
      <c r="G91" s="77">
        <f>Comp2[[#This Row],[Comparable '#2 Drawdown]]/MAX($B$2:B91)</f>
        <v>-3.4548281223014554E-4</v>
      </c>
      <c r="H91" s="1" t="str">
        <f>IF(SUM(COUNTIF(Benchmark1[Benchmark '#1 Dates],Comp2[[#This Row],[Comparable '#2 Dates]]),COUNTIF(Benchmark2[Benchmark '#2 Dates],Comp2[[#This Row],[Comparable '#2 Dates]]))=2,"Pass","Fail")</f>
        <v>Pass</v>
      </c>
      <c r="I91" s="1">
        <f>IFERROR(Comp2[[#This Row],[Comparable '#2 Return]]-INDEX(Benchmark1[Benchmark '#1 Return],MATCH(Comp2[[#This Row],[Comparable '#2 Dates]],Benchmark1[Benchmark '#1 Dates],0)),"-")</f>
        <v>2.1679515066811922E-3</v>
      </c>
      <c r="L91" s="72">
        <f>Comp2[[#This Row],[Comparable '#2 Price]]/$B$2*100</f>
        <v>116.43863179074445</v>
      </c>
    </row>
    <row r="92" spans="1:12">
      <c r="A92" s="96">
        <v>43413</v>
      </c>
      <c r="B92" s="101">
        <v>58</v>
      </c>
      <c r="C92" s="4">
        <f t="shared" si="2"/>
        <v>2.2438949606718968E-3</v>
      </c>
      <c r="D92" s="1">
        <f>IFERROR(Comp2[[#This Row],[Comparable '#2 Return]]+1,"-")</f>
        <v>1.0022438949606718</v>
      </c>
      <c r="E92" s="6">
        <f>B92-MAX($B$2:B92)</f>
        <v>0</v>
      </c>
      <c r="F92" s="80">
        <f t="shared" si="3"/>
        <v>0</v>
      </c>
      <c r="G92" s="77">
        <f>Comp2[[#This Row],[Comparable '#2 Drawdown]]/MAX($B$2:B92)</f>
        <v>0</v>
      </c>
      <c r="H92" s="1" t="str">
        <f>IF(SUM(COUNTIF(Benchmark1[Benchmark '#1 Dates],Comp2[[#This Row],[Comparable '#2 Dates]]),COUNTIF(Benchmark2[Benchmark '#2 Dates],Comp2[[#This Row],[Comparable '#2 Dates]]))=2,"Pass","Fail")</f>
        <v>Pass</v>
      </c>
      <c r="I92" s="1">
        <f>IFERROR(Comp2[[#This Row],[Comparable '#2 Return]]-INDEX(Benchmark1[Benchmark '#1 Return],MATCH(Comp2[[#This Row],[Comparable '#2 Dates]],Benchmark1[Benchmark '#1 Dates],0)),"-")</f>
        <v>1.1486111709848146E-2</v>
      </c>
      <c r="L92" s="72">
        <f>Comp2[[#This Row],[Comparable '#2 Price]]/$B$2*100</f>
        <v>116.70020120724345</v>
      </c>
    </row>
    <row r="93" spans="1:12">
      <c r="A93" s="96">
        <v>43416</v>
      </c>
      <c r="B93" s="101">
        <v>58.16</v>
      </c>
      <c r="C93" s="4">
        <f t="shared" si="2"/>
        <v>2.7548226788444621E-3</v>
      </c>
      <c r="D93" s="1">
        <f>IFERROR(Comp2[[#This Row],[Comparable '#2 Return]]+1,"-")</f>
        <v>1.0027548226788445</v>
      </c>
      <c r="E93" s="6">
        <f>B93-MAX($B$2:B93)</f>
        <v>0</v>
      </c>
      <c r="F93" s="80">
        <f t="shared" si="3"/>
        <v>0</v>
      </c>
      <c r="G93" s="77">
        <f>Comp2[[#This Row],[Comparable '#2 Drawdown]]/MAX($B$2:B93)</f>
        <v>0</v>
      </c>
      <c r="H93" s="1" t="str">
        <f>IF(SUM(COUNTIF(Benchmark1[Benchmark '#1 Dates],Comp2[[#This Row],[Comparable '#2 Dates]]),COUNTIF(Benchmark2[Benchmark '#2 Dates],Comp2[[#This Row],[Comparable '#2 Dates]]))=2,"Pass","Fail")</f>
        <v>Pass</v>
      </c>
      <c r="I93" s="1">
        <f>IFERROR(Comp2[[#This Row],[Comparable '#2 Return]]-INDEX(Benchmark1[Benchmark '#1 Return],MATCH(Comp2[[#This Row],[Comparable '#2 Dates]],Benchmark1[Benchmark '#1 Dates],0)),"-")</f>
        <v>2.2654183311045809E-2</v>
      </c>
      <c r="L93" s="72">
        <f>Comp2[[#This Row],[Comparable '#2 Price]]/$B$2*100</f>
        <v>117.02213279678067</v>
      </c>
    </row>
    <row r="94" spans="1:12">
      <c r="A94" s="96">
        <v>43417</v>
      </c>
      <c r="B94" s="101">
        <v>57.74</v>
      </c>
      <c r="C94" s="4">
        <f t="shared" si="2"/>
        <v>-7.2476589904747896E-3</v>
      </c>
      <c r="D94" s="1">
        <f>IFERROR(Comp2[[#This Row],[Comparable '#2 Return]]+1,"-")</f>
        <v>0.99275234100952525</v>
      </c>
      <c r="E94" s="6">
        <f>B94-MAX($B$2:B94)</f>
        <v>-0.4199999999999946</v>
      </c>
      <c r="F94" s="80">
        <f t="shared" si="3"/>
        <v>1</v>
      </c>
      <c r="G94" s="77">
        <f>Comp2[[#This Row],[Comparable '#2 Drawdown]]/MAX($B$2:B94)</f>
        <v>-7.221458046767445E-3</v>
      </c>
      <c r="H94" s="1" t="str">
        <f>IF(SUM(COUNTIF(Benchmark1[Benchmark '#1 Dates],Comp2[[#This Row],[Comparable '#2 Dates]]),COUNTIF(Benchmark2[Benchmark '#2 Dates],Comp2[[#This Row],[Comparable '#2 Dates]]))=2,"Pass","Fail")</f>
        <v>Pass</v>
      </c>
      <c r="I94" s="1">
        <f>IFERROR(Comp2[[#This Row],[Comparable '#2 Return]]-INDEX(Benchmark1[Benchmark '#1 Return],MATCH(Comp2[[#This Row],[Comparable '#2 Dates]],Benchmark1[Benchmark '#1 Dates],0)),"-")</f>
        <v>-5.7669125605917214E-3</v>
      </c>
      <c r="L94" s="72">
        <f>Comp2[[#This Row],[Comparable '#2 Price]]/$B$2*100</f>
        <v>116.17706237424548</v>
      </c>
    </row>
    <row r="95" spans="1:12">
      <c r="A95" s="96">
        <v>43418</v>
      </c>
      <c r="B95" s="101">
        <v>57.02</v>
      </c>
      <c r="C95" s="4">
        <f t="shared" si="2"/>
        <v>-1.2548090750263129E-2</v>
      </c>
      <c r="D95" s="1">
        <f>IFERROR(Comp2[[#This Row],[Comparable '#2 Return]]+1,"-")</f>
        <v>0.98745190924973691</v>
      </c>
      <c r="E95" s="6">
        <f>B95-MAX($B$2:B95)</f>
        <v>-1.1399999999999935</v>
      </c>
      <c r="F95" s="80">
        <f t="shared" si="3"/>
        <v>2</v>
      </c>
      <c r="G95" s="77">
        <f>Comp2[[#This Row],[Comparable '#2 Drawdown]]/MAX($B$2:B95)</f>
        <v>-1.9601100412654636E-2</v>
      </c>
      <c r="H95" s="1" t="str">
        <f>IF(SUM(COUNTIF(Benchmark1[Benchmark '#1 Dates],Comp2[[#This Row],[Comparable '#2 Dates]]),COUNTIF(Benchmark2[Benchmark '#2 Dates],Comp2[[#This Row],[Comparable '#2 Dates]]))=2,"Pass","Fail")</f>
        <v>Pass</v>
      </c>
      <c r="I95" s="1">
        <f>IFERROR(Comp2[[#This Row],[Comparable '#2 Return]]-INDEX(Benchmark1[Benchmark '#1 Return],MATCH(Comp2[[#This Row],[Comparable '#2 Dates]],Benchmark1[Benchmark '#1 Dates],0)),"-")</f>
        <v>-4.9496888052880123E-3</v>
      </c>
      <c r="L95" s="72">
        <f>Comp2[[#This Row],[Comparable '#2 Price]]/$B$2*100</f>
        <v>114.72837022132796</v>
      </c>
    </row>
    <row r="96" spans="1:12">
      <c r="A96" s="96">
        <v>43419</v>
      </c>
      <c r="B96" s="101">
        <v>57.71</v>
      </c>
      <c r="C96" s="4">
        <f t="shared" si="2"/>
        <v>1.2028385238349175E-2</v>
      </c>
      <c r="D96" s="1">
        <f>IFERROR(Comp2[[#This Row],[Comparable '#2 Return]]+1,"-")</f>
        <v>1.0120283852383491</v>
      </c>
      <c r="E96" s="6">
        <f>B96-MAX($B$2:B96)</f>
        <v>-0.44999999999999574</v>
      </c>
      <c r="F96" s="80">
        <f t="shared" si="3"/>
        <v>3</v>
      </c>
      <c r="G96" s="77">
        <f>Comp2[[#This Row],[Comparable '#2 Drawdown]]/MAX($B$2:B96)</f>
        <v>-7.7372764786794316E-3</v>
      </c>
      <c r="H96" s="1" t="str">
        <f>IF(SUM(COUNTIF(Benchmark1[Benchmark '#1 Dates],Comp2[[#This Row],[Comparable '#2 Dates]]),COUNTIF(Benchmark2[Benchmark '#2 Dates],Comp2[[#This Row],[Comparable '#2 Dates]]))=2,"Pass","Fail")</f>
        <v>Pass</v>
      </c>
      <c r="I96" s="1">
        <f>IFERROR(Comp2[[#This Row],[Comparable '#2 Return]]-INDEX(Benchmark1[Benchmark '#1 Return],MATCH(Comp2[[#This Row],[Comparable '#2 Dates]],Benchmark1[Benchmark '#1 Dates],0)),"-")</f>
        <v>1.4879543921634941E-3</v>
      </c>
      <c r="L96" s="72">
        <f>Comp2[[#This Row],[Comparable '#2 Price]]/$B$2*100</f>
        <v>116.11670020120724</v>
      </c>
    </row>
    <row r="97" spans="1:12">
      <c r="A97" s="96">
        <v>43420</v>
      </c>
      <c r="B97" s="101">
        <v>57.54</v>
      </c>
      <c r="C97" s="4">
        <f t="shared" si="2"/>
        <v>-2.9501105994731948E-3</v>
      </c>
      <c r="D97" s="1">
        <f>IFERROR(Comp2[[#This Row],[Comparable '#2 Return]]+1,"-")</f>
        <v>0.99704988940052686</v>
      </c>
      <c r="E97" s="6">
        <f>B97-MAX($B$2:B97)</f>
        <v>-0.61999999999999744</v>
      </c>
      <c r="F97" s="80">
        <f t="shared" si="3"/>
        <v>4</v>
      </c>
      <c r="G97" s="77">
        <f>Comp2[[#This Row],[Comparable '#2 Drawdown]]/MAX($B$2:B97)</f>
        <v>-1.0660247592847274E-2</v>
      </c>
      <c r="H97" s="1" t="str">
        <f>IF(SUM(COUNTIF(Benchmark1[Benchmark '#1 Dates],Comp2[[#This Row],[Comparable '#2 Dates]]),COUNTIF(Benchmark2[Benchmark '#2 Dates],Comp2[[#This Row],[Comparable '#2 Dates]]))=2,"Pass","Fail")</f>
        <v>Pass</v>
      </c>
      <c r="I97" s="1">
        <f>IFERROR(Comp2[[#This Row],[Comparable '#2 Return]]-INDEX(Benchmark1[Benchmark '#1 Return],MATCH(Comp2[[#This Row],[Comparable '#2 Dates]],Benchmark1[Benchmark '#1 Dates],0)),"-")</f>
        <v>-5.1696301822867913E-3</v>
      </c>
      <c r="L97" s="72">
        <f>Comp2[[#This Row],[Comparable '#2 Price]]/$B$2*100</f>
        <v>115.77464788732395</v>
      </c>
    </row>
    <row r="98" spans="1:12">
      <c r="A98" s="96">
        <v>43423</v>
      </c>
      <c r="B98" s="101">
        <v>56.24</v>
      </c>
      <c r="C98" s="4">
        <f t="shared" si="2"/>
        <v>-2.285211062099236E-2</v>
      </c>
      <c r="D98" s="1">
        <f>IFERROR(Comp2[[#This Row],[Comparable '#2 Return]]+1,"-")</f>
        <v>0.97714788937900765</v>
      </c>
      <c r="E98" s="6">
        <f>B98-MAX($B$2:B98)</f>
        <v>-1.9199999999999946</v>
      </c>
      <c r="F98" s="80">
        <f t="shared" si="3"/>
        <v>5</v>
      </c>
      <c r="G98" s="77">
        <f>Comp2[[#This Row],[Comparable '#2 Drawdown]]/MAX($B$2:B98)</f>
        <v>-3.3012379642365794E-2</v>
      </c>
      <c r="H98" s="1" t="str">
        <f>IF(SUM(COUNTIF(Benchmark1[Benchmark '#1 Dates],Comp2[[#This Row],[Comparable '#2 Dates]]),COUNTIF(Benchmark2[Benchmark '#2 Dates],Comp2[[#This Row],[Comparable '#2 Dates]]))=2,"Pass","Fail")</f>
        <v>Pass</v>
      </c>
      <c r="I98" s="1">
        <f>IFERROR(Comp2[[#This Row],[Comparable '#2 Return]]-INDEX(Benchmark1[Benchmark '#1 Return],MATCH(Comp2[[#This Row],[Comparable '#2 Dates]],Benchmark1[Benchmark '#1 Dates],0)),"-")</f>
        <v>-6.0697854749451816E-3</v>
      </c>
      <c r="L98" s="72">
        <f>Comp2[[#This Row],[Comparable '#2 Price]]/$B$2*100</f>
        <v>113.158953722334</v>
      </c>
    </row>
    <row r="99" spans="1:12">
      <c r="A99" s="96">
        <v>43424</v>
      </c>
      <c r="B99" s="101">
        <v>55.15</v>
      </c>
      <c r="C99" s="4">
        <f t="shared" si="2"/>
        <v>-1.9571501802898062E-2</v>
      </c>
      <c r="D99" s="1">
        <f>IFERROR(Comp2[[#This Row],[Comparable '#2 Return]]+1,"-")</f>
        <v>0.98042849819710198</v>
      </c>
      <c r="E99" s="6">
        <f>B99-MAX($B$2:B99)</f>
        <v>-3.009999999999998</v>
      </c>
      <c r="F99" s="80">
        <f t="shared" si="3"/>
        <v>6</v>
      </c>
      <c r="G99" s="77">
        <f>Comp2[[#This Row],[Comparable '#2 Drawdown]]/MAX($B$2:B99)</f>
        <v>-5.1753782668500656E-2</v>
      </c>
      <c r="H99" s="1" t="str">
        <f>IF(SUM(COUNTIF(Benchmark1[Benchmark '#1 Dates],Comp2[[#This Row],[Comparable '#2 Dates]]),COUNTIF(Benchmark2[Benchmark '#2 Dates],Comp2[[#This Row],[Comparable '#2 Dates]]))=2,"Pass","Fail")</f>
        <v>Pass</v>
      </c>
      <c r="I99" s="1">
        <f>IFERROR(Comp2[[#This Row],[Comparable '#2 Return]]-INDEX(Benchmark1[Benchmark '#1 Return],MATCH(Comp2[[#This Row],[Comparable '#2 Dates]],Benchmark1[Benchmark '#1 Dates],0)),"-")</f>
        <v>-1.2532005741805637E-3</v>
      </c>
      <c r="L99" s="72">
        <f>Comp2[[#This Row],[Comparable '#2 Price]]/$B$2*100</f>
        <v>110.96579476861166</v>
      </c>
    </row>
    <row r="100" spans="1:12">
      <c r="A100" s="96">
        <v>43425</v>
      </c>
      <c r="B100" s="101">
        <v>55.86</v>
      </c>
      <c r="C100" s="4">
        <f t="shared" si="2"/>
        <v>1.2791814817519231E-2</v>
      </c>
      <c r="D100" s="1">
        <f>IFERROR(Comp2[[#This Row],[Comparable '#2 Return]]+1,"-")</f>
        <v>1.0127918148175192</v>
      </c>
      <c r="E100" s="6">
        <f>B100-MAX($B$2:B100)</f>
        <v>-2.2999999999999972</v>
      </c>
      <c r="F100" s="80">
        <f t="shared" si="3"/>
        <v>7</v>
      </c>
      <c r="G100" s="77">
        <f>Comp2[[#This Row],[Comparable '#2 Drawdown]]/MAX($B$2:B100)</f>
        <v>-3.954607977991742E-2</v>
      </c>
      <c r="H100" s="1" t="str">
        <f>IF(SUM(COUNTIF(Benchmark1[Benchmark '#1 Dates],Comp2[[#This Row],[Comparable '#2 Dates]]),COUNTIF(Benchmark2[Benchmark '#2 Dates],Comp2[[#This Row],[Comparable '#2 Dates]]))=2,"Pass","Fail")</f>
        <v>Pass</v>
      </c>
      <c r="I100" s="1">
        <f>IFERROR(Comp2[[#This Row],[Comparable '#2 Return]]-INDEX(Benchmark1[Benchmark '#1 Return],MATCH(Comp2[[#This Row],[Comparable '#2 Dates]],Benchmark1[Benchmark '#1 Dates],0)),"-")</f>
        <v>9.7536205916733051E-3</v>
      </c>
      <c r="L100" s="72">
        <f>Comp2[[#This Row],[Comparable '#2 Price]]/$B$2*100</f>
        <v>112.39436619718307</v>
      </c>
    </row>
    <row r="101" spans="1:12">
      <c r="A101" s="96">
        <v>43427</v>
      </c>
      <c r="B101" s="101">
        <v>56.02</v>
      </c>
      <c r="C101" s="4">
        <f t="shared" si="2"/>
        <v>2.8602093149317307E-3</v>
      </c>
      <c r="D101" s="1">
        <f>IFERROR(Comp2[[#This Row],[Comparable '#2 Return]]+1,"-")</f>
        <v>1.0028602093149317</v>
      </c>
      <c r="E101" s="6">
        <f>B101-MAX($B$2:B101)</f>
        <v>-2.1399999999999935</v>
      </c>
      <c r="F101" s="80">
        <f t="shared" si="3"/>
        <v>8</v>
      </c>
      <c r="G101" s="77">
        <f>Comp2[[#This Row],[Comparable '#2 Drawdown]]/MAX($B$2:B101)</f>
        <v>-3.6795048143053538E-2</v>
      </c>
      <c r="H101" s="1" t="str">
        <f>IF(SUM(COUNTIF(Benchmark1[Benchmark '#1 Dates],Comp2[[#This Row],[Comparable '#2 Dates]]),COUNTIF(Benchmark2[Benchmark '#2 Dates],Comp2[[#This Row],[Comparable '#2 Dates]]))=2,"Pass","Fail")</f>
        <v>Pass</v>
      </c>
      <c r="I101" s="1">
        <f>IFERROR(Comp2[[#This Row],[Comparable '#2 Return]]-INDEX(Benchmark1[Benchmark '#1 Return],MATCH(Comp2[[#This Row],[Comparable '#2 Dates]],Benchmark1[Benchmark '#1 Dates],0)),"-")</f>
        <v>9.4376080236440191E-3</v>
      </c>
      <c r="L101" s="72">
        <f>Comp2[[#This Row],[Comparable '#2 Price]]/$B$2*100</f>
        <v>112.71629778672032</v>
      </c>
    </row>
    <row r="102" spans="1:12">
      <c r="A102" s="96">
        <v>43430</v>
      </c>
      <c r="B102" s="101">
        <v>55.93</v>
      </c>
      <c r="C102" s="4">
        <f t="shared" si="2"/>
        <v>-1.6078609984659033E-3</v>
      </c>
      <c r="D102" s="1">
        <f>IFERROR(Comp2[[#This Row],[Comparable '#2 Return]]+1,"-")</f>
        <v>0.99839213900153412</v>
      </c>
      <c r="E102" s="6">
        <f>B102-MAX($B$2:B102)</f>
        <v>-2.2299999999999969</v>
      </c>
      <c r="F102" s="80">
        <f t="shared" si="3"/>
        <v>9</v>
      </c>
      <c r="G102" s="77">
        <f>Comp2[[#This Row],[Comparable '#2 Drawdown]]/MAX($B$2:B102)</f>
        <v>-3.8342503438789498E-2</v>
      </c>
      <c r="H102" s="1" t="str">
        <f>IF(SUM(COUNTIF(Benchmark1[Benchmark '#1 Dates],Comp2[[#This Row],[Comparable '#2 Dates]]),COUNTIF(Benchmark2[Benchmark '#2 Dates],Comp2[[#This Row],[Comparable '#2 Dates]]))=2,"Pass","Fail")</f>
        <v>Pass</v>
      </c>
      <c r="I102" s="1">
        <f>IFERROR(Comp2[[#This Row],[Comparable '#2 Return]]-INDEX(Benchmark1[Benchmark '#1 Return],MATCH(Comp2[[#This Row],[Comparable '#2 Dates]],Benchmark1[Benchmark '#1 Dates],0)),"-")</f>
        <v>-1.7021188675570089E-2</v>
      </c>
      <c r="L102" s="72">
        <f>Comp2[[#This Row],[Comparable '#2 Price]]/$B$2*100</f>
        <v>112.53521126760562</v>
      </c>
    </row>
    <row r="103" spans="1:12">
      <c r="A103" s="96">
        <v>43431</v>
      </c>
      <c r="B103" s="101">
        <v>55.15</v>
      </c>
      <c r="C103" s="4">
        <f t="shared" si="2"/>
        <v>-1.4044163133985165E-2</v>
      </c>
      <c r="D103" s="1">
        <f>IFERROR(Comp2[[#This Row],[Comparable '#2 Return]]+1,"-")</f>
        <v>0.98595583686601485</v>
      </c>
      <c r="E103" s="6">
        <f>B103-MAX($B$2:B103)</f>
        <v>-3.009999999999998</v>
      </c>
      <c r="F103" s="80">
        <f t="shared" si="3"/>
        <v>10</v>
      </c>
      <c r="G103" s="77">
        <f>Comp2[[#This Row],[Comparable '#2 Drawdown]]/MAX($B$2:B103)</f>
        <v>-5.1753782668500656E-2</v>
      </c>
      <c r="H103" s="1" t="str">
        <f>IF(SUM(COUNTIF(Benchmark1[Benchmark '#1 Dates],Comp2[[#This Row],[Comparable '#2 Dates]]),COUNTIF(Benchmark2[Benchmark '#2 Dates],Comp2[[#This Row],[Comparable '#2 Dates]]))=2,"Pass","Fail")</f>
        <v>Pass</v>
      </c>
      <c r="I103" s="1">
        <f>IFERROR(Comp2[[#This Row],[Comparable '#2 Return]]-INDEX(Benchmark1[Benchmark '#1 Return],MATCH(Comp2[[#This Row],[Comparable '#2 Dates]],Benchmark1[Benchmark '#1 Dates],0)),"-")</f>
        <v>-1.7301424996614526E-2</v>
      </c>
      <c r="L103" s="72">
        <f>Comp2[[#This Row],[Comparable '#2 Price]]/$B$2*100</f>
        <v>110.96579476861166</v>
      </c>
    </row>
    <row r="104" spans="1:12">
      <c r="A104" s="96">
        <v>43432</v>
      </c>
      <c r="B104" s="101">
        <v>56.46</v>
      </c>
      <c r="C104" s="4">
        <f t="shared" si="2"/>
        <v>2.3475677125831755E-2</v>
      </c>
      <c r="D104" s="1">
        <f>IFERROR(Comp2[[#This Row],[Comparable '#2 Return]]+1,"-")</f>
        <v>1.0234756771258318</v>
      </c>
      <c r="E104" s="6">
        <f>B104-MAX($B$2:B104)</f>
        <v>-1.6999999999999957</v>
      </c>
      <c r="F104" s="80">
        <f t="shared" si="3"/>
        <v>11</v>
      </c>
      <c r="G104" s="77">
        <f>Comp2[[#This Row],[Comparable '#2 Drawdown]]/MAX($B$2:B104)</f>
        <v>-2.9229711141678057E-2</v>
      </c>
      <c r="H104" s="1" t="str">
        <f>IF(SUM(COUNTIF(Benchmark1[Benchmark '#1 Dates],Comp2[[#This Row],[Comparable '#2 Dates]]),COUNTIF(Benchmark2[Benchmark '#2 Dates],Comp2[[#This Row],[Comparable '#2 Dates]]))=2,"Pass","Fail")</f>
        <v>Pass</v>
      </c>
      <c r="I104" s="1">
        <f>IFERROR(Comp2[[#This Row],[Comparable '#2 Return]]-INDEX(Benchmark1[Benchmark '#1 Return],MATCH(Comp2[[#This Row],[Comparable '#2 Dates]],Benchmark1[Benchmark '#1 Dates],0)),"-")</f>
        <v>7.6331425424902913E-4</v>
      </c>
      <c r="L104" s="72">
        <f>Comp2[[#This Row],[Comparable '#2 Price]]/$B$2*100</f>
        <v>113.60160965794768</v>
      </c>
    </row>
    <row r="105" spans="1:12">
      <c r="A105" s="96">
        <v>43433</v>
      </c>
      <c r="B105" s="101">
        <v>57.42</v>
      </c>
      <c r="C105" s="4">
        <f t="shared" si="2"/>
        <v>1.6860251867574647E-2</v>
      </c>
      <c r="D105" s="1">
        <f>IFERROR(Comp2[[#This Row],[Comparable '#2 Return]]+1,"-")</f>
        <v>1.0168602518675747</v>
      </c>
      <c r="E105" s="6">
        <f>B105-MAX($B$2:B105)</f>
        <v>-0.73999999999999488</v>
      </c>
      <c r="F105" s="80">
        <f t="shared" si="3"/>
        <v>12</v>
      </c>
      <c r="G105" s="77">
        <f>Comp2[[#This Row],[Comparable '#2 Drawdown]]/MAX($B$2:B105)</f>
        <v>-1.2723521320495099E-2</v>
      </c>
      <c r="H105" s="1" t="str">
        <f>IF(SUM(COUNTIF(Benchmark1[Benchmark '#1 Dates],Comp2[[#This Row],[Comparable '#2 Dates]]),COUNTIF(Benchmark2[Benchmark '#2 Dates],Comp2[[#This Row],[Comparable '#2 Dates]]))=2,"Pass","Fail")</f>
        <v>Pass</v>
      </c>
      <c r="I105" s="1">
        <f>IFERROR(Comp2[[#This Row],[Comparable '#2 Return]]-INDEX(Benchmark1[Benchmark '#1 Return],MATCH(Comp2[[#This Row],[Comparable '#2 Dates]],Benchmark1[Benchmark '#1 Dates],0)),"-")</f>
        <v>1.905850719929322E-2</v>
      </c>
      <c r="L105" s="72">
        <f>Comp2[[#This Row],[Comparable '#2 Price]]/$B$2*100</f>
        <v>115.53319919517102</v>
      </c>
    </row>
    <row r="106" spans="1:12">
      <c r="A106" s="96">
        <v>43434</v>
      </c>
      <c r="B106" s="101">
        <v>57.74</v>
      </c>
      <c r="C106" s="4">
        <f t="shared" si="2"/>
        <v>5.5574995418710459E-3</v>
      </c>
      <c r="D106" s="1">
        <f>IFERROR(Comp2[[#This Row],[Comparable '#2 Return]]+1,"-")</f>
        <v>1.005557499541871</v>
      </c>
      <c r="E106" s="6">
        <f>B106-MAX($B$2:B106)</f>
        <v>-0.4199999999999946</v>
      </c>
      <c r="F106" s="80">
        <f t="shared" si="3"/>
        <v>13</v>
      </c>
      <c r="G106" s="77">
        <f>Comp2[[#This Row],[Comparable '#2 Drawdown]]/MAX($B$2:B106)</f>
        <v>-7.221458046767445E-3</v>
      </c>
      <c r="H106" s="1" t="str">
        <f>IF(SUM(COUNTIF(Benchmark1[Benchmark '#1 Dates],Comp2[[#This Row],[Comparable '#2 Dates]]),COUNTIF(Benchmark2[Benchmark '#2 Dates],Comp2[[#This Row],[Comparable '#2 Dates]]))=2,"Pass","Fail")</f>
        <v>Pass</v>
      </c>
      <c r="I106" s="1">
        <f>IFERROR(Comp2[[#This Row],[Comparable '#2 Return]]-INDEX(Benchmark1[Benchmark '#1 Return],MATCH(Comp2[[#This Row],[Comparable '#2 Dates]],Benchmark1[Benchmark '#1 Dates],0)),"-")</f>
        <v>-2.5961391398434492E-3</v>
      </c>
      <c r="L106" s="72">
        <f>Comp2[[#This Row],[Comparable '#2 Price]]/$B$2*100</f>
        <v>116.17706237424548</v>
      </c>
    </row>
    <row r="107" spans="1:12">
      <c r="A107" s="96">
        <v>43437</v>
      </c>
      <c r="B107" s="101">
        <v>56.37</v>
      </c>
      <c r="C107" s="4">
        <f t="shared" si="2"/>
        <v>-2.4013072141305429E-2</v>
      </c>
      <c r="D107" s="1">
        <f>IFERROR(Comp2[[#This Row],[Comparable '#2 Return]]+1,"-")</f>
        <v>0.97598692785869456</v>
      </c>
      <c r="E107" s="6">
        <f>B107-MAX($B$2:B107)</f>
        <v>-1.7899999999999991</v>
      </c>
      <c r="F107" s="80">
        <f t="shared" si="3"/>
        <v>14</v>
      </c>
      <c r="G107" s="77">
        <f>Comp2[[#This Row],[Comparable '#2 Drawdown]]/MAX($B$2:B107)</f>
        <v>-3.0777166437414016E-2</v>
      </c>
      <c r="H107" s="1" t="str">
        <f>IF(SUM(COUNTIF(Benchmark1[Benchmark '#1 Dates],Comp2[[#This Row],[Comparable '#2 Dates]]),COUNTIF(Benchmark2[Benchmark '#2 Dates],Comp2[[#This Row],[Comparable '#2 Dates]]))=2,"Pass","Fail")</f>
        <v>Pass</v>
      </c>
      <c r="I107" s="1">
        <f>IFERROR(Comp2[[#This Row],[Comparable '#2 Return]]-INDEX(Benchmark1[Benchmark '#1 Return],MATCH(Comp2[[#This Row],[Comparable '#2 Dates]],Benchmark1[Benchmark '#1 Dates],0)),"-")</f>
        <v>-3.4893274463539702E-2</v>
      </c>
      <c r="L107" s="72">
        <f>Comp2[[#This Row],[Comparable '#2 Price]]/$B$2*100</f>
        <v>113.42052313883299</v>
      </c>
    </row>
    <row r="108" spans="1:12">
      <c r="A108" s="96">
        <v>43438</v>
      </c>
      <c r="B108" s="101">
        <v>54.63</v>
      </c>
      <c r="C108" s="4">
        <f t="shared" si="2"/>
        <v>-3.1353919685857282E-2</v>
      </c>
      <c r="D108" s="1">
        <f>IFERROR(Comp2[[#This Row],[Comparable '#2 Return]]+1,"-")</f>
        <v>0.96864608031414268</v>
      </c>
      <c r="E108" s="6">
        <f>B108-MAX($B$2:B108)</f>
        <v>-3.529999999999994</v>
      </c>
      <c r="F108" s="80">
        <f t="shared" si="3"/>
        <v>15</v>
      </c>
      <c r="G108" s="77">
        <f>Comp2[[#This Row],[Comparable '#2 Drawdown]]/MAX($B$2:B108)</f>
        <v>-6.0694635488308016E-2</v>
      </c>
      <c r="H108" s="1" t="str">
        <f>IF(SUM(COUNTIF(Benchmark1[Benchmark '#1 Dates],Comp2[[#This Row],[Comparable '#2 Dates]]),COUNTIF(Benchmark2[Benchmark '#2 Dates],Comp2[[#This Row],[Comparable '#2 Dates]]))=2,"Pass","Fail")</f>
        <v>Pass</v>
      </c>
      <c r="I108" s="1">
        <f>IFERROR(Comp2[[#This Row],[Comparable '#2 Return]]-INDEX(Benchmark1[Benchmark '#1 Return],MATCH(Comp2[[#This Row],[Comparable '#2 Dates]],Benchmark1[Benchmark '#1 Dates],0)),"-")</f>
        <v>1.5444839641583635E-3</v>
      </c>
      <c r="L108" s="72">
        <f>Comp2[[#This Row],[Comparable '#2 Price]]/$B$2*100</f>
        <v>109.9195171026157</v>
      </c>
    </row>
    <row r="109" spans="1:12">
      <c r="A109" s="96">
        <v>43440</v>
      </c>
      <c r="B109" s="101">
        <v>54.5</v>
      </c>
      <c r="C109" s="4">
        <f t="shared" si="2"/>
        <v>-2.3824807384279071E-3</v>
      </c>
      <c r="D109" s="1">
        <f>IFERROR(Comp2[[#This Row],[Comparable '#2 Return]]+1,"-")</f>
        <v>0.99761751926157205</v>
      </c>
      <c r="E109" s="6">
        <f>B109-MAX($B$2:B109)</f>
        <v>-3.6599999999999966</v>
      </c>
      <c r="F109" s="80">
        <f t="shared" si="3"/>
        <v>16</v>
      </c>
      <c r="G109" s="77">
        <f>Comp2[[#This Row],[Comparable '#2 Drawdown]]/MAX($B$2:B109)</f>
        <v>-6.2929848693259918E-2</v>
      </c>
      <c r="H109" s="1" t="str">
        <f>IF(SUM(COUNTIF(Benchmark1[Benchmark '#1 Dates],Comp2[[#This Row],[Comparable '#2 Dates]]),COUNTIF(Benchmark2[Benchmark '#2 Dates],Comp2[[#This Row],[Comparable '#2 Dates]]))=2,"Pass","Fail")</f>
        <v>Pass</v>
      </c>
      <c r="I109" s="1">
        <f>IFERROR(Comp2[[#This Row],[Comparable '#2 Return]]-INDEX(Benchmark1[Benchmark '#1 Return],MATCH(Comp2[[#This Row],[Comparable '#2 Dates]],Benchmark1[Benchmark '#1 Dates],0)),"-")</f>
        <v>-8.5579171746757695E-4</v>
      </c>
      <c r="L109" s="72">
        <f>Comp2[[#This Row],[Comparable '#2 Price]]/$B$2*100</f>
        <v>109.6579476861167</v>
      </c>
    </row>
    <row r="110" spans="1:12">
      <c r="A110" s="96">
        <v>43441</v>
      </c>
      <c r="B110" s="101">
        <v>52.76</v>
      </c>
      <c r="C110" s="4">
        <f t="shared" si="2"/>
        <v>-3.244737382008453E-2</v>
      </c>
      <c r="D110" s="1">
        <f>IFERROR(Comp2[[#This Row],[Comparable '#2 Return]]+1,"-")</f>
        <v>0.96755262617991544</v>
      </c>
      <c r="E110" s="6">
        <f>B110-MAX($B$2:B110)</f>
        <v>-5.3999999999999986</v>
      </c>
      <c r="F110" s="80">
        <f t="shared" si="3"/>
        <v>17</v>
      </c>
      <c r="G110" s="77">
        <f>Comp2[[#This Row],[Comparable '#2 Drawdown]]/MAX($B$2:B110)</f>
        <v>-9.2847317744154043E-2</v>
      </c>
      <c r="H110" s="1" t="str">
        <f>IF(SUM(COUNTIF(Benchmark1[Benchmark '#1 Dates],Comp2[[#This Row],[Comparable '#2 Dates]]),COUNTIF(Benchmark2[Benchmark '#2 Dates],Comp2[[#This Row],[Comparable '#2 Dates]]))=2,"Pass","Fail")</f>
        <v>Pass</v>
      </c>
      <c r="I110" s="1">
        <f>IFERROR(Comp2[[#This Row],[Comparable '#2 Return]]-INDEX(Benchmark1[Benchmark '#1 Return],MATCH(Comp2[[#This Row],[Comparable '#2 Dates]],Benchmark1[Benchmark '#1 Dates],0)),"-")</f>
        <v>-8.8522657207866368E-3</v>
      </c>
      <c r="L110" s="72">
        <f>Comp2[[#This Row],[Comparable '#2 Price]]/$B$2*100</f>
        <v>106.15694164989939</v>
      </c>
    </row>
    <row r="111" spans="1:12">
      <c r="A111" s="96">
        <v>43444</v>
      </c>
      <c r="B111" s="101">
        <v>52.04</v>
      </c>
      <c r="C111" s="4">
        <f t="shared" si="2"/>
        <v>-1.3740674204809259E-2</v>
      </c>
      <c r="D111" s="1">
        <f>IFERROR(Comp2[[#This Row],[Comparable '#2 Return]]+1,"-")</f>
        <v>0.98625932579519071</v>
      </c>
      <c r="E111" s="6">
        <f>B111-MAX($B$2:B111)</f>
        <v>-6.1199999999999974</v>
      </c>
      <c r="F111" s="80">
        <f t="shared" si="3"/>
        <v>18</v>
      </c>
      <c r="G111" s="77">
        <f>Comp2[[#This Row],[Comparable '#2 Drawdown]]/MAX($B$2:B111)</f>
        <v>-0.10522696011004123</v>
      </c>
      <c r="H111" s="1" t="str">
        <f>IF(SUM(COUNTIF(Benchmark1[Benchmark '#1 Dates],Comp2[[#This Row],[Comparable '#2 Dates]]),COUNTIF(Benchmark2[Benchmark '#2 Dates],Comp2[[#This Row],[Comparable '#2 Dates]]))=2,"Pass","Fail")</f>
        <v>Pass</v>
      </c>
      <c r="I111" s="1">
        <f>IFERROR(Comp2[[#This Row],[Comparable '#2 Return]]-INDEX(Benchmark1[Benchmark '#1 Return],MATCH(Comp2[[#This Row],[Comparable '#2 Dates]],Benchmark1[Benchmark '#1 Dates],0)),"-")</f>
        <v>-1.5502930273927349E-2</v>
      </c>
      <c r="L111" s="72">
        <f>Comp2[[#This Row],[Comparable '#2 Price]]/$B$2*100</f>
        <v>104.70824949698188</v>
      </c>
    </row>
    <row r="112" spans="1:12">
      <c r="A112" s="96">
        <v>43445</v>
      </c>
      <c r="B112" s="101">
        <v>52.03</v>
      </c>
      <c r="C112" s="4">
        <f t="shared" si="2"/>
        <v>-1.9217834209229797E-4</v>
      </c>
      <c r="D112" s="1">
        <f>IFERROR(Comp2[[#This Row],[Comparable '#2 Return]]+1,"-")</f>
        <v>0.99980782165790771</v>
      </c>
      <c r="E112" s="6">
        <f>B112-MAX($B$2:B112)</f>
        <v>-6.1299999999999955</v>
      </c>
      <c r="F112" s="80">
        <f t="shared" si="3"/>
        <v>19</v>
      </c>
      <c r="G112" s="77">
        <f>Comp2[[#This Row],[Comparable '#2 Drawdown]]/MAX($B$2:B112)</f>
        <v>-0.10539889958734518</v>
      </c>
      <c r="H112" s="1" t="str">
        <f>IF(SUM(COUNTIF(Benchmark1[Benchmark '#1 Dates],Comp2[[#This Row],[Comparable '#2 Dates]]),COUNTIF(Benchmark2[Benchmark '#2 Dates],Comp2[[#This Row],[Comparable '#2 Dates]]))=2,"Pass","Fail")</f>
        <v>Pass</v>
      </c>
      <c r="I112" s="1">
        <f>IFERROR(Comp2[[#This Row],[Comparable '#2 Return]]-INDEX(Benchmark1[Benchmark '#1 Return],MATCH(Comp2[[#This Row],[Comparable '#2 Dates]],Benchmark1[Benchmark '#1 Dates],0)),"-")</f>
        <v>1.6399152032960262E-4</v>
      </c>
      <c r="L112" s="72">
        <f>Comp2[[#This Row],[Comparable '#2 Price]]/$B$2*100</f>
        <v>104.68812877263581</v>
      </c>
    </row>
    <row r="113" spans="1:12">
      <c r="A113" s="96">
        <v>43446</v>
      </c>
      <c r="B113" s="101">
        <v>53.05</v>
      </c>
      <c r="C113" s="4">
        <f t="shared" si="2"/>
        <v>1.9414389757779919E-2</v>
      </c>
      <c r="D113" s="1">
        <f>IFERROR(Comp2[[#This Row],[Comparable '#2 Return]]+1,"-")</f>
        <v>1.0194143897577799</v>
      </c>
      <c r="E113" s="6">
        <f>B113-MAX($B$2:B113)</f>
        <v>-5.1099999999999994</v>
      </c>
      <c r="F113" s="80">
        <f t="shared" si="3"/>
        <v>20</v>
      </c>
      <c r="G113" s="77">
        <f>Comp2[[#This Row],[Comparable '#2 Drawdown]]/MAX($B$2:B113)</f>
        <v>-8.7861072902338369E-2</v>
      </c>
      <c r="H113" s="1" t="str">
        <f>IF(SUM(COUNTIF(Benchmark1[Benchmark '#1 Dates],Comp2[[#This Row],[Comparable '#2 Dates]]),COUNTIF(Benchmark2[Benchmark '#2 Dates],Comp2[[#This Row],[Comparable '#2 Dates]]))=2,"Pass","Fail")</f>
        <v>Pass</v>
      </c>
      <c r="I113" s="1">
        <f>IFERROR(Comp2[[#This Row],[Comparable '#2 Return]]-INDEX(Benchmark1[Benchmark '#1 Return],MATCH(Comp2[[#This Row],[Comparable '#2 Dates]],Benchmark1[Benchmark '#1 Dates],0)),"-")</f>
        <v>1.4011828433814048E-2</v>
      </c>
      <c r="L113" s="72">
        <f>Comp2[[#This Row],[Comparable '#2 Price]]/$B$2*100</f>
        <v>106.74044265593561</v>
      </c>
    </row>
    <row r="114" spans="1:12">
      <c r="A114" s="96">
        <v>43447</v>
      </c>
      <c r="B114" s="101">
        <v>52.25</v>
      </c>
      <c r="C114" s="4">
        <f t="shared" si="2"/>
        <v>-1.5194974215071724E-2</v>
      </c>
      <c r="D114" s="1">
        <f>IFERROR(Comp2[[#This Row],[Comparable '#2 Return]]+1,"-")</f>
        <v>0.98480502578492823</v>
      </c>
      <c r="E114" s="6">
        <f>B114-MAX($B$2:B114)</f>
        <v>-5.9099999999999966</v>
      </c>
      <c r="F114" s="80">
        <f t="shared" si="3"/>
        <v>21</v>
      </c>
      <c r="G114" s="77">
        <f>Comp2[[#This Row],[Comparable '#2 Drawdown]]/MAX($B$2:B114)</f>
        <v>-0.10161623108665745</v>
      </c>
      <c r="H114" s="1" t="str">
        <f>IF(SUM(COUNTIF(Benchmark1[Benchmark '#1 Dates],Comp2[[#This Row],[Comparable '#2 Dates]]),COUNTIF(Benchmark2[Benchmark '#2 Dates],Comp2[[#This Row],[Comparable '#2 Dates]]))=2,"Pass","Fail")</f>
        <v>Pass</v>
      </c>
      <c r="I114" s="1">
        <f>IFERROR(Comp2[[#This Row],[Comparable '#2 Return]]-INDEX(Benchmark1[Benchmark '#1 Return],MATCH(Comp2[[#This Row],[Comparable '#2 Dates]],Benchmark1[Benchmark '#1 Dates],0)),"-")</f>
        <v>-1.4994084199983326E-2</v>
      </c>
      <c r="L114" s="72">
        <f>Comp2[[#This Row],[Comparable '#2 Price]]/$B$2*100</f>
        <v>105.13078470824948</v>
      </c>
    </row>
    <row r="115" spans="1:12">
      <c r="A115" s="96">
        <v>43448</v>
      </c>
      <c r="B115" s="101">
        <v>51.13</v>
      </c>
      <c r="C115" s="4">
        <f t="shared" si="2"/>
        <v>-2.1668481753012503E-2</v>
      </c>
      <c r="D115" s="1">
        <f>IFERROR(Comp2[[#This Row],[Comparable '#2 Return]]+1,"-")</f>
        <v>0.9783315182469875</v>
      </c>
      <c r="E115" s="6">
        <f>B115-MAX($B$2:B115)</f>
        <v>-7.029999999999994</v>
      </c>
      <c r="F115" s="80">
        <f t="shared" si="3"/>
        <v>22</v>
      </c>
      <c r="G115" s="77">
        <f>Comp2[[#This Row],[Comparable '#2 Drawdown]]/MAX($B$2:B115)</f>
        <v>-0.12087345254470416</v>
      </c>
      <c r="H115" s="1" t="str">
        <f>IF(SUM(COUNTIF(Benchmark1[Benchmark '#1 Dates],Comp2[[#This Row],[Comparable '#2 Dates]]),COUNTIF(Benchmark2[Benchmark '#2 Dates],Comp2[[#This Row],[Comparable '#2 Dates]]))=2,"Pass","Fail")</f>
        <v>Pass</v>
      </c>
      <c r="I115" s="1">
        <f>IFERROR(Comp2[[#This Row],[Comparable '#2 Return]]-INDEX(Benchmark1[Benchmark '#1 Return],MATCH(Comp2[[#This Row],[Comparable '#2 Dates]],Benchmark1[Benchmark '#1 Dates],0)),"-")</f>
        <v>-2.4007940520780931E-3</v>
      </c>
      <c r="L115" s="72">
        <f>Comp2[[#This Row],[Comparable '#2 Price]]/$B$2*100</f>
        <v>102.87726358148895</v>
      </c>
    </row>
    <row r="116" spans="1:12">
      <c r="A116" s="96">
        <v>43451</v>
      </c>
      <c r="B116" s="101">
        <v>49.99</v>
      </c>
      <c r="C116" s="4">
        <f t="shared" si="2"/>
        <v>-2.254842366642891E-2</v>
      </c>
      <c r="D116" s="1">
        <f>IFERROR(Comp2[[#This Row],[Comparable '#2 Return]]+1,"-")</f>
        <v>0.97745157633357105</v>
      </c>
      <c r="E116" s="6">
        <f>B116-MAX($B$2:B116)</f>
        <v>-8.1699999999999946</v>
      </c>
      <c r="F116" s="80">
        <f t="shared" si="3"/>
        <v>23</v>
      </c>
      <c r="G116" s="77">
        <f>Comp2[[#This Row],[Comparable '#2 Drawdown]]/MAX($B$2:B116)</f>
        <v>-0.14047455295735892</v>
      </c>
      <c r="H116" s="1" t="str">
        <f>IF(SUM(COUNTIF(Benchmark1[Benchmark '#1 Dates],Comp2[[#This Row],[Comparable '#2 Dates]]),COUNTIF(Benchmark2[Benchmark '#2 Dates],Comp2[[#This Row],[Comparable '#2 Dates]]))=2,"Pass","Fail")</f>
        <v>Pass</v>
      </c>
      <c r="I116" s="1">
        <f>IFERROR(Comp2[[#This Row],[Comparable '#2 Return]]-INDEX(Benchmark1[Benchmark '#1 Return],MATCH(Comp2[[#This Row],[Comparable '#2 Dates]],Benchmark1[Benchmark '#1 Dates],0)),"-")</f>
        <v>-1.5543808126518739E-3</v>
      </c>
      <c r="L116" s="72">
        <f>Comp2[[#This Row],[Comparable '#2 Price]]/$B$2*100</f>
        <v>100.58350100603622</v>
      </c>
    </row>
    <row r="117" spans="1:12">
      <c r="A117" s="96">
        <v>43452</v>
      </c>
      <c r="B117" s="101">
        <v>49.62</v>
      </c>
      <c r="C117" s="4">
        <f t="shared" si="2"/>
        <v>-7.4290071618240815E-3</v>
      </c>
      <c r="D117" s="1">
        <f>IFERROR(Comp2[[#This Row],[Comparable '#2 Return]]+1,"-")</f>
        <v>0.99257099283817596</v>
      </c>
      <c r="E117" s="6">
        <f>B117-MAX($B$2:B117)</f>
        <v>-8.5399999999999991</v>
      </c>
      <c r="F117" s="80">
        <f t="shared" si="3"/>
        <v>24</v>
      </c>
      <c r="G117" s="77">
        <f>Comp2[[#This Row],[Comparable '#2 Drawdown]]/MAX($B$2:B117)</f>
        <v>-0.1468363136176066</v>
      </c>
      <c r="H117" s="1" t="str">
        <f>IF(SUM(COUNTIF(Benchmark1[Benchmark '#1 Dates],Comp2[[#This Row],[Comparable '#2 Dates]]),COUNTIF(Benchmark2[Benchmark '#2 Dates],Comp2[[#This Row],[Comparable '#2 Dates]]))=2,"Pass","Fail")</f>
        <v>Pass</v>
      </c>
      <c r="I117" s="1">
        <f>IFERROR(Comp2[[#This Row],[Comparable '#2 Return]]-INDEX(Benchmark1[Benchmark '#1 Return],MATCH(Comp2[[#This Row],[Comparable '#2 Dates]],Benchmark1[Benchmark '#1 Dates],0)),"-")</f>
        <v>-7.5159386101199327E-3</v>
      </c>
      <c r="L117" s="72">
        <f>Comp2[[#This Row],[Comparable '#2 Price]]/$B$2*100</f>
        <v>99.839034205231385</v>
      </c>
    </row>
    <row r="118" spans="1:12">
      <c r="A118" s="96">
        <v>43453</v>
      </c>
      <c r="B118" s="101">
        <v>48.41</v>
      </c>
      <c r="C118" s="4">
        <f t="shared" si="2"/>
        <v>-2.4687574312051926E-2</v>
      </c>
      <c r="D118" s="1">
        <f>IFERROR(Comp2[[#This Row],[Comparable '#2 Return]]+1,"-")</f>
        <v>0.97531242568794807</v>
      </c>
      <c r="E118" s="6">
        <f>B118-MAX($B$2:B118)</f>
        <v>-9.75</v>
      </c>
      <c r="F118" s="80">
        <f t="shared" si="3"/>
        <v>25</v>
      </c>
      <c r="G118" s="77">
        <f>Comp2[[#This Row],[Comparable '#2 Drawdown]]/MAX($B$2:B118)</f>
        <v>-0.16764099037138927</v>
      </c>
      <c r="H118" s="1" t="str">
        <f>IF(SUM(COUNTIF(Benchmark1[Benchmark '#1 Dates],Comp2[[#This Row],[Comparable '#2 Dates]]),COUNTIF(Benchmark2[Benchmark '#2 Dates],Comp2[[#This Row],[Comparable '#2 Dates]]))=2,"Pass","Fail")</f>
        <v>Pass</v>
      </c>
      <c r="I118" s="1">
        <f>IFERROR(Comp2[[#This Row],[Comparable '#2 Return]]-INDEX(Benchmark1[Benchmark '#1 Return],MATCH(Comp2[[#This Row],[Comparable '#2 Dates]],Benchmark1[Benchmark '#1 Dates],0)),"-")</f>
        <v>-9.169755360444504E-3</v>
      </c>
      <c r="L118" s="72">
        <f>Comp2[[#This Row],[Comparable '#2 Price]]/$B$2*100</f>
        <v>97.404426559356125</v>
      </c>
    </row>
    <row r="119" spans="1:12">
      <c r="A119" s="96">
        <v>43454</v>
      </c>
      <c r="B119" s="101">
        <v>47.66</v>
      </c>
      <c r="C119" s="4">
        <f t="shared" si="2"/>
        <v>-1.5613932281006883E-2</v>
      </c>
      <c r="D119" s="1">
        <f>IFERROR(Comp2[[#This Row],[Comparable '#2 Return]]+1,"-")</f>
        <v>0.98438606771899306</v>
      </c>
      <c r="E119" s="6">
        <f>B119-MAX($B$2:B119)</f>
        <v>-10.5</v>
      </c>
      <c r="F119" s="80">
        <f t="shared" si="3"/>
        <v>26</v>
      </c>
      <c r="G119" s="77">
        <f>Comp2[[#This Row],[Comparable '#2 Drawdown]]/MAX($B$2:B119)</f>
        <v>-0.18053645116918846</v>
      </c>
      <c r="H119" s="1" t="str">
        <f>IF(SUM(COUNTIF(Benchmark1[Benchmark '#1 Dates],Comp2[[#This Row],[Comparable '#2 Dates]]),COUNTIF(Benchmark2[Benchmark '#2 Dates],Comp2[[#This Row],[Comparable '#2 Dates]]))=2,"Pass","Fail")</f>
        <v>Pass</v>
      </c>
      <c r="I119" s="1">
        <f>IFERROR(Comp2[[#This Row],[Comparable '#2 Return]]-INDEX(Benchmark1[Benchmark '#1 Return],MATCH(Comp2[[#This Row],[Comparable '#2 Dates]],Benchmark1[Benchmark '#1 Dates],0)),"-")</f>
        <v>2.8257260398963958E-4</v>
      </c>
      <c r="L119" s="72">
        <f>Comp2[[#This Row],[Comparable '#2 Price]]/$B$2*100</f>
        <v>95.895372233400394</v>
      </c>
    </row>
    <row r="120" spans="1:12">
      <c r="A120" s="96">
        <v>43455</v>
      </c>
      <c r="B120" s="101">
        <v>45.53</v>
      </c>
      <c r="C120" s="4">
        <f t="shared" si="2"/>
        <v>-4.5721022323905194E-2</v>
      </c>
      <c r="D120" s="1">
        <f>IFERROR(Comp2[[#This Row],[Comparable '#2 Return]]+1,"-")</f>
        <v>0.95427897767609482</v>
      </c>
      <c r="E120" s="6">
        <f>B120-MAX($B$2:B120)</f>
        <v>-12.629999999999995</v>
      </c>
      <c r="F120" s="80">
        <f t="shared" si="3"/>
        <v>27</v>
      </c>
      <c r="G120" s="77">
        <f>Comp2[[#This Row],[Comparable '#2 Drawdown]]/MAX($B$2:B120)</f>
        <v>-0.21715955983493804</v>
      </c>
      <c r="H120" s="1" t="str">
        <f>IF(SUM(COUNTIF(Benchmark1[Benchmark '#1 Dates],Comp2[[#This Row],[Comparable '#2 Dates]]),COUNTIF(Benchmark2[Benchmark '#2 Dates],Comp2[[#This Row],[Comparable '#2 Dates]]))=2,"Pass","Fail")</f>
        <v>Pass</v>
      </c>
      <c r="I120" s="1">
        <f>IFERROR(Comp2[[#This Row],[Comparable '#2 Return]]-INDEX(Benchmark1[Benchmark '#1 Return],MATCH(Comp2[[#This Row],[Comparable '#2 Dates]],Benchmark1[Benchmark '#1 Dates],0)),"-")</f>
        <v>-2.491777349250817E-2</v>
      </c>
      <c r="L120" s="72">
        <f>Comp2[[#This Row],[Comparable '#2 Price]]/$B$2*100</f>
        <v>91.609657947686117</v>
      </c>
    </row>
    <row r="121" spans="1:12">
      <c r="A121" s="96">
        <v>43458</v>
      </c>
      <c r="B121" s="101">
        <v>44.57</v>
      </c>
      <c r="C121" s="4">
        <f t="shared" si="2"/>
        <v>-2.1310462388226318E-2</v>
      </c>
      <c r="D121" s="1">
        <f>IFERROR(Comp2[[#This Row],[Comparable '#2 Return]]+1,"-")</f>
        <v>0.97868953761177369</v>
      </c>
      <c r="E121" s="6">
        <f>B121-MAX($B$2:B121)</f>
        <v>-13.589999999999996</v>
      </c>
      <c r="F121" s="80">
        <f t="shared" si="3"/>
        <v>28</v>
      </c>
      <c r="G121" s="77">
        <f>Comp2[[#This Row],[Comparable '#2 Drawdown]]/MAX($B$2:B121)</f>
        <v>-0.233665749656121</v>
      </c>
      <c r="H121" s="1" t="str">
        <f>IF(SUM(COUNTIF(Benchmark1[Benchmark '#1 Dates],Comp2[[#This Row],[Comparable '#2 Dates]]),COUNTIF(Benchmark2[Benchmark '#2 Dates],Comp2[[#This Row],[Comparable '#2 Dates]]))=2,"Pass","Fail")</f>
        <v>Pass</v>
      </c>
      <c r="I121" s="1">
        <f>IFERROR(Comp2[[#This Row],[Comparable '#2 Return]]-INDEX(Benchmark1[Benchmark '#1 Return],MATCH(Comp2[[#This Row],[Comparable '#2 Dates]],Benchmark1[Benchmark '#1 Dates],0)),"-")</f>
        <v>6.1756334578493971E-3</v>
      </c>
      <c r="L121" s="72">
        <f>Comp2[[#This Row],[Comparable '#2 Price]]/$B$2*100</f>
        <v>89.678068410462771</v>
      </c>
    </row>
    <row r="122" spans="1:12">
      <c r="A122" s="96">
        <v>43460</v>
      </c>
      <c r="B122" s="101">
        <v>46.59</v>
      </c>
      <c r="C122" s="4">
        <f t="shared" si="2"/>
        <v>4.4324938870240908E-2</v>
      </c>
      <c r="D122" s="1">
        <f>IFERROR(Comp2[[#This Row],[Comparable '#2 Return]]+1,"-")</f>
        <v>1.0443249388702409</v>
      </c>
      <c r="E122" s="6">
        <f>B122-MAX($B$2:B122)</f>
        <v>-11.569999999999993</v>
      </c>
      <c r="F122" s="80">
        <f t="shared" si="3"/>
        <v>29</v>
      </c>
      <c r="G122" s="77">
        <f>Comp2[[#This Row],[Comparable '#2 Drawdown]]/MAX($B$2:B122)</f>
        <v>-0.19893397524071516</v>
      </c>
      <c r="H122" s="1" t="str">
        <f>IF(SUM(COUNTIF(Benchmark1[Benchmark '#1 Dates],Comp2[[#This Row],[Comparable '#2 Dates]]),COUNTIF(Benchmark2[Benchmark '#2 Dates],Comp2[[#This Row],[Comparable '#2 Dates]]))=2,"Pass","Fail")</f>
        <v>Pass</v>
      </c>
      <c r="I122" s="1">
        <f>IFERROR(Comp2[[#This Row],[Comparable '#2 Return]]-INDEX(Benchmark1[Benchmark '#1 Return],MATCH(Comp2[[#This Row],[Comparable '#2 Dates]],Benchmark1[Benchmark '#1 Dates],0)),"-")</f>
        <v>-4.0801454508942805E-3</v>
      </c>
      <c r="L122" s="72">
        <f>Comp2[[#This Row],[Comparable '#2 Price]]/$B$2*100</f>
        <v>93.742454728370234</v>
      </c>
    </row>
    <row r="123" spans="1:12">
      <c r="A123" s="96">
        <v>43461</v>
      </c>
      <c r="B123" s="101">
        <v>46.53</v>
      </c>
      <c r="C123" s="4">
        <f t="shared" si="2"/>
        <v>-1.2886599721482696E-3</v>
      </c>
      <c r="D123" s="1">
        <f>IFERROR(Comp2[[#This Row],[Comparable '#2 Return]]+1,"-")</f>
        <v>0.99871134002785178</v>
      </c>
      <c r="E123" s="6">
        <f>B123-MAX($B$2:B123)</f>
        <v>-11.629999999999995</v>
      </c>
      <c r="F123" s="80">
        <f t="shared" si="3"/>
        <v>30</v>
      </c>
      <c r="G123" s="77">
        <f>Comp2[[#This Row],[Comparable '#2 Drawdown]]/MAX($B$2:B123)</f>
        <v>-0.19996561210453914</v>
      </c>
      <c r="H123" s="1" t="str">
        <f>IF(SUM(COUNTIF(Benchmark1[Benchmark '#1 Dates],Comp2[[#This Row],[Comparable '#2 Dates]]),COUNTIF(Benchmark2[Benchmark '#2 Dates],Comp2[[#This Row],[Comparable '#2 Dates]]))=2,"Pass","Fail")</f>
        <v>Pass</v>
      </c>
      <c r="I123" s="1">
        <f>IFERROR(Comp2[[#This Row],[Comparable '#2 Return]]-INDEX(Benchmark1[Benchmark '#1 Return],MATCH(Comp2[[#This Row],[Comparable '#2 Dates]],Benchmark1[Benchmark '#1 Dates],0)),"-")</f>
        <v>-9.8121604372223576E-3</v>
      </c>
      <c r="L123" s="72">
        <f>Comp2[[#This Row],[Comparable '#2 Price]]/$B$2*100</f>
        <v>93.621730382293748</v>
      </c>
    </row>
    <row r="124" spans="1:12">
      <c r="A124" s="96">
        <v>43462</v>
      </c>
      <c r="B124" s="101">
        <v>46.93</v>
      </c>
      <c r="C124" s="4">
        <f t="shared" si="2"/>
        <v>8.5598639497690143E-3</v>
      </c>
      <c r="D124" s="1">
        <f>IFERROR(Comp2[[#This Row],[Comparable '#2 Return]]+1,"-")</f>
        <v>1.008559863949769</v>
      </c>
      <c r="E124" s="6">
        <f>B124-MAX($B$2:B124)</f>
        <v>-11.229999999999997</v>
      </c>
      <c r="F124" s="80">
        <f t="shared" si="3"/>
        <v>31</v>
      </c>
      <c r="G124" s="77">
        <f>Comp2[[#This Row],[Comparable '#2 Drawdown]]/MAX($B$2:B124)</f>
        <v>-0.19308803301237959</v>
      </c>
      <c r="H124" s="1" t="str">
        <f>IF(SUM(COUNTIF(Benchmark1[Benchmark '#1 Dates],Comp2[[#This Row],[Comparable '#2 Dates]]),COUNTIF(Benchmark2[Benchmark '#2 Dates],Comp2[[#This Row],[Comparable '#2 Dates]]))=2,"Pass","Fail")</f>
        <v>Pass</v>
      </c>
      <c r="I124" s="1">
        <f>IFERROR(Comp2[[#This Row],[Comparable '#2 Return]]-INDEX(Benchmark1[Benchmark '#1 Return],MATCH(Comp2[[#This Row],[Comparable '#2 Dates]],Benchmark1[Benchmark '#1 Dates],0)),"-")</f>
        <v>9.8030771787696314E-3</v>
      </c>
      <c r="L124" s="72">
        <f>Comp2[[#This Row],[Comparable '#2 Price]]/$B$2*100</f>
        <v>94.426559356136821</v>
      </c>
    </row>
    <row r="125" spans="1:12">
      <c r="A125" s="96">
        <v>43465</v>
      </c>
      <c r="B125" s="101">
        <v>47.32</v>
      </c>
      <c r="C125" s="4">
        <f t="shared" si="2"/>
        <v>8.2759093038596611E-3</v>
      </c>
      <c r="D125" s="1">
        <f>IFERROR(Comp2[[#This Row],[Comparable '#2 Return]]+1,"-")</f>
        <v>1.0082759093038596</v>
      </c>
      <c r="E125" s="6">
        <f>B125-MAX($B$2:B125)</f>
        <v>-10.839999999999996</v>
      </c>
      <c r="F125" s="80">
        <f t="shared" si="3"/>
        <v>32</v>
      </c>
      <c r="G125" s="77">
        <f>Comp2[[#This Row],[Comparable '#2 Drawdown]]/MAX($B$2:B125)</f>
        <v>-0.18638239339752402</v>
      </c>
      <c r="H125" s="1" t="str">
        <f>IF(SUM(COUNTIF(Benchmark1[Benchmark '#1 Dates],Comp2[[#This Row],[Comparable '#2 Dates]]),COUNTIF(Benchmark2[Benchmark '#2 Dates],Comp2[[#This Row],[Comparable '#2 Dates]]))=2,"Pass","Fail")</f>
        <v>Pass</v>
      </c>
      <c r="I125" s="1">
        <f>IFERROR(Comp2[[#This Row],[Comparable '#2 Return]]-INDEX(Benchmark1[Benchmark '#1 Return],MATCH(Comp2[[#This Row],[Comparable '#2 Dates]],Benchmark1[Benchmark '#1 Dates],0)),"-")</f>
        <v>-1.8147456662256402E-4</v>
      </c>
      <c r="L125" s="72">
        <f>Comp2[[#This Row],[Comparable '#2 Price]]/$B$2*100</f>
        <v>95.211267605633793</v>
      </c>
    </row>
    <row r="126" spans="1:12">
      <c r="A126" s="96">
        <v>43467</v>
      </c>
      <c r="B126" s="101">
        <v>47.37</v>
      </c>
      <c r="C126" s="4">
        <f t="shared" si="2"/>
        <v>1.0560778254743992E-3</v>
      </c>
      <c r="D126" s="1">
        <f>IFERROR(Comp2[[#This Row],[Comparable '#2 Return]]+1,"-")</f>
        <v>1.0010560778254745</v>
      </c>
      <c r="E126" s="6">
        <f>B126-MAX($B$2:B126)</f>
        <v>-10.79</v>
      </c>
      <c r="F126" s="80">
        <f t="shared" si="3"/>
        <v>33</v>
      </c>
      <c r="G126" s="77">
        <f>Comp2[[#This Row],[Comparable '#2 Drawdown]]/MAX($B$2:B126)</f>
        <v>-0.18552269601100413</v>
      </c>
      <c r="H126" s="1" t="str">
        <f>IF(SUM(COUNTIF(Benchmark1[Benchmark '#1 Dates],Comp2[[#This Row],[Comparable '#2 Dates]]),COUNTIF(Benchmark2[Benchmark '#2 Dates],Comp2[[#This Row],[Comparable '#2 Dates]]))=2,"Pass","Fail")</f>
        <v>Pass</v>
      </c>
      <c r="I126" s="1">
        <f>IFERROR(Comp2[[#This Row],[Comparable '#2 Return]]-INDEX(Benchmark1[Benchmark '#1 Return],MATCH(Comp2[[#This Row],[Comparable '#2 Dates]],Benchmark1[Benchmark '#1 Dates],0)),"-")</f>
        <v>-2.1281968471886445E-4</v>
      </c>
      <c r="L126" s="72">
        <f>Comp2[[#This Row],[Comparable '#2 Price]]/$B$2*100</f>
        <v>95.311871227364179</v>
      </c>
    </row>
    <row r="127" spans="1:12">
      <c r="A127" s="96">
        <v>43468</v>
      </c>
      <c r="B127" s="101">
        <v>46.99</v>
      </c>
      <c r="C127" s="4">
        <f t="shared" si="2"/>
        <v>-8.0543038209359933E-3</v>
      </c>
      <c r="D127" s="1">
        <f>IFERROR(Comp2[[#This Row],[Comparable '#2 Return]]+1,"-")</f>
        <v>0.99194569617906403</v>
      </c>
      <c r="E127" s="6">
        <f>B127-MAX($B$2:B127)</f>
        <v>-11.169999999999995</v>
      </c>
      <c r="F127" s="80">
        <f t="shared" si="3"/>
        <v>34</v>
      </c>
      <c r="G127" s="77">
        <f>Comp2[[#This Row],[Comparable '#2 Drawdown]]/MAX($B$2:B127)</f>
        <v>-0.19205639614855563</v>
      </c>
      <c r="H127" s="1" t="str">
        <f>IF(SUM(COUNTIF(Benchmark1[Benchmark '#1 Dates],Comp2[[#This Row],[Comparable '#2 Dates]]),COUNTIF(Benchmark2[Benchmark '#2 Dates],Comp2[[#This Row],[Comparable '#2 Dates]]))=2,"Pass","Fail")</f>
        <v>Pass</v>
      </c>
      <c r="I127" s="1">
        <f>IFERROR(Comp2[[#This Row],[Comparable '#2 Return]]-INDEX(Benchmark1[Benchmark '#1 Return],MATCH(Comp2[[#This Row],[Comparable '#2 Dates]],Benchmark1[Benchmark '#1 Dates],0)),"-")</f>
        <v>1.701262431945938E-2</v>
      </c>
      <c r="L127" s="72">
        <f>Comp2[[#This Row],[Comparable '#2 Price]]/$B$2*100</f>
        <v>94.547283702213278</v>
      </c>
    </row>
    <row r="128" spans="1:12">
      <c r="A128" s="96">
        <v>43469</v>
      </c>
      <c r="B128" s="101">
        <v>48.21</v>
      </c>
      <c r="C128" s="4">
        <f t="shared" si="2"/>
        <v>2.5631655302806498E-2</v>
      </c>
      <c r="D128" s="1">
        <f>IFERROR(Comp2[[#This Row],[Comparable '#2 Return]]+1,"-")</f>
        <v>1.0256316553028064</v>
      </c>
      <c r="E128" s="6">
        <f>B128-MAX($B$2:B128)</f>
        <v>-9.9499999999999957</v>
      </c>
      <c r="F128" s="80">
        <f t="shared" si="3"/>
        <v>35</v>
      </c>
      <c r="G128" s="77">
        <f>Comp2[[#This Row],[Comparable '#2 Drawdown]]/MAX($B$2:B128)</f>
        <v>-0.17107977991746898</v>
      </c>
      <c r="H128" s="1" t="str">
        <f>IF(SUM(COUNTIF(Benchmark1[Benchmark '#1 Dates],Comp2[[#This Row],[Comparable '#2 Dates]]),COUNTIF(Benchmark2[Benchmark '#2 Dates],Comp2[[#This Row],[Comparable '#2 Dates]]))=2,"Pass","Fail")</f>
        <v>Pass</v>
      </c>
      <c r="I128" s="1">
        <f>IFERROR(Comp2[[#This Row],[Comparable '#2 Return]]-INDEX(Benchmark1[Benchmark '#1 Return],MATCH(Comp2[[#This Row],[Comparable '#2 Dates]],Benchmark1[Benchmark '#1 Dates],0)),"-")</f>
        <v>-8.1276690060101964E-3</v>
      </c>
      <c r="L128" s="72">
        <f>Comp2[[#This Row],[Comparable '#2 Price]]/$B$2*100</f>
        <v>97.00201207243461</v>
      </c>
    </row>
    <row r="129" spans="1:12">
      <c r="A129" s="96">
        <v>43472</v>
      </c>
      <c r="B129" s="101">
        <v>47.77</v>
      </c>
      <c r="C129" s="4">
        <f t="shared" si="2"/>
        <v>-9.1686410156603358E-3</v>
      </c>
      <c r="D129" s="1">
        <f>IFERROR(Comp2[[#This Row],[Comparable '#2 Return]]+1,"-")</f>
        <v>0.99083135898433972</v>
      </c>
      <c r="E129" s="6">
        <f>B129-MAX($B$2:B129)</f>
        <v>-10.389999999999993</v>
      </c>
      <c r="F129" s="80">
        <f t="shared" si="3"/>
        <v>36</v>
      </c>
      <c r="G129" s="77">
        <f>Comp2[[#This Row],[Comparable '#2 Drawdown]]/MAX($B$2:B129)</f>
        <v>-0.17864511691884447</v>
      </c>
      <c r="H129" s="1" t="str">
        <f>IF(SUM(COUNTIF(Benchmark1[Benchmark '#1 Dates],Comp2[[#This Row],[Comparable '#2 Dates]]),COUNTIF(Benchmark2[Benchmark '#2 Dates],Comp2[[#This Row],[Comparable '#2 Dates]]))=2,"Pass","Fail")</f>
        <v>Pass</v>
      </c>
      <c r="I129" s="1">
        <f>IFERROR(Comp2[[#This Row],[Comparable '#2 Return]]-INDEX(Benchmark1[Benchmark '#1 Return],MATCH(Comp2[[#This Row],[Comparable '#2 Dates]],Benchmark1[Benchmark '#1 Dates],0)),"-")</f>
        <v>-1.6153274836049836E-2</v>
      </c>
      <c r="L129" s="72">
        <f>Comp2[[#This Row],[Comparable '#2 Price]]/$B$2*100</f>
        <v>96.116700201207237</v>
      </c>
    </row>
    <row r="130" spans="1:12">
      <c r="A130" s="96">
        <v>43473</v>
      </c>
      <c r="B130" s="101">
        <v>47.5</v>
      </c>
      <c r="C130" s="4">
        <f t="shared" ref="C130:C193" si="4">IFERROR(IF(B130="","-",LN(B130/B129)),"-")</f>
        <v>-5.6681163612749864E-3</v>
      </c>
      <c r="D130" s="1">
        <f>IFERROR(Comp2[[#This Row],[Comparable '#2 Return]]+1,"-")</f>
        <v>0.99433188363872504</v>
      </c>
      <c r="E130" s="6">
        <f>B130-MAX($B$2:B130)</f>
        <v>-10.659999999999997</v>
      </c>
      <c r="F130" s="80">
        <f t="shared" ref="F130:F193" si="5">IF(E130=0,0,F129+1)</f>
        <v>37</v>
      </c>
      <c r="G130" s="77">
        <f>Comp2[[#This Row],[Comparable '#2 Drawdown]]/MAX($B$2:B130)</f>
        <v>-0.18328748280605223</v>
      </c>
      <c r="H130" s="1" t="str">
        <f>IF(SUM(COUNTIF(Benchmark1[Benchmark '#1 Dates],Comp2[[#This Row],[Comparable '#2 Dates]]),COUNTIF(Benchmark2[Benchmark '#2 Dates],Comp2[[#This Row],[Comparable '#2 Dates]]))=2,"Pass","Fail")</f>
        <v>Pass</v>
      </c>
      <c r="I130" s="1">
        <f>IFERROR(Comp2[[#This Row],[Comparable '#2 Return]]-INDEX(Benchmark1[Benchmark '#1 Return],MATCH(Comp2[[#This Row],[Comparable '#2 Dates]],Benchmark1[Benchmark '#1 Dates],0)),"-")</f>
        <v>-1.5317083400940356E-2</v>
      </c>
      <c r="L130" s="72">
        <f>Comp2[[#This Row],[Comparable '#2 Price]]/$B$2*100</f>
        <v>95.573440643863165</v>
      </c>
    </row>
    <row r="131" spans="1:12">
      <c r="A131" s="96">
        <v>43474</v>
      </c>
      <c r="B131" s="101">
        <v>47.37</v>
      </c>
      <c r="C131" s="4">
        <f t="shared" si="4"/>
        <v>-2.7405941049352131E-3</v>
      </c>
      <c r="D131" s="1">
        <f>IFERROR(Comp2[[#This Row],[Comparable '#2 Return]]+1,"-")</f>
        <v>0.99725940589506479</v>
      </c>
      <c r="E131" s="6">
        <f>B131-MAX($B$2:B131)</f>
        <v>-10.79</v>
      </c>
      <c r="F131" s="80">
        <f t="shared" si="5"/>
        <v>38</v>
      </c>
      <c r="G131" s="77">
        <f>Comp2[[#This Row],[Comparable '#2 Drawdown]]/MAX($B$2:B131)</f>
        <v>-0.18552269601100413</v>
      </c>
      <c r="H131" s="1" t="str">
        <f>IF(SUM(COUNTIF(Benchmark1[Benchmark '#1 Dates],Comp2[[#This Row],[Comparable '#2 Dates]]),COUNTIF(Benchmark2[Benchmark '#2 Dates],Comp2[[#This Row],[Comparable '#2 Dates]]))=2,"Pass","Fail")</f>
        <v>Pass</v>
      </c>
      <c r="I131" s="1">
        <f>IFERROR(Comp2[[#This Row],[Comparable '#2 Return]]-INDEX(Benchmark1[Benchmark '#1 Return],MATCH(Comp2[[#This Row],[Comparable '#2 Dates]],Benchmark1[Benchmark '#1 Dates],0)),"-")</f>
        <v>-6.8312889760985072E-3</v>
      </c>
      <c r="L131" s="72">
        <f>Comp2[[#This Row],[Comparable '#2 Price]]/$B$2*100</f>
        <v>95.311871227364179</v>
      </c>
    </row>
    <row r="132" spans="1:12">
      <c r="A132" s="96">
        <v>43475</v>
      </c>
      <c r="B132" s="101">
        <v>47.38</v>
      </c>
      <c r="C132" s="4">
        <f t="shared" si="4"/>
        <v>2.1108179497904265E-4</v>
      </c>
      <c r="D132" s="1">
        <f>IFERROR(Comp2[[#This Row],[Comparable '#2 Return]]+1,"-")</f>
        <v>1.000211081794979</v>
      </c>
      <c r="E132" s="6">
        <f>B132-MAX($B$2:B132)</f>
        <v>-10.779999999999994</v>
      </c>
      <c r="F132" s="80">
        <f t="shared" si="5"/>
        <v>39</v>
      </c>
      <c r="G132" s="77">
        <f>Comp2[[#This Row],[Comparable '#2 Drawdown]]/MAX($B$2:B132)</f>
        <v>-0.18535075653370003</v>
      </c>
      <c r="H132" s="1" t="str">
        <f>IF(SUM(COUNTIF(Benchmark1[Benchmark '#1 Dates],Comp2[[#This Row],[Comparable '#2 Dates]]),COUNTIF(Benchmark2[Benchmark '#2 Dates],Comp2[[#This Row],[Comparable '#2 Dates]]))=2,"Pass","Fail")</f>
        <v>Pass</v>
      </c>
      <c r="I132" s="1">
        <f>IFERROR(Comp2[[#This Row],[Comparable '#2 Return]]-INDEX(Benchmark1[Benchmark '#1 Return],MATCH(Comp2[[#This Row],[Comparable '#2 Dates]],Benchmark1[Benchmark '#1 Dates],0)),"-")</f>
        <v>-4.295964942017296E-3</v>
      </c>
      <c r="L132" s="72">
        <f>Comp2[[#This Row],[Comparable '#2 Price]]/$B$2*100</f>
        <v>95.331991951710265</v>
      </c>
    </row>
    <row r="133" spans="1:12">
      <c r="A133" s="96">
        <v>43476</v>
      </c>
      <c r="B133" s="101">
        <v>47.37</v>
      </c>
      <c r="C133" s="4">
        <f t="shared" si="4"/>
        <v>-2.1108179497910959E-4</v>
      </c>
      <c r="D133" s="1">
        <f>IFERROR(Comp2[[#This Row],[Comparable '#2 Return]]+1,"-")</f>
        <v>0.99978891820502092</v>
      </c>
      <c r="E133" s="6">
        <f>B133-MAX($B$2:B133)</f>
        <v>-10.79</v>
      </c>
      <c r="F133" s="80">
        <f t="shared" si="5"/>
        <v>40</v>
      </c>
      <c r="G133" s="77">
        <f>Comp2[[#This Row],[Comparable '#2 Drawdown]]/MAX($B$2:B133)</f>
        <v>-0.18552269601100413</v>
      </c>
      <c r="H133" s="1" t="str">
        <f>IF(SUM(COUNTIF(Benchmark1[Benchmark '#1 Dates],Comp2[[#This Row],[Comparable '#2 Dates]]),COUNTIF(Benchmark2[Benchmark '#2 Dates],Comp2[[#This Row],[Comparable '#2 Dates]]))=2,"Pass","Fail")</f>
        <v>Pass</v>
      </c>
      <c r="I133" s="1">
        <f>IFERROR(Comp2[[#This Row],[Comparable '#2 Return]]-INDEX(Benchmark1[Benchmark '#1 Return],MATCH(Comp2[[#This Row],[Comparable '#2 Dates]],Benchmark1[Benchmark '#1 Dates],0)),"-")</f>
        <v>-6.3493155820634685E-5</v>
      </c>
      <c r="L133" s="72">
        <f>Comp2[[#This Row],[Comparable '#2 Price]]/$B$2*100</f>
        <v>95.311871227364179</v>
      </c>
    </row>
    <row r="134" spans="1:12">
      <c r="A134" s="96">
        <v>43479</v>
      </c>
      <c r="B134" s="101">
        <v>47.2</v>
      </c>
      <c r="C134" s="4">
        <f t="shared" si="4"/>
        <v>-3.5952243441506322E-3</v>
      </c>
      <c r="D134" s="1">
        <f>IFERROR(Comp2[[#This Row],[Comparable '#2 Return]]+1,"-")</f>
        <v>0.9964047756558494</v>
      </c>
      <c r="E134" s="6">
        <f>B134-MAX($B$2:B134)</f>
        <v>-10.959999999999994</v>
      </c>
      <c r="F134" s="80">
        <f t="shared" si="5"/>
        <v>41</v>
      </c>
      <c r="G134" s="77">
        <f>Comp2[[#This Row],[Comparable '#2 Drawdown]]/MAX($B$2:B134)</f>
        <v>-0.18844566712517186</v>
      </c>
      <c r="H134" s="1" t="str">
        <f>IF(SUM(COUNTIF(Benchmark1[Benchmark '#1 Dates],Comp2[[#This Row],[Comparable '#2 Dates]]),COUNTIF(Benchmark2[Benchmark '#2 Dates],Comp2[[#This Row],[Comparable '#2 Dates]]))=2,"Pass","Fail")</f>
        <v>Pass</v>
      </c>
      <c r="I134" s="1">
        <f>IFERROR(Comp2[[#This Row],[Comparable '#2 Return]]-INDEX(Benchmark1[Benchmark '#1 Return],MATCH(Comp2[[#This Row],[Comparable '#2 Dates]],Benchmark1[Benchmark '#1 Dates],0)),"-")</f>
        <v>1.673673281547453E-3</v>
      </c>
      <c r="L134" s="72">
        <f>Comp2[[#This Row],[Comparable '#2 Price]]/$B$2*100</f>
        <v>94.969818913480879</v>
      </c>
    </row>
    <row r="135" spans="1:12">
      <c r="A135" s="96">
        <v>43480</v>
      </c>
      <c r="B135" s="101">
        <v>47.85</v>
      </c>
      <c r="C135" s="4">
        <f t="shared" si="4"/>
        <v>1.3677225307453593E-2</v>
      </c>
      <c r="D135" s="1">
        <f>IFERROR(Comp2[[#This Row],[Comparable '#2 Return]]+1,"-")</f>
        <v>1.0136772253074535</v>
      </c>
      <c r="E135" s="6">
        <f>B135-MAX($B$2:B135)</f>
        <v>-10.309999999999995</v>
      </c>
      <c r="F135" s="80">
        <f t="shared" si="5"/>
        <v>42</v>
      </c>
      <c r="G135" s="77">
        <f>Comp2[[#This Row],[Comparable '#2 Drawdown]]/MAX($B$2:B135)</f>
        <v>-0.17726960110041259</v>
      </c>
      <c r="H135" s="1" t="str">
        <f>IF(SUM(COUNTIF(Benchmark1[Benchmark '#1 Dates],Comp2[[#This Row],[Comparable '#2 Dates]]),COUNTIF(Benchmark2[Benchmark '#2 Dates],Comp2[[#This Row],[Comparable '#2 Dates]]))=2,"Pass","Fail")</f>
        <v>Pass</v>
      </c>
      <c r="I135" s="1">
        <f>IFERROR(Comp2[[#This Row],[Comparable '#2 Return]]-INDEX(Benchmark1[Benchmark '#1 Return],MATCH(Comp2[[#This Row],[Comparable '#2 Dates]],Benchmark1[Benchmark '#1 Dates],0)),"-")</f>
        <v>3.0130956790597671E-3</v>
      </c>
      <c r="L135" s="72">
        <f>Comp2[[#This Row],[Comparable '#2 Price]]/$B$2*100</f>
        <v>96.277665995975852</v>
      </c>
    </row>
    <row r="136" spans="1:12">
      <c r="A136" s="96">
        <v>43481</v>
      </c>
      <c r="B136" s="101">
        <v>47.99</v>
      </c>
      <c r="C136" s="4">
        <f t="shared" si="4"/>
        <v>2.9215379711907967E-3</v>
      </c>
      <c r="D136" s="1">
        <f>IFERROR(Comp2[[#This Row],[Comparable '#2 Return]]+1,"-")</f>
        <v>1.0029215379711909</v>
      </c>
      <c r="E136" s="6">
        <f>B136-MAX($B$2:B136)</f>
        <v>-10.169999999999995</v>
      </c>
      <c r="F136" s="80">
        <f t="shared" si="5"/>
        <v>43</v>
      </c>
      <c r="G136" s="77">
        <f>Comp2[[#This Row],[Comparable '#2 Drawdown]]/MAX($B$2:B136)</f>
        <v>-0.17486244841815674</v>
      </c>
      <c r="H136" s="1" t="str">
        <f>IF(SUM(COUNTIF(Benchmark1[Benchmark '#1 Dates],Comp2[[#This Row],[Comparable '#2 Dates]]),COUNTIF(Benchmark2[Benchmark '#2 Dates],Comp2[[#This Row],[Comparable '#2 Dates]]))=2,"Pass","Fail")</f>
        <v>Pass</v>
      </c>
      <c r="I136" s="1">
        <f>IFERROR(Comp2[[#This Row],[Comparable '#2 Return]]-INDEX(Benchmark1[Benchmark '#1 Return],MATCH(Comp2[[#This Row],[Comparable '#2 Dates]],Benchmark1[Benchmark '#1 Dates],0)),"-")</f>
        <v>7.0411789137175048E-4</v>
      </c>
      <c r="L136" s="72">
        <f>Comp2[[#This Row],[Comparable '#2 Price]]/$B$2*100</f>
        <v>96.559356136820924</v>
      </c>
    </row>
    <row r="137" spans="1:12">
      <c r="A137" s="96">
        <v>43482</v>
      </c>
      <c r="B137" s="101">
        <v>47.93</v>
      </c>
      <c r="C137" s="4">
        <f t="shared" si="4"/>
        <v>-1.2510426986142597E-3</v>
      </c>
      <c r="D137" s="1">
        <f>IFERROR(Comp2[[#This Row],[Comparable '#2 Return]]+1,"-")</f>
        <v>0.99874895730138569</v>
      </c>
      <c r="E137" s="6">
        <f>B137-MAX($B$2:B137)</f>
        <v>-10.229999999999997</v>
      </c>
      <c r="F137" s="80">
        <f t="shared" si="5"/>
        <v>44</v>
      </c>
      <c r="G137" s="77">
        <f>Comp2[[#This Row],[Comparable '#2 Drawdown]]/MAX($B$2:B137)</f>
        <v>-0.17589408528198069</v>
      </c>
      <c r="H137" s="1" t="str">
        <f>IF(SUM(COUNTIF(Benchmark1[Benchmark '#1 Dates],Comp2[[#This Row],[Comparable '#2 Dates]]),COUNTIF(Benchmark2[Benchmark '#2 Dates],Comp2[[#This Row],[Comparable '#2 Dates]]))=2,"Pass","Fail")</f>
        <v>Pass</v>
      </c>
      <c r="I137" s="1">
        <f>IFERROR(Comp2[[#This Row],[Comparable '#2 Return]]-INDEX(Benchmark1[Benchmark '#1 Return],MATCH(Comp2[[#This Row],[Comparable '#2 Dates]],Benchmark1[Benchmark '#1 Dates],0)),"-")</f>
        <v>-8.8136640149053432E-3</v>
      </c>
      <c r="L137" s="72">
        <f>Comp2[[#This Row],[Comparable '#2 Price]]/$B$2*100</f>
        <v>96.438631790744452</v>
      </c>
    </row>
    <row r="138" spans="1:12">
      <c r="A138" s="96">
        <v>43483</v>
      </c>
      <c r="B138" s="101">
        <v>48.88</v>
      </c>
      <c r="C138" s="4">
        <f t="shared" si="4"/>
        <v>1.9626701691800134E-2</v>
      </c>
      <c r="D138" s="1">
        <f>IFERROR(Comp2[[#This Row],[Comparable '#2 Return]]+1,"-")</f>
        <v>1.0196267016918001</v>
      </c>
      <c r="E138" s="6">
        <f>B138-MAX($B$2:B138)</f>
        <v>-9.279999999999994</v>
      </c>
      <c r="F138" s="80">
        <f t="shared" si="5"/>
        <v>45</v>
      </c>
      <c r="G138" s="77">
        <f>Comp2[[#This Row],[Comparable '#2 Drawdown]]/MAX($B$2:B138)</f>
        <v>-0.15955983493810169</v>
      </c>
      <c r="H138" s="1" t="str">
        <f>IF(SUM(COUNTIF(Benchmark1[Benchmark '#1 Dates],Comp2[[#This Row],[Comparable '#2 Dates]]),COUNTIF(Benchmark2[Benchmark '#2 Dates],Comp2[[#This Row],[Comparable '#2 Dates]]))=2,"Pass","Fail")</f>
        <v>Pass</v>
      </c>
      <c r="I138" s="1">
        <f>IFERROR(Comp2[[#This Row],[Comparable '#2 Return]]-INDEX(Benchmark1[Benchmark '#1 Return],MATCH(Comp2[[#This Row],[Comparable '#2 Dates]],Benchmark1[Benchmark '#1 Dates],0)),"-")</f>
        <v>6.5278877604252016E-3</v>
      </c>
      <c r="L138" s="72">
        <f>Comp2[[#This Row],[Comparable '#2 Price]]/$B$2*100</f>
        <v>98.350100603621726</v>
      </c>
    </row>
    <row r="139" spans="1:12">
      <c r="A139" s="96">
        <v>43487</v>
      </c>
      <c r="B139" s="101">
        <v>48.7</v>
      </c>
      <c r="C139" s="4">
        <f t="shared" si="4"/>
        <v>-3.6892847747957325E-3</v>
      </c>
      <c r="D139" s="1">
        <f>IFERROR(Comp2[[#This Row],[Comparable '#2 Return]]+1,"-")</f>
        <v>0.99631071522520431</v>
      </c>
      <c r="E139" s="6">
        <f>B139-MAX($B$2:B139)</f>
        <v>-9.4599999999999937</v>
      </c>
      <c r="F139" s="80">
        <f t="shared" si="5"/>
        <v>46</v>
      </c>
      <c r="G139" s="77">
        <f>Comp2[[#This Row],[Comparable '#2 Drawdown]]/MAX($B$2:B139)</f>
        <v>-0.16265474552957349</v>
      </c>
      <c r="H139" s="1" t="str">
        <f>IF(SUM(COUNTIF(Benchmark1[Benchmark '#1 Dates],Comp2[[#This Row],[Comparable '#2 Dates]]),COUNTIF(Benchmark2[Benchmark '#2 Dates],Comp2[[#This Row],[Comparable '#2 Dates]]))=2,"Pass","Fail")</f>
        <v>Pass</v>
      </c>
      <c r="I139" s="1">
        <f>IFERROR(Comp2[[#This Row],[Comparable '#2 Return]]-INDEX(Benchmark1[Benchmark '#1 Return],MATCH(Comp2[[#This Row],[Comparable '#2 Dates]],Benchmark1[Benchmark '#1 Dates],0)),"-")</f>
        <v>1.0568319713323103E-2</v>
      </c>
      <c r="L139" s="72">
        <f>Comp2[[#This Row],[Comparable '#2 Price]]/$B$2*100</f>
        <v>97.987927565392354</v>
      </c>
    </row>
    <row r="140" spans="1:12">
      <c r="A140" s="96">
        <v>43488</v>
      </c>
      <c r="B140" s="101">
        <v>49.15</v>
      </c>
      <c r="C140" s="4">
        <f t="shared" si="4"/>
        <v>9.1978165046314505E-3</v>
      </c>
      <c r="D140" s="1">
        <f>IFERROR(Comp2[[#This Row],[Comparable '#2 Return]]+1,"-")</f>
        <v>1.0091978165046314</v>
      </c>
      <c r="E140" s="6">
        <f>B140-MAX($B$2:B140)</f>
        <v>-9.009999999999998</v>
      </c>
      <c r="F140" s="80">
        <f t="shared" si="5"/>
        <v>47</v>
      </c>
      <c r="G140" s="77">
        <f>Comp2[[#This Row],[Comparable '#2 Drawdown]]/MAX($B$2:B140)</f>
        <v>-0.15491746905089407</v>
      </c>
      <c r="H140" s="1" t="str">
        <f>IF(SUM(COUNTIF(Benchmark1[Benchmark '#1 Dates],Comp2[[#This Row],[Comparable '#2 Dates]]),COUNTIF(Benchmark2[Benchmark '#2 Dates],Comp2[[#This Row],[Comparable '#2 Dates]]))=2,"Pass","Fail")</f>
        <v>Pass</v>
      </c>
      <c r="I140" s="1">
        <f>IFERROR(Comp2[[#This Row],[Comparable '#2 Return]]-INDEX(Benchmark1[Benchmark '#1 Return],MATCH(Comp2[[#This Row],[Comparable '#2 Dates]],Benchmark1[Benchmark '#1 Dates],0)),"-")</f>
        <v>7.0000315901260074E-3</v>
      </c>
      <c r="L140" s="72">
        <f>Comp2[[#This Row],[Comparable '#2 Price]]/$B$2*100</f>
        <v>98.893360160965784</v>
      </c>
    </row>
    <row r="141" spans="1:12">
      <c r="A141" s="96">
        <v>43489</v>
      </c>
      <c r="B141" s="101">
        <v>49.07</v>
      </c>
      <c r="C141" s="4">
        <f t="shared" si="4"/>
        <v>-1.6289964913634789E-3</v>
      </c>
      <c r="D141" s="1">
        <f>IFERROR(Comp2[[#This Row],[Comparable '#2 Return]]+1,"-")</f>
        <v>0.9983710035086365</v>
      </c>
      <c r="E141" s="6">
        <f>B141-MAX($B$2:B141)</f>
        <v>-9.0899999999999963</v>
      </c>
      <c r="F141" s="80">
        <f t="shared" si="5"/>
        <v>48</v>
      </c>
      <c r="G141" s="77">
        <f>Comp2[[#This Row],[Comparable '#2 Drawdown]]/MAX($B$2:B141)</f>
        <v>-0.15629298486932594</v>
      </c>
      <c r="H141" s="1" t="str">
        <f>IF(SUM(COUNTIF(Benchmark1[Benchmark '#1 Dates],Comp2[[#This Row],[Comparable '#2 Dates]]),COUNTIF(Benchmark2[Benchmark '#2 Dates],Comp2[[#This Row],[Comparable '#2 Dates]]))=2,"Pass","Fail")</f>
        <v>Pass</v>
      </c>
      <c r="I141" s="1">
        <f>IFERROR(Comp2[[#This Row],[Comparable '#2 Return]]-INDEX(Benchmark1[Benchmark '#1 Return],MATCH(Comp2[[#This Row],[Comparable '#2 Dates]],Benchmark1[Benchmark '#1 Dates],0)),"-")</f>
        <v>-3.00589516434586E-3</v>
      </c>
      <c r="L141" s="72">
        <f>Comp2[[#This Row],[Comparable '#2 Price]]/$B$2*100</f>
        <v>98.73239436619717</v>
      </c>
    </row>
    <row r="142" spans="1:12">
      <c r="A142" s="96">
        <v>43490</v>
      </c>
      <c r="B142" s="101">
        <v>49.66</v>
      </c>
      <c r="C142" s="4">
        <f t="shared" si="4"/>
        <v>1.1951929978208401E-2</v>
      </c>
      <c r="D142" s="1">
        <f>IFERROR(Comp2[[#This Row],[Comparable '#2 Return]]+1,"-")</f>
        <v>1.0119519299782085</v>
      </c>
      <c r="E142" s="6">
        <f>B142-MAX($B$2:B142)</f>
        <v>-8.5</v>
      </c>
      <c r="F142" s="80">
        <f t="shared" si="5"/>
        <v>49</v>
      </c>
      <c r="G142" s="77">
        <f>Comp2[[#This Row],[Comparable '#2 Drawdown]]/MAX($B$2:B142)</f>
        <v>-0.14614855570839067</v>
      </c>
      <c r="H142" s="1" t="str">
        <f>IF(SUM(COUNTIF(Benchmark1[Benchmark '#1 Dates],Comp2[[#This Row],[Comparable '#2 Dates]]),COUNTIF(Benchmark2[Benchmark '#2 Dates],Comp2[[#This Row],[Comparable '#2 Dates]]))=2,"Pass","Fail")</f>
        <v>Pass</v>
      </c>
      <c r="I142" s="1">
        <f>IFERROR(Comp2[[#This Row],[Comparable '#2 Return]]-INDEX(Benchmark1[Benchmark '#1 Return],MATCH(Comp2[[#This Row],[Comparable '#2 Dates]],Benchmark1[Benchmark '#1 Dates],0)),"-")</f>
        <v>3.4998164580968445E-3</v>
      </c>
      <c r="L142" s="72">
        <f>Comp2[[#This Row],[Comparable '#2 Price]]/$B$2*100</f>
        <v>99.919517102615686</v>
      </c>
    </row>
    <row r="143" spans="1:12">
      <c r="A143" s="96">
        <v>43493</v>
      </c>
      <c r="B143" s="101">
        <v>49.22</v>
      </c>
      <c r="C143" s="4">
        <f t="shared" si="4"/>
        <v>-8.899735117110676E-3</v>
      </c>
      <c r="D143" s="1">
        <f>IFERROR(Comp2[[#This Row],[Comparable '#2 Return]]+1,"-")</f>
        <v>0.99110026488288927</v>
      </c>
      <c r="E143" s="6">
        <f>B143-MAX($B$2:B143)</f>
        <v>-8.9399999999999977</v>
      </c>
      <c r="F143" s="80">
        <f t="shared" si="5"/>
        <v>50</v>
      </c>
      <c r="G143" s="77">
        <f>Comp2[[#This Row],[Comparable '#2 Drawdown]]/MAX($B$2:B143)</f>
        <v>-0.15371389270976613</v>
      </c>
      <c r="H143" s="1" t="str">
        <f>IF(SUM(COUNTIF(Benchmark1[Benchmark '#1 Dates],Comp2[[#This Row],[Comparable '#2 Dates]]),COUNTIF(Benchmark2[Benchmark '#2 Dates],Comp2[[#This Row],[Comparable '#2 Dates]]))=2,"Pass","Fail")</f>
        <v>Pass</v>
      </c>
      <c r="I143" s="1">
        <f>IFERROR(Comp2[[#This Row],[Comparable '#2 Return]]-INDEX(Benchmark1[Benchmark '#1 Return],MATCH(Comp2[[#This Row],[Comparable '#2 Dates]],Benchmark1[Benchmark '#1 Dates],0)),"-")</f>
        <v>-1.0201031035735209E-3</v>
      </c>
      <c r="L143" s="72">
        <f>Comp2[[#This Row],[Comparable '#2 Price]]/$B$2*100</f>
        <v>99.034205231388313</v>
      </c>
    </row>
    <row r="144" spans="1:12">
      <c r="A144" s="96">
        <v>43494</v>
      </c>
      <c r="B144" s="101">
        <v>48.8</v>
      </c>
      <c r="C144" s="4">
        <f t="shared" si="4"/>
        <v>-8.5697321038083335E-3</v>
      </c>
      <c r="D144" s="1">
        <f>IFERROR(Comp2[[#This Row],[Comparable '#2 Return]]+1,"-")</f>
        <v>0.99143026789619171</v>
      </c>
      <c r="E144" s="6">
        <f>B144-MAX($B$2:B144)</f>
        <v>-9.36</v>
      </c>
      <c r="F144" s="80">
        <f t="shared" si="5"/>
        <v>51</v>
      </c>
      <c r="G144" s="77">
        <f>Comp2[[#This Row],[Comparable '#2 Drawdown]]/MAX($B$2:B144)</f>
        <v>-0.1609353507565337</v>
      </c>
      <c r="H144" s="1" t="str">
        <f>IF(SUM(COUNTIF(Benchmark1[Benchmark '#1 Dates],Comp2[[#This Row],[Comparable '#2 Dates]]),COUNTIF(Benchmark2[Benchmark '#2 Dates],Comp2[[#This Row],[Comparable '#2 Dates]]))=2,"Pass","Fail")</f>
        <v>Pass</v>
      </c>
      <c r="I144" s="1">
        <f>IFERROR(Comp2[[#This Row],[Comparable '#2 Return]]-INDEX(Benchmark1[Benchmark '#1 Return],MATCH(Comp2[[#This Row],[Comparable '#2 Dates]],Benchmark1[Benchmark '#1 Dates],0)),"-")</f>
        <v>-7.1158818150532854E-3</v>
      </c>
      <c r="L144" s="72">
        <f>Comp2[[#This Row],[Comparable '#2 Price]]/$B$2*100</f>
        <v>98.189134808853112</v>
      </c>
    </row>
    <row r="145" spans="1:12">
      <c r="A145" s="96">
        <v>43495</v>
      </c>
      <c r="B145" s="101">
        <v>49.24</v>
      </c>
      <c r="C145" s="4">
        <f t="shared" si="4"/>
        <v>8.9759884571513765E-3</v>
      </c>
      <c r="D145" s="1">
        <f>IFERROR(Comp2[[#This Row],[Comparable '#2 Return]]+1,"-")</f>
        <v>1.0089759884571514</v>
      </c>
      <c r="E145" s="6">
        <f>B145-MAX($B$2:B145)</f>
        <v>-8.9199999999999946</v>
      </c>
      <c r="F145" s="80">
        <f t="shared" si="5"/>
        <v>52</v>
      </c>
      <c r="G145" s="77">
        <f>Comp2[[#This Row],[Comparable '#2 Drawdown]]/MAX($B$2:B145)</f>
        <v>-0.1533700137551581</v>
      </c>
      <c r="H145" s="1" t="str">
        <f>IF(SUM(COUNTIF(Benchmark1[Benchmark '#1 Dates],Comp2[[#This Row],[Comparable '#2 Dates]]),COUNTIF(Benchmark2[Benchmark '#2 Dates],Comp2[[#This Row],[Comparable '#2 Dates]]))=2,"Pass","Fail")</f>
        <v>Pass</v>
      </c>
      <c r="I145" s="1">
        <f>IFERROR(Comp2[[#This Row],[Comparable '#2 Return]]-INDEX(Benchmark1[Benchmark '#1 Return],MATCH(Comp2[[#This Row],[Comparable '#2 Dates]],Benchmark1[Benchmark '#1 Dates],0)),"-")</f>
        <v>-6.4522193527540763E-3</v>
      </c>
      <c r="L145" s="72">
        <f>Comp2[[#This Row],[Comparable '#2 Price]]/$B$2*100</f>
        <v>99.074446680080484</v>
      </c>
    </row>
    <row r="146" spans="1:12">
      <c r="A146" s="96">
        <v>43496</v>
      </c>
      <c r="B146" s="101">
        <v>48.9</v>
      </c>
      <c r="C146" s="4">
        <f t="shared" si="4"/>
        <v>-6.9289048354265106E-3</v>
      </c>
      <c r="D146" s="1">
        <f>IFERROR(Comp2[[#This Row],[Comparable '#2 Return]]+1,"-")</f>
        <v>0.99307109516457348</v>
      </c>
      <c r="E146" s="6">
        <f>B146-MAX($B$2:B146)</f>
        <v>-9.259999999999998</v>
      </c>
      <c r="F146" s="80">
        <f t="shared" si="5"/>
        <v>53</v>
      </c>
      <c r="G146" s="77">
        <f>Comp2[[#This Row],[Comparable '#2 Drawdown]]/MAX($B$2:B146)</f>
        <v>-0.15921595598349378</v>
      </c>
      <c r="H146" s="1" t="str">
        <f>IF(SUM(COUNTIF(Benchmark1[Benchmark '#1 Dates],Comp2[[#This Row],[Comparable '#2 Dates]]),COUNTIF(Benchmark2[Benchmark '#2 Dates],Comp2[[#This Row],[Comparable '#2 Dates]]))=2,"Pass","Fail")</f>
        <v>Pass</v>
      </c>
      <c r="I146" s="1">
        <f>IFERROR(Comp2[[#This Row],[Comparable '#2 Return]]-INDEX(Benchmark1[Benchmark '#1 Return],MATCH(Comp2[[#This Row],[Comparable '#2 Dates]],Benchmark1[Benchmark '#1 Dates],0)),"-")</f>
        <v>-1.548934494828772E-2</v>
      </c>
      <c r="L146" s="72">
        <f>Comp2[[#This Row],[Comparable '#2 Price]]/$B$2*100</f>
        <v>98.390342052313869</v>
      </c>
    </row>
    <row r="147" spans="1:12">
      <c r="A147" s="96">
        <v>43497</v>
      </c>
      <c r="B147" s="101">
        <v>49.26</v>
      </c>
      <c r="C147" s="4">
        <f t="shared" si="4"/>
        <v>7.3349962115654707E-3</v>
      </c>
      <c r="D147" s="1">
        <f>IFERROR(Comp2[[#This Row],[Comparable '#2 Return]]+1,"-")</f>
        <v>1.0073349962115654</v>
      </c>
      <c r="E147" s="6">
        <f>B147-MAX($B$2:B147)</f>
        <v>-8.8999999999999986</v>
      </c>
      <c r="F147" s="80">
        <f t="shared" si="5"/>
        <v>54</v>
      </c>
      <c r="G147" s="77">
        <f>Comp2[[#This Row],[Comparable '#2 Drawdown]]/MAX($B$2:B147)</f>
        <v>-0.15302613480055019</v>
      </c>
      <c r="H147" s="1" t="str">
        <f>IF(SUM(COUNTIF(Benchmark1[Benchmark '#1 Dates],Comp2[[#This Row],[Comparable '#2 Dates]]),COUNTIF(Benchmark2[Benchmark '#2 Dates],Comp2[[#This Row],[Comparable '#2 Dates]]))=2,"Pass","Fail")</f>
        <v>Pass</v>
      </c>
      <c r="I147" s="1">
        <f>IFERROR(Comp2[[#This Row],[Comparable '#2 Return]]-INDEX(Benchmark1[Benchmark '#1 Return],MATCH(Comp2[[#This Row],[Comparable '#2 Dates]],Benchmark1[Benchmark '#1 Dates],0)),"-")</f>
        <v>6.4357003423890745E-3</v>
      </c>
      <c r="L147" s="72">
        <f>Comp2[[#This Row],[Comparable '#2 Price]]/$B$2*100</f>
        <v>99.114688128772627</v>
      </c>
    </row>
    <row r="148" spans="1:12">
      <c r="A148" s="96">
        <v>43500</v>
      </c>
      <c r="B148" s="101">
        <v>49.65</v>
      </c>
      <c r="C148" s="4">
        <f t="shared" si="4"/>
        <v>7.8859977987897189E-3</v>
      </c>
      <c r="D148" s="1">
        <f>IFERROR(Comp2[[#This Row],[Comparable '#2 Return]]+1,"-")</f>
        <v>1.0078859977987897</v>
      </c>
      <c r="E148" s="6">
        <f>B148-MAX($B$2:B148)</f>
        <v>-8.509999999999998</v>
      </c>
      <c r="F148" s="80">
        <f t="shared" si="5"/>
        <v>55</v>
      </c>
      <c r="G148" s="77">
        <f>Comp2[[#This Row],[Comparable '#2 Drawdown]]/MAX($B$2:B148)</f>
        <v>-0.14632049518569462</v>
      </c>
      <c r="H148" s="1" t="str">
        <f>IF(SUM(COUNTIF(Benchmark1[Benchmark '#1 Dates],Comp2[[#This Row],[Comparable '#2 Dates]]),COUNTIF(Benchmark2[Benchmark '#2 Dates],Comp2[[#This Row],[Comparable '#2 Dates]]))=2,"Pass","Fail")</f>
        <v>Pass</v>
      </c>
      <c r="I148" s="1">
        <f>IFERROR(Comp2[[#This Row],[Comparable '#2 Return]]-INDEX(Benchmark1[Benchmark '#1 Return],MATCH(Comp2[[#This Row],[Comparable '#2 Dates]],Benchmark1[Benchmark '#1 Dates],0)),"-")</f>
        <v>1.1350621839844302E-3</v>
      </c>
      <c r="L148" s="72">
        <f>Comp2[[#This Row],[Comparable '#2 Price]]/$B$2*100</f>
        <v>99.899396378269614</v>
      </c>
    </row>
    <row r="149" spans="1:12">
      <c r="A149" s="96">
        <v>43501</v>
      </c>
      <c r="B149" s="101">
        <v>49.56</v>
      </c>
      <c r="C149" s="4">
        <f t="shared" si="4"/>
        <v>-1.8143337302398634E-3</v>
      </c>
      <c r="D149" s="1">
        <f>IFERROR(Comp2[[#This Row],[Comparable '#2 Return]]+1,"-")</f>
        <v>0.99818566626976013</v>
      </c>
      <c r="E149" s="6">
        <f>B149-MAX($B$2:B149)</f>
        <v>-8.5999999999999943</v>
      </c>
      <c r="F149" s="80">
        <f t="shared" si="5"/>
        <v>56</v>
      </c>
      <c r="G149" s="77">
        <f>Comp2[[#This Row],[Comparable '#2 Drawdown]]/MAX($B$2:B149)</f>
        <v>-0.14786795048143045</v>
      </c>
      <c r="H149" s="1" t="str">
        <f>IF(SUM(COUNTIF(Benchmark1[Benchmark '#1 Dates],Comp2[[#This Row],[Comparable '#2 Dates]]),COUNTIF(Benchmark2[Benchmark '#2 Dates],Comp2[[#This Row],[Comparable '#2 Dates]]))=2,"Pass","Fail")</f>
        <v>Pass</v>
      </c>
      <c r="I149" s="1">
        <f>IFERROR(Comp2[[#This Row],[Comparable '#2 Return]]-INDEX(Benchmark1[Benchmark '#1 Return],MATCH(Comp2[[#This Row],[Comparable '#2 Dates]],Benchmark1[Benchmark '#1 Dates],0)),"-")</f>
        <v>-6.513678282329613E-3</v>
      </c>
      <c r="L149" s="72">
        <f>Comp2[[#This Row],[Comparable '#2 Price]]/$B$2*100</f>
        <v>99.718309859154928</v>
      </c>
    </row>
    <row r="150" spans="1:12">
      <c r="A150" s="96">
        <v>43502</v>
      </c>
      <c r="B150" s="101">
        <v>49.41</v>
      </c>
      <c r="C150" s="4">
        <f t="shared" si="4"/>
        <v>-3.0312239032831388E-3</v>
      </c>
      <c r="D150" s="1">
        <f>IFERROR(Comp2[[#This Row],[Comparable '#2 Return]]+1,"-")</f>
        <v>0.99696877609671686</v>
      </c>
      <c r="E150" s="6">
        <f>B150-MAX($B$2:B150)</f>
        <v>-8.75</v>
      </c>
      <c r="F150" s="80">
        <f t="shared" si="5"/>
        <v>57</v>
      </c>
      <c r="G150" s="77">
        <f>Comp2[[#This Row],[Comparable '#2 Drawdown]]/MAX($B$2:B150)</f>
        <v>-0.15044704264099037</v>
      </c>
      <c r="H150" s="1" t="str">
        <f>IF(SUM(COUNTIF(Benchmark1[Benchmark '#1 Dates],Comp2[[#This Row],[Comparable '#2 Dates]]),COUNTIF(Benchmark2[Benchmark '#2 Dates],Comp2[[#This Row],[Comparable '#2 Dates]]))=2,"Pass","Fail")</f>
        <v>Pass</v>
      </c>
      <c r="I150" s="1">
        <f>IFERROR(Comp2[[#This Row],[Comparable '#2 Return]]-INDEX(Benchmark1[Benchmark '#1 Return],MATCH(Comp2[[#This Row],[Comparable '#2 Dates]],Benchmark1[Benchmark '#1 Dates],0)),"-")</f>
        <v>-8.0529674852573667E-4</v>
      </c>
      <c r="L150" s="72">
        <f>Comp2[[#This Row],[Comparable '#2 Price]]/$B$2*100</f>
        <v>99.416498993963771</v>
      </c>
    </row>
    <row r="151" spans="1:12">
      <c r="A151" s="96">
        <v>43503</v>
      </c>
      <c r="B151" s="101">
        <v>49</v>
      </c>
      <c r="C151" s="4">
        <f t="shared" si="4"/>
        <v>-8.3325347470320169E-3</v>
      </c>
      <c r="D151" s="1">
        <f>IFERROR(Comp2[[#This Row],[Comparable '#2 Return]]+1,"-")</f>
        <v>0.99166746525296801</v>
      </c>
      <c r="E151" s="6">
        <f>B151-MAX($B$2:B151)</f>
        <v>-9.1599999999999966</v>
      </c>
      <c r="F151" s="80">
        <f t="shared" si="5"/>
        <v>58</v>
      </c>
      <c r="G151" s="77">
        <f>Comp2[[#This Row],[Comparable '#2 Drawdown]]/MAX($B$2:B151)</f>
        <v>-0.15749656121045388</v>
      </c>
      <c r="H151" s="1" t="str">
        <f>IF(SUM(COUNTIF(Benchmark1[Benchmark '#1 Dates],Comp2[[#This Row],[Comparable '#2 Dates]]),COUNTIF(Benchmark2[Benchmark '#2 Dates],Comp2[[#This Row],[Comparable '#2 Dates]]))=2,"Pass","Fail")</f>
        <v>Pass</v>
      </c>
      <c r="I151" s="1">
        <f>IFERROR(Comp2[[#This Row],[Comparable '#2 Return]]-INDEX(Benchmark1[Benchmark '#1 Return],MATCH(Comp2[[#This Row],[Comparable '#2 Dates]],Benchmark1[Benchmark '#1 Dates],0)),"-")</f>
        <v>1.0688222312475338E-3</v>
      </c>
      <c r="L151" s="72">
        <f>Comp2[[#This Row],[Comparable '#2 Price]]/$B$2*100</f>
        <v>98.591549295774641</v>
      </c>
    </row>
    <row r="152" spans="1:12">
      <c r="A152" s="96">
        <v>43504</v>
      </c>
      <c r="B152" s="101">
        <v>47.79</v>
      </c>
      <c r="C152" s="4">
        <f t="shared" si="4"/>
        <v>-2.5003885520559724E-2</v>
      </c>
      <c r="D152" s="1">
        <f>IFERROR(Comp2[[#This Row],[Comparable '#2 Return]]+1,"-")</f>
        <v>0.97499611447944023</v>
      </c>
      <c r="E152" s="6">
        <f>B152-MAX($B$2:B152)</f>
        <v>-10.369999999999997</v>
      </c>
      <c r="F152" s="80">
        <f t="shared" si="5"/>
        <v>59</v>
      </c>
      <c r="G152" s="77">
        <f>Comp2[[#This Row],[Comparable '#2 Drawdown]]/MAX($B$2:B152)</f>
        <v>-0.17830123796423655</v>
      </c>
      <c r="H152" s="1" t="str">
        <f>IF(SUM(COUNTIF(Benchmark1[Benchmark '#1 Dates],Comp2[[#This Row],[Comparable '#2 Dates]]),COUNTIF(Benchmark2[Benchmark '#2 Dates],Comp2[[#This Row],[Comparable '#2 Dates]]))=2,"Pass","Fail")</f>
        <v>Pass</v>
      </c>
      <c r="I152" s="1">
        <f>IFERROR(Comp2[[#This Row],[Comparable '#2 Return]]-INDEX(Benchmark1[Benchmark '#1 Return],MATCH(Comp2[[#This Row],[Comparable '#2 Dates]],Benchmark1[Benchmark '#1 Dates],0)),"-")</f>
        <v>-2.5678422554823891E-2</v>
      </c>
      <c r="L152" s="72">
        <f>Comp2[[#This Row],[Comparable '#2 Price]]/$B$2*100</f>
        <v>96.15694164989938</v>
      </c>
    </row>
    <row r="153" spans="1:12">
      <c r="A153" s="96">
        <v>43507</v>
      </c>
      <c r="B153" s="101">
        <v>47.77</v>
      </c>
      <c r="C153" s="4">
        <f t="shared" si="4"/>
        <v>-4.1858518819630117E-4</v>
      </c>
      <c r="D153" s="1">
        <f>IFERROR(Comp2[[#This Row],[Comparable '#2 Return]]+1,"-")</f>
        <v>0.99958141481180374</v>
      </c>
      <c r="E153" s="6">
        <f>B153-MAX($B$2:B153)</f>
        <v>-10.389999999999993</v>
      </c>
      <c r="F153" s="80">
        <f t="shared" si="5"/>
        <v>60</v>
      </c>
      <c r="G153" s="77">
        <f>Comp2[[#This Row],[Comparable '#2 Drawdown]]/MAX($B$2:B153)</f>
        <v>-0.17864511691884447</v>
      </c>
      <c r="H153" s="1" t="str">
        <f>IF(SUM(COUNTIF(Benchmark1[Benchmark '#1 Dates],Comp2[[#This Row],[Comparable '#2 Dates]]),COUNTIF(Benchmark2[Benchmark '#2 Dates],Comp2[[#This Row],[Comparable '#2 Dates]]))=2,"Pass","Fail")</f>
        <v>Pass</v>
      </c>
      <c r="I153" s="1">
        <f>IFERROR(Comp2[[#This Row],[Comparable '#2 Return]]-INDEX(Benchmark1[Benchmark '#1 Return],MATCH(Comp2[[#This Row],[Comparable '#2 Dates]],Benchmark1[Benchmark '#1 Dates],0)),"-")</f>
        <v>-1.1286632923004965E-3</v>
      </c>
      <c r="L153" s="72">
        <f>Comp2[[#This Row],[Comparable '#2 Price]]/$B$2*100</f>
        <v>96.116700201207237</v>
      </c>
    </row>
    <row r="154" spans="1:12">
      <c r="A154" s="96">
        <v>43508</v>
      </c>
      <c r="B154" s="101">
        <v>47.64</v>
      </c>
      <c r="C154" s="4">
        <f t="shared" si="4"/>
        <v>-2.7250829147711592E-3</v>
      </c>
      <c r="D154" s="1">
        <f>IFERROR(Comp2[[#This Row],[Comparable '#2 Return]]+1,"-")</f>
        <v>0.99727491708522886</v>
      </c>
      <c r="E154" s="6">
        <f>B154-MAX($B$2:B154)</f>
        <v>-10.519999999999996</v>
      </c>
      <c r="F154" s="80">
        <f t="shared" si="5"/>
        <v>61</v>
      </c>
      <c r="G154" s="77">
        <f>Comp2[[#This Row],[Comparable '#2 Drawdown]]/MAX($B$2:B154)</f>
        <v>-0.18088033012379637</v>
      </c>
      <c r="H154" s="1" t="str">
        <f>IF(SUM(COUNTIF(Benchmark1[Benchmark '#1 Dates],Comp2[[#This Row],[Comparable '#2 Dates]]),COUNTIF(Benchmark2[Benchmark '#2 Dates],Comp2[[#This Row],[Comparable '#2 Dates]]))=2,"Pass","Fail")</f>
        <v>Pass</v>
      </c>
      <c r="I154" s="1">
        <f>IFERROR(Comp2[[#This Row],[Comparable '#2 Return]]-INDEX(Benchmark1[Benchmark '#1 Return],MATCH(Comp2[[#This Row],[Comparable '#2 Dates]],Benchmark1[Benchmark '#1 Dates],0)),"-")</f>
        <v>-1.5532814416623693E-2</v>
      </c>
      <c r="L154" s="72">
        <f>Comp2[[#This Row],[Comparable '#2 Price]]/$B$2*100</f>
        <v>95.855130784708237</v>
      </c>
    </row>
    <row r="155" spans="1:12">
      <c r="A155" s="96">
        <v>43509</v>
      </c>
      <c r="B155" s="101">
        <v>48.24</v>
      </c>
      <c r="C155" s="4">
        <f t="shared" si="4"/>
        <v>1.2515807931830597E-2</v>
      </c>
      <c r="D155" s="1">
        <f>IFERROR(Comp2[[#This Row],[Comparable '#2 Return]]+1,"-")</f>
        <v>1.0125158079318306</v>
      </c>
      <c r="E155" s="6">
        <f>B155-MAX($B$2:B155)</f>
        <v>-9.9199999999999946</v>
      </c>
      <c r="F155" s="80">
        <f t="shared" si="5"/>
        <v>62</v>
      </c>
      <c r="G155" s="77">
        <f>Comp2[[#This Row],[Comparable '#2 Drawdown]]/MAX($B$2:B155)</f>
        <v>-0.170563961485557</v>
      </c>
      <c r="H155" s="1" t="str">
        <f>IF(SUM(COUNTIF(Benchmark1[Benchmark '#1 Dates],Comp2[[#This Row],[Comparable '#2 Dates]]),COUNTIF(Benchmark2[Benchmark '#2 Dates],Comp2[[#This Row],[Comparable '#2 Dates]]))=2,"Pass","Fail")</f>
        <v>Pass</v>
      </c>
      <c r="I155" s="1">
        <f>IFERROR(Comp2[[#This Row],[Comparable '#2 Return]]-INDEX(Benchmark1[Benchmark '#1 Return],MATCH(Comp2[[#This Row],[Comparable '#2 Dates]],Benchmark1[Benchmark '#1 Dates],0)),"-")</f>
        <v>9.4963882262190033E-3</v>
      </c>
      <c r="L155" s="72">
        <f>Comp2[[#This Row],[Comparable '#2 Price]]/$B$2*100</f>
        <v>97.062374245472839</v>
      </c>
    </row>
    <row r="156" spans="1:12">
      <c r="A156" s="96">
        <v>43510</v>
      </c>
      <c r="B156" s="101">
        <v>48.15</v>
      </c>
      <c r="C156" s="4">
        <f t="shared" si="4"/>
        <v>-1.8674141747954732E-3</v>
      </c>
      <c r="D156" s="1">
        <f>IFERROR(Comp2[[#This Row],[Comparable '#2 Return]]+1,"-")</f>
        <v>0.99813258582520448</v>
      </c>
      <c r="E156" s="6">
        <f>B156-MAX($B$2:B156)</f>
        <v>-10.009999999999998</v>
      </c>
      <c r="F156" s="80">
        <f t="shared" si="5"/>
        <v>63</v>
      </c>
      <c r="G156" s="77">
        <f>Comp2[[#This Row],[Comparable '#2 Drawdown]]/MAX($B$2:B156)</f>
        <v>-0.17211141678129296</v>
      </c>
      <c r="H156" s="1" t="str">
        <f>IF(SUM(COUNTIF(Benchmark1[Benchmark '#1 Dates],Comp2[[#This Row],[Comparable '#2 Dates]]),COUNTIF(Benchmark2[Benchmark '#2 Dates],Comp2[[#This Row],[Comparable '#2 Dates]]))=2,"Pass","Fail")</f>
        <v>Pass</v>
      </c>
      <c r="I156" s="1">
        <f>IFERROR(Comp2[[#This Row],[Comparable '#2 Return]]-INDEX(Benchmark1[Benchmark '#1 Return],MATCH(Comp2[[#This Row],[Comparable '#2 Dates]],Benchmark1[Benchmark '#1 Dates],0)),"-")</f>
        <v>7.8909889395700978E-4</v>
      </c>
      <c r="L156" s="72">
        <f>Comp2[[#This Row],[Comparable '#2 Price]]/$B$2*100</f>
        <v>96.881287726358138</v>
      </c>
    </row>
    <row r="157" spans="1:12">
      <c r="A157" s="96">
        <v>43511</v>
      </c>
      <c r="B157" s="101">
        <v>48.47</v>
      </c>
      <c r="C157" s="4">
        <f t="shared" si="4"/>
        <v>6.6239116131500877E-3</v>
      </c>
      <c r="D157" s="1">
        <f>IFERROR(Comp2[[#This Row],[Comparable '#2 Return]]+1,"-")</f>
        <v>1.0066239116131501</v>
      </c>
      <c r="E157" s="6">
        <f>B157-MAX($B$2:B157)</f>
        <v>-9.6899999999999977</v>
      </c>
      <c r="F157" s="80">
        <f t="shared" si="5"/>
        <v>64</v>
      </c>
      <c r="G157" s="77">
        <f>Comp2[[#This Row],[Comparable '#2 Drawdown]]/MAX($B$2:B157)</f>
        <v>-0.16660935350756531</v>
      </c>
      <c r="H157" s="1" t="str">
        <f>IF(SUM(COUNTIF(Benchmark1[Benchmark '#1 Dates],Comp2[[#This Row],[Comparable '#2 Dates]]),COUNTIF(Benchmark2[Benchmark '#2 Dates],Comp2[[#This Row],[Comparable '#2 Dates]]))=2,"Pass","Fail")</f>
        <v>Pass</v>
      </c>
      <c r="I157" s="1">
        <f>IFERROR(Comp2[[#This Row],[Comparable '#2 Return]]-INDEX(Benchmark1[Benchmark '#1 Return],MATCH(Comp2[[#This Row],[Comparable '#2 Dates]],Benchmark1[Benchmark '#1 Dates],0)),"-")</f>
        <v>-4.1950844942277663E-3</v>
      </c>
      <c r="L157" s="72">
        <f>Comp2[[#This Row],[Comparable '#2 Price]]/$B$2*100</f>
        <v>97.525150905432582</v>
      </c>
    </row>
    <row r="158" spans="1:12">
      <c r="A158" s="96">
        <v>43515</v>
      </c>
      <c r="B158" s="101">
        <v>49.03</v>
      </c>
      <c r="C158" s="4">
        <f t="shared" si="4"/>
        <v>1.148730580585736E-2</v>
      </c>
      <c r="D158" s="1">
        <f>IFERROR(Comp2[[#This Row],[Comparable '#2 Return]]+1,"-")</f>
        <v>1.0114873058058573</v>
      </c>
      <c r="E158" s="6">
        <f>B158-MAX($B$2:B158)</f>
        <v>-9.1299999999999955</v>
      </c>
      <c r="F158" s="80">
        <f t="shared" si="5"/>
        <v>65</v>
      </c>
      <c r="G158" s="77">
        <f>Comp2[[#This Row],[Comparable '#2 Drawdown]]/MAX($B$2:B158)</f>
        <v>-0.15698074277854188</v>
      </c>
      <c r="H158" s="1" t="str">
        <f>IF(SUM(COUNTIF(Benchmark1[Benchmark '#1 Dates],Comp2[[#This Row],[Comparable '#2 Dates]]),COUNTIF(Benchmark2[Benchmark '#2 Dates],Comp2[[#This Row],[Comparable '#2 Dates]]))=2,"Pass","Fail")</f>
        <v>Pass</v>
      </c>
      <c r="I158" s="1">
        <f>IFERROR(Comp2[[#This Row],[Comparable '#2 Return]]-INDEX(Benchmark1[Benchmark '#1 Return],MATCH(Comp2[[#This Row],[Comparable '#2 Dates]],Benchmark1[Benchmark '#1 Dates],0)),"-")</f>
        <v>9.9892921161837539E-3</v>
      </c>
      <c r="L158" s="72">
        <f>Comp2[[#This Row],[Comparable '#2 Price]]/$B$2*100</f>
        <v>98.65191146881287</v>
      </c>
    </row>
    <row r="159" spans="1:12">
      <c r="A159" s="96">
        <v>43516</v>
      </c>
      <c r="B159" s="101">
        <v>48.15</v>
      </c>
      <c r="C159" s="4">
        <f t="shared" si="4"/>
        <v>-1.8111217419007404E-2</v>
      </c>
      <c r="D159" s="1">
        <f>IFERROR(Comp2[[#This Row],[Comparable '#2 Return]]+1,"-")</f>
        <v>0.98188878258099255</v>
      </c>
      <c r="E159" s="6">
        <f>B159-MAX($B$2:B159)</f>
        <v>-10.009999999999998</v>
      </c>
      <c r="F159" s="80">
        <f t="shared" si="5"/>
        <v>66</v>
      </c>
      <c r="G159" s="77">
        <f>Comp2[[#This Row],[Comparable '#2 Drawdown]]/MAX($B$2:B159)</f>
        <v>-0.17211141678129296</v>
      </c>
      <c r="H159" s="1" t="str">
        <f>IF(SUM(COUNTIF(Benchmark1[Benchmark '#1 Dates],Comp2[[#This Row],[Comparable '#2 Dates]]),COUNTIF(Benchmark2[Benchmark '#2 Dates],Comp2[[#This Row],[Comparable '#2 Dates]]))=2,"Pass","Fail")</f>
        <v>Pass</v>
      </c>
      <c r="I159" s="1">
        <f>IFERROR(Comp2[[#This Row],[Comparable '#2 Return]]-INDEX(Benchmark1[Benchmark '#1 Return],MATCH(Comp2[[#This Row],[Comparable '#2 Dates]],Benchmark1[Benchmark '#1 Dates],0)),"-")</f>
        <v>-1.9886082856391124E-2</v>
      </c>
      <c r="L159" s="72">
        <f>Comp2[[#This Row],[Comparable '#2 Price]]/$B$2*100</f>
        <v>96.881287726358138</v>
      </c>
    </row>
    <row r="160" spans="1:12">
      <c r="A160" s="96">
        <v>43517</v>
      </c>
      <c r="B160" s="101">
        <v>49.24</v>
      </c>
      <c r="C160" s="4">
        <f t="shared" si="4"/>
        <v>2.2385163072118366E-2</v>
      </c>
      <c r="D160" s="1">
        <f>IFERROR(Comp2[[#This Row],[Comparable '#2 Return]]+1,"-")</f>
        <v>1.0223851630721184</v>
      </c>
      <c r="E160" s="6">
        <f>B160-MAX($B$2:B160)</f>
        <v>-8.9199999999999946</v>
      </c>
      <c r="F160" s="80">
        <f t="shared" si="5"/>
        <v>67</v>
      </c>
      <c r="G160" s="77">
        <f>Comp2[[#This Row],[Comparable '#2 Drawdown]]/MAX($B$2:B160)</f>
        <v>-0.1533700137551581</v>
      </c>
      <c r="H160" s="1" t="str">
        <f>IF(SUM(COUNTIF(Benchmark1[Benchmark '#1 Dates],Comp2[[#This Row],[Comparable '#2 Dates]]),COUNTIF(Benchmark2[Benchmark '#2 Dates],Comp2[[#This Row],[Comparable '#2 Dates]]))=2,"Pass","Fail")</f>
        <v>Pass</v>
      </c>
      <c r="I160" s="1">
        <f>IFERROR(Comp2[[#This Row],[Comparable '#2 Return]]-INDEX(Benchmark1[Benchmark '#1 Return],MATCH(Comp2[[#This Row],[Comparable '#2 Dates]],Benchmark1[Benchmark '#1 Dates],0)),"-")</f>
        <v>2.5917831068861526E-2</v>
      </c>
      <c r="L160" s="72">
        <f>Comp2[[#This Row],[Comparable '#2 Price]]/$B$2*100</f>
        <v>99.074446680080484</v>
      </c>
    </row>
    <row r="161" spans="1:12">
      <c r="A161" s="96">
        <v>43518</v>
      </c>
      <c r="B161" s="101">
        <v>49.24</v>
      </c>
      <c r="C161" s="4">
        <f t="shared" si="4"/>
        <v>0</v>
      </c>
      <c r="D161" s="1">
        <f>IFERROR(Comp2[[#This Row],[Comparable '#2 Return]]+1,"-")</f>
        <v>1</v>
      </c>
      <c r="E161" s="6">
        <f>B161-MAX($B$2:B161)</f>
        <v>-8.9199999999999946</v>
      </c>
      <c r="F161" s="80">
        <f t="shared" si="5"/>
        <v>68</v>
      </c>
      <c r="G161" s="77">
        <f>Comp2[[#This Row],[Comparable '#2 Drawdown]]/MAX($B$2:B161)</f>
        <v>-0.1533700137551581</v>
      </c>
      <c r="H161" s="1" t="str">
        <f>IF(SUM(COUNTIF(Benchmark1[Benchmark '#1 Dates],Comp2[[#This Row],[Comparable '#2 Dates]]),COUNTIF(Benchmark2[Benchmark '#2 Dates],Comp2[[#This Row],[Comparable '#2 Dates]]))=2,"Pass","Fail")</f>
        <v>Pass</v>
      </c>
      <c r="I161" s="1">
        <f>IFERROR(Comp2[[#This Row],[Comparable '#2 Return]]-INDEX(Benchmark1[Benchmark '#1 Return],MATCH(Comp2[[#This Row],[Comparable '#2 Dates]],Benchmark1[Benchmark '#1 Dates],0)),"-")</f>
        <v>-6.3923869549279144E-3</v>
      </c>
      <c r="L161" s="72">
        <f>Comp2[[#This Row],[Comparable '#2 Price]]/$B$2*100</f>
        <v>99.074446680080484</v>
      </c>
    </row>
    <row r="162" spans="1:12">
      <c r="A162" s="96">
        <v>43521</v>
      </c>
      <c r="B162" s="101">
        <v>48.96</v>
      </c>
      <c r="C162" s="4">
        <f t="shared" si="4"/>
        <v>-5.7026631121821682E-3</v>
      </c>
      <c r="D162" s="1">
        <f>IFERROR(Comp2[[#This Row],[Comparable '#2 Return]]+1,"-")</f>
        <v>0.99429733688781785</v>
      </c>
      <c r="E162" s="6">
        <f>B162-MAX($B$2:B162)</f>
        <v>-9.1999999999999957</v>
      </c>
      <c r="F162" s="80">
        <f t="shared" si="5"/>
        <v>69</v>
      </c>
      <c r="G162" s="77">
        <f>Comp2[[#This Row],[Comparable '#2 Drawdown]]/MAX($B$2:B162)</f>
        <v>-0.15818431911966982</v>
      </c>
      <c r="H162" s="1" t="str">
        <f>IF(SUM(COUNTIF(Benchmark1[Benchmark '#1 Dates],Comp2[[#This Row],[Comparable '#2 Dates]]),COUNTIF(Benchmark2[Benchmark '#2 Dates],Comp2[[#This Row],[Comparable '#2 Dates]]))=2,"Pass","Fail")</f>
        <v>Pass</v>
      </c>
      <c r="I162" s="1">
        <f>IFERROR(Comp2[[#This Row],[Comparable '#2 Return]]-INDEX(Benchmark1[Benchmark '#1 Return],MATCH(Comp2[[#This Row],[Comparable '#2 Dates]],Benchmark1[Benchmark '#1 Dates],0)),"-")</f>
        <v>-6.9321010261418235E-3</v>
      </c>
      <c r="L162" s="72">
        <f>Comp2[[#This Row],[Comparable '#2 Price]]/$B$2*100</f>
        <v>98.511066398390341</v>
      </c>
    </row>
    <row r="163" spans="1:12">
      <c r="A163" s="96">
        <v>43522</v>
      </c>
      <c r="B163" s="101">
        <v>48.33</v>
      </c>
      <c r="C163" s="4">
        <f t="shared" si="4"/>
        <v>-1.2951152347078006E-2</v>
      </c>
      <c r="D163" s="1">
        <f>IFERROR(Comp2[[#This Row],[Comparable '#2 Return]]+1,"-")</f>
        <v>0.987048847652922</v>
      </c>
      <c r="E163" s="6">
        <f>B163-MAX($B$2:B163)</f>
        <v>-9.8299999999999983</v>
      </c>
      <c r="F163" s="80">
        <f t="shared" si="5"/>
        <v>70</v>
      </c>
      <c r="G163" s="77">
        <f>Comp2[[#This Row],[Comparable '#2 Drawdown]]/MAX($B$2:B163)</f>
        <v>-0.16901650618982117</v>
      </c>
      <c r="H163" s="1" t="str">
        <f>IF(SUM(COUNTIF(Benchmark1[Benchmark '#1 Dates],Comp2[[#This Row],[Comparable '#2 Dates]]),COUNTIF(Benchmark2[Benchmark '#2 Dates],Comp2[[#This Row],[Comparable '#2 Dates]]))=2,"Pass","Fail")</f>
        <v>Pass</v>
      </c>
      <c r="I163" s="1">
        <f>IFERROR(Comp2[[#This Row],[Comparable '#2 Return]]-INDEX(Benchmark1[Benchmark '#1 Return],MATCH(Comp2[[#This Row],[Comparable '#2 Dates]],Benchmark1[Benchmark '#1 Dates],0)),"-")</f>
        <v>-1.2161181747087616E-2</v>
      </c>
      <c r="L163" s="72">
        <f>Comp2[[#This Row],[Comparable '#2 Price]]/$B$2*100</f>
        <v>97.243460764587525</v>
      </c>
    </row>
    <row r="164" spans="1:12">
      <c r="A164" s="96">
        <v>43523</v>
      </c>
      <c r="B164" s="101">
        <v>48.02</v>
      </c>
      <c r="C164" s="4">
        <f t="shared" si="4"/>
        <v>-6.4348950638854407E-3</v>
      </c>
      <c r="D164" s="1">
        <f>IFERROR(Comp2[[#This Row],[Comparable '#2 Return]]+1,"-")</f>
        <v>0.99356510493611461</v>
      </c>
      <c r="E164" s="6">
        <f>B164-MAX($B$2:B164)</f>
        <v>-10.139999999999993</v>
      </c>
      <c r="F164" s="80">
        <f t="shared" si="5"/>
        <v>71</v>
      </c>
      <c r="G164" s="77">
        <f>Comp2[[#This Row],[Comparable '#2 Drawdown]]/MAX($B$2:B164)</f>
        <v>-0.17434662998624473</v>
      </c>
      <c r="H164" s="1" t="str">
        <f>IF(SUM(COUNTIF(Benchmark1[Benchmark '#1 Dates],Comp2[[#This Row],[Comparable '#2 Dates]]),COUNTIF(Benchmark2[Benchmark '#2 Dates],Comp2[[#This Row],[Comparable '#2 Dates]]))=2,"Pass","Fail")</f>
        <v>Pass</v>
      </c>
      <c r="I164" s="1">
        <f>IFERROR(Comp2[[#This Row],[Comparable '#2 Return]]-INDEX(Benchmark1[Benchmark '#1 Return],MATCH(Comp2[[#This Row],[Comparable '#2 Dates]],Benchmark1[Benchmark '#1 Dates],0)),"-")</f>
        <v>-5.8912403347569538E-3</v>
      </c>
      <c r="L164" s="72">
        <f>Comp2[[#This Row],[Comparable '#2 Price]]/$B$2*100</f>
        <v>96.619718309859167</v>
      </c>
    </row>
    <row r="165" spans="1:12">
      <c r="A165" s="96">
        <v>43524</v>
      </c>
      <c r="B165" s="101">
        <v>48.2</v>
      </c>
      <c r="C165" s="4">
        <f t="shared" si="4"/>
        <v>3.7414302634473638E-3</v>
      </c>
      <c r="D165" s="1">
        <f>IFERROR(Comp2[[#This Row],[Comparable '#2 Return]]+1,"-")</f>
        <v>1.0037414302634473</v>
      </c>
      <c r="E165" s="6">
        <f>B165-MAX($B$2:B165)</f>
        <v>-9.9599999999999937</v>
      </c>
      <c r="F165" s="80">
        <f t="shared" si="5"/>
        <v>72</v>
      </c>
      <c r="G165" s="77">
        <f>Comp2[[#This Row],[Comparable '#2 Drawdown]]/MAX($B$2:B165)</f>
        <v>-0.17125171939477293</v>
      </c>
      <c r="H165" s="1" t="str">
        <f>IF(SUM(COUNTIF(Benchmark1[Benchmark '#1 Dates],Comp2[[#This Row],[Comparable '#2 Dates]]),COUNTIF(Benchmark2[Benchmark '#2 Dates],Comp2[[#This Row],[Comparable '#2 Dates]]))=2,"Pass","Fail")</f>
        <v>Pass</v>
      </c>
      <c r="I165" s="1">
        <f>IFERROR(Comp2[[#This Row],[Comparable '#2 Return]]-INDEX(Benchmark1[Benchmark '#1 Return],MATCH(Comp2[[#This Row],[Comparable '#2 Dates]],Benchmark1[Benchmark '#1 Dates],0)),"-")</f>
        <v>6.5705157248129222E-3</v>
      </c>
      <c r="L165" s="72">
        <f>Comp2[[#This Row],[Comparable '#2 Price]]/$B$2*100</f>
        <v>96.981891348088539</v>
      </c>
    </row>
    <row r="166" spans="1:12">
      <c r="A166" s="96">
        <v>43525</v>
      </c>
      <c r="B166" s="101">
        <v>49.26</v>
      </c>
      <c r="C166" s="4">
        <f t="shared" si="4"/>
        <v>2.1753371635837158E-2</v>
      </c>
      <c r="D166" s="1">
        <f>IFERROR(Comp2[[#This Row],[Comparable '#2 Return]]+1,"-")</f>
        <v>1.0217533716358371</v>
      </c>
      <c r="E166" s="6">
        <f>B166-MAX($B$2:B166)</f>
        <v>-8.8999999999999986</v>
      </c>
      <c r="F166" s="80">
        <f t="shared" si="5"/>
        <v>73</v>
      </c>
      <c r="G166" s="77">
        <f>Comp2[[#This Row],[Comparable '#2 Drawdown]]/MAX($B$2:B166)</f>
        <v>-0.15302613480055019</v>
      </c>
      <c r="H166" s="1" t="str">
        <f>IF(SUM(COUNTIF(Benchmark1[Benchmark '#1 Dates],Comp2[[#This Row],[Comparable '#2 Dates]]),COUNTIF(Benchmark2[Benchmark '#2 Dates],Comp2[[#This Row],[Comparable '#2 Dates]]))=2,"Pass","Fail")</f>
        <v>Pass</v>
      </c>
      <c r="I166" s="1">
        <f>IFERROR(Comp2[[#This Row],[Comparable '#2 Return]]-INDEX(Benchmark1[Benchmark '#1 Return],MATCH(Comp2[[#This Row],[Comparable '#2 Dates]],Benchmark1[Benchmark '#1 Dates],0)),"-")</f>
        <v>1.4880632465927982E-2</v>
      </c>
      <c r="L166" s="72">
        <f>Comp2[[#This Row],[Comparable '#2 Price]]/$B$2*100</f>
        <v>99.114688128772627</v>
      </c>
    </row>
    <row r="167" spans="1:12">
      <c r="A167" s="96">
        <v>43528</v>
      </c>
      <c r="B167" s="101">
        <v>48.07</v>
      </c>
      <c r="C167" s="4">
        <f t="shared" si="4"/>
        <v>-2.4454110786522498E-2</v>
      </c>
      <c r="D167" s="1">
        <f>IFERROR(Comp2[[#This Row],[Comparable '#2 Return]]+1,"-")</f>
        <v>0.97554588921347751</v>
      </c>
      <c r="E167" s="6">
        <f>B167-MAX($B$2:B167)</f>
        <v>-10.089999999999996</v>
      </c>
      <c r="F167" s="80">
        <f t="shared" si="5"/>
        <v>74</v>
      </c>
      <c r="G167" s="77">
        <f>Comp2[[#This Row],[Comparable '#2 Drawdown]]/MAX($B$2:B167)</f>
        <v>-0.17348693259972484</v>
      </c>
      <c r="H167" s="1" t="str">
        <f>IF(SUM(COUNTIF(Benchmark1[Benchmark '#1 Dates],Comp2[[#This Row],[Comparable '#2 Dates]]),COUNTIF(Benchmark2[Benchmark '#2 Dates],Comp2[[#This Row],[Comparable '#2 Dates]]))=2,"Pass","Fail")</f>
        <v>Pass</v>
      </c>
      <c r="I167" s="1">
        <f>IFERROR(Comp2[[#This Row],[Comparable '#2 Return]]-INDEX(Benchmark1[Benchmark '#1 Return],MATCH(Comp2[[#This Row],[Comparable '#2 Dates]],Benchmark1[Benchmark '#1 Dates],0)),"-")</f>
        <v>-2.0564731305584096E-2</v>
      </c>
      <c r="L167" s="72">
        <f>Comp2[[#This Row],[Comparable '#2 Price]]/$B$2*100</f>
        <v>96.720321931589538</v>
      </c>
    </row>
    <row r="168" spans="1:12">
      <c r="A168" s="96">
        <v>43529</v>
      </c>
      <c r="B168" s="101">
        <v>48.09</v>
      </c>
      <c r="C168" s="4">
        <f t="shared" si="4"/>
        <v>4.1597338370202944E-4</v>
      </c>
      <c r="D168" s="1">
        <f>IFERROR(Comp2[[#This Row],[Comparable '#2 Return]]+1,"-")</f>
        <v>1.0004159733837021</v>
      </c>
      <c r="E168" s="6">
        <f>B168-MAX($B$2:B168)</f>
        <v>-10.069999999999993</v>
      </c>
      <c r="F168" s="80">
        <f t="shared" si="5"/>
        <v>75</v>
      </c>
      <c r="G168" s="77">
        <f>Comp2[[#This Row],[Comparable '#2 Drawdown]]/MAX($B$2:B168)</f>
        <v>-0.17314305364511681</v>
      </c>
      <c r="H168" s="1" t="str">
        <f>IF(SUM(COUNTIF(Benchmark1[Benchmark '#1 Dates],Comp2[[#This Row],[Comparable '#2 Dates]]),COUNTIF(Benchmark2[Benchmark '#2 Dates],Comp2[[#This Row],[Comparable '#2 Dates]]))=2,"Pass","Fail")</f>
        <v>Pass</v>
      </c>
      <c r="I168" s="1">
        <f>IFERROR(Comp2[[#This Row],[Comparable '#2 Return]]-INDEX(Benchmark1[Benchmark '#1 Return],MATCH(Comp2[[#This Row],[Comparable '#2 Dates]],Benchmark1[Benchmark '#1 Dates],0)),"-")</f>
        <v>1.548062404762098E-3</v>
      </c>
      <c r="L168" s="72">
        <f>Comp2[[#This Row],[Comparable '#2 Price]]/$B$2*100</f>
        <v>96.760563380281695</v>
      </c>
    </row>
    <row r="169" spans="1:12">
      <c r="A169" s="96">
        <v>43530</v>
      </c>
      <c r="B169" s="101">
        <v>47.77</v>
      </c>
      <c r="C169" s="4">
        <f t="shared" si="4"/>
        <v>-6.6764278877008577E-3</v>
      </c>
      <c r="D169" s="1">
        <f>IFERROR(Comp2[[#This Row],[Comparable '#2 Return]]+1,"-")</f>
        <v>0.99332357211229916</v>
      </c>
      <c r="E169" s="6">
        <f>B169-MAX($B$2:B169)</f>
        <v>-10.389999999999993</v>
      </c>
      <c r="F169" s="80">
        <f t="shared" si="5"/>
        <v>76</v>
      </c>
      <c r="G169" s="77">
        <f>Comp2[[#This Row],[Comparable '#2 Drawdown]]/MAX($B$2:B169)</f>
        <v>-0.17864511691884447</v>
      </c>
      <c r="H169" s="1" t="str">
        <f>IF(SUM(COUNTIF(Benchmark1[Benchmark '#1 Dates],Comp2[[#This Row],[Comparable '#2 Dates]]),COUNTIF(Benchmark2[Benchmark '#2 Dates],Comp2[[#This Row],[Comparable '#2 Dates]]))=2,"Pass","Fail")</f>
        <v>Pass</v>
      </c>
      <c r="I169" s="1">
        <f>IFERROR(Comp2[[#This Row],[Comparable '#2 Return]]-INDEX(Benchmark1[Benchmark '#1 Return],MATCH(Comp2[[#This Row],[Comparable '#2 Dates]],Benchmark1[Benchmark '#1 Dates],0)),"-")</f>
        <v>-1.2973479881696337E-4</v>
      </c>
      <c r="L169" s="72">
        <f>Comp2[[#This Row],[Comparable '#2 Price]]/$B$2*100</f>
        <v>96.116700201207237</v>
      </c>
    </row>
    <row r="170" spans="1:12">
      <c r="A170" s="96">
        <v>43531</v>
      </c>
      <c r="B170" s="101">
        <v>47.27</v>
      </c>
      <c r="C170" s="4">
        <f t="shared" si="4"/>
        <v>-1.0521982596725489E-2</v>
      </c>
      <c r="D170" s="1">
        <f>IFERROR(Comp2[[#This Row],[Comparable '#2 Return]]+1,"-")</f>
        <v>0.98947801740327446</v>
      </c>
      <c r="E170" s="6">
        <f>B170-MAX($B$2:B170)</f>
        <v>-10.889999999999993</v>
      </c>
      <c r="F170" s="80">
        <f t="shared" si="5"/>
        <v>77</v>
      </c>
      <c r="G170" s="77">
        <f>Comp2[[#This Row],[Comparable '#2 Drawdown]]/MAX($B$2:B170)</f>
        <v>-0.18724209078404391</v>
      </c>
      <c r="H170" s="1" t="str">
        <f>IF(SUM(COUNTIF(Benchmark1[Benchmark '#1 Dates],Comp2[[#This Row],[Comparable '#2 Dates]]),COUNTIF(Benchmark2[Benchmark '#2 Dates],Comp2[[#This Row],[Comparable '#2 Dates]]))=2,"Pass","Fail")</f>
        <v>Pass</v>
      </c>
      <c r="I170" s="1">
        <f>IFERROR(Comp2[[#This Row],[Comparable '#2 Return]]-INDEX(Benchmark1[Benchmark '#1 Return],MATCH(Comp2[[#This Row],[Comparable '#2 Dates]],Benchmark1[Benchmark '#1 Dates],0)),"-")</f>
        <v>-2.3623944289844611E-3</v>
      </c>
      <c r="L170" s="72">
        <f>Comp2[[#This Row],[Comparable '#2 Price]]/$B$2*100</f>
        <v>95.110663983903422</v>
      </c>
    </row>
    <row r="171" spans="1:12">
      <c r="A171" s="96">
        <v>43532</v>
      </c>
      <c r="B171" s="101">
        <v>47.4</v>
      </c>
      <c r="C171" s="4">
        <f t="shared" si="4"/>
        <v>2.7463838958856875E-3</v>
      </c>
      <c r="D171" s="1">
        <f>IFERROR(Comp2[[#This Row],[Comparable '#2 Return]]+1,"-")</f>
        <v>1.0027463838958857</v>
      </c>
      <c r="E171" s="6">
        <f>B171-MAX($B$2:B171)</f>
        <v>-10.759999999999998</v>
      </c>
      <c r="F171" s="80">
        <f t="shared" si="5"/>
        <v>78</v>
      </c>
      <c r="G171" s="77">
        <f>Comp2[[#This Row],[Comparable '#2 Drawdown]]/MAX($B$2:B171)</f>
        <v>-0.18500687757909215</v>
      </c>
      <c r="H171" s="1" t="str">
        <f>IF(SUM(COUNTIF(Benchmark1[Benchmark '#1 Dates],Comp2[[#This Row],[Comparable '#2 Dates]]),COUNTIF(Benchmark2[Benchmark '#2 Dates],Comp2[[#This Row],[Comparable '#2 Dates]]))=2,"Pass","Fail")</f>
        <v>Pass</v>
      </c>
      <c r="I171" s="1">
        <f>IFERROR(Comp2[[#This Row],[Comparable '#2 Return]]-INDEX(Benchmark1[Benchmark '#1 Return],MATCH(Comp2[[#This Row],[Comparable '#2 Dates]],Benchmark1[Benchmark '#1 Dates],0)),"-")</f>
        <v>4.8797124932143231E-3</v>
      </c>
      <c r="L171" s="72">
        <f>Comp2[[#This Row],[Comparable '#2 Price]]/$B$2*100</f>
        <v>95.372233400402408</v>
      </c>
    </row>
    <row r="172" spans="1:12">
      <c r="A172" s="96">
        <v>43535</v>
      </c>
      <c r="B172" s="101">
        <v>48.2</v>
      </c>
      <c r="C172" s="4">
        <f t="shared" si="4"/>
        <v>1.6736792355523826E-2</v>
      </c>
      <c r="D172" s="1">
        <f>IFERROR(Comp2[[#This Row],[Comparable '#2 Return]]+1,"-")</f>
        <v>1.0167367923555237</v>
      </c>
      <c r="E172" s="6">
        <f>B172-MAX($B$2:B172)</f>
        <v>-9.9599999999999937</v>
      </c>
      <c r="F172" s="80">
        <f t="shared" si="5"/>
        <v>79</v>
      </c>
      <c r="G172" s="77">
        <f>Comp2[[#This Row],[Comparable '#2 Drawdown]]/MAX($B$2:B172)</f>
        <v>-0.17125171939477293</v>
      </c>
      <c r="H172" s="1" t="str">
        <f>IF(SUM(COUNTIF(Benchmark1[Benchmark '#1 Dates],Comp2[[#This Row],[Comparable '#2 Dates]]),COUNTIF(Benchmark2[Benchmark '#2 Dates],Comp2[[#This Row],[Comparable '#2 Dates]]))=2,"Pass","Fail")</f>
        <v>Pass</v>
      </c>
      <c r="I172" s="1">
        <f>IFERROR(Comp2[[#This Row],[Comparable '#2 Return]]-INDEX(Benchmark1[Benchmark '#1 Return],MATCH(Comp2[[#This Row],[Comparable '#2 Dates]],Benchmark1[Benchmark '#1 Dates],0)),"-")</f>
        <v>2.1781937518628291E-3</v>
      </c>
      <c r="L172" s="72">
        <f>Comp2[[#This Row],[Comparable '#2 Price]]/$B$2*100</f>
        <v>96.981891348088539</v>
      </c>
    </row>
    <row r="173" spans="1:12">
      <c r="A173" s="96">
        <v>43536</v>
      </c>
      <c r="B173" s="101">
        <v>48.03</v>
      </c>
      <c r="C173" s="4">
        <f t="shared" si="4"/>
        <v>-3.5332053798215989E-3</v>
      </c>
      <c r="D173" s="1">
        <f>IFERROR(Comp2[[#This Row],[Comparable '#2 Return]]+1,"-")</f>
        <v>0.9964667946201784</v>
      </c>
      <c r="E173" s="6">
        <f>B173-MAX($B$2:B173)</f>
        <v>-10.129999999999995</v>
      </c>
      <c r="F173" s="80">
        <f t="shared" si="5"/>
        <v>80</v>
      </c>
      <c r="G173" s="77">
        <f>Comp2[[#This Row],[Comparable '#2 Drawdown]]/MAX($B$2:B173)</f>
        <v>-0.17417469050894077</v>
      </c>
      <c r="H173" s="1" t="str">
        <f>IF(SUM(COUNTIF(Benchmark1[Benchmark '#1 Dates],Comp2[[#This Row],[Comparable '#2 Dates]]),COUNTIF(Benchmark2[Benchmark '#2 Dates],Comp2[[#This Row],[Comparable '#2 Dates]]))=2,"Pass","Fail")</f>
        <v>Pass</v>
      </c>
      <c r="I173" s="1">
        <f>IFERROR(Comp2[[#This Row],[Comparable '#2 Return]]-INDEX(Benchmark1[Benchmark '#1 Return],MATCH(Comp2[[#This Row],[Comparable '#2 Dates]],Benchmark1[Benchmark '#1 Dates],0)),"-")</f>
        <v>-6.4847926560489761E-3</v>
      </c>
      <c r="L173" s="72">
        <f>Comp2[[#This Row],[Comparable '#2 Price]]/$B$2*100</f>
        <v>96.639839034205238</v>
      </c>
    </row>
    <row r="174" spans="1:12">
      <c r="A174" s="96">
        <v>43537</v>
      </c>
      <c r="B174" s="101">
        <v>48.67</v>
      </c>
      <c r="C174" s="4">
        <f t="shared" si="4"/>
        <v>1.3237008168629943E-2</v>
      </c>
      <c r="D174" s="1">
        <f>IFERROR(Comp2[[#This Row],[Comparable '#2 Return]]+1,"-")</f>
        <v>1.0132370081686299</v>
      </c>
      <c r="E174" s="6">
        <f>B174-MAX($B$2:B174)</f>
        <v>-9.4899999999999949</v>
      </c>
      <c r="F174" s="80">
        <f t="shared" si="5"/>
        <v>81</v>
      </c>
      <c r="G174" s="77">
        <f>Comp2[[#This Row],[Comparable '#2 Drawdown]]/MAX($B$2:B174)</f>
        <v>-0.16317056396148547</v>
      </c>
      <c r="H174" s="1" t="str">
        <f>IF(SUM(COUNTIF(Benchmark1[Benchmark '#1 Dates],Comp2[[#This Row],[Comparable '#2 Dates]]),COUNTIF(Benchmark2[Benchmark '#2 Dates],Comp2[[#This Row],[Comparable '#2 Dates]]))=2,"Pass","Fail")</f>
        <v>Pass</v>
      </c>
      <c r="I174" s="1">
        <f>IFERROR(Comp2[[#This Row],[Comparable '#2 Return]]-INDEX(Benchmark1[Benchmark '#1 Return],MATCH(Comp2[[#This Row],[Comparable '#2 Dates]],Benchmark1[Benchmark '#1 Dates],0)),"-")</f>
        <v>6.3131286123839113E-3</v>
      </c>
      <c r="L174" s="72">
        <f>Comp2[[#This Row],[Comparable '#2 Price]]/$B$2*100</f>
        <v>97.927565392354126</v>
      </c>
    </row>
    <row r="175" spans="1:12">
      <c r="A175" s="96">
        <v>43538</v>
      </c>
      <c r="B175" s="101">
        <v>48.32</v>
      </c>
      <c r="C175" s="4">
        <f t="shared" si="4"/>
        <v>-7.217270218803494E-3</v>
      </c>
      <c r="D175" s="1">
        <f>IFERROR(Comp2[[#This Row],[Comparable '#2 Return]]+1,"-")</f>
        <v>0.99278272978119653</v>
      </c>
      <c r="E175" s="6">
        <f>B175-MAX($B$2:B175)</f>
        <v>-9.8399999999999963</v>
      </c>
      <c r="F175" s="80">
        <f t="shared" si="5"/>
        <v>82</v>
      </c>
      <c r="G175" s="77">
        <f>Comp2[[#This Row],[Comparable '#2 Drawdown]]/MAX($B$2:B175)</f>
        <v>-0.16918844566712513</v>
      </c>
      <c r="H175" s="1" t="str">
        <f>IF(SUM(COUNTIF(Benchmark1[Benchmark '#1 Dates],Comp2[[#This Row],[Comparable '#2 Dates]]),COUNTIF(Benchmark2[Benchmark '#2 Dates],Comp2[[#This Row],[Comparable '#2 Dates]]))=2,"Pass","Fail")</f>
        <v>Pass</v>
      </c>
      <c r="I175" s="1">
        <f>IFERROR(Comp2[[#This Row],[Comparable '#2 Return]]-INDEX(Benchmark1[Benchmark '#1 Return],MATCH(Comp2[[#This Row],[Comparable '#2 Dates]],Benchmark1[Benchmark '#1 Dates],0)),"-")</f>
        <v>-6.3507276617379574E-3</v>
      </c>
      <c r="L175" s="72">
        <f>Comp2[[#This Row],[Comparable '#2 Price]]/$B$2*100</f>
        <v>97.223340040241453</v>
      </c>
    </row>
    <row r="176" spans="1:12">
      <c r="A176" s="96">
        <v>43539</v>
      </c>
      <c r="B176" s="101">
        <v>48.84</v>
      </c>
      <c r="C176" s="4">
        <f t="shared" si="4"/>
        <v>1.070409561594456E-2</v>
      </c>
      <c r="D176" s="1">
        <f>IFERROR(Comp2[[#This Row],[Comparable '#2 Return]]+1,"-")</f>
        <v>1.0107040956159445</v>
      </c>
      <c r="E176" s="6">
        <f>B176-MAX($B$2:B176)</f>
        <v>-9.3199999999999932</v>
      </c>
      <c r="F176" s="80">
        <f t="shared" si="5"/>
        <v>83</v>
      </c>
      <c r="G176" s="77">
        <f>Comp2[[#This Row],[Comparable '#2 Drawdown]]/MAX($B$2:B176)</f>
        <v>-0.16024759284731763</v>
      </c>
      <c r="H176" s="1" t="str">
        <f>IF(SUM(COUNTIF(Benchmark1[Benchmark '#1 Dates],Comp2[[#This Row],[Comparable '#2 Dates]]),COUNTIF(Benchmark2[Benchmark '#2 Dates],Comp2[[#This Row],[Comparable '#2 Dates]]))=2,"Pass","Fail")</f>
        <v>Pass</v>
      </c>
      <c r="I176" s="1">
        <f>IFERROR(Comp2[[#This Row],[Comparable '#2 Return]]-INDEX(Benchmark1[Benchmark '#1 Return],MATCH(Comp2[[#This Row],[Comparable '#2 Dates]],Benchmark1[Benchmark '#1 Dates],0)),"-")</f>
        <v>5.7337559994690927E-3</v>
      </c>
      <c r="L176" s="72">
        <f>Comp2[[#This Row],[Comparable '#2 Price]]/$B$2*100</f>
        <v>98.269617706237426</v>
      </c>
    </row>
    <row r="177" spans="1:12">
      <c r="A177" s="96">
        <v>43542</v>
      </c>
      <c r="B177" s="101">
        <v>48.83</v>
      </c>
      <c r="C177" s="4">
        <f t="shared" si="4"/>
        <v>-2.0477116893513915E-4</v>
      </c>
      <c r="D177" s="1">
        <f>IFERROR(Comp2[[#This Row],[Comparable '#2 Return]]+1,"-")</f>
        <v>0.99979522883106486</v>
      </c>
      <c r="E177" s="6">
        <f>B177-MAX($B$2:B177)</f>
        <v>-9.3299999999999983</v>
      </c>
      <c r="F177" s="80">
        <f t="shared" si="5"/>
        <v>84</v>
      </c>
      <c r="G177" s="77">
        <f>Comp2[[#This Row],[Comparable '#2 Drawdown]]/MAX($B$2:B177)</f>
        <v>-0.16041953232462172</v>
      </c>
      <c r="H177" s="1" t="str">
        <f>IF(SUM(COUNTIF(Benchmark1[Benchmark '#1 Dates],Comp2[[#This Row],[Comparable '#2 Dates]]),COUNTIF(Benchmark2[Benchmark '#2 Dates],Comp2[[#This Row],[Comparable '#2 Dates]]))=2,"Pass","Fail")</f>
        <v>Pass</v>
      </c>
      <c r="I177" s="1">
        <f>IFERROR(Comp2[[#This Row],[Comparable '#2 Return]]-INDEX(Benchmark1[Benchmark '#1 Return],MATCH(Comp2[[#This Row],[Comparable '#2 Dates]],Benchmark1[Benchmark '#1 Dates],0)),"-")</f>
        <v>-3.9052733229601624E-3</v>
      </c>
      <c r="L177" s="72">
        <f>Comp2[[#This Row],[Comparable '#2 Price]]/$B$2*100</f>
        <v>98.24949698189134</v>
      </c>
    </row>
    <row r="178" spans="1:12">
      <c r="A178" s="96">
        <v>43543</v>
      </c>
      <c r="B178" s="101">
        <v>48.32</v>
      </c>
      <c r="C178" s="4">
        <f t="shared" si="4"/>
        <v>-1.0499324447009357E-2</v>
      </c>
      <c r="D178" s="1">
        <f>IFERROR(Comp2[[#This Row],[Comparable '#2 Return]]+1,"-")</f>
        <v>0.98950067555299059</v>
      </c>
      <c r="E178" s="6">
        <f>B178-MAX($B$2:B178)</f>
        <v>-9.8399999999999963</v>
      </c>
      <c r="F178" s="80">
        <f t="shared" si="5"/>
        <v>85</v>
      </c>
      <c r="G178" s="77">
        <f>Comp2[[#This Row],[Comparable '#2 Drawdown]]/MAX($B$2:B178)</f>
        <v>-0.16918844566712513</v>
      </c>
      <c r="H178" s="1" t="str">
        <f>IF(SUM(COUNTIF(Benchmark1[Benchmark '#1 Dates],Comp2[[#This Row],[Comparable '#2 Dates]]),COUNTIF(Benchmark2[Benchmark '#2 Dates],Comp2[[#This Row],[Comparable '#2 Dates]]))=2,"Pass","Fail")</f>
        <v>Pass</v>
      </c>
      <c r="I178" s="1">
        <f>IFERROR(Comp2[[#This Row],[Comparable '#2 Return]]-INDEX(Benchmark1[Benchmark '#1 Return],MATCH(Comp2[[#This Row],[Comparable '#2 Dates]],Benchmark1[Benchmark '#1 Dates],0)),"-")</f>
        <v>-1.0367582156340101E-2</v>
      </c>
      <c r="L178" s="72">
        <f>Comp2[[#This Row],[Comparable '#2 Price]]/$B$2*100</f>
        <v>97.223340040241453</v>
      </c>
    </row>
    <row r="179" spans="1:12">
      <c r="A179" s="96">
        <v>43544</v>
      </c>
      <c r="B179" s="101">
        <v>47.3</v>
      </c>
      <c r="C179" s="4">
        <f t="shared" si="4"/>
        <v>-2.1335258128672291E-2</v>
      </c>
      <c r="D179" s="1">
        <f>IFERROR(Comp2[[#This Row],[Comparable '#2 Return]]+1,"-")</f>
        <v>0.97866474187132768</v>
      </c>
      <c r="E179" s="6">
        <f>B179-MAX($B$2:B179)</f>
        <v>-10.86</v>
      </c>
      <c r="F179" s="80">
        <f t="shared" si="5"/>
        <v>86</v>
      </c>
      <c r="G179" s="77">
        <f>Comp2[[#This Row],[Comparable '#2 Drawdown]]/MAX($B$2:B179)</f>
        <v>-0.18672627235213204</v>
      </c>
      <c r="H179" s="1" t="str">
        <f>IF(SUM(COUNTIF(Benchmark1[Benchmark '#1 Dates],Comp2[[#This Row],[Comparable '#2 Dates]]),COUNTIF(Benchmark2[Benchmark '#2 Dates],Comp2[[#This Row],[Comparable '#2 Dates]]))=2,"Pass","Fail")</f>
        <v>Pass</v>
      </c>
      <c r="I179" s="1">
        <f>IFERROR(Comp2[[#This Row],[Comparable '#2 Return]]-INDEX(Benchmark1[Benchmark '#1 Return],MATCH(Comp2[[#This Row],[Comparable '#2 Dates]],Benchmark1[Benchmark '#1 Dates],0)),"-")</f>
        <v>-1.8386033280556473E-2</v>
      </c>
      <c r="L179" s="72">
        <f>Comp2[[#This Row],[Comparable '#2 Price]]/$B$2*100</f>
        <v>95.171026156941636</v>
      </c>
    </row>
    <row r="180" spans="1:12">
      <c r="A180" s="96">
        <v>43545</v>
      </c>
      <c r="B180" s="101">
        <v>47.9</v>
      </c>
      <c r="C180" s="4">
        <f t="shared" si="4"/>
        <v>1.260520891898219E-2</v>
      </c>
      <c r="D180" s="1">
        <f>IFERROR(Comp2[[#This Row],[Comparable '#2 Return]]+1,"-")</f>
        <v>1.0126052089189821</v>
      </c>
      <c r="E180" s="6">
        <f>B180-MAX($B$2:B180)</f>
        <v>-10.259999999999998</v>
      </c>
      <c r="F180" s="80">
        <f t="shared" si="5"/>
        <v>87</v>
      </c>
      <c r="G180" s="77">
        <f>Comp2[[#This Row],[Comparable '#2 Drawdown]]/MAX($B$2:B180)</f>
        <v>-0.17640990371389267</v>
      </c>
      <c r="H180" s="1" t="str">
        <f>IF(SUM(COUNTIF(Benchmark1[Benchmark '#1 Dates],Comp2[[#This Row],[Comparable '#2 Dates]]),COUNTIF(Benchmark2[Benchmark '#2 Dates],Comp2[[#This Row],[Comparable '#2 Dates]]))=2,"Pass","Fail")</f>
        <v>Pass</v>
      </c>
      <c r="I180" s="1">
        <f>IFERROR(Comp2[[#This Row],[Comparable '#2 Return]]-INDEX(Benchmark1[Benchmark '#1 Return],MATCH(Comp2[[#This Row],[Comparable '#2 Dates]],Benchmark1[Benchmark '#1 Dates],0)),"-")</f>
        <v>1.8108436930140033E-3</v>
      </c>
      <c r="L180" s="72">
        <f>Comp2[[#This Row],[Comparable '#2 Price]]/$B$2*100</f>
        <v>96.378269617706223</v>
      </c>
    </row>
    <row r="181" spans="1:12">
      <c r="A181" s="96">
        <v>43546</v>
      </c>
      <c r="B181" s="101">
        <v>45.97</v>
      </c>
      <c r="C181" s="4">
        <f t="shared" si="4"/>
        <v>-4.1126494598732938E-2</v>
      </c>
      <c r="D181" s="1">
        <f>IFERROR(Comp2[[#This Row],[Comparable '#2 Return]]+1,"-")</f>
        <v>0.95887350540126703</v>
      </c>
      <c r="E181" s="6">
        <f>B181-MAX($B$2:B181)</f>
        <v>-12.189999999999998</v>
      </c>
      <c r="F181" s="80">
        <f t="shared" si="5"/>
        <v>88</v>
      </c>
      <c r="G181" s="77">
        <f>Comp2[[#This Row],[Comparable '#2 Drawdown]]/MAX($B$2:B181)</f>
        <v>-0.20959422283356255</v>
      </c>
      <c r="H181" s="1" t="str">
        <f>IF(SUM(COUNTIF(Benchmark1[Benchmark '#1 Dates],Comp2[[#This Row],[Comparable '#2 Dates]]),COUNTIF(Benchmark2[Benchmark '#2 Dates],Comp2[[#This Row],[Comparable '#2 Dates]]))=2,"Pass","Fail")</f>
        <v>Pass</v>
      </c>
      <c r="I181" s="1">
        <f>IFERROR(Comp2[[#This Row],[Comparable '#2 Return]]-INDEX(Benchmark1[Benchmark '#1 Return],MATCH(Comp2[[#This Row],[Comparable '#2 Dates]],Benchmark1[Benchmark '#1 Dates],0)),"-")</f>
        <v>-2.1971680620897317E-2</v>
      </c>
      <c r="L181" s="72">
        <f>Comp2[[#This Row],[Comparable '#2 Price]]/$B$2*100</f>
        <v>92.494969818913475</v>
      </c>
    </row>
    <row r="182" spans="1:12">
      <c r="A182" s="96">
        <v>43549</v>
      </c>
      <c r="B182" s="101">
        <v>45.53</v>
      </c>
      <c r="C182" s="4">
        <f t="shared" si="4"/>
        <v>-9.6175604714458518E-3</v>
      </c>
      <c r="D182" s="1">
        <f>IFERROR(Comp2[[#This Row],[Comparable '#2 Return]]+1,"-")</f>
        <v>0.99038243952855409</v>
      </c>
      <c r="E182" s="6">
        <f>B182-MAX($B$2:B182)</f>
        <v>-12.629999999999995</v>
      </c>
      <c r="F182" s="80">
        <f t="shared" si="5"/>
        <v>89</v>
      </c>
      <c r="G182" s="77">
        <f>Comp2[[#This Row],[Comparable '#2 Drawdown]]/MAX($B$2:B182)</f>
        <v>-0.21715955983493804</v>
      </c>
      <c r="H182" s="1" t="str">
        <f>IF(SUM(COUNTIF(Benchmark1[Benchmark '#1 Dates],Comp2[[#This Row],[Comparable '#2 Dates]]),COUNTIF(Benchmark2[Benchmark '#2 Dates],Comp2[[#This Row],[Comparable '#2 Dates]]))=2,"Pass","Fail")</f>
        <v>Pass</v>
      </c>
      <c r="I182" s="1">
        <f>IFERROR(Comp2[[#This Row],[Comparable '#2 Return]]-INDEX(Benchmark1[Benchmark '#1 Return],MATCH(Comp2[[#This Row],[Comparable '#2 Dates]],Benchmark1[Benchmark '#1 Dates],0)),"-")</f>
        <v>-8.777849457701728E-3</v>
      </c>
      <c r="L182" s="72">
        <f>Comp2[[#This Row],[Comparable '#2 Price]]/$B$2*100</f>
        <v>91.609657947686117</v>
      </c>
    </row>
    <row r="183" spans="1:12">
      <c r="A183" s="96">
        <v>43550</v>
      </c>
      <c r="B183" s="101">
        <v>45.67</v>
      </c>
      <c r="C183" s="4">
        <f t="shared" si="4"/>
        <v>3.0701778502168955E-3</v>
      </c>
      <c r="D183" s="1">
        <f>IFERROR(Comp2[[#This Row],[Comparable '#2 Return]]+1,"-")</f>
        <v>1.0030701778502169</v>
      </c>
      <c r="E183" s="6">
        <f>B183-MAX($B$2:B183)</f>
        <v>-12.489999999999995</v>
      </c>
      <c r="F183" s="80">
        <f t="shared" si="5"/>
        <v>90</v>
      </c>
      <c r="G183" s="77">
        <f>Comp2[[#This Row],[Comparable '#2 Drawdown]]/MAX($B$2:B183)</f>
        <v>-0.21475240715268218</v>
      </c>
      <c r="H183" s="1" t="str">
        <f>IF(SUM(COUNTIF(Benchmark1[Benchmark '#1 Dates],Comp2[[#This Row],[Comparable '#2 Dates]]),COUNTIF(Benchmark2[Benchmark '#2 Dates],Comp2[[#This Row],[Comparable '#2 Dates]]))=2,"Pass","Fail")</f>
        <v>Pass</v>
      </c>
      <c r="I183" s="1">
        <f>IFERROR(Comp2[[#This Row],[Comparable '#2 Return]]-INDEX(Benchmark1[Benchmark '#1 Return],MATCH(Comp2[[#This Row],[Comparable '#2 Dates]],Benchmark1[Benchmark '#1 Dates],0)),"-")</f>
        <v>-4.0855892192037911E-3</v>
      </c>
      <c r="L183" s="72">
        <f>Comp2[[#This Row],[Comparable '#2 Price]]/$B$2*100</f>
        <v>91.891348088531188</v>
      </c>
    </row>
    <row r="184" spans="1:12">
      <c r="A184" s="96">
        <v>43551</v>
      </c>
      <c r="B184" s="101">
        <v>45.42</v>
      </c>
      <c r="C184" s="4">
        <f t="shared" si="4"/>
        <v>-5.4890905194952232E-3</v>
      </c>
      <c r="D184" s="1">
        <f>IFERROR(Comp2[[#This Row],[Comparable '#2 Return]]+1,"-")</f>
        <v>0.9945109094805048</v>
      </c>
      <c r="E184" s="6">
        <f>B184-MAX($B$2:B184)</f>
        <v>-12.739999999999995</v>
      </c>
      <c r="F184" s="80">
        <f t="shared" si="5"/>
        <v>91</v>
      </c>
      <c r="G184" s="77">
        <f>Comp2[[#This Row],[Comparable '#2 Drawdown]]/MAX($B$2:B184)</f>
        <v>-0.21905089408528192</v>
      </c>
      <c r="H184" s="1" t="str">
        <f>IF(SUM(COUNTIF(Benchmark1[Benchmark '#1 Dates],Comp2[[#This Row],[Comparable '#2 Dates]]),COUNTIF(Benchmark2[Benchmark '#2 Dates],Comp2[[#This Row],[Comparable '#2 Dates]]))=2,"Pass","Fail")</f>
        <v>Pass</v>
      </c>
      <c r="I184" s="1">
        <f>IFERROR(Comp2[[#This Row],[Comparable '#2 Return]]-INDEX(Benchmark1[Benchmark '#1 Return],MATCH(Comp2[[#This Row],[Comparable '#2 Dates]],Benchmark1[Benchmark '#1 Dates],0)),"-")</f>
        <v>-8.3576706160578326E-4</v>
      </c>
      <c r="L184" s="72">
        <f>Comp2[[#This Row],[Comparable '#2 Price]]/$B$2*100</f>
        <v>91.388329979879273</v>
      </c>
    </row>
    <row r="185" spans="1:12">
      <c r="A185" s="96">
        <v>43552</v>
      </c>
      <c r="B185" s="101">
        <v>46.05</v>
      </c>
      <c r="C185" s="4">
        <f t="shared" si="4"/>
        <v>1.3775226023903318E-2</v>
      </c>
      <c r="D185" s="1">
        <f>IFERROR(Comp2[[#This Row],[Comparable '#2 Return]]+1,"-")</f>
        <v>1.0137752260239032</v>
      </c>
      <c r="E185" s="6">
        <f>B185-MAX($B$2:B185)</f>
        <v>-12.11</v>
      </c>
      <c r="F185" s="80">
        <f t="shared" si="5"/>
        <v>92</v>
      </c>
      <c r="G185" s="77">
        <f>Comp2[[#This Row],[Comparable '#2 Drawdown]]/MAX($B$2:B185)</f>
        <v>-0.20821870701513068</v>
      </c>
      <c r="H185" s="1" t="str">
        <f>IF(SUM(COUNTIF(Benchmark1[Benchmark '#1 Dates],Comp2[[#This Row],[Comparable '#2 Dates]]),COUNTIF(Benchmark2[Benchmark '#2 Dates],Comp2[[#This Row],[Comparable '#2 Dates]]))=2,"Pass","Fail")</f>
        <v>Pass</v>
      </c>
      <c r="I185" s="1">
        <f>IFERROR(Comp2[[#This Row],[Comparable '#2 Return]]-INDEX(Benchmark1[Benchmark '#1 Return],MATCH(Comp2[[#This Row],[Comparable '#2 Dates]],Benchmark1[Benchmark '#1 Dates],0)),"-")</f>
        <v>1.0194194736240019E-2</v>
      </c>
      <c r="L185" s="72">
        <f>Comp2[[#This Row],[Comparable '#2 Price]]/$B$2*100</f>
        <v>92.65593561368209</v>
      </c>
    </row>
    <row r="186" spans="1:12">
      <c r="A186" s="96">
        <v>43553</v>
      </c>
      <c r="B186" s="101">
        <v>46.32</v>
      </c>
      <c r="C186" s="4">
        <f t="shared" si="4"/>
        <v>5.84607056342391E-3</v>
      </c>
      <c r="D186" s="1">
        <f>IFERROR(Comp2[[#This Row],[Comparable '#2 Return]]+1,"-")</f>
        <v>1.005846070563424</v>
      </c>
      <c r="E186" s="6">
        <f>B186-MAX($B$2:B186)</f>
        <v>-11.839999999999996</v>
      </c>
      <c r="F186" s="80">
        <f t="shared" si="5"/>
        <v>93</v>
      </c>
      <c r="G186" s="77">
        <f>Comp2[[#This Row],[Comparable '#2 Drawdown]]/MAX($B$2:B186)</f>
        <v>-0.20357634112792292</v>
      </c>
      <c r="H186" s="1" t="str">
        <f>IF(SUM(COUNTIF(Benchmark1[Benchmark '#1 Dates],Comp2[[#This Row],[Comparable '#2 Dates]]),COUNTIF(Benchmark2[Benchmark '#2 Dates],Comp2[[#This Row],[Comparable '#2 Dates]]))=2,"Pass","Fail")</f>
        <v>Pass</v>
      </c>
      <c r="I186" s="1">
        <f>IFERROR(Comp2[[#This Row],[Comparable '#2 Return]]-INDEX(Benchmark1[Benchmark '#1 Return],MATCH(Comp2[[#This Row],[Comparable '#2 Dates]],Benchmark1[Benchmark '#1 Dates],0)),"-")</f>
        <v>-8.6654627126810276E-4</v>
      </c>
      <c r="L186" s="72">
        <f>Comp2[[#This Row],[Comparable '#2 Price]]/$B$2*100</f>
        <v>93.199195171026147</v>
      </c>
    </row>
    <row r="187" spans="1:12">
      <c r="A187" s="96">
        <v>43556</v>
      </c>
      <c r="B187" s="101">
        <v>46.93</v>
      </c>
      <c r="C187" s="4">
        <f t="shared" si="4"/>
        <v>1.3083296541586457E-2</v>
      </c>
      <c r="D187" s="1">
        <f>IFERROR(Comp2[[#This Row],[Comparable '#2 Return]]+1,"-")</f>
        <v>1.0130832965415864</v>
      </c>
      <c r="E187" s="6">
        <f>B187-MAX($B$2:B187)</f>
        <v>-11.229999999999997</v>
      </c>
      <c r="F187" s="80">
        <f t="shared" si="5"/>
        <v>94</v>
      </c>
      <c r="G187" s="77">
        <f>Comp2[[#This Row],[Comparable '#2 Drawdown]]/MAX($B$2:B187)</f>
        <v>-0.19308803301237959</v>
      </c>
      <c r="H187" s="1" t="str">
        <f>IF(SUM(COUNTIF(Benchmark1[Benchmark '#1 Dates],Comp2[[#This Row],[Comparable '#2 Dates]]),COUNTIF(Benchmark2[Benchmark '#2 Dates],Comp2[[#This Row],[Comparable '#2 Dates]]))=2,"Pass","Fail")</f>
        <v>Pass</v>
      </c>
      <c r="I187" s="1">
        <f>IFERROR(Comp2[[#This Row],[Comparable '#2 Return]]-INDEX(Benchmark1[Benchmark '#1 Return],MATCH(Comp2[[#This Row],[Comparable '#2 Dates]],Benchmark1[Benchmark '#1 Dates],0)),"-")</f>
        <v>1.5796948973236802E-3</v>
      </c>
      <c r="L187" s="72">
        <f>Comp2[[#This Row],[Comparable '#2 Price]]/$B$2*100</f>
        <v>94.426559356136821</v>
      </c>
    </row>
    <row r="188" spans="1:12">
      <c r="A188" s="96">
        <v>43557</v>
      </c>
      <c r="B188" s="101">
        <v>46.48</v>
      </c>
      <c r="C188" s="4">
        <f t="shared" si="4"/>
        <v>-9.6350172626705963E-3</v>
      </c>
      <c r="D188" s="1">
        <f>IFERROR(Comp2[[#This Row],[Comparable '#2 Return]]+1,"-")</f>
        <v>0.99036498273732942</v>
      </c>
      <c r="E188" s="6">
        <f>B188-MAX($B$2:B188)</f>
        <v>-11.68</v>
      </c>
      <c r="F188" s="80">
        <f t="shared" si="5"/>
        <v>95</v>
      </c>
      <c r="G188" s="77">
        <f>Comp2[[#This Row],[Comparable '#2 Drawdown]]/MAX($B$2:B188)</f>
        <v>-0.20082530949105915</v>
      </c>
      <c r="H188" s="1" t="str">
        <f>IF(SUM(COUNTIF(Benchmark1[Benchmark '#1 Dates],Comp2[[#This Row],[Comparable '#2 Dates]]),COUNTIF(Benchmark2[Benchmark '#2 Dates],Comp2[[#This Row],[Comparable '#2 Dates]]))=2,"Pass","Fail")</f>
        <v>Pass</v>
      </c>
      <c r="I188" s="1">
        <f>IFERROR(Comp2[[#This Row],[Comparable '#2 Return]]-INDEX(Benchmark1[Benchmark '#1 Return],MATCH(Comp2[[#This Row],[Comparable '#2 Dates]],Benchmark1[Benchmark '#1 Dates],0)),"-")</f>
        <v>-9.649858951783781E-3</v>
      </c>
      <c r="L188" s="72">
        <f>Comp2[[#This Row],[Comparable '#2 Price]]/$B$2*100</f>
        <v>93.521126760563362</v>
      </c>
    </row>
    <row r="189" spans="1:12">
      <c r="A189" s="96">
        <v>43558</v>
      </c>
      <c r="B189" s="101">
        <v>47.48</v>
      </c>
      <c r="C189" s="4">
        <f t="shared" si="4"/>
        <v>2.1286457197811449E-2</v>
      </c>
      <c r="D189" s="1">
        <f>IFERROR(Comp2[[#This Row],[Comparable '#2 Return]]+1,"-")</f>
        <v>1.0212864571978115</v>
      </c>
      <c r="E189" s="6">
        <f>B189-MAX($B$2:B189)</f>
        <v>-10.68</v>
      </c>
      <c r="F189" s="80">
        <f t="shared" si="5"/>
        <v>96</v>
      </c>
      <c r="G189" s="77">
        <f>Comp2[[#This Row],[Comparable '#2 Drawdown]]/MAX($B$2:B189)</f>
        <v>-0.18363136176066025</v>
      </c>
      <c r="H189" s="1" t="str">
        <f>IF(SUM(COUNTIF(Benchmark1[Benchmark '#1 Dates],Comp2[[#This Row],[Comparable '#2 Dates]]),COUNTIF(Benchmark2[Benchmark '#2 Dates],Comp2[[#This Row],[Comparable '#2 Dates]]))=2,"Pass","Fail")</f>
        <v>Pass</v>
      </c>
      <c r="I189" s="1">
        <f>IFERROR(Comp2[[#This Row],[Comparable '#2 Return]]-INDEX(Benchmark1[Benchmark '#1 Return],MATCH(Comp2[[#This Row],[Comparable '#2 Dates]],Benchmark1[Benchmark '#1 Dates],0)),"-")</f>
        <v>1.9139410288687628E-2</v>
      </c>
      <c r="L189" s="72">
        <f>Comp2[[#This Row],[Comparable '#2 Price]]/$B$2*100</f>
        <v>95.533199195171008</v>
      </c>
    </row>
    <row r="190" spans="1:12">
      <c r="A190" s="96">
        <v>43559</v>
      </c>
      <c r="B190" s="101">
        <v>47.87</v>
      </c>
      <c r="C190" s="4">
        <f t="shared" si="4"/>
        <v>8.180433662950402E-3</v>
      </c>
      <c r="D190" s="1">
        <f>IFERROR(Comp2[[#This Row],[Comparable '#2 Return]]+1,"-")</f>
        <v>1.0081804336629503</v>
      </c>
      <c r="E190" s="6">
        <f>B190-MAX($B$2:B190)</f>
        <v>-10.29</v>
      </c>
      <c r="F190" s="80">
        <f t="shared" si="5"/>
        <v>97</v>
      </c>
      <c r="G190" s="77">
        <f>Comp2[[#This Row],[Comparable '#2 Drawdown]]/MAX($B$2:B190)</f>
        <v>-0.17692572214580468</v>
      </c>
      <c r="H190" s="1" t="str">
        <f>IF(SUM(COUNTIF(Benchmark1[Benchmark '#1 Dates],Comp2[[#This Row],[Comparable '#2 Dates]]),COUNTIF(Benchmark2[Benchmark '#2 Dates],Comp2[[#This Row],[Comparable '#2 Dates]]))=2,"Pass","Fail")</f>
        <v>Pass</v>
      </c>
      <c r="I190" s="1">
        <f>IFERROR(Comp2[[#This Row],[Comparable '#2 Return]]-INDEX(Benchmark1[Benchmark '#1 Return],MATCH(Comp2[[#This Row],[Comparable '#2 Dates]],Benchmark1[Benchmark '#1 Dates],0)),"-")</f>
        <v>6.0973975905200808E-3</v>
      </c>
      <c r="L190" s="72">
        <f>Comp2[[#This Row],[Comparable '#2 Price]]/$B$2*100</f>
        <v>96.317907444667995</v>
      </c>
    </row>
    <row r="191" spans="1:12">
      <c r="A191" s="96">
        <v>43560</v>
      </c>
      <c r="B191" s="101">
        <v>47.84</v>
      </c>
      <c r="C191" s="4">
        <f t="shared" si="4"/>
        <v>-6.2689376204126072E-4</v>
      </c>
      <c r="D191" s="1">
        <f>IFERROR(Comp2[[#This Row],[Comparable '#2 Return]]+1,"-")</f>
        <v>0.99937310623795872</v>
      </c>
      <c r="E191" s="6">
        <f>B191-MAX($B$2:B191)</f>
        <v>-10.319999999999993</v>
      </c>
      <c r="F191" s="80">
        <f t="shared" si="5"/>
        <v>98</v>
      </c>
      <c r="G191" s="77">
        <f>Comp2[[#This Row],[Comparable '#2 Drawdown]]/MAX($B$2:B191)</f>
        <v>-0.17744154057771655</v>
      </c>
      <c r="H191" s="1" t="str">
        <f>IF(SUM(COUNTIF(Benchmark1[Benchmark '#1 Dates],Comp2[[#This Row],[Comparable '#2 Dates]]),COUNTIF(Benchmark2[Benchmark '#2 Dates],Comp2[[#This Row],[Comparable '#2 Dates]]))=2,"Pass","Fail")</f>
        <v>Pass</v>
      </c>
      <c r="I191" s="1">
        <f>IFERROR(Comp2[[#This Row],[Comparable '#2 Return]]-INDEX(Benchmark1[Benchmark '#1 Return],MATCH(Comp2[[#This Row],[Comparable '#2 Dates]],Benchmark1[Benchmark '#1 Dates],0)),"-")</f>
        <v>-5.2538264488590797E-3</v>
      </c>
      <c r="L191" s="72">
        <f>Comp2[[#This Row],[Comparable '#2 Price]]/$B$2*100</f>
        <v>96.25754527162978</v>
      </c>
    </row>
    <row r="192" spans="1:12">
      <c r="A192" s="96">
        <v>43563</v>
      </c>
      <c r="B192" s="101">
        <v>47.95</v>
      </c>
      <c r="C192" s="4">
        <f t="shared" si="4"/>
        <v>2.2966916870709704E-3</v>
      </c>
      <c r="D192" s="1">
        <f>IFERROR(Comp2[[#This Row],[Comparable '#2 Return]]+1,"-")</f>
        <v>1.002296691687071</v>
      </c>
      <c r="E192" s="6">
        <f>B192-MAX($B$2:B192)</f>
        <v>-10.209999999999994</v>
      </c>
      <c r="F192" s="80">
        <f t="shared" si="5"/>
        <v>99</v>
      </c>
      <c r="G192" s="77">
        <f>Comp2[[#This Row],[Comparable '#2 Drawdown]]/MAX($B$2:B192)</f>
        <v>-0.17555020632737267</v>
      </c>
      <c r="H192" s="1" t="str">
        <f>IF(SUM(COUNTIF(Benchmark1[Benchmark '#1 Dates],Comp2[[#This Row],[Comparable '#2 Dates]]),COUNTIF(Benchmark2[Benchmark '#2 Dates],Comp2[[#This Row],[Comparable '#2 Dates]]))=2,"Pass","Fail")</f>
        <v>Pass</v>
      </c>
      <c r="I192" s="1">
        <f>IFERROR(Comp2[[#This Row],[Comparable '#2 Return]]-INDEX(Benchmark1[Benchmark '#1 Return],MATCH(Comp2[[#This Row],[Comparable '#2 Dates]],Benchmark1[Benchmark '#1 Dates],0)),"-")</f>
        <v>1.2511052527107963E-3</v>
      </c>
      <c r="L192" s="72">
        <f>Comp2[[#This Row],[Comparable '#2 Price]]/$B$2*100</f>
        <v>96.478873239436624</v>
      </c>
    </row>
    <row r="193" spans="1:12">
      <c r="A193" s="96">
        <v>43564</v>
      </c>
      <c r="B193" s="101">
        <v>47.66</v>
      </c>
      <c r="C193" s="4">
        <f t="shared" si="4"/>
        <v>-6.0663296588512449E-3</v>
      </c>
      <c r="D193" s="1">
        <f>IFERROR(Comp2[[#This Row],[Comparable '#2 Return]]+1,"-")</f>
        <v>0.99393367034114877</v>
      </c>
      <c r="E193" s="6">
        <f>B193-MAX($B$2:B193)</f>
        <v>-10.5</v>
      </c>
      <c r="F193" s="80">
        <f t="shared" si="5"/>
        <v>100</v>
      </c>
      <c r="G193" s="77">
        <f>Comp2[[#This Row],[Comparable '#2 Drawdown]]/MAX($B$2:B193)</f>
        <v>-0.18053645116918846</v>
      </c>
      <c r="H193" s="1" t="str">
        <f>IF(SUM(COUNTIF(Benchmark1[Benchmark '#1 Dates],Comp2[[#This Row],[Comparable '#2 Dates]]),COUNTIF(Benchmark2[Benchmark '#2 Dates],Comp2[[#This Row],[Comparable '#2 Dates]]))=2,"Pass","Fail")</f>
        <v>Pass</v>
      </c>
      <c r="I193" s="1">
        <f>IFERROR(Comp2[[#This Row],[Comparable '#2 Return]]-INDEX(Benchmark1[Benchmark '#1 Return],MATCH(Comp2[[#This Row],[Comparable '#2 Dates]],Benchmark1[Benchmark '#1 Dates],0)),"-")</f>
        <v>1.960863956834355E-5</v>
      </c>
      <c r="L193" s="72">
        <f>Comp2[[#This Row],[Comparable '#2 Price]]/$B$2*100</f>
        <v>95.895372233400394</v>
      </c>
    </row>
    <row r="194" spans="1:12">
      <c r="A194" s="96">
        <v>43565</v>
      </c>
      <c r="B194" s="101">
        <v>48.36</v>
      </c>
      <c r="C194" s="4">
        <f t="shared" ref="C194:C257" si="6">IFERROR(IF(B194="","-",LN(B194/B193)),"-")</f>
        <v>1.4580554075995844E-2</v>
      </c>
      <c r="D194" s="1">
        <f>IFERROR(Comp2[[#This Row],[Comparable '#2 Return]]+1,"-")</f>
        <v>1.0145805540759958</v>
      </c>
      <c r="E194" s="6">
        <f>B194-MAX($B$2:B194)</f>
        <v>-9.7999999999999972</v>
      </c>
      <c r="F194" s="80">
        <f t="shared" ref="F194:F257" si="7">IF(E194=0,0,F193+1)</f>
        <v>101</v>
      </c>
      <c r="G194" s="77">
        <f>Comp2[[#This Row],[Comparable '#2 Drawdown]]/MAX($B$2:B194)</f>
        <v>-0.16850068775790919</v>
      </c>
      <c r="H194" s="1" t="str">
        <f>IF(SUM(COUNTIF(Benchmark1[Benchmark '#1 Dates],Comp2[[#This Row],[Comparable '#2 Dates]]),COUNTIF(Benchmark2[Benchmark '#2 Dates],Comp2[[#This Row],[Comparable '#2 Dates]]))=2,"Pass","Fail")</f>
        <v>Pass</v>
      </c>
      <c r="I194" s="1">
        <f>IFERROR(Comp2[[#This Row],[Comparable '#2 Return]]-INDEX(Benchmark1[Benchmark '#1 Return],MATCH(Comp2[[#This Row],[Comparable '#2 Dates]],Benchmark1[Benchmark '#1 Dates],0)),"-")</f>
        <v>1.1108794692476255E-2</v>
      </c>
      <c r="L194" s="72">
        <f>Comp2[[#This Row],[Comparable '#2 Price]]/$B$2*100</f>
        <v>97.303822937625753</v>
      </c>
    </row>
    <row r="195" spans="1:12">
      <c r="A195" s="96">
        <v>43566</v>
      </c>
      <c r="B195" s="101">
        <v>48.33</v>
      </c>
      <c r="C195" s="4">
        <f t="shared" si="6"/>
        <v>-6.2053988959925551E-4</v>
      </c>
      <c r="D195" s="1">
        <f>IFERROR(Comp2[[#This Row],[Comparable '#2 Return]]+1,"-")</f>
        <v>0.9993794601104008</v>
      </c>
      <c r="E195" s="6">
        <f>B195-MAX($B$2:B195)</f>
        <v>-9.8299999999999983</v>
      </c>
      <c r="F195" s="80">
        <f t="shared" si="7"/>
        <v>102</v>
      </c>
      <c r="G195" s="77">
        <f>Comp2[[#This Row],[Comparable '#2 Drawdown]]/MAX($B$2:B195)</f>
        <v>-0.16901650618982117</v>
      </c>
      <c r="H195" s="1" t="str">
        <f>IF(SUM(COUNTIF(Benchmark1[Benchmark '#1 Dates],Comp2[[#This Row],[Comparable '#2 Dates]]),COUNTIF(Benchmark2[Benchmark '#2 Dates],Comp2[[#This Row],[Comparable '#2 Dates]]))=2,"Pass","Fail")</f>
        <v>Pass</v>
      </c>
      <c r="I195" s="1">
        <f>IFERROR(Comp2[[#This Row],[Comparable '#2 Return]]-INDEX(Benchmark1[Benchmark '#1 Return],MATCH(Comp2[[#This Row],[Comparable '#2 Dates]],Benchmark1[Benchmark '#1 Dates],0)),"-")</f>
        <v>-6.5829148362880809E-4</v>
      </c>
      <c r="L195" s="72">
        <f>Comp2[[#This Row],[Comparable '#2 Price]]/$B$2*100</f>
        <v>97.243460764587525</v>
      </c>
    </row>
    <row r="196" spans="1:12">
      <c r="A196" s="96">
        <v>43567</v>
      </c>
      <c r="B196" s="101">
        <v>48.58</v>
      </c>
      <c r="C196" s="4">
        <f t="shared" si="6"/>
        <v>5.1594377170337494E-3</v>
      </c>
      <c r="D196" s="1">
        <f>IFERROR(Comp2[[#This Row],[Comparable '#2 Return]]+1,"-")</f>
        <v>1.0051594377170336</v>
      </c>
      <c r="E196" s="6">
        <f>B196-MAX($B$2:B196)</f>
        <v>-9.5799999999999983</v>
      </c>
      <c r="F196" s="80">
        <f t="shared" si="7"/>
        <v>103</v>
      </c>
      <c r="G196" s="77">
        <f>Comp2[[#This Row],[Comparable '#2 Drawdown]]/MAX($B$2:B196)</f>
        <v>-0.16471801925722143</v>
      </c>
      <c r="H196" s="1" t="str">
        <f>IF(SUM(COUNTIF(Benchmark1[Benchmark '#1 Dates],Comp2[[#This Row],[Comparable '#2 Dates]]),COUNTIF(Benchmark2[Benchmark '#2 Dates],Comp2[[#This Row],[Comparable '#2 Dates]]))=2,"Pass","Fail")</f>
        <v>Pass</v>
      </c>
      <c r="I196" s="1">
        <f>IFERROR(Comp2[[#This Row],[Comparable '#2 Return]]-INDEX(Benchmark1[Benchmark '#1 Return],MATCH(Comp2[[#This Row],[Comparable '#2 Dates]],Benchmark1[Benchmark '#1 Dates],0)),"-")</f>
        <v>-1.4298913099794024E-3</v>
      </c>
      <c r="L196" s="72">
        <f>Comp2[[#This Row],[Comparable '#2 Price]]/$B$2*100</f>
        <v>97.746478873239425</v>
      </c>
    </row>
    <row r="197" spans="1:12">
      <c r="A197" s="96">
        <v>43570</v>
      </c>
      <c r="B197" s="101">
        <v>49.02</v>
      </c>
      <c r="C197" s="4">
        <f t="shared" si="6"/>
        <v>9.016454525940203E-3</v>
      </c>
      <c r="D197" s="1">
        <f>IFERROR(Comp2[[#This Row],[Comparable '#2 Return]]+1,"-")</f>
        <v>1.0090164545259401</v>
      </c>
      <c r="E197" s="6">
        <f>B197-MAX($B$2:B197)</f>
        <v>-9.1399999999999935</v>
      </c>
      <c r="F197" s="80">
        <f t="shared" si="7"/>
        <v>104</v>
      </c>
      <c r="G197" s="77">
        <f>Comp2[[#This Row],[Comparable '#2 Drawdown]]/MAX($B$2:B197)</f>
        <v>-0.15715268225584583</v>
      </c>
      <c r="H197" s="1" t="str">
        <f>IF(SUM(COUNTIF(Benchmark1[Benchmark '#1 Dates],Comp2[[#This Row],[Comparable '#2 Dates]]),COUNTIF(Benchmark2[Benchmark '#2 Dates],Comp2[[#This Row],[Comparable '#2 Dates]]))=2,"Pass","Fail")</f>
        <v>Pass</v>
      </c>
      <c r="I197" s="1">
        <f>IFERROR(Comp2[[#This Row],[Comparable '#2 Return]]-INDEX(Benchmark1[Benchmark '#1 Return],MATCH(Comp2[[#This Row],[Comparable '#2 Dates]],Benchmark1[Benchmark '#1 Dates],0)),"-")</f>
        <v>9.6464596923939092E-3</v>
      </c>
      <c r="L197" s="72">
        <f>Comp2[[#This Row],[Comparable '#2 Price]]/$B$2*100</f>
        <v>98.631790744466798</v>
      </c>
    </row>
    <row r="198" spans="1:12">
      <c r="A198" s="96">
        <v>43571</v>
      </c>
      <c r="B198" s="101">
        <v>49.18</v>
      </c>
      <c r="C198" s="4">
        <f t="shared" si="6"/>
        <v>3.2586586880798568E-3</v>
      </c>
      <c r="D198" s="1">
        <f>IFERROR(Comp2[[#This Row],[Comparable '#2 Return]]+1,"-")</f>
        <v>1.0032586586880798</v>
      </c>
      <c r="E198" s="6">
        <f>B198-MAX($B$2:B198)</f>
        <v>-8.9799999999999969</v>
      </c>
      <c r="F198" s="80">
        <f t="shared" si="7"/>
        <v>105</v>
      </c>
      <c r="G198" s="77">
        <f>Comp2[[#This Row],[Comparable '#2 Drawdown]]/MAX($B$2:B198)</f>
        <v>-0.15440165061898206</v>
      </c>
      <c r="H198" s="1" t="str">
        <f>IF(SUM(COUNTIF(Benchmark1[Benchmark '#1 Dates],Comp2[[#This Row],[Comparable '#2 Dates]]),COUNTIF(Benchmark2[Benchmark '#2 Dates],Comp2[[#This Row],[Comparable '#2 Dates]]))=2,"Pass","Fail")</f>
        <v>Pass</v>
      </c>
      <c r="I198" s="1">
        <f>IFERROR(Comp2[[#This Row],[Comparable '#2 Return]]-INDEX(Benchmark1[Benchmark '#1 Return],MATCH(Comp2[[#This Row],[Comparable '#2 Dates]],Benchmark1[Benchmark '#1 Dates],0)),"-")</f>
        <v>2.7513937571578837E-3</v>
      </c>
      <c r="L198" s="72">
        <f>Comp2[[#This Row],[Comparable '#2 Price]]/$B$2*100</f>
        <v>98.953722334004013</v>
      </c>
    </row>
    <row r="199" spans="1:12">
      <c r="A199" s="96">
        <v>43572</v>
      </c>
      <c r="B199" s="101">
        <v>48.57</v>
      </c>
      <c r="C199" s="4">
        <f t="shared" si="6"/>
        <v>-1.2480980430393075E-2</v>
      </c>
      <c r="D199" s="1">
        <f>IFERROR(Comp2[[#This Row],[Comparable '#2 Return]]+1,"-")</f>
        <v>0.98751901956960697</v>
      </c>
      <c r="E199" s="6">
        <f>B199-MAX($B$2:B199)</f>
        <v>-9.5899999999999963</v>
      </c>
      <c r="F199" s="80">
        <f t="shared" si="7"/>
        <v>106</v>
      </c>
      <c r="G199" s="77">
        <f>Comp2[[#This Row],[Comparable '#2 Drawdown]]/MAX($B$2:B199)</f>
        <v>-0.16488995873452539</v>
      </c>
      <c r="H199" s="1" t="str">
        <f>IF(SUM(COUNTIF(Benchmark1[Benchmark '#1 Dates],Comp2[[#This Row],[Comparable '#2 Dates]]),COUNTIF(Benchmark2[Benchmark '#2 Dates],Comp2[[#This Row],[Comparable '#2 Dates]]))=2,"Pass","Fail")</f>
        <v>Pass</v>
      </c>
      <c r="I199" s="1">
        <f>IFERROR(Comp2[[#This Row],[Comparable '#2 Return]]-INDEX(Benchmark1[Benchmark '#1 Return],MATCH(Comp2[[#This Row],[Comparable '#2 Dates]],Benchmark1[Benchmark '#1 Dates],0)),"-")</f>
        <v>-1.0206541183932607E-2</v>
      </c>
      <c r="L199" s="72">
        <f>Comp2[[#This Row],[Comparable '#2 Price]]/$B$2*100</f>
        <v>97.726358148893354</v>
      </c>
    </row>
    <row r="200" spans="1:12">
      <c r="A200" s="96">
        <v>43573</v>
      </c>
      <c r="B200" s="101">
        <v>48</v>
      </c>
      <c r="C200" s="4">
        <f t="shared" si="6"/>
        <v>-1.1805045449762477E-2</v>
      </c>
      <c r="D200" s="1">
        <f>IFERROR(Comp2[[#This Row],[Comparable '#2 Return]]+1,"-")</f>
        <v>0.98819495455023754</v>
      </c>
      <c r="E200" s="6">
        <f>B200-MAX($B$2:B200)</f>
        <v>-10.159999999999997</v>
      </c>
      <c r="F200" s="80">
        <f t="shared" si="7"/>
        <v>107</v>
      </c>
      <c r="G200" s="77">
        <f>Comp2[[#This Row],[Comparable '#2 Drawdown]]/MAX($B$2:B200)</f>
        <v>-0.17469050894085278</v>
      </c>
      <c r="H200" s="1" t="str">
        <f>IF(SUM(COUNTIF(Benchmark1[Benchmark '#1 Dates],Comp2[[#This Row],[Comparable '#2 Dates]]),COUNTIF(Benchmark2[Benchmark '#2 Dates],Comp2[[#This Row],[Comparable '#2 Dates]]))=2,"Pass","Fail")</f>
        <v>Pass</v>
      </c>
      <c r="I200" s="1">
        <f>IFERROR(Comp2[[#This Row],[Comparable '#2 Return]]-INDEX(Benchmark1[Benchmark '#1 Return],MATCH(Comp2[[#This Row],[Comparable '#2 Dates]],Benchmark1[Benchmark '#1 Dates],0)),"-")</f>
        <v>-1.3382651678340208E-2</v>
      </c>
      <c r="L200" s="72">
        <f>Comp2[[#This Row],[Comparable '#2 Price]]/$B$2*100</f>
        <v>96.579476861166995</v>
      </c>
    </row>
    <row r="201" spans="1:12">
      <c r="A201" s="96">
        <v>43577</v>
      </c>
      <c r="B201" s="101">
        <v>47.67</v>
      </c>
      <c r="C201" s="4">
        <f t="shared" si="6"/>
        <v>-6.8987416911565902E-3</v>
      </c>
      <c r="D201" s="1">
        <f>IFERROR(Comp2[[#This Row],[Comparable '#2 Return]]+1,"-")</f>
        <v>0.99310125830884344</v>
      </c>
      <c r="E201" s="6">
        <f>B201-MAX($B$2:B201)</f>
        <v>-10.489999999999995</v>
      </c>
      <c r="F201" s="80">
        <f t="shared" si="7"/>
        <v>108</v>
      </c>
      <c r="G201" s="77">
        <f>Comp2[[#This Row],[Comparable '#2 Drawdown]]/MAX($B$2:B201)</f>
        <v>-0.18036451169188439</v>
      </c>
      <c r="H201" s="1" t="str">
        <f>IF(SUM(COUNTIF(Benchmark1[Benchmark '#1 Dates],Comp2[[#This Row],[Comparable '#2 Dates]]),COUNTIF(Benchmark2[Benchmark '#2 Dates],Comp2[[#This Row],[Comparable '#2 Dates]]))=2,"Pass","Fail")</f>
        <v>Pass</v>
      </c>
      <c r="I201" s="1">
        <f>IFERROR(Comp2[[#This Row],[Comparable '#2 Return]]-INDEX(Benchmark1[Benchmark '#1 Return],MATCH(Comp2[[#This Row],[Comparable '#2 Dates]],Benchmark1[Benchmark '#1 Dates],0)),"-")</f>
        <v>-7.9103208585247775E-3</v>
      </c>
      <c r="L201" s="72">
        <f>Comp2[[#This Row],[Comparable '#2 Price]]/$B$2*100</f>
        <v>95.91549295774648</v>
      </c>
    </row>
    <row r="202" spans="1:12">
      <c r="A202" s="96">
        <v>43578</v>
      </c>
      <c r="B202" s="101">
        <v>48.95</v>
      </c>
      <c r="C202" s="4">
        <f t="shared" si="6"/>
        <v>2.6497099759785012E-2</v>
      </c>
      <c r="D202" s="1">
        <f>IFERROR(Comp2[[#This Row],[Comparable '#2 Return]]+1,"-")</f>
        <v>1.0264970997597851</v>
      </c>
      <c r="E202" s="6">
        <f>B202-MAX($B$2:B202)</f>
        <v>-9.2099999999999937</v>
      </c>
      <c r="F202" s="80">
        <f t="shared" si="7"/>
        <v>109</v>
      </c>
      <c r="G202" s="77">
        <f>Comp2[[#This Row],[Comparable '#2 Drawdown]]/MAX($B$2:B202)</f>
        <v>-0.15835625859697378</v>
      </c>
      <c r="H202" s="1" t="str">
        <f>IF(SUM(COUNTIF(Benchmark1[Benchmark '#1 Dates],Comp2[[#This Row],[Comparable '#2 Dates]]),COUNTIF(Benchmark2[Benchmark '#2 Dates],Comp2[[#This Row],[Comparable '#2 Dates]]))=2,"Pass","Fail")</f>
        <v>Pass</v>
      </c>
      <c r="I202" s="1">
        <f>IFERROR(Comp2[[#This Row],[Comparable '#2 Return]]-INDEX(Benchmark1[Benchmark '#1 Return],MATCH(Comp2[[#This Row],[Comparable '#2 Dates]],Benchmark1[Benchmark '#1 Dates],0)),"-")</f>
        <v>1.7697081433849168E-2</v>
      </c>
      <c r="L202" s="72">
        <f>Comp2[[#This Row],[Comparable '#2 Price]]/$B$2*100</f>
        <v>98.490945674044255</v>
      </c>
    </row>
    <row r="203" spans="1:12">
      <c r="A203" s="96">
        <v>43579</v>
      </c>
      <c r="B203" s="101">
        <v>48.84</v>
      </c>
      <c r="C203" s="4">
        <f t="shared" si="6"/>
        <v>-2.2497197340154416E-3</v>
      </c>
      <c r="D203" s="1">
        <f>IFERROR(Comp2[[#This Row],[Comparable '#2 Return]]+1,"-")</f>
        <v>0.99775028026598456</v>
      </c>
      <c r="E203" s="6">
        <f>B203-MAX($B$2:B203)</f>
        <v>-9.3199999999999932</v>
      </c>
      <c r="F203" s="80">
        <f t="shared" si="7"/>
        <v>110</v>
      </c>
      <c r="G203" s="77">
        <f>Comp2[[#This Row],[Comparable '#2 Drawdown]]/MAX($B$2:B203)</f>
        <v>-0.16024759284731763</v>
      </c>
      <c r="H203" s="1" t="str">
        <f>IF(SUM(COUNTIF(Benchmark1[Benchmark '#1 Dates],Comp2[[#This Row],[Comparable '#2 Dates]]),COUNTIF(Benchmark2[Benchmark '#2 Dates],Comp2[[#This Row],[Comparable '#2 Dates]]))=2,"Pass","Fail")</f>
        <v>Pass</v>
      </c>
      <c r="I203" s="1">
        <f>IFERROR(Comp2[[#This Row],[Comparable '#2 Return]]-INDEX(Benchmark1[Benchmark '#1 Return],MATCH(Comp2[[#This Row],[Comparable '#2 Dates]],Benchmark1[Benchmark '#1 Dates],0)),"-")</f>
        <v>-5.7761138779219377E-5</v>
      </c>
      <c r="L203" s="72">
        <f>Comp2[[#This Row],[Comparable '#2 Price]]/$B$2*100</f>
        <v>98.269617706237426</v>
      </c>
    </row>
    <row r="204" spans="1:12">
      <c r="A204" s="96">
        <v>43580</v>
      </c>
      <c r="B204" s="101">
        <v>48.74</v>
      </c>
      <c r="C204" s="4">
        <f t="shared" si="6"/>
        <v>-2.0496010454437536E-3</v>
      </c>
      <c r="D204" s="1">
        <f>IFERROR(Comp2[[#This Row],[Comparable '#2 Return]]+1,"-")</f>
        <v>0.99795039895455628</v>
      </c>
      <c r="E204" s="6">
        <f>B204-MAX($B$2:B204)</f>
        <v>-9.4199999999999946</v>
      </c>
      <c r="F204" s="80">
        <f t="shared" si="7"/>
        <v>111</v>
      </c>
      <c r="G204" s="77">
        <f>Comp2[[#This Row],[Comparable '#2 Drawdown]]/MAX($B$2:B204)</f>
        <v>-0.16196698762035755</v>
      </c>
      <c r="H204" s="1" t="str">
        <f>IF(SUM(COUNTIF(Benchmark1[Benchmark '#1 Dates],Comp2[[#This Row],[Comparable '#2 Dates]]),COUNTIF(Benchmark2[Benchmark '#2 Dates],Comp2[[#This Row],[Comparable '#2 Dates]]))=2,"Pass","Fail")</f>
        <v>Pass</v>
      </c>
      <c r="I204" s="1">
        <f>IFERROR(Comp2[[#This Row],[Comparable '#2 Return]]-INDEX(Benchmark1[Benchmark '#1 Return],MATCH(Comp2[[#This Row],[Comparable '#2 Dates]],Benchmark1[Benchmark '#1 Dates],0)),"-")</f>
        <v>-1.6808290500803986E-3</v>
      </c>
      <c r="L204" s="72">
        <f>Comp2[[#This Row],[Comparable '#2 Price]]/$B$2*100</f>
        <v>98.068410462776654</v>
      </c>
    </row>
    <row r="205" spans="1:12">
      <c r="A205" s="96">
        <v>43581</v>
      </c>
      <c r="B205" s="101">
        <v>49.76</v>
      </c>
      <c r="C205" s="4">
        <f t="shared" si="6"/>
        <v>2.0711400233863662E-2</v>
      </c>
      <c r="D205" s="1">
        <f>IFERROR(Comp2[[#This Row],[Comparable '#2 Return]]+1,"-")</f>
        <v>1.0207114002338638</v>
      </c>
      <c r="E205" s="6">
        <f>B205-MAX($B$2:B205)</f>
        <v>-8.3999999999999986</v>
      </c>
      <c r="F205" s="80">
        <f t="shared" si="7"/>
        <v>112</v>
      </c>
      <c r="G205" s="77">
        <f>Comp2[[#This Row],[Comparable '#2 Drawdown]]/MAX($B$2:B205)</f>
        <v>-0.14442916093535074</v>
      </c>
      <c r="H205" s="1" t="str">
        <f>IF(SUM(COUNTIF(Benchmark1[Benchmark '#1 Dates],Comp2[[#This Row],[Comparable '#2 Dates]]),COUNTIF(Benchmark2[Benchmark '#2 Dates],Comp2[[#This Row],[Comparable '#2 Dates]]))=2,"Pass","Fail")</f>
        <v>Pass</v>
      </c>
      <c r="I205" s="1">
        <f>IFERROR(Comp2[[#This Row],[Comparable '#2 Return]]-INDEX(Benchmark1[Benchmark '#1 Return],MATCH(Comp2[[#This Row],[Comparable '#2 Dates]],Benchmark1[Benchmark '#1 Dates],0)),"-")</f>
        <v>1.6037519951683201E-2</v>
      </c>
      <c r="L205" s="72">
        <f>Comp2[[#This Row],[Comparable '#2 Price]]/$B$2*100</f>
        <v>100.12072434607644</v>
      </c>
    </row>
    <row r="206" spans="1:12">
      <c r="A206" s="96">
        <v>43584</v>
      </c>
      <c r="B206" s="101">
        <v>49.78</v>
      </c>
      <c r="C206" s="4">
        <f t="shared" si="6"/>
        <v>4.0184850852202094E-4</v>
      </c>
      <c r="D206" s="1">
        <f>IFERROR(Comp2[[#This Row],[Comparable '#2 Return]]+1,"-")</f>
        <v>1.000401848508522</v>
      </c>
      <c r="E206" s="6">
        <f>B206-MAX($B$2:B206)</f>
        <v>-8.3799999999999955</v>
      </c>
      <c r="F206" s="80">
        <f t="shared" si="7"/>
        <v>113</v>
      </c>
      <c r="G206" s="77">
        <f>Comp2[[#This Row],[Comparable '#2 Drawdown]]/MAX($B$2:B206)</f>
        <v>-0.14408528198074272</v>
      </c>
      <c r="H206" s="1" t="str">
        <f>IF(SUM(COUNTIF(Benchmark1[Benchmark '#1 Dates],Comp2[[#This Row],[Comparable '#2 Dates]]),COUNTIF(Benchmark2[Benchmark '#2 Dates],Comp2[[#This Row],[Comparable '#2 Dates]]))=2,"Pass","Fail")</f>
        <v>Pass</v>
      </c>
      <c r="I206" s="1">
        <f>IFERROR(Comp2[[#This Row],[Comparable '#2 Return]]-INDEX(Benchmark1[Benchmark '#1 Return],MATCH(Comp2[[#This Row],[Comparable '#2 Dates]],Benchmark1[Benchmark '#1 Dates],0)),"-")</f>
        <v>-6.6743572925818842E-4</v>
      </c>
      <c r="L206" s="72">
        <f>Comp2[[#This Row],[Comparable '#2 Price]]/$B$2*100</f>
        <v>100.16096579476861</v>
      </c>
    </row>
    <row r="207" spans="1:12">
      <c r="A207" s="96">
        <v>43585</v>
      </c>
      <c r="B207" s="101">
        <v>49.32</v>
      </c>
      <c r="C207" s="4">
        <f t="shared" si="6"/>
        <v>-9.2836186433023701E-3</v>
      </c>
      <c r="D207" s="1">
        <f>IFERROR(Comp2[[#This Row],[Comparable '#2 Return]]+1,"-")</f>
        <v>0.9907163813566976</v>
      </c>
      <c r="E207" s="6">
        <f>B207-MAX($B$2:B207)</f>
        <v>-8.8399999999999963</v>
      </c>
      <c r="F207" s="80">
        <f t="shared" si="7"/>
        <v>114</v>
      </c>
      <c r="G207" s="77">
        <f>Comp2[[#This Row],[Comparable '#2 Drawdown]]/MAX($B$2:B207)</f>
        <v>-0.15199449793672623</v>
      </c>
      <c r="H207" s="1" t="str">
        <f>IF(SUM(COUNTIF(Benchmark1[Benchmark '#1 Dates],Comp2[[#This Row],[Comparable '#2 Dates]]),COUNTIF(Benchmark2[Benchmark '#2 Dates],Comp2[[#This Row],[Comparable '#2 Dates]]))=2,"Pass","Fail")</f>
        <v>Pass</v>
      </c>
      <c r="I207" s="1">
        <f>IFERROR(Comp2[[#This Row],[Comparable '#2 Return]]-INDEX(Benchmark1[Benchmark '#1 Return],MATCH(Comp2[[#This Row],[Comparable '#2 Dates]],Benchmark1[Benchmark '#1 Dates],0)),"-")</f>
        <v>-1.0235914481493268E-2</v>
      </c>
      <c r="L207" s="72">
        <f>Comp2[[#This Row],[Comparable '#2 Price]]/$B$2*100</f>
        <v>99.235412474849099</v>
      </c>
    </row>
    <row r="208" spans="1:12">
      <c r="A208" s="96">
        <v>43586</v>
      </c>
      <c r="B208" s="101">
        <v>49.61</v>
      </c>
      <c r="C208" s="4">
        <f t="shared" si="6"/>
        <v>5.8627480168140138E-3</v>
      </c>
      <c r="D208" s="1">
        <f>IFERROR(Comp2[[#This Row],[Comparable '#2 Return]]+1,"-")</f>
        <v>1.0058627480168141</v>
      </c>
      <c r="E208" s="6">
        <f>B208-MAX($B$2:B208)</f>
        <v>-8.5499999999999972</v>
      </c>
      <c r="F208" s="80">
        <f t="shared" si="7"/>
        <v>115</v>
      </c>
      <c r="G208" s="77">
        <f>Comp2[[#This Row],[Comparable '#2 Drawdown]]/MAX($B$2:B208)</f>
        <v>-0.14700825309491056</v>
      </c>
      <c r="H208" s="1" t="str">
        <f>IF(SUM(COUNTIF(Benchmark1[Benchmark '#1 Dates],Comp2[[#This Row],[Comparable '#2 Dates]]),COUNTIF(Benchmark2[Benchmark '#2 Dates],Comp2[[#This Row],[Comparable '#2 Dates]]))=2,"Pass","Fail")</f>
        <v>Pass</v>
      </c>
      <c r="I208" s="1">
        <f>IFERROR(Comp2[[#This Row],[Comparable '#2 Return]]-INDEX(Benchmark1[Benchmark '#1 Return],MATCH(Comp2[[#This Row],[Comparable '#2 Dates]],Benchmark1[Benchmark '#1 Dates],0)),"-")</f>
        <v>1.33927988034136E-2</v>
      </c>
      <c r="L208" s="72">
        <f>Comp2[[#This Row],[Comparable '#2 Price]]/$B$2*100</f>
        <v>99.818913480885314</v>
      </c>
    </row>
    <row r="209" spans="1:12">
      <c r="A209" s="96">
        <v>43587</v>
      </c>
      <c r="B209" s="101">
        <v>50.02</v>
      </c>
      <c r="C209" s="4">
        <f t="shared" si="6"/>
        <v>8.2304991365154435E-3</v>
      </c>
      <c r="D209" s="1">
        <f>IFERROR(Comp2[[#This Row],[Comparable '#2 Return]]+1,"-")</f>
        <v>1.0082304991365154</v>
      </c>
      <c r="E209" s="6">
        <f>B209-MAX($B$2:B209)</f>
        <v>-8.1399999999999935</v>
      </c>
      <c r="F209" s="80">
        <f t="shared" si="7"/>
        <v>116</v>
      </c>
      <c r="G209" s="77">
        <f>Comp2[[#This Row],[Comparable '#2 Drawdown]]/MAX($B$2:B209)</f>
        <v>-0.13995873452544694</v>
      </c>
      <c r="H209" s="1" t="str">
        <f>IF(SUM(COUNTIF(Benchmark1[Benchmark '#1 Dates],Comp2[[#This Row],[Comparable '#2 Dates]]),COUNTIF(Benchmark2[Benchmark '#2 Dates],Comp2[[#This Row],[Comparable '#2 Dates]]))=2,"Pass","Fail")</f>
        <v>Pass</v>
      </c>
      <c r="I209" s="1">
        <f>IFERROR(Comp2[[#This Row],[Comparable '#2 Return]]-INDEX(Benchmark1[Benchmark '#1 Return],MATCH(Comp2[[#This Row],[Comparable '#2 Dates]],Benchmark1[Benchmark '#1 Dates],0)),"-")</f>
        <v>1.0358660896168305E-2</v>
      </c>
      <c r="L209" s="72">
        <f>Comp2[[#This Row],[Comparable '#2 Price]]/$B$2*100</f>
        <v>100.64386317907446</v>
      </c>
    </row>
    <row r="210" spans="1:12">
      <c r="A210" s="96">
        <v>43588</v>
      </c>
      <c r="B210" s="101">
        <v>45.86</v>
      </c>
      <c r="C210" s="4">
        <f t="shared" si="6"/>
        <v>-8.6829648019714628E-2</v>
      </c>
      <c r="D210" s="1">
        <f>IFERROR(Comp2[[#This Row],[Comparable '#2 Return]]+1,"-")</f>
        <v>0.9131703519802854</v>
      </c>
      <c r="E210" s="6">
        <f>B210-MAX($B$2:B210)</f>
        <v>-12.299999999999997</v>
      </c>
      <c r="F210" s="80">
        <f t="shared" si="7"/>
        <v>117</v>
      </c>
      <c r="G210" s="77">
        <f>Comp2[[#This Row],[Comparable '#2 Drawdown]]/MAX($B$2:B210)</f>
        <v>-0.21148555708390643</v>
      </c>
      <c r="H210" s="1" t="str">
        <f>IF(SUM(COUNTIF(Benchmark1[Benchmark '#1 Dates],Comp2[[#This Row],[Comparable '#2 Dates]]),COUNTIF(Benchmark2[Benchmark '#2 Dates],Comp2[[#This Row],[Comparable '#2 Dates]]))=2,"Pass","Fail")</f>
        <v>Pass</v>
      </c>
      <c r="I210" s="1">
        <f>IFERROR(Comp2[[#This Row],[Comparable '#2 Return]]-INDEX(Benchmark1[Benchmark '#1 Return],MATCH(Comp2[[#This Row],[Comparable '#2 Dates]],Benchmark1[Benchmark '#1 Dates],0)),"-")</f>
        <v>-9.6422309256370131E-2</v>
      </c>
      <c r="L210" s="72">
        <f>Comp2[[#This Row],[Comparable '#2 Price]]/$B$2*100</f>
        <v>92.273641851106632</v>
      </c>
    </row>
    <row r="211" spans="1:12">
      <c r="A211" s="96">
        <v>43591</v>
      </c>
      <c r="B211" s="101">
        <v>46.3</v>
      </c>
      <c r="C211" s="4">
        <f t="shared" si="6"/>
        <v>9.54868366242995E-3</v>
      </c>
      <c r="D211" s="1">
        <f>IFERROR(Comp2[[#This Row],[Comparable '#2 Return]]+1,"-")</f>
        <v>1.0095486836624299</v>
      </c>
      <c r="E211" s="6">
        <f>B211-MAX($B$2:B211)</f>
        <v>-11.86</v>
      </c>
      <c r="F211" s="80">
        <f t="shared" si="7"/>
        <v>118</v>
      </c>
      <c r="G211" s="77">
        <f>Comp2[[#This Row],[Comparable '#2 Drawdown]]/MAX($B$2:B211)</f>
        <v>-0.20392022008253094</v>
      </c>
      <c r="H211" s="1" t="str">
        <f>IF(SUM(COUNTIF(Benchmark1[Benchmark '#1 Dates],Comp2[[#This Row],[Comparable '#2 Dates]]),COUNTIF(Benchmark2[Benchmark '#2 Dates],Comp2[[#This Row],[Comparable '#2 Dates]]))=2,"Pass","Fail")</f>
        <v>Pass</v>
      </c>
      <c r="I211" s="1">
        <f>IFERROR(Comp2[[#This Row],[Comparable '#2 Return]]-INDEX(Benchmark1[Benchmark '#1 Return],MATCH(Comp2[[#This Row],[Comparable '#2 Dates]],Benchmark1[Benchmark '#1 Dates],0)),"-")</f>
        <v>1.4027660528352741E-2</v>
      </c>
      <c r="L211" s="72">
        <f>Comp2[[#This Row],[Comparable '#2 Price]]/$B$2*100</f>
        <v>93.15895372233399</v>
      </c>
    </row>
    <row r="212" spans="1:12">
      <c r="A212" s="96">
        <v>43592</v>
      </c>
      <c r="B212" s="101">
        <v>45.13</v>
      </c>
      <c r="C212" s="4">
        <f t="shared" si="6"/>
        <v>-2.5594747253278437E-2</v>
      </c>
      <c r="D212" s="1">
        <f>IFERROR(Comp2[[#This Row],[Comparable '#2 Return]]+1,"-")</f>
        <v>0.97440525274672152</v>
      </c>
      <c r="E212" s="6">
        <f>B212-MAX($B$2:B212)</f>
        <v>-13.029999999999994</v>
      </c>
      <c r="F212" s="80">
        <f t="shared" si="7"/>
        <v>119</v>
      </c>
      <c r="G212" s="77">
        <f>Comp2[[#This Row],[Comparable '#2 Drawdown]]/MAX($B$2:B212)</f>
        <v>-0.22403713892709756</v>
      </c>
      <c r="H212" s="1" t="str">
        <f>IF(SUM(COUNTIF(Benchmark1[Benchmark '#1 Dates],Comp2[[#This Row],[Comparable '#2 Dates]]),COUNTIF(Benchmark2[Benchmark '#2 Dates],Comp2[[#This Row],[Comparable '#2 Dates]]))=2,"Pass","Fail")</f>
        <v>Pass</v>
      </c>
      <c r="I212" s="1">
        <f>IFERROR(Comp2[[#This Row],[Comparable '#2 Return]]-INDEX(Benchmark1[Benchmark '#1 Return],MATCH(Comp2[[#This Row],[Comparable '#2 Dates]],Benchmark1[Benchmark '#1 Dates],0)),"-")</f>
        <v>-8.9440263933034704E-3</v>
      </c>
      <c r="L212" s="72">
        <f>Comp2[[#This Row],[Comparable '#2 Price]]/$B$2*100</f>
        <v>90.804828973843058</v>
      </c>
    </row>
    <row r="213" spans="1:12">
      <c r="A213" s="96">
        <v>43593</v>
      </c>
      <c r="B213" s="101">
        <v>44.36</v>
      </c>
      <c r="C213" s="4">
        <f t="shared" si="6"/>
        <v>-1.7209051356743638E-2</v>
      </c>
      <c r="D213" s="1">
        <f>IFERROR(Comp2[[#This Row],[Comparable '#2 Return]]+1,"-")</f>
        <v>0.98279094864325633</v>
      </c>
      <c r="E213" s="6">
        <f>B213-MAX($B$2:B213)</f>
        <v>-13.799999999999997</v>
      </c>
      <c r="F213" s="80">
        <f t="shared" si="7"/>
        <v>120</v>
      </c>
      <c r="G213" s="77">
        <f>Comp2[[#This Row],[Comparable '#2 Drawdown]]/MAX($B$2:B213)</f>
        <v>-0.23727647867950477</v>
      </c>
      <c r="H213" s="1" t="str">
        <f>IF(SUM(COUNTIF(Benchmark1[Benchmark '#1 Dates],Comp2[[#This Row],[Comparable '#2 Dates]]),COUNTIF(Benchmark2[Benchmark '#2 Dates],Comp2[[#This Row],[Comparable '#2 Dates]]))=2,"Pass","Fail")</f>
        <v>Pass</v>
      </c>
      <c r="I213" s="1">
        <f>IFERROR(Comp2[[#This Row],[Comparable '#2 Return]]-INDEX(Benchmark1[Benchmark '#1 Return],MATCH(Comp2[[#This Row],[Comparable '#2 Dates]],Benchmark1[Benchmark '#1 Dates],0)),"-")</f>
        <v>-1.5602148884096872E-2</v>
      </c>
      <c r="L213" s="72">
        <f>Comp2[[#This Row],[Comparable '#2 Price]]/$B$2*100</f>
        <v>89.25553319919517</v>
      </c>
    </row>
    <row r="214" spans="1:12">
      <c r="A214" s="96">
        <v>43594</v>
      </c>
      <c r="B214" s="101">
        <v>44.62</v>
      </c>
      <c r="C214" s="4">
        <f t="shared" si="6"/>
        <v>5.8440265222201764E-3</v>
      </c>
      <c r="D214" s="1">
        <f>IFERROR(Comp2[[#This Row],[Comparable '#2 Return]]+1,"-")</f>
        <v>1.0058440265222202</v>
      </c>
      <c r="E214" s="6">
        <f>B214-MAX($B$2:B214)</f>
        <v>-13.54</v>
      </c>
      <c r="F214" s="80">
        <f t="shared" si="7"/>
        <v>121</v>
      </c>
      <c r="G214" s="77">
        <f>Comp2[[#This Row],[Comparable '#2 Drawdown]]/MAX($B$2:B214)</f>
        <v>-0.2328060522696011</v>
      </c>
      <c r="H214" s="1" t="str">
        <f>IF(SUM(COUNTIF(Benchmark1[Benchmark '#1 Dates],Comp2[[#This Row],[Comparable '#2 Dates]]),COUNTIF(Benchmark2[Benchmark '#2 Dates],Comp2[[#This Row],[Comparable '#2 Dates]]))=2,"Pass","Fail")</f>
        <v>Pass</v>
      </c>
      <c r="I214" s="1">
        <f>IFERROR(Comp2[[#This Row],[Comparable '#2 Return]]-INDEX(Benchmark1[Benchmark '#1 Return],MATCH(Comp2[[#This Row],[Comparable '#2 Dates]],Benchmark1[Benchmark '#1 Dates],0)),"-")</f>
        <v>8.8709293781048908E-3</v>
      </c>
      <c r="L214" s="72">
        <f>Comp2[[#This Row],[Comparable '#2 Price]]/$B$2*100</f>
        <v>89.778672032193157</v>
      </c>
    </row>
    <row r="215" spans="1:12">
      <c r="A215" s="96">
        <v>43595</v>
      </c>
      <c r="B215" s="101">
        <v>45.46</v>
      </c>
      <c r="C215" s="4">
        <f t="shared" si="6"/>
        <v>1.8650629420010702E-2</v>
      </c>
      <c r="D215" s="1">
        <f>IFERROR(Comp2[[#This Row],[Comparable '#2 Return]]+1,"-")</f>
        <v>1.0186506294200106</v>
      </c>
      <c r="E215" s="6">
        <f>B215-MAX($B$2:B215)</f>
        <v>-12.699999999999996</v>
      </c>
      <c r="F215" s="80">
        <f t="shared" si="7"/>
        <v>122</v>
      </c>
      <c r="G215" s="77">
        <f>Comp2[[#This Row],[Comparable '#2 Drawdown]]/MAX($B$2:B215)</f>
        <v>-0.21836313617606595</v>
      </c>
      <c r="H215" s="1" t="str">
        <f>IF(SUM(COUNTIF(Benchmark1[Benchmark '#1 Dates],Comp2[[#This Row],[Comparable '#2 Dates]]),COUNTIF(Benchmark2[Benchmark '#2 Dates],Comp2[[#This Row],[Comparable '#2 Dates]]))=2,"Pass","Fail")</f>
        <v>Pass</v>
      </c>
      <c r="I215" s="1">
        <f>IFERROR(Comp2[[#This Row],[Comparable '#2 Return]]-INDEX(Benchmark1[Benchmark '#1 Return],MATCH(Comp2[[#This Row],[Comparable '#2 Dates]],Benchmark1[Benchmark '#1 Dates],0)),"-")</f>
        <v>1.4936022863172072E-2</v>
      </c>
      <c r="L215" s="72">
        <f>Comp2[[#This Row],[Comparable '#2 Price]]/$B$2*100</f>
        <v>91.468812877263588</v>
      </c>
    </row>
    <row r="216" spans="1:12">
      <c r="A216" s="96">
        <v>43598</v>
      </c>
      <c r="B216" s="101">
        <v>44.04</v>
      </c>
      <c r="C216" s="4">
        <f t="shared" si="6"/>
        <v>-3.1734506569917949E-2</v>
      </c>
      <c r="D216" s="1">
        <f>IFERROR(Comp2[[#This Row],[Comparable '#2 Return]]+1,"-")</f>
        <v>0.96826549343008206</v>
      </c>
      <c r="E216" s="6">
        <f>B216-MAX($B$2:B216)</f>
        <v>-14.119999999999997</v>
      </c>
      <c r="F216" s="80">
        <f t="shared" si="7"/>
        <v>123</v>
      </c>
      <c r="G216" s="77">
        <f>Comp2[[#This Row],[Comparable '#2 Drawdown]]/MAX($B$2:B216)</f>
        <v>-0.24277854195323242</v>
      </c>
      <c r="H216" s="1" t="str">
        <f>IF(SUM(COUNTIF(Benchmark1[Benchmark '#1 Dates],Comp2[[#This Row],[Comparable '#2 Dates]]),COUNTIF(Benchmark2[Benchmark '#2 Dates],Comp2[[#This Row],[Comparable '#2 Dates]]))=2,"Pass","Fail")</f>
        <v>Pass</v>
      </c>
      <c r="I216" s="1">
        <f>IFERROR(Comp2[[#This Row],[Comparable '#2 Return]]-INDEX(Benchmark1[Benchmark '#1 Return],MATCH(Comp2[[#This Row],[Comparable '#2 Dates]],Benchmark1[Benchmark '#1 Dates],0)),"-")</f>
        <v>-7.3061488648692337E-3</v>
      </c>
      <c r="L216" s="72">
        <f>Comp2[[#This Row],[Comparable '#2 Price]]/$B$2*100</f>
        <v>88.611670020120712</v>
      </c>
    </row>
    <row r="217" spans="1:12">
      <c r="A217" s="96">
        <v>43599</v>
      </c>
      <c r="B217" s="101">
        <v>43.42</v>
      </c>
      <c r="C217" s="4">
        <f t="shared" si="6"/>
        <v>-1.4178147404333359E-2</v>
      </c>
      <c r="D217" s="1">
        <f>IFERROR(Comp2[[#This Row],[Comparable '#2 Return]]+1,"-")</f>
        <v>0.98582185259566668</v>
      </c>
      <c r="E217" s="6">
        <f>B217-MAX($B$2:B217)</f>
        <v>-14.739999999999995</v>
      </c>
      <c r="F217" s="80">
        <f t="shared" si="7"/>
        <v>124</v>
      </c>
      <c r="G217" s="77">
        <f>Comp2[[#This Row],[Comparable '#2 Drawdown]]/MAX($B$2:B217)</f>
        <v>-0.25343878954607968</v>
      </c>
      <c r="H217" s="1" t="str">
        <f>IF(SUM(COUNTIF(Benchmark1[Benchmark '#1 Dates],Comp2[[#This Row],[Comparable '#2 Dates]]),COUNTIF(Benchmark2[Benchmark '#2 Dates],Comp2[[#This Row],[Comparable '#2 Dates]]))=2,"Pass","Fail")</f>
        <v>Pass</v>
      </c>
      <c r="I217" s="1">
        <f>IFERROR(Comp2[[#This Row],[Comparable '#2 Return]]-INDEX(Benchmark1[Benchmark '#1 Return],MATCH(Comp2[[#This Row],[Comparable '#2 Dates]],Benchmark1[Benchmark '#1 Dates],0)),"-")</f>
        <v>-2.2162714571684471E-2</v>
      </c>
      <c r="L217" s="72">
        <f>Comp2[[#This Row],[Comparable '#2 Price]]/$B$2*100</f>
        <v>87.364185110663982</v>
      </c>
    </row>
    <row r="218" spans="1:12">
      <c r="A218" s="96">
        <v>43600</v>
      </c>
      <c r="B218" s="101">
        <v>43.73</v>
      </c>
      <c r="C218" s="4">
        <f t="shared" si="6"/>
        <v>7.1142009746833516E-3</v>
      </c>
      <c r="D218" s="1">
        <f>IFERROR(Comp2[[#This Row],[Comparable '#2 Return]]+1,"-")</f>
        <v>1.0071142009746834</v>
      </c>
      <c r="E218" s="6">
        <f>B218-MAX($B$2:B218)</f>
        <v>-14.43</v>
      </c>
      <c r="F218" s="80">
        <f t="shared" si="7"/>
        <v>125</v>
      </c>
      <c r="G218" s="77">
        <f>Comp2[[#This Row],[Comparable '#2 Drawdown]]/MAX($B$2:B218)</f>
        <v>-0.24810866574965612</v>
      </c>
      <c r="H218" s="1" t="str">
        <f>IF(SUM(COUNTIF(Benchmark1[Benchmark '#1 Dates],Comp2[[#This Row],[Comparable '#2 Dates]]),COUNTIF(Benchmark2[Benchmark '#2 Dates],Comp2[[#This Row],[Comparable '#2 Dates]]))=2,"Pass","Fail")</f>
        <v>Pass</v>
      </c>
      <c r="I218" s="1">
        <f>IFERROR(Comp2[[#This Row],[Comparable '#2 Return]]-INDEX(Benchmark1[Benchmark '#1 Return],MATCH(Comp2[[#This Row],[Comparable '#2 Dates]],Benchmark1[Benchmark '#1 Dates],0)),"-")</f>
        <v>1.289504674394858E-3</v>
      </c>
      <c r="L218" s="72">
        <f>Comp2[[#This Row],[Comparable '#2 Price]]/$B$2*100</f>
        <v>87.98792756539234</v>
      </c>
    </row>
    <row r="219" spans="1:12">
      <c r="A219" s="96">
        <v>43601</v>
      </c>
      <c r="B219" s="101">
        <v>43.69</v>
      </c>
      <c r="C219" s="4">
        <f t="shared" si="6"/>
        <v>-9.1512246148466817E-4</v>
      </c>
      <c r="D219" s="1">
        <f>IFERROR(Comp2[[#This Row],[Comparable '#2 Return]]+1,"-")</f>
        <v>0.99908487753851538</v>
      </c>
      <c r="E219" s="6">
        <f>B219-MAX($B$2:B219)</f>
        <v>-14.469999999999999</v>
      </c>
      <c r="F219" s="80">
        <f t="shared" si="7"/>
        <v>126</v>
      </c>
      <c r="G219" s="77">
        <f>Comp2[[#This Row],[Comparable '#2 Drawdown]]/MAX($B$2:B219)</f>
        <v>-0.24879642365887208</v>
      </c>
      <c r="H219" s="1" t="str">
        <f>IF(SUM(COUNTIF(Benchmark1[Benchmark '#1 Dates],Comp2[[#This Row],[Comparable '#2 Dates]]),COUNTIF(Benchmark2[Benchmark '#2 Dates],Comp2[[#This Row],[Comparable '#2 Dates]]))=2,"Pass","Fail")</f>
        <v>Pass</v>
      </c>
      <c r="I219" s="1">
        <f>IFERROR(Comp2[[#This Row],[Comparable '#2 Return]]-INDEX(Benchmark1[Benchmark '#1 Return],MATCH(Comp2[[#This Row],[Comparable '#2 Dates]],Benchmark1[Benchmark '#1 Dates],0)),"-")</f>
        <v>-9.7683836905341284E-3</v>
      </c>
      <c r="L219" s="72">
        <f>Comp2[[#This Row],[Comparable '#2 Price]]/$B$2*100</f>
        <v>87.90744466800804</v>
      </c>
    </row>
    <row r="220" spans="1:12">
      <c r="A220" s="96">
        <v>43602</v>
      </c>
      <c r="B220" s="101">
        <v>42.98</v>
      </c>
      <c r="C220" s="4">
        <f t="shared" si="6"/>
        <v>-1.6384351748980164E-2</v>
      </c>
      <c r="D220" s="1">
        <f>IFERROR(Comp2[[#This Row],[Comparable '#2 Return]]+1,"-")</f>
        <v>0.98361564825101988</v>
      </c>
      <c r="E220" s="6">
        <f>B220-MAX($B$2:B220)</f>
        <v>-15.18</v>
      </c>
      <c r="F220" s="80">
        <f t="shared" si="7"/>
        <v>127</v>
      </c>
      <c r="G220" s="77">
        <f>Comp2[[#This Row],[Comparable '#2 Drawdown]]/MAX($B$2:B220)</f>
        <v>-0.26100412654745531</v>
      </c>
      <c r="H220" s="1" t="str">
        <f>IF(SUM(COUNTIF(Benchmark1[Benchmark '#1 Dates],Comp2[[#This Row],[Comparable '#2 Dates]]),COUNTIF(Benchmark2[Benchmark '#2 Dates],Comp2[[#This Row],[Comparable '#2 Dates]]))=2,"Pass","Fail")</f>
        <v>Pass</v>
      </c>
      <c r="I220" s="1">
        <f>IFERROR(Comp2[[#This Row],[Comparable '#2 Return]]-INDEX(Benchmark1[Benchmark '#1 Return],MATCH(Comp2[[#This Row],[Comparable '#2 Dates]],Benchmark1[Benchmark '#1 Dates],0)),"-")</f>
        <v>-1.0531816827037906E-2</v>
      </c>
      <c r="L220" s="72">
        <f>Comp2[[#This Row],[Comparable '#2 Price]]/$B$2*100</f>
        <v>86.478873239436609</v>
      </c>
    </row>
    <row r="221" spans="1:12">
      <c r="A221" s="96">
        <v>43605</v>
      </c>
      <c r="B221" s="101">
        <v>42.9</v>
      </c>
      <c r="C221" s="4">
        <f t="shared" si="6"/>
        <v>-1.8630652803930657E-3</v>
      </c>
      <c r="D221" s="1">
        <f>IFERROR(Comp2[[#This Row],[Comparable '#2 Return]]+1,"-")</f>
        <v>0.99813693471960696</v>
      </c>
      <c r="E221" s="6">
        <f>B221-MAX($B$2:B221)</f>
        <v>-15.259999999999998</v>
      </c>
      <c r="F221" s="80">
        <f t="shared" si="7"/>
        <v>128</v>
      </c>
      <c r="G221" s="77">
        <f>Comp2[[#This Row],[Comparable '#2 Drawdown]]/MAX($B$2:B221)</f>
        <v>-0.26237964236588718</v>
      </c>
      <c r="H221" s="1" t="str">
        <f>IF(SUM(COUNTIF(Benchmark1[Benchmark '#1 Dates],Comp2[[#This Row],[Comparable '#2 Dates]]),COUNTIF(Benchmark2[Benchmark '#2 Dates],Comp2[[#This Row],[Comparable '#2 Dates]]))=2,"Pass","Fail")</f>
        <v>Pass</v>
      </c>
      <c r="I221" s="1">
        <f>IFERROR(Comp2[[#This Row],[Comparable '#2 Return]]-INDEX(Benchmark1[Benchmark '#1 Return],MATCH(Comp2[[#This Row],[Comparable '#2 Dates]],Benchmark1[Benchmark '#1 Dates],0)),"-")</f>
        <v>4.9088933749467361E-3</v>
      </c>
      <c r="L221" s="72">
        <f>Comp2[[#This Row],[Comparable '#2 Price]]/$B$2*100</f>
        <v>86.317907444667995</v>
      </c>
    </row>
    <row r="222" spans="1:12">
      <c r="A222" s="96">
        <v>43606</v>
      </c>
      <c r="B222" s="101">
        <v>43.26</v>
      </c>
      <c r="C222" s="4">
        <f t="shared" si="6"/>
        <v>8.3565945909414921E-3</v>
      </c>
      <c r="D222" s="1">
        <f>IFERROR(Comp2[[#This Row],[Comparable '#2 Return]]+1,"-")</f>
        <v>1.0083565945909414</v>
      </c>
      <c r="E222" s="6">
        <f>B222-MAX($B$2:B222)</f>
        <v>-14.899999999999999</v>
      </c>
      <c r="F222" s="80">
        <f t="shared" si="7"/>
        <v>129</v>
      </c>
      <c r="G222" s="77">
        <f>Comp2[[#This Row],[Comparable '#2 Drawdown]]/MAX($B$2:B222)</f>
        <v>-0.25618982118294359</v>
      </c>
      <c r="H222" s="1" t="str">
        <f>IF(SUM(COUNTIF(Benchmark1[Benchmark '#1 Dates],Comp2[[#This Row],[Comparable '#2 Dates]]),COUNTIF(Benchmark2[Benchmark '#2 Dates],Comp2[[#This Row],[Comparable '#2 Dates]]))=2,"Pass","Fail")</f>
        <v>Pass</v>
      </c>
      <c r="I222" s="1">
        <f>IFERROR(Comp2[[#This Row],[Comparable '#2 Return]]-INDEX(Benchmark1[Benchmark '#1 Return],MATCH(Comp2[[#This Row],[Comparable '#2 Dates]],Benchmark1[Benchmark '#1 Dates],0)),"-")</f>
        <v>-1.020010611603988E-4</v>
      </c>
      <c r="L222" s="72">
        <f>Comp2[[#This Row],[Comparable '#2 Price]]/$B$2*100</f>
        <v>87.042253521126753</v>
      </c>
    </row>
    <row r="223" spans="1:12">
      <c r="A223" s="96">
        <v>43607</v>
      </c>
      <c r="B223" s="101">
        <v>43.26</v>
      </c>
      <c r="C223" s="4">
        <f t="shared" si="6"/>
        <v>0</v>
      </c>
      <c r="D223" s="1">
        <f>IFERROR(Comp2[[#This Row],[Comparable '#2 Return]]+1,"-")</f>
        <v>1</v>
      </c>
      <c r="E223" s="6">
        <f>B223-MAX($B$2:B223)</f>
        <v>-14.899999999999999</v>
      </c>
      <c r="F223" s="80">
        <f t="shared" si="7"/>
        <v>130</v>
      </c>
      <c r="G223" s="77">
        <f>Comp2[[#This Row],[Comparable '#2 Drawdown]]/MAX($B$2:B223)</f>
        <v>-0.25618982118294359</v>
      </c>
      <c r="H223" s="1" t="str">
        <f>IF(SUM(COUNTIF(Benchmark1[Benchmark '#1 Dates],Comp2[[#This Row],[Comparable '#2 Dates]]),COUNTIF(Benchmark2[Benchmark '#2 Dates],Comp2[[#This Row],[Comparable '#2 Dates]]))=2,"Pass","Fail")</f>
        <v>Pass</v>
      </c>
      <c r="I223" s="1">
        <f>IFERROR(Comp2[[#This Row],[Comparable '#2 Return]]-INDEX(Benchmark1[Benchmark '#1 Return],MATCH(Comp2[[#This Row],[Comparable '#2 Dates]],Benchmark1[Benchmark '#1 Dates],0)),"-")</f>
        <v>2.8267021937232158E-3</v>
      </c>
      <c r="L223" s="72">
        <f>Comp2[[#This Row],[Comparable '#2 Price]]/$B$2*100</f>
        <v>87.042253521126753</v>
      </c>
    </row>
    <row r="224" spans="1:12">
      <c r="A224" s="96">
        <v>43608</v>
      </c>
      <c r="B224" s="101">
        <v>43.24</v>
      </c>
      <c r="C224" s="4">
        <f t="shared" si="6"/>
        <v>-4.6242775390514297E-4</v>
      </c>
      <c r="D224" s="1">
        <f>IFERROR(Comp2[[#This Row],[Comparable '#2 Return]]+1,"-")</f>
        <v>0.99953757224609485</v>
      </c>
      <c r="E224" s="6">
        <f>B224-MAX($B$2:B224)</f>
        <v>-14.919999999999995</v>
      </c>
      <c r="F224" s="80">
        <f t="shared" si="7"/>
        <v>131</v>
      </c>
      <c r="G224" s="77">
        <f>Comp2[[#This Row],[Comparable '#2 Drawdown]]/MAX($B$2:B224)</f>
        <v>-0.2565337001375515</v>
      </c>
      <c r="H224" s="1" t="str">
        <f>IF(SUM(COUNTIF(Benchmark1[Benchmark '#1 Dates],Comp2[[#This Row],[Comparable '#2 Dates]]),COUNTIF(Benchmark2[Benchmark '#2 Dates],Comp2[[#This Row],[Comparable '#2 Dates]]))=2,"Pass","Fail")</f>
        <v>Pass</v>
      </c>
      <c r="I224" s="1">
        <f>IFERROR(Comp2[[#This Row],[Comparable '#2 Return]]-INDEX(Benchmark1[Benchmark '#1 Return],MATCH(Comp2[[#This Row],[Comparable '#2 Dates]],Benchmark1[Benchmark '#1 Dates],0)),"-")</f>
        <v>1.1524368781589746E-2</v>
      </c>
      <c r="L224" s="72">
        <f>Comp2[[#This Row],[Comparable '#2 Price]]/$B$2*100</f>
        <v>87.00201207243461</v>
      </c>
    </row>
    <row r="225" spans="1:12">
      <c r="A225" s="96">
        <v>43609</v>
      </c>
      <c r="B225" s="101">
        <v>43.6</v>
      </c>
      <c r="C225" s="4">
        <f t="shared" si="6"/>
        <v>8.2911575839811815E-3</v>
      </c>
      <c r="D225" s="1">
        <f>IFERROR(Comp2[[#This Row],[Comparable '#2 Return]]+1,"-")</f>
        <v>1.0082911575839812</v>
      </c>
      <c r="E225" s="6">
        <f>B225-MAX($B$2:B225)</f>
        <v>-14.559999999999995</v>
      </c>
      <c r="F225" s="80">
        <f t="shared" si="7"/>
        <v>132</v>
      </c>
      <c r="G225" s="77">
        <f>Comp2[[#This Row],[Comparable '#2 Drawdown]]/MAX($B$2:B225)</f>
        <v>-0.25034387895460791</v>
      </c>
      <c r="H225" s="1" t="str">
        <f>IF(SUM(COUNTIF(Benchmark1[Benchmark '#1 Dates],Comp2[[#This Row],[Comparable '#2 Dates]]),COUNTIF(Benchmark2[Benchmark '#2 Dates],Comp2[[#This Row],[Comparable '#2 Dates]]))=2,"Pass","Fail")</f>
        <v>Pass</v>
      </c>
      <c r="I225" s="1">
        <f>IFERROR(Comp2[[#This Row],[Comparable '#2 Return]]-INDEX(Benchmark1[Benchmark '#1 Return],MATCH(Comp2[[#This Row],[Comparable '#2 Dates]],Benchmark1[Benchmark '#1 Dates],0)),"-")</f>
        <v>6.9372184049365663E-3</v>
      </c>
      <c r="L225" s="72">
        <f>Comp2[[#This Row],[Comparable '#2 Price]]/$B$2*100</f>
        <v>87.726358148893354</v>
      </c>
    </row>
    <row r="226" spans="1:12">
      <c r="A226" s="96">
        <v>43613</v>
      </c>
      <c r="B226" s="101">
        <v>43.44</v>
      </c>
      <c r="C226" s="4">
        <f t="shared" si="6"/>
        <v>-3.6764747293087483E-3</v>
      </c>
      <c r="D226" s="1">
        <f>IFERROR(Comp2[[#This Row],[Comparable '#2 Return]]+1,"-")</f>
        <v>0.99632352527069123</v>
      </c>
      <c r="E226" s="6">
        <f>B226-MAX($B$2:B226)</f>
        <v>-14.719999999999999</v>
      </c>
      <c r="F226" s="80">
        <f t="shared" si="7"/>
        <v>133</v>
      </c>
      <c r="G226" s="77">
        <f>Comp2[[#This Row],[Comparable '#2 Drawdown]]/MAX($B$2:B226)</f>
        <v>-0.25309491059147182</v>
      </c>
      <c r="H226" s="1" t="str">
        <f>IF(SUM(COUNTIF(Benchmark1[Benchmark '#1 Dates],Comp2[[#This Row],[Comparable '#2 Dates]]),COUNTIF(Benchmark2[Benchmark '#2 Dates],Comp2[[#This Row],[Comparable '#2 Dates]]))=2,"Pass","Fail")</f>
        <v>Pass</v>
      </c>
      <c r="I226" s="1">
        <f>IFERROR(Comp2[[#This Row],[Comparable '#2 Return]]-INDEX(Benchmark1[Benchmark '#1 Return],MATCH(Comp2[[#This Row],[Comparable '#2 Dates]],Benchmark1[Benchmark '#1 Dates],0)),"-")</f>
        <v>4.7377807732347961E-3</v>
      </c>
      <c r="L226" s="72">
        <f>Comp2[[#This Row],[Comparable '#2 Price]]/$B$2*100</f>
        <v>87.404426559356125</v>
      </c>
    </row>
    <row r="227" spans="1:12">
      <c r="A227" s="96">
        <v>43614</v>
      </c>
      <c r="B227" s="101">
        <v>43.78</v>
      </c>
      <c r="C227" s="4">
        <f t="shared" si="6"/>
        <v>7.7964164690368905E-3</v>
      </c>
      <c r="D227" s="1">
        <f>IFERROR(Comp2[[#This Row],[Comparable '#2 Return]]+1,"-")</f>
        <v>1.0077964164690369</v>
      </c>
      <c r="E227" s="6">
        <f>B227-MAX($B$2:B227)</f>
        <v>-14.379999999999995</v>
      </c>
      <c r="F227" s="80">
        <f t="shared" si="7"/>
        <v>134</v>
      </c>
      <c r="G227" s="77">
        <f>Comp2[[#This Row],[Comparable '#2 Drawdown]]/MAX($B$2:B227)</f>
        <v>-0.24724896836313612</v>
      </c>
      <c r="H227" s="1" t="str">
        <f>IF(SUM(COUNTIF(Benchmark1[Benchmark '#1 Dates],Comp2[[#This Row],[Comparable '#2 Dates]]),COUNTIF(Benchmark2[Benchmark '#2 Dates],Comp2[[#This Row],[Comparable '#2 Dates]]))=2,"Pass","Fail")</f>
        <v>Pass</v>
      </c>
      <c r="I227" s="1">
        <f>IFERROR(Comp2[[#This Row],[Comparable '#2 Return]]-INDEX(Benchmark1[Benchmark '#1 Return],MATCH(Comp2[[#This Row],[Comparable '#2 Dates]],Benchmark1[Benchmark '#1 Dates],0)),"-")</f>
        <v>1.4731268516911955E-2</v>
      </c>
      <c r="L227" s="72">
        <f>Comp2[[#This Row],[Comparable '#2 Price]]/$B$2*100</f>
        <v>88.088531187122726</v>
      </c>
    </row>
    <row r="228" spans="1:12">
      <c r="A228" s="96">
        <v>43615</v>
      </c>
      <c r="B228" s="101">
        <v>44.02</v>
      </c>
      <c r="C228" s="4">
        <f t="shared" si="6"/>
        <v>5.4669840035988316E-3</v>
      </c>
      <c r="D228" s="1">
        <f>IFERROR(Comp2[[#This Row],[Comparable '#2 Return]]+1,"-")</f>
        <v>1.0054669840035988</v>
      </c>
      <c r="E228" s="6">
        <f>B228-MAX($B$2:B228)</f>
        <v>-14.139999999999993</v>
      </c>
      <c r="F228" s="80">
        <f t="shared" si="7"/>
        <v>135</v>
      </c>
      <c r="G228" s="77">
        <f>Comp2[[#This Row],[Comparable '#2 Drawdown]]/MAX($B$2:B228)</f>
        <v>-0.24312242090784034</v>
      </c>
      <c r="H228" s="1" t="str">
        <f>IF(SUM(COUNTIF(Benchmark1[Benchmark '#1 Dates],Comp2[[#This Row],[Comparable '#2 Dates]]),COUNTIF(Benchmark2[Benchmark '#2 Dates],Comp2[[#This Row],[Comparable '#2 Dates]]))=2,"Pass","Fail")</f>
        <v>Pass</v>
      </c>
      <c r="I228" s="1">
        <f>IFERROR(Comp2[[#This Row],[Comparable '#2 Return]]-INDEX(Benchmark1[Benchmark '#1 Return],MATCH(Comp2[[#This Row],[Comparable '#2 Dates]],Benchmark1[Benchmark '#1 Dates],0)),"-")</f>
        <v>3.3683720762159803E-3</v>
      </c>
      <c r="L228" s="72">
        <f>Comp2[[#This Row],[Comparable '#2 Price]]/$B$2*100</f>
        <v>88.571428571428569</v>
      </c>
    </row>
    <row r="229" spans="1:12">
      <c r="A229" s="96">
        <v>43616</v>
      </c>
      <c r="B229" s="101">
        <v>43.96</v>
      </c>
      <c r="C229" s="4">
        <f t="shared" si="6"/>
        <v>-1.3639465628950723E-3</v>
      </c>
      <c r="D229" s="1">
        <f>IFERROR(Comp2[[#This Row],[Comparable '#2 Return]]+1,"-")</f>
        <v>0.99863605343710493</v>
      </c>
      <c r="E229" s="6">
        <f>B229-MAX($B$2:B229)</f>
        <v>-14.199999999999996</v>
      </c>
      <c r="F229" s="80">
        <f t="shared" si="7"/>
        <v>136</v>
      </c>
      <c r="G229" s="77">
        <f>Comp2[[#This Row],[Comparable '#2 Drawdown]]/MAX($B$2:B229)</f>
        <v>-0.24415405777166432</v>
      </c>
      <c r="H229" s="1" t="str">
        <f>IF(SUM(COUNTIF(Benchmark1[Benchmark '#1 Dates],Comp2[[#This Row],[Comparable '#2 Dates]]),COUNTIF(Benchmark2[Benchmark '#2 Dates],Comp2[[#This Row],[Comparable '#2 Dates]]))=2,"Pass","Fail")</f>
        <v>Pass</v>
      </c>
      <c r="I229" s="1">
        <f>IFERROR(Comp2[[#This Row],[Comparable '#2 Return]]-INDEX(Benchmark1[Benchmark '#1 Return],MATCH(Comp2[[#This Row],[Comparable '#2 Dates]],Benchmark1[Benchmark '#1 Dates],0)),"-")</f>
        <v>1.1919960711100356E-2</v>
      </c>
      <c r="L229" s="72">
        <f>Comp2[[#This Row],[Comparable '#2 Price]]/$B$2*100</f>
        <v>88.450704225352112</v>
      </c>
    </row>
    <row r="230" spans="1:12">
      <c r="A230" s="96">
        <v>43619</v>
      </c>
      <c r="B230" s="101">
        <v>44.2</v>
      </c>
      <c r="C230" s="4">
        <f t="shared" si="6"/>
        <v>5.4446595482317639E-3</v>
      </c>
      <c r="D230" s="1">
        <f>IFERROR(Comp2[[#This Row],[Comparable '#2 Return]]+1,"-")</f>
        <v>1.0054446595482318</v>
      </c>
      <c r="E230" s="6">
        <f>B230-MAX($B$2:B230)</f>
        <v>-13.959999999999994</v>
      </c>
      <c r="F230" s="80">
        <f t="shared" si="7"/>
        <v>137</v>
      </c>
      <c r="G230" s="77">
        <f>Comp2[[#This Row],[Comparable '#2 Drawdown]]/MAX($B$2:B230)</f>
        <v>-0.24002751031636854</v>
      </c>
      <c r="H230" s="1" t="str">
        <f>IF(SUM(COUNTIF(Benchmark1[Benchmark '#1 Dates],Comp2[[#This Row],[Comparable '#2 Dates]]),COUNTIF(Benchmark2[Benchmark '#2 Dates],Comp2[[#This Row],[Comparable '#2 Dates]]))=2,"Pass","Fail")</f>
        <v>Pass</v>
      </c>
      <c r="I230" s="1">
        <f>IFERROR(Comp2[[#This Row],[Comparable '#2 Return]]-INDEX(Benchmark1[Benchmark '#1 Return],MATCH(Comp2[[#This Row],[Comparable '#2 Dates]],Benchmark1[Benchmark '#1 Dates],0)),"-")</f>
        <v>8.216035842605959E-3</v>
      </c>
      <c r="L230" s="72">
        <f>Comp2[[#This Row],[Comparable '#2 Price]]/$B$2*100</f>
        <v>88.933601609657956</v>
      </c>
    </row>
    <row r="231" spans="1:12">
      <c r="A231" s="96">
        <v>43620</v>
      </c>
      <c r="B231" s="101">
        <v>45.2</v>
      </c>
      <c r="C231" s="4">
        <f t="shared" si="6"/>
        <v>2.2372297754532984E-2</v>
      </c>
      <c r="D231" s="1">
        <f>IFERROR(Comp2[[#This Row],[Comparable '#2 Return]]+1,"-")</f>
        <v>1.0223722977545331</v>
      </c>
      <c r="E231" s="6">
        <f>B231-MAX($B$2:B231)</f>
        <v>-12.959999999999994</v>
      </c>
      <c r="F231" s="80">
        <f t="shared" si="7"/>
        <v>138</v>
      </c>
      <c r="G231" s="77">
        <f>Comp2[[#This Row],[Comparable '#2 Drawdown]]/MAX($B$2:B231)</f>
        <v>-0.22283356258596965</v>
      </c>
      <c r="H231" s="1" t="str">
        <f>IF(SUM(COUNTIF(Benchmark1[Benchmark '#1 Dates],Comp2[[#This Row],[Comparable '#2 Dates]]),COUNTIF(Benchmark2[Benchmark '#2 Dates],Comp2[[#This Row],[Comparable '#2 Dates]]))=2,"Pass","Fail")</f>
        <v>Pass</v>
      </c>
      <c r="I231" s="1">
        <f>IFERROR(Comp2[[#This Row],[Comparable '#2 Return]]-INDEX(Benchmark1[Benchmark '#1 Return],MATCH(Comp2[[#This Row],[Comparable '#2 Dates]],Benchmark1[Benchmark '#1 Dates],0)),"-")</f>
        <v>1.1641948343409578E-3</v>
      </c>
      <c r="L231" s="72">
        <f>Comp2[[#This Row],[Comparable '#2 Price]]/$B$2*100</f>
        <v>90.945674044265587</v>
      </c>
    </row>
    <row r="232" spans="1:12">
      <c r="A232" s="96">
        <v>43621</v>
      </c>
      <c r="B232" s="101">
        <v>45.09</v>
      </c>
      <c r="C232" s="4">
        <f t="shared" si="6"/>
        <v>-2.4365944051926883E-3</v>
      </c>
      <c r="D232" s="1">
        <f>IFERROR(Comp2[[#This Row],[Comparable '#2 Return]]+1,"-")</f>
        <v>0.99756340559480727</v>
      </c>
      <c r="E232" s="6">
        <f>B232-MAX($B$2:B232)</f>
        <v>-13.069999999999993</v>
      </c>
      <c r="F232" s="80">
        <f t="shared" si="7"/>
        <v>139</v>
      </c>
      <c r="G232" s="77">
        <f>Comp2[[#This Row],[Comparable '#2 Drawdown]]/MAX($B$2:B232)</f>
        <v>-0.22472489683631353</v>
      </c>
      <c r="H232" s="1" t="str">
        <f>IF(SUM(COUNTIF(Benchmark1[Benchmark '#1 Dates],Comp2[[#This Row],[Comparable '#2 Dates]]),COUNTIF(Benchmark2[Benchmark '#2 Dates],Comp2[[#This Row],[Comparable '#2 Dates]]))=2,"Pass","Fail")</f>
        <v>Pass</v>
      </c>
      <c r="I232" s="1">
        <f>IFERROR(Comp2[[#This Row],[Comparable '#2 Return]]-INDEX(Benchmark1[Benchmark '#1 Return],MATCH(Comp2[[#This Row],[Comparable '#2 Dates]],Benchmark1[Benchmark '#1 Dates],0)),"-")</f>
        <v>-1.0564670458353669E-2</v>
      </c>
      <c r="L232" s="72">
        <f>Comp2[[#This Row],[Comparable '#2 Price]]/$B$2*100</f>
        <v>90.724346076458744</v>
      </c>
    </row>
    <row r="233" spans="1:12">
      <c r="A233" s="96">
        <v>43622</v>
      </c>
      <c r="B233" s="101">
        <v>44.52</v>
      </c>
      <c r="C233" s="4">
        <f t="shared" si="6"/>
        <v>-1.2721966025648733E-2</v>
      </c>
      <c r="D233" s="1">
        <f>IFERROR(Comp2[[#This Row],[Comparable '#2 Return]]+1,"-")</f>
        <v>0.98727803397435132</v>
      </c>
      <c r="E233" s="6">
        <f>B233-MAX($B$2:B233)</f>
        <v>-13.639999999999993</v>
      </c>
      <c r="F233" s="80">
        <f t="shared" si="7"/>
        <v>140</v>
      </c>
      <c r="G233" s="77">
        <f>Comp2[[#This Row],[Comparable '#2 Drawdown]]/MAX($B$2:B233)</f>
        <v>-0.23452544704264089</v>
      </c>
      <c r="H233" s="1" t="str">
        <f>IF(SUM(COUNTIF(Benchmark1[Benchmark '#1 Dates],Comp2[[#This Row],[Comparable '#2 Dates]]),COUNTIF(Benchmark2[Benchmark '#2 Dates],Comp2[[#This Row],[Comparable '#2 Dates]]))=2,"Pass","Fail")</f>
        <v>Pass</v>
      </c>
      <c r="I233" s="1">
        <f>IFERROR(Comp2[[#This Row],[Comparable '#2 Return]]-INDEX(Benchmark1[Benchmark '#1 Return],MATCH(Comp2[[#This Row],[Comparable '#2 Dates]],Benchmark1[Benchmark '#1 Dates],0)),"-")</f>
        <v>-1.8838696084384397E-2</v>
      </c>
      <c r="L233" s="72">
        <f>Comp2[[#This Row],[Comparable '#2 Price]]/$B$2*100</f>
        <v>89.577464788732399</v>
      </c>
    </row>
    <row r="234" spans="1:12">
      <c r="A234" s="96">
        <v>43623</v>
      </c>
      <c r="B234" s="101">
        <v>44.81</v>
      </c>
      <c r="C234" s="4">
        <f t="shared" si="6"/>
        <v>6.4928023907076622E-3</v>
      </c>
      <c r="D234" s="1">
        <f>IFERROR(Comp2[[#This Row],[Comparable '#2 Return]]+1,"-")</f>
        <v>1.0064928023907076</v>
      </c>
      <c r="E234" s="6">
        <f>B234-MAX($B$2:B234)</f>
        <v>-13.349999999999994</v>
      </c>
      <c r="F234" s="80">
        <f t="shared" si="7"/>
        <v>141</v>
      </c>
      <c r="G234" s="77">
        <f>Comp2[[#This Row],[Comparable '#2 Drawdown]]/MAX($B$2:B234)</f>
        <v>-0.22953920220082522</v>
      </c>
      <c r="H234" s="1" t="str">
        <f>IF(SUM(COUNTIF(Benchmark1[Benchmark '#1 Dates],Comp2[[#This Row],[Comparable '#2 Dates]]),COUNTIF(Benchmark2[Benchmark '#2 Dates],Comp2[[#This Row],[Comparable '#2 Dates]]))=2,"Pass","Fail")</f>
        <v>Pass</v>
      </c>
      <c r="I234" s="1">
        <f>IFERROR(Comp2[[#This Row],[Comparable '#2 Return]]-INDEX(Benchmark1[Benchmark '#1 Return],MATCH(Comp2[[#This Row],[Comparable '#2 Dates]],Benchmark1[Benchmark '#1 Dates],0)),"-")</f>
        <v>-3.9507068132702558E-3</v>
      </c>
      <c r="L234" s="72">
        <f>Comp2[[#This Row],[Comparable '#2 Price]]/$B$2*100</f>
        <v>90.160965794768615</v>
      </c>
    </row>
    <row r="235" spans="1:12">
      <c r="A235" s="96">
        <v>43626</v>
      </c>
      <c r="B235" s="101">
        <v>44.18</v>
      </c>
      <c r="C235" s="4">
        <f t="shared" si="6"/>
        <v>-1.4159130806080616E-2</v>
      </c>
      <c r="D235" s="1">
        <f>IFERROR(Comp2[[#This Row],[Comparable '#2 Return]]+1,"-")</f>
        <v>0.98584086919391933</v>
      </c>
      <c r="E235" s="6">
        <f>B235-MAX($B$2:B235)</f>
        <v>-13.979999999999997</v>
      </c>
      <c r="F235" s="80">
        <f t="shared" si="7"/>
        <v>142</v>
      </c>
      <c r="G235" s="77">
        <f>Comp2[[#This Row],[Comparable '#2 Drawdown]]/MAX($B$2:B235)</f>
        <v>-0.24037138927097657</v>
      </c>
      <c r="H235" s="1" t="str">
        <f>IF(SUM(COUNTIF(Benchmark1[Benchmark '#1 Dates],Comp2[[#This Row],[Comparable '#2 Dates]]),COUNTIF(Benchmark2[Benchmark '#2 Dates],Comp2[[#This Row],[Comparable '#2 Dates]]))=2,"Pass","Fail")</f>
        <v>Pass</v>
      </c>
      <c r="I235" s="1">
        <f>IFERROR(Comp2[[#This Row],[Comparable '#2 Return]]-INDEX(Benchmark1[Benchmark '#1 Return],MATCH(Comp2[[#This Row],[Comparable '#2 Dates]],Benchmark1[Benchmark '#1 Dates],0)),"-")</f>
        <v>-1.8809121091257493E-2</v>
      </c>
      <c r="L235" s="72">
        <f>Comp2[[#This Row],[Comparable '#2 Price]]/$B$2*100</f>
        <v>88.893360160965784</v>
      </c>
    </row>
    <row r="236" spans="1:12">
      <c r="A236" s="96">
        <v>43627</v>
      </c>
      <c r="B236" s="101">
        <v>43.93</v>
      </c>
      <c r="C236" s="4">
        <f t="shared" si="6"/>
        <v>-5.6747400042829648E-3</v>
      </c>
      <c r="D236" s="1">
        <f>IFERROR(Comp2[[#This Row],[Comparable '#2 Return]]+1,"-")</f>
        <v>0.99432525999571708</v>
      </c>
      <c r="E236" s="6">
        <f>B236-MAX($B$2:B236)</f>
        <v>-14.229999999999997</v>
      </c>
      <c r="F236" s="80">
        <f t="shared" si="7"/>
        <v>143</v>
      </c>
      <c r="G236" s="77">
        <f>Comp2[[#This Row],[Comparable '#2 Drawdown]]/MAX($B$2:B236)</f>
        <v>-0.2446698762035763</v>
      </c>
      <c r="H236" s="1" t="str">
        <f>IF(SUM(COUNTIF(Benchmark1[Benchmark '#1 Dates],Comp2[[#This Row],[Comparable '#2 Dates]]),COUNTIF(Benchmark2[Benchmark '#2 Dates],Comp2[[#This Row],[Comparable '#2 Dates]]))=2,"Pass","Fail")</f>
        <v>Pass</v>
      </c>
      <c r="I236" s="1">
        <f>IFERROR(Comp2[[#This Row],[Comparable '#2 Return]]-INDEX(Benchmark1[Benchmark '#1 Return],MATCH(Comp2[[#This Row],[Comparable '#2 Dates]],Benchmark1[Benchmark '#1 Dates],0)),"-")</f>
        <v>-5.3241161940496551E-3</v>
      </c>
      <c r="L236" s="72">
        <f>Comp2[[#This Row],[Comparable '#2 Price]]/$B$2*100</f>
        <v>88.390342052313869</v>
      </c>
    </row>
    <row r="237" spans="1:12">
      <c r="A237" s="96">
        <v>43628</v>
      </c>
      <c r="B237" s="101">
        <v>44.18</v>
      </c>
      <c r="C237" s="4">
        <f t="shared" si="6"/>
        <v>5.6747400042828173E-3</v>
      </c>
      <c r="D237" s="1">
        <f>IFERROR(Comp2[[#This Row],[Comparable '#2 Return]]+1,"-")</f>
        <v>1.0056747400042829</v>
      </c>
      <c r="E237" s="6">
        <f>B237-MAX($B$2:B237)</f>
        <v>-13.979999999999997</v>
      </c>
      <c r="F237" s="80">
        <f t="shared" si="7"/>
        <v>144</v>
      </c>
      <c r="G237" s="77">
        <f>Comp2[[#This Row],[Comparable '#2 Drawdown]]/MAX($B$2:B237)</f>
        <v>-0.24037138927097657</v>
      </c>
      <c r="H237" s="1" t="str">
        <f>IF(SUM(COUNTIF(Benchmark1[Benchmark '#1 Dates],Comp2[[#This Row],[Comparable '#2 Dates]]),COUNTIF(Benchmark2[Benchmark '#2 Dates],Comp2[[#This Row],[Comparable '#2 Dates]]))=2,"Pass","Fail")</f>
        <v>Pass</v>
      </c>
      <c r="I237" s="1">
        <f>IFERROR(Comp2[[#This Row],[Comparable '#2 Return]]-INDEX(Benchmark1[Benchmark '#1 Return],MATCH(Comp2[[#This Row],[Comparable '#2 Dates]],Benchmark1[Benchmark '#1 Dates],0)),"-")</f>
        <v>7.7164118052766798E-3</v>
      </c>
      <c r="L237" s="72">
        <f>Comp2[[#This Row],[Comparable '#2 Price]]/$B$2*100</f>
        <v>88.893360160965784</v>
      </c>
    </row>
    <row r="238" spans="1:12">
      <c r="A238" s="96">
        <v>43629</v>
      </c>
      <c r="B238" s="101">
        <v>44.25</v>
      </c>
      <c r="C238" s="4">
        <f t="shared" si="6"/>
        <v>1.5831734619674517E-3</v>
      </c>
      <c r="D238" s="1">
        <f>IFERROR(Comp2[[#This Row],[Comparable '#2 Return]]+1,"-")</f>
        <v>1.0015831734619673</v>
      </c>
      <c r="E238" s="6">
        <f>B238-MAX($B$2:B238)</f>
        <v>-13.909999999999997</v>
      </c>
      <c r="F238" s="80">
        <f t="shared" si="7"/>
        <v>145</v>
      </c>
      <c r="G238" s="77">
        <f>Comp2[[#This Row],[Comparable '#2 Drawdown]]/MAX($B$2:B238)</f>
        <v>-0.23916781292984865</v>
      </c>
      <c r="H238" s="1" t="str">
        <f>IF(SUM(COUNTIF(Benchmark1[Benchmark '#1 Dates],Comp2[[#This Row],[Comparable '#2 Dates]]),COUNTIF(Benchmark2[Benchmark '#2 Dates],Comp2[[#This Row],[Comparable '#2 Dates]]))=2,"Pass","Fail")</f>
        <v>Pass</v>
      </c>
      <c r="I238" s="1">
        <f>IFERROR(Comp2[[#This Row],[Comparable '#2 Return]]-INDEX(Benchmark1[Benchmark '#1 Return],MATCH(Comp2[[#This Row],[Comparable '#2 Dates]],Benchmark1[Benchmark '#1 Dates],0)),"-")</f>
        <v>-2.5073191116879194E-3</v>
      </c>
      <c r="L238" s="72">
        <f>Comp2[[#This Row],[Comparable '#2 Price]]/$B$2*100</f>
        <v>89.034205231388327</v>
      </c>
    </row>
    <row r="239" spans="1:12">
      <c r="A239" s="96">
        <v>43630</v>
      </c>
      <c r="B239" s="101">
        <v>44.68</v>
      </c>
      <c r="C239" s="4">
        <f t="shared" si="6"/>
        <v>9.6706027470614304E-3</v>
      </c>
      <c r="D239" s="1">
        <f>IFERROR(Comp2[[#This Row],[Comparable '#2 Return]]+1,"-")</f>
        <v>1.0096706027470614</v>
      </c>
      <c r="E239" s="6">
        <f>B239-MAX($B$2:B239)</f>
        <v>-13.479999999999997</v>
      </c>
      <c r="F239" s="80">
        <f t="shared" si="7"/>
        <v>146</v>
      </c>
      <c r="G239" s="77">
        <f>Comp2[[#This Row],[Comparable '#2 Drawdown]]/MAX($B$2:B239)</f>
        <v>-0.23177441540577712</v>
      </c>
      <c r="H239" s="1" t="str">
        <f>IF(SUM(COUNTIF(Benchmark1[Benchmark '#1 Dates],Comp2[[#This Row],[Comparable '#2 Dates]]),COUNTIF(Benchmark2[Benchmark '#2 Dates],Comp2[[#This Row],[Comparable '#2 Dates]]))=2,"Pass","Fail")</f>
        <v>Pass</v>
      </c>
      <c r="I239" s="1">
        <f>IFERROR(Comp2[[#This Row],[Comparable '#2 Return]]-INDEX(Benchmark1[Benchmark '#1 Return],MATCH(Comp2[[#This Row],[Comparable '#2 Dates]],Benchmark1[Benchmark '#1 Dates],0)),"-")</f>
        <v>1.1282517880510611E-2</v>
      </c>
      <c r="L239" s="72">
        <f>Comp2[[#This Row],[Comparable '#2 Price]]/$B$2*100</f>
        <v>89.899396378269614</v>
      </c>
    </row>
    <row r="240" spans="1:12">
      <c r="A240" s="96">
        <v>43633</v>
      </c>
      <c r="B240" s="101">
        <v>45.18</v>
      </c>
      <c r="C240" s="4">
        <f t="shared" si="6"/>
        <v>1.1128536838857232E-2</v>
      </c>
      <c r="D240" s="1">
        <f>IFERROR(Comp2[[#This Row],[Comparable '#2 Return]]+1,"-")</f>
        <v>1.0111285368388572</v>
      </c>
      <c r="E240" s="6">
        <f>B240-MAX($B$2:B240)</f>
        <v>-12.979999999999997</v>
      </c>
      <c r="F240" s="80">
        <f t="shared" si="7"/>
        <v>147</v>
      </c>
      <c r="G240" s="77">
        <f>Comp2[[#This Row],[Comparable '#2 Drawdown]]/MAX($B$2:B240)</f>
        <v>-0.22317744154057767</v>
      </c>
      <c r="H240" s="1" t="str">
        <f>IF(SUM(COUNTIF(Benchmark1[Benchmark '#1 Dates],Comp2[[#This Row],[Comparable '#2 Dates]]),COUNTIF(Benchmark2[Benchmark '#2 Dates],Comp2[[#This Row],[Comparable '#2 Dates]]))=2,"Pass","Fail")</f>
        <v>Pass</v>
      </c>
      <c r="I240" s="1">
        <f>IFERROR(Comp2[[#This Row],[Comparable '#2 Return]]-INDEX(Benchmark1[Benchmark '#1 Return],MATCH(Comp2[[#This Row],[Comparable '#2 Dates]],Benchmark1[Benchmark '#1 Dates],0)),"-")</f>
        <v>1.0198320685328305E-2</v>
      </c>
      <c r="L240" s="72">
        <f>Comp2[[#This Row],[Comparable '#2 Price]]/$B$2*100</f>
        <v>90.90543259557343</v>
      </c>
    </row>
    <row r="241" spans="1:12">
      <c r="A241" s="96">
        <v>43634</v>
      </c>
      <c r="B241" s="101">
        <v>45.11</v>
      </c>
      <c r="C241" s="4">
        <f t="shared" si="6"/>
        <v>-1.5505596195526858E-3</v>
      </c>
      <c r="D241" s="1">
        <f>IFERROR(Comp2[[#This Row],[Comparable '#2 Return]]+1,"-")</f>
        <v>0.99844944038044736</v>
      </c>
      <c r="E241" s="6">
        <f>B241-MAX($B$2:B241)</f>
        <v>-13.049999999999997</v>
      </c>
      <c r="F241" s="80">
        <f t="shared" si="7"/>
        <v>148</v>
      </c>
      <c r="G241" s="77">
        <f>Comp2[[#This Row],[Comparable '#2 Drawdown]]/MAX($B$2:B241)</f>
        <v>-0.22438101788170561</v>
      </c>
      <c r="H241" s="1" t="str">
        <f>IF(SUM(COUNTIF(Benchmark1[Benchmark '#1 Dates],Comp2[[#This Row],[Comparable '#2 Dates]]),COUNTIF(Benchmark2[Benchmark '#2 Dates],Comp2[[#This Row],[Comparable '#2 Dates]]))=2,"Pass","Fail")</f>
        <v>Pass</v>
      </c>
      <c r="I241" s="1">
        <f>IFERROR(Comp2[[#This Row],[Comparable '#2 Return]]-INDEX(Benchmark1[Benchmark '#1 Return],MATCH(Comp2[[#This Row],[Comparable '#2 Dates]],Benchmark1[Benchmark '#1 Dates],0)),"-")</f>
        <v>-1.1221290886218208E-2</v>
      </c>
      <c r="L241" s="72">
        <f>Comp2[[#This Row],[Comparable '#2 Price]]/$B$2*100</f>
        <v>90.764587525150901</v>
      </c>
    </row>
    <row r="242" spans="1:12">
      <c r="A242" s="96">
        <v>43635</v>
      </c>
      <c r="B242" s="101">
        <v>45.58</v>
      </c>
      <c r="C242" s="4">
        <f t="shared" si="6"/>
        <v>1.0365072397233515E-2</v>
      </c>
      <c r="D242" s="1">
        <f>IFERROR(Comp2[[#This Row],[Comparable '#2 Return]]+1,"-")</f>
        <v>1.0103650723972335</v>
      </c>
      <c r="E242" s="6">
        <f>B242-MAX($B$2:B242)</f>
        <v>-12.579999999999998</v>
      </c>
      <c r="F242" s="80">
        <f t="shared" si="7"/>
        <v>149</v>
      </c>
      <c r="G242" s="77">
        <f>Comp2[[#This Row],[Comparable '#2 Drawdown]]/MAX($B$2:B242)</f>
        <v>-0.21629986244841815</v>
      </c>
      <c r="H242" s="1" t="str">
        <f>IF(SUM(COUNTIF(Benchmark1[Benchmark '#1 Dates],Comp2[[#This Row],[Comparable '#2 Dates]]),COUNTIF(Benchmark2[Benchmark '#2 Dates],Comp2[[#This Row],[Comparable '#2 Dates]]))=2,"Pass","Fail")</f>
        <v>Pass</v>
      </c>
      <c r="I242" s="1">
        <f>IFERROR(Comp2[[#This Row],[Comparable '#2 Return]]-INDEX(Benchmark1[Benchmark '#1 Return],MATCH(Comp2[[#This Row],[Comparable '#2 Dates]],Benchmark1[Benchmark '#1 Dates],0)),"-")</f>
        <v>7.3860333387944111E-3</v>
      </c>
      <c r="L242" s="72">
        <f>Comp2[[#This Row],[Comparable '#2 Price]]/$B$2*100</f>
        <v>91.710261569416502</v>
      </c>
    </row>
    <row r="243" spans="1:12">
      <c r="A243" s="96">
        <v>43636</v>
      </c>
      <c r="B243" s="101">
        <v>45.88</v>
      </c>
      <c r="C243" s="4">
        <f t="shared" si="6"/>
        <v>6.5602684436319204E-3</v>
      </c>
      <c r="D243" s="1">
        <f>IFERROR(Comp2[[#This Row],[Comparable '#2 Return]]+1,"-")</f>
        <v>1.0065602684436319</v>
      </c>
      <c r="E243" s="6">
        <f>B243-MAX($B$2:B243)</f>
        <v>-12.279999999999994</v>
      </c>
      <c r="F243" s="80">
        <f t="shared" si="7"/>
        <v>150</v>
      </c>
      <c r="G243" s="77">
        <f>Comp2[[#This Row],[Comparable '#2 Drawdown]]/MAX($B$2:B243)</f>
        <v>-0.2111416781292984</v>
      </c>
      <c r="H243" s="1" t="str">
        <f>IF(SUM(COUNTIF(Benchmark1[Benchmark '#1 Dates],Comp2[[#This Row],[Comparable '#2 Dates]]),COUNTIF(Benchmark2[Benchmark '#2 Dates],Comp2[[#This Row],[Comparable '#2 Dates]]))=2,"Pass","Fail")</f>
        <v>Pass</v>
      </c>
      <c r="I243" s="1">
        <f>IFERROR(Comp2[[#This Row],[Comparable '#2 Return]]-INDEX(Benchmark1[Benchmark '#1 Return],MATCH(Comp2[[#This Row],[Comparable '#2 Dates]],Benchmark1[Benchmark '#1 Dates],0)),"-")</f>
        <v>-2.8694107029672549E-3</v>
      </c>
      <c r="L243" s="72">
        <f>Comp2[[#This Row],[Comparable '#2 Price]]/$B$2*100</f>
        <v>92.313883299798789</v>
      </c>
    </row>
    <row r="244" spans="1:12">
      <c r="A244" s="96">
        <v>43637</v>
      </c>
      <c r="B244" s="101">
        <v>45.04</v>
      </c>
      <c r="C244" s="4">
        <f t="shared" si="6"/>
        <v>-1.847830842973509E-2</v>
      </c>
      <c r="D244" s="1">
        <f>IFERROR(Comp2[[#This Row],[Comparable '#2 Return]]+1,"-")</f>
        <v>0.98152169157026492</v>
      </c>
      <c r="E244" s="6">
        <f>B244-MAX($B$2:B244)</f>
        <v>-13.119999999999997</v>
      </c>
      <c r="F244" s="80">
        <f t="shared" si="7"/>
        <v>151</v>
      </c>
      <c r="G244" s="77">
        <f>Comp2[[#This Row],[Comparable '#2 Drawdown]]/MAX($B$2:B244)</f>
        <v>-0.22558459422283353</v>
      </c>
      <c r="H244" s="1" t="str">
        <f>IF(SUM(COUNTIF(Benchmark1[Benchmark '#1 Dates],Comp2[[#This Row],[Comparable '#2 Dates]]),COUNTIF(Benchmark2[Benchmark '#2 Dates],Comp2[[#This Row],[Comparable '#2 Dates]]))=2,"Pass","Fail")</f>
        <v>Pass</v>
      </c>
      <c r="I244" s="1">
        <f>IFERROR(Comp2[[#This Row],[Comparable '#2 Return]]-INDEX(Benchmark1[Benchmark '#1 Return],MATCH(Comp2[[#This Row],[Comparable '#2 Dates]],Benchmark1[Benchmark '#1 Dates],0)),"-")</f>
        <v>-1.7215958097172215E-2</v>
      </c>
      <c r="L244" s="72">
        <f>Comp2[[#This Row],[Comparable '#2 Price]]/$B$2*100</f>
        <v>90.623742454728358</v>
      </c>
    </row>
    <row r="245" spans="1:12">
      <c r="A245" s="96">
        <v>43640</v>
      </c>
      <c r="B245" s="101">
        <v>44.07</v>
      </c>
      <c r="C245" s="4">
        <f t="shared" si="6"/>
        <v>-2.1771704977539271E-2</v>
      </c>
      <c r="D245" s="1">
        <f>IFERROR(Comp2[[#This Row],[Comparable '#2 Return]]+1,"-")</f>
        <v>0.97822829502246078</v>
      </c>
      <c r="E245" s="6">
        <f>B245-MAX($B$2:B245)</f>
        <v>-14.089999999999996</v>
      </c>
      <c r="F245" s="80">
        <f t="shared" si="7"/>
        <v>152</v>
      </c>
      <c r="G245" s="77">
        <f>Comp2[[#This Row],[Comparable '#2 Drawdown]]/MAX($B$2:B245)</f>
        <v>-0.24226272352132044</v>
      </c>
      <c r="H245" s="1" t="str">
        <f>IF(SUM(COUNTIF(Benchmark1[Benchmark '#1 Dates],Comp2[[#This Row],[Comparable '#2 Dates]]),COUNTIF(Benchmark2[Benchmark '#2 Dates],Comp2[[#This Row],[Comparable '#2 Dates]]))=2,"Pass","Fail")</f>
        <v>Pass</v>
      </c>
      <c r="I245" s="1">
        <f>IFERROR(Comp2[[#This Row],[Comparable '#2 Return]]-INDEX(Benchmark1[Benchmark '#1 Return],MATCH(Comp2[[#This Row],[Comparable '#2 Dates]],Benchmark1[Benchmark '#1 Dates],0)),"-")</f>
        <v>-2.0039551568584568E-2</v>
      </c>
      <c r="L245" s="72">
        <f>Comp2[[#This Row],[Comparable '#2 Price]]/$B$2*100</f>
        <v>88.672032193158941</v>
      </c>
    </row>
    <row r="246" spans="1:12">
      <c r="A246" s="96">
        <v>43641</v>
      </c>
      <c r="B246" s="101">
        <v>44.86</v>
      </c>
      <c r="C246" s="4">
        <f t="shared" si="6"/>
        <v>1.7767250238166638E-2</v>
      </c>
      <c r="D246" s="1">
        <f>IFERROR(Comp2[[#This Row],[Comparable '#2 Return]]+1,"-")</f>
        <v>1.0177672502381667</v>
      </c>
      <c r="E246" s="6">
        <f>B246-MAX($B$2:B246)</f>
        <v>-13.299999999999997</v>
      </c>
      <c r="F246" s="80">
        <f t="shared" si="7"/>
        <v>153</v>
      </c>
      <c r="G246" s="77">
        <f>Comp2[[#This Row],[Comparable '#2 Drawdown]]/MAX($B$2:B246)</f>
        <v>-0.22867950481430532</v>
      </c>
      <c r="H246" s="1" t="str">
        <f>IF(SUM(COUNTIF(Benchmark1[Benchmark '#1 Dates],Comp2[[#This Row],[Comparable '#2 Dates]]),COUNTIF(Benchmark2[Benchmark '#2 Dates],Comp2[[#This Row],[Comparable '#2 Dates]]))=2,"Pass","Fail")</f>
        <v>Pass</v>
      </c>
      <c r="I246" s="1">
        <f>IFERROR(Comp2[[#This Row],[Comparable '#2 Return]]-INDEX(Benchmark1[Benchmark '#1 Return],MATCH(Comp2[[#This Row],[Comparable '#2 Dates]],Benchmark1[Benchmark '#1 Dates],0)),"-")</f>
        <v>2.7307467369438222E-2</v>
      </c>
      <c r="L246" s="72">
        <f>Comp2[[#This Row],[Comparable '#2 Price]]/$B$2*100</f>
        <v>90.261569416498986</v>
      </c>
    </row>
    <row r="247" spans="1:12">
      <c r="A247" s="96">
        <v>43642</v>
      </c>
      <c r="B247" s="101">
        <v>44.65</v>
      </c>
      <c r="C247" s="4">
        <f t="shared" si="6"/>
        <v>-4.6922217695542804E-3</v>
      </c>
      <c r="D247" s="1">
        <f>IFERROR(Comp2[[#This Row],[Comparable '#2 Return]]+1,"-")</f>
        <v>0.99530777823044569</v>
      </c>
      <c r="E247" s="6">
        <f>B247-MAX($B$2:B247)</f>
        <v>-13.509999999999998</v>
      </c>
      <c r="F247" s="80">
        <f t="shared" si="7"/>
        <v>154</v>
      </c>
      <c r="G247" s="77">
        <f>Comp2[[#This Row],[Comparable '#2 Drawdown]]/MAX($B$2:B247)</f>
        <v>-0.23229023383768913</v>
      </c>
      <c r="H247" s="1" t="str">
        <f>IF(SUM(COUNTIF(Benchmark1[Benchmark '#1 Dates],Comp2[[#This Row],[Comparable '#2 Dates]]),COUNTIF(Benchmark2[Benchmark '#2 Dates],Comp2[[#This Row],[Comparable '#2 Dates]]))=2,"Pass","Fail")</f>
        <v>Pass</v>
      </c>
      <c r="I247" s="1">
        <f>IFERROR(Comp2[[#This Row],[Comparable '#2 Return]]-INDEX(Benchmark1[Benchmark '#1 Return],MATCH(Comp2[[#This Row],[Comparable '#2 Dates]],Benchmark1[Benchmark '#1 Dates],0)),"-")</f>
        <v>-3.4559800916775726E-3</v>
      </c>
      <c r="L247" s="72">
        <f>Comp2[[#This Row],[Comparable '#2 Price]]/$B$2*100</f>
        <v>89.839034205231385</v>
      </c>
    </row>
    <row r="248" spans="1:12">
      <c r="A248" s="96">
        <v>43643</v>
      </c>
      <c r="B248" s="101">
        <v>45.13</v>
      </c>
      <c r="C248" s="4">
        <f t="shared" si="6"/>
        <v>1.0692906516401875E-2</v>
      </c>
      <c r="D248" s="1">
        <f>IFERROR(Comp2[[#This Row],[Comparable '#2 Return]]+1,"-")</f>
        <v>1.0106929065164019</v>
      </c>
      <c r="E248" s="6">
        <f>B248-MAX($B$2:B248)</f>
        <v>-13.029999999999994</v>
      </c>
      <c r="F248" s="80">
        <f t="shared" si="7"/>
        <v>155</v>
      </c>
      <c r="G248" s="77">
        <f>Comp2[[#This Row],[Comparable '#2 Drawdown]]/MAX($B$2:B248)</f>
        <v>-0.22403713892709756</v>
      </c>
      <c r="H248" s="1" t="str">
        <f>IF(SUM(COUNTIF(Benchmark1[Benchmark '#1 Dates],Comp2[[#This Row],[Comparable '#2 Dates]]),COUNTIF(Benchmark2[Benchmark '#2 Dates],Comp2[[#This Row],[Comparable '#2 Dates]]))=2,"Pass","Fail")</f>
        <v>Pass</v>
      </c>
      <c r="I248" s="1">
        <f>IFERROR(Comp2[[#This Row],[Comparable '#2 Return]]-INDEX(Benchmark1[Benchmark '#1 Return],MATCH(Comp2[[#This Row],[Comparable '#2 Dates]],Benchmark1[Benchmark '#1 Dates],0)),"-")</f>
        <v>6.8761538157392603E-3</v>
      </c>
      <c r="L248" s="72">
        <f>Comp2[[#This Row],[Comparable '#2 Price]]/$B$2*100</f>
        <v>90.804828973843058</v>
      </c>
    </row>
    <row r="249" spans="1:12">
      <c r="A249" s="96">
        <v>43644</v>
      </c>
      <c r="B249" s="101">
        <v>45.05</v>
      </c>
      <c r="C249" s="4">
        <f t="shared" si="6"/>
        <v>-1.774229784562997E-3</v>
      </c>
      <c r="D249" s="1">
        <f>IFERROR(Comp2[[#This Row],[Comparable '#2 Return]]+1,"-")</f>
        <v>0.99822577021543701</v>
      </c>
      <c r="E249" s="6">
        <f>B249-MAX($B$2:B249)</f>
        <v>-13.11</v>
      </c>
      <c r="F249" s="80">
        <f t="shared" si="7"/>
        <v>156</v>
      </c>
      <c r="G249" s="77">
        <f>Comp2[[#This Row],[Comparable '#2 Drawdown]]/MAX($B$2:B249)</f>
        <v>-0.22541265474552957</v>
      </c>
      <c r="H249" s="1" t="str">
        <f>IF(SUM(COUNTIF(Benchmark1[Benchmark '#1 Dates],Comp2[[#This Row],[Comparable '#2 Dates]]),COUNTIF(Benchmark2[Benchmark '#2 Dates],Comp2[[#This Row],[Comparable '#2 Dates]]))=2,"Pass","Fail")</f>
        <v>Pass</v>
      </c>
      <c r="I249" s="1">
        <f>IFERROR(Comp2[[#This Row],[Comparable '#2 Return]]-INDEX(Benchmark1[Benchmark '#1 Return],MATCH(Comp2[[#This Row],[Comparable '#2 Dates]],Benchmark1[Benchmark '#1 Dates],0)),"-")</f>
        <v>-7.514947463930912E-3</v>
      </c>
      <c r="L249" s="72">
        <f>Comp2[[#This Row],[Comparable '#2 Price]]/$B$2*100</f>
        <v>90.64386317907443</v>
      </c>
    </row>
    <row r="250" spans="1:12">
      <c r="A250" s="96">
        <v>43647</v>
      </c>
      <c r="B250" s="101">
        <v>45.02</v>
      </c>
      <c r="C250" s="4">
        <f t="shared" si="6"/>
        <v>-6.6614857576056724E-4</v>
      </c>
      <c r="D250" s="1">
        <f>IFERROR(Comp2[[#This Row],[Comparable '#2 Return]]+1,"-")</f>
        <v>0.99933385142423947</v>
      </c>
      <c r="E250" s="6">
        <f>B250-MAX($B$2:B250)</f>
        <v>-13.139999999999993</v>
      </c>
      <c r="F250" s="80">
        <f t="shared" si="7"/>
        <v>157</v>
      </c>
      <c r="G250" s="77">
        <f>Comp2[[#This Row],[Comparable '#2 Drawdown]]/MAX($B$2:B250)</f>
        <v>-0.22592847317744144</v>
      </c>
      <c r="H250" s="1" t="str">
        <f>IF(SUM(COUNTIF(Benchmark1[Benchmark '#1 Dates],Comp2[[#This Row],[Comparable '#2 Dates]]),COUNTIF(Benchmark2[Benchmark '#2 Dates],Comp2[[#This Row],[Comparable '#2 Dates]]))=2,"Pass","Fail")</f>
        <v>Pass</v>
      </c>
      <c r="I250" s="1">
        <f>IFERROR(Comp2[[#This Row],[Comparable '#2 Return]]-INDEX(Benchmark1[Benchmark '#1 Return],MATCH(Comp2[[#This Row],[Comparable '#2 Dates]],Benchmark1[Benchmark '#1 Dates],0)),"-")</f>
        <v>-8.3098863488620719E-3</v>
      </c>
      <c r="L250" s="72">
        <f>Comp2[[#This Row],[Comparable '#2 Price]]/$B$2*100</f>
        <v>90.583501006036215</v>
      </c>
    </row>
    <row r="251" spans="1:12">
      <c r="A251" s="96">
        <v>43648</v>
      </c>
      <c r="B251" s="101">
        <v>45.4</v>
      </c>
      <c r="C251" s="4">
        <f t="shared" si="6"/>
        <v>8.4052695687160603E-3</v>
      </c>
      <c r="D251" s="1">
        <f>IFERROR(Comp2[[#This Row],[Comparable '#2 Return]]+1,"-")</f>
        <v>1.008405269568716</v>
      </c>
      <c r="E251" s="6">
        <f>B251-MAX($B$2:B251)</f>
        <v>-12.759999999999998</v>
      </c>
      <c r="F251" s="80">
        <f t="shared" si="7"/>
        <v>158</v>
      </c>
      <c r="G251" s="77">
        <f>Comp2[[#This Row],[Comparable '#2 Drawdown]]/MAX($B$2:B251)</f>
        <v>-0.21939477303988994</v>
      </c>
      <c r="H251" s="1" t="str">
        <f>IF(SUM(COUNTIF(Benchmark1[Benchmark '#1 Dates],Comp2[[#This Row],[Comparable '#2 Dates]]),COUNTIF(Benchmark2[Benchmark '#2 Dates],Comp2[[#This Row],[Comparable '#2 Dates]]))=2,"Pass","Fail")</f>
        <v>Pass</v>
      </c>
      <c r="I251" s="1">
        <f>IFERROR(Comp2[[#This Row],[Comparable '#2 Return]]-INDEX(Benchmark1[Benchmark '#1 Return],MATCH(Comp2[[#This Row],[Comparable '#2 Dates]],Benchmark1[Benchmark '#1 Dates],0)),"-")</f>
        <v>5.4817097567384622E-3</v>
      </c>
      <c r="L251" s="72">
        <f>Comp2[[#This Row],[Comparable '#2 Price]]/$B$2*100</f>
        <v>91.348088531187116</v>
      </c>
    </row>
    <row r="252" spans="1:12">
      <c r="A252" s="96">
        <v>43649</v>
      </c>
      <c r="B252" s="101">
        <v>45.52</v>
      </c>
      <c r="C252" s="4">
        <f t="shared" si="6"/>
        <v>2.6396847707732454E-3</v>
      </c>
      <c r="D252" s="1">
        <f>IFERROR(Comp2[[#This Row],[Comparable '#2 Return]]+1,"-")</f>
        <v>1.0026396847707733</v>
      </c>
      <c r="E252" s="6">
        <f>B252-MAX($B$2:B252)</f>
        <v>-12.639999999999993</v>
      </c>
      <c r="F252" s="80">
        <f t="shared" si="7"/>
        <v>159</v>
      </c>
      <c r="G252" s="77">
        <f>Comp2[[#This Row],[Comparable '#2 Drawdown]]/MAX($B$2:B252)</f>
        <v>-0.21733149931224199</v>
      </c>
      <c r="H252" s="1" t="str">
        <f>IF(SUM(COUNTIF(Benchmark1[Benchmark '#1 Dates],Comp2[[#This Row],[Comparable '#2 Dates]]),COUNTIF(Benchmark2[Benchmark '#2 Dates],Comp2[[#This Row],[Comparable '#2 Dates]]))=2,"Pass","Fail")</f>
        <v>Pass</v>
      </c>
      <c r="I252" s="1">
        <f>IFERROR(Comp2[[#This Row],[Comparable '#2 Return]]-INDEX(Benchmark1[Benchmark '#1 Return],MATCH(Comp2[[#This Row],[Comparable '#2 Dates]],Benchmark1[Benchmark '#1 Dates],0)),"-")</f>
        <v>-5.003608219055761E-3</v>
      </c>
      <c r="L252" s="72">
        <f>Comp2[[#This Row],[Comparable '#2 Price]]/$B$2*100</f>
        <v>91.589537223340045</v>
      </c>
    </row>
    <row r="253" spans="1:12">
      <c r="A253" s="96">
        <v>43651</v>
      </c>
      <c r="B253" s="101">
        <v>45.54</v>
      </c>
      <c r="C253" s="4">
        <f t="shared" si="6"/>
        <v>4.3927081751788045E-4</v>
      </c>
      <c r="D253" s="1">
        <f>IFERROR(Comp2[[#This Row],[Comparable '#2 Return]]+1,"-")</f>
        <v>1.0004392708175178</v>
      </c>
      <c r="E253" s="6">
        <f>B253-MAX($B$2:B253)</f>
        <v>-12.619999999999997</v>
      </c>
      <c r="F253" s="80">
        <f t="shared" si="7"/>
        <v>160</v>
      </c>
      <c r="G253" s="77">
        <f>Comp2[[#This Row],[Comparable '#2 Drawdown]]/MAX($B$2:B253)</f>
        <v>-0.21698762035763408</v>
      </c>
      <c r="H253" s="1" t="str">
        <f>IF(SUM(COUNTIF(Benchmark1[Benchmark '#1 Dates],Comp2[[#This Row],[Comparable '#2 Dates]]),COUNTIF(Benchmark2[Benchmark '#2 Dates],Comp2[[#This Row],[Comparable '#2 Dates]]))=2,"Pass","Fail")</f>
        <v>Pass</v>
      </c>
      <c r="I253" s="1">
        <f>IFERROR(Comp2[[#This Row],[Comparable '#2 Return]]-INDEX(Benchmark1[Benchmark '#1 Return],MATCH(Comp2[[#This Row],[Comparable '#2 Dates]],Benchmark1[Benchmark '#1 Dates],0)),"-")</f>
        <v>2.2477576005239313E-3</v>
      </c>
      <c r="L253" s="72">
        <f>Comp2[[#This Row],[Comparable '#2 Price]]/$B$2*100</f>
        <v>91.629778672032188</v>
      </c>
    </row>
    <row r="254" spans="1:12">
      <c r="A254" s="96">
        <v>43654</v>
      </c>
      <c r="B254" s="101">
        <v>45.17</v>
      </c>
      <c r="C254" s="4">
        <f t="shared" si="6"/>
        <v>-8.1579109690807314E-3</v>
      </c>
      <c r="D254" s="1">
        <f>IFERROR(Comp2[[#This Row],[Comparable '#2 Return]]+1,"-")</f>
        <v>0.9918420890309193</v>
      </c>
      <c r="E254" s="6">
        <f>B254-MAX($B$2:B254)</f>
        <v>-12.989999999999995</v>
      </c>
      <c r="F254" s="80">
        <f t="shared" si="7"/>
        <v>161</v>
      </c>
      <c r="G254" s="77">
        <f>Comp2[[#This Row],[Comparable '#2 Drawdown]]/MAX($B$2:B254)</f>
        <v>-0.22334938101788163</v>
      </c>
      <c r="H254" s="1" t="str">
        <f>IF(SUM(COUNTIF(Benchmark1[Benchmark '#1 Dates],Comp2[[#This Row],[Comparable '#2 Dates]]),COUNTIF(Benchmark2[Benchmark '#2 Dates],Comp2[[#This Row],[Comparable '#2 Dates]]))=2,"Pass","Fail")</f>
        <v>Pass</v>
      </c>
      <c r="I254" s="1">
        <f>IFERROR(Comp2[[#This Row],[Comparable '#2 Return]]-INDEX(Benchmark1[Benchmark '#1 Return],MATCH(Comp2[[#This Row],[Comparable '#2 Dates]],Benchmark1[Benchmark '#1 Dates],0)),"-")</f>
        <v>-3.3093528401650224E-3</v>
      </c>
      <c r="L254" s="72">
        <f>Comp2[[#This Row],[Comparable '#2 Price]]/$B$2*100</f>
        <v>90.885311871227358</v>
      </c>
    </row>
    <row r="255" spans="1:12">
      <c r="A255" s="96">
        <v>43655</v>
      </c>
      <c r="B255" s="101">
        <v>45.1</v>
      </c>
      <c r="C255" s="4">
        <f t="shared" si="6"/>
        <v>-1.5509031578801011E-3</v>
      </c>
      <c r="D255" s="1">
        <f>IFERROR(Comp2[[#This Row],[Comparable '#2 Return]]+1,"-")</f>
        <v>0.99844909684211991</v>
      </c>
      <c r="E255" s="6">
        <f>B255-MAX($B$2:B255)</f>
        <v>-13.059999999999995</v>
      </c>
      <c r="F255" s="80">
        <f t="shared" si="7"/>
        <v>162</v>
      </c>
      <c r="G255" s="77">
        <f>Comp2[[#This Row],[Comparable '#2 Drawdown]]/MAX($B$2:B255)</f>
        <v>-0.22455295735900957</v>
      </c>
      <c r="H255" s="1" t="str">
        <f>IF(SUM(COUNTIF(Benchmark1[Benchmark '#1 Dates],Comp2[[#This Row],[Comparable '#2 Dates]]),COUNTIF(Benchmark2[Benchmark '#2 Dates],Comp2[[#This Row],[Comparable '#2 Dates]]))=2,"Pass","Fail")</f>
        <v>Pass</v>
      </c>
      <c r="I255" s="1">
        <f>IFERROR(Comp2[[#This Row],[Comparable '#2 Return]]-INDEX(Benchmark1[Benchmark '#1 Return],MATCH(Comp2[[#This Row],[Comparable '#2 Dates]],Benchmark1[Benchmark '#1 Dates],0)),"-")</f>
        <v>-2.7868232415462547E-3</v>
      </c>
      <c r="L255" s="72">
        <f>Comp2[[#This Row],[Comparable '#2 Price]]/$B$2*100</f>
        <v>90.74446680080483</v>
      </c>
    </row>
    <row r="256" spans="1:12">
      <c r="A256" s="96">
        <v>43656</v>
      </c>
      <c r="B256" s="101">
        <v>45.28</v>
      </c>
      <c r="C256" s="4">
        <f t="shared" si="6"/>
        <v>3.9831873862947531E-3</v>
      </c>
      <c r="D256" s="1">
        <f>IFERROR(Comp2[[#This Row],[Comparable '#2 Return]]+1,"-")</f>
        <v>1.0039831873862948</v>
      </c>
      <c r="E256" s="6">
        <f>B256-MAX($B$2:B256)</f>
        <v>-12.879999999999995</v>
      </c>
      <c r="F256" s="80">
        <f t="shared" si="7"/>
        <v>163</v>
      </c>
      <c r="G256" s="77">
        <f>Comp2[[#This Row],[Comparable '#2 Drawdown]]/MAX($B$2:B256)</f>
        <v>-0.22145804676753778</v>
      </c>
      <c r="H256" s="1" t="str">
        <f>IF(SUM(COUNTIF(Benchmark1[Benchmark '#1 Dates],Comp2[[#This Row],[Comparable '#2 Dates]]),COUNTIF(Benchmark2[Benchmark '#2 Dates],Comp2[[#This Row],[Comparable '#2 Dates]]))=2,"Pass","Fail")</f>
        <v>Pass</v>
      </c>
      <c r="I256" s="1">
        <f>IFERROR(Comp2[[#This Row],[Comparable '#2 Return]]-INDEX(Benchmark1[Benchmark '#1 Return],MATCH(Comp2[[#This Row],[Comparable '#2 Dates]],Benchmark1[Benchmark '#1 Dates],0)),"-")</f>
        <v>-5.1869095705063019E-4</v>
      </c>
      <c r="L256" s="72">
        <f>Comp2[[#This Row],[Comparable '#2 Price]]/$B$2*100</f>
        <v>91.106639839034202</v>
      </c>
    </row>
    <row r="257" spans="1:12">
      <c r="A257" s="96">
        <v>43657</v>
      </c>
      <c r="B257" s="101">
        <v>45.34</v>
      </c>
      <c r="C257" s="4">
        <f t="shared" si="6"/>
        <v>1.3242111844554507E-3</v>
      </c>
      <c r="D257" s="1">
        <f>IFERROR(Comp2[[#This Row],[Comparable '#2 Return]]+1,"-")</f>
        <v>1.0013242111844554</v>
      </c>
      <c r="E257" s="6">
        <f>B257-MAX($B$2:B257)</f>
        <v>-12.819999999999993</v>
      </c>
      <c r="F257" s="80">
        <f t="shared" si="7"/>
        <v>164</v>
      </c>
      <c r="G257" s="77">
        <f>Comp2[[#This Row],[Comparable '#2 Drawdown]]/MAX($B$2:B257)</f>
        <v>-0.22042640990371379</v>
      </c>
      <c r="H257" s="1" t="str">
        <f>IF(SUM(COUNTIF(Benchmark1[Benchmark '#1 Dates],Comp2[[#This Row],[Comparable '#2 Dates]]),COUNTIF(Benchmark2[Benchmark '#2 Dates],Comp2[[#This Row],[Comparable '#2 Dates]]))=2,"Pass","Fail")</f>
        <v>Pass</v>
      </c>
      <c r="I257" s="1">
        <f>IFERROR(Comp2[[#This Row],[Comparable '#2 Return]]-INDEX(Benchmark1[Benchmark '#1 Return],MATCH(Comp2[[#This Row],[Comparable '#2 Dates]],Benchmark1[Benchmark '#1 Dates],0)),"-")</f>
        <v>-9.5745695902964951E-4</v>
      </c>
      <c r="L257" s="72">
        <f>Comp2[[#This Row],[Comparable '#2 Price]]/$B$2*100</f>
        <v>91.227364185110673</v>
      </c>
    </row>
    <row r="258" spans="1:12">
      <c r="A258" s="96">
        <v>43658</v>
      </c>
      <c r="B258" s="101">
        <v>45.83</v>
      </c>
      <c r="C258" s="4">
        <f t="shared" ref="C258:C321" si="8">IFERROR(IF(B258="","-",LN(B258/B257)),"-")</f>
        <v>1.0749253441649587E-2</v>
      </c>
      <c r="D258" s="1">
        <f>IFERROR(Comp2[[#This Row],[Comparable '#2 Return]]+1,"-")</f>
        <v>1.0107492534416496</v>
      </c>
      <c r="E258" s="6">
        <f>B258-MAX($B$2:B258)</f>
        <v>-12.329999999999998</v>
      </c>
      <c r="F258" s="80">
        <f t="shared" ref="F258:F321" si="9">IF(E258=0,0,F257+1)</f>
        <v>165</v>
      </c>
      <c r="G258" s="77">
        <f>Comp2[[#This Row],[Comparable '#2 Drawdown]]/MAX($B$2:B258)</f>
        <v>-0.21200137551581841</v>
      </c>
      <c r="H258" s="1" t="str">
        <f>IF(SUM(COUNTIF(Benchmark1[Benchmark '#1 Dates],Comp2[[#This Row],[Comparable '#2 Dates]]),COUNTIF(Benchmark2[Benchmark '#2 Dates],Comp2[[#This Row],[Comparable '#2 Dates]]))=2,"Pass","Fail")</f>
        <v>Pass</v>
      </c>
      <c r="I258" s="1">
        <f>IFERROR(Comp2[[#This Row],[Comparable '#2 Return]]-INDEX(Benchmark1[Benchmark '#1 Return],MATCH(Comp2[[#This Row],[Comparable '#2 Dates]],Benchmark1[Benchmark '#1 Dates],0)),"-")</f>
        <v>6.1378583286762376E-3</v>
      </c>
      <c r="L258" s="72">
        <f>Comp2[[#This Row],[Comparable '#2 Price]]/$B$2*100</f>
        <v>92.213279678068403</v>
      </c>
    </row>
    <row r="259" spans="1:12">
      <c r="A259" s="96">
        <v>43661</v>
      </c>
      <c r="B259" s="101">
        <v>46.03</v>
      </c>
      <c r="C259" s="4">
        <f t="shared" si="8"/>
        <v>4.3544593081173552E-3</v>
      </c>
      <c r="D259" s="1">
        <f>IFERROR(Comp2[[#This Row],[Comparable '#2 Return]]+1,"-")</f>
        <v>1.0043544593081173</v>
      </c>
      <c r="E259" s="6">
        <f>B259-MAX($B$2:B259)</f>
        <v>-12.129999999999995</v>
      </c>
      <c r="F259" s="80">
        <f t="shared" si="9"/>
        <v>166</v>
      </c>
      <c r="G259" s="77">
        <f>Comp2[[#This Row],[Comparable '#2 Drawdown]]/MAX($B$2:B259)</f>
        <v>-0.20856258596973859</v>
      </c>
      <c r="H259" s="1" t="str">
        <f>IF(SUM(COUNTIF(Benchmark1[Benchmark '#1 Dates],Comp2[[#This Row],[Comparable '#2 Dates]]),COUNTIF(Benchmark2[Benchmark '#2 Dates],Comp2[[#This Row],[Comparable '#2 Dates]]))=2,"Pass","Fail")</f>
        <v>Pass</v>
      </c>
      <c r="I259" s="1">
        <f>IFERROR(Comp2[[#This Row],[Comparable '#2 Return]]-INDEX(Benchmark1[Benchmark '#1 Return],MATCH(Comp2[[#This Row],[Comparable '#2 Dates]],Benchmark1[Benchmark '#1 Dates],0)),"-")</f>
        <v>4.1801958735557445E-3</v>
      </c>
      <c r="L259" s="72">
        <f>Comp2[[#This Row],[Comparable '#2 Price]]/$B$2*100</f>
        <v>92.615694164989932</v>
      </c>
    </row>
    <row r="260" spans="1:12">
      <c r="A260" s="96">
        <v>43662</v>
      </c>
      <c r="B260" s="101">
        <v>46.38</v>
      </c>
      <c r="C260" s="4">
        <f t="shared" si="8"/>
        <v>7.5749739982356656E-3</v>
      </c>
      <c r="D260" s="1">
        <f>IFERROR(Comp2[[#This Row],[Comparable '#2 Return]]+1,"-")</f>
        <v>1.0075749739982356</v>
      </c>
      <c r="E260" s="6">
        <f>B260-MAX($B$2:B260)</f>
        <v>-11.779999999999994</v>
      </c>
      <c r="F260" s="80">
        <f t="shared" si="9"/>
        <v>167</v>
      </c>
      <c r="G260" s="77">
        <f>Comp2[[#This Row],[Comparable '#2 Drawdown]]/MAX($B$2:B260)</f>
        <v>-0.20254470426409896</v>
      </c>
      <c r="H260" s="1" t="str">
        <f>IF(SUM(COUNTIF(Benchmark1[Benchmark '#1 Dates],Comp2[[#This Row],[Comparable '#2 Dates]]),COUNTIF(Benchmark2[Benchmark '#2 Dates],Comp2[[#This Row],[Comparable '#2 Dates]]))=2,"Pass","Fail")</f>
        <v>Pass</v>
      </c>
      <c r="I260" s="1">
        <f>IFERROR(Comp2[[#This Row],[Comparable '#2 Return]]-INDEX(Benchmark1[Benchmark '#1 Return],MATCH(Comp2[[#This Row],[Comparable '#2 Dates]],Benchmark1[Benchmark '#1 Dates],0)),"-")</f>
        <v>1.0982820520693583E-2</v>
      </c>
      <c r="L260" s="72">
        <f>Comp2[[#This Row],[Comparable '#2 Price]]/$B$2*100</f>
        <v>93.319919517102619</v>
      </c>
    </row>
    <row r="261" spans="1:12">
      <c r="A261" s="96">
        <v>43663</v>
      </c>
      <c r="B261" s="101">
        <v>46.61</v>
      </c>
      <c r="C261" s="4">
        <f t="shared" si="8"/>
        <v>4.9467785572639006E-3</v>
      </c>
      <c r="D261" s="1">
        <f>IFERROR(Comp2[[#This Row],[Comparable '#2 Return]]+1,"-")</f>
        <v>1.0049467785572639</v>
      </c>
      <c r="E261" s="6">
        <f>B261-MAX($B$2:B261)</f>
        <v>-11.549999999999997</v>
      </c>
      <c r="F261" s="80">
        <f t="shared" si="9"/>
        <v>168</v>
      </c>
      <c r="G261" s="77">
        <f>Comp2[[#This Row],[Comparable '#2 Drawdown]]/MAX($B$2:B261)</f>
        <v>-0.19859009628610724</v>
      </c>
      <c r="H261" s="1" t="str">
        <f>IF(SUM(COUNTIF(Benchmark1[Benchmark '#1 Dates],Comp2[[#This Row],[Comparable '#2 Dates]]),COUNTIF(Benchmark2[Benchmark '#2 Dates],Comp2[[#This Row],[Comparable '#2 Dates]]))=2,"Pass","Fail")</f>
        <v>Pass</v>
      </c>
      <c r="I261" s="1">
        <f>IFERROR(Comp2[[#This Row],[Comparable '#2 Return]]-INDEX(Benchmark1[Benchmark '#1 Return],MATCH(Comp2[[#This Row],[Comparable '#2 Dates]],Benchmark1[Benchmark '#1 Dates],0)),"-")</f>
        <v>1.1499275024955471E-2</v>
      </c>
      <c r="L261" s="72">
        <f>Comp2[[#This Row],[Comparable '#2 Price]]/$B$2*100</f>
        <v>93.782696177062363</v>
      </c>
    </row>
    <row r="262" spans="1:12">
      <c r="A262" s="96">
        <v>43664</v>
      </c>
      <c r="B262" s="101">
        <v>47.29</v>
      </c>
      <c r="C262" s="4">
        <f t="shared" si="8"/>
        <v>1.4483746271134808E-2</v>
      </c>
      <c r="D262" s="1">
        <f>IFERROR(Comp2[[#This Row],[Comparable '#2 Return]]+1,"-")</f>
        <v>1.0144837462711349</v>
      </c>
      <c r="E262" s="6">
        <f>B262-MAX($B$2:B262)</f>
        <v>-10.869999999999997</v>
      </c>
      <c r="F262" s="80">
        <f t="shared" si="9"/>
        <v>169</v>
      </c>
      <c r="G262" s="77">
        <f>Comp2[[#This Row],[Comparable '#2 Drawdown]]/MAX($B$2:B262)</f>
        <v>-0.186898211829436</v>
      </c>
      <c r="H262" s="1" t="str">
        <f>IF(SUM(COUNTIF(Benchmark1[Benchmark '#1 Dates],Comp2[[#This Row],[Comparable '#2 Dates]]),COUNTIF(Benchmark2[Benchmark '#2 Dates],Comp2[[#This Row],[Comparable '#2 Dates]]))=2,"Pass","Fail")</f>
        <v>Pass</v>
      </c>
      <c r="I262" s="1">
        <f>IFERROR(Comp2[[#This Row],[Comparable '#2 Return]]-INDEX(Benchmark1[Benchmark '#1 Return],MATCH(Comp2[[#This Row],[Comparable '#2 Dates]],Benchmark1[Benchmark '#1 Dates],0)),"-")</f>
        <v>1.0908550824416727E-2</v>
      </c>
      <c r="L262" s="72">
        <f>Comp2[[#This Row],[Comparable '#2 Price]]/$B$2*100</f>
        <v>95.150905432595565</v>
      </c>
    </row>
    <row r="263" spans="1:12">
      <c r="A263" s="96">
        <v>43665</v>
      </c>
      <c r="B263" s="101">
        <v>47.41</v>
      </c>
      <c r="C263" s="4">
        <f t="shared" si="8"/>
        <v>2.5343202582425871E-3</v>
      </c>
      <c r="D263" s="1">
        <f>IFERROR(Comp2[[#This Row],[Comparable '#2 Return]]+1,"-")</f>
        <v>1.0025343202582426</v>
      </c>
      <c r="E263" s="6">
        <f>B263-MAX($B$2:B263)</f>
        <v>-10.75</v>
      </c>
      <c r="F263" s="80">
        <f t="shared" si="9"/>
        <v>170</v>
      </c>
      <c r="G263" s="77">
        <f>Comp2[[#This Row],[Comparable '#2 Drawdown]]/MAX($B$2:B263)</f>
        <v>-0.18483493810178819</v>
      </c>
      <c r="H263" s="1" t="str">
        <f>IF(SUM(COUNTIF(Benchmark1[Benchmark '#1 Dates],Comp2[[#This Row],[Comparable '#2 Dates]]),COUNTIF(Benchmark2[Benchmark '#2 Dates],Comp2[[#This Row],[Comparable '#2 Dates]]))=2,"Pass","Fail")</f>
        <v>Pass</v>
      </c>
      <c r="I263" s="1">
        <f>IFERROR(Comp2[[#This Row],[Comparable '#2 Return]]-INDEX(Benchmark1[Benchmark '#1 Return],MATCH(Comp2[[#This Row],[Comparable '#2 Dates]],Benchmark1[Benchmark '#1 Dates],0)),"-")</f>
        <v>8.7313496044274241E-3</v>
      </c>
      <c r="L263" s="72">
        <f>Comp2[[#This Row],[Comparable '#2 Price]]/$B$2*100</f>
        <v>95.392354124748479</v>
      </c>
    </row>
    <row r="264" spans="1:12">
      <c r="A264" s="96">
        <v>43668</v>
      </c>
      <c r="B264" s="101">
        <v>47.4</v>
      </c>
      <c r="C264" s="4">
        <f t="shared" si="8"/>
        <v>-2.1094821299614901E-4</v>
      </c>
      <c r="D264" s="1">
        <f>IFERROR(Comp2[[#This Row],[Comparable '#2 Return]]+1,"-")</f>
        <v>0.99978905178700384</v>
      </c>
      <c r="E264" s="6">
        <f>B264-MAX($B$2:B264)</f>
        <v>-10.759999999999998</v>
      </c>
      <c r="F264" s="80">
        <f t="shared" si="9"/>
        <v>171</v>
      </c>
      <c r="G264" s="77">
        <f>Comp2[[#This Row],[Comparable '#2 Drawdown]]/MAX($B$2:B264)</f>
        <v>-0.18500687757909215</v>
      </c>
      <c r="H264" s="1" t="str">
        <f>IF(SUM(COUNTIF(Benchmark1[Benchmark '#1 Dates],Comp2[[#This Row],[Comparable '#2 Dates]]),COUNTIF(Benchmark2[Benchmark '#2 Dates],Comp2[[#This Row],[Comparable '#2 Dates]]))=2,"Pass","Fail")</f>
        <v>Pass</v>
      </c>
      <c r="I264" s="1">
        <f>IFERROR(Comp2[[#This Row],[Comparable '#2 Return]]-INDEX(Benchmark1[Benchmark '#1 Return],MATCH(Comp2[[#This Row],[Comparable '#2 Dates]],Benchmark1[Benchmark '#1 Dates],0)),"-")</f>
        <v>-3.0363800176196575E-3</v>
      </c>
      <c r="L264" s="72">
        <f>Comp2[[#This Row],[Comparable '#2 Price]]/$B$2*100</f>
        <v>95.372233400402408</v>
      </c>
    </row>
    <row r="265" spans="1:12">
      <c r="A265" s="96">
        <v>43669</v>
      </c>
      <c r="B265" s="101">
        <v>48.07</v>
      </c>
      <c r="C265" s="4">
        <f t="shared" si="8"/>
        <v>1.4036053204838445E-2</v>
      </c>
      <c r="D265" s="1">
        <f>IFERROR(Comp2[[#This Row],[Comparable '#2 Return]]+1,"-")</f>
        <v>1.0140360532048385</v>
      </c>
      <c r="E265" s="6">
        <f>B265-MAX($B$2:B265)</f>
        <v>-10.089999999999996</v>
      </c>
      <c r="F265" s="80">
        <f t="shared" si="9"/>
        <v>172</v>
      </c>
      <c r="G265" s="77">
        <f>Comp2[[#This Row],[Comparable '#2 Drawdown]]/MAX($B$2:B265)</f>
        <v>-0.17348693259972484</v>
      </c>
      <c r="H265" s="1" t="str">
        <f>IF(SUM(COUNTIF(Benchmark1[Benchmark '#1 Dates],Comp2[[#This Row],[Comparable '#2 Dates]]),COUNTIF(Benchmark2[Benchmark '#2 Dates],Comp2[[#This Row],[Comparable '#2 Dates]]))=2,"Pass","Fail")</f>
        <v>Pass</v>
      </c>
      <c r="I265" s="1">
        <f>IFERROR(Comp2[[#This Row],[Comparable '#2 Return]]-INDEX(Benchmark1[Benchmark '#1 Return],MATCH(Comp2[[#This Row],[Comparable '#2 Dates]],Benchmark1[Benchmark '#1 Dates],0)),"-")</f>
        <v>7.2111152208363472E-3</v>
      </c>
      <c r="L265" s="72">
        <f>Comp2[[#This Row],[Comparable '#2 Price]]/$B$2*100</f>
        <v>96.720321931589538</v>
      </c>
    </row>
    <row r="266" spans="1:12">
      <c r="A266" s="96">
        <v>43670</v>
      </c>
      <c r="B266" s="101">
        <v>48.88</v>
      </c>
      <c r="C266" s="4">
        <f t="shared" si="8"/>
        <v>1.6710032957470554E-2</v>
      </c>
      <c r="D266" s="1">
        <f>IFERROR(Comp2[[#This Row],[Comparable '#2 Return]]+1,"-")</f>
        <v>1.0167100329574705</v>
      </c>
      <c r="E266" s="6">
        <f>B266-MAX($B$2:B266)</f>
        <v>-9.279999999999994</v>
      </c>
      <c r="F266" s="80">
        <f t="shared" si="9"/>
        <v>173</v>
      </c>
      <c r="G266" s="77">
        <f>Comp2[[#This Row],[Comparable '#2 Drawdown]]/MAX($B$2:B266)</f>
        <v>-0.15955983493810169</v>
      </c>
      <c r="H266" s="1" t="str">
        <f>IF(SUM(COUNTIF(Benchmark1[Benchmark '#1 Dates],Comp2[[#This Row],[Comparable '#2 Dates]]),COUNTIF(Benchmark2[Benchmark '#2 Dates],Comp2[[#This Row],[Comparable '#2 Dates]]))=2,"Pass","Fail")</f>
        <v>Pass</v>
      </c>
      <c r="I266" s="1">
        <f>IFERROR(Comp2[[#This Row],[Comparable '#2 Return]]-INDEX(Benchmark1[Benchmark '#1 Return],MATCH(Comp2[[#This Row],[Comparable '#2 Dates]],Benchmark1[Benchmark '#1 Dates],0)),"-")</f>
        <v>1.2035168718793537E-2</v>
      </c>
      <c r="L266" s="72">
        <f>Comp2[[#This Row],[Comparable '#2 Price]]/$B$2*100</f>
        <v>98.350100603621726</v>
      </c>
    </row>
    <row r="267" spans="1:12">
      <c r="A267" s="96">
        <v>43671</v>
      </c>
      <c r="B267" s="101">
        <v>47.86</v>
      </c>
      <c r="C267" s="4">
        <f t="shared" si="8"/>
        <v>-2.108823238311263E-2</v>
      </c>
      <c r="D267" s="1">
        <f>IFERROR(Comp2[[#This Row],[Comparable '#2 Return]]+1,"-")</f>
        <v>0.97891176761688736</v>
      </c>
      <c r="E267" s="6">
        <f>B267-MAX($B$2:B267)</f>
        <v>-10.299999999999997</v>
      </c>
      <c r="F267" s="80">
        <f t="shared" si="9"/>
        <v>174</v>
      </c>
      <c r="G267" s="77">
        <f>Comp2[[#This Row],[Comparable '#2 Drawdown]]/MAX($B$2:B267)</f>
        <v>-0.17709766162310864</v>
      </c>
      <c r="H267" s="1" t="str">
        <f>IF(SUM(COUNTIF(Benchmark1[Benchmark '#1 Dates],Comp2[[#This Row],[Comparable '#2 Dates]]),COUNTIF(Benchmark2[Benchmark '#2 Dates],Comp2[[#This Row],[Comparable '#2 Dates]]))=2,"Pass","Fail")</f>
        <v>Pass</v>
      </c>
      <c r="I267" s="1">
        <f>IFERROR(Comp2[[#This Row],[Comparable '#2 Return]]-INDEX(Benchmark1[Benchmark '#1 Return],MATCH(Comp2[[#This Row],[Comparable '#2 Dates]],Benchmark1[Benchmark '#1 Dates],0)),"-")</f>
        <v>-1.5813536944391568E-2</v>
      </c>
      <c r="L267" s="72">
        <f>Comp2[[#This Row],[Comparable '#2 Price]]/$B$2*100</f>
        <v>96.297786720321923</v>
      </c>
    </row>
    <row r="268" spans="1:12">
      <c r="A268" s="96">
        <v>43672</v>
      </c>
      <c r="B268" s="101">
        <v>48.66</v>
      </c>
      <c r="C268" s="4">
        <f t="shared" si="8"/>
        <v>1.6577254875149289E-2</v>
      </c>
      <c r="D268" s="1">
        <f>IFERROR(Comp2[[#This Row],[Comparable '#2 Return]]+1,"-")</f>
        <v>1.0165772548751493</v>
      </c>
      <c r="E268" s="6">
        <f>B268-MAX($B$2:B268)</f>
        <v>-9.5</v>
      </c>
      <c r="F268" s="80">
        <f t="shared" si="9"/>
        <v>175</v>
      </c>
      <c r="G268" s="77">
        <f>Comp2[[#This Row],[Comparable '#2 Drawdown]]/MAX($B$2:B268)</f>
        <v>-0.16334250343878956</v>
      </c>
      <c r="H268" s="1" t="str">
        <f>IF(SUM(COUNTIF(Benchmark1[Benchmark '#1 Dates],Comp2[[#This Row],[Comparable '#2 Dates]]),COUNTIF(Benchmark2[Benchmark '#2 Dates],Comp2[[#This Row],[Comparable '#2 Dates]]))=2,"Pass","Fail")</f>
        <v>Pass</v>
      </c>
      <c r="I268" s="1">
        <f>IFERROR(Comp2[[#This Row],[Comparable '#2 Return]]-INDEX(Benchmark1[Benchmark '#1 Return],MATCH(Comp2[[#This Row],[Comparable '#2 Dates]],Benchmark1[Benchmark '#1 Dates],0)),"-")</f>
        <v>9.2174786760945843E-3</v>
      </c>
      <c r="L268" s="72">
        <f>Comp2[[#This Row],[Comparable '#2 Price]]/$B$2*100</f>
        <v>97.90744466800804</v>
      </c>
    </row>
    <row r="269" spans="1:12">
      <c r="A269" s="96">
        <v>43675</v>
      </c>
      <c r="B269" s="101">
        <v>48.21</v>
      </c>
      <c r="C269" s="4">
        <f t="shared" si="8"/>
        <v>-9.2908689378455173E-3</v>
      </c>
      <c r="D269" s="1">
        <f>IFERROR(Comp2[[#This Row],[Comparable '#2 Return]]+1,"-")</f>
        <v>0.99070913106215452</v>
      </c>
      <c r="E269" s="6">
        <f>B269-MAX($B$2:B269)</f>
        <v>-9.9499999999999957</v>
      </c>
      <c r="F269" s="80">
        <f t="shared" si="9"/>
        <v>176</v>
      </c>
      <c r="G269" s="77">
        <f>Comp2[[#This Row],[Comparable '#2 Drawdown]]/MAX($B$2:B269)</f>
        <v>-0.17107977991746898</v>
      </c>
      <c r="H269" s="1" t="str">
        <f>IF(SUM(COUNTIF(Benchmark1[Benchmark '#1 Dates],Comp2[[#This Row],[Comparable '#2 Dates]]),COUNTIF(Benchmark2[Benchmark '#2 Dates],Comp2[[#This Row],[Comparable '#2 Dates]]))=2,"Pass","Fail")</f>
        <v>Pass</v>
      </c>
      <c r="I269" s="1">
        <f>IFERROR(Comp2[[#This Row],[Comparable '#2 Return]]-INDEX(Benchmark1[Benchmark '#1 Return],MATCH(Comp2[[#This Row],[Comparable '#2 Dates]],Benchmark1[Benchmark '#1 Dates],0)),"-")</f>
        <v>-7.6731523980252039E-3</v>
      </c>
      <c r="L269" s="72">
        <f>Comp2[[#This Row],[Comparable '#2 Price]]/$B$2*100</f>
        <v>97.00201207243461</v>
      </c>
    </row>
    <row r="270" spans="1:12">
      <c r="A270" s="96">
        <v>43676</v>
      </c>
      <c r="B270" s="101">
        <v>48.97</v>
      </c>
      <c r="C270" s="4">
        <f t="shared" si="8"/>
        <v>1.5641397296695045E-2</v>
      </c>
      <c r="D270" s="1">
        <f>IFERROR(Comp2[[#This Row],[Comparable '#2 Return]]+1,"-")</f>
        <v>1.0156413972966951</v>
      </c>
      <c r="E270" s="6">
        <f>B270-MAX($B$2:B270)</f>
        <v>-9.1899999999999977</v>
      </c>
      <c r="F270" s="80">
        <f t="shared" si="9"/>
        <v>177</v>
      </c>
      <c r="G270" s="77">
        <f>Comp2[[#This Row],[Comparable '#2 Drawdown]]/MAX($B$2:B270)</f>
        <v>-0.15801237964236586</v>
      </c>
      <c r="H270" s="1" t="str">
        <f>IF(SUM(COUNTIF(Benchmark1[Benchmark '#1 Dates],Comp2[[#This Row],[Comparable '#2 Dates]]),COUNTIF(Benchmark2[Benchmark '#2 Dates],Comp2[[#This Row],[Comparable '#2 Dates]]))=2,"Pass","Fail")</f>
        <v>Pass</v>
      </c>
      <c r="I270" s="1">
        <f>IFERROR(Comp2[[#This Row],[Comparable '#2 Return]]-INDEX(Benchmark1[Benchmark '#1 Return],MATCH(Comp2[[#This Row],[Comparable '#2 Dates]],Benchmark1[Benchmark '#1 Dates],0)),"-")</f>
        <v>1.8222130165013003E-2</v>
      </c>
      <c r="L270" s="72">
        <f>Comp2[[#This Row],[Comparable '#2 Price]]/$B$2*100</f>
        <v>98.531187122736412</v>
      </c>
    </row>
    <row r="271" spans="1:12">
      <c r="A271" s="96">
        <v>43677</v>
      </c>
      <c r="B271" s="101">
        <v>47.37</v>
      </c>
      <c r="C271" s="4">
        <f t="shared" si="8"/>
        <v>-3.3218748778565663E-2</v>
      </c>
      <c r="D271" s="1">
        <f>IFERROR(Comp2[[#This Row],[Comparable '#2 Return]]+1,"-")</f>
        <v>0.96678125122143432</v>
      </c>
      <c r="E271" s="6">
        <f>B271-MAX($B$2:B271)</f>
        <v>-10.79</v>
      </c>
      <c r="F271" s="80">
        <f t="shared" si="9"/>
        <v>178</v>
      </c>
      <c r="G271" s="77">
        <f>Comp2[[#This Row],[Comparable '#2 Drawdown]]/MAX($B$2:B271)</f>
        <v>-0.18552269601100413</v>
      </c>
      <c r="H271" s="1" t="str">
        <f>IF(SUM(COUNTIF(Benchmark1[Benchmark '#1 Dates],Comp2[[#This Row],[Comparable '#2 Dates]]),COUNTIF(Benchmark2[Benchmark '#2 Dates],Comp2[[#This Row],[Comparable '#2 Dates]]))=2,"Pass","Fail")</f>
        <v>Pass</v>
      </c>
      <c r="I271" s="1">
        <f>IFERROR(Comp2[[#This Row],[Comparable '#2 Return]]-INDEX(Benchmark1[Benchmark '#1 Return],MATCH(Comp2[[#This Row],[Comparable '#2 Dates]],Benchmark1[Benchmark '#1 Dates],0)),"-")</f>
        <v>-2.227255592896938E-2</v>
      </c>
      <c r="L271" s="72">
        <f>Comp2[[#This Row],[Comparable '#2 Price]]/$B$2*100</f>
        <v>95.311871227364179</v>
      </c>
    </row>
    <row r="272" spans="1:12">
      <c r="A272" s="96">
        <v>43678</v>
      </c>
      <c r="B272" s="101">
        <v>47.28</v>
      </c>
      <c r="C272" s="4">
        <f t="shared" si="8"/>
        <v>-1.9017438378175833E-3</v>
      </c>
      <c r="D272" s="1">
        <f>IFERROR(Comp2[[#This Row],[Comparable '#2 Return]]+1,"-")</f>
        <v>0.9980982561621824</v>
      </c>
      <c r="E272" s="6">
        <f>B272-MAX($B$2:B272)</f>
        <v>-10.879999999999995</v>
      </c>
      <c r="F272" s="80">
        <f t="shared" si="9"/>
        <v>179</v>
      </c>
      <c r="G272" s="77">
        <f>Comp2[[#This Row],[Comparable '#2 Drawdown]]/MAX($B$2:B272)</f>
        <v>-0.18707015130673996</v>
      </c>
      <c r="H272" s="1" t="str">
        <f>IF(SUM(COUNTIF(Benchmark1[Benchmark '#1 Dates],Comp2[[#This Row],[Comparable '#2 Dates]]),COUNTIF(Benchmark2[Benchmark '#2 Dates],Comp2[[#This Row],[Comparable '#2 Dates]]))=2,"Pass","Fail")</f>
        <v>Pass</v>
      </c>
      <c r="I272" s="1">
        <f>IFERROR(Comp2[[#This Row],[Comparable '#2 Return]]-INDEX(Benchmark1[Benchmark '#1 Return],MATCH(Comp2[[#This Row],[Comparable '#2 Dates]],Benchmark1[Benchmark '#1 Dates],0)),"-")</f>
        <v>7.1374166732443255E-3</v>
      </c>
      <c r="L272" s="72">
        <f>Comp2[[#This Row],[Comparable '#2 Price]]/$B$2*100</f>
        <v>95.130784708249493</v>
      </c>
    </row>
    <row r="273" spans="1:12">
      <c r="A273" s="96">
        <v>43679</v>
      </c>
      <c r="B273" s="101">
        <v>46.39</v>
      </c>
      <c r="C273" s="4">
        <f t="shared" si="8"/>
        <v>-1.9003454334190515E-2</v>
      </c>
      <c r="D273" s="1">
        <f>IFERROR(Comp2[[#This Row],[Comparable '#2 Return]]+1,"-")</f>
        <v>0.98099654566580952</v>
      </c>
      <c r="E273" s="6">
        <f>B273-MAX($B$2:B273)</f>
        <v>-11.769999999999996</v>
      </c>
      <c r="F273" s="80">
        <f t="shared" si="9"/>
        <v>180</v>
      </c>
      <c r="G273" s="77">
        <f>Comp2[[#This Row],[Comparable '#2 Drawdown]]/MAX($B$2:B273)</f>
        <v>-0.202372764786795</v>
      </c>
      <c r="H273" s="1" t="str">
        <f>IF(SUM(COUNTIF(Benchmark1[Benchmark '#1 Dates],Comp2[[#This Row],[Comparable '#2 Dates]]),COUNTIF(Benchmark2[Benchmark '#2 Dates],Comp2[[#This Row],[Comparable '#2 Dates]]))=2,"Pass","Fail")</f>
        <v>Pass</v>
      </c>
      <c r="I273" s="1">
        <f>IFERROR(Comp2[[#This Row],[Comparable '#2 Return]]-INDEX(Benchmark1[Benchmark '#1 Return],MATCH(Comp2[[#This Row],[Comparable '#2 Dates]],Benchmark1[Benchmark '#1 Dates],0)),"-")</f>
        <v>-1.1692392568056882E-2</v>
      </c>
      <c r="L273" s="72">
        <f>Comp2[[#This Row],[Comparable '#2 Price]]/$B$2*100</f>
        <v>93.34004024144869</v>
      </c>
    </row>
    <row r="274" spans="1:12">
      <c r="A274" s="96">
        <v>43682</v>
      </c>
      <c r="B274" s="101">
        <v>44.42</v>
      </c>
      <c r="C274" s="4">
        <f t="shared" si="8"/>
        <v>-4.3394100297370945E-2</v>
      </c>
      <c r="D274" s="1">
        <f>IFERROR(Comp2[[#This Row],[Comparable '#2 Return]]+1,"-")</f>
        <v>0.9566058997026291</v>
      </c>
      <c r="E274" s="6">
        <f>B274-MAX($B$2:B274)</f>
        <v>-13.739999999999995</v>
      </c>
      <c r="F274" s="80">
        <f t="shared" si="9"/>
        <v>181</v>
      </c>
      <c r="G274" s="77">
        <f>Comp2[[#This Row],[Comparable '#2 Drawdown]]/MAX($B$2:B274)</f>
        <v>-0.23624484181568081</v>
      </c>
      <c r="H274" s="1" t="str">
        <f>IF(SUM(COUNTIF(Benchmark1[Benchmark '#1 Dates],Comp2[[#This Row],[Comparable '#2 Dates]]),COUNTIF(Benchmark2[Benchmark '#2 Dates],Comp2[[#This Row],[Comparable '#2 Dates]]))=2,"Pass","Fail")</f>
        <v>Pass</v>
      </c>
      <c r="I274" s="1">
        <f>IFERROR(Comp2[[#This Row],[Comparable '#2 Return]]-INDEX(Benchmark1[Benchmark '#1 Return],MATCH(Comp2[[#This Row],[Comparable '#2 Dates]],Benchmark1[Benchmark '#1 Dates],0)),"-")</f>
        <v>-1.3166524804999965E-2</v>
      </c>
      <c r="L274" s="72">
        <f>Comp2[[#This Row],[Comparable '#2 Price]]/$B$2*100</f>
        <v>89.376257545271628</v>
      </c>
    </row>
    <row r="275" spans="1:12">
      <c r="A275" s="96">
        <v>43683</v>
      </c>
      <c r="B275" s="101">
        <v>46.36</v>
      </c>
      <c r="C275" s="4">
        <f t="shared" si="8"/>
        <v>4.2747200005269569E-2</v>
      </c>
      <c r="D275" s="1">
        <f>IFERROR(Comp2[[#This Row],[Comparable '#2 Return]]+1,"-")</f>
        <v>1.0427472000052695</v>
      </c>
      <c r="E275" s="6">
        <f>B275-MAX($B$2:B275)</f>
        <v>-11.799999999999997</v>
      </c>
      <c r="F275" s="80">
        <f t="shared" si="9"/>
        <v>182</v>
      </c>
      <c r="G275" s="77">
        <f>Comp2[[#This Row],[Comparable '#2 Drawdown]]/MAX($B$2:B275)</f>
        <v>-0.20288858321870698</v>
      </c>
      <c r="H275" s="1" t="str">
        <f>IF(SUM(COUNTIF(Benchmark1[Benchmark '#1 Dates],Comp2[[#This Row],[Comparable '#2 Dates]]),COUNTIF(Benchmark2[Benchmark '#2 Dates],Comp2[[#This Row],[Comparable '#2 Dates]]))=2,"Pass","Fail")</f>
        <v>Pass</v>
      </c>
      <c r="I275" s="1">
        <f>IFERROR(Comp2[[#This Row],[Comparable '#2 Return]]-INDEX(Benchmark1[Benchmark '#1 Return],MATCH(Comp2[[#This Row],[Comparable '#2 Dates]],Benchmark1[Benchmark '#1 Dates],0)),"-")</f>
        <v>2.98137245581293E-2</v>
      </c>
      <c r="L275" s="72">
        <f>Comp2[[#This Row],[Comparable '#2 Price]]/$B$2*100</f>
        <v>93.279678068410448</v>
      </c>
    </row>
    <row r="276" spans="1:12">
      <c r="A276" s="96">
        <v>43684</v>
      </c>
      <c r="B276" s="101">
        <v>46.35</v>
      </c>
      <c r="C276" s="4">
        <f t="shared" si="8"/>
        <v>-2.157264596867091E-4</v>
      </c>
      <c r="D276" s="1">
        <f>IFERROR(Comp2[[#This Row],[Comparable '#2 Return]]+1,"-")</f>
        <v>0.9997842735403133</v>
      </c>
      <c r="E276" s="6">
        <f>B276-MAX($B$2:B276)</f>
        <v>-11.809999999999995</v>
      </c>
      <c r="F276" s="80">
        <f t="shared" si="9"/>
        <v>183</v>
      </c>
      <c r="G276" s="77">
        <f>Comp2[[#This Row],[Comparable '#2 Drawdown]]/MAX($B$2:B276)</f>
        <v>-0.20306052269601094</v>
      </c>
      <c r="H276" s="1" t="str">
        <f>IF(SUM(COUNTIF(Benchmark1[Benchmark '#1 Dates],Comp2[[#This Row],[Comparable '#2 Dates]]),COUNTIF(Benchmark2[Benchmark '#2 Dates],Comp2[[#This Row],[Comparable '#2 Dates]]))=2,"Pass","Fail")</f>
        <v>Pass</v>
      </c>
      <c r="I276" s="1">
        <f>IFERROR(Comp2[[#This Row],[Comparable '#2 Return]]-INDEX(Benchmark1[Benchmark '#1 Return],MATCH(Comp2[[#This Row],[Comparable '#2 Dates]],Benchmark1[Benchmark '#1 Dates],0)),"-")</f>
        <v>-9.8244013929582683E-4</v>
      </c>
      <c r="L276" s="72">
        <f>Comp2[[#This Row],[Comparable '#2 Price]]/$B$2*100</f>
        <v>93.259557344064376</v>
      </c>
    </row>
    <row r="277" spans="1:12">
      <c r="A277" s="96">
        <v>43685</v>
      </c>
      <c r="B277" s="101">
        <v>48.18</v>
      </c>
      <c r="C277" s="4">
        <f t="shared" si="8"/>
        <v>3.8722705174861018E-2</v>
      </c>
      <c r="D277" s="1">
        <f>IFERROR(Comp2[[#This Row],[Comparable '#2 Return]]+1,"-")</f>
        <v>1.0387227051748611</v>
      </c>
      <c r="E277" s="6">
        <f>B277-MAX($B$2:B277)</f>
        <v>-9.9799999999999969</v>
      </c>
      <c r="F277" s="80">
        <f t="shared" si="9"/>
        <v>184</v>
      </c>
      <c r="G277" s="77">
        <f>Comp2[[#This Row],[Comparable '#2 Drawdown]]/MAX($B$2:B277)</f>
        <v>-0.17159559834938098</v>
      </c>
      <c r="H277" s="1" t="str">
        <f>IF(SUM(COUNTIF(Benchmark1[Benchmark '#1 Dates],Comp2[[#This Row],[Comparable '#2 Dates]]),COUNTIF(Benchmark2[Benchmark '#2 Dates],Comp2[[#This Row],[Comparable '#2 Dates]]))=2,"Pass","Fail")</f>
        <v>Pass</v>
      </c>
      <c r="I277" s="1">
        <f>IFERROR(Comp2[[#This Row],[Comparable '#2 Return]]-INDEX(Benchmark1[Benchmark '#1 Return],MATCH(Comp2[[#This Row],[Comparable '#2 Dates]],Benchmark1[Benchmark '#1 Dates],0)),"-")</f>
        <v>2.0134270429354062E-2</v>
      </c>
      <c r="L277" s="72">
        <f>Comp2[[#This Row],[Comparable '#2 Price]]/$B$2*100</f>
        <v>96.941649899396381</v>
      </c>
    </row>
    <row r="278" spans="1:12">
      <c r="A278" s="96">
        <v>43686</v>
      </c>
      <c r="B278" s="101">
        <v>48.09</v>
      </c>
      <c r="C278" s="4">
        <f t="shared" si="8"/>
        <v>-1.8697418971539252E-3</v>
      </c>
      <c r="D278" s="1">
        <f>IFERROR(Comp2[[#This Row],[Comparable '#2 Return]]+1,"-")</f>
        <v>0.99813025810284606</v>
      </c>
      <c r="E278" s="6">
        <f>B278-MAX($B$2:B278)</f>
        <v>-10.069999999999993</v>
      </c>
      <c r="F278" s="80">
        <f t="shared" si="9"/>
        <v>185</v>
      </c>
      <c r="G278" s="77">
        <f>Comp2[[#This Row],[Comparable '#2 Drawdown]]/MAX($B$2:B278)</f>
        <v>-0.17314305364511681</v>
      </c>
      <c r="H278" s="1" t="str">
        <f>IF(SUM(COUNTIF(Benchmark1[Benchmark '#1 Dates],Comp2[[#This Row],[Comparable '#2 Dates]]),COUNTIF(Benchmark2[Benchmark '#2 Dates],Comp2[[#This Row],[Comparable '#2 Dates]]))=2,"Pass","Fail")</f>
        <v>Pass</v>
      </c>
      <c r="I278" s="1">
        <f>IFERROR(Comp2[[#This Row],[Comparable '#2 Return]]-INDEX(Benchmark1[Benchmark '#1 Return],MATCH(Comp2[[#This Row],[Comparable '#2 Dates]],Benchmark1[Benchmark '#1 Dates],0)),"-")</f>
        <v>4.7718352492268235E-3</v>
      </c>
      <c r="L278" s="72">
        <f>Comp2[[#This Row],[Comparable '#2 Price]]/$B$2*100</f>
        <v>96.760563380281695</v>
      </c>
    </row>
    <row r="279" spans="1:12">
      <c r="A279" s="96">
        <v>43689</v>
      </c>
      <c r="B279" s="101">
        <v>47.72</v>
      </c>
      <c r="C279" s="4">
        <f t="shared" si="8"/>
        <v>-7.7236580598559522E-3</v>
      </c>
      <c r="D279" s="1">
        <f>IFERROR(Comp2[[#This Row],[Comparable '#2 Return]]+1,"-")</f>
        <v>0.99227634194014402</v>
      </c>
      <c r="E279" s="6">
        <f>B279-MAX($B$2:B279)</f>
        <v>-10.439999999999998</v>
      </c>
      <c r="F279" s="80">
        <f t="shared" si="9"/>
        <v>186</v>
      </c>
      <c r="G279" s="77">
        <f>Comp2[[#This Row],[Comparable '#2 Drawdown]]/MAX($B$2:B279)</f>
        <v>-0.1795048143053645</v>
      </c>
      <c r="H279" s="1" t="str">
        <f>IF(SUM(COUNTIF(Benchmark1[Benchmark '#1 Dates],Comp2[[#This Row],[Comparable '#2 Dates]]),COUNTIF(Benchmark2[Benchmark '#2 Dates],Comp2[[#This Row],[Comparable '#2 Dates]]))=2,"Pass","Fail")</f>
        <v>Pass</v>
      </c>
      <c r="I279" s="1">
        <f>IFERROR(Comp2[[#This Row],[Comparable '#2 Return]]-INDEX(Benchmark1[Benchmark '#1 Return],MATCH(Comp2[[#This Row],[Comparable '#2 Dates]],Benchmark1[Benchmark '#1 Dates],0)),"-")</f>
        <v>4.3044851978653919E-3</v>
      </c>
      <c r="L279" s="72">
        <f>Comp2[[#This Row],[Comparable '#2 Price]]/$B$2*100</f>
        <v>96.016096579476852</v>
      </c>
    </row>
    <row r="280" spans="1:12">
      <c r="A280" s="96">
        <v>43690</v>
      </c>
      <c r="B280" s="101">
        <v>48.11</v>
      </c>
      <c r="C280" s="4">
        <f t="shared" si="8"/>
        <v>8.1394584816470057E-3</v>
      </c>
      <c r="D280" s="1">
        <f>IFERROR(Comp2[[#This Row],[Comparable '#2 Return]]+1,"-")</f>
        <v>1.008139458481647</v>
      </c>
      <c r="E280" s="6">
        <f>B280-MAX($B$2:B280)</f>
        <v>-10.049999999999997</v>
      </c>
      <c r="F280" s="80">
        <f t="shared" si="9"/>
        <v>187</v>
      </c>
      <c r="G280" s="77">
        <f>Comp2[[#This Row],[Comparable '#2 Drawdown]]/MAX($B$2:B280)</f>
        <v>-0.1727991746905089</v>
      </c>
      <c r="H280" s="1" t="str">
        <f>IF(SUM(COUNTIF(Benchmark1[Benchmark '#1 Dates],Comp2[[#This Row],[Comparable '#2 Dates]]),COUNTIF(Benchmark2[Benchmark '#2 Dates],Comp2[[#This Row],[Comparable '#2 Dates]]))=2,"Pass","Fail")</f>
        <v>Pass</v>
      </c>
      <c r="I280" s="1">
        <f>IFERROR(Comp2[[#This Row],[Comparable '#2 Return]]-INDEX(Benchmark1[Benchmark '#1 Return],MATCH(Comp2[[#This Row],[Comparable '#2 Dates]],Benchmark1[Benchmark '#1 Dates],0)),"-")</f>
        <v>-6.5163023073146684E-3</v>
      </c>
      <c r="L280" s="72">
        <f>Comp2[[#This Row],[Comparable '#2 Price]]/$B$2*100</f>
        <v>96.800804828973838</v>
      </c>
    </row>
    <row r="281" spans="1:12">
      <c r="A281" s="96">
        <v>43691</v>
      </c>
      <c r="B281" s="101">
        <v>47.7</v>
      </c>
      <c r="C281" s="4">
        <f t="shared" si="8"/>
        <v>-8.5586578170667067E-3</v>
      </c>
      <c r="D281" s="1">
        <f>IFERROR(Comp2[[#This Row],[Comparable '#2 Return]]+1,"-")</f>
        <v>0.99144134218293334</v>
      </c>
      <c r="E281" s="6">
        <f>B281-MAX($B$2:B281)</f>
        <v>-10.459999999999994</v>
      </c>
      <c r="F281" s="80">
        <f t="shared" si="9"/>
        <v>188</v>
      </c>
      <c r="G281" s="77">
        <f>Comp2[[#This Row],[Comparable '#2 Drawdown]]/MAX($B$2:B281)</f>
        <v>-0.17984869325997238</v>
      </c>
      <c r="H281" s="1" t="str">
        <f>IF(SUM(COUNTIF(Benchmark1[Benchmark '#1 Dates],Comp2[[#This Row],[Comparable '#2 Dates]]),COUNTIF(Benchmark2[Benchmark '#2 Dates],Comp2[[#This Row],[Comparable '#2 Dates]]))=2,"Pass","Fail")</f>
        <v>Pass</v>
      </c>
      <c r="I281" s="1">
        <f>IFERROR(Comp2[[#This Row],[Comparable '#2 Return]]-INDEX(Benchmark1[Benchmark '#1 Return],MATCH(Comp2[[#This Row],[Comparable '#2 Dates]],Benchmark1[Benchmark '#1 Dates],0)),"-")</f>
        <v>2.1173940525797158E-2</v>
      </c>
      <c r="L281" s="72">
        <f>Comp2[[#This Row],[Comparable '#2 Price]]/$B$2*100</f>
        <v>95.975855130784709</v>
      </c>
    </row>
    <row r="282" spans="1:12">
      <c r="A282" s="96">
        <v>43692</v>
      </c>
      <c r="B282" s="101">
        <v>47.67</v>
      </c>
      <c r="C282" s="4">
        <f t="shared" si="8"/>
        <v>-6.291286775612293E-4</v>
      </c>
      <c r="D282" s="1">
        <f>IFERROR(Comp2[[#This Row],[Comparable '#2 Return]]+1,"-")</f>
        <v>0.99937087132243874</v>
      </c>
      <c r="E282" s="6">
        <f>B282-MAX($B$2:B282)</f>
        <v>-10.489999999999995</v>
      </c>
      <c r="F282" s="80">
        <f t="shared" si="9"/>
        <v>189</v>
      </c>
      <c r="G282" s="77">
        <f>Comp2[[#This Row],[Comparable '#2 Drawdown]]/MAX($B$2:B282)</f>
        <v>-0.18036451169188439</v>
      </c>
      <c r="H282" s="1" t="str">
        <f>IF(SUM(COUNTIF(Benchmark1[Benchmark '#1 Dates],Comp2[[#This Row],[Comparable '#2 Dates]]),COUNTIF(Benchmark2[Benchmark '#2 Dates],Comp2[[#This Row],[Comparable '#2 Dates]]))=2,"Pass","Fail")</f>
        <v>Pass</v>
      </c>
      <c r="I282" s="1">
        <f>IFERROR(Comp2[[#This Row],[Comparable '#2 Return]]-INDEX(Benchmark1[Benchmark '#1 Return],MATCH(Comp2[[#This Row],[Comparable '#2 Dates]],Benchmark1[Benchmark '#1 Dates],0)),"-")</f>
        <v>-3.0892364909509639E-3</v>
      </c>
      <c r="L282" s="72">
        <f>Comp2[[#This Row],[Comparable '#2 Price]]/$B$2*100</f>
        <v>95.91549295774648</v>
      </c>
    </row>
    <row r="283" spans="1:12">
      <c r="A283" s="96">
        <v>43693</v>
      </c>
      <c r="B283" s="101">
        <v>48.81</v>
      </c>
      <c r="C283" s="4">
        <f t="shared" si="8"/>
        <v>2.3632940682321722E-2</v>
      </c>
      <c r="D283" s="1">
        <f>IFERROR(Comp2[[#This Row],[Comparable '#2 Return]]+1,"-")</f>
        <v>1.0236329406823217</v>
      </c>
      <c r="E283" s="6">
        <f>B283-MAX($B$2:B283)</f>
        <v>-9.3499999999999943</v>
      </c>
      <c r="F283" s="80">
        <f t="shared" si="9"/>
        <v>190</v>
      </c>
      <c r="G283" s="77">
        <f>Comp2[[#This Row],[Comparable '#2 Drawdown]]/MAX($B$2:B283)</f>
        <v>-0.16076341127922963</v>
      </c>
      <c r="H283" s="1" t="str">
        <f>IF(SUM(COUNTIF(Benchmark1[Benchmark '#1 Dates],Comp2[[#This Row],[Comparable '#2 Dates]]),COUNTIF(Benchmark2[Benchmark '#2 Dates],Comp2[[#This Row],[Comparable '#2 Dates]]))=2,"Pass","Fail")</f>
        <v>Pass</v>
      </c>
      <c r="I283" s="1">
        <f>IFERROR(Comp2[[#This Row],[Comparable '#2 Return]]-INDEX(Benchmark1[Benchmark '#1 Return],MATCH(Comp2[[#This Row],[Comparable '#2 Dates]],Benchmark1[Benchmark '#1 Dates],0)),"-")</f>
        <v>9.3087898555877617E-3</v>
      </c>
      <c r="L283" s="72">
        <f>Comp2[[#This Row],[Comparable '#2 Price]]/$B$2*100</f>
        <v>98.209255533199197</v>
      </c>
    </row>
    <row r="284" spans="1:12">
      <c r="A284" s="96">
        <v>43696</v>
      </c>
      <c r="B284" s="101">
        <v>50.01</v>
      </c>
      <c r="C284" s="4">
        <f t="shared" si="8"/>
        <v>2.4287775531756071E-2</v>
      </c>
      <c r="D284" s="1">
        <f>IFERROR(Comp2[[#This Row],[Comparable '#2 Return]]+1,"-")</f>
        <v>1.0242877755317561</v>
      </c>
      <c r="E284" s="6">
        <f>B284-MAX($B$2:B284)</f>
        <v>-8.1499999999999986</v>
      </c>
      <c r="F284" s="80">
        <f t="shared" si="9"/>
        <v>191</v>
      </c>
      <c r="G284" s="77">
        <f>Comp2[[#This Row],[Comparable '#2 Drawdown]]/MAX($B$2:B284)</f>
        <v>-0.140130674002751</v>
      </c>
      <c r="H284" s="1" t="str">
        <f>IF(SUM(COUNTIF(Benchmark1[Benchmark '#1 Dates],Comp2[[#This Row],[Comparable '#2 Dates]]),COUNTIF(Benchmark2[Benchmark '#2 Dates],Comp2[[#This Row],[Comparable '#2 Dates]]))=2,"Pass","Fail")</f>
        <v>Pass</v>
      </c>
      <c r="I284" s="1">
        <f>IFERROR(Comp2[[#This Row],[Comparable '#2 Return]]-INDEX(Benchmark1[Benchmark '#1 Return],MATCH(Comp2[[#This Row],[Comparable '#2 Dates]],Benchmark1[Benchmark '#1 Dates],0)),"-")</f>
        <v>1.225449824288395E-2</v>
      </c>
      <c r="L284" s="72">
        <f>Comp2[[#This Row],[Comparable '#2 Price]]/$B$2*100</f>
        <v>100.62374245472836</v>
      </c>
    </row>
    <row r="285" spans="1:12">
      <c r="A285" s="96">
        <v>43697</v>
      </c>
      <c r="B285" s="101">
        <v>50.2</v>
      </c>
      <c r="C285" s="4">
        <f t="shared" si="8"/>
        <v>3.7920412668713314E-3</v>
      </c>
      <c r="D285" s="1">
        <f>IFERROR(Comp2[[#This Row],[Comparable '#2 Return]]+1,"-")</f>
        <v>1.0037920412668713</v>
      </c>
      <c r="E285" s="6">
        <f>B285-MAX($B$2:B285)</f>
        <v>-7.9599999999999937</v>
      </c>
      <c r="F285" s="80">
        <f t="shared" si="9"/>
        <v>192</v>
      </c>
      <c r="G285" s="77">
        <f>Comp2[[#This Row],[Comparable '#2 Drawdown]]/MAX($B$2:B285)</f>
        <v>-0.13686382393397514</v>
      </c>
      <c r="H285" s="1" t="str">
        <f>IF(SUM(COUNTIF(Benchmark1[Benchmark '#1 Dates],Comp2[[#This Row],[Comparable '#2 Dates]]),COUNTIF(Benchmark2[Benchmark '#2 Dates],Comp2[[#This Row],[Comparable '#2 Dates]]))=2,"Pass","Fail")</f>
        <v>Pass</v>
      </c>
      <c r="I285" s="1">
        <f>IFERROR(Comp2[[#This Row],[Comparable '#2 Return]]-INDEX(Benchmark1[Benchmark '#1 Return],MATCH(Comp2[[#This Row],[Comparable '#2 Dates]],Benchmark1[Benchmark '#1 Dates],0)),"-")</f>
        <v>1.173759423403869E-2</v>
      </c>
      <c r="L285" s="72">
        <f>Comp2[[#This Row],[Comparable '#2 Price]]/$B$2*100</f>
        <v>101.00603621730382</v>
      </c>
    </row>
    <row r="286" spans="1:12">
      <c r="A286" s="96">
        <v>43698</v>
      </c>
      <c r="B286" s="101">
        <v>51.38</v>
      </c>
      <c r="C286" s="4">
        <f t="shared" si="8"/>
        <v>2.3233964984054029E-2</v>
      </c>
      <c r="D286" s="1">
        <f>IFERROR(Comp2[[#This Row],[Comparable '#2 Return]]+1,"-")</f>
        <v>1.0232339649840541</v>
      </c>
      <c r="E286" s="6">
        <f>B286-MAX($B$2:B286)</f>
        <v>-6.779999999999994</v>
      </c>
      <c r="F286" s="80">
        <f t="shared" si="9"/>
        <v>193</v>
      </c>
      <c r="G286" s="77">
        <f>Comp2[[#This Row],[Comparable '#2 Drawdown]]/MAX($B$2:B286)</f>
        <v>-0.11657496561210444</v>
      </c>
      <c r="H286" s="1" t="str">
        <f>IF(SUM(COUNTIF(Benchmark1[Benchmark '#1 Dates],Comp2[[#This Row],[Comparable '#2 Dates]]),COUNTIF(Benchmark2[Benchmark '#2 Dates],Comp2[[#This Row],[Comparable '#2 Dates]]))=2,"Pass","Fail")</f>
        <v>Pass</v>
      </c>
      <c r="I286" s="1">
        <f>IFERROR(Comp2[[#This Row],[Comparable '#2 Return]]-INDEX(Benchmark1[Benchmark '#1 Return],MATCH(Comp2[[#This Row],[Comparable '#2 Dates]],Benchmark1[Benchmark '#1 Dates],0)),"-")</f>
        <v>1.5020942434062485E-2</v>
      </c>
      <c r="L286" s="72">
        <f>Comp2[[#This Row],[Comparable '#2 Price]]/$B$2*100</f>
        <v>103.38028169014083</v>
      </c>
    </row>
    <row r="287" spans="1:12">
      <c r="A287" s="96">
        <v>43699</v>
      </c>
      <c r="B287" s="101">
        <v>50.96</v>
      </c>
      <c r="C287" s="4">
        <f t="shared" si="8"/>
        <v>-8.2079804178296217E-3</v>
      </c>
      <c r="D287" s="1">
        <f>IFERROR(Comp2[[#This Row],[Comparable '#2 Return]]+1,"-")</f>
        <v>0.99179201958217034</v>
      </c>
      <c r="E287" s="6">
        <f>B287-MAX($B$2:B287)</f>
        <v>-7.1999999999999957</v>
      </c>
      <c r="F287" s="80">
        <f t="shared" si="9"/>
        <v>194</v>
      </c>
      <c r="G287" s="77">
        <f>Comp2[[#This Row],[Comparable '#2 Drawdown]]/MAX($B$2:B287)</f>
        <v>-0.12379642365887202</v>
      </c>
      <c r="H287" s="1" t="str">
        <f>IF(SUM(COUNTIF(Benchmark1[Benchmark '#1 Dates],Comp2[[#This Row],[Comparable '#2 Dates]]),COUNTIF(Benchmark2[Benchmark '#2 Dates],Comp2[[#This Row],[Comparable '#2 Dates]]))=2,"Pass","Fail")</f>
        <v>Pass</v>
      </c>
      <c r="I287" s="1">
        <f>IFERROR(Comp2[[#This Row],[Comparable '#2 Return]]-INDEX(Benchmark1[Benchmark '#1 Return],MATCH(Comp2[[#This Row],[Comparable '#2 Dates]],Benchmark1[Benchmark '#1 Dates],0)),"-")</f>
        <v>-7.7024688374652765E-3</v>
      </c>
      <c r="L287" s="72">
        <f>Comp2[[#This Row],[Comparable '#2 Price]]/$B$2*100</f>
        <v>102.53521126760563</v>
      </c>
    </row>
    <row r="288" spans="1:12">
      <c r="A288" s="96">
        <v>43700</v>
      </c>
      <c r="B288" s="101">
        <v>44.94</v>
      </c>
      <c r="C288" s="4">
        <f t="shared" si="8"/>
        <v>-0.12571274450672482</v>
      </c>
      <c r="D288" s="1">
        <f>IFERROR(Comp2[[#This Row],[Comparable '#2 Return]]+1,"-")</f>
        <v>0.87428725549327524</v>
      </c>
      <c r="E288" s="6">
        <f>B288-MAX($B$2:B288)</f>
        <v>-13.219999999999999</v>
      </c>
      <c r="F288" s="80">
        <f t="shared" si="9"/>
        <v>195</v>
      </c>
      <c r="G288" s="77">
        <f>Comp2[[#This Row],[Comparable '#2 Drawdown]]/MAX($B$2:B288)</f>
        <v>-0.22730398899587345</v>
      </c>
      <c r="H288" s="1" t="str">
        <f>IF(SUM(COUNTIF(Benchmark1[Benchmark '#1 Dates],Comp2[[#This Row],[Comparable '#2 Dates]]),COUNTIF(Benchmark2[Benchmark '#2 Dates],Comp2[[#This Row],[Comparable '#2 Dates]]))=2,"Pass","Fail")</f>
        <v>Pass</v>
      </c>
      <c r="I288" s="1">
        <f>IFERROR(Comp2[[#This Row],[Comparable '#2 Return]]-INDEX(Benchmark1[Benchmark '#1 Return],MATCH(Comp2[[#This Row],[Comparable '#2 Dates]],Benchmark1[Benchmark '#1 Dates],0)),"-")</f>
        <v>-9.9423347793039116E-2</v>
      </c>
      <c r="L288" s="72">
        <f>Comp2[[#This Row],[Comparable '#2 Price]]/$B$2*100</f>
        <v>90.422535211267601</v>
      </c>
    </row>
    <row r="289" spans="1:12">
      <c r="A289" s="96">
        <v>43703</v>
      </c>
      <c r="B289" s="101">
        <v>45.55</v>
      </c>
      <c r="C289" s="4">
        <f t="shared" si="8"/>
        <v>1.3482356948784304E-2</v>
      </c>
      <c r="D289" s="1">
        <f>IFERROR(Comp2[[#This Row],[Comparable '#2 Return]]+1,"-")</f>
        <v>1.0134823569487843</v>
      </c>
      <c r="E289" s="6">
        <f>B289-MAX($B$2:B289)</f>
        <v>-12.61</v>
      </c>
      <c r="F289" s="80">
        <f t="shared" si="9"/>
        <v>196</v>
      </c>
      <c r="G289" s="77">
        <f>Comp2[[#This Row],[Comparable '#2 Drawdown]]/MAX($B$2:B289)</f>
        <v>-0.21681568088033012</v>
      </c>
      <c r="H289" s="1" t="str">
        <f>IF(SUM(COUNTIF(Benchmark1[Benchmark '#1 Dates],Comp2[[#This Row],[Comparable '#2 Dates]]),COUNTIF(Benchmark2[Benchmark '#2 Dates],Comp2[[#This Row],[Comparable '#2 Dates]]))=2,"Pass","Fail")</f>
        <v>Pass</v>
      </c>
      <c r="I289" s="1">
        <f>IFERROR(Comp2[[#This Row],[Comparable '#2 Return]]-INDEX(Benchmark1[Benchmark '#1 Return],MATCH(Comp2[[#This Row],[Comparable '#2 Dates]],Benchmark1[Benchmark '#1 Dates],0)),"-")</f>
        <v>2.5581615710023355E-3</v>
      </c>
      <c r="L289" s="72">
        <f>Comp2[[#This Row],[Comparable '#2 Price]]/$B$2*100</f>
        <v>91.64989939637826</v>
      </c>
    </row>
    <row r="290" spans="1:12">
      <c r="A290" s="96">
        <v>43704</v>
      </c>
      <c r="B290" s="101">
        <v>43.86</v>
      </c>
      <c r="C290" s="4">
        <f t="shared" si="8"/>
        <v>-3.7807880716225171E-2</v>
      </c>
      <c r="D290" s="1">
        <f>IFERROR(Comp2[[#This Row],[Comparable '#2 Return]]+1,"-")</f>
        <v>0.96219211928377479</v>
      </c>
      <c r="E290" s="6">
        <f>B290-MAX($B$2:B290)</f>
        <v>-14.299999999999997</v>
      </c>
      <c r="F290" s="80">
        <f t="shared" si="9"/>
        <v>197</v>
      </c>
      <c r="G290" s="77">
        <f>Comp2[[#This Row],[Comparable '#2 Drawdown]]/MAX($B$2:B290)</f>
        <v>-0.24587345254470422</v>
      </c>
      <c r="H290" s="1" t="str">
        <f>IF(SUM(COUNTIF(Benchmark1[Benchmark '#1 Dates],Comp2[[#This Row],[Comparable '#2 Dates]]),COUNTIF(Benchmark2[Benchmark '#2 Dates],Comp2[[#This Row],[Comparable '#2 Dates]]))=2,"Pass","Fail")</f>
        <v>Pass</v>
      </c>
      <c r="I290" s="1">
        <f>IFERROR(Comp2[[#This Row],[Comparable '#2 Return]]-INDEX(Benchmark1[Benchmark '#1 Return],MATCH(Comp2[[#This Row],[Comparable '#2 Dates]],Benchmark1[Benchmark '#1 Dates],0)),"-")</f>
        <v>-3.4596843832956699E-2</v>
      </c>
      <c r="L290" s="72">
        <f>Comp2[[#This Row],[Comparable '#2 Price]]/$B$2*100</f>
        <v>88.24949698189134</v>
      </c>
    </row>
    <row r="291" spans="1:12">
      <c r="A291" s="96">
        <v>43705</v>
      </c>
      <c r="B291" s="101">
        <v>43.39</v>
      </c>
      <c r="C291" s="4">
        <f t="shared" si="8"/>
        <v>-1.0773743179482796E-2</v>
      </c>
      <c r="D291" s="1">
        <f>IFERROR(Comp2[[#This Row],[Comparable '#2 Return]]+1,"-")</f>
        <v>0.98922625682051724</v>
      </c>
      <c r="E291" s="6">
        <f>B291-MAX($B$2:B291)</f>
        <v>-14.769999999999996</v>
      </c>
      <c r="F291" s="80">
        <f t="shared" si="9"/>
        <v>198</v>
      </c>
      <c r="G291" s="77">
        <f>Comp2[[#This Row],[Comparable '#2 Drawdown]]/MAX($B$2:B291)</f>
        <v>-0.25395460797799169</v>
      </c>
      <c r="H291" s="1" t="str">
        <f>IF(SUM(COUNTIF(Benchmark1[Benchmark '#1 Dates],Comp2[[#This Row],[Comparable '#2 Dates]]),COUNTIF(Benchmark2[Benchmark '#2 Dates],Comp2[[#This Row],[Comparable '#2 Dates]]))=2,"Pass","Fail")</f>
        <v>Pass</v>
      </c>
      <c r="I291" s="1">
        <f>IFERROR(Comp2[[#This Row],[Comparable '#2 Return]]-INDEX(Benchmark1[Benchmark '#1 Return],MATCH(Comp2[[#This Row],[Comparable '#2 Dates]],Benchmark1[Benchmark '#1 Dates],0)),"-")</f>
        <v>-1.7298820724411679E-2</v>
      </c>
      <c r="L291" s="72">
        <f>Comp2[[#This Row],[Comparable '#2 Price]]/$B$2*100</f>
        <v>87.303822937625753</v>
      </c>
    </row>
    <row r="292" spans="1:12">
      <c r="A292" s="96">
        <v>43706</v>
      </c>
      <c r="B292" s="101">
        <v>42.6</v>
      </c>
      <c r="C292" s="4">
        <f t="shared" si="8"/>
        <v>-1.8374746534934577E-2</v>
      </c>
      <c r="D292" s="1">
        <f>IFERROR(Comp2[[#This Row],[Comparable '#2 Return]]+1,"-")</f>
        <v>0.98162525346506546</v>
      </c>
      <c r="E292" s="6">
        <f>B292-MAX($B$2:B292)</f>
        <v>-15.559999999999995</v>
      </c>
      <c r="F292" s="80">
        <f t="shared" si="9"/>
        <v>199</v>
      </c>
      <c r="G292" s="77">
        <f>Comp2[[#This Row],[Comparable '#2 Drawdown]]/MAX($B$2:B292)</f>
        <v>-0.26753782668500681</v>
      </c>
      <c r="H292" s="1" t="str">
        <f>IF(SUM(COUNTIF(Benchmark1[Benchmark '#1 Dates],Comp2[[#This Row],[Comparable '#2 Dates]]),COUNTIF(Benchmark2[Benchmark '#2 Dates],Comp2[[#This Row],[Comparable '#2 Dates]]))=2,"Pass","Fail")</f>
        <v>Pass</v>
      </c>
      <c r="I292" s="1">
        <f>IFERROR(Comp2[[#This Row],[Comparable '#2 Return]]-INDEX(Benchmark1[Benchmark '#1 Return],MATCH(Comp2[[#This Row],[Comparable '#2 Dates]],Benchmark1[Benchmark '#1 Dates],0)),"-")</f>
        <v>-3.0981608984821551E-2</v>
      </c>
      <c r="L292" s="72">
        <f>Comp2[[#This Row],[Comparable '#2 Price]]/$B$2*100</f>
        <v>85.714285714285708</v>
      </c>
    </row>
    <row r="293" spans="1:12">
      <c r="A293" s="96">
        <v>43707</v>
      </c>
      <c r="B293" s="101">
        <v>42.72</v>
      </c>
      <c r="C293" s="4">
        <f t="shared" si="8"/>
        <v>2.8129413766146577E-3</v>
      </c>
      <c r="D293" s="1">
        <f>IFERROR(Comp2[[#This Row],[Comparable '#2 Return]]+1,"-")</f>
        <v>1.0028129413766147</v>
      </c>
      <c r="E293" s="6">
        <f>B293-MAX($B$2:B293)</f>
        <v>-15.439999999999998</v>
      </c>
      <c r="F293" s="80">
        <f t="shared" si="9"/>
        <v>200</v>
      </c>
      <c r="G293" s="77">
        <f>Comp2[[#This Row],[Comparable '#2 Drawdown]]/MAX($B$2:B293)</f>
        <v>-0.265474552957359</v>
      </c>
      <c r="H293" s="1" t="str">
        <f>IF(SUM(COUNTIF(Benchmark1[Benchmark '#1 Dates],Comp2[[#This Row],[Comparable '#2 Dates]]),COUNTIF(Benchmark2[Benchmark '#2 Dates],Comp2[[#This Row],[Comparable '#2 Dates]]))=2,"Pass","Fail")</f>
        <v>Pass</v>
      </c>
      <c r="I293" s="1">
        <f>IFERROR(Comp2[[#This Row],[Comparable '#2 Return]]-INDEX(Benchmark1[Benchmark '#1 Return],MATCH(Comp2[[#This Row],[Comparable '#2 Dates]],Benchmark1[Benchmark '#1 Dates],0)),"-")</f>
        <v>2.1699680570999836E-3</v>
      </c>
      <c r="L293" s="72">
        <f>Comp2[[#This Row],[Comparable '#2 Price]]/$B$2*100</f>
        <v>85.955734406438623</v>
      </c>
    </row>
    <row r="294" spans="1:12">
      <c r="A294" s="96">
        <v>43711</v>
      </c>
      <c r="B294" s="101">
        <v>41.58</v>
      </c>
      <c r="C294" s="4">
        <f t="shared" si="8"/>
        <v>-2.7047912222072572E-2</v>
      </c>
      <c r="D294" s="1">
        <f>IFERROR(Comp2[[#This Row],[Comparable '#2 Return]]+1,"-")</f>
        <v>0.97295208777792741</v>
      </c>
      <c r="E294" s="6">
        <f>B294-MAX($B$2:B294)</f>
        <v>-16.579999999999998</v>
      </c>
      <c r="F294" s="80">
        <f t="shared" si="9"/>
        <v>201</v>
      </c>
      <c r="G294" s="77">
        <f>Comp2[[#This Row],[Comparable '#2 Drawdown]]/MAX($B$2:B294)</f>
        <v>-0.28507565337001373</v>
      </c>
      <c r="H294" s="1" t="str">
        <f>IF(SUM(COUNTIF(Benchmark1[Benchmark '#1 Dates],Comp2[[#This Row],[Comparable '#2 Dates]]),COUNTIF(Benchmark2[Benchmark '#2 Dates],Comp2[[#This Row],[Comparable '#2 Dates]]))=2,"Pass","Fail")</f>
        <v>Pass</v>
      </c>
      <c r="I294" s="1">
        <f>IFERROR(Comp2[[#This Row],[Comparable '#2 Return]]-INDEX(Benchmark1[Benchmark '#1 Return],MATCH(Comp2[[#This Row],[Comparable '#2 Dates]],Benchmark1[Benchmark '#1 Dates],0)),"-")</f>
        <v>-2.012590301110416E-2</v>
      </c>
      <c r="L294" s="72">
        <f>Comp2[[#This Row],[Comparable '#2 Price]]/$B$2*100</f>
        <v>83.661971830985905</v>
      </c>
    </row>
    <row r="295" spans="1:12">
      <c r="A295" s="96">
        <v>43712</v>
      </c>
      <c r="B295" s="101">
        <v>41.02</v>
      </c>
      <c r="C295" s="4">
        <f t="shared" si="8"/>
        <v>-1.3559529785632251E-2</v>
      </c>
      <c r="D295" s="1">
        <f>IFERROR(Comp2[[#This Row],[Comparable '#2 Return]]+1,"-")</f>
        <v>0.98644047021436776</v>
      </c>
      <c r="E295" s="6">
        <f>B295-MAX($B$2:B295)</f>
        <v>-17.139999999999993</v>
      </c>
      <c r="F295" s="80">
        <f t="shared" si="9"/>
        <v>202</v>
      </c>
      <c r="G295" s="77">
        <f>Comp2[[#This Row],[Comparable '#2 Drawdown]]/MAX($B$2:B295)</f>
        <v>-0.29470426409903705</v>
      </c>
      <c r="H295" s="1" t="str">
        <f>IF(SUM(COUNTIF(Benchmark1[Benchmark '#1 Dates],Comp2[[#This Row],[Comparable '#2 Dates]]),COUNTIF(Benchmark2[Benchmark '#2 Dates],Comp2[[#This Row],[Comparable '#2 Dates]]))=2,"Pass","Fail")</f>
        <v>Pass</v>
      </c>
      <c r="I295" s="1">
        <f>IFERROR(Comp2[[#This Row],[Comparable '#2 Return]]-INDEX(Benchmark1[Benchmark '#1 Return],MATCH(Comp2[[#This Row],[Comparable '#2 Dates]],Benchmark1[Benchmark '#1 Dates],0)),"-")</f>
        <v>-2.4342539174768994E-2</v>
      </c>
      <c r="L295" s="72">
        <f>Comp2[[#This Row],[Comparable '#2 Price]]/$B$2*100</f>
        <v>82.535211267605632</v>
      </c>
    </row>
    <row r="296" spans="1:12">
      <c r="A296" s="96">
        <v>43713</v>
      </c>
      <c r="B296" s="101">
        <v>41.53</v>
      </c>
      <c r="C296" s="4">
        <f t="shared" si="8"/>
        <v>1.235630499842766E-2</v>
      </c>
      <c r="D296" s="1">
        <f>IFERROR(Comp2[[#This Row],[Comparable '#2 Return]]+1,"-")</f>
        <v>1.0123563049984277</v>
      </c>
      <c r="E296" s="6">
        <f>B296-MAX($B$2:B296)</f>
        <v>-16.629999999999995</v>
      </c>
      <c r="F296" s="80">
        <f t="shared" si="9"/>
        <v>203</v>
      </c>
      <c r="G296" s="77">
        <f>Comp2[[#This Row],[Comparable '#2 Drawdown]]/MAX($B$2:B296)</f>
        <v>-0.28593535075653365</v>
      </c>
      <c r="H296" s="1" t="str">
        <f>IF(SUM(COUNTIF(Benchmark1[Benchmark '#1 Dates],Comp2[[#This Row],[Comparable '#2 Dates]]),COUNTIF(Benchmark2[Benchmark '#2 Dates],Comp2[[#This Row],[Comparable '#2 Dates]]))=2,"Pass","Fail")</f>
        <v>Pass</v>
      </c>
      <c r="I296" s="1">
        <f>IFERROR(Comp2[[#This Row],[Comparable '#2 Return]]-INDEX(Benchmark1[Benchmark '#1 Return],MATCH(Comp2[[#This Row],[Comparable '#2 Dates]],Benchmark1[Benchmark '#1 Dates],0)),"-")</f>
        <v>-5.6909146512088525E-4</v>
      </c>
      <c r="L296" s="72">
        <f>Comp2[[#This Row],[Comparable '#2 Price]]/$B$2*100</f>
        <v>83.561368209255534</v>
      </c>
    </row>
    <row r="297" spans="1:12">
      <c r="A297" s="96">
        <v>43714</v>
      </c>
      <c r="B297" s="101">
        <v>40.840000000000003</v>
      </c>
      <c r="C297" s="4">
        <f t="shared" si="8"/>
        <v>-1.6754064346197341E-2</v>
      </c>
      <c r="D297" s="1">
        <f>IFERROR(Comp2[[#This Row],[Comparable '#2 Return]]+1,"-")</f>
        <v>0.98324593565380269</v>
      </c>
      <c r="E297" s="6">
        <f>B297-MAX($B$2:B297)</f>
        <v>-17.319999999999993</v>
      </c>
      <c r="F297" s="80">
        <f t="shared" si="9"/>
        <v>204</v>
      </c>
      <c r="G297" s="77">
        <f>Comp2[[#This Row],[Comparable '#2 Drawdown]]/MAX($B$2:B297)</f>
        <v>-0.29779917469050882</v>
      </c>
      <c r="H297" s="1" t="str">
        <f>IF(SUM(COUNTIF(Benchmark1[Benchmark '#1 Dates],Comp2[[#This Row],[Comparable '#2 Dates]]),COUNTIF(Benchmark2[Benchmark '#2 Dates],Comp2[[#This Row],[Comparable '#2 Dates]]))=2,"Pass","Fail")</f>
        <v>Pass</v>
      </c>
      <c r="I297" s="1">
        <f>IFERROR(Comp2[[#This Row],[Comparable '#2 Return]]-INDEX(Benchmark1[Benchmark '#1 Return],MATCH(Comp2[[#This Row],[Comparable '#2 Dates]],Benchmark1[Benchmark '#1 Dates],0)),"-")</f>
        <v>-1.7664391604382785E-2</v>
      </c>
      <c r="L297" s="72">
        <f>Comp2[[#This Row],[Comparable '#2 Price]]/$B$2*100</f>
        <v>82.17303822937626</v>
      </c>
    </row>
    <row r="298" spans="1:12">
      <c r="A298" s="96">
        <v>43717</v>
      </c>
      <c r="B298" s="101">
        <v>41</v>
      </c>
      <c r="C298" s="4">
        <f t="shared" si="8"/>
        <v>3.9100734078428186E-3</v>
      </c>
      <c r="D298" s="1">
        <f>IFERROR(Comp2[[#This Row],[Comparable '#2 Return]]+1,"-")</f>
        <v>1.0039100734078428</v>
      </c>
      <c r="E298" s="6">
        <f>B298-MAX($B$2:B298)</f>
        <v>-17.159999999999997</v>
      </c>
      <c r="F298" s="80">
        <f t="shared" si="9"/>
        <v>205</v>
      </c>
      <c r="G298" s="77">
        <f>Comp2[[#This Row],[Comparable '#2 Drawdown]]/MAX($B$2:B298)</f>
        <v>-0.29504814305364507</v>
      </c>
      <c r="H298" s="1" t="str">
        <f>IF(SUM(COUNTIF(Benchmark1[Benchmark '#1 Dates],Comp2[[#This Row],[Comparable '#2 Dates]]),COUNTIF(Benchmark2[Benchmark '#2 Dates],Comp2[[#This Row],[Comparable '#2 Dates]]))=2,"Pass","Fail")</f>
        <v>Pass</v>
      </c>
      <c r="I298" s="1">
        <f>IFERROR(Comp2[[#This Row],[Comparable '#2 Return]]-INDEX(Benchmark1[Benchmark '#1 Return],MATCH(Comp2[[#This Row],[Comparable '#2 Dates]],Benchmark1[Benchmark '#1 Dates],0)),"-")</f>
        <v>4.0020687302999439E-3</v>
      </c>
      <c r="L298" s="72">
        <f>Comp2[[#This Row],[Comparable '#2 Price]]/$B$2*100</f>
        <v>82.494969818913475</v>
      </c>
    </row>
    <row r="299" spans="1:12">
      <c r="A299" s="96">
        <v>43718</v>
      </c>
      <c r="B299" s="101">
        <v>40.82</v>
      </c>
      <c r="C299" s="4">
        <f t="shared" si="8"/>
        <v>-4.3999093226090727E-3</v>
      </c>
      <c r="D299" s="1">
        <f>IFERROR(Comp2[[#This Row],[Comparable '#2 Return]]+1,"-")</f>
        <v>0.99560009067739097</v>
      </c>
      <c r="E299" s="6">
        <f>B299-MAX($B$2:B299)</f>
        <v>-17.339999999999996</v>
      </c>
      <c r="F299" s="80">
        <f t="shared" si="9"/>
        <v>206</v>
      </c>
      <c r="G299" s="77">
        <f>Comp2[[#This Row],[Comparable '#2 Drawdown]]/MAX($B$2:B299)</f>
        <v>-0.2981430536451169</v>
      </c>
      <c r="H299" s="1" t="str">
        <f>IF(SUM(COUNTIF(Benchmark1[Benchmark '#1 Dates],Comp2[[#This Row],[Comparable '#2 Dates]]),COUNTIF(Benchmark2[Benchmark '#2 Dates],Comp2[[#This Row],[Comparable '#2 Dates]]))=2,"Pass","Fail")</f>
        <v>Pass</v>
      </c>
      <c r="I299" s="1">
        <f>IFERROR(Comp2[[#This Row],[Comparable '#2 Return]]-INDEX(Benchmark1[Benchmark '#1 Return],MATCH(Comp2[[#This Row],[Comparable '#2 Dates]],Benchmark1[Benchmark '#1 Dates],0)),"-")</f>
        <v>-4.7194055058236315E-3</v>
      </c>
      <c r="L299" s="72">
        <f>Comp2[[#This Row],[Comparable '#2 Price]]/$B$2*100</f>
        <v>82.132796780684103</v>
      </c>
    </row>
    <row r="300" spans="1:12">
      <c r="A300" s="96">
        <v>43719</v>
      </c>
      <c r="B300" s="101">
        <v>40.57</v>
      </c>
      <c r="C300" s="4">
        <f t="shared" si="8"/>
        <v>-6.1432801633428853E-3</v>
      </c>
      <c r="D300" s="1">
        <f>IFERROR(Comp2[[#This Row],[Comparable '#2 Return]]+1,"-")</f>
        <v>0.99385671983665713</v>
      </c>
      <c r="E300" s="6">
        <f>B300-MAX($B$2:B300)</f>
        <v>-17.589999999999996</v>
      </c>
      <c r="F300" s="80">
        <f t="shared" si="9"/>
        <v>207</v>
      </c>
      <c r="G300" s="77">
        <f>Comp2[[#This Row],[Comparable '#2 Drawdown]]/MAX($B$2:B300)</f>
        <v>-0.30244154057771661</v>
      </c>
      <c r="H300" s="1" t="str">
        <f>IF(SUM(COUNTIF(Benchmark1[Benchmark '#1 Dates],Comp2[[#This Row],[Comparable '#2 Dates]]),COUNTIF(Benchmark2[Benchmark '#2 Dates],Comp2[[#This Row],[Comparable '#2 Dates]]))=2,"Pass","Fail")</f>
        <v>Pass</v>
      </c>
      <c r="I300" s="1">
        <f>IFERROR(Comp2[[#This Row],[Comparable '#2 Return]]-INDEX(Benchmark1[Benchmark '#1 Return],MATCH(Comp2[[#This Row],[Comparable '#2 Dates]],Benchmark1[Benchmark '#1 Dates],0)),"-")</f>
        <v>-1.3347219473414393E-2</v>
      </c>
      <c r="L300" s="72">
        <f>Comp2[[#This Row],[Comparable '#2 Price]]/$B$2*100</f>
        <v>81.629778672032188</v>
      </c>
    </row>
    <row r="301" spans="1:12">
      <c r="A301" s="96">
        <v>43720</v>
      </c>
      <c r="B301" s="101">
        <v>41.7</v>
      </c>
      <c r="C301" s="4">
        <f t="shared" si="8"/>
        <v>2.7472251586399939E-2</v>
      </c>
      <c r="D301" s="1">
        <f>IFERROR(Comp2[[#This Row],[Comparable '#2 Return]]+1,"-")</f>
        <v>1.0274722515863999</v>
      </c>
      <c r="E301" s="6">
        <f>B301-MAX($B$2:B301)</f>
        <v>-16.459999999999994</v>
      </c>
      <c r="F301" s="80">
        <f t="shared" si="9"/>
        <v>208</v>
      </c>
      <c r="G301" s="77">
        <f>Comp2[[#This Row],[Comparable '#2 Drawdown]]/MAX($B$2:B301)</f>
        <v>-0.28301237964236581</v>
      </c>
      <c r="H301" s="1" t="str">
        <f>IF(SUM(COUNTIF(Benchmark1[Benchmark '#1 Dates],Comp2[[#This Row],[Comparable '#2 Dates]]),COUNTIF(Benchmark2[Benchmark '#2 Dates],Comp2[[#This Row],[Comparable '#2 Dates]]))=2,"Pass","Fail")</f>
        <v>Pass</v>
      </c>
      <c r="I301" s="1">
        <f>IFERROR(Comp2[[#This Row],[Comparable '#2 Return]]-INDEX(Benchmark1[Benchmark '#1 Return],MATCH(Comp2[[#This Row],[Comparable '#2 Dates]],Benchmark1[Benchmark '#1 Dates],0)),"-")</f>
        <v>2.4595443137558751E-2</v>
      </c>
      <c r="L301" s="72">
        <f>Comp2[[#This Row],[Comparable '#2 Price]]/$B$2*100</f>
        <v>83.903420523138834</v>
      </c>
    </row>
    <row r="302" spans="1:12">
      <c r="A302" s="96">
        <v>43721</v>
      </c>
      <c r="B302" s="101">
        <v>41.24</v>
      </c>
      <c r="C302" s="4">
        <f t="shared" si="8"/>
        <v>-1.1092469655996653E-2</v>
      </c>
      <c r="D302" s="1">
        <f>IFERROR(Comp2[[#This Row],[Comparable '#2 Return]]+1,"-")</f>
        <v>0.98890753034400336</v>
      </c>
      <c r="E302" s="6">
        <f>B302-MAX($B$2:B302)</f>
        <v>-16.919999999999995</v>
      </c>
      <c r="F302" s="80">
        <f t="shared" si="9"/>
        <v>209</v>
      </c>
      <c r="G302" s="77">
        <f>Comp2[[#This Row],[Comparable '#2 Drawdown]]/MAX($B$2:B302)</f>
        <v>-0.29092159559834929</v>
      </c>
      <c r="H302" s="1" t="str">
        <f>IF(SUM(COUNTIF(Benchmark1[Benchmark '#1 Dates],Comp2[[#This Row],[Comparable '#2 Dates]]),COUNTIF(Benchmark2[Benchmark '#2 Dates],Comp2[[#This Row],[Comparable '#2 Dates]]))=2,"Pass","Fail")</f>
        <v>Pass</v>
      </c>
      <c r="I302" s="1">
        <f>IFERROR(Comp2[[#This Row],[Comparable '#2 Return]]-INDEX(Benchmark1[Benchmark '#1 Return],MATCH(Comp2[[#This Row],[Comparable '#2 Dates]],Benchmark1[Benchmark '#1 Dates],0)),"-")</f>
        <v>-1.0366354820545123E-2</v>
      </c>
      <c r="L302" s="72">
        <f>Comp2[[#This Row],[Comparable '#2 Price]]/$B$2*100</f>
        <v>82.977867203219319</v>
      </c>
    </row>
    <row r="303" spans="1:12">
      <c r="A303" s="96">
        <v>43724</v>
      </c>
      <c r="B303" s="101">
        <v>41.49</v>
      </c>
      <c r="C303" s="4">
        <f t="shared" si="8"/>
        <v>6.0437751960172557E-3</v>
      </c>
      <c r="D303" s="1">
        <f>IFERROR(Comp2[[#This Row],[Comparable '#2 Return]]+1,"-")</f>
        <v>1.0060437751960172</v>
      </c>
      <c r="E303" s="6">
        <f>B303-MAX($B$2:B303)</f>
        <v>-16.669999999999995</v>
      </c>
      <c r="F303" s="80">
        <f t="shared" si="9"/>
        <v>210</v>
      </c>
      <c r="G303" s="77">
        <f>Comp2[[#This Row],[Comparable '#2 Drawdown]]/MAX($B$2:B303)</f>
        <v>-0.28662310866574958</v>
      </c>
      <c r="H303" s="1" t="str">
        <f>IF(SUM(COUNTIF(Benchmark1[Benchmark '#1 Dates],Comp2[[#This Row],[Comparable '#2 Dates]]),COUNTIF(Benchmark2[Benchmark '#2 Dates],Comp2[[#This Row],[Comparable '#2 Dates]]))=2,"Pass","Fail")</f>
        <v>Pass</v>
      </c>
      <c r="I303" s="1">
        <f>IFERROR(Comp2[[#This Row],[Comparable '#2 Return]]-INDEX(Benchmark1[Benchmark '#1 Return],MATCH(Comp2[[#This Row],[Comparable '#2 Dates]],Benchmark1[Benchmark '#1 Dates],0)),"-")</f>
        <v>9.1835738477460162E-3</v>
      </c>
      <c r="L303" s="72">
        <f>Comp2[[#This Row],[Comparable '#2 Price]]/$B$2*100</f>
        <v>83.480885311871219</v>
      </c>
    </row>
    <row r="304" spans="1:12">
      <c r="A304" s="96">
        <v>43725</v>
      </c>
      <c r="B304" s="101">
        <v>41.79</v>
      </c>
      <c r="C304" s="4">
        <f t="shared" si="8"/>
        <v>7.2046421150475104E-3</v>
      </c>
      <c r="D304" s="1">
        <f>IFERROR(Comp2[[#This Row],[Comparable '#2 Return]]+1,"-")</f>
        <v>1.0072046421150476</v>
      </c>
      <c r="E304" s="6">
        <f>B304-MAX($B$2:B304)</f>
        <v>-16.369999999999997</v>
      </c>
      <c r="F304" s="80">
        <f t="shared" si="9"/>
        <v>211</v>
      </c>
      <c r="G304" s="77">
        <f>Comp2[[#This Row],[Comparable '#2 Drawdown]]/MAX($B$2:B304)</f>
        <v>-0.28146492434662995</v>
      </c>
      <c r="H304" s="1" t="str">
        <f>IF(SUM(COUNTIF(Benchmark1[Benchmark '#1 Dates],Comp2[[#This Row],[Comparable '#2 Dates]]),COUNTIF(Benchmark2[Benchmark '#2 Dates],Comp2[[#This Row],[Comparable '#2 Dates]]))=2,"Pass","Fail")</f>
        <v>Pass</v>
      </c>
      <c r="I304" s="1">
        <f>IFERROR(Comp2[[#This Row],[Comparable '#2 Return]]-INDEX(Benchmark1[Benchmark '#1 Return],MATCH(Comp2[[#This Row],[Comparable '#2 Dates]],Benchmark1[Benchmark '#1 Dates],0)),"-")</f>
        <v>4.6272543545302913E-3</v>
      </c>
      <c r="L304" s="72">
        <f>Comp2[[#This Row],[Comparable '#2 Price]]/$B$2*100</f>
        <v>84.08450704225352</v>
      </c>
    </row>
    <row r="305" spans="1:12">
      <c r="A305" s="96">
        <v>43726</v>
      </c>
      <c r="B305" s="101">
        <v>42</v>
      </c>
      <c r="C305" s="4">
        <f t="shared" si="8"/>
        <v>5.0125418235441935E-3</v>
      </c>
      <c r="D305" s="1">
        <f>IFERROR(Comp2[[#This Row],[Comparable '#2 Return]]+1,"-")</f>
        <v>1.0050125418235443</v>
      </c>
      <c r="E305" s="6">
        <f>B305-MAX($B$2:B305)</f>
        <v>-16.159999999999997</v>
      </c>
      <c r="F305" s="80">
        <f t="shared" si="9"/>
        <v>212</v>
      </c>
      <c r="G305" s="77">
        <f>Comp2[[#This Row],[Comparable '#2 Drawdown]]/MAX($B$2:B305)</f>
        <v>-0.27785419532324618</v>
      </c>
      <c r="H305" s="1" t="str">
        <f>IF(SUM(COUNTIF(Benchmark1[Benchmark '#1 Dates],Comp2[[#This Row],[Comparable '#2 Dates]]),COUNTIF(Benchmark2[Benchmark '#2 Dates],Comp2[[#This Row],[Comparable '#2 Dates]]))=2,"Pass","Fail")</f>
        <v>Pass</v>
      </c>
      <c r="I305" s="1">
        <f>IFERROR(Comp2[[#This Row],[Comparable '#2 Return]]-INDEX(Benchmark1[Benchmark '#1 Return],MATCH(Comp2[[#This Row],[Comparable '#2 Dates]],Benchmark1[Benchmark '#1 Dates],0)),"-")</f>
        <v>4.6687459312506896E-3</v>
      </c>
      <c r="L305" s="72">
        <f>Comp2[[#This Row],[Comparable '#2 Price]]/$B$2*100</f>
        <v>84.507042253521121</v>
      </c>
    </row>
    <row r="306" spans="1:12">
      <c r="A306" s="96">
        <v>43727</v>
      </c>
      <c r="B306" s="101">
        <v>42.28</v>
      </c>
      <c r="C306" s="4">
        <f t="shared" si="8"/>
        <v>6.6445427186685108E-3</v>
      </c>
      <c r="D306" s="1">
        <f>IFERROR(Comp2[[#This Row],[Comparable '#2 Return]]+1,"-")</f>
        <v>1.0066445427186685</v>
      </c>
      <c r="E306" s="6">
        <f>B306-MAX($B$2:B306)</f>
        <v>-15.879999999999995</v>
      </c>
      <c r="F306" s="80">
        <f t="shared" si="9"/>
        <v>213</v>
      </c>
      <c r="G306" s="77">
        <f>Comp2[[#This Row],[Comparable '#2 Drawdown]]/MAX($B$2:B306)</f>
        <v>-0.27303988995873446</v>
      </c>
      <c r="H306" s="1" t="str">
        <f>IF(SUM(COUNTIF(Benchmark1[Benchmark '#1 Dates],Comp2[[#This Row],[Comparable '#2 Dates]]),COUNTIF(Benchmark2[Benchmark '#2 Dates],Comp2[[#This Row],[Comparable '#2 Dates]]))=2,"Pass","Fail")</f>
        <v>Pass</v>
      </c>
      <c r="I306" s="1">
        <f>IFERROR(Comp2[[#This Row],[Comparable '#2 Return]]-INDEX(Benchmark1[Benchmark '#1 Return],MATCH(Comp2[[#This Row],[Comparable '#2 Dates]],Benchmark1[Benchmark '#1 Dates],0)),"-")</f>
        <v>6.6243228399433555E-3</v>
      </c>
      <c r="L306" s="72">
        <f>Comp2[[#This Row],[Comparable '#2 Price]]/$B$2*100</f>
        <v>85.070422535211264</v>
      </c>
    </row>
    <row r="307" spans="1:12">
      <c r="A307" s="96">
        <v>43728</v>
      </c>
      <c r="B307" s="101">
        <v>40.659999999999997</v>
      </c>
      <c r="C307" s="4">
        <f t="shared" si="8"/>
        <v>-3.9069352801836446E-2</v>
      </c>
      <c r="D307" s="1">
        <f>IFERROR(Comp2[[#This Row],[Comparable '#2 Return]]+1,"-")</f>
        <v>0.96093064719816357</v>
      </c>
      <c r="E307" s="6">
        <f>B307-MAX($B$2:B307)</f>
        <v>-17.5</v>
      </c>
      <c r="F307" s="80">
        <f t="shared" si="9"/>
        <v>214</v>
      </c>
      <c r="G307" s="77">
        <f>Comp2[[#This Row],[Comparable '#2 Drawdown]]/MAX($B$2:B307)</f>
        <v>-0.30089408528198075</v>
      </c>
      <c r="H307" s="1" t="str">
        <f>IF(SUM(COUNTIF(Benchmark1[Benchmark '#1 Dates],Comp2[[#This Row],[Comparable '#2 Dates]]),COUNTIF(Benchmark2[Benchmark '#2 Dates],Comp2[[#This Row],[Comparable '#2 Dates]]))=2,"Pass","Fail")</f>
        <v>Pass</v>
      </c>
      <c r="I307" s="1">
        <f>IFERROR(Comp2[[#This Row],[Comparable '#2 Return]]-INDEX(Benchmark1[Benchmark '#1 Return],MATCH(Comp2[[#This Row],[Comparable '#2 Dates]],Benchmark1[Benchmark '#1 Dates],0)),"-")</f>
        <v>-3.416225034813998E-2</v>
      </c>
      <c r="L307" s="72">
        <f>Comp2[[#This Row],[Comparable '#2 Price]]/$B$2*100</f>
        <v>81.81086519114686</v>
      </c>
    </row>
    <row r="308" spans="1:12">
      <c r="A308" s="96">
        <v>43731</v>
      </c>
      <c r="B308" s="101">
        <v>41.19</v>
      </c>
      <c r="C308" s="4">
        <f t="shared" si="8"/>
        <v>1.2950700247788884E-2</v>
      </c>
      <c r="D308" s="1">
        <f>IFERROR(Comp2[[#This Row],[Comparable '#2 Return]]+1,"-")</f>
        <v>1.0129507002477889</v>
      </c>
      <c r="E308" s="6">
        <f>B308-MAX($B$2:B308)</f>
        <v>-16.97</v>
      </c>
      <c r="F308" s="80">
        <f t="shared" si="9"/>
        <v>215</v>
      </c>
      <c r="G308" s="77">
        <f>Comp2[[#This Row],[Comparable '#2 Drawdown]]/MAX($B$2:B308)</f>
        <v>-0.29178129298486932</v>
      </c>
      <c r="H308" s="1" t="str">
        <f>IF(SUM(COUNTIF(Benchmark1[Benchmark '#1 Dates],Comp2[[#This Row],[Comparable '#2 Dates]]),COUNTIF(Benchmark2[Benchmark '#2 Dates],Comp2[[#This Row],[Comparable '#2 Dates]]))=2,"Pass","Fail")</f>
        <v>Pass</v>
      </c>
      <c r="I308" s="1">
        <f>IFERROR(Comp2[[#This Row],[Comparable '#2 Return]]-INDEX(Benchmark1[Benchmark '#1 Return],MATCH(Comp2[[#This Row],[Comparable '#2 Dates]],Benchmark1[Benchmark '#1 Dates],0)),"-")</f>
        <v>1.3048717401228368E-2</v>
      </c>
      <c r="L308" s="72">
        <f>Comp2[[#This Row],[Comparable '#2 Price]]/$B$2*100</f>
        <v>82.877263581488918</v>
      </c>
    </row>
    <row r="309" spans="1:12">
      <c r="A309" s="96">
        <v>43732</v>
      </c>
      <c r="B309" s="101">
        <v>41.13</v>
      </c>
      <c r="C309" s="4">
        <f t="shared" si="8"/>
        <v>-1.4577262056565143E-3</v>
      </c>
      <c r="D309" s="1">
        <f>IFERROR(Comp2[[#This Row],[Comparable '#2 Return]]+1,"-")</f>
        <v>0.99854227379434346</v>
      </c>
      <c r="E309" s="6">
        <f>B309-MAX($B$2:B309)</f>
        <v>-17.029999999999994</v>
      </c>
      <c r="F309" s="80">
        <f t="shared" si="9"/>
        <v>216</v>
      </c>
      <c r="G309" s="77">
        <f>Comp2[[#This Row],[Comparable '#2 Drawdown]]/MAX($B$2:B309)</f>
        <v>-0.29281292984869317</v>
      </c>
      <c r="H309" s="1" t="str">
        <f>IF(SUM(COUNTIF(Benchmark1[Benchmark '#1 Dates],Comp2[[#This Row],[Comparable '#2 Dates]]),COUNTIF(Benchmark2[Benchmark '#2 Dates],Comp2[[#This Row],[Comparable '#2 Dates]]))=2,"Pass","Fail")</f>
        <v>Pass</v>
      </c>
      <c r="I309" s="1">
        <f>IFERROR(Comp2[[#This Row],[Comparable '#2 Return]]-INDEX(Benchmark1[Benchmark '#1 Return],MATCH(Comp2[[#This Row],[Comparable '#2 Dates]],Benchmark1[Benchmark '#1 Dates],0)),"-")</f>
        <v>6.9953098493841671E-3</v>
      </c>
      <c r="L309" s="72">
        <f>Comp2[[#This Row],[Comparable '#2 Price]]/$B$2*100</f>
        <v>82.756539235412475</v>
      </c>
    </row>
    <row r="310" spans="1:12">
      <c r="A310" s="96">
        <v>43733</v>
      </c>
      <c r="B310" s="101">
        <v>38.729999999999997</v>
      </c>
      <c r="C310" s="4">
        <f t="shared" si="8"/>
        <v>-6.0123288715672053E-2</v>
      </c>
      <c r="D310" s="1">
        <f>IFERROR(Comp2[[#This Row],[Comparable '#2 Return]]+1,"-")</f>
        <v>0.93987671128432793</v>
      </c>
      <c r="E310" s="6">
        <f>B310-MAX($B$2:B310)</f>
        <v>-19.43</v>
      </c>
      <c r="F310" s="80">
        <f t="shared" si="9"/>
        <v>217</v>
      </c>
      <c r="G310" s="77">
        <f>Comp2[[#This Row],[Comparable '#2 Drawdown]]/MAX($B$2:B310)</f>
        <v>-0.33407840440165065</v>
      </c>
      <c r="H310" s="1" t="str">
        <f>IF(SUM(COUNTIF(Benchmark1[Benchmark '#1 Dates],Comp2[[#This Row],[Comparable '#2 Dates]]),COUNTIF(Benchmark2[Benchmark '#2 Dates],Comp2[[#This Row],[Comparable '#2 Dates]]))=2,"Pass","Fail")</f>
        <v>Pass</v>
      </c>
      <c r="I310" s="1">
        <f>IFERROR(Comp2[[#This Row],[Comparable '#2 Return]]-INDEX(Benchmark1[Benchmark '#1 Return],MATCH(Comp2[[#This Row],[Comparable '#2 Dates]],Benchmark1[Benchmark '#1 Dates],0)),"-")</f>
        <v>-6.6263756204795604E-2</v>
      </c>
      <c r="L310" s="72">
        <f>Comp2[[#This Row],[Comparable '#2 Price]]/$B$2*100</f>
        <v>77.927565392354111</v>
      </c>
    </row>
    <row r="311" spans="1:12">
      <c r="A311" s="96">
        <v>43734</v>
      </c>
      <c r="B311" s="101">
        <v>38.200000000000003</v>
      </c>
      <c r="C311" s="4">
        <f t="shared" si="8"/>
        <v>-1.3778977914131203E-2</v>
      </c>
      <c r="D311" s="1">
        <f>IFERROR(Comp2[[#This Row],[Comparable '#2 Return]]+1,"-")</f>
        <v>0.98622102208586881</v>
      </c>
      <c r="E311" s="6">
        <f>B311-MAX($B$2:B311)</f>
        <v>-19.959999999999994</v>
      </c>
      <c r="F311" s="80">
        <f t="shared" si="9"/>
        <v>218</v>
      </c>
      <c r="G311" s="77">
        <f>Comp2[[#This Row],[Comparable '#2 Drawdown]]/MAX($B$2:B311)</f>
        <v>-0.34319119669876197</v>
      </c>
      <c r="H311" s="1" t="str">
        <f>IF(SUM(COUNTIF(Benchmark1[Benchmark '#1 Dates],Comp2[[#This Row],[Comparable '#2 Dates]]),COUNTIF(Benchmark2[Benchmark '#2 Dates],Comp2[[#This Row],[Comparable '#2 Dates]]))=2,"Pass","Fail")</f>
        <v>Pass</v>
      </c>
      <c r="I311" s="1">
        <f>IFERROR(Comp2[[#This Row],[Comparable '#2 Return]]-INDEX(Benchmark1[Benchmark '#1 Return],MATCH(Comp2[[#This Row],[Comparable '#2 Dates]],Benchmark1[Benchmark '#1 Dates],0)),"-")</f>
        <v>-1.134680431639425E-2</v>
      </c>
      <c r="L311" s="72">
        <f>Comp2[[#This Row],[Comparable '#2 Price]]/$B$2*100</f>
        <v>76.861167002012081</v>
      </c>
    </row>
    <row r="312" spans="1:12">
      <c r="A312" s="96">
        <v>43735</v>
      </c>
      <c r="B312" s="101">
        <v>38.020000000000003</v>
      </c>
      <c r="C312" s="4">
        <f t="shared" si="8"/>
        <v>-4.7231785522464168E-3</v>
      </c>
      <c r="D312" s="1">
        <f>IFERROR(Comp2[[#This Row],[Comparable '#2 Return]]+1,"-")</f>
        <v>0.99527682144775353</v>
      </c>
      <c r="E312" s="6">
        <f>B312-MAX($B$2:B312)</f>
        <v>-20.139999999999993</v>
      </c>
      <c r="F312" s="80">
        <f t="shared" si="9"/>
        <v>219</v>
      </c>
      <c r="G312" s="77">
        <f>Comp2[[#This Row],[Comparable '#2 Drawdown]]/MAX($B$2:B312)</f>
        <v>-0.34628610729023374</v>
      </c>
      <c r="H312" s="1" t="str">
        <f>IF(SUM(COUNTIF(Benchmark1[Benchmark '#1 Dates],Comp2[[#This Row],[Comparable '#2 Dates]]),COUNTIF(Benchmark2[Benchmark '#2 Dates],Comp2[[#This Row],[Comparable '#2 Dates]]))=2,"Pass","Fail")</f>
        <v>Pass</v>
      </c>
      <c r="I312" s="1">
        <f>IFERROR(Comp2[[#This Row],[Comparable '#2 Return]]-INDEX(Benchmark1[Benchmark '#1 Return],MATCH(Comp2[[#This Row],[Comparable '#2 Dates]],Benchmark1[Benchmark '#1 Dates],0)),"-")</f>
        <v>6.0541676186149154E-4</v>
      </c>
      <c r="L312" s="72">
        <f>Comp2[[#This Row],[Comparable '#2 Price]]/$B$2*100</f>
        <v>76.498993963782709</v>
      </c>
    </row>
    <row r="313" spans="1:12">
      <c r="A313" s="96">
        <v>43738</v>
      </c>
      <c r="B313" s="101">
        <v>38.090000000000003</v>
      </c>
      <c r="C313" s="4">
        <f t="shared" si="8"/>
        <v>1.839443430229507E-3</v>
      </c>
      <c r="D313" s="1">
        <f>IFERROR(Comp2[[#This Row],[Comparable '#2 Return]]+1,"-")</f>
        <v>1.0018394434302296</v>
      </c>
      <c r="E313" s="6">
        <f>B313-MAX($B$2:B313)</f>
        <v>-20.069999999999993</v>
      </c>
      <c r="F313" s="80">
        <f t="shared" si="9"/>
        <v>220</v>
      </c>
      <c r="G313" s="77">
        <f>Comp2[[#This Row],[Comparable '#2 Drawdown]]/MAX($B$2:B313)</f>
        <v>-0.34508253094910579</v>
      </c>
      <c r="H313" s="1" t="str">
        <f>IF(SUM(COUNTIF(Benchmark1[Benchmark '#1 Dates],Comp2[[#This Row],[Comparable '#2 Dates]]),COUNTIF(Benchmark2[Benchmark '#2 Dates],Comp2[[#This Row],[Comparable '#2 Dates]]))=2,"Pass","Fail")</f>
        <v>Pass</v>
      </c>
      <c r="I313" s="1">
        <f>IFERROR(Comp2[[#This Row],[Comparable '#2 Return]]-INDEX(Benchmark1[Benchmark '#1 Return],MATCH(Comp2[[#This Row],[Comparable '#2 Dates]],Benchmark1[Benchmark '#1 Dates],0)),"-")</f>
        <v>-3.1935145621709423E-3</v>
      </c>
      <c r="L313" s="72">
        <f>Comp2[[#This Row],[Comparable '#2 Price]]/$B$2*100</f>
        <v>76.639839034205238</v>
      </c>
    </row>
    <row r="314" spans="1:12">
      <c r="A314" s="96">
        <v>43739</v>
      </c>
      <c r="B314" s="101">
        <v>37.950000000000003</v>
      </c>
      <c r="C314" s="4">
        <f t="shared" si="8"/>
        <v>-3.6822766488737359E-3</v>
      </c>
      <c r="D314" s="1">
        <f>IFERROR(Comp2[[#This Row],[Comparable '#2 Return]]+1,"-")</f>
        <v>0.99631772335112623</v>
      </c>
      <c r="E314" s="6">
        <f>B314-MAX($B$2:B314)</f>
        <v>-20.209999999999994</v>
      </c>
      <c r="F314" s="80">
        <f t="shared" si="9"/>
        <v>221</v>
      </c>
      <c r="G314" s="77">
        <f>Comp2[[#This Row],[Comparable '#2 Drawdown]]/MAX($B$2:B314)</f>
        <v>-0.34748968363136168</v>
      </c>
      <c r="H314" s="1" t="str">
        <f>IF(SUM(COUNTIF(Benchmark1[Benchmark '#1 Dates],Comp2[[#This Row],[Comparable '#2 Dates]]),COUNTIF(Benchmark2[Benchmark '#2 Dates],Comp2[[#This Row],[Comparable '#2 Dates]]))=2,"Pass","Fail")</f>
        <v>Pass</v>
      </c>
      <c r="I314" s="1">
        <f>IFERROR(Comp2[[#This Row],[Comparable '#2 Return]]-INDEX(Benchmark1[Benchmark '#1 Return],MATCH(Comp2[[#This Row],[Comparable '#2 Dates]],Benchmark1[Benchmark '#1 Dates],0)),"-")</f>
        <v>8.6514171210001177E-3</v>
      </c>
      <c r="L314" s="72">
        <f>Comp2[[#This Row],[Comparable '#2 Price]]/$B$2*100</f>
        <v>76.358148893360166</v>
      </c>
    </row>
    <row r="315" spans="1:12">
      <c r="A315" s="96">
        <v>43740</v>
      </c>
      <c r="B315" s="101">
        <v>37.78</v>
      </c>
      <c r="C315" s="4">
        <f t="shared" si="8"/>
        <v>-4.4896417682754874E-3</v>
      </c>
      <c r="D315" s="1">
        <f>IFERROR(Comp2[[#This Row],[Comparable '#2 Return]]+1,"-")</f>
        <v>0.99551035823172451</v>
      </c>
      <c r="E315" s="6">
        <f>B315-MAX($B$2:B315)</f>
        <v>-20.379999999999995</v>
      </c>
      <c r="F315" s="80">
        <f t="shared" si="9"/>
        <v>222</v>
      </c>
      <c r="G315" s="77">
        <f>Comp2[[#This Row],[Comparable '#2 Drawdown]]/MAX($B$2:B315)</f>
        <v>-0.35041265474552952</v>
      </c>
      <c r="H315" s="1" t="str">
        <f>IF(SUM(COUNTIF(Benchmark1[Benchmark '#1 Dates],Comp2[[#This Row],[Comparable '#2 Dates]]),COUNTIF(Benchmark2[Benchmark '#2 Dates],Comp2[[#This Row],[Comparable '#2 Dates]]))=2,"Pass","Fail")</f>
        <v>Pass</v>
      </c>
      <c r="I315" s="1">
        <f>IFERROR(Comp2[[#This Row],[Comparable '#2 Return]]-INDEX(Benchmark1[Benchmark '#1 Return],MATCH(Comp2[[#This Row],[Comparable '#2 Dates]],Benchmark1[Benchmark '#1 Dates],0)),"-")</f>
        <v>1.3576530185513178E-2</v>
      </c>
      <c r="L315" s="72">
        <f>Comp2[[#This Row],[Comparable '#2 Price]]/$B$2*100</f>
        <v>76.016096579476852</v>
      </c>
    </row>
    <row r="316" spans="1:12">
      <c r="A316" s="96">
        <v>43741</v>
      </c>
      <c r="B316" s="101">
        <v>37.69</v>
      </c>
      <c r="C316" s="4">
        <f t="shared" si="8"/>
        <v>-2.3850547943195678E-3</v>
      </c>
      <c r="D316" s="1">
        <f>IFERROR(Comp2[[#This Row],[Comparable '#2 Return]]+1,"-")</f>
        <v>0.99761494520568039</v>
      </c>
      <c r="E316" s="6">
        <f>B316-MAX($B$2:B316)</f>
        <v>-20.47</v>
      </c>
      <c r="F316" s="80">
        <f t="shared" si="9"/>
        <v>223</v>
      </c>
      <c r="G316" s="77">
        <f>Comp2[[#This Row],[Comparable '#2 Drawdown]]/MAX($B$2:B316)</f>
        <v>-0.35196011004126548</v>
      </c>
      <c r="H316" s="1" t="str">
        <f>IF(SUM(COUNTIF(Benchmark1[Benchmark '#1 Dates],Comp2[[#This Row],[Comparable '#2 Dates]]),COUNTIF(Benchmark2[Benchmark '#2 Dates],Comp2[[#This Row],[Comparable '#2 Dates]]))=2,"Pass","Fail")</f>
        <v>Pass</v>
      </c>
      <c r="I316" s="1">
        <f>IFERROR(Comp2[[#This Row],[Comparable '#2 Return]]-INDEX(Benchmark1[Benchmark '#1 Return],MATCH(Comp2[[#This Row],[Comparable '#2 Dates]],Benchmark1[Benchmark '#1 Dates],0)),"-")</f>
        <v>-1.0328035865411945E-2</v>
      </c>
      <c r="L316" s="72">
        <f>Comp2[[#This Row],[Comparable '#2 Price]]/$B$2*100</f>
        <v>75.835010060362166</v>
      </c>
    </row>
    <row r="317" spans="1:12">
      <c r="A317" s="96">
        <v>43742</v>
      </c>
      <c r="B317" s="101">
        <v>36.76</v>
      </c>
      <c r="C317" s="4">
        <f t="shared" si="8"/>
        <v>-2.4984509791557738E-2</v>
      </c>
      <c r="D317" s="1">
        <f>IFERROR(Comp2[[#This Row],[Comparable '#2 Return]]+1,"-")</f>
        <v>0.97501549020844225</v>
      </c>
      <c r="E317" s="6">
        <f>B317-MAX($B$2:B317)</f>
        <v>-21.4</v>
      </c>
      <c r="F317" s="80">
        <f t="shared" si="9"/>
        <v>224</v>
      </c>
      <c r="G317" s="77">
        <f>Comp2[[#This Row],[Comparable '#2 Drawdown]]/MAX($B$2:B317)</f>
        <v>-0.36795048143053644</v>
      </c>
      <c r="H317" s="1" t="str">
        <f>IF(SUM(COUNTIF(Benchmark1[Benchmark '#1 Dates],Comp2[[#This Row],[Comparable '#2 Dates]]),COUNTIF(Benchmark2[Benchmark '#2 Dates],Comp2[[#This Row],[Comparable '#2 Dates]]))=2,"Pass","Fail")</f>
        <v>Pass</v>
      </c>
      <c r="I317" s="1">
        <f>IFERROR(Comp2[[#This Row],[Comparable '#2 Return]]-INDEX(Benchmark1[Benchmark '#1 Return],MATCH(Comp2[[#This Row],[Comparable '#2 Dates]],Benchmark1[Benchmark '#1 Dates],0)),"-")</f>
        <v>-3.9099038208911564E-2</v>
      </c>
      <c r="L317" s="72">
        <f>Comp2[[#This Row],[Comparable '#2 Price]]/$B$2*100</f>
        <v>73.963782696177049</v>
      </c>
    </row>
    <row r="318" spans="1:12">
      <c r="A318" s="96">
        <v>43745</v>
      </c>
      <c r="B318" s="101">
        <v>36.880000000000003</v>
      </c>
      <c r="C318" s="4">
        <f t="shared" si="8"/>
        <v>3.2591012009069243E-3</v>
      </c>
      <c r="D318" s="1">
        <f>IFERROR(Comp2[[#This Row],[Comparable '#2 Return]]+1,"-")</f>
        <v>1.0032591012009069</v>
      </c>
      <c r="E318" s="6">
        <f>B318-MAX($B$2:B318)</f>
        <v>-21.279999999999994</v>
      </c>
      <c r="F318" s="80">
        <f t="shared" si="9"/>
        <v>225</v>
      </c>
      <c r="G318" s="77">
        <f>Comp2[[#This Row],[Comparable '#2 Drawdown]]/MAX($B$2:B318)</f>
        <v>-0.36588720770288852</v>
      </c>
      <c r="H318" s="1" t="str">
        <f>IF(SUM(COUNTIF(Benchmark1[Benchmark '#1 Dates],Comp2[[#This Row],[Comparable '#2 Dates]]),COUNTIF(Benchmark2[Benchmark '#2 Dates],Comp2[[#This Row],[Comparable '#2 Dates]]))=2,"Pass","Fail")</f>
        <v>Pass</v>
      </c>
      <c r="I318" s="1">
        <f>IFERROR(Comp2[[#This Row],[Comparable '#2 Return]]-INDEX(Benchmark1[Benchmark '#1 Return],MATCH(Comp2[[#This Row],[Comparable '#2 Dates]],Benchmark1[Benchmark '#1 Dates],0)),"-")</f>
        <v>7.7468449124061456E-3</v>
      </c>
      <c r="L318" s="72">
        <f>Comp2[[#This Row],[Comparable '#2 Price]]/$B$2*100</f>
        <v>74.205231388329977</v>
      </c>
    </row>
    <row r="319" spans="1:12">
      <c r="A319" s="96">
        <v>43746</v>
      </c>
      <c r="B319" s="101">
        <v>35.479999999999997</v>
      </c>
      <c r="C319" s="4">
        <f t="shared" si="8"/>
        <v>-3.8700241247014447E-2</v>
      </c>
      <c r="D319" s="1">
        <f>IFERROR(Comp2[[#This Row],[Comparable '#2 Return]]+1,"-")</f>
        <v>0.96129975875298557</v>
      </c>
      <c r="E319" s="6">
        <f>B319-MAX($B$2:B319)</f>
        <v>-22.68</v>
      </c>
      <c r="F319" s="80">
        <f t="shared" si="9"/>
        <v>226</v>
      </c>
      <c r="G319" s="77">
        <f>Comp2[[#This Row],[Comparable '#2 Drawdown]]/MAX($B$2:B319)</f>
        <v>-0.38995873452544705</v>
      </c>
      <c r="H319" s="1" t="str">
        <f>IF(SUM(COUNTIF(Benchmark1[Benchmark '#1 Dates],Comp2[[#This Row],[Comparable '#2 Dates]]),COUNTIF(Benchmark2[Benchmark '#2 Dates],Comp2[[#This Row],[Comparable '#2 Dates]]))=2,"Pass","Fail")</f>
        <v>Pass</v>
      </c>
      <c r="I319" s="1">
        <f>IFERROR(Comp2[[#This Row],[Comparable '#2 Return]]-INDEX(Benchmark1[Benchmark '#1 Return],MATCH(Comp2[[#This Row],[Comparable '#2 Dates]],Benchmark1[Benchmark '#1 Dates],0)),"-")</f>
        <v>-2.3015753714315461E-2</v>
      </c>
      <c r="L319" s="72">
        <f>Comp2[[#This Row],[Comparable '#2 Price]]/$B$2*100</f>
        <v>71.388329979879259</v>
      </c>
    </row>
    <row r="320" spans="1:12">
      <c r="A320" s="96">
        <v>43747</v>
      </c>
      <c r="B320" s="101">
        <v>35.67</v>
      </c>
      <c r="C320" s="4">
        <f t="shared" si="8"/>
        <v>5.3408419294215239E-3</v>
      </c>
      <c r="D320" s="1">
        <f>IFERROR(Comp2[[#This Row],[Comparable '#2 Return]]+1,"-")</f>
        <v>1.0053408419294214</v>
      </c>
      <c r="E320" s="6">
        <f>B320-MAX($B$2:B320)</f>
        <v>-22.489999999999995</v>
      </c>
      <c r="F320" s="80">
        <f t="shared" si="9"/>
        <v>227</v>
      </c>
      <c r="G320" s="77">
        <f>Comp2[[#This Row],[Comparable '#2 Drawdown]]/MAX($B$2:B320)</f>
        <v>-0.38669188445667119</v>
      </c>
      <c r="H320" s="1" t="str">
        <f>IF(SUM(COUNTIF(Benchmark1[Benchmark '#1 Dates],Comp2[[#This Row],[Comparable '#2 Dates]]),COUNTIF(Benchmark2[Benchmark '#2 Dates],Comp2[[#This Row],[Comparable '#2 Dates]]))=2,"Pass","Fail")</f>
        <v>Pass</v>
      </c>
      <c r="I320" s="1">
        <f>IFERROR(Comp2[[#This Row],[Comparable '#2 Return]]-INDEX(Benchmark1[Benchmark '#1 Return],MATCH(Comp2[[#This Row],[Comparable '#2 Dates]],Benchmark1[Benchmark '#1 Dates],0)),"-")</f>
        <v>-3.7240692051174985E-3</v>
      </c>
      <c r="L320" s="72">
        <f>Comp2[[#This Row],[Comparable '#2 Price]]/$B$2*100</f>
        <v>71.770623742454731</v>
      </c>
    </row>
    <row r="321" spans="1:12">
      <c r="A321" s="96">
        <v>43748</v>
      </c>
      <c r="B321" s="101">
        <v>35.42</v>
      </c>
      <c r="C321" s="4">
        <f t="shared" si="8"/>
        <v>-7.0333670161127002E-3</v>
      </c>
      <c r="D321" s="1">
        <f>IFERROR(Comp2[[#This Row],[Comparable '#2 Return]]+1,"-")</f>
        <v>0.99296663298388732</v>
      </c>
      <c r="E321" s="6">
        <f>B321-MAX($B$2:B321)</f>
        <v>-22.739999999999995</v>
      </c>
      <c r="F321" s="80">
        <f t="shared" si="9"/>
        <v>228</v>
      </c>
      <c r="G321" s="77">
        <f>Comp2[[#This Row],[Comparable '#2 Drawdown]]/MAX($B$2:B321)</f>
        <v>-0.3909903713892709</v>
      </c>
      <c r="H321" s="1" t="str">
        <f>IF(SUM(COUNTIF(Benchmark1[Benchmark '#1 Dates],Comp2[[#This Row],[Comparable '#2 Dates]]),COUNTIF(Benchmark2[Benchmark '#2 Dates],Comp2[[#This Row],[Comparable '#2 Dates]]))=2,"Pass","Fail")</f>
        <v>Pass</v>
      </c>
      <c r="I321" s="1">
        <f>IFERROR(Comp2[[#This Row],[Comparable '#2 Return]]-INDEX(Benchmark1[Benchmark '#1 Return],MATCH(Comp2[[#This Row],[Comparable '#2 Dates]],Benchmark1[Benchmark '#1 Dates],0)),"-")</f>
        <v>-1.3429343938277105E-2</v>
      </c>
      <c r="L321" s="72">
        <f>Comp2[[#This Row],[Comparable '#2 Price]]/$B$2*100</f>
        <v>71.267605633802816</v>
      </c>
    </row>
    <row r="322" spans="1:12">
      <c r="A322" s="96">
        <v>43749</v>
      </c>
      <c r="B322" s="101">
        <v>35.979999999999997</v>
      </c>
      <c r="C322" s="4">
        <f t="shared" ref="C322:C385" si="10">IFERROR(IF(B322="","-",LN(B322/B321)),"-")</f>
        <v>1.5686596167699473E-2</v>
      </c>
      <c r="D322" s="1">
        <f>IFERROR(Comp2[[#This Row],[Comparable '#2 Return]]+1,"-")</f>
        <v>1.0156865961676995</v>
      </c>
      <c r="E322" s="6">
        <f>B322-MAX($B$2:B322)</f>
        <v>-22.18</v>
      </c>
      <c r="F322" s="80">
        <f t="shared" ref="F322:F385" si="11">IF(E322=0,0,F321+1)</f>
        <v>229</v>
      </c>
      <c r="G322" s="77">
        <f>Comp2[[#This Row],[Comparable '#2 Drawdown]]/MAX($B$2:B322)</f>
        <v>-0.38136176066024763</v>
      </c>
      <c r="H322" s="1" t="str">
        <f>IF(SUM(COUNTIF(Benchmark1[Benchmark '#1 Dates],Comp2[[#This Row],[Comparable '#2 Dates]]),COUNTIF(Benchmark2[Benchmark '#2 Dates],Comp2[[#This Row],[Comparable '#2 Dates]]))=2,"Pass","Fail")</f>
        <v>Pass</v>
      </c>
      <c r="I322" s="1">
        <f>IFERROR(Comp2[[#This Row],[Comparable '#2 Return]]-INDEX(Benchmark1[Benchmark '#1 Return],MATCH(Comp2[[#This Row],[Comparable '#2 Dates]],Benchmark1[Benchmark '#1 Dates],0)),"-")</f>
        <v>4.8080176446941413E-3</v>
      </c>
      <c r="L322" s="72">
        <f>Comp2[[#This Row],[Comparable '#2 Price]]/$B$2*100</f>
        <v>72.394366197183089</v>
      </c>
    </row>
    <row r="323" spans="1:12">
      <c r="A323" s="96">
        <v>43752</v>
      </c>
      <c r="B323" s="101">
        <v>35.840000000000003</v>
      </c>
      <c r="C323" s="4">
        <f t="shared" si="10"/>
        <v>-3.8986404156570861E-3</v>
      </c>
      <c r="D323" s="1">
        <f>IFERROR(Comp2[[#This Row],[Comparable '#2 Return]]+1,"-")</f>
        <v>0.99610135958434287</v>
      </c>
      <c r="E323" s="6">
        <f>B323-MAX($B$2:B323)</f>
        <v>-22.319999999999993</v>
      </c>
      <c r="F323" s="80">
        <f t="shared" si="11"/>
        <v>230</v>
      </c>
      <c r="G323" s="77">
        <f>Comp2[[#This Row],[Comparable '#2 Drawdown]]/MAX($B$2:B323)</f>
        <v>-0.38376891334250335</v>
      </c>
      <c r="H323" s="1" t="str">
        <f>IF(SUM(COUNTIF(Benchmark1[Benchmark '#1 Dates],Comp2[[#This Row],[Comparable '#2 Dates]]),COUNTIF(Benchmark2[Benchmark '#2 Dates],Comp2[[#This Row],[Comparable '#2 Dates]]))=2,"Pass","Fail")</f>
        <v>Pass</v>
      </c>
      <c r="I323" s="1">
        <f>IFERROR(Comp2[[#This Row],[Comparable '#2 Return]]-INDEX(Benchmark1[Benchmark '#1 Return],MATCH(Comp2[[#This Row],[Comparable '#2 Dates]],Benchmark1[Benchmark '#1 Dates],0)),"-")</f>
        <v>-2.5109050580155905E-3</v>
      </c>
      <c r="L323" s="72">
        <f>Comp2[[#This Row],[Comparable '#2 Price]]/$B$2*100</f>
        <v>72.112676056338032</v>
      </c>
    </row>
    <row r="324" spans="1:12">
      <c r="A324" s="96">
        <v>43753</v>
      </c>
      <c r="B324" s="101">
        <v>36.69</v>
      </c>
      <c r="C324" s="4">
        <f t="shared" si="10"/>
        <v>2.3439650260460895E-2</v>
      </c>
      <c r="D324" s="1">
        <f>IFERROR(Comp2[[#This Row],[Comparable '#2 Return]]+1,"-")</f>
        <v>1.0234396502604608</v>
      </c>
      <c r="E324" s="6">
        <f>B324-MAX($B$2:B324)</f>
        <v>-21.47</v>
      </c>
      <c r="F324" s="80">
        <f t="shared" si="11"/>
        <v>231</v>
      </c>
      <c r="G324" s="77">
        <f>Comp2[[#This Row],[Comparable '#2 Drawdown]]/MAX($B$2:B324)</f>
        <v>-0.36915405777166438</v>
      </c>
      <c r="H324" s="1" t="str">
        <f>IF(SUM(COUNTIF(Benchmark1[Benchmark '#1 Dates],Comp2[[#This Row],[Comparable '#2 Dates]]),COUNTIF(Benchmark2[Benchmark '#2 Dates],Comp2[[#This Row],[Comparable '#2 Dates]]))=2,"Pass","Fail")</f>
        <v>Pass</v>
      </c>
      <c r="I324" s="1">
        <f>IFERROR(Comp2[[#This Row],[Comparable '#2 Return]]-INDEX(Benchmark1[Benchmark '#1 Return],MATCH(Comp2[[#This Row],[Comparable '#2 Dates]],Benchmark1[Benchmark '#1 Dates],0)),"-")</f>
        <v>1.3532322734506214E-2</v>
      </c>
      <c r="L324" s="72">
        <f>Comp2[[#This Row],[Comparable '#2 Price]]/$B$2*100</f>
        <v>73.82293762575452</v>
      </c>
    </row>
    <row r="325" spans="1:12">
      <c r="A325" s="96">
        <v>43754</v>
      </c>
      <c r="B325" s="101">
        <v>36.5</v>
      </c>
      <c r="C325" s="4">
        <f t="shared" si="10"/>
        <v>-5.191977778744813E-3</v>
      </c>
      <c r="D325" s="1">
        <f>IFERROR(Comp2[[#This Row],[Comparable '#2 Return]]+1,"-")</f>
        <v>0.99480802222125519</v>
      </c>
      <c r="E325" s="6">
        <f>B325-MAX($B$2:B325)</f>
        <v>-21.659999999999997</v>
      </c>
      <c r="F325" s="80">
        <f t="shared" si="11"/>
        <v>232</v>
      </c>
      <c r="G325" s="77">
        <f>Comp2[[#This Row],[Comparable '#2 Drawdown]]/MAX($B$2:B325)</f>
        <v>-0.37242090784044013</v>
      </c>
      <c r="H325" s="1" t="str">
        <f>IF(SUM(COUNTIF(Benchmark1[Benchmark '#1 Dates],Comp2[[#This Row],[Comparable '#2 Dates]]),COUNTIF(Benchmark2[Benchmark '#2 Dates],Comp2[[#This Row],[Comparable '#2 Dates]]))=2,"Pass","Fail")</f>
        <v>Pass</v>
      </c>
      <c r="I325" s="1">
        <f>IFERROR(Comp2[[#This Row],[Comparable '#2 Return]]-INDEX(Benchmark1[Benchmark '#1 Return],MATCH(Comp2[[#This Row],[Comparable '#2 Dates]],Benchmark1[Benchmark '#1 Dates],0)),"-")</f>
        <v>-3.1906488513760078E-3</v>
      </c>
      <c r="L325" s="72">
        <f>Comp2[[#This Row],[Comparable '#2 Price]]/$B$2*100</f>
        <v>73.440643863179062</v>
      </c>
    </row>
    <row r="326" spans="1:12">
      <c r="A326" s="96">
        <v>43755</v>
      </c>
      <c r="B326" s="101">
        <v>36.29</v>
      </c>
      <c r="C326" s="4">
        <f t="shared" si="10"/>
        <v>-5.7700393634668645E-3</v>
      </c>
      <c r="D326" s="1">
        <f>IFERROR(Comp2[[#This Row],[Comparable '#2 Return]]+1,"-")</f>
        <v>0.99422996063653313</v>
      </c>
      <c r="E326" s="6">
        <f>B326-MAX($B$2:B326)</f>
        <v>-21.869999999999997</v>
      </c>
      <c r="F326" s="80">
        <f t="shared" si="11"/>
        <v>233</v>
      </c>
      <c r="G326" s="77">
        <f>Comp2[[#This Row],[Comparable '#2 Drawdown]]/MAX($B$2:B326)</f>
        <v>-0.3760316368638239</v>
      </c>
      <c r="H326" s="1" t="str">
        <f>IF(SUM(COUNTIF(Benchmark1[Benchmark '#1 Dates],Comp2[[#This Row],[Comparable '#2 Dates]]),COUNTIF(Benchmark2[Benchmark '#2 Dates],Comp2[[#This Row],[Comparable '#2 Dates]]))=2,"Pass","Fail")</f>
        <v>Pass</v>
      </c>
      <c r="I326" s="1">
        <f>IFERROR(Comp2[[#This Row],[Comparable '#2 Return]]-INDEX(Benchmark1[Benchmark '#1 Return],MATCH(Comp2[[#This Row],[Comparable '#2 Dates]],Benchmark1[Benchmark '#1 Dates],0)),"-")</f>
        <v>-8.5287560544900082E-3</v>
      </c>
      <c r="L326" s="72">
        <f>Comp2[[#This Row],[Comparable '#2 Price]]/$B$2*100</f>
        <v>73.018108651911461</v>
      </c>
    </row>
    <row r="327" spans="1:12">
      <c r="A327" s="96">
        <v>43756</v>
      </c>
      <c r="B327" s="101">
        <v>35.85</v>
      </c>
      <c r="C327" s="4">
        <f t="shared" si="10"/>
        <v>-1.2198654179349483E-2</v>
      </c>
      <c r="D327" s="1">
        <f>IFERROR(Comp2[[#This Row],[Comparable '#2 Return]]+1,"-")</f>
        <v>0.98780134582065049</v>
      </c>
      <c r="E327" s="6">
        <f>B327-MAX($B$2:B327)</f>
        <v>-22.309999999999995</v>
      </c>
      <c r="F327" s="80">
        <f t="shared" si="11"/>
        <v>234</v>
      </c>
      <c r="G327" s="77">
        <f>Comp2[[#This Row],[Comparable '#2 Drawdown]]/MAX($B$2:B327)</f>
        <v>-0.38359697386519936</v>
      </c>
      <c r="H327" s="1" t="str">
        <f>IF(SUM(COUNTIF(Benchmark1[Benchmark '#1 Dates],Comp2[[#This Row],[Comparable '#2 Dates]]),COUNTIF(Benchmark2[Benchmark '#2 Dates],Comp2[[#This Row],[Comparable '#2 Dates]]))=2,"Pass","Fail")</f>
        <v>Pass</v>
      </c>
      <c r="I327" s="1">
        <f>IFERROR(Comp2[[#This Row],[Comparable '#2 Return]]-INDEX(Benchmark1[Benchmark '#1 Return],MATCH(Comp2[[#This Row],[Comparable '#2 Dates]],Benchmark1[Benchmark '#1 Dates],0)),"-")</f>
        <v>-8.2718123772166519E-3</v>
      </c>
      <c r="L327" s="72">
        <f>Comp2[[#This Row],[Comparable '#2 Price]]/$B$2*100</f>
        <v>72.132796780684103</v>
      </c>
    </row>
    <row r="328" spans="1:12">
      <c r="A328" s="96">
        <v>43759</v>
      </c>
      <c r="B328" s="101">
        <v>36.25</v>
      </c>
      <c r="C328" s="4">
        <f t="shared" si="10"/>
        <v>1.1095814255054447E-2</v>
      </c>
      <c r="D328" s="1">
        <f>IFERROR(Comp2[[#This Row],[Comparable '#2 Return]]+1,"-")</f>
        <v>1.0110958142550543</v>
      </c>
      <c r="E328" s="6">
        <f>B328-MAX($B$2:B328)</f>
        <v>-21.909999999999997</v>
      </c>
      <c r="F328" s="80">
        <f t="shared" si="11"/>
        <v>235</v>
      </c>
      <c r="G328" s="77">
        <f>Comp2[[#This Row],[Comparable '#2 Drawdown]]/MAX($B$2:B328)</f>
        <v>-0.37671939477303984</v>
      </c>
      <c r="H328" s="1" t="str">
        <f>IF(SUM(COUNTIF(Benchmark1[Benchmark '#1 Dates],Comp2[[#This Row],[Comparable '#2 Dates]]),COUNTIF(Benchmark2[Benchmark '#2 Dates],Comp2[[#This Row],[Comparable '#2 Dates]]))=2,"Pass","Fail")</f>
        <v>Pass</v>
      </c>
      <c r="I328" s="1">
        <f>IFERROR(Comp2[[#This Row],[Comparable '#2 Return]]-INDEX(Benchmark1[Benchmark '#1 Return],MATCH(Comp2[[#This Row],[Comparable '#2 Dates]],Benchmark1[Benchmark '#1 Dates],0)),"-")</f>
        <v>4.2474490858539563E-3</v>
      </c>
      <c r="L328" s="72">
        <f>Comp2[[#This Row],[Comparable '#2 Price]]/$B$2*100</f>
        <v>72.937625754527161</v>
      </c>
    </row>
    <row r="329" spans="1:12">
      <c r="A329" s="96">
        <v>43760</v>
      </c>
      <c r="B329" s="101">
        <v>36.33</v>
      </c>
      <c r="C329" s="4">
        <f t="shared" si="10"/>
        <v>2.2044649324267792E-3</v>
      </c>
      <c r="D329" s="1">
        <f>IFERROR(Comp2[[#This Row],[Comparable '#2 Return]]+1,"-")</f>
        <v>1.0022044649324269</v>
      </c>
      <c r="E329" s="6">
        <f>B329-MAX($B$2:B329)</f>
        <v>-21.83</v>
      </c>
      <c r="F329" s="80">
        <f t="shared" si="11"/>
        <v>236</v>
      </c>
      <c r="G329" s="77">
        <f>Comp2[[#This Row],[Comparable '#2 Drawdown]]/MAX($B$2:B329)</f>
        <v>-0.37534387895460797</v>
      </c>
      <c r="H329" s="1" t="str">
        <f>IF(SUM(COUNTIF(Benchmark1[Benchmark '#1 Dates],Comp2[[#This Row],[Comparable '#2 Dates]]),COUNTIF(Benchmark2[Benchmark '#2 Dates],Comp2[[#This Row],[Comparable '#2 Dates]]))=2,"Pass","Fail")</f>
        <v>Pass</v>
      </c>
      <c r="I329" s="1">
        <f>IFERROR(Comp2[[#This Row],[Comparable '#2 Return]]-INDEX(Benchmark1[Benchmark '#1 Return],MATCH(Comp2[[#This Row],[Comparable '#2 Dates]],Benchmark1[Benchmark '#1 Dates],0)),"-")</f>
        <v>5.7799557245936748E-3</v>
      </c>
      <c r="L329" s="72">
        <f>Comp2[[#This Row],[Comparable '#2 Price]]/$B$2*100</f>
        <v>73.098591549295762</v>
      </c>
    </row>
    <row r="330" spans="1:12">
      <c r="A330" s="96">
        <v>43761</v>
      </c>
      <c r="B330" s="101">
        <v>36.47</v>
      </c>
      <c r="C330" s="4">
        <f t="shared" si="10"/>
        <v>3.8461585874783148E-3</v>
      </c>
      <c r="D330" s="1">
        <f>IFERROR(Comp2[[#This Row],[Comparable '#2 Return]]+1,"-")</f>
        <v>1.0038461585874783</v>
      </c>
      <c r="E330" s="6">
        <f>B330-MAX($B$2:B330)</f>
        <v>-21.689999999999998</v>
      </c>
      <c r="F330" s="80">
        <f t="shared" si="11"/>
        <v>237</v>
      </c>
      <c r="G330" s="77">
        <f>Comp2[[#This Row],[Comparable '#2 Drawdown]]/MAX($B$2:B330)</f>
        <v>-0.37293672627235214</v>
      </c>
      <c r="H330" s="1" t="str">
        <f>IF(SUM(COUNTIF(Benchmark1[Benchmark '#1 Dates],Comp2[[#This Row],[Comparable '#2 Dates]]),COUNTIF(Benchmark2[Benchmark '#2 Dates],Comp2[[#This Row],[Comparable '#2 Dates]]))=2,"Pass","Fail")</f>
        <v>Pass</v>
      </c>
      <c r="I330" s="1">
        <f>IFERROR(Comp2[[#This Row],[Comparable '#2 Return]]-INDEX(Benchmark1[Benchmark '#1 Return],MATCH(Comp2[[#This Row],[Comparable '#2 Dates]],Benchmark1[Benchmark '#1 Dates],0)),"-")</f>
        <v>1.0026128649963588E-3</v>
      </c>
      <c r="L330" s="72">
        <f>Comp2[[#This Row],[Comparable '#2 Price]]/$B$2*100</f>
        <v>73.380281690140833</v>
      </c>
    </row>
    <row r="331" spans="1:12">
      <c r="A331" s="96">
        <v>43762</v>
      </c>
      <c r="B331" s="101">
        <v>36.130000000000003</v>
      </c>
      <c r="C331" s="4">
        <f t="shared" si="10"/>
        <v>-9.3664596610398606E-3</v>
      </c>
      <c r="D331" s="1">
        <f>IFERROR(Comp2[[#This Row],[Comparable '#2 Return]]+1,"-")</f>
        <v>0.99063354033896012</v>
      </c>
      <c r="E331" s="6">
        <f>B331-MAX($B$2:B331)</f>
        <v>-22.029999999999994</v>
      </c>
      <c r="F331" s="80">
        <f t="shared" si="11"/>
        <v>238</v>
      </c>
      <c r="G331" s="77">
        <f>Comp2[[#This Row],[Comparable '#2 Drawdown]]/MAX($B$2:B331)</f>
        <v>-0.3787826685006877</v>
      </c>
      <c r="H331" s="1" t="str">
        <f>IF(SUM(COUNTIF(Benchmark1[Benchmark '#1 Dates],Comp2[[#This Row],[Comparable '#2 Dates]]),COUNTIF(Benchmark2[Benchmark '#2 Dates],Comp2[[#This Row],[Comparable '#2 Dates]]))=2,"Pass","Fail")</f>
        <v>Pass</v>
      </c>
      <c r="I331" s="1">
        <f>IFERROR(Comp2[[#This Row],[Comparable '#2 Return]]-INDEX(Benchmark1[Benchmark '#1 Return],MATCH(Comp2[[#This Row],[Comparable '#2 Dates]],Benchmark1[Benchmark '#1 Dates],0)),"-")</f>
        <v>-1.1282056066737154E-2</v>
      </c>
      <c r="L331" s="72">
        <f>Comp2[[#This Row],[Comparable '#2 Price]]/$B$2*100</f>
        <v>72.696177062374247</v>
      </c>
    </row>
    <row r="332" spans="1:12">
      <c r="A332" s="96">
        <v>43763</v>
      </c>
      <c r="B332" s="101">
        <v>36.47</v>
      </c>
      <c r="C332" s="4">
        <f t="shared" si="10"/>
        <v>9.3664596610399681E-3</v>
      </c>
      <c r="D332" s="1">
        <f>IFERROR(Comp2[[#This Row],[Comparable '#2 Return]]+1,"-")</f>
        <v>1.0093664596610399</v>
      </c>
      <c r="E332" s="6">
        <f>B332-MAX($B$2:B332)</f>
        <v>-21.689999999999998</v>
      </c>
      <c r="F332" s="80">
        <f t="shared" si="11"/>
        <v>239</v>
      </c>
      <c r="G332" s="77">
        <f>Comp2[[#This Row],[Comparable '#2 Drawdown]]/MAX($B$2:B332)</f>
        <v>-0.37293672627235214</v>
      </c>
      <c r="H332" s="1" t="str">
        <f>IF(SUM(COUNTIF(Benchmark1[Benchmark '#1 Dates],Comp2[[#This Row],[Comparable '#2 Dates]]),COUNTIF(Benchmark2[Benchmark '#2 Dates],Comp2[[#This Row],[Comparable '#2 Dates]]))=2,"Pass","Fail")</f>
        <v>Pass</v>
      </c>
      <c r="I332" s="1">
        <f>IFERROR(Comp2[[#This Row],[Comparable '#2 Return]]-INDEX(Benchmark1[Benchmark '#1 Return],MATCH(Comp2[[#This Row],[Comparable '#2 Dates]],Benchmark1[Benchmark '#1 Dates],0)),"-")</f>
        <v>5.3005907630532308E-3</v>
      </c>
      <c r="L332" s="72">
        <f>Comp2[[#This Row],[Comparable '#2 Price]]/$B$2*100</f>
        <v>73.380281690140833</v>
      </c>
    </row>
    <row r="333" spans="1:12">
      <c r="A333" s="96">
        <v>43766</v>
      </c>
      <c r="B333" s="101">
        <v>36.75</v>
      </c>
      <c r="C333" s="4">
        <f t="shared" si="10"/>
        <v>7.6482208382568188E-3</v>
      </c>
      <c r="D333" s="1">
        <f>IFERROR(Comp2[[#This Row],[Comparable '#2 Return]]+1,"-")</f>
        <v>1.0076482208382569</v>
      </c>
      <c r="E333" s="6">
        <f>B333-MAX($B$2:B333)</f>
        <v>-21.409999999999997</v>
      </c>
      <c r="F333" s="80">
        <f t="shared" si="11"/>
        <v>240</v>
      </c>
      <c r="G333" s="77">
        <f>Comp2[[#This Row],[Comparable '#2 Drawdown]]/MAX($B$2:B333)</f>
        <v>-0.36812242090784042</v>
      </c>
      <c r="H333" s="1" t="str">
        <f>IF(SUM(COUNTIF(Benchmark1[Benchmark '#1 Dates],Comp2[[#This Row],[Comparable '#2 Dates]]),COUNTIF(Benchmark2[Benchmark '#2 Dates],Comp2[[#This Row],[Comparable '#2 Dates]]))=2,"Pass","Fail")</f>
        <v>Pass</v>
      </c>
      <c r="I333" s="1">
        <f>IFERROR(Comp2[[#This Row],[Comparable '#2 Return]]-INDEX(Benchmark1[Benchmark '#1 Return],MATCH(Comp2[[#This Row],[Comparable '#2 Dates]],Benchmark1[Benchmark '#1 Dates],0)),"-")</f>
        <v>2.0822668350739086E-3</v>
      </c>
      <c r="L333" s="72">
        <f>Comp2[[#This Row],[Comparable '#2 Price]]/$B$2*100</f>
        <v>73.943661971830977</v>
      </c>
    </row>
    <row r="334" spans="1:12">
      <c r="A334" s="96">
        <v>43767</v>
      </c>
      <c r="B334" s="101">
        <v>36.54</v>
      </c>
      <c r="C334" s="4">
        <f t="shared" si="10"/>
        <v>-5.7306747089850953E-3</v>
      </c>
      <c r="D334" s="1">
        <f>IFERROR(Comp2[[#This Row],[Comparable '#2 Return]]+1,"-")</f>
        <v>0.99426932529101486</v>
      </c>
      <c r="E334" s="6">
        <f>B334-MAX($B$2:B334)</f>
        <v>-21.619999999999997</v>
      </c>
      <c r="F334" s="80">
        <f t="shared" si="11"/>
        <v>241</v>
      </c>
      <c r="G334" s="77">
        <f>Comp2[[#This Row],[Comparable '#2 Drawdown]]/MAX($B$2:B334)</f>
        <v>-0.37173314993122419</v>
      </c>
      <c r="H334" s="1" t="str">
        <f>IF(SUM(COUNTIF(Benchmark1[Benchmark '#1 Dates],Comp2[[#This Row],[Comparable '#2 Dates]]),COUNTIF(Benchmark2[Benchmark '#2 Dates],Comp2[[#This Row],[Comparable '#2 Dates]]))=2,"Pass","Fail")</f>
        <v>Pass</v>
      </c>
      <c r="I334" s="1">
        <f>IFERROR(Comp2[[#This Row],[Comparable '#2 Return]]-INDEX(Benchmark1[Benchmark '#1 Return],MATCH(Comp2[[#This Row],[Comparable '#2 Dates]],Benchmark1[Benchmark '#1 Dates],0)),"-")</f>
        <v>-4.8986981677964711E-3</v>
      </c>
      <c r="L334" s="72">
        <f>Comp2[[#This Row],[Comparable '#2 Price]]/$B$2*100</f>
        <v>73.521126760563376</v>
      </c>
    </row>
    <row r="335" spans="1:12">
      <c r="A335" s="96">
        <v>43768</v>
      </c>
      <c r="B335" s="101">
        <v>29.7</v>
      </c>
      <c r="C335" s="4">
        <f t="shared" si="10"/>
        <v>-0.20726050514120672</v>
      </c>
      <c r="D335" s="1">
        <f>IFERROR(Comp2[[#This Row],[Comparable '#2 Return]]+1,"-")</f>
        <v>0.79273949485879325</v>
      </c>
      <c r="E335" s="6">
        <f>B335-MAX($B$2:B335)</f>
        <v>-28.459999999999997</v>
      </c>
      <c r="F335" s="80">
        <f t="shared" si="11"/>
        <v>242</v>
      </c>
      <c r="G335" s="77">
        <f>Comp2[[#This Row],[Comparable '#2 Drawdown]]/MAX($B$2:B335)</f>
        <v>-0.48933975240715266</v>
      </c>
      <c r="H335" s="1" t="str">
        <f>IF(SUM(COUNTIF(Benchmark1[Benchmark '#1 Dates],Comp2[[#This Row],[Comparable '#2 Dates]]),COUNTIF(Benchmark2[Benchmark '#2 Dates],Comp2[[#This Row],[Comparable '#2 Dates]]))=2,"Pass","Fail")</f>
        <v>Pass</v>
      </c>
      <c r="I335" s="1">
        <f>IFERROR(Comp2[[#This Row],[Comparable '#2 Return]]-INDEX(Benchmark1[Benchmark '#1 Return],MATCH(Comp2[[#This Row],[Comparable '#2 Dates]],Benchmark1[Benchmark '#1 Dates],0)),"-")</f>
        <v>-0.21050656556643838</v>
      </c>
      <c r="L335" s="72">
        <f>Comp2[[#This Row],[Comparable '#2 Price]]/$B$2*100</f>
        <v>59.758551307847071</v>
      </c>
    </row>
    <row r="336" spans="1:12">
      <c r="A336" s="96">
        <v>43769</v>
      </c>
      <c r="B336" s="101">
        <v>29.78</v>
      </c>
      <c r="C336" s="4">
        <f t="shared" si="10"/>
        <v>2.689981447209157E-3</v>
      </c>
      <c r="D336" s="1">
        <f>IFERROR(Comp2[[#This Row],[Comparable '#2 Return]]+1,"-")</f>
        <v>1.0026899814472092</v>
      </c>
      <c r="E336" s="6">
        <f>B336-MAX($B$2:B336)</f>
        <v>-28.379999999999995</v>
      </c>
      <c r="F336" s="80">
        <f t="shared" si="11"/>
        <v>243</v>
      </c>
      <c r="G336" s="77">
        <f>Comp2[[#This Row],[Comparable '#2 Drawdown]]/MAX($B$2:B336)</f>
        <v>-0.48796423658872073</v>
      </c>
      <c r="H336" s="1" t="str">
        <f>IF(SUM(COUNTIF(Benchmark1[Benchmark '#1 Dates],Comp2[[#This Row],[Comparable '#2 Dates]]),COUNTIF(Benchmark2[Benchmark '#2 Dates],Comp2[[#This Row],[Comparable '#2 Dates]]))=2,"Pass","Fail")</f>
        <v>Pass</v>
      </c>
      <c r="I336" s="1">
        <f>IFERROR(Comp2[[#This Row],[Comparable '#2 Return]]-INDEX(Benchmark1[Benchmark '#1 Return],MATCH(Comp2[[#This Row],[Comparable '#2 Dates]],Benchmark1[Benchmark '#1 Dates],0)),"-")</f>
        <v>5.7147257217548784E-3</v>
      </c>
      <c r="L336" s="72">
        <f>Comp2[[#This Row],[Comparable '#2 Price]]/$B$2*100</f>
        <v>59.919517102615693</v>
      </c>
    </row>
    <row r="337" spans="1:12">
      <c r="A337" s="96">
        <v>43770</v>
      </c>
      <c r="B337" s="101">
        <v>30.56</v>
      </c>
      <c r="C337" s="4">
        <f t="shared" si="10"/>
        <v>2.5854937042456689E-2</v>
      </c>
      <c r="D337" s="1">
        <f>IFERROR(Comp2[[#This Row],[Comparable '#2 Return]]+1,"-")</f>
        <v>1.0258549370424568</v>
      </c>
      <c r="E337" s="6">
        <f>B337-MAX($B$2:B337)</f>
        <v>-27.599999999999998</v>
      </c>
      <c r="F337" s="80">
        <f t="shared" si="11"/>
        <v>244</v>
      </c>
      <c r="G337" s="77">
        <f>Comp2[[#This Row],[Comparable '#2 Drawdown]]/MAX($B$2:B337)</f>
        <v>-0.4745529573590096</v>
      </c>
      <c r="H337" s="1" t="str">
        <f>IF(SUM(COUNTIF(Benchmark1[Benchmark '#1 Dates],Comp2[[#This Row],[Comparable '#2 Dates]]),COUNTIF(Benchmark2[Benchmark '#2 Dates],Comp2[[#This Row],[Comparable '#2 Dates]]))=2,"Pass","Fail")</f>
        <v>Pass</v>
      </c>
      <c r="I337" s="1">
        <f>IFERROR(Comp2[[#This Row],[Comparable '#2 Return]]-INDEX(Benchmark1[Benchmark '#1 Return],MATCH(Comp2[[#This Row],[Comparable '#2 Dates]],Benchmark1[Benchmark '#1 Dates],0)),"-")</f>
        <v>1.6238874764992667E-2</v>
      </c>
      <c r="L337" s="72">
        <f>Comp2[[#This Row],[Comparable '#2 Price]]/$B$2*100</f>
        <v>61.488933601609652</v>
      </c>
    </row>
    <row r="338" spans="1:12">
      <c r="A338" s="96">
        <v>43773</v>
      </c>
      <c r="B338" s="101">
        <v>30.82</v>
      </c>
      <c r="C338" s="4">
        <f t="shared" si="10"/>
        <v>8.4718655936498969E-3</v>
      </c>
      <c r="D338" s="1">
        <f>IFERROR(Comp2[[#This Row],[Comparable '#2 Return]]+1,"-")</f>
        <v>1.00847186559365</v>
      </c>
      <c r="E338" s="6">
        <f>B338-MAX($B$2:B338)</f>
        <v>-27.339999999999996</v>
      </c>
      <c r="F338" s="80">
        <f t="shared" si="11"/>
        <v>245</v>
      </c>
      <c r="G338" s="77">
        <f>Comp2[[#This Row],[Comparable '#2 Drawdown]]/MAX($B$2:B338)</f>
        <v>-0.4700825309491059</v>
      </c>
      <c r="H338" s="1" t="str">
        <f>IF(SUM(COUNTIF(Benchmark1[Benchmark '#1 Dates],Comp2[[#This Row],[Comparable '#2 Dates]]),COUNTIF(Benchmark2[Benchmark '#2 Dates],Comp2[[#This Row],[Comparable '#2 Dates]]))=2,"Pass","Fail")</f>
        <v>Pass</v>
      </c>
      <c r="I338" s="1">
        <f>IFERROR(Comp2[[#This Row],[Comparable '#2 Return]]-INDEX(Benchmark1[Benchmark '#1 Return],MATCH(Comp2[[#This Row],[Comparable '#2 Dates]],Benchmark1[Benchmark '#1 Dates],0)),"-")</f>
        <v>4.7762865255399313E-3</v>
      </c>
      <c r="L338" s="72">
        <f>Comp2[[#This Row],[Comparable '#2 Price]]/$B$2*100</f>
        <v>62.012072434607646</v>
      </c>
    </row>
    <row r="339" spans="1:12">
      <c r="A339" s="96">
        <v>43774</v>
      </c>
      <c r="B339" s="101">
        <v>31.35</v>
      </c>
      <c r="C339" s="4">
        <f t="shared" si="10"/>
        <v>1.7050437186959998E-2</v>
      </c>
      <c r="D339" s="1">
        <f>IFERROR(Comp2[[#This Row],[Comparable '#2 Return]]+1,"-")</f>
        <v>1.01705043718696</v>
      </c>
      <c r="E339" s="6">
        <f>B339-MAX($B$2:B339)</f>
        <v>-26.809999999999995</v>
      </c>
      <c r="F339" s="80">
        <f t="shared" si="11"/>
        <v>246</v>
      </c>
      <c r="G339" s="77">
        <f>Comp2[[#This Row],[Comparable '#2 Drawdown]]/MAX($B$2:B339)</f>
        <v>-0.46096973865199442</v>
      </c>
      <c r="H339" s="1" t="str">
        <f>IF(SUM(COUNTIF(Benchmark1[Benchmark '#1 Dates],Comp2[[#This Row],[Comparable '#2 Dates]]),COUNTIF(Benchmark2[Benchmark '#2 Dates],Comp2[[#This Row],[Comparable '#2 Dates]]))=2,"Pass","Fail")</f>
        <v>Pass</v>
      </c>
      <c r="I339" s="1">
        <f>IFERROR(Comp2[[#This Row],[Comparable '#2 Return]]-INDEX(Benchmark1[Benchmark '#1 Return],MATCH(Comp2[[#This Row],[Comparable '#2 Dates]],Benchmark1[Benchmark '#1 Dates],0)),"-")</f>
        <v>1.8238111663191104E-2</v>
      </c>
      <c r="L339" s="72">
        <f>Comp2[[#This Row],[Comparable '#2 Price]]/$B$2*100</f>
        <v>63.078470824949697</v>
      </c>
    </row>
    <row r="340" spans="1:12">
      <c r="A340" s="96">
        <v>43775</v>
      </c>
      <c r="B340" s="101">
        <v>31.74</v>
      </c>
      <c r="C340" s="4">
        <f t="shared" si="10"/>
        <v>1.236344801933331E-2</v>
      </c>
      <c r="D340" s="1">
        <f>IFERROR(Comp2[[#This Row],[Comparable '#2 Return]]+1,"-")</f>
        <v>1.0123634480193333</v>
      </c>
      <c r="E340" s="6">
        <f>B340-MAX($B$2:B340)</f>
        <v>-26.419999999999998</v>
      </c>
      <c r="F340" s="80">
        <f t="shared" si="11"/>
        <v>247</v>
      </c>
      <c r="G340" s="77">
        <f>Comp2[[#This Row],[Comparable '#2 Drawdown]]/MAX($B$2:B340)</f>
        <v>-0.45426409903713894</v>
      </c>
      <c r="H340" s="1" t="str">
        <f>IF(SUM(COUNTIF(Benchmark1[Benchmark '#1 Dates],Comp2[[#This Row],[Comparable '#2 Dates]]),COUNTIF(Benchmark2[Benchmark '#2 Dates],Comp2[[#This Row],[Comparable '#2 Dates]]))=2,"Pass","Fail")</f>
        <v>Pass</v>
      </c>
      <c r="I340" s="1">
        <f>IFERROR(Comp2[[#This Row],[Comparable '#2 Return]]-INDEX(Benchmark1[Benchmark '#1 Return],MATCH(Comp2[[#This Row],[Comparable '#2 Dates]],Benchmark1[Benchmark '#1 Dates],0)),"-")</f>
        <v>1.1661354678058844E-2</v>
      </c>
      <c r="L340" s="72">
        <f>Comp2[[#This Row],[Comparable '#2 Price]]/$B$2*100</f>
        <v>63.863179074446677</v>
      </c>
    </row>
    <row r="341" spans="1:12">
      <c r="A341" s="96">
        <v>43776</v>
      </c>
      <c r="B341" s="101">
        <v>31.82</v>
      </c>
      <c r="C341" s="4">
        <f t="shared" si="10"/>
        <v>2.5173078113778927E-3</v>
      </c>
      <c r="D341" s="1">
        <f>IFERROR(Comp2[[#This Row],[Comparable '#2 Return]]+1,"-")</f>
        <v>1.0025173078113778</v>
      </c>
      <c r="E341" s="6">
        <f>B341-MAX($B$2:B341)</f>
        <v>-26.339999999999996</v>
      </c>
      <c r="F341" s="80">
        <f t="shared" si="11"/>
        <v>248</v>
      </c>
      <c r="G341" s="77">
        <f>Comp2[[#This Row],[Comparable '#2 Drawdown]]/MAX($B$2:B341)</f>
        <v>-0.45288858321870695</v>
      </c>
      <c r="H341" s="1" t="str">
        <f>IF(SUM(COUNTIF(Benchmark1[Benchmark '#1 Dates],Comp2[[#This Row],[Comparable '#2 Dates]]),COUNTIF(Benchmark2[Benchmark '#2 Dates],Comp2[[#This Row],[Comparable '#2 Dates]]))=2,"Pass","Fail")</f>
        <v>Pass</v>
      </c>
      <c r="I341" s="1">
        <f>IFERROR(Comp2[[#This Row],[Comparable '#2 Return]]-INDEX(Benchmark1[Benchmark '#1 Return],MATCH(Comp2[[#This Row],[Comparable '#2 Dates]],Benchmark1[Benchmark '#1 Dates],0)),"-")</f>
        <v>-2.1121596173110562E-4</v>
      </c>
      <c r="L341" s="72">
        <f>Comp2[[#This Row],[Comparable '#2 Price]]/$B$2*100</f>
        <v>64.024144869215291</v>
      </c>
    </row>
    <row r="342" spans="1:12">
      <c r="A342" s="96">
        <v>43777</v>
      </c>
      <c r="B342" s="101">
        <v>31.78</v>
      </c>
      <c r="C342" s="4">
        <f t="shared" si="10"/>
        <v>-1.2578618010708929E-3</v>
      </c>
      <c r="D342" s="1">
        <f>IFERROR(Comp2[[#This Row],[Comparable '#2 Return]]+1,"-")</f>
        <v>0.9987421381989291</v>
      </c>
      <c r="E342" s="6">
        <f>B342-MAX($B$2:B342)</f>
        <v>-26.379999999999995</v>
      </c>
      <c r="F342" s="80">
        <f t="shared" si="11"/>
        <v>249</v>
      </c>
      <c r="G342" s="77">
        <f>Comp2[[#This Row],[Comparable '#2 Drawdown]]/MAX($B$2:B342)</f>
        <v>-0.45357634112792294</v>
      </c>
      <c r="H342" s="1" t="str">
        <f>IF(SUM(COUNTIF(Benchmark1[Benchmark '#1 Dates],Comp2[[#This Row],[Comparable '#2 Dates]]),COUNTIF(Benchmark2[Benchmark '#2 Dates],Comp2[[#This Row],[Comparable '#2 Dates]]))=2,"Pass","Fail")</f>
        <v>Pass</v>
      </c>
      <c r="I342" s="1">
        <f>IFERROR(Comp2[[#This Row],[Comparable '#2 Return]]-INDEX(Benchmark1[Benchmark '#1 Return],MATCH(Comp2[[#This Row],[Comparable '#2 Dates]],Benchmark1[Benchmark '#1 Dates],0)),"-")</f>
        <v>-3.8161672523639749E-3</v>
      </c>
      <c r="L342" s="72">
        <f>Comp2[[#This Row],[Comparable '#2 Price]]/$B$2*100</f>
        <v>63.943661971830991</v>
      </c>
    </row>
    <row r="343" spans="1:12">
      <c r="A343" s="96">
        <v>43780</v>
      </c>
      <c r="B343" s="101">
        <v>31.99</v>
      </c>
      <c r="C343" s="4">
        <f t="shared" si="10"/>
        <v>6.5861928528566554E-3</v>
      </c>
      <c r="D343" s="1">
        <f>IFERROR(Comp2[[#This Row],[Comparable '#2 Return]]+1,"-")</f>
        <v>1.0065861928528566</v>
      </c>
      <c r="E343" s="6">
        <f>B343-MAX($B$2:B343)</f>
        <v>-26.169999999999998</v>
      </c>
      <c r="F343" s="80">
        <f t="shared" si="11"/>
        <v>250</v>
      </c>
      <c r="G343" s="77">
        <f>Comp2[[#This Row],[Comparable '#2 Drawdown]]/MAX($B$2:B343)</f>
        <v>-0.44996561210453917</v>
      </c>
      <c r="H343" s="1" t="str">
        <f>IF(SUM(COUNTIF(Benchmark1[Benchmark '#1 Dates],Comp2[[#This Row],[Comparable '#2 Dates]]),COUNTIF(Benchmark2[Benchmark '#2 Dates],Comp2[[#This Row],[Comparable '#2 Dates]]))=2,"Pass","Fail")</f>
        <v>Pass</v>
      </c>
      <c r="I343" s="1">
        <f>IFERROR(Comp2[[#This Row],[Comparable '#2 Return]]-INDEX(Benchmark1[Benchmark '#1 Return],MATCH(Comp2[[#This Row],[Comparable '#2 Dates]],Benchmark1[Benchmark '#1 Dates],0)),"-")</f>
        <v>8.55373301340763E-3</v>
      </c>
      <c r="L343" s="72">
        <f>Comp2[[#This Row],[Comparable '#2 Price]]/$B$2*100</f>
        <v>64.366197183098578</v>
      </c>
    </row>
    <row r="344" spans="1:12">
      <c r="A344" s="96">
        <v>43781</v>
      </c>
      <c r="B344" s="101">
        <v>32.54</v>
      </c>
      <c r="C344" s="4">
        <f t="shared" si="10"/>
        <v>1.704674782946513E-2</v>
      </c>
      <c r="D344" s="1">
        <f>IFERROR(Comp2[[#This Row],[Comparable '#2 Return]]+1,"-")</f>
        <v>1.0170467478294651</v>
      </c>
      <c r="E344" s="6">
        <f>B344-MAX($B$2:B344)</f>
        <v>-25.619999999999997</v>
      </c>
      <c r="F344" s="80">
        <f t="shared" si="11"/>
        <v>251</v>
      </c>
      <c r="G344" s="77">
        <f>Comp2[[#This Row],[Comparable '#2 Drawdown]]/MAX($B$2:B344)</f>
        <v>-0.44050894085281977</v>
      </c>
      <c r="H344" s="1" t="str">
        <f>IF(SUM(COUNTIF(Benchmark1[Benchmark '#1 Dates],Comp2[[#This Row],[Comparable '#2 Dates]]),COUNTIF(Benchmark2[Benchmark '#2 Dates],Comp2[[#This Row],[Comparable '#2 Dates]]))=2,"Pass","Fail")</f>
        <v>Pass</v>
      </c>
      <c r="I344" s="1">
        <f>IFERROR(Comp2[[#This Row],[Comparable '#2 Return]]-INDEX(Benchmark1[Benchmark '#1 Return],MATCH(Comp2[[#This Row],[Comparable '#2 Dates]],Benchmark1[Benchmark '#1 Dates],0)),"-")</f>
        <v>1.5482054105475741E-2</v>
      </c>
      <c r="L344" s="72">
        <f>Comp2[[#This Row],[Comparable '#2 Price]]/$B$2*100</f>
        <v>65.472837022132794</v>
      </c>
    </row>
    <row r="345" spans="1:12">
      <c r="A345" s="96">
        <v>43782</v>
      </c>
      <c r="B345" s="101">
        <v>32.380000000000003</v>
      </c>
      <c r="C345" s="4">
        <f t="shared" si="10"/>
        <v>-4.9291535414025291E-3</v>
      </c>
      <c r="D345" s="1">
        <f>IFERROR(Comp2[[#This Row],[Comparable '#2 Return]]+1,"-")</f>
        <v>0.99507084645859745</v>
      </c>
      <c r="E345" s="6">
        <f>B345-MAX($B$2:B345)</f>
        <v>-25.779999999999994</v>
      </c>
      <c r="F345" s="80">
        <f t="shared" si="11"/>
        <v>252</v>
      </c>
      <c r="G345" s="77">
        <f>Comp2[[#This Row],[Comparable '#2 Drawdown]]/MAX($B$2:B345)</f>
        <v>-0.44325997248968357</v>
      </c>
      <c r="H345" s="1" t="str">
        <f>IF(SUM(COUNTIF(Benchmark1[Benchmark '#1 Dates],Comp2[[#This Row],[Comparable '#2 Dates]]),COUNTIF(Benchmark2[Benchmark '#2 Dates],Comp2[[#This Row],[Comparable '#2 Dates]]))=2,"Pass","Fail")</f>
        <v>Pass</v>
      </c>
      <c r="I345" s="1">
        <f>IFERROR(Comp2[[#This Row],[Comparable '#2 Return]]-INDEX(Benchmark1[Benchmark '#1 Return],MATCH(Comp2[[#This Row],[Comparable '#2 Dates]],Benchmark1[Benchmark '#1 Dates],0)),"-")</f>
        <v>-5.6392630917940188E-3</v>
      </c>
      <c r="L345" s="72">
        <f>Comp2[[#This Row],[Comparable '#2 Price]]/$B$2*100</f>
        <v>65.150905432595579</v>
      </c>
    </row>
    <row r="346" spans="1:12">
      <c r="A346" s="96">
        <v>43783</v>
      </c>
      <c r="B346" s="101">
        <v>33.119999999999997</v>
      </c>
      <c r="C346" s="4">
        <f t="shared" si="10"/>
        <v>2.2596381267569663E-2</v>
      </c>
      <c r="D346" s="1">
        <f>IFERROR(Comp2[[#This Row],[Comparable '#2 Return]]+1,"-")</f>
        <v>1.0225963812675696</v>
      </c>
      <c r="E346" s="6">
        <f>B346-MAX($B$2:B346)</f>
        <v>-25.04</v>
      </c>
      <c r="F346" s="80">
        <f t="shared" si="11"/>
        <v>253</v>
      </c>
      <c r="G346" s="77">
        <f>Comp2[[#This Row],[Comparable '#2 Drawdown]]/MAX($B$2:B346)</f>
        <v>-0.43053645116918848</v>
      </c>
      <c r="H346" s="1" t="str">
        <f>IF(SUM(COUNTIF(Benchmark1[Benchmark '#1 Dates],Comp2[[#This Row],[Comparable '#2 Dates]]),COUNTIF(Benchmark2[Benchmark '#2 Dates],Comp2[[#This Row],[Comparable '#2 Dates]]))=2,"Pass","Fail")</f>
        <v>Pass</v>
      </c>
      <c r="I346" s="1">
        <f>IFERROR(Comp2[[#This Row],[Comparable '#2 Return]]-INDEX(Benchmark1[Benchmark '#1 Return],MATCH(Comp2[[#This Row],[Comparable '#2 Dates]],Benchmark1[Benchmark '#1 Dates],0)),"-")</f>
        <v>2.1757122341582516E-2</v>
      </c>
      <c r="L346" s="72">
        <f>Comp2[[#This Row],[Comparable '#2 Price]]/$B$2*100</f>
        <v>66.639839034205224</v>
      </c>
    </row>
    <row r="347" spans="1:12">
      <c r="A347" s="96">
        <v>43784</v>
      </c>
      <c r="B347" s="101">
        <v>33.6</v>
      </c>
      <c r="C347" s="4">
        <f t="shared" si="10"/>
        <v>1.4388737452099671E-2</v>
      </c>
      <c r="D347" s="1">
        <f>IFERROR(Comp2[[#This Row],[Comparable '#2 Return]]+1,"-")</f>
        <v>1.0143887374520997</v>
      </c>
      <c r="E347" s="6">
        <f>B347-MAX($B$2:B347)</f>
        <v>-24.559999999999995</v>
      </c>
      <c r="F347" s="80">
        <f t="shared" si="11"/>
        <v>254</v>
      </c>
      <c r="G347" s="77">
        <f>Comp2[[#This Row],[Comparable '#2 Drawdown]]/MAX($B$2:B347)</f>
        <v>-0.42228335625859692</v>
      </c>
      <c r="H347" s="1" t="str">
        <f>IF(SUM(COUNTIF(Benchmark1[Benchmark '#1 Dates],Comp2[[#This Row],[Comparable '#2 Dates]]),COUNTIF(Benchmark2[Benchmark '#2 Dates],Comp2[[#This Row],[Comparable '#2 Dates]]))=2,"Pass","Fail")</f>
        <v>Pass</v>
      </c>
      <c r="I347" s="1">
        <f>IFERROR(Comp2[[#This Row],[Comparable '#2 Return]]-INDEX(Benchmark1[Benchmark '#1 Return],MATCH(Comp2[[#This Row],[Comparable '#2 Dates]],Benchmark1[Benchmark '#1 Dates],0)),"-")</f>
        <v>6.7236145492430965E-3</v>
      </c>
      <c r="L347" s="72">
        <f>Comp2[[#This Row],[Comparable '#2 Price]]/$B$2*100</f>
        <v>67.605633802816897</v>
      </c>
    </row>
    <row r="348" spans="1:12">
      <c r="A348" s="96">
        <v>43787</v>
      </c>
      <c r="B348" s="101">
        <v>34.04</v>
      </c>
      <c r="C348" s="4">
        <f t="shared" si="10"/>
        <v>1.301023673601479E-2</v>
      </c>
      <c r="D348" s="1">
        <f>IFERROR(Comp2[[#This Row],[Comparable '#2 Return]]+1,"-")</f>
        <v>1.0130102367360148</v>
      </c>
      <c r="E348" s="6">
        <f>B348-MAX($B$2:B348)</f>
        <v>-24.119999999999997</v>
      </c>
      <c r="F348" s="80">
        <f t="shared" si="11"/>
        <v>255</v>
      </c>
      <c r="G348" s="77">
        <f>Comp2[[#This Row],[Comparable '#2 Drawdown]]/MAX($B$2:B348)</f>
        <v>-0.41471801925722146</v>
      </c>
      <c r="H348" s="1" t="str">
        <f>IF(SUM(COUNTIF(Benchmark1[Benchmark '#1 Dates],Comp2[[#This Row],[Comparable '#2 Dates]]),COUNTIF(Benchmark2[Benchmark '#2 Dates],Comp2[[#This Row],[Comparable '#2 Dates]]))=2,"Pass","Fail")</f>
        <v>Pass</v>
      </c>
      <c r="I348" s="1">
        <f>IFERROR(Comp2[[#This Row],[Comparable '#2 Return]]-INDEX(Benchmark1[Benchmark '#1 Return],MATCH(Comp2[[#This Row],[Comparable '#2 Dates]],Benchmark1[Benchmark '#1 Dates],0)),"-")</f>
        <v>1.2508000008389876E-2</v>
      </c>
      <c r="L348" s="72">
        <f>Comp2[[#This Row],[Comparable '#2 Price]]/$B$2*100</f>
        <v>68.490945674044255</v>
      </c>
    </row>
    <row r="349" spans="1:12">
      <c r="A349" s="96">
        <v>43788</v>
      </c>
      <c r="B349" s="101">
        <v>34.36</v>
      </c>
      <c r="C349" s="4">
        <f t="shared" si="10"/>
        <v>9.3567934108813137E-3</v>
      </c>
      <c r="D349" s="1">
        <f>IFERROR(Comp2[[#This Row],[Comparable '#2 Return]]+1,"-")</f>
        <v>1.0093567934108814</v>
      </c>
      <c r="E349" s="6">
        <f>B349-MAX($B$2:B349)</f>
        <v>-23.799999999999997</v>
      </c>
      <c r="F349" s="80">
        <f t="shared" si="11"/>
        <v>256</v>
      </c>
      <c r="G349" s="77">
        <f>Comp2[[#This Row],[Comparable '#2 Drawdown]]/MAX($B$2:B349)</f>
        <v>-0.40921595598349381</v>
      </c>
      <c r="H349" s="1" t="str">
        <f>IF(SUM(COUNTIF(Benchmark1[Benchmark '#1 Dates],Comp2[[#This Row],[Comparable '#2 Dates]]),COUNTIF(Benchmark2[Benchmark '#2 Dates],Comp2[[#This Row],[Comparable '#2 Dates]]))=2,"Pass","Fail")</f>
        <v>Pass</v>
      </c>
      <c r="I349" s="1">
        <f>IFERROR(Comp2[[#This Row],[Comparable '#2 Return]]-INDEX(Benchmark1[Benchmark '#1 Return],MATCH(Comp2[[#This Row],[Comparable '#2 Dates]],Benchmark1[Benchmark '#1 Dates],0)),"-")</f>
        <v>9.948482146902549E-3</v>
      </c>
      <c r="L349" s="72">
        <f>Comp2[[#This Row],[Comparable '#2 Price]]/$B$2*100</f>
        <v>69.134808853118713</v>
      </c>
    </row>
    <row r="350" spans="1:12">
      <c r="A350" s="96">
        <v>43789</v>
      </c>
      <c r="B350" s="101">
        <v>34.520000000000003</v>
      </c>
      <c r="C350" s="4">
        <f t="shared" si="10"/>
        <v>4.6457690991725895E-3</v>
      </c>
      <c r="D350" s="1">
        <f>IFERROR(Comp2[[#This Row],[Comparable '#2 Return]]+1,"-")</f>
        <v>1.0046457690991726</v>
      </c>
      <c r="E350" s="6">
        <f>B350-MAX($B$2:B350)</f>
        <v>-23.639999999999993</v>
      </c>
      <c r="F350" s="80">
        <f t="shared" si="11"/>
        <v>257</v>
      </c>
      <c r="G350" s="77">
        <f>Comp2[[#This Row],[Comparable '#2 Drawdown]]/MAX($B$2:B350)</f>
        <v>-0.4064649243466299</v>
      </c>
      <c r="H350" s="1" t="str">
        <f>IF(SUM(COUNTIF(Benchmark1[Benchmark '#1 Dates],Comp2[[#This Row],[Comparable '#2 Dates]]),COUNTIF(Benchmark2[Benchmark '#2 Dates],Comp2[[#This Row],[Comparable '#2 Dates]]))=2,"Pass","Fail")</f>
        <v>Pass</v>
      </c>
      <c r="I350" s="1">
        <f>IFERROR(Comp2[[#This Row],[Comparable '#2 Return]]-INDEX(Benchmark1[Benchmark '#1 Return],MATCH(Comp2[[#This Row],[Comparable '#2 Dates]],Benchmark1[Benchmark '#1 Dates],0)),"-")</f>
        <v>8.4100415553379007E-3</v>
      </c>
      <c r="L350" s="72">
        <f>Comp2[[#This Row],[Comparable '#2 Price]]/$B$2*100</f>
        <v>69.456740442655942</v>
      </c>
    </row>
    <row r="351" spans="1:12">
      <c r="A351" s="96">
        <v>43790</v>
      </c>
      <c r="B351" s="101">
        <v>33.85</v>
      </c>
      <c r="C351" s="4">
        <f t="shared" si="10"/>
        <v>-1.9599866856943208E-2</v>
      </c>
      <c r="D351" s="1">
        <f>IFERROR(Comp2[[#This Row],[Comparable '#2 Return]]+1,"-")</f>
        <v>0.98040013314305674</v>
      </c>
      <c r="E351" s="6">
        <f>B351-MAX($B$2:B351)</f>
        <v>-24.309999999999995</v>
      </c>
      <c r="F351" s="80">
        <f t="shared" si="11"/>
        <v>258</v>
      </c>
      <c r="G351" s="77">
        <f>Comp2[[#This Row],[Comparable '#2 Drawdown]]/MAX($B$2:B351)</f>
        <v>-0.41798486932599721</v>
      </c>
      <c r="H351" s="1" t="str">
        <f>IF(SUM(COUNTIF(Benchmark1[Benchmark '#1 Dates],Comp2[[#This Row],[Comparable '#2 Dates]]),COUNTIF(Benchmark2[Benchmark '#2 Dates],Comp2[[#This Row],[Comparable '#2 Dates]]))=2,"Pass","Fail")</f>
        <v>Pass</v>
      </c>
      <c r="I351" s="1">
        <f>IFERROR(Comp2[[#This Row],[Comparable '#2 Return]]-INDEX(Benchmark1[Benchmark '#1 Return],MATCH(Comp2[[#This Row],[Comparable '#2 Dates]],Benchmark1[Benchmark '#1 Dates],0)),"-")</f>
        <v>-1.8015435851854455E-2</v>
      </c>
      <c r="L351" s="72">
        <f>Comp2[[#This Row],[Comparable '#2 Price]]/$B$2*100</f>
        <v>68.108651911468812</v>
      </c>
    </row>
    <row r="352" spans="1:12">
      <c r="A352" s="96">
        <v>43791</v>
      </c>
      <c r="B352" s="101">
        <v>34.03</v>
      </c>
      <c r="C352" s="4">
        <f t="shared" si="10"/>
        <v>5.3034891545303319E-3</v>
      </c>
      <c r="D352" s="1">
        <f>IFERROR(Comp2[[#This Row],[Comparable '#2 Return]]+1,"-")</f>
        <v>1.0053034891545303</v>
      </c>
      <c r="E352" s="6">
        <f>B352-MAX($B$2:B352)</f>
        <v>-24.129999999999995</v>
      </c>
      <c r="F352" s="80">
        <f t="shared" si="11"/>
        <v>259</v>
      </c>
      <c r="G352" s="77">
        <f>Comp2[[#This Row],[Comparable '#2 Drawdown]]/MAX($B$2:B352)</f>
        <v>-0.41488995873452539</v>
      </c>
      <c r="H352" s="1" t="str">
        <f>IF(SUM(COUNTIF(Benchmark1[Benchmark '#1 Dates],Comp2[[#This Row],[Comparable '#2 Dates]]),COUNTIF(Benchmark2[Benchmark '#2 Dates],Comp2[[#This Row],[Comparable '#2 Dates]]))=2,"Pass","Fail")</f>
        <v>Pass</v>
      </c>
      <c r="I352" s="1">
        <f>IFERROR(Comp2[[#This Row],[Comparable '#2 Return]]-INDEX(Benchmark1[Benchmark '#1 Return],MATCH(Comp2[[#This Row],[Comparable '#2 Dates]],Benchmark1[Benchmark '#1 Dates],0)),"-")</f>
        <v>3.1304512044828597E-3</v>
      </c>
      <c r="L352" s="72">
        <f>Comp2[[#This Row],[Comparable '#2 Price]]/$B$2*100</f>
        <v>68.470824949698184</v>
      </c>
    </row>
    <row r="353" spans="1:12">
      <c r="A353" s="96">
        <v>43794</v>
      </c>
      <c r="B353" s="101">
        <v>35.24</v>
      </c>
      <c r="C353" s="4">
        <f t="shared" si="10"/>
        <v>3.4939312555164512E-2</v>
      </c>
      <c r="D353" s="1">
        <f>IFERROR(Comp2[[#This Row],[Comparable '#2 Return]]+1,"-")</f>
        <v>1.0349393125551645</v>
      </c>
      <c r="E353" s="6">
        <f>B353-MAX($B$2:B353)</f>
        <v>-22.919999999999995</v>
      </c>
      <c r="F353" s="80">
        <f t="shared" si="11"/>
        <v>260</v>
      </c>
      <c r="G353" s="77">
        <f>Comp2[[#This Row],[Comparable '#2 Drawdown]]/MAX($B$2:B353)</f>
        <v>-0.39408528198074272</v>
      </c>
      <c r="H353" s="1" t="str">
        <f>IF(SUM(COUNTIF(Benchmark1[Benchmark '#1 Dates],Comp2[[#This Row],[Comparable '#2 Dates]]),COUNTIF(Benchmark2[Benchmark '#2 Dates],Comp2[[#This Row],[Comparable '#2 Dates]]))=2,"Pass","Fail")</f>
        <v>Pass</v>
      </c>
      <c r="I353" s="1">
        <f>IFERROR(Comp2[[#This Row],[Comparable '#2 Return]]-INDEX(Benchmark1[Benchmark '#1 Return],MATCH(Comp2[[#This Row],[Comparable '#2 Dates]],Benchmark1[Benchmark '#1 Dates],0)),"-")</f>
        <v>2.7458582103569339E-2</v>
      </c>
      <c r="L353" s="72">
        <f>Comp2[[#This Row],[Comparable '#2 Price]]/$B$2*100</f>
        <v>70.90543259557343</v>
      </c>
    </row>
    <row r="354" spans="1:12">
      <c r="A354" s="96">
        <v>43795</v>
      </c>
      <c r="B354" s="101">
        <v>34.74</v>
      </c>
      <c r="C354" s="4">
        <f t="shared" si="10"/>
        <v>-1.4290040255019896E-2</v>
      </c>
      <c r="D354" s="1">
        <f>IFERROR(Comp2[[#This Row],[Comparable '#2 Return]]+1,"-")</f>
        <v>0.9857099597449801</v>
      </c>
      <c r="E354" s="6">
        <f>B354-MAX($B$2:B354)</f>
        <v>-23.419999999999995</v>
      </c>
      <c r="F354" s="80">
        <f t="shared" si="11"/>
        <v>261</v>
      </c>
      <c r="G354" s="77">
        <f>Comp2[[#This Row],[Comparable '#2 Drawdown]]/MAX($B$2:B354)</f>
        <v>-0.40268225584594214</v>
      </c>
      <c r="H354" s="1" t="str">
        <f>IF(SUM(COUNTIF(Benchmark1[Benchmark '#1 Dates],Comp2[[#This Row],[Comparable '#2 Dates]]),COUNTIF(Benchmark2[Benchmark '#2 Dates],Comp2[[#This Row],[Comparable '#2 Dates]]))=2,"Pass","Fail")</f>
        <v>Pass</v>
      </c>
      <c r="I354" s="1">
        <f>IFERROR(Comp2[[#This Row],[Comparable '#2 Return]]-INDEX(Benchmark1[Benchmark '#1 Return],MATCH(Comp2[[#This Row],[Comparable '#2 Dates]],Benchmark1[Benchmark '#1 Dates],0)),"-")</f>
        <v>-1.6482219253240015E-2</v>
      </c>
      <c r="L354" s="72">
        <f>Comp2[[#This Row],[Comparable '#2 Price]]/$B$2*100</f>
        <v>69.899396378269614</v>
      </c>
    </row>
    <row r="355" spans="1:12">
      <c r="A355" s="96">
        <v>43796</v>
      </c>
      <c r="B355" s="101">
        <v>33.89</v>
      </c>
      <c r="C355" s="4">
        <f t="shared" si="10"/>
        <v>-2.4771775193998934E-2</v>
      </c>
      <c r="D355" s="1">
        <f>IFERROR(Comp2[[#This Row],[Comparable '#2 Return]]+1,"-")</f>
        <v>0.97522822480600102</v>
      </c>
      <c r="E355" s="6">
        <f>B355-MAX($B$2:B355)</f>
        <v>-24.269999999999996</v>
      </c>
      <c r="F355" s="80">
        <f t="shared" si="11"/>
        <v>262</v>
      </c>
      <c r="G355" s="77">
        <f>Comp2[[#This Row],[Comparable '#2 Drawdown]]/MAX($B$2:B355)</f>
        <v>-0.41729711141678127</v>
      </c>
      <c r="H355" s="1" t="str">
        <f>IF(SUM(COUNTIF(Benchmark1[Benchmark '#1 Dates],Comp2[[#This Row],[Comparable '#2 Dates]]),COUNTIF(Benchmark2[Benchmark '#2 Dates],Comp2[[#This Row],[Comparable '#2 Dates]]))=2,"Pass","Fail")</f>
        <v>Pass</v>
      </c>
      <c r="I355" s="1">
        <f>IFERROR(Comp2[[#This Row],[Comparable '#2 Return]]-INDEX(Benchmark1[Benchmark '#1 Return],MATCH(Comp2[[#This Row],[Comparable '#2 Dates]],Benchmark1[Benchmark '#1 Dates],0)),"-")</f>
        <v>-2.8936985868857911E-2</v>
      </c>
      <c r="L355" s="72">
        <f>Comp2[[#This Row],[Comparable '#2 Price]]/$B$2*100</f>
        <v>68.189134808853112</v>
      </c>
    </row>
    <row r="356" spans="1:12">
      <c r="A356" s="96">
        <v>43798</v>
      </c>
      <c r="B356" s="101">
        <v>33.729999999999997</v>
      </c>
      <c r="C356" s="4">
        <f t="shared" si="10"/>
        <v>-4.7323365454012356E-3</v>
      </c>
      <c r="D356" s="1">
        <f>IFERROR(Comp2[[#This Row],[Comparable '#2 Return]]+1,"-")</f>
        <v>0.99526766345459872</v>
      </c>
      <c r="E356" s="6">
        <f>B356-MAX($B$2:B356)</f>
        <v>-24.43</v>
      </c>
      <c r="F356" s="80">
        <f t="shared" si="11"/>
        <v>263</v>
      </c>
      <c r="G356" s="77">
        <f>Comp2[[#This Row],[Comparable '#2 Drawdown]]/MAX($B$2:B356)</f>
        <v>-0.42004814305364513</v>
      </c>
      <c r="H356" s="1" t="str">
        <f>IF(SUM(COUNTIF(Benchmark1[Benchmark '#1 Dates],Comp2[[#This Row],[Comparable '#2 Dates]]),COUNTIF(Benchmark2[Benchmark '#2 Dates],Comp2[[#This Row],[Comparable '#2 Dates]]))=2,"Pass","Fail")</f>
        <v>Pass</v>
      </c>
      <c r="I356" s="1">
        <f>IFERROR(Comp2[[#This Row],[Comparable '#2 Return]]-INDEX(Benchmark1[Benchmark '#1 Return],MATCH(Comp2[[#This Row],[Comparable '#2 Dates]],Benchmark1[Benchmark '#1 Dates],0)),"-")</f>
        <v>-7.138308468543561E-4</v>
      </c>
      <c r="L356" s="72">
        <f>Comp2[[#This Row],[Comparable '#2 Price]]/$B$2*100</f>
        <v>67.867203219315883</v>
      </c>
    </row>
    <row r="357" spans="1:12">
      <c r="A357" s="96">
        <v>43801</v>
      </c>
      <c r="B357" s="101">
        <v>33.729999999999997</v>
      </c>
      <c r="C357" s="4">
        <f t="shared" si="10"/>
        <v>0</v>
      </c>
      <c r="D357" s="1">
        <f>IFERROR(Comp2[[#This Row],[Comparable '#2 Return]]+1,"-")</f>
        <v>1</v>
      </c>
      <c r="E357" s="6">
        <f>B357-MAX($B$2:B357)</f>
        <v>-24.43</v>
      </c>
      <c r="F357" s="80">
        <f t="shared" si="11"/>
        <v>264</v>
      </c>
      <c r="G357" s="77">
        <f>Comp2[[#This Row],[Comparable '#2 Drawdown]]/MAX($B$2:B357)</f>
        <v>-0.42004814305364513</v>
      </c>
      <c r="H357" s="1" t="str">
        <f>IF(SUM(COUNTIF(Benchmark1[Benchmark '#1 Dates],Comp2[[#This Row],[Comparable '#2 Dates]]),COUNTIF(Benchmark2[Benchmark '#2 Dates],Comp2[[#This Row],[Comparable '#2 Dates]]))=2,"Pass","Fail")</f>
        <v>Pass</v>
      </c>
      <c r="I357" s="1">
        <f>IFERROR(Comp2[[#This Row],[Comparable '#2 Return]]-INDEX(Benchmark1[Benchmark '#1 Return],MATCH(Comp2[[#This Row],[Comparable '#2 Dates]],Benchmark1[Benchmark '#1 Dates],0)),"-")</f>
        <v>8.66756138573937E-3</v>
      </c>
      <c r="L357" s="72">
        <f>Comp2[[#This Row],[Comparable '#2 Price]]/$B$2*100</f>
        <v>67.867203219315883</v>
      </c>
    </row>
    <row r="358" spans="1:12">
      <c r="A358" s="96">
        <v>43802</v>
      </c>
      <c r="B358" s="101">
        <v>33.119999999999997</v>
      </c>
      <c r="C358" s="4">
        <f t="shared" si="10"/>
        <v>-1.8250319556499913E-2</v>
      </c>
      <c r="D358" s="1">
        <f>IFERROR(Comp2[[#This Row],[Comparable '#2 Return]]+1,"-")</f>
        <v>0.98174968044350008</v>
      </c>
      <c r="E358" s="6">
        <f>B358-MAX($B$2:B358)</f>
        <v>-25.04</v>
      </c>
      <c r="F358" s="80">
        <f t="shared" si="11"/>
        <v>265</v>
      </c>
      <c r="G358" s="77">
        <f>Comp2[[#This Row],[Comparable '#2 Drawdown]]/MAX($B$2:B358)</f>
        <v>-0.43053645116918848</v>
      </c>
      <c r="H358" s="1" t="str">
        <f>IF(SUM(COUNTIF(Benchmark1[Benchmark '#1 Dates],Comp2[[#This Row],[Comparable '#2 Dates]]),COUNTIF(Benchmark2[Benchmark '#2 Dates],Comp2[[#This Row],[Comparable '#2 Dates]]))=2,"Pass","Fail")</f>
        <v>Pass</v>
      </c>
      <c r="I358" s="1">
        <f>IFERROR(Comp2[[#This Row],[Comparable '#2 Return]]-INDEX(Benchmark1[Benchmark '#1 Return],MATCH(Comp2[[#This Row],[Comparable '#2 Dates]],Benchmark1[Benchmark '#1 Dates],0)),"-")</f>
        <v>-1.1589276785632756E-2</v>
      </c>
      <c r="L358" s="72">
        <f>Comp2[[#This Row],[Comparable '#2 Price]]/$B$2*100</f>
        <v>66.639839034205224</v>
      </c>
    </row>
    <row r="359" spans="1:12">
      <c r="A359" s="96">
        <v>43803</v>
      </c>
      <c r="B359" s="101">
        <v>33.159999999999997</v>
      </c>
      <c r="C359" s="4">
        <f t="shared" si="10"/>
        <v>1.2070007500352875E-3</v>
      </c>
      <c r="D359" s="1">
        <f>IFERROR(Comp2[[#This Row],[Comparable '#2 Return]]+1,"-")</f>
        <v>1.0012070007500353</v>
      </c>
      <c r="E359" s="6">
        <f>B359-MAX($B$2:B359)</f>
        <v>-25</v>
      </c>
      <c r="F359" s="80">
        <f t="shared" si="11"/>
        <v>266</v>
      </c>
      <c r="G359" s="77">
        <f>Comp2[[#This Row],[Comparable '#2 Drawdown]]/MAX($B$2:B359)</f>
        <v>-0.42984869325997249</v>
      </c>
      <c r="H359" s="1" t="str">
        <f>IF(SUM(COUNTIF(Benchmark1[Benchmark '#1 Dates],Comp2[[#This Row],[Comparable '#2 Dates]]),COUNTIF(Benchmark2[Benchmark '#2 Dates],Comp2[[#This Row],[Comparable '#2 Dates]]))=2,"Pass","Fail")</f>
        <v>Pass</v>
      </c>
      <c r="I359" s="1">
        <f>IFERROR(Comp2[[#This Row],[Comparable '#2 Return]]-INDEX(Benchmark1[Benchmark '#1 Return],MATCH(Comp2[[#This Row],[Comparable '#2 Dates]],Benchmark1[Benchmark '#1 Dates],0)),"-")</f>
        <v>-5.0951687818679963E-3</v>
      </c>
      <c r="L359" s="72">
        <f>Comp2[[#This Row],[Comparable '#2 Price]]/$B$2*100</f>
        <v>66.720321931589524</v>
      </c>
    </row>
    <row r="360" spans="1:12">
      <c r="A360" s="96">
        <v>43804</v>
      </c>
      <c r="B360" s="101">
        <v>32.78</v>
      </c>
      <c r="C360" s="4">
        <f t="shared" si="10"/>
        <v>-1.1525756951410468E-2</v>
      </c>
      <c r="D360" s="1">
        <f>IFERROR(Comp2[[#This Row],[Comparable '#2 Return]]+1,"-")</f>
        <v>0.98847424304858955</v>
      </c>
      <c r="E360" s="6">
        <f>B360-MAX($B$2:B360)</f>
        <v>-25.379999999999995</v>
      </c>
      <c r="F360" s="80">
        <f t="shared" si="11"/>
        <v>267</v>
      </c>
      <c r="G360" s="77">
        <f>Comp2[[#This Row],[Comparable '#2 Drawdown]]/MAX($B$2:B360)</f>
        <v>-0.43638239339752399</v>
      </c>
      <c r="H360" s="1" t="str">
        <f>IF(SUM(COUNTIF(Benchmark1[Benchmark '#1 Dates],Comp2[[#This Row],[Comparable '#2 Dates]]),COUNTIF(Benchmark2[Benchmark '#2 Dates],Comp2[[#This Row],[Comparable '#2 Dates]]))=2,"Pass","Fail")</f>
        <v>Pass</v>
      </c>
      <c r="I360" s="1">
        <f>IFERROR(Comp2[[#This Row],[Comparable '#2 Return]]-INDEX(Benchmark1[Benchmark '#1 Return],MATCH(Comp2[[#This Row],[Comparable '#2 Dates]],Benchmark1[Benchmark '#1 Dates],0)),"-")</f>
        <v>-1.3025630187641352E-2</v>
      </c>
      <c r="L360" s="72">
        <f>Comp2[[#This Row],[Comparable '#2 Price]]/$B$2*100</f>
        <v>65.955734406438623</v>
      </c>
    </row>
    <row r="361" spans="1:12">
      <c r="A361" s="96">
        <v>43805</v>
      </c>
      <c r="B361" s="101">
        <v>33.659999999999997</v>
      </c>
      <c r="C361" s="4">
        <f t="shared" si="10"/>
        <v>2.6491615446976285E-2</v>
      </c>
      <c r="D361" s="1">
        <f>IFERROR(Comp2[[#This Row],[Comparable '#2 Return]]+1,"-")</f>
        <v>1.0264916154469763</v>
      </c>
      <c r="E361" s="6">
        <f>B361-MAX($B$2:B361)</f>
        <v>-24.5</v>
      </c>
      <c r="F361" s="80">
        <f t="shared" si="11"/>
        <v>268</v>
      </c>
      <c r="G361" s="77">
        <f>Comp2[[#This Row],[Comparable '#2 Drawdown]]/MAX($B$2:B361)</f>
        <v>-0.42125171939477307</v>
      </c>
      <c r="H361" s="1" t="str">
        <f>IF(SUM(COUNTIF(Benchmark1[Benchmark '#1 Dates],Comp2[[#This Row],[Comparable '#2 Dates]]),COUNTIF(Benchmark2[Benchmark '#2 Dates],Comp2[[#This Row],[Comparable '#2 Dates]]))=2,"Pass","Fail")</f>
        <v>Pass</v>
      </c>
      <c r="I361" s="1">
        <f>IFERROR(Comp2[[#This Row],[Comparable '#2 Return]]-INDEX(Benchmark1[Benchmark '#1 Return],MATCH(Comp2[[#This Row],[Comparable '#2 Dates]],Benchmark1[Benchmark '#1 Dates],0)),"-")</f>
        <v>1.7396584377867119E-2</v>
      </c>
      <c r="L361" s="72">
        <f>Comp2[[#This Row],[Comparable '#2 Price]]/$B$2*100</f>
        <v>67.726358148893354</v>
      </c>
    </row>
    <row r="362" spans="1:12">
      <c r="A362" s="96">
        <v>43808</v>
      </c>
      <c r="B362" s="101">
        <v>33.46</v>
      </c>
      <c r="C362" s="4">
        <f t="shared" si="10"/>
        <v>-5.9594932039819222E-3</v>
      </c>
      <c r="D362" s="1">
        <f>IFERROR(Comp2[[#This Row],[Comparable '#2 Return]]+1,"-")</f>
        <v>0.99404050679601808</v>
      </c>
      <c r="E362" s="6">
        <f>B362-MAX($B$2:B362)</f>
        <v>-24.699999999999996</v>
      </c>
      <c r="F362" s="80">
        <f t="shared" si="11"/>
        <v>269</v>
      </c>
      <c r="G362" s="77">
        <f>Comp2[[#This Row],[Comparable '#2 Drawdown]]/MAX($B$2:B362)</f>
        <v>-0.42469050894085275</v>
      </c>
      <c r="H362" s="1" t="str">
        <f>IF(SUM(COUNTIF(Benchmark1[Benchmark '#1 Dates],Comp2[[#This Row],[Comparable '#2 Dates]]),COUNTIF(Benchmark2[Benchmark '#2 Dates],Comp2[[#This Row],[Comparable '#2 Dates]]))=2,"Pass","Fail")</f>
        <v>Pass</v>
      </c>
      <c r="I362" s="1">
        <f>IFERROR(Comp2[[#This Row],[Comparable '#2 Return]]-INDEX(Benchmark1[Benchmark '#1 Return],MATCH(Comp2[[#This Row],[Comparable '#2 Dates]],Benchmark1[Benchmark '#1 Dates],0)),"-")</f>
        <v>-2.7917590467618938E-3</v>
      </c>
      <c r="L362" s="72">
        <f>Comp2[[#This Row],[Comparable '#2 Price]]/$B$2*100</f>
        <v>67.323943661971825</v>
      </c>
    </row>
    <row r="363" spans="1:12">
      <c r="A363" s="96">
        <v>43809</v>
      </c>
      <c r="B363" s="101">
        <v>33.76</v>
      </c>
      <c r="C363" s="4">
        <f t="shared" si="10"/>
        <v>8.9259741690782633E-3</v>
      </c>
      <c r="D363" s="1">
        <f>IFERROR(Comp2[[#This Row],[Comparable '#2 Return]]+1,"-")</f>
        <v>1.0089259741690784</v>
      </c>
      <c r="E363" s="6">
        <f>B363-MAX($B$2:B363)</f>
        <v>-24.4</v>
      </c>
      <c r="F363" s="80">
        <f t="shared" si="11"/>
        <v>270</v>
      </c>
      <c r="G363" s="77">
        <f>Comp2[[#This Row],[Comparable '#2 Drawdown]]/MAX($B$2:B363)</f>
        <v>-0.41953232462173318</v>
      </c>
      <c r="H363" s="1" t="str">
        <f>IF(SUM(COUNTIF(Benchmark1[Benchmark '#1 Dates],Comp2[[#This Row],[Comparable '#2 Dates]]),COUNTIF(Benchmark2[Benchmark '#2 Dates],Comp2[[#This Row],[Comparable '#2 Dates]]))=2,"Pass","Fail")</f>
        <v>Pass</v>
      </c>
      <c r="I363" s="1">
        <f>IFERROR(Comp2[[#This Row],[Comparable '#2 Return]]-INDEX(Benchmark1[Benchmark '#1 Return],MATCH(Comp2[[#This Row],[Comparable '#2 Dates]],Benchmark1[Benchmark '#1 Dates],0)),"-")</f>
        <v>1.0024415072963633E-2</v>
      </c>
      <c r="L363" s="72">
        <f>Comp2[[#This Row],[Comparable '#2 Price]]/$B$2*100</f>
        <v>67.927565392354111</v>
      </c>
    </row>
    <row r="364" spans="1:12">
      <c r="A364" s="96">
        <v>43810</v>
      </c>
      <c r="B364" s="101">
        <v>33.82</v>
      </c>
      <c r="C364" s="4">
        <f t="shared" si="10"/>
        <v>1.7756737426779343E-3</v>
      </c>
      <c r="D364" s="1">
        <f>IFERROR(Comp2[[#This Row],[Comparable '#2 Return]]+1,"-")</f>
        <v>1.001775673742678</v>
      </c>
      <c r="E364" s="6">
        <f>B364-MAX($B$2:B364)</f>
        <v>-24.339999999999996</v>
      </c>
      <c r="F364" s="80">
        <f t="shared" si="11"/>
        <v>271</v>
      </c>
      <c r="G364" s="77">
        <f>Comp2[[#This Row],[Comparable '#2 Drawdown]]/MAX($B$2:B364)</f>
        <v>-0.41850068775790916</v>
      </c>
      <c r="H364" s="1" t="str">
        <f>IF(SUM(COUNTIF(Benchmark1[Benchmark '#1 Dates],Comp2[[#This Row],[Comparable '#2 Dates]]),COUNTIF(Benchmark2[Benchmark '#2 Dates],Comp2[[#This Row],[Comparable '#2 Dates]]))=2,"Pass","Fail")</f>
        <v>Pass</v>
      </c>
      <c r="I364" s="1">
        <f>IFERROR(Comp2[[#This Row],[Comparable '#2 Return]]-INDEX(Benchmark1[Benchmark '#1 Return],MATCH(Comp2[[#This Row],[Comparable '#2 Dates]],Benchmark1[Benchmark '#1 Dates],0)),"-")</f>
        <v>-1.1276944244851411E-3</v>
      </c>
      <c r="L364" s="72">
        <f>Comp2[[#This Row],[Comparable '#2 Price]]/$B$2*100</f>
        <v>68.048289738430583</v>
      </c>
    </row>
    <row r="365" spans="1:12">
      <c r="A365" s="96">
        <v>43811</v>
      </c>
      <c r="B365" s="101">
        <v>34.979999999999997</v>
      </c>
      <c r="C365" s="4">
        <f t="shared" si="10"/>
        <v>3.3724126120021743E-2</v>
      </c>
      <c r="D365" s="1">
        <f>IFERROR(Comp2[[#This Row],[Comparable '#2 Return]]+1,"-")</f>
        <v>1.0337241261200218</v>
      </c>
      <c r="E365" s="6">
        <f>B365-MAX($B$2:B365)</f>
        <v>-23.18</v>
      </c>
      <c r="F365" s="80">
        <f t="shared" si="11"/>
        <v>272</v>
      </c>
      <c r="G365" s="77">
        <f>Comp2[[#This Row],[Comparable '#2 Drawdown]]/MAX($B$2:B365)</f>
        <v>-0.39855570839064652</v>
      </c>
      <c r="H365" s="1" t="str">
        <f>IF(SUM(COUNTIF(Benchmark1[Benchmark '#1 Dates],Comp2[[#This Row],[Comparable '#2 Dates]]),COUNTIF(Benchmark2[Benchmark '#2 Dates],Comp2[[#This Row],[Comparable '#2 Dates]]))=2,"Pass","Fail")</f>
        <v>Pass</v>
      </c>
      <c r="I365" s="1">
        <f>IFERROR(Comp2[[#This Row],[Comparable '#2 Return]]-INDEX(Benchmark1[Benchmark '#1 Return],MATCH(Comp2[[#This Row],[Comparable '#2 Dates]],Benchmark1[Benchmark '#1 Dates],0)),"-")</f>
        <v>2.5184721592794605E-2</v>
      </c>
      <c r="L365" s="72">
        <f>Comp2[[#This Row],[Comparable '#2 Price]]/$B$2*100</f>
        <v>70.382293762575443</v>
      </c>
    </row>
    <row r="366" spans="1:12">
      <c r="A366" s="96">
        <v>43812</v>
      </c>
      <c r="B366" s="101">
        <v>34.74</v>
      </c>
      <c r="C366" s="4">
        <f t="shared" si="10"/>
        <v>-6.8847087774970318E-3</v>
      </c>
      <c r="D366" s="1">
        <f>IFERROR(Comp2[[#This Row],[Comparable '#2 Return]]+1,"-")</f>
        <v>0.99311529122250297</v>
      </c>
      <c r="E366" s="6">
        <f>B366-MAX($B$2:B366)</f>
        <v>-23.419999999999995</v>
      </c>
      <c r="F366" s="80">
        <f t="shared" si="11"/>
        <v>273</v>
      </c>
      <c r="G366" s="77">
        <f>Comp2[[#This Row],[Comparable '#2 Drawdown]]/MAX($B$2:B366)</f>
        <v>-0.40268225584594214</v>
      </c>
      <c r="H366" s="1" t="str">
        <f>IF(SUM(COUNTIF(Benchmark1[Benchmark '#1 Dates],Comp2[[#This Row],[Comparable '#2 Dates]]),COUNTIF(Benchmark2[Benchmark '#2 Dates],Comp2[[#This Row],[Comparable '#2 Dates]]))=2,"Pass","Fail")</f>
        <v>Pass</v>
      </c>
      <c r="I366" s="1">
        <f>IFERROR(Comp2[[#This Row],[Comparable '#2 Return]]-INDEX(Benchmark1[Benchmark '#1 Return],MATCH(Comp2[[#This Row],[Comparable '#2 Dates]],Benchmark1[Benchmark '#1 Dates],0)),"-")</f>
        <v>-6.9574400420170648E-3</v>
      </c>
      <c r="L366" s="72">
        <f>Comp2[[#This Row],[Comparable '#2 Price]]/$B$2*100</f>
        <v>69.899396378269614</v>
      </c>
    </row>
    <row r="367" spans="1:12">
      <c r="A367" s="96">
        <v>43815</v>
      </c>
      <c r="B367" s="101">
        <v>34.21</v>
      </c>
      <c r="C367" s="4">
        <f t="shared" si="10"/>
        <v>-1.5373761823445608E-2</v>
      </c>
      <c r="D367" s="1">
        <f>IFERROR(Comp2[[#This Row],[Comparable '#2 Return]]+1,"-")</f>
        <v>0.98462623817655437</v>
      </c>
      <c r="E367" s="6">
        <f>B367-MAX($B$2:B367)</f>
        <v>-23.949999999999996</v>
      </c>
      <c r="F367" s="80">
        <f t="shared" si="11"/>
        <v>274</v>
      </c>
      <c r="G367" s="77">
        <f>Comp2[[#This Row],[Comparable '#2 Drawdown]]/MAX($B$2:B367)</f>
        <v>-0.41179504814305362</v>
      </c>
      <c r="H367" s="1" t="str">
        <f>IF(SUM(COUNTIF(Benchmark1[Benchmark '#1 Dates],Comp2[[#This Row],[Comparable '#2 Dates]]),COUNTIF(Benchmark2[Benchmark '#2 Dates],Comp2[[#This Row],[Comparable '#2 Dates]]))=2,"Pass","Fail")</f>
        <v>Pass</v>
      </c>
      <c r="I367" s="1">
        <f>IFERROR(Comp2[[#This Row],[Comparable '#2 Return]]-INDEX(Benchmark1[Benchmark '#1 Return],MATCH(Comp2[[#This Row],[Comparable '#2 Dates]],Benchmark1[Benchmark '#1 Dates],0)),"-")</f>
        <v>-2.2495961846676016E-2</v>
      </c>
      <c r="L367" s="72">
        <f>Comp2[[#This Row],[Comparable '#2 Price]]/$B$2*100</f>
        <v>68.832997987927556</v>
      </c>
    </row>
    <row r="368" spans="1:12">
      <c r="A368" s="96">
        <v>43816</v>
      </c>
      <c r="B368" s="101">
        <v>34.25</v>
      </c>
      <c r="C368" s="4">
        <f t="shared" si="10"/>
        <v>1.1685657187208939E-3</v>
      </c>
      <c r="D368" s="1">
        <f>IFERROR(Comp2[[#This Row],[Comparable '#2 Return]]+1,"-")</f>
        <v>1.0011685657187208</v>
      </c>
      <c r="E368" s="6">
        <f>B368-MAX($B$2:B368)</f>
        <v>-23.909999999999997</v>
      </c>
      <c r="F368" s="80">
        <f t="shared" si="11"/>
        <v>275</v>
      </c>
      <c r="G368" s="77">
        <f>Comp2[[#This Row],[Comparable '#2 Drawdown]]/MAX($B$2:B368)</f>
        <v>-0.41110729023383763</v>
      </c>
      <c r="H368" s="1" t="str">
        <f>IF(SUM(COUNTIF(Benchmark1[Benchmark '#1 Dates],Comp2[[#This Row],[Comparable '#2 Dates]]),COUNTIF(Benchmark2[Benchmark '#2 Dates],Comp2[[#This Row],[Comparable '#2 Dates]]))=2,"Pass","Fail")</f>
        <v>Pass</v>
      </c>
      <c r="I368" s="1">
        <f>IFERROR(Comp2[[#This Row],[Comparable '#2 Return]]-INDEX(Benchmark1[Benchmark '#1 Return],MATCH(Comp2[[#This Row],[Comparable '#2 Dates]],Benchmark1[Benchmark '#1 Dates],0)),"-")</f>
        <v>8.3348852029686447E-4</v>
      </c>
      <c r="L368" s="72">
        <f>Comp2[[#This Row],[Comparable '#2 Price]]/$B$2*100</f>
        <v>68.913480885311856</v>
      </c>
    </row>
    <row r="369" spans="1:12">
      <c r="A369" s="96">
        <v>43817</v>
      </c>
      <c r="B369" s="101">
        <v>34.39</v>
      </c>
      <c r="C369" s="4">
        <f t="shared" si="10"/>
        <v>4.0792597359406166E-3</v>
      </c>
      <c r="D369" s="1">
        <f>IFERROR(Comp2[[#This Row],[Comparable '#2 Return]]+1,"-")</f>
        <v>1.0040792597359407</v>
      </c>
      <c r="E369" s="6">
        <f>B369-MAX($B$2:B369)</f>
        <v>-23.769999999999996</v>
      </c>
      <c r="F369" s="80">
        <f t="shared" si="11"/>
        <v>276</v>
      </c>
      <c r="G369" s="77">
        <f>Comp2[[#This Row],[Comparable '#2 Drawdown]]/MAX($B$2:B369)</f>
        <v>-0.4087001375515818</v>
      </c>
      <c r="H369" s="1" t="str">
        <f>IF(SUM(COUNTIF(Benchmark1[Benchmark '#1 Dates],Comp2[[#This Row],[Comparable '#2 Dates]]),COUNTIF(Benchmark2[Benchmark '#2 Dates],Comp2[[#This Row],[Comparable '#2 Dates]]))=2,"Pass","Fail")</f>
        <v>Pass</v>
      </c>
      <c r="I369" s="1">
        <f>IFERROR(Comp2[[#This Row],[Comparable '#2 Return]]-INDEX(Benchmark1[Benchmark '#1 Return],MATCH(Comp2[[#This Row],[Comparable '#2 Dates]],Benchmark1[Benchmark '#1 Dates],0)),"-")</f>
        <v>4.5105282889348801E-3</v>
      </c>
      <c r="L369" s="72">
        <f>Comp2[[#This Row],[Comparable '#2 Price]]/$B$2*100</f>
        <v>69.195171026156942</v>
      </c>
    </row>
    <row r="370" spans="1:12">
      <c r="A370" s="96">
        <v>43818</v>
      </c>
      <c r="B370" s="101">
        <v>34.29</v>
      </c>
      <c r="C370" s="4">
        <f t="shared" si="10"/>
        <v>-2.9120579693459282E-3</v>
      </c>
      <c r="D370" s="1">
        <f>IFERROR(Comp2[[#This Row],[Comparable '#2 Return]]+1,"-")</f>
        <v>0.9970879420306541</v>
      </c>
      <c r="E370" s="6">
        <f>B370-MAX($B$2:B370)</f>
        <v>-23.869999999999997</v>
      </c>
      <c r="F370" s="80">
        <f t="shared" si="11"/>
        <v>277</v>
      </c>
      <c r="G370" s="77">
        <f>Comp2[[#This Row],[Comparable '#2 Drawdown]]/MAX($B$2:B370)</f>
        <v>-0.41041953232462169</v>
      </c>
      <c r="H370" s="1" t="str">
        <f>IF(SUM(COUNTIF(Benchmark1[Benchmark '#1 Dates],Comp2[[#This Row],[Comparable '#2 Dates]]),COUNTIF(Benchmark2[Benchmark '#2 Dates],Comp2[[#This Row],[Comparable '#2 Dates]]))=2,"Pass","Fail")</f>
        <v>Pass</v>
      </c>
      <c r="I370" s="1">
        <f>IFERROR(Comp2[[#This Row],[Comparable '#2 Return]]-INDEX(Benchmark1[Benchmark '#1 Return],MATCH(Comp2[[#This Row],[Comparable '#2 Dates]],Benchmark1[Benchmark '#1 Dates],0)),"-")</f>
        <v>-7.3602199863545791E-3</v>
      </c>
      <c r="L370" s="72">
        <f>Comp2[[#This Row],[Comparable '#2 Price]]/$B$2*100</f>
        <v>68.99396378269617</v>
      </c>
    </row>
    <row r="371" spans="1:12">
      <c r="A371" s="96">
        <v>43819</v>
      </c>
      <c r="B371" s="101">
        <v>35.020000000000003</v>
      </c>
      <c r="C371" s="4">
        <f t="shared" si="10"/>
        <v>2.1065560382877001E-2</v>
      </c>
      <c r="D371" s="1">
        <f>IFERROR(Comp2[[#This Row],[Comparable '#2 Return]]+1,"-")</f>
        <v>1.0210655603828771</v>
      </c>
      <c r="E371" s="6">
        <f>B371-MAX($B$2:B371)</f>
        <v>-23.139999999999993</v>
      </c>
      <c r="F371" s="80">
        <f t="shared" si="11"/>
        <v>278</v>
      </c>
      <c r="G371" s="77">
        <f>Comp2[[#This Row],[Comparable '#2 Drawdown]]/MAX($B$2:B371)</f>
        <v>-0.39786795048143042</v>
      </c>
      <c r="H371" s="1" t="str">
        <f>IF(SUM(COUNTIF(Benchmark1[Benchmark '#1 Dates],Comp2[[#This Row],[Comparable '#2 Dates]]),COUNTIF(Benchmark2[Benchmark '#2 Dates],Comp2[[#This Row],[Comparable '#2 Dates]]))=2,"Pass","Fail")</f>
        <v>Pass</v>
      </c>
      <c r="I371" s="1">
        <f>IFERROR(Comp2[[#This Row],[Comparable '#2 Return]]-INDEX(Benchmark1[Benchmark '#1 Return],MATCH(Comp2[[#This Row],[Comparable '#2 Dates]],Benchmark1[Benchmark '#1 Dates],0)),"-")</f>
        <v>1.6130990055112884E-2</v>
      </c>
      <c r="L371" s="72">
        <f>Comp2[[#This Row],[Comparable '#2 Price]]/$B$2*100</f>
        <v>70.462776659959758</v>
      </c>
    </row>
    <row r="372" spans="1:12">
      <c r="A372" s="96">
        <v>43822</v>
      </c>
      <c r="B372" s="101">
        <v>34.549999999999997</v>
      </c>
      <c r="C372" s="4">
        <f t="shared" si="10"/>
        <v>-1.3511776644027029E-2</v>
      </c>
      <c r="D372" s="1">
        <f>IFERROR(Comp2[[#This Row],[Comparable '#2 Return]]+1,"-")</f>
        <v>0.98648822335597297</v>
      </c>
      <c r="E372" s="6">
        <f>B372-MAX($B$2:B372)</f>
        <v>-23.61</v>
      </c>
      <c r="F372" s="80">
        <f t="shared" si="11"/>
        <v>279</v>
      </c>
      <c r="G372" s="77">
        <f>Comp2[[#This Row],[Comparable '#2 Drawdown]]/MAX($B$2:B372)</f>
        <v>-0.40594910591471806</v>
      </c>
      <c r="H372" s="1" t="str">
        <f>IF(SUM(COUNTIF(Benchmark1[Benchmark '#1 Dates],Comp2[[#This Row],[Comparable '#2 Dates]]),COUNTIF(Benchmark2[Benchmark '#2 Dates],Comp2[[#This Row],[Comparable '#2 Dates]]))=2,"Pass","Fail")</f>
        <v>Pass</v>
      </c>
      <c r="I372" s="1">
        <f>IFERROR(Comp2[[#This Row],[Comparable '#2 Return]]-INDEX(Benchmark1[Benchmark '#1 Return],MATCH(Comp2[[#This Row],[Comparable '#2 Dates]],Benchmark1[Benchmark '#1 Dates],0)),"-")</f>
        <v>-1.4376075059386952E-2</v>
      </c>
      <c r="L372" s="72">
        <f>Comp2[[#This Row],[Comparable '#2 Price]]/$B$2*100</f>
        <v>69.517102615694156</v>
      </c>
    </row>
    <row r="373" spans="1:12">
      <c r="A373" s="96">
        <v>43823</v>
      </c>
      <c r="B373" s="101">
        <v>34.43</v>
      </c>
      <c r="C373" s="4">
        <f t="shared" si="10"/>
        <v>-3.4792728632464837E-3</v>
      </c>
      <c r="D373" s="1">
        <f>IFERROR(Comp2[[#This Row],[Comparable '#2 Return]]+1,"-")</f>
        <v>0.99652072713675355</v>
      </c>
      <c r="E373" s="6">
        <f>B373-MAX($B$2:B373)</f>
        <v>-23.729999999999997</v>
      </c>
      <c r="F373" s="80">
        <f t="shared" si="11"/>
        <v>280</v>
      </c>
      <c r="G373" s="77">
        <f>Comp2[[#This Row],[Comparable '#2 Drawdown]]/MAX($B$2:B373)</f>
        <v>-0.40801237964236586</v>
      </c>
      <c r="H373" s="1" t="str">
        <f>IF(SUM(COUNTIF(Benchmark1[Benchmark '#1 Dates],Comp2[[#This Row],[Comparable '#2 Dates]]),COUNTIF(Benchmark2[Benchmark '#2 Dates],Comp2[[#This Row],[Comparable '#2 Dates]]))=2,"Pass","Fail")</f>
        <v>Pass</v>
      </c>
      <c r="I373" s="1">
        <f>IFERROR(Comp2[[#This Row],[Comparable '#2 Return]]-INDEX(Benchmark1[Benchmark '#1 Return],MATCH(Comp2[[#This Row],[Comparable '#2 Dates]],Benchmark1[Benchmark '#1 Dates],0)),"-")</f>
        <v>-3.2825463888176533E-3</v>
      </c>
      <c r="L373" s="72">
        <f>Comp2[[#This Row],[Comparable '#2 Price]]/$B$2*100</f>
        <v>69.275653923541242</v>
      </c>
    </row>
    <row r="374" spans="1:12">
      <c r="A374" s="96">
        <v>43825</v>
      </c>
      <c r="B374" s="101">
        <v>35.119999999999997</v>
      </c>
      <c r="C374" s="4">
        <f t="shared" si="10"/>
        <v>1.9842491416483466E-2</v>
      </c>
      <c r="D374" s="1">
        <f>IFERROR(Comp2[[#This Row],[Comparable '#2 Return]]+1,"-")</f>
        <v>1.0198424914164834</v>
      </c>
      <c r="E374" s="6">
        <f>B374-MAX($B$2:B374)</f>
        <v>-23.04</v>
      </c>
      <c r="F374" s="80">
        <f t="shared" si="11"/>
        <v>281</v>
      </c>
      <c r="G374" s="77">
        <f>Comp2[[#This Row],[Comparable '#2 Drawdown]]/MAX($B$2:B374)</f>
        <v>-0.39614855570839064</v>
      </c>
      <c r="H374" s="1" t="str">
        <f>IF(SUM(COUNTIF(Benchmark1[Benchmark '#1 Dates],Comp2[[#This Row],[Comparable '#2 Dates]]),COUNTIF(Benchmark2[Benchmark '#2 Dates],Comp2[[#This Row],[Comparable '#2 Dates]]))=2,"Pass","Fail")</f>
        <v>Pass</v>
      </c>
      <c r="I374" s="1">
        <f>IFERROR(Comp2[[#This Row],[Comparable '#2 Return]]-INDEX(Benchmark1[Benchmark '#1 Return],MATCH(Comp2[[#This Row],[Comparable '#2 Dates]],Benchmark1[Benchmark '#1 Dates],0)),"-")</f>
        <v>1.4726987725453569E-2</v>
      </c>
      <c r="L374" s="72">
        <f>Comp2[[#This Row],[Comparable '#2 Price]]/$B$2*100</f>
        <v>70.663983903420515</v>
      </c>
    </row>
    <row r="375" spans="1:12">
      <c r="A375" s="96">
        <v>43826</v>
      </c>
      <c r="B375" s="101">
        <v>35.04</v>
      </c>
      <c r="C375" s="4">
        <f t="shared" si="10"/>
        <v>-2.2805026987252177E-3</v>
      </c>
      <c r="D375" s="1">
        <f>IFERROR(Comp2[[#This Row],[Comparable '#2 Return]]+1,"-")</f>
        <v>0.99771949730127474</v>
      </c>
      <c r="E375" s="6">
        <f>B375-MAX($B$2:B375)</f>
        <v>-23.119999999999997</v>
      </c>
      <c r="F375" s="80">
        <f t="shared" si="11"/>
        <v>282</v>
      </c>
      <c r="G375" s="77">
        <f>Comp2[[#This Row],[Comparable '#2 Drawdown]]/MAX($B$2:B375)</f>
        <v>-0.39752407152682256</v>
      </c>
      <c r="H375" s="1" t="str">
        <f>IF(SUM(COUNTIF(Benchmark1[Benchmark '#1 Dates],Comp2[[#This Row],[Comparable '#2 Dates]]),COUNTIF(Benchmark2[Benchmark '#2 Dates],Comp2[[#This Row],[Comparable '#2 Dates]]))=2,"Pass","Fail")</f>
        <v>Pass</v>
      </c>
      <c r="I375" s="1">
        <f>IFERROR(Comp2[[#This Row],[Comparable '#2 Return]]-INDEX(Benchmark1[Benchmark '#1 Return],MATCH(Comp2[[#This Row],[Comparable '#2 Dates]],Benchmark1[Benchmark '#1 Dates],0)),"-")</f>
        <v>-2.3154477429605867E-3</v>
      </c>
      <c r="L375" s="72">
        <f>Comp2[[#This Row],[Comparable '#2 Price]]/$B$2*100</f>
        <v>70.503018108651901</v>
      </c>
    </row>
    <row r="376" spans="1:12">
      <c r="A376" s="96">
        <v>43829</v>
      </c>
      <c r="B376" s="101">
        <v>34.69</v>
      </c>
      <c r="C376" s="4">
        <f t="shared" si="10"/>
        <v>-1.0038805086532435E-2</v>
      </c>
      <c r="D376" s="1">
        <f>IFERROR(Comp2[[#This Row],[Comparable '#2 Return]]+1,"-")</f>
        <v>0.98996119491346757</v>
      </c>
      <c r="E376" s="6">
        <f>B376-MAX($B$2:B376)</f>
        <v>-23.47</v>
      </c>
      <c r="F376" s="80">
        <f t="shared" si="11"/>
        <v>283</v>
      </c>
      <c r="G376" s="77">
        <f>Comp2[[#This Row],[Comparable '#2 Drawdown]]/MAX($B$2:B376)</f>
        <v>-0.40354195323246217</v>
      </c>
      <c r="H376" s="1" t="str">
        <f>IF(SUM(COUNTIF(Benchmark1[Benchmark '#1 Dates],Comp2[[#This Row],[Comparable '#2 Dates]]),COUNTIF(Benchmark2[Benchmark '#2 Dates],Comp2[[#This Row],[Comparable '#2 Dates]]))=2,"Pass","Fail")</f>
        <v>Pass</v>
      </c>
      <c r="I376" s="1">
        <f>IFERROR(Comp2[[#This Row],[Comparable '#2 Return]]-INDEX(Benchmark1[Benchmark '#1 Return],MATCH(Comp2[[#This Row],[Comparable '#2 Dates]],Benchmark1[Benchmark '#1 Dates],0)),"-")</f>
        <v>-4.2416536236568134E-3</v>
      </c>
      <c r="L376" s="72">
        <f>Comp2[[#This Row],[Comparable '#2 Price]]/$B$2*100</f>
        <v>69.798792756539228</v>
      </c>
    </row>
    <row r="377" spans="1:12">
      <c r="A377" s="96">
        <v>43830</v>
      </c>
      <c r="B377" s="101">
        <v>34.97</v>
      </c>
      <c r="C377" s="4">
        <f t="shared" si="10"/>
        <v>8.0390900936261282E-3</v>
      </c>
      <c r="D377" s="1">
        <f>IFERROR(Comp2[[#This Row],[Comparable '#2 Return]]+1,"-")</f>
        <v>1.008039090093626</v>
      </c>
      <c r="E377" s="6">
        <f>B377-MAX($B$2:B377)</f>
        <v>-23.189999999999998</v>
      </c>
      <c r="F377" s="80">
        <f t="shared" si="11"/>
        <v>284</v>
      </c>
      <c r="G377" s="77">
        <f>Comp2[[#This Row],[Comparable '#2 Drawdown]]/MAX($B$2:B377)</f>
        <v>-0.39872764786795045</v>
      </c>
      <c r="H377" s="1" t="str">
        <f>IF(SUM(COUNTIF(Benchmark1[Benchmark '#1 Dates],Comp2[[#This Row],[Comparable '#2 Dates]]),COUNTIF(Benchmark2[Benchmark '#2 Dates],Comp2[[#This Row],[Comparable '#2 Dates]]))=2,"Pass","Fail")</f>
        <v>Pass</v>
      </c>
      <c r="I377" s="1">
        <f>IFERROR(Comp2[[#This Row],[Comparable '#2 Return]]-INDEX(Benchmark1[Benchmark '#1 Return],MATCH(Comp2[[#This Row],[Comparable '#2 Dates]],Benchmark1[Benchmark '#1 Dates],0)),"-")</f>
        <v>5.0973541321822262E-3</v>
      </c>
      <c r="L377" s="72">
        <f>Comp2[[#This Row],[Comparable '#2 Price]]/$B$2*100</f>
        <v>70.362173038229372</v>
      </c>
    </row>
    <row r="378" spans="1:12">
      <c r="A378" s="96">
        <v>43832</v>
      </c>
      <c r="B378" s="101">
        <v>34.69</v>
      </c>
      <c r="C378" s="4">
        <f t="shared" si="10"/>
        <v>-8.039090093626142E-3</v>
      </c>
      <c r="D378" s="1">
        <f>IFERROR(Comp2[[#This Row],[Comparable '#2 Return]]+1,"-")</f>
        <v>0.99196090990637387</v>
      </c>
      <c r="E378" s="6">
        <f>B378-MAX($B$2:B378)</f>
        <v>-23.47</v>
      </c>
      <c r="F378" s="80">
        <f t="shared" si="11"/>
        <v>285</v>
      </c>
      <c r="G378" s="77">
        <f>Comp2[[#This Row],[Comparable '#2 Drawdown]]/MAX($B$2:B378)</f>
        <v>-0.40354195323246217</v>
      </c>
      <c r="H378" s="1" t="str">
        <f>IF(SUM(COUNTIF(Benchmark1[Benchmark '#1 Dates],Comp2[[#This Row],[Comparable '#2 Dates]]),COUNTIF(Benchmark2[Benchmark '#2 Dates],Comp2[[#This Row],[Comparable '#2 Dates]]))=2,"Pass","Fail")</f>
        <v>Pass</v>
      </c>
      <c r="I378" s="1">
        <f>IFERROR(Comp2[[#This Row],[Comparable '#2 Return]]-INDEX(Benchmark1[Benchmark '#1 Return],MATCH(Comp2[[#This Row],[Comparable '#2 Dates]],Benchmark1[Benchmark '#1 Dates],0)),"-")</f>
        <v>-1.6381681549294497E-2</v>
      </c>
      <c r="L378" s="72">
        <f>Comp2[[#This Row],[Comparable '#2 Price]]/$B$2*100</f>
        <v>69.798792756539228</v>
      </c>
    </row>
    <row r="379" spans="1:12">
      <c r="A379" s="96">
        <v>43833</v>
      </c>
      <c r="B379" s="101">
        <v>34.57</v>
      </c>
      <c r="C379" s="4">
        <f t="shared" si="10"/>
        <v>-3.4652070481250778E-3</v>
      </c>
      <c r="D379" s="1">
        <f>IFERROR(Comp2[[#This Row],[Comparable '#2 Return]]+1,"-")</f>
        <v>0.99653479295187497</v>
      </c>
      <c r="E379" s="6">
        <f>B379-MAX($B$2:B379)</f>
        <v>-23.589999999999996</v>
      </c>
      <c r="F379" s="80">
        <f t="shared" si="11"/>
        <v>286</v>
      </c>
      <c r="G379" s="77">
        <f>Comp2[[#This Row],[Comparable '#2 Drawdown]]/MAX($B$2:B379)</f>
        <v>-0.40560522696010998</v>
      </c>
      <c r="H379" s="1" t="str">
        <f>IF(SUM(COUNTIF(Benchmark1[Benchmark '#1 Dates],Comp2[[#This Row],[Comparable '#2 Dates]]),COUNTIF(Benchmark2[Benchmark '#2 Dates],Comp2[[#This Row],[Comparable '#2 Dates]]))=2,"Pass","Fail")</f>
        <v>Pass</v>
      </c>
      <c r="I379" s="1">
        <f>IFERROR(Comp2[[#This Row],[Comparable '#2 Return]]-INDEX(Benchmark1[Benchmark '#1 Return],MATCH(Comp2[[#This Row],[Comparable '#2 Dates]],Benchmark1[Benchmark '#1 Dates],0)),"-")</f>
        <v>3.6194672792755765E-3</v>
      </c>
      <c r="L379" s="72">
        <f>Comp2[[#This Row],[Comparable '#2 Price]]/$B$2*100</f>
        <v>69.557344064386314</v>
      </c>
    </row>
    <row r="380" spans="1:12">
      <c r="A380" s="96">
        <v>43836</v>
      </c>
      <c r="B380" s="101">
        <v>35.130000000000003</v>
      </c>
      <c r="C380" s="4">
        <f t="shared" si="10"/>
        <v>1.6069212344202669E-2</v>
      </c>
      <c r="D380" s="1">
        <f>IFERROR(Comp2[[#This Row],[Comparable '#2 Return]]+1,"-")</f>
        <v>1.0160692123442028</v>
      </c>
      <c r="E380" s="6">
        <f>B380-MAX($B$2:B380)</f>
        <v>-23.029999999999994</v>
      </c>
      <c r="F380" s="80">
        <f t="shared" si="11"/>
        <v>287</v>
      </c>
      <c r="G380" s="77">
        <f>Comp2[[#This Row],[Comparable '#2 Drawdown]]/MAX($B$2:B380)</f>
        <v>-0.3959766162310866</v>
      </c>
      <c r="H380" s="1" t="str">
        <f>IF(SUM(COUNTIF(Benchmark1[Benchmark '#1 Dates],Comp2[[#This Row],[Comparable '#2 Dates]]),COUNTIF(Benchmark2[Benchmark '#2 Dates],Comp2[[#This Row],[Comparable '#2 Dates]]))=2,"Pass","Fail")</f>
        <v>Pass</v>
      </c>
      <c r="I380" s="1">
        <f>IFERROR(Comp2[[#This Row],[Comparable '#2 Return]]-INDEX(Benchmark1[Benchmark '#1 Return],MATCH(Comp2[[#This Row],[Comparable '#2 Dates]],Benchmark1[Benchmark '#1 Dates],0)),"-")</f>
        <v>1.2540814263258704E-2</v>
      </c>
      <c r="L380" s="72">
        <f>Comp2[[#This Row],[Comparable '#2 Price]]/$B$2*100</f>
        <v>70.684104627766601</v>
      </c>
    </row>
    <row r="381" spans="1:12">
      <c r="A381" s="96">
        <v>43837</v>
      </c>
      <c r="B381" s="101">
        <v>35.49</v>
      </c>
      <c r="C381" s="4">
        <f t="shared" si="10"/>
        <v>1.0195500380669346E-2</v>
      </c>
      <c r="D381" s="1">
        <f>IFERROR(Comp2[[#This Row],[Comparable '#2 Return]]+1,"-")</f>
        <v>1.0101955003806693</v>
      </c>
      <c r="E381" s="6">
        <f>B381-MAX($B$2:B381)</f>
        <v>-22.669999999999995</v>
      </c>
      <c r="F381" s="80">
        <f t="shared" si="11"/>
        <v>288</v>
      </c>
      <c r="G381" s="77">
        <f>Comp2[[#This Row],[Comparable '#2 Drawdown]]/MAX($B$2:B381)</f>
        <v>-0.38978679504814301</v>
      </c>
      <c r="H381" s="1" t="str">
        <f>IF(SUM(COUNTIF(Benchmark1[Benchmark '#1 Dates],Comp2[[#This Row],[Comparable '#2 Dates]]),COUNTIF(Benchmark2[Benchmark '#2 Dates],Comp2[[#This Row],[Comparable '#2 Dates]]))=2,"Pass","Fail")</f>
        <v>Pass</v>
      </c>
      <c r="I381" s="1">
        <f>IFERROR(Comp2[[#This Row],[Comparable '#2 Return]]-INDEX(Benchmark1[Benchmark '#1 Return],MATCH(Comp2[[#This Row],[Comparable '#2 Dates]],Benchmark1[Benchmark '#1 Dates],0)),"-")</f>
        <v>1.3002675455549926E-2</v>
      </c>
      <c r="L381" s="72">
        <f>Comp2[[#This Row],[Comparable '#2 Price]]/$B$2*100</f>
        <v>71.408450704225359</v>
      </c>
    </row>
    <row r="382" spans="1:12">
      <c r="A382" s="96">
        <v>43838</v>
      </c>
      <c r="B382" s="101">
        <v>35.619999999999997</v>
      </c>
      <c r="C382" s="4">
        <f t="shared" si="10"/>
        <v>3.656311203110258E-3</v>
      </c>
      <c r="D382" s="1">
        <f>IFERROR(Comp2[[#This Row],[Comparable '#2 Return]]+1,"-")</f>
        <v>1.0036563112031103</v>
      </c>
      <c r="E382" s="6">
        <f>B382-MAX($B$2:B382)</f>
        <v>-22.54</v>
      </c>
      <c r="F382" s="80">
        <f t="shared" si="11"/>
        <v>289</v>
      </c>
      <c r="G382" s="77">
        <f>Comp2[[#This Row],[Comparable '#2 Drawdown]]/MAX($B$2:B382)</f>
        <v>-0.38755158184319122</v>
      </c>
      <c r="H382" s="1" t="str">
        <f>IF(SUM(COUNTIF(Benchmark1[Benchmark '#1 Dates],Comp2[[#This Row],[Comparable '#2 Dates]]),COUNTIF(Benchmark2[Benchmark '#2 Dates],Comp2[[#This Row],[Comparable '#2 Dates]]))=2,"Pass","Fail")</f>
        <v>Pass</v>
      </c>
      <c r="I382" s="1">
        <f>IFERROR(Comp2[[#This Row],[Comparable '#2 Return]]-INDEX(Benchmark1[Benchmark '#1 Return],MATCH(Comp2[[#This Row],[Comparable '#2 Dates]],Benchmark1[Benchmark '#1 Dates],0)),"-")</f>
        <v>-1.2321217502328373E-3</v>
      </c>
      <c r="L382" s="72">
        <f>Comp2[[#This Row],[Comparable '#2 Price]]/$B$2*100</f>
        <v>71.670020120724331</v>
      </c>
    </row>
    <row r="383" spans="1:12">
      <c r="A383" s="96">
        <v>43839</v>
      </c>
      <c r="B383" s="101">
        <v>35.94</v>
      </c>
      <c r="C383" s="4">
        <f t="shared" si="10"/>
        <v>8.9436034938974122E-3</v>
      </c>
      <c r="D383" s="1">
        <f>IFERROR(Comp2[[#This Row],[Comparable '#2 Return]]+1,"-")</f>
        <v>1.0089436034938974</v>
      </c>
      <c r="E383" s="6">
        <f>B383-MAX($B$2:B383)</f>
        <v>-22.22</v>
      </c>
      <c r="F383" s="80">
        <f t="shared" si="11"/>
        <v>290</v>
      </c>
      <c r="G383" s="77">
        <f>Comp2[[#This Row],[Comparable '#2 Drawdown]]/MAX($B$2:B383)</f>
        <v>-0.38204951856946356</v>
      </c>
      <c r="H383" s="1" t="str">
        <f>IF(SUM(COUNTIF(Benchmark1[Benchmark '#1 Dates],Comp2[[#This Row],[Comparable '#2 Dates]]),COUNTIF(Benchmark2[Benchmark '#2 Dates],Comp2[[#This Row],[Comparable '#2 Dates]]))=2,"Pass","Fail")</f>
        <v>Pass</v>
      </c>
      <c r="I383" s="1">
        <f>IFERROR(Comp2[[#This Row],[Comparable '#2 Return]]-INDEX(Benchmark1[Benchmark '#1 Return],MATCH(Comp2[[#This Row],[Comparable '#2 Dates]],Benchmark1[Benchmark '#1 Dates],0)),"-")</f>
        <v>2.3078319360602577E-3</v>
      </c>
      <c r="L383" s="72">
        <f>Comp2[[#This Row],[Comparable '#2 Price]]/$B$2*100</f>
        <v>72.313883299798789</v>
      </c>
    </row>
    <row r="384" spans="1:12">
      <c r="A384" s="96">
        <v>43840</v>
      </c>
      <c r="B384" s="101">
        <v>35.479999999999997</v>
      </c>
      <c r="C384" s="4">
        <f t="shared" si="10"/>
        <v>-1.2881723914034226E-2</v>
      </c>
      <c r="D384" s="1">
        <f>IFERROR(Comp2[[#This Row],[Comparable '#2 Return]]+1,"-")</f>
        <v>0.98711827608596581</v>
      </c>
      <c r="E384" s="6">
        <f>B384-MAX($B$2:B384)</f>
        <v>-22.68</v>
      </c>
      <c r="F384" s="80">
        <f t="shared" si="11"/>
        <v>291</v>
      </c>
      <c r="G384" s="77">
        <f>Comp2[[#This Row],[Comparable '#2 Drawdown]]/MAX($B$2:B384)</f>
        <v>-0.38995873452544705</v>
      </c>
      <c r="H384" s="1" t="str">
        <f>IF(SUM(COUNTIF(Benchmark1[Benchmark '#1 Dates],Comp2[[#This Row],[Comparable '#2 Dates]]),COUNTIF(Benchmark2[Benchmark '#2 Dates],Comp2[[#This Row],[Comparable '#2 Dates]]))=2,"Pass","Fail")</f>
        <v>Pass</v>
      </c>
      <c r="I384" s="1">
        <f>IFERROR(Comp2[[#This Row],[Comparable '#2 Return]]-INDEX(Benchmark1[Benchmark '#1 Return],MATCH(Comp2[[#This Row],[Comparable '#2 Dates]],Benchmark1[Benchmark '#1 Dates],0)),"-")</f>
        <v>-1.002148374712751E-2</v>
      </c>
      <c r="L384" s="72">
        <f>Comp2[[#This Row],[Comparable '#2 Price]]/$B$2*100</f>
        <v>71.388329979879259</v>
      </c>
    </row>
    <row r="385" spans="1:12">
      <c r="A385" s="96">
        <v>43843</v>
      </c>
      <c r="B385" s="101">
        <v>35.94</v>
      </c>
      <c r="C385" s="4">
        <f t="shared" si="10"/>
        <v>1.2881723914034207E-2</v>
      </c>
      <c r="D385" s="1">
        <f>IFERROR(Comp2[[#This Row],[Comparable '#2 Return]]+1,"-")</f>
        <v>1.0128817239140342</v>
      </c>
      <c r="E385" s="6">
        <f>B385-MAX($B$2:B385)</f>
        <v>-22.22</v>
      </c>
      <c r="F385" s="80">
        <f t="shared" si="11"/>
        <v>292</v>
      </c>
      <c r="G385" s="77">
        <f>Comp2[[#This Row],[Comparable '#2 Drawdown]]/MAX($B$2:B385)</f>
        <v>-0.38204951856946356</v>
      </c>
      <c r="H385" s="1" t="str">
        <f>IF(SUM(COUNTIF(Benchmark1[Benchmark '#1 Dates],Comp2[[#This Row],[Comparable '#2 Dates]]),COUNTIF(Benchmark2[Benchmark '#2 Dates],Comp2[[#This Row],[Comparable '#2 Dates]]))=2,"Pass","Fail")</f>
        <v>Pass</v>
      </c>
      <c r="I385" s="1">
        <f>IFERROR(Comp2[[#This Row],[Comparable '#2 Return]]-INDEX(Benchmark1[Benchmark '#1 Return],MATCH(Comp2[[#This Row],[Comparable '#2 Dates]],Benchmark1[Benchmark '#1 Dates],0)),"-")</f>
        <v>5.9289354704442753E-3</v>
      </c>
      <c r="L385" s="72">
        <f>Comp2[[#This Row],[Comparable '#2 Price]]/$B$2*100</f>
        <v>72.313883299798789</v>
      </c>
    </row>
    <row r="386" spans="1:12">
      <c r="A386" s="96">
        <v>43844</v>
      </c>
      <c r="B386" s="101">
        <v>36.200000000000003</v>
      </c>
      <c r="C386" s="4">
        <f t="shared" ref="C386:C449" si="12">IFERROR(IF(B386="","-",LN(B386/B385)),"-")</f>
        <v>7.2082374763124358E-3</v>
      </c>
      <c r="D386" s="1">
        <f>IFERROR(Comp2[[#This Row],[Comparable '#2 Return]]+1,"-")</f>
        <v>1.0072082374763125</v>
      </c>
      <c r="E386" s="6">
        <f>B386-MAX($B$2:B386)</f>
        <v>-21.959999999999994</v>
      </c>
      <c r="F386" s="80">
        <f t="shared" ref="F386:F449" si="13">IF(E386=0,0,F385+1)</f>
        <v>293</v>
      </c>
      <c r="G386" s="77">
        <f>Comp2[[#This Row],[Comparable '#2 Drawdown]]/MAX($B$2:B386)</f>
        <v>-0.37757909215955976</v>
      </c>
      <c r="H386" s="1" t="str">
        <f>IF(SUM(COUNTIF(Benchmark1[Benchmark '#1 Dates],Comp2[[#This Row],[Comparable '#2 Dates]]),COUNTIF(Benchmark2[Benchmark '#2 Dates],Comp2[[#This Row],[Comparable '#2 Dates]]))=2,"Pass","Fail")</f>
        <v>Pass</v>
      </c>
      <c r="I386" s="1">
        <f>IFERROR(Comp2[[#This Row],[Comparable '#2 Return]]-INDEX(Benchmark1[Benchmark '#1 Return],MATCH(Comp2[[#This Row],[Comparable '#2 Dates]],Benchmark1[Benchmark '#1 Dates],0)),"-")</f>
        <v>8.7242550068270964E-3</v>
      </c>
      <c r="L386" s="72">
        <f>Comp2[[#This Row],[Comparable '#2 Price]]/$B$2*100</f>
        <v>72.837022132796776</v>
      </c>
    </row>
    <row r="387" spans="1:12">
      <c r="A387" s="96">
        <v>43845</v>
      </c>
      <c r="B387" s="101">
        <v>36.5</v>
      </c>
      <c r="C387" s="4">
        <f t="shared" si="12"/>
        <v>8.2531417567202614E-3</v>
      </c>
      <c r="D387" s="1">
        <f>IFERROR(Comp2[[#This Row],[Comparable '#2 Return]]+1,"-")</f>
        <v>1.0082531417567202</v>
      </c>
      <c r="E387" s="6">
        <f>B387-MAX($B$2:B387)</f>
        <v>-21.659999999999997</v>
      </c>
      <c r="F387" s="80">
        <f t="shared" si="13"/>
        <v>294</v>
      </c>
      <c r="G387" s="77">
        <f>Comp2[[#This Row],[Comparable '#2 Drawdown]]/MAX($B$2:B387)</f>
        <v>-0.37242090784044013</v>
      </c>
      <c r="H387" s="1" t="str">
        <f>IF(SUM(COUNTIF(Benchmark1[Benchmark '#1 Dates],Comp2[[#This Row],[Comparable '#2 Dates]]),COUNTIF(Benchmark2[Benchmark '#2 Dates],Comp2[[#This Row],[Comparable '#2 Dates]]))=2,"Pass","Fail")</f>
        <v>Pass</v>
      </c>
      <c r="I387" s="1">
        <f>IFERROR(Comp2[[#This Row],[Comparable '#2 Return]]-INDEX(Benchmark1[Benchmark '#1 Return],MATCH(Comp2[[#This Row],[Comparable '#2 Dates]],Benchmark1[Benchmark '#1 Dates],0)),"-")</f>
        <v>6.3846922370274003E-3</v>
      </c>
      <c r="L387" s="72">
        <f>Comp2[[#This Row],[Comparable '#2 Price]]/$B$2*100</f>
        <v>73.440643863179062</v>
      </c>
    </row>
    <row r="388" spans="1:12">
      <c r="A388" s="96">
        <v>43846</v>
      </c>
      <c r="B388" s="101">
        <v>36.869999999999997</v>
      </c>
      <c r="C388" s="4">
        <f t="shared" si="12"/>
        <v>1.0085951657607294E-2</v>
      </c>
      <c r="D388" s="1">
        <f>IFERROR(Comp2[[#This Row],[Comparable '#2 Return]]+1,"-")</f>
        <v>1.0100859516576073</v>
      </c>
      <c r="E388" s="6">
        <f>B388-MAX($B$2:B388)</f>
        <v>-21.29</v>
      </c>
      <c r="F388" s="80">
        <f t="shared" si="13"/>
        <v>295</v>
      </c>
      <c r="G388" s="77">
        <f>Comp2[[#This Row],[Comparable '#2 Drawdown]]/MAX($B$2:B388)</f>
        <v>-0.36605914718019256</v>
      </c>
      <c r="H388" s="1" t="str">
        <f>IF(SUM(COUNTIF(Benchmark1[Benchmark '#1 Dates],Comp2[[#This Row],[Comparable '#2 Dates]]),COUNTIF(Benchmark2[Benchmark '#2 Dates],Comp2[[#This Row],[Comparable '#2 Dates]]))=2,"Pass","Fail")</f>
        <v>Pass</v>
      </c>
      <c r="I388" s="1">
        <f>IFERROR(Comp2[[#This Row],[Comparable '#2 Return]]-INDEX(Benchmark1[Benchmark '#1 Return],MATCH(Comp2[[#This Row],[Comparable '#2 Dates]],Benchmark1[Benchmark '#1 Dates],0)),"-")</f>
        <v>1.7562353381692427E-3</v>
      </c>
      <c r="L388" s="72">
        <f>Comp2[[#This Row],[Comparable '#2 Price]]/$B$2*100</f>
        <v>74.185110663983892</v>
      </c>
    </row>
    <row r="389" spans="1:12">
      <c r="A389" s="96">
        <v>43847</v>
      </c>
      <c r="B389" s="101">
        <v>36.51</v>
      </c>
      <c r="C389" s="4">
        <f t="shared" si="12"/>
        <v>-9.8120165785076079E-3</v>
      </c>
      <c r="D389" s="1">
        <f>IFERROR(Comp2[[#This Row],[Comparable '#2 Return]]+1,"-")</f>
        <v>0.99018798342149239</v>
      </c>
      <c r="E389" s="6">
        <f>B389-MAX($B$2:B389)</f>
        <v>-21.65</v>
      </c>
      <c r="F389" s="80">
        <f t="shared" si="13"/>
        <v>296</v>
      </c>
      <c r="G389" s="77">
        <f>Comp2[[#This Row],[Comparable '#2 Drawdown]]/MAX($B$2:B389)</f>
        <v>-0.3722489683631362</v>
      </c>
      <c r="H389" s="1" t="str">
        <f>IF(SUM(COUNTIF(Benchmark1[Benchmark '#1 Dates],Comp2[[#This Row],[Comparable '#2 Dates]]),COUNTIF(Benchmark2[Benchmark '#2 Dates],Comp2[[#This Row],[Comparable '#2 Dates]]))=2,"Pass","Fail")</f>
        <v>Pass</v>
      </c>
      <c r="I389" s="1">
        <f>IFERROR(Comp2[[#This Row],[Comparable '#2 Return]]-INDEX(Benchmark1[Benchmark '#1 Return],MATCH(Comp2[[#This Row],[Comparable '#2 Dates]],Benchmark1[Benchmark '#1 Dates],0)),"-")</f>
        <v>-1.3668759317279108E-2</v>
      </c>
      <c r="L389" s="72">
        <f>Comp2[[#This Row],[Comparable '#2 Price]]/$B$2*100</f>
        <v>73.460764587525134</v>
      </c>
    </row>
    <row r="390" spans="1:12">
      <c r="A390" s="96">
        <v>43851</v>
      </c>
      <c r="B390" s="101">
        <v>35.97</v>
      </c>
      <c r="C390" s="4">
        <f t="shared" si="12"/>
        <v>-1.490093796001293E-2</v>
      </c>
      <c r="D390" s="1">
        <f>IFERROR(Comp2[[#This Row],[Comparable '#2 Return]]+1,"-")</f>
        <v>0.98509906203998709</v>
      </c>
      <c r="E390" s="6">
        <f>B390-MAX($B$2:B390)</f>
        <v>-22.189999999999998</v>
      </c>
      <c r="F390" s="80">
        <f t="shared" si="13"/>
        <v>297</v>
      </c>
      <c r="G390" s="77">
        <f>Comp2[[#This Row],[Comparable '#2 Drawdown]]/MAX($B$2:B390)</f>
        <v>-0.38153370013755156</v>
      </c>
      <c r="H390" s="1" t="str">
        <f>IF(SUM(COUNTIF(Benchmark1[Benchmark '#1 Dates],Comp2[[#This Row],[Comparable '#2 Dates]]),COUNTIF(Benchmark2[Benchmark '#2 Dates],Comp2[[#This Row],[Comparable '#2 Dates]]))=2,"Pass","Fail")</f>
        <v>Pass</v>
      </c>
      <c r="I390" s="1">
        <f>IFERROR(Comp2[[#This Row],[Comparable '#2 Return]]-INDEX(Benchmark1[Benchmark '#1 Return],MATCH(Comp2[[#This Row],[Comparable '#2 Dates]],Benchmark1[Benchmark '#1 Dates],0)),"-")</f>
        <v>-1.2244918051854972E-2</v>
      </c>
      <c r="L390" s="72">
        <f>Comp2[[#This Row],[Comparable '#2 Price]]/$B$2*100</f>
        <v>72.374245472837018</v>
      </c>
    </row>
    <row r="391" spans="1:12">
      <c r="A391" s="96">
        <v>43852</v>
      </c>
      <c r="B391" s="101">
        <v>35.909999999999997</v>
      </c>
      <c r="C391" s="4">
        <f t="shared" si="12"/>
        <v>-1.6694494695411572E-3</v>
      </c>
      <c r="D391" s="1">
        <f>IFERROR(Comp2[[#This Row],[Comparable '#2 Return]]+1,"-")</f>
        <v>0.99833055053045883</v>
      </c>
      <c r="E391" s="6">
        <f>B391-MAX($B$2:B391)</f>
        <v>-22.25</v>
      </c>
      <c r="F391" s="80">
        <f t="shared" si="13"/>
        <v>298</v>
      </c>
      <c r="G391" s="77">
        <f>Comp2[[#This Row],[Comparable '#2 Drawdown]]/MAX($B$2:B391)</f>
        <v>-0.38256533700137552</v>
      </c>
      <c r="H391" s="1" t="str">
        <f>IF(SUM(COUNTIF(Benchmark1[Benchmark '#1 Dates],Comp2[[#This Row],[Comparable '#2 Dates]]),COUNTIF(Benchmark2[Benchmark '#2 Dates],Comp2[[#This Row],[Comparable '#2 Dates]]))=2,"Pass","Fail")</f>
        <v>Pass</v>
      </c>
      <c r="I391" s="1">
        <f>IFERROR(Comp2[[#This Row],[Comparable '#2 Return]]-INDEX(Benchmark1[Benchmark '#1 Return],MATCH(Comp2[[#This Row],[Comparable '#2 Dates]],Benchmark1[Benchmark '#1 Dates],0)),"-")</f>
        <v>-1.9572928396906645E-3</v>
      </c>
      <c r="L391" s="72">
        <f>Comp2[[#This Row],[Comparable '#2 Price]]/$B$2*100</f>
        <v>72.25352112676056</v>
      </c>
    </row>
    <row r="392" spans="1:12">
      <c r="A392" s="96">
        <v>43853</v>
      </c>
      <c r="B392" s="101">
        <v>36.17</v>
      </c>
      <c r="C392" s="4">
        <f t="shared" si="12"/>
        <v>7.2142377260152176E-3</v>
      </c>
      <c r="D392" s="1">
        <f>IFERROR(Comp2[[#This Row],[Comparable '#2 Return]]+1,"-")</f>
        <v>1.0072142377260151</v>
      </c>
      <c r="E392" s="6">
        <f>B392-MAX($B$2:B392)</f>
        <v>-21.989999999999995</v>
      </c>
      <c r="F392" s="80">
        <f t="shared" si="13"/>
        <v>299</v>
      </c>
      <c r="G392" s="77">
        <f>Comp2[[#This Row],[Comparable '#2 Drawdown]]/MAX($B$2:B392)</f>
        <v>-0.37809491059147171</v>
      </c>
      <c r="H392" s="1" t="str">
        <f>IF(SUM(COUNTIF(Benchmark1[Benchmark '#1 Dates],Comp2[[#This Row],[Comparable '#2 Dates]]),COUNTIF(Benchmark2[Benchmark '#2 Dates],Comp2[[#This Row],[Comparable '#2 Dates]]))=2,"Pass","Fail")</f>
        <v>Pass</v>
      </c>
      <c r="I392" s="1">
        <f>IFERROR(Comp2[[#This Row],[Comparable '#2 Return]]-INDEX(Benchmark1[Benchmark '#1 Return],MATCH(Comp2[[#This Row],[Comparable '#2 Dates]],Benchmark1[Benchmark '#1 Dates],0)),"-")</f>
        <v>6.0721373013797961E-3</v>
      </c>
      <c r="L392" s="72">
        <f>Comp2[[#This Row],[Comparable '#2 Price]]/$B$2*100</f>
        <v>72.776659959758547</v>
      </c>
    </row>
    <row r="393" spans="1:12">
      <c r="A393" s="96">
        <v>43854</v>
      </c>
      <c r="B393" s="101">
        <v>35.04</v>
      </c>
      <c r="C393" s="4">
        <f t="shared" si="12"/>
        <v>-3.1739779895815945E-2</v>
      </c>
      <c r="D393" s="1">
        <f>IFERROR(Comp2[[#This Row],[Comparable '#2 Return]]+1,"-")</f>
        <v>0.96826022010418411</v>
      </c>
      <c r="E393" s="6">
        <f>B393-MAX($B$2:B393)</f>
        <v>-23.119999999999997</v>
      </c>
      <c r="F393" s="80">
        <f t="shared" si="13"/>
        <v>300</v>
      </c>
      <c r="G393" s="77">
        <f>Comp2[[#This Row],[Comparable '#2 Drawdown]]/MAX($B$2:B393)</f>
        <v>-0.39752407152682256</v>
      </c>
      <c r="H393" s="1" t="str">
        <f>IF(SUM(COUNTIF(Benchmark1[Benchmark '#1 Dates],Comp2[[#This Row],[Comparable '#2 Dates]]),COUNTIF(Benchmark2[Benchmark '#2 Dates],Comp2[[#This Row],[Comparable '#2 Dates]]))=2,"Pass","Fail")</f>
        <v>Pass</v>
      </c>
      <c r="I393" s="1">
        <f>IFERROR(Comp2[[#This Row],[Comparable '#2 Return]]-INDEX(Benchmark1[Benchmark '#1 Return],MATCH(Comp2[[#This Row],[Comparable '#2 Dates]],Benchmark1[Benchmark '#1 Dates],0)),"-")</f>
        <v>-2.2656719122073989E-2</v>
      </c>
      <c r="L393" s="72">
        <f>Comp2[[#This Row],[Comparable '#2 Price]]/$B$2*100</f>
        <v>70.503018108651901</v>
      </c>
    </row>
    <row r="394" spans="1:12">
      <c r="A394" s="96">
        <v>43857</v>
      </c>
      <c r="B394" s="101">
        <v>35.590000000000003</v>
      </c>
      <c r="C394" s="4">
        <f t="shared" si="12"/>
        <v>1.5574433453910689E-2</v>
      </c>
      <c r="D394" s="1">
        <f>IFERROR(Comp2[[#This Row],[Comparable '#2 Return]]+1,"-")</f>
        <v>1.0155744334539107</v>
      </c>
      <c r="E394" s="6">
        <f>B394-MAX($B$2:B394)</f>
        <v>-22.569999999999993</v>
      </c>
      <c r="F394" s="80">
        <f t="shared" si="13"/>
        <v>301</v>
      </c>
      <c r="G394" s="77">
        <f>Comp2[[#This Row],[Comparable '#2 Drawdown]]/MAX($B$2:B394)</f>
        <v>-0.38806740027510306</v>
      </c>
      <c r="H394" s="1" t="str">
        <f>IF(SUM(COUNTIF(Benchmark1[Benchmark '#1 Dates],Comp2[[#This Row],[Comparable '#2 Dates]]),COUNTIF(Benchmark2[Benchmark '#2 Dates],Comp2[[#This Row],[Comparable '#2 Dates]]))=2,"Pass","Fail")</f>
        <v>Pass</v>
      </c>
      <c r="I394" s="1">
        <f>IFERROR(Comp2[[#This Row],[Comparable '#2 Return]]-INDEX(Benchmark1[Benchmark '#1 Return],MATCH(Comp2[[#This Row],[Comparable '#2 Dates]],Benchmark1[Benchmark '#1 Dates],0)),"-")</f>
        <v>3.1431759007949638E-2</v>
      </c>
      <c r="L394" s="72">
        <f>Comp2[[#This Row],[Comparable '#2 Price]]/$B$2*100</f>
        <v>71.609657947686117</v>
      </c>
    </row>
    <row r="395" spans="1:12">
      <c r="A395" s="96">
        <v>43858</v>
      </c>
      <c r="B395" s="101">
        <v>35.700000000000003</v>
      </c>
      <c r="C395" s="4">
        <f t="shared" si="12"/>
        <v>3.0859892634919608E-3</v>
      </c>
      <c r="D395" s="1">
        <f>IFERROR(Comp2[[#This Row],[Comparable '#2 Return]]+1,"-")</f>
        <v>1.003085989263492</v>
      </c>
      <c r="E395" s="6">
        <f>B395-MAX($B$2:B395)</f>
        <v>-22.459999999999994</v>
      </c>
      <c r="F395" s="80">
        <f t="shared" si="13"/>
        <v>302</v>
      </c>
      <c r="G395" s="77">
        <f>Comp2[[#This Row],[Comparable '#2 Drawdown]]/MAX($B$2:B395)</f>
        <v>-0.38617606602475918</v>
      </c>
      <c r="H395" s="1" t="str">
        <f>IF(SUM(COUNTIF(Benchmark1[Benchmark '#1 Dates],Comp2[[#This Row],[Comparable '#2 Dates]]),COUNTIF(Benchmark2[Benchmark '#2 Dates],Comp2[[#This Row],[Comparable '#2 Dates]]))=2,"Pass","Fail")</f>
        <v>Pass</v>
      </c>
      <c r="I395" s="1">
        <f>IFERROR(Comp2[[#This Row],[Comparable '#2 Return]]-INDEX(Benchmark1[Benchmark '#1 Return],MATCH(Comp2[[#This Row],[Comparable '#2 Dates]],Benchmark1[Benchmark '#1 Dates],0)),"-")</f>
        <v>-6.9189647712515337E-3</v>
      </c>
      <c r="L395" s="72">
        <f>Comp2[[#This Row],[Comparable '#2 Price]]/$B$2*100</f>
        <v>71.83098591549296</v>
      </c>
    </row>
    <row r="396" spans="1:12">
      <c r="A396" s="96">
        <v>43859</v>
      </c>
      <c r="B396" s="101">
        <v>35.35</v>
      </c>
      <c r="C396" s="4">
        <f t="shared" si="12"/>
        <v>-9.8522964430117071E-3</v>
      </c>
      <c r="D396" s="1">
        <f>IFERROR(Comp2[[#This Row],[Comparable '#2 Return]]+1,"-")</f>
        <v>0.99014770355698833</v>
      </c>
      <c r="E396" s="6">
        <f>B396-MAX($B$2:B396)</f>
        <v>-22.809999999999995</v>
      </c>
      <c r="F396" s="80">
        <f t="shared" si="13"/>
        <v>303</v>
      </c>
      <c r="G396" s="77">
        <f>Comp2[[#This Row],[Comparable '#2 Drawdown]]/MAX($B$2:B396)</f>
        <v>-0.39219394773039884</v>
      </c>
      <c r="H396" s="1" t="str">
        <f>IF(SUM(COUNTIF(Benchmark1[Benchmark '#1 Dates],Comp2[[#This Row],[Comparable '#2 Dates]]),COUNTIF(Benchmark2[Benchmark '#2 Dates],Comp2[[#This Row],[Comparable '#2 Dates]]))=2,"Pass","Fail")</f>
        <v>Pass</v>
      </c>
      <c r="I396" s="1">
        <f>IFERROR(Comp2[[#This Row],[Comparable '#2 Return]]-INDEX(Benchmark1[Benchmark '#1 Return],MATCH(Comp2[[#This Row],[Comparable '#2 Dates]],Benchmark1[Benchmark '#1 Dates],0)),"-")</f>
        <v>-8.9848183315310789E-3</v>
      </c>
      <c r="L396" s="72">
        <f>Comp2[[#This Row],[Comparable '#2 Price]]/$B$2*100</f>
        <v>71.126760563380273</v>
      </c>
    </row>
    <row r="397" spans="1:12">
      <c r="A397" s="96">
        <v>43860</v>
      </c>
      <c r="B397" s="101">
        <v>35.450000000000003</v>
      </c>
      <c r="C397" s="4">
        <f t="shared" si="12"/>
        <v>2.8248606355548407E-3</v>
      </c>
      <c r="D397" s="1">
        <f>IFERROR(Comp2[[#This Row],[Comparable '#2 Return]]+1,"-")</f>
        <v>1.0028248606355548</v>
      </c>
      <c r="E397" s="6">
        <f>B397-MAX($B$2:B397)</f>
        <v>-22.709999999999994</v>
      </c>
      <c r="F397" s="80">
        <f t="shared" si="13"/>
        <v>304</v>
      </c>
      <c r="G397" s="77">
        <f>Comp2[[#This Row],[Comparable '#2 Drawdown]]/MAX($B$2:B397)</f>
        <v>-0.39047455295735894</v>
      </c>
      <c r="H397" s="1" t="str">
        <f>IF(SUM(COUNTIF(Benchmark1[Benchmark '#1 Dates],Comp2[[#This Row],[Comparable '#2 Dates]]),COUNTIF(Benchmark2[Benchmark '#2 Dates],Comp2[[#This Row],[Comparable '#2 Dates]]))=2,"Pass","Fail")</f>
        <v>Pass</v>
      </c>
      <c r="I397" s="1">
        <f>IFERROR(Comp2[[#This Row],[Comparable '#2 Return]]-INDEX(Benchmark1[Benchmark '#1 Return],MATCH(Comp2[[#This Row],[Comparable '#2 Dates]],Benchmark1[Benchmark '#1 Dates],0)),"-")</f>
        <v>-3.0350682437052046E-4</v>
      </c>
      <c r="L397" s="72">
        <f>Comp2[[#This Row],[Comparable '#2 Price]]/$B$2*100</f>
        <v>71.327967806841059</v>
      </c>
    </row>
    <row r="398" spans="1:12">
      <c r="A398" s="96">
        <v>43861</v>
      </c>
      <c r="B398" s="101">
        <v>34.51</v>
      </c>
      <c r="C398" s="4">
        <f t="shared" si="12"/>
        <v>-2.687411586822458E-2</v>
      </c>
      <c r="D398" s="1">
        <f>IFERROR(Comp2[[#This Row],[Comparable '#2 Return]]+1,"-")</f>
        <v>0.97312588413177536</v>
      </c>
      <c r="E398" s="6">
        <f>B398-MAX($B$2:B398)</f>
        <v>-23.65</v>
      </c>
      <c r="F398" s="80">
        <f t="shared" si="13"/>
        <v>305</v>
      </c>
      <c r="G398" s="77">
        <f>Comp2[[#This Row],[Comparable '#2 Drawdown]]/MAX($B$2:B398)</f>
        <v>-0.40663686382393399</v>
      </c>
      <c r="H398" s="1" t="str">
        <f>IF(SUM(COUNTIF(Benchmark1[Benchmark '#1 Dates],Comp2[[#This Row],[Comparable '#2 Dates]]),COUNTIF(Benchmark2[Benchmark '#2 Dates],Comp2[[#This Row],[Comparable '#2 Dates]]))=2,"Pass","Fail")</f>
        <v>Pass</v>
      </c>
      <c r="I398" s="1">
        <f>IFERROR(Comp2[[#This Row],[Comparable '#2 Return]]-INDEX(Benchmark1[Benchmark '#1 Return],MATCH(Comp2[[#This Row],[Comparable '#2 Dates]],Benchmark1[Benchmark '#1 Dates],0)),"-")</f>
        <v>-9.008788771570804E-3</v>
      </c>
      <c r="L398" s="72">
        <f>Comp2[[#This Row],[Comparable '#2 Price]]/$B$2*100</f>
        <v>69.436619718309856</v>
      </c>
    </row>
    <row r="399" spans="1:12">
      <c r="A399" s="96">
        <v>43864</v>
      </c>
      <c r="B399" s="101">
        <v>35.07</v>
      </c>
      <c r="C399" s="4">
        <f t="shared" si="12"/>
        <v>1.6096927042174799E-2</v>
      </c>
      <c r="D399" s="1">
        <f>IFERROR(Comp2[[#This Row],[Comparable '#2 Return]]+1,"-")</f>
        <v>1.0160969270421747</v>
      </c>
      <c r="E399" s="6">
        <f>B399-MAX($B$2:B399)</f>
        <v>-23.089999999999996</v>
      </c>
      <c r="F399" s="80">
        <f t="shared" si="13"/>
        <v>306</v>
      </c>
      <c r="G399" s="77">
        <f>Comp2[[#This Row],[Comparable '#2 Drawdown]]/MAX($B$2:B399)</f>
        <v>-0.39700825309491056</v>
      </c>
      <c r="H399" s="1" t="str">
        <f>IF(SUM(COUNTIF(Benchmark1[Benchmark '#1 Dates],Comp2[[#This Row],[Comparable '#2 Dates]]),COUNTIF(Benchmark2[Benchmark '#2 Dates],Comp2[[#This Row],[Comparable '#2 Dates]]))=2,"Pass","Fail")</f>
        <v>Pass</v>
      </c>
      <c r="I399" s="1">
        <f>IFERROR(Comp2[[#This Row],[Comparable '#2 Return]]-INDEX(Benchmark1[Benchmark '#1 Return],MATCH(Comp2[[#This Row],[Comparable '#2 Dates]],Benchmark1[Benchmark '#1 Dates],0)),"-")</f>
        <v>8.865791021581174E-3</v>
      </c>
      <c r="L399" s="72">
        <f>Comp2[[#This Row],[Comparable '#2 Price]]/$B$2*100</f>
        <v>70.563380281690129</v>
      </c>
    </row>
    <row r="400" spans="1:12">
      <c r="A400" s="96">
        <v>43865</v>
      </c>
      <c r="B400" s="101">
        <v>35.049999999999997</v>
      </c>
      <c r="C400" s="4">
        <f t="shared" si="12"/>
        <v>-5.7045067148773305E-4</v>
      </c>
      <c r="D400" s="1">
        <f>IFERROR(Comp2[[#This Row],[Comparable '#2 Return]]+1,"-")</f>
        <v>0.99942954932851225</v>
      </c>
      <c r="E400" s="6">
        <f>B400-MAX($B$2:B400)</f>
        <v>-23.11</v>
      </c>
      <c r="F400" s="80">
        <f t="shared" si="13"/>
        <v>307</v>
      </c>
      <c r="G400" s="77">
        <f>Comp2[[#This Row],[Comparable '#2 Drawdown]]/MAX($B$2:B400)</f>
        <v>-0.39735213204951858</v>
      </c>
      <c r="H400" s="1" t="str">
        <f>IF(SUM(COUNTIF(Benchmark1[Benchmark '#1 Dates],Comp2[[#This Row],[Comparable '#2 Dates]]),COUNTIF(Benchmark2[Benchmark '#2 Dates],Comp2[[#This Row],[Comparable '#2 Dates]]))=2,"Pass","Fail")</f>
        <v>Pass</v>
      </c>
      <c r="I400" s="1">
        <f>IFERROR(Comp2[[#This Row],[Comparable '#2 Return]]-INDEX(Benchmark1[Benchmark '#1 Return],MATCH(Comp2[[#This Row],[Comparable '#2 Dates]],Benchmark1[Benchmark '#1 Dates],0)),"-")</f>
        <v>-1.5437636816584933E-2</v>
      </c>
      <c r="L400" s="72">
        <f>Comp2[[#This Row],[Comparable '#2 Price]]/$B$2*100</f>
        <v>70.523138832997972</v>
      </c>
    </row>
    <row r="401" spans="1:12">
      <c r="A401" s="96">
        <v>43866</v>
      </c>
      <c r="B401" s="101">
        <v>36.159999999999997</v>
      </c>
      <c r="C401" s="4">
        <f t="shared" si="12"/>
        <v>3.1177922043376556E-2</v>
      </c>
      <c r="D401" s="1">
        <f>IFERROR(Comp2[[#This Row],[Comparable '#2 Return]]+1,"-")</f>
        <v>1.0311779220433765</v>
      </c>
      <c r="E401" s="6">
        <f>B401-MAX($B$2:B401)</f>
        <v>-22</v>
      </c>
      <c r="F401" s="80">
        <f t="shared" si="13"/>
        <v>308</v>
      </c>
      <c r="G401" s="77">
        <f>Comp2[[#This Row],[Comparable '#2 Drawdown]]/MAX($B$2:B401)</f>
        <v>-0.37826685006877581</v>
      </c>
      <c r="H401" s="1" t="str">
        <f>IF(SUM(COUNTIF(Benchmark1[Benchmark '#1 Dates],Comp2[[#This Row],[Comparable '#2 Dates]]),COUNTIF(Benchmark2[Benchmark '#2 Dates],Comp2[[#This Row],[Comparable '#2 Dates]]))=2,"Pass","Fail")</f>
        <v>Pass</v>
      </c>
      <c r="I401" s="1">
        <f>IFERROR(Comp2[[#This Row],[Comparable '#2 Return]]-INDEX(Benchmark1[Benchmark '#1 Return],MATCH(Comp2[[#This Row],[Comparable '#2 Dates]],Benchmark1[Benchmark '#1 Dates],0)),"-")</f>
        <v>1.9988272673477227E-2</v>
      </c>
      <c r="L401" s="72">
        <f>Comp2[[#This Row],[Comparable '#2 Price]]/$B$2*100</f>
        <v>72.756539235412461</v>
      </c>
    </row>
    <row r="402" spans="1:12">
      <c r="A402" s="96">
        <v>43867</v>
      </c>
      <c r="B402" s="101">
        <v>35.729999999999997</v>
      </c>
      <c r="C402" s="4">
        <f t="shared" si="12"/>
        <v>-1.196286348865736E-2</v>
      </c>
      <c r="D402" s="1">
        <f>IFERROR(Comp2[[#This Row],[Comparable '#2 Return]]+1,"-")</f>
        <v>0.98803713651134262</v>
      </c>
      <c r="E402" s="6">
        <f>B402-MAX($B$2:B402)</f>
        <v>-22.43</v>
      </c>
      <c r="F402" s="80">
        <f t="shared" si="13"/>
        <v>309</v>
      </c>
      <c r="G402" s="77">
        <f>Comp2[[#This Row],[Comparable '#2 Drawdown]]/MAX($B$2:B402)</f>
        <v>-0.38566024759284734</v>
      </c>
      <c r="H402" s="1" t="str">
        <f>IF(SUM(COUNTIF(Benchmark1[Benchmark '#1 Dates],Comp2[[#This Row],[Comparable '#2 Dates]]),COUNTIF(Benchmark2[Benchmark '#2 Dates],Comp2[[#This Row],[Comparable '#2 Dates]]))=2,"Pass","Fail")</f>
        <v>Pass</v>
      </c>
      <c r="I402" s="1">
        <f>IFERROR(Comp2[[#This Row],[Comparable '#2 Return]]-INDEX(Benchmark1[Benchmark '#1 Return],MATCH(Comp2[[#This Row],[Comparable '#2 Dates]],Benchmark1[Benchmark '#1 Dates],0)),"-")</f>
        <v>-1.5281964393950848E-2</v>
      </c>
      <c r="L402" s="72">
        <f>Comp2[[#This Row],[Comparable '#2 Price]]/$B$2*100</f>
        <v>71.891348088531188</v>
      </c>
    </row>
    <row r="403" spans="1:12">
      <c r="A403" s="96">
        <v>43868</v>
      </c>
      <c r="B403" s="101">
        <v>34.020000000000003</v>
      </c>
      <c r="C403" s="4">
        <f t="shared" si="12"/>
        <v>-4.9042085067602548E-2</v>
      </c>
      <c r="D403" s="1">
        <f>IFERROR(Comp2[[#This Row],[Comparable '#2 Return]]+1,"-")</f>
        <v>0.95095791493239745</v>
      </c>
      <c r="E403" s="6">
        <f>B403-MAX($B$2:B403)</f>
        <v>-24.139999999999993</v>
      </c>
      <c r="F403" s="80">
        <f t="shared" si="13"/>
        <v>310</v>
      </c>
      <c r="G403" s="77">
        <f>Comp2[[#This Row],[Comparable '#2 Drawdown]]/MAX($B$2:B403)</f>
        <v>-0.41506189821182937</v>
      </c>
      <c r="H403" s="1" t="str">
        <f>IF(SUM(COUNTIF(Benchmark1[Benchmark '#1 Dates],Comp2[[#This Row],[Comparable '#2 Dates]]),COUNTIF(Benchmark2[Benchmark '#2 Dates],Comp2[[#This Row],[Comparable '#2 Dates]]))=2,"Pass","Fail")</f>
        <v>Pass</v>
      </c>
      <c r="I403" s="1">
        <f>IFERROR(Comp2[[#This Row],[Comparable '#2 Return]]-INDEX(Benchmark1[Benchmark '#1 Return],MATCH(Comp2[[#This Row],[Comparable '#2 Dates]],Benchmark1[Benchmark '#1 Dates],0)),"-")</f>
        <v>-4.3625415577772449E-2</v>
      </c>
      <c r="L403" s="72">
        <f>Comp2[[#This Row],[Comparable '#2 Price]]/$B$2*100</f>
        <v>68.450704225352112</v>
      </c>
    </row>
    <row r="404" spans="1:12">
      <c r="A404" s="96">
        <v>43871</v>
      </c>
      <c r="B404" s="101">
        <v>32.56</v>
      </c>
      <c r="C404" s="4">
        <f t="shared" si="12"/>
        <v>-4.3864045833376136E-2</v>
      </c>
      <c r="D404" s="1">
        <f>IFERROR(Comp2[[#This Row],[Comparable '#2 Return]]+1,"-")</f>
        <v>0.95613595416662389</v>
      </c>
      <c r="E404" s="6">
        <f>B404-MAX($B$2:B404)</f>
        <v>-25.599999999999994</v>
      </c>
      <c r="F404" s="80">
        <f t="shared" si="13"/>
        <v>311</v>
      </c>
      <c r="G404" s="77">
        <f>Comp2[[#This Row],[Comparable '#2 Drawdown]]/MAX($B$2:B404)</f>
        <v>-0.44016506189821175</v>
      </c>
      <c r="H404" s="1" t="str">
        <f>IF(SUM(COUNTIF(Benchmark1[Benchmark '#1 Dates],Comp2[[#This Row],[Comparable '#2 Dates]]),COUNTIF(Benchmark2[Benchmark '#2 Dates],Comp2[[#This Row],[Comparable '#2 Dates]]))=2,"Pass","Fail")</f>
        <v>Pass</v>
      </c>
      <c r="I404" s="1">
        <f>IFERROR(Comp2[[#This Row],[Comparable '#2 Return]]-INDEX(Benchmark1[Benchmark '#1 Return],MATCH(Comp2[[#This Row],[Comparable '#2 Dates]],Benchmark1[Benchmark '#1 Dates],0)),"-")</f>
        <v>-5.1165817871138546E-2</v>
      </c>
      <c r="L404" s="72">
        <f>Comp2[[#This Row],[Comparable '#2 Price]]/$B$2*100</f>
        <v>65.513078470824951</v>
      </c>
    </row>
    <row r="405" spans="1:12">
      <c r="A405" s="96">
        <v>43872</v>
      </c>
      <c r="B405" s="101">
        <v>33.15</v>
      </c>
      <c r="C405" s="4">
        <f t="shared" si="12"/>
        <v>1.7958175497531887E-2</v>
      </c>
      <c r="D405" s="1">
        <f>IFERROR(Comp2[[#This Row],[Comparable '#2 Return]]+1,"-")</f>
        <v>1.017958175497532</v>
      </c>
      <c r="E405" s="6">
        <f>B405-MAX($B$2:B405)</f>
        <v>-25.009999999999998</v>
      </c>
      <c r="F405" s="80">
        <f t="shared" si="13"/>
        <v>312</v>
      </c>
      <c r="G405" s="77">
        <f>Comp2[[#This Row],[Comparable '#2 Drawdown]]/MAX($B$2:B405)</f>
        <v>-0.43002063273727648</v>
      </c>
      <c r="H405" s="1" t="str">
        <f>IF(SUM(COUNTIF(Benchmark1[Benchmark '#1 Dates],Comp2[[#This Row],[Comparable '#2 Dates]]),COUNTIF(Benchmark2[Benchmark '#2 Dates],Comp2[[#This Row],[Comparable '#2 Dates]]))=2,"Pass","Fail")</f>
        <v>Pass</v>
      </c>
      <c r="I405" s="1">
        <f>IFERROR(Comp2[[#This Row],[Comparable '#2 Return]]-INDEX(Benchmark1[Benchmark '#1 Return],MATCH(Comp2[[#This Row],[Comparable '#2 Dates]],Benchmark1[Benchmark '#1 Dates],0)),"-")</f>
        <v>1.6273095104911713E-2</v>
      </c>
      <c r="L405" s="72">
        <f>Comp2[[#This Row],[Comparable '#2 Price]]/$B$2*100</f>
        <v>66.700201207243452</v>
      </c>
    </row>
    <row r="406" spans="1:12">
      <c r="A406" s="96">
        <v>43873</v>
      </c>
      <c r="B406" s="101">
        <v>34.22</v>
      </c>
      <c r="C406" s="4">
        <f t="shared" si="12"/>
        <v>3.1767551832176007E-2</v>
      </c>
      <c r="D406" s="1">
        <f>IFERROR(Comp2[[#This Row],[Comparable '#2 Return]]+1,"-")</f>
        <v>1.0317675518321761</v>
      </c>
      <c r="E406" s="6">
        <f>B406-MAX($B$2:B406)</f>
        <v>-23.939999999999998</v>
      </c>
      <c r="F406" s="80">
        <f t="shared" si="13"/>
        <v>313</v>
      </c>
      <c r="G406" s="77">
        <f>Comp2[[#This Row],[Comparable '#2 Drawdown]]/MAX($B$2:B406)</f>
        <v>-0.41162310866574964</v>
      </c>
      <c r="H406" s="1" t="str">
        <f>IF(SUM(COUNTIF(Benchmark1[Benchmark '#1 Dates],Comp2[[#This Row],[Comparable '#2 Dates]]),COUNTIF(Benchmark2[Benchmark '#2 Dates],Comp2[[#This Row],[Comparable '#2 Dates]]))=2,"Pass","Fail")</f>
        <v>Pass</v>
      </c>
      <c r="I406" s="1">
        <f>IFERROR(Comp2[[#This Row],[Comparable '#2 Return]]-INDEX(Benchmark1[Benchmark '#1 Return],MATCH(Comp2[[#This Row],[Comparable '#2 Dates]],Benchmark1[Benchmark '#1 Dates],0)),"-")</f>
        <v>2.532422032982095E-2</v>
      </c>
      <c r="L406" s="72">
        <f>Comp2[[#This Row],[Comparable '#2 Price]]/$B$2*100</f>
        <v>68.853118712273627</v>
      </c>
    </row>
    <row r="407" spans="1:12">
      <c r="A407" s="96">
        <v>43874</v>
      </c>
      <c r="B407" s="101">
        <v>34.619999999999997</v>
      </c>
      <c r="C407" s="4">
        <f t="shared" si="12"/>
        <v>1.1621281284015631E-2</v>
      </c>
      <c r="D407" s="1">
        <f>IFERROR(Comp2[[#This Row],[Comparable '#2 Return]]+1,"-")</f>
        <v>1.0116212812840157</v>
      </c>
      <c r="E407" s="6">
        <f>B407-MAX($B$2:B407)</f>
        <v>-23.54</v>
      </c>
      <c r="F407" s="80">
        <f t="shared" si="13"/>
        <v>314</v>
      </c>
      <c r="G407" s="77">
        <f>Comp2[[#This Row],[Comparable '#2 Drawdown]]/MAX($B$2:B407)</f>
        <v>-0.40474552957359011</v>
      </c>
      <c r="H407" s="1" t="str">
        <f>IF(SUM(COUNTIF(Benchmark1[Benchmark '#1 Dates],Comp2[[#This Row],[Comparable '#2 Dates]]),COUNTIF(Benchmark2[Benchmark '#2 Dates],Comp2[[#This Row],[Comparable '#2 Dates]]))=2,"Pass","Fail")</f>
        <v>Pass</v>
      </c>
      <c r="I407" s="1">
        <f>IFERROR(Comp2[[#This Row],[Comparable '#2 Return]]-INDEX(Benchmark1[Benchmark '#1 Return],MATCH(Comp2[[#This Row],[Comparable '#2 Dates]],Benchmark1[Benchmark '#1 Dates],0)),"-")</f>
        <v>1.3254482043563571E-2</v>
      </c>
      <c r="L407" s="72">
        <f>Comp2[[#This Row],[Comparable '#2 Price]]/$B$2*100</f>
        <v>69.6579476861167</v>
      </c>
    </row>
    <row r="408" spans="1:12">
      <c r="A408" s="96">
        <v>43875</v>
      </c>
      <c r="B408" s="101">
        <v>35.31</v>
      </c>
      <c r="C408" s="4">
        <f t="shared" si="12"/>
        <v>1.9734660192231898E-2</v>
      </c>
      <c r="D408" s="1">
        <f>IFERROR(Comp2[[#This Row],[Comparable '#2 Return]]+1,"-")</f>
        <v>1.0197346601922319</v>
      </c>
      <c r="E408" s="6">
        <f>B408-MAX($B$2:B408)</f>
        <v>-22.849999999999994</v>
      </c>
      <c r="F408" s="80">
        <f t="shared" si="13"/>
        <v>315</v>
      </c>
      <c r="G408" s="77">
        <f>Comp2[[#This Row],[Comparable '#2 Drawdown]]/MAX($B$2:B408)</f>
        <v>-0.39288170563961478</v>
      </c>
      <c r="H408" s="1" t="str">
        <f>IF(SUM(COUNTIF(Benchmark1[Benchmark '#1 Dates],Comp2[[#This Row],[Comparable '#2 Dates]]),COUNTIF(Benchmark2[Benchmark '#2 Dates],Comp2[[#This Row],[Comparable '#2 Dates]]))=2,"Pass","Fail")</f>
        <v>Pass</v>
      </c>
      <c r="I408" s="1">
        <f>IFERROR(Comp2[[#This Row],[Comparable '#2 Return]]-INDEX(Benchmark1[Benchmark '#1 Return],MATCH(Comp2[[#This Row],[Comparable '#2 Dates]],Benchmark1[Benchmark '#1 Dates],0)),"-")</f>
        <v>1.7892812658944303E-2</v>
      </c>
      <c r="L408" s="72">
        <f>Comp2[[#This Row],[Comparable '#2 Price]]/$B$2*100</f>
        <v>71.046277665995973</v>
      </c>
    </row>
    <row r="409" spans="1:12">
      <c r="A409" s="96">
        <v>43879</v>
      </c>
      <c r="B409" s="101">
        <v>34.35</v>
      </c>
      <c r="C409" s="4">
        <f t="shared" si="12"/>
        <v>-2.7564191271936666E-2</v>
      </c>
      <c r="D409" s="1">
        <f>IFERROR(Comp2[[#This Row],[Comparable '#2 Return]]+1,"-")</f>
        <v>0.97243580872806334</v>
      </c>
      <c r="E409" s="6">
        <f>B409-MAX($B$2:B409)</f>
        <v>-23.809999999999995</v>
      </c>
      <c r="F409" s="80">
        <f t="shared" si="13"/>
        <v>316</v>
      </c>
      <c r="G409" s="77">
        <f>Comp2[[#This Row],[Comparable '#2 Drawdown]]/MAX($B$2:B409)</f>
        <v>-0.40938789546079773</v>
      </c>
      <c r="H409" s="1" t="str">
        <f>IF(SUM(COUNTIF(Benchmark1[Benchmark '#1 Dates],Comp2[[#This Row],[Comparable '#2 Dates]]),COUNTIF(Benchmark2[Benchmark '#2 Dates],Comp2[[#This Row],[Comparable '#2 Dates]]))=2,"Pass","Fail")</f>
        <v>Pass</v>
      </c>
      <c r="I409" s="1">
        <f>IFERROR(Comp2[[#This Row],[Comparable '#2 Return]]-INDEX(Benchmark1[Benchmark '#1 Return],MATCH(Comp2[[#This Row],[Comparable '#2 Dates]],Benchmark1[Benchmark '#1 Dates],0)),"-")</f>
        <v>-2.4639672142438993E-2</v>
      </c>
      <c r="L409" s="72">
        <f>Comp2[[#This Row],[Comparable '#2 Price]]/$B$2*100</f>
        <v>69.114688128772642</v>
      </c>
    </row>
    <row r="410" spans="1:12">
      <c r="A410" s="96">
        <v>43880</v>
      </c>
      <c r="B410" s="101">
        <v>34.35</v>
      </c>
      <c r="C410" s="4">
        <f t="shared" si="12"/>
        <v>0</v>
      </c>
      <c r="D410" s="1">
        <f>IFERROR(Comp2[[#This Row],[Comparable '#2 Return]]+1,"-")</f>
        <v>1</v>
      </c>
      <c r="E410" s="6">
        <f>B410-MAX($B$2:B410)</f>
        <v>-23.809999999999995</v>
      </c>
      <c r="F410" s="80">
        <f t="shared" si="13"/>
        <v>317</v>
      </c>
      <c r="G410" s="77">
        <f>Comp2[[#This Row],[Comparable '#2 Drawdown]]/MAX($B$2:B410)</f>
        <v>-0.40938789546079773</v>
      </c>
      <c r="H410" s="1" t="str">
        <f>IF(SUM(COUNTIF(Benchmark1[Benchmark '#1 Dates],Comp2[[#This Row],[Comparable '#2 Dates]]),COUNTIF(Benchmark2[Benchmark '#2 Dates],Comp2[[#This Row],[Comparable '#2 Dates]]))=2,"Pass","Fail")</f>
        <v>Pass</v>
      </c>
      <c r="I410" s="1">
        <f>IFERROR(Comp2[[#This Row],[Comparable '#2 Return]]-INDEX(Benchmark1[Benchmark '#1 Return],MATCH(Comp2[[#This Row],[Comparable '#2 Dates]],Benchmark1[Benchmark '#1 Dates],0)),"-")</f>
        <v>-4.6966354841693845E-3</v>
      </c>
      <c r="L410" s="72">
        <f>Comp2[[#This Row],[Comparable '#2 Price]]/$B$2*100</f>
        <v>69.114688128772642</v>
      </c>
    </row>
    <row r="411" spans="1:12">
      <c r="A411" s="96">
        <v>43881</v>
      </c>
      <c r="B411" s="101">
        <v>34.65</v>
      </c>
      <c r="C411" s="4">
        <f t="shared" si="12"/>
        <v>8.695706967553913E-3</v>
      </c>
      <c r="D411" s="1">
        <f>IFERROR(Comp2[[#This Row],[Comparable '#2 Return]]+1,"-")</f>
        <v>1.008695706967554</v>
      </c>
      <c r="E411" s="6">
        <f>B411-MAX($B$2:B411)</f>
        <v>-23.509999999999998</v>
      </c>
      <c r="F411" s="80">
        <f t="shared" si="13"/>
        <v>318</v>
      </c>
      <c r="G411" s="77">
        <f>Comp2[[#This Row],[Comparable '#2 Drawdown]]/MAX($B$2:B411)</f>
        <v>-0.40422971114167811</v>
      </c>
      <c r="H411" s="1" t="str">
        <f>IF(SUM(COUNTIF(Benchmark1[Benchmark '#1 Dates],Comp2[[#This Row],[Comparable '#2 Dates]]),COUNTIF(Benchmark2[Benchmark '#2 Dates],Comp2[[#This Row],[Comparable '#2 Dates]]))=2,"Pass","Fail")</f>
        <v>Pass</v>
      </c>
      <c r="I411" s="1">
        <f>IFERROR(Comp2[[#This Row],[Comparable '#2 Return]]-INDEX(Benchmark1[Benchmark '#1 Return],MATCH(Comp2[[#This Row],[Comparable '#2 Dates]],Benchmark1[Benchmark '#1 Dates],0)),"-")</f>
        <v>1.2518903753228002E-2</v>
      </c>
      <c r="L411" s="72">
        <f>Comp2[[#This Row],[Comparable '#2 Price]]/$B$2*100</f>
        <v>69.718309859154928</v>
      </c>
    </row>
    <row r="412" spans="1:12">
      <c r="A412" s="96">
        <v>43882</v>
      </c>
      <c r="B412" s="101">
        <v>34.5</v>
      </c>
      <c r="C412" s="4">
        <f t="shared" si="12"/>
        <v>-4.3384015985981298E-3</v>
      </c>
      <c r="D412" s="1">
        <f>IFERROR(Comp2[[#This Row],[Comparable '#2 Return]]+1,"-")</f>
        <v>0.99566159840140189</v>
      </c>
      <c r="E412" s="6">
        <f>B412-MAX($B$2:B412)</f>
        <v>-23.659999999999997</v>
      </c>
      <c r="F412" s="80">
        <f t="shared" si="13"/>
        <v>319</v>
      </c>
      <c r="G412" s="77">
        <f>Comp2[[#This Row],[Comparable '#2 Drawdown]]/MAX($B$2:B412)</f>
        <v>-0.40680880330123792</v>
      </c>
      <c r="H412" s="1" t="str">
        <f>IF(SUM(COUNTIF(Benchmark1[Benchmark '#1 Dates],Comp2[[#This Row],[Comparable '#2 Dates]]),COUNTIF(Benchmark2[Benchmark '#2 Dates],Comp2[[#This Row],[Comparable '#2 Dates]]))=2,"Pass","Fail")</f>
        <v>Pass</v>
      </c>
      <c r="I412" s="1">
        <f>IFERROR(Comp2[[#This Row],[Comparable '#2 Return]]-INDEX(Benchmark1[Benchmark '#1 Return],MATCH(Comp2[[#This Row],[Comparable '#2 Dates]],Benchmark1[Benchmark '#1 Dates],0)),"-")</f>
        <v>6.2367533549944672E-3</v>
      </c>
      <c r="L412" s="72">
        <f>Comp2[[#This Row],[Comparable '#2 Price]]/$B$2*100</f>
        <v>69.416498993963785</v>
      </c>
    </row>
    <row r="413" spans="1:12">
      <c r="A413" s="96">
        <v>43885</v>
      </c>
      <c r="B413" s="101">
        <v>33.43</v>
      </c>
      <c r="C413" s="4">
        <f t="shared" si="12"/>
        <v>-3.1505623605306871E-2</v>
      </c>
      <c r="D413" s="1">
        <f>IFERROR(Comp2[[#This Row],[Comparable '#2 Return]]+1,"-")</f>
        <v>0.96849437639469316</v>
      </c>
      <c r="E413" s="6">
        <f>B413-MAX($B$2:B413)</f>
        <v>-24.729999999999997</v>
      </c>
      <c r="F413" s="80">
        <f t="shared" si="13"/>
        <v>320</v>
      </c>
      <c r="G413" s="77">
        <f>Comp2[[#This Row],[Comparable '#2 Drawdown]]/MAX($B$2:B413)</f>
        <v>-0.42520632737276476</v>
      </c>
      <c r="H413" s="1" t="str">
        <f>IF(SUM(COUNTIF(Benchmark1[Benchmark '#1 Dates],Comp2[[#This Row],[Comparable '#2 Dates]]),COUNTIF(Benchmark2[Benchmark '#2 Dates],Comp2[[#This Row],[Comparable '#2 Dates]]))=2,"Pass","Fail")</f>
        <v>Pass</v>
      </c>
      <c r="I413" s="1">
        <f>IFERROR(Comp2[[#This Row],[Comparable '#2 Return]]-INDEX(Benchmark1[Benchmark '#1 Return],MATCH(Comp2[[#This Row],[Comparable '#2 Dates]],Benchmark1[Benchmark '#1 Dates],0)),"-")</f>
        <v>2.5826443400965848E-3</v>
      </c>
      <c r="L413" s="72">
        <f>Comp2[[#This Row],[Comparable '#2 Price]]/$B$2*100</f>
        <v>67.263581488933596</v>
      </c>
    </row>
    <row r="414" spans="1:12">
      <c r="A414" s="96">
        <v>43886</v>
      </c>
      <c r="B414" s="101">
        <v>33.32</v>
      </c>
      <c r="C414" s="4">
        <f t="shared" si="12"/>
        <v>-3.2958831333653204E-3</v>
      </c>
      <c r="D414" s="1">
        <f>IFERROR(Comp2[[#This Row],[Comparable '#2 Return]]+1,"-")</f>
        <v>0.99670411686663463</v>
      </c>
      <c r="E414" s="6">
        <f>B414-MAX($B$2:B414)</f>
        <v>-24.839999999999996</v>
      </c>
      <c r="F414" s="80">
        <f t="shared" si="13"/>
        <v>321</v>
      </c>
      <c r="G414" s="77">
        <f>Comp2[[#This Row],[Comparable '#2 Drawdown]]/MAX($B$2:B414)</f>
        <v>-0.42709766162310864</v>
      </c>
      <c r="H414" s="1" t="str">
        <f>IF(SUM(COUNTIF(Benchmark1[Benchmark '#1 Dates],Comp2[[#This Row],[Comparable '#2 Dates]]),COUNTIF(Benchmark2[Benchmark '#2 Dates],Comp2[[#This Row],[Comparable '#2 Dates]]))=2,"Pass","Fail")</f>
        <v>Pass</v>
      </c>
      <c r="I414" s="1">
        <f>IFERROR(Comp2[[#This Row],[Comparable '#2 Return]]-INDEX(Benchmark1[Benchmark '#1 Return],MATCH(Comp2[[#This Row],[Comparable '#2 Dates]],Benchmark1[Benchmark '#1 Dates],0)),"-")</f>
        <v>2.7452019700200544E-2</v>
      </c>
      <c r="L414" s="72">
        <f>Comp2[[#This Row],[Comparable '#2 Price]]/$B$2*100</f>
        <v>67.042253521126753</v>
      </c>
    </row>
    <row r="415" spans="1:12">
      <c r="A415" s="96">
        <v>43887</v>
      </c>
      <c r="B415" s="101">
        <v>31.96</v>
      </c>
      <c r="C415" s="4">
        <f t="shared" si="12"/>
        <v>-4.1672696400567956E-2</v>
      </c>
      <c r="D415" s="1">
        <f>IFERROR(Comp2[[#This Row],[Comparable '#2 Return]]+1,"-")</f>
        <v>0.95832730359943208</v>
      </c>
      <c r="E415" s="6">
        <f>B415-MAX($B$2:B415)</f>
        <v>-26.199999999999996</v>
      </c>
      <c r="F415" s="80">
        <f t="shared" si="13"/>
        <v>322</v>
      </c>
      <c r="G415" s="77">
        <f>Comp2[[#This Row],[Comparable '#2 Drawdown]]/MAX($B$2:B415)</f>
        <v>-0.45048143053645112</v>
      </c>
      <c r="H415" s="1" t="str">
        <f>IF(SUM(COUNTIF(Benchmark1[Benchmark '#1 Dates],Comp2[[#This Row],[Comparable '#2 Dates]]),COUNTIF(Benchmark2[Benchmark '#2 Dates],Comp2[[#This Row],[Comparable '#2 Dates]]))=2,"Pass","Fail")</f>
        <v>Pass</v>
      </c>
      <c r="I415" s="1">
        <f>IFERROR(Comp2[[#This Row],[Comparable '#2 Return]]-INDEX(Benchmark1[Benchmark '#1 Return],MATCH(Comp2[[#This Row],[Comparable '#2 Dates]],Benchmark1[Benchmark '#1 Dates],0)),"-")</f>
        <v>-3.7888065628123448E-2</v>
      </c>
      <c r="L415" s="72">
        <f>Comp2[[#This Row],[Comparable '#2 Price]]/$B$2*100</f>
        <v>64.305835010060363</v>
      </c>
    </row>
    <row r="416" spans="1:12">
      <c r="A416" s="96">
        <v>43888</v>
      </c>
      <c r="B416" s="101">
        <v>30.43</v>
      </c>
      <c r="C416" s="4">
        <f t="shared" si="12"/>
        <v>-4.9056156989194195E-2</v>
      </c>
      <c r="D416" s="1">
        <f>IFERROR(Comp2[[#This Row],[Comparable '#2 Return]]+1,"-")</f>
        <v>0.95094384301080581</v>
      </c>
      <c r="E416" s="6">
        <f>B416-MAX($B$2:B416)</f>
        <v>-27.729999999999997</v>
      </c>
      <c r="F416" s="80">
        <f t="shared" si="13"/>
        <v>323</v>
      </c>
      <c r="G416" s="77">
        <f>Comp2[[#This Row],[Comparable '#2 Drawdown]]/MAX($B$2:B416)</f>
        <v>-0.47678817056396144</v>
      </c>
      <c r="H416" s="1" t="str">
        <f>IF(SUM(COUNTIF(Benchmark1[Benchmark '#1 Dates],Comp2[[#This Row],[Comparable '#2 Dates]]),COUNTIF(Benchmark2[Benchmark '#2 Dates],Comp2[[#This Row],[Comparable '#2 Dates]]))=2,"Pass","Fail")</f>
        <v>Pass</v>
      </c>
      <c r="I416" s="1">
        <f>IFERROR(Comp2[[#This Row],[Comparable '#2 Return]]-INDEX(Benchmark1[Benchmark '#1 Return],MATCH(Comp2[[#This Row],[Comparable '#2 Dates]],Benchmark1[Benchmark '#1 Dates],0)),"-")</f>
        <v>-3.8873033094309478E-3</v>
      </c>
      <c r="L416" s="72">
        <f>Comp2[[#This Row],[Comparable '#2 Price]]/$B$2*100</f>
        <v>61.227364185110659</v>
      </c>
    </row>
    <row r="417" spans="1:12">
      <c r="A417" s="96">
        <v>43889</v>
      </c>
      <c r="B417" s="101">
        <v>30.87</v>
      </c>
      <c r="C417" s="4">
        <f t="shared" si="12"/>
        <v>1.4355874605188156E-2</v>
      </c>
      <c r="D417" s="1">
        <f>IFERROR(Comp2[[#This Row],[Comparable '#2 Return]]+1,"-")</f>
        <v>1.0143558746051882</v>
      </c>
      <c r="E417" s="6">
        <f>B417-MAX($B$2:B417)</f>
        <v>-27.289999999999996</v>
      </c>
      <c r="F417" s="80">
        <f t="shared" si="13"/>
        <v>324</v>
      </c>
      <c r="G417" s="77">
        <f>Comp2[[#This Row],[Comparable '#2 Drawdown]]/MAX($B$2:B417)</f>
        <v>-0.46922283356258593</v>
      </c>
      <c r="H417" s="1" t="str">
        <f>IF(SUM(COUNTIF(Benchmark1[Benchmark '#1 Dates],Comp2[[#This Row],[Comparable '#2 Dates]]),COUNTIF(Benchmark2[Benchmark '#2 Dates],Comp2[[#This Row],[Comparable '#2 Dates]]))=2,"Pass","Fail")</f>
        <v>Pass</v>
      </c>
      <c r="I417" s="1">
        <f>IFERROR(Comp2[[#This Row],[Comparable '#2 Return]]-INDEX(Benchmark1[Benchmark '#1 Return],MATCH(Comp2[[#This Row],[Comparable '#2 Dates]],Benchmark1[Benchmark '#1 Dates],0)),"-")</f>
        <v>2.262634943128251E-2</v>
      </c>
      <c r="L417" s="72">
        <f>Comp2[[#This Row],[Comparable '#2 Price]]/$B$2*100</f>
        <v>62.112676056338024</v>
      </c>
    </row>
    <row r="418" spans="1:12">
      <c r="A418" s="96">
        <v>43892</v>
      </c>
      <c r="B418" s="101">
        <v>30.91</v>
      </c>
      <c r="C418" s="4">
        <f t="shared" si="12"/>
        <v>1.294917629956907E-3</v>
      </c>
      <c r="D418" s="1">
        <f>IFERROR(Comp2[[#This Row],[Comparable '#2 Return]]+1,"-")</f>
        <v>1.0012949176299568</v>
      </c>
      <c r="E418" s="6">
        <f>B418-MAX($B$2:B418)</f>
        <v>-27.249999999999996</v>
      </c>
      <c r="F418" s="80">
        <f t="shared" si="13"/>
        <v>325</v>
      </c>
      <c r="G418" s="77">
        <f>Comp2[[#This Row],[Comparable '#2 Drawdown]]/MAX($B$2:B418)</f>
        <v>-0.46853507565336999</v>
      </c>
      <c r="H418" s="1" t="str">
        <f>IF(SUM(COUNTIF(Benchmark1[Benchmark '#1 Dates],Comp2[[#This Row],[Comparable '#2 Dates]]),COUNTIF(Benchmark2[Benchmark '#2 Dates],Comp2[[#This Row],[Comparable '#2 Dates]]))=2,"Pass","Fail")</f>
        <v>Pass</v>
      </c>
      <c r="I418" s="1">
        <f>IFERROR(Comp2[[#This Row],[Comparable '#2 Return]]-INDEX(Benchmark1[Benchmark '#1 Return],MATCH(Comp2[[#This Row],[Comparable '#2 Dates]],Benchmark1[Benchmark '#1 Dates],0)),"-")</f>
        <v>-4.3715619561334747E-2</v>
      </c>
      <c r="L418" s="72">
        <f>Comp2[[#This Row],[Comparable '#2 Price]]/$B$2*100</f>
        <v>62.193158953722325</v>
      </c>
    </row>
    <row r="419" spans="1:12">
      <c r="A419" s="96">
        <v>43893</v>
      </c>
      <c r="B419" s="101">
        <v>29.87</v>
      </c>
      <c r="C419" s="4">
        <f t="shared" si="12"/>
        <v>-3.4225123916006524E-2</v>
      </c>
      <c r="D419" s="1">
        <f>IFERROR(Comp2[[#This Row],[Comparable '#2 Return]]+1,"-")</f>
        <v>0.96577487608399348</v>
      </c>
      <c r="E419" s="6">
        <f>B419-MAX($B$2:B419)</f>
        <v>-28.289999999999996</v>
      </c>
      <c r="F419" s="80">
        <f t="shared" si="13"/>
        <v>326</v>
      </c>
      <c r="G419" s="77">
        <f>Comp2[[#This Row],[Comparable '#2 Drawdown]]/MAX($B$2:B419)</f>
        <v>-0.48641678129298482</v>
      </c>
      <c r="H419" s="1" t="str">
        <f>IF(SUM(COUNTIF(Benchmark1[Benchmark '#1 Dates],Comp2[[#This Row],[Comparable '#2 Dates]]),COUNTIF(Benchmark2[Benchmark '#2 Dates],Comp2[[#This Row],[Comparable '#2 Dates]]))=2,"Pass","Fail")</f>
        <v>Pass</v>
      </c>
      <c r="I419" s="1">
        <f>IFERROR(Comp2[[#This Row],[Comparable '#2 Return]]-INDEX(Benchmark1[Benchmark '#1 Return],MATCH(Comp2[[#This Row],[Comparable '#2 Dates]],Benchmark1[Benchmark '#1 Dates],0)),"-")</f>
        <v>-5.7120669640014429E-3</v>
      </c>
      <c r="L419" s="72">
        <f>Comp2[[#This Row],[Comparable '#2 Price]]/$B$2*100</f>
        <v>60.100603621730386</v>
      </c>
    </row>
    <row r="420" spans="1:12">
      <c r="A420" s="96">
        <v>43894</v>
      </c>
      <c r="B420" s="101">
        <v>31.32</v>
      </c>
      <c r="C420" s="4">
        <f t="shared" si="12"/>
        <v>4.7402238894583899E-2</v>
      </c>
      <c r="D420" s="1">
        <f>IFERROR(Comp2[[#This Row],[Comparable '#2 Return]]+1,"-")</f>
        <v>1.0474022388945838</v>
      </c>
      <c r="E420" s="6">
        <f>B420-MAX($B$2:B420)</f>
        <v>-26.839999999999996</v>
      </c>
      <c r="F420" s="80">
        <f t="shared" si="13"/>
        <v>327</v>
      </c>
      <c r="G420" s="77">
        <f>Comp2[[#This Row],[Comparable '#2 Drawdown]]/MAX($B$2:B420)</f>
        <v>-0.46148555708390643</v>
      </c>
      <c r="H420" s="1" t="str">
        <f>IF(SUM(COUNTIF(Benchmark1[Benchmark '#1 Dates],Comp2[[#This Row],[Comparable '#2 Dates]]),COUNTIF(Benchmark2[Benchmark '#2 Dates],Comp2[[#This Row],[Comparable '#2 Dates]]))=2,"Pass","Fail")</f>
        <v>Pass</v>
      </c>
      <c r="I420" s="1">
        <f>IFERROR(Comp2[[#This Row],[Comparable '#2 Return]]-INDEX(Benchmark1[Benchmark '#1 Return],MATCH(Comp2[[#This Row],[Comparable '#2 Dates]],Benchmark1[Benchmark '#1 Dates],0)),"-")</f>
        <v>6.0652776079289789E-3</v>
      </c>
      <c r="L420" s="72">
        <f>Comp2[[#This Row],[Comparable '#2 Price]]/$B$2*100</f>
        <v>63.018108651911461</v>
      </c>
    </row>
    <row r="421" spans="1:12">
      <c r="A421" s="96">
        <v>43895</v>
      </c>
      <c r="B421" s="101">
        <v>29.86</v>
      </c>
      <c r="C421" s="4">
        <f t="shared" si="12"/>
        <v>-4.7737079011558048E-2</v>
      </c>
      <c r="D421" s="1">
        <f>IFERROR(Comp2[[#This Row],[Comparable '#2 Return]]+1,"-")</f>
        <v>0.9522629209884419</v>
      </c>
      <c r="E421" s="6">
        <f>B421-MAX($B$2:B421)</f>
        <v>-28.299999999999997</v>
      </c>
      <c r="F421" s="80">
        <f t="shared" si="13"/>
        <v>328</v>
      </c>
      <c r="G421" s="77">
        <f>Comp2[[#This Row],[Comparable '#2 Drawdown]]/MAX($B$2:B421)</f>
        <v>-0.48658872077028886</v>
      </c>
      <c r="H421" s="1" t="str">
        <f>IF(SUM(COUNTIF(Benchmark1[Benchmark '#1 Dates],Comp2[[#This Row],[Comparable '#2 Dates]]),COUNTIF(Benchmark2[Benchmark '#2 Dates],Comp2[[#This Row],[Comparable '#2 Dates]]))=2,"Pass","Fail")</f>
        <v>Pass</v>
      </c>
      <c r="I421" s="1">
        <f>IFERROR(Comp2[[#This Row],[Comparable '#2 Return]]-INDEX(Benchmark1[Benchmark '#1 Return],MATCH(Comp2[[#This Row],[Comparable '#2 Dates]],Benchmark1[Benchmark '#1 Dates],0)),"-")</f>
        <v>-1.3227453333752193E-2</v>
      </c>
      <c r="L421" s="72">
        <f>Comp2[[#This Row],[Comparable '#2 Price]]/$B$2*100</f>
        <v>60.0804828973843</v>
      </c>
    </row>
    <row r="422" spans="1:12">
      <c r="A422" s="96">
        <v>43896</v>
      </c>
      <c r="B422" s="101">
        <v>30.87</v>
      </c>
      <c r="C422" s="4">
        <f t="shared" si="12"/>
        <v>3.3265046403023572E-2</v>
      </c>
      <c r="D422" s="1">
        <f>IFERROR(Comp2[[#This Row],[Comparable '#2 Return]]+1,"-")</f>
        <v>1.0332650464030235</v>
      </c>
      <c r="E422" s="6">
        <f>B422-MAX($B$2:B422)</f>
        <v>-27.289999999999996</v>
      </c>
      <c r="F422" s="80">
        <f t="shared" si="13"/>
        <v>329</v>
      </c>
      <c r="G422" s="77">
        <f>Comp2[[#This Row],[Comparable '#2 Drawdown]]/MAX($B$2:B422)</f>
        <v>-0.46922283356258593</v>
      </c>
      <c r="H422" s="1" t="str">
        <f>IF(SUM(COUNTIF(Benchmark1[Benchmark '#1 Dates],Comp2[[#This Row],[Comparable '#2 Dates]]),COUNTIF(Benchmark2[Benchmark '#2 Dates],Comp2[[#This Row],[Comparable '#2 Dates]]))=2,"Pass","Fail")</f>
        <v>Pass</v>
      </c>
      <c r="I422" s="1">
        <f>IFERROR(Comp2[[#This Row],[Comparable '#2 Return]]-INDEX(Benchmark1[Benchmark '#1 Return],MATCH(Comp2[[#This Row],[Comparable '#2 Dates]],Benchmark1[Benchmark '#1 Dates],0)),"-")</f>
        <v>5.046551001633337E-2</v>
      </c>
      <c r="L422" s="72">
        <f>Comp2[[#This Row],[Comparable '#2 Price]]/$B$2*100</f>
        <v>62.112676056338024</v>
      </c>
    </row>
    <row r="423" spans="1:12">
      <c r="A423" s="96">
        <v>43899</v>
      </c>
      <c r="B423" s="101">
        <v>29.13</v>
      </c>
      <c r="C423" s="4">
        <f t="shared" si="12"/>
        <v>-5.8016267542724709E-2</v>
      </c>
      <c r="D423" s="1">
        <f>IFERROR(Comp2[[#This Row],[Comparable '#2 Return]]+1,"-")</f>
        <v>0.94198373245727529</v>
      </c>
      <c r="E423" s="6">
        <f>B423-MAX($B$2:B423)</f>
        <v>-29.029999999999998</v>
      </c>
      <c r="F423" s="80">
        <f t="shared" si="13"/>
        <v>330</v>
      </c>
      <c r="G423" s="77">
        <f>Comp2[[#This Row],[Comparable '#2 Drawdown]]/MAX($B$2:B423)</f>
        <v>-0.49914030261348002</v>
      </c>
      <c r="H423" s="1" t="str">
        <f>IF(SUM(COUNTIF(Benchmark1[Benchmark '#1 Dates],Comp2[[#This Row],[Comparable '#2 Dates]]),COUNTIF(Benchmark2[Benchmark '#2 Dates],Comp2[[#This Row],[Comparable '#2 Dates]]))=2,"Pass","Fail")</f>
        <v>Pass</v>
      </c>
      <c r="I423" s="1">
        <f>IFERROR(Comp2[[#This Row],[Comparable '#2 Return]]-INDEX(Benchmark1[Benchmark '#1 Return],MATCH(Comp2[[#This Row],[Comparable '#2 Dates]],Benchmark1[Benchmark '#1 Dates],0)),"-")</f>
        <v>2.0994923555120767E-2</v>
      </c>
      <c r="L423" s="72">
        <f>Comp2[[#This Row],[Comparable '#2 Price]]/$B$2*100</f>
        <v>58.611670020120719</v>
      </c>
    </row>
    <row r="424" spans="1:12">
      <c r="A424" s="96">
        <v>43900</v>
      </c>
      <c r="B424" s="101">
        <v>28.39</v>
      </c>
      <c r="C424" s="4">
        <f t="shared" si="12"/>
        <v>-2.5731600486463328E-2</v>
      </c>
      <c r="D424" s="1">
        <f>IFERROR(Comp2[[#This Row],[Comparable '#2 Return]]+1,"-")</f>
        <v>0.97426839951353672</v>
      </c>
      <c r="E424" s="6">
        <f>B424-MAX($B$2:B424)</f>
        <v>-29.769999999999996</v>
      </c>
      <c r="F424" s="80">
        <f t="shared" si="13"/>
        <v>331</v>
      </c>
      <c r="G424" s="77">
        <f>Comp2[[#This Row],[Comparable '#2 Drawdown]]/MAX($B$2:B424)</f>
        <v>-0.51186382393397523</v>
      </c>
      <c r="H424" s="1" t="str">
        <f>IF(SUM(COUNTIF(Benchmark1[Benchmark '#1 Dates],Comp2[[#This Row],[Comparable '#2 Dates]]),COUNTIF(Benchmark2[Benchmark '#2 Dates],Comp2[[#This Row],[Comparable '#2 Dates]]))=2,"Pass","Fail")</f>
        <v>Pass</v>
      </c>
      <c r="I424" s="1">
        <f>IFERROR(Comp2[[#This Row],[Comparable '#2 Return]]-INDEX(Benchmark1[Benchmark '#1 Return],MATCH(Comp2[[#This Row],[Comparable '#2 Dates]],Benchmark1[Benchmark '#1 Dates],0)),"-")</f>
        <v>-7.3945274175341372E-2</v>
      </c>
      <c r="L424" s="72">
        <f>Comp2[[#This Row],[Comparable '#2 Price]]/$B$2*100</f>
        <v>57.122736418511067</v>
      </c>
    </row>
    <row r="425" spans="1:12">
      <c r="A425" s="96">
        <v>43901</v>
      </c>
      <c r="B425" s="101">
        <v>27.06</v>
      </c>
      <c r="C425" s="4">
        <f t="shared" si="12"/>
        <v>-4.7980347742237868E-2</v>
      </c>
      <c r="D425" s="1">
        <f>IFERROR(Comp2[[#This Row],[Comparable '#2 Return]]+1,"-")</f>
        <v>0.95201965225776208</v>
      </c>
      <c r="E425" s="6">
        <f>B425-MAX($B$2:B425)</f>
        <v>-31.099999999999998</v>
      </c>
      <c r="F425" s="80">
        <f t="shared" si="13"/>
        <v>332</v>
      </c>
      <c r="G425" s="77">
        <f>Comp2[[#This Row],[Comparable '#2 Drawdown]]/MAX($B$2:B425)</f>
        <v>-0.53473177441540576</v>
      </c>
      <c r="H425" s="1" t="str">
        <f>IF(SUM(COUNTIF(Benchmark1[Benchmark '#1 Dates],Comp2[[#This Row],[Comparable '#2 Dates]]),COUNTIF(Benchmark2[Benchmark '#2 Dates],Comp2[[#This Row],[Comparable '#2 Dates]]))=2,"Pass","Fail")</f>
        <v>Pass</v>
      </c>
      <c r="I425" s="1">
        <f>IFERROR(Comp2[[#This Row],[Comparable '#2 Return]]-INDEX(Benchmark1[Benchmark '#1 Return],MATCH(Comp2[[#This Row],[Comparable '#2 Dates]],Benchmark1[Benchmark '#1 Dates],0)),"-")</f>
        <v>2.1196386046914012E-3</v>
      </c>
      <c r="L425" s="72">
        <f>Comp2[[#This Row],[Comparable '#2 Price]]/$B$2*100</f>
        <v>54.446680080482892</v>
      </c>
    </row>
    <row r="426" spans="1:12">
      <c r="A426" s="96">
        <v>43902</v>
      </c>
      <c r="B426" s="101">
        <v>25.35</v>
      </c>
      <c r="C426" s="4">
        <f t="shared" si="12"/>
        <v>-6.527789270544973E-2</v>
      </c>
      <c r="D426" s="1">
        <f>IFERROR(Comp2[[#This Row],[Comparable '#2 Return]]+1,"-")</f>
        <v>0.9347221072945503</v>
      </c>
      <c r="E426" s="6">
        <f>B426-MAX($B$2:B426)</f>
        <v>-32.809999999999995</v>
      </c>
      <c r="F426" s="80">
        <f t="shared" si="13"/>
        <v>333</v>
      </c>
      <c r="G426" s="77">
        <f>Comp2[[#This Row],[Comparable '#2 Drawdown]]/MAX($B$2:B426)</f>
        <v>-0.56413342503438779</v>
      </c>
      <c r="H426" s="1" t="str">
        <f>IF(SUM(COUNTIF(Benchmark1[Benchmark '#1 Dates],Comp2[[#This Row],[Comparable '#2 Dates]]),COUNTIF(Benchmark2[Benchmark '#2 Dates],Comp2[[#This Row],[Comparable '#2 Dates]]))=2,"Pass","Fail")</f>
        <v>Pass</v>
      </c>
      <c r="I426" s="1">
        <f>IFERROR(Comp2[[#This Row],[Comparable '#2 Return]]-INDEX(Benchmark1[Benchmark '#1 Return],MATCH(Comp2[[#This Row],[Comparable '#2 Dates]],Benchmark1[Benchmark '#1 Dates],0)),"-")</f>
        <v>3.4667839957931143E-2</v>
      </c>
      <c r="L426" s="72">
        <f>Comp2[[#This Row],[Comparable '#2 Price]]/$B$2*100</f>
        <v>51.006036217303816</v>
      </c>
    </row>
    <row r="427" spans="1:12">
      <c r="A427" s="96">
        <v>43903</v>
      </c>
      <c r="B427" s="101">
        <v>26.86</v>
      </c>
      <c r="C427" s="4">
        <f t="shared" si="12"/>
        <v>5.7859461057899339E-2</v>
      </c>
      <c r="D427" s="1">
        <f>IFERROR(Comp2[[#This Row],[Comparable '#2 Return]]+1,"-")</f>
        <v>1.0578594610578993</v>
      </c>
      <c r="E427" s="6">
        <f>B427-MAX($B$2:B427)</f>
        <v>-31.299999999999997</v>
      </c>
      <c r="F427" s="80">
        <f t="shared" si="13"/>
        <v>334</v>
      </c>
      <c r="G427" s="77">
        <f>Comp2[[#This Row],[Comparable '#2 Drawdown]]/MAX($B$2:B427)</f>
        <v>-0.53817056396148555</v>
      </c>
      <c r="H427" s="1" t="str">
        <f>IF(SUM(COUNTIF(Benchmark1[Benchmark '#1 Dates],Comp2[[#This Row],[Comparable '#2 Dates]]),COUNTIF(Benchmark2[Benchmark '#2 Dates],Comp2[[#This Row],[Comparable '#2 Dates]]))=2,"Pass","Fail")</f>
        <v>Pass</v>
      </c>
      <c r="I427" s="1">
        <f>IFERROR(Comp2[[#This Row],[Comparable '#2 Return]]-INDEX(Benchmark1[Benchmark '#1 Return],MATCH(Comp2[[#This Row],[Comparable '#2 Dates]],Benchmark1[Benchmark '#1 Dates],0)),"-")</f>
        <v>-3.0949091814284721E-2</v>
      </c>
      <c r="L427" s="72">
        <f>Comp2[[#This Row],[Comparable '#2 Price]]/$B$2*100</f>
        <v>54.04426559356137</v>
      </c>
    </row>
    <row r="428" spans="1:12">
      <c r="A428" s="96">
        <v>43906</v>
      </c>
      <c r="B428" s="101">
        <v>23.99</v>
      </c>
      <c r="C428" s="4">
        <f t="shared" si="12"/>
        <v>-0.11300111424348831</v>
      </c>
      <c r="D428" s="1">
        <f>IFERROR(Comp2[[#This Row],[Comparable '#2 Return]]+1,"-")</f>
        <v>0.88699888575651165</v>
      </c>
      <c r="E428" s="6">
        <f>B428-MAX($B$2:B428)</f>
        <v>-34.17</v>
      </c>
      <c r="F428" s="80">
        <f t="shared" si="13"/>
        <v>335</v>
      </c>
      <c r="G428" s="77">
        <f>Comp2[[#This Row],[Comparable '#2 Drawdown]]/MAX($B$2:B428)</f>
        <v>-0.5875171939477305</v>
      </c>
      <c r="H428" s="1" t="str">
        <f>IF(SUM(COUNTIF(Benchmark1[Benchmark '#1 Dates],Comp2[[#This Row],[Comparable '#2 Dates]]),COUNTIF(Benchmark2[Benchmark '#2 Dates],Comp2[[#This Row],[Comparable '#2 Dates]]))=2,"Pass","Fail")</f>
        <v>Pass</v>
      </c>
      <c r="I428" s="1">
        <f>IFERROR(Comp2[[#This Row],[Comparable '#2 Return]]-INDEX(Benchmark1[Benchmark '#1 Return],MATCH(Comp2[[#This Row],[Comparable '#2 Dates]],Benchmark1[Benchmark '#1 Dates],0)),"-")</f>
        <v>1.4650003278617388E-2</v>
      </c>
      <c r="L428" s="72">
        <f>Comp2[[#This Row],[Comparable '#2 Price]]/$B$2*100</f>
        <v>48.269617706237419</v>
      </c>
    </row>
    <row r="429" spans="1:12">
      <c r="A429" s="96">
        <v>43907</v>
      </c>
      <c r="B429" s="101">
        <v>25.98</v>
      </c>
      <c r="C429" s="4">
        <f t="shared" si="12"/>
        <v>7.9689934390850453E-2</v>
      </c>
      <c r="D429" s="1">
        <f>IFERROR(Comp2[[#This Row],[Comparable '#2 Return]]+1,"-")</f>
        <v>1.0796899343908504</v>
      </c>
      <c r="E429" s="6">
        <f>B429-MAX($B$2:B429)</f>
        <v>-32.179999999999993</v>
      </c>
      <c r="F429" s="80">
        <f t="shared" si="13"/>
        <v>336</v>
      </c>
      <c r="G429" s="77">
        <f>Comp2[[#This Row],[Comparable '#2 Drawdown]]/MAX($B$2:B429)</f>
        <v>-0.55330123796423647</v>
      </c>
      <c r="H429" s="1" t="str">
        <f>IF(SUM(COUNTIF(Benchmark1[Benchmark '#1 Dates],Comp2[[#This Row],[Comparable '#2 Dates]]),COUNTIF(Benchmark2[Benchmark '#2 Dates],Comp2[[#This Row],[Comparable '#2 Dates]]))=2,"Pass","Fail")</f>
        <v>Pass</v>
      </c>
      <c r="I429" s="1">
        <f>IFERROR(Comp2[[#This Row],[Comparable '#2 Return]]-INDEX(Benchmark1[Benchmark '#1 Return],MATCH(Comp2[[#This Row],[Comparable '#2 Dates]],Benchmark1[Benchmark '#1 Dates],0)),"-")</f>
        <v>2.1463635836404919E-2</v>
      </c>
      <c r="L429" s="72">
        <f>Comp2[[#This Row],[Comparable '#2 Price]]/$B$2*100</f>
        <v>52.273641851106632</v>
      </c>
    </row>
    <row r="430" spans="1:12">
      <c r="A430" s="96">
        <v>43908</v>
      </c>
      <c r="B430" s="101">
        <v>21.46</v>
      </c>
      <c r="C430" s="4">
        <f t="shared" si="12"/>
        <v>-0.19113627403990102</v>
      </c>
      <c r="D430" s="1">
        <f>IFERROR(Comp2[[#This Row],[Comparable '#2 Return]]+1,"-")</f>
        <v>0.80886372596009903</v>
      </c>
      <c r="E430" s="6">
        <f>B430-MAX($B$2:B430)</f>
        <v>-36.699999999999996</v>
      </c>
      <c r="F430" s="80">
        <f t="shared" si="13"/>
        <v>337</v>
      </c>
      <c r="G430" s="77">
        <f>Comp2[[#This Row],[Comparable '#2 Drawdown]]/MAX($B$2:B430)</f>
        <v>-0.63101788170563955</v>
      </c>
      <c r="H430" s="1" t="str">
        <f>IF(SUM(COUNTIF(Benchmark1[Benchmark '#1 Dates],Comp2[[#This Row],[Comparable '#2 Dates]]),COUNTIF(Benchmark2[Benchmark '#2 Dates],Comp2[[#This Row],[Comparable '#2 Dates]]))=2,"Pass","Fail")</f>
        <v>Pass</v>
      </c>
      <c r="I430" s="1">
        <f>IFERROR(Comp2[[#This Row],[Comparable '#2 Return]]-INDEX(Benchmark1[Benchmark '#1 Return],MATCH(Comp2[[#This Row],[Comparable '#2 Dates]],Benchmark1[Benchmark '#1 Dates],0)),"-")</f>
        <v>-0.13791028468917724</v>
      </c>
      <c r="L430" s="72">
        <f>Comp2[[#This Row],[Comparable '#2 Price]]/$B$2*100</f>
        <v>43.179074446680083</v>
      </c>
    </row>
    <row r="431" spans="1:12">
      <c r="A431" s="96">
        <v>43909</v>
      </c>
      <c r="B431" s="101">
        <v>22.25</v>
      </c>
      <c r="C431" s="4">
        <f t="shared" si="12"/>
        <v>3.6151271409696775E-2</v>
      </c>
      <c r="D431" s="1">
        <f>IFERROR(Comp2[[#This Row],[Comparable '#2 Return]]+1,"-")</f>
        <v>1.0361512714096968</v>
      </c>
      <c r="E431" s="6">
        <f>B431-MAX($B$2:B431)</f>
        <v>-35.909999999999997</v>
      </c>
      <c r="F431" s="80">
        <f t="shared" si="13"/>
        <v>338</v>
      </c>
      <c r="G431" s="77">
        <f>Comp2[[#This Row],[Comparable '#2 Drawdown]]/MAX($B$2:B431)</f>
        <v>-0.61743466299862448</v>
      </c>
      <c r="H431" s="1" t="str">
        <f>IF(SUM(COUNTIF(Benchmark1[Benchmark '#1 Dates],Comp2[[#This Row],[Comparable '#2 Dates]]),COUNTIF(Benchmark2[Benchmark '#2 Dates],Comp2[[#This Row],[Comparable '#2 Dates]]))=2,"Pass","Fail")</f>
        <v>Pass</v>
      </c>
      <c r="I431" s="1">
        <f>IFERROR(Comp2[[#This Row],[Comparable '#2 Return]]-INDEX(Benchmark1[Benchmark '#1 Return],MATCH(Comp2[[#This Row],[Comparable '#2 Dates]],Benchmark1[Benchmark '#1 Dates],0)),"-")</f>
        <v>3.1453846263495622E-2</v>
      </c>
      <c r="L431" s="72">
        <f>Comp2[[#This Row],[Comparable '#2 Price]]/$B$2*100</f>
        <v>44.768611670020121</v>
      </c>
    </row>
    <row r="432" spans="1:12">
      <c r="A432" s="96">
        <v>43910</v>
      </c>
      <c r="B432" s="101">
        <v>22.55</v>
      </c>
      <c r="C432" s="4">
        <f t="shared" si="12"/>
        <v>1.3393057336438256E-2</v>
      </c>
      <c r="D432" s="1">
        <f>IFERROR(Comp2[[#This Row],[Comparable '#2 Return]]+1,"-")</f>
        <v>1.0133930573364383</v>
      </c>
      <c r="E432" s="6">
        <f>B432-MAX($B$2:B432)</f>
        <v>-35.61</v>
      </c>
      <c r="F432" s="80">
        <f t="shared" si="13"/>
        <v>339</v>
      </c>
      <c r="G432" s="77">
        <f>Comp2[[#This Row],[Comparable '#2 Drawdown]]/MAX($B$2:B432)</f>
        <v>-0.61227647867950485</v>
      </c>
      <c r="H432" s="1" t="str">
        <f>IF(SUM(COUNTIF(Benchmark1[Benchmark '#1 Dates],Comp2[[#This Row],[Comparable '#2 Dates]]),COUNTIF(Benchmark2[Benchmark '#2 Dates],Comp2[[#This Row],[Comparable '#2 Dates]]))=2,"Pass","Fail")</f>
        <v>Pass</v>
      </c>
      <c r="I432" s="1">
        <f>IFERROR(Comp2[[#This Row],[Comparable '#2 Return]]-INDEX(Benchmark1[Benchmark '#1 Return],MATCH(Comp2[[#This Row],[Comparable '#2 Dates]],Benchmark1[Benchmark '#1 Dates],0)),"-")</f>
        <v>5.7720883029807976E-2</v>
      </c>
      <c r="L432" s="72">
        <f>Comp2[[#This Row],[Comparable '#2 Price]]/$B$2*100</f>
        <v>45.372233400402415</v>
      </c>
    </row>
    <row r="433" spans="1:12">
      <c r="A433" s="96">
        <v>43913</v>
      </c>
      <c r="B433" s="101">
        <v>23.48</v>
      </c>
      <c r="C433" s="4">
        <f t="shared" si="12"/>
        <v>4.0413929011208362E-2</v>
      </c>
      <c r="D433" s="1">
        <f>IFERROR(Comp2[[#This Row],[Comparable '#2 Return]]+1,"-")</f>
        <v>1.0404139290112084</v>
      </c>
      <c r="E433" s="6">
        <f>B433-MAX($B$2:B433)</f>
        <v>-34.679999999999993</v>
      </c>
      <c r="F433" s="80">
        <f t="shared" si="13"/>
        <v>340</v>
      </c>
      <c r="G433" s="77">
        <f>Comp2[[#This Row],[Comparable '#2 Drawdown]]/MAX($B$2:B433)</f>
        <v>-0.59628610729023379</v>
      </c>
      <c r="H433" s="1" t="str">
        <f>IF(SUM(COUNTIF(Benchmark1[Benchmark '#1 Dates],Comp2[[#This Row],[Comparable '#2 Dates]]),COUNTIF(Benchmark2[Benchmark '#2 Dates],Comp2[[#This Row],[Comparable '#2 Dates]]))=2,"Pass","Fail")</f>
        <v>Pass</v>
      </c>
      <c r="I433" s="1">
        <f>IFERROR(Comp2[[#This Row],[Comparable '#2 Return]]-INDEX(Benchmark1[Benchmark '#1 Return],MATCH(Comp2[[#This Row],[Comparable '#2 Dates]],Benchmark1[Benchmark '#1 Dates],0)),"-")</f>
        <v>7.0145871983401137E-2</v>
      </c>
      <c r="L433" s="72">
        <f>Comp2[[#This Row],[Comparable '#2 Price]]/$B$2*100</f>
        <v>47.243460764587525</v>
      </c>
    </row>
    <row r="434" spans="1:12">
      <c r="A434" s="96">
        <v>43914</v>
      </c>
      <c r="B434" s="101">
        <v>24.33</v>
      </c>
      <c r="C434" s="4">
        <f t="shared" si="12"/>
        <v>3.5561161835535544E-2</v>
      </c>
      <c r="D434" s="1">
        <f>IFERROR(Comp2[[#This Row],[Comparable '#2 Return]]+1,"-")</f>
        <v>1.0355611618355356</v>
      </c>
      <c r="E434" s="6">
        <f>B434-MAX($B$2:B434)</f>
        <v>-33.83</v>
      </c>
      <c r="F434" s="80">
        <f t="shared" si="13"/>
        <v>341</v>
      </c>
      <c r="G434" s="77">
        <f>Comp2[[#This Row],[Comparable '#2 Drawdown]]/MAX($B$2:B434)</f>
        <v>-0.58167125171939482</v>
      </c>
      <c r="H434" s="1" t="str">
        <f>IF(SUM(COUNTIF(Benchmark1[Benchmark '#1 Dates],Comp2[[#This Row],[Comparable '#2 Dates]]),COUNTIF(Benchmark2[Benchmark '#2 Dates],Comp2[[#This Row],[Comparable '#2 Dates]]))=2,"Pass","Fail")</f>
        <v>Pass</v>
      </c>
      <c r="I434" s="1">
        <f>IFERROR(Comp2[[#This Row],[Comparable '#2 Return]]-INDEX(Benchmark1[Benchmark '#1 Return],MATCH(Comp2[[#This Row],[Comparable '#2 Dates]],Benchmark1[Benchmark '#1 Dates],0)),"-")</f>
        <v>-5.4124202105778473E-2</v>
      </c>
      <c r="L434" s="72">
        <f>Comp2[[#This Row],[Comparable '#2 Price]]/$B$2*100</f>
        <v>48.95372233400402</v>
      </c>
    </row>
    <row r="435" spans="1:12">
      <c r="A435" s="96">
        <v>43915</v>
      </c>
      <c r="B435" s="101">
        <v>25.14</v>
      </c>
      <c r="C435" s="4">
        <f t="shared" si="12"/>
        <v>3.2750046366670282E-2</v>
      </c>
      <c r="D435" s="1">
        <f>IFERROR(Comp2[[#This Row],[Comparable '#2 Return]]+1,"-")</f>
        <v>1.0327500463666703</v>
      </c>
      <c r="E435" s="6">
        <f>B435-MAX($B$2:B435)</f>
        <v>-33.019999999999996</v>
      </c>
      <c r="F435" s="80">
        <f t="shared" si="13"/>
        <v>342</v>
      </c>
      <c r="G435" s="77">
        <f>Comp2[[#This Row],[Comparable '#2 Drawdown]]/MAX($B$2:B435)</f>
        <v>-0.56774415405777168</v>
      </c>
      <c r="H435" s="1" t="str">
        <f>IF(SUM(COUNTIF(Benchmark1[Benchmark '#1 Dates],Comp2[[#This Row],[Comparable '#2 Dates]]),COUNTIF(Benchmark2[Benchmark '#2 Dates],Comp2[[#This Row],[Comparable '#2 Dates]]))=2,"Pass","Fail")</f>
        <v>Pass</v>
      </c>
      <c r="I435" s="1">
        <f>IFERROR(Comp2[[#This Row],[Comparable '#2 Return]]-INDEX(Benchmark1[Benchmark '#1 Return],MATCH(Comp2[[#This Row],[Comparable '#2 Dates]],Benchmark1[Benchmark '#1 Dates],0)),"-")</f>
        <v>2.1281870598367773E-2</v>
      </c>
      <c r="L435" s="72">
        <f>Comp2[[#This Row],[Comparable '#2 Price]]/$B$2*100</f>
        <v>50.583501006036215</v>
      </c>
    </row>
    <row r="436" spans="1:12">
      <c r="A436" s="96">
        <v>43916</v>
      </c>
      <c r="B436" s="101">
        <v>25.78</v>
      </c>
      <c r="C436" s="4">
        <f t="shared" si="12"/>
        <v>2.5138794348940046E-2</v>
      </c>
      <c r="D436" s="1">
        <f>IFERROR(Comp2[[#This Row],[Comparable '#2 Return]]+1,"-")</f>
        <v>1.0251387943489401</v>
      </c>
      <c r="E436" s="6">
        <f>B436-MAX($B$2:B436)</f>
        <v>-32.379999999999995</v>
      </c>
      <c r="F436" s="80">
        <f t="shared" si="13"/>
        <v>343</v>
      </c>
      <c r="G436" s="77">
        <f>Comp2[[#This Row],[Comparable '#2 Drawdown]]/MAX($B$2:B436)</f>
        <v>-0.55674002751031637</v>
      </c>
      <c r="H436" s="1" t="str">
        <f>IF(SUM(COUNTIF(Benchmark1[Benchmark '#1 Dates],Comp2[[#This Row],[Comparable '#2 Dates]]),COUNTIF(Benchmark2[Benchmark '#2 Dates],Comp2[[#This Row],[Comparable '#2 Dates]]))=2,"Pass","Fail")</f>
        <v>Pass</v>
      </c>
      <c r="I436" s="1">
        <f>IFERROR(Comp2[[#This Row],[Comparable '#2 Return]]-INDEX(Benchmark1[Benchmark '#1 Return],MATCH(Comp2[[#This Row],[Comparable '#2 Dates]],Benchmark1[Benchmark '#1 Dates],0)),"-")</f>
        <v>-3.5404625844282389E-2</v>
      </c>
      <c r="L436" s="72">
        <f>Comp2[[#This Row],[Comparable '#2 Price]]/$B$2*100</f>
        <v>51.87122736418511</v>
      </c>
    </row>
    <row r="437" spans="1:12">
      <c r="A437" s="96">
        <v>43917</v>
      </c>
      <c r="B437" s="101">
        <v>24.8</v>
      </c>
      <c r="C437" s="4">
        <f t="shared" si="12"/>
        <v>-3.8755344340104886E-2</v>
      </c>
      <c r="D437" s="1">
        <f>IFERROR(Comp2[[#This Row],[Comparable '#2 Return]]+1,"-")</f>
        <v>0.96124465565989514</v>
      </c>
      <c r="E437" s="6">
        <f>B437-MAX($B$2:B437)</f>
        <v>-33.36</v>
      </c>
      <c r="F437" s="80">
        <f t="shared" si="13"/>
        <v>344</v>
      </c>
      <c r="G437" s="77">
        <f>Comp2[[#This Row],[Comparable '#2 Drawdown]]/MAX($B$2:B437)</f>
        <v>-0.57359009628610735</v>
      </c>
      <c r="H437" s="1" t="str">
        <f>IF(SUM(COUNTIF(Benchmark1[Benchmark '#1 Dates],Comp2[[#This Row],[Comparable '#2 Dates]]),COUNTIF(Benchmark2[Benchmark '#2 Dates],Comp2[[#This Row],[Comparable '#2 Dates]]))=2,"Pass","Fail")</f>
        <v>Pass</v>
      </c>
      <c r="I437" s="1">
        <f>IFERROR(Comp2[[#This Row],[Comparable '#2 Return]]-INDEX(Benchmark1[Benchmark '#1 Return],MATCH(Comp2[[#This Row],[Comparable '#2 Dates]],Benchmark1[Benchmark '#1 Dates],0)),"-")</f>
        <v>-4.4884801839495045E-3</v>
      </c>
      <c r="L437" s="72">
        <f>Comp2[[#This Row],[Comparable '#2 Price]]/$B$2*100</f>
        <v>49.899396378269614</v>
      </c>
    </row>
    <row r="438" spans="1:12">
      <c r="A438" s="96">
        <v>43920</v>
      </c>
      <c r="B438" s="101">
        <v>26.07</v>
      </c>
      <c r="C438" s="4">
        <f t="shared" si="12"/>
        <v>4.9941574774473925E-2</v>
      </c>
      <c r="D438" s="1">
        <f>IFERROR(Comp2[[#This Row],[Comparable '#2 Return]]+1,"-")</f>
        <v>1.049941574774474</v>
      </c>
      <c r="E438" s="6">
        <f>B438-MAX($B$2:B438)</f>
        <v>-32.089999999999996</v>
      </c>
      <c r="F438" s="80">
        <f t="shared" si="13"/>
        <v>345</v>
      </c>
      <c r="G438" s="77">
        <f>Comp2[[#This Row],[Comparable '#2 Drawdown]]/MAX($B$2:B438)</f>
        <v>-0.55175378266850061</v>
      </c>
      <c r="H438" s="1" t="str">
        <f>IF(SUM(COUNTIF(Benchmark1[Benchmark '#1 Dates],Comp2[[#This Row],[Comparable '#2 Dates]]),COUNTIF(Benchmark2[Benchmark '#2 Dates],Comp2[[#This Row],[Comparable '#2 Dates]]))=2,"Pass","Fail")</f>
        <v>Pass</v>
      </c>
      <c r="I438" s="1">
        <f>IFERROR(Comp2[[#This Row],[Comparable '#2 Return]]-INDEX(Benchmark1[Benchmark '#1 Return],MATCH(Comp2[[#This Row],[Comparable '#2 Dates]],Benchmark1[Benchmark '#1 Dates],0)),"-")</f>
        <v>1.6976434805199031E-2</v>
      </c>
      <c r="L438" s="72">
        <f>Comp2[[#This Row],[Comparable '#2 Price]]/$B$2*100</f>
        <v>52.454728370221325</v>
      </c>
    </row>
    <row r="439" spans="1:12">
      <c r="A439" s="96">
        <v>43921</v>
      </c>
      <c r="B439" s="101">
        <v>26.79</v>
      </c>
      <c r="C439" s="4">
        <f t="shared" si="12"/>
        <v>2.7243455611107033E-2</v>
      </c>
      <c r="D439" s="1">
        <f>IFERROR(Comp2[[#This Row],[Comparable '#2 Return]]+1,"-")</f>
        <v>1.027243455611107</v>
      </c>
      <c r="E439" s="6">
        <f>B439-MAX($B$2:B439)</f>
        <v>-31.369999999999997</v>
      </c>
      <c r="F439" s="80">
        <f t="shared" si="13"/>
        <v>346</v>
      </c>
      <c r="G439" s="77">
        <f>Comp2[[#This Row],[Comparable '#2 Drawdown]]/MAX($B$2:B439)</f>
        <v>-0.53937414030261344</v>
      </c>
      <c r="H439" s="1" t="str">
        <f>IF(SUM(COUNTIF(Benchmark1[Benchmark '#1 Dates],Comp2[[#This Row],[Comparable '#2 Dates]]),COUNTIF(Benchmark2[Benchmark '#2 Dates],Comp2[[#This Row],[Comparable '#2 Dates]]))=2,"Pass","Fail")</f>
        <v>Pass</v>
      </c>
      <c r="I439" s="1">
        <f>IFERROR(Comp2[[#This Row],[Comparable '#2 Return]]-INDEX(Benchmark1[Benchmark '#1 Return],MATCH(Comp2[[#This Row],[Comparable '#2 Dates]],Benchmark1[Benchmark '#1 Dates],0)),"-")</f>
        <v>4.3383929898647353E-2</v>
      </c>
      <c r="L439" s="72">
        <f>Comp2[[#This Row],[Comparable '#2 Price]]/$B$2*100</f>
        <v>53.90342052313882</v>
      </c>
    </row>
    <row r="440" spans="1:12">
      <c r="A440" s="96">
        <v>43922</v>
      </c>
      <c r="B440" s="101">
        <v>26.2</v>
      </c>
      <c r="C440" s="4">
        <f t="shared" si="12"/>
        <v>-2.2269272789466228E-2</v>
      </c>
      <c r="D440" s="1">
        <f>IFERROR(Comp2[[#This Row],[Comparable '#2 Return]]+1,"-")</f>
        <v>0.97773072721053378</v>
      </c>
      <c r="E440" s="6">
        <f>B440-MAX($B$2:B440)</f>
        <v>-31.959999999999997</v>
      </c>
      <c r="F440" s="80">
        <f t="shared" si="13"/>
        <v>347</v>
      </c>
      <c r="G440" s="77">
        <f>Comp2[[#This Row],[Comparable '#2 Drawdown]]/MAX($B$2:B440)</f>
        <v>-0.54951856946354882</v>
      </c>
      <c r="H440" s="1" t="str">
        <f>IF(SUM(COUNTIF(Benchmark1[Benchmark '#1 Dates],Comp2[[#This Row],[Comparable '#2 Dates]]),COUNTIF(Benchmark2[Benchmark '#2 Dates],Comp2[[#This Row],[Comparable '#2 Dates]]))=2,"Pass","Fail")</f>
        <v>Pass</v>
      </c>
      <c r="I440" s="1">
        <f>IFERROR(Comp2[[#This Row],[Comparable '#2 Return]]-INDEX(Benchmark1[Benchmark '#1 Return],MATCH(Comp2[[#This Row],[Comparable '#2 Dates]],Benchmark1[Benchmark '#1 Dates],0)),"-")</f>
        <v>2.2875564985492244E-2</v>
      </c>
      <c r="L440" s="72">
        <f>Comp2[[#This Row],[Comparable '#2 Price]]/$B$2*100</f>
        <v>52.716297786720311</v>
      </c>
    </row>
    <row r="441" spans="1:12">
      <c r="A441" s="96">
        <v>43923</v>
      </c>
      <c r="B441" s="101">
        <v>24.97</v>
      </c>
      <c r="C441" s="4">
        <f t="shared" si="12"/>
        <v>-4.8084306475369334E-2</v>
      </c>
      <c r="D441" s="1">
        <f>IFERROR(Comp2[[#This Row],[Comparable '#2 Return]]+1,"-")</f>
        <v>0.95191569352463068</v>
      </c>
      <c r="E441" s="6">
        <f>B441-MAX($B$2:B441)</f>
        <v>-33.19</v>
      </c>
      <c r="F441" s="80">
        <f t="shared" si="13"/>
        <v>348</v>
      </c>
      <c r="G441" s="77">
        <f>Comp2[[#This Row],[Comparable '#2 Drawdown]]/MAX($B$2:B441)</f>
        <v>-0.57066712517193952</v>
      </c>
      <c r="H441" s="1" t="str">
        <f>IF(SUM(COUNTIF(Benchmark1[Benchmark '#1 Dates],Comp2[[#This Row],[Comparable '#2 Dates]]),COUNTIF(Benchmark2[Benchmark '#2 Dates],Comp2[[#This Row],[Comparable '#2 Dates]]))=2,"Pass","Fail")</f>
        <v>Pass</v>
      </c>
      <c r="I441" s="1">
        <f>IFERROR(Comp2[[#This Row],[Comparable '#2 Return]]-INDEX(Benchmark1[Benchmark '#1 Return],MATCH(Comp2[[#This Row],[Comparable '#2 Dates]],Benchmark1[Benchmark '#1 Dates],0)),"-")</f>
        <v>-7.0656313447869046E-2</v>
      </c>
      <c r="L441" s="72">
        <f>Comp2[[#This Row],[Comparable '#2 Price]]/$B$2*100</f>
        <v>50.241448692152915</v>
      </c>
    </row>
    <row r="442" spans="1:12">
      <c r="A442" s="96">
        <v>43924</v>
      </c>
      <c r="B442" s="101">
        <v>23.57</v>
      </c>
      <c r="C442" s="4">
        <f t="shared" si="12"/>
        <v>-5.7700387343642003E-2</v>
      </c>
      <c r="D442" s="1">
        <f>IFERROR(Comp2[[#This Row],[Comparable '#2 Return]]+1,"-")</f>
        <v>0.94229961265635798</v>
      </c>
      <c r="E442" s="6">
        <f>B442-MAX($B$2:B442)</f>
        <v>-34.589999999999996</v>
      </c>
      <c r="F442" s="80">
        <f t="shared" si="13"/>
        <v>349</v>
      </c>
      <c r="G442" s="77">
        <f>Comp2[[#This Row],[Comparable '#2 Drawdown]]/MAX($B$2:B442)</f>
        <v>-0.59473865199449794</v>
      </c>
      <c r="H442" s="1" t="str">
        <f>IF(SUM(COUNTIF(Benchmark1[Benchmark '#1 Dates],Comp2[[#This Row],[Comparable '#2 Dates]]),COUNTIF(Benchmark2[Benchmark '#2 Dates],Comp2[[#This Row],[Comparable '#2 Dates]]))=2,"Pass","Fail")</f>
        <v>Pass</v>
      </c>
      <c r="I442" s="1">
        <f>IFERROR(Comp2[[#This Row],[Comparable '#2 Return]]-INDEX(Benchmark1[Benchmark '#1 Return],MATCH(Comp2[[#This Row],[Comparable '#2 Dates]],Benchmark1[Benchmark '#1 Dates],0)),"-")</f>
        <v>-4.244580742049664E-2</v>
      </c>
      <c r="L442" s="72">
        <f>Comp2[[#This Row],[Comparable '#2 Price]]/$B$2*100</f>
        <v>47.424547283702211</v>
      </c>
    </row>
    <row r="443" spans="1:12">
      <c r="A443" s="96">
        <v>43927</v>
      </c>
      <c r="B443" s="101">
        <v>25.23</v>
      </c>
      <c r="C443" s="4">
        <f t="shared" si="12"/>
        <v>6.8059045704926727E-2</v>
      </c>
      <c r="D443" s="1">
        <f>IFERROR(Comp2[[#This Row],[Comparable '#2 Return]]+1,"-")</f>
        <v>1.0680590457049268</v>
      </c>
      <c r="E443" s="6">
        <f>B443-MAX($B$2:B443)</f>
        <v>-32.929999999999993</v>
      </c>
      <c r="F443" s="80">
        <f t="shared" si="13"/>
        <v>350</v>
      </c>
      <c r="G443" s="77">
        <f>Comp2[[#This Row],[Comparable '#2 Drawdown]]/MAX($B$2:B443)</f>
        <v>-0.56619669876203571</v>
      </c>
      <c r="H443" s="1" t="str">
        <f>IF(SUM(COUNTIF(Benchmark1[Benchmark '#1 Dates],Comp2[[#This Row],[Comparable '#2 Dates]]),COUNTIF(Benchmark2[Benchmark '#2 Dates],Comp2[[#This Row],[Comparable '#2 Dates]]))=2,"Pass","Fail")</f>
        <v>Pass</v>
      </c>
      <c r="I443" s="1">
        <f>IFERROR(Comp2[[#This Row],[Comparable '#2 Return]]-INDEX(Benchmark1[Benchmark '#1 Return],MATCH(Comp2[[#This Row],[Comparable '#2 Dates]],Benchmark1[Benchmark '#1 Dates],0)),"-")</f>
        <v>8.8778556582763679E-5</v>
      </c>
      <c r="L443" s="72">
        <f>Comp2[[#This Row],[Comparable '#2 Price]]/$B$2*100</f>
        <v>50.764587525150908</v>
      </c>
    </row>
    <row r="444" spans="1:12">
      <c r="A444" s="96">
        <v>43928</v>
      </c>
      <c r="B444" s="101">
        <v>25.06</v>
      </c>
      <c r="C444" s="4">
        <f t="shared" si="12"/>
        <v>-6.7608131850441806E-3</v>
      </c>
      <c r="D444" s="1">
        <f>IFERROR(Comp2[[#This Row],[Comparable '#2 Return]]+1,"-")</f>
        <v>0.99323918681495582</v>
      </c>
      <c r="E444" s="6">
        <f>B444-MAX($B$2:B444)</f>
        <v>-33.099999999999994</v>
      </c>
      <c r="F444" s="80">
        <f t="shared" si="13"/>
        <v>351</v>
      </c>
      <c r="G444" s="77">
        <f>Comp2[[#This Row],[Comparable '#2 Drawdown]]/MAX($B$2:B444)</f>
        <v>-0.56911966987620355</v>
      </c>
      <c r="H444" s="1" t="str">
        <f>IF(SUM(COUNTIF(Benchmark1[Benchmark '#1 Dates],Comp2[[#This Row],[Comparable '#2 Dates]]),COUNTIF(Benchmark2[Benchmark '#2 Dates],Comp2[[#This Row],[Comparable '#2 Dates]]))=2,"Pass","Fail")</f>
        <v>Pass</v>
      </c>
      <c r="I444" s="1">
        <f>IFERROR(Comp2[[#This Row],[Comparable '#2 Return]]-INDEX(Benchmark1[Benchmark '#1 Return],MATCH(Comp2[[#This Row],[Comparable '#2 Dates]],Benchmark1[Benchmark '#1 Dates],0)),"-")</f>
        <v>-5.1553060592424444E-3</v>
      </c>
      <c r="L444" s="72">
        <f>Comp2[[#This Row],[Comparable '#2 Price]]/$B$2*100</f>
        <v>50.422535211267608</v>
      </c>
    </row>
    <row r="445" spans="1:12">
      <c r="A445" s="96">
        <v>43929</v>
      </c>
      <c r="B445" s="101">
        <v>26.22</v>
      </c>
      <c r="C445" s="4">
        <f t="shared" si="12"/>
        <v>4.5249528867631512E-2</v>
      </c>
      <c r="D445" s="1">
        <f>IFERROR(Comp2[[#This Row],[Comparable '#2 Return]]+1,"-")</f>
        <v>1.0452495288676316</v>
      </c>
      <c r="E445" s="6">
        <f>B445-MAX($B$2:B445)</f>
        <v>-31.939999999999998</v>
      </c>
      <c r="F445" s="80">
        <f t="shared" si="13"/>
        <v>352</v>
      </c>
      <c r="G445" s="77">
        <f>Comp2[[#This Row],[Comparable '#2 Drawdown]]/MAX($B$2:B445)</f>
        <v>-0.54917469050894085</v>
      </c>
      <c r="H445" s="1" t="str">
        <f>IF(SUM(COUNTIF(Benchmark1[Benchmark '#1 Dates],Comp2[[#This Row],[Comparable '#2 Dates]]),COUNTIF(Benchmark2[Benchmark '#2 Dates],Comp2[[#This Row],[Comparable '#2 Dates]]))=2,"Pass","Fail")</f>
        <v>Pass</v>
      </c>
      <c r="I445" s="1">
        <f>IFERROR(Comp2[[#This Row],[Comparable '#2 Return]]-INDEX(Benchmark1[Benchmark '#1 Return],MATCH(Comp2[[#This Row],[Comparable '#2 Dates]],Benchmark1[Benchmark '#1 Dates],0)),"-")</f>
        <v>1.1761259202900422E-2</v>
      </c>
      <c r="L445" s="72">
        <f>Comp2[[#This Row],[Comparable '#2 Price]]/$B$2*100</f>
        <v>52.756539235412468</v>
      </c>
    </row>
    <row r="446" spans="1:12">
      <c r="A446" s="96">
        <v>43930</v>
      </c>
      <c r="B446" s="101">
        <v>26.54</v>
      </c>
      <c r="C446" s="4">
        <f t="shared" si="12"/>
        <v>1.2130550568507628E-2</v>
      </c>
      <c r="D446" s="1">
        <f>IFERROR(Comp2[[#This Row],[Comparable '#2 Return]]+1,"-")</f>
        <v>1.0121305505685076</v>
      </c>
      <c r="E446" s="6">
        <f>B446-MAX($B$2:B446)</f>
        <v>-31.619999999999997</v>
      </c>
      <c r="F446" s="80">
        <f t="shared" si="13"/>
        <v>353</v>
      </c>
      <c r="G446" s="77">
        <f>Comp2[[#This Row],[Comparable '#2 Drawdown]]/MAX($B$2:B446)</f>
        <v>-0.54367262723521315</v>
      </c>
      <c r="H446" s="1" t="str">
        <f>IF(SUM(COUNTIF(Benchmark1[Benchmark '#1 Dates],Comp2[[#This Row],[Comparable '#2 Dates]]),COUNTIF(Benchmark2[Benchmark '#2 Dates],Comp2[[#This Row],[Comparable '#2 Dates]]))=2,"Pass","Fail")</f>
        <v>Pass</v>
      </c>
      <c r="I446" s="1">
        <f>IFERROR(Comp2[[#This Row],[Comparable '#2 Return]]-INDEX(Benchmark1[Benchmark '#1 Return],MATCH(Comp2[[#This Row],[Comparable '#2 Dates]],Benchmark1[Benchmark '#1 Dates],0)),"-")</f>
        <v>-2.2527701259200394E-3</v>
      </c>
      <c r="L446" s="72">
        <f>Comp2[[#This Row],[Comparable '#2 Price]]/$B$2*100</f>
        <v>53.400402414486912</v>
      </c>
    </row>
    <row r="447" spans="1:12">
      <c r="A447" s="96">
        <v>43934</v>
      </c>
      <c r="B447" s="101">
        <v>26.23</v>
      </c>
      <c r="C447" s="4">
        <f t="shared" si="12"/>
        <v>-1.1749235025279046E-2</v>
      </c>
      <c r="D447" s="1">
        <f>IFERROR(Comp2[[#This Row],[Comparable '#2 Return]]+1,"-")</f>
        <v>0.98825076497472097</v>
      </c>
      <c r="E447" s="6">
        <f>B447-MAX($B$2:B447)</f>
        <v>-31.929999999999996</v>
      </c>
      <c r="F447" s="80">
        <f t="shared" si="13"/>
        <v>354</v>
      </c>
      <c r="G447" s="77">
        <f>Comp2[[#This Row],[Comparable '#2 Drawdown]]/MAX($B$2:B447)</f>
        <v>-0.54900275103163687</v>
      </c>
      <c r="H447" s="1" t="str">
        <f>IF(SUM(COUNTIF(Benchmark1[Benchmark '#1 Dates],Comp2[[#This Row],[Comparable '#2 Dates]]),COUNTIF(Benchmark2[Benchmark '#2 Dates],Comp2[[#This Row],[Comparable '#2 Dates]]))=2,"Pass","Fail")</f>
        <v>Pass</v>
      </c>
      <c r="I447" s="1">
        <f>IFERROR(Comp2[[#This Row],[Comparable '#2 Return]]-INDEX(Benchmark1[Benchmark '#1 Return],MATCH(Comp2[[#This Row],[Comparable '#2 Dates]],Benchmark1[Benchmark '#1 Dates],0)),"-")</f>
        <v>-1.5931881089826065E-3</v>
      </c>
      <c r="L447" s="72">
        <f>Comp2[[#This Row],[Comparable '#2 Price]]/$B$2*100</f>
        <v>52.776659959758554</v>
      </c>
    </row>
    <row r="448" spans="1:12">
      <c r="A448" s="96">
        <v>43935</v>
      </c>
      <c r="B448" s="101">
        <v>26.88</v>
      </c>
      <c r="C448" s="4">
        <f t="shared" si="12"/>
        <v>2.447872177616639E-2</v>
      </c>
      <c r="D448" s="1">
        <f>IFERROR(Comp2[[#This Row],[Comparable '#2 Return]]+1,"-")</f>
        <v>1.0244787217761664</v>
      </c>
      <c r="E448" s="6">
        <f>B448-MAX($B$2:B448)</f>
        <v>-31.279999999999998</v>
      </c>
      <c r="F448" s="80">
        <f t="shared" si="13"/>
        <v>355</v>
      </c>
      <c r="G448" s="77">
        <f>Comp2[[#This Row],[Comparable '#2 Drawdown]]/MAX($B$2:B448)</f>
        <v>-0.53782668500687758</v>
      </c>
      <c r="H448" s="1" t="str">
        <f>IF(SUM(COUNTIF(Benchmark1[Benchmark '#1 Dates],Comp2[[#This Row],[Comparable '#2 Dates]]),COUNTIF(Benchmark2[Benchmark '#2 Dates],Comp2[[#This Row],[Comparable '#2 Dates]]))=2,"Pass","Fail")</f>
        <v>Pass</v>
      </c>
      <c r="I448" s="1">
        <f>IFERROR(Comp2[[#This Row],[Comparable '#2 Return]]-INDEX(Benchmark1[Benchmark '#1 Return],MATCH(Comp2[[#This Row],[Comparable '#2 Dates]],Benchmark1[Benchmark '#1 Dates],0)),"-")</f>
        <v>-5.6371692547131508E-3</v>
      </c>
      <c r="L448" s="72">
        <f>Comp2[[#This Row],[Comparable '#2 Price]]/$B$2*100</f>
        <v>54.084507042253513</v>
      </c>
    </row>
    <row r="449" spans="1:12">
      <c r="A449" s="96">
        <v>43936</v>
      </c>
      <c r="B449" s="101">
        <v>26.11</v>
      </c>
      <c r="C449" s="4">
        <f t="shared" si="12"/>
        <v>-2.9064132943911355E-2</v>
      </c>
      <c r="D449" s="1">
        <f>IFERROR(Comp2[[#This Row],[Comparable '#2 Return]]+1,"-")</f>
        <v>0.9709358670560887</v>
      </c>
      <c r="E449" s="6">
        <f>B449-MAX($B$2:B449)</f>
        <v>-32.049999999999997</v>
      </c>
      <c r="F449" s="80">
        <f t="shared" si="13"/>
        <v>356</v>
      </c>
      <c r="G449" s="77">
        <f>Comp2[[#This Row],[Comparable '#2 Drawdown]]/MAX($B$2:B449)</f>
        <v>-0.55106602475928468</v>
      </c>
      <c r="H449" s="1" t="str">
        <f>IF(SUM(COUNTIF(Benchmark1[Benchmark '#1 Dates],Comp2[[#This Row],[Comparable '#2 Dates]]),COUNTIF(Benchmark2[Benchmark '#2 Dates],Comp2[[#This Row],[Comparable '#2 Dates]]))=2,"Pass","Fail")</f>
        <v>Pass</v>
      </c>
      <c r="I449" s="1">
        <f>IFERROR(Comp2[[#This Row],[Comparable '#2 Return]]-INDEX(Benchmark1[Benchmark '#1 Return],MATCH(Comp2[[#This Row],[Comparable '#2 Dates]],Benchmark1[Benchmark '#1 Dates],0)),"-")</f>
        <v>-6.7877515329762099E-3</v>
      </c>
      <c r="L449" s="72">
        <f>Comp2[[#This Row],[Comparable '#2 Price]]/$B$2*100</f>
        <v>52.535211267605632</v>
      </c>
    </row>
    <row r="450" spans="1:12">
      <c r="A450" s="96">
        <v>43937</v>
      </c>
      <c r="B450" s="101">
        <v>25.71</v>
      </c>
      <c r="C450" s="4">
        <f t="shared" ref="C450:C513" si="14">IFERROR(IF(B450="","-",LN(B450/B449)),"-")</f>
        <v>-1.5438361433239312E-2</v>
      </c>
      <c r="D450" s="1">
        <f>IFERROR(Comp2[[#This Row],[Comparable '#2 Return]]+1,"-")</f>
        <v>0.98456163856676071</v>
      </c>
      <c r="E450" s="6">
        <f>B450-MAX($B$2:B450)</f>
        <v>-32.449999999999996</v>
      </c>
      <c r="F450" s="80">
        <f t="shared" ref="F450:F513" si="15">IF(E450=0,0,F449+1)</f>
        <v>357</v>
      </c>
      <c r="G450" s="77">
        <f>Comp2[[#This Row],[Comparable '#2 Drawdown]]/MAX($B$2:B450)</f>
        <v>-0.55794360385144426</v>
      </c>
      <c r="H450" s="1" t="str">
        <f>IF(SUM(COUNTIF(Benchmark1[Benchmark '#1 Dates],Comp2[[#This Row],[Comparable '#2 Dates]]),COUNTIF(Benchmark2[Benchmark '#2 Dates],Comp2[[#This Row],[Comparable '#2 Dates]]))=2,"Pass","Fail")</f>
        <v>Pass</v>
      </c>
      <c r="I450" s="1">
        <f>IFERROR(Comp2[[#This Row],[Comparable '#2 Return]]-INDEX(Benchmark1[Benchmark '#1 Return],MATCH(Comp2[[#This Row],[Comparable '#2 Dates]],Benchmark1[Benchmark '#1 Dates],0)),"-")</f>
        <v>-2.1238295497718322E-2</v>
      </c>
      <c r="L450" s="72">
        <f>Comp2[[#This Row],[Comparable '#2 Price]]/$B$2*100</f>
        <v>51.730382293762581</v>
      </c>
    </row>
    <row r="451" spans="1:12">
      <c r="A451" s="96">
        <v>43938</v>
      </c>
      <c r="B451" s="101">
        <v>27.82</v>
      </c>
      <c r="C451" s="4">
        <f t="shared" si="14"/>
        <v>7.8875165217498683E-2</v>
      </c>
      <c r="D451" s="1">
        <f>IFERROR(Comp2[[#This Row],[Comparable '#2 Return]]+1,"-")</f>
        <v>1.0788751652174986</v>
      </c>
      <c r="E451" s="6">
        <f>B451-MAX($B$2:B451)</f>
        <v>-30.339999999999996</v>
      </c>
      <c r="F451" s="80">
        <f t="shared" si="15"/>
        <v>358</v>
      </c>
      <c r="G451" s="77">
        <f>Comp2[[#This Row],[Comparable '#2 Drawdown]]/MAX($B$2:B451)</f>
        <v>-0.52166437414030253</v>
      </c>
      <c r="H451" s="1" t="str">
        <f>IF(SUM(COUNTIF(Benchmark1[Benchmark '#1 Dates],Comp2[[#This Row],[Comparable '#2 Dates]]),COUNTIF(Benchmark2[Benchmark '#2 Dates],Comp2[[#This Row],[Comparable '#2 Dates]]))=2,"Pass","Fail")</f>
        <v>Pass</v>
      </c>
      <c r="I451" s="1">
        <f>IFERROR(Comp2[[#This Row],[Comparable '#2 Return]]-INDEX(Benchmark1[Benchmark '#1 Return],MATCH(Comp2[[#This Row],[Comparable '#2 Dates]],Benchmark1[Benchmark '#1 Dates],0)),"-")</f>
        <v>5.2433480938566757E-2</v>
      </c>
      <c r="L451" s="72">
        <f>Comp2[[#This Row],[Comparable '#2 Price]]/$B$2*100</f>
        <v>55.975855130784701</v>
      </c>
    </row>
    <row r="452" spans="1:12">
      <c r="A452" s="96">
        <v>43941</v>
      </c>
      <c r="B452" s="101">
        <v>26.88</v>
      </c>
      <c r="C452" s="4">
        <f t="shared" si="14"/>
        <v>-3.4372670840348084E-2</v>
      </c>
      <c r="D452" s="1">
        <f>IFERROR(Comp2[[#This Row],[Comparable '#2 Return]]+1,"-")</f>
        <v>0.96562732915965188</v>
      </c>
      <c r="E452" s="6">
        <f>B452-MAX($B$2:B452)</f>
        <v>-31.279999999999998</v>
      </c>
      <c r="F452" s="80">
        <f t="shared" si="15"/>
        <v>359</v>
      </c>
      <c r="G452" s="77">
        <f>Comp2[[#This Row],[Comparable '#2 Drawdown]]/MAX($B$2:B452)</f>
        <v>-0.53782668500687758</v>
      </c>
      <c r="H452" s="1" t="str">
        <f>IF(SUM(COUNTIF(Benchmark1[Benchmark '#1 Dates],Comp2[[#This Row],[Comparable '#2 Dates]]),COUNTIF(Benchmark2[Benchmark '#2 Dates],Comp2[[#This Row],[Comparable '#2 Dates]]))=2,"Pass","Fail")</f>
        <v>Pass</v>
      </c>
      <c r="I452" s="1">
        <f>IFERROR(Comp2[[#This Row],[Comparable '#2 Return]]-INDEX(Benchmark1[Benchmark '#1 Return],MATCH(Comp2[[#This Row],[Comparable '#2 Dates]],Benchmark1[Benchmark '#1 Dates],0)),"-")</f>
        <v>-1.6327008079920321E-2</v>
      </c>
      <c r="L452" s="72">
        <f>Comp2[[#This Row],[Comparable '#2 Price]]/$B$2*100</f>
        <v>54.084507042253513</v>
      </c>
    </row>
    <row r="453" spans="1:12">
      <c r="A453" s="96">
        <v>43942</v>
      </c>
      <c r="B453" s="101">
        <v>26.57</v>
      </c>
      <c r="C453" s="4">
        <f t="shared" si="14"/>
        <v>-1.1599755883226589E-2</v>
      </c>
      <c r="D453" s="1">
        <f>IFERROR(Comp2[[#This Row],[Comparable '#2 Return]]+1,"-")</f>
        <v>0.98840024411677341</v>
      </c>
      <c r="E453" s="6">
        <f>B453-MAX($B$2:B453)</f>
        <v>-31.589999999999996</v>
      </c>
      <c r="F453" s="80">
        <f t="shared" si="15"/>
        <v>360</v>
      </c>
      <c r="G453" s="77">
        <f>Comp2[[#This Row],[Comparable '#2 Drawdown]]/MAX($B$2:B453)</f>
        <v>-0.54315680880330119</v>
      </c>
      <c r="H453" s="1" t="str">
        <f>IF(SUM(COUNTIF(Benchmark1[Benchmark '#1 Dates],Comp2[[#This Row],[Comparable '#2 Dates]]),COUNTIF(Benchmark2[Benchmark '#2 Dates],Comp2[[#This Row],[Comparable '#2 Dates]]))=2,"Pass","Fail")</f>
        <v>Pass</v>
      </c>
      <c r="I453" s="1">
        <f>IFERROR(Comp2[[#This Row],[Comparable '#2 Return]]-INDEX(Benchmark1[Benchmark '#1 Return],MATCH(Comp2[[#This Row],[Comparable '#2 Dates]],Benchmark1[Benchmark '#1 Dates],0)),"-")</f>
        <v>1.9552940445958875E-2</v>
      </c>
      <c r="L453" s="72">
        <f>Comp2[[#This Row],[Comparable '#2 Price]]/$B$2*100</f>
        <v>53.460764587525148</v>
      </c>
    </row>
    <row r="454" spans="1:12">
      <c r="A454" s="96">
        <v>43943</v>
      </c>
      <c r="B454" s="101">
        <v>27.54</v>
      </c>
      <c r="C454" s="4">
        <f t="shared" si="14"/>
        <v>3.5856733528786697E-2</v>
      </c>
      <c r="D454" s="1">
        <f>IFERROR(Comp2[[#This Row],[Comparable '#2 Return]]+1,"-")</f>
        <v>1.0358567335287867</v>
      </c>
      <c r="E454" s="6">
        <f>B454-MAX($B$2:B454)</f>
        <v>-30.619999999999997</v>
      </c>
      <c r="F454" s="80">
        <f t="shared" si="15"/>
        <v>361</v>
      </c>
      <c r="G454" s="77">
        <f>Comp2[[#This Row],[Comparable '#2 Drawdown]]/MAX($B$2:B454)</f>
        <v>-0.52647867950481431</v>
      </c>
      <c r="H454" s="1" t="str">
        <f>IF(SUM(COUNTIF(Benchmark1[Benchmark '#1 Dates],Comp2[[#This Row],[Comparable '#2 Dates]]),COUNTIF(Benchmark2[Benchmark '#2 Dates],Comp2[[#This Row],[Comparable '#2 Dates]]))=2,"Pass","Fail")</f>
        <v>Pass</v>
      </c>
      <c r="I454" s="1">
        <f>IFERROR(Comp2[[#This Row],[Comparable '#2 Return]]-INDEX(Benchmark1[Benchmark '#1 Return],MATCH(Comp2[[#This Row],[Comparable '#2 Dates]],Benchmark1[Benchmark '#1 Dates],0)),"-")</f>
        <v>1.3184921848491727E-2</v>
      </c>
      <c r="L454" s="72">
        <f>Comp2[[#This Row],[Comparable '#2 Price]]/$B$2*100</f>
        <v>55.412474849094565</v>
      </c>
    </row>
    <row r="455" spans="1:12">
      <c r="A455" s="96">
        <v>43944</v>
      </c>
      <c r="B455" s="101">
        <v>27.82</v>
      </c>
      <c r="C455" s="4">
        <f t="shared" si="14"/>
        <v>1.0115693194788198E-2</v>
      </c>
      <c r="D455" s="1">
        <f>IFERROR(Comp2[[#This Row],[Comparable '#2 Return]]+1,"-")</f>
        <v>1.0101156931947881</v>
      </c>
      <c r="E455" s="6">
        <f>B455-MAX($B$2:B455)</f>
        <v>-30.339999999999996</v>
      </c>
      <c r="F455" s="80">
        <f t="shared" si="15"/>
        <v>362</v>
      </c>
      <c r="G455" s="77">
        <f>Comp2[[#This Row],[Comparable '#2 Drawdown]]/MAX($B$2:B455)</f>
        <v>-0.52166437414030253</v>
      </c>
      <c r="H455" s="1" t="str">
        <f>IF(SUM(COUNTIF(Benchmark1[Benchmark '#1 Dates],Comp2[[#This Row],[Comparable '#2 Dates]]),COUNTIF(Benchmark2[Benchmark '#2 Dates],Comp2[[#This Row],[Comparable '#2 Dates]]))=2,"Pass","Fail")</f>
        <v>Pass</v>
      </c>
      <c r="I455" s="1">
        <f>IFERROR(Comp2[[#This Row],[Comparable '#2 Return]]-INDEX(Benchmark1[Benchmark '#1 Return],MATCH(Comp2[[#This Row],[Comparable '#2 Dates]],Benchmark1[Benchmark '#1 Dates],0)),"-")</f>
        <v>1.0658167287891549E-2</v>
      </c>
      <c r="L455" s="72">
        <f>Comp2[[#This Row],[Comparable '#2 Price]]/$B$2*100</f>
        <v>55.975855130784701</v>
      </c>
    </row>
    <row r="456" spans="1:12">
      <c r="A456" s="96">
        <v>43945</v>
      </c>
      <c r="B456" s="101">
        <v>28.09</v>
      </c>
      <c r="C456" s="4">
        <f t="shared" si="14"/>
        <v>9.6584546208555132E-3</v>
      </c>
      <c r="D456" s="1">
        <f>IFERROR(Comp2[[#This Row],[Comparable '#2 Return]]+1,"-")</f>
        <v>1.0096584546208556</v>
      </c>
      <c r="E456" s="6">
        <f>B456-MAX($B$2:B456)</f>
        <v>-30.069999999999997</v>
      </c>
      <c r="F456" s="80">
        <f t="shared" si="15"/>
        <v>363</v>
      </c>
      <c r="G456" s="77">
        <f>Comp2[[#This Row],[Comparable '#2 Drawdown]]/MAX($B$2:B456)</f>
        <v>-0.51702200825309486</v>
      </c>
      <c r="H456" s="1" t="str">
        <f>IF(SUM(COUNTIF(Benchmark1[Benchmark '#1 Dates],Comp2[[#This Row],[Comparable '#2 Dates]]),COUNTIF(Benchmark2[Benchmark '#2 Dates],Comp2[[#This Row],[Comparable '#2 Dates]]))=2,"Pass","Fail")</f>
        <v>Pass</v>
      </c>
      <c r="I456" s="1">
        <f>IFERROR(Comp2[[#This Row],[Comparable '#2 Return]]-INDEX(Benchmark1[Benchmark '#1 Return],MATCH(Comp2[[#This Row],[Comparable '#2 Dates]],Benchmark1[Benchmark '#1 Dates],0)),"-")</f>
        <v>-4.164767713217353E-3</v>
      </c>
      <c r="L456" s="72">
        <f>Comp2[[#This Row],[Comparable '#2 Price]]/$B$2*100</f>
        <v>56.519114688128766</v>
      </c>
    </row>
    <row r="457" spans="1:12">
      <c r="A457" s="96">
        <v>43948</v>
      </c>
      <c r="B457" s="101">
        <v>30.19</v>
      </c>
      <c r="C457" s="4">
        <f t="shared" si="14"/>
        <v>7.2097102602595192E-2</v>
      </c>
      <c r="D457" s="1">
        <f>IFERROR(Comp2[[#This Row],[Comparable '#2 Return]]+1,"-")</f>
        <v>1.0720971026025952</v>
      </c>
      <c r="E457" s="6">
        <f>B457-MAX($B$2:B457)</f>
        <v>-27.969999999999995</v>
      </c>
      <c r="F457" s="80">
        <f t="shared" si="15"/>
        <v>364</v>
      </c>
      <c r="G457" s="77">
        <f>Comp2[[#This Row],[Comparable '#2 Drawdown]]/MAX($B$2:B457)</f>
        <v>-0.48091471801925717</v>
      </c>
      <c r="H457" s="1" t="str">
        <f>IF(SUM(COUNTIF(Benchmark1[Benchmark '#1 Dates],Comp2[[#This Row],[Comparable '#2 Dates]]),COUNTIF(Benchmark2[Benchmark '#2 Dates],Comp2[[#This Row],[Comparable '#2 Dates]]))=2,"Pass","Fail")</f>
        <v>Pass</v>
      </c>
      <c r="I457" s="1">
        <f>IFERROR(Comp2[[#This Row],[Comparable '#2 Return]]-INDEX(Benchmark1[Benchmark '#1 Return],MATCH(Comp2[[#This Row],[Comparable '#2 Dates]],Benchmark1[Benchmark '#1 Dates],0)),"-")</f>
        <v>5.7490158486034428E-2</v>
      </c>
      <c r="L457" s="72">
        <f>Comp2[[#This Row],[Comparable '#2 Price]]/$B$2*100</f>
        <v>60.74446680080483</v>
      </c>
    </row>
    <row r="458" spans="1:12">
      <c r="A458" s="96">
        <v>43949</v>
      </c>
      <c r="B458" s="101">
        <v>31.36</v>
      </c>
      <c r="C458" s="4">
        <f t="shared" si="14"/>
        <v>3.8022451763459586E-2</v>
      </c>
      <c r="D458" s="1">
        <f>IFERROR(Comp2[[#This Row],[Comparable '#2 Return]]+1,"-")</f>
        <v>1.0380224517634595</v>
      </c>
      <c r="E458" s="6">
        <f>B458-MAX($B$2:B458)</f>
        <v>-26.799999999999997</v>
      </c>
      <c r="F458" s="80">
        <f t="shared" si="15"/>
        <v>365</v>
      </c>
      <c r="G458" s="77">
        <f>Comp2[[#This Row],[Comparable '#2 Drawdown]]/MAX($B$2:B458)</f>
        <v>-0.46079779917469049</v>
      </c>
      <c r="H458" s="1" t="str">
        <f>IF(SUM(COUNTIF(Benchmark1[Benchmark '#1 Dates],Comp2[[#This Row],[Comparable '#2 Dates]]),COUNTIF(Benchmark2[Benchmark '#2 Dates],Comp2[[#This Row],[Comparable '#2 Dates]]))=2,"Pass","Fail")</f>
        <v>Pass</v>
      </c>
      <c r="I458" s="1">
        <f>IFERROR(Comp2[[#This Row],[Comparable '#2 Return]]-INDEX(Benchmark1[Benchmark '#1 Return],MATCH(Comp2[[#This Row],[Comparable '#2 Dates]],Benchmark1[Benchmark '#1 Dates],0)),"-")</f>
        <v>4.3277940100152297E-2</v>
      </c>
      <c r="L458" s="72">
        <f>Comp2[[#This Row],[Comparable '#2 Price]]/$B$2*100</f>
        <v>63.098591549295769</v>
      </c>
    </row>
    <row r="459" spans="1:12">
      <c r="A459" s="96">
        <v>43950</v>
      </c>
      <c r="B459" s="101">
        <v>33.19</v>
      </c>
      <c r="C459" s="4">
        <f t="shared" si="14"/>
        <v>5.6715430249676194E-2</v>
      </c>
      <c r="D459" s="1">
        <f>IFERROR(Comp2[[#This Row],[Comparable '#2 Return]]+1,"-")</f>
        <v>1.0567154302496762</v>
      </c>
      <c r="E459" s="6">
        <f>B459-MAX($B$2:B459)</f>
        <v>-24.97</v>
      </c>
      <c r="F459" s="80">
        <f t="shared" si="15"/>
        <v>366</v>
      </c>
      <c r="G459" s="77">
        <f>Comp2[[#This Row],[Comparable '#2 Drawdown]]/MAX($B$2:B459)</f>
        <v>-0.42933287482806054</v>
      </c>
      <c r="H459" s="1" t="str">
        <f>IF(SUM(COUNTIF(Benchmark1[Benchmark '#1 Dates],Comp2[[#This Row],[Comparable '#2 Dates]]),COUNTIF(Benchmark2[Benchmark '#2 Dates],Comp2[[#This Row],[Comparable '#2 Dates]]))=2,"Pass","Fail")</f>
        <v>Pass</v>
      </c>
      <c r="I459" s="1">
        <f>IFERROR(Comp2[[#This Row],[Comparable '#2 Return]]-INDEX(Benchmark1[Benchmark '#1 Return],MATCH(Comp2[[#This Row],[Comparable '#2 Dates]],Benchmark1[Benchmark '#1 Dates],0)),"-")</f>
        <v>3.0480957651497734E-2</v>
      </c>
      <c r="L459" s="72">
        <f>Comp2[[#This Row],[Comparable '#2 Price]]/$B$2*100</f>
        <v>66.780684104627767</v>
      </c>
    </row>
    <row r="460" spans="1:12">
      <c r="A460" s="96">
        <v>43951</v>
      </c>
      <c r="B460" s="101">
        <v>31.77</v>
      </c>
      <c r="C460" s="4">
        <f t="shared" si="14"/>
        <v>-4.3726177450458419E-2</v>
      </c>
      <c r="D460" s="1">
        <f>IFERROR(Comp2[[#This Row],[Comparable '#2 Return]]+1,"-")</f>
        <v>0.95627382254954163</v>
      </c>
      <c r="E460" s="6">
        <f>B460-MAX($B$2:B460)</f>
        <v>-26.389999999999997</v>
      </c>
      <c r="F460" s="80">
        <f t="shared" si="15"/>
        <v>367</v>
      </c>
      <c r="G460" s="77">
        <f>Comp2[[#This Row],[Comparable '#2 Drawdown]]/MAX($B$2:B460)</f>
        <v>-0.45374828060522693</v>
      </c>
      <c r="H460" s="1" t="str">
        <f>IF(SUM(COUNTIF(Benchmark1[Benchmark '#1 Dates],Comp2[[#This Row],[Comparable '#2 Dates]]),COUNTIF(Benchmark2[Benchmark '#2 Dates],Comp2[[#This Row],[Comparable '#2 Dates]]))=2,"Pass","Fail")</f>
        <v>Pass</v>
      </c>
      <c r="I460" s="1">
        <f>IFERROR(Comp2[[#This Row],[Comparable '#2 Return]]-INDEX(Benchmark1[Benchmark '#1 Return],MATCH(Comp2[[#This Row],[Comparable '#2 Dates]],Benchmark1[Benchmark '#1 Dates],0)),"-")</f>
        <v>-3.4472809895288621E-2</v>
      </c>
      <c r="L460" s="72">
        <f>Comp2[[#This Row],[Comparable '#2 Price]]/$B$2*100</f>
        <v>63.923541247484906</v>
      </c>
    </row>
    <row r="461" spans="1:12">
      <c r="A461" s="96">
        <v>43952</v>
      </c>
      <c r="B461" s="101">
        <v>31.63</v>
      </c>
      <c r="C461" s="4">
        <f t="shared" si="14"/>
        <v>-4.4164109638673262E-3</v>
      </c>
      <c r="D461" s="1">
        <f>IFERROR(Comp2[[#This Row],[Comparable '#2 Return]]+1,"-")</f>
        <v>0.99558358903613264</v>
      </c>
      <c r="E461" s="6">
        <f>B461-MAX($B$2:B461)</f>
        <v>-26.529999999999998</v>
      </c>
      <c r="F461" s="80">
        <f t="shared" si="15"/>
        <v>368</v>
      </c>
      <c r="G461" s="77">
        <f>Comp2[[#This Row],[Comparable '#2 Drawdown]]/MAX($B$2:B461)</f>
        <v>-0.45615543328748281</v>
      </c>
      <c r="H461" s="1" t="str">
        <f>IF(SUM(COUNTIF(Benchmark1[Benchmark '#1 Dates],Comp2[[#This Row],[Comparable '#2 Dates]]),COUNTIF(Benchmark2[Benchmark '#2 Dates],Comp2[[#This Row],[Comparable '#2 Dates]]))=2,"Pass","Fail")</f>
        <v>Pass</v>
      </c>
      <c r="I461" s="1">
        <f>IFERROR(Comp2[[#This Row],[Comparable '#2 Return]]-INDEX(Benchmark1[Benchmark '#1 Return],MATCH(Comp2[[#This Row],[Comparable '#2 Dates]],Benchmark1[Benchmark '#1 Dates],0)),"-")</f>
        <v>2.4045738749308255E-2</v>
      </c>
      <c r="L461" s="72">
        <f>Comp2[[#This Row],[Comparable '#2 Price]]/$B$2*100</f>
        <v>63.641851106639834</v>
      </c>
    </row>
    <row r="462" spans="1:12">
      <c r="A462" s="96">
        <v>43955</v>
      </c>
      <c r="B462" s="101">
        <v>31.57</v>
      </c>
      <c r="C462" s="4">
        <f t="shared" si="14"/>
        <v>-1.8987347476571643E-3</v>
      </c>
      <c r="D462" s="1">
        <f>IFERROR(Comp2[[#This Row],[Comparable '#2 Return]]+1,"-")</f>
        <v>0.99810126525234288</v>
      </c>
      <c r="E462" s="6">
        <f>B462-MAX($B$2:B462)</f>
        <v>-26.589999999999996</v>
      </c>
      <c r="F462" s="80">
        <f t="shared" si="15"/>
        <v>369</v>
      </c>
      <c r="G462" s="77">
        <f>Comp2[[#This Row],[Comparable '#2 Drawdown]]/MAX($B$2:B462)</f>
        <v>-0.45718707015130672</v>
      </c>
      <c r="H462" s="1" t="str">
        <f>IF(SUM(COUNTIF(Benchmark1[Benchmark '#1 Dates],Comp2[[#This Row],[Comparable '#2 Dates]]),COUNTIF(Benchmark2[Benchmark '#2 Dates],Comp2[[#This Row],[Comparable '#2 Dates]]))=2,"Pass","Fail")</f>
        <v>Pass</v>
      </c>
      <c r="I462" s="1">
        <f>IFERROR(Comp2[[#This Row],[Comparable '#2 Return]]-INDEX(Benchmark1[Benchmark '#1 Return],MATCH(Comp2[[#This Row],[Comparable '#2 Dates]],Benchmark1[Benchmark '#1 Dates],0)),"-")</f>
        <v>-6.1409667599198825E-3</v>
      </c>
      <c r="L462" s="72">
        <f>Comp2[[#This Row],[Comparable '#2 Price]]/$B$2*100</f>
        <v>63.521126760563376</v>
      </c>
    </row>
    <row r="463" spans="1:12">
      <c r="A463" s="96">
        <v>43956</v>
      </c>
      <c r="B463" s="101">
        <v>31.55</v>
      </c>
      <c r="C463" s="4">
        <f t="shared" si="14"/>
        <v>-6.3371358267811598E-4</v>
      </c>
      <c r="D463" s="1">
        <f>IFERROR(Comp2[[#This Row],[Comparable '#2 Return]]+1,"-")</f>
        <v>0.99936628641732184</v>
      </c>
      <c r="E463" s="6">
        <f>B463-MAX($B$2:B463)</f>
        <v>-26.609999999999996</v>
      </c>
      <c r="F463" s="80">
        <f t="shared" si="15"/>
        <v>370</v>
      </c>
      <c r="G463" s="77">
        <f>Comp2[[#This Row],[Comparable '#2 Drawdown]]/MAX($B$2:B463)</f>
        <v>-0.45753094910591469</v>
      </c>
      <c r="H463" s="1" t="str">
        <f>IF(SUM(COUNTIF(Benchmark1[Benchmark '#1 Dates],Comp2[[#This Row],[Comparable '#2 Dates]]),COUNTIF(Benchmark2[Benchmark '#2 Dates],Comp2[[#This Row],[Comparable '#2 Dates]]))=2,"Pass","Fail")</f>
        <v>Pass</v>
      </c>
      <c r="I463" s="1">
        <f>IFERROR(Comp2[[#This Row],[Comparable '#2 Return]]-INDEX(Benchmark1[Benchmark '#1 Return],MATCH(Comp2[[#This Row],[Comparable '#2 Dates]],Benchmark1[Benchmark '#1 Dates],0)),"-")</f>
        <v>-9.6323877501220817E-3</v>
      </c>
      <c r="L463" s="72">
        <f>Comp2[[#This Row],[Comparable '#2 Price]]/$B$2*100</f>
        <v>63.480885311871226</v>
      </c>
    </row>
    <row r="464" spans="1:12">
      <c r="A464" s="96">
        <v>43957</v>
      </c>
      <c r="B464" s="101">
        <v>32.75</v>
      </c>
      <c r="C464" s="4">
        <f t="shared" si="14"/>
        <v>3.732937309403879E-2</v>
      </c>
      <c r="D464" s="1">
        <f>IFERROR(Comp2[[#This Row],[Comparable '#2 Return]]+1,"-")</f>
        <v>1.0373293730940387</v>
      </c>
      <c r="E464" s="6">
        <f>B464-MAX($B$2:B464)</f>
        <v>-25.409999999999997</v>
      </c>
      <c r="F464" s="80">
        <f t="shared" si="15"/>
        <v>371</v>
      </c>
      <c r="G464" s="77">
        <f>Comp2[[#This Row],[Comparable '#2 Drawdown]]/MAX($B$2:B464)</f>
        <v>-0.436898211829436</v>
      </c>
      <c r="H464" s="1" t="str">
        <f>IF(SUM(COUNTIF(Benchmark1[Benchmark '#1 Dates],Comp2[[#This Row],[Comparable '#2 Dates]]),COUNTIF(Benchmark2[Benchmark '#2 Dates],Comp2[[#This Row],[Comparable '#2 Dates]]))=2,"Pass","Fail")</f>
        <v>Pass</v>
      </c>
      <c r="I464" s="1">
        <f>IFERROR(Comp2[[#This Row],[Comparable '#2 Return]]-INDEX(Benchmark1[Benchmark '#1 Return],MATCH(Comp2[[#This Row],[Comparable '#2 Dates]],Benchmark1[Benchmark '#1 Dates],0)),"-")</f>
        <v>4.4331406084092348E-2</v>
      </c>
      <c r="L464" s="72">
        <f>Comp2[[#This Row],[Comparable '#2 Price]]/$B$2*100</f>
        <v>65.895372233400394</v>
      </c>
    </row>
    <row r="465" spans="1:12">
      <c r="A465" s="96">
        <v>43958</v>
      </c>
      <c r="B465" s="101">
        <v>34.24</v>
      </c>
      <c r="C465" s="4">
        <f t="shared" si="14"/>
        <v>4.4491589192280488E-2</v>
      </c>
      <c r="D465" s="1">
        <f>IFERROR(Comp2[[#This Row],[Comparable '#2 Return]]+1,"-")</f>
        <v>1.0444915891922806</v>
      </c>
      <c r="E465" s="6">
        <f>B465-MAX($B$2:B465)</f>
        <v>-23.919999999999995</v>
      </c>
      <c r="F465" s="80">
        <f t="shared" si="15"/>
        <v>372</v>
      </c>
      <c r="G465" s="77">
        <f>Comp2[[#This Row],[Comparable '#2 Drawdown]]/MAX($B$2:B465)</f>
        <v>-0.41127922971114161</v>
      </c>
      <c r="H465" s="1" t="str">
        <f>IF(SUM(COUNTIF(Benchmark1[Benchmark '#1 Dates],Comp2[[#This Row],[Comparable '#2 Dates]]),COUNTIF(Benchmark2[Benchmark '#2 Dates],Comp2[[#This Row],[Comparable '#2 Dates]]))=2,"Pass","Fail")</f>
        <v>Pass</v>
      </c>
      <c r="I465" s="1">
        <f>IFERROR(Comp2[[#This Row],[Comparable '#2 Return]]-INDEX(Benchmark1[Benchmark '#1 Return],MATCH(Comp2[[#This Row],[Comparable '#2 Dates]],Benchmark1[Benchmark '#1 Dates],0)),"-")</f>
        <v>3.3052371067527168E-2</v>
      </c>
      <c r="L465" s="72">
        <f>Comp2[[#This Row],[Comparable '#2 Price]]/$B$2*100</f>
        <v>68.893360160965798</v>
      </c>
    </row>
    <row r="466" spans="1:12">
      <c r="A466" s="96">
        <v>43959</v>
      </c>
      <c r="B466" s="101">
        <v>34.65</v>
      </c>
      <c r="C466" s="4">
        <f t="shared" si="14"/>
        <v>1.1903174362370685E-2</v>
      </c>
      <c r="D466" s="1">
        <f>IFERROR(Comp2[[#This Row],[Comparable '#2 Return]]+1,"-")</f>
        <v>1.0119031743623708</v>
      </c>
      <c r="E466" s="6">
        <f>B466-MAX($B$2:B466)</f>
        <v>-23.509999999999998</v>
      </c>
      <c r="F466" s="80">
        <f t="shared" si="15"/>
        <v>373</v>
      </c>
      <c r="G466" s="77">
        <f>Comp2[[#This Row],[Comparable '#2 Drawdown]]/MAX($B$2:B466)</f>
        <v>-0.40422971114167811</v>
      </c>
      <c r="H466" s="1" t="str">
        <f>IF(SUM(COUNTIF(Benchmark1[Benchmark '#1 Dates],Comp2[[#This Row],[Comparable '#2 Dates]]),COUNTIF(Benchmark2[Benchmark '#2 Dates],Comp2[[#This Row],[Comparable '#2 Dates]]))=2,"Pass","Fail")</f>
        <v>Pass</v>
      </c>
      <c r="I466" s="1">
        <f>IFERROR(Comp2[[#This Row],[Comparable '#2 Return]]-INDEX(Benchmark1[Benchmark '#1 Return],MATCH(Comp2[[#This Row],[Comparable '#2 Dates]],Benchmark1[Benchmark '#1 Dates],0)),"-")</f>
        <v>-4.828672592113413E-3</v>
      </c>
      <c r="L466" s="72">
        <f>Comp2[[#This Row],[Comparable '#2 Price]]/$B$2*100</f>
        <v>69.718309859154928</v>
      </c>
    </row>
    <row r="467" spans="1:12">
      <c r="A467" s="96">
        <v>43962</v>
      </c>
      <c r="B467" s="101">
        <v>33.67</v>
      </c>
      <c r="C467" s="4">
        <f t="shared" si="14"/>
        <v>-2.8690492462929078E-2</v>
      </c>
      <c r="D467" s="1">
        <f>IFERROR(Comp2[[#This Row],[Comparable '#2 Return]]+1,"-")</f>
        <v>0.9713095075370709</v>
      </c>
      <c r="E467" s="6">
        <f>B467-MAX($B$2:B467)</f>
        <v>-24.489999999999995</v>
      </c>
      <c r="F467" s="80">
        <f t="shared" si="15"/>
        <v>374</v>
      </c>
      <c r="G467" s="77">
        <f>Comp2[[#This Row],[Comparable '#2 Drawdown]]/MAX($B$2:B467)</f>
        <v>-0.42107977991746898</v>
      </c>
      <c r="H467" s="1" t="str">
        <f>IF(SUM(COUNTIF(Benchmark1[Benchmark '#1 Dates],Comp2[[#This Row],[Comparable '#2 Dates]]),COUNTIF(Benchmark2[Benchmark '#2 Dates],Comp2[[#This Row],[Comparable '#2 Dates]]))=2,"Pass","Fail")</f>
        <v>Pass</v>
      </c>
      <c r="I467" s="1">
        <f>IFERROR(Comp2[[#This Row],[Comparable '#2 Return]]-INDEX(Benchmark1[Benchmark '#1 Return],MATCH(Comp2[[#This Row],[Comparable '#2 Dates]],Benchmark1[Benchmark '#1 Dates],0)),"-")</f>
        <v>-2.8867338526846816E-2</v>
      </c>
      <c r="L467" s="72">
        <f>Comp2[[#This Row],[Comparable '#2 Price]]/$B$2*100</f>
        <v>67.74647887323944</v>
      </c>
    </row>
    <row r="468" spans="1:12">
      <c r="A468" s="96">
        <v>43963</v>
      </c>
      <c r="B468" s="101">
        <v>31.77</v>
      </c>
      <c r="C468" s="4">
        <f t="shared" si="14"/>
        <v>-5.8084784891558404E-2</v>
      </c>
      <c r="D468" s="1">
        <f>IFERROR(Comp2[[#This Row],[Comparable '#2 Return]]+1,"-")</f>
        <v>0.94191521510844156</v>
      </c>
      <c r="E468" s="6">
        <f>B468-MAX($B$2:B468)</f>
        <v>-26.389999999999997</v>
      </c>
      <c r="F468" s="80">
        <f t="shared" si="15"/>
        <v>375</v>
      </c>
      <c r="G468" s="77">
        <f>Comp2[[#This Row],[Comparable '#2 Drawdown]]/MAX($B$2:B468)</f>
        <v>-0.45374828060522693</v>
      </c>
      <c r="H468" s="1" t="str">
        <f>IF(SUM(COUNTIF(Benchmark1[Benchmark '#1 Dates],Comp2[[#This Row],[Comparable '#2 Dates]]),COUNTIF(Benchmark2[Benchmark '#2 Dates],Comp2[[#This Row],[Comparable '#2 Dates]]))=2,"Pass","Fail")</f>
        <v>Pass</v>
      </c>
      <c r="I468" s="1">
        <f>IFERROR(Comp2[[#This Row],[Comparable '#2 Return]]-INDEX(Benchmark1[Benchmark '#1 Return],MATCH(Comp2[[#This Row],[Comparable '#2 Dates]],Benchmark1[Benchmark '#1 Dates],0)),"-")</f>
        <v>-3.7325127261143995E-2</v>
      </c>
      <c r="L468" s="72">
        <f>Comp2[[#This Row],[Comparable '#2 Price]]/$B$2*100</f>
        <v>63.923541247484906</v>
      </c>
    </row>
    <row r="469" spans="1:12">
      <c r="A469" s="96">
        <v>43964</v>
      </c>
      <c r="B469" s="101">
        <v>31.73</v>
      </c>
      <c r="C469" s="4">
        <f t="shared" si="14"/>
        <v>-1.2598426863205557E-3</v>
      </c>
      <c r="D469" s="1">
        <f>IFERROR(Comp2[[#This Row],[Comparable '#2 Return]]+1,"-")</f>
        <v>0.99874015731367949</v>
      </c>
      <c r="E469" s="6">
        <f>B469-MAX($B$2:B469)</f>
        <v>-26.429999999999996</v>
      </c>
      <c r="F469" s="80">
        <f t="shared" si="15"/>
        <v>376</v>
      </c>
      <c r="G469" s="77">
        <f>Comp2[[#This Row],[Comparable '#2 Drawdown]]/MAX($B$2:B469)</f>
        <v>-0.45443603851444286</v>
      </c>
      <c r="H469" s="1" t="str">
        <f>IF(SUM(COUNTIF(Benchmark1[Benchmark '#1 Dates],Comp2[[#This Row],[Comparable '#2 Dates]]),COUNTIF(Benchmark2[Benchmark '#2 Dates],Comp2[[#This Row],[Comparable '#2 Dates]]))=2,"Pass","Fail")</f>
        <v>Pass</v>
      </c>
      <c r="I469" s="1">
        <f>IFERROR(Comp2[[#This Row],[Comparable '#2 Return]]-INDEX(Benchmark1[Benchmark '#1 Return],MATCH(Comp2[[#This Row],[Comparable '#2 Dates]],Benchmark1[Benchmark '#1 Dates],0)),"-")</f>
        <v>1.6357686541785401E-2</v>
      </c>
      <c r="L469" s="72">
        <f>Comp2[[#This Row],[Comparable '#2 Price]]/$B$2*100</f>
        <v>63.843058350100598</v>
      </c>
    </row>
    <row r="470" spans="1:12">
      <c r="A470" s="96">
        <v>43965</v>
      </c>
      <c r="B470" s="101">
        <v>31.88</v>
      </c>
      <c r="C470" s="4">
        <f t="shared" si="14"/>
        <v>4.716248326910099E-3</v>
      </c>
      <c r="D470" s="1">
        <f>IFERROR(Comp2[[#This Row],[Comparable '#2 Return]]+1,"-")</f>
        <v>1.0047162483269101</v>
      </c>
      <c r="E470" s="6">
        <f>B470-MAX($B$2:B470)</f>
        <v>-26.279999999999998</v>
      </c>
      <c r="F470" s="80">
        <f t="shared" si="15"/>
        <v>377</v>
      </c>
      <c r="G470" s="77">
        <f>Comp2[[#This Row],[Comparable '#2 Drawdown]]/MAX($B$2:B470)</f>
        <v>-0.45185694635488305</v>
      </c>
      <c r="H470" s="1" t="str">
        <f>IF(SUM(COUNTIF(Benchmark1[Benchmark '#1 Dates],Comp2[[#This Row],[Comparable '#2 Dates]]),COUNTIF(Benchmark2[Benchmark '#2 Dates],Comp2[[#This Row],[Comparable '#2 Dates]]))=2,"Pass","Fail")</f>
        <v>Pass</v>
      </c>
      <c r="I470" s="1">
        <f>IFERROR(Comp2[[#This Row],[Comparable '#2 Return]]-INDEX(Benchmark1[Benchmark '#1 Return],MATCH(Comp2[[#This Row],[Comparable '#2 Dates]],Benchmark1[Benchmark '#1 Dates],0)),"-")</f>
        <v>-6.7456095920373268E-3</v>
      </c>
      <c r="L470" s="72">
        <f>Comp2[[#This Row],[Comparable '#2 Price]]/$B$2*100</f>
        <v>64.144869215291749</v>
      </c>
    </row>
    <row r="471" spans="1:12">
      <c r="A471" s="96">
        <v>43966</v>
      </c>
      <c r="B471" s="101">
        <v>31.91</v>
      </c>
      <c r="C471" s="4">
        <f t="shared" si="14"/>
        <v>9.4058636813787238E-4</v>
      </c>
      <c r="D471" s="1">
        <f>IFERROR(Comp2[[#This Row],[Comparable '#2 Return]]+1,"-")</f>
        <v>1.0009405863681378</v>
      </c>
      <c r="E471" s="6">
        <f>B471-MAX($B$2:B471)</f>
        <v>-26.249999999999996</v>
      </c>
      <c r="F471" s="80">
        <f t="shared" si="15"/>
        <v>378</v>
      </c>
      <c r="G471" s="77">
        <f>Comp2[[#This Row],[Comparable '#2 Drawdown]]/MAX($B$2:B471)</f>
        <v>-0.4513411279229711</v>
      </c>
      <c r="H471" s="1" t="str">
        <f>IF(SUM(COUNTIF(Benchmark1[Benchmark '#1 Dates],Comp2[[#This Row],[Comparable '#2 Dates]]),COUNTIF(Benchmark2[Benchmark '#2 Dates],Comp2[[#This Row],[Comparable '#2 Dates]]))=2,"Pass","Fail")</f>
        <v>Pass</v>
      </c>
      <c r="I471" s="1">
        <f>IFERROR(Comp2[[#This Row],[Comparable '#2 Return]]-INDEX(Benchmark1[Benchmark '#1 Return],MATCH(Comp2[[#This Row],[Comparable '#2 Dates]],Benchmark1[Benchmark '#1 Dates],0)),"-")</f>
        <v>-2.9757653013751813E-3</v>
      </c>
      <c r="L471" s="72">
        <f>Comp2[[#This Row],[Comparable '#2 Price]]/$B$2*100</f>
        <v>64.205231388329977</v>
      </c>
    </row>
    <row r="472" spans="1:12">
      <c r="A472" s="96">
        <v>43969</v>
      </c>
      <c r="B472" s="101">
        <v>32.93</v>
      </c>
      <c r="C472" s="4">
        <f t="shared" si="14"/>
        <v>3.1464656098120825E-2</v>
      </c>
      <c r="D472" s="1">
        <f>IFERROR(Comp2[[#This Row],[Comparable '#2 Return]]+1,"-")</f>
        <v>1.0314646560981209</v>
      </c>
      <c r="E472" s="6">
        <f>B472-MAX($B$2:B472)</f>
        <v>-25.229999999999997</v>
      </c>
      <c r="F472" s="80">
        <f t="shared" si="15"/>
        <v>379</v>
      </c>
      <c r="G472" s="77">
        <f>Comp2[[#This Row],[Comparable '#2 Drawdown]]/MAX($B$2:B472)</f>
        <v>-0.43380330123796423</v>
      </c>
      <c r="H472" s="1" t="str">
        <f>IF(SUM(COUNTIF(Benchmark1[Benchmark '#1 Dates],Comp2[[#This Row],[Comparable '#2 Dates]]),COUNTIF(Benchmark2[Benchmark '#2 Dates],Comp2[[#This Row],[Comparable '#2 Dates]]))=2,"Pass","Fail")</f>
        <v>Pass</v>
      </c>
      <c r="I472" s="1">
        <f>IFERROR(Comp2[[#This Row],[Comparable '#2 Return]]-INDEX(Benchmark1[Benchmark '#1 Return],MATCH(Comp2[[#This Row],[Comparable '#2 Dates]],Benchmark1[Benchmark '#1 Dates],0)),"-")</f>
        <v>4.4912135425023356E-4</v>
      </c>
      <c r="L472" s="72">
        <f>Comp2[[#This Row],[Comparable '#2 Price]]/$B$2*100</f>
        <v>66.257545271629766</v>
      </c>
    </row>
    <row r="473" spans="1:12">
      <c r="A473" s="96">
        <v>43970</v>
      </c>
      <c r="B473" s="101">
        <v>31.92</v>
      </c>
      <c r="C473" s="4">
        <f t="shared" si="14"/>
        <v>-3.1151323806664868E-2</v>
      </c>
      <c r="D473" s="1">
        <f>IFERROR(Comp2[[#This Row],[Comparable '#2 Return]]+1,"-")</f>
        <v>0.96884867619333515</v>
      </c>
      <c r="E473" s="6">
        <f>B473-MAX($B$2:B473)</f>
        <v>-26.239999999999995</v>
      </c>
      <c r="F473" s="80">
        <f t="shared" si="15"/>
        <v>380</v>
      </c>
      <c r="G473" s="77">
        <f>Comp2[[#This Row],[Comparable '#2 Drawdown]]/MAX($B$2:B473)</f>
        <v>-0.45116918844566706</v>
      </c>
      <c r="H473" s="1" t="str">
        <f>IF(SUM(COUNTIF(Benchmark1[Benchmark '#1 Dates],Comp2[[#This Row],[Comparable '#2 Dates]]),COUNTIF(Benchmark2[Benchmark '#2 Dates],Comp2[[#This Row],[Comparable '#2 Dates]]))=2,"Pass","Fail")</f>
        <v>Pass</v>
      </c>
      <c r="I473" s="1">
        <f>IFERROR(Comp2[[#This Row],[Comparable '#2 Return]]-INDEX(Benchmark1[Benchmark '#1 Return],MATCH(Comp2[[#This Row],[Comparable '#2 Dates]],Benchmark1[Benchmark '#1 Dates],0)),"-")</f>
        <v>-2.0612018674285845E-2</v>
      </c>
      <c r="L473" s="72">
        <f>Comp2[[#This Row],[Comparable '#2 Price]]/$B$2*100</f>
        <v>64.225352112676063</v>
      </c>
    </row>
    <row r="474" spans="1:12">
      <c r="A474" s="96">
        <v>43971</v>
      </c>
      <c r="B474" s="101">
        <v>32.659999999999997</v>
      </c>
      <c r="C474" s="4">
        <f t="shared" si="14"/>
        <v>2.2918314960710968E-2</v>
      </c>
      <c r="D474" s="1">
        <f>IFERROR(Comp2[[#This Row],[Comparable '#2 Return]]+1,"-")</f>
        <v>1.0229183149607111</v>
      </c>
      <c r="E474" s="6">
        <f>B474-MAX($B$2:B474)</f>
        <v>-25.5</v>
      </c>
      <c r="F474" s="80">
        <f t="shared" si="15"/>
        <v>381</v>
      </c>
      <c r="G474" s="77">
        <f>Comp2[[#This Row],[Comparable '#2 Drawdown]]/MAX($B$2:B474)</f>
        <v>-0.43844566712517197</v>
      </c>
      <c r="H474" s="1" t="str">
        <f>IF(SUM(COUNTIF(Benchmark1[Benchmark '#1 Dates],Comp2[[#This Row],[Comparable '#2 Dates]]),COUNTIF(Benchmark2[Benchmark '#2 Dates],Comp2[[#This Row],[Comparable '#2 Dates]]))=2,"Pass","Fail")</f>
        <v>Pass</v>
      </c>
      <c r="I474" s="1">
        <f>IFERROR(Comp2[[#This Row],[Comparable '#2 Return]]-INDEX(Benchmark1[Benchmark '#1 Return],MATCH(Comp2[[#This Row],[Comparable '#2 Dates]],Benchmark1[Benchmark '#1 Dates],0)),"-")</f>
        <v>6.4035399750212857E-3</v>
      </c>
      <c r="L474" s="72">
        <f>Comp2[[#This Row],[Comparable '#2 Price]]/$B$2*100</f>
        <v>65.714285714285708</v>
      </c>
    </row>
    <row r="475" spans="1:12">
      <c r="A475" s="96">
        <v>43972</v>
      </c>
      <c r="B475" s="101">
        <v>32.72</v>
      </c>
      <c r="C475" s="4">
        <f t="shared" si="14"/>
        <v>1.8354241922274041E-3</v>
      </c>
      <c r="D475" s="1">
        <f>IFERROR(Comp2[[#This Row],[Comparable '#2 Return]]+1,"-")</f>
        <v>1.0018354241922274</v>
      </c>
      <c r="E475" s="6">
        <f>B475-MAX($B$2:B475)</f>
        <v>-25.439999999999998</v>
      </c>
      <c r="F475" s="80">
        <f t="shared" si="15"/>
        <v>382</v>
      </c>
      <c r="G475" s="77">
        <f>Comp2[[#This Row],[Comparable '#2 Drawdown]]/MAX($B$2:B475)</f>
        <v>-0.43741403026134801</v>
      </c>
      <c r="H475" s="1" t="str">
        <f>IF(SUM(COUNTIF(Benchmark1[Benchmark '#1 Dates],Comp2[[#This Row],[Comparable '#2 Dates]]),COUNTIF(Benchmark2[Benchmark '#2 Dates],Comp2[[#This Row],[Comparable '#2 Dates]]))=2,"Pass","Fail")</f>
        <v>Pass</v>
      </c>
      <c r="I475" s="1">
        <f>IFERROR(Comp2[[#This Row],[Comparable '#2 Return]]-INDEX(Benchmark1[Benchmark '#1 Return],MATCH(Comp2[[#This Row],[Comparable '#2 Dates]],Benchmark1[Benchmark '#1 Dates],0)),"-")</f>
        <v>9.6415958065537658E-3</v>
      </c>
      <c r="L475" s="72">
        <f>Comp2[[#This Row],[Comparable '#2 Price]]/$B$2*100</f>
        <v>65.835010060362166</v>
      </c>
    </row>
    <row r="476" spans="1:12">
      <c r="A476" s="96">
        <v>43973</v>
      </c>
      <c r="B476" s="101">
        <v>32.96</v>
      </c>
      <c r="C476" s="4">
        <f t="shared" si="14"/>
        <v>7.3081933067246224E-3</v>
      </c>
      <c r="D476" s="1">
        <f>IFERROR(Comp2[[#This Row],[Comparable '#2 Return]]+1,"-")</f>
        <v>1.0073081933067247</v>
      </c>
      <c r="E476" s="6">
        <f>B476-MAX($B$2:B476)</f>
        <v>-25.199999999999996</v>
      </c>
      <c r="F476" s="80">
        <f t="shared" si="15"/>
        <v>383</v>
      </c>
      <c r="G476" s="77">
        <f>Comp2[[#This Row],[Comparable '#2 Drawdown]]/MAX($B$2:B476)</f>
        <v>-0.43328748280605223</v>
      </c>
      <c r="H476" s="1" t="str">
        <f>IF(SUM(COUNTIF(Benchmark1[Benchmark '#1 Dates],Comp2[[#This Row],[Comparable '#2 Dates]]),COUNTIF(Benchmark2[Benchmark '#2 Dates],Comp2[[#This Row],[Comparable '#2 Dates]]))=2,"Pass","Fail")</f>
        <v>Pass</v>
      </c>
      <c r="I476" s="1">
        <f>IFERROR(Comp2[[#This Row],[Comparable '#2 Return]]-INDEX(Benchmark1[Benchmark '#1 Return],MATCH(Comp2[[#This Row],[Comparable '#2 Dates]],Benchmark1[Benchmark '#1 Dates],0)),"-")</f>
        <v>4.9548148436719206E-3</v>
      </c>
      <c r="L476" s="72">
        <f>Comp2[[#This Row],[Comparable '#2 Price]]/$B$2*100</f>
        <v>66.317907444667995</v>
      </c>
    </row>
    <row r="477" spans="1:12">
      <c r="A477" s="96">
        <v>43977</v>
      </c>
      <c r="B477" s="101">
        <v>33.15</v>
      </c>
      <c r="C477" s="4">
        <f t="shared" si="14"/>
        <v>5.7480115906004105E-3</v>
      </c>
      <c r="D477" s="1">
        <f>IFERROR(Comp2[[#This Row],[Comparable '#2 Return]]+1,"-")</f>
        <v>1.0057480115906003</v>
      </c>
      <c r="E477" s="6">
        <f>B477-MAX($B$2:B477)</f>
        <v>-25.009999999999998</v>
      </c>
      <c r="F477" s="80">
        <f t="shared" si="15"/>
        <v>384</v>
      </c>
      <c r="G477" s="77">
        <f>Comp2[[#This Row],[Comparable '#2 Drawdown]]/MAX($B$2:B477)</f>
        <v>-0.43002063273727648</v>
      </c>
      <c r="H477" s="1" t="str">
        <f>IF(SUM(COUNTIF(Benchmark1[Benchmark '#1 Dates],Comp2[[#This Row],[Comparable '#2 Dates]]),COUNTIF(Benchmark2[Benchmark '#2 Dates],Comp2[[#This Row],[Comparable '#2 Dates]]))=2,"Pass","Fail")</f>
        <v>Pass</v>
      </c>
      <c r="I477" s="1">
        <f>IFERROR(Comp2[[#This Row],[Comparable '#2 Return]]-INDEX(Benchmark1[Benchmark '#1 Return],MATCH(Comp2[[#This Row],[Comparable '#2 Dates]],Benchmark1[Benchmark '#1 Dates],0)),"-")</f>
        <v>-6.4636876460801495E-3</v>
      </c>
      <c r="L477" s="72">
        <f>Comp2[[#This Row],[Comparable '#2 Price]]/$B$2*100</f>
        <v>66.700201207243452</v>
      </c>
    </row>
    <row r="478" spans="1:12">
      <c r="A478" s="96">
        <v>43978</v>
      </c>
      <c r="B478" s="101">
        <v>33.700000000000003</v>
      </c>
      <c r="C478" s="4">
        <f t="shared" si="14"/>
        <v>1.6455120726444686E-2</v>
      </c>
      <c r="D478" s="1">
        <f>IFERROR(Comp2[[#This Row],[Comparable '#2 Return]]+1,"-")</f>
        <v>1.0164551207264447</v>
      </c>
      <c r="E478" s="6">
        <f>B478-MAX($B$2:B478)</f>
        <v>-24.459999999999994</v>
      </c>
      <c r="F478" s="80">
        <f t="shared" si="15"/>
        <v>385</v>
      </c>
      <c r="G478" s="77">
        <f>Comp2[[#This Row],[Comparable '#2 Drawdown]]/MAX($B$2:B478)</f>
        <v>-0.42056396148555703</v>
      </c>
      <c r="H478" s="1" t="str">
        <f>IF(SUM(COUNTIF(Benchmark1[Benchmark '#1 Dates],Comp2[[#This Row],[Comparable '#2 Dates]]),COUNTIF(Benchmark2[Benchmark '#2 Dates],Comp2[[#This Row],[Comparable '#2 Dates]]))=2,"Pass","Fail")</f>
        <v>Pass</v>
      </c>
      <c r="I478" s="1">
        <f>IFERROR(Comp2[[#This Row],[Comparable '#2 Return]]-INDEX(Benchmark1[Benchmark '#1 Return],MATCH(Comp2[[#This Row],[Comparable '#2 Dates]],Benchmark1[Benchmark '#1 Dates],0)),"-")</f>
        <v>1.7339289605473613E-3</v>
      </c>
      <c r="L478" s="72">
        <f>Comp2[[#This Row],[Comparable '#2 Price]]/$B$2*100</f>
        <v>67.806841046277668</v>
      </c>
    </row>
    <row r="479" spans="1:12">
      <c r="A479" s="96">
        <v>43979</v>
      </c>
      <c r="B479" s="101">
        <v>33.54</v>
      </c>
      <c r="C479" s="4">
        <f t="shared" si="14"/>
        <v>-4.7590809632533683E-3</v>
      </c>
      <c r="D479" s="1">
        <f>IFERROR(Comp2[[#This Row],[Comparable '#2 Return]]+1,"-")</f>
        <v>0.99524091903674661</v>
      </c>
      <c r="E479" s="6">
        <f>B479-MAX($B$2:B479)</f>
        <v>-24.619999999999997</v>
      </c>
      <c r="F479" s="80">
        <f t="shared" si="15"/>
        <v>386</v>
      </c>
      <c r="G479" s="77">
        <f>Comp2[[#This Row],[Comparable '#2 Drawdown]]/MAX($B$2:B479)</f>
        <v>-0.42331499312242088</v>
      </c>
      <c r="H479" s="1" t="str">
        <f>IF(SUM(COUNTIF(Benchmark1[Benchmark '#1 Dates],Comp2[[#This Row],[Comparable '#2 Dates]]),COUNTIF(Benchmark2[Benchmark '#2 Dates],Comp2[[#This Row],[Comparable '#2 Dates]]))=2,"Pass","Fail")</f>
        <v>Pass</v>
      </c>
      <c r="I479" s="1">
        <f>IFERROR(Comp2[[#This Row],[Comparable '#2 Return]]-INDEX(Benchmark1[Benchmark '#1 Return],MATCH(Comp2[[#This Row],[Comparable '#2 Dates]],Benchmark1[Benchmark '#1 Dates],0)),"-")</f>
        <v>-2.6488840163437027E-3</v>
      </c>
      <c r="L479" s="72">
        <f>Comp2[[#This Row],[Comparable '#2 Price]]/$B$2*100</f>
        <v>67.484909456740439</v>
      </c>
    </row>
    <row r="480" spans="1:12">
      <c r="A480" s="96">
        <v>43980</v>
      </c>
      <c r="B480" s="101">
        <v>33.46</v>
      </c>
      <c r="C480" s="4">
        <f t="shared" si="14"/>
        <v>-2.3880608363848572E-3</v>
      </c>
      <c r="D480" s="1">
        <f>IFERROR(Comp2[[#This Row],[Comparable '#2 Return]]+1,"-")</f>
        <v>0.99761193916361512</v>
      </c>
      <c r="E480" s="6">
        <f>B480-MAX($B$2:B480)</f>
        <v>-24.699999999999996</v>
      </c>
      <c r="F480" s="80">
        <f t="shared" si="15"/>
        <v>387</v>
      </c>
      <c r="G480" s="77">
        <f>Comp2[[#This Row],[Comparable '#2 Drawdown]]/MAX($B$2:B480)</f>
        <v>-0.42469050894085275</v>
      </c>
      <c r="H480" s="1" t="str">
        <f>IF(SUM(COUNTIF(Benchmark1[Benchmark '#1 Dates],Comp2[[#This Row],[Comparable '#2 Dates]]),COUNTIF(Benchmark2[Benchmark '#2 Dates],Comp2[[#This Row],[Comparable '#2 Dates]]))=2,"Pass","Fail")</f>
        <v>Pass</v>
      </c>
      <c r="I480" s="1">
        <f>IFERROR(Comp2[[#This Row],[Comparable '#2 Return]]-INDEX(Benchmark1[Benchmark '#1 Return],MATCH(Comp2[[#This Row],[Comparable '#2 Dates]],Benchmark1[Benchmark '#1 Dates],0)),"-")</f>
        <v>-7.1862165327538788E-3</v>
      </c>
      <c r="L480" s="72">
        <f>Comp2[[#This Row],[Comparable '#2 Price]]/$B$2*100</f>
        <v>67.323943661971825</v>
      </c>
    </row>
    <row r="481" spans="1:12">
      <c r="A481" s="96">
        <v>43983</v>
      </c>
      <c r="B481" s="101">
        <v>34.03</v>
      </c>
      <c r="C481" s="4">
        <f t="shared" si="14"/>
        <v>1.6891792954136547E-2</v>
      </c>
      <c r="D481" s="1">
        <f>IFERROR(Comp2[[#This Row],[Comparable '#2 Return]]+1,"-")</f>
        <v>1.0168917929541366</v>
      </c>
      <c r="E481" s="6">
        <f>B481-MAX($B$2:B481)</f>
        <v>-24.129999999999995</v>
      </c>
      <c r="F481" s="80">
        <f t="shared" si="15"/>
        <v>388</v>
      </c>
      <c r="G481" s="77">
        <f>Comp2[[#This Row],[Comparable '#2 Drawdown]]/MAX($B$2:B481)</f>
        <v>-0.41488995873452539</v>
      </c>
      <c r="H481" s="1" t="str">
        <f>IF(SUM(COUNTIF(Benchmark1[Benchmark '#1 Dates],Comp2[[#This Row],[Comparable '#2 Dates]]),COUNTIF(Benchmark2[Benchmark '#2 Dates],Comp2[[#This Row],[Comparable '#2 Dates]]))=2,"Pass","Fail")</f>
        <v>Pass</v>
      </c>
      <c r="I481" s="1">
        <f>IFERROR(Comp2[[#This Row],[Comparable '#2 Return]]-INDEX(Benchmark1[Benchmark '#1 Return],MATCH(Comp2[[#This Row],[Comparable '#2 Dates]],Benchmark1[Benchmark '#1 Dates],0)),"-")</f>
        <v>1.3145019769229382E-2</v>
      </c>
      <c r="L481" s="72">
        <f>Comp2[[#This Row],[Comparable '#2 Price]]/$B$2*100</f>
        <v>68.470824949698184</v>
      </c>
    </row>
    <row r="482" spans="1:12">
      <c r="A482" s="96">
        <v>43984</v>
      </c>
      <c r="B482" s="101">
        <v>34.29</v>
      </c>
      <c r="C482" s="4">
        <f t="shared" si="14"/>
        <v>7.6112779620144989E-3</v>
      </c>
      <c r="D482" s="1">
        <f>IFERROR(Comp2[[#This Row],[Comparable '#2 Return]]+1,"-")</f>
        <v>1.0076112779620146</v>
      </c>
      <c r="E482" s="6">
        <f>B482-MAX($B$2:B482)</f>
        <v>-23.869999999999997</v>
      </c>
      <c r="F482" s="80">
        <f t="shared" si="15"/>
        <v>389</v>
      </c>
      <c r="G482" s="77">
        <f>Comp2[[#This Row],[Comparable '#2 Drawdown]]/MAX($B$2:B482)</f>
        <v>-0.41041953232462169</v>
      </c>
      <c r="H482" s="1" t="str">
        <f>IF(SUM(COUNTIF(Benchmark1[Benchmark '#1 Dates],Comp2[[#This Row],[Comparable '#2 Dates]]),COUNTIF(Benchmark2[Benchmark '#2 Dates],Comp2[[#This Row],[Comparable '#2 Dates]]))=2,"Pass","Fail")</f>
        <v>Pass</v>
      </c>
      <c r="I482" s="1">
        <f>IFERROR(Comp2[[#This Row],[Comparable '#2 Return]]-INDEX(Benchmark1[Benchmark '#1 Return],MATCH(Comp2[[#This Row],[Comparable '#2 Dates]],Benchmark1[Benchmark '#1 Dates],0)),"-")</f>
        <v>-5.6576483460148846E-4</v>
      </c>
      <c r="L482" s="72">
        <f>Comp2[[#This Row],[Comparable '#2 Price]]/$B$2*100</f>
        <v>68.99396378269617</v>
      </c>
    </row>
    <row r="483" spans="1:12">
      <c r="A483" s="96">
        <v>43985</v>
      </c>
      <c r="B483" s="101">
        <v>35.21</v>
      </c>
      <c r="C483" s="4">
        <f t="shared" si="14"/>
        <v>2.6476366692132134E-2</v>
      </c>
      <c r="D483" s="1">
        <f>IFERROR(Comp2[[#This Row],[Comparable '#2 Return]]+1,"-")</f>
        <v>1.0264763666921322</v>
      </c>
      <c r="E483" s="6">
        <f>B483-MAX($B$2:B483)</f>
        <v>-22.949999999999996</v>
      </c>
      <c r="F483" s="80">
        <f t="shared" si="15"/>
        <v>390</v>
      </c>
      <c r="G483" s="77">
        <f>Comp2[[#This Row],[Comparable '#2 Drawdown]]/MAX($B$2:B483)</f>
        <v>-0.39460110041265467</v>
      </c>
      <c r="H483" s="1" t="str">
        <f>IF(SUM(COUNTIF(Benchmark1[Benchmark '#1 Dates],Comp2[[#This Row],[Comparable '#2 Dates]]),COUNTIF(Benchmark2[Benchmark '#2 Dates],Comp2[[#This Row],[Comparable '#2 Dates]]))=2,"Pass","Fail")</f>
        <v>Pass</v>
      </c>
      <c r="I483" s="1">
        <f>IFERROR(Comp2[[#This Row],[Comparable '#2 Return]]-INDEX(Benchmark1[Benchmark '#1 Return],MATCH(Comp2[[#This Row],[Comparable '#2 Dates]],Benchmark1[Benchmark '#1 Dates],0)),"-")</f>
        <v>1.29203510890025E-2</v>
      </c>
      <c r="L483" s="72">
        <f>Comp2[[#This Row],[Comparable '#2 Price]]/$B$2*100</f>
        <v>70.845070422535201</v>
      </c>
    </row>
    <row r="484" spans="1:12">
      <c r="A484" s="96">
        <v>43986</v>
      </c>
      <c r="B484" s="101">
        <v>35.19</v>
      </c>
      <c r="C484" s="4">
        <f t="shared" si="14"/>
        <v>-5.6818183346747598E-4</v>
      </c>
      <c r="D484" s="1">
        <f>IFERROR(Comp2[[#This Row],[Comparable '#2 Return]]+1,"-")</f>
        <v>0.99943181816653248</v>
      </c>
      <c r="E484" s="6">
        <f>B484-MAX($B$2:B484)</f>
        <v>-22.97</v>
      </c>
      <c r="F484" s="80">
        <f t="shared" si="15"/>
        <v>391</v>
      </c>
      <c r="G484" s="77">
        <f>Comp2[[#This Row],[Comparable '#2 Drawdown]]/MAX($B$2:B484)</f>
        <v>-0.39494497936726275</v>
      </c>
      <c r="H484" s="1" t="str">
        <f>IF(SUM(COUNTIF(Benchmark1[Benchmark '#1 Dates],Comp2[[#This Row],[Comparable '#2 Dates]]),COUNTIF(Benchmark2[Benchmark '#2 Dates],Comp2[[#This Row],[Comparable '#2 Dates]]))=2,"Pass","Fail")</f>
        <v>Pass</v>
      </c>
      <c r="I484" s="1">
        <f>IFERROR(Comp2[[#This Row],[Comparable '#2 Return]]-INDEX(Benchmark1[Benchmark '#1 Return],MATCH(Comp2[[#This Row],[Comparable '#2 Dates]],Benchmark1[Benchmark '#1 Dates],0)),"-")</f>
        <v>2.8074100774597983E-3</v>
      </c>
      <c r="L484" s="72">
        <f>Comp2[[#This Row],[Comparable '#2 Price]]/$B$2*100</f>
        <v>70.804828973843044</v>
      </c>
    </row>
    <row r="485" spans="1:12">
      <c r="A485" s="96">
        <v>43987</v>
      </c>
      <c r="B485" s="101">
        <v>35.89</v>
      </c>
      <c r="C485" s="4">
        <f t="shared" si="14"/>
        <v>1.9696753826022109E-2</v>
      </c>
      <c r="D485" s="1">
        <f>IFERROR(Comp2[[#This Row],[Comparable '#2 Return]]+1,"-")</f>
        <v>1.0196967538260222</v>
      </c>
      <c r="E485" s="6">
        <f>B485-MAX($B$2:B485)</f>
        <v>-22.269999999999996</v>
      </c>
      <c r="F485" s="80">
        <f t="shared" si="15"/>
        <v>392</v>
      </c>
      <c r="G485" s="77">
        <f>Comp2[[#This Row],[Comparable '#2 Drawdown]]/MAX($B$2:B485)</f>
        <v>-0.38290921595598343</v>
      </c>
      <c r="H485" s="1" t="str">
        <f>IF(SUM(COUNTIF(Benchmark1[Benchmark '#1 Dates],Comp2[[#This Row],[Comparable '#2 Dates]]),COUNTIF(Benchmark2[Benchmark '#2 Dates],Comp2[[#This Row],[Comparable '#2 Dates]]))=2,"Pass","Fail")</f>
        <v>Pass</v>
      </c>
      <c r="I485" s="1">
        <f>IFERROR(Comp2[[#This Row],[Comparable '#2 Return]]-INDEX(Benchmark1[Benchmark '#1 Return],MATCH(Comp2[[#This Row],[Comparable '#2 Dates]],Benchmark1[Benchmark '#1 Dates],0)),"-")</f>
        <v>-6.177756273643125E-3</v>
      </c>
      <c r="L485" s="72">
        <f>Comp2[[#This Row],[Comparable '#2 Price]]/$B$2*100</f>
        <v>72.213279678068403</v>
      </c>
    </row>
    <row r="486" spans="1:12">
      <c r="A486" s="96">
        <v>43990</v>
      </c>
      <c r="B486" s="101">
        <v>35.840000000000003</v>
      </c>
      <c r="C486" s="4">
        <f t="shared" si="14"/>
        <v>-1.3941170527860456E-3</v>
      </c>
      <c r="D486" s="1">
        <f>IFERROR(Comp2[[#This Row],[Comparable '#2 Return]]+1,"-")</f>
        <v>0.99860588294721397</v>
      </c>
      <c r="E486" s="6">
        <f>B486-MAX($B$2:B486)</f>
        <v>-22.319999999999993</v>
      </c>
      <c r="F486" s="80">
        <f t="shared" si="15"/>
        <v>393</v>
      </c>
      <c r="G486" s="77">
        <f>Comp2[[#This Row],[Comparable '#2 Drawdown]]/MAX($B$2:B486)</f>
        <v>-0.38376891334250335</v>
      </c>
      <c r="H486" s="1" t="str">
        <f>IF(SUM(COUNTIF(Benchmark1[Benchmark '#1 Dates],Comp2[[#This Row],[Comparable '#2 Dates]]),COUNTIF(Benchmark2[Benchmark '#2 Dates],Comp2[[#This Row],[Comparable '#2 Dates]]))=2,"Pass","Fail")</f>
        <v>Pass</v>
      </c>
      <c r="I486" s="1">
        <f>IFERROR(Comp2[[#This Row],[Comparable '#2 Return]]-INDEX(Benchmark1[Benchmark '#1 Return],MATCH(Comp2[[#This Row],[Comparable '#2 Dates]],Benchmark1[Benchmark '#1 Dates],0)),"-")</f>
        <v>-1.3363170049296285E-2</v>
      </c>
      <c r="L486" s="72">
        <f>Comp2[[#This Row],[Comparable '#2 Price]]/$B$2*100</f>
        <v>72.112676056338032</v>
      </c>
    </row>
    <row r="487" spans="1:12">
      <c r="A487" s="96">
        <v>43991</v>
      </c>
      <c r="B487" s="101">
        <v>36.4</v>
      </c>
      <c r="C487" s="4">
        <f t="shared" si="14"/>
        <v>1.5504186535965036E-2</v>
      </c>
      <c r="D487" s="1">
        <f>IFERROR(Comp2[[#This Row],[Comparable '#2 Return]]+1,"-")</f>
        <v>1.0155041865359651</v>
      </c>
      <c r="E487" s="6">
        <f>B487-MAX($B$2:B487)</f>
        <v>-21.759999999999998</v>
      </c>
      <c r="F487" s="80">
        <f t="shared" si="15"/>
        <v>394</v>
      </c>
      <c r="G487" s="77">
        <f>Comp2[[#This Row],[Comparable '#2 Drawdown]]/MAX($B$2:B487)</f>
        <v>-0.37414030261348002</v>
      </c>
      <c r="H487" s="1" t="str">
        <f>IF(SUM(COUNTIF(Benchmark1[Benchmark '#1 Dates],Comp2[[#This Row],[Comparable '#2 Dates]]),COUNTIF(Benchmark2[Benchmark '#2 Dates],Comp2[[#This Row],[Comparable '#2 Dates]]))=2,"Pass","Fail")</f>
        <v>Pass</v>
      </c>
      <c r="I487" s="1">
        <f>IFERROR(Comp2[[#This Row],[Comparable '#2 Return]]-INDEX(Benchmark1[Benchmark '#1 Return],MATCH(Comp2[[#This Row],[Comparable '#2 Dates]],Benchmark1[Benchmark '#1 Dates],0)),"-")</f>
        <v>2.333323191659667E-2</v>
      </c>
      <c r="L487" s="72">
        <f>Comp2[[#This Row],[Comparable '#2 Price]]/$B$2*100</f>
        <v>73.239436619718305</v>
      </c>
    </row>
    <row r="488" spans="1:12">
      <c r="A488" s="96">
        <v>43992</v>
      </c>
      <c r="B488" s="101">
        <v>35.19</v>
      </c>
      <c r="C488" s="4">
        <f t="shared" si="14"/>
        <v>-3.3806823309201185E-2</v>
      </c>
      <c r="D488" s="1">
        <f>IFERROR(Comp2[[#This Row],[Comparable '#2 Return]]+1,"-")</f>
        <v>0.96619317669079885</v>
      </c>
      <c r="E488" s="6">
        <f>B488-MAX($B$2:B488)</f>
        <v>-22.97</v>
      </c>
      <c r="F488" s="80">
        <f t="shared" si="15"/>
        <v>395</v>
      </c>
      <c r="G488" s="77">
        <f>Comp2[[#This Row],[Comparable '#2 Drawdown]]/MAX($B$2:B488)</f>
        <v>-0.39494497936726275</v>
      </c>
      <c r="H488" s="1" t="str">
        <f>IF(SUM(COUNTIF(Benchmark1[Benchmark '#1 Dates],Comp2[[#This Row],[Comparable '#2 Dates]]),COUNTIF(Benchmark2[Benchmark '#2 Dates],Comp2[[#This Row],[Comparable '#2 Dates]]))=2,"Pass","Fail")</f>
        <v>Pass</v>
      </c>
      <c r="I488" s="1">
        <f>IFERROR(Comp2[[#This Row],[Comparable '#2 Return]]-INDEX(Benchmark1[Benchmark '#1 Return],MATCH(Comp2[[#This Row],[Comparable '#2 Dates]],Benchmark1[Benchmark '#1 Dates],0)),"-")</f>
        <v>-2.8478942636666556E-2</v>
      </c>
      <c r="L488" s="72">
        <f>Comp2[[#This Row],[Comparable '#2 Price]]/$B$2*100</f>
        <v>70.804828973843044</v>
      </c>
    </row>
    <row r="489" spans="1:12">
      <c r="A489" s="96">
        <v>43993</v>
      </c>
      <c r="B489" s="101">
        <v>33.880000000000003</v>
      </c>
      <c r="C489" s="4">
        <f t="shared" si="14"/>
        <v>-3.7937081549639977E-2</v>
      </c>
      <c r="D489" s="1">
        <f>IFERROR(Comp2[[#This Row],[Comparable '#2 Return]]+1,"-")</f>
        <v>0.96206291845036007</v>
      </c>
      <c r="E489" s="6">
        <f>B489-MAX($B$2:B489)</f>
        <v>-24.279999999999994</v>
      </c>
      <c r="F489" s="80">
        <f t="shared" si="15"/>
        <v>396</v>
      </c>
      <c r="G489" s="77">
        <f>Comp2[[#This Row],[Comparable '#2 Drawdown]]/MAX($B$2:B489)</f>
        <v>-0.4174690508940852</v>
      </c>
      <c r="H489" s="1" t="str">
        <f>IF(SUM(COUNTIF(Benchmark1[Benchmark '#1 Dates],Comp2[[#This Row],[Comparable '#2 Dates]]),COUNTIF(Benchmark2[Benchmark '#2 Dates],Comp2[[#This Row],[Comparable '#2 Dates]]))=2,"Pass","Fail")</f>
        <v>Pass</v>
      </c>
      <c r="I489" s="1">
        <f>IFERROR(Comp2[[#This Row],[Comparable '#2 Return]]-INDEX(Benchmark1[Benchmark '#1 Return],MATCH(Comp2[[#This Row],[Comparable '#2 Dates]],Benchmark1[Benchmark '#1 Dates],0)),"-")</f>
        <v>2.2815982535484891E-2</v>
      </c>
      <c r="L489" s="72">
        <f>Comp2[[#This Row],[Comparable '#2 Price]]/$B$2*100</f>
        <v>68.16901408450704</v>
      </c>
    </row>
    <row r="490" spans="1:12">
      <c r="A490" s="96">
        <v>43994</v>
      </c>
      <c r="B490" s="101">
        <v>33.72</v>
      </c>
      <c r="C490" s="4">
        <f t="shared" si="14"/>
        <v>-4.73373665019908E-3</v>
      </c>
      <c r="D490" s="1">
        <f>IFERROR(Comp2[[#This Row],[Comparable '#2 Return]]+1,"-")</f>
        <v>0.99526626334980095</v>
      </c>
      <c r="E490" s="6">
        <f>B490-MAX($B$2:B490)</f>
        <v>-24.439999999999998</v>
      </c>
      <c r="F490" s="80">
        <f t="shared" si="15"/>
        <v>397</v>
      </c>
      <c r="G490" s="77">
        <f>Comp2[[#This Row],[Comparable '#2 Drawdown]]/MAX($B$2:B490)</f>
        <v>-0.42022008253094911</v>
      </c>
      <c r="H490" s="1" t="str">
        <f>IF(SUM(COUNTIF(Benchmark1[Benchmark '#1 Dates],Comp2[[#This Row],[Comparable '#2 Dates]]),COUNTIF(Benchmark2[Benchmark '#2 Dates],Comp2[[#This Row],[Comparable '#2 Dates]]))=2,"Pass","Fail")</f>
        <v>Pass</v>
      </c>
      <c r="I490" s="1">
        <f>IFERROR(Comp2[[#This Row],[Comparable '#2 Return]]-INDEX(Benchmark1[Benchmark '#1 Return],MATCH(Comp2[[#This Row],[Comparable '#2 Dates]],Benchmark1[Benchmark '#1 Dates],0)),"-")</f>
        <v>-1.7712348797891794E-2</v>
      </c>
      <c r="L490" s="72">
        <f>Comp2[[#This Row],[Comparable '#2 Price]]/$B$2*100</f>
        <v>67.847082494969811</v>
      </c>
    </row>
    <row r="491" spans="1:12">
      <c r="A491" s="96">
        <v>43997</v>
      </c>
      <c r="B491" s="101">
        <v>33.78</v>
      </c>
      <c r="C491" s="4">
        <f t="shared" si="14"/>
        <v>1.7777782459993572E-3</v>
      </c>
      <c r="D491" s="1">
        <f>IFERROR(Comp2[[#This Row],[Comparable '#2 Return]]+1,"-")</f>
        <v>1.0017777782459993</v>
      </c>
      <c r="E491" s="6">
        <f>B491-MAX($B$2:B491)</f>
        <v>-24.379999999999995</v>
      </c>
      <c r="F491" s="80">
        <f t="shared" si="15"/>
        <v>398</v>
      </c>
      <c r="G491" s="77">
        <f>Comp2[[#This Row],[Comparable '#2 Drawdown]]/MAX($B$2:B491)</f>
        <v>-0.4191884456671251</v>
      </c>
      <c r="H491" s="1" t="str">
        <f>IF(SUM(COUNTIF(Benchmark1[Benchmark '#1 Dates],Comp2[[#This Row],[Comparable '#2 Dates]]),COUNTIF(Benchmark2[Benchmark '#2 Dates],Comp2[[#This Row],[Comparable '#2 Dates]]))=2,"Pass","Fail")</f>
        <v>Pass</v>
      </c>
      <c r="I491" s="1">
        <f>IFERROR(Comp2[[#This Row],[Comparable '#2 Return]]-INDEX(Benchmark1[Benchmark '#1 Return],MATCH(Comp2[[#This Row],[Comparable '#2 Dates]],Benchmark1[Benchmark '#1 Dates],0)),"-")</f>
        <v>-6.4989315421838546E-3</v>
      </c>
      <c r="L491" s="72">
        <f>Comp2[[#This Row],[Comparable '#2 Price]]/$B$2*100</f>
        <v>67.967806841046269</v>
      </c>
    </row>
    <row r="492" spans="1:12">
      <c r="A492" s="96">
        <v>43998</v>
      </c>
      <c r="B492" s="101">
        <v>33.1</v>
      </c>
      <c r="C492" s="4">
        <f t="shared" si="14"/>
        <v>-2.0335628996636802E-2</v>
      </c>
      <c r="D492" s="1">
        <f>IFERROR(Comp2[[#This Row],[Comparable '#2 Return]]+1,"-")</f>
        <v>0.97966437100336323</v>
      </c>
      <c r="E492" s="6">
        <f>B492-MAX($B$2:B492)</f>
        <v>-25.059999999999995</v>
      </c>
      <c r="F492" s="80">
        <f t="shared" si="15"/>
        <v>399</v>
      </c>
      <c r="G492" s="77">
        <f>Comp2[[#This Row],[Comparable '#2 Drawdown]]/MAX($B$2:B492)</f>
        <v>-0.43088033012379634</v>
      </c>
      <c r="H492" s="1" t="str">
        <f>IF(SUM(COUNTIF(Benchmark1[Benchmark '#1 Dates],Comp2[[#This Row],[Comparable '#2 Dates]]),COUNTIF(Benchmark2[Benchmark '#2 Dates],Comp2[[#This Row],[Comparable '#2 Dates]]))=2,"Pass","Fail")</f>
        <v>Pass</v>
      </c>
      <c r="I492" s="1">
        <f>IFERROR(Comp2[[#This Row],[Comparable '#2 Return]]-INDEX(Benchmark1[Benchmark '#1 Return],MATCH(Comp2[[#This Row],[Comparable '#2 Dates]],Benchmark1[Benchmark '#1 Dates],0)),"-")</f>
        <v>-3.9120867674032875E-2</v>
      </c>
      <c r="L492" s="72">
        <f>Comp2[[#This Row],[Comparable '#2 Price]]/$B$2*100</f>
        <v>66.599597585513081</v>
      </c>
    </row>
    <row r="493" spans="1:12">
      <c r="A493" s="96">
        <v>43999</v>
      </c>
      <c r="B493" s="101">
        <v>32.75</v>
      </c>
      <c r="C493" s="4">
        <f t="shared" si="14"/>
        <v>-1.063032030175637E-2</v>
      </c>
      <c r="D493" s="1">
        <f>IFERROR(Comp2[[#This Row],[Comparable '#2 Return]]+1,"-")</f>
        <v>0.98936967969824363</v>
      </c>
      <c r="E493" s="6">
        <f>B493-MAX($B$2:B493)</f>
        <v>-25.409999999999997</v>
      </c>
      <c r="F493" s="80">
        <f t="shared" si="15"/>
        <v>400</v>
      </c>
      <c r="G493" s="77">
        <f>Comp2[[#This Row],[Comparable '#2 Drawdown]]/MAX($B$2:B493)</f>
        <v>-0.436898211829436</v>
      </c>
      <c r="H493" s="1" t="str">
        <f>IF(SUM(COUNTIF(Benchmark1[Benchmark '#1 Dates],Comp2[[#This Row],[Comparable '#2 Dates]]),COUNTIF(Benchmark2[Benchmark '#2 Dates],Comp2[[#This Row],[Comparable '#2 Dates]]))=2,"Pass","Fail")</f>
        <v>Pass</v>
      </c>
      <c r="I493" s="1">
        <f>IFERROR(Comp2[[#This Row],[Comparable '#2 Return]]-INDEX(Benchmark1[Benchmark '#1 Return],MATCH(Comp2[[#This Row],[Comparable '#2 Dates]],Benchmark1[Benchmark '#1 Dates],0)),"-")</f>
        <v>-7.0232462079189446E-3</v>
      </c>
      <c r="L493" s="72">
        <f>Comp2[[#This Row],[Comparable '#2 Price]]/$B$2*100</f>
        <v>65.895372233400394</v>
      </c>
    </row>
    <row r="494" spans="1:12">
      <c r="A494" s="96">
        <v>44000</v>
      </c>
      <c r="B494" s="101">
        <v>32.65</v>
      </c>
      <c r="C494" s="4">
        <f t="shared" si="14"/>
        <v>-3.0581063588208846E-3</v>
      </c>
      <c r="D494" s="1">
        <f>IFERROR(Comp2[[#This Row],[Comparable '#2 Return]]+1,"-")</f>
        <v>0.99694189364117913</v>
      </c>
      <c r="E494" s="6">
        <f>B494-MAX($B$2:B494)</f>
        <v>-25.509999999999998</v>
      </c>
      <c r="F494" s="80">
        <f t="shared" si="15"/>
        <v>401</v>
      </c>
      <c r="G494" s="77">
        <f>Comp2[[#This Row],[Comparable '#2 Drawdown]]/MAX($B$2:B494)</f>
        <v>-0.4386176066024759</v>
      </c>
      <c r="H494" s="1" t="str">
        <f>IF(SUM(COUNTIF(Benchmark1[Benchmark '#1 Dates],Comp2[[#This Row],[Comparable '#2 Dates]]),COUNTIF(Benchmark2[Benchmark '#2 Dates],Comp2[[#This Row],[Comparable '#2 Dates]]))=2,"Pass","Fail")</f>
        <v>Pass</v>
      </c>
      <c r="I494" s="1">
        <f>IFERROR(Comp2[[#This Row],[Comparable '#2 Return]]-INDEX(Benchmark1[Benchmark '#1 Return],MATCH(Comp2[[#This Row],[Comparable '#2 Dates]],Benchmark1[Benchmark '#1 Dates],0)),"-")</f>
        <v>-3.6539503506933103E-3</v>
      </c>
      <c r="L494" s="72">
        <f>Comp2[[#This Row],[Comparable '#2 Price]]/$B$2*100</f>
        <v>65.694164989939623</v>
      </c>
    </row>
    <row r="495" spans="1:12">
      <c r="A495" s="96">
        <v>44001</v>
      </c>
      <c r="B495" s="101">
        <v>32.65</v>
      </c>
      <c r="C495" s="4">
        <f t="shared" si="14"/>
        <v>0</v>
      </c>
      <c r="D495" s="1">
        <f>IFERROR(Comp2[[#This Row],[Comparable '#2 Return]]+1,"-")</f>
        <v>1</v>
      </c>
      <c r="E495" s="6">
        <f>B495-MAX($B$2:B495)</f>
        <v>-25.509999999999998</v>
      </c>
      <c r="F495" s="80">
        <f t="shared" si="15"/>
        <v>402</v>
      </c>
      <c r="G495" s="77">
        <f>Comp2[[#This Row],[Comparable '#2 Drawdown]]/MAX($B$2:B495)</f>
        <v>-0.4386176066024759</v>
      </c>
      <c r="H495" s="1" t="str">
        <f>IF(SUM(COUNTIF(Benchmark1[Benchmark '#1 Dates],Comp2[[#This Row],[Comparable '#2 Dates]]),COUNTIF(Benchmark2[Benchmark '#2 Dates],Comp2[[#This Row],[Comparable '#2 Dates]]))=2,"Pass","Fail")</f>
        <v>Pass</v>
      </c>
      <c r="I495" s="1">
        <f>IFERROR(Comp2[[#This Row],[Comparable '#2 Return]]-INDEX(Benchmark1[Benchmark '#1 Return],MATCH(Comp2[[#This Row],[Comparable '#2 Dates]],Benchmark1[Benchmark '#1 Dates],0)),"-")</f>
        <v>5.666208789704706E-3</v>
      </c>
      <c r="L495" s="72">
        <f>Comp2[[#This Row],[Comparable '#2 Price]]/$B$2*100</f>
        <v>65.694164989939623</v>
      </c>
    </row>
    <row r="496" spans="1:12">
      <c r="A496" s="96">
        <v>44004</v>
      </c>
      <c r="B496" s="101">
        <v>33.26</v>
      </c>
      <c r="C496" s="4">
        <f t="shared" si="14"/>
        <v>1.8510618042341446E-2</v>
      </c>
      <c r="D496" s="1">
        <f>IFERROR(Comp2[[#This Row],[Comparable '#2 Return]]+1,"-")</f>
        <v>1.0185106180423416</v>
      </c>
      <c r="E496" s="6">
        <f>B496-MAX($B$2:B496)</f>
        <v>-24.9</v>
      </c>
      <c r="F496" s="80">
        <f t="shared" si="15"/>
        <v>403</v>
      </c>
      <c r="G496" s="77">
        <f>Comp2[[#This Row],[Comparable '#2 Drawdown]]/MAX($B$2:B496)</f>
        <v>-0.4281292984869326</v>
      </c>
      <c r="H496" s="1" t="str">
        <f>IF(SUM(COUNTIF(Benchmark1[Benchmark '#1 Dates],Comp2[[#This Row],[Comparable '#2 Dates]]),COUNTIF(Benchmark2[Benchmark '#2 Dates],Comp2[[#This Row],[Comparable '#2 Dates]]))=2,"Pass","Fail")</f>
        <v>Pass</v>
      </c>
      <c r="I496" s="1">
        <f>IFERROR(Comp2[[#This Row],[Comparable '#2 Return]]-INDEX(Benchmark1[Benchmark '#1 Return],MATCH(Comp2[[#This Row],[Comparable '#2 Dates]],Benchmark1[Benchmark '#1 Dates],0)),"-")</f>
        <v>1.2037099292439447E-2</v>
      </c>
      <c r="L496" s="72">
        <f>Comp2[[#This Row],[Comparable '#2 Price]]/$B$2*100</f>
        <v>66.921529175050296</v>
      </c>
    </row>
    <row r="497" spans="1:12">
      <c r="A497" s="96">
        <v>44005</v>
      </c>
      <c r="B497" s="101">
        <v>33.03</v>
      </c>
      <c r="C497" s="4">
        <f t="shared" si="14"/>
        <v>-6.9392343620832226E-3</v>
      </c>
      <c r="D497" s="1">
        <f>IFERROR(Comp2[[#This Row],[Comparable '#2 Return]]+1,"-")</f>
        <v>0.99306076563791679</v>
      </c>
      <c r="E497" s="6">
        <f>B497-MAX($B$2:B497)</f>
        <v>-25.129999999999995</v>
      </c>
      <c r="F497" s="80">
        <f t="shared" si="15"/>
        <v>404</v>
      </c>
      <c r="G497" s="77">
        <f>Comp2[[#This Row],[Comparable '#2 Drawdown]]/MAX($B$2:B497)</f>
        <v>-0.43208390646492428</v>
      </c>
      <c r="H497" s="1" t="str">
        <f>IF(SUM(COUNTIF(Benchmark1[Benchmark '#1 Dates],Comp2[[#This Row],[Comparable '#2 Dates]]),COUNTIF(Benchmark2[Benchmark '#2 Dates],Comp2[[#This Row],[Comparable '#2 Dates]]))=2,"Pass","Fail")</f>
        <v>Pass</v>
      </c>
      <c r="I497" s="1">
        <f>IFERROR(Comp2[[#This Row],[Comparable '#2 Return]]-INDEX(Benchmark1[Benchmark '#1 Return],MATCH(Comp2[[#This Row],[Comparable '#2 Dates]],Benchmark1[Benchmark '#1 Dates],0)),"-")</f>
        <v>-1.123576245538602E-2</v>
      </c>
      <c r="L497" s="72">
        <f>Comp2[[#This Row],[Comparable '#2 Price]]/$B$2*100</f>
        <v>66.458752515090552</v>
      </c>
    </row>
    <row r="498" spans="1:12">
      <c r="A498" s="96">
        <v>44006</v>
      </c>
      <c r="B498" s="101">
        <v>32.31</v>
      </c>
      <c r="C498" s="4">
        <f t="shared" si="14"/>
        <v>-2.2039459566291386E-2</v>
      </c>
      <c r="D498" s="1">
        <f>IFERROR(Comp2[[#This Row],[Comparable '#2 Return]]+1,"-")</f>
        <v>0.97796054043370861</v>
      </c>
      <c r="E498" s="6">
        <f>B498-MAX($B$2:B498)</f>
        <v>-25.849999999999994</v>
      </c>
      <c r="F498" s="80">
        <f t="shared" si="15"/>
        <v>405</v>
      </c>
      <c r="G498" s="77">
        <f>Comp2[[#This Row],[Comparable '#2 Drawdown]]/MAX($B$2:B498)</f>
        <v>-0.44446354883081146</v>
      </c>
      <c r="H498" s="1" t="str">
        <f>IF(SUM(COUNTIF(Benchmark1[Benchmark '#1 Dates],Comp2[[#This Row],[Comparable '#2 Dates]]),COUNTIF(Benchmark2[Benchmark '#2 Dates],Comp2[[#This Row],[Comparable '#2 Dates]]))=2,"Pass","Fail")</f>
        <v>Pass</v>
      </c>
      <c r="I498" s="1">
        <f>IFERROR(Comp2[[#This Row],[Comparable '#2 Return]]-INDEX(Benchmark1[Benchmark '#1 Return],MATCH(Comp2[[#This Row],[Comparable '#2 Dates]],Benchmark1[Benchmark '#1 Dates],0)),"-")</f>
        <v>4.1528667630913174E-3</v>
      </c>
      <c r="L498" s="72">
        <f>Comp2[[#This Row],[Comparable '#2 Price]]/$B$2*100</f>
        <v>65.010060362173036</v>
      </c>
    </row>
    <row r="499" spans="1:12">
      <c r="A499" s="96">
        <v>44007</v>
      </c>
      <c r="B499" s="101">
        <v>31.1</v>
      </c>
      <c r="C499" s="4">
        <f t="shared" si="14"/>
        <v>-3.8168960651218518E-2</v>
      </c>
      <c r="D499" s="1">
        <f>IFERROR(Comp2[[#This Row],[Comparable '#2 Return]]+1,"-")</f>
        <v>0.96183103934878145</v>
      </c>
      <c r="E499" s="6">
        <f>B499-MAX($B$2:B499)</f>
        <v>-27.059999999999995</v>
      </c>
      <c r="F499" s="80">
        <f t="shared" si="15"/>
        <v>406</v>
      </c>
      <c r="G499" s="77">
        <f>Comp2[[#This Row],[Comparable '#2 Drawdown]]/MAX($B$2:B499)</f>
        <v>-0.46526822558459419</v>
      </c>
      <c r="H499" s="1" t="str">
        <f>IF(SUM(COUNTIF(Benchmark1[Benchmark '#1 Dates],Comp2[[#This Row],[Comparable '#2 Dates]]),COUNTIF(Benchmark2[Benchmark '#2 Dates],Comp2[[#This Row],[Comparable '#2 Dates]]))=2,"Pass","Fail")</f>
        <v>Pass</v>
      </c>
      <c r="I499" s="1">
        <f>IFERROR(Comp2[[#This Row],[Comparable '#2 Return]]-INDEX(Benchmark1[Benchmark '#1 Return],MATCH(Comp2[[#This Row],[Comparable '#2 Dates]],Benchmark1[Benchmark '#1 Dates],0)),"-")</f>
        <v>-4.9066503484341974E-2</v>
      </c>
      <c r="L499" s="72">
        <f>Comp2[[#This Row],[Comparable '#2 Price]]/$B$2*100</f>
        <v>62.575452716297789</v>
      </c>
    </row>
    <row r="500" spans="1:12">
      <c r="A500" s="96">
        <v>44008</v>
      </c>
      <c r="B500" s="101">
        <v>30.63</v>
      </c>
      <c r="C500" s="4">
        <f t="shared" si="14"/>
        <v>-1.5227898340504599E-2</v>
      </c>
      <c r="D500" s="1">
        <f>IFERROR(Comp2[[#This Row],[Comparable '#2 Return]]+1,"-")</f>
        <v>0.98477210165949536</v>
      </c>
      <c r="E500" s="6">
        <f>B500-MAX($B$2:B500)</f>
        <v>-27.529999999999998</v>
      </c>
      <c r="F500" s="80">
        <f t="shared" si="15"/>
        <v>407</v>
      </c>
      <c r="G500" s="77">
        <f>Comp2[[#This Row],[Comparable '#2 Drawdown]]/MAX($B$2:B500)</f>
        <v>-0.47334938101788171</v>
      </c>
      <c r="H500" s="1" t="str">
        <f>IF(SUM(COUNTIF(Benchmark1[Benchmark '#1 Dates],Comp2[[#This Row],[Comparable '#2 Dates]]),COUNTIF(Benchmark2[Benchmark '#2 Dates],Comp2[[#This Row],[Comparable '#2 Dates]]))=2,"Pass","Fail")</f>
        <v>Pass</v>
      </c>
      <c r="I500" s="1">
        <f>IFERROR(Comp2[[#This Row],[Comparable '#2 Return]]-INDEX(Benchmark1[Benchmark '#1 Return],MATCH(Comp2[[#This Row],[Comparable '#2 Dates]],Benchmark1[Benchmark '#1 Dates],0)),"-")</f>
        <v>9.2957710129122403E-3</v>
      </c>
      <c r="L500" s="72">
        <f>Comp2[[#This Row],[Comparable '#2 Price]]/$B$2*100</f>
        <v>61.629778672032188</v>
      </c>
    </row>
    <row r="501" spans="1:12">
      <c r="A501" s="96">
        <v>44011</v>
      </c>
      <c r="B501" s="101">
        <v>31.42</v>
      </c>
      <c r="C501" s="4">
        <f t="shared" si="14"/>
        <v>2.5464711982791349E-2</v>
      </c>
      <c r="D501" s="1">
        <f>IFERROR(Comp2[[#This Row],[Comparable '#2 Return]]+1,"-")</f>
        <v>1.0254647119827913</v>
      </c>
      <c r="E501" s="6">
        <f>B501-MAX($B$2:B501)</f>
        <v>-26.739999999999995</v>
      </c>
      <c r="F501" s="80">
        <f t="shared" si="15"/>
        <v>408</v>
      </c>
      <c r="G501" s="77">
        <f>Comp2[[#This Row],[Comparable '#2 Drawdown]]/MAX($B$2:B501)</f>
        <v>-0.45976616231086653</v>
      </c>
      <c r="H501" s="1" t="str">
        <f>IF(SUM(COUNTIF(Benchmark1[Benchmark '#1 Dates],Comp2[[#This Row],[Comparable '#2 Dates]]),COUNTIF(Benchmark2[Benchmark '#2 Dates],Comp2[[#This Row],[Comparable '#2 Dates]]))=2,"Pass","Fail")</f>
        <v>Pass</v>
      </c>
      <c r="I501" s="1">
        <f>IFERROR(Comp2[[#This Row],[Comparable '#2 Return]]-INDEX(Benchmark1[Benchmark '#1 Return],MATCH(Comp2[[#This Row],[Comparable '#2 Dates]],Benchmark1[Benchmark '#1 Dates],0)),"-")</f>
        <v>1.0886964166817411E-2</v>
      </c>
      <c r="L501" s="72">
        <f>Comp2[[#This Row],[Comparable '#2 Price]]/$B$2*100</f>
        <v>63.219315895372233</v>
      </c>
    </row>
    <row r="502" spans="1:12">
      <c r="A502" s="96">
        <v>44012</v>
      </c>
      <c r="B502" s="101">
        <v>31.15</v>
      </c>
      <c r="C502" s="4">
        <f t="shared" si="14"/>
        <v>-8.6303875940130174E-3</v>
      </c>
      <c r="D502" s="1">
        <f>IFERROR(Comp2[[#This Row],[Comparable '#2 Return]]+1,"-")</f>
        <v>0.99136961240598698</v>
      </c>
      <c r="E502" s="6">
        <f>B502-MAX($B$2:B502)</f>
        <v>-27.009999999999998</v>
      </c>
      <c r="F502" s="80">
        <f t="shared" si="15"/>
        <v>409</v>
      </c>
      <c r="G502" s="77">
        <f>Comp2[[#This Row],[Comparable '#2 Drawdown]]/MAX($B$2:B502)</f>
        <v>-0.46440852819807427</v>
      </c>
      <c r="H502" s="1" t="str">
        <f>IF(SUM(COUNTIF(Benchmark1[Benchmark '#1 Dates],Comp2[[#This Row],[Comparable '#2 Dates]]),COUNTIF(Benchmark2[Benchmark '#2 Dates],Comp2[[#This Row],[Comparable '#2 Dates]]))=2,"Pass","Fail")</f>
        <v>Pass</v>
      </c>
      <c r="I502" s="1">
        <f>IFERROR(Comp2[[#This Row],[Comparable '#2 Return]]-INDEX(Benchmark1[Benchmark '#1 Return],MATCH(Comp2[[#This Row],[Comparable '#2 Dates]],Benchmark1[Benchmark '#1 Dates],0)),"-")</f>
        <v>-2.3921512718654871E-2</v>
      </c>
      <c r="L502" s="72">
        <f>Comp2[[#This Row],[Comparable '#2 Price]]/$B$2*100</f>
        <v>62.676056338028161</v>
      </c>
    </row>
    <row r="503" spans="1:12">
      <c r="A503" s="96">
        <v>44013</v>
      </c>
      <c r="B503" s="101">
        <v>31.13</v>
      </c>
      <c r="C503" s="4">
        <f t="shared" si="14"/>
        <v>-6.4226077994534449E-4</v>
      </c>
      <c r="D503" s="1">
        <f>IFERROR(Comp2[[#This Row],[Comparable '#2 Return]]+1,"-")</f>
        <v>0.99935773922005466</v>
      </c>
      <c r="E503" s="6">
        <f>B503-MAX($B$2:B503)</f>
        <v>-27.029999999999998</v>
      </c>
      <c r="F503" s="80">
        <f t="shared" si="15"/>
        <v>410</v>
      </c>
      <c r="G503" s="77">
        <f>Comp2[[#This Row],[Comparable '#2 Drawdown]]/MAX($B$2:B503)</f>
        <v>-0.46475240715268223</v>
      </c>
      <c r="H503" s="1" t="str">
        <f>IF(SUM(COUNTIF(Benchmark1[Benchmark '#1 Dates],Comp2[[#This Row],[Comparable '#2 Dates]]),COUNTIF(Benchmark2[Benchmark '#2 Dates],Comp2[[#This Row],[Comparable '#2 Dates]]))=2,"Pass","Fail")</f>
        <v>Pass</v>
      </c>
      <c r="I503" s="1">
        <f>IFERROR(Comp2[[#This Row],[Comparable '#2 Return]]-INDEX(Benchmark1[Benchmark '#1 Return],MATCH(Comp2[[#This Row],[Comparable '#2 Dates]],Benchmark1[Benchmark '#1 Dates],0)),"-")</f>
        <v>-5.6528673627382377E-3</v>
      </c>
      <c r="L503" s="72">
        <f>Comp2[[#This Row],[Comparable '#2 Price]]/$B$2*100</f>
        <v>62.635814889336004</v>
      </c>
    </row>
    <row r="504" spans="1:12">
      <c r="A504" s="96">
        <v>44014</v>
      </c>
      <c r="B504" s="101">
        <v>31.5</v>
      </c>
      <c r="C504" s="4">
        <f t="shared" si="14"/>
        <v>1.1815561378070522E-2</v>
      </c>
      <c r="D504" s="1">
        <f>IFERROR(Comp2[[#This Row],[Comparable '#2 Return]]+1,"-")</f>
        <v>1.0118155613780706</v>
      </c>
      <c r="E504" s="6">
        <f>B504-MAX($B$2:B504)</f>
        <v>-26.659999999999997</v>
      </c>
      <c r="F504" s="80">
        <f t="shared" si="15"/>
        <v>411</v>
      </c>
      <c r="G504" s="77">
        <f>Comp2[[#This Row],[Comparable '#2 Drawdown]]/MAX($B$2:B504)</f>
        <v>-0.45839064649243461</v>
      </c>
      <c r="H504" s="1" t="str">
        <f>IF(SUM(COUNTIF(Benchmark1[Benchmark '#1 Dates],Comp2[[#This Row],[Comparable '#2 Dates]]),COUNTIF(Benchmark2[Benchmark '#2 Dates],Comp2[[#This Row],[Comparable '#2 Dates]]))=2,"Pass","Fail")</f>
        <v>Pass</v>
      </c>
      <c r="I504" s="1">
        <f>IFERROR(Comp2[[#This Row],[Comparable '#2 Return]]-INDEX(Benchmark1[Benchmark '#1 Return],MATCH(Comp2[[#This Row],[Comparable '#2 Dates]],Benchmark1[Benchmark '#1 Dates],0)),"-")</f>
        <v>7.2831947614936891E-3</v>
      </c>
      <c r="L504" s="72">
        <f>Comp2[[#This Row],[Comparable '#2 Price]]/$B$2*100</f>
        <v>63.380281690140841</v>
      </c>
    </row>
    <row r="505" spans="1:12">
      <c r="A505" s="96">
        <v>44018</v>
      </c>
      <c r="B505" s="101">
        <v>31.96</v>
      </c>
      <c r="C505" s="4">
        <f t="shared" si="14"/>
        <v>1.4497575066486664E-2</v>
      </c>
      <c r="D505" s="1">
        <f>IFERROR(Comp2[[#This Row],[Comparable '#2 Return]]+1,"-")</f>
        <v>1.0144975750664866</v>
      </c>
      <c r="E505" s="6">
        <f>B505-MAX($B$2:B505)</f>
        <v>-26.199999999999996</v>
      </c>
      <c r="F505" s="80">
        <f t="shared" si="15"/>
        <v>412</v>
      </c>
      <c r="G505" s="77">
        <f>Comp2[[#This Row],[Comparable '#2 Drawdown]]/MAX($B$2:B505)</f>
        <v>-0.45048143053645112</v>
      </c>
      <c r="H505" s="1" t="str">
        <f>IF(SUM(COUNTIF(Benchmark1[Benchmark '#1 Dates],Comp2[[#This Row],[Comparable '#2 Dates]]),COUNTIF(Benchmark2[Benchmark '#2 Dates],Comp2[[#This Row],[Comparable '#2 Dates]]))=2,"Pass","Fail")</f>
        <v>Pass</v>
      </c>
      <c r="I505" s="1">
        <f>IFERROR(Comp2[[#This Row],[Comparable '#2 Return]]-INDEX(Benchmark1[Benchmark '#1 Return],MATCH(Comp2[[#This Row],[Comparable '#2 Dates]],Benchmark1[Benchmark '#1 Dates],0)),"-")</f>
        <v>-1.2581180836130201E-3</v>
      </c>
      <c r="L505" s="72">
        <f>Comp2[[#This Row],[Comparable '#2 Price]]/$B$2*100</f>
        <v>64.305835010060363</v>
      </c>
    </row>
    <row r="506" spans="1:12">
      <c r="A506" s="96">
        <v>44019</v>
      </c>
      <c r="B506" s="101">
        <v>31.5</v>
      </c>
      <c r="C506" s="4">
        <f t="shared" si="14"/>
        <v>-1.449757506648653E-2</v>
      </c>
      <c r="D506" s="1">
        <f>IFERROR(Comp2[[#This Row],[Comparable '#2 Return]]+1,"-")</f>
        <v>0.98550242493351348</v>
      </c>
      <c r="E506" s="6">
        <f>B506-MAX($B$2:B506)</f>
        <v>-26.659999999999997</v>
      </c>
      <c r="F506" s="80">
        <f t="shared" si="15"/>
        <v>413</v>
      </c>
      <c r="G506" s="77">
        <f>Comp2[[#This Row],[Comparable '#2 Drawdown]]/MAX($B$2:B506)</f>
        <v>-0.45839064649243461</v>
      </c>
      <c r="H506" s="1" t="str">
        <f>IF(SUM(COUNTIF(Benchmark1[Benchmark '#1 Dates],Comp2[[#This Row],[Comparable '#2 Dates]]),COUNTIF(Benchmark2[Benchmark '#2 Dates],Comp2[[#This Row],[Comparable '#2 Dates]]))=2,"Pass","Fail")</f>
        <v>Pass</v>
      </c>
      <c r="I506" s="1">
        <f>IFERROR(Comp2[[#This Row],[Comparable '#2 Return]]-INDEX(Benchmark1[Benchmark '#1 Return],MATCH(Comp2[[#This Row],[Comparable '#2 Dates]],Benchmark1[Benchmark '#1 Dates],0)),"-")</f>
        <v>-3.619822429496676E-3</v>
      </c>
      <c r="L506" s="72">
        <f>Comp2[[#This Row],[Comparable '#2 Price]]/$B$2*100</f>
        <v>63.380281690140841</v>
      </c>
    </row>
    <row r="507" spans="1:12">
      <c r="A507" s="96">
        <v>44020</v>
      </c>
      <c r="B507" s="101">
        <v>31.72</v>
      </c>
      <c r="C507" s="4">
        <f t="shared" si="14"/>
        <v>6.9598509350597441E-3</v>
      </c>
      <c r="D507" s="1">
        <f>IFERROR(Comp2[[#This Row],[Comparable '#2 Return]]+1,"-")</f>
        <v>1.0069598509350597</v>
      </c>
      <c r="E507" s="6">
        <f>B507-MAX($B$2:B507)</f>
        <v>-26.439999999999998</v>
      </c>
      <c r="F507" s="80">
        <f t="shared" si="15"/>
        <v>414</v>
      </c>
      <c r="G507" s="77">
        <f>Comp2[[#This Row],[Comparable '#2 Drawdown]]/MAX($B$2:B507)</f>
        <v>-0.4546079779917469</v>
      </c>
      <c r="H507" s="1" t="str">
        <f>IF(SUM(COUNTIF(Benchmark1[Benchmark '#1 Dates],Comp2[[#This Row],[Comparable '#2 Dates]]),COUNTIF(Benchmark2[Benchmark '#2 Dates],Comp2[[#This Row],[Comparable '#2 Dates]]))=2,"Pass","Fail")</f>
        <v>Pass</v>
      </c>
      <c r="I507" s="1">
        <f>IFERROR(Comp2[[#This Row],[Comparable '#2 Return]]-INDEX(Benchmark1[Benchmark '#1 Return],MATCH(Comp2[[#This Row],[Comparable '#2 Dates]],Benchmark1[Benchmark '#1 Dates],0)),"-")</f>
        <v>-8.3880700108364837E-4</v>
      </c>
      <c r="L507" s="72">
        <f>Comp2[[#This Row],[Comparable '#2 Price]]/$B$2*100</f>
        <v>63.82293762575452</v>
      </c>
    </row>
    <row r="508" spans="1:12">
      <c r="A508" s="96">
        <v>44021</v>
      </c>
      <c r="B508" s="101">
        <v>30.99</v>
      </c>
      <c r="C508" s="4">
        <f t="shared" si="14"/>
        <v>-2.3282824966990405E-2</v>
      </c>
      <c r="D508" s="1">
        <f>IFERROR(Comp2[[#This Row],[Comparable '#2 Return]]+1,"-")</f>
        <v>0.97671717503300959</v>
      </c>
      <c r="E508" s="6">
        <f>B508-MAX($B$2:B508)</f>
        <v>-27.169999999999998</v>
      </c>
      <c r="F508" s="80">
        <f t="shared" si="15"/>
        <v>415</v>
      </c>
      <c r="G508" s="77">
        <f>Comp2[[#This Row],[Comparable '#2 Drawdown]]/MAX($B$2:B508)</f>
        <v>-0.46715955983493812</v>
      </c>
      <c r="H508" s="1" t="str">
        <f>IF(SUM(COUNTIF(Benchmark1[Benchmark '#1 Dates],Comp2[[#This Row],[Comparable '#2 Dates]]),COUNTIF(Benchmark2[Benchmark '#2 Dates],Comp2[[#This Row],[Comparable '#2 Dates]]))=2,"Pass","Fail")</f>
        <v>Pass</v>
      </c>
      <c r="I508" s="1">
        <f>IFERROR(Comp2[[#This Row],[Comparable '#2 Return]]-INDEX(Benchmark1[Benchmark '#1 Return],MATCH(Comp2[[#This Row],[Comparable '#2 Dates]],Benchmark1[Benchmark '#1 Dates],0)),"-")</f>
        <v>-1.7621770121418214E-2</v>
      </c>
      <c r="L508" s="72">
        <f>Comp2[[#This Row],[Comparable '#2 Price]]/$B$2*100</f>
        <v>62.354124748490932</v>
      </c>
    </row>
    <row r="509" spans="1:12">
      <c r="A509" s="96">
        <v>44022</v>
      </c>
      <c r="B509" s="101">
        <v>31.68</v>
      </c>
      <c r="C509" s="4">
        <f t="shared" si="14"/>
        <v>2.2020995146568228E-2</v>
      </c>
      <c r="D509" s="1">
        <f>IFERROR(Comp2[[#This Row],[Comparable '#2 Return]]+1,"-")</f>
        <v>1.0220209951465682</v>
      </c>
      <c r="E509" s="6">
        <f>B509-MAX($B$2:B509)</f>
        <v>-26.479999999999997</v>
      </c>
      <c r="F509" s="80">
        <f t="shared" si="15"/>
        <v>416</v>
      </c>
      <c r="G509" s="77">
        <f>Comp2[[#This Row],[Comparable '#2 Drawdown]]/MAX($B$2:B509)</f>
        <v>-0.45529573590096284</v>
      </c>
      <c r="H509" s="1" t="str">
        <f>IF(SUM(COUNTIF(Benchmark1[Benchmark '#1 Dates],Comp2[[#This Row],[Comparable '#2 Dates]]),COUNTIF(Benchmark2[Benchmark '#2 Dates],Comp2[[#This Row],[Comparable '#2 Dates]]))=2,"Pass","Fail")</f>
        <v>Pass</v>
      </c>
      <c r="I509" s="1">
        <f>IFERROR(Comp2[[#This Row],[Comparable '#2 Return]]-INDEX(Benchmark1[Benchmark '#1 Return],MATCH(Comp2[[#This Row],[Comparable '#2 Dates]],Benchmark1[Benchmark '#1 Dates],0)),"-")</f>
        <v>1.1608021562715622E-2</v>
      </c>
      <c r="L509" s="72">
        <f>Comp2[[#This Row],[Comparable '#2 Price]]/$B$2*100</f>
        <v>63.742454728370213</v>
      </c>
    </row>
    <row r="510" spans="1:12">
      <c r="A510" s="96">
        <v>44025</v>
      </c>
      <c r="B510" s="101">
        <v>31.81</v>
      </c>
      <c r="C510" s="4">
        <f t="shared" si="14"/>
        <v>4.09513881482753E-3</v>
      </c>
      <c r="D510" s="1">
        <f>IFERROR(Comp2[[#This Row],[Comparable '#2 Return]]+1,"-")</f>
        <v>1.0040951388148276</v>
      </c>
      <c r="E510" s="6">
        <f>B510-MAX($B$2:B510)</f>
        <v>-26.349999999999998</v>
      </c>
      <c r="F510" s="80">
        <f t="shared" si="15"/>
        <v>417</v>
      </c>
      <c r="G510" s="77">
        <f>Comp2[[#This Row],[Comparable '#2 Drawdown]]/MAX($B$2:B510)</f>
        <v>-0.45306052269601099</v>
      </c>
      <c r="H510" s="1" t="str">
        <f>IF(SUM(COUNTIF(Benchmark1[Benchmark '#1 Dates],Comp2[[#This Row],[Comparable '#2 Dates]]),COUNTIF(Benchmark2[Benchmark '#2 Dates],Comp2[[#This Row],[Comparable '#2 Dates]]))=2,"Pass","Fail")</f>
        <v>Pass</v>
      </c>
      <c r="I510" s="1">
        <f>IFERROR(Comp2[[#This Row],[Comparable '#2 Return]]-INDEX(Benchmark1[Benchmark '#1 Return],MATCH(Comp2[[#This Row],[Comparable '#2 Dates]],Benchmark1[Benchmark '#1 Dates],0)),"-")</f>
        <v>1.3501346049023017E-2</v>
      </c>
      <c r="L510" s="72">
        <f>Comp2[[#This Row],[Comparable '#2 Price]]/$B$2*100</f>
        <v>64.004024144869206</v>
      </c>
    </row>
    <row r="511" spans="1:12">
      <c r="A511" s="96">
        <v>44026</v>
      </c>
      <c r="B511" s="101">
        <v>32.270000000000003</v>
      </c>
      <c r="C511" s="4">
        <f t="shared" si="14"/>
        <v>1.4357300302817755E-2</v>
      </c>
      <c r="D511" s="1">
        <f>IFERROR(Comp2[[#This Row],[Comparable '#2 Return]]+1,"-")</f>
        <v>1.0143573003028177</v>
      </c>
      <c r="E511" s="6">
        <f>B511-MAX($B$2:B511)</f>
        <v>-25.889999999999993</v>
      </c>
      <c r="F511" s="80">
        <f t="shared" si="15"/>
        <v>418</v>
      </c>
      <c r="G511" s="77">
        <f>Comp2[[#This Row],[Comparable '#2 Drawdown]]/MAX($B$2:B511)</f>
        <v>-0.4451513067400274</v>
      </c>
      <c r="H511" s="1" t="str">
        <f>IF(SUM(COUNTIF(Benchmark1[Benchmark '#1 Dates],Comp2[[#This Row],[Comparable '#2 Dates]]),COUNTIF(Benchmark2[Benchmark '#2 Dates],Comp2[[#This Row],[Comparable '#2 Dates]]))=2,"Pass","Fail")</f>
        <v>Pass</v>
      </c>
      <c r="I511" s="1">
        <f>IFERROR(Comp2[[#This Row],[Comparable '#2 Return]]-INDEX(Benchmark1[Benchmark '#1 Return],MATCH(Comp2[[#This Row],[Comparable '#2 Dates]],Benchmark1[Benchmark '#1 Dates],0)),"-")</f>
        <v>1.0404180866358716E-3</v>
      </c>
      <c r="L511" s="72">
        <f>Comp2[[#This Row],[Comparable '#2 Price]]/$B$2*100</f>
        <v>64.929577464788736</v>
      </c>
    </row>
    <row r="512" spans="1:12">
      <c r="A512" s="96">
        <v>44027</v>
      </c>
      <c r="B512" s="101">
        <v>34.96</v>
      </c>
      <c r="C512" s="4">
        <f t="shared" si="14"/>
        <v>8.0066544723464236E-2</v>
      </c>
      <c r="D512" s="1">
        <f>IFERROR(Comp2[[#This Row],[Comparable '#2 Return]]+1,"-")</f>
        <v>1.0800665447234643</v>
      </c>
      <c r="E512" s="6">
        <f>B512-MAX($B$2:B512)</f>
        <v>-23.199999999999996</v>
      </c>
      <c r="F512" s="80">
        <f t="shared" si="15"/>
        <v>419</v>
      </c>
      <c r="G512" s="77">
        <f>Comp2[[#This Row],[Comparable '#2 Drawdown]]/MAX($B$2:B512)</f>
        <v>-0.39889958734525444</v>
      </c>
      <c r="H512" s="1" t="str">
        <f>IF(SUM(COUNTIF(Benchmark1[Benchmark '#1 Dates],Comp2[[#This Row],[Comparable '#2 Dates]]),COUNTIF(Benchmark2[Benchmark '#2 Dates],Comp2[[#This Row],[Comparable '#2 Dates]]))=2,"Pass","Fail")</f>
        <v>Pass</v>
      </c>
      <c r="I512" s="1">
        <f>IFERROR(Comp2[[#This Row],[Comparable '#2 Return]]-INDEX(Benchmark1[Benchmark '#1 Return],MATCH(Comp2[[#This Row],[Comparable '#2 Dates]],Benchmark1[Benchmark '#1 Dates],0)),"-")</f>
        <v>7.102645003473855E-2</v>
      </c>
      <c r="L512" s="72">
        <f>Comp2[[#This Row],[Comparable '#2 Price]]/$B$2*100</f>
        <v>70.3420523138833</v>
      </c>
    </row>
    <row r="513" spans="1:12">
      <c r="A513" s="96">
        <v>44028</v>
      </c>
      <c r="B513" s="101">
        <v>34.770000000000003</v>
      </c>
      <c r="C513" s="4">
        <f t="shared" si="14"/>
        <v>-5.4496047675645911E-3</v>
      </c>
      <c r="D513" s="1">
        <f>IFERROR(Comp2[[#This Row],[Comparable '#2 Return]]+1,"-")</f>
        <v>0.99455039523243538</v>
      </c>
      <c r="E513" s="6">
        <f>B513-MAX($B$2:B513)</f>
        <v>-23.389999999999993</v>
      </c>
      <c r="F513" s="80">
        <f t="shared" si="15"/>
        <v>420</v>
      </c>
      <c r="G513" s="77">
        <f>Comp2[[#This Row],[Comparable '#2 Drawdown]]/MAX($B$2:B513)</f>
        <v>-0.40216643741403019</v>
      </c>
      <c r="H513" s="1" t="str">
        <f>IF(SUM(COUNTIF(Benchmark1[Benchmark '#1 Dates],Comp2[[#This Row],[Comparable '#2 Dates]]),COUNTIF(Benchmark2[Benchmark '#2 Dates],Comp2[[#This Row],[Comparable '#2 Dates]]))=2,"Pass","Fail")</f>
        <v>Pass</v>
      </c>
      <c r="I513" s="1">
        <f>IFERROR(Comp2[[#This Row],[Comparable '#2 Return]]-INDEX(Benchmark1[Benchmark '#1 Return],MATCH(Comp2[[#This Row],[Comparable '#2 Dates]],Benchmark1[Benchmark '#1 Dates],0)),"-")</f>
        <v>-2.0391489933151074E-3</v>
      </c>
      <c r="L513" s="72">
        <f>Comp2[[#This Row],[Comparable '#2 Price]]/$B$2*100</f>
        <v>69.959758551307843</v>
      </c>
    </row>
    <row r="514" spans="1:12">
      <c r="A514" s="96">
        <v>44029</v>
      </c>
      <c r="B514" s="101">
        <v>35.21</v>
      </c>
      <c r="C514" s="4">
        <f t="shared" ref="C514:C577" si="16">IFERROR(IF(B514="","-",LN(B514/B513)),"-")</f>
        <v>1.2575187147191068E-2</v>
      </c>
      <c r="D514" s="1">
        <f>IFERROR(Comp2[[#This Row],[Comparable '#2 Return]]+1,"-")</f>
        <v>1.0125751871471911</v>
      </c>
      <c r="E514" s="6">
        <f>B514-MAX($B$2:B514)</f>
        <v>-22.949999999999996</v>
      </c>
      <c r="F514" s="80">
        <f t="shared" ref="F514:F577" si="17">IF(E514=0,0,F513+1)</f>
        <v>421</v>
      </c>
      <c r="G514" s="77">
        <f>Comp2[[#This Row],[Comparable '#2 Drawdown]]/MAX($B$2:B514)</f>
        <v>-0.39460110041265467</v>
      </c>
      <c r="H514" s="1" t="str">
        <f>IF(SUM(COUNTIF(Benchmark1[Benchmark '#1 Dates],Comp2[[#This Row],[Comparable '#2 Dates]]),COUNTIF(Benchmark2[Benchmark '#2 Dates],Comp2[[#This Row],[Comparable '#2 Dates]]))=2,"Pass","Fail")</f>
        <v>Pass</v>
      </c>
      <c r="I514" s="1">
        <f>IFERROR(Comp2[[#This Row],[Comparable '#2 Return]]-INDEX(Benchmark1[Benchmark '#1 Return],MATCH(Comp2[[#This Row],[Comparable '#2 Dates]],Benchmark1[Benchmark '#1 Dates],0)),"-")</f>
        <v>9.7316321350739057E-3</v>
      </c>
      <c r="L514" s="72">
        <f>Comp2[[#This Row],[Comparable '#2 Price]]/$B$2*100</f>
        <v>70.845070422535201</v>
      </c>
    </row>
    <row r="515" spans="1:12">
      <c r="A515" s="96">
        <v>44032</v>
      </c>
      <c r="B515" s="101">
        <v>35.479999999999997</v>
      </c>
      <c r="C515" s="4">
        <f t="shared" si="16"/>
        <v>7.6390242744175845E-3</v>
      </c>
      <c r="D515" s="1">
        <f>IFERROR(Comp2[[#This Row],[Comparable '#2 Return]]+1,"-")</f>
        <v>1.0076390242744175</v>
      </c>
      <c r="E515" s="6">
        <f>B515-MAX($B$2:B515)</f>
        <v>-22.68</v>
      </c>
      <c r="F515" s="80">
        <f t="shared" si="17"/>
        <v>422</v>
      </c>
      <c r="G515" s="77">
        <f>Comp2[[#This Row],[Comparable '#2 Drawdown]]/MAX($B$2:B515)</f>
        <v>-0.38995873452544705</v>
      </c>
      <c r="H515" s="1" t="str">
        <f>IF(SUM(COUNTIF(Benchmark1[Benchmark '#1 Dates],Comp2[[#This Row],[Comparable '#2 Dates]]),COUNTIF(Benchmark2[Benchmark '#2 Dates],Comp2[[#This Row],[Comparable '#2 Dates]]))=2,"Pass","Fail")</f>
        <v>Pass</v>
      </c>
      <c r="I515" s="1">
        <f>IFERROR(Comp2[[#This Row],[Comparable '#2 Return]]-INDEX(Benchmark1[Benchmark '#1 Return],MATCH(Comp2[[#This Row],[Comparable '#2 Dates]],Benchmark1[Benchmark '#1 Dates],0)),"-")</f>
        <v>-7.3317408799464159E-4</v>
      </c>
      <c r="L515" s="72">
        <f>Comp2[[#This Row],[Comparable '#2 Price]]/$B$2*100</f>
        <v>71.388329979879259</v>
      </c>
    </row>
    <row r="516" spans="1:12">
      <c r="A516" s="96">
        <v>44033</v>
      </c>
      <c r="B516" s="101">
        <v>36.32</v>
      </c>
      <c r="C516" s="4">
        <f t="shared" si="16"/>
        <v>2.3399396291713989E-2</v>
      </c>
      <c r="D516" s="1">
        <f>IFERROR(Comp2[[#This Row],[Comparable '#2 Return]]+1,"-")</f>
        <v>1.0233993962917141</v>
      </c>
      <c r="E516" s="6">
        <f>B516-MAX($B$2:B516)</f>
        <v>-21.839999999999996</v>
      </c>
      <c r="F516" s="80">
        <f t="shared" si="17"/>
        <v>423</v>
      </c>
      <c r="G516" s="77">
        <f>Comp2[[#This Row],[Comparable '#2 Drawdown]]/MAX($B$2:B516)</f>
        <v>-0.37551581843191195</v>
      </c>
      <c r="H516" s="1" t="str">
        <f>IF(SUM(COUNTIF(Benchmark1[Benchmark '#1 Dates],Comp2[[#This Row],[Comparable '#2 Dates]]),COUNTIF(Benchmark2[Benchmark '#2 Dates],Comp2[[#This Row],[Comparable '#2 Dates]]))=2,"Pass","Fail")</f>
        <v>Pass</v>
      </c>
      <c r="I516" s="1">
        <f>IFERROR(Comp2[[#This Row],[Comparable '#2 Return]]-INDEX(Benchmark1[Benchmark '#1 Return],MATCH(Comp2[[#This Row],[Comparable '#2 Dates]],Benchmark1[Benchmark '#1 Dates],0)),"-")</f>
        <v>2.172301756476722E-2</v>
      </c>
      <c r="L516" s="72">
        <f>Comp2[[#This Row],[Comparable '#2 Price]]/$B$2*100</f>
        <v>73.07847082494969</v>
      </c>
    </row>
    <row r="517" spans="1:12">
      <c r="A517" s="96">
        <v>44034</v>
      </c>
      <c r="B517" s="101">
        <v>36.35</v>
      </c>
      <c r="C517" s="4">
        <f t="shared" si="16"/>
        <v>8.256502464357926E-4</v>
      </c>
      <c r="D517" s="1">
        <f>IFERROR(Comp2[[#This Row],[Comparable '#2 Return]]+1,"-")</f>
        <v>1.0008256502464359</v>
      </c>
      <c r="E517" s="6">
        <f>B517-MAX($B$2:B517)</f>
        <v>-21.809999999999995</v>
      </c>
      <c r="F517" s="80">
        <f t="shared" si="17"/>
        <v>424</v>
      </c>
      <c r="G517" s="77">
        <f>Comp2[[#This Row],[Comparable '#2 Drawdown]]/MAX($B$2:B517)</f>
        <v>-0.37499999999999994</v>
      </c>
      <c r="H517" s="1" t="str">
        <f>IF(SUM(COUNTIF(Benchmark1[Benchmark '#1 Dates],Comp2[[#This Row],[Comparable '#2 Dates]]),COUNTIF(Benchmark2[Benchmark '#2 Dates],Comp2[[#This Row],[Comparable '#2 Dates]]))=2,"Pass","Fail")</f>
        <v>Pass</v>
      </c>
      <c r="I517" s="1">
        <f>IFERROR(Comp2[[#This Row],[Comparable '#2 Return]]-INDEX(Benchmark1[Benchmark '#1 Return],MATCH(Comp2[[#This Row],[Comparable '#2 Dates]],Benchmark1[Benchmark '#1 Dates],0)),"-")</f>
        <v>-4.9043863412589761E-3</v>
      </c>
      <c r="L517" s="72">
        <f>Comp2[[#This Row],[Comparable '#2 Price]]/$B$2*100</f>
        <v>73.138832997987919</v>
      </c>
    </row>
    <row r="518" spans="1:12">
      <c r="A518" s="96">
        <v>44035</v>
      </c>
      <c r="B518" s="101">
        <v>36.47</v>
      </c>
      <c r="C518" s="4">
        <f t="shared" si="16"/>
        <v>3.2958008410604307E-3</v>
      </c>
      <c r="D518" s="1">
        <f>IFERROR(Comp2[[#This Row],[Comparable '#2 Return]]+1,"-")</f>
        <v>1.0032958008410604</v>
      </c>
      <c r="E518" s="6">
        <f>B518-MAX($B$2:B518)</f>
        <v>-21.689999999999998</v>
      </c>
      <c r="F518" s="80">
        <f t="shared" si="17"/>
        <v>425</v>
      </c>
      <c r="G518" s="77">
        <f>Comp2[[#This Row],[Comparable '#2 Drawdown]]/MAX($B$2:B518)</f>
        <v>-0.37293672627235214</v>
      </c>
      <c r="H518" s="1" t="str">
        <f>IF(SUM(COUNTIF(Benchmark1[Benchmark '#1 Dates],Comp2[[#This Row],[Comparable '#2 Dates]]),COUNTIF(Benchmark2[Benchmark '#2 Dates],Comp2[[#This Row],[Comparable '#2 Dates]]))=2,"Pass","Fail")</f>
        <v>Pass</v>
      </c>
      <c r="I518" s="1">
        <f>IFERROR(Comp2[[#This Row],[Comparable '#2 Return]]-INDEX(Benchmark1[Benchmark '#1 Return],MATCH(Comp2[[#This Row],[Comparable '#2 Dates]],Benchmark1[Benchmark '#1 Dates],0)),"-")</f>
        <v>1.5689928476813102E-2</v>
      </c>
      <c r="L518" s="72">
        <f>Comp2[[#This Row],[Comparable '#2 Price]]/$B$2*100</f>
        <v>73.380281690140833</v>
      </c>
    </row>
    <row r="519" spans="1:12">
      <c r="A519" s="96">
        <v>44036</v>
      </c>
      <c r="B519" s="101">
        <v>36.47</v>
      </c>
      <c r="C519" s="4">
        <f t="shared" si="16"/>
        <v>0</v>
      </c>
      <c r="D519" s="1">
        <f>IFERROR(Comp2[[#This Row],[Comparable '#2 Return]]+1,"-")</f>
        <v>1</v>
      </c>
      <c r="E519" s="6">
        <f>B519-MAX($B$2:B519)</f>
        <v>-21.689999999999998</v>
      </c>
      <c r="F519" s="80">
        <f t="shared" si="17"/>
        <v>426</v>
      </c>
      <c r="G519" s="77">
        <f>Comp2[[#This Row],[Comparable '#2 Drawdown]]/MAX($B$2:B519)</f>
        <v>-0.37293672627235214</v>
      </c>
      <c r="H519" s="1" t="str">
        <f>IF(SUM(COUNTIF(Benchmark1[Benchmark '#1 Dates],Comp2[[#This Row],[Comparable '#2 Dates]]),COUNTIF(Benchmark2[Benchmark '#2 Dates],Comp2[[#This Row],[Comparable '#2 Dates]]))=2,"Pass","Fail")</f>
        <v>Pass</v>
      </c>
      <c r="I519" s="1">
        <f>IFERROR(Comp2[[#This Row],[Comparable '#2 Return]]-INDEX(Benchmark1[Benchmark '#1 Return],MATCH(Comp2[[#This Row],[Comparable '#2 Dates]],Benchmark1[Benchmark '#1 Dates],0)),"-")</f>
        <v>6.2106966159297759E-3</v>
      </c>
      <c r="L519" s="72">
        <f>Comp2[[#This Row],[Comparable '#2 Price]]/$B$2*100</f>
        <v>73.380281690140833</v>
      </c>
    </row>
    <row r="520" spans="1:12">
      <c r="A520" s="96">
        <v>44039</v>
      </c>
      <c r="B520" s="101">
        <v>36.99</v>
      </c>
      <c r="C520" s="4">
        <f t="shared" si="16"/>
        <v>1.4157601023773907E-2</v>
      </c>
      <c r="D520" s="1">
        <f>IFERROR(Comp2[[#This Row],[Comparable '#2 Return]]+1,"-")</f>
        <v>1.0141576010237738</v>
      </c>
      <c r="E520" s="6">
        <f>B520-MAX($B$2:B520)</f>
        <v>-21.169999999999995</v>
      </c>
      <c r="F520" s="80">
        <f t="shared" si="17"/>
        <v>427</v>
      </c>
      <c r="G520" s="77">
        <f>Comp2[[#This Row],[Comparable '#2 Drawdown]]/MAX($B$2:B520)</f>
        <v>-0.36399587345254464</v>
      </c>
      <c r="H520" s="1" t="str">
        <f>IF(SUM(COUNTIF(Benchmark1[Benchmark '#1 Dates],Comp2[[#This Row],[Comparable '#2 Dates]]),COUNTIF(Benchmark2[Benchmark '#2 Dates],Comp2[[#This Row],[Comparable '#2 Dates]]))=2,"Pass","Fail")</f>
        <v>Pass</v>
      </c>
      <c r="I520" s="1">
        <f>IFERROR(Comp2[[#This Row],[Comparable '#2 Return]]-INDEX(Benchmark1[Benchmark '#1 Return],MATCH(Comp2[[#This Row],[Comparable '#2 Dates]],Benchmark1[Benchmark '#1 Dates],0)),"-")</f>
        <v>6.7907609619746422E-3</v>
      </c>
      <c r="L520" s="72">
        <f>Comp2[[#This Row],[Comparable '#2 Price]]/$B$2*100</f>
        <v>74.426559356136821</v>
      </c>
    </row>
    <row r="521" spans="1:12">
      <c r="A521" s="96">
        <v>44040</v>
      </c>
      <c r="B521" s="101">
        <v>36.700000000000003</v>
      </c>
      <c r="C521" s="4">
        <f t="shared" si="16"/>
        <v>-7.8708507838380123E-3</v>
      </c>
      <c r="D521" s="1">
        <f>IFERROR(Comp2[[#This Row],[Comparable '#2 Return]]+1,"-")</f>
        <v>0.99212914921616202</v>
      </c>
      <c r="E521" s="6">
        <f>B521-MAX($B$2:B521)</f>
        <v>-21.459999999999994</v>
      </c>
      <c r="F521" s="80">
        <f t="shared" si="17"/>
        <v>428</v>
      </c>
      <c r="G521" s="77">
        <f>Comp2[[#This Row],[Comparable '#2 Drawdown]]/MAX($B$2:B521)</f>
        <v>-0.36898211829436028</v>
      </c>
      <c r="H521" s="1" t="str">
        <f>IF(SUM(COUNTIF(Benchmark1[Benchmark '#1 Dates],Comp2[[#This Row],[Comparable '#2 Dates]]),COUNTIF(Benchmark2[Benchmark '#2 Dates],Comp2[[#This Row],[Comparable '#2 Dates]]))=2,"Pass","Fail")</f>
        <v>Pass</v>
      </c>
      <c r="I521" s="1">
        <f>IFERROR(Comp2[[#This Row],[Comparable '#2 Return]]-INDEX(Benchmark1[Benchmark '#1 Return],MATCH(Comp2[[#This Row],[Comparable '#2 Dates]],Benchmark1[Benchmark '#1 Dates],0)),"-")</f>
        <v>-1.3760671994380025E-3</v>
      </c>
      <c r="L521" s="72">
        <f>Comp2[[#This Row],[Comparable '#2 Price]]/$B$2*100</f>
        <v>73.843058350100605</v>
      </c>
    </row>
    <row r="522" spans="1:12">
      <c r="A522" s="96">
        <v>44041</v>
      </c>
      <c r="B522" s="101">
        <v>35.6</v>
      </c>
      <c r="C522" s="4">
        <f t="shared" si="16"/>
        <v>-3.0431117202539812E-2</v>
      </c>
      <c r="D522" s="1">
        <f>IFERROR(Comp2[[#This Row],[Comparable '#2 Return]]+1,"-")</f>
        <v>0.96956888279746023</v>
      </c>
      <c r="E522" s="6">
        <f>B522-MAX($B$2:B522)</f>
        <v>-22.559999999999995</v>
      </c>
      <c r="F522" s="80">
        <f t="shared" si="17"/>
        <v>429</v>
      </c>
      <c r="G522" s="77">
        <f>Comp2[[#This Row],[Comparable '#2 Drawdown]]/MAX($B$2:B522)</f>
        <v>-0.38789546079779913</v>
      </c>
      <c r="H522" s="1" t="str">
        <f>IF(SUM(COUNTIF(Benchmark1[Benchmark '#1 Dates],Comp2[[#This Row],[Comparable '#2 Dates]]),COUNTIF(Benchmark2[Benchmark '#2 Dates],Comp2[[#This Row],[Comparable '#2 Dates]]))=2,"Pass","Fail")</f>
        <v>Pass</v>
      </c>
      <c r="I522" s="1">
        <f>IFERROR(Comp2[[#This Row],[Comparable '#2 Return]]-INDEX(Benchmark1[Benchmark '#1 Return],MATCH(Comp2[[#This Row],[Comparable '#2 Dates]],Benchmark1[Benchmark '#1 Dates],0)),"-")</f>
        <v>-4.278406951286981E-2</v>
      </c>
      <c r="L522" s="72">
        <f>Comp2[[#This Row],[Comparable '#2 Price]]/$B$2*100</f>
        <v>71.629778672032202</v>
      </c>
    </row>
    <row r="523" spans="1:12">
      <c r="A523" s="96">
        <v>44042</v>
      </c>
      <c r="B523" s="101">
        <v>34.770000000000003</v>
      </c>
      <c r="C523" s="4">
        <f t="shared" si="16"/>
        <v>-2.3590691838214634E-2</v>
      </c>
      <c r="D523" s="1">
        <f>IFERROR(Comp2[[#This Row],[Comparable '#2 Return]]+1,"-")</f>
        <v>0.97640930816178539</v>
      </c>
      <c r="E523" s="6">
        <f>B523-MAX($B$2:B523)</f>
        <v>-23.389999999999993</v>
      </c>
      <c r="F523" s="80">
        <f t="shared" si="17"/>
        <v>430</v>
      </c>
      <c r="G523" s="77">
        <f>Comp2[[#This Row],[Comparable '#2 Drawdown]]/MAX($B$2:B523)</f>
        <v>-0.40216643741403019</v>
      </c>
      <c r="H523" s="1" t="str">
        <f>IF(SUM(COUNTIF(Benchmark1[Benchmark '#1 Dates],Comp2[[#This Row],[Comparable '#2 Dates]]),COUNTIF(Benchmark2[Benchmark '#2 Dates],Comp2[[#This Row],[Comparable '#2 Dates]]))=2,"Pass","Fail")</f>
        <v>Pass</v>
      </c>
      <c r="I523" s="1">
        <f>IFERROR(Comp2[[#This Row],[Comparable '#2 Return]]-INDEX(Benchmark1[Benchmark '#1 Return],MATCH(Comp2[[#This Row],[Comparable '#2 Dates]],Benchmark1[Benchmark '#1 Dates],0)),"-")</f>
        <v>-1.9835100237558238E-2</v>
      </c>
      <c r="L523" s="72">
        <f>Comp2[[#This Row],[Comparable '#2 Price]]/$B$2*100</f>
        <v>69.959758551307843</v>
      </c>
    </row>
    <row r="524" spans="1:12">
      <c r="A524" s="96">
        <v>44043</v>
      </c>
      <c r="B524" s="101">
        <v>34.340000000000003</v>
      </c>
      <c r="C524" s="4">
        <f t="shared" si="16"/>
        <v>-1.2444090550440561E-2</v>
      </c>
      <c r="D524" s="1">
        <f>IFERROR(Comp2[[#This Row],[Comparable '#2 Return]]+1,"-")</f>
        <v>0.9875559094495594</v>
      </c>
      <c r="E524" s="6">
        <f>B524-MAX($B$2:B524)</f>
        <v>-23.819999999999993</v>
      </c>
      <c r="F524" s="80">
        <f t="shared" si="17"/>
        <v>431</v>
      </c>
      <c r="G524" s="77">
        <f>Comp2[[#This Row],[Comparable '#2 Drawdown]]/MAX($B$2:B524)</f>
        <v>-0.40955983493810172</v>
      </c>
      <c r="H524" s="1" t="str">
        <f>IF(SUM(COUNTIF(Benchmark1[Benchmark '#1 Dates],Comp2[[#This Row],[Comparable '#2 Dates]]),COUNTIF(Benchmark2[Benchmark '#2 Dates],Comp2[[#This Row],[Comparable '#2 Dates]]))=2,"Pass","Fail")</f>
        <v>Pass</v>
      </c>
      <c r="I524" s="1">
        <f>IFERROR(Comp2[[#This Row],[Comparable '#2 Return]]-INDEX(Benchmark1[Benchmark '#1 Return],MATCH(Comp2[[#This Row],[Comparable '#2 Dates]],Benchmark1[Benchmark '#1 Dates],0)),"-")</f>
        <v>-2.008536622929432E-2</v>
      </c>
      <c r="L524" s="72">
        <f>Comp2[[#This Row],[Comparable '#2 Price]]/$B$2*100</f>
        <v>69.09456740442657</v>
      </c>
    </row>
    <row r="525" spans="1:12">
      <c r="A525" s="96">
        <v>44046</v>
      </c>
      <c r="B525" s="101">
        <v>33.94</v>
      </c>
      <c r="C525" s="4">
        <f t="shared" si="16"/>
        <v>-1.1716595663249346E-2</v>
      </c>
      <c r="D525" s="1">
        <f>IFERROR(Comp2[[#This Row],[Comparable '#2 Return]]+1,"-")</f>
        <v>0.98828340433675066</v>
      </c>
      <c r="E525" s="6">
        <f>B525-MAX($B$2:B525)</f>
        <v>-24.22</v>
      </c>
      <c r="F525" s="80">
        <f t="shared" si="17"/>
        <v>432</v>
      </c>
      <c r="G525" s="77">
        <f>Comp2[[#This Row],[Comparable '#2 Drawdown]]/MAX($B$2:B525)</f>
        <v>-0.41643741403026135</v>
      </c>
      <c r="H525" s="1" t="str">
        <f>IF(SUM(COUNTIF(Benchmark1[Benchmark '#1 Dates],Comp2[[#This Row],[Comparable '#2 Dates]]),COUNTIF(Benchmark2[Benchmark '#2 Dates],Comp2[[#This Row],[Comparable '#2 Dates]]))=2,"Pass","Fail")</f>
        <v>Pass</v>
      </c>
      <c r="I525" s="1">
        <f>IFERROR(Comp2[[#This Row],[Comparable '#2 Return]]-INDEX(Benchmark1[Benchmark '#1 Return],MATCH(Comp2[[#This Row],[Comparable '#2 Dates]],Benchmark1[Benchmark '#1 Dates],0)),"-")</f>
        <v>-1.8871491338691197E-2</v>
      </c>
      <c r="L525" s="72">
        <f>Comp2[[#This Row],[Comparable '#2 Price]]/$B$2*100</f>
        <v>68.289738430583498</v>
      </c>
    </row>
    <row r="526" spans="1:12">
      <c r="A526" s="96">
        <v>44047</v>
      </c>
      <c r="B526" s="101">
        <v>34.659999999999997</v>
      </c>
      <c r="C526" s="4">
        <f t="shared" si="16"/>
        <v>2.0992024481379656E-2</v>
      </c>
      <c r="D526" s="1">
        <f>IFERROR(Comp2[[#This Row],[Comparable '#2 Return]]+1,"-")</f>
        <v>1.0209920244813797</v>
      </c>
      <c r="E526" s="6">
        <f>B526-MAX($B$2:B526)</f>
        <v>-23.5</v>
      </c>
      <c r="F526" s="80">
        <f t="shared" si="17"/>
        <v>433</v>
      </c>
      <c r="G526" s="77">
        <f>Comp2[[#This Row],[Comparable '#2 Drawdown]]/MAX($B$2:B526)</f>
        <v>-0.40405777166437418</v>
      </c>
      <c r="H526" s="1" t="str">
        <f>IF(SUM(COUNTIF(Benchmark1[Benchmark '#1 Dates],Comp2[[#This Row],[Comparable '#2 Dates]]),COUNTIF(Benchmark2[Benchmark '#2 Dates],Comp2[[#This Row],[Comparable '#2 Dates]]))=2,"Pass","Fail")</f>
        <v>Pass</v>
      </c>
      <c r="I526" s="1">
        <f>IFERROR(Comp2[[#This Row],[Comparable '#2 Return]]-INDEX(Benchmark1[Benchmark '#1 Return],MATCH(Comp2[[#This Row],[Comparable '#2 Dates]],Benchmark1[Benchmark '#1 Dates],0)),"-")</f>
        <v>1.7388333840925568E-2</v>
      </c>
      <c r="L526" s="72">
        <f>Comp2[[#This Row],[Comparable '#2 Price]]/$B$2*100</f>
        <v>69.738430583501</v>
      </c>
    </row>
    <row r="527" spans="1:12">
      <c r="A527" s="96">
        <v>44048</v>
      </c>
      <c r="B527" s="101">
        <v>35.619999999999997</v>
      </c>
      <c r="C527" s="4">
        <f t="shared" si="16"/>
        <v>2.7320993574055701E-2</v>
      </c>
      <c r="D527" s="1">
        <f>IFERROR(Comp2[[#This Row],[Comparable '#2 Return]]+1,"-")</f>
        <v>1.0273209935740557</v>
      </c>
      <c r="E527" s="6">
        <f>B527-MAX($B$2:B527)</f>
        <v>-22.54</v>
      </c>
      <c r="F527" s="80">
        <f t="shared" si="17"/>
        <v>434</v>
      </c>
      <c r="G527" s="77">
        <f>Comp2[[#This Row],[Comparable '#2 Drawdown]]/MAX($B$2:B527)</f>
        <v>-0.38755158184319122</v>
      </c>
      <c r="H527" s="1" t="str">
        <f>IF(SUM(COUNTIF(Benchmark1[Benchmark '#1 Dates],Comp2[[#This Row],[Comparable '#2 Dates]]),COUNTIF(Benchmark2[Benchmark '#2 Dates],Comp2[[#This Row],[Comparable '#2 Dates]]))=2,"Pass","Fail")</f>
        <v>Pass</v>
      </c>
      <c r="I527" s="1">
        <f>IFERROR(Comp2[[#This Row],[Comparable '#2 Return]]-INDEX(Benchmark1[Benchmark '#1 Return],MATCH(Comp2[[#This Row],[Comparable '#2 Dates]],Benchmark1[Benchmark '#1 Dates],0)),"-")</f>
        <v>2.0910773712966426E-2</v>
      </c>
      <c r="L527" s="72">
        <f>Comp2[[#This Row],[Comparable '#2 Price]]/$B$2*100</f>
        <v>71.670020120724331</v>
      </c>
    </row>
    <row r="528" spans="1:12">
      <c r="A528" s="96">
        <v>44049</v>
      </c>
      <c r="B528" s="101">
        <v>35.78</v>
      </c>
      <c r="C528" s="4">
        <f t="shared" si="16"/>
        <v>4.4818002190575197E-3</v>
      </c>
      <c r="D528" s="1">
        <f>IFERROR(Comp2[[#This Row],[Comparable '#2 Return]]+1,"-")</f>
        <v>1.0044818002190574</v>
      </c>
      <c r="E528" s="6">
        <f>B528-MAX($B$2:B528)</f>
        <v>-22.379999999999995</v>
      </c>
      <c r="F528" s="80">
        <f t="shared" si="17"/>
        <v>435</v>
      </c>
      <c r="G528" s="77">
        <f>Comp2[[#This Row],[Comparable '#2 Drawdown]]/MAX($B$2:B528)</f>
        <v>-0.38480055020632731</v>
      </c>
      <c r="H528" s="1" t="str">
        <f>IF(SUM(COUNTIF(Benchmark1[Benchmark '#1 Dates],Comp2[[#This Row],[Comparable '#2 Dates]]),COUNTIF(Benchmark2[Benchmark '#2 Dates],Comp2[[#This Row],[Comparable '#2 Dates]]))=2,"Pass","Fail")</f>
        <v>Pass</v>
      </c>
      <c r="I528" s="1">
        <f>IFERROR(Comp2[[#This Row],[Comparable '#2 Return]]-INDEX(Benchmark1[Benchmark '#1 Return],MATCH(Comp2[[#This Row],[Comparable '#2 Dates]],Benchmark1[Benchmark '#1 Dates],0)),"-")</f>
        <v>-1.9238436257638467E-3</v>
      </c>
      <c r="L528" s="72">
        <f>Comp2[[#This Row],[Comparable '#2 Price]]/$B$2*100</f>
        <v>71.991951710261574</v>
      </c>
    </row>
    <row r="529" spans="1:12">
      <c r="A529" s="96">
        <v>44050</v>
      </c>
      <c r="B529" s="101">
        <v>36.01</v>
      </c>
      <c r="C529" s="4">
        <f t="shared" si="16"/>
        <v>6.4075995802106503E-3</v>
      </c>
      <c r="D529" s="1">
        <f>IFERROR(Comp2[[#This Row],[Comparable '#2 Return]]+1,"-")</f>
        <v>1.0064075995802106</v>
      </c>
      <c r="E529" s="6">
        <f>B529-MAX($B$2:B529)</f>
        <v>-22.15</v>
      </c>
      <c r="F529" s="80">
        <f t="shared" si="17"/>
        <v>436</v>
      </c>
      <c r="G529" s="77">
        <f>Comp2[[#This Row],[Comparable '#2 Drawdown]]/MAX($B$2:B529)</f>
        <v>-0.38084594222833562</v>
      </c>
      <c r="H529" s="1" t="str">
        <f>IF(SUM(COUNTIF(Benchmark1[Benchmark '#1 Dates],Comp2[[#This Row],[Comparable '#2 Dates]]),COUNTIF(Benchmark2[Benchmark '#2 Dates],Comp2[[#This Row],[Comparable '#2 Dates]]))=2,"Pass","Fail")</f>
        <v>Pass</v>
      </c>
      <c r="I529" s="1">
        <f>IFERROR(Comp2[[#This Row],[Comparable '#2 Return]]-INDEX(Benchmark1[Benchmark '#1 Return],MATCH(Comp2[[#This Row],[Comparable '#2 Dates]],Benchmark1[Benchmark '#1 Dates],0)),"-")</f>
        <v>5.7726481724200297E-3</v>
      </c>
      <c r="L529" s="72">
        <f>Comp2[[#This Row],[Comparable '#2 Price]]/$B$2*100</f>
        <v>72.454728370221318</v>
      </c>
    </row>
    <row r="530" spans="1:12">
      <c r="A530" s="96">
        <v>44053</v>
      </c>
      <c r="B530" s="101">
        <v>37.04</v>
      </c>
      <c r="C530" s="4">
        <f t="shared" si="16"/>
        <v>2.8201732117194848E-2</v>
      </c>
      <c r="D530" s="1">
        <f>IFERROR(Comp2[[#This Row],[Comparable '#2 Return]]+1,"-")</f>
        <v>1.0282017321171948</v>
      </c>
      <c r="E530" s="6">
        <f>B530-MAX($B$2:B530)</f>
        <v>-21.119999999999997</v>
      </c>
      <c r="F530" s="80">
        <f t="shared" si="17"/>
        <v>437</v>
      </c>
      <c r="G530" s="77">
        <f>Comp2[[#This Row],[Comparable '#2 Drawdown]]/MAX($B$2:B530)</f>
        <v>-0.36313617606602472</v>
      </c>
      <c r="H530" s="1" t="str">
        <f>IF(SUM(COUNTIF(Benchmark1[Benchmark '#1 Dates],Comp2[[#This Row],[Comparable '#2 Dates]]),COUNTIF(Benchmark2[Benchmark '#2 Dates],Comp2[[#This Row],[Comparable '#2 Dates]]))=2,"Pass","Fail")</f>
        <v>Pass</v>
      </c>
      <c r="I530" s="1">
        <f>IFERROR(Comp2[[#This Row],[Comparable '#2 Return]]-INDEX(Benchmark1[Benchmark '#1 Return],MATCH(Comp2[[#This Row],[Comparable '#2 Dates]],Benchmark1[Benchmark '#1 Dates],0)),"-")</f>
        <v>2.5463397824822813E-2</v>
      </c>
      <c r="L530" s="72">
        <f>Comp2[[#This Row],[Comparable '#2 Price]]/$B$2*100</f>
        <v>74.527162977867206</v>
      </c>
    </row>
    <row r="531" spans="1:12">
      <c r="A531" s="96">
        <v>44054</v>
      </c>
      <c r="B531" s="101">
        <v>37.520000000000003</v>
      </c>
      <c r="C531" s="4">
        <f t="shared" si="16"/>
        <v>1.2875714360045367E-2</v>
      </c>
      <c r="D531" s="1">
        <f>IFERROR(Comp2[[#This Row],[Comparable '#2 Return]]+1,"-")</f>
        <v>1.0128757143600453</v>
      </c>
      <c r="E531" s="6">
        <f>B531-MAX($B$2:B531)</f>
        <v>-20.639999999999993</v>
      </c>
      <c r="F531" s="80">
        <f t="shared" si="17"/>
        <v>438</v>
      </c>
      <c r="G531" s="77">
        <f>Comp2[[#This Row],[Comparable '#2 Drawdown]]/MAX($B$2:B531)</f>
        <v>-0.35488308115543321</v>
      </c>
      <c r="H531" s="1" t="str">
        <f>IF(SUM(COUNTIF(Benchmark1[Benchmark '#1 Dates],Comp2[[#This Row],[Comparable '#2 Dates]]),COUNTIF(Benchmark2[Benchmark '#2 Dates],Comp2[[#This Row],[Comparable '#2 Dates]]))=2,"Pass","Fail")</f>
        <v>Pass</v>
      </c>
      <c r="I531" s="1">
        <f>IFERROR(Comp2[[#This Row],[Comparable '#2 Return]]-INDEX(Benchmark1[Benchmark '#1 Return],MATCH(Comp2[[#This Row],[Comparable '#2 Dates]],Benchmark1[Benchmark '#1 Dates],0)),"-")</f>
        <v>2.0877834794333718E-2</v>
      </c>
      <c r="L531" s="72">
        <f>Comp2[[#This Row],[Comparable '#2 Price]]/$B$2*100</f>
        <v>75.492957746478879</v>
      </c>
    </row>
    <row r="532" spans="1:12">
      <c r="A532" s="96">
        <v>44055</v>
      </c>
      <c r="B532" s="101">
        <v>36.04</v>
      </c>
      <c r="C532" s="4">
        <f t="shared" si="16"/>
        <v>-4.0244691397886813E-2</v>
      </c>
      <c r="D532" s="1">
        <f>IFERROR(Comp2[[#This Row],[Comparable '#2 Return]]+1,"-")</f>
        <v>0.95975530860211322</v>
      </c>
      <c r="E532" s="6">
        <f>B532-MAX($B$2:B532)</f>
        <v>-22.119999999999997</v>
      </c>
      <c r="F532" s="80">
        <f t="shared" si="17"/>
        <v>439</v>
      </c>
      <c r="G532" s="77">
        <f>Comp2[[#This Row],[Comparable '#2 Drawdown]]/MAX($B$2:B532)</f>
        <v>-0.38033012379642361</v>
      </c>
      <c r="H532" s="1" t="str">
        <f>IF(SUM(COUNTIF(Benchmark1[Benchmark '#1 Dates],Comp2[[#This Row],[Comparable '#2 Dates]]),COUNTIF(Benchmark2[Benchmark '#2 Dates],Comp2[[#This Row],[Comparable '#2 Dates]]))=2,"Pass","Fail")</f>
        <v>Pass</v>
      </c>
      <c r="I532" s="1">
        <f>IFERROR(Comp2[[#This Row],[Comparable '#2 Return]]-INDEX(Benchmark1[Benchmark '#1 Return],MATCH(Comp2[[#This Row],[Comparable '#2 Dates]],Benchmark1[Benchmark '#1 Dates],0)),"-")</f>
        <v>-5.4144335080701045E-2</v>
      </c>
      <c r="L532" s="72">
        <f>Comp2[[#This Row],[Comparable '#2 Price]]/$B$2*100</f>
        <v>72.515090543259547</v>
      </c>
    </row>
    <row r="533" spans="1:12">
      <c r="A533" s="96">
        <v>44056</v>
      </c>
      <c r="B533" s="101">
        <v>35.659999999999997</v>
      </c>
      <c r="C533" s="4">
        <f t="shared" si="16"/>
        <v>-1.0599820305142938E-2</v>
      </c>
      <c r="D533" s="1">
        <f>IFERROR(Comp2[[#This Row],[Comparable '#2 Return]]+1,"-")</f>
        <v>0.98940017969485705</v>
      </c>
      <c r="E533" s="6">
        <f>B533-MAX($B$2:B533)</f>
        <v>-22.5</v>
      </c>
      <c r="F533" s="80">
        <f t="shared" si="17"/>
        <v>440</v>
      </c>
      <c r="G533" s="77">
        <f>Comp2[[#This Row],[Comparable '#2 Drawdown]]/MAX($B$2:B533)</f>
        <v>-0.38686382393397528</v>
      </c>
      <c r="H533" s="1" t="str">
        <f>IF(SUM(COUNTIF(Benchmark1[Benchmark '#1 Dates],Comp2[[#This Row],[Comparable '#2 Dates]]),COUNTIF(Benchmark2[Benchmark '#2 Dates],Comp2[[#This Row],[Comparable '#2 Dates]]))=2,"Pass","Fail")</f>
        <v>Pass</v>
      </c>
      <c r="I533" s="1">
        <f>IFERROR(Comp2[[#This Row],[Comparable '#2 Return]]-INDEX(Benchmark1[Benchmark '#1 Return],MATCH(Comp2[[#This Row],[Comparable '#2 Dates]],Benchmark1[Benchmark '#1 Dates],0)),"-")</f>
        <v>-8.549399751089393E-3</v>
      </c>
      <c r="L533" s="72">
        <f>Comp2[[#This Row],[Comparable '#2 Price]]/$B$2*100</f>
        <v>71.750503018108631</v>
      </c>
    </row>
    <row r="534" spans="1:12">
      <c r="A534" s="96">
        <v>44057</v>
      </c>
      <c r="B534" s="101">
        <v>35.75</v>
      </c>
      <c r="C534" s="4">
        <f t="shared" si="16"/>
        <v>2.5206567050224133E-3</v>
      </c>
      <c r="D534" s="1">
        <f>IFERROR(Comp2[[#This Row],[Comparable '#2 Return]]+1,"-")</f>
        <v>1.0025206567050224</v>
      </c>
      <c r="E534" s="6">
        <f>B534-MAX($B$2:B534)</f>
        <v>-22.409999999999997</v>
      </c>
      <c r="F534" s="80">
        <f t="shared" si="17"/>
        <v>441</v>
      </c>
      <c r="G534" s="77">
        <f>Comp2[[#This Row],[Comparable '#2 Drawdown]]/MAX($B$2:B534)</f>
        <v>-0.38531636863823931</v>
      </c>
      <c r="H534" s="1" t="str">
        <f>IF(SUM(COUNTIF(Benchmark1[Benchmark '#1 Dates],Comp2[[#This Row],[Comparable '#2 Dates]]),COUNTIF(Benchmark2[Benchmark '#2 Dates],Comp2[[#This Row],[Comparable '#2 Dates]]))=2,"Pass","Fail")</f>
        <v>Pass</v>
      </c>
      <c r="I534" s="1">
        <f>IFERROR(Comp2[[#This Row],[Comparable '#2 Return]]-INDEX(Benchmark1[Benchmark '#1 Return],MATCH(Comp2[[#This Row],[Comparable '#2 Dates]],Benchmark1[Benchmark '#1 Dates],0)),"-")</f>
        <v>2.6922771521115155E-3</v>
      </c>
      <c r="L534" s="72">
        <f>Comp2[[#This Row],[Comparable '#2 Price]]/$B$2*100</f>
        <v>71.931589537223346</v>
      </c>
    </row>
    <row r="535" spans="1:12">
      <c r="A535" s="96">
        <v>44060</v>
      </c>
      <c r="B535" s="101">
        <v>35.47</v>
      </c>
      <c r="C535" s="4">
        <f t="shared" si="16"/>
        <v>-7.8630003544862583E-3</v>
      </c>
      <c r="D535" s="1">
        <f>IFERROR(Comp2[[#This Row],[Comparable '#2 Return]]+1,"-")</f>
        <v>0.99213699964551372</v>
      </c>
      <c r="E535" s="6">
        <f>B535-MAX($B$2:B535)</f>
        <v>-22.689999999999998</v>
      </c>
      <c r="F535" s="80">
        <f t="shared" si="17"/>
        <v>442</v>
      </c>
      <c r="G535" s="77">
        <f>Comp2[[#This Row],[Comparable '#2 Drawdown]]/MAX($B$2:B535)</f>
        <v>-0.39013067400275103</v>
      </c>
      <c r="H535" s="1" t="str">
        <f>IF(SUM(COUNTIF(Benchmark1[Benchmark '#1 Dates],Comp2[[#This Row],[Comparable '#2 Dates]]),COUNTIF(Benchmark2[Benchmark '#2 Dates],Comp2[[#This Row],[Comparable '#2 Dates]]))=2,"Pass","Fail")</f>
        <v>Pass</v>
      </c>
      <c r="I535" s="1">
        <f>IFERROR(Comp2[[#This Row],[Comparable '#2 Return]]-INDEX(Benchmark1[Benchmark '#1 Return],MATCH(Comp2[[#This Row],[Comparable '#2 Dates]],Benchmark1[Benchmark '#1 Dates],0)),"-")</f>
        <v>-1.0571620687569058E-2</v>
      </c>
      <c r="L535" s="72">
        <f>Comp2[[#This Row],[Comparable '#2 Price]]/$B$2*100</f>
        <v>71.368209255533188</v>
      </c>
    </row>
    <row r="536" spans="1:12">
      <c r="A536" s="96">
        <v>44061</v>
      </c>
      <c r="B536" s="101">
        <v>35.97</v>
      </c>
      <c r="C536" s="4">
        <f t="shared" si="16"/>
        <v>1.3997988922002129E-2</v>
      </c>
      <c r="D536" s="1">
        <f>IFERROR(Comp2[[#This Row],[Comparable '#2 Return]]+1,"-")</f>
        <v>1.0139979889220021</v>
      </c>
      <c r="E536" s="6">
        <f>B536-MAX($B$2:B536)</f>
        <v>-22.189999999999998</v>
      </c>
      <c r="F536" s="80">
        <f t="shared" si="17"/>
        <v>443</v>
      </c>
      <c r="G536" s="77">
        <f>Comp2[[#This Row],[Comparable '#2 Drawdown]]/MAX($B$2:B536)</f>
        <v>-0.38153370013755156</v>
      </c>
      <c r="H536" s="1" t="str">
        <f>IF(SUM(COUNTIF(Benchmark1[Benchmark '#1 Dates],Comp2[[#This Row],[Comparable '#2 Dates]]),COUNTIF(Benchmark2[Benchmark '#2 Dates],Comp2[[#This Row],[Comparable '#2 Dates]]))=2,"Pass","Fail")</f>
        <v>Pass</v>
      </c>
      <c r="I536" s="1">
        <f>IFERROR(Comp2[[#This Row],[Comparable '#2 Return]]-INDEX(Benchmark1[Benchmark '#1 Return],MATCH(Comp2[[#This Row],[Comparable '#2 Dates]],Benchmark1[Benchmark '#1 Dates],0)),"-")</f>
        <v>1.170020005248378E-2</v>
      </c>
      <c r="L536" s="72">
        <f>Comp2[[#This Row],[Comparable '#2 Price]]/$B$2*100</f>
        <v>72.374245472837018</v>
      </c>
    </row>
    <row r="537" spans="1:12">
      <c r="A537" s="96">
        <v>44062</v>
      </c>
      <c r="B537" s="101">
        <v>33.9</v>
      </c>
      <c r="C537" s="4">
        <f t="shared" si="16"/>
        <v>-5.9270243321128034E-2</v>
      </c>
      <c r="D537" s="1">
        <f>IFERROR(Comp2[[#This Row],[Comparable '#2 Return]]+1,"-")</f>
        <v>0.94072975667887193</v>
      </c>
      <c r="E537" s="6">
        <f>B537-MAX($B$2:B537)</f>
        <v>-24.259999999999998</v>
      </c>
      <c r="F537" s="80">
        <f t="shared" si="17"/>
        <v>444</v>
      </c>
      <c r="G537" s="77">
        <f>Comp2[[#This Row],[Comparable '#2 Drawdown]]/MAX($B$2:B537)</f>
        <v>-0.41712517193947729</v>
      </c>
      <c r="H537" s="1" t="str">
        <f>IF(SUM(COUNTIF(Benchmark1[Benchmark '#1 Dates],Comp2[[#This Row],[Comparable '#2 Dates]]),COUNTIF(Benchmark2[Benchmark '#2 Dates],Comp2[[#This Row],[Comparable '#2 Dates]]))=2,"Pass","Fail")</f>
        <v>Pass</v>
      </c>
      <c r="I537" s="1">
        <f>IFERROR(Comp2[[#This Row],[Comparable '#2 Return]]-INDEX(Benchmark1[Benchmark '#1 Return],MATCH(Comp2[[#This Row],[Comparable '#2 Dates]],Benchmark1[Benchmark '#1 Dates],0)),"-")</f>
        <v>-5.4857648075475003E-2</v>
      </c>
      <c r="L537" s="72">
        <f>Comp2[[#This Row],[Comparable '#2 Price]]/$B$2*100</f>
        <v>68.209255533199183</v>
      </c>
    </row>
    <row r="538" spans="1:12">
      <c r="A538" s="96">
        <v>44063</v>
      </c>
      <c r="B538" s="101">
        <v>33.15</v>
      </c>
      <c r="C538" s="4">
        <f t="shared" si="16"/>
        <v>-2.2372297754533099E-2</v>
      </c>
      <c r="D538" s="1">
        <f>IFERROR(Comp2[[#This Row],[Comparable '#2 Return]]+1,"-")</f>
        <v>0.97762770224546691</v>
      </c>
      <c r="E538" s="6">
        <f>B538-MAX($B$2:B538)</f>
        <v>-25.009999999999998</v>
      </c>
      <c r="F538" s="80">
        <f t="shared" si="17"/>
        <v>445</v>
      </c>
      <c r="G538" s="77">
        <f>Comp2[[#This Row],[Comparable '#2 Drawdown]]/MAX($B$2:B538)</f>
        <v>-0.43002063273727648</v>
      </c>
      <c r="H538" s="1" t="str">
        <f>IF(SUM(COUNTIF(Benchmark1[Benchmark '#1 Dates],Comp2[[#This Row],[Comparable '#2 Dates]]),COUNTIF(Benchmark2[Benchmark '#2 Dates],Comp2[[#This Row],[Comparable '#2 Dates]]))=2,"Pass","Fail")</f>
        <v>Pass</v>
      </c>
      <c r="I538" s="1">
        <f>IFERROR(Comp2[[#This Row],[Comparable '#2 Return]]-INDEX(Benchmark1[Benchmark '#1 Return],MATCH(Comp2[[#This Row],[Comparable '#2 Dates]],Benchmark1[Benchmark '#1 Dates],0)),"-")</f>
        <v>-2.5526939533779974E-2</v>
      </c>
      <c r="L538" s="72">
        <f>Comp2[[#This Row],[Comparable '#2 Price]]/$B$2*100</f>
        <v>66.700201207243452</v>
      </c>
    </row>
    <row r="539" spans="1:12">
      <c r="A539" s="96">
        <v>44064</v>
      </c>
      <c r="B539" s="101">
        <v>33.159999999999997</v>
      </c>
      <c r="C539" s="4">
        <f t="shared" si="16"/>
        <v>3.0161363522271005E-4</v>
      </c>
      <c r="D539" s="1">
        <f>IFERROR(Comp2[[#This Row],[Comparable '#2 Return]]+1,"-")</f>
        <v>1.0003016136352227</v>
      </c>
      <c r="E539" s="6">
        <f>B539-MAX($B$2:B539)</f>
        <v>-25</v>
      </c>
      <c r="F539" s="80">
        <f t="shared" si="17"/>
        <v>446</v>
      </c>
      <c r="G539" s="77">
        <f>Comp2[[#This Row],[Comparable '#2 Drawdown]]/MAX($B$2:B539)</f>
        <v>-0.42984869325997249</v>
      </c>
      <c r="H539" s="1" t="str">
        <f>IF(SUM(COUNTIF(Benchmark1[Benchmark '#1 Dates],Comp2[[#This Row],[Comparable '#2 Dates]]),COUNTIF(Benchmark2[Benchmark '#2 Dates],Comp2[[#This Row],[Comparable '#2 Dates]]))=2,"Pass","Fail")</f>
        <v>Pass</v>
      </c>
      <c r="I539" s="1">
        <f>IFERROR(Comp2[[#This Row],[Comparable '#2 Return]]-INDEX(Benchmark1[Benchmark '#1 Return],MATCH(Comp2[[#This Row],[Comparable '#2 Dates]],Benchmark1[Benchmark '#1 Dates],0)),"-")</f>
        <v>-3.1319072192311993E-3</v>
      </c>
      <c r="L539" s="72">
        <f>Comp2[[#This Row],[Comparable '#2 Price]]/$B$2*100</f>
        <v>66.720321931589524</v>
      </c>
    </row>
    <row r="540" spans="1:12">
      <c r="A540" s="96">
        <v>44067</v>
      </c>
      <c r="B540" s="101">
        <v>33.19</v>
      </c>
      <c r="C540" s="4">
        <f t="shared" si="16"/>
        <v>9.0429546478900552E-4</v>
      </c>
      <c r="D540" s="1">
        <f>IFERROR(Comp2[[#This Row],[Comparable '#2 Return]]+1,"-")</f>
        <v>1.0009042954647891</v>
      </c>
      <c r="E540" s="6">
        <f>B540-MAX($B$2:B540)</f>
        <v>-24.97</v>
      </c>
      <c r="F540" s="80">
        <f t="shared" si="17"/>
        <v>447</v>
      </c>
      <c r="G540" s="77">
        <f>Comp2[[#This Row],[Comparable '#2 Drawdown]]/MAX($B$2:B540)</f>
        <v>-0.42933287482806054</v>
      </c>
      <c r="H540" s="1" t="str">
        <f>IF(SUM(COUNTIF(Benchmark1[Benchmark '#1 Dates],Comp2[[#This Row],[Comparable '#2 Dates]]),COUNTIF(Benchmark2[Benchmark '#2 Dates],Comp2[[#This Row],[Comparable '#2 Dates]]))=2,"Pass","Fail")</f>
        <v>Pass</v>
      </c>
      <c r="I540" s="1">
        <f>IFERROR(Comp2[[#This Row],[Comparable '#2 Return]]-INDEX(Benchmark1[Benchmark '#1 Return],MATCH(Comp2[[#This Row],[Comparable '#2 Dates]],Benchmark1[Benchmark '#1 Dates],0)),"-")</f>
        <v>-9.0905630178412192E-3</v>
      </c>
      <c r="L540" s="72">
        <f>Comp2[[#This Row],[Comparable '#2 Price]]/$B$2*100</f>
        <v>66.780684104627767</v>
      </c>
    </row>
    <row r="541" spans="1:12">
      <c r="A541" s="96">
        <v>44068</v>
      </c>
      <c r="B541" s="101">
        <v>32.74</v>
      </c>
      <c r="C541" s="4">
        <f t="shared" si="16"/>
        <v>-1.3651053788894281E-2</v>
      </c>
      <c r="D541" s="1">
        <f>IFERROR(Comp2[[#This Row],[Comparable '#2 Return]]+1,"-")</f>
        <v>0.98634894621110569</v>
      </c>
      <c r="E541" s="6">
        <f>B541-MAX($B$2:B541)</f>
        <v>-25.419999999999995</v>
      </c>
      <c r="F541" s="80">
        <f t="shared" si="17"/>
        <v>448</v>
      </c>
      <c r="G541" s="77">
        <f>Comp2[[#This Row],[Comparable '#2 Drawdown]]/MAX($B$2:B541)</f>
        <v>-0.43707015130673998</v>
      </c>
      <c r="H541" s="1" t="str">
        <f>IF(SUM(COUNTIF(Benchmark1[Benchmark '#1 Dates],Comp2[[#This Row],[Comparable '#2 Dates]]),COUNTIF(Benchmark2[Benchmark '#2 Dates],Comp2[[#This Row],[Comparable '#2 Dates]]))=2,"Pass","Fail")</f>
        <v>Pass</v>
      </c>
      <c r="I541" s="1">
        <f>IFERROR(Comp2[[#This Row],[Comparable '#2 Return]]-INDEX(Benchmark1[Benchmark '#1 Return],MATCH(Comp2[[#This Row],[Comparable '#2 Dates]],Benchmark1[Benchmark '#1 Dates],0)),"-")</f>
        <v>-1.7240931951203263E-2</v>
      </c>
      <c r="L541" s="72">
        <f>Comp2[[#This Row],[Comparable '#2 Price]]/$B$2*100</f>
        <v>65.875251509054323</v>
      </c>
    </row>
    <row r="542" spans="1:12">
      <c r="A542" s="96">
        <v>44069</v>
      </c>
      <c r="B542" s="101">
        <v>32.03</v>
      </c>
      <c r="C542" s="4">
        <f t="shared" si="16"/>
        <v>-2.1924608321922053E-2</v>
      </c>
      <c r="D542" s="1">
        <f>IFERROR(Comp2[[#This Row],[Comparable '#2 Return]]+1,"-")</f>
        <v>0.978075391678078</v>
      </c>
      <c r="E542" s="6">
        <f>B542-MAX($B$2:B542)</f>
        <v>-26.129999999999995</v>
      </c>
      <c r="F542" s="80">
        <f t="shared" si="17"/>
        <v>449</v>
      </c>
      <c r="G542" s="77">
        <f>Comp2[[#This Row],[Comparable '#2 Drawdown]]/MAX($B$2:B542)</f>
        <v>-0.44927785419532318</v>
      </c>
      <c r="H542" s="1" t="str">
        <f>IF(SUM(COUNTIF(Benchmark1[Benchmark '#1 Dates],Comp2[[#This Row],[Comparable '#2 Dates]]),COUNTIF(Benchmark2[Benchmark '#2 Dates],Comp2[[#This Row],[Comparable '#2 Dates]]))=2,"Pass","Fail")</f>
        <v>Pass</v>
      </c>
      <c r="I542" s="1">
        <f>IFERROR(Comp2[[#This Row],[Comparable '#2 Return]]-INDEX(Benchmark1[Benchmark '#1 Return],MATCH(Comp2[[#This Row],[Comparable '#2 Dates]],Benchmark1[Benchmark '#1 Dates],0)),"-")</f>
        <v>-3.2068709737931481E-2</v>
      </c>
      <c r="L542" s="72">
        <f>Comp2[[#This Row],[Comparable '#2 Price]]/$B$2*100</f>
        <v>64.446680080482892</v>
      </c>
    </row>
    <row r="543" spans="1:12">
      <c r="A543" s="96">
        <v>44070</v>
      </c>
      <c r="B543" s="101">
        <v>32.68</v>
      </c>
      <c r="C543" s="4">
        <f t="shared" si="16"/>
        <v>2.0090306370735278E-2</v>
      </c>
      <c r="D543" s="1">
        <f>IFERROR(Comp2[[#This Row],[Comparable '#2 Return]]+1,"-")</f>
        <v>1.0200903063707352</v>
      </c>
      <c r="E543" s="6">
        <f>B543-MAX($B$2:B543)</f>
        <v>-25.479999999999997</v>
      </c>
      <c r="F543" s="80">
        <f t="shared" si="17"/>
        <v>450</v>
      </c>
      <c r="G543" s="77">
        <f>Comp2[[#This Row],[Comparable '#2 Drawdown]]/MAX($B$2:B543)</f>
        <v>-0.43810178817056394</v>
      </c>
      <c r="H543" s="1" t="str">
        <f>IF(SUM(COUNTIF(Benchmark1[Benchmark '#1 Dates],Comp2[[#This Row],[Comparable '#2 Dates]]),COUNTIF(Benchmark2[Benchmark '#2 Dates],Comp2[[#This Row],[Comparable '#2 Dates]]))=2,"Pass","Fail")</f>
        <v>Pass</v>
      </c>
      <c r="I543" s="1">
        <f>IFERROR(Comp2[[#This Row],[Comparable '#2 Return]]-INDEX(Benchmark1[Benchmark '#1 Return],MATCH(Comp2[[#This Row],[Comparable '#2 Dates]],Benchmark1[Benchmark '#1 Dates],0)),"-")</f>
        <v>1.8419270358425274E-2</v>
      </c>
      <c r="L543" s="72">
        <f>Comp2[[#This Row],[Comparable '#2 Price]]/$B$2*100</f>
        <v>65.754527162977865</v>
      </c>
    </row>
    <row r="544" spans="1:12">
      <c r="A544" s="96">
        <v>44071</v>
      </c>
      <c r="B544" s="101">
        <v>33.409999999999997</v>
      </c>
      <c r="C544" s="4">
        <f t="shared" si="16"/>
        <v>2.2091986376862865E-2</v>
      </c>
      <c r="D544" s="1">
        <f>IFERROR(Comp2[[#This Row],[Comparable '#2 Return]]+1,"-")</f>
        <v>1.0220919863768629</v>
      </c>
      <c r="E544" s="6">
        <f>B544-MAX($B$2:B544)</f>
        <v>-24.75</v>
      </c>
      <c r="F544" s="80">
        <f t="shared" si="17"/>
        <v>451</v>
      </c>
      <c r="G544" s="77">
        <f>Comp2[[#This Row],[Comparable '#2 Drawdown]]/MAX($B$2:B544)</f>
        <v>-0.42555020632737278</v>
      </c>
      <c r="H544" s="1" t="str">
        <f>IF(SUM(COUNTIF(Benchmark1[Benchmark '#1 Dates],Comp2[[#This Row],[Comparable '#2 Dates]]),COUNTIF(Benchmark2[Benchmark '#2 Dates],Comp2[[#This Row],[Comparable '#2 Dates]]))=2,"Pass","Fail")</f>
        <v>Pass</v>
      </c>
      <c r="I544" s="1">
        <f>IFERROR(Comp2[[#This Row],[Comparable '#2 Return]]-INDEX(Benchmark1[Benchmark '#1 Return],MATCH(Comp2[[#This Row],[Comparable '#2 Dates]],Benchmark1[Benchmark '#1 Dates],0)),"-")</f>
        <v>1.5380701909766755E-2</v>
      </c>
      <c r="L544" s="72">
        <f>Comp2[[#This Row],[Comparable '#2 Price]]/$B$2*100</f>
        <v>67.223340040241439</v>
      </c>
    </row>
    <row r="545" spans="1:12">
      <c r="A545" s="96">
        <v>44074</v>
      </c>
      <c r="B545" s="101">
        <v>33.200000000000003</v>
      </c>
      <c r="C545" s="4">
        <f t="shared" si="16"/>
        <v>-6.305380446222174E-3</v>
      </c>
      <c r="D545" s="1">
        <f>IFERROR(Comp2[[#This Row],[Comparable '#2 Return]]+1,"-")</f>
        <v>0.9936946195537778</v>
      </c>
      <c r="E545" s="6">
        <f>B545-MAX($B$2:B545)</f>
        <v>-24.959999999999994</v>
      </c>
      <c r="F545" s="80">
        <f t="shared" si="17"/>
        <v>452</v>
      </c>
      <c r="G545" s="77">
        <f>Comp2[[#This Row],[Comparable '#2 Drawdown]]/MAX($B$2:B545)</f>
        <v>-0.42916093535075645</v>
      </c>
      <c r="H545" s="1" t="str">
        <f>IF(SUM(COUNTIF(Benchmark1[Benchmark '#1 Dates],Comp2[[#This Row],[Comparable '#2 Dates]]),COUNTIF(Benchmark2[Benchmark '#2 Dates],Comp2[[#This Row],[Comparable '#2 Dates]]))=2,"Pass","Fail")</f>
        <v>Pass</v>
      </c>
      <c r="I545" s="1">
        <f>IFERROR(Comp2[[#This Row],[Comparable '#2 Return]]-INDEX(Benchmark1[Benchmark '#1 Return],MATCH(Comp2[[#This Row],[Comparable '#2 Dates]],Benchmark1[Benchmark '#1 Dates],0)),"-")</f>
        <v>-4.1062147746763929E-3</v>
      </c>
      <c r="L545" s="72">
        <f>Comp2[[#This Row],[Comparable '#2 Price]]/$B$2*100</f>
        <v>66.800804828973853</v>
      </c>
    </row>
    <row r="546" spans="1:12">
      <c r="A546" s="96">
        <v>44075</v>
      </c>
      <c r="B546" s="101">
        <v>34.54</v>
      </c>
      <c r="C546" s="4">
        <f t="shared" si="16"/>
        <v>3.9568196796089652E-2</v>
      </c>
      <c r="D546" s="1">
        <f>IFERROR(Comp2[[#This Row],[Comparable '#2 Return]]+1,"-")</f>
        <v>1.0395681967960897</v>
      </c>
      <c r="E546" s="6">
        <f>B546-MAX($B$2:B546)</f>
        <v>-23.619999999999997</v>
      </c>
      <c r="F546" s="80">
        <f t="shared" si="17"/>
        <v>453</v>
      </c>
      <c r="G546" s="77">
        <f>Comp2[[#This Row],[Comparable '#2 Drawdown]]/MAX($B$2:B546)</f>
        <v>-0.40612104539202198</v>
      </c>
      <c r="H546" s="1" t="str">
        <f>IF(SUM(COUNTIF(Benchmark1[Benchmark '#1 Dates],Comp2[[#This Row],[Comparable '#2 Dates]]),COUNTIF(Benchmark2[Benchmark '#2 Dates],Comp2[[#This Row],[Comparable '#2 Dates]]))=2,"Pass","Fail")</f>
        <v>Pass</v>
      </c>
      <c r="I546" s="1">
        <f>IFERROR(Comp2[[#This Row],[Comparable '#2 Return]]-INDEX(Benchmark1[Benchmark '#1 Return],MATCH(Comp2[[#This Row],[Comparable '#2 Dates]],Benchmark1[Benchmark '#1 Dates],0)),"-")</f>
        <v>3.2070528773348261E-2</v>
      </c>
      <c r="L546" s="72">
        <f>Comp2[[#This Row],[Comparable '#2 Price]]/$B$2*100</f>
        <v>69.496981891348085</v>
      </c>
    </row>
    <row r="547" spans="1:12">
      <c r="A547" s="96">
        <v>44076</v>
      </c>
      <c r="B547" s="101">
        <v>34.619999999999997</v>
      </c>
      <c r="C547" s="4">
        <f t="shared" si="16"/>
        <v>2.3134770295305702E-3</v>
      </c>
      <c r="D547" s="1">
        <f>IFERROR(Comp2[[#This Row],[Comparable '#2 Return]]+1,"-")</f>
        <v>1.0023134770295306</v>
      </c>
      <c r="E547" s="6">
        <f>B547-MAX($B$2:B547)</f>
        <v>-23.54</v>
      </c>
      <c r="F547" s="80">
        <f t="shared" si="17"/>
        <v>454</v>
      </c>
      <c r="G547" s="77">
        <f>Comp2[[#This Row],[Comparable '#2 Drawdown]]/MAX($B$2:B547)</f>
        <v>-0.40474552957359011</v>
      </c>
      <c r="H547" s="1" t="str">
        <f>IF(SUM(COUNTIF(Benchmark1[Benchmark '#1 Dates],Comp2[[#This Row],[Comparable '#2 Dates]]),COUNTIF(Benchmark2[Benchmark '#2 Dates],Comp2[[#This Row],[Comparable '#2 Dates]]))=2,"Pass","Fail")</f>
        <v>Pass</v>
      </c>
      <c r="I547" s="1">
        <f>IFERROR(Comp2[[#This Row],[Comparable '#2 Return]]-INDEX(Benchmark1[Benchmark '#1 Return],MATCH(Comp2[[#This Row],[Comparable '#2 Dates]],Benchmark1[Benchmark '#1 Dates],0)),"-")</f>
        <v>-1.2936361668370202E-2</v>
      </c>
      <c r="L547" s="72">
        <f>Comp2[[#This Row],[Comparable '#2 Price]]/$B$2*100</f>
        <v>69.6579476861167</v>
      </c>
    </row>
    <row r="548" spans="1:12">
      <c r="A548" s="96">
        <v>44077</v>
      </c>
      <c r="B548" s="101">
        <v>34.01</v>
      </c>
      <c r="C548" s="4">
        <f t="shared" si="16"/>
        <v>-1.7776950728959105E-2</v>
      </c>
      <c r="D548" s="1">
        <f>IFERROR(Comp2[[#This Row],[Comparable '#2 Return]]+1,"-")</f>
        <v>0.98222304927104087</v>
      </c>
      <c r="E548" s="6">
        <f>B548-MAX($B$2:B548)</f>
        <v>-24.15</v>
      </c>
      <c r="F548" s="80">
        <f t="shared" si="17"/>
        <v>455</v>
      </c>
      <c r="G548" s="77">
        <f>Comp2[[#This Row],[Comparable '#2 Drawdown]]/MAX($B$2:B548)</f>
        <v>-0.41523383768913341</v>
      </c>
      <c r="H548" s="1" t="str">
        <f>IF(SUM(COUNTIF(Benchmark1[Benchmark '#1 Dates],Comp2[[#This Row],[Comparable '#2 Dates]]),COUNTIF(Benchmark2[Benchmark '#2 Dates],Comp2[[#This Row],[Comparable '#2 Dates]]))=2,"Pass","Fail")</f>
        <v>Pass</v>
      </c>
      <c r="I548" s="1">
        <f>IFERROR(Comp2[[#This Row],[Comparable '#2 Return]]-INDEX(Benchmark1[Benchmark '#1 Return],MATCH(Comp2[[#This Row],[Comparable '#2 Dates]],Benchmark1[Benchmark '#1 Dates],0)),"-")</f>
        <v>1.7980425796419782E-2</v>
      </c>
      <c r="L548" s="72">
        <f>Comp2[[#This Row],[Comparable '#2 Price]]/$B$2*100</f>
        <v>68.430583501006026</v>
      </c>
    </row>
    <row r="549" spans="1:12">
      <c r="A549" s="96">
        <v>44078</v>
      </c>
      <c r="B549" s="101">
        <v>33.08</v>
      </c>
      <c r="C549" s="4">
        <f t="shared" si="16"/>
        <v>-2.7725728863613509E-2</v>
      </c>
      <c r="D549" s="1">
        <f>IFERROR(Comp2[[#This Row],[Comparable '#2 Return]]+1,"-")</f>
        <v>0.97227427113638654</v>
      </c>
      <c r="E549" s="6">
        <f>B549-MAX($B$2:B549)</f>
        <v>-25.08</v>
      </c>
      <c r="F549" s="80">
        <f t="shared" si="17"/>
        <v>456</v>
      </c>
      <c r="G549" s="77">
        <f>Comp2[[#This Row],[Comparable '#2 Drawdown]]/MAX($B$2:B549)</f>
        <v>-0.43122420907840442</v>
      </c>
      <c r="H549" s="1" t="str">
        <f>IF(SUM(COUNTIF(Benchmark1[Benchmark '#1 Dates],Comp2[[#This Row],[Comparable '#2 Dates]]),COUNTIF(Benchmark2[Benchmark '#2 Dates],Comp2[[#This Row],[Comparable '#2 Dates]]))=2,"Pass","Fail")</f>
        <v>Pass</v>
      </c>
      <c r="I549" s="1">
        <f>IFERROR(Comp2[[#This Row],[Comparable '#2 Return]]-INDEX(Benchmark1[Benchmark '#1 Return],MATCH(Comp2[[#This Row],[Comparable '#2 Dates]],Benchmark1[Benchmark '#1 Dates],0)),"-")</f>
        <v>-1.9559196520035831E-2</v>
      </c>
      <c r="L549" s="72">
        <f>Comp2[[#This Row],[Comparable '#2 Price]]/$B$2*100</f>
        <v>66.559356136820909</v>
      </c>
    </row>
    <row r="550" spans="1:12">
      <c r="A550" s="96">
        <v>44082</v>
      </c>
      <c r="B550" s="101">
        <v>32.03</v>
      </c>
      <c r="C550" s="4">
        <f t="shared" si="16"/>
        <v>-3.2255906534423666E-2</v>
      </c>
      <c r="D550" s="1">
        <f>IFERROR(Comp2[[#This Row],[Comparable '#2 Return]]+1,"-")</f>
        <v>0.96774409346557633</v>
      </c>
      <c r="E550" s="6">
        <f>B550-MAX($B$2:B550)</f>
        <v>-26.129999999999995</v>
      </c>
      <c r="F550" s="80">
        <f t="shared" si="17"/>
        <v>457</v>
      </c>
      <c r="G550" s="77">
        <f>Comp2[[#This Row],[Comparable '#2 Drawdown]]/MAX($B$2:B550)</f>
        <v>-0.44927785419532318</v>
      </c>
      <c r="H550" s="1" t="str">
        <f>IF(SUM(COUNTIF(Benchmark1[Benchmark '#1 Dates],Comp2[[#This Row],[Comparable '#2 Dates]]),COUNTIF(Benchmark2[Benchmark '#2 Dates],Comp2[[#This Row],[Comparable '#2 Dates]]))=2,"Pass","Fail")</f>
        <v>Pass</v>
      </c>
      <c r="I550" s="1">
        <f>IFERROR(Comp2[[#This Row],[Comparable '#2 Return]]-INDEX(Benchmark1[Benchmark '#1 Return],MATCH(Comp2[[#This Row],[Comparable '#2 Dates]],Benchmark1[Benchmark '#1 Dates],0)),"-")</f>
        <v>-4.1067498047937384E-3</v>
      </c>
      <c r="L550" s="72">
        <f>Comp2[[#This Row],[Comparable '#2 Price]]/$B$2*100</f>
        <v>64.446680080482892</v>
      </c>
    </row>
    <row r="551" spans="1:12">
      <c r="A551" s="96">
        <v>44083</v>
      </c>
      <c r="B551" s="101">
        <v>31.27</v>
      </c>
      <c r="C551" s="4">
        <f t="shared" si="16"/>
        <v>-2.4013792151316951E-2</v>
      </c>
      <c r="D551" s="1">
        <f>IFERROR(Comp2[[#This Row],[Comparable '#2 Return]]+1,"-")</f>
        <v>0.97598620784868306</v>
      </c>
      <c r="E551" s="6">
        <f>B551-MAX($B$2:B551)</f>
        <v>-26.889999999999997</v>
      </c>
      <c r="F551" s="80">
        <f t="shared" si="17"/>
        <v>458</v>
      </c>
      <c r="G551" s="77">
        <f>Comp2[[#This Row],[Comparable '#2 Drawdown]]/MAX($B$2:B551)</f>
        <v>-0.4623452544704264</v>
      </c>
      <c r="H551" s="1" t="str">
        <f>IF(SUM(COUNTIF(Benchmark1[Benchmark '#1 Dates],Comp2[[#This Row],[Comparable '#2 Dates]]),COUNTIF(Benchmark2[Benchmark '#2 Dates],Comp2[[#This Row],[Comparable '#2 Dates]]))=2,"Pass","Fail")</f>
        <v>Pass</v>
      </c>
      <c r="I551" s="1">
        <f>IFERROR(Comp2[[#This Row],[Comparable '#2 Return]]-INDEX(Benchmark1[Benchmark '#1 Return],MATCH(Comp2[[#This Row],[Comparable '#2 Dates]],Benchmark1[Benchmark '#1 Dates],0)),"-")</f>
        <v>-4.39575458926037E-2</v>
      </c>
      <c r="L551" s="72">
        <f>Comp2[[#This Row],[Comparable '#2 Price]]/$B$2*100</f>
        <v>62.91750503018109</v>
      </c>
    </row>
    <row r="552" spans="1:12">
      <c r="A552" s="96">
        <v>44084</v>
      </c>
      <c r="B552" s="101">
        <v>31.3</v>
      </c>
      <c r="C552" s="4">
        <f t="shared" si="16"/>
        <v>9.589260763577473E-4</v>
      </c>
      <c r="D552" s="1">
        <f>IFERROR(Comp2[[#This Row],[Comparable '#2 Return]]+1,"-")</f>
        <v>1.0009589260763578</v>
      </c>
      <c r="E552" s="6">
        <f>B552-MAX($B$2:B552)</f>
        <v>-26.859999999999996</v>
      </c>
      <c r="F552" s="80">
        <f t="shared" si="17"/>
        <v>459</v>
      </c>
      <c r="G552" s="77">
        <f>Comp2[[#This Row],[Comparable '#2 Drawdown]]/MAX($B$2:B552)</f>
        <v>-0.4618294360385144</v>
      </c>
      <c r="H552" s="1" t="str">
        <f>IF(SUM(COUNTIF(Benchmark1[Benchmark '#1 Dates],Comp2[[#This Row],[Comparable '#2 Dates]]),COUNTIF(Benchmark2[Benchmark '#2 Dates],Comp2[[#This Row],[Comparable '#2 Dates]]))=2,"Pass","Fail")</f>
        <v>Pass</v>
      </c>
      <c r="I552" s="1">
        <f>IFERROR(Comp2[[#This Row],[Comparable '#2 Return]]-INDEX(Benchmark1[Benchmark '#1 Return],MATCH(Comp2[[#This Row],[Comparable '#2 Dates]],Benchmark1[Benchmark '#1 Dates],0)),"-")</f>
        <v>1.8701449247253771E-2</v>
      </c>
      <c r="L552" s="72">
        <f>Comp2[[#This Row],[Comparable '#2 Price]]/$B$2*100</f>
        <v>62.977867203219319</v>
      </c>
    </row>
    <row r="553" spans="1:12">
      <c r="A553" s="96">
        <v>44085</v>
      </c>
      <c r="B553" s="101">
        <v>29.04</v>
      </c>
      <c r="C553" s="4">
        <f t="shared" si="16"/>
        <v>-7.4943907589512276E-2</v>
      </c>
      <c r="D553" s="1">
        <f>IFERROR(Comp2[[#This Row],[Comparable '#2 Return]]+1,"-")</f>
        <v>0.9250560924104877</v>
      </c>
      <c r="E553" s="6">
        <f>B553-MAX($B$2:B553)</f>
        <v>-29.119999999999997</v>
      </c>
      <c r="F553" s="80">
        <f t="shared" si="17"/>
        <v>460</v>
      </c>
      <c r="G553" s="77">
        <f>Comp2[[#This Row],[Comparable '#2 Drawdown]]/MAX($B$2:B553)</f>
        <v>-0.50068775790921594</v>
      </c>
      <c r="H553" s="1" t="str">
        <f>IF(SUM(COUNTIF(Benchmark1[Benchmark '#1 Dates],Comp2[[#This Row],[Comparable '#2 Dates]]),COUNTIF(Benchmark2[Benchmark '#2 Dates],Comp2[[#This Row],[Comparable '#2 Dates]]))=2,"Pass","Fail")</f>
        <v>Pass</v>
      </c>
      <c r="I553" s="1">
        <f>IFERROR(Comp2[[#This Row],[Comparable '#2 Return]]-INDEX(Benchmark1[Benchmark '#1 Return],MATCH(Comp2[[#This Row],[Comparable '#2 Dates]],Benchmark1[Benchmark '#1 Dates],0)),"-")</f>
        <v>-7.5477161662726874E-2</v>
      </c>
      <c r="L553" s="72">
        <f>Comp2[[#This Row],[Comparable '#2 Price]]/$B$2*100</f>
        <v>58.430583501006026</v>
      </c>
    </row>
    <row r="554" spans="1:12">
      <c r="A554" s="96">
        <v>44088</v>
      </c>
      <c r="B554" s="101">
        <v>27.46</v>
      </c>
      <c r="C554" s="4">
        <f t="shared" si="16"/>
        <v>-5.5943789616770254E-2</v>
      </c>
      <c r="D554" s="1">
        <f>IFERROR(Comp2[[#This Row],[Comparable '#2 Return]]+1,"-")</f>
        <v>0.94405621038322973</v>
      </c>
      <c r="E554" s="6">
        <f>B554-MAX($B$2:B554)</f>
        <v>-30.699999999999996</v>
      </c>
      <c r="F554" s="80">
        <f t="shared" si="17"/>
        <v>461</v>
      </c>
      <c r="G554" s="77">
        <f>Comp2[[#This Row],[Comparable '#2 Drawdown]]/MAX($B$2:B554)</f>
        <v>-0.52785419532324618</v>
      </c>
      <c r="H554" s="1" t="str">
        <f>IF(SUM(COUNTIF(Benchmark1[Benchmark '#1 Dates],Comp2[[#This Row],[Comparable '#2 Dates]]),COUNTIF(Benchmark2[Benchmark '#2 Dates],Comp2[[#This Row],[Comparable '#2 Dates]]))=2,"Pass","Fail")</f>
        <v>Pass</v>
      </c>
      <c r="I554" s="1">
        <f>IFERROR(Comp2[[#This Row],[Comparable '#2 Return]]-INDEX(Benchmark1[Benchmark '#1 Return],MATCH(Comp2[[#This Row],[Comparable '#2 Dates]],Benchmark1[Benchmark '#1 Dates],0)),"-")</f>
        <v>-6.8606734568085997E-2</v>
      </c>
      <c r="L554" s="72">
        <f>Comp2[[#This Row],[Comparable '#2 Price]]/$B$2*100</f>
        <v>55.25150905432595</v>
      </c>
    </row>
    <row r="555" spans="1:12">
      <c r="A555" s="96">
        <v>44089</v>
      </c>
      <c r="B555" s="101">
        <v>26.15</v>
      </c>
      <c r="C555" s="4">
        <f t="shared" si="16"/>
        <v>-4.888120982889322E-2</v>
      </c>
      <c r="D555" s="1">
        <f>IFERROR(Comp2[[#This Row],[Comparable '#2 Return]]+1,"-")</f>
        <v>0.95111879017110679</v>
      </c>
      <c r="E555" s="6">
        <f>B555-MAX($B$2:B555)</f>
        <v>-32.01</v>
      </c>
      <c r="F555" s="80">
        <f t="shared" si="17"/>
        <v>462</v>
      </c>
      <c r="G555" s="77">
        <f>Comp2[[#This Row],[Comparable '#2 Drawdown]]/MAX($B$2:B555)</f>
        <v>-0.55037826685006874</v>
      </c>
      <c r="H555" s="1" t="str">
        <f>IF(SUM(COUNTIF(Benchmark1[Benchmark '#1 Dates],Comp2[[#This Row],[Comparable '#2 Dates]]),COUNTIF(Benchmark2[Benchmark '#2 Dates],Comp2[[#This Row],[Comparable '#2 Dates]]))=2,"Pass","Fail")</f>
        <v>Pass</v>
      </c>
      <c r="I555" s="1">
        <f>IFERROR(Comp2[[#This Row],[Comparable '#2 Return]]-INDEX(Benchmark1[Benchmark '#1 Return],MATCH(Comp2[[#This Row],[Comparable '#2 Dates]],Benchmark1[Benchmark '#1 Dates],0)),"-")</f>
        <v>-5.4086820590754849E-2</v>
      </c>
      <c r="L555" s="72">
        <f>Comp2[[#This Row],[Comparable '#2 Price]]/$B$2*100</f>
        <v>52.615694164989932</v>
      </c>
    </row>
    <row r="556" spans="1:12">
      <c r="A556" s="96">
        <v>44090</v>
      </c>
      <c r="B556" s="101">
        <v>26.54</v>
      </c>
      <c r="C556" s="4">
        <f t="shared" si="16"/>
        <v>1.4803838393129501E-2</v>
      </c>
      <c r="D556" s="1">
        <f>IFERROR(Comp2[[#This Row],[Comparable '#2 Return]]+1,"-")</f>
        <v>1.0148038383931295</v>
      </c>
      <c r="E556" s="6">
        <f>B556-MAX($B$2:B556)</f>
        <v>-31.619999999999997</v>
      </c>
      <c r="F556" s="80">
        <f t="shared" si="17"/>
        <v>463</v>
      </c>
      <c r="G556" s="77">
        <f>Comp2[[#This Row],[Comparable '#2 Drawdown]]/MAX($B$2:B556)</f>
        <v>-0.54367262723521315</v>
      </c>
      <c r="H556" s="1" t="str">
        <f>IF(SUM(COUNTIF(Benchmark1[Benchmark '#1 Dates],Comp2[[#This Row],[Comparable '#2 Dates]]),COUNTIF(Benchmark2[Benchmark '#2 Dates],Comp2[[#This Row],[Comparable '#2 Dates]]))=2,"Pass","Fail")</f>
        <v>Pass</v>
      </c>
      <c r="I556" s="1">
        <f>IFERROR(Comp2[[#This Row],[Comparable '#2 Return]]-INDEX(Benchmark1[Benchmark '#1 Return],MATCH(Comp2[[#This Row],[Comparable '#2 Dates]],Benchmark1[Benchmark '#1 Dates],0)),"-")</f>
        <v>1.9433486762764456E-2</v>
      </c>
      <c r="L556" s="72">
        <f>Comp2[[#This Row],[Comparable '#2 Price]]/$B$2*100</f>
        <v>53.400402414486912</v>
      </c>
    </row>
    <row r="557" spans="1:12">
      <c r="A557" s="96">
        <v>44091</v>
      </c>
      <c r="B557" s="101">
        <v>26.29</v>
      </c>
      <c r="C557" s="4">
        <f t="shared" si="16"/>
        <v>-9.4643901622715638E-3</v>
      </c>
      <c r="D557" s="1">
        <f>IFERROR(Comp2[[#This Row],[Comparable '#2 Return]]+1,"-")</f>
        <v>0.99053560983772848</v>
      </c>
      <c r="E557" s="6">
        <f>B557-MAX($B$2:B557)</f>
        <v>-31.869999999999997</v>
      </c>
      <c r="F557" s="80">
        <f t="shared" si="17"/>
        <v>464</v>
      </c>
      <c r="G557" s="77">
        <f>Comp2[[#This Row],[Comparable '#2 Drawdown]]/MAX($B$2:B557)</f>
        <v>-0.54797111416781297</v>
      </c>
      <c r="H557" s="1" t="str">
        <f>IF(SUM(COUNTIF(Benchmark1[Benchmark '#1 Dates],Comp2[[#This Row],[Comparable '#2 Dates]]),COUNTIF(Benchmark2[Benchmark '#2 Dates],Comp2[[#This Row],[Comparable '#2 Dates]]))=2,"Pass","Fail")</f>
        <v>Pass</v>
      </c>
      <c r="I557" s="1">
        <f>IFERROR(Comp2[[#This Row],[Comparable '#2 Return]]-INDEX(Benchmark1[Benchmark '#1 Return],MATCH(Comp2[[#This Row],[Comparable '#2 Dates]],Benchmark1[Benchmark '#1 Dates],0)),"-")</f>
        <v>-1.0161315859458682E-3</v>
      </c>
      <c r="L557" s="72">
        <f>Comp2[[#This Row],[Comparable '#2 Price]]/$B$2*100</f>
        <v>52.897384305835004</v>
      </c>
    </row>
    <row r="558" spans="1:12">
      <c r="A558" s="96">
        <v>44092</v>
      </c>
      <c r="B558" s="101">
        <v>25.81</v>
      </c>
      <c r="C558" s="4">
        <f t="shared" si="16"/>
        <v>-1.8426625011267374E-2</v>
      </c>
      <c r="D558" s="1">
        <f>IFERROR(Comp2[[#This Row],[Comparable '#2 Return]]+1,"-")</f>
        <v>0.98157337498873265</v>
      </c>
      <c r="E558" s="6">
        <f>B558-MAX($B$2:B558)</f>
        <v>-32.349999999999994</v>
      </c>
      <c r="F558" s="80">
        <f t="shared" si="17"/>
        <v>465</v>
      </c>
      <c r="G558" s="77">
        <f>Comp2[[#This Row],[Comparable '#2 Drawdown]]/MAX($B$2:B558)</f>
        <v>-0.55622420907840431</v>
      </c>
      <c r="H558" s="1" t="str">
        <f>IF(SUM(COUNTIF(Benchmark1[Benchmark '#1 Dates],Comp2[[#This Row],[Comparable '#2 Dates]]),COUNTIF(Benchmark2[Benchmark '#2 Dates],Comp2[[#This Row],[Comparable '#2 Dates]]))=2,"Pass","Fail")</f>
        <v>Pass</v>
      </c>
      <c r="I558" s="1">
        <f>IFERROR(Comp2[[#This Row],[Comparable '#2 Return]]-INDEX(Benchmark1[Benchmark '#1 Return],MATCH(Comp2[[#This Row],[Comparable '#2 Dates]],Benchmark1[Benchmark '#1 Dates],0)),"-")</f>
        <v>-7.1798140788100519E-3</v>
      </c>
      <c r="L558" s="72">
        <f>Comp2[[#This Row],[Comparable '#2 Price]]/$B$2*100</f>
        <v>51.931589537223331</v>
      </c>
    </row>
    <row r="559" spans="1:12">
      <c r="A559" s="96">
        <v>44095</v>
      </c>
      <c r="B559" s="101">
        <v>25</v>
      </c>
      <c r="C559" s="4">
        <f t="shared" si="16"/>
        <v>-3.1886188862321647E-2</v>
      </c>
      <c r="D559" s="1">
        <f>IFERROR(Comp2[[#This Row],[Comparable '#2 Return]]+1,"-")</f>
        <v>0.96811381113767836</v>
      </c>
      <c r="E559" s="6">
        <f>B559-MAX($B$2:B559)</f>
        <v>-33.159999999999997</v>
      </c>
      <c r="F559" s="80">
        <f t="shared" si="17"/>
        <v>466</v>
      </c>
      <c r="G559" s="77">
        <f>Comp2[[#This Row],[Comparable '#2 Drawdown]]/MAX($B$2:B559)</f>
        <v>-0.57015130674002745</v>
      </c>
      <c r="H559" s="1" t="str">
        <f>IF(SUM(COUNTIF(Benchmark1[Benchmark '#1 Dates],Comp2[[#This Row],[Comparable '#2 Dates]]),COUNTIF(Benchmark2[Benchmark '#2 Dates],Comp2[[#This Row],[Comparable '#2 Dates]]))=2,"Pass","Fail")</f>
        <v>Pass</v>
      </c>
      <c r="I559" s="1">
        <f>IFERROR(Comp2[[#This Row],[Comparable '#2 Return]]-INDEX(Benchmark1[Benchmark '#1 Return],MATCH(Comp2[[#This Row],[Comparable '#2 Dates]],Benchmark1[Benchmark '#1 Dates],0)),"-")</f>
        <v>-2.0248554659688871E-2</v>
      </c>
      <c r="L559" s="72">
        <f>Comp2[[#This Row],[Comparable '#2 Price]]/$B$2*100</f>
        <v>50.301810865191143</v>
      </c>
    </row>
    <row r="560" spans="1:12">
      <c r="A560" s="96">
        <v>44096</v>
      </c>
      <c r="B560" s="101">
        <v>25.04</v>
      </c>
      <c r="C560" s="4">
        <f t="shared" si="16"/>
        <v>1.5987213636970735E-3</v>
      </c>
      <c r="D560" s="1">
        <f>IFERROR(Comp2[[#This Row],[Comparable '#2 Return]]+1,"-")</f>
        <v>1.001598721363697</v>
      </c>
      <c r="E560" s="6">
        <f>B560-MAX($B$2:B560)</f>
        <v>-33.119999999999997</v>
      </c>
      <c r="F560" s="80">
        <f t="shared" si="17"/>
        <v>467</v>
      </c>
      <c r="G560" s="77">
        <f>Comp2[[#This Row],[Comparable '#2 Drawdown]]/MAX($B$2:B560)</f>
        <v>-0.56946354883081152</v>
      </c>
      <c r="H560" s="1" t="str">
        <f>IF(SUM(COUNTIF(Benchmark1[Benchmark '#1 Dates],Comp2[[#This Row],[Comparable '#2 Dates]]),COUNTIF(Benchmark2[Benchmark '#2 Dates],Comp2[[#This Row],[Comparable '#2 Dates]]))=2,"Pass","Fail")</f>
        <v>Pass</v>
      </c>
      <c r="I560" s="1">
        <f>IFERROR(Comp2[[#This Row],[Comparable '#2 Return]]-INDEX(Benchmark1[Benchmark '#1 Return],MATCH(Comp2[[#This Row],[Comparable '#2 Dates]],Benchmark1[Benchmark '#1 Dates],0)),"-")</f>
        <v>-8.8634875925650679E-3</v>
      </c>
      <c r="L560" s="72">
        <f>Comp2[[#This Row],[Comparable '#2 Price]]/$B$2*100</f>
        <v>50.382293762575451</v>
      </c>
    </row>
    <row r="561" spans="1:12">
      <c r="A561" s="96">
        <v>44097</v>
      </c>
      <c r="B561" s="101">
        <v>24.15</v>
      </c>
      <c r="C561" s="4">
        <f t="shared" si="16"/>
        <v>-3.6190166133316146E-2</v>
      </c>
      <c r="D561" s="1">
        <f>IFERROR(Comp2[[#This Row],[Comparable '#2 Return]]+1,"-")</f>
        <v>0.96380983386668384</v>
      </c>
      <c r="E561" s="6">
        <f>B561-MAX($B$2:B561)</f>
        <v>-34.01</v>
      </c>
      <c r="F561" s="80">
        <f t="shared" si="17"/>
        <v>468</v>
      </c>
      <c r="G561" s="77">
        <f>Comp2[[#This Row],[Comparable '#2 Drawdown]]/MAX($B$2:B561)</f>
        <v>-0.58476616231086653</v>
      </c>
      <c r="H561" s="1" t="str">
        <f>IF(SUM(COUNTIF(Benchmark1[Benchmark '#1 Dates],Comp2[[#This Row],[Comparable '#2 Dates]]),COUNTIF(Benchmark2[Benchmark '#2 Dates],Comp2[[#This Row],[Comparable '#2 Dates]]))=2,"Pass","Fail")</f>
        <v>Pass</v>
      </c>
      <c r="I561" s="1">
        <f>IFERROR(Comp2[[#This Row],[Comparable '#2 Return]]-INDEX(Benchmark1[Benchmark '#1 Return],MATCH(Comp2[[#This Row],[Comparable '#2 Dates]],Benchmark1[Benchmark '#1 Dates],0)),"-")</f>
        <v>-1.2184110207887348E-2</v>
      </c>
      <c r="L561" s="72">
        <f>Comp2[[#This Row],[Comparable '#2 Price]]/$B$2*100</f>
        <v>48.591549295774641</v>
      </c>
    </row>
    <row r="562" spans="1:12">
      <c r="A562" s="96">
        <v>44098</v>
      </c>
      <c r="B562" s="101">
        <v>24.23</v>
      </c>
      <c r="C562" s="4">
        <f t="shared" si="16"/>
        <v>3.3071547298527352E-3</v>
      </c>
      <c r="D562" s="1">
        <f>IFERROR(Comp2[[#This Row],[Comparable '#2 Return]]+1,"-")</f>
        <v>1.0033071547298527</v>
      </c>
      <c r="E562" s="6">
        <f>B562-MAX($B$2:B562)</f>
        <v>-33.929999999999993</v>
      </c>
      <c r="F562" s="80">
        <f t="shared" si="17"/>
        <v>469</v>
      </c>
      <c r="G562" s="77">
        <f>Comp2[[#This Row],[Comparable '#2 Drawdown]]/MAX($B$2:B562)</f>
        <v>-0.58339064649243455</v>
      </c>
      <c r="H562" s="1" t="str">
        <f>IF(SUM(COUNTIF(Benchmark1[Benchmark '#1 Dates],Comp2[[#This Row],[Comparable '#2 Dates]]),COUNTIF(Benchmark2[Benchmark '#2 Dates],Comp2[[#This Row],[Comparable '#2 Dates]]))=2,"Pass","Fail")</f>
        <v>Pass</v>
      </c>
      <c r="I562" s="1">
        <f>IFERROR(Comp2[[#This Row],[Comparable '#2 Return]]-INDEX(Benchmark1[Benchmark '#1 Return],MATCH(Comp2[[#This Row],[Comparable '#2 Dates]],Benchmark1[Benchmark '#1 Dates],0)),"-")</f>
        <v>3.2506903195387649E-4</v>
      </c>
      <c r="L562" s="72">
        <f>Comp2[[#This Row],[Comparable '#2 Price]]/$B$2*100</f>
        <v>48.752515090543255</v>
      </c>
    </row>
    <row r="563" spans="1:12">
      <c r="A563" s="96">
        <v>44099</v>
      </c>
      <c r="B563" s="101">
        <v>24.62</v>
      </c>
      <c r="C563" s="4">
        <f t="shared" si="16"/>
        <v>1.5967585927873097E-2</v>
      </c>
      <c r="D563" s="1">
        <f>IFERROR(Comp2[[#This Row],[Comparable '#2 Return]]+1,"-")</f>
        <v>1.0159675859278732</v>
      </c>
      <c r="E563" s="6">
        <f>B563-MAX($B$2:B563)</f>
        <v>-33.539999999999992</v>
      </c>
      <c r="F563" s="80">
        <f t="shared" si="17"/>
        <v>470</v>
      </c>
      <c r="G563" s="77">
        <f>Comp2[[#This Row],[Comparable '#2 Drawdown]]/MAX($B$2:B563)</f>
        <v>-0.57668500687757895</v>
      </c>
      <c r="H563" s="1" t="str">
        <f>IF(SUM(COUNTIF(Benchmark1[Benchmark '#1 Dates],Comp2[[#This Row],[Comparable '#2 Dates]]),COUNTIF(Benchmark2[Benchmark '#2 Dates],Comp2[[#This Row],[Comparable '#2 Dates]]))=2,"Pass","Fail")</f>
        <v>Pass</v>
      </c>
      <c r="I563" s="1">
        <f>IFERROR(Comp2[[#This Row],[Comparable '#2 Return]]-INDEX(Benchmark1[Benchmark '#1 Return],MATCH(Comp2[[#This Row],[Comparable '#2 Dates]],Benchmark1[Benchmark '#1 Dates],0)),"-")</f>
        <v>1.1732647047995107E-4</v>
      </c>
      <c r="L563" s="72">
        <f>Comp2[[#This Row],[Comparable '#2 Price]]/$B$2*100</f>
        <v>49.537223340040242</v>
      </c>
    </row>
    <row r="564" spans="1:12">
      <c r="A564" s="96">
        <v>44102</v>
      </c>
      <c r="B564" s="101">
        <v>25.23</v>
      </c>
      <c r="C564" s="4">
        <f t="shared" si="16"/>
        <v>2.447464189665893E-2</v>
      </c>
      <c r="D564" s="1">
        <f>IFERROR(Comp2[[#This Row],[Comparable '#2 Return]]+1,"-")</f>
        <v>1.0244746418966588</v>
      </c>
      <c r="E564" s="6">
        <f>B564-MAX($B$2:B564)</f>
        <v>-32.929999999999993</v>
      </c>
      <c r="F564" s="80">
        <f t="shared" si="17"/>
        <v>471</v>
      </c>
      <c r="G564" s="77">
        <f>Comp2[[#This Row],[Comparable '#2 Drawdown]]/MAX($B$2:B564)</f>
        <v>-0.56619669876203571</v>
      </c>
      <c r="H564" s="1" t="str">
        <f>IF(SUM(COUNTIF(Benchmark1[Benchmark '#1 Dates],Comp2[[#This Row],[Comparable '#2 Dates]]),COUNTIF(Benchmark2[Benchmark '#2 Dates],Comp2[[#This Row],[Comparable '#2 Dates]]))=2,"Pass","Fail")</f>
        <v>Pass</v>
      </c>
      <c r="I564" s="1">
        <f>IFERROR(Comp2[[#This Row],[Comparable '#2 Return]]-INDEX(Benchmark1[Benchmark '#1 Return],MATCH(Comp2[[#This Row],[Comparable '#2 Dates]],Benchmark1[Benchmark '#1 Dates],0)),"-")</f>
        <v>8.4916694186478459E-3</v>
      </c>
      <c r="L564" s="72">
        <f>Comp2[[#This Row],[Comparable '#2 Price]]/$B$2*100</f>
        <v>50.764587525150908</v>
      </c>
    </row>
    <row r="565" spans="1:12">
      <c r="A565" s="96">
        <v>44103</v>
      </c>
      <c r="B565" s="101">
        <v>24.81</v>
      </c>
      <c r="C565" s="4">
        <f t="shared" si="16"/>
        <v>-1.6786964949256755E-2</v>
      </c>
      <c r="D565" s="1">
        <f>IFERROR(Comp2[[#This Row],[Comparable '#2 Return]]+1,"-")</f>
        <v>0.9832130350507432</v>
      </c>
      <c r="E565" s="6">
        <f>B565-MAX($B$2:B565)</f>
        <v>-33.349999999999994</v>
      </c>
      <c r="F565" s="80">
        <f t="shared" si="17"/>
        <v>472</v>
      </c>
      <c r="G565" s="77">
        <f>Comp2[[#This Row],[Comparable '#2 Drawdown]]/MAX($B$2:B565)</f>
        <v>-0.57341815680880326</v>
      </c>
      <c r="H565" s="1" t="str">
        <f>IF(SUM(COUNTIF(Benchmark1[Benchmark '#1 Dates],Comp2[[#This Row],[Comparable '#2 Dates]]),COUNTIF(Benchmark2[Benchmark '#2 Dates],Comp2[[#This Row],[Comparable '#2 Dates]]))=2,"Pass","Fail")</f>
        <v>Pass</v>
      </c>
      <c r="I565" s="1">
        <f>IFERROR(Comp2[[#This Row],[Comparable '#2 Return]]-INDEX(Benchmark1[Benchmark '#1 Return],MATCH(Comp2[[#This Row],[Comparable '#2 Dates]],Benchmark1[Benchmark '#1 Dates],0)),"-")</f>
        <v>-1.1964331007464152E-2</v>
      </c>
      <c r="L565" s="72">
        <f>Comp2[[#This Row],[Comparable '#2 Price]]/$B$2*100</f>
        <v>49.919517102615693</v>
      </c>
    </row>
    <row r="566" spans="1:12">
      <c r="A566" s="96">
        <v>44104</v>
      </c>
      <c r="B566" s="101">
        <v>24.54</v>
      </c>
      <c r="C566" s="4">
        <f t="shared" si="16"/>
        <v>-1.0942358420944244E-2</v>
      </c>
      <c r="D566" s="1">
        <f>IFERROR(Comp2[[#This Row],[Comparable '#2 Return]]+1,"-")</f>
        <v>0.98905764157905574</v>
      </c>
      <c r="E566" s="6">
        <f>B566-MAX($B$2:B566)</f>
        <v>-33.619999999999997</v>
      </c>
      <c r="F566" s="80">
        <f t="shared" si="17"/>
        <v>473</v>
      </c>
      <c r="G566" s="77">
        <f>Comp2[[#This Row],[Comparable '#2 Drawdown]]/MAX($B$2:B566)</f>
        <v>-0.57806052269601105</v>
      </c>
      <c r="H566" s="1" t="str">
        <f>IF(SUM(COUNTIF(Benchmark1[Benchmark '#1 Dates],Comp2[[#This Row],[Comparable '#2 Dates]]),COUNTIF(Benchmark2[Benchmark '#2 Dates],Comp2[[#This Row],[Comparable '#2 Dates]]))=2,"Pass","Fail")</f>
        <v>Pass</v>
      </c>
      <c r="I566" s="1">
        <f>IFERROR(Comp2[[#This Row],[Comparable '#2 Return]]-INDEX(Benchmark1[Benchmark '#1 Return],MATCH(Comp2[[#This Row],[Comparable '#2 Dates]],Benchmark1[Benchmark '#1 Dates],0)),"-")</f>
        <v>-1.9160410768911167E-2</v>
      </c>
      <c r="L566" s="72">
        <f>Comp2[[#This Row],[Comparable '#2 Price]]/$B$2*100</f>
        <v>49.376257545271621</v>
      </c>
    </row>
    <row r="567" spans="1:12">
      <c r="A567" s="96">
        <v>44105</v>
      </c>
      <c r="B567" s="101">
        <v>24.57</v>
      </c>
      <c r="C567" s="4">
        <f t="shared" si="16"/>
        <v>1.221747250322513E-3</v>
      </c>
      <c r="D567" s="1">
        <f>IFERROR(Comp2[[#This Row],[Comparable '#2 Return]]+1,"-")</f>
        <v>1.0012217472503224</v>
      </c>
      <c r="E567" s="6">
        <f>B567-MAX($B$2:B567)</f>
        <v>-33.589999999999996</v>
      </c>
      <c r="F567" s="80">
        <f t="shared" si="17"/>
        <v>474</v>
      </c>
      <c r="G567" s="77">
        <f>Comp2[[#This Row],[Comparable '#2 Drawdown]]/MAX($B$2:B567)</f>
        <v>-0.57754470426409898</v>
      </c>
      <c r="H567" s="1" t="str">
        <f>IF(SUM(COUNTIF(Benchmark1[Benchmark '#1 Dates],Comp2[[#This Row],[Comparable '#2 Dates]]),COUNTIF(Benchmark2[Benchmark '#2 Dates],Comp2[[#This Row],[Comparable '#2 Dates]]))=2,"Pass","Fail")</f>
        <v>Pass</v>
      </c>
      <c r="I567" s="1">
        <f>IFERROR(Comp2[[#This Row],[Comparable '#2 Return]]-INDEX(Benchmark1[Benchmark '#1 Return],MATCH(Comp2[[#This Row],[Comparable '#2 Dates]],Benchmark1[Benchmark '#1 Dates],0)),"-")</f>
        <v>-4.0570638214495339E-3</v>
      </c>
      <c r="L567" s="72">
        <f>Comp2[[#This Row],[Comparable '#2 Price]]/$B$2*100</f>
        <v>49.436619718309856</v>
      </c>
    </row>
    <row r="568" spans="1:12">
      <c r="A568" s="96">
        <v>44106</v>
      </c>
      <c r="B568" s="101">
        <v>24.58</v>
      </c>
      <c r="C568" s="4">
        <f t="shared" si="16"/>
        <v>4.0691760480086571E-4</v>
      </c>
      <c r="D568" s="1">
        <f>IFERROR(Comp2[[#This Row],[Comparable '#2 Return]]+1,"-")</f>
        <v>1.0004069176048009</v>
      </c>
      <c r="E568" s="6">
        <f>B568-MAX($B$2:B568)</f>
        <v>-33.58</v>
      </c>
      <c r="F568" s="80">
        <f t="shared" si="17"/>
        <v>475</v>
      </c>
      <c r="G568" s="77">
        <f>Comp2[[#This Row],[Comparable '#2 Drawdown]]/MAX($B$2:B568)</f>
        <v>-0.577372764786795</v>
      </c>
      <c r="H568" s="1" t="str">
        <f>IF(SUM(COUNTIF(Benchmark1[Benchmark '#1 Dates],Comp2[[#This Row],[Comparable '#2 Dates]]),COUNTIF(Benchmark2[Benchmark '#2 Dates],Comp2[[#This Row],[Comparable '#2 Dates]]))=2,"Pass","Fail")</f>
        <v>Pass</v>
      </c>
      <c r="I568" s="1">
        <f>IFERROR(Comp2[[#This Row],[Comparable '#2 Return]]-INDEX(Benchmark1[Benchmark '#1 Return],MATCH(Comp2[[#This Row],[Comparable '#2 Dates]],Benchmark1[Benchmark '#1 Dates],0)),"-")</f>
        <v>1.0023175083915186E-2</v>
      </c>
      <c r="L568" s="72">
        <f>Comp2[[#This Row],[Comparable '#2 Price]]/$B$2*100</f>
        <v>49.456740442655928</v>
      </c>
    </row>
    <row r="569" spans="1:12">
      <c r="A569" s="96">
        <v>44109</v>
      </c>
      <c r="B569" s="101">
        <v>25.29</v>
      </c>
      <c r="C569" s="4">
        <f t="shared" si="16"/>
        <v>2.8475956543985156E-2</v>
      </c>
      <c r="D569" s="1">
        <f>IFERROR(Comp2[[#This Row],[Comparable '#2 Return]]+1,"-")</f>
        <v>1.0284759565439852</v>
      </c>
      <c r="E569" s="6">
        <f>B569-MAX($B$2:B569)</f>
        <v>-32.869999999999997</v>
      </c>
      <c r="F569" s="80">
        <f t="shared" si="17"/>
        <v>476</v>
      </c>
      <c r="G569" s="77">
        <f>Comp2[[#This Row],[Comparable '#2 Drawdown]]/MAX($B$2:B569)</f>
        <v>-0.56516506189821181</v>
      </c>
      <c r="H569" s="1" t="str">
        <f>IF(SUM(COUNTIF(Benchmark1[Benchmark '#1 Dates],Comp2[[#This Row],[Comparable '#2 Dates]]),COUNTIF(Benchmark2[Benchmark '#2 Dates],Comp2[[#This Row],[Comparable '#2 Dates]]))=2,"Pass","Fail")</f>
        <v>Pass</v>
      </c>
      <c r="I569" s="1">
        <f>IFERROR(Comp2[[#This Row],[Comparable '#2 Return]]-INDEX(Benchmark1[Benchmark '#1 Return],MATCH(Comp2[[#This Row],[Comparable '#2 Dates]],Benchmark1[Benchmark '#1 Dates],0)),"-")</f>
        <v>1.0662122613978194E-2</v>
      </c>
      <c r="L569" s="72">
        <f>Comp2[[#This Row],[Comparable '#2 Price]]/$B$2*100</f>
        <v>50.885311871227358</v>
      </c>
    </row>
    <row r="570" spans="1:12">
      <c r="A570" s="96">
        <v>44110</v>
      </c>
      <c r="B570" s="101">
        <v>26.09</v>
      </c>
      <c r="C570" s="4">
        <f t="shared" si="16"/>
        <v>3.1143038466763258E-2</v>
      </c>
      <c r="D570" s="1">
        <f>IFERROR(Comp2[[#This Row],[Comparable '#2 Return]]+1,"-")</f>
        <v>1.0311430384667633</v>
      </c>
      <c r="E570" s="6">
        <f>B570-MAX($B$2:B570)</f>
        <v>-32.069999999999993</v>
      </c>
      <c r="F570" s="80">
        <f t="shared" si="17"/>
        <v>477</v>
      </c>
      <c r="G570" s="77">
        <f>Comp2[[#This Row],[Comparable '#2 Drawdown]]/MAX($B$2:B570)</f>
        <v>-0.55140990371389265</v>
      </c>
      <c r="H570" s="1" t="str">
        <f>IF(SUM(COUNTIF(Benchmark1[Benchmark '#1 Dates],Comp2[[#This Row],[Comparable '#2 Dates]]),COUNTIF(Benchmark2[Benchmark '#2 Dates],Comp2[[#This Row],[Comparable '#2 Dates]]))=2,"Pass","Fail")</f>
        <v>Pass</v>
      </c>
      <c r="I570" s="1">
        <f>IFERROR(Comp2[[#This Row],[Comparable '#2 Return]]-INDEX(Benchmark1[Benchmark '#1 Return],MATCH(Comp2[[#This Row],[Comparable '#2 Dates]],Benchmark1[Benchmark '#1 Dates],0)),"-")</f>
        <v>4.5228272899797015E-2</v>
      </c>
      <c r="L570" s="72">
        <f>Comp2[[#This Row],[Comparable '#2 Price]]/$B$2*100</f>
        <v>52.494969818913475</v>
      </c>
    </row>
    <row r="571" spans="1:12">
      <c r="A571" s="96">
        <v>44111</v>
      </c>
      <c r="B571" s="101">
        <v>26.19</v>
      </c>
      <c r="C571" s="4">
        <f t="shared" si="16"/>
        <v>3.8255593709835486E-3</v>
      </c>
      <c r="D571" s="1">
        <f>IFERROR(Comp2[[#This Row],[Comparable '#2 Return]]+1,"-")</f>
        <v>1.0038255593709835</v>
      </c>
      <c r="E571" s="6">
        <f>B571-MAX($B$2:B571)</f>
        <v>-31.969999999999995</v>
      </c>
      <c r="F571" s="80">
        <f t="shared" si="17"/>
        <v>478</v>
      </c>
      <c r="G571" s="77">
        <f>Comp2[[#This Row],[Comparable '#2 Drawdown]]/MAX($B$2:B571)</f>
        <v>-0.54969050894085281</v>
      </c>
      <c r="H571" s="1" t="str">
        <f>IF(SUM(COUNTIF(Benchmark1[Benchmark '#1 Dates],Comp2[[#This Row],[Comparable '#2 Dates]]),COUNTIF(Benchmark2[Benchmark '#2 Dates],Comp2[[#This Row],[Comparable '#2 Dates]]))=2,"Pass","Fail")</f>
        <v>Pass</v>
      </c>
      <c r="I571" s="1">
        <f>IFERROR(Comp2[[#This Row],[Comparable '#2 Return]]-INDEX(Benchmark1[Benchmark '#1 Return],MATCH(Comp2[[#This Row],[Comparable '#2 Dates]],Benchmark1[Benchmark '#1 Dates],0)),"-")</f>
        <v>-1.3429671622873091E-2</v>
      </c>
      <c r="L571" s="72">
        <f>Comp2[[#This Row],[Comparable '#2 Price]]/$B$2*100</f>
        <v>52.696177062374247</v>
      </c>
    </row>
    <row r="572" spans="1:12">
      <c r="A572" s="96">
        <v>44112</v>
      </c>
      <c r="B572" s="101">
        <v>26.92</v>
      </c>
      <c r="C572" s="4">
        <f t="shared" si="16"/>
        <v>2.7491846256906503E-2</v>
      </c>
      <c r="D572" s="1">
        <f>IFERROR(Comp2[[#This Row],[Comparable '#2 Return]]+1,"-")</f>
        <v>1.0274918462569065</v>
      </c>
      <c r="E572" s="6">
        <f>B572-MAX($B$2:B572)</f>
        <v>-31.239999999999995</v>
      </c>
      <c r="F572" s="80">
        <f t="shared" si="17"/>
        <v>479</v>
      </c>
      <c r="G572" s="77">
        <f>Comp2[[#This Row],[Comparable '#2 Drawdown]]/MAX($B$2:B572)</f>
        <v>-0.53713892709766153</v>
      </c>
      <c r="H572" s="1" t="str">
        <f>IF(SUM(COUNTIF(Benchmark1[Benchmark '#1 Dates],Comp2[[#This Row],[Comparable '#2 Dates]]),COUNTIF(Benchmark2[Benchmark '#2 Dates],Comp2[[#This Row],[Comparable '#2 Dates]]))=2,"Pass","Fail")</f>
        <v>Pass</v>
      </c>
      <c r="I572" s="1">
        <f>IFERROR(Comp2[[#This Row],[Comparable '#2 Return]]-INDEX(Benchmark1[Benchmark '#1 Return],MATCH(Comp2[[#This Row],[Comparable '#2 Dates]],Benchmark1[Benchmark '#1 Dates],0)),"-")</f>
        <v>1.9516867375945959E-2</v>
      </c>
      <c r="L572" s="72">
        <f>Comp2[[#This Row],[Comparable '#2 Price]]/$B$2*100</f>
        <v>54.164989939637834</v>
      </c>
    </row>
    <row r="573" spans="1:12">
      <c r="A573" s="96">
        <v>44113</v>
      </c>
      <c r="B573" s="101">
        <v>26.63</v>
      </c>
      <c r="C573" s="4">
        <f t="shared" si="16"/>
        <v>-1.0831104950686267E-2</v>
      </c>
      <c r="D573" s="1">
        <f>IFERROR(Comp2[[#This Row],[Comparable '#2 Return]]+1,"-")</f>
        <v>0.98916889504931371</v>
      </c>
      <c r="E573" s="6">
        <f>B573-MAX($B$2:B573)</f>
        <v>-31.529999999999998</v>
      </c>
      <c r="F573" s="80">
        <f t="shared" si="17"/>
        <v>480</v>
      </c>
      <c r="G573" s="77">
        <f>Comp2[[#This Row],[Comparable '#2 Drawdown]]/MAX($B$2:B573)</f>
        <v>-0.54212517193947729</v>
      </c>
      <c r="H573" s="1" t="str">
        <f>IF(SUM(COUNTIF(Benchmark1[Benchmark '#1 Dates],Comp2[[#This Row],[Comparable '#2 Dates]]),COUNTIF(Benchmark2[Benchmark '#2 Dates],Comp2[[#This Row],[Comparable '#2 Dates]]))=2,"Pass","Fail")</f>
        <v>Pass</v>
      </c>
      <c r="I573" s="1">
        <f>IFERROR(Comp2[[#This Row],[Comparable '#2 Return]]-INDEX(Benchmark1[Benchmark '#1 Return],MATCH(Comp2[[#This Row],[Comparable '#2 Dates]],Benchmark1[Benchmark '#1 Dates],0)),"-")</f>
        <v>-1.958507745052792E-2</v>
      </c>
      <c r="L573" s="72">
        <f>Comp2[[#This Row],[Comparable '#2 Price]]/$B$2*100</f>
        <v>53.581488933601605</v>
      </c>
    </row>
    <row r="574" spans="1:12">
      <c r="A574" s="96">
        <v>44116</v>
      </c>
      <c r="B574" s="101">
        <v>26.39</v>
      </c>
      <c r="C574" s="4">
        <f t="shared" si="16"/>
        <v>-9.0532493106081479E-3</v>
      </c>
      <c r="D574" s="1">
        <f>IFERROR(Comp2[[#This Row],[Comparable '#2 Return]]+1,"-")</f>
        <v>0.99094675068939186</v>
      </c>
      <c r="E574" s="6">
        <f>B574-MAX($B$2:B574)</f>
        <v>-31.769999999999996</v>
      </c>
      <c r="F574" s="80">
        <f t="shared" si="17"/>
        <v>481</v>
      </c>
      <c r="G574" s="77">
        <f>Comp2[[#This Row],[Comparable '#2 Drawdown]]/MAX($B$2:B574)</f>
        <v>-0.54625171939477302</v>
      </c>
      <c r="H574" s="1" t="str">
        <f>IF(SUM(COUNTIF(Benchmark1[Benchmark '#1 Dates],Comp2[[#This Row],[Comparable '#2 Dates]]),COUNTIF(Benchmark2[Benchmark '#2 Dates],Comp2[[#This Row],[Comparable '#2 Dates]]))=2,"Pass","Fail")</f>
        <v>Pass</v>
      </c>
      <c r="I574" s="1">
        <f>IFERROR(Comp2[[#This Row],[Comparable '#2 Return]]-INDEX(Benchmark1[Benchmark '#1 Return],MATCH(Comp2[[#This Row],[Comparable '#2 Dates]],Benchmark1[Benchmark '#1 Dates],0)),"-")</f>
        <v>-2.5336264006777777E-2</v>
      </c>
      <c r="L574" s="72">
        <f>Comp2[[#This Row],[Comparable '#2 Price]]/$B$2*100</f>
        <v>53.098591549295769</v>
      </c>
    </row>
    <row r="575" spans="1:12">
      <c r="A575" s="96">
        <v>44117</v>
      </c>
      <c r="B575" s="101">
        <v>26.45</v>
      </c>
      <c r="C575" s="4">
        <f t="shared" si="16"/>
        <v>2.2710077890756341E-3</v>
      </c>
      <c r="D575" s="1">
        <f>IFERROR(Comp2[[#This Row],[Comparable '#2 Return]]+1,"-")</f>
        <v>1.0022710077890757</v>
      </c>
      <c r="E575" s="6">
        <f>B575-MAX($B$2:B575)</f>
        <v>-31.709999999999997</v>
      </c>
      <c r="F575" s="80">
        <f t="shared" si="17"/>
        <v>482</v>
      </c>
      <c r="G575" s="77">
        <f>Comp2[[#This Row],[Comparable '#2 Drawdown]]/MAX($B$2:B575)</f>
        <v>-0.54522008253094911</v>
      </c>
      <c r="H575" s="1" t="str">
        <f>IF(SUM(COUNTIF(Benchmark1[Benchmark '#1 Dates],Comp2[[#This Row],[Comparable '#2 Dates]]),COUNTIF(Benchmark2[Benchmark '#2 Dates],Comp2[[#This Row],[Comparable '#2 Dates]]))=2,"Pass","Fail")</f>
        <v>Pass</v>
      </c>
      <c r="I575" s="1">
        <f>IFERROR(Comp2[[#This Row],[Comparable '#2 Return]]-INDEX(Benchmark1[Benchmark '#1 Return],MATCH(Comp2[[#This Row],[Comparable '#2 Dates]],Benchmark1[Benchmark '#1 Dates],0)),"-")</f>
        <v>8.5967684641576215E-3</v>
      </c>
      <c r="L575" s="72">
        <f>Comp2[[#This Row],[Comparable '#2 Price]]/$B$2*100</f>
        <v>53.219315895372233</v>
      </c>
    </row>
    <row r="576" spans="1:12">
      <c r="A576" s="96">
        <v>44118</v>
      </c>
      <c r="B576" s="101">
        <v>26.93</v>
      </c>
      <c r="C576" s="4">
        <f t="shared" si="16"/>
        <v>1.7984748519199192E-2</v>
      </c>
      <c r="D576" s="1">
        <f>IFERROR(Comp2[[#This Row],[Comparable '#2 Return]]+1,"-")</f>
        <v>1.0179847485191993</v>
      </c>
      <c r="E576" s="6">
        <f>B576-MAX($B$2:B576)</f>
        <v>-31.229999999999997</v>
      </c>
      <c r="F576" s="80">
        <f t="shared" si="17"/>
        <v>483</v>
      </c>
      <c r="G576" s="77">
        <f>Comp2[[#This Row],[Comparable '#2 Drawdown]]/MAX($B$2:B576)</f>
        <v>-0.53696698762035766</v>
      </c>
      <c r="H576" s="1" t="str">
        <f>IF(SUM(COUNTIF(Benchmark1[Benchmark '#1 Dates],Comp2[[#This Row],[Comparable '#2 Dates]]),COUNTIF(Benchmark2[Benchmark '#2 Dates],Comp2[[#This Row],[Comparable '#2 Dates]]))=2,"Pass","Fail")</f>
        <v>Pass</v>
      </c>
      <c r="I576" s="1">
        <f>IFERROR(Comp2[[#This Row],[Comparable '#2 Return]]-INDEX(Benchmark1[Benchmark '#1 Return],MATCH(Comp2[[#This Row],[Comparable '#2 Dates]],Benchmark1[Benchmark '#1 Dates],0)),"-")</f>
        <v>2.4631028561308034E-2</v>
      </c>
      <c r="L576" s="72">
        <f>Comp2[[#This Row],[Comparable '#2 Price]]/$B$2*100</f>
        <v>54.185110663983906</v>
      </c>
    </row>
    <row r="577" spans="1:12">
      <c r="A577" s="96">
        <v>44119</v>
      </c>
      <c r="B577" s="101">
        <v>27.4</v>
      </c>
      <c r="C577" s="4">
        <f t="shared" si="16"/>
        <v>1.7302106570516923E-2</v>
      </c>
      <c r="D577" s="1">
        <f>IFERROR(Comp2[[#This Row],[Comparable '#2 Return]]+1,"-")</f>
        <v>1.017302106570517</v>
      </c>
      <c r="E577" s="6">
        <f>B577-MAX($B$2:B577)</f>
        <v>-30.759999999999998</v>
      </c>
      <c r="F577" s="80">
        <f t="shared" si="17"/>
        <v>484</v>
      </c>
      <c r="G577" s="77">
        <f>Comp2[[#This Row],[Comparable '#2 Drawdown]]/MAX($B$2:B577)</f>
        <v>-0.52888583218707019</v>
      </c>
      <c r="H577" s="1" t="str">
        <f>IF(SUM(COUNTIF(Benchmark1[Benchmark '#1 Dates],Comp2[[#This Row],[Comparable '#2 Dates]]),COUNTIF(Benchmark2[Benchmark '#2 Dates],Comp2[[#This Row],[Comparable '#2 Dates]]))=2,"Pass","Fail")</f>
        <v>Pass</v>
      </c>
      <c r="I577" s="1">
        <f>IFERROR(Comp2[[#This Row],[Comparable '#2 Return]]-INDEX(Benchmark1[Benchmark '#1 Return],MATCH(Comp2[[#This Row],[Comparable '#2 Dates]],Benchmark1[Benchmark '#1 Dates],0)),"-")</f>
        <v>1.8829548433031466E-2</v>
      </c>
      <c r="L577" s="72">
        <f>Comp2[[#This Row],[Comparable '#2 Price]]/$B$2*100</f>
        <v>55.130784708249493</v>
      </c>
    </row>
    <row r="578" spans="1:12">
      <c r="A578" s="96">
        <v>44120</v>
      </c>
      <c r="B578" s="101">
        <v>26.6</v>
      </c>
      <c r="C578" s="4">
        <f t="shared" ref="C578:C641" si="18">IFERROR(IF(B578="","-",LN(B578/B577)),"-")</f>
        <v>-2.9631797606371E-2</v>
      </c>
      <c r="D578" s="1">
        <f>IFERROR(Comp2[[#This Row],[Comparable '#2 Return]]+1,"-")</f>
        <v>0.97036820239362898</v>
      </c>
      <c r="E578" s="6">
        <f>B578-MAX($B$2:B578)</f>
        <v>-31.559999999999995</v>
      </c>
      <c r="F578" s="80">
        <f t="shared" ref="F578:F641" si="19">IF(E578=0,0,F577+1)</f>
        <v>485</v>
      </c>
      <c r="G578" s="77">
        <f>Comp2[[#This Row],[Comparable '#2 Drawdown]]/MAX($B$2:B578)</f>
        <v>-0.54264099037138924</v>
      </c>
      <c r="H578" s="1" t="str">
        <f>IF(SUM(COUNTIF(Benchmark1[Benchmark '#1 Dates],Comp2[[#This Row],[Comparable '#2 Dates]]),COUNTIF(Benchmark2[Benchmark '#2 Dates],Comp2[[#This Row],[Comparable '#2 Dates]]))=2,"Pass","Fail")</f>
        <v>Pass</v>
      </c>
      <c r="I578" s="1">
        <f>IFERROR(Comp2[[#This Row],[Comparable '#2 Return]]-INDEX(Benchmark1[Benchmark '#1 Return],MATCH(Comp2[[#This Row],[Comparable '#2 Dates]],Benchmark1[Benchmark '#1 Dates],0)),"-")</f>
        <v>-2.9765701536631127E-2</v>
      </c>
      <c r="L578" s="72">
        <f>Comp2[[#This Row],[Comparable '#2 Price]]/$B$2*100</f>
        <v>53.521126760563376</v>
      </c>
    </row>
    <row r="579" spans="1:12">
      <c r="A579" s="96">
        <v>44123</v>
      </c>
      <c r="B579" s="101">
        <v>26.32</v>
      </c>
      <c r="C579" s="4">
        <f t="shared" si="18"/>
        <v>-1.0582109330536972E-2</v>
      </c>
      <c r="D579" s="1">
        <f>IFERROR(Comp2[[#This Row],[Comparable '#2 Return]]+1,"-")</f>
        <v>0.98941789066946306</v>
      </c>
      <c r="E579" s="6">
        <f>B579-MAX($B$2:B579)</f>
        <v>-31.839999999999996</v>
      </c>
      <c r="F579" s="80">
        <f t="shared" si="19"/>
        <v>486</v>
      </c>
      <c r="G579" s="77">
        <f>Comp2[[#This Row],[Comparable '#2 Drawdown]]/MAX($B$2:B579)</f>
        <v>-0.5474552957359009</v>
      </c>
      <c r="H579" s="1" t="str">
        <f>IF(SUM(COUNTIF(Benchmark1[Benchmark '#1 Dates],Comp2[[#This Row],[Comparable '#2 Dates]]),COUNTIF(Benchmark2[Benchmark '#2 Dates],Comp2[[#This Row],[Comparable '#2 Dates]]))=2,"Pass","Fail")</f>
        <v>Pass</v>
      </c>
      <c r="I579" s="1">
        <f>IFERROR(Comp2[[#This Row],[Comparable '#2 Return]]-INDEX(Benchmark1[Benchmark '#1 Return],MATCH(Comp2[[#This Row],[Comparable '#2 Dates]],Benchmark1[Benchmark '#1 Dates],0)),"-")</f>
        <v>5.8807034676163147E-3</v>
      </c>
      <c r="L579" s="72">
        <f>Comp2[[#This Row],[Comparable '#2 Price]]/$B$2*100</f>
        <v>52.957746478873233</v>
      </c>
    </row>
    <row r="580" spans="1:12">
      <c r="A580" s="96">
        <v>44124</v>
      </c>
      <c r="B580" s="101">
        <v>26.83</v>
      </c>
      <c r="C580" s="4">
        <f t="shared" si="18"/>
        <v>1.9191557980416298E-2</v>
      </c>
      <c r="D580" s="1">
        <f>IFERROR(Comp2[[#This Row],[Comparable '#2 Return]]+1,"-")</f>
        <v>1.0191915579804163</v>
      </c>
      <c r="E580" s="6">
        <f>B580-MAX($B$2:B580)</f>
        <v>-31.33</v>
      </c>
      <c r="F580" s="80">
        <f t="shared" si="19"/>
        <v>487</v>
      </c>
      <c r="G580" s="77">
        <f>Comp2[[#This Row],[Comparable '#2 Drawdown]]/MAX($B$2:B580)</f>
        <v>-0.5386863823933975</v>
      </c>
      <c r="H580" s="1" t="str">
        <f>IF(SUM(COUNTIF(Benchmark1[Benchmark '#1 Dates],Comp2[[#This Row],[Comparable '#2 Dates]]),COUNTIF(Benchmark2[Benchmark '#2 Dates],Comp2[[#This Row],[Comparable '#2 Dates]]))=2,"Pass","Fail")</f>
        <v>Pass</v>
      </c>
      <c r="I580" s="1">
        <f>IFERROR(Comp2[[#This Row],[Comparable '#2 Return]]-INDEX(Benchmark1[Benchmark '#1 Return],MATCH(Comp2[[#This Row],[Comparable '#2 Dates]],Benchmark1[Benchmark '#1 Dates],0)),"-")</f>
        <v>1.4477552291478787E-2</v>
      </c>
      <c r="L580" s="72">
        <f>Comp2[[#This Row],[Comparable '#2 Price]]/$B$2*100</f>
        <v>53.983903420523127</v>
      </c>
    </row>
    <row r="581" spans="1:12">
      <c r="A581" s="96">
        <v>44125</v>
      </c>
      <c r="B581" s="101">
        <v>26.87</v>
      </c>
      <c r="C581" s="4">
        <f t="shared" si="18"/>
        <v>1.4897581898671022E-3</v>
      </c>
      <c r="D581" s="1">
        <f>IFERROR(Comp2[[#This Row],[Comparable '#2 Return]]+1,"-")</f>
        <v>1.0014897581898672</v>
      </c>
      <c r="E581" s="6">
        <f>B581-MAX($B$2:B581)</f>
        <v>-31.289999999999996</v>
      </c>
      <c r="F581" s="80">
        <f t="shared" si="19"/>
        <v>488</v>
      </c>
      <c r="G581" s="77">
        <f>Comp2[[#This Row],[Comparable '#2 Drawdown]]/MAX($B$2:B581)</f>
        <v>-0.53799862448418156</v>
      </c>
      <c r="H581" s="1" t="str">
        <f>IF(SUM(COUNTIF(Benchmark1[Benchmark '#1 Dates],Comp2[[#This Row],[Comparable '#2 Dates]]),COUNTIF(Benchmark2[Benchmark '#2 Dates],Comp2[[#This Row],[Comparable '#2 Dates]]))=2,"Pass","Fail")</f>
        <v>Pass</v>
      </c>
      <c r="I581" s="1">
        <f>IFERROR(Comp2[[#This Row],[Comparable '#2 Return]]-INDEX(Benchmark1[Benchmark '#1 Return],MATCH(Comp2[[#This Row],[Comparable '#2 Dates]],Benchmark1[Benchmark '#1 Dates],0)),"-")</f>
        <v>3.6882352970694426E-3</v>
      </c>
      <c r="L581" s="72">
        <f>Comp2[[#This Row],[Comparable '#2 Price]]/$B$2*100</f>
        <v>54.064386317907442</v>
      </c>
    </row>
    <row r="582" spans="1:12">
      <c r="A582" s="96">
        <v>44126</v>
      </c>
      <c r="B582" s="101">
        <v>27.24</v>
      </c>
      <c r="C582" s="4">
        <f t="shared" si="18"/>
        <v>1.3676058653911758E-2</v>
      </c>
      <c r="D582" s="1">
        <f>IFERROR(Comp2[[#This Row],[Comparable '#2 Return]]+1,"-")</f>
        <v>1.0136760586539117</v>
      </c>
      <c r="E582" s="6">
        <f>B582-MAX($B$2:B582)</f>
        <v>-30.919999999999998</v>
      </c>
      <c r="F582" s="80">
        <f t="shared" si="19"/>
        <v>489</v>
      </c>
      <c r="G582" s="77">
        <f>Comp2[[#This Row],[Comparable '#2 Drawdown]]/MAX($B$2:B582)</f>
        <v>-0.53163686382393394</v>
      </c>
      <c r="H582" s="1" t="str">
        <f>IF(SUM(COUNTIF(Benchmark1[Benchmark '#1 Dates],Comp2[[#This Row],[Comparable '#2 Dates]]),COUNTIF(Benchmark2[Benchmark '#2 Dates],Comp2[[#This Row],[Comparable '#2 Dates]]))=2,"Pass","Fail")</f>
        <v>Pass</v>
      </c>
      <c r="I582" s="1">
        <f>IFERROR(Comp2[[#This Row],[Comparable '#2 Return]]-INDEX(Benchmark1[Benchmark '#1 Return],MATCH(Comp2[[#This Row],[Comparable '#2 Dates]],Benchmark1[Benchmark '#1 Dates],0)),"-")</f>
        <v>8.4693114214629169E-3</v>
      </c>
      <c r="L582" s="72">
        <f>Comp2[[#This Row],[Comparable '#2 Price]]/$B$2*100</f>
        <v>54.808853118712264</v>
      </c>
    </row>
    <row r="583" spans="1:12">
      <c r="A583" s="96">
        <v>44127</v>
      </c>
      <c r="B583" s="101">
        <v>26.93</v>
      </c>
      <c r="C583" s="4">
        <f t="shared" si="18"/>
        <v>-1.1445574457803998E-2</v>
      </c>
      <c r="D583" s="1">
        <f>IFERROR(Comp2[[#This Row],[Comparable '#2 Return]]+1,"-")</f>
        <v>0.98855442554219597</v>
      </c>
      <c r="E583" s="6">
        <f>B583-MAX($B$2:B583)</f>
        <v>-31.229999999999997</v>
      </c>
      <c r="F583" s="80">
        <f t="shared" si="19"/>
        <v>490</v>
      </c>
      <c r="G583" s="77">
        <f>Comp2[[#This Row],[Comparable '#2 Drawdown]]/MAX($B$2:B583)</f>
        <v>-0.53696698762035766</v>
      </c>
      <c r="H583" s="1" t="str">
        <f>IF(SUM(COUNTIF(Benchmark1[Benchmark '#1 Dates],Comp2[[#This Row],[Comparable '#2 Dates]]),COUNTIF(Benchmark2[Benchmark '#2 Dates],Comp2[[#This Row],[Comparable '#2 Dates]]))=2,"Pass","Fail")</f>
        <v>Pass</v>
      </c>
      <c r="I583" s="1">
        <f>IFERROR(Comp2[[#This Row],[Comparable '#2 Return]]-INDEX(Benchmark1[Benchmark '#1 Return],MATCH(Comp2[[#This Row],[Comparable '#2 Dates]],Benchmark1[Benchmark '#1 Dates],0)),"-")</f>
        <v>-1.4884585186554966E-2</v>
      </c>
      <c r="L583" s="72">
        <f>Comp2[[#This Row],[Comparable '#2 Price]]/$B$2*100</f>
        <v>54.185110663983906</v>
      </c>
    </row>
    <row r="584" spans="1:12">
      <c r="A584" s="96">
        <v>44130</v>
      </c>
      <c r="B584" s="101">
        <v>26.6</v>
      </c>
      <c r="C584" s="4">
        <f t="shared" si="18"/>
        <v>-1.2329691035854032E-2</v>
      </c>
      <c r="D584" s="1">
        <f>IFERROR(Comp2[[#This Row],[Comparable '#2 Return]]+1,"-")</f>
        <v>0.98767030896414598</v>
      </c>
      <c r="E584" s="6">
        <f>B584-MAX($B$2:B584)</f>
        <v>-31.559999999999995</v>
      </c>
      <c r="F584" s="80">
        <f t="shared" si="19"/>
        <v>491</v>
      </c>
      <c r="G584" s="77">
        <f>Comp2[[#This Row],[Comparable '#2 Drawdown]]/MAX($B$2:B584)</f>
        <v>-0.54264099037138924</v>
      </c>
      <c r="H584" s="1" t="str">
        <f>IF(SUM(COUNTIF(Benchmark1[Benchmark '#1 Dates],Comp2[[#This Row],[Comparable '#2 Dates]]),COUNTIF(Benchmark2[Benchmark '#2 Dates],Comp2[[#This Row],[Comparable '#2 Dates]]))=2,"Pass","Fail")</f>
        <v>Pass</v>
      </c>
      <c r="I584" s="1">
        <f>IFERROR(Comp2[[#This Row],[Comparable '#2 Return]]-INDEX(Benchmark1[Benchmark '#1 Return],MATCH(Comp2[[#This Row],[Comparable '#2 Dates]],Benchmark1[Benchmark '#1 Dates],0)),"-")</f>
        <v>6.4345308072186296E-3</v>
      </c>
      <c r="L584" s="72">
        <f>Comp2[[#This Row],[Comparable '#2 Price]]/$B$2*100</f>
        <v>53.521126760563376</v>
      </c>
    </row>
    <row r="585" spans="1:12">
      <c r="A585" s="96">
        <v>44131</v>
      </c>
      <c r="B585" s="101">
        <v>25.25</v>
      </c>
      <c r="C585" s="4">
        <f t="shared" si="18"/>
        <v>-5.2085060066284661E-2</v>
      </c>
      <c r="D585" s="1">
        <f>IFERROR(Comp2[[#This Row],[Comparable '#2 Return]]+1,"-")</f>
        <v>0.94791493993371534</v>
      </c>
      <c r="E585" s="6">
        <f>B585-MAX($B$2:B585)</f>
        <v>-32.909999999999997</v>
      </c>
      <c r="F585" s="80">
        <f t="shared" si="19"/>
        <v>492</v>
      </c>
      <c r="G585" s="77">
        <f>Comp2[[#This Row],[Comparable '#2 Drawdown]]/MAX($B$2:B585)</f>
        <v>-0.56585281980742774</v>
      </c>
      <c r="H585" s="1" t="str">
        <f>IF(SUM(COUNTIF(Benchmark1[Benchmark '#1 Dates],Comp2[[#This Row],[Comparable '#2 Dates]]),COUNTIF(Benchmark2[Benchmark '#2 Dates],Comp2[[#This Row],[Comparable '#2 Dates]]))=2,"Pass","Fail")</f>
        <v>Pass</v>
      </c>
      <c r="I585" s="1">
        <f>IFERROR(Comp2[[#This Row],[Comparable '#2 Return]]-INDEX(Benchmark1[Benchmark '#1 Return],MATCH(Comp2[[#This Row],[Comparable '#2 Dates]],Benchmark1[Benchmark '#1 Dates],0)),"-")</f>
        <v>-4.9056702079587317E-2</v>
      </c>
      <c r="L585" s="72">
        <f>Comp2[[#This Row],[Comparable '#2 Price]]/$B$2*100</f>
        <v>50.804828973843051</v>
      </c>
    </row>
    <row r="586" spans="1:12">
      <c r="A586" s="96">
        <v>44132</v>
      </c>
      <c r="B586" s="101">
        <v>23.61</v>
      </c>
      <c r="C586" s="4">
        <f t="shared" si="18"/>
        <v>-6.7155804623947338E-2</v>
      </c>
      <c r="D586" s="1">
        <f>IFERROR(Comp2[[#This Row],[Comparable '#2 Return]]+1,"-")</f>
        <v>0.93284419537605268</v>
      </c>
      <c r="E586" s="6">
        <f>B586-MAX($B$2:B586)</f>
        <v>-34.549999999999997</v>
      </c>
      <c r="F586" s="80">
        <f t="shared" si="19"/>
        <v>493</v>
      </c>
      <c r="G586" s="77">
        <f>Comp2[[#This Row],[Comparable '#2 Drawdown]]/MAX($B$2:B586)</f>
        <v>-0.594050894085282</v>
      </c>
      <c r="H586" s="1" t="str">
        <f>IF(SUM(COUNTIF(Benchmark1[Benchmark '#1 Dates],Comp2[[#This Row],[Comparable '#2 Dates]]),COUNTIF(Benchmark2[Benchmark '#2 Dates],Comp2[[#This Row],[Comparable '#2 Dates]]))=2,"Pass","Fail")</f>
        <v>Pass</v>
      </c>
      <c r="I586" s="1">
        <f>IFERROR(Comp2[[#This Row],[Comparable '#2 Return]]-INDEX(Benchmark1[Benchmark '#1 Return],MATCH(Comp2[[#This Row],[Comparable '#2 Dates]],Benchmark1[Benchmark '#1 Dates],0)),"-")</f>
        <v>-3.1228128115602306E-2</v>
      </c>
      <c r="L586" s="72">
        <f>Comp2[[#This Row],[Comparable '#2 Price]]/$B$2*100</f>
        <v>47.505030181086518</v>
      </c>
    </row>
    <row r="587" spans="1:12">
      <c r="A587" s="96">
        <v>44133</v>
      </c>
      <c r="B587" s="101">
        <v>23.9</v>
      </c>
      <c r="C587" s="4">
        <f t="shared" si="18"/>
        <v>1.2208107840043362E-2</v>
      </c>
      <c r="D587" s="1">
        <f>IFERROR(Comp2[[#This Row],[Comparable '#2 Return]]+1,"-")</f>
        <v>1.0122081078400433</v>
      </c>
      <c r="E587" s="6">
        <f>B587-MAX($B$2:B587)</f>
        <v>-34.26</v>
      </c>
      <c r="F587" s="80">
        <f t="shared" si="19"/>
        <v>494</v>
      </c>
      <c r="G587" s="77">
        <f>Comp2[[#This Row],[Comparable '#2 Drawdown]]/MAX($B$2:B587)</f>
        <v>-0.58906464924346635</v>
      </c>
      <c r="H587" s="1" t="str">
        <f>IF(SUM(COUNTIF(Benchmark1[Benchmark '#1 Dates],Comp2[[#This Row],[Comparable '#2 Dates]]),COUNTIF(Benchmark2[Benchmark '#2 Dates],Comp2[[#This Row],[Comparable '#2 Dates]]))=2,"Pass","Fail")</f>
        <v>Pass</v>
      </c>
      <c r="I587" s="1">
        <f>IFERROR(Comp2[[#This Row],[Comparable '#2 Return]]-INDEX(Benchmark1[Benchmark '#1 Return],MATCH(Comp2[[#This Row],[Comparable '#2 Dates]],Benchmark1[Benchmark '#1 Dates],0)),"-")</f>
        <v>3.2996066266573025E-4</v>
      </c>
      <c r="L587" s="72">
        <f>Comp2[[#This Row],[Comparable '#2 Price]]/$B$2*100</f>
        <v>48.088531187122726</v>
      </c>
    </row>
    <row r="588" spans="1:12">
      <c r="A588" s="96">
        <v>44134</v>
      </c>
      <c r="B588" s="101">
        <v>23.44</v>
      </c>
      <c r="C588" s="4">
        <f t="shared" si="18"/>
        <v>-1.9434494228652975E-2</v>
      </c>
      <c r="D588" s="1">
        <f>IFERROR(Comp2[[#This Row],[Comparable '#2 Return]]+1,"-")</f>
        <v>0.98056550577134705</v>
      </c>
      <c r="E588" s="6">
        <f>B588-MAX($B$2:B588)</f>
        <v>-34.72</v>
      </c>
      <c r="F588" s="80">
        <f t="shared" si="19"/>
        <v>495</v>
      </c>
      <c r="G588" s="77">
        <f>Comp2[[#This Row],[Comparable '#2 Drawdown]]/MAX($B$2:B588)</f>
        <v>-0.59697386519944984</v>
      </c>
      <c r="H588" s="1" t="str">
        <f>IF(SUM(COUNTIF(Benchmark1[Benchmark '#1 Dates],Comp2[[#This Row],[Comparable '#2 Dates]]),COUNTIF(Benchmark2[Benchmark '#2 Dates],Comp2[[#This Row],[Comparable '#2 Dates]]))=2,"Pass","Fail")</f>
        <v>Pass</v>
      </c>
      <c r="I588" s="1">
        <f>IFERROR(Comp2[[#This Row],[Comparable '#2 Return]]-INDEX(Benchmark1[Benchmark '#1 Return],MATCH(Comp2[[#This Row],[Comparable '#2 Dates]],Benchmark1[Benchmark '#1 Dates],0)),"-")</f>
        <v>-7.2296992876409085E-3</v>
      </c>
      <c r="L588" s="72">
        <f>Comp2[[#This Row],[Comparable '#2 Price]]/$B$2*100</f>
        <v>47.162977867203217</v>
      </c>
    </row>
    <row r="589" spans="1:12">
      <c r="A589" s="96">
        <v>44137</v>
      </c>
      <c r="B589" s="101">
        <v>23.49</v>
      </c>
      <c r="C589" s="4">
        <f t="shared" si="18"/>
        <v>2.1308339620095072E-3</v>
      </c>
      <c r="D589" s="1">
        <f>IFERROR(Comp2[[#This Row],[Comparable '#2 Return]]+1,"-")</f>
        <v>1.0021308339620094</v>
      </c>
      <c r="E589" s="6">
        <f>B589-MAX($B$2:B589)</f>
        <v>-34.67</v>
      </c>
      <c r="F589" s="80">
        <f t="shared" si="19"/>
        <v>496</v>
      </c>
      <c r="G589" s="77">
        <f>Comp2[[#This Row],[Comparable '#2 Drawdown]]/MAX($B$2:B589)</f>
        <v>-0.59611416781292992</v>
      </c>
      <c r="H589" s="1" t="str">
        <f>IF(SUM(COUNTIF(Benchmark1[Benchmark '#1 Dates],Comp2[[#This Row],[Comparable '#2 Dates]]),COUNTIF(Benchmark2[Benchmark '#2 Dates],Comp2[[#This Row],[Comparable '#2 Dates]]))=2,"Pass","Fail")</f>
        <v>Pass</v>
      </c>
      <c r="I589" s="1">
        <f>IFERROR(Comp2[[#This Row],[Comparable '#2 Return]]-INDEX(Benchmark1[Benchmark '#1 Return],MATCH(Comp2[[#This Row],[Comparable '#2 Dates]],Benchmark1[Benchmark '#1 Dates],0)),"-")</f>
        <v>-1.0112820860249653E-2</v>
      </c>
      <c r="L589" s="72">
        <f>Comp2[[#This Row],[Comparable '#2 Price]]/$B$2*100</f>
        <v>47.263581488933596</v>
      </c>
    </row>
    <row r="590" spans="1:12">
      <c r="A590" s="96">
        <v>44138</v>
      </c>
      <c r="B590" s="101">
        <v>24.23</v>
      </c>
      <c r="C590" s="4">
        <f t="shared" si="18"/>
        <v>3.1016736157612933E-2</v>
      </c>
      <c r="D590" s="1">
        <f>IFERROR(Comp2[[#This Row],[Comparable '#2 Return]]+1,"-")</f>
        <v>1.031016736157613</v>
      </c>
      <c r="E590" s="6">
        <f>B590-MAX($B$2:B590)</f>
        <v>-33.929999999999993</v>
      </c>
      <c r="F590" s="80">
        <f t="shared" si="19"/>
        <v>497</v>
      </c>
      <c r="G590" s="77">
        <f>Comp2[[#This Row],[Comparable '#2 Drawdown]]/MAX($B$2:B590)</f>
        <v>-0.58339064649243455</v>
      </c>
      <c r="H590" s="1" t="str">
        <f>IF(SUM(COUNTIF(Benchmark1[Benchmark '#1 Dates],Comp2[[#This Row],[Comparable '#2 Dates]]),COUNTIF(Benchmark2[Benchmark '#2 Dates],Comp2[[#This Row],[Comparable '#2 Dates]]))=2,"Pass","Fail")</f>
        <v>Pass</v>
      </c>
      <c r="I590" s="1">
        <f>IFERROR(Comp2[[#This Row],[Comparable '#2 Return]]-INDEX(Benchmark1[Benchmark '#1 Return],MATCH(Comp2[[#This Row],[Comparable '#2 Dates]],Benchmark1[Benchmark '#1 Dates],0)),"-")</f>
        <v>1.3375411949901259E-2</v>
      </c>
      <c r="L590" s="72">
        <f>Comp2[[#This Row],[Comparable '#2 Price]]/$B$2*100</f>
        <v>48.752515090543255</v>
      </c>
    </row>
    <row r="591" spans="1:12">
      <c r="A591" s="96">
        <v>44139</v>
      </c>
      <c r="B591" s="101">
        <v>25.1</v>
      </c>
      <c r="C591" s="4">
        <f t="shared" si="18"/>
        <v>3.5276311309303796E-2</v>
      </c>
      <c r="D591" s="1">
        <f>IFERROR(Comp2[[#This Row],[Comparable '#2 Return]]+1,"-")</f>
        <v>1.0352763113093038</v>
      </c>
      <c r="E591" s="6">
        <f>B591-MAX($B$2:B591)</f>
        <v>-33.059999999999995</v>
      </c>
      <c r="F591" s="80">
        <f t="shared" si="19"/>
        <v>498</v>
      </c>
      <c r="G591" s="77">
        <f>Comp2[[#This Row],[Comparable '#2 Drawdown]]/MAX($B$2:B591)</f>
        <v>-0.56843191196698761</v>
      </c>
      <c r="H591" s="1" t="str">
        <f>IF(SUM(COUNTIF(Benchmark1[Benchmark '#1 Dates],Comp2[[#This Row],[Comparable '#2 Dates]]),COUNTIF(Benchmark2[Benchmark '#2 Dates],Comp2[[#This Row],[Comparable '#2 Dates]]))=2,"Pass","Fail")</f>
        <v>Pass</v>
      </c>
      <c r="I591" s="1">
        <f>IFERROR(Comp2[[#This Row],[Comparable '#2 Return]]-INDEX(Benchmark1[Benchmark '#1 Return],MATCH(Comp2[[#This Row],[Comparable '#2 Dates]],Benchmark1[Benchmark '#1 Dates],0)),"-")</f>
        <v>1.3468641603374909E-2</v>
      </c>
      <c r="L591" s="72">
        <f>Comp2[[#This Row],[Comparable '#2 Price]]/$B$2*100</f>
        <v>50.503018108651908</v>
      </c>
    </row>
    <row r="592" spans="1:12">
      <c r="A592" s="96">
        <v>44140</v>
      </c>
      <c r="B592" s="101">
        <v>24.18</v>
      </c>
      <c r="C592" s="4">
        <f t="shared" si="18"/>
        <v>-3.7342000951091692E-2</v>
      </c>
      <c r="D592" s="1">
        <f>IFERROR(Comp2[[#This Row],[Comparable '#2 Return]]+1,"-")</f>
        <v>0.96265799904890836</v>
      </c>
      <c r="E592" s="6">
        <f>B592-MAX($B$2:B592)</f>
        <v>-33.979999999999997</v>
      </c>
      <c r="F592" s="80">
        <f t="shared" si="19"/>
        <v>499</v>
      </c>
      <c r="G592" s="77">
        <f>Comp2[[#This Row],[Comparable '#2 Drawdown]]/MAX($B$2:B592)</f>
        <v>-0.58425034387895458</v>
      </c>
      <c r="H592" s="1" t="str">
        <f>IF(SUM(COUNTIF(Benchmark1[Benchmark '#1 Dates],Comp2[[#This Row],[Comparable '#2 Dates]]),COUNTIF(Benchmark2[Benchmark '#2 Dates],Comp2[[#This Row],[Comparable '#2 Dates]]))=2,"Pass","Fail")</f>
        <v>Pass</v>
      </c>
      <c r="I592" s="1">
        <f>IFERROR(Comp2[[#This Row],[Comparable '#2 Return]]-INDEX(Benchmark1[Benchmark '#1 Return],MATCH(Comp2[[#This Row],[Comparable '#2 Dates]],Benchmark1[Benchmark '#1 Dates],0)),"-")</f>
        <v>-5.6615416767144808E-2</v>
      </c>
      <c r="L592" s="72">
        <f>Comp2[[#This Row],[Comparable '#2 Price]]/$B$2*100</f>
        <v>48.651911468812877</v>
      </c>
    </row>
    <row r="593" spans="1:12">
      <c r="A593" s="96">
        <v>44141</v>
      </c>
      <c r="B593" s="101">
        <v>26.03</v>
      </c>
      <c r="C593" s="4">
        <f t="shared" si="18"/>
        <v>7.3723873819827396E-2</v>
      </c>
      <c r="D593" s="1">
        <f>IFERROR(Comp2[[#This Row],[Comparable '#2 Return]]+1,"-")</f>
        <v>1.0737238738198274</v>
      </c>
      <c r="E593" s="6">
        <f>B593-MAX($B$2:B593)</f>
        <v>-32.129999999999995</v>
      </c>
      <c r="F593" s="80">
        <f t="shared" si="19"/>
        <v>500</v>
      </c>
      <c r="G593" s="77">
        <f>Comp2[[#This Row],[Comparable '#2 Drawdown]]/MAX($B$2:B593)</f>
        <v>-0.55244154057771655</v>
      </c>
      <c r="H593" s="1" t="str">
        <f>IF(SUM(COUNTIF(Benchmark1[Benchmark '#1 Dates],Comp2[[#This Row],[Comparable '#2 Dates]]),COUNTIF(Benchmark2[Benchmark '#2 Dates],Comp2[[#This Row],[Comparable '#2 Dates]]))=2,"Pass","Fail")</f>
        <v>Pass</v>
      </c>
      <c r="I593" s="1">
        <f>IFERROR(Comp2[[#This Row],[Comparable '#2 Return]]-INDEX(Benchmark1[Benchmark '#1 Return],MATCH(Comp2[[#This Row],[Comparable '#2 Dates]],Benchmark1[Benchmark '#1 Dates],0)),"-")</f>
        <v>7.4011932754683304E-2</v>
      </c>
      <c r="L593" s="72">
        <f>Comp2[[#This Row],[Comparable '#2 Price]]/$B$2*100</f>
        <v>52.374245472837025</v>
      </c>
    </row>
    <row r="594" spans="1:12">
      <c r="A594" s="96">
        <v>44144</v>
      </c>
      <c r="B594" s="101">
        <v>26.77</v>
      </c>
      <c r="C594" s="4">
        <f t="shared" si="18"/>
        <v>2.803213852578704E-2</v>
      </c>
      <c r="D594" s="1">
        <f>IFERROR(Comp2[[#This Row],[Comparable '#2 Return]]+1,"-")</f>
        <v>1.0280321385257871</v>
      </c>
      <c r="E594" s="6">
        <f>B594-MAX($B$2:B594)</f>
        <v>-31.389999999999997</v>
      </c>
      <c r="F594" s="80">
        <f t="shared" si="19"/>
        <v>501</v>
      </c>
      <c r="G594" s="77">
        <f>Comp2[[#This Row],[Comparable '#2 Drawdown]]/MAX($B$2:B594)</f>
        <v>-0.5397180192572214</v>
      </c>
      <c r="H594" s="1" t="str">
        <f>IF(SUM(COUNTIF(Benchmark1[Benchmark '#1 Dates],Comp2[[#This Row],[Comparable '#2 Dates]]),COUNTIF(Benchmark2[Benchmark '#2 Dates],Comp2[[#This Row],[Comparable '#2 Dates]]))=2,"Pass","Fail")</f>
        <v>Pass</v>
      </c>
      <c r="I594" s="1">
        <f>IFERROR(Comp2[[#This Row],[Comparable '#2 Return]]-INDEX(Benchmark1[Benchmark '#1 Return],MATCH(Comp2[[#This Row],[Comparable '#2 Dates]],Benchmark1[Benchmark '#1 Dates],0)),"-")</f>
        <v>1.6399342088127909E-2</v>
      </c>
      <c r="L594" s="72">
        <f>Comp2[[#This Row],[Comparable '#2 Price]]/$B$2*100</f>
        <v>53.863179074446677</v>
      </c>
    </row>
    <row r="595" spans="1:12">
      <c r="A595" s="96">
        <v>44145</v>
      </c>
      <c r="B595" s="101">
        <v>27.85</v>
      </c>
      <c r="C595" s="4">
        <f t="shared" si="18"/>
        <v>3.955110884103194E-2</v>
      </c>
      <c r="D595" s="1">
        <f>IFERROR(Comp2[[#This Row],[Comparable '#2 Return]]+1,"-")</f>
        <v>1.0395511088410319</v>
      </c>
      <c r="E595" s="6">
        <f>B595-MAX($B$2:B595)</f>
        <v>-30.309999999999995</v>
      </c>
      <c r="F595" s="80">
        <f t="shared" si="19"/>
        <v>502</v>
      </c>
      <c r="G595" s="77">
        <f>Comp2[[#This Row],[Comparable '#2 Drawdown]]/MAX($B$2:B595)</f>
        <v>-0.52114855570839058</v>
      </c>
      <c r="H595" s="1" t="str">
        <f>IF(SUM(COUNTIF(Benchmark1[Benchmark '#1 Dates],Comp2[[#This Row],[Comparable '#2 Dates]]),COUNTIF(Benchmark2[Benchmark '#2 Dates],Comp2[[#This Row],[Comparable '#2 Dates]]))=2,"Pass","Fail")</f>
        <v>Pass</v>
      </c>
      <c r="I595" s="1">
        <f>IFERROR(Comp2[[#This Row],[Comparable '#2 Return]]-INDEX(Benchmark1[Benchmark '#1 Return],MATCH(Comp2[[#This Row],[Comparable '#2 Dates]],Benchmark1[Benchmark '#1 Dates],0)),"-")</f>
        <v>4.0950847289929211E-2</v>
      </c>
      <c r="L595" s="72">
        <f>Comp2[[#This Row],[Comparable '#2 Price]]/$B$2*100</f>
        <v>56.03621730382293</v>
      </c>
    </row>
    <row r="596" spans="1:12">
      <c r="A596" s="96">
        <v>44146</v>
      </c>
      <c r="B596" s="101">
        <v>27.94</v>
      </c>
      <c r="C596" s="4">
        <f t="shared" si="18"/>
        <v>3.2263874555227465E-3</v>
      </c>
      <c r="D596" s="1">
        <f>IFERROR(Comp2[[#This Row],[Comparable '#2 Return]]+1,"-")</f>
        <v>1.0032263874555227</v>
      </c>
      <c r="E596" s="6">
        <f>B596-MAX($B$2:B596)</f>
        <v>-30.219999999999995</v>
      </c>
      <c r="F596" s="80">
        <f t="shared" si="19"/>
        <v>503</v>
      </c>
      <c r="G596" s="77">
        <f>Comp2[[#This Row],[Comparable '#2 Drawdown]]/MAX($B$2:B596)</f>
        <v>-0.51960110041265473</v>
      </c>
      <c r="H596" s="1" t="str">
        <f>IF(SUM(COUNTIF(Benchmark1[Benchmark '#1 Dates],Comp2[[#This Row],[Comparable '#2 Dates]]),COUNTIF(Benchmark2[Benchmark '#2 Dates],Comp2[[#This Row],[Comparable '#2 Dates]]))=2,"Pass","Fail")</f>
        <v>Pass</v>
      </c>
      <c r="I596" s="1">
        <f>IFERROR(Comp2[[#This Row],[Comparable '#2 Return]]-INDEX(Benchmark1[Benchmark '#1 Return],MATCH(Comp2[[#This Row],[Comparable '#2 Dates]],Benchmark1[Benchmark '#1 Dates],0)),"-")</f>
        <v>-4.395599352563305E-3</v>
      </c>
      <c r="L596" s="72">
        <f>Comp2[[#This Row],[Comparable '#2 Price]]/$B$2*100</f>
        <v>56.217303822937623</v>
      </c>
    </row>
    <row r="597" spans="1:12">
      <c r="A597" s="96">
        <v>44147</v>
      </c>
      <c r="B597" s="101">
        <v>27.81</v>
      </c>
      <c r="C597" s="4">
        <f t="shared" si="18"/>
        <v>-4.6636855829423236E-3</v>
      </c>
      <c r="D597" s="1">
        <f>IFERROR(Comp2[[#This Row],[Comparable '#2 Return]]+1,"-")</f>
        <v>0.99533631441705772</v>
      </c>
      <c r="E597" s="6">
        <f>B597-MAX($B$2:B597)</f>
        <v>-30.349999999999998</v>
      </c>
      <c r="F597" s="80">
        <f t="shared" si="19"/>
        <v>504</v>
      </c>
      <c r="G597" s="77">
        <f>Comp2[[#This Row],[Comparable '#2 Drawdown]]/MAX($B$2:B597)</f>
        <v>-0.52183631361760663</v>
      </c>
      <c r="H597" s="1" t="str">
        <f>IF(SUM(COUNTIF(Benchmark1[Benchmark '#1 Dates],Comp2[[#This Row],[Comparable '#2 Dates]]),COUNTIF(Benchmark2[Benchmark '#2 Dates],Comp2[[#This Row],[Comparable '#2 Dates]]))=2,"Pass","Fail")</f>
        <v>Pass</v>
      </c>
      <c r="I597" s="1">
        <f>IFERROR(Comp2[[#This Row],[Comparable '#2 Return]]-INDEX(Benchmark1[Benchmark '#1 Return],MATCH(Comp2[[#This Row],[Comparable '#2 Dates]],Benchmark1[Benchmark '#1 Dates],0)),"-")</f>
        <v>5.3652473933144887E-3</v>
      </c>
      <c r="L597" s="72">
        <f>Comp2[[#This Row],[Comparable '#2 Price]]/$B$2*100</f>
        <v>55.95573440643863</v>
      </c>
    </row>
    <row r="598" spans="1:12">
      <c r="A598" s="96">
        <v>44148</v>
      </c>
      <c r="B598" s="101">
        <v>28.57</v>
      </c>
      <c r="C598" s="4">
        <f t="shared" si="18"/>
        <v>2.6961547996808177E-2</v>
      </c>
      <c r="D598" s="1">
        <f>IFERROR(Comp2[[#This Row],[Comparable '#2 Return]]+1,"-")</f>
        <v>1.0269615479968082</v>
      </c>
      <c r="E598" s="6">
        <f>B598-MAX($B$2:B598)</f>
        <v>-29.589999999999996</v>
      </c>
      <c r="F598" s="80">
        <f t="shared" si="19"/>
        <v>505</v>
      </c>
      <c r="G598" s="77">
        <f>Comp2[[#This Row],[Comparable '#2 Drawdown]]/MAX($B$2:B598)</f>
        <v>-0.5087689133425034</v>
      </c>
      <c r="H598" s="1" t="str">
        <f>IF(SUM(COUNTIF(Benchmark1[Benchmark '#1 Dates],Comp2[[#This Row],[Comparable '#2 Dates]]),COUNTIF(Benchmark2[Benchmark '#2 Dates],Comp2[[#This Row],[Comparable '#2 Dates]]))=2,"Pass","Fail")</f>
        <v>Pass</v>
      </c>
      <c r="I598" s="1">
        <f>IFERROR(Comp2[[#This Row],[Comparable '#2 Return]]-INDEX(Benchmark1[Benchmark '#1 Return],MATCH(Comp2[[#This Row],[Comparable '#2 Dates]],Benchmark1[Benchmark '#1 Dates],0)),"-")</f>
        <v>1.3441838167017066E-2</v>
      </c>
      <c r="L598" s="72">
        <f>Comp2[[#This Row],[Comparable '#2 Price]]/$B$2*100</f>
        <v>57.484909456740439</v>
      </c>
    </row>
    <row r="599" spans="1:12">
      <c r="A599" s="96">
        <v>44151</v>
      </c>
      <c r="B599" s="101">
        <v>28.8</v>
      </c>
      <c r="C599" s="4">
        <f t="shared" si="18"/>
        <v>8.0181708992185449E-3</v>
      </c>
      <c r="D599" s="1">
        <f>IFERROR(Comp2[[#This Row],[Comparable '#2 Return]]+1,"-")</f>
        <v>1.0080181708992186</v>
      </c>
      <c r="E599" s="6">
        <f>B599-MAX($B$2:B599)</f>
        <v>-29.359999999999996</v>
      </c>
      <c r="F599" s="80">
        <f t="shared" si="19"/>
        <v>506</v>
      </c>
      <c r="G599" s="77">
        <f>Comp2[[#This Row],[Comparable '#2 Drawdown]]/MAX($B$2:B599)</f>
        <v>-0.50481430536451166</v>
      </c>
      <c r="H599" s="1" t="str">
        <f>IF(SUM(COUNTIF(Benchmark1[Benchmark '#1 Dates],Comp2[[#This Row],[Comparable '#2 Dates]]),COUNTIF(Benchmark2[Benchmark '#2 Dates],Comp2[[#This Row],[Comparable '#2 Dates]]))=2,"Pass","Fail")</f>
        <v>Pass</v>
      </c>
      <c r="I599" s="1">
        <f>IFERROR(Comp2[[#This Row],[Comparable '#2 Return]]-INDEX(Benchmark1[Benchmark '#1 Return],MATCH(Comp2[[#This Row],[Comparable '#2 Dates]],Benchmark1[Benchmark '#1 Dates],0)),"-")</f>
        <v>-3.5609092276842908E-3</v>
      </c>
      <c r="L599" s="72">
        <f>Comp2[[#This Row],[Comparable '#2 Price]]/$B$2*100</f>
        <v>57.947686116700204</v>
      </c>
    </row>
    <row r="600" spans="1:12">
      <c r="A600" s="96">
        <v>44152</v>
      </c>
      <c r="B600" s="101">
        <v>28.61</v>
      </c>
      <c r="C600" s="4">
        <f t="shared" si="18"/>
        <v>-6.6190800798813865E-3</v>
      </c>
      <c r="D600" s="1">
        <f>IFERROR(Comp2[[#This Row],[Comparable '#2 Return]]+1,"-")</f>
        <v>0.99338091992011857</v>
      </c>
      <c r="E600" s="6">
        <f>B600-MAX($B$2:B600)</f>
        <v>-29.549999999999997</v>
      </c>
      <c r="F600" s="80">
        <f t="shared" si="19"/>
        <v>507</v>
      </c>
      <c r="G600" s="77">
        <f>Comp2[[#This Row],[Comparable '#2 Drawdown]]/MAX($B$2:B600)</f>
        <v>-0.50808115543328747</v>
      </c>
      <c r="H600" s="1" t="str">
        <f>IF(SUM(COUNTIF(Benchmark1[Benchmark '#1 Dates],Comp2[[#This Row],[Comparable '#2 Dates]]),COUNTIF(Benchmark2[Benchmark '#2 Dates],Comp2[[#This Row],[Comparable '#2 Dates]]))=2,"Pass","Fail")</f>
        <v>Pass</v>
      </c>
      <c r="I600" s="1">
        <f>IFERROR(Comp2[[#This Row],[Comparable '#2 Return]]-INDEX(Benchmark1[Benchmark '#1 Return],MATCH(Comp2[[#This Row],[Comparable '#2 Dates]],Benchmark1[Benchmark '#1 Dates],0)),"-")</f>
        <v>-1.8167422046387509E-3</v>
      </c>
      <c r="L600" s="72">
        <f>Comp2[[#This Row],[Comparable '#2 Price]]/$B$2*100</f>
        <v>57.565392354124747</v>
      </c>
    </row>
    <row r="601" spans="1:12">
      <c r="A601" s="96">
        <v>44153</v>
      </c>
      <c r="B601" s="101">
        <v>28.29</v>
      </c>
      <c r="C601" s="4">
        <f t="shared" si="18"/>
        <v>-1.1247921748543067E-2</v>
      </c>
      <c r="D601" s="1">
        <f>IFERROR(Comp2[[#This Row],[Comparable '#2 Return]]+1,"-")</f>
        <v>0.98875207825145695</v>
      </c>
      <c r="E601" s="6">
        <f>B601-MAX($B$2:B601)</f>
        <v>-29.869999999999997</v>
      </c>
      <c r="F601" s="80">
        <f t="shared" si="19"/>
        <v>508</v>
      </c>
      <c r="G601" s="77">
        <f>Comp2[[#This Row],[Comparable '#2 Drawdown]]/MAX($B$2:B601)</f>
        <v>-0.51358321870701507</v>
      </c>
      <c r="H601" s="1" t="str">
        <f>IF(SUM(COUNTIF(Benchmark1[Benchmark '#1 Dates],Comp2[[#This Row],[Comparable '#2 Dates]]),COUNTIF(Benchmark2[Benchmark '#2 Dates],Comp2[[#This Row],[Comparable '#2 Dates]]))=2,"Pass","Fail")</f>
        <v>Pass</v>
      </c>
      <c r="I601" s="1">
        <f>IFERROR(Comp2[[#This Row],[Comparable '#2 Return]]-INDEX(Benchmark1[Benchmark '#1 Return],MATCH(Comp2[[#This Row],[Comparable '#2 Dates]],Benchmark1[Benchmark '#1 Dates],0)),"-")</f>
        <v>3.840265611065926E-4</v>
      </c>
      <c r="L601" s="72">
        <f>Comp2[[#This Row],[Comparable '#2 Price]]/$B$2*100</f>
        <v>56.921529175050303</v>
      </c>
    </row>
    <row r="602" spans="1:12">
      <c r="A602" s="96">
        <v>44154</v>
      </c>
      <c r="B602" s="101">
        <v>28.07</v>
      </c>
      <c r="C602" s="4">
        <f t="shared" si="18"/>
        <v>-7.8069949396846455E-3</v>
      </c>
      <c r="D602" s="1">
        <f>IFERROR(Comp2[[#This Row],[Comparable '#2 Return]]+1,"-")</f>
        <v>0.99219300506031538</v>
      </c>
      <c r="E602" s="6">
        <f>B602-MAX($B$2:B602)</f>
        <v>-30.089999999999996</v>
      </c>
      <c r="F602" s="80">
        <f t="shared" si="19"/>
        <v>509</v>
      </c>
      <c r="G602" s="77">
        <f>Comp2[[#This Row],[Comparable '#2 Drawdown]]/MAX($B$2:B602)</f>
        <v>-0.51736588720770282</v>
      </c>
      <c r="H602" s="1" t="str">
        <f>IF(SUM(COUNTIF(Benchmark1[Benchmark '#1 Dates],Comp2[[#This Row],[Comparable '#2 Dates]]),COUNTIF(Benchmark2[Benchmark '#2 Dates],Comp2[[#This Row],[Comparable '#2 Dates]]))=2,"Pass","Fail")</f>
        <v>Pass</v>
      </c>
      <c r="I602" s="1">
        <f>IFERROR(Comp2[[#This Row],[Comparable '#2 Return]]-INDEX(Benchmark1[Benchmark '#1 Return],MATCH(Comp2[[#This Row],[Comparable '#2 Dates]],Benchmark1[Benchmark '#1 Dates],0)),"-")</f>
        <v>-1.1745032419692053E-2</v>
      </c>
      <c r="L602" s="72">
        <f>Comp2[[#This Row],[Comparable '#2 Price]]/$B$2*100</f>
        <v>56.478873239436624</v>
      </c>
    </row>
    <row r="603" spans="1:12">
      <c r="A603" s="96">
        <v>44155</v>
      </c>
      <c r="B603" s="101">
        <v>27.93</v>
      </c>
      <c r="C603" s="4">
        <f t="shared" si="18"/>
        <v>-5.0000104167057515E-3</v>
      </c>
      <c r="D603" s="1">
        <f>IFERROR(Comp2[[#This Row],[Comparable '#2 Return]]+1,"-")</f>
        <v>0.99499998958329428</v>
      </c>
      <c r="E603" s="6">
        <f>B603-MAX($B$2:B603)</f>
        <v>-30.229999999999997</v>
      </c>
      <c r="F603" s="80">
        <f t="shared" si="19"/>
        <v>510</v>
      </c>
      <c r="G603" s="77">
        <f>Comp2[[#This Row],[Comparable '#2 Drawdown]]/MAX($B$2:B603)</f>
        <v>-0.51977303988995871</v>
      </c>
      <c r="H603" s="1" t="str">
        <f>IF(SUM(COUNTIF(Benchmark1[Benchmark '#1 Dates],Comp2[[#This Row],[Comparable '#2 Dates]]),COUNTIF(Benchmark2[Benchmark '#2 Dates],Comp2[[#This Row],[Comparable '#2 Dates]]))=2,"Pass","Fail")</f>
        <v>Pass</v>
      </c>
      <c r="I603" s="1">
        <f>IFERROR(Comp2[[#This Row],[Comparable '#2 Return]]-INDEX(Benchmark1[Benchmark '#1 Return],MATCH(Comp2[[#This Row],[Comparable '#2 Dates]],Benchmark1[Benchmark '#1 Dates],0)),"-")</f>
        <v>1.8137465848028621E-3</v>
      </c>
      <c r="L603" s="72">
        <f>Comp2[[#This Row],[Comparable '#2 Price]]/$B$2*100</f>
        <v>56.197183098591537</v>
      </c>
    </row>
    <row r="604" spans="1:12">
      <c r="A604" s="96">
        <v>44158</v>
      </c>
      <c r="B604" s="101">
        <v>28.37</v>
      </c>
      <c r="C604" s="4">
        <f t="shared" si="18"/>
        <v>1.5630868863674523E-2</v>
      </c>
      <c r="D604" s="1">
        <f>IFERROR(Comp2[[#This Row],[Comparable '#2 Return]]+1,"-")</f>
        <v>1.0156308688636746</v>
      </c>
      <c r="E604" s="6">
        <f>B604-MAX($B$2:B604)</f>
        <v>-29.789999999999996</v>
      </c>
      <c r="F604" s="80">
        <f t="shared" si="19"/>
        <v>511</v>
      </c>
      <c r="G604" s="77">
        <f>Comp2[[#This Row],[Comparable '#2 Drawdown]]/MAX($B$2:B604)</f>
        <v>-0.51220770288858319</v>
      </c>
      <c r="H604" s="1" t="str">
        <f>IF(SUM(COUNTIF(Benchmark1[Benchmark '#1 Dates],Comp2[[#This Row],[Comparable '#2 Dates]]),COUNTIF(Benchmark2[Benchmark '#2 Dates],Comp2[[#This Row],[Comparable '#2 Dates]]))=2,"Pass","Fail")</f>
        <v>Pass</v>
      </c>
      <c r="I604" s="1">
        <f>IFERROR(Comp2[[#This Row],[Comparable '#2 Return]]-INDEX(Benchmark1[Benchmark '#1 Return],MATCH(Comp2[[#This Row],[Comparable '#2 Dates]],Benchmark1[Benchmark '#1 Dates],0)),"-")</f>
        <v>1.0011730916259292E-2</v>
      </c>
      <c r="L604" s="72">
        <f>Comp2[[#This Row],[Comparable '#2 Price]]/$B$2*100</f>
        <v>57.08249496981891</v>
      </c>
    </row>
    <row r="605" spans="1:12">
      <c r="A605" s="96">
        <v>44159</v>
      </c>
      <c r="B605" s="101">
        <v>29.07</v>
      </c>
      <c r="C605" s="4">
        <f t="shared" si="18"/>
        <v>2.4374465750024544E-2</v>
      </c>
      <c r="D605" s="1">
        <f>IFERROR(Comp2[[#This Row],[Comparable '#2 Return]]+1,"-")</f>
        <v>1.0243744657500244</v>
      </c>
      <c r="E605" s="6">
        <f>B605-MAX($B$2:B605)</f>
        <v>-29.089999999999996</v>
      </c>
      <c r="F605" s="80">
        <f t="shared" si="19"/>
        <v>512</v>
      </c>
      <c r="G605" s="77">
        <f>Comp2[[#This Row],[Comparable '#2 Drawdown]]/MAX($B$2:B605)</f>
        <v>-0.50017193947730398</v>
      </c>
      <c r="H605" s="1" t="str">
        <f>IF(SUM(COUNTIF(Benchmark1[Benchmark '#1 Dates],Comp2[[#This Row],[Comparable '#2 Dates]]),COUNTIF(Benchmark2[Benchmark '#2 Dates],Comp2[[#This Row],[Comparable '#2 Dates]]))=2,"Pass","Fail")</f>
        <v>Pass</v>
      </c>
      <c r="I605" s="1">
        <f>IFERROR(Comp2[[#This Row],[Comparable '#2 Return]]-INDEX(Benchmark1[Benchmark '#1 Return],MATCH(Comp2[[#This Row],[Comparable '#2 Dates]],Benchmark1[Benchmark '#1 Dates],0)),"-")</f>
        <v>8.3431122774800699E-3</v>
      </c>
      <c r="L605" s="72">
        <f>Comp2[[#This Row],[Comparable '#2 Price]]/$B$2*100</f>
        <v>58.490945674044262</v>
      </c>
    </row>
    <row r="606" spans="1:12">
      <c r="A606" s="96">
        <v>44160</v>
      </c>
      <c r="B606" s="101">
        <v>29.26</v>
      </c>
      <c r="C606" s="4">
        <f t="shared" si="18"/>
        <v>6.5146810211936723E-3</v>
      </c>
      <c r="D606" s="1">
        <f>IFERROR(Comp2[[#This Row],[Comparable '#2 Return]]+1,"-")</f>
        <v>1.0065146810211936</v>
      </c>
      <c r="E606" s="6">
        <f>B606-MAX($B$2:B606)</f>
        <v>-28.899999999999995</v>
      </c>
      <c r="F606" s="80">
        <f t="shared" si="19"/>
        <v>513</v>
      </c>
      <c r="G606" s="77">
        <f>Comp2[[#This Row],[Comparable '#2 Drawdown]]/MAX($B$2:B606)</f>
        <v>-0.49690508940852812</v>
      </c>
      <c r="H606" s="1" t="str">
        <f>IF(SUM(COUNTIF(Benchmark1[Benchmark '#1 Dates],Comp2[[#This Row],[Comparable '#2 Dates]]),COUNTIF(Benchmark2[Benchmark '#2 Dates],Comp2[[#This Row],[Comparable '#2 Dates]]))=2,"Pass","Fail")</f>
        <v>Pass</v>
      </c>
      <c r="I606" s="1">
        <f>IFERROR(Comp2[[#This Row],[Comparable '#2 Return]]-INDEX(Benchmark1[Benchmark '#1 Return],MATCH(Comp2[[#This Row],[Comparable '#2 Dates]],Benchmark1[Benchmark '#1 Dates],0)),"-")</f>
        <v>8.1004314943713858E-3</v>
      </c>
      <c r="L606" s="72">
        <f>Comp2[[#This Row],[Comparable '#2 Price]]/$B$2*100</f>
        <v>58.87323943661972</v>
      </c>
    </row>
    <row r="607" spans="1:12">
      <c r="A607" s="96">
        <v>44162</v>
      </c>
      <c r="B607" s="101">
        <v>29.91</v>
      </c>
      <c r="C607" s="4">
        <f t="shared" si="18"/>
        <v>2.1971477049878275E-2</v>
      </c>
      <c r="D607" s="1">
        <f>IFERROR(Comp2[[#This Row],[Comparable '#2 Return]]+1,"-")</f>
        <v>1.0219714770498782</v>
      </c>
      <c r="E607" s="6">
        <f>B607-MAX($B$2:B607)</f>
        <v>-28.249999999999996</v>
      </c>
      <c r="F607" s="80">
        <f t="shared" si="19"/>
        <v>514</v>
      </c>
      <c r="G607" s="77">
        <f>Comp2[[#This Row],[Comparable '#2 Drawdown]]/MAX($B$2:B607)</f>
        <v>-0.48572902338376889</v>
      </c>
      <c r="H607" s="1" t="str">
        <f>IF(SUM(COUNTIF(Benchmark1[Benchmark '#1 Dates],Comp2[[#This Row],[Comparable '#2 Dates]]),COUNTIF(Benchmark2[Benchmark '#2 Dates],Comp2[[#This Row],[Comparable '#2 Dates]]))=2,"Pass","Fail")</f>
        <v>Pass</v>
      </c>
      <c r="I607" s="1">
        <f>IFERROR(Comp2[[#This Row],[Comparable '#2 Return]]-INDEX(Benchmark1[Benchmark '#1 Return],MATCH(Comp2[[#This Row],[Comparable '#2 Dates]],Benchmark1[Benchmark '#1 Dates],0)),"-")</f>
        <v>1.9575324715427628E-2</v>
      </c>
      <c r="L607" s="72">
        <f>Comp2[[#This Row],[Comparable '#2 Price]]/$B$2*100</f>
        <v>60.181086519114693</v>
      </c>
    </row>
    <row r="608" spans="1:12">
      <c r="A608" s="96">
        <v>44165</v>
      </c>
      <c r="B608" s="101">
        <v>28.63</v>
      </c>
      <c r="C608" s="4">
        <f t="shared" si="18"/>
        <v>-4.3737753531832964E-2</v>
      </c>
      <c r="D608" s="1">
        <f>IFERROR(Comp2[[#This Row],[Comparable '#2 Return]]+1,"-")</f>
        <v>0.95626224646816704</v>
      </c>
      <c r="E608" s="6">
        <f>B608-MAX($B$2:B608)</f>
        <v>-29.529999999999998</v>
      </c>
      <c r="F608" s="80">
        <f t="shared" si="19"/>
        <v>515</v>
      </c>
      <c r="G608" s="77">
        <f>Comp2[[#This Row],[Comparable '#2 Drawdown]]/MAX($B$2:B608)</f>
        <v>-0.5077372764786795</v>
      </c>
      <c r="H608" s="1" t="str">
        <f>IF(SUM(COUNTIF(Benchmark1[Benchmark '#1 Dates],Comp2[[#This Row],[Comparable '#2 Dates]]),COUNTIF(Benchmark2[Benchmark '#2 Dates],Comp2[[#This Row],[Comparable '#2 Dates]]))=2,"Pass","Fail")</f>
        <v>Pass</v>
      </c>
      <c r="I608" s="1">
        <f>IFERROR(Comp2[[#This Row],[Comparable '#2 Return]]-INDEX(Benchmark1[Benchmark '#1 Return],MATCH(Comp2[[#This Row],[Comparable '#2 Dates]],Benchmark1[Benchmark '#1 Dates],0)),"-")</f>
        <v>-3.9131633692016866E-2</v>
      </c>
      <c r="L608" s="72">
        <f>Comp2[[#This Row],[Comparable '#2 Price]]/$B$2*100</f>
        <v>57.605633802816889</v>
      </c>
    </row>
    <row r="609" spans="1:12">
      <c r="A609" s="96">
        <v>44166</v>
      </c>
      <c r="B609" s="101">
        <v>28.64</v>
      </c>
      <c r="C609" s="4">
        <f t="shared" si="18"/>
        <v>3.4922298242112915E-4</v>
      </c>
      <c r="D609" s="1">
        <f>IFERROR(Comp2[[#This Row],[Comparable '#2 Return]]+1,"-")</f>
        <v>1.0003492229824211</v>
      </c>
      <c r="E609" s="6">
        <f>B609-MAX($B$2:B609)</f>
        <v>-29.519999999999996</v>
      </c>
      <c r="F609" s="80">
        <f t="shared" si="19"/>
        <v>516</v>
      </c>
      <c r="G609" s="77">
        <f>Comp2[[#This Row],[Comparable '#2 Drawdown]]/MAX($B$2:B609)</f>
        <v>-0.50756533700137552</v>
      </c>
      <c r="H609" s="1" t="str">
        <f>IF(SUM(COUNTIF(Benchmark1[Benchmark '#1 Dates],Comp2[[#This Row],[Comparable '#2 Dates]]),COUNTIF(Benchmark2[Benchmark '#2 Dates],Comp2[[#This Row],[Comparable '#2 Dates]]))=2,"Pass","Fail")</f>
        <v>Pass</v>
      </c>
      <c r="I609" s="1">
        <f>IFERROR(Comp2[[#This Row],[Comparable '#2 Return]]-INDEX(Benchmark1[Benchmark '#1 Return],MATCH(Comp2[[#This Row],[Comparable '#2 Dates]],Benchmark1[Benchmark '#1 Dates],0)),"-")</f>
        <v>-1.085884930738331E-2</v>
      </c>
      <c r="L609" s="72">
        <f>Comp2[[#This Row],[Comparable '#2 Price]]/$B$2*100</f>
        <v>57.625754527162975</v>
      </c>
    </row>
    <row r="610" spans="1:12">
      <c r="A610" s="96">
        <v>44167</v>
      </c>
      <c r="B610" s="101">
        <v>28.61</v>
      </c>
      <c r="C610" s="4">
        <f t="shared" si="18"/>
        <v>-1.0480350304259835E-3</v>
      </c>
      <c r="D610" s="1">
        <f>IFERROR(Comp2[[#This Row],[Comparable '#2 Return]]+1,"-")</f>
        <v>0.99895196496957406</v>
      </c>
      <c r="E610" s="6">
        <f>B610-MAX($B$2:B610)</f>
        <v>-29.549999999999997</v>
      </c>
      <c r="F610" s="80">
        <f t="shared" si="19"/>
        <v>517</v>
      </c>
      <c r="G610" s="77">
        <f>Comp2[[#This Row],[Comparable '#2 Drawdown]]/MAX($B$2:B610)</f>
        <v>-0.50808115543328747</v>
      </c>
      <c r="H610" s="1" t="str">
        <f>IF(SUM(COUNTIF(Benchmark1[Benchmark '#1 Dates],Comp2[[#This Row],[Comparable '#2 Dates]]),COUNTIF(Benchmark2[Benchmark '#2 Dates],Comp2[[#This Row],[Comparable '#2 Dates]]))=2,"Pass","Fail")</f>
        <v>Pass</v>
      </c>
      <c r="I610" s="1">
        <f>IFERROR(Comp2[[#This Row],[Comparable '#2 Return]]-INDEX(Benchmark1[Benchmark '#1 Return],MATCH(Comp2[[#This Row],[Comparable '#2 Dates]],Benchmark1[Benchmark '#1 Dates],0)),"-")</f>
        <v>-2.8354935219631616E-3</v>
      </c>
      <c r="L610" s="72">
        <f>Comp2[[#This Row],[Comparable '#2 Price]]/$B$2*100</f>
        <v>57.565392354124747</v>
      </c>
    </row>
    <row r="611" spans="1:12">
      <c r="A611" s="96">
        <v>44168</v>
      </c>
      <c r="B611" s="101">
        <v>28.93</v>
      </c>
      <c r="C611" s="4">
        <f t="shared" si="18"/>
        <v>1.1122811926024939E-2</v>
      </c>
      <c r="D611" s="1">
        <f>IFERROR(Comp2[[#This Row],[Comparable '#2 Return]]+1,"-")</f>
        <v>1.0111228119260249</v>
      </c>
      <c r="E611" s="6">
        <f>B611-MAX($B$2:B611)</f>
        <v>-29.229999999999997</v>
      </c>
      <c r="F611" s="80">
        <f t="shared" si="19"/>
        <v>518</v>
      </c>
      <c r="G611" s="77">
        <f>Comp2[[#This Row],[Comparable '#2 Drawdown]]/MAX($B$2:B611)</f>
        <v>-0.50257909215955976</v>
      </c>
      <c r="H611" s="1" t="str">
        <f>IF(SUM(COUNTIF(Benchmark1[Benchmark '#1 Dates],Comp2[[#This Row],[Comparable '#2 Dates]]),COUNTIF(Benchmark2[Benchmark '#2 Dates],Comp2[[#This Row],[Comparable '#2 Dates]]))=2,"Pass","Fail")</f>
        <v>Pass</v>
      </c>
      <c r="I611" s="1">
        <f>IFERROR(Comp2[[#This Row],[Comparable '#2 Return]]-INDEX(Benchmark1[Benchmark '#1 Return],MATCH(Comp2[[#This Row],[Comparable '#2 Dates]],Benchmark1[Benchmark '#1 Dates],0)),"-")</f>
        <v>1.1747032716333431E-2</v>
      </c>
      <c r="L611" s="72">
        <f>Comp2[[#This Row],[Comparable '#2 Price]]/$B$2*100</f>
        <v>58.20925553319919</v>
      </c>
    </row>
    <row r="612" spans="1:12">
      <c r="A612" s="96">
        <v>44169</v>
      </c>
      <c r="B612" s="101">
        <v>29.26</v>
      </c>
      <c r="C612" s="4">
        <f t="shared" si="18"/>
        <v>1.134227660393451E-2</v>
      </c>
      <c r="D612" s="1">
        <f>IFERROR(Comp2[[#This Row],[Comparable '#2 Return]]+1,"-")</f>
        <v>1.0113422766039346</v>
      </c>
      <c r="E612" s="6">
        <f>B612-MAX($B$2:B612)</f>
        <v>-28.899999999999995</v>
      </c>
      <c r="F612" s="80">
        <f t="shared" si="19"/>
        <v>519</v>
      </c>
      <c r="G612" s="77">
        <f>Comp2[[#This Row],[Comparable '#2 Drawdown]]/MAX($B$2:B612)</f>
        <v>-0.49690508940852812</v>
      </c>
      <c r="H612" s="1" t="str">
        <f>IF(SUM(COUNTIF(Benchmark1[Benchmark '#1 Dates],Comp2[[#This Row],[Comparable '#2 Dates]]),COUNTIF(Benchmark2[Benchmark '#2 Dates],Comp2[[#This Row],[Comparable '#2 Dates]]))=2,"Pass","Fail")</f>
        <v>Pass</v>
      </c>
      <c r="I612" s="1">
        <f>IFERROR(Comp2[[#This Row],[Comparable '#2 Return]]-INDEX(Benchmark1[Benchmark '#1 Return],MATCH(Comp2[[#This Row],[Comparable '#2 Dates]],Benchmark1[Benchmark '#1 Dates],0)),"-")</f>
        <v>2.5434073990075953E-3</v>
      </c>
      <c r="L612" s="72">
        <f>Comp2[[#This Row],[Comparable '#2 Price]]/$B$2*100</f>
        <v>58.87323943661972</v>
      </c>
    </row>
    <row r="613" spans="1:12">
      <c r="A613" s="96">
        <v>44172</v>
      </c>
      <c r="B613" s="101">
        <v>29.22</v>
      </c>
      <c r="C613" s="4">
        <f t="shared" si="18"/>
        <v>-1.3679892694248978E-3</v>
      </c>
      <c r="D613" s="1">
        <f>IFERROR(Comp2[[#This Row],[Comparable '#2 Return]]+1,"-")</f>
        <v>0.99863201073057506</v>
      </c>
      <c r="E613" s="6">
        <f>B613-MAX($B$2:B613)</f>
        <v>-28.939999999999998</v>
      </c>
      <c r="F613" s="80">
        <f t="shared" si="19"/>
        <v>520</v>
      </c>
      <c r="G613" s="77">
        <f>Comp2[[#This Row],[Comparable '#2 Drawdown]]/MAX($B$2:B613)</f>
        <v>-0.49759284731774417</v>
      </c>
      <c r="H613" s="1" t="str">
        <f>IF(SUM(COUNTIF(Benchmark1[Benchmark '#1 Dates],Comp2[[#This Row],[Comparable '#2 Dates]]),COUNTIF(Benchmark2[Benchmark '#2 Dates],Comp2[[#This Row],[Comparable '#2 Dates]]))=2,"Pass","Fail")</f>
        <v>Pass</v>
      </c>
      <c r="I613" s="1">
        <f>IFERROR(Comp2[[#This Row],[Comparable '#2 Return]]-INDEX(Benchmark1[Benchmark '#1 Return],MATCH(Comp2[[#This Row],[Comparable '#2 Dates]],Benchmark1[Benchmark '#1 Dates],0)),"-")</f>
        <v>5.6890811796809528E-4</v>
      </c>
      <c r="L613" s="72">
        <f>Comp2[[#This Row],[Comparable '#2 Price]]/$B$2*100</f>
        <v>58.792756539235405</v>
      </c>
    </row>
    <row r="614" spans="1:12">
      <c r="A614" s="96">
        <v>44173</v>
      </c>
      <c r="B614" s="101">
        <v>30.3</v>
      </c>
      <c r="C614" s="4">
        <f t="shared" si="18"/>
        <v>3.6294306192770028E-2</v>
      </c>
      <c r="D614" s="1">
        <f>IFERROR(Comp2[[#This Row],[Comparable '#2 Return]]+1,"-")</f>
        <v>1.0362943061927701</v>
      </c>
      <c r="E614" s="6">
        <f>B614-MAX($B$2:B614)</f>
        <v>-27.859999999999996</v>
      </c>
      <c r="F614" s="80">
        <f t="shared" si="19"/>
        <v>521</v>
      </c>
      <c r="G614" s="77">
        <f>Comp2[[#This Row],[Comparable '#2 Drawdown]]/MAX($B$2:B614)</f>
        <v>-0.47902338376891329</v>
      </c>
      <c r="H614" s="1" t="str">
        <f>IF(SUM(COUNTIF(Benchmark1[Benchmark '#1 Dates],Comp2[[#This Row],[Comparable '#2 Dates]]),COUNTIF(Benchmark2[Benchmark '#2 Dates],Comp2[[#This Row],[Comparable '#2 Dates]]))=2,"Pass","Fail")</f>
        <v>Pass</v>
      </c>
      <c r="I614" s="1">
        <f>IFERROR(Comp2[[#This Row],[Comparable '#2 Return]]-INDEX(Benchmark1[Benchmark '#1 Return],MATCH(Comp2[[#This Row],[Comparable '#2 Dates]],Benchmark1[Benchmark '#1 Dates],0)),"-")</f>
        <v>3.3512536674784779E-2</v>
      </c>
      <c r="L614" s="72">
        <f>Comp2[[#This Row],[Comparable '#2 Price]]/$B$2*100</f>
        <v>60.965794768611673</v>
      </c>
    </row>
    <row r="615" spans="1:12">
      <c r="A615" s="96">
        <v>44174</v>
      </c>
      <c r="B615" s="101">
        <v>31.5</v>
      </c>
      <c r="C615" s="4">
        <f t="shared" si="18"/>
        <v>3.8839833316263957E-2</v>
      </c>
      <c r="D615" s="1">
        <f>IFERROR(Comp2[[#This Row],[Comparable '#2 Return]]+1,"-")</f>
        <v>1.0388398333162641</v>
      </c>
      <c r="E615" s="6">
        <f>B615-MAX($B$2:B615)</f>
        <v>-26.659999999999997</v>
      </c>
      <c r="F615" s="80">
        <f t="shared" si="19"/>
        <v>522</v>
      </c>
      <c r="G615" s="77">
        <f>Comp2[[#This Row],[Comparable '#2 Drawdown]]/MAX($B$2:B615)</f>
        <v>-0.45839064649243461</v>
      </c>
      <c r="H615" s="1" t="str">
        <f>IF(SUM(COUNTIF(Benchmark1[Benchmark '#1 Dates],Comp2[[#This Row],[Comparable '#2 Dates]]),COUNTIF(Benchmark2[Benchmark '#2 Dates],Comp2[[#This Row],[Comparable '#2 Dates]]))=2,"Pass","Fail")</f>
        <v>Pass</v>
      </c>
      <c r="I615" s="1">
        <f>IFERROR(Comp2[[#This Row],[Comparable '#2 Return]]-INDEX(Benchmark1[Benchmark '#1 Return],MATCH(Comp2[[#This Row],[Comparable '#2 Dates]],Benchmark1[Benchmark '#1 Dates],0)),"-")</f>
        <v>4.682035289811342E-2</v>
      </c>
      <c r="L615" s="72">
        <f>Comp2[[#This Row],[Comparable '#2 Price]]/$B$2*100</f>
        <v>63.380281690140841</v>
      </c>
    </row>
    <row r="616" spans="1:12">
      <c r="A616" s="96">
        <v>44175</v>
      </c>
      <c r="B616" s="101">
        <v>31.66</v>
      </c>
      <c r="C616" s="4">
        <f t="shared" si="18"/>
        <v>5.0665086212786491E-3</v>
      </c>
      <c r="D616" s="1">
        <f>IFERROR(Comp2[[#This Row],[Comparable '#2 Return]]+1,"-")</f>
        <v>1.0050665086212787</v>
      </c>
      <c r="E616" s="6">
        <f>B616-MAX($B$2:B616)</f>
        <v>-26.499999999999996</v>
      </c>
      <c r="F616" s="80">
        <f t="shared" si="19"/>
        <v>523</v>
      </c>
      <c r="G616" s="77">
        <f>Comp2[[#This Row],[Comparable '#2 Drawdown]]/MAX($B$2:B616)</f>
        <v>-0.45563961485557081</v>
      </c>
      <c r="H616" s="1" t="str">
        <f>IF(SUM(COUNTIF(Benchmark1[Benchmark '#1 Dates],Comp2[[#This Row],[Comparable '#2 Dates]]),COUNTIF(Benchmark2[Benchmark '#2 Dates],Comp2[[#This Row],[Comparable '#2 Dates]]))=2,"Pass","Fail")</f>
        <v>Pass</v>
      </c>
      <c r="I616" s="1">
        <f>IFERROR(Comp2[[#This Row],[Comparable '#2 Return]]-INDEX(Benchmark1[Benchmark '#1 Return],MATCH(Comp2[[#This Row],[Comparable '#2 Dates]],Benchmark1[Benchmark '#1 Dates],0)),"-")</f>
        <v>6.3513594285617547E-3</v>
      </c>
      <c r="L616" s="72">
        <f>Comp2[[#This Row],[Comparable '#2 Price]]/$B$2*100</f>
        <v>63.702213279678062</v>
      </c>
    </row>
    <row r="617" spans="1:12">
      <c r="A617" s="96">
        <v>44176</v>
      </c>
      <c r="B617" s="101">
        <v>31.46</v>
      </c>
      <c r="C617" s="4">
        <f t="shared" si="18"/>
        <v>-6.3371568227342887E-3</v>
      </c>
      <c r="D617" s="1">
        <f>IFERROR(Comp2[[#This Row],[Comparable '#2 Return]]+1,"-")</f>
        <v>0.99366284317726572</v>
      </c>
      <c r="E617" s="6">
        <f>B617-MAX($B$2:B617)</f>
        <v>-26.699999999999996</v>
      </c>
      <c r="F617" s="80">
        <f t="shared" si="19"/>
        <v>524</v>
      </c>
      <c r="G617" s="77">
        <f>Comp2[[#This Row],[Comparable '#2 Drawdown]]/MAX($B$2:B617)</f>
        <v>-0.4590784044016506</v>
      </c>
      <c r="H617" s="1" t="str">
        <f>IF(SUM(COUNTIF(Benchmark1[Benchmark '#1 Dates],Comp2[[#This Row],[Comparable '#2 Dates]]),COUNTIF(Benchmark2[Benchmark '#2 Dates],Comp2[[#This Row],[Comparable '#2 Dates]]))=2,"Pass","Fail")</f>
        <v>Pass</v>
      </c>
      <c r="I617" s="1">
        <f>IFERROR(Comp2[[#This Row],[Comparable '#2 Return]]-INDEX(Benchmark1[Benchmark '#1 Return],MATCH(Comp2[[#This Row],[Comparable '#2 Dates]],Benchmark1[Benchmark '#1 Dates],0)),"-")</f>
        <v>-5.0698224456648842E-3</v>
      </c>
      <c r="L617" s="72">
        <f>Comp2[[#This Row],[Comparable '#2 Price]]/$B$2*100</f>
        <v>63.299798792756533</v>
      </c>
    </row>
    <row r="618" spans="1:12">
      <c r="A618" s="96">
        <v>44179</v>
      </c>
      <c r="B618" s="101">
        <v>32.130000000000003</v>
      </c>
      <c r="C618" s="4">
        <f t="shared" si="18"/>
        <v>2.1073275497635414E-2</v>
      </c>
      <c r="D618" s="1">
        <f>IFERROR(Comp2[[#This Row],[Comparable '#2 Return]]+1,"-")</f>
        <v>1.0210732754976355</v>
      </c>
      <c r="E618" s="6">
        <f>B618-MAX($B$2:B618)</f>
        <v>-26.029999999999994</v>
      </c>
      <c r="F618" s="80">
        <f t="shared" si="19"/>
        <v>525</v>
      </c>
      <c r="G618" s="77">
        <f>Comp2[[#This Row],[Comparable '#2 Drawdown]]/MAX($B$2:B618)</f>
        <v>-0.44755845942228328</v>
      </c>
      <c r="H618" s="1" t="str">
        <f>IF(SUM(COUNTIF(Benchmark1[Benchmark '#1 Dates],Comp2[[#This Row],[Comparable '#2 Dates]]),COUNTIF(Benchmark2[Benchmark '#2 Dates],Comp2[[#This Row],[Comparable '#2 Dates]]))=2,"Pass","Fail")</f>
        <v>Pass</v>
      </c>
      <c r="I618" s="1">
        <f>IFERROR(Comp2[[#This Row],[Comparable '#2 Return]]-INDEX(Benchmark1[Benchmark '#1 Return],MATCH(Comp2[[#This Row],[Comparable '#2 Dates]],Benchmark1[Benchmark '#1 Dates],0)),"-")</f>
        <v>2.5440630467819837E-2</v>
      </c>
      <c r="L618" s="72">
        <f>Comp2[[#This Row],[Comparable '#2 Price]]/$B$2*100</f>
        <v>64.647887323943664</v>
      </c>
    </row>
    <row r="619" spans="1:12">
      <c r="A619" s="96">
        <v>44180</v>
      </c>
      <c r="B619" s="101">
        <v>33.64</v>
      </c>
      <c r="C619" s="4">
        <f t="shared" si="18"/>
        <v>4.5925661976980198E-2</v>
      </c>
      <c r="D619" s="1">
        <f>IFERROR(Comp2[[#This Row],[Comparable '#2 Return]]+1,"-")</f>
        <v>1.0459256619769801</v>
      </c>
      <c r="E619" s="6">
        <f>B619-MAX($B$2:B619)</f>
        <v>-24.519999999999996</v>
      </c>
      <c r="F619" s="80">
        <f t="shared" si="19"/>
        <v>526</v>
      </c>
      <c r="G619" s="77">
        <f>Comp2[[#This Row],[Comparable '#2 Drawdown]]/MAX($B$2:B619)</f>
        <v>-0.42159559834938098</v>
      </c>
      <c r="H619" s="1" t="str">
        <f>IF(SUM(COUNTIF(Benchmark1[Benchmark '#1 Dates],Comp2[[#This Row],[Comparable '#2 Dates]]),COUNTIF(Benchmark2[Benchmark '#2 Dates],Comp2[[#This Row],[Comparable '#2 Dates]]))=2,"Pass","Fail")</f>
        <v>Pass</v>
      </c>
      <c r="I619" s="1">
        <f>IFERROR(Comp2[[#This Row],[Comparable '#2 Return]]-INDEX(Benchmark1[Benchmark '#1 Return],MATCH(Comp2[[#This Row],[Comparable '#2 Dates]],Benchmark1[Benchmark '#1 Dates],0)),"-")</f>
        <v>3.3087532191490986E-2</v>
      </c>
      <c r="L619" s="72">
        <f>Comp2[[#This Row],[Comparable '#2 Price]]/$B$2*100</f>
        <v>67.686116700201211</v>
      </c>
    </row>
    <row r="620" spans="1:12">
      <c r="A620" s="96">
        <v>44181</v>
      </c>
      <c r="B620" s="101">
        <v>33.1</v>
      </c>
      <c r="C620" s="4">
        <f t="shared" si="18"/>
        <v>-1.6182552721730081E-2</v>
      </c>
      <c r="D620" s="1">
        <f>IFERROR(Comp2[[#This Row],[Comparable '#2 Return]]+1,"-")</f>
        <v>0.98381744727826992</v>
      </c>
      <c r="E620" s="6">
        <f>B620-MAX($B$2:B620)</f>
        <v>-25.059999999999995</v>
      </c>
      <c r="F620" s="80">
        <f t="shared" si="19"/>
        <v>527</v>
      </c>
      <c r="G620" s="77">
        <f>Comp2[[#This Row],[Comparable '#2 Drawdown]]/MAX($B$2:B620)</f>
        <v>-0.43088033012379634</v>
      </c>
      <c r="H620" s="1" t="str">
        <f>IF(SUM(COUNTIF(Benchmark1[Benchmark '#1 Dates],Comp2[[#This Row],[Comparable '#2 Dates]]),COUNTIF(Benchmark2[Benchmark '#2 Dates],Comp2[[#This Row],[Comparable '#2 Dates]]))=2,"Pass","Fail")</f>
        <v>Pass</v>
      </c>
      <c r="I620" s="1">
        <f>IFERROR(Comp2[[#This Row],[Comparable '#2 Return]]-INDEX(Benchmark1[Benchmark '#1 Return],MATCH(Comp2[[#This Row],[Comparable '#2 Dates]],Benchmark1[Benchmark '#1 Dates],0)),"-")</f>
        <v>-1.7954303348329002E-2</v>
      </c>
      <c r="L620" s="72">
        <f>Comp2[[#This Row],[Comparable '#2 Price]]/$B$2*100</f>
        <v>66.599597585513081</v>
      </c>
    </row>
    <row r="621" spans="1:12">
      <c r="A621" s="96">
        <v>44182</v>
      </c>
      <c r="B621" s="101">
        <v>33.43</v>
      </c>
      <c r="C621" s="4">
        <f t="shared" si="18"/>
        <v>9.9204180489900415E-3</v>
      </c>
      <c r="D621" s="1">
        <f>IFERROR(Comp2[[#This Row],[Comparable '#2 Return]]+1,"-")</f>
        <v>1.00992041804899</v>
      </c>
      <c r="E621" s="6">
        <f>B621-MAX($B$2:B621)</f>
        <v>-24.729999999999997</v>
      </c>
      <c r="F621" s="80">
        <f t="shared" si="19"/>
        <v>528</v>
      </c>
      <c r="G621" s="77">
        <f>Comp2[[#This Row],[Comparable '#2 Drawdown]]/MAX($B$2:B621)</f>
        <v>-0.42520632737276476</v>
      </c>
      <c r="H621" s="1" t="str">
        <f>IF(SUM(COUNTIF(Benchmark1[Benchmark '#1 Dates],Comp2[[#This Row],[Comparable '#2 Dates]]),COUNTIF(Benchmark2[Benchmark '#2 Dates],Comp2[[#This Row],[Comparable '#2 Dates]]))=2,"Pass","Fail")</f>
        <v>Pass</v>
      </c>
      <c r="I621" s="1">
        <f>IFERROR(Comp2[[#This Row],[Comparable '#2 Return]]-INDEX(Benchmark1[Benchmark '#1 Return],MATCH(Comp2[[#This Row],[Comparable '#2 Dates]],Benchmark1[Benchmark '#1 Dates],0)),"-")</f>
        <v>4.1797360061092805E-3</v>
      </c>
      <c r="L621" s="72">
        <f>Comp2[[#This Row],[Comparable '#2 Price]]/$B$2*100</f>
        <v>67.263581488933596</v>
      </c>
    </row>
    <row r="622" spans="1:12">
      <c r="A622" s="96">
        <v>44183</v>
      </c>
      <c r="B622" s="101">
        <v>33.93</v>
      </c>
      <c r="C622" s="4">
        <f t="shared" si="18"/>
        <v>1.4845878364131624E-2</v>
      </c>
      <c r="D622" s="1">
        <f>IFERROR(Comp2[[#This Row],[Comparable '#2 Return]]+1,"-")</f>
        <v>1.0148458783641316</v>
      </c>
      <c r="E622" s="6">
        <f>B622-MAX($B$2:B622)</f>
        <v>-24.229999999999997</v>
      </c>
      <c r="F622" s="80">
        <f t="shared" si="19"/>
        <v>529</v>
      </c>
      <c r="G622" s="77">
        <f>Comp2[[#This Row],[Comparable '#2 Drawdown]]/MAX($B$2:B622)</f>
        <v>-0.41660935350756528</v>
      </c>
      <c r="H622" s="1" t="str">
        <f>IF(SUM(COUNTIF(Benchmark1[Benchmark '#1 Dates],Comp2[[#This Row],[Comparable '#2 Dates]]),COUNTIF(Benchmark2[Benchmark '#2 Dates],Comp2[[#This Row],[Comparable '#2 Dates]]))=2,"Pass","Fail")</f>
        <v>Pass</v>
      </c>
      <c r="I622" s="1">
        <f>IFERROR(Comp2[[#This Row],[Comparable '#2 Return]]-INDEX(Benchmark1[Benchmark '#1 Return],MATCH(Comp2[[#This Row],[Comparable '#2 Dates]],Benchmark1[Benchmark '#1 Dates],0)),"-")</f>
        <v>1.8364184050943824E-2</v>
      </c>
      <c r="L622" s="72">
        <f>Comp2[[#This Row],[Comparable '#2 Price]]/$B$2*100</f>
        <v>68.269617706237412</v>
      </c>
    </row>
    <row r="623" spans="1:12">
      <c r="A623" s="96">
        <v>44186</v>
      </c>
      <c r="B623" s="101">
        <v>33.93</v>
      </c>
      <c r="C623" s="4">
        <f t="shared" si="18"/>
        <v>0</v>
      </c>
      <c r="D623" s="1">
        <f>IFERROR(Comp2[[#This Row],[Comparable '#2 Return]]+1,"-")</f>
        <v>1</v>
      </c>
      <c r="E623" s="6">
        <f>B623-MAX($B$2:B623)</f>
        <v>-24.229999999999997</v>
      </c>
      <c r="F623" s="80">
        <f t="shared" si="19"/>
        <v>530</v>
      </c>
      <c r="G623" s="77">
        <f>Comp2[[#This Row],[Comparable '#2 Drawdown]]/MAX($B$2:B623)</f>
        <v>-0.41660935350756528</v>
      </c>
      <c r="H623" s="1" t="str">
        <f>IF(SUM(COUNTIF(Benchmark1[Benchmark '#1 Dates],Comp2[[#This Row],[Comparable '#2 Dates]]),COUNTIF(Benchmark2[Benchmark '#2 Dates],Comp2[[#This Row],[Comparable '#2 Dates]]))=2,"Pass","Fail")</f>
        <v>Pass</v>
      </c>
      <c r="I623" s="1">
        <f>IFERROR(Comp2[[#This Row],[Comparable '#2 Return]]-INDEX(Benchmark1[Benchmark '#1 Return],MATCH(Comp2[[#This Row],[Comparable '#2 Dates]],Benchmark1[Benchmark '#1 Dates],0)),"-")</f>
        <v>3.9135743886160989E-3</v>
      </c>
      <c r="L623" s="72">
        <f>Comp2[[#This Row],[Comparable '#2 Price]]/$B$2*100</f>
        <v>68.269617706237412</v>
      </c>
    </row>
    <row r="624" spans="1:12">
      <c r="A624" s="96">
        <v>44187</v>
      </c>
      <c r="B624" s="101">
        <v>33.270000000000003</v>
      </c>
      <c r="C624" s="4">
        <f t="shared" si="18"/>
        <v>-1.9643488765753326E-2</v>
      </c>
      <c r="D624" s="1">
        <f>IFERROR(Comp2[[#This Row],[Comparable '#2 Return]]+1,"-")</f>
        <v>0.98035651123424672</v>
      </c>
      <c r="E624" s="6">
        <f>B624-MAX($B$2:B624)</f>
        <v>-24.889999999999993</v>
      </c>
      <c r="F624" s="80">
        <f t="shared" si="19"/>
        <v>531</v>
      </c>
      <c r="G624" s="77">
        <f>Comp2[[#This Row],[Comparable '#2 Drawdown]]/MAX($B$2:B624)</f>
        <v>-0.4279573590096285</v>
      </c>
      <c r="H624" s="1" t="str">
        <f>IF(SUM(COUNTIF(Benchmark1[Benchmark '#1 Dates],Comp2[[#This Row],[Comparable '#2 Dates]]),COUNTIF(Benchmark2[Benchmark '#2 Dates],Comp2[[#This Row],[Comparable '#2 Dates]]))=2,"Pass","Fail")</f>
        <v>Pass</v>
      </c>
      <c r="I624" s="1">
        <f>IFERROR(Comp2[[#This Row],[Comparable '#2 Return]]-INDEX(Benchmark1[Benchmark '#1 Return],MATCH(Comp2[[#This Row],[Comparable '#2 Dates]],Benchmark1[Benchmark '#1 Dates],0)),"-")</f>
        <v>-1.7568431634336152E-2</v>
      </c>
      <c r="L624" s="72">
        <f>Comp2[[#This Row],[Comparable '#2 Price]]/$B$2*100</f>
        <v>66.941649899396381</v>
      </c>
    </row>
    <row r="625" spans="1:12">
      <c r="A625" s="96">
        <v>44188</v>
      </c>
      <c r="B625" s="101">
        <v>33.51</v>
      </c>
      <c r="C625" s="4">
        <f t="shared" si="18"/>
        <v>7.1878117188336156E-3</v>
      </c>
      <c r="D625" s="1">
        <f>IFERROR(Comp2[[#This Row],[Comparable '#2 Return]]+1,"-")</f>
        <v>1.0071878117188335</v>
      </c>
      <c r="E625" s="6">
        <f>B625-MAX($B$2:B625)</f>
        <v>-24.65</v>
      </c>
      <c r="F625" s="80">
        <f t="shared" si="19"/>
        <v>532</v>
      </c>
      <c r="G625" s="77">
        <f>Comp2[[#This Row],[Comparable '#2 Drawdown]]/MAX($B$2:B625)</f>
        <v>-0.42383081155433289</v>
      </c>
      <c r="H625" s="1" t="str">
        <f>IF(SUM(COUNTIF(Benchmark1[Benchmark '#1 Dates],Comp2[[#This Row],[Comparable '#2 Dates]]),COUNTIF(Benchmark2[Benchmark '#2 Dates],Comp2[[#This Row],[Comparable '#2 Dates]]))=2,"Pass","Fail")</f>
        <v>Pass</v>
      </c>
      <c r="I625" s="1">
        <f>IFERROR(Comp2[[#This Row],[Comparable '#2 Return]]-INDEX(Benchmark1[Benchmark '#1 Return],MATCH(Comp2[[#This Row],[Comparable '#2 Dates]],Benchmark1[Benchmark '#1 Dates],0)),"-")</f>
        <v>6.4413795130871827E-3</v>
      </c>
      <c r="L625" s="72">
        <f>Comp2[[#This Row],[Comparable '#2 Price]]/$B$2*100</f>
        <v>67.424547283702211</v>
      </c>
    </row>
    <row r="626" spans="1:12">
      <c r="A626" s="96">
        <v>44189</v>
      </c>
      <c r="B626" s="101">
        <v>34.42</v>
      </c>
      <c r="C626" s="4">
        <f t="shared" si="18"/>
        <v>2.6793889034174366E-2</v>
      </c>
      <c r="D626" s="1">
        <f>IFERROR(Comp2[[#This Row],[Comparable '#2 Return]]+1,"-")</f>
        <v>1.0267938890341743</v>
      </c>
      <c r="E626" s="6">
        <f>B626-MAX($B$2:B626)</f>
        <v>-23.739999999999995</v>
      </c>
      <c r="F626" s="80">
        <f t="shared" si="19"/>
        <v>533</v>
      </c>
      <c r="G626" s="77">
        <f>Comp2[[#This Row],[Comparable '#2 Drawdown]]/MAX($B$2:B626)</f>
        <v>-0.40818431911966979</v>
      </c>
      <c r="H626" s="1" t="str">
        <f>IF(SUM(COUNTIF(Benchmark1[Benchmark '#1 Dates],Comp2[[#This Row],[Comparable '#2 Dates]]),COUNTIF(Benchmark2[Benchmark '#2 Dates],Comp2[[#This Row],[Comparable '#2 Dates]]))=2,"Pass","Fail")</f>
        <v>Pass</v>
      </c>
      <c r="I626" s="1">
        <f>IFERROR(Comp2[[#This Row],[Comparable '#2 Return]]-INDEX(Benchmark1[Benchmark '#1 Return],MATCH(Comp2[[#This Row],[Comparable '#2 Dates]],Benchmark1[Benchmark '#1 Dates],0)),"-")</f>
        <v>2.3265166184984309E-2</v>
      </c>
      <c r="L626" s="72">
        <f>Comp2[[#This Row],[Comparable '#2 Price]]/$B$2*100</f>
        <v>69.25553319919517</v>
      </c>
    </row>
    <row r="627" spans="1:12">
      <c r="A627" s="96">
        <v>44193</v>
      </c>
      <c r="B627" s="101">
        <v>34.049999999999997</v>
      </c>
      <c r="C627" s="4">
        <f t="shared" si="18"/>
        <v>-1.0807758187872087E-2</v>
      </c>
      <c r="D627" s="1">
        <f>IFERROR(Comp2[[#This Row],[Comparable '#2 Return]]+1,"-")</f>
        <v>0.98919224181212795</v>
      </c>
      <c r="E627" s="6">
        <f>B627-MAX($B$2:B627)</f>
        <v>-24.11</v>
      </c>
      <c r="F627" s="80">
        <f t="shared" si="19"/>
        <v>534</v>
      </c>
      <c r="G627" s="77">
        <f>Comp2[[#This Row],[Comparable '#2 Drawdown]]/MAX($B$2:B627)</f>
        <v>-0.41454607977991748</v>
      </c>
      <c r="H627" s="1" t="str">
        <f>IF(SUM(COUNTIF(Benchmark1[Benchmark '#1 Dates],Comp2[[#This Row],[Comparable '#2 Dates]]),COUNTIF(Benchmark2[Benchmark '#2 Dates],Comp2[[#This Row],[Comparable '#2 Dates]]))=2,"Pass","Fail")</f>
        <v>Pass</v>
      </c>
      <c r="I627" s="1">
        <f>IFERROR(Comp2[[#This Row],[Comparable '#2 Return]]-INDEX(Benchmark1[Benchmark '#1 Return],MATCH(Comp2[[#This Row],[Comparable '#2 Dates]],Benchmark1[Benchmark '#1 Dates],0)),"-")</f>
        <v>-1.9491893606376154E-2</v>
      </c>
      <c r="L627" s="72">
        <f>Comp2[[#This Row],[Comparable '#2 Price]]/$B$2*100</f>
        <v>68.511066398390327</v>
      </c>
    </row>
    <row r="628" spans="1:12">
      <c r="A628" s="96">
        <v>44194</v>
      </c>
      <c r="B628" s="101">
        <v>32.89</v>
      </c>
      <c r="C628" s="4">
        <f t="shared" si="18"/>
        <v>-3.4661372394555655E-2</v>
      </c>
      <c r="D628" s="1">
        <f>IFERROR(Comp2[[#This Row],[Comparable '#2 Return]]+1,"-")</f>
        <v>0.96533862760544431</v>
      </c>
      <c r="E628" s="6">
        <f>B628-MAX($B$2:B628)</f>
        <v>-25.269999999999996</v>
      </c>
      <c r="F628" s="80">
        <f t="shared" si="19"/>
        <v>535</v>
      </c>
      <c r="G628" s="77">
        <f>Comp2[[#This Row],[Comparable '#2 Drawdown]]/MAX($B$2:B628)</f>
        <v>-0.43449105914718017</v>
      </c>
      <c r="H628" s="1" t="str">
        <f>IF(SUM(COUNTIF(Benchmark1[Benchmark '#1 Dates],Comp2[[#This Row],[Comparable '#2 Dates]]),COUNTIF(Benchmark2[Benchmark '#2 Dates],Comp2[[#This Row],[Comparable '#2 Dates]]))=2,"Pass","Fail")</f>
        <v>Pass</v>
      </c>
      <c r="I628" s="1">
        <f>IFERROR(Comp2[[#This Row],[Comparable '#2 Return]]-INDEX(Benchmark1[Benchmark '#1 Return],MATCH(Comp2[[#This Row],[Comparable '#2 Dates]],Benchmark1[Benchmark '#1 Dates],0)),"-")</f>
        <v>-3.2432690986625073E-2</v>
      </c>
      <c r="L628" s="72">
        <f>Comp2[[#This Row],[Comparable '#2 Price]]/$B$2*100</f>
        <v>66.177062374245466</v>
      </c>
    </row>
    <row r="629" spans="1:12">
      <c r="A629" s="96">
        <v>44195</v>
      </c>
      <c r="B629" s="101">
        <v>32.909999999999997</v>
      </c>
      <c r="C629" s="4">
        <f t="shared" si="18"/>
        <v>6.0790275428294579E-4</v>
      </c>
      <c r="D629" s="1">
        <f>IFERROR(Comp2[[#This Row],[Comparable '#2 Return]]+1,"-")</f>
        <v>1.0006079027542829</v>
      </c>
      <c r="E629" s="6">
        <f>B629-MAX($B$2:B629)</f>
        <v>-25.25</v>
      </c>
      <c r="F629" s="80">
        <f t="shared" si="19"/>
        <v>536</v>
      </c>
      <c r="G629" s="77">
        <f>Comp2[[#This Row],[Comparable '#2 Drawdown]]/MAX($B$2:B629)</f>
        <v>-0.43414718019257226</v>
      </c>
      <c r="H629" s="1" t="str">
        <f>IF(SUM(COUNTIF(Benchmark1[Benchmark '#1 Dates],Comp2[[#This Row],[Comparable '#2 Dates]]),COUNTIF(Benchmark2[Benchmark '#2 Dates],Comp2[[#This Row],[Comparable '#2 Dates]]))=2,"Pass","Fail")</f>
        <v>Pass</v>
      </c>
      <c r="I629" s="1">
        <f>IFERROR(Comp2[[#This Row],[Comparable '#2 Return]]-INDEX(Benchmark1[Benchmark '#1 Return],MATCH(Comp2[[#This Row],[Comparable '#2 Dates]],Benchmark1[Benchmark '#1 Dates],0)),"-")</f>
        <v>-7.3325961112717642E-4</v>
      </c>
      <c r="L629" s="72">
        <f>Comp2[[#This Row],[Comparable '#2 Price]]/$B$2*100</f>
        <v>66.217303822937609</v>
      </c>
    </row>
    <row r="630" spans="1:12">
      <c r="A630" s="96">
        <v>44196</v>
      </c>
      <c r="B630" s="101">
        <v>33.950000000000003</v>
      </c>
      <c r="C630" s="4">
        <f t="shared" si="18"/>
        <v>3.1112291049456845E-2</v>
      </c>
      <c r="D630" s="1">
        <f>IFERROR(Comp2[[#This Row],[Comparable '#2 Return]]+1,"-")</f>
        <v>1.0311122910494568</v>
      </c>
      <c r="E630" s="6">
        <f>B630-MAX($B$2:B630)</f>
        <v>-24.209999999999994</v>
      </c>
      <c r="F630" s="80">
        <f t="shared" si="19"/>
        <v>537</v>
      </c>
      <c r="G630" s="77">
        <f>Comp2[[#This Row],[Comparable '#2 Drawdown]]/MAX($B$2:B630)</f>
        <v>-0.41626547455295726</v>
      </c>
      <c r="H630" s="1" t="str">
        <f>IF(SUM(COUNTIF(Benchmark1[Benchmark '#1 Dates],Comp2[[#This Row],[Comparable '#2 Dates]]),COUNTIF(Benchmark2[Benchmark '#2 Dates],Comp2[[#This Row],[Comparable '#2 Dates]]))=2,"Pass","Fail")</f>
        <v>Pass</v>
      </c>
      <c r="I630" s="1">
        <f>IFERROR(Comp2[[#This Row],[Comparable '#2 Return]]-INDEX(Benchmark1[Benchmark '#1 Return],MATCH(Comp2[[#This Row],[Comparable '#2 Dates]],Benchmark1[Benchmark '#1 Dates],0)),"-")</f>
        <v>2.4694238225368405E-2</v>
      </c>
      <c r="L630" s="72">
        <f>Comp2[[#This Row],[Comparable '#2 Price]]/$B$2*100</f>
        <v>68.309859154929569</v>
      </c>
    </row>
    <row r="631" spans="1:12">
      <c r="A631" s="96">
        <v>44200</v>
      </c>
      <c r="B631" s="101">
        <v>32.03</v>
      </c>
      <c r="C631" s="4">
        <f t="shared" si="18"/>
        <v>-5.8215890383638377E-2</v>
      </c>
      <c r="D631" s="1">
        <f>IFERROR(Comp2[[#This Row],[Comparable '#2 Return]]+1,"-")</f>
        <v>0.94178410961636161</v>
      </c>
      <c r="E631" s="6">
        <f>B631-MAX($B$2:B631)</f>
        <v>-26.129999999999995</v>
      </c>
      <c r="F631" s="80">
        <f t="shared" si="19"/>
        <v>538</v>
      </c>
      <c r="G631" s="77">
        <f>Comp2[[#This Row],[Comparable '#2 Drawdown]]/MAX($B$2:B631)</f>
        <v>-0.44927785419532318</v>
      </c>
      <c r="H631" s="1" t="str">
        <f>IF(SUM(COUNTIF(Benchmark1[Benchmark '#1 Dates],Comp2[[#This Row],[Comparable '#2 Dates]]),COUNTIF(Benchmark2[Benchmark '#2 Dates],Comp2[[#This Row],[Comparable '#2 Dates]]))=2,"Pass","Fail")</f>
        <v>Pass</v>
      </c>
      <c r="I631" s="1">
        <f>IFERROR(Comp2[[#This Row],[Comparable '#2 Return]]-INDEX(Benchmark1[Benchmark '#1 Return],MATCH(Comp2[[#This Row],[Comparable '#2 Dates]],Benchmark1[Benchmark '#1 Dates],0)),"-")</f>
        <v>-4.3349924613820943E-2</v>
      </c>
      <c r="L631" s="72">
        <f>Comp2[[#This Row],[Comparable '#2 Price]]/$B$2*100</f>
        <v>64.446680080482892</v>
      </c>
    </row>
    <row r="632" spans="1:12">
      <c r="A632" s="96">
        <v>44201</v>
      </c>
      <c r="B632" s="101">
        <v>32.590000000000003</v>
      </c>
      <c r="C632" s="4">
        <f t="shared" si="18"/>
        <v>1.7332529228403486E-2</v>
      </c>
      <c r="D632" s="1">
        <f>IFERROR(Comp2[[#This Row],[Comparable '#2 Return]]+1,"-")</f>
        <v>1.0173325292284034</v>
      </c>
      <c r="E632" s="6">
        <f>B632-MAX($B$2:B632)</f>
        <v>-25.569999999999993</v>
      </c>
      <c r="F632" s="80">
        <f t="shared" si="19"/>
        <v>539</v>
      </c>
      <c r="G632" s="77">
        <f>Comp2[[#This Row],[Comparable '#2 Drawdown]]/MAX($B$2:B632)</f>
        <v>-0.43964924346629974</v>
      </c>
      <c r="H632" s="1" t="str">
        <f>IF(SUM(COUNTIF(Benchmark1[Benchmark '#1 Dates],Comp2[[#This Row],[Comparable '#2 Dates]]),COUNTIF(Benchmark2[Benchmark '#2 Dates],Comp2[[#This Row],[Comparable '#2 Dates]]))=2,"Pass","Fail")</f>
        <v>Pass</v>
      </c>
      <c r="I632" s="1">
        <f>IFERROR(Comp2[[#This Row],[Comparable '#2 Return]]-INDEX(Benchmark1[Benchmark '#1 Return],MATCH(Comp2[[#This Row],[Comparable '#2 Dates]],Benchmark1[Benchmark '#1 Dates],0)),"-")</f>
        <v>1.0275220866979328E-2</v>
      </c>
      <c r="L632" s="72">
        <f>Comp2[[#This Row],[Comparable '#2 Price]]/$B$2*100</f>
        <v>65.573440643863179</v>
      </c>
    </row>
    <row r="633" spans="1:12">
      <c r="A633" s="96">
        <v>44202</v>
      </c>
      <c r="B633" s="101">
        <v>33.159999999999997</v>
      </c>
      <c r="C633" s="4">
        <f t="shared" si="18"/>
        <v>1.7338837417623935E-2</v>
      </c>
      <c r="D633" s="1">
        <f>IFERROR(Comp2[[#This Row],[Comparable '#2 Return]]+1,"-")</f>
        <v>1.017338837417624</v>
      </c>
      <c r="E633" s="6">
        <f>B633-MAX($B$2:B633)</f>
        <v>-25</v>
      </c>
      <c r="F633" s="80">
        <f t="shared" si="19"/>
        <v>540</v>
      </c>
      <c r="G633" s="77">
        <f>Comp2[[#This Row],[Comparable '#2 Drawdown]]/MAX($B$2:B633)</f>
        <v>-0.42984869325997249</v>
      </c>
      <c r="H633" s="1" t="str">
        <f>IF(SUM(COUNTIF(Benchmark1[Benchmark '#1 Dates],Comp2[[#This Row],[Comparable '#2 Dates]]),COUNTIF(Benchmark2[Benchmark '#2 Dates],Comp2[[#This Row],[Comparable '#2 Dates]]))=2,"Pass","Fail")</f>
        <v>Pass</v>
      </c>
      <c r="I633" s="1">
        <f>IFERROR(Comp2[[#This Row],[Comparable '#2 Return]]-INDEX(Benchmark1[Benchmark '#1 Return],MATCH(Comp2[[#This Row],[Comparable '#2 Dates]],Benchmark1[Benchmark '#1 Dates],0)),"-")</f>
        <v>1.1644633089922621E-2</v>
      </c>
      <c r="L633" s="72">
        <f>Comp2[[#This Row],[Comparable '#2 Price]]/$B$2*100</f>
        <v>66.720321931589524</v>
      </c>
    </row>
    <row r="634" spans="1:12">
      <c r="A634" s="96">
        <v>44203</v>
      </c>
      <c r="B634" s="101">
        <v>33.18</v>
      </c>
      <c r="C634" s="4">
        <f t="shared" si="18"/>
        <v>6.029544952043459E-4</v>
      </c>
      <c r="D634" s="1">
        <f>IFERROR(Comp2[[#This Row],[Comparable '#2 Return]]+1,"-")</f>
        <v>1.0006029544952044</v>
      </c>
      <c r="E634" s="6">
        <f>B634-MAX($B$2:B634)</f>
        <v>-24.979999999999997</v>
      </c>
      <c r="F634" s="80">
        <f t="shared" si="19"/>
        <v>541</v>
      </c>
      <c r="G634" s="77">
        <f>Comp2[[#This Row],[Comparable '#2 Drawdown]]/MAX($B$2:B634)</f>
        <v>-0.42950481430536447</v>
      </c>
      <c r="H634" s="1" t="str">
        <f>IF(SUM(COUNTIF(Benchmark1[Benchmark '#1 Dates],Comp2[[#This Row],[Comparable '#2 Dates]]),COUNTIF(Benchmark2[Benchmark '#2 Dates],Comp2[[#This Row],[Comparable '#2 Dates]]))=2,"Pass","Fail")</f>
        <v>Pass</v>
      </c>
      <c r="I634" s="1">
        <f>IFERROR(Comp2[[#This Row],[Comparable '#2 Return]]-INDEX(Benchmark1[Benchmark '#1 Return],MATCH(Comp2[[#This Row],[Comparable '#2 Dates]],Benchmark1[Benchmark '#1 Dates],0)),"-")</f>
        <v>-1.4135950608490398E-2</v>
      </c>
      <c r="L634" s="72">
        <f>Comp2[[#This Row],[Comparable '#2 Price]]/$B$2*100</f>
        <v>66.760563380281695</v>
      </c>
    </row>
    <row r="635" spans="1:12">
      <c r="A635" s="96">
        <v>44204</v>
      </c>
      <c r="B635" s="101">
        <v>34.229999999999997</v>
      </c>
      <c r="C635" s="4">
        <f t="shared" si="18"/>
        <v>3.1155167779795479E-2</v>
      </c>
      <c r="D635" s="1">
        <f>IFERROR(Comp2[[#This Row],[Comparable '#2 Return]]+1,"-")</f>
        <v>1.0311551677797954</v>
      </c>
      <c r="E635" s="6">
        <f>B635-MAX($B$2:B635)</f>
        <v>-23.93</v>
      </c>
      <c r="F635" s="80">
        <f t="shared" si="19"/>
        <v>542</v>
      </c>
      <c r="G635" s="77">
        <f>Comp2[[#This Row],[Comparable '#2 Drawdown]]/MAX($B$2:B635)</f>
        <v>-0.41145116918844571</v>
      </c>
      <c r="H635" s="1" t="str">
        <f>IF(SUM(COUNTIF(Benchmark1[Benchmark '#1 Dates],Comp2[[#This Row],[Comparable '#2 Dates]]),COUNTIF(Benchmark2[Benchmark '#2 Dates],Comp2[[#This Row],[Comparable '#2 Dates]]))=2,"Pass","Fail")</f>
        <v>Pass</v>
      </c>
      <c r="I635" s="1">
        <f>IFERROR(Comp2[[#This Row],[Comparable '#2 Return]]-INDEX(Benchmark1[Benchmark '#1 Return],MATCH(Comp2[[#This Row],[Comparable '#2 Dates]],Benchmark1[Benchmark '#1 Dates],0)),"-")</f>
        <v>2.5678158366796301E-2</v>
      </c>
      <c r="L635" s="72">
        <f>Comp2[[#This Row],[Comparable '#2 Price]]/$B$2*100</f>
        <v>68.873239436619698</v>
      </c>
    </row>
    <row r="636" spans="1:12">
      <c r="A636" s="96">
        <v>44207</v>
      </c>
      <c r="B636" s="101">
        <v>35.840000000000003</v>
      </c>
      <c r="C636" s="4">
        <f t="shared" si="18"/>
        <v>4.5962135564635853E-2</v>
      </c>
      <c r="D636" s="1">
        <f>IFERROR(Comp2[[#This Row],[Comparable '#2 Return]]+1,"-")</f>
        <v>1.0459621355646358</v>
      </c>
      <c r="E636" s="6">
        <f>B636-MAX($B$2:B636)</f>
        <v>-22.319999999999993</v>
      </c>
      <c r="F636" s="80">
        <f t="shared" si="19"/>
        <v>543</v>
      </c>
      <c r="G636" s="77">
        <f>Comp2[[#This Row],[Comparable '#2 Drawdown]]/MAX($B$2:B636)</f>
        <v>-0.38376891334250335</v>
      </c>
      <c r="H636" s="1" t="str">
        <f>IF(SUM(COUNTIF(Benchmark1[Benchmark '#1 Dates],Comp2[[#This Row],[Comparable '#2 Dates]]),COUNTIF(Benchmark2[Benchmark '#2 Dates],Comp2[[#This Row],[Comparable '#2 Dates]]))=2,"Pass","Fail")</f>
        <v>Pass</v>
      </c>
      <c r="I636" s="1">
        <f>IFERROR(Comp2[[#This Row],[Comparable '#2 Return]]-INDEX(Benchmark1[Benchmark '#1 Return],MATCH(Comp2[[#This Row],[Comparable '#2 Dates]],Benchmark1[Benchmark '#1 Dates],0)),"-")</f>
        <v>5.2540028393037043E-2</v>
      </c>
      <c r="L636" s="72">
        <f>Comp2[[#This Row],[Comparable '#2 Price]]/$B$2*100</f>
        <v>72.112676056338032</v>
      </c>
    </row>
    <row r="637" spans="1:12">
      <c r="A637" s="96">
        <v>44208</v>
      </c>
      <c r="B637" s="101">
        <v>36.33</v>
      </c>
      <c r="C637" s="4">
        <f t="shared" si="18"/>
        <v>1.3579258126380634E-2</v>
      </c>
      <c r="D637" s="1">
        <f>IFERROR(Comp2[[#This Row],[Comparable '#2 Return]]+1,"-")</f>
        <v>1.0135792581263807</v>
      </c>
      <c r="E637" s="6">
        <f>B637-MAX($B$2:B637)</f>
        <v>-21.83</v>
      </c>
      <c r="F637" s="80">
        <f t="shared" si="19"/>
        <v>544</v>
      </c>
      <c r="G637" s="77">
        <f>Comp2[[#This Row],[Comparable '#2 Drawdown]]/MAX($B$2:B637)</f>
        <v>-0.37534387895460797</v>
      </c>
      <c r="H637" s="1" t="str">
        <f>IF(SUM(COUNTIF(Benchmark1[Benchmark '#1 Dates],Comp2[[#This Row],[Comparable '#2 Dates]]),COUNTIF(Benchmark2[Benchmark '#2 Dates],Comp2[[#This Row],[Comparable '#2 Dates]]))=2,"Pass","Fail")</f>
        <v>Pass</v>
      </c>
      <c r="I637" s="1">
        <f>IFERROR(Comp2[[#This Row],[Comparable '#2 Return]]-INDEX(Benchmark1[Benchmark '#1 Return],MATCH(Comp2[[#This Row],[Comparable '#2 Dates]],Benchmark1[Benchmark '#1 Dates],0)),"-")</f>
        <v>1.3161939727161731E-2</v>
      </c>
      <c r="L637" s="72">
        <f>Comp2[[#This Row],[Comparable '#2 Price]]/$B$2*100</f>
        <v>73.098591549295762</v>
      </c>
    </row>
    <row r="638" spans="1:12">
      <c r="A638" s="96">
        <v>44209</v>
      </c>
      <c r="B638" s="101">
        <v>36.89</v>
      </c>
      <c r="C638" s="4">
        <f t="shared" si="18"/>
        <v>1.5296665375473827E-2</v>
      </c>
      <c r="D638" s="1">
        <f>IFERROR(Comp2[[#This Row],[Comparable '#2 Return]]+1,"-")</f>
        <v>1.0152966653754738</v>
      </c>
      <c r="E638" s="6">
        <f>B638-MAX($B$2:B638)</f>
        <v>-21.269999999999996</v>
      </c>
      <c r="F638" s="80">
        <f t="shared" si="19"/>
        <v>545</v>
      </c>
      <c r="G638" s="77">
        <f>Comp2[[#This Row],[Comparable '#2 Drawdown]]/MAX($B$2:B638)</f>
        <v>-0.36571526822558453</v>
      </c>
      <c r="H638" s="1" t="str">
        <f>IF(SUM(COUNTIF(Benchmark1[Benchmark '#1 Dates],Comp2[[#This Row],[Comparable '#2 Dates]]),COUNTIF(Benchmark2[Benchmark '#2 Dates],Comp2[[#This Row],[Comparable '#2 Dates]]))=2,"Pass","Fail")</f>
        <v>Pass</v>
      </c>
      <c r="I638" s="1">
        <f>IFERROR(Comp2[[#This Row],[Comparable '#2 Return]]-INDEX(Benchmark1[Benchmark '#1 Return],MATCH(Comp2[[#This Row],[Comparable '#2 Dates]],Benchmark1[Benchmark '#1 Dates],0)),"-")</f>
        <v>1.3023085768271971E-2</v>
      </c>
      <c r="L638" s="72">
        <f>Comp2[[#This Row],[Comparable '#2 Price]]/$B$2*100</f>
        <v>74.225352112676063</v>
      </c>
    </row>
    <row r="639" spans="1:12">
      <c r="A639" s="96">
        <v>44210</v>
      </c>
      <c r="B639" s="101">
        <v>38.03</v>
      </c>
      <c r="C639" s="4">
        <f t="shared" si="18"/>
        <v>3.0434810331584086E-2</v>
      </c>
      <c r="D639" s="1">
        <f>IFERROR(Comp2[[#This Row],[Comparable '#2 Return]]+1,"-")</f>
        <v>1.0304348103315841</v>
      </c>
      <c r="E639" s="6">
        <f>B639-MAX($B$2:B639)</f>
        <v>-20.129999999999995</v>
      </c>
      <c r="F639" s="80">
        <f t="shared" si="19"/>
        <v>546</v>
      </c>
      <c r="G639" s="77">
        <f>Comp2[[#This Row],[Comparable '#2 Drawdown]]/MAX($B$2:B639)</f>
        <v>-0.34611416781292981</v>
      </c>
      <c r="H639" s="1" t="str">
        <f>IF(SUM(COUNTIF(Benchmark1[Benchmark '#1 Dates],Comp2[[#This Row],[Comparable '#2 Dates]]),COUNTIF(Benchmark2[Benchmark '#2 Dates],Comp2[[#This Row],[Comparable '#2 Dates]]))=2,"Pass","Fail")</f>
        <v>Pass</v>
      </c>
      <c r="I639" s="1">
        <f>IFERROR(Comp2[[#This Row],[Comparable '#2 Return]]-INDEX(Benchmark1[Benchmark '#1 Return],MATCH(Comp2[[#This Row],[Comparable '#2 Dates]],Benchmark1[Benchmark '#1 Dates],0)),"-")</f>
        <v>3.4195813031354126E-2</v>
      </c>
      <c r="L639" s="72">
        <f>Comp2[[#This Row],[Comparable '#2 Price]]/$B$2*100</f>
        <v>76.519114688128781</v>
      </c>
    </row>
    <row r="640" spans="1:12">
      <c r="A640" s="96">
        <v>44211</v>
      </c>
      <c r="B640" s="101">
        <v>36.9</v>
      </c>
      <c r="C640" s="4">
        <f t="shared" si="18"/>
        <v>-3.0163770893686812E-2</v>
      </c>
      <c r="D640" s="1">
        <f>IFERROR(Comp2[[#This Row],[Comparable '#2 Return]]+1,"-")</f>
        <v>0.96983622910631317</v>
      </c>
      <c r="E640" s="6">
        <f>B640-MAX($B$2:B640)</f>
        <v>-21.259999999999998</v>
      </c>
      <c r="F640" s="80">
        <f t="shared" si="19"/>
        <v>547</v>
      </c>
      <c r="G640" s="77">
        <f>Comp2[[#This Row],[Comparable '#2 Drawdown]]/MAX($B$2:B640)</f>
        <v>-0.3655433287482806</v>
      </c>
      <c r="H640" s="1" t="str">
        <f>IF(SUM(COUNTIF(Benchmark1[Benchmark '#1 Dates],Comp2[[#This Row],[Comparable '#2 Dates]]),COUNTIF(Benchmark2[Benchmark '#2 Dates],Comp2[[#This Row],[Comparable '#2 Dates]]))=2,"Pass","Fail")</f>
        <v>Pass</v>
      </c>
      <c r="I640" s="1">
        <f>IFERROR(Comp2[[#This Row],[Comparable '#2 Return]]-INDEX(Benchmark1[Benchmark '#1 Return],MATCH(Comp2[[#This Row],[Comparable '#2 Dates]],Benchmark1[Benchmark '#1 Dates],0)),"-")</f>
        <v>-2.2946436166483938E-2</v>
      </c>
      <c r="L640" s="72">
        <f>Comp2[[#This Row],[Comparable '#2 Price]]/$B$2*100</f>
        <v>74.245472837022135</v>
      </c>
    </row>
    <row r="641" spans="1:12">
      <c r="A641" s="96">
        <v>44215</v>
      </c>
      <c r="B641" s="101">
        <v>38.68</v>
      </c>
      <c r="C641" s="4">
        <f t="shared" si="18"/>
        <v>4.7111119538612092E-2</v>
      </c>
      <c r="D641" s="1">
        <f>IFERROR(Comp2[[#This Row],[Comparable '#2 Return]]+1,"-")</f>
        <v>1.047111119538612</v>
      </c>
      <c r="E641" s="6">
        <f>B641-MAX($B$2:B641)</f>
        <v>-19.479999999999997</v>
      </c>
      <c r="F641" s="80">
        <f t="shared" si="19"/>
        <v>548</v>
      </c>
      <c r="G641" s="77">
        <f>Comp2[[#This Row],[Comparable '#2 Drawdown]]/MAX($B$2:B641)</f>
        <v>-0.33493810178817052</v>
      </c>
      <c r="H641" s="1" t="str">
        <f>IF(SUM(COUNTIF(Benchmark1[Benchmark '#1 Dates],Comp2[[#This Row],[Comparable '#2 Dates]]),COUNTIF(Benchmark2[Benchmark '#2 Dates],Comp2[[#This Row],[Comparable '#2 Dates]]))=2,"Pass","Fail")</f>
        <v>Pass</v>
      </c>
      <c r="I641" s="1">
        <f>IFERROR(Comp2[[#This Row],[Comparable '#2 Return]]-INDEX(Benchmark1[Benchmark '#1 Return],MATCH(Comp2[[#This Row],[Comparable '#2 Dates]],Benchmark1[Benchmark '#1 Dates],0)),"-")</f>
        <v>3.9007304376842342E-2</v>
      </c>
      <c r="L641" s="72">
        <f>Comp2[[#This Row],[Comparable '#2 Price]]/$B$2*100</f>
        <v>77.82696177062374</v>
      </c>
    </row>
    <row r="642" spans="1:12">
      <c r="A642" s="96">
        <v>44216</v>
      </c>
      <c r="B642" s="101">
        <v>38.369999999999997</v>
      </c>
      <c r="C642" s="4">
        <f t="shared" ref="C642:C705" si="20">IFERROR(IF(B642="","-",LN(B642/B641)),"-")</f>
        <v>-8.0467663262325743E-3</v>
      </c>
      <c r="D642" s="1">
        <f>IFERROR(Comp2[[#This Row],[Comparable '#2 Return]]+1,"-")</f>
        <v>0.99195323367376742</v>
      </c>
      <c r="E642" s="6">
        <f>B642-MAX($B$2:B642)</f>
        <v>-19.79</v>
      </c>
      <c r="F642" s="80">
        <f t="shared" ref="F642:F705" si="21">IF(E642=0,0,F641+1)</f>
        <v>549</v>
      </c>
      <c r="G642" s="77">
        <f>Comp2[[#This Row],[Comparable '#2 Drawdown]]/MAX($B$2:B642)</f>
        <v>-0.34026822558459424</v>
      </c>
      <c r="H642" s="1" t="str">
        <f>IF(SUM(COUNTIF(Benchmark1[Benchmark '#1 Dates],Comp2[[#This Row],[Comparable '#2 Dates]]),COUNTIF(Benchmark2[Benchmark '#2 Dates],Comp2[[#This Row],[Comparable '#2 Dates]]))=2,"Pass","Fail")</f>
        <v>Pass</v>
      </c>
      <c r="I642" s="1">
        <f>IFERROR(Comp2[[#This Row],[Comparable '#2 Return]]-INDEX(Benchmark1[Benchmark '#1 Return],MATCH(Comp2[[#This Row],[Comparable '#2 Dates]],Benchmark1[Benchmark '#1 Dates],0)),"-")</f>
        <v>-2.1885730283099373E-2</v>
      </c>
      <c r="L642" s="72">
        <f>Comp2[[#This Row],[Comparable '#2 Price]]/$B$2*100</f>
        <v>77.203219315895367</v>
      </c>
    </row>
    <row r="643" spans="1:12">
      <c r="A643" s="96">
        <v>44217</v>
      </c>
      <c r="B643" s="101">
        <v>38.56</v>
      </c>
      <c r="C643" s="4">
        <f t="shared" si="20"/>
        <v>4.9395654834839915E-3</v>
      </c>
      <c r="D643" s="1">
        <f>IFERROR(Comp2[[#This Row],[Comparable '#2 Return]]+1,"-")</f>
        <v>1.0049395654834841</v>
      </c>
      <c r="E643" s="6">
        <f>B643-MAX($B$2:B643)</f>
        <v>-19.599999999999994</v>
      </c>
      <c r="F643" s="80">
        <f t="shared" si="21"/>
        <v>550</v>
      </c>
      <c r="G643" s="77">
        <f>Comp2[[#This Row],[Comparable '#2 Drawdown]]/MAX($B$2:B643)</f>
        <v>-0.33700137551581838</v>
      </c>
      <c r="H643" s="1" t="str">
        <f>IF(SUM(COUNTIF(Benchmark1[Benchmark '#1 Dates],Comp2[[#This Row],[Comparable '#2 Dates]]),COUNTIF(Benchmark2[Benchmark '#2 Dates],Comp2[[#This Row],[Comparable '#2 Dates]]))=2,"Pass","Fail")</f>
        <v>Pass</v>
      </c>
      <c r="I643" s="1">
        <f>IFERROR(Comp2[[#This Row],[Comparable '#2 Return]]-INDEX(Benchmark1[Benchmark '#1 Return],MATCH(Comp2[[#This Row],[Comparable '#2 Dates]],Benchmark1[Benchmark '#1 Dates],0)),"-")</f>
        <v>4.6209738876626261E-3</v>
      </c>
      <c r="L643" s="72">
        <f>Comp2[[#This Row],[Comparable '#2 Price]]/$B$2*100</f>
        <v>77.585513078470825</v>
      </c>
    </row>
    <row r="644" spans="1:12">
      <c r="A644" s="96">
        <v>44218</v>
      </c>
      <c r="B644" s="101">
        <v>38.75</v>
      </c>
      <c r="C644" s="4">
        <f t="shared" si="20"/>
        <v>4.9152860570111194E-3</v>
      </c>
      <c r="D644" s="1">
        <f>IFERROR(Comp2[[#This Row],[Comparable '#2 Return]]+1,"-")</f>
        <v>1.0049152860570112</v>
      </c>
      <c r="E644" s="6">
        <f>B644-MAX($B$2:B644)</f>
        <v>-19.409999999999997</v>
      </c>
      <c r="F644" s="80">
        <f t="shared" si="21"/>
        <v>551</v>
      </c>
      <c r="G644" s="77">
        <f>Comp2[[#This Row],[Comparable '#2 Drawdown]]/MAX($B$2:B644)</f>
        <v>-0.33373452544704263</v>
      </c>
      <c r="H644" s="1" t="str">
        <f>IF(SUM(COUNTIF(Benchmark1[Benchmark '#1 Dates],Comp2[[#This Row],[Comparable '#2 Dates]]),COUNTIF(Benchmark2[Benchmark '#2 Dates],Comp2[[#This Row],[Comparable '#2 Dates]]))=2,"Pass","Fail")</f>
        <v>Pass</v>
      </c>
      <c r="I644" s="1">
        <f>IFERROR(Comp2[[#This Row],[Comparable '#2 Return]]-INDEX(Benchmark1[Benchmark '#1 Return],MATCH(Comp2[[#This Row],[Comparable '#2 Dates]],Benchmark1[Benchmark '#1 Dates],0)),"-")</f>
        <v>7.932422239410708E-3</v>
      </c>
      <c r="L644" s="72">
        <f>Comp2[[#This Row],[Comparable '#2 Price]]/$B$2*100</f>
        <v>77.967806841046269</v>
      </c>
    </row>
    <row r="645" spans="1:12">
      <c r="A645" s="96">
        <v>44221</v>
      </c>
      <c r="B645" s="101">
        <v>39</v>
      </c>
      <c r="C645" s="4">
        <f t="shared" si="20"/>
        <v>6.4308903302903314E-3</v>
      </c>
      <c r="D645" s="1">
        <f>IFERROR(Comp2[[#This Row],[Comparable '#2 Return]]+1,"-")</f>
        <v>1.0064308903302903</v>
      </c>
      <c r="E645" s="6">
        <f>B645-MAX($B$2:B645)</f>
        <v>-19.159999999999997</v>
      </c>
      <c r="F645" s="80">
        <f t="shared" si="21"/>
        <v>552</v>
      </c>
      <c r="G645" s="77">
        <f>Comp2[[#This Row],[Comparable '#2 Drawdown]]/MAX($B$2:B645)</f>
        <v>-0.32943603851444286</v>
      </c>
      <c r="H645" s="1" t="str">
        <f>IF(SUM(COUNTIF(Benchmark1[Benchmark '#1 Dates],Comp2[[#This Row],[Comparable '#2 Dates]]),COUNTIF(Benchmark2[Benchmark '#2 Dates],Comp2[[#This Row],[Comparable '#2 Dates]]))=2,"Pass","Fail")</f>
        <v>Pass</v>
      </c>
      <c r="I645" s="1">
        <f>IFERROR(Comp2[[#This Row],[Comparable '#2 Return]]-INDEX(Benchmark1[Benchmark '#1 Return],MATCH(Comp2[[#This Row],[Comparable '#2 Dates]],Benchmark1[Benchmark '#1 Dates],0)),"-")</f>
        <v>2.821561604015704E-3</v>
      </c>
      <c r="L645" s="72">
        <f>Comp2[[#This Row],[Comparable '#2 Price]]/$B$2*100</f>
        <v>78.470824949698184</v>
      </c>
    </row>
    <row r="646" spans="1:12">
      <c r="A646" s="96">
        <v>44222</v>
      </c>
      <c r="B646" s="101">
        <v>39.58</v>
      </c>
      <c r="C646" s="4">
        <f t="shared" si="20"/>
        <v>1.4762294044773276E-2</v>
      </c>
      <c r="D646" s="1">
        <f>IFERROR(Comp2[[#This Row],[Comparable '#2 Return]]+1,"-")</f>
        <v>1.0147622940447734</v>
      </c>
      <c r="E646" s="6">
        <f>B646-MAX($B$2:B646)</f>
        <v>-18.579999999999998</v>
      </c>
      <c r="F646" s="80">
        <f t="shared" si="21"/>
        <v>553</v>
      </c>
      <c r="G646" s="77">
        <f>Comp2[[#This Row],[Comparable '#2 Drawdown]]/MAX($B$2:B646)</f>
        <v>-0.31946354883081152</v>
      </c>
      <c r="H646" s="1" t="str">
        <f>IF(SUM(COUNTIF(Benchmark1[Benchmark '#1 Dates],Comp2[[#This Row],[Comparable '#2 Dates]]),COUNTIF(Benchmark2[Benchmark '#2 Dates],Comp2[[#This Row],[Comparable '#2 Dates]]))=2,"Pass","Fail")</f>
        <v>Pass</v>
      </c>
      <c r="I646" s="1">
        <f>IFERROR(Comp2[[#This Row],[Comparable '#2 Return]]-INDEX(Benchmark1[Benchmark '#1 Return],MATCH(Comp2[[#This Row],[Comparable '#2 Dates]],Benchmark1[Benchmark '#1 Dates],0)),"-")</f>
        <v>1.6250804773903144E-2</v>
      </c>
      <c r="L646" s="72">
        <f>Comp2[[#This Row],[Comparable '#2 Price]]/$B$2*100</f>
        <v>79.637826961770614</v>
      </c>
    </row>
    <row r="647" spans="1:12">
      <c r="A647" s="96">
        <v>44223</v>
      </c>
      <c r="B647" s="101">
        <v>39.450000000000003</v>
      </c>
      <c r="C647" s="4">
        <f t="shared" si="20"/>
        <v>-3.2898928825363274E-3</v>
      </c>
      <c r="D647" s="1">
        <f>IFERROR(Comp2[[#This Row],[Comparable '#2 Return]]+1,"-")</f>
        <v>0.99671010711746366</v>
      </c>
      <c r="E647" s="6">
        <f>B647-MAX($B$2:B647)</f>
        <v>-18.709999999999994</v>
      </c>
      <c r="F647" s="80">
        <f t="shared" si="21"/>
        <v>554</v>
      </c>
      <c r="G647" s="77">
        <f>Comp2[[#This Row],[Comparable '#2 Drawdown]]/MAX($B$2:B647)</f>
        <v>-0.32169876203576331</v>
      </c>
      <c r="H647" s="1" t="str">
        <f>IF(SUM(COUNTIF(Benchmark1[Benchmark '#1 Dates],Comp2[[#This Row],[Comparable '#2 Dates]]),COUNTIF(Benchmark2[Benchmark '#2 Dates],Comp2[[#This Row],[Comparable '#2 Dates]]))=2,"Pass","Fail")</f>
        <v>Pass</v>
      </c>
      <c r="I647" s="1">
        <f>IFERROR(Comp2[[#This Row],[Comparable '#2 Return]]-INDEX(Benchmark1[Benchmark '#1 Return],MATCH(Comp2[[#This Row],[Comparable '#2 Dates]],Benchmark1[Benchmark '#1 Dates],0)),"-")</f>
        <v>2.2722871257062387E-2</v>
      </c>
      <c r="L647" s="72">
        <f>Comp2[[#This Row],[Comparable '#2 Price]]/$B$2*100</f>
        <v>79.376257545271628</v>
      </c>
    </row>
    <row r="648" spans="1:12">
      <c r="A648" s="96">
        <v>44224</v>
      </c>
      <c r="B648" s="101">
        <v>38.840000000000003</v>
      </c>
      <c r="C648" s="4">
        <f t="shared" si="20"/>
        <v>-1.5583403868759048E-2</v>
      </c>
      <c r="D648" s="1">
        <f>IFERROR(Comp2[[#This Row],[Comparable '#2 Return]]+1,"-")</f>
        <v>0.984416596131241</v>
      </c>
      <c r="E648" s="6">
        <f>B648-MAX($B$2:B648)</f>
        <v>-19.319999999999993</v>
      </c>
      <c r="F648" s="80">
        <f t="shared" si="21"/>
        <v>555</v>
      </c>
      <c r="G648" s="77">
        <f>Comp2[[#This Row],[Comparable '#2 Drawdown]]/MAX($B$2:B648)</f>
        <v>-0.33218707015130666</v>
      </c>
      <c r="H648" s="1" t="str">
        <f>IF(SUM(COUNTIF(Benchmark1[Benchmark '#1 Dates],Comp2[[#This Row],[Comparable '#2 Dates]]),COUNTIF(Benchmark2[Benchmark '#2 Dates],Comp2[[#This Row],[Comparable '#2 Dates]]))=2,"Pass","Fail")</f>
        <v>Pass</v>
      </c>
      <c r="I648" s="1">
        <f>IFERROR(Comp2[[#This Row],[Comparable '#2 Return]]-INDEX(Benchmark1[Benchmark '#1 Return],MATCH(Comp2[[#This Row],[Comparable '#2 Dates]],Benchmark1[Benchmark '#1 Dates],0)),"-")</f>
        <v>-2.5295054160862161E-2</v>
      </c>
      <c r="L648" s="72">
        <f>Comp2[[#This Row],[Comparable '#2 Price]]/$B$2*100</f>
        <v>78.148893360160969</v>
      </c>
    </row>
    <row r="649" spans="1:12">
      <c r="A649" s="96">
        <v>44225</v>
      </c>
      <c r="B649" s="101">
        <v>38.590000000000003</v>
      </c>
      <c r="C649" s="4">
        <f t="shared" si="20"/>
        <v>-6.4574678735967259E-3</v>
      </c>
      <c r="D649" s="1">
        <f>IFERROR(Comp2[[#This Row],[Comparable '#2 Return]]+1,"-")</f>
        <v>0.99354253212640331</v>
      </c>
      <c r="E649" s="6">
        <f>B649-MAX($B$2:B649)</f>
        <v>-19.569999999999993</v>
      </c>
      <c r="F649" s="80">
        <f t="shared" si="21"/>
        <v>556</v>
      </c>
      <c r="G649" s="77">
        <f>Comp2[[#This Row],[Comparable '#2 Drawdown]]/MAX($B$2:B649)</f>
        <v>-0.33648555708390637</v>
      </c>
      <c r="H649" s="1" t="str">
        <f>IF(SUM(COUNTIF(Benchmark1[Benchmark '#1 Dates],Comp2[[#This Row],[Comparable '#2 Dates]]),COUNTIF(Benchmark2[Benchmark '#2 Dates],Comp2[[#This Row],[Comparable '#2 Dates]]))=2,"Pass","Fail")</f>
        <v>Pass</v>
      </c>
      <c r="I649" s="1">
        <f>IFERROR(Comp2[[#This Row],[Comparable '#2 Return]]-INDEX(Benchmark1[Benchmark '#1 Return],MATCH(Comp2[[#This Row],[Comparable '#2 Dates]],Benchmark1[Benchmark '#1 Dates],0)),"-")</f>
        <v>1.3041383726618378E-2</v>
      </c>
      <c r="L649" s="72">
        <f>Comp2[[#This Row],[Comparable '#2 Price]]/$B$2*100</f>
        <v>77.645875251509054</v>
      </c>
    </row>
    <row r="650" spans="1:12">
      <c r="A650" s="96">
        <v>44228</v>
      </c>
      <c r="B650" s="101">
        <v>39.130000000000003</v>
      </c>
      <c r="C650" s="4">
        <f t="shared" si="20"/>
        <v>1.3896260672793597E-2</v>
      </c>
      <c r="D650" s="1">
        <f>IFERROR(Comp2[[#This Row],[Comparable '#2 Return]]+1,"-")</f>
        <v>1.0138962606727937</v>
      </c>
      <c r="E650" s="6">
        <f>B650-MAX($B$2:B650)</f>
        <v>-19.029999999999994</v>
      </c>
      <c r="F650" s="80">
        <f t="shared" si="21"/>
        <v>557</v>
      </c>
      <c r="G650" s="77">
        <f>Comp2[[#This Row],[Comparable '#2 Drawdown]]/MAX($B$2:B650)</f>
        <v>-0.32720082530949096</v>
      </c>
      <c r="H650" s="1" t="str">
        <f>IF(SUM(COUNTIF(Benchmark1[Benchmark '#1 Dates],Comp2[[#This Row],[Comparable '#2 Dates]]),COUNTIF(Benchmark2[Benchmark '#2 Dates],Comp2[[#This Row],[Comparable '#2 Dates]]))=2,"Pass","Fail")</f>
        <v>Pass</v>
      </c>
      <c r="I650" s="1">
        <f>IFERROR(Comp2[[#This Row],[Comparable '#2 Return]]-INDEX(Benchmark1[Benchmark '#1 Return],MATCH(Comp2[[#This Row],[Comparable '#2 Dates]],Benchmark1[Benchmark '#1 Dates],0)),"-")</f>
        <v>-2.0265169199893008E-3</v>
      </c>
      <c r="L650" s="72">
        <f>Comp2[[#This Row],[Comparable '#2 Price]]/$B$2*100</f>
        <v>78.732394366197184</v>
      </c>
    </row>
    <row r="651" spans="1:12">
      <c r="A651" s="96">
        <v>44229</v>
      </c>
      <c r="B651" s="101">
        <v>40.409999999999997</v>
      </c>
      <c r="C651" s="4">
        <f t="shared" si="20"/>
        <v>3.2187842868060985E-2</v>
      </c>
      <c r="D651" s="1">
        <f>IFERROR(Comp2[[#This Row],[Comparable '#2 Return]]+1,"-")</f>
        <v>1.0321878428680611</v>
      </c>
      <c r="E651" s="6">
        <f>B651-MAX($B$2:B651)</f>
        <v>-17.75</v>
      </c>
      <c r="F651" s="80">
        <f t="shared" si="21"/>
        <v>558</v>
      </c>
      <c r="G651" s="77">
        <f>Comp2[[#This Row],[Comparable '#2 Drawdown]]/MAX($B$2:B651)</f>
        <v>-0.30519257221458046</v>
      </c>
      <c r="H651" s="1" t="str">
        <f>IF(SUM(COUNTIF(Benchmark1[Benchmark '#1 Dates],Comp2[[#This Row],[Comparable '#2 Dates]]),COUNTIF(Benchmark2[Benchmark '#2 Dates],Comp2[[#This Row],[Comparable '#2 Dates]]))=2,"Pass","Fail")</f>
        <v>Pass</v>
      </c>
      <c r="I651" s="1">
        <f>IFERROR(Comp2[[#This Row],[Comparable '#2 Return]]-INDEX(Benchmark1[Benchmark '#1 Return],MATCH(Comp2[[#This Row],[Comparable '#2 Dates]],Benchmark1[Benchmark '#1 Dates],0)),"-")</f>
        <v>1.8383776907950136E-2</v>
      </c>
      <c r="L651" s="72">
        <f>Comp2[[#This Row],[Comparable '#2 Price]]/$B$2*100</f>
        <v>81.307847082494959</v>
      </c>
    </row>
    <row r="652" spans="1:12">
      <c r="A652" s="96">
        <v>44230</v>
      </c>
      <c r="B652" s="101">
        <v>39.159999999999997</v>
      </c>
      <c r="C652" s="4">
        <f t="shared" si="20"/>
        <v>-3.1421461428072707E-2</v>
      </c>
      <c r="D652" s="1">
        <f>IFERROR(Comp2[[#This Row],[Comparable '#2 Return]]+1,"-")</f>
        <v>0.96857853857192733</v>
      </c>
      <c r="E652" s="6">
        <f>B652-MAX($B$2:B652)</f>
        <v>-19</v>
      </c>
      <c r="F652" s="80">
        <f t="shared" si="21"/>
        <v>559</v>
      </c>
      <c r="G652" s="77">
        <f>Comp2[[#This Row],[Comparable '#2 Drawdown]]/MAX($B$2:B652)</f>
        <v>-0.32668500687757912</v>
      </c>
      <c r="H652" s="1" t="str">
        <f>IF(SUM(COUNTIF(Benchmark1[Benchmark '#1 Dates],Comp2[[#This Row],[Comparable '#2 Dates]]),COUNTIF(Benchmark2[Benchmark '#2 Dates],Comp2[[#This Row],[Comparable '#2 Dates]]))=2,"Pass","Fail")</f>
        <v>Pass</v>
      </c>
      <c r="I652" s="1">
        <f>IFERROR(Comp2[[#This Row],[Comparable '#2 Return]]-INDEX(Benchmark1[Benchmark '#1 Return],MATCH(Comp2[[#This Row],[Comparable '#2 Dates]],Benchmark1[Benchmark '#1 Dates],0)),"-")</f>
        <v>-3.2429663110919035E-2</v>
      </c>
      <c r="L652" s="72">
        <f>Comp2[[#This Row],[Comparable '#2 Price]]/$B$2*100</f>
        <v>78.792756539235398</v>
      </c>
    </row>
    <row r="653" spans="1:12">
      <c r="A653" s="96">
        <v>44231</v>
      </c>
      <c r="B653" s="101">
        <v>39.54</v>
      </c>
      <c r="C653" s="4">
        <f t="shared" si="20"/>
        <v>9.6570000801612516E-3</v>
      </c>
      <c r="D653" s="1">
        <f>IFERROR(Comp2[[#This Row],[Comparable '#2 Return]]+1,"-")</f>
        <v>1.0096570000801612</v>
      </c>
      <c r="E653" s="6">
        <f>B653-MAX($B$2:B653)</f>
        <v>-18.619999999999997</v>
      </c>
      <c r="F653" s="80">
        <f t="shared" si="21"/>
        <v>560</v>
      </c>
      <c r="G653" s="77">
        <f>Comp2[[#This Row],[Comparable '#2 Drawdown]]/MAX($B$2:B653)</f>
        <v>-0.32015130674002751</v>
      </c>
      <c r="H653" s="1" t="str">
        <f>IF(SUM(COUNTIF(Benchmark1[Benchmark '#1 Dates],Comp2[[#This Row],[Comparable '#2 Dates]]),COUNTIF(Benchmark2[Benchmark '#2 Dates],Comp2[[#This Row],[Comparable '#2 Dates]]))=2,"Pass","Fail")</f>
        <v>Pass</v>
      </c>
      <c r="I653" s="1">
        <f>IFERROR(Comp2[[#This Row],[Comparable '#2 Return]]-INDEX(Benchmark1[Benchmark '#1 Return],MATCH(Comp2[[#This Row],[Comparable '#2 Dates]],Benchmark1[Benchmark '#1 Dates],0)),"-")</f>
        <v>-1.1373237257930133E-3</v>
      </c>
      <c r="L653" s="72">
        <f>Comp2[[#This Row],[Comparable '#2 Price]]/$B$2*100</f>
        <v>79.557344064386314</v>
      </c>
    </row>
    <row r="654" spans="1:12">
      <c r="A654" s="96">
        <v>44232</v>
      </c>
      <c r="B654" s="101">
        <v>39.5</v>
      </c>
      <c r="C654" s="4">
        <f t="shared" si="20"/>
        <v>-1.012145835394629E-3</v>
      </c>
      <c r="D654" s="1">
        <f>IFERROR(Comp2[[#This Row],[Comparable '#2 Return]]+1,"-")</f>
        <v>0.99898785416460534</v>
      </c>
      <c r="E654" s="6">
        <f>B654-MAX($B$2:B654)</f>
        <v>-18.659999999999997</v>
      </c>
      <c r="F654" s="80">
        <f t="shared" si="21"/>
        <v>561</v>
      </c>
      <c r="G654" s="77">
        <f>Comp2[[#This Row],[Comparable '#2 Drawdown]]/MAX($B$2:B654)</f>
        <v>-0.32083906464924344</v>
      </c>
      <c r="H654" s="1" t="str">
        <f>IF(SUM(COUNTIF(Benchmark1[Benchmark '#1 Dates],Comp2[[#This Row],[Comparable '#2 Dates]]),COUNTIF(Benchmark2[Benchmark '#2 Dates],Comp2[[#This Row],[Comparable '#2 Dates]]))=2,"Pass","Fail")</f>
        <v>Pass</v>
      </c>
      <c r="I654" s="1">
        <f>IFERROR(Comp2[[#This Row],[Comparable '#2 Return]]-INDEX(Benchmark1[Benchmark '#1 Return],MATCH(Comp2[[#This Row],[Comparable '#2 Dates]],Benchmark1[Benchmark '#1 Dates],0)),"-")</f>
        <v>-4.902319256476966E-3</v>
      </c>
      <c r="L654" s="72">
        <f>Comp2[[#This Row],[Comparable '#2 Price]]/$B$2*100</f>
        <v>79.476861167002014</v>
      </c>
    </row>
    <row r="655" spans="1:12">
      <c r="A655" s="96">
        <v>44235</v>
      </c>
      <c r="B655" s="101">
        <v>41.54</v>
      </c>
      <c r="C655" s="4">
        <f t="shared" si="20"/>
        <v>5.0356146540890032E-2</v>
      </c>
      <c r="D655" s="1">
        <f>IFERROR(Comp2[[#This Row],[Comparable '#2 Return]]+1,"-")</f>
        <v>1.0503561465408899</v>
      </c>
      <c r="E655" s="6">
        <f>B655-MAX($B$2:B655)</f>
        <v>-16.619999999999997</v>
      </c>
      <c r="F655" s="80">
        <f t="shared" si="21"/>
        <v>562</v>
      </c>
      <c r="G655" s="77">
        <f>Comp2[[#This Row],[Comparable '#2 Drawdown]]/MAX($B$2:B655)</f>
        <v>-0.28576341127922966</v>
      </c>
      <c r="H655" s="1" t="str">
        <f>IF(SUM(COUNTIF(Benchmark1[Benchmark '#1 Dates],Comp2[[#This Row],[Comparable '#2 Dates]]),COUNTIF(Benchmark2[Benchmark '#2 Dates],Comp2[[#This Row],[Comparable '#2 Dates]]))=2,"Pass","Fail")</f>
        <v>Pass</v>
      </c>
      <c r="I655" s="1">
        <f>IFERROR(Comp2[[#This Row],[Comparable '#2 Return]]-INDEX(Benchmark1[Benchmark '#1 Return],MATCH(Comp2[[#This Row],[Comparable '#2 Dates]],Benchmark1[Benchmark '#1 Dates],0)),"-")</f>
        <v>4.2984837774911848E-2</v>
      </c>
      <c r="L655" s="72">
        <f>Comp2[[#This Row],[Comparable '#2 Price]]/$B$2*100</f>
        <v>83.581488933601605</v>
      </c>
    </row>
    <row r="656" spans="1:12">
      <c r="A656" s="96">
        <v>44236</v>
      </c>
      <c r="B656" s="101">
        <v>41.3</v>
      </c>
      <c r="C656" s="4">
        <f t="shared" si="20"/>
        <v>-5.7943184809791885E-3</v>
      </c>
      <c r="D656" s="1">
        <f>IFERROR(Comp2[[#This Row],[Comparable '#2 Return]]+1,"-")</f>
        <v>0.99420568151902078</v>
      </c>
      <c r="E656" s="6">
        <f>B656-MAX($B$2:B656)</f>
        <v>-16.86</v>
      </c>
      <c r="F656" s="80">
        <f t="shared" si="21"/>
        <v>563</v>
      </c>
      <c r="G656" s="77">
        <f>Comp2[[#This Row],[Comparable '#2 Drawdown]]/MAX($B$2:B656)</f>
        <v>-0.28988995873452544</v>
      </c>
      <c r="H656" s="1" t="str">
        <f>IF(SUM(COUNTIF(Benchmark1[Benchmark '#1 Dates],Comp2[[#This Row],[Comparable '#2 Dates]]),COUNTIF(Benchmark2[Benchmark '#2 Dates],Comp2[[#This Row],[Comparable '#2 Dates]]))=2,"Pass","Fail")</f>
        <v>Pass</v>
      </c>
      <c r="I656" s="1">
        <f>IFERROR(Comp2[[#This Row],[Comparable '#2 Return]]-INDEX(Benchmark1[Benchmark '#1 Return],MATCH(Comp2[[#This Row],[Comparable '#2 Dates]],Benchmark1[Benchmark '#1 Dates],0)),"-")</f>
        <v>-4.679967479829239E-3</v>
      </c>
      <c r="L656" s="72">
        <f>Comp2[[#This Row],[Comparable '#2 Price]]/$B$2*100</f>
        <v>83.098591549295762</v>
      </c>
    </row>
    <row r="657" spans="1:12">
      <c r="A657" s="96">
        <v>44237</v>
      </c>
      <c r="B657" s="101">
        <v>41.09</v>
      </c>
      <c r="C657" s="4">
        <f t="shared" si="20"/>
        <v>-5.0977170716684939E-3</v>
      </c>
      <c r="D657" s="1">
        <f>IFERROR(Comp2[[#This Row],[Comparable '#2 Return]]+1,"-")</f>
        <v>0.99490228292833149</v>
      </c>
      <c r="E657" s="6">
        <f>B657-MAX($B$2:B657)</f>
        <v>-17.069999999999993</v>
      </c>
      <c r="F657" s="80">
        <f t="shared" si="21"/>
        <v>564</v>
      </c>
      <c r="G657" s="77">
        <f>Comp2[[#This Row],[Comparable '#2 Drawdown]]/MAX($B$2:B657)</f>
        <v>-0.29350068775790911</v>
      </c>
      <c r="H657" s="1" t="str">
        <f>IF(SUM(COUNTIF(Benchmark1[Benchmark '#1 Dates],Comp2[[#This Row],[Comparable '#2 Dates]]),COUNTIF(Benchmark2[Benchmark '#2 Dates],Comp2[[#This Row],[Comparable '#2 Dates]]))=2,"Pass","Fail")</f>
        <v>Pass</v>
      </c>
      <c r="I657" s="1">
        <f>IFERROR(Comp2[[#This Row],[Comparable '#2 Return]]-INDEX(Benchmark1[Benchmark '#1 Return],MATCH(Comp2[[#This Row],[Comparable '#2 Dates]],Benchmark1[Benchmark '#1 Dates],0)),"-")</f>
        <v>-4.7530298907669443E-3</v>
      </c>
      <c r="L657" s="72">
        <f>Comp2[[#This Row],[Comparable '#2 Price]]/$B$2*100</f>
        <v>82.676056338028175</v>
      </c>
    </row>
    <row r="658" spans="1:12">
      <c r="A658" s="96">
        <v>44238</v>
      </c>
      <c r="B658" s="101">
        <v>40.799999999999997</v>
      </c>
      <c r="C658" s="4">
        <f t="shared" si="20"/>
        <v>-7.0827014852025503E-3</v>
      </c>
      <c r="D658" s="1">
        <f>IFERROR(Comp2[[#This Row],[Comparable '#2 Return]]+1,"-")</f>
        <v>0.99291729851479749</v>
      </c>
      <c r="E658" s="6">
        <f>B658-MAX($B$2:B658)</f>
        <v>-17.36</v>
      </c>
      <c r="F658" s="80">
        <f t="shared" si="21"/>
        <v>565</v>
      </c>
      <c r="G658" s="77">
        <f>Comp2[[#This Row],[Comparable '#2 Drawdown]]/MAX($B$2:B658)</f>
        <v>-0.29848693259972492</v>
      </c>
      <c r="H658" s="1" t="str">
        <f>IF(SUM(COUNTIF(Benchmark1[Benchmark '#1 Dates],Comp2[[#This Row],[Comparable '#2 Dates]]),COUNTIF(Benchmark2[Benchmark '#2 Dates],Comp2[[#This Row],[Comparable '#2 Dates]]))=2,"Pass","Fail")</f>
        <v>Pass</v>
      </c>
      <c r="I658" s="1">
        <f>IFERROR(Comp2[[#This Row],[Comparable '#2 Return]]-INDEX(Benchmark1[Benchmark '#1 Return],MATCH(Comp2[[#This Row],[Comparable '#2 Dates]],Benchmark1[Benchmark '#1 Dates],0)),"-")</f>
        <v>-8.7425665815276041E-3</v>
      </c>
      <c r="L658" s="72">
        <f>Comp2[[#This Row],[Comparable '#2 Price]]/$B$2*100</f>
        <v>82.092555331991946</v>
      </c>
    </row>
    <row r="659" spans="1:12">
      <c r="A659" s="96">
        <v>44239</v>
      </c>
      <c r="B659" s="101">
        <v>40.659999999999997</v>
      </c>
      <c r="C659" s="4">
        <f t="shared" si="20"/>
        <v>-3.437273209915429E-3</v>
      </c>
      <c r="D659" s="1">
        <f>IFERROR(Comp2[[#This Row],[Comparable '#2 Return]]+1,"-")</f>
        <v>0.99656272679008462</v>
      </c>
      <c r="E659" s="6">
        <f>B659-MAX($B$2:B659)</f>
        <v>-17.5</v>
      </c>
      <c r="F659" s="80">
        <f t="shared" si="21"/>
        <v>566</v>
      </c>
      <c r="G659" s="77">
        <f>Comp2[[#This Row],[Comparable '#2 Drawdown]]/MAX($B$2:B659)</f>
        <v>-0.30089408528198075</v>
      </c>
      <c r="H659" s="1" t="str">
        <f>IF(SUM(COUNTIF(Benchmark1[Benchmark '#1 Dates],Comp2[[#This Row],[Comparable '#2 Dates]]),COUNTIF(Benchmark2[Benchmark '#2 Dates],Comp2[[#This Row],[Comparable '#2 Dates]]))=2,"Pass","Fail")</f>
        <v>Pass</v>
      </c>
      <c r="I659" s="1">
        <f>IFERROR(Comp2[[#This Row],[Comparable '#2 Return]]-INDEX(Benchmark1[Benchmark '#1 Return],MATCH(Comp2[[#This Row],[Comparable '#2 Dates]],Benchmark1[Benchmark '#1 Dates],0)),"-")</f>
        <v>-8.1394019978051676E-3</v>
      </c>
      <c r="L659" s="72">
        <f>Comp2[[#This Row],[Comparable '#2 Price]]/$B$2*100</f>
        <v>81.81086519114686</v>
      </c>
    </row>
    <row r="660" spans="1:12">
      <c r="A660" s="96">
        <v>44243</v>
      </c>
      <c r="B660" s="101">
        <v>38.950000000000003</v>
      </c>
      <c r="C660" s="4">
        <f t="shared" si="20"/>
        <v>-4.2966035883443138E-2</v>
      </c>
      <c r="D660" s="1">
        <f>IFERROR(Comp2[[#This Row],[Comparable '#2 Return]]+1,"-")</f>
        <v>0.95703396411655683</v>
      </c>
      <c r="E660" s="6">
        <f>B660-MAX($B$2:B660)</f>
        <v>-19.209999999999994</v>
      </c>
      <c r="F660" s="80">
        <f t="shared" si="21"/>
        <v>567</v>
      </c>
      <c r="G660" s="77">
        <f>Comp2[[#This Row],[Comparable '#2 Drawdown]]/MAX($B$2:B660)</f>
        <v>-0.33029573590096278</v>
      </c>
      <c r="H660" s="1" t="str">
        <f>IF(SUM(COUNTIF(Benchmark1[Benchmark '#1 Dates],Comp2[[#This Row],[Comparable '#2 Dates]]),COUNTIF(Benchmark2[Benchmark '#2 Dates],Comp2[[#This Row],[Comparable '#2 Dates]]))=2,"Pass","Fail")</f>
        <v>Pass</v>
      </c>
      <c r="I660" s="1">
        <f>IFERROR(Comp2[[#This Row],[Comparable '#2 Return]]-INDEX(Benchmark1[Benchmark '#1 Return],MATCH(Comp2[[#This Row],[Comparable '#2 Dates]],Benchmark1[Benchmark '#1 Dates],0)),"-")</f>
        <v>-4.2395475088607748E-2</v>
      </c>
      <c r="L660" s="72">
        <f>Comp2[[#This Row],[Comparable '#2 Price]]/$B$2*100</f>
        <v>78.370221327967798</v>
      </c>
    </row>
    <row r="661" spans="1:12">
      <c r="A661" s="96">
        <v>44244</v>
      </c>
      <c r="B661" s="101">
        <v>39.75</v>
      </c>
      <c r="C661" s="4">
        <f t="shared" si="20"/>
        <v>2.0331068783583539E-2</v>
      </c>
      <c r="D661" s="1">
        <f>IFERROR(Comp2[[#This Row],[Comparable '#2 Return]]+1,"-")</f>
        <v>1.0203310687835836</v>
      </c>
      <c r="E661" s="6">
        <f>B661-MAX($B$2:B661)</f>
        <v>-18.409999999999997</v>
      </c>
      <c r="F661" s="80">
        <f t="shared" si="21"/>
        <v>568</v>
      </c>
      <c r="G661" s="77">
        <f>Comp2[[#This Row],[Comparable '#2 Drawdown]]/MAX($B$2:B661)</f>
        <v>-0.31654057771664368</v>
      </c>
      <c r="H661" s="1" t="str">
        <f>IF(SUM(COUNTIF(Benchmark1[Benchmark '#1 Dates],Comp2[[#This Row],[Comparable '#2 Dates]]),COUNTIF(Benchmark2[Benchmark '#2 Dates],Comp2[[#This Row],[Comparable '#2 Dates]]))=2,"Pass","Fail")</f>
        <v>Pass</v>
      </c>
      <c r="I661" s="1">
        <f>IFERROR(Comp2[[#This Row],[Comparable '#2 Return]]-INDEX(Benchmark1[Benchmark '#1 Return],MATCH(Comp2[[#This Row],[Comparable '#2 Dates]],Benchmark1[Benchmark '#1 Dates],0)),"-")</f>
        <v>2.0651198083031275E-2</v>
      </c>
      <c r="L661" s="72">
        <f>Comp2[[#This Row],[Comparable '#2 Price]]/$B$2*100</f>
        <v>79.979879275653914</v>
      </c>
    </row>
    <row r="662" spans="1:12">
      <c r="A662" s="96">
        <v>44245</v>
      </c>
      <c r="B662" s="101">
        <v>40.630000000000003</v>
      </c>
      <c r="C662" s="4">
        <f t="shared" si="20"/>
        <v>2.1896868899294555E-2</v>
      </c>
      <c r="D662" s="1">
        <f>IFERROR(Comp2[[#This Row],[Comparable '#2 Return]]+1,"-")</f>
        <v>1.0218968688992947</v>
      </c>
      <c r="E662" s="6">
        <f>B662-MAX($B$2:B662)</f>
        <v>-17.529999999999994</v>
      </c>
      <c r="F662" s="80">
        <f t="shared" si="21"/>
        <v>569</v>
      </c>
      <c r="G662" s="77">
        <f>Comp2[[#This Row],[Comparable '#2 Drawdown]]/MAX($B$2:B662)</f>
        <v>-0.30140990371389265</v>
      </c>
      <c r="H662" s="1" t="str">
        <f>IF(SUM(COUNTIF(Benchmark1[Benchmark '#1 Dates],Comp2[[#This Row],[Comparable '#2 Dates]]),COUNTIF(Benchmark2[Benchmark '#2 Dates],Comp2[[#This Row],[Comparable '#2 Dates]]))=2,"Pass","Fail")</f>
        <v>Pass</v>
      </c>
      <c r="I662" s="1">
        <f>IFERROR(Comp2[[#This Row],[Comparable '#2 Return]]-INDEX(Benchmark1[Benchmark '#1 Return],MATCH(Comp2[[#This Row],[Comparable '#2 Dates]],Benchmark1[Benchmark '#1 Dates],0)),"-")</f>
        <v>2.6322256781449706E-2</v>
      </c>
      <c r="L662" s="72">
        <f>Comp2[[#This Row],[Comparable '#2 Price]]/$B$2*100</f>
        <v>81.75050301810866</v>
      </c>
    </row>
    <row r="663" spans="1:12">
      <c r="A663" s="96">
        <v>44246</v>
      </c>
      <c r="B663" s="101">
        <v>41.33</v>
      </c>
      <c r="C663" s="4">
        <f t="shared" si="20"/>
        <v>1.7081918524005597E-2</v>
      </c>
      <c r="D663" s="1">
        <f>IFERROR(Comp2[[#This Row],[Comparable '#2 Return]]+1,"-")</f>
        <v>1.0170819185240056</v>
      </c>
      <c r="E663" s="6">
        <f>B663-MAX($B$2:B663)</f>
        <v>-16.829999999999998</v>
      </c>
      <c r="F663" s="80">
        <f t="shared" si="21"/>
        <v>570</v>
      </c>
      <c r="G663" s="77">
        <f>Comp2[[#This Row],[Comparable '#2 Drawdown]]/MAX($B$2:B663)</f>
        <v>-0.28937414030261349</v>
      </c>
      <c r="H663" s="1" t="str">
        <f>IF(SUM(COUNTIF(Benchmark1[Benchmark '#1 Dates],Comp2[[#This Row],[Comparable '#2 Dates]]),COUNTIF(Benchmark2[Benchmark '#2 Dates],Comp2[[#This Row],[Comparable '#2 Dates]]))=2,"Pass","Fail")</f>
        <v>Pass</v>
      </c>
      <c r="I663" s="1">
        <f>IFERROR(Comp2[[#This Row],[Comparable '#2 Return]]-INDEX(Benchmark1[Benchmark '#1 Return],MATCH(Comp2[[#This Row],[Comparable '#2 Dates]],Benchmark1[Benchmark '#1 Dates],0)),"-")</f>
        <v>1.8939416128933281E-2</v>
      </c>
      <c r="L663" s="72">
        <f>Comp2[[#This Row],[Comparable '#2 Price]]/$B$2*100</f>
        <v>83.15895372233399</v>
      </c>
    </row>
    <row r="664" spans="1:12">
      <c r="A664" s="96">
        <v>44249</v>
      </c>
      <c r="B664" s="101">
        <v>41.1</v>
      </c>
      <c r="C664" s="4">
        <f t="shared" si="20"/>
        <v>-5.580507021452014E-3</v>
      </c>
      <c r="D664" s="1">
        <f>IFERROR(Comp2[[#This Row],[Comparable '#2 Return]]+1,"-")</f>
        <v>0.99441949297854804</v>
      </c>
      <c r="E664" s="6">
        <f>B664-MAX($B$2:B664)</f>
        <v>-17.059999999999995</v>
      </c>
      <c r="F664" s="80">
        <f t="shared" si="21"/>
        <v>571</v>
      </c>
      <c r="G664" s="77">
        <f>Comp2[[#This Row],[Comparable '#2 Drawdown]]/MAX($B$2:B664)</f>
        <v>-0.29332874828060518</v>
      </c>
      <c r="H664" s="1" t="str">
        <f>IF(SUM(COUNTIF(Benchmark1[Benchmark '#1 Dates],Comp2[[#This Row],[Comparable '#2 Dates]]),COUNTIF(Benchmark2[Benchmark '#2 Dates],Comp2[[#This Row],[Comparable '#2 Dates]]))=2,"Pass","Fail")</f>
        <v>Pass</v>
      </c>
      <c r="I664" s="1">
        <f>IFERROR(Comp2[[#This Row],[Comparable '#2 Return]]-INDEX(Benchmark1[Benchmark '#1 Return],MATCH(Comp2[[#This Row],[Comparable '#2 Dates]],Benchmark1[Benchmark '#1 Dates],0)),"-")</f>
        <v>2.1818749821852145E-3</v>
      </c>
      <c r="L664" s="72">
        <f>Comp2[[#This Row],[Comparable '#2 Price]]/$B$2*100</f>
        <v>82.696177062374247</v>
      </c>
    </row>
    <row r="665" spans="1:12">
      <c r="A665" s="96">
        <v>44250</v>
      </c>
      <c r="B665" s="101">
        <v>40.619999999999997</v>
      </c>
      <c r="C665" s="4">
        <f t="shared" si="20"/>
        <v>-1.1747565349950417E-2</v>
      </c>
      <c r="D665" s="1">
        <f>IFERROR(Comp2[[#This Row],[Comparable '#2 Return]]+1,"-")</f>
        <v>0.98825243465004964</v>
      </c>
      <c r="E665" s="6">
        <f>B665-MAX($B$2:B665)</f>
        <v>-17.54</v>
      </c>
      <c r="F665" s="80">
        <f t="shared" si="21"/>
        <v>572</v>
      </c>
      <c r="G665" s="77">
        <f>Comp2[[#This Row],[Comparable '#2 Drawdown]]/MAX($B$2:B665)</f>
        <v>-0.30158184319119669</v>
      </c>
      <c r="H665" s="1" t="str">
        <f>IF(SUM(COUNTIF(Benchmark1[Benchmark '#1 Dates],Comp2[[#This Row],[Comparable '#2 Dates]]),COUNTIF(Benchmark2[Benchmark '#2 Dates],Comp2[[#This Row],[Comparable '#2 Dates]]))=2,"Pass","Fail")</f>
        <v>Pass</v>
      </c>
      <c r="I665" s="1">
        <f>IFERROR(Comp2[[#This Row],[Comparable '#2 Return]]-INDEX(Benchmark1[Benchmark '#1 Return],MATCH(Comp2[[#This Row],[Comparable '#2 Dates]],Benchmark1[Benchmark '#1 Dates],0)),"-")</f>
        <v>-1.3002817500455031E-2</v>
      </c>
      <c r="L665" s="72">
        <f>Comp2[[#This Row],[Comparable '#2 Price]]/$B$2*100</f>
        <v>81.73038229376256</v>
      </c>
    </row>
    <row r="666" spans="1:12">
      <c r="A666" s="96">
        <v>44251</v>
      </c>
      <c r="B666" s="101">
        <v>41.33</v>
      </c>
      <c r="C666" s="4">
        <f t="shared" si="20"/>
        <v>1.732807237140244E-2</v>
      </c>
      <c r="D666" s="1">
        <f>IFERROR(Comp2[[#This Row],[Comparable '#2 Return]]+1,"-")</f>
        <v>1.0173280723714024</v>
      </c>
      <c r="E666" s="6">
        <f>B666-MAX($B$2:B666)</f>
        <v>-16.829999999999998</v>
      </c>
      <c r="F666" s="80">
        <f t="shared" si="21"/>
        <v>573</v>
      </c>
      <c r="G666" s="77">
        <f>Comp2[[#This Row],[Comparable '#2 Drawdown]]/MAX($B$2:B666)</f>
        <v>-0.28937414030261349</v>
      </c>
      <c r="H666" s="1" t="str">
        <f>IF(SUM(COUNTIF(Benchmark1[Benchmark '#1 Dates],Comp2[[#This Row],[Comparable '#2 Dates]]),COUNTIF(Benchmark2[Benchmark '#2 Dates],Comp2[[#This Row],[Comparable '#2 Dates]]))=2,"Pass","Fail")</f>
        <v>Pass</v>
      </c>
      <c r="I666" s="1">
        <f>IFERROR(Comp2[[#This Row],[Comparable '#2 Return]]-INDEX(Benchmark1[Benchmark '#1 Return],MATCH(Comp2[[#This Row],[Comparable '#2 Dates]],Benchmark1[Benchmark '#1 Dates],0)),"-")</f>
        <v>6.0406791271609677E-3</v>
      </c>
      <c r="L666" s="72">
        <f>Comp2[[#This Row],[Comparable '#2 Price]]/$B$2*100</f>
        <v>83.15895372233399</v>
      </c>
    </row>
    <row r="667" spans="1:12">
      <c r="A667" s="96">
        <v>44252</v>
      </c>
      <c r="B667" s="101">
        <v>39.67</v>
      </c>
      <c r="C667" s="4">
        <f t="shared" si="20"/>
        <v>-4.0993393997402171E-2</v>
      </c>
      <c r="D667" s="1">
        <f>IFERROR(Comp2[[#This Row],[Comparable '#2 Return]]+1,"-")</f>
        <v>0.95900660600259779</v>
      </c>
      <c r="E667" s="6">
        <f>B667-MAX($B$2:B667)</f>
        <v>-18.489999999999995</v>
      </c>
      <c r="F667" s="80">
        <f t="shared" si="21"/>
        <v>574</v>
      </c>
      <c r="G667" s="77">
        <f>Comp2[[#This Row],[Comparable '#2 Drawdown]]/MAX($B$2:B667)</f>
        <v>-0.31791609353507561</v>
      </c>
      <c r="H667" s="1" t="str">
        <f>IF(SUM(COUNTIF(Benchmark1[Benchmark '#1 Dates],Comp2[[#This Row],[Comparable '#2 Dates]]),COUNTIF(Benchmark2[Benchmark '#2 Dates],Comp2[[#This Row],[Comparable '#2 Dates]]))=2,"Pass","Fail")</f>
        <v>Pass</v>
      </c>
      <c r="I667" s="1">
        <f>IFERROR(Comp2[[#This Row],[Comparable '#2 Return]]-INDEX(Benchmark1[Benchmark '#1 Return],MATCH(Comp2[[#This Row],[Comparable '#2 Dates]],Benchmark1[Benchmark '#1 Dates],0)),"-")</f>
        <v>-1.6209537688546796E-2</v>
      </c>
      <c r="L667" s="72">
        <f>Comp2[[#This Row],[Comparable '#2 Price]]/$B$2*100</f>
        <v>79.818913480885314</v>
      </c>
    </row>
    <row r="668" spans="1:12">
      <c r="A668" s="96">
        <v>44253</v>
      </c>
      <c r="B668" s="101">
        <v>39.299999999999997</v>
      </c>
      <c r="C668" s="4">
        <f t="shared" si="20"/>
        <v>-9.3707156510233428E-3</v>
      </c>
      <c r="D668" s="1">
        <f>IFERROR(Comp2[[#This Row],[Comparable '#2 Return]]+1,"-")</f>
        <v>0.99062928434897668</v>
      </c>
      <c r="E668" s="6">
        <f>B668-MAX($B$2:B668)</f>
        <v>-18.86</v>
      </c>
      <c r="F668" s="80">
        <f t="shared" si="21"/>
        <v>575</v>
      </c>
      <c r="G668" s="77">
        <f>Comp2[[#This Row],[Comparable '#2 Drawdown]]/MAX($B$2:B668)</f>
        <v>-0.32427785419532323</v>
      </c>
      <c r="H668" s="1" t="str">
        <f>IF(SUM(COUNTIF(Benchmark1[Benchmark '#1 Dates],Comp2[[#This Row],[Comparable '#2 Dates]]),COUNTIF(Benchmark2[Benchmark '#2 Dates],Comp2[[#This Row],[Comparable '#2 Dates]]))=2,"Pass","Fail")</f>
        <v>Pass</v>
      </c>
      <c r="I668" s="1">
        <f>IFERROR(Comp2[[#This Row],[Comparable '#2 Return]]-INDEX(Benchmark1[Benchmark '#1 Return],MATCH(Comp2[[#This Row],[Comparable '#2 Dates]],Benchmark1[Benchmark '#1 Dates],0)),"-")</f>
        <v>-4.6101870046511562E-3</v>
      </c>
      <c r="L668" s="72">
        <f>Comp2[[#This Row],[Comparable '#2 Price]]/$B$2*100</f>
        <v>79.07444668008047</v>
      </c>
    </row>
    <row r="669" spans="1:12">
      <c r="A669" s="96">
        <v>44256</v>
      </c>
      <c r="B669" s="101">
        <v>38.99</v>
      </c>
      <c r="C669" s="4">
        <f t="shared" si="20"/>
        <v>-7.9193158807094686E-3</v>
      </c>
      <c r="D669" s="1">
        <f>IFERROR(Comp2[[#This Row],[Comparable '#2 Return]]+1,"-")</f>
        <v>0.99208068411929051</v>
      </c>
      <c r="E669" s="6">
        <f>B669-MAX($B$2:B669)</f>
        <v>-19.169999999999995</v>
      </c>
      <c r="F669" s="80">
        <f t="shared" si="21"/>
        <v>576</v>
      </c>
      <c r="G669" s="77">
        <f>Comp2[[#This Row],[Comparable '#2 Drawdown]]/MAX($B$2:B669)</f>
        <v>-0.32960797799174685</v>
      </c>
      <c r="H669" s="1" t="str">
        <f>IF(SUM(COUNTIF(Benchmark1[Benchmark '#1 Dates],Comp2[[#This Row],[Comparable '#2 Dates]]),COUNTIF(Benchmark2[Benchmark '#2 Dates],Comp2[[#This Row],[Comparable '#2 Dates]]))=2,"Pass","Fail")</f>
        <v>Pass</v>
      </c>
      <c r="I669" s="1">
        <f>IFERROR(Comp2[[#This Row],[Comparable '#2 Return]]-INDEX(Benchmark1[Benchmark '#1 Return],MATCH(Comp2[[#This Row],[Comparable '#2 Dates]],Benchmark1[Benchmark '#1 Dates],0)),"-")</f>
        <v>-3.143038027588671E-2</v>
      </c>
      <c r="L669" s="72">
        <f>Comp2[[#This Row],[Comparable '#2 Price]]/$B$2*100</f>
        <v>78.450704225352112</v>
      </c>
    </row>
    <row r="670" spans="1:12">
      <c r="A670" s="96">
        <v>44257</v>
      </c>
      <c r="B670" s="101">
        <v>38.35</v>
      </c>
      <c r="C670" s="4">
        <f t="shared" si="20"/>
        <v>-1.6550675181240749E-2</v>
      </c>
      <c r="D670" s="1">
        <f>IFERROR(Comp2[[#This Row],[Comparable '#2 Return]]+1,"-")</f>
        <v>0.98344932481875924</v>
      </c>
      <c r="E670" s="6">
        <f>B670-MAX($B$2:B670)</f>
        <v>-19.809999999999995</v>
      </c>
      <c r="F670" s="80">
        <f t="shared" si="21"/>
        <v>577</v>
      </c>
      <c r="G670" s="77">
        <f>Comp2[[#This Row],[Comparable '#2 Drawdown]]/MAX($B$2:B670)</f>
        <v>-0.34061210453920215</v>
      </c>
      <c r="H670" s="1" t="str">
        <f>IF(SUM(COUNTIF(Benchmark1[Benchmark '#1 Dates],Comp2[[#This Row],[Comparable '#2 Dates]]),COUNTIF(Benchmark2[Benchmark '#2 Dates],Comp2[[#This Row],[Comparable '#2 Dates]]))=2,"Pass","Fail")</f>
        <v>Pass</v>
      </c>
      <c r="I670" s="1">
        <f>IFERROR(Comp2[[#This Row],[Comparable '#2 Return]]-INDEX(Benchmark1[Benchmark '#1 Return],MATCH(Comp2[[#This Row],[Comparable '#2 Dates]],Benchmark1[Benchmark '#1 Dates],0)),"-")</f>
        <v>-8.4391245938645401E-3</v>
      </c>
      <c r="L670" s="72">
        <f>Comp2[[#This Row],[Comparable '#2 Price]]/$B$2*100</f>
        <v>77.162977867203224</v>
      </c>
    </row>
    <row r="671" spans="1:12">
      <c r="A671" s="96">
        <v>44258</v>
      </c>
      <c r="B671" s="101">
        <v>38.299999999999997</v>
      </c>
      <c r="C671" s="4">
        <f t="shared" si="20"/>
        <v>-1.3046316266649694E-3</v>
      </c>
      <c r="D671" s="1">
        <f>IFERROR(Comp2[[#This Row],[Comparable '#2 Return]]+1,"-")</f>
        <v>0.99869536837333506</v>
      </c>
      <c r="E671" s="6">
        <f>B671-MAX($B$2:B671)</f>
        <v>-19.86</v>
      </c>
      <c r="F671" s="80">
        <f t="shared" si="21"/>
        <v>578</v>
      </c>
      <c r="G671" s="77">
        <f>Comp2[[#This Row],[Comparable '#2 Drawdown]]/MAX($B$2:B671)</f>
        <v>-0.34147180192572213</v>
      </c>
      <c r="H671" s="1" t="str">
        <f>IF(SUM(COUNTIF(Benchmark1[Benchmark '#1 Dates],Comp2[[#This Row],[Comparable '#2 Dates]]),COUNTIF(Benchmark2[Benchmark '#2 Dates],Comp2[[#This Row],[Comparable '#2 Dates]]))=2,"Pass","Fail")</f>
        <v>Pass</v>
      </c>
      <c r="I671" s="1">
        <f>IFERROR(Comp2[[#This Row],[Comparable '#2 Return]]-INDEX(Benchmark1[Benchmark '#1 Return],MATCH(Comp2[[#This Row],[Comparable '#2 Dates]],Benchmark1[Benchmark '#1 Dates],0)),"-")</f>
        <v>1.1849583366862551E-2</v>
      </c>
      <c r="L671" s="72">
        <f>Comp2[[#This Row],[Comparable '#2 Price]]/$B$2*100</f>
        <v>77.062374245472824</v>
      </c>
    </row>
    <row r="672" spans="1:12">
      <c r="A672" s="96">
        <v>44259</v>
      </c>
      <c r="B672" s="101">
        <v>38.020000000000003</v>
      </c>
      <c r="C672" s="4">
        <f t="shared" si="20"/>
        <v>-7.3375591263169938E-3</v>
      </c>
      <c r="D672" s="1">
        <f>IFERROR(Comp2[[#This Row],[Comparable '#2 Return]]+1,"-")</f>
        <v>0.99266244087368305</v>
      </c>
      <c r="E672" s="6">
        <f>B672-MAX($B$2:B672)</f>
        <v>-20.139999999999993</v>
      </c>
      <c r="F672" s="80">
        <f t="shared" si="21"/>
        <v>579</v>
      </c>
      <c r="G672" s="77">
        <f>Comp2[[#This Row],[Comparable '#2 Drawdown]]/MAX($B$2:B672)</f>
        <v>-0.34628610729023374</v>
      </c>
      <c r="H672" s="1" t="str">
        <f>IF(SUM(COUNTIF(Benchmark1[Benchmark '#1 Dates],Comp2[[#This Row],[Comparable '#2 Dates]]),COUNTIF(Benchmark2[Benchmark '#2 Dates],Comp2[[#This Row],[Comparable '#2 Dates]]))=2,"Pass","Fail")</f>
        <v>Pass</v>
      </c>
      <c r="I672" s="1">
        <f>IFERROR(Comp2[[#This Row],[Comparable '#2 Return]]-INDEX(Benchmark1[Benchmark '#1 Return],MATCH(Comp2[[#This Row],[Comparable '#2 Dates]],Benchmark1[Benchmark '#1 Dates],0)),"-")</f>
        <v>6.1685985406439697E-3</v>
      </c>
      <c r="L672" s="72">
        <f>Comp2[[#This Row],[Comparable '#2 Price]]/$B$2*100</f>
        <v>76.498993963782709</v>
      </c>
    </row>
    <row r="673" spans="1:12">
      <c r="A673" s="96">
        <v>44260</v>
      </c>
      <c r="B673" s="101">
        <v>38.799999999999997</v>
      </c>
      <c r="C673" s="4">
        <f t="shared" si="20"/>
        <v>2.0307909568944418E-2</v>
      </c>
      <c r="D673" s="1">
        <f>IFERROR(Comp2[[#This Row],[Comparable '#2 Return]]+1,"-")</f>
        <v>1.0203079095689445</v>
      </c>
      <c r="E673" s="6">
        <f>B673-MAX($B$2:B673)</f>
        <v>-19.36</v>
      </c>
      <c r="F673" s="80">
        <f t="shared" si="21"/>
        <v>580</v>
      </c>
      <c r="G673" s="77">
        <f>Comp2[[#This Row],[Comparable '#2 Drawdown]]/MAX($B$2:B673)</f>
        <v>-0.33287482806052271</v>
      </c>
      <c r="H673" s="1" t="str">
        <f>IF(SUM(COUNTIF(Benchmark1[Benchmark '#1 Dates],Comp2[[#This Row],[Comparable '#2 Dates]]),COUNTIF(Benchmark2[Benchmark '#2 Dates],Comp2[[#This Row],[Comparable '#2 Dates]]))=2,"Pass","Fail")</f>
        <v>Pass</v>
      </c>
      <c r="I673" s="1">
        <f>IFERROR(Comp2[[#This Row],[Comparable '#2 Return]]-INDEX(Benchmark1[Benchmark '#1 Return],MATCH(Comp2[[#This Row],[Comparable '#2 Dates]],Benchmark1[Benchmark '#1 Dates],0)),"-")</f>
        <v>1.0001616338283191E-3</v>
      </c>
      <c r="L673" s="72">
        <f>Comp2[[#This Row],[Comparable '#2 Price]]/$B$2*100</f>
        <v>78.068410462776654</v>
      </c>
    </row>
    <row r="674" spans="1:12">
      <c r="A674" s="96">
        <v>44263</v>
      </c>
      <c r="B674" s="101">
        <v>38.35</v>
      </c>
      <c r="C674" s="4">
        <f t="shared" si="20"/>
        <v>-1.1665718815962409E-2</v>
      </c>
      <c r="D674" s="1">
        <f>IFERROR(Comp2[[#This Row],[Comparable '#2 Return]]+1,"-")</f>
        <v>0.98833428118403754</v>
      </c>
      <c r="E674" s="6">
        <f>B674-MAX($B$2:B674)</f>
        <v>-19.809999999999995</v>
      </c>
      <c r="F674" s="80">
        <f t="shared" si="21"/>
        <v>581</v>
      </c>
      <c r="G674" s="77">
        <f>Comp2[[#This Row],[Comparable '#2 Drawdown]]/MAX($B$2:B674)</f>
        <v>-0.34061210453920215</v>
      </c>
      <c r="H674" s="1" t="str">
        <f>IF(SUM(COUNTIF(Benchmark1[Benchmark '#1 Dates],Comp2[[#This Row],[Comparable '#2 Dates]]),COUNTIF(Benchmark2[Benchmark '#2 Dates],Comp2[[#This Row],[Comparable '#2 Dates]]))=2,"Pass","Fail")</f>
        <v>Pass</v>
      </c>
      <c r="I674" s="1">
        <f>IFERROR(Comp2[[#This Row],[Comparable '#2 Return]]-INDEX(Benchmark1[Benchmark '#1 Return],MATCH(Comp2[[#This Row],[Comparable '#2 Dates]],Benchmark1[Benchmark '#1 Dates],0)),"-")</f>
        <v>-6.2908089054860101E-3</v>
      </c>
      <c r="L674" s="72">
        <f>Comp2[[#This Row],[Comparable '#2 Price]]/$B$2*100</f>
        <v>77.162977867203224</v>
      </c>
    </row>
    <row r="675" spans="1:12">
      <c r="A675" s="96">
        <v>44264</v>
      </c>
      <c r="B675" s="101">
        <v>39.51</v>
      </c>
      <c r="C675" s="4">
        <f t="shared" si="20"/>
        <v>2.9799276610033992E-2</v>
      </c>
      <c r="D675" s="1">
        <f>IFERROR(Comp2[[#This Row],[Comparable '#2 Return]]+1,"-")</f>
        <v>1.0297992766100339</v>
      </c>
      <c r="E675" s="6">
        <f>B675-MAX($B$2:B675)</f>
        <v>-18.649999999999999</v>
      </c>
      <c r="F675" s="80">
        <f t="shared" si="21"/>
        <v>582</v>
      </c>
      <c r="G675" s="77">
        <f>Comp2[[#This Row],[Comparable '#2 Drawdown]]/MAX($B$2:B675)</f>
        <v>-0.32066712517193946</v>
      </c>
      <c r="H675" s="1" t="str">
        <f>IF(SUM(COUNTIF(Benchmark1[Benchmark '#1 Dates],Comp2[[#This Row],[Comparable '#2 Dates]]),COUNTIF(Benchmark2[Benchmark '#2 Dates],Comp2[[#This Row],[Comparable '#2 Dates]]))=2,"Pass","Fail")</f>
        <v>Pass</v>
      </c>
      <c r="I675" s="1">
        <f>IFERROR(Comp2[[#This Row],[Comparable '#2 Return]]-INDEX(Benchmark1[Benchmark '#1 Return],MATCH(Comp2[[#This Row],[Comparable '#2 Dates]],Benchmark1[Benchmark '#1 Dates],0)),"-")</f>
        <v>1.5742328045550372E-2</v>
      </c>
      <c r="L675" s="72">
        <f>Comp2[[#This Row],[Comparable '#2 Price]]/$B$2*100</f>
        <v>79.496981891348085</v>
      </c>
    </row>
    <row r="676" spans="1:12">
      <c r="A676" s="96">
        <v>44265</v>
      </c>
      <c r="B676" s="101">
        <v>39.22</v>
      </c>
      <c r="C676" s="4">
        <f t="shared" si="20"/>
        <v>-7.3669836550990875E-3</v>
      </c>
      <c r="D676" s="1">
        <f>IFERROR(Comp2[[#This Row],[Comparable '#2 Return]]+1,"-")</f>
        <v>0.99263301634490086</v>
      </c>
      <c r="E676" s="6">
        <f>B676-MAX($B$2:B676)</f>
        <v>-18.939999999999998</v>
      </c>
      <c r="F676" s="80">
        <f t="shared" si="21"/>
        <v>583</v>
      </c>
      <c r="G676" s="77">
        <f>Comp2[[#This Row],[Comparable '#2 Drawdown]]/MAX($B$2:B676)</f>
        <v>-0.32565337001375516</v>
      </c>
      <c r="H676" s="1" t="str">
        <f>IF(SUM(COUNTIF(Benchmark1[Benchmark '#1 Dates],Comp2[[#This Row],[Comparable '#2 Dates]]),COUNTIF(Benchmark2[Benchmark '#2 Dates],Comp2[[#This Row],[Comparable '#2 Dates]]))=2,"Pass","Fail")</f>
        <v>Pass</v>
      </c>
      <c r="I676" s="1">
        <f>IFERROR(Comp2[[#This Row],[Comparable '#2 Return]]-INDEX(Benchmark1[Benchmark '#1 Return],MATCH(Comp2[[#This Row],[Comparable '#2 Dates]],Benchmark1[Benchmark '#1 Dates],0)),"-")</f>
        <v>-1.337726281494156E-2</v>
      </c>
      <c r="L676" s="72">
        <f>Comp2[[#This Row],[Comparable '#2 Price]]/$B$2*100</f>
        <v>78.913480885311856</v>
      </c>
    </row>
    <row r="677" spans="1:12">
      <c r="A677" s="96">
        <v>44266</v>
      </c>
      <c r="B677" s="101">
        <v>40.119999999999997</v>
      </c>
      <c r="C677" s="4">
        <f t="shared" si="20"/>
        <v>2.2688142325534535E-2</v>
      </c>
      <c r="D677" s="1">
        <f>IFERROR(Comp2[[#This Row],[Comparable '#2 Return]]+1,"-")</f>
        <v>1.0226881423255345</v>
      </c>
      <c r="E677" s="6">
        <f>B677-MAX($B$2:B677)</f>
        <v>-18.04</v>
      </c>
      <c r="F677" s="80">
        <f t="shared" si="21"/>
        <v>584</v>
      </c>
      <c r="G677" s="77">
        <f>Comp2[[#This Row],[Comparable '#2 Drawdown]]/MAX($B$2:B677)</f>
        <v>-0.31017881705639616</v>
      </c>
      <c r="H677" s="1" t="str">
        <f>IF(SUM(COUNTIF(Benchmark1[Benchmark '#1 Dates],Comp2[[#This Row],[Comparable '#2 Dates]]),COUNTIF(Benchmark2[Benchmark '#2 Dates],Comp2[[#This Row],[Comparable '#2 Dates]]))=2,"Pass","Fail")</f>
        <v>Pass</v>
      </c>
      <c r="I677" s="1">
        <f>IFERROR(Comp2[[#This Row],[Comparable '#2 Return]]-INDEX(Benchmark1[Benchmark '#1 Return],MATCH(Comp2[[#This Row],[Comparable '#2 Dates]],Benchmark1[Benchmark '#1 Dates],0)),"-")</f>
        <v>1.2345475668818497E-2</v>
      </c>
      <c r="L677" s="72">
        <f>Comp2[[#This Row],[Comparable '#2 Price]]/$B$2*100</f>
        <v>80.724346076458744</v>
      </c>
    </row>
    <row r="678" spans="1:12">
      <c r="A678" s="96">
        <v>44267</v>
      </c>
      <c r="B678" s="101">
        <v>41.69</v>
      </c>
      <c r="C678" s="4">
        <f t="shared" si="20"/>
        <v>3.8386328798970741E-2</v>
      </c>
      <c r="D678" s="1">
        <f>IFERROR(Comp2[[#This Row],[Comparable '#2 Return]]+1,"-")</f>
        <v>1.0383863287989707</v>
      </c>
      <c r="E678" s="6">
        <f>B678-MAX($B$2:B678)</f>
        <v>-16.47</v>
      </c>
      <c r="F678" s="80">
        <f t="shared" si="21"/>
        <v>585</v>
      </c>
      <c r="G678" s="77">
        <f>Comp2[[#This Row],[Comparable '#2 Drawdown]]/MAX($B$2:B678)</f>
        <v>-0.28318431911966985</v>
      </c>
      <c r="H678" s="1" t="str">
        <f>IF(SUM(COUNTIF(Benchmark1[Benchmark '#1 Dates],Comp2[[#This Row],[Comparable '#2 Dates]]),COUNTIF(Benchmark2[Benchmark '#2 Dates],Comp2[[#This Row],[Comparable '#2 Dates]]))=2,"Pass","Fail")</f>
        <v>Pass</v>
      </c>
      <c r="I678" s="1">
        <f>IFERROR(Comp2[[#This Row],[Comparable '#2 Return]]-INDEX(Benchmark1[Benchmark '#1 Return],MATCH(Comp2[[#This Row],[Comparable '#2 Dates]],Benchmark1[Benchmark '#1 Dates],0)),"-")</f>
        <v>3.7370328774107738E-2</v>
      </c>
      <c r="L678" s="72">
        <f>Comp2[[#This Row],[Comparable '#2 Price]]/$B$2*100</f>
        <v>83.883299798792748</v>
      </c>
    </row>
    <row r="679" spans="1:12">
      <c r="A679" s="96">
        <v>44270</v>
      </c>
      <c r="B679" s="101">
        <v>41.27</v>
      </c>
      <c r="C679" s="4">
        <f t="shared" si="20"/>
        <v>-1.0125448128214984E-2</v>
      </c>
      <c r="D679" s="1">
        <f>IFERROR(Comp2[[#This Row],[Comparable '#2 Return]]+1,"-")</f>
        <v>0.98987455187178497</v>
      </c>
      <c r="E679" s="6">
        <f>B679-MAX($B$2:B679)</f>
        <v>-16.889999999999993</v>
      </c>
      <c r="F679" s="80">
        <f t="shared" si="21"/>
        <v>586</v>
      </c>
      <c r="G679" s="77">
        <f>Comp2[[#This Row],[Comparable '#2 Drawdown]]/MAX($B$2:B679)</f>
        <v>-0.29040577716643734</v>
      </c>
      <c r="H679" s="1" t="str">
        <f>IF(SUM(COUNTIF(Benchmark1[Benchmark '#1 Dates],Comp2[[#This Row],[Comparable '#2 Dates]]),COUNTIF(Benchmark2[Benchmark '#2 Dates],Comp2[[#This Row],[Comparable '#2 Dates]]))=2,"Pass","Fail")</f>
        <v>Pass</v>
      </c>
      <c r="I679" s="1">
        <f>IFERROR(Comp2[[#This Row],[Comparable '#2 Return]]-INDEX(Benchmark1[Benchmark '#1 Return],MATCH(Comp2[[#This Row],[Comparable '#2 Dates]],Benchmark1[Benchmark '#1 Dates],0)),"-")</f>
        <v>-1.6595013680247746E-2</v>
      </c>
      <c r="L679" s="72">
        <f>Comp2[[#This Row],[Comparable '#2 Price]]/$B$2*100</f>
        <v>83.038229376257547</v>
      </c>
    </row>
    <row r="680" spans="1:12">
      <c r="A680" s="96">
        <v>44271</v>
      </c>
      <c r="B680" s="101">
        <v>40.44</v>
      </c>
      <c r="C680" s="4">
        <f t="shared" si="20"/>
        <v>-2.0316449612219963E-2</v>
      </c>
      <c r="D680" s="1">
        <f>IFERROR(Comp2[[#This Row],[Comparable '#2 Return]]+1,"-")</f>
        <v>0.97968355038777999</v>
      </c>
      <c r="E680" s="6">
        <f>B680-MAX($B$2:B680)</f>
        <v>-17.72</v>
      </c>
      <c r="F680" s="80">
        <f t="shared" si="21"/>
        <v>587</v>
      </c>
      <c r="G680" s="77">
        <f>Comp2[[#This Row],[Comparable '#2 Drawdown]]/MAX($B$2:B680)</f>
        <v>-0.30467675378266851</v>
      </c>
      <c r="H680" s="1" t="str">
        <f>IF(SUM(COUNTIF(Benchmark1[Benchmark '#1 Dates],Comp2[[#This Row],[Comparable '#2 Dates]]),COUNTIF(Benchmark2[Benchmark '#2 Dates],Comp2[[#This Row],[Comparable '#2 Dates]]))=2,"Pass","Fail")</f>
        <v>Pass</v>
      </c>
      <c r="I680" s="1">
        <f>IFERROR(Comp2[[#This Row],[Comparable '#2 Return]]-INDEX(Benchmark1[Benchmark '#1 Return],MATCH(Comp2[[#This Row],[Comparable '#2 Dates]],Benchmark1[Benchmark '#1 Dates],0)),"-")</f>
        <v>-1.8745607364757843E-2</v>
      </c>
      <c r="L680" s="72">
        <f>Comp2[[#This Row],[Comparable '#2 Price]]/$B$2*100</f>
        <v>81.368209255533188</v>
      </c>
    </row>
    <row r="681" spans="1:12">
      <c r="A681" s="96">
        <v>44272</v>
      </c>
      <c r="B681" s="101">
        <v>40.97</v>
      </c>
      <c r="C681" s="4">
        <f t="shared" si="20"/>
        <v>1.3020697406509168E-2</v>
      </c>
      <c r="D681" s="1">
        <f>IFERROR(Comp2[[#This Row],[Comparable '#2 Return]]+1,"-")</f>
        <v>1.0130206974065092</v>
      </c>
      <c r="E681" s="6">
        <f>B681-MAX($B$2:B681)</f>
        <v>-17.189999999999998</v>
      </c>
      <c r="F681" s="80">
        <f t="shared" si="21"/>
        <v>588</v>
      </c>
      <c r="G681" s="77">
        <f>Comp2[[#This Row],[Comparable '#2 Drawdown]]/MAX($B$2:B681)</f>
        <v>-0.29556396148555708</v>
      </c>
      <c r="H681" s="1" t="str">
        <f>IF(SUM(COUNTIF(Benchmark1[Benchmark '#1 Dates],Comp2[[#This Row],[Comparable '#2 Dates]]),COUNTIF(Benchmark2[Benchmark '#2 Dates],Comp2[[#This Row],[Comparable '#2 Dates]]))=2,"Pass","Fail")</f>
        <v>Pass</v>
      </c>
      <c r="I681" s="1">
        <f>IFERROR(Comp2[[#This Row],[Comparable '#2 Return]]-INDEX(Benchmark1[Benchmark '#1 Return],MATCH(Comp2[[#This Row],[Comparable '#2 Dates]],Benchmark1[Benchmark '#1 Dates],0)),"-")</f>
        <v>1.0145798887308953E-2</v>
      </c>
      <c r="L681" s="72">
        <f>Comp2[[#This Row],[Comparable '#2 Price]]/$B$2*100</f>
        <v>82.434607645875246</v>
      </c>
    </row>
    <row r="682" spans="1:12">
      <c r="A682" s="96">
        <v>44273</v>
      </c>
      <c r="B682" s="101">
        <v>40.880000000000003</v>
      </c>
      <c r="C682" s="4">
        <f t="shared" si="20"/>
        <v>-2.199145663330594E-3</v>
      </c>
      <c r="D682" s="1">
        <f>IFERROR(Comp2[[#This Row],[Comparable '#2 Return]]+1,"-")</f>
        <v>0.99780085433666943</v>
      </c>
      <c r="E682" s="6">
        <f>B682-MAX($B$2:B682)</f>
        <v>-17.279999999999994</v>
      </c>
      <c r="F682" s="80">
        <f t="shared" si="21"/>
        <v>589</v>
      </c>
      <c r="G682" s="77">
        <f>Comp2[[#This Row],[Comparable '#2 Drawdown]]/MAX($B$2:B682)</f>
        <v>-0.29711141678129288</v>
      </c>
      <c r="H682" s="1" t="str">
        <f>IF(SUM(COUNTIF(Benchmark1[Benchmark '#1 Dates],Comp2[[#This Row],[Comparable '#2 Dates]]),COUNTIF(Benchmark2[Benchmark '#2 Dates],Comp2[[#This Row],[Comparable '#2 Dates]]))=2,"Pass","Fail")</f>
        <v>Pass</v>
      </c>
      <c r="I682" s="1">
        <f>IFERROR(Comp2[[#This Row],[Comparable '#2 Return]]-INDEX(Benchmark1[Benchmark '#1 Return],MATCH(Comp2[[#This Row],[Comparable '#2 Dates]],Benchmark1[Benchmark '#1 Dates],0)),"-")</f>
        <v>1.2670120178715216E-2</v>
      </c>
      <c r="L682" s="72">
        <f>Comp2[[#This Row],[Comparable '#2 Price]]/$B$2*100</f>
        <v>82.25352112676056</v>
      </c>
    </row>
    <row r="683" spans="1:12">
      <c r="A683" s="96">
        <v>44274</v>
      </c>
      <c r="B683" s="101">
        <v>41.43</v>
      </c>
      <c r="C683" s="4">
        <f t="shared" si="20"/>
        <v>1.3364310193861289E-2</v>
      </c>
      <c r="D683" s="1">
        <f>IFERROR(Comp2[[#This Row],[Comparable '#2 Return]]+1,"-")</f>
        <v>1.0133643101938612</v>
      </c>
      <c r="E683" s="6">
        <f>B683-MAX($B$2:B683)</f>
        <v>-16.729999999999997</v>
      </c>
      <c r="F683" s="80">
        <f t="shared" si="21"/>
        <v>590</v>
      </c>
      <c r="G683" s="77">
        <f>Comp2[[#This Row],[Comparable '#2 Drawdown]]/MAX($B$2:B683)</f>
        <v>-0.28765474552957354</v>
      </c>
      <c r="H683" s="1" t="str">
        <f>IF(SUM(COUNTIF(Benchmark1[Benchmark '#1 Dates],Comp2[[#This Row],[Comparable '#2 Dates]]),COUNTIF(Benchmark2[Benchmark '#2 Dates],Comp2[[#This Row],[Comparable '#2 Dates]]))=2,"Pass","Fail")</f>
        <v>Pass</v>
      </c>
      <c r="I683" s="1">
        <f>IFERROR(Comp2[[#This Row],[Comparable '#2 Return]]-INDEX(Benchmark1[Benchmark '#1 Return],MATCH(Comp2[[#This Row],[Comparable '#2 Dates]],Benchmark1[Benchmark '#1 Dates],0)),"-")</f>
        <v>1.3967759315882058E-2</v>
      </c>
      <c r="L683" s="72">
        <f>Comp2[[#This Row],[Comparable '#2 Price]]/$B$2*100</f>
        <v>83.360160965794762</v>
      </c>
    </row>
    <row r="684" spans="1:12">
      <c r="A684" s="96">
        <v>44277</v>
      </c>
      <c r="B684" s="101">
        <v>41.02</v>
      </c>
      <c r="C684" s="4">
        <f t="shared" si="20"/>
        <v>-9.9455034450757537E-3</v>
      </c>
      <c r="D684" s="1">
        <f>IFERROR(Comp2[[#This Row],[Comparable '#2 Return]]+1,"-")</f>
        <v>0.99005449655492428</v>
      </c>
      <c r="E684" s="6">
        <f>B684-MAX($B$2:B684)</f>
        <v>-17.139999999999993</v>
      </c>
      <c r="F684" s="80">
        <f t="shared" si="21"/>
        <v>591</v>
      </c>
      <c r="G684" s="77">
        <f>Comp2[[#This Row],[Comparable '#2 Drawdown]]/MAX($B$2:B684)</f>
        <v>-0.29470426409903705</v>
      </c>
      <c r="H684" s="1" t="str">
        <f>IF(SUM(COUNTIF(Benchmark1[Benchmark '#1 Dates],Comp2[[#This Row],[Comparable '#2 Dates]]),COUNTIF(Benchmark2[Benchmark '#2 Dates],Comp2[[#This Row],[Comparable '#2 Dates]]))=2,"Pass","Fail")</f>
        <v>Pass</v>
      </c>
      <c r="I684" s="1">
        <f>IFERROR(Comp2[[#This Row],[Comparable '#2 Return]]-INDEX(Benchmark1[Benchmark '#1 Return],MATCH(Comp2[[#This Row],[Comparable '#2 Dates]],Benchmark1[Benchmark '#1 Dates],0)),"-")</f>
        <v>-1.6945057400525848E-2</v>
      </c>
      <c r="L684" s="72">
        <f>Comp2[[#This Row],[Comparable '#2 Price]]/$B$2*100</f>
        <v>82.535211267605632</v>
      </c>
    </row>
    <row r="685" spans="1:12">
      <c r="A685" s="96">
        <v>44278</v>
      </c>
      <c r="B685" s="101">
        <v>38.729999999999997</v>
      </c>
      <c r="C685" s="4">
        <f t="shared" si="20"/>
        <v>-5.7445259117573935E-2</v>
      </c>
      <c r="D685" s="1">
        <f>IFERROR(Comp2[[#This Row],[Comparable '#2 Return]]+1,"-")</f>
        <v>0.94255474088242608</v>
      </c>
      <c r="E685" s="6">
        <f>B685-MAX($B$2:B685)</f>
        <v>-19.43</v>
      </c>
      <c r="F685" s="80">
        <f t="shared" si="21"/>
        <v>592</v>
      </c>
      <c r="G685" s="77">
        <f>Comp2[[#This Row],[Comparable '#2 Drawdown]]/MAX($B$2:B685)</f>
        <v>-0.33407840440165065</v>
      </c>
      <c r="H685" s="1" t="str">
        <f>IF(SUM(COUNTIF(Benchmark1[Benchmark '#1 Dates],Comp2[[#This Row],[Comparable '#2 Dates]]),COUNTIF(Benchmark2[Benchmark '#2 Dates],Comp2[[#This Row],[Comparable '#2 Dates]]))=2,"Pass","Fail")</f>
        <v>Pass</v>
      </c>
      <c r="I685" s="1">
        <f>IFERROR(Comp2[[#This Row],[Comparable '#2 Return]]-INDEX(Benchmark1[Benchmark '#1 Return],MATCH(Comp2[[#This Row],[Comparable '#2 Dates]],Benchmark1[Benchmark '#1 Dates],0)),"-")</f>
        <v>-4.9785302166087869E-2</v>
      </c>
      <c r="L685" s="72">
        <f>Comp2[[#This Row],[Comparable '#2 Price]]/$B$2*100</f>
        <v>77.927565392354111</v>
      </c>
    </row>
    <row r="686" spans="1:12">
      <c r="A686" s="96">
        <v>44279</v>
      </c>
      <c r="B686" s="101">
        <v>38.54</v>
      </c>
      <c r="C686" s="4">
        <f t="shared" si="20"/>
        <v>-4.9178305404404075E-3</v>
      </c>
      <c r="D686" s="1">
        <f>IFERROR(Comp2[[#This Row],[Comparable '#2 Return]]+1,"-")</f>
        <v>0.99508216945955963</v>
      </c>
      <c r="E686" s="6">
        <f>B686-MAX($B$2:B686)</f>
        <v>-19.619999999999997</v>
      </c>
      <c r="F686" s="80">
        <f t="shared" si="21"/>
        <v>593</v>
      </c>
      <c r="G686" s="77">
        <f>Comp2[[#This Row],[Comparable '#2 Drawdown]]/MAX($B$2:B686)</f>
        <v>-0.3373452544704264</v>
      </c>
      <c r="H686" s="1" t="str">
        <f>IF(SUM(COUNTIF(Benchmark1[Benchmark '#1 Dates],Comp2[[#This Row],[Comparable '#2 Dates]]),COUNTIF(Benchmark2[Benchmark '#2 Dates],Comp2[[#This Row],[Comparable '#2 Dates]]))=2,"Pass","Fail")</f>
        <v>Pass</v>
      </c>
      <c r="I686" s="1">
        <f>IFERROR(Comp2[[#This Row],[Comparable '#2 Return]]-INDEX(Benchmark1[Benchmark '#1 Return],MATCH(Comp2[[#This Row],[Comparable '#2 Dates]],Benchmark1[Benchmark '#1 Dates],0)),"-")</f>
        <v>5.628988461236226E-4</v>
      </c>
      <c r="L686" s="72">
        <f>Comp2[[#This Row],[Comparable '#2 Price]]/$B$2*100</f>
        <v>77.545271629778668</v>
      </c>
    </row>
    <row r="687" spans="1:12">
      <c r="A687" s="96">
        <v>44280</v>
      </c>
      <c r="B687" s="101">
        <v>40.06</v>
      </c>
      <c r="C687" s="4">
        <f t="shared" si="20"/>
        <v>3.8681667251452036E-2</v>
      </c>
      <c r="D687" s="1">
        <f>IFERROR(Comp2[[#This Row],[Comparable '#2 Return]]+1,"-")</f>
        <v>1.0386816672514521</v>
      </c>
      <c r="E687" s="6">
        <f>B687-MAX($B$2:B687)</f>
        <v>-18.099999999999994</v>
      </c>
      <c r="F687" s="80">
        <f t="shared" si="21"/>
        <v>594</v>
      </c>
      <c r="G687" s="77">
        <f>Comp2[[#This Row],[Comparable '#2 Drawdown]]/MAX($B$2:B687)</f>
        <v>-0.31121045392022001</v>
      </c>
      <c r="H687" s="1" t="str">
        <f>IF(SUM(COUNTIF(Benchmark1[Benchmark '#1 Dates],Comp2[[#This Row],[Comparable '#2 Dates]]),COUNTIF(Benchmark2[Benchmark '#2 Dates],Comp2[[#This Row],[Comparable '#2 Dates]]))=2,"Pass","Fail")</f>
        <v>Pass</v>
      </c>
      <c r="I687" s="1">
        <f>IFERROR(Comp2[[#This Row],[Comparable '#2 Return]]-INDEX(Benchmark1[Benchmark '#1 Return],MATCH(Comp2[[#This Row],[Comparable '#2 Dates]],Benchmark1[Benchmark '#1 Dates],0)),"-")</f>
        <v>3.3456775061581567E-2</v>
      </c>
      <c r="L687" s="72">
        <f>Comp2[[#This Row],[Comparable '#2 Price]]/$B$2*100</f>
        <v>80.603621730382287</v>
      </c>
    </row>
    <row r="688" spans="1:12">
      <c r="A688" s="96">
        <v>44281</v>
      </c>
      <c r="B688" s="101">
        <v>40.92</v>
      </c>
      <c r="C688" s="4">
        <f t="shared" si="20"/>
        <v>2.1240610845753551E-2</v>
      </c>
      <c r="D688" s="1">
        <f>IFERROR(Comp2[[#This Row],[Comparable '#2 Return]]+1,"-")</f>
        <v>1.0212406108457535</v>
      </c>
      <c r="E688" s="6">
        <f>B688-MAX($B$2:B688)</f>
        <v>-17.239999999999995</v>
      </c>
      <c r="F688" s="80">
        <f t="shared" si="21"/>
        <v>595</v>
      </c>
      <c r="G688" s="77">
        <f>Comp2[[#This Row],[Comparable '#2 Drawdown]]/MAX($B$2:B688)</f>
        <v>-0.29642365887207694</v>
      </c>
      <c r="H688" s="1" t="str">
        <f>IF(SUM(COUNTIF(Benchmark1[Benchmark '#1 Dates],Comp2[[#This Row],[Comparable '#2 Dates]]),COUNTIF(Benchmark2[Benchmark '#2 Dates],Comp2[[#This Row],[Comparable '#2 Dates]]))=2,"Pass","Fail")</f>
        <v>Pass</v>
      </c>
      <c r="I688" s="1">
        <f>IFERROR(Comp2[[#This Row],[Comparable '#2 Return]]-INDEX(Benchmark1[Benchmark '#1 Return],MATCH(Comp2[[#This Row],[Comparable '#2 Dates]],Benchmark1[Benchmark '#1 Dates],0)),"-")</f>
        <v>4.745834823813317E-3</v>
      </c>
      <c r="L688" s="72">
        <f>Comp2[[#This Row],[Comparable '#2 Price]]/$B$2*100</f>
        <v>82.334004024144875</v>
      </c>
    </row>
    <row r="689" spans="1:12">
      <c r="A689" s="96">
        <v>44284</v>
      </c>
      <c r="B689" s="101">
        <v>39.42</v>
      </c>
      <c r="C689" s="4">
        <f t="shared" si="20"/>
        <v>-3.7345639358851553E-2</v>
      </c>
      <c r="D689" s="1">
        <f>IFERROR(Comp2[[#This Row],[Comparable '#2 Return]]+1,"-")</f>
        <v>0.9626543606411484</v>
      </c>
      <c r="E689" s="6">
        <f>B689-MAX($B$2:B689)</f>
        <v>-18.739999999999995</v>
      </c>
      <c r="F689" s="80">
        <f t="shared" si="21"/>
        <v>596</v>
      </c>
      <c r="G689" s="77">
        <f>Comp2[[#This Row],[Comparable '#2 Drawdown]]/MAX($B$2:B689)</f>
        <v>-0.32221458046767532</v>
      </c>
      <c r="H689" s="1" t="str">
        <f>IF(SUM(COUNTIF(Benchmark1[Benchmark '#1 Dates],Comp2[[#This Row],[Comparable '#2 Dates]]),COUNTIF(Benchmark2[Benchmark '#2 Dates],Comp2[[#This Row],[Comparable '#2 Dates]]))=2,"Pass","Fail")</f>
        <v>Pass</v>
      </c>
      <c r="I689" s="1">
        <f>IFERROR(Comp2[[#This Row],[Comparable '#2 Return]]-INDEX(Benchmark1[Benchmark '#1 Return],MATCH(Comp2[[#This Row],[Comparable '#2 Dates]],Benchmark1[Benchmark '#1 Dates],0)),"-")</f>
        <v>-3.6479217895061353E-2</v>
      </c>
      <c r="L689" s="72">
        <f>Comp2[[#This Row],[Comparable '#2 Price]]/$B$2*100</f>
        <v>79.315895372233399</v>
      </c>
    </row>
    <row r="690" spans="1:12">
      <c r="A690" s="96">
        <v>44285</v>
      </c>
      <c r="B690" s="101">
        <v>39.119999999999997</v>
      </c>
      <c r="C690" s="4">
        <f t="shared" si="20"/>
        <v>-7.6394565579576143E-3</v>
      </c>
      <c r="D690" s="1">
        <f>IFERROR(Comp2[[#This Row],[Comparable '#2 Return]]+1,"-")</f>
        <v>0.99236054344204239</v>
      </c>
      <c r="E690" s="6">
        <f>B690-MAX($B$2:B690)</f>
        <v>-19.04</v>
      </c>
      <c r="F690" s="80">
        <f t="shared" si="21"/>
        <v>597</v>
      </c>
      <c r="G690" s="77">
        <f>Comp2[[#This Row],[Comparable '#2 Drawdown]]/MAX($B$2:B690)</f>
        <v>-0.32737276478679506</v>
      </c>
      <c r="H690" s="1" t="str">
        <f>IF(SUM(COUNTIF(Benchmark1[Benchmark '#1 Dates],Comp2[[#This Row],[Comparable '#2 Dates]]),COUNTIF(Benchmark2[Benchmark '#2 Dates],Comp2[[#This Row],[Comparable '#2 Dates]]))=2,"Pass","Fail")</f>
        <v>Pass</v>
      </c>
      <c r="I690" s="1">
        <f>IFERROR(Comp2[[#This Row],[Comparable '#2 Return]]-INDEX(Benchmark1[Benchmark '#1 Return],MATCH(Comp2[[#This Row],[Comparable '#2 Dates]],Benchmark1[Benchmark '#1 Dates],0)),"-")</f>
        <v>-4.4760330057715429E-3</v>
      </c>
      <c r="L690" s="72">
        <f>Comp2[[#This Row],[Comparable '#2 Price]]/$B$2*100</f>
        <v>78.712273641851098</v>
      </c>
    </row>
    <row r="691" spans="1:12">
      <c r="A691" s="96">
        <v>44286</v>
      </c>
      <c r="B691" s="101">
        <v>39.54</v>
      </c>
      <c r="C691" s="4">
        <f t="shared" si="20"/>
        <v>1.0678972575854314E-2</v>
      </c>
      <c r="D691" s="1">
        <f>IFERROR(Comp2[[#This Row],[Comparable '#2 Return]]+1,"-")</f>
        <v>1.0106789725758543</v>
      </c>
      <c r="E691" s="6">
        <f>B691-MAX($B$2:B691)</f>
        <v>-18.619999999999997</v>
      </c>
      <c r="F691" s="80">
        <f t="shared" si="21"/>
        <v>598</v>
      </c>
      <c r="G691" s="77">
        <f>Comp2[[#This Row],[Comparable '#2 Drawdown]]/MAX($B$2:B691)</f>
        <v>-0.32015130674002751</v>
      </c>
      <c r="H691" s="1" t="str">
        <f>IF(SUM(COUNTIF(Benchmark1[Benchmark '#1 Dates],Comp2[[#This Row],[Comparable '#2 Dates]]),COUNTIF(Benchmark2[Benchmark '#2 Dates],Comp2[[#This Row],[Comparable '#2 Dates]]))=2,"Pass","Fail")</f>
        <v>Pass</v>
      </c>
      <c r="I691" s="1">
        <f>IFERROR(Comp2[[#This Row],[Comparable '#2 Return]]-INDEX(Benchmark1[Benchmark '#1 Return],MATCH(Comp2[[#This Row],[Comparable '#2 Dates]],Benchmark1[Benchmark '#1 Dates],0)),"-")</f>
        <v>7.063013551948695E-3</v>
      </c>
      <c r="L691" s="72">
        <f>Comp2[[#This Row],[Comparable '#2 Price]]/$B$2*100</f>
        <v>79.557344064386314</v>
      </c>
    </row>
    <row r="692" spans="1:12">
      <c r="A692" s="96">
        <v>44287</v>
      </c>
      <c r="B692" s="101">
        <v>40.1</v>
      </c>
      <c r="C692" s="4">
        <f t="shared" si="20"/>
        <v>1.4063516570052781E-2</v>
      </c>
      <c r="D692" s="1">
        <f>IFERROR(Comp2[[#This Row],[Comparable '#2 Return]]+1,"-")</f>
        <v>1.0140635165700527</v>
      </c>
      <c r="E692" s="6">
        <f>B692-MAX($B$2:B692)</f>
        <v>-18.059999999999995</v>
      </c>
      <c r="F692" s="80">
        <f t="shared" si="21"/>
        <v>599</v>
      </c>
      <c r="G692" s="77">
        <f>Comp2[[#This Row],[Comparable '#2 Drawdown]]/MAX($B$2:B692)</f>
        <v>-0.31052269601100407</v>
      </c>
      <c r="H692" s="1" t="str">
        <f>IF(SUM(COUNTIF(Benchmark1[Benchmark '#1 Dates],Comp2[[#This Row],[Comparable '#2 Dates]]),COUNTIF(Benchmark2[Benchmark '#2 Dates],Comp2[[#This Row],[Comparable '#2 Dates]]))=2,"Pass","Fail")</f>
        <v>Pass</v>
      </c>
      <c r="I692" s="1">
        <f>IFERROR(Comp2[[#This Row],[Comparable '#2 Return]]-INDEX(Benchmark1[Benchmark '#1 Return],MATCH(Comp2[[#This Row],[Comparable '#2 Dates]],Benchmark1[Benchmark '#1 Dates],0)),"-")</f>
        <v>2.3094313358338683E-3</v>
      </c>
      <c r="L692" s="72">
        <f>Comp2[[#This Row],[Comparable '#2 Price]]/$B$2*100</f>
        <v>80.684104627766601</v>
      </c>
    </row>
    <row r="693" spans="1:12">
      <c r="A693" s="96">
        <v>44291</v>
      </c>
      <c r="B693" s="101">
        <v>40.340000000000003</v>
      </c>
      <c r="C693" s="4">
        <f t="shared" si="20"/>
        <v>5.9671982135422385E-3</v>
      </c>
      <c r="D693" s="1">
        <f>IFERROR(Comp2[[#This Row],[Comparable '#2 Return]]+1,"-")</f>
        <v>1.0059671982135423</v>
      </c>
      <c r="E693" s="6">
        <f>B693-MAX($B$2:B693)</f>
        <v>-17.819999999999993</v>
      </c>
      <c r="F693" s="80">
        <f t="shared" si="21"/>
        <v>600</v>
      </c>
      <c r="G693" s="77">
        <f>Comp2[[#This Row],[Comparable '#2 Drawdown]]/MAX($B$2:B693)</f>
        <v>-0.30639614855570829</v>
      </c>
      <c r="H693" s="1" t="str">
        <f>IF(SUM(COUNTIF(Benchmark1[Benchmark '#1 Dates],Comp2[[#This Row],[Comparable '#2 Dates]]),COUNTIF(Benchmark2[Benchmark '#2 Dates],Comp2[[#This Row],[Comparable '#2 Dates]]))=2,"Pass","Fail")</f>
        <v>Pass</v>
      </c>
      <c r="I693" s="1">
        <f>IFERROR(Comp2[[#This Row],[Comparable '#2 Return]]-INDEX(Benchmark1[Benchmark '#1 Return],MATCH(Comp2[[#This Row],[Comparable '#2 Dates]],Benchmark1[Benchmark '#1 Dates],0)),"-")</f>
        <v>-8.3698811731781689E-3</v>
      </c>
      <c r="L693" s="72">
        <f>Comp2[[#This Row],[Comparable '#2 Price]]/$B$2*100</f>
        <v>81.167002012072444</v>
      </c>
    </row>
    <row r="694" spans="1:12">
      <c r="A694" s="96">
        <v>44292</v>
      </c>
      <c r="B694" s="101">
        <v>40.26</v>
      </c>
      <c r="C694" s="4">
        <f t="shared" si="20"/>
        <v>-1.9851123144204075E-3</v>
      </c>
      <c r="D694" s="1">
        <f>IFERROR(Comp2[[#This Row],[Comparable '#2 Return]]+1,"-")</f>
        <v>0.99801488768557955</v>
      </c>
      <c r="E694" s="6">
        <f>B694-MAX($B$2:B694)</f>
        <v>-17.899999999999999</v>
      </c>
      <c r="F694" s="80">
        <f t="shared" si="21"/>
        <v>601</v>
      </c>
      <c r="G694" s="77">
        <f>Comp2[[#This Row],[Comparable '#2 Drawdown]]/MAX($B$2:B694)</f>
        <v>-0.30777166437414027</v>
      </c>
      <c r="H694" s="1" t="str">
        <f>IF(SUM(COUNTIF(Benchmark1[Benchmark '#1 Dates],Comp2[[#This Row],[Comparable '#2 Dates]]),COUNTIF(Benchmark2[Benchmark '#2 Dates],Comp2[[#This Row],[Comparable '#2 Dates]]))=2,"Pass","Fail")</f>
        <v>Pass</v>
      </c>
      <c r="I694" s="1">
        <f>IFERROR(Comp2[[#This Row],[Comparable '#2 Return]]-INDEX(Benchmark1[Benchmark '#1 Return],MATCH(Comp2[[#This Row],[Comparable '#2 Dates]],Benchmark1[Benchmark '#1 Dates],0)),"-")</f>
        <v>-1.010356266526818E-3</v>
      </c>
      <c r="L694" s="72">
        <f>Comp2[[#This Row],[Comparable '#2 Price]]/$B$2*100</f>
        <v>81.006036217303816</v>
      </c>
    </row>
    <row r="695" spans="1:12">
      <c r="A695" s="96">
        <v>44293</v>
      </c>
      <c r="B695" s="101">
        <v>39.46</v>
      </c>
      <c r="C695" s="4">
        <f t="shared" si="20"/>
        <v>-2.0070919617176088E-2</v>
      </c>
      <c r="D695" s="1">
        <f>IFERROR(Comp2[[#This Row],[Comparable '#2 Return]]+1,"-")</f>
        <v>0.97992908038282389</v>
      </c>
      <c r="E695" s="6">
        <f>B695-MAX($B$2:B695)</f>
        <v>-18.699999999999996</v>
      </c>
      <c r="F695" s="80">
        <f t="shared" si="21"/>
        <v>602</v>
      </c>
      <c r="G695" s="77">
        <f>Comp2[[#This Row],[Comparable '#2 Drawdown]]/MAX($B$2:B695)</f>
        <v>-0.32152682255845938</v>
      </c>
      <c r="H695" s="1" t="str">
        <f>IF(SUM(COUNTIF(Benchmark1[Benchmark '#1 Dates],Comp2[[#This Row],[Comparable '#2 Dates]]),COUNTIF(Benchmark2[Benchmark '#2 Dates],Comp2[[#This Row],[Comparable '#2 Dates]]))=2,"Pass","Fail")</f>
        <v>Pass</v>
      </c>
      <c r="I695" s="1">
        <f>IFERROR(Comp2[[#This Row],[Comparable '#2 Return]]-INDEX(Benchmark1[Benchmark '#1 Return],MATCH(Comp2[[#This Row],[Comparable '#2 Dates]],Benchmark1[Benchmark '#1 Dates],0)),"-")</f>
        <v>-2.1545616101207438E-2</v>
      </c>
      <c r="L695" s="72">
        <f>Comp2[[#This Row],[Comparable '#2 Price]]/$B$2*100</f>
        <v>79.396378269617713</v>
      </c>
    </row>
    <row r="696" spans="1:12">
      <c r="A696" s="96">
        <v>44294</v>
      </c>
      <c r="B696" s="101">
        <v>39.880000000000003</v>
      </c>
      <c r="C696" s="4">
        <f t="shared" si="20"/>
        <v>1.0587444499168408E-2</v>
      </c>
      <c r="D696" s="1">
        <f>IFERROR(Comp2[[#This Row],[Comparable '#2 Return]]+1,"-")</f>
        <v>1.0105874444991685</v>
      </c>
      <c r="E696" s="6">
        <f>B696-MAX($B$2:B696)</f>
        <v>-18.279999999999994</v>
      </c>
      <c r="F696" s="80">
        <f t="shared" si="21"/>
        <v>603</v>
      </c>
      <c r="G696" s="77">
        <f>Comp2[[#This Row],[Comparable '#2 Drawdown]]/MAX($B$2:B696)</f>
        <v>-0.31430536451169178</v>
      </c>
      <c r="H696" s="1" t="str">
        <f>IF(SUM(COUNTIF(Benchmark1[Benchmark '#1 Dates],Comp2[[#This Row],[Comparable '#2 Dates]]),COUNTIF(Benchmark2[Benchmark '#2 Dates],Comp2[[#This Row],[Comparable '#2 Dates]]))=2,"Pass","Fail")</f>
        <v>Pass</v>
      </c>
      <c r="I696" s="1">
        <f>IFERROR(Comp2[[#This Row],[Comparable '#2 Return]]-INDEX(Benchmark1[Benchmark '#1 Return],MATCH(Comp2[[#This Row],[Comparable '#2 Dates]],Benchmark1[Benchmark '#1 Dates],0)),"-")</f>
        <v>6.3768803224706237E-3</v>
      </c>
      <c r="L696" s="72">
        <f>Comp2[[#This Row],[Comparable '#2 Price]]/$B$2*100</f>
        <v>80.241448692152915</v>
      </c>
    </row>
    <row r="697" spans="1:12">
      <c r="A697" s="96">
        <v>44295</v>
      </c>
      <c r="B697" s="101">
        <v>39.36</v>
      </c>
      <c r="C697" s="4">
        <f t="shared" si="20"/>
        <v>-1.3124872909584945E-2</v>
      </c>
      <c r="D697" s="1">
        <f>IFERROR(Comp2[[#This Row],[Comparable '#2 Return]]+1,"-")</f>
        <v>0.98687512709041503</v>
      </c>
      <c r="E697" s="6">
        <f>B697-MAX($B$2:B697)</f>
        <v>-18.799999999999997</v>
      </c>
      <c r="F697" s="80">
        <f t="shared" si="21"/>
        <v>604</v>
      </c>
      <c r="G697" s="77">
        <f>Comp2[[#This Row],[Comparable '#2 Drawdown]]/MAX($B$2:B697)</f>
        <v>-0.32324621733149927</v>
      </c>
      <c r="H697" s="1" t="str">
        <f>IF(SUM(COUNTIF(Benchmark1[Benchmark '#1 Dates],Comp2[[#This Row],[Comparable '#2 Dates]]),COUNTIF(Benchmark2[Benchmark '#2 Dates],Comp2[[#This Row],[Comparable '#2 Dates]]))=2,"Pass","Fail")</f>
        <v>Pass</v>
      </c>
      <c r="I697" s="1">
        <f>IFERROR(Comp2[[#This Row],[Comparable '#2 Return]]-INDEX(Benchmark1[Benchmark '#1 Return],MATCH(Comp2[[#This Row],[Comparable '#2 Dates]],Benchmark1[Benchmark '#1 Dates],0)),"-")</f>
        <v>-2.0816169832446524E-2</v>
      </c>
      <c r="L697" s="72">
        <f>Comp2[[#This Row],[Comparable '#2 Price]]/$B$2*100</f>
        <v>79.195171026156942</v>
      </c>
    </row>
    <row r="698" spans="1:12">
      <c r="A698" s="96">
        <v>44298</v>
      </c>
      <c r="B698" s="101">
        <v>39.369999999999997</v>
      </c>
      <c r="C698" s="4">
        <f t="shared" si="20"/>
        <v>2.5403277159346762E-4</v>
      </c>
      <c r="D698" s="1">
        <f>IFERROR(Comp2[[#This Row],[Comparable '#2 Return]]+1,"-")</f>
        <v>1.0002540327715934</v>
      </c>
      <c r="E698" s="6">
        <f>B698-MAX($B$2:B698)</f>
        <v>-18.79</v>
      </c>
      <c r="F698" s="80">
        <f t="shared" si="21"/>
        <v>605</v>
      </c>
      <c r="G698" s="77">
        <f>Comp2[[#This Row],[Comparable '#2 Drawdown]]/MAX($B$2:B698)</f>
        <v>-0.32307427785419535</v>
      </c>
      <c r="H698" s="1" t="str">
        <f>IF(SUM(COUNTIF(Benchmark1[Benchmark '#1 Dates],Comp2[[#This Row],[Comparable '#2 Dates]]),COUNTIF(Benchmark2[Benchmark '#2 Dates],Comp2[[#This Row],[Comparable '#2 Dates]]))=2,"Pass","Fail")</f>
        <v>Pass</v>
      </c>
      <c r="I698" s="1">
        <f>IFERROR(Comp2[[#This Row],[Comparable '#2 Return]]-INDEX(Benchmark1[Benchmark '#1 Return],MATCH(Comp2[[#This Row],[Comparable '#2 Dates]],Benchmark1[Benchmark '#1 Dates],0)),"-")</f>
        <v>4.4995519458836813E-4</v>
      </c>
      <c r="L698" s="72">
        <f>Comp2[[#This Row],[Comparable '#2 Price]]/$B$2*100</f>
        <v>79.215291750502999</v>
      </c>
    </row>
    <row r="699" spans="1:12">
      <c r="A699" s="96">
        <v>44299</v>
      </c>
      <c r="B699" s="101">
        <v>38.85</v>
      </c>
      <c r="C699" s="4">
        <f t="shared" si="20"/>
        <v>-1.3296028141989658E-2</v>
      </c>
      <c r="D699" s="1">
        <f>IFERROR(Comp2[[#This Row],[Comparable '#2 Return]]+1,"-")</f>
        <v>0.9867039718580104</v>
      </c>
      <c r="E699" s="6">
        <f>B699-MAX($B$2:B699)</f>
        <v>-19.309999999999995</v>
      </c>
      <c r="F699" s="80">
        <f t="shared" si="21"/>
        <v>606</v>
      </c>
      <c r="G699" s="77">
        <f>Comp2[[#This Row],[Comparable '#2 Drawdown]]/MAX($B$2:B699)</f>
        <v>-0.33201513067400268</v>
      </c>
      <c r="H699" s="1" t="str">
        <f>IF(SUM(COUNTIF(Benchmark1[Benchmark '#1 Dates],Comp2[[#This Row],[Comparable '#2 Dates]]),COUNTIF(Benchmark2[Benchmark '#2 Dates],Comp2[[#This Row],[Comparable '#2 Dates]]))=2,"Pass","Fail")</f>
        <v>Pass</v>
      </c>
      <c r="I699" s="1">
        <f>IFERROR(Comp2[[#This Row],[Comparable '#2 Return]]-INDEX(Benchmark1[Benchmark '#1 Return],MATCH(Comp2[[#This Row],[Comparable '#2 Dates]],Benchmark1[Benchmark '#1 Dates],0)),"-")</f>
        <v>-1.6585318788086199E-2</v>
      </c>
      <c r="L699" s="72">
        <f>Comp2[[#This Row],[Comparable '#2 Price]]/$B$2*100</f>
        <v>78.16901408450704</v>
      </c>
    </row>
    <row r="700" spans="1:12">
      <c r="A700" s="96">
        <v>44300</v>
      </c>
      <c r="B700" s="101">
        <v>39.17</v>
      </c>
      <c r="C700" s="4">
        <f t="shared" si="20"/>
        <v>8.203070864083532E-3</v>
      </c>
      <c r="D700" s="1">
        <f>IFERROR(Comp2[[#This Row],[Comparable '#2 Return]]+1,"-")</f>
        <v>1.0082030708640835</v>
      </c>
      <c r="E700" s="6">
        <f>B700-MAX($B$2:B700)</f>
        <v>-18.989999999999995</v>
      </c>
      <c r="F700" s="80">
        <f t="shared" si="21"/>
        <v>607</v>
      </c>
      <c r="G700" s="77">
        <f>Comp2[[#This Row],[Comparable '#2 Drawdown]]/MAX($B$2:B700)</f>
        <v>-0.32651306740027503</v>
      </c>
      <c r="H700" s="1" t="str">
        <f>IF(SUM(COUNTIF(Benchmark1[Benchmark '#1 Dates],Comp2[[#This Row],[Comparable '#2 Dates]]),COUNTIF(Benchmark2[Benchmark '#2 Dates],Comp2[[#This Row],[Comparable '#2 Dates]]))=2,"Pass","Fail")</f>
        <v>Pass</v>
      </c>
      <c r="I700" s="1">
        <f>IFERROR(Comp2[[#This Row],[Comparable '#2 Return]]-INDEX(Benchmark1[Benchmark '#1 Return],MATCH(Comp2[[#This Row],[Comparable '#2 Dates]],Benchmark1[Benchmark '#1 Dates],0)),"-")</f>
        <v>1.230000586812751E-2</v>
      </c>
      <c r="L700" s="72">
        <f>Comp2[[#This Row],[Comparable '#2 Price]]/$B$2*100</f>
        <v>78.812877263581498</v>
      </c>
    </row>
    <row r="701" spans="1:12">
      <c r="A701" s="96">
        <v>44301</v>
      </c>
      <c r="B701" s="101">
        <v>40</v>
      </c>
      <c r="C701" s="4">
        <f t="shared" si="20"/>
        <v>2.0968306436196398E-2</v>
      </c>
      <c r="D701" s="1">
        <f>IFERROR(Comp2[[#This Row],[Comparable '#2 Return]]+1,"-")</f>
        <v>1.0209683064361963</v>
      </c>
      <c r="E701" s="6">
        <f>B701-MAX($B$2:B701)</f>
        <v>-18.159999999999997</v>
      </c>
      <c r="F701" s="80">
        <f t="shared" si="21"/>
        <v>608</v>
      </c>
      <c r="G701" s="77">
        <f>Comp2[[#This Row],[Comparable '#2 Drawdown]]/MAX($B$2:B701)</f>
        <v>-0.31224209078404397</v>
      </c>
      <c r="H701" s="1" t="str">
        <f>IF(SUM(COUNTIF(Benchmark1[Benchmark '#1 Dates],Comp2[[#This Row],[Comparable '#2 Dates]]),COUNTIF(Benchmark2[Benchmark '#2 Dates],Comp2[[#This Row],[Comparable '#2 Dates]]))=2,"Pass","Fail")</f>
        <v>Pass</v>
      </c>
      <c r="I701" s="1">
        <f>IFERROR(Comp2[[#This Row],[Comparable '#2 Return]]-INDEX(Benchmark1[Benchmark '#1 Return],MATCH(Comp2[[#This Row],[Comparable '#2 Dates]],Benchmark1[Benchmark '#1 Dates],0)),"-")</f>
        <v>9.9346321319432017E-3</v>
      </c>
      <c r="L701" s="72">
        <f>Comp2[[#This Row],[Comparable '#2 Price]]/$B$2*100</f>
        <v>80.482897384305829</v>
      </c>
    </row>
    <row r="702" spans="1:12">
      <c r="A702" s="96">
        <v>44302</v>
      </c>
      <c r="B702" s="101">
        <v>40.020000000000003</v>
      </c>
      <c r="C702" s="4">
        <f t="shared" si="20"/>
        <v>4.9987504165121481E-4</v>
      </c>
      <c r="D702" s="1">
        <f>IFERROR(Comp2[[#This Row],[Comparable '#2 Return]]+1,"-")</f>
        <v>1.0004998750416512</v>
      </c>
      <c r="E702" s="6">
        <f>B702-MAX($B$2:B702)</f>
        <v>-18.139999999999993</v>
      </c>
      <c r="F702" s="80">
        <f t="shared" si="21"/>
        <v>609</v>
      </c>
      <c r="G702" s="77">
        <f>Comp2[[#This Row],[Comparable '#2 Drawdown]]/MAX($B$2:B702)</f>
        <v>-0.31189821182943595</v>
      </c>
      <c r="H702" s="1" t="str">
        <f>IF(SUM(COUNTIF(Benchmark1[Benchmark '#1 Dates],Comp2[[#This Row],[Comparable '#2 Dates]]),COUNTIF(Benchmark2[Benchmark '#2 Dates],Comp2[[#This Row],[Comparable '#2 Dates]]))=2,"Pass","Fail")</f>
        <v>Pass</v>
      </c>
      <c r="I702" s="1">
        <f>IFERROR(Comp2[[#This Row],[Comparable '#2 Return]]-INDEX(Benchmark1[Benchmark '#1 Return],MATCH(Comp2[[#This Row],[Comparable '#2 Dates]],Benchmark1[Benchmark '#1 Dates],0)),"-")</f>
        <v>-3.1014013024392561E-3</v>
      </c>
      <c r="L702" s="72">
        <f>Comp2[[#This Row],[Comparable '#2 Price]]/$B$2*100</f>
        <v>80.523138832997986</v>
      </c>
    </row>
    <row r="703" spans="1:12">
      <c r="A703" s="96">
        <v>44305</v>
      </c>
      <c r="B703" s="101">
        <v>39.85</v>
      </c>
      <c r="C703" s="4">
        <f t="shared" si="20"/>
        <v>-4.2569239193633703E-3</v>
      </c>
      <c r="D703" s="1">
        <f>IFERROR(Comp2[[#This Row],[Comparable '#2 Return]]+1,"-")</f>
        <v>0.99574307608063661</v>
      </c>
      <c r="E703" s="6">
        <f>B703-MAX($B$2:B703)</f>
        <v>-18.309999999999995</v>
      </c>
      <c r="F703" s="80">
        <f t="shared" si="21"/>
        <v>610</v>
      </c>
      <c r="G703" s="77">
        <f>Comp2[[#This Row],[Comparable '#2 Drawdown]]/MAX($B$2:B703)</f>
        <v>-0.31482118294360378</v>
      </c>
      <c r="H703" s="1" t="str">
        <f>IF(SUM(COUNTIF(Benchmark1[Benchmark '#1 Dates],Comp2[[#This Row],[Comparable '#2 Dates]]),COUNTIF(Benchmark2[Benchmark '#2 Dates],Comp2[[#This Row],[Comparable '#2 Dates]]))=2,"Pass","Fail")</f>
        <v>Pass</v>
      </c>
      <c r="I703" s="1">
        <f>IFERROR(Comp2[[#This Row],[Comparable '#2 Return]]-INDEX(Benchmark1[Benchmark '#1 Return],MATCH(Comp2[[#This Row],[Comparable '#2 Dates]],Benchmark1[Benchmark '#1 Dates],0)),"-")</f>
        <v>1.0638077905867054E-3</v>
      </c>
      <c r="L703" s="72">
        <f>Comp2[[#This Row],[Comparable '#2 Price]]/$B$2*100</f>
        <v>80.181086519114686</v>
      </c>
    </row>
    <row r="704" spans="1:12">
      <c r="A704" s="96">
        <v>44306</v>
      </c>
      <c r="B704" s="101">
        <v>38.94</v>
      </c>
      <c r="C704" s="4">
        <f t="shared" si="20"/>
        <v>-2.3100405292170528E-2</v>
      </c>
      <c r="D704" s="1">
        <f>IFERROR(Comp2[[#This Row],[Comparable '#2 Return]]+1,"-")</f>
        <v>0.9768995947078295</v>
      </c>
      <c r="E704" s="6">
        <f>B704-MAX($B$2:B704)</f>
        <v>-19.22</v>
      </c>
      <c r="F704" s="80">
        <f t="shared" si="21"/>
        <v>611</v>
      </c>
      <c r="G704" s="77">
        <f>Comp2[[#This Row],[Comparable '#2 Drawdown]]/MAX($B$2:B704)</f>
        <v>-0.33046767537826682</v>
      </c>
      <c r="H704" s="1" t="str">
        <f>IF(SUM(COUNTIF(Benchmark1[Benchmark '#1 Dates],Comp2[[#This Row],[Comparable '#2 Dates]]),COUNTIF(Benchmark2[Benchmark '#2 Dates],Comp2[[#This Row],[Comparable '#2 Dates]]))=2,"Pass","Fail")</f>
        <v>Pass</v>
      </c>
      <c r="I704" s="1">
        <f>IFERROR(Comp2[[#This Row],[Comparable '#2 Return]]-INDEX(Benchmark1[Benchmark '#1 Return],MATCH(Comp2[[#This Row],[Comparable '#2 Dates]],Benchmark1[Benchmark '#1 Dates],0)),"-")</f>
        <v>-1.6275120540868573E-2</v>
      </c>
      <c r="L704" s="72">
        <f>Comp2[[#This Row],[Comparable '#2 Price]]/$B$2*100</f>
        <v>78.350100603621726</v>
      </c>
    </row>
    <row r="705" spans="1:12">
      <c r="A705" s="96">
        <v>44307</v>
      </c>
      <c r="B705" s="101">
        <v>38.61</v>
      </c>
      <c r="C705" s="4">
        <f t="shared" si="20"/>
        <v>-8.5106896679086191E-3</v>
      </c>
      <c r="D705" s="1">
        <f>IFERROR(Comp2[[#This Row],[Comparable '#2 Return]]+1,"-")</f>
        <v>0.99148931033209142</v>
      </c>
      <c r="E705" s="6">
        <f>B705-MAX($B$2:B705)</f>
        <v>-19.549999999999997</v>
      </c>
      <c r="F705" s="80">
        <f t="shared" si="21"/>
        <v>612</v>
      </c>
      <c r="G705" s="77">
        <f>Comp2[[#This Row],[Comparable '#2 Drawdown]]/MAX($B$2:B705)</f>
        <v>-0.33614167812929846</v>
      </c>
      <c r="H705" s="1" t="str">
        <f>IF(SUM(COUNTIF(Benchmark1[Benchmark '#1 Dates],Comp2[[#This Row],[Comparable '#2 Dates]]),COUNTIF(Benchmark2[Benchmark '#2 Dates],Comp2[[#This Row],[Comparable '#2 Dates]]))=2,"Pass","Fail")</f>
        <v>Pass</v>
      </c>
      <c r="I705" s="1">
        <f>IFERROR(Comp2[[#This Row],[Comparable '#2 Return]]-INDEX(Benchmark1[Benchmark '#1 Return],MATCH(Comp2[[#This Row],[Comparable '#2 Dates]],Benchmark1[Benchmark '#1 Dates],0)),"-")</f>
        <v>-1.7774227774564649E-2</v>
      </c>
      <c r="L705" s="72">
        <f>Comp2[[#This Row],[Comparable '#2 Price]]/$B$2*100</f>
        <v>77.686116700201197</v>
      </c>
    </row>
    <row r="706" spans="1:12">
      <c r="A706" s="96">
        <v>44308</v>
      </c>
      <c r="B706" s="101">
        <v>38.799999999999997</v>
      </c>
      <c r="C706" s="4">
        <f t="shared" ref="C706:C769" si="22">IFERROR(IF(B706="","-",LN(B706/B705)),"-")</f>
        <v>4.9089363530827402E-3</v>
      </c>
      <c r="D706" s="1">
        <f>IFERROR(Comp2[[#This Row],[Comparable '#2 Return]]+1,"-")</f>
        <v>1.0049089363530828</v>
      </c>
      <c r="E706" s="6">
        <f>B706-MAX($B$2:B706)</f>
        <v>-19.36</v>
      </c>
      <c r="F706" s="80">
        <f t="shared" ref="F706:F769" si="23">IF(E706=0,0,F705+1)</f>
        <v>613</v>
      </c>
      <c r="G706" s="77">
        <f>Comp2[[#This Row],[Comparable '#2 Drawdown]]/MAX($B$2:B706)</f>
        <v>-0.33287482806052271</v>
      </c>
      <c r="H706" s="1" t="str">
        <f>IF(SUM(COUNTIF(Benchmark1[Benchmark '#1 Dates],Comp2[[#This Row],[Comparable '#2 Dates]]),COUNTIF(Benchmark2[Benchmark '#2 Dates],Comp2[[#This Row],[Comparable '#2 Dates]]))=2,"Pass","Fail")</f>
        <v>Pass</v>
      </c>
      <c r="I706" s="1">
        <f>IFERROR(Comp2[[#This Row],[Comparable '#2 Return]]-INDEX(Benchmark1[Benchmark '#1 Return],MATCH(Comp2[[#This Row],[Comparable '#2 Dates]],Benchmark1[Benchmark '#1 Dates],0)),"-")</f>
        <v>1.4162259171143953E-2</v>
      </c>
      <c r="L706" s="72">
        <f>Comp2[[#This Row],[Comparable '#2 Price]]/$B$2*100</f>
        <v>78.068410462776654</v>
      </c>
    </row>
    <row r="707" spans="1:12">
      <c r="A707" s="96">
        <v>44309</v>
      </c>
      <c r="B707" s="101">
        <v>38.69</v>
      </c>
      <c r="C707" s="4">
        <f t="shared" si="22"/>
        <v>-2.8390779168061516E-3</v>
      </c>
      <c r="D707" s="1">
        <f>IFERROR(Comp2[[#This Row],[Comparable '#2 Return]]+1,"-")</f>
        <v>0.99716092208319385</v>
      </c>
      <c r="E707" s="6">
        <f>B707-MAX($B$2:B707)</f>
        <v>-19.47</v>
      </c>
      <c r="F707" s="80">
        <f t="shared" si="23"/>
        <v>614</v>
      </c>
      <c r="G707" s="77">
        <f>Comp2[[#This Row],[Comparable '#2 Drawdown]]/MAX($B$2:B707)</f>
        <v>-0.33476616231086659</v>
      </c>
      <c r="H707" s="1" t="str">
        <f>IF(SUM(COUNTIF(Benchmark1[Benchmark '#1 Dates],Comp2[[#This Row],[Comparable '#2 Dates]]),COUNTIF(Benchmark2[Benchmark '#2 Dates],Comp2[[#This Row],[Comparable '#2 Dates]]))=2,"Pass","Fail")</f>
        <v>Pass</v>
      </c>
      <c r="I707" s="1">
        <f>IFERROR(Comp2[[#This Row],[Comparable '#2 Return]]-INDEX(Benchmark1[Benchmark '#1 Return],MATCH(Comp2[[#This Row],[Comparable '#2 Dates]],Benchmark1[Benchmark '#1 Dates],0)),"-")</f>
        <v>-1.3707471538776335E-2</v>
      </c>
      <c r="L707" s="72">
        <f>Comp2[[#This Row],[Comparable '#2 Price]]/$B$2*100</f>
        <v>77.847082494969811</v>
      </c>
    </row>
    <row r="708" spans="1:12">
      <c r="A708" s="96">
        <v>44312</v>
      </c>
      <c r="B708" s="101">
        <v>38.840000000000003</v>
      </c>
      <c r="C708" s="4">
        <f t="shared" si="22"/>
        <v>3.8694747107027995E-3</v>
      </c>
      <c r="D708" s="1">
        <f>IFERROR(Comp2[[#This Row],[Comparable '#2 Return]]+1,"-")</f>
        <v>1.0038694747107029</v>
      </c>
      <c r="E708" s="6">
        <f>B708-MAX($B$2:B708)</f>
        <v>-19.319999999999993</v>
      </c>
      <c r="F708" s="80">
        <f t="shared" si="23"/>
        <v>615</v>
      </c>
      <c r="G708" s="77">
        <f>Comp2[[#This Row],[Comparable '#2 Drawdown]]/MAX($B$2:B708)</f>
        <v>-0.33218707015130666</v>
      </c>
      <c r="H708" s="1" t="str">
        <f>IF(SUM(COUNTIF(Benchmark1[Benchmark '#1 Dates],Comp2[[#This Row],[Comparable '#2 Dates]]),COUNTIF(Benchmark2[Benchmark '#2 Dates],Comp2[[#This Row],[Comparable '#2 Dates]]))=2,"Pass","Fail")</f>
        <v>Pass</v>
      </c>
      <c r="I708" s="1">
        <f>IFERROR(Comp2[[#This Row],[Comparable '#2 Return]]-INDEX(Benchmark1[Benchmark '#1 Return],MATCH(Comp2[[#This Row],[Comparable '#2 Dates]],Benchmark1[Benchmark '#1 Dates],0)),"-")</f>
        <v>2.0888132699420853E-3</v>
      </c>
      <c r="L708" s="72">
        <f>Comp2[[#This Row],[Comparable '#2 Price]]/$B$2*100</f>
        <v>78.148893360160969</v>
      </c>
    </row>
    <row r="709" spans="1:12">
      <c r="A709" s="96">
        <v>44313</v>
      </c>
      <c r="B709" s="101">
        <v>37.94</v>
      </c>
      <c r="C709" s="4">
        <f t="shared" si="22"/>
        <v>-2.3444678916256203E-2</v>
      </c>
      <c r="D709" s="1">
        <f>IFERROR(Comp2[[#This Row],[Comparable '#2 Return]]+1,"-")</f>
        <v>0.97655532108374377</v>
      </c>
      <c r="E709" s="6">
        <f>B709-MAX($B$2:B709)</f>
        <v>-20.22</v>
      </c>
      <c r="F709" s="80">
        <f t="shared" si="23"/>
        <v>616</v>
      </c>
      <c r="G709" s="77">
        <f>Comp2[[#This Row],[Comparable '#2 Drawdown]]/MAX($B$2:B709)</f>
        <v>-0.34766162310866577</v>
      </c>
      <c r="H709" s="1" t="str">
        <f>IF(SUM(COUNTIF(Benchmark1[Benchmark '#1 Dates],Comp2[[#This Row],[Comparable '#2 Dates]]),COUNTIF(Benchmark2[Benchmark '#2 Dates],Comp2[[#This Row],[Comparable '#2 Dates]]))=2,"Pass","Fail")</f>
        <v>Pass</v>
      </c>
      <c r="I709" s="1">
        <f>IFERROR(Comp2[[#This Row],[Comparable '#2 Return]]-INDEX(Benchmark1[Benchmark '#1 Return],MATCH(Comp2[[#This Row],[Comparable '#2 Dates]],Benchmark1[Benchmark '#1 Dates],0)),"-")</f>
        <v>-2.3229916116339091E-2</v>
      </c>
      <c r="L709" s="72">
        <f>Comp2[[#This Row],[Comparable '#2 Price]]/$B$2*100</f>
        <v>76.338028169014066</v>
      </c>
    </row>
    <row r="710" spans="1:12">
      <c r="A710" s="96">
        <v>44314</v>
      </c>
      <c r="B710" s="101">
        <v>36.869999999999997</v>
      </c>
      <c r="C710" s="4">
        <f t="shared" si="22"/>
        <v>-2.8607752260815016E-2</v>
      </c>
      <c r="D710" s="1">
        <f>IFERROR(Comp2[[#This Row],[Comparable '#2 Return]]+1,"-")</f>
        <v>0.97139224773918498</v>
      </c>
      <c r="E710" s="6">
        <f>B710-MAX($B$2:B710)</f>
        <v>-21.29</v>
      </c>
      <c r="F710" s="80">
        <f t="shared" si="23"/>
        <v>617</v>
      </c>
      <c r="G710" s="77">
        <f>Comp2[[#This Row],[Comparable '#2 Drawdown]]/MAX($B$2:B710)</f>
        <v>-0.36605914718019256</v>
      </c>
      <c r="H710" s="1" t="str">
        <f>IF(SUM(COUNTIF(Benchmark1[Benchmark '#1 Dates],Comp2[[#This Row],[Comparable '#2 Dates]]),COUNTIF(Benchmark2[Benchmark '#2 Dates],Comp2[[#This Row],[Comparable '#2 Dates]]))=2,"Pass","Fail")</f>
        <v>Pass</v>
      </c>
      <c r="I710" s="1">
        <f>IFERROR(Comp2[[#This Row],[Comparable '#2 Return]]-INDEX(Benchmark1[Benchmark '#1 Return],MATCH(Comp2[[#This Row],[Comparable '#2 Dates]],Benchmark1[Benchmark '#1 Dates],0)),"-")</f>
        <v>-2.7763006185678861E-2</v>
      </c>
      <c r="L710" s="72">
        <f>Comp2[[#This Row],[Comparable '#2 Price]]/$B$2*100</f>
        <v>74.185110663983892</v>
      </c>
    </row>
    <row r="711" spans="1:12">
      <c r="A711" s="96">
        <v>44315</v>
      </c>
      <c r="B711" s="101">
        <v>36.950000000000003</v>
      </c>
      <c r="C711" s="4">
        <f t="shared" si="22"/>
        <v>2.1674351481577262E-3</v>
      </c>
      <c r="D711" s="1">
        <f>IFERROR(Comp2[[#This Row],[Comparable '#2 Return]]+1,"-")</f>
        <v>1.0021674351481578</v>
      </c>
      <c r="E711" s="6">
        <f>B711-MAX($B$2:B711)</f>
        <v>-21.209999999999994</v>
      </c>
      <c r="F711" s="80">
        <f t="shared" si="23"/>
        <v>618</v>
      </c>
      <c r="G711" s="77">
        <f>Comp2[[#This Row],[Comparable '#2 Drawdown]]/MAX($B$2:B711)</f>
        <v>-0.36468363136176057</v>
      </c>
      <c r="H711" s="1" t="str">
        <f>IF(SUM(COUNTIF(Benchmark1[Benchmark '#1 Dates],Comp2[[#This Row],[Comparable '#2 Dates]]),COUNTIF(Benchmark2[Benchmark '#2 Dates],Comp2[[#This Row],[Comparable '#2 Dates]]))=2,"Pass","Fail")</f>
        <v>Pass</v>
      </c>
      <c r="I711" s="1">
        <f>IFERROR(Comp2[[#This Row],[Comparable '#2 Return]]-INDEX(Benchmark1[Benchmark '#1 Return],MATCH(Comp2[[#This Row],[Comparable '#2 Dates]],Benchmark1[Benchmark '#1 Dates],0)),"-")</f>
        <v>-4.5730371717831982E-3</v>
      </c>
      <c r="L711" s="72">
        <f>Comp2[[#This Row],[Comparable '#2 Price]]/$B$2*100</f>
        <v>74.34607645875252</v>
      </c>
    </row>
    <row r="712" spans="1:12">
      <c r="A712" s="96">
        <v>44316</v>
      </c>
      <c r="B712" s="101">
        <v>34.31</v>
      </c>
      <c r="C712" s="4">
        <f t="shared" si="22"/>
        <v>-7.4128790523852434E-2</v>
      </c>
      <c r="D712" s="1">
        <f>IFERROR(Comp2[[#This Row],[Comparable '#2 Return]]+1,"-")</f>
        <v>0.92587120947614754</v>
      </c>
      <c r="E712" s="6">
        <f>B712-MAX($B$2:B712)</f>
        <v>-23.849999999999994</v>
      </c>
      <c r="F712" s="80">
        <f t="shared" si="23"/>
        <v>619</v>
      </c>
      <c r="G712" s="77">
        <f>Comp2[[#This Row],[Comparable '#2 Drawdown]]/MAX($B$2:B712)</f>
        <v>-0.41007565337001367</v>
      </c>
      <c r="H712" s="1" t="str">
        <f>IF(SUM(COUNTIF(Benchmark1[Benchmark '#1 Dates],Comp2[[#This Row],[Comparable '#2 Dates]]),COUNTIF(Benchmark2[Benchmark '#2 Dates],Comp2[[#This Row],[Comparable '#2 Dates]]))=2,"Pass","Fail")</f>
        <v>Pass</v>
      </c>
      <c r="I712" s="1">
        <f>IFERROR(Comp2[[#This Row],[Comparable '#2 Return]]-INDEX(Benchmark1[Benchmark '#1 Return],MATCH(Comp2[[#This Row],[Comparable '#2 Dates]],Benchmark1[Benchmark '#1 Dates],0)),"-")</f>
        <v>-6.6908160233973238E-2</v>
      </c>
      <c r="L712" s="72">
        <f>Comp2[[#This Row],[Comparable '#2 Price]]/$B$2*100</f>
        <v>69.034205231388341</v>
      </c>
    </row>
    <row r="713" spans="1:12">
      <c r="A713" s="96">
        <v>44319</v>
      </c>
      <c r="B713" s="101">
        <v>34.76</v>
      </c>
      <c r="C713" s="4">
        <f t="shared" si="22"/>
        <v>1.3030443526832905E-2</v>
      </c>
      <c r="D713" s="1">
        <f>IFERROR(Comp2[[#This Row],[Comparable '#2 Return]]+1,"-")</f>
        <v>1.0130304435268329</v>
      </c>
      <c r="E713" s="6">
        <f>B713-MAX($B$2:B713)</f>
        <v>-23.4</v>
      </c>
      <c r="F713" s="80">
        <f t="shared" si="23"/>
        <v>620</v>
      </c>
      <c r="G713" s="77">
        <f>Comp2[[#This Row],[Comparable '#2 Drawdown]]/MAX($B$2:B713)</f>
        <v>-0.40233837689133423</v>
      </c>
      <c r="H713" s="1" t="str">
        <f>IF(SUM(COUNTIF(Benchmark1[Benchmark '#1 Dates],Comp2[[#This Row],[Comparable '#2 Dates]]),COUNTIF(Benchmark2[Benchmark '#2 Dates],Comp2[[#This Row],[Comparable '#2 Dates]]))=2,"Pass","Fail")</f>
        <v>Pass</v>
      </c>
      <c r="I713" s="1">
        <f>IFERROR(Comp2[[#This Row],[Comparable '#2 Return]]-INDEX(Benchmark1[Benchmark '#1 Return],MATCH(Comp2[[#This Row],[Comparable '#2 Dates]],Benchmark1[Benchmark '#1 Dates],0)),"-")</f>
        <v>1.0287919233515304E-2</v>
      </c>
      <c r="L713" s="72">
        <f>Comp2[[#This Row],[Comparable '#2 Price]]/$B$2*100</f>
        <v>69.939637826961771</v>
      </c>
    </row>
    <row r="714" spans="1:12">
      <c r="A714" s="96">
        <v>44320</v>
      </c>
      <c r="B714" s="101">
        <v>33.799999999999997</v>
      </c>
      <c r="C714" s="4">
        <f t="shared" si="22"/>
        <v>-2.8006497908218218E-2</v>
      </c>
      <c r="D714" s="1">
        <f>IFERROR(Comp2[[#This Row],[Comparable '#2 Return]]+1,"-")</f>
        <v>0.97199350209178181</v>
      </c>
      <c r="E714" s="6">
        <f>B714-MAX($B$2:B714)</f>
        <v>-24.36</v>
      </c>
      <c r="F714" s="80">
        <f t="shared" si="23"/>
        <v>621</v>
      </c>
      <c r="G714" s="77">
        <f>Comp2[[#This Row],[Comparable '#2 Drawdown]]/MAX($B$2:B714)</f>
        <v>-0.41884456671251719</v>
      </c>
      <c r="H714" s="1" t="str">
        <f>IF(SUM(COUNTIF(Benchmark1[Benchmark '#1 Dates],Comp2[[#This Row],[Comparable '#2 Dates]]),COUNTIF(Benchmark2[Benchmark '#2 Dates],Comp2[[#This Row],[Comparable '#2 Dates]]))=2,"Pass","Fail")</f>
        <v>Pass</v>
      </c>
      <c r="I714" s="1">
        <f>IFERROR(Comp2[[#This Row],[Comparable '#2 Return]]-INDEX(Benchmark1[Benchmark '#1 Return],MATCH(Comp2[[#This Row],[Comparable '#2 Dates]],Benchmark1[Benchmark '#1 Dates],0)),"-")</f>
        <v>-2.1306099395383117E-2</v>
      </c>
      <c r="L714" s="72">
        <f>Comp2[[#This Row],[Comparable '#2 Price]]/$B$2*100</f>
        <v>68.008048289738426</v>
      </c>
    </row>
    <row r="715" spans="1:12">
      <c r="A715" s="96">
        <v>44321</v>
      </c>
      <c r="B715" s="101">
        <v>33.75</v>
      </c>
      <c r="C715" s="4">
        <f t="shared" si="22"/>
        <v>-1.4803851704342195E-3</v>
      </c>
      <c r="D715" s="1">
        <f>IFERROR(Comp2[[#This Row],[Comparable '#2 Return]]+1,"-")</f>
        <v>0.99851961482956575</v>
      </c>
      <c r="E715" s="6">
        <f>B715-MAX($B$2:B715)</f>
        <v>-24.409999999999997</v>
      </c>
      <c r="F715" s="80">
        <f t="shared" si="23"/>
        <v>622</v>
      </c>
      <c r="G715" s="77">
        <f>Comp2[[#This Row],[Comparable '#2 Drawdown]]/MAX($B$2:B715)</f>
        <v>-0.41970426409903711</v>
      </c>
      <c r="H715" s="1" t="str">
        <f>IF(SUM(COUNTIF(Benchmark1[Benchmark '#1 Dates],Comp2[[#This Row],[Comparable '#2 Dates]]),COUNTIF(Benchmark2[Benchmark '#2 Dates],Comp2[[#This Row],[Comparable '#2 Dates]]))=2,"Pass","Fail")</f>
        <v>Pass</v>
      </c>
      <c r="I715" s="1">
        <f>IFERROR(Comp2[[#This Row],[Comparable '#2 Return]]-INDEX(Benchmark1[Benchmark '#1 Return],MATCH(Comp2[[#This Row],[Comparable '#2 Dates]],Benchmark1[Benchmark '#1 Dates],0)),"-")</f>
        <v>-2.1833722809715792E-3</v>
      </c>
      <c r="L715" s="72">
        <f>Comp2[[#This Row],[Comparable '#2 Price]]/$B$2*100</f>
        <v>67.90744466800804</v>
      </c>
    </row>
    <row r="716" spans="1:12">
      <c r="A716" s="96">
        <v>44322</v>
      </c>
      <c r="B716" s="101">
        <v>33.450000000000003</v>
      </c>
      <c r="C716" s="4">
        <f t="shared" si="22"/>
        <v>-8.9286307443013184E-3</v>
      </c>
      <c r="D716" s="1">
        <f>IFERROR(Comp2[[#This Row],[Comparable '#2 Return]]+1,"-")</f>
        <v>0.99107136925569872</v>
      </c>
      <c r="E716" s="6">
        <f>B716-MAX($B$2:B716)</f>
        <v>-24.709999999999994</v>
      </c>
      <c r="F716" s="80">
        <f t="shared" si="23"/>
        <v>623</v>
      </c>
      <c r="G716" s="77">
        <f>Comp2[[#This Row],[Comparable '#2 Drawdown]]/MAX($B$2:B716)</f>
        <v>-0.42486244841815674</v>
      </c>
      <c r="H716" s="1" t="str">
        <f>IF(SUM(COUNTIF(Benchmark1[Benchmark '#1 Dates],Comp2[[#This Row],[Comparable '#2 Dates]]),COUNTIF(Benchmark2[Benchmark '#2 Dates],Comp2[[#This Row],[Comparable '#2 Dates]]))=2,"Pass","Fail")</f>
        <v>Pass</v>
      </c>
      <c r="I716" s="1">
        <f>IFERROR(Comp2[[#This Row],[Comparable '#2 Return]]-INDEX(Benchmark1[Benchmark '#1 Return],MATCH(Comp2[[#This Row],[Comparable '#2 Dates]],Benchmark1[Benchmark '#1 Dates],0)),"-")</f>
        <v>-1.7061110120191757E-2</v>
      </c>
      <c r="L716" s="72">
        <f>Comp2[[#This Row],[Comparable '#2 Price]]/$B$2*100</f>
        <v>67.303822937625753</v>
      </c>
    </row>
    <row r="717" spans="1:12">
      <c r="A717" s="96">
        <v>44323</v>
      </c>
      <c r="B717" s="101">
        <v>36.89</v>
      </c>
      <c r="C717" s="4">
        <f t="shared" si="22"/>
        <v>9.7888725034346785E-2</v>
      </c>
      <c r="D717" s="1">
        <f>IFERROR(Comp2[[#This Row],[Comparable '#2 Return]]+1,"-")</f>
        <v>1.0978887250343468</v>
      </c>
      <c r="E717" s="6">
        <f>B717-MAX($B$2:B717)</f>
        <v>-21.269999999999996</v>
      </c>
      <c r="F717" s="80">
        <f t="shared" si="23"/>
        <v>624</v>
      </c>
      <c r="G717" s="77">
        <f>Comp2[[#This Row],[Comparable '#2 Drawdown]]/MAX($B$2:B717)</f>
        <v>-0.36571526822558453</v>
      </c>
      <c r="H717" s="1" t="str">
        <f>IF(SUM(COUNTIF(Benchmark1[Benchmark '#1 Dates],Comp2[[#This Row],[Comparable '#2 Dates]]),COUNTIF(Benchmark2[Benchmark '#2 Dates],Comp2[[#This Row],[Comparable '#2 Dates]]))=2,"Pass","Fail")</f>
        <v>Pass</v>
      </c>
      <c r="I717" s="1">
        <f>IFERROR(Comp2[[#This Row],[Comparable '#2 Return]]-INDEX(Benchmark1[Benchmark '#1 Return],MATCH(Comp2[[#This Row],[Comparable '#2 Dates]],Benchmark1[Benchmark '#1 Dates],0)),"-")</f>
        <v>9.0541812734749039E-2</v>
      </c>
      <c r="L717" s="72">
        <f>Comp2[[#This Row],[Comparable '#2 Price]]/$B$2*100</f>
        <v>74.225352112676063</v>
      </c>
    </row>
    <row r="718" spans="1:12">
      <c r="A718" s="96">
        <v>44326</v>
      </c>
      <c r="B718" s="101">
        <v>37.28</v>
      </c>
      <c r="C718" s="4">
        <f t="shared" si="22"/>
        <v>1.0516478208806261E-2</v>
      </c>
      <c r="D718" s="1">
        <f>IFERROR(Comp2[[#This Row],[Comparable '#2 Return]]+1,"-")</f>
        <v>1.0105164782088063</v>
      </c>
      <c r="E718" s="6">
        <f>B718-MAX($B$2:B718)</f>
        <v>-20.879999999999995</v>
      </c>
      <c r="F718" s="80">
        <f t="shared" si="23"/>
        <v>625</v>
      </c>
      <c r="G718" s="77">
        <f>Comp2[[#This Row],[Comparable '#2 Drawdown]]/MAX($B$2:B718)</f>
        <v>-0.35900962861072899</v>
      </c>
      <c r="H718" s="1" t="str">
        <f>IF(SUM(COUNTIF(Benchmark1[Benchmark '#1 Dates],Comp2[[#This Row],[Comparable '#2 Dates]]),COUNTIF(Benchmark2[Benchmark '#2 Dates],Comp2[[#This Row],[Comparable '#2 Dates]]))=2,"Pass","Fail")</f>
        <v>Pass</v>
      </c>
      <c r="I718" s="1">
        <f>IFERROR(Comp2[[#This Row],[Comparable '#2 Return]]-INDEX(Benchmark1[Benchmark '#1 Return],MATCH(Comp2[[#This Row],[Comparable '#2 Dates]],Benchmark1[Benchmark '#1 Dates],0)),"-")</f>
        <v>2.1007935991812169E-2</v>
      </c>
      <c r="L718" s="72">
        <f>Comp2[[#This Row],[Comparable '#2 Price]]/$B$2*100</f>
        <v>75.010060362173036</v>
      </c>
    </row>
    <row r="719" spans="1:12">
      <c r="A719" s="96">
        <v>44327</v>
      </c>
      <c r="B719" s="101">
        <v>36.94</v>
      </c>
      <c r="C719" s="4">
        <f t="shared" si="22"/>
        <v>-9.162015046296634E-3</v>
      </c>
      <c r="D719" s="1">
        <f>IFERROR(Comp2[[#This Row],[Comparable '#2 Return]]+1,"-")</f>
        <v>0.99083798495370334</v>
      </c>
      <c r="E719" s="6">
        <f>B719-MAX($B$2:B719)</f>
        <v>-21.22</v>
      </c>
      <c r="F719" s="80">
        <f t="shared" si="23"/>
        <v>626</v>
      </c>
      <c r="G719" s="77">
        <f>Comp2[[#This Row],[Comparable '#2 Drawdown]]/MAX($B$2:B719)</f>
        <v>-0.36485557083906467</v>
      </c>
      <c r="H719" s="1" t="str">
        <f>IF(SUM(COUNTIF(Benchmark1[Benchmark '#1 Dates],Comp2[[#This Row],[Comparable '#2 Dates]]),COUNTIF(Benchmark2[Benchmark '#2 Dates],Comp2[[#This Row],[Comparable '#2 Dates]]))=2,"Pass","Fail")</f>
        <v>Pass</v>
      </c>
      <c r="I719" s="1">
        <f>IFERROR(Comp2[[#This Row],[Comparable '#2 Return]]-INDEX(Benchmark1[Benchmark '#1 Return],MATCH(Comp2[[#This Row],[Comparable '#2 Dates]],Benchmark1[Benchmark '#1 Dates],0)),"-")</f>
        <v>-4.4978615826590448E-4</v>
      </c>
      <c r="L719" s="72">
        <f>Comp2[[#This Row],[Comparable '#2 Price]]/$B$2*100</f>
        <v>74.325955734406435</v>
      </c>
    </row>
    <row r="720" spans="1:12">
      <c r="A720" s="96">
        <v>44328</v>
      </c>
      <c r="B720" s="101">
        <v>36.79</v>
      </c>
      <c r="C720" s="4">
        <f t="shared" si="22"/>
        <v>-4.0689056544108669E-3</v>
      </c>
      <c r="D720" s="1">
        <f>IFERROR(Comp2[[#This Row],[Comparable '#2 Return]]+1,"-")</f>
        <v>0.99593109434558913</v>
      </c>
      <c r="E720" s="6">
        <f>B720-MAX($B$2:B720)</f>
        <v>-21.369999999999997</v>
      </c>
      <c r="F720" s="80">
        <f t="shared" si="23"/>
        <v>627</v>
      </c>
      <c r="G720" s="77">
        <f>Comp2[[#This Row],[Comparable '#2 Drawdown]]/MAX($B$2:B720)</f>
        <v>-0.36743466299862448</v>
      </c>
      <c r="H720" s="1" t="str">
        <f>IF(SUM(COUNTIF(Benchmark1[Benchmark '#1 Dates],Comp2[[#This Row],[Comparable '#2 Dates]]),COUNTIF(Benchmark2[Benchmark '#2 Dates],Comp2[[#This Row],[Comparable '#2 Dates]]))=2,"Pass","Fail")</f>
        <v>Pass</v>
      </c>
      <c r="I720" s="1">
        <f>IFERROR(Comp2[[#This Row],[Comparable '#2 Return]]-INDEX(Benchmark1[Benchmark '#1 Return],MATCH(Comp2[[#This Row],[Comparable '#2 Dates]],Benchmark1[Benchmark '#1 Dates],0)),"-")</f>
        <v>1.7613254579152516E-2</v>
      </c>
      <c r="L720" s="72">
        <f>Comp2[[#This Row],[Comparable '#2 Price]]/$B$2*100</f>
        <v>74.024144869215277</v>
      </c>
    </row>
    <row r="721" spans="1:12">
      <c r="A721" s="96">
        <v>44329</v>
      </c>
      <c r="B721" s="101">
        <v>36.69</v>
      </c>
      <c r="C721" s="4">
        <f t="shared" si="22"/>
        <v>-2.7218307494924019E-3</v>
      </c>
      <c r="D721" s="1">
        <f>IFERROR(Comp2[[#This Row],[Comparable '#2 Return]]+1,"-")</f>
        <v>0.99727816925050761</v>
      </c>
      <c r="E721" s="6">
        <f>B721-MAX($B$2:B721)</f>
        <v>-21.47</v>
      </c>
      <c r="F721" s="80">
        <f t="shared" si="23"/>
        <v>628</v>
      </c>
      <c r="G721" s="77">
        <f>Comp2[[#This Row],[Comparable '#2 Drawdown]]/MAX($B$2:B721)</f>
        <v>-0.36915405777166438</v>
      </c>
      <c r="H721" s="1" t="str">
        <f>IF(SUM(COUNTIF(Benchmark1[Benchmark '#1 Dates],Comp2[[#This Row],[Comparable '#2 Dates]]),COUNTIF(Benchmark2[Benchmark '#2 Dates],Comp2[[#This Row],[Comparable '#2 Dates]]))=2,"Pass","Fail")</f>
        <v>Pass</v>
      </c>
      <c r="I721" s="1">
        <f>IFERROR(Comp2[[#This Row],[Comparable '#2 Return]]-INDEX(Benchmark1[Benchmark '#1 Return],MATCH(Comp2[[#This Row],[Comparable '#2 Dates]],Benchmark1[Benchmark '#1 Dates],0)),"-")</f>
        <v>-1.4821037518322011E-2</v>
      </c>
      <c r="L721" s="72">
        <f>Comp2[[#This Row],[Comparable '#2 Price]]/$B$2*100</f>
        <v>73.82293762575452</v>
      </c>
    </row>
    <row r="722" spans="1:12">
      <c r="A722" s="96">
        <v>44330</v>
      </c>
      <c r="B722" s="101">
        <v>38.049999999999997</v>
      </c>
      <c r="C722" s="4">
        <f t="shared" si="22"/>
        <v>3.6396845940504158E-2</v>
      </c>
      <c r="D722" s="1">
        <f>IFERROR(Comp2[[#This Row],[Comparable '#2 Return]]+1,"-")</f>
        <v>1.0363968459405042</v>
      </c>
      <c r="E722" s="6">
        <f>B722-MAX($B$2:B722)</f>
        <v>-20.11</v>
      </c>
      <c r="F722" s="80">
        <f t="shared" si="23"/>
        <v>629</v>
      </c>
      <c r="G722" s="77">
        <f>Comp2[[#This Row],[Comparable '#2 Drawdown]]/MAX($B$2:B722)</f>
        <v>-0.34577028885832189</v>
      </c>
      <c r="H722" s="1" t="str">
        <f>IF(SUM(COUNTIF(Benchmark1[Benchmark '#1 Dates],Comp2[[#This Row],[Comparable '#2 Dates]]),COUNTIF(Benchmark2[Benchmark '#2 Dates],Comp2[[#This Row],[Comparable '#2 Dates]]))=2,"Pass","Fail")</f>
        <v>Pass</v>
      </c>
      <c r="I722" s="1">
        <f>IFERROR(Comp2[[#This Row],[Comparable '#2 Return]]-INDEX(Benchmark1[Benchmark '#1 Return],MATCH(Comp2[[#This Row],[Comparable '#2 Dates]],Benchmark1[Benchmark '#1 Dates],0)),"-")</f>
        <v>2.1587140693366872E-2</v>
      </c>
      <c r="L722" s="72">
        <f>Comp2[[#This Row],[Comparable '#2 Price]]/$B$2*100</f>
        <v>76.559356136820909</v>
      </c>
    </row>
    <row r="723" spans="1:12">
      <c r="A723" s="96">
        <v>44333</v>
      </c>
      <c r="B723" s="101">
        <v>37.96</v>
      </c>
      <c r="C723" s="4">
        <f t="shared" si="22"/>
        <v>-2.3681105659676687E-3</v>
      </c>
      <c r="D723" s="1">
        <f>IFERROR(Comp2[[#This Row],[Comparable '#2 Return]]+1,"-")</f>
        <v>0.99763188943403236</v>
      </c>
      <c r="E723" s="6">
        <f>B723-MAX($B$2:B723)</f>
        <v>-20.199999999999996</v>
      </c>
      <c r="F723" s="80">
        <f t="shared" si="23"/>
        <v>630</v>
      </c>
      <c r="G723" s="77">
        <f>Comp2[[#This Row],[Comparable '#2 Drawdown]]/MAX($B$2:B723)</f>
        <v>-0.34731774415405769</v>
      </c>
      <c r="H723" s="1" t="str">
        <f>IF(SUM(COUNTIF(Benchmark1[Benchmark '#1 Dates],Comp2[[#This Row],[Comparable '#2 Dates]]),COUNTIF(Benchmark2[Benchmark '#2 Dates],Comp2[[#This Row],[Comparable '#2 Dates]]))=2,"Pass","Fail")</f>
        <v>Pass</v>
      </c>
      <c r="I723" s="1">
        <f>IFERROR(Comp2[[#This Row],[Comparable '#2 Return]]-INDEX(Benchmark1[Benchmark '#1 Return],MATCH(Comp2[[#This Row],[Comparable '#2 Dates]],Benchmark1[Benchmark '#1 Dates],0)),"-")</f>
        <v>1.6600533779604753E-4</v>
      </c>
      <c r="L723" s="72">
        <f>Comp2[[#This Row],[Comparable '#2 Price]]/$B$2*100</f>
        <v>76.378269617706223</v>
      </c>
    </row>
    <row r="724" spans="1:12">
      <c r="A724" s="96">
        <v>44334</v>
      </c>
      <c r="B724" s="101">
        <v>38.130000000000003</v>
      </c>
      <c r="C724" s="4">
        <f t="shared" si="22"/>
        <v>4.4684001277453689E-3</v>
      </c>
      <c r="D724" s="1">
        <f>IFERROR(Comp2[[#This Row],[Comparable '#2 Return]]+1,"-")</f>
        <v>1.0044684001277453</v>
      </c>
      <c r="E724" s="6">
        <f>B724-MAX($B$2:B724)</f>
        <v>-20.029999999999994</v>
      </c>
      <c r="F724" s="80">
        <f t="shared" si="23"/>
        <v>631</v>
      </c>
      <c r="G724" s="77">
        <f>Comp2[[#This Row],[Comparable '#2 Drawdown]]/MAX($B$2:B724)</f>
        <v>-0.34439477303988986</v>
      </c>
      <c r="H724" s="1" t="str">
        <f>IF(SUM(COUNTIF(Benchmark1[Benchmark '#1 Dates],Comp2[[#This Row],[Comparable '#2 Dates]]),COUNTIF(Benchmark2[Benchmark '#2 Dates],Comp2[[#This Row],[Comparable '#2 Dates]]))=2,"Pass","Fail")</f>
        <v>Pass</v>
      </c>
      <c r="I724" s="1">
        <f>IFERROR(Comp2[[#This Row],[Comparable '#2 Return]]-INDEX(Benchmark1[Benchmark '#1 Return],MATCH(Comp2[[#This Row],[Comparable '#2 Dates]],Benchmark1[Benchmark '#1 Dates],0)),"-")</f>
        <v>1.3022333591257153E-2</v>
      </c>
      <c r="L724" s="72">
        <f>Comp2[[#This Row],[Comparable '#2 Price]]/$B$2*100</f>
        <v>76.720321931589538</v>
      </c>
    </row>
    <row r="725" spans="1:12">
      <c r="A725" s="96">
        <v>44335</v>
      </c>
      <c r="B725" s="101">
        <v>37.270000000000003</v>
      </c>
      <c r="C725" s="4">
        <f t="shared" si="22"/>
        <v>-2.2812660378305354E-2</v>
      </c>
      <c r="D725" s="1">
        <f>IFERROR(Comp2[[#This Row],[Comparable '#2 Return]]+1,"-")</f>
        <v>0.97718733962169468</v>
      </c>
      <c r="E725" s="6">
        <f>B725-MAX($B$2:B725)</f>
        <v>-20.889999999999993</v>
      </c>
      <c r="F725" s="80">
        <f t="shared" si="23"/>
        <v>632</v>
      </c>
      <c r="G725" s="77">
        <f>Comp2[[#This Row],[Comparable '#2 Drawdown]]/MAX($B$2:B725)</f>
        <v>-0.35918156808803292</v>
      </c>
      <c r="H725" s="1" t="str">
        <f>IF(SUM(COUNTIF(Benchmark1[Benchmark '#1 Dates],Comp2[[#This Row],[Comparable '#2 Dates]]),COUNTIF(Benchmark2[Benchmark '#2 Dates],Comp2[[#This Row],[Comparable '#2 Dates]]))=2,"Pass","Fail")</f>
        <v>Pass</v>
      </c>
      <c r="I725" s="1">
        <f>IFERROR(Comp2[[#This Row],[Comparable '#2 Return]]-INDEX(Benchmark1[Benchmark '#1 Return],MATCH(Comp2[[#This Row],[Comparable '#2 Dates]],Benchmark1[Benchmark '#1 Dates],0)),"-")</f>
        <v>-1.9864145849035356E-2</v>
      </c>
      <c r="L725" s="72">
        <f>Comp2[[#This Row],[Comparable '#2 Price]]/$B$2*100</f>
        <v>74.989939637826964</v>
      </c>
    </row>
    <row r="726" spans="1:12">
      <c r="A726" s="96">
        <v>44336</v>
      </c>
      <c r="B726" s="101">
        <v>37.86</v>
      </c>
      <c r="C726" s="4">
        <f t="shared" si="22"/>
        <v>1.5706432290009672E-2</v>
      </c>
      <c r="D726" s="1">
        <f>IFERROR(Comp2[[#This Row],[Comparable '#2 Return]]+1,"-")</f>
        <v>1.0157064322900096</v>
      </c>
      <c r="E726" s="6">
        <f>B726-MAX($B$2:B726)</f>
        <v>-20.299999999999997</v>
      </c>
      <c r="F726" s="80">
        <f t="shared" si="23"/>
        <v>633</v>
      </c>
      <c r="G726" s="77">
        <f>Comp2[[#This Row],[Comparable '#2 Drawdown]]/MAX($B$2:B726)</f>
        <v>-0.34903713892709765</v>
      </c>
      <c r="H726" s="1" t="str">
        <f>IF(SUM(COUNTIF(Benchmark1[Benchmark '#1 Dates],Comp2[[#This Row],[Comparable '#2 Dates]]),COUNTIF(Benchmark2[Benchmark '#2 Dates],Comp2[[#This Row],[Comparable '#2 Dates]]))=2,"Pass","Fail")</f>
        <v>Pass</v>
      </c>
      <c r="I726" s="1">
        <f>IFERROR(Comp2[[#This Row],[Comparable '#2 Return]]-INDEX(Benchmark1[Benchmark '#1 Return],MATCH(Comp2[[#This Row],[Comparable '#2 Dates]],Benchmark1[Benchmark '#1 Dates],0)),"-")</f>
        <v>5.2051448818165348E-3</v>
      </c>
      <c r="L726" s="72">
        <f>Comp2[[#This Row],[Comparable '#2 Price]]/$B$2*100</f>
        <v>76.177062374245466</v>
      </c>
    </row>
    <row r="727" spans="1:12">
      <c r="A727" s="96">
        <v>44337</v>
      </c>
      <c r="B727" s="101">
        <v>37.880000000000003</v>
      </c>
      <c r="C727" s="4">
        <f t="shared" si="22"/>
        <v>5.281225367007637E-4</v>
      </c>
      <c r="D727" s="1">
        <f>IFERROR(Comp2[[#This Row],[Comparable '#2 Return]]+1,"-")</f>
        <v>1.0005281225367009</v>
      </c>
      <c r="E727" s="6">
        <f>B727-MAX($B$2:B727)</f>
        <v>-20.279999999999994</v>
      </c>
      <c r="F727" s="80">
        <f t="shared" si="23"/>
        <v>634</v>
      </c>
      <c r="G727" s="77">
        <f>Comp2[[#This Row],[Comparable '#2 Drawdown]]/MAX($B$2:B727)</f>
        <v>-0.34869325997248962</v>
      </c>
      <c r="H727" s="1" t="str">
        <f>IF(SUM(COUNTIF(Benchmark1[Benchmark '#1 Dates],Comp2[[#This Row],[Comparable '#2 Dates]]),COUNTIF(Benchmark2[Benchmark '#2 Dates],Comp2[[#This Row],[Comparable '#2 Dates]]))=2,"Pass","Fail")</f>
        <v>Pass</v>
      </c>
      <c r="I727" s="1">
        <f>IFERROR(Comp2[[#This Row],[Comparable '#2 Return]]-INDEX(Benchmark1[Benchmark '#1 Return],MATCH(Comp2[[#This Row],[Comparable '#2 Dates]],Benchmark1[Benchmark '#1 Dates],0)),"-")</f>
        <v>1.3138383504100481E-3</v>
      </c>
      <c r="L727" s="72">
        <f>Comp2[[#This Row],[Comparable '#2 Price]]/$B$2*100</f>
        <v>76.217303822937637</v>
      </c>
    </row>
    <row r="728" spans="1:12">
      <c r="A728" s="96">
        <v>44340</v>
      </c>
      <c r="B728" s="101">
        <v>36.15</v>
      </c>
      <c r="C728" s="4">
        <f t="shared" si="22"/>
        <v>-4.6746319713103876E-2</v>
      </c>
      <c r="D728" s="1">
        <f>IFERROR(Comp2[[#This Row],[Comparable '#2 Return]]+1,"-")</f>
        <v>0.95325368028689617</v>
      </c>
      <c r="E728" s="6">
        <f>B728-MAX($B$2:B728)</f>
        <v>-22.009999999999998</v>
      </c>
      <c r="F728" s="80">
        <f t="shared" si="23"/>
        <v>635</v>
      </c>
      <c r="G728" s="77">
        <f>Comp2[[#This Row],[Comparable '#2 Drawdown]]/MAX($B$2:B728)</f>
        <v>-0.37843878954607979</v>
      </c>
      <c r="H728" s="1" t="str">
        <f>IF(SUM(COUNTIF(Benchmark1[Benchmark '#1 Dates],Comp2[[#This Row],[Comparable '#2 Dates]]),COUNTIF(Benchmark2[Benchmark '#2 Dates],Comp2[[#This Row],[Comparable '#2 Dates]]))=2,"Pass","Fail")</f>
        <v>Pass</v>
      </c>
      <c r="I728" s="1">
        <f>IFERROR(Comp2[[#This Row],[Comparable '#2 Return]]-INDEX(Benchmark1[Benchmark '#1 Return],MATCH(Comp2[[#This Row],[Comparable '#2 Dates]],Benchmark1[Benchmark '#1 Dates],0)),"-")</f>
        <v>-5.6608702596861245E-2</v>
      </c>
      <c r="L728" s="72">
        <f>Comp2[[#This Row],[Comparable '#2 Price]]/$B$2*100</f>
        <v>72.73641851106639</v>
      </c>
    </row>
    <row r="729" spans="1:12">
      <c r="A729" s="96">
        <v>44341</v>
      </c>
      <c r="B729" s="101">
        <v>35.65</v>
      </c>
      <c r="C729" s="4">
        <f t="shared" si="22"/>
        <v>-1.39278017444687E-2</v>
      </c>
      <c r="D729" s="1">
        <f>IFERROR(Comp2[[#This Row],[Comparable '#2 Return]]+1,"-")</f>
        <v>0.98607219825553127</v>
      </c>
      <c r="E729" s="6">
        <f>B729-MAX($B$2:B729)</f>
        <v>-22.509999999999998</v>
      </c>
      <c r="F729" s="80">
        <f t="shared" si="23"/>
        <v>636</v>
      </c>
      <c r="G729" s="77">
        <f>Comp2[[#This Row],[Comparable '#2 Drawdown]]/MAX($B$2:B729)</f>
        <v>-0.38703576341127921</v>
      </c>
      <c r="H729" s="1" t="str">
        <f>IF(SUM(COUNTIF(Benchmark1[Benchmark '#1 Dates],Comp2[[#This Row],[Comparable '#2 Dates]]),COUNTIF(Benchmark2[Benchmark '#2 Dates],Comp2[[#This Row],[Comparable '#2 Dates]]))=2,"Pass","Fail")</f>
        <v>Pass</v>
      </c>
      <c r="I729" s="1">
        <f>IFERROR(Comp2[[#This Row],[Comparable '#2 Return]]-INDEX(Benchmark1[Benchmark '#1 Return],MATCH(Comp2[[#This Row],[Comparable '#2 Dates]],Benchmark1[Benchmark '#1 Dates],0)),"-")</f>
        <v>-1.1801874679039918E-2</v>
      </c>
      <c r="L729" s="72">
        <f>Comp2[[#This Row],[Comparable '#2 Price]]/$B$2*100</f>
        <v>71.730382293762574</v>
      </c>
    </row>
    <row r="730" spans="1:12">
      <c r="A730" s="96">
        <v>44342</v>
      </c>
      <c r="B730" s="101">
        <v>35.81</v>
      </c>
      <c r="C730" s="4">
        <f t="shared" si="22"/>
        <v>4.4780371500364778E-3</v>
      </c>
      <c r="D730" s="1">
        <f>IFERROR(Comp2[[#This Row],[Comparable '#2 Return]]+1,"-")</f>
        <v>1.0044780371500366</v>
      </c>
      <c r="E730" s="6">
        <f>B730-MAX($B$2:B730)</f>
        <v>-22.349999999999994</v>
      </c>
      <c r="F730" s="80">
        <f t="shared" si="23"/>
        <v>637</v>
      </c>
      <c r="G730" s="77">
        <f>Comp2[[#This Row],[Comparable '#2 Drawdown]]/MAX($B$2:B730)</f>
        <v>-0.38428473177441536</v>
      </c>
      <c r="H730" s="1" t="str">
        <f>IF(SUM(COUNTIF(Benchmark1[Benchmark '#1 Dates],Comp2[[#This Row],[Comparable '#2 Dates]]),COUNTIF(Benchmark2[Benchmark '#2 Dates],Comp2[[#This Row],[Comparable '#2 Dates]]))=2,"Pass","Fail")</f>
        <v>Pass</v>
      </c>
      <c r="I730" s="1">
        <f>IFERROR(Comp2[[#This Row],[Comparable '#2 Return]]-INDEX(Benchmark1[Benchmark '#1 Return],MATCH(Comp2[[#This Row],[Comparable '#2 Dates]],Benchmark1[Benchmark '#1 Dates],0)),"-")</f>
        <v>2.603179517004681E-3</v>
      </c>
      <c r="L730" s="72">
        <f>Comp2[[#This Row],[Comparable '#2 Price]]/$B$2*100</f>
        <v>72.052313883299803</v>
      </c>
    </row>
    <row r="731" spans="1:12">
      <c r="A731" s="96">
        <v>44343</v>
      </c>
      <c r="B731" s="101">
        <v>36.93</v>
      </c>
      <c r="C731" s="4">
        <f t="shared" si="22"/>
        <v>3.0797044854130533E-2</v>
      </c>
      <c r="D731" s="1">
        <f>IFERROR(Comp2[[#This Row],[Comparable '#2 Return]]+1,"-")</f>
        <v>1.0307970448541306</v>
      </c>
      <c r="E731" s="6">
        <f>B731-MAX($B$2:B731)</f>
        <v>-21.229999999999997</v>
      </c>
      <c r="F731" s="80">
        <f t="shared" si="23"/>
        <v>638</v>
      </c>
      <c r="G731" s="77">
        <f>Comp2[[#This Row],[Comparable '#2 Drawdown]]/MAX($B$2:B731)</f>
        <v>-0.3650275103163686</v>
      </c>
      <c r="H731" s="1" t="str">
        <f>IF(SUM(COUNTIF(Benchmark1[Benchmark '#1 Dates],Comp2[[#This Row],[Comparable '#2 Dates]]),COUNTIF(Benchmark2[Benchmark '#2 Dates],Comp2[[#This Row],[Comparable '#2 Dates]]))=2,"Pass","Fail")</f>
        <v>Pass</v>
      </c>
      <c r="I731" s="1">
        <f>IFERROR(Comp2[[#This Row],[Comparable '#2 Return]]-INDEX(Benchmark1[Benchmark '#1 Return],MATCH(Comp2[[#This Row],[Comparable '#2 Dates]],Benchmark1[Benchmark '#1 Dates],0)),"-")</f>
        <v>2.9634190349728237E-2</v>
      </c>
      <c r="L731" s="72">
        <f>Comp2[[#This Row],[Comparable '#2 Price]]/$B$2*100</f>
        <v>74.305835010060363</v>
      </c>
    </row>
    <row r="732" spans="1:12">
      <c r="A732" s="96">
        <v>44344</v>
      </c>
      <c r="B732" s="101">
        <v>36.380000000000003</v>
      </c>
      <c r="C732" s="4">
        <f t="shared" si="22"/>
        <v>-1.5005055774495511E-2</v>
      </c>
      <c r="D732" s="1">
        <f>IFERROR(Comp2[[#This Row],[Comparable '#2 Return]]+1,"-")</f>
        <v>0.98499494422550449</v>
      </c>
      <c r="E732" s="6">
        <f>B732-MAX($B$2:B732)</f>
        <v>-21.779999999999994</v>
      </c>
      <c r="F732" s="80">
        <f t="shared" si="23"/>
        <v>639</v>
      </c>
      <c r="G732" s="77">
        <f>Comp2[[#This Row],[Comparable '#2 Drawdown]]/MAX($B$2:B732)</f>
        <v>-0.37448418156808794</v>
      </c>
      <c r="H732" s="1" t="str">
        <f>IF(SUM(COUNTIF(Benchmark1[Benchmark '#1 Dates],Comp2[[#This Row],[Comparable '#2 Dates]]),COUNTIF(Benchmark2[Benchmark '#2 Dates],Comp2[[#This Row],[Comparable '#2 Dates]]))=2,"Pass","Fail")</f>
        <v>Pass</v>
      </c>
      <c r="I732" s="1">
        <f>IFERROR(Comp2[[#This Row],[Comparable '#2 Return]]-INDEX(Benchmark1[Benchmark '#1 Return],MATCH(Comp2[[#This Row],[Comparable '#2 Dates]],Benchmark1[Benchmark '#1 Dates],0)),"-")</f>
        <v>-1.5774775955780918E-2</v>
      </c>
      <c r="L732" s="72">
        <f>Comp2[[#This Row],[Comparable '#2 Price]]/$B$2*100</f>
        <v>73.199195171026162</v>
      </c>
    </row>
    <row r="733" spans="1:12">
      <c r="A733" s="96">
        <v>44348</v>
      </c>
      <c r="B733" s="101">
        <v>37.630000000000003</v>
      </c>
      <c r="C733" s="4">
        <f t="shared" si="22"/>
        <v>3.3782431515369776E-2</v>
      </c>
      <c r="D733" s="1">
        <f>IFERROR(Comp2[[#This Row],[Comparable '#2 Return]]+1,"-")</f>
        <v>1.0337824315153699</v>
      </c>
      <c r="E733" s="6">
        <f>B733-MAX($B$2:B733)</f>
        <v>-20.529999999999994</v>
      </c>
      <c r="F733" s="80">
        <f t="shared" si="23"/>
        <v>640</v>
      </c>
      <c r="G733" s="77">
        <f>Comp2[[#This Row],[Comparable '#2 Drawdown]]/MAX($B$2:B733)</f>
        <v>-0.35299174690508933</v>
      </c>
      <c r="H733" s="1" t="str">
        <f>IF(SUM(COUNTIF(Benchmark1[Benchmark '#1 Dates],Comp2[[#This Row],[Comparable '#2 Dates]]),COUNTIF(Benchmark2[Benchmark '#2 Dates],Comp2[[#This Row],[Comparable '#2 Dates]]))=2,"Pass","Fail")</f>
        <v>Pass</v>
      </c>
      <c r="I733" s="1">
        <f>IFERROR(Comp2[[#This Row],[Comparable '#2 Return]]-INDEX(Benchmark1[Benchmark '#1 Return],MATCH(Comp2[[#This Row],[Comparable '#2 Dates]],Benchmark1[Benchmark '#1 Dates],0)),"-")</f>
        <v>3.4274674939149423E-2</v>
      </c>
      <c r="L733" s="72">
        <f>Comp2[[#This Row],[Comparable '#2 Price]]/$B$2*100</f>
        <v>75.714285714285708</v>
      </c>
    </row>
    <row r="734" spans="1:12">
      <c r="A734" s="96">
        <v>44349</v>
      </c>
      <c r="B734" s="101">
        <v>37.36</v>
      </c>
      <c r="C734" s="4">
        <f t="shared" si="22"/>
        <v>-7.2009912447041496E-3</v>
      </c>
      <c r="D734" s="1">
        <f>IFERROR(Comp2[[#This Row],[Comparable '#2 Return]]+1,"-")</f>
        <v>0.99279900875529581</v>
      </c>
      <c r="E734" s="6">
        <f>B734-MAX($B$2:B734)</f>
        <v>-20.799999999999997</v>
      </c>
      <c r="F734" s="80">
        <f t="shared" si="23"/>
        <v>641</v>
      </c>
      <c r="G734" s="77">
        <f>Comp2[[#This Row],[Comparable '#2 Drawdown]]/MAX($B$2:B734)</f>
        <v>-0.35763411279229707</v>
      </c>
      <c r="H734" s="1" t="str">
        <f>IF(SUM(COUNTIF(Benchmark1[Benchmark '#1 Dates],Comp2[[#This Row],[Comparable '#2 Dates]]),COUNTIF(Benchmark2[Benchmark '#2 Dates],Comp2[[#This Row],[Comparable '#2 Dates]]))=2,"Pass","Fail")</f>
        <v>Pass</v>
      </c>
      <c r="I734" s="1">
        <f>IFERROR(Comp2[[#This Row],[Comparable '#2 Return]]-INDEX(Benchmark1[Benchmark '#1 Return],MATCH(Comp2[[#This Row],[Comparable '#2 Dates]],Benchmark1[Benchmark '#1 Dates],0)),"-")</f>
        <v>-8.6462933187216821E-3</v>
      </c>
      <c r="L734" s="72">
        <f>Comp2[[#This Row],[Comparable '#2 Price]]/$B$2*100</f>
        <v>75.17102615694165</v>
      </c>
    </row>
    <row r="735" spans="1:12">
      <c r="A735" s="96">
        <v>44350</v>
      </c>
      <c r="B735" s="101">
        <v>37</v>
      </c>
      <c r="C735" s="4">
        <f t="shared" si="22"/>
        <v>-9.6827007164173879E-3</v>
      </c>
      <c r="D735" s="1">
        <f>IFERROR(Comp2[[#This Row],[Comparable '#2 Return]]+1,"-")</f>
        <v>0.99031729928358259</v>
      </c>
      <c r="E735" s="6">
        <f>B735-MAX($B$2:B735)</f>
        <v>-21.159999999999997</v>
      </c>
      <c r="F735" s="80">
        <f t="shared" si="23"/>
        <v>642</v>
      </c>
      <c r="G735" s="77">
        <f>Comp2[[#This Row],[Comparable '#2 Drawdown]]/MAX($B$2:B735)</f>
        <v>-0.36382393397524065</v>
      </c>
      <c r="H735" s="1" t="str">
        <f>IF(SUM(COUNTIF(Benchmark1[Benchmark '#1 Dates],Comp2[[#This Row],[Comparable '#2 Dates]]),COUNTIF(Benchmark2[Benchmark '#2 Dates],Comp2[[#This Row],[Comparable '#2 Dates]]))=2,"Pass","Fail")</f>
        <v>Pass</v>
      </c>
      <c r="I735" s="1">
        <f>IFERROR(Comp2[[#This Row],[Comparable '#2 Return]]-INDEX(Benchmark1[Benchmark '#1 Return],MATCH(Comp2[[#This Row],[Comparable '#2 Dates]],Benchmark1[Benchmark '#1 Dates],0)),"-")</f>
        <v>-6.0487358398355106E-3</v>
      </c>
      <c r="L735" s="72">
        <f>Comp2[[#This Row],[Comparable '#2 Price]]/$B$2*100</f>
        <v>74.446680080482892</v>
      </c>
    </row>
    <row r="736" spans="1:12">
      <c r="A736" s="96">
        <v>44351</v>
      </c>
      <c r="B736" s="101">
        <v>37.130000000000003</v>
      </c>
      <c r="C736" s="4">
        <f t="shared" si="22"/>
        <v>3.5073555447643436E-3</v>
      </c>
      <c r="D736" s="1">
        <f>IFERROR(Comp2[[#This Row],[Comparable '#2 Return]]+1,"-")</f>
        <v>1.0035073555447644</v>
      </c>
      <c r="E736" s="6">
        <f>B736-MAX($B$2:B736)</f>
        <v>-21.029999999999994</v>
      </c>
      <c r="F736" s="80">
        <f t="shared" si="23"/>
        <v>643</v>
      </c>
      <c r="G736" s="77">
        <f>Comp2[[#This Row],[Comparable '#2 Drawdown]]/MAX($B$2:B736)</f>
        <v>-0.36158872077028875</v>
      </c>
      <c r="H736" s="1" t="str">
        <f>IF(SUM(COUNTIF(Benchmark1[Benchmark '#1 Dates],Comp2[[#This Row],[Comparable '#2 Dates]]),COUNTIF(Benchmark2[Benchmark '#2 Dates],Comp2[[#This Row],[Comparable '#2 Dates]]))=2,"Pass","Fail")</f>
        <v>Pass</v>
      </c>
      <c r="I736" s="1">
        <f>IFERROR(Comp2[[#This Row],[Comparable '#2 Return]]-INDEX(Benchmark1[Benchmark '#1 Return],MATCH(Comp2[[#This Row],[Comparable '#2 Dates]],Benchmark1[Benchmark '#1 Dates],0)),"-")</f>
        <v>-5.2869334716656221E-3</v>
      </c>
      <c r="L736" s="72">
        <f>Comp2[[#This Row],[Comparable '#2 Price]]/$B$2*100</f>
        <v>74.708249496981892</v>
      </c>
    </row>
    <row r="737" spans="1:12">
      <c r="A737" s="96">
        <v>44354</v>
      </c>
      <c r="B737" s="101">
        <v>37.75</v>
      </c>
      <c r="C737" s="4">
        <f t="shared" si="22"/>
        <v>1.6560207506044838E-2</v>
      </c>
      <c r="D737" s="1">
        <f>IFERROR(Comp2[[#This Row],[Comparable '#2 Return]]+1,"-")</f>
        <v>1.0165602075060449</v>
      </c>
      <c r="E737" s="6">
        <f>B737-MAX($B$2:B737)</f>
        <v>-20.409999999999997</v>
      </c>
      <c r="F737" s="80">
        <f t="shared" si="23"/>
        <v>644</v>
      </c>
      <c r="G737" s="77">
        <f>Comp2[[#This Row],[Comparable '#2 Drawdown]]/MAX($B$2:B737)</f>
        <v>-0.35092847317744152</v>
      </c>
      <c r="H737" s="1" t="str">
        <f>IF(SUM(COUNTIF(Benchmark1[Benchmark '#1 Dates],Comp2[[#This Row],[Comparable '#2 Dates]]),COUNTIF(Benchmark2[Benchmark '#2 Dates],Comp2[[#This Row],[Comparable '#2 Dates]]))=2,"Pass","Fail")</f>
        <v>Pass</v>
      </c>
      <c r="I737" s="1">
        <f>IFERROR(Comp2[[#This Row],[Comparable '#2 Return]]-INDEX(Benchmark1[Benchmark '#1 Return],MATCH(Comp2[[#This Row],[Comparable '#2 Dates]],Benchmark1[Benchmark '#1 Dates],0)),"-")</f>
        <v>1.7357336714756099E-2</v>
      </c>
      <c r="L737" s="72">
        <f>Comp2[[#This Row],[Comparable '#2 Price]]/$B$2*100</f>
        <v>75.955734406438623</v>
      </c>
    </row>
    <row r="738" spans="1:12">
      <c r="A738" s="96">
        <v>44355</v>
      </c>
      <c r="B738" s="101">
        <v>38.39</v>
      </c>
      <c r="C738" s="4">
        <f t="shared" si="22"/>
        <v>1.6811533317672576E-2</v>
      </c>
      <c r="D738" s="1">
        <f>IFERROR(Comp2[[#This Row],[Comparable '#2 Return]]+1,"-")</f>
        <v>1.0168115333176726</v>
      </c>
      <c r="E738" s="6">
        <f>B738-MAX($B$2:B738)</f>
        <v>-19.769999999999996</v>
      </c>
      <c r="F738" s="80">
        <f t="shared" si="23"/>
        <v>645</v>
      </c>
      <c r="G738" s="77">
        <f>Comp2[[#This Row],[Comparable '#2 Drawdown]]/MAX($B$2:B738)</f>
        <v>-0.33992434662998622</v>
      </c>
      <c r="H738" s="1" t="str">
        <f>IF(SUM(COUNTIF(Benchmark1[Benchmark '#1 Dates],Comp2[[#This Row],[Comparable '#2 Dates]]),COUNTIF(Benchmark2[Benchmark '#2 Dates],Comp2[[#This Row],[Comparable '#2 Dates]]))=2,"Pass","Fail")</f>
        <v>Pass</v>
      </c>
      <c r="I738" s="1">
        <f>IFERROR(Comp2[[#This Row],[Comparable '#2 Return]]-INDEX(Benchmark1[Benchmark '#1 Return],MATCH(Comp2[[#This Row],[Comparable '#2 Dates]],Benchmark1[Benchmark '#1 Dates],0)),"-")</f>
        <v>1.663768770448892E-2</v>
      </c>
      <c r="L738" s="72">
        <f>Comp2[[#This Row],[Comparable '#2 Price]]/$B$2*100</f>
        <v>77.243460764587525</v>
      </c>
    </row>
    <row r="739" spans="1:12">
      <c r="A739" s="96">
        <v>44356</v>
      </c>
      <c r="B739" s="101">
        <v>37.94</v>
      </c>
      <c r="C739" s="4">
        <f t="shared" si="22"/>
        <v>-1.1791044505838321E-2</v>
      </c>
      <c r="D739" s="1">
        <f>IFERROR(Comp2[[#This Row],[Comparable '#2 Return]]+1,"-")</f>
        <v>0.98820895549416166</v>
      </c>
      <c r="E739" s="6">
        <f>B739-MAX($B$2:B739)</f>
        <v>-20.22</v>
      </c>
      <c r="F739" s="80">
        <f t="shared" si="23"/>
        <v>646</v>
      </c>
      <c r="G739" s="77">
        <f>Comp2[[#This Row],[Comparable '#2 Drawdown]]/MAX($B$2:B739)</f>
        <v>-0.34766162310866577</v>
      </c>
      <c r="H739" s="1" t="str">
        <f>IF(SUM(COUNTIF(Benchmark1[Benchmark '#1 Dates],Comp2[[#This Row],[Comparable '#2 Dates]]),COUNTIF(Benchmark2[Benchmark '#2 Dates],Comp2[[#This Row],[Comparable '#2 Dates]]))=2,"Pass","Fail")</f>
        <v>Pass</v>
      </c>
      <c r="I739" s="1">
        <f>IFERROR(Comp2[[#This Row],[Comparable '#2 Return]]-INDEX(Benchmark1[Benchmark '#1 Return],MATCH(Comp2[[#This Row],[Comparable '#2 Dates]],Benchmark1[Benchmark '#1 Dates],0)),"-")</f>
        <v>-9.9659334410619714E-3</v>
      </c>
      <c r="L739" s="72">
        <f>Comp2[[#This Row],[Comparable '#2 Price]]/$B$2*100</f>
        <v>76.338028169014066</v>
      </c>
    </row>
    <row r="740" spans="1:12">
      <c r="A740" s="96">
        <v>44357</v>
      </c>
      <c r="B740" s="101">
        <v>38.86</v>
      </c>
      <c r="C740" s="4">
        <f t="shared" si="22"/>
        <v>2.3959479442426025E-2</v>
      </c>
      <c r="D740" s="1">
        <f>IFERROR(Comp2[[#This Row],[Comparable '#2 Return]]+1,"-")</f>
        <v>1.023959479442426</v>
      </c>
      <c r="E740" s="6">
        <f>B740-MAX($B$2:B740)</f>
        <v>-19.299999999999997</v>
      </c>
      <c r="F740" s="80">
        <f t="shared" si="23"/>
        <v>647</v>
      </c>
      <c r="G740" s="77">
        <f>Comp2[[#This Row],[Comparable '#2 Drawdown]]/MAX($B$2:B740)</f>
        <v>-0.33184319119669875</v>
      </c>
      <c r="H740" s="1" t="str">
        <f>IF(SUM(COUNTIF(Benchmark1[Benchmark '#1 Dates],Comp2[[#This Row],[Comparable '#2 Dates]]),COUNTIF(Benchmark2[Benchmark '#2 Dates],Comp2[[#This Row],[Comparable '#2 Dates]]))=2,"Pass","Fail")</f>
        <v>Pass</v>
      </c>
      <c r="I740" s="1">
        <f>IFERROR(Comp2[[#This Row],[Comparable '#2 Return]]-INDEX(Benchmark1[Benchmark '#1 Return],MATCH(Comp2[[#This Row],[Comparable '#2 Dates]],Benchmark1[Benchmark '#1 Dates],0)),"-")</f>
        <v>1.9316381336324712E-2</v>
      </c>
      <c r="L740" s="72">
        <f>Comp2[[#This Row],[Comparable '#2 Price]]/$B$2*100</f>
        <v>78.189134808853112</v>
      </c>
    </row>
    <row r="741" spans="1:12">
      <c r="A741" s="96">
        <v>44358</v>
      </c>
      <c r="B741" s="101">
        <v>39.21</v>
      </c>
      <c r="C741" s="4">
        <f t="shared" si="22"/>
        <v>8.9663723549462948E-3</v>
      </c>
      <c r="D741" s="1">
        <f>IFERROR(Comp2[[#This Row],[Comparable '#2 Return]]+1,"-")</f>
        <v>1.0089663723549462</v>
      </c>
      <c r="E741" s="6">
        <f>B741-MAX($B$2:B741)</f>
        <v>-18.949999999999996</v>
      </c>
      <c r="F741" s="80">
        <f t="shared" si="23"/>
        <v>648</v>
      </c>
      <c r="G741" s="77">
        <f>Comp2[[#This Row],[Comparable '#2 Drawdown]]/MAX($B$2:B741)</f>
        <v>-0.32582530949105909</v>
      </c>
      <c r="H741" s="1" t="str">
        <f>IF(SUM(COUNTIF(Benchmark1[Benchmark '#1 Dates],Comp2[[#This Row],[Comparable '#2 Dates]]),COUNTIF(Benchmark2[Benchmark '#2 Dates],Comp2[[#This Row],[Comparable '#2 Dates]]))=2,"Pass","Fail")</f>
        <v>Pass</v>
      </c>
      <c r="I741" s="1">
        <f>IFERROR(Comp2[[#This Row],[Comparable '#2 Return]]-INDEX(Benchmark1[Benchmark '#1 Return],MATCH(Comp2[[#This Row],[Comparable '#2 Dates]],Benchmark1[Benchmark '#1 Dates],0)),"-")</f>
        <v>7.0208087796326925E-3</v>
      </c>
      <c r="L741" s="72">
        <f>Comp2[[#This Row],[Comparable '#2 Price]]/$B$2*100</f>
        <v>78.893360160965798</v>
      </c>
    </row>
    <row r="742" spans="1:12">
      <c r="A742" s="96">
        <v>44361</v>
      </c>
      <c r="B742" s="101">
        <v>38.53</v>
      </c>
      <c r="C742" s="4">
        <f t="shared" si="22"/>
        <v>-1.7494657666174009E-2</v>
      </c>
      <c r="D742" s="1">
        <f>IFERROR(Comp2[[#This Row],[Comparable '#2 Return]]+1,"-")</f>
        <v>0.98250534233382603</v>
      </c>
      <c r="E742" s="6">
        <f>B742-MAX($B$2:B742)</f>
        <v>-19.629999999999995</v>
      </c>
      <c r="F742" s="80">
        <f t="shared" si="23"/>
        <v>649</v>
      </c>
      <c r="G742" s="77">
        <f>Comp2[[#This Row],[Comparable '#2 Drawdown]]/MAX($B$2:B742)</f>
        <v>-0.33751719394773033</v>
      </c>
      <c r="H742" s="1" t="str">
        <f>IF(SUM(COUNTIF(Benchmark1[Benchmark '#1 Dates],Comp2[[#This Row],[Comparable '#2 Dates]]),COUNTIF(Benchmark2[Benchmark '#2 Dates],Comp2[[#This Row],[Comparable '#2 Dates]]))=2,"Pass","Fail")</f>
        <v>Pass</v>
      </c>
      <c r="I742" s="1">
        <f>IFERROR(Comp2[[#This Row],[Comparable '#2 Return]]-INDEX(Benchmark1[Benchmark '#1 Return],MATCH(Comp2[[#This Row],[Comparable '#2 Dates]],Benchmark1[Benchmark '#1 Dates],0)),"-")</f>
        <v>-1.9308351401719614E-2</v>
      </c>
      <c r="L742" s="72">
        <f>Comp2[[#This Row],[Comparable '#2 Price]]/$B$2*100</f>
        <v>77.525150905432596</v>
      </c>
    </row>
    <row r="743" spans="1:12">
      <c r="A743" s="96">
        <v>44362</v>
      </c>
      <c r="B743" s="101">
        <v>38.549999999999997</v>
      </c>
      <c r="C743" s="4">
        <f t="shared" si="22"/>
        <v>5.1894137127225836E-4</v>
      </c>
      <c r="D743" s="1">
        <f>IFERROR(Comp2[[#This Row],[Comparable '#2 Return]]+1,"-")</f>
        <v>1.0005189413712723</v>
      </c>
      <c r="E743" s="6">
        <f>B743-MAX($B$2:B743)</f>
        <v>-19.61</v>
      </c>
      <c r="F743" s="80">
        <f t="shared" si="23"/>
        <v>650</v>
      </c>
      <c r="G743" s="77">
        <f>Comp2[[#This Row],[Comparable '#2 Drawdown]]/MAX($B$2:B743)</f>
        <v>-0.33717331499312242</v>
      </c>
      <c r="H743" s="1" t="str">
        <f>IF(SUM(COUNTIF(Benchmark1[Benchmark '#1 Dates],Comp2[[#This Row],[Comparable '#2 Dates]]),COUNTIF(Benchmark2[Benchmark '#2 Dates],Comp2[[#This Row],[Comparable '#2 Dates]]))=2,"Pass","Fail")</f>
        <v>Pass</v>
      </c>
      <c r="I743" s="1">
        <f>IFERROR(Comp2[[#This Row],[Comparable '#2 Return]]-INDEX(Benchmark1[Benchmark '#1 Return],MATCH(Comp2[[#This Row],[Comparable '#2 Dates]],Benchmark1[Benchmark '#1 Dates],0)),"-")</f>
        <v>2.5317881941479673E-3</v>
      </c>
      <c r="L743" s="72">
        <f>Comp2[[#This Row],[Comparable '#2 Price]]/$B$2*100</f>
        <v>77.565392354124739</v>
      </c>
    </row>
    <row r="744" spans="1:12">
      <c r="A744" s="96">
        <v>44363</v>
      </c>
      <c r="B744" s="101">
        <v>37.69</v>
      </c>
      <c r="C744" s="4">
        <f t="shared" si="22"/>
        <v>-2.2561292730294467E-2</v>
      </c>
      <c r="D744" s="1">
        <f>IFERROR(Comp2[[#This Row],[Comparable '#2 Return]]+1,"-")</f>
        <v>0.9774387072697055</v>
      </c>
      <c r="E744" s="6">
        <f>B744-MAX($B$2:B744)</f>
        <v>-20.47</v>
      </c>
      <c r="F744" s="80">
        <f t="shared" si="23"/>
        <v>651</v>
      </c>
      <c r="G744" s="77">
        <f>Comp2[[#This Row],[Comparable '#2 Drawdown]]/MAX($B$2:B744)</f>
        <v>-0.35196011004126548</v>
      </c>
      <c r="H744" s="1" t="str">
        <f>IF(SUM(COUNTIF(Benchmark1[Benchmark '#1 Dates],Comp2[[#This Row],[Comparable '#2 Dates]]),COUNTIF(Benchmark2[Benchmark '#2 Dates],Comp2[[#This Row],[Comparable '#2 Dates]]))=2,"Pass","Fail")</f>
        <v>Pass</v>
      </c>
      <c r="I744" s="1">
        <f>IFERROR(Comp2[[#This Row],[Comparable '#2 Return]]-INDEX(Benchmark1[Benchmark '#1 Return],MATCH(Comp2[[#This Row],[Comparable '#2 Dates]],Benchmark1[Benchmark '#1 Dates],0)),"-")</f>
        <v>-1.7156561520850558E-2</v>
      </c>
      <c r="L744" s="72">
        <f>Comp2[[#This Row],[Comparable '#2 Price]]/$B$2*100</f>
        <v>75.835010060362166</v>
      </c>
    </row>
    <row r="745" spans="1:12">
      <c r="A745" s="96">
        <v>44364</v>
      </c>
      <c r="B745" s="101">
        <v>37.380000000000003</v>
      </c>
      <c r="C745" s="4">
        <f t="shared" si="22"/>
        <v>-8.2590052516271651E-3</v>
      </c>
      <c r="D745" s="1">
        <f>IFERROR(Comp2[[#This Row],[Comparable '#2 Return]]+1,"-")</f>
        <v>0.99174099474837285</v>
      </c>
      <c r="E745" s="6">
        <f>B745-MAX($B$2:B745)</f>
        <v>-20.779999999999994</v>
      </c>
      <c r="F745" s="80">
        <f t="shared" si="23"/>
        <v>652</v>
      </c>
      <c r="G745" s="77">
        <f>Comp2[[#This Row],[Comparable '#2 Drawdown]]/MAX($B$2:B745)</f>
        <v>-0.35729023383768904</v>
      </c>
      <c r="H745" s="1" t="str">
        <f>IF(SUM(COUNTIF(Benchmark1[Benchmark '#1 Dates],Comp2[[#This Row],[Comparable '#2 Dates]]),COUNTIF(Benchmark2[Benchmark '#2 Dates],Comp2[[#This Row],[Comparable '#2 Dates]]))=2,"Pass","Fail")</f>
        <v>Pass</v>
      </c>
      <c r="I745" s="1">
        <f>IFERROR(Comp2[[#This Row],[Comparable '#2 Return]]-INDEX(Benchmark1[Benchmark '#1 Return],MATCH(Comp2[[#This Row],[Comparable '#2 Dates]],Benchmark1[Benchmark '#1 Dates],0)),"-")</f>
        <v>-7.8218858189930927E-3</v>
      </c>
      <c r="L745" s="72">
        <f>Comp2[[#This Row],[Comparable '#2 Price]]/$B$2*100</f>
        <v>75.211267605633807</v>
      </c>
    </row>
    <row r="746" spans="1:12">
      <c r="A746" s="96">
        <v>44365</v>
      </c>
      <c r="B746" s="101">
        <v>36.6</v>
      </c>
      <c r="C746" s="4">
        <f t="shared" si="22"/>
        <v>-2.1087561620096278E-2</v>
      </c>
      <c r="D746" s="1">
        <f>IFERROR(Comp2[[#This Row],[Comparable '#2 Return]]+1,"-")</f>
        <v>0.97891243837990372</v>
      </c>
      <c r="E746" s="6">
        <f>B746-MAX($B$2:B746)</f>
        <v>-21.559999999999995</v>
      </c>
      <c r="F746" s="80">
        <f t="shared" si="23"/>
        <v>653</v>
      </c>
      <c r="G746" s="77">
        <f>Comp2[[#This Row],[Comparable '#2 Drawdown]]/MAX($B$2:B746)</f>
        <v>-0.37070151306740023</v>
      </c>
      <c r="H746" s="1" t="str">
        <f>IF(SUM(COUNTIF(Benchmark1[Benchmark '#1 Dates],Comp2[[#This Row],[Comparable '#2 Dates]]),COUNTIF(Benchmark2[Benchmark '#2 Dates],Comp2[[#This Row],[Comparable '#2 Dates]]))=2,"Pass","Fail")</f>
        <v>Pass</v>
      </c>
      <c r="I746" s="1">
        <f>IFERROR(Comp2[[#This Row],[Comparable '#2 Return]]-INDEX(Benchmark1[Benchmark '#1 Return],MATCH(Comp2[[#This Row],[Comparable '#2 Dates]],Benchmark1[Benchmark '#1 Dates],0)),"-")</f>
        <v>-7.8772988073414554E-3</v>
      </c>
      <c r="L746" s="72">
        <f>Comp2[[#This Row],[Comparable '#2 Price]]/$B$2*100</f>
        <v>73.641851106639834</v>
      </c>
    </row>
    <row r="747" spans="1:12">
      <c r="A747" s="96">
        <v>44368</v>
      </c>
      <c r="B747" s="101">
        <v>37.04</v>
      </c>
      <c r="C747" s="4">
        <f t="shared" si="22"/>
        <v>1.1950169370657994E-2</v>
      </c>
      <c r="D747" s="1">
        <f>IFERROR(Comp2[[#This Row],[Comparable '#2 Return]]+1,"-")</f>
        <v>1.0119501693706581</v>
      </c>
      <c r="E747" s="6">
        <f>B747-MAX($B$2:B747)</f>
        <v>-21.119999999999997</v>
      </c>
      <c r="F747" s="80">
        <f t="shared" si="23"/>
        <v>654</v>
      </c>
      <c r="G747" s="77">
        <f>Comp2[[#This Row],[Comparable '#2 Drawdown]]/MAX($B$2:B747)</f>
        <v>-0.36313617606602472</v>
      </c>
      <c r="H747" s="1" t="str">
        <f>IF(SUM(COUNTIF(Benchmark1[Benchmark '#1 Dates],Comp2[[#This Row],[Comparable '#2 Dates]]),COUNTIF(Benchmark2[Benchmark '#2 Dates],Comp2[[#This Row],[Comparable '#2 Dates]]))=2,"Pass","Fail")</f>
        <v>Pass</v>
      </c>
      <c r="I747" s="1">
        <f>IFERROR(Comp2[[#This Row],[Comparable '#2 Return]]-INDEX(Benchmark1[Benchmark '#1 Return],MATCH(Comp2[[#This Row],[Comparable '#2 Dates]],Benchmark1[Benchmark '#1 Dates],0)),"-")</f>
        <v>-1.9537348920289667E-3</v>
      </c>
      <c r="L747" s="72">
        <f>Comp2[[#This Row],[Comparable '#2 Price]]/$B$2*100</f>
        <v>74.527162977867206</v>
      </c>
    </row>
    <row r="748" spans="1:12">
      <c r="A748" s="96">
        <v>44369</v>
      </c>
      <c r="B748" s="101">
        <v>35.950000000000003</v>
      </c>
      <c r="C748" s="4">
        <f t="shared" si="22"/>
        <v>-2.986932561092279E-2</v>
      </c>
      <c r="D748" s="1">
        <f>IFERROR(Comp2[[#This Row],[Comparable '#2 Return]]+1,"-")</f>
        <v>0.97013067438907719</v>
      </c>
      <c r="E748" s="6">
        <f>B748-MAX($B$2:B748)</f>
        <v>-22.209999999999994</v>
      </c>
      <c r="F748" s="80">
        <f t="shared" si="23"/>
        <v>655</v>
      </c>
      <c r="G748" s="77">
        <f>Comp2[[#This Row],[Comparable '#2 Drawdown]]/MAX($B$2:B748)</f>
        <v>-0.38187757909215947</v>
      </c>
      <c r="H748" s="1" t="str">
        <f>IF(SUM(COUNTIF(Benchmark1[Benchmark '#1 Dates],Comp2[[#This Row],[Comparable '#2 Dates]]),COUNTIF(Benchmark2[Benchmark '#2 Dates],Comp2[[#This Row],[Comparable '#2 Dates]]))=2,"Pass","Fail")</f>
        <v>Pass</v>
      </c>
      <c r="I748" s="1">
        <f>IFERROR(Comp2[[#This Row],[Comparable '#2 Return]]-INDEX(Benchmark1[Benchmark '#1 Return],MATCH(Comp2[[#This Row],[Comparable '#2 Dates]],Benchmark1[Benchmark '#1 Dates],0)),"-")</f>
        <v>-3.4980101783887718E-2</v>
      </c>
      <c r="L748" s="72">
        <f>Comp2[[#This Row],[Comparable '#2 Price]]/$B$2*100</f>
        <v>72.334004024144875</v>
      </c>
    </row>
    <row r="749" spans="1:12">
      <c r="A749" s="96">
        <v>44370</v>
      </c>
      <c r="B749" s="101">
        <v>35.880000000000003</v>
      </c>
      <c r="C749" s="4">
        <f t="shared" si="22"/>
        <v>-1.9490469764603803E-3</v>
      </c>
      <c r="D749" s="1">
        <f>IFERROR(Comp2[[#This Row],[Comparable '#2 Return]]+1,"-")</f>
        <v>0.99805095302353963</v>
      </c>
      <c r="E749" s="6">
        <f>B749-MAX($B$2:B749)</f>
        <v>-22.279999999999994</v>
      </c>
      <c r="F749" s="80">
        <f t="shared" si="23"/>
        <v>656</v>
      </c>
      <c r="G749" s="77">
        <f>Comp2[[#This Row],[Comparable '#2 Drawdown]]/MAX($B$2:B749)</f>
        <v>-0.38308115543328741</v>
      </c>
      <c r="H749" s="1" t="str">
        <f>IF(SUM(COUNTIF(Benchmark1[Benchmark '#1 Dates],Comp2[[#This Row],[Comparable '#2 Dates]]),COUNTIF(Benchmark2[Benchmark '#2 Dates],Comp2[[#This Row],[Comparable '#2 Dates]]))=2,"Pass","Fail")</f>
        <v>Pass</v>
      </c>
      <c r="I749" s="1">
        <f>IFERROR(Comp2[[#This Row],[Comparable '#2 Return]]-INDEX(Benchmark1[Benchmark '#1 Return],MATCH(Comp2[[#This Row],[Comparable '#2 Dates]],Benchmark1[Benchmark '#1 Dates],0)),"-")</f>
        <v>-8.6542697885780501E-4</v>
      </c>
      <c r="L749" s="72">
        <f>Comp2[[#This Row],[Comparable '#2 Price]]/$B$2*100</f>
        <v>72.193158953722332</v>
      </c>
    </row>
    <row r="750" spans="1:12">
      <c r="A750" s="96">
        <v>44371</v>
      </c>
      <c r="B750" s="101">
        <v>36.880000000000003</v>
      </c>
      <c r="C750" s="4">
        <f t="shared" si="22"/>
        <v>2.7489361497797765E-2</v>
      </c>
      <c r="D750" s="1">
        <f>IFERROR(Comp2[[#This Row],[Comparable '#2 Return]]+1,"-")</f>
        <v>1.0274893614977978</v>
      </c>
      <c r="E750" s="6">
        <f>B750-MAX($B$2:B750)</f>
        <v>-21.279999999999994</v>
      </c>
      <c r="F750" s="80">
        <f t="shared" si="23"/>
        <v>657</v>
      </c>
      <c r="G750" s="77">
        <f>Comp2[[#This Row],[Comparable '#2 Drawdown]]/MAX($B$2:B750)</f>
        <v>-0.36588720770288852</v>
      </c>
      <c r="H750" s="1" t="str">
        <f>IF(SUM(COUNTIF(Benchmark1[Benchmark '#1 Dates],Comp2[[#This Row],[Comparable '#2 Dates]]),COUNTIF(Benchmark2[Benchmark '#2 Dates],Comp2[[#This Row],[Comparable '#2 Dates]]))=2,"Pass","Fail")</f>
        <v>Pass</v>
      </c>
      <c r="I750" s="1">
        <f>IFERROR(Comp2[[#This Row],[Comparable '#2 Return]]-INDEX(Benchmark1[Benchmark '#1 Return],MATCH(Comp2[[#This Row],[Comparable '#2 Dates]],Benchmark1[Benchmark '#1 Dates],0)),"-")</f>
        <v>2.1695067012687572E-2</v>
      </c>
      <c r="L750" s="72">
        <f>Comp2[[#This Row],[Comparable '#2 Price]]/$B$2*100</f>
        <v>74.205231388329977</v>
      </c>
    </row>
    <row r="751" spans="1:12">
      <c r="A751" s="96">
        <v>44372</v>
      </c>
      <c r="B751" s="101">
        <v>36.28</v>
      </c>
      <c r="C751" s="4">
        <f t="shared" si="22"/>
        <v>-1.6402773441457269E-2</v>
      </c>
      <c r="D751" s="1">
        <f>IFERROR(Comp2[[#This Row],[Comparable '#2 Return]]+1,"-")</f>
        <v>0.98359722655854276</v>
      </c>
      <c r="E751" s="6">
        <f>B751-MAX($B$2:B751)</f>
        <v>-21.879999999999995</v>
      </c>
      <c r="F751" s="80">
        <f t="shared" si="23"/>
        <v>658</v>
      </c>
      <c r="G751" s="77">
        <f>Comp2[[#This Row],[Comparable '#2 Drawdown]]/MAX($B$2:B751)</f>
        <v>-0.37620357634112789</v>
      </c>
      <c r="H751" s="1" t="str">
        <f>IF(SUM(COUNTIF(Benchmark1[Benchmark '#1 Dates],Comp2[[#This Row],[Comparable '#2 Dates]]),COUNTIF(Benchmark2[Benchmark '#2 Dates],Comp2[[#This Row],[Comparable '#2 Dates]]))=2,"Pass","Fail")</f>
        <v>Pass</v>
      </c>
      <c r="I751" s="1">
        <f>IFERROR(Comp2[[#This Row],[Comparable '#2 Return]]-INDEX(Benchmark1[Benchmark '#1 Return],MATCH(Comp2[[#This Row],[Comparable '#2 Dates]],Benchmark1[Benchmark '#1 Dates],0)),"-")</f>
        <v>-1.9729400578976E-2</v>
      </c>
      <c r="L751" s="72">
        <f>Comp2[[#This Row],[Comparable '#2 Price]]/$B$2*100</f>
        <v>72.99798792756539</v>
      </c>
    </row>
    <row r="752" spans="1:12">
      <c r="A752" s="96">
        <v>44375</v>
      </c>
      <c r="B752" s="101">
        <v>35.78</v>
      </c>
      <c r="C752" s="4">
        <f t="shared" si="22"/>
        <v>-1.3877547166362745E-2</v>
      </c>
      <c r="D752" s="1">
        <f>IFERROR(Comp2[[#This Row],[Comparable '#2 Return]]+1,"-")</f>
        <v>0.98612245283363731</v>
      </c>
      <c r="E752" s="6">
        <f>B752-MAX($B$2:B752)</f>
        <v>-22.379999999999995</v>
      </c>
      <c r="F752" s="80">
        <f t="shared" si="23"/>
        <v>659</v>
      </c>
      <c r="G752" s="77">
        <f>Comp2[[#This Row],[Comparable '#2 Drawdown]]/MAX($B$2:B752)</f>
        <v>-0.38480055020632731</v>
      </c>
      <c r="H752" s="1" t="str">
        <f>IF(SUM(COUNTIF(Benchmark1[Benchmark '#1 Dates],Comp2[[#This Row],[Comparable '#2 Dates]]),COUNTIF(Benchmark2[Benchmark '#2 Dates],Comp2[[#This Row],[Comparable '#2 Dates]]))=2,"Pass","Fail")</f>
        <v>Pass</v>
      </c>
      <c r="I752" s="1">
        <f>IFERROR(Comp2[[#This Row],[Comparable '#2 Return]]-INDEX(Benchmark1[Benchmark '#1 Return],MATCH(Comp2[[#This Row],[Comparable '#2 Dates]],Benchmark1[Benchmark '#1 Dates],0)),"-")</f>
        <v>-1.6188831466589986E-2</v>
      </c>
      <c r="L752" s="72">
        <f>Comp2[[#This Row],[Comparable '#2 Price]]/$B$2*100</f>
        <v>71.991951710261574</v>
      </c>
    </row>
    <row r="753" spans="1:12">
      <c r="A753" s="96">
        <v>44376</v>
      </c>
      <c r="B753" s="101">
        <v>35.770000000000003</v>
      </c>
      <c r="C753" s="4">
        <f t="shared" si="22"/>
        <v>-2.795248096467249E-4</v>
      </c>
      <c r="D753" s="1">
        <f>IFERROR(Comp2[[#This Row],[Comparable '#2 Return]]+1,"-")</f>
        <v>0.99972047519035323</v>
      </c>
      <c r="E753" s="6">
        <f>B753-MAX($B$2:B753)</f>
        <v>-22.389999999999993</v>
      </c>
      <c r="F753" s="80">
        <f t="shared" si="23"/>
        <v>660</v>
      </c>
      <c r="G753" s="77">
        <f>Comp2[[#This Row],[Comparable '#2 Drawdown]]/MAX($B$2:B753)</f>
        <v>-0.38497248968363129</v>
      </c>
      <c r="H753" s="1" t="str">
        <f>IF(SUM(COUNTIF(Benchmark1[Benchmark '#1 Dates],Comp2[[#This Row],[Comparable '#2 Dates]]),COUNTIF(Benchmark2[Benchmark '#2 Dates],Comp2[[#This Row],[Comparable '#2 Dates]]))=2,"Pass","Fail")</f>
        <v>Pass</v>
      </c>
      <c r="I753" s="1">
        <f>IFERROR(Comp2[[#This Row],[Comparable '#2 Return]]-INDEX(Benchmark1[Benchmark '#1 Return],MATCH(Comp2[[#This Row],[Comparable '#2 Dates]],Benchmark1[Benchmark '#1 Dates],0)),"-")</f>
        <v>-5.5773838310485394E-4</v>
      </c>
      <c r="L753" s="72">
        <f>Comp2[[#This Row],[Comparable '#2 Price]]/$B$2*100</f>
        <v>71.971830985915503</v>
      </c>
    </row>
    <row r="754" spans="1:12">
      <c r="A754" s="96">
        <v>44377</v>
      </c>
      <c r="B754" s="101">
        <v>35.64</v>
      </c>
      <c r="C754" s="4">
        <f t="shared" si="22"/>
        <v>-3.640950668317914E-3</v>
      </c>
      <c r="D754" s="1">
        <f>IFERROR(Comp2[[#This Row],[Comparable '#2 Return]]+1,"-")</f>
        <v>0.99635904933168207</v>
      </c>
      <c r="E754" s="6">
        <f>B754-MAX($B$2:B754)</f>
        <v>-22.519999999999996</v>
      </c>
      <c r="F754" s="80">
        <f t="shared" si="23"/>
        <v>661</v>
      </c>
      <c r="G754" s="77">
        <f>Comp2[[#This Row],[Comparable '#2 Drawdown]]/MAX($B$2:B754)</f>
        <v>-0.38720770288858319</v>
      </c>
      <c r="H754" s="1" t="str">
        <f>IF(SUM(COUNTIF(Benchmark1[Benchmark '#1 Dates],Comp2[[#This Row],[Comparable '#2 Dates]]),COUNTIF(Benchmark2[Benchmark '#2 Dates],Comp2[[#This Row],[Comparable '#2 Dates]]))=2,"Pass","Fail")</f>
        <v>Pass</v>
      </c>
      <c r="I754" s="1">
        <f>IFERROR(Comp2[[#This Row],[Comparable '#2 Return]]-INDEX(Benchmark1[Benchmark '#1 Return],MATCH(Comp2[[#This Row],[Comparable '#2 Dates]],Benchmark1[Benchmark '#1 Dates],0)),"-")</f>
        <v>-4.9670139810130323E-3</v>
      </c>
      <c r="L754" s="72">
        <f>Comp2[[#This Row],[Comparable '#2 Price]]/$B$2*100</f>
        <v>71.710261569416502</v>
      </c>
    </row>
    <row r="755" spans="1:12">
      <c r="A755" s="96">
        <v>44378</v>
      </c>
      <c r="B755" s="101">
        <v>36.69</v>
      </c>
      <c r="C755" s="4">
        <f t="shared" si="22"/>
        <v>2.9035635764582068E-2</v>
      </c>
      <c r="D755" s="1">
        <f>IFERROR(Comp2[[#This Row],[Comparable '#2 Return]]+1,"-")</f>
        <v>1.029035635764582</v>
      </c>
      <c r="E755" s="6">
        <f>B755-MAX($B$2:B755)</f>
        <v>-21.47</v>
      </c>
      <c r="F755" s="80">
        <f t="shared" si="23"/>
        <v>662</v>
      </c>
      <c r="G755" s="77">
        <f>Comp2[[#This Row],[Comparable '#2 Drawdown]]/MAX($B$2:B755)</f>
        <v>-0.36915405777166438</v>
      </c>
      <c r="H755" s="1" t="str">
        <f>IF(SUM(COUNTIF(Benchmark1[Benchmark '#1 Dates],Comp2[[#This Row],[Comparable '#2 Dates]]),COUNTIF(Benchmark2[Benchmark '#2 Dates],Comp2[[#This Row],[Comparable '#2 Dates]]))=2,"Pass","Fail")</f>
        <v>Pass</v>
      </c>
      <c r="I755" s="1">
        <f>IFERROR(Comp2[[#This Row],[Comparable '#2 Return]]-INDEX(Benchmark1[Benchmark '#1 Return],MATCH(Comp2[[#This Row],[Comparable '#2 Dates]],Benchmark1[Benchmark '#1 Dates],0)),"-")</f>
        <v>2.3826778352970344E-2</v>
      </c>
      <c r="L755" s="72">
        <f>Comp2[[#This Row],[Comparable '#2 Price]]/$B$2*100</f>
        <v>73.82293762575452</v>
      </c>
    </row>
    <row r="756" spans="1:12">
      <c r="A756" s="96">
        <v>44379</v>
      </c>
      <c r="B756" s="101">
        <v>39.61</v>
      </c>
      <c r="C756" s="4">
        <f t="shared" si="22"/>
        <v>7.6577373266634635E-2</v>
      </c>
      <c r="D756" s="1">
        <f>IFERROR(Comp2[[#This Row],[Comparable '#2 Return]]+1,"-")</f>
        <v>1.0765773732666346</v>
      </c>
      <c r="E756" s="6">
        <f>B756-MAX($B$2:B756)</f>
        <v>-18.549999999999997</v>
      </c>
      <c r="F756" s="80">
        <f t="shared" si="23"/>
        <v>663</v>
      </c>
      <c r="G756" s="77">
        <f>Comp2[[#This Row],[Comparable '#2 Drawdown]]/MAX($B$2:B756)</f>
        <v>-0.31894773039889956</v>
      </c>
      <c r="H756" s="1" t="str">
        <f>IF(SUM(COUNTIF(Benchmark1[Benchmark '#1 Dates],Comp2[[#This Row],[Comparable '#2 Dates]]),COUNTIF(Benchmark2[Benchmark '#2 Dates],Comp2[[#This Row],[Comparable '#2 Dates]]))=2,"Pass","Fail")</f>
        <v>Pass</v>
      </c>
      <c r="I756" s="1">
        <f>IFERROR(Comp2[[#This Row],[Comparable '#2 Return]]-INDEX(Benchmark1[Benchmark '#1 Return],MATCH(Comp2[[#This Row],[Comparable '#2 Dates]],Benchmark1[Benchmark '#1 Dates],0)),"-")</f>
        <v>6.9105531206577184E-2</v>
      </c>
      <c r="L756" s="72">
        <f>Comp2[[#This Row],[Comparable '#2 Price]]/$B$2*100</f>
        <v>79.698189134808857</v>
      </c>
    </row>
    <row r="757" spans="1:12">
      <c r="A757" s="96">
        <v>44383</v>
      </c>
      <c r="B757" s="101">
        <v>38.61</v>
      </c>
      <c r="C757" s="4">
        <f t="shared" si="22"/>
        <v>-2.5570301357680333E-2</v>
      </c>
      <c r="D757" s="1">
        <f>IFERROR(Comp2[[#This Row],[Comparable '#2 Return]]+1,"-")</f>
        <v>0.97442969864231965</v>
      </c>
      <c r="E757" s="6">
        <f>B757-MAX($B$2:B757)</f>
        <v>-19.549999999999997</v>
      </c>
      <c r="F757" s="80">
        <f t="shared" si="23"/>
        <v>664</v>
      </c>
      <c r="G757" s="77">
        <f>Comp2[[#This Row],[Comparable '#2 Drawdown]]/MAX($B$2:B757)</f>
        <v>-0.33614167812929846</v>
      </c>
      <c r="H757" s="1" t="str">
        <f>IF(SUM(COUNTIF(Benchmark1[Benchmark '#1 Dates],Comp2[[#This Row],[Comparable '#2 Dates]]),COUNTIF(Benchmark2[Benchmark '#2 Dates],Comp2[[#This Row],[Comparable '#2 Dates]]))=2,"Pass","Fail")</f>
        <v>Pass</v>
      </c>
      <c r="I757" s="1">
        <f>IFERROR(Comp2[[#This Row],[Comparable '#2 Return]]-INDEX(Benchmark1[Benchmark '#1 Return],MATCH(Comp2[[#This Row],[Comparable '#2 Dates]],Benchmark1[Benchmark '#1 Dates],0)),"-")</f>
        <v>-2.3547317863275012E-2</v>
      </c>
      <c r="L757" s="72">
        <f>Comp2[[#This Row],[Comparable '#2 Price]]/$B$2*100</f>
        <v>77.686116700201197</v>
      </c>
    </row>
    <row r="758" spans="1:12">
      <c r="A758" s="96">
        <v>44384</v>
      </c>
      <c r="B758" s="101">
        <v>37.630000000000003</v>
      </c>
      <c r="C758" s="4">
        <f t="shared" si="22"/>
        <v>-2.5709705670798989E-2</v>
      </c>
      <c r="D758" s="1">
        <f>IFERROR(Comp2[[#This Row],[Comparable '#2 Return]]+1,"-")</f>
        <v>0.974290294329201</v>
      </c>
      <c r="E758" s="6">
        <f>B758-MAX($B$2:B758)</f>
        <v>-20.529999999999994</v>
      </c>
      <c r="F758" s="80">
        <f t="shared" si="23"/>
        <v>665</v>
      </c>
      <c r="G758" s="77">
        <f>Comp2[[#This Row],[Comparable '#2 Drawdown]]/MAX($B$2:B758)</f>
        <v>-0.35299174690508933</v>
      </c>
      <c r="H758" s="1" t="str">
        <f>IF(SUM(COUNTIF(Benchmark1[Benchmark '#1 Dates],Comp2[[#This Row],[Comparable '#2 Dates]]),COUNTIF(Benchmark2[Benchmark '#2 Dates],Comp2[[#This Row],[Comparable '#2 Dates]]))=2,"Pass","Fail")</f>
        <v>Pass</v>
      </c>
      <c r="I758" s="1">
        <f>IFERROR(Comp2[[#This Row],[Comparable '#2 Return]]-INDEX(Benchmark1[Benchmark '#1 Return],MATCH(Comp2[[#This Row],[Comparable '#2 Dates]],Benchmark1[Benchmark '#1 Dates],0)),"-")</f>
        <v>-2.9063121908710729E-2</v>
      </c>
      <c r="L758" s="72">
        <f>Comp2[[#This Row],[Comparable '#2 Price]]/$B$2*100</f>
        <v>75.714285714285708</v>
      </c>
    </row>
    <row r="759" spans="1:12">
      <c r="A759" s="96">
        <v>44385</v>
      </c>
      <c r="B759" s="101">
        <v>36.94</v>
      </c>
      <c r="C759" s="4">
        <f t="shared" si="22"/>
        <v>-1.8506629834252081E-2</v>
      </c>
      <c r="D759" s="1">
        <f>IFERROR(Comp2[[#This Row],[Comparable '#2 Return]]+1,"-")</f>
        <v>0.98149337016574789</v>
      </c>
      <c r="E759" s="6">
        <f>B759-MAX($B$2:B759)</f>
        <v>-21.22</v>
      </c>
      <c r="F759" s="80">
        <f t="shared" si="23"/>
        <v>666</v>
      </c>
      <c r="G759" s="77">
        <f>Comp2[[#This Row],[Comparable '#2 Drawdown]]/MAX($B$2:B759)</f>
        <v>-0.36485557083906467</v>
      </c>
      <c r="H759" s="1" t="str">
        <f>IF(SUM(COUNTIF(Benchmark1[Benchmark '#1 Dates],Comp2[[#This Row],[Comparable '#2 Dates]]),COUNTIF(Benchmark2[Benchmark '#2 Dates],Comp2[[#This Row],[Comparable '#2 Dates]]))=2,"Pass","Fail")</f>
        <v>Pass</v>
      </c>
      <c r="I759" s="1">
        <f>IFERROR(Comp2[[#This Row],[Comparable '#2 Return]]-INDEX(Benchmark1[Benchmark '#1 Return],MATCH(Comp2[[#This Row],[Comparable '#2 Dates]],Benchmark1[Benchmark '#1 Dates],0)),"-")</f>
        <v>-9.9074773696812453E-3</v>
      </c>
      <c r="L759" s="72">
        <f>Comp2[[#This Row],[Comparable '#2 Price]]/$B$2*100</f>
        <v>74.325955734406435</v>
      </c>
    </row>
    <row r="760" spans="1:12">
      <c r="A760" s="96">
        <v>44386</v>
      </c>
      <c r="B760" s="101">
        <v>37.49</v>
      </c>
      <c r="C760" s="4">
        <f t="shared" si="22"/>
        <v>1.4779255976726927E-2</v>
      </c>
      <c r="D760" s="1">
        <f>IFERROR(Comp2[[#This Row],[Comparable '#2 Return]]+1,"-")</f>
        <v>1.014779255976727</v>
      </c>
      <c r="E760" s="6">
        <f>B760-MAX($B$2:B760)</f>
        <v>-20.669999999999995</v>
      </c>
      <c r="F760" s="80">
        <f t="shared" si="23"/>
        <v>667</v>
      </c>
      <c r="G760" s="77">
        <f>Comp2[[#This Row],[Comparable '#2 Drawdown]]/MAX($B$2:B760)</f>
        <v>-0.35539889958734516</v>
      </c>
      <c r="H760" s="1" t="str">
        <f>IF(SUM(COUNTIF(Benchmark1[Benchmark '#1 Dates],Comp2[[#This Row],[Comparable '#2 Dates]]),COUNTIF(Benchmark2[Benchmark '#2 Dates],Comp2[[#This Row],[Comparable '#2 Dates]]))=2,"Pass","Fail")</f>
        <v>Pass</v>
      </c>
      <c r="I760" s="1">
        <f>IFERROR(Comp2[[#This Row],[Comparable '#2 Return]]-INDEX(Benchmark1[Benchmark '#1 Return],MATCH(Comp2[[#This Row],[Comparable '#2 Dates]],Benchmark1[Benchmark '#1 Dates],0)),"-")</f>
        <v>3.5636528457394616E-3</v>
      </c>
      <c r="L760" s="72">
        <f>Comp2[[#This Row],[Comparable '#2 Price]]/$B$2*100</f>
        <v>75.432595573440636</v>
      </c>
    </row>
    <row r="761" spans="1:12">
      <c r="A761" s="96">
        <v>44389</v>
      </c>
      <c r="B761" s="101">
        <v>37.93</v>
      </c>
      <c r="C761" s="4">
        <f t="shared" si="22"/>
        <v>1.1668124952986846E-2</v>
      </c>
      <c r="D761" s="1">
        <f>IFERROR(Comp2[[#This Row],[Comparable '#2 Return]]+1,"-")</f>
        <v>1.0116681249529869</v>
      </c>
      <c r="E761" s="6">
        <f>B761-MAX($B$2:B761)</f>
        <v>-20.229999999999997</v>
      </c>
      <c r="F761" s="80">
        <f t="shared" si="23"/>
        <v>668</v>
      </c>
      <c r="G761" s="77">
        <f>Comp2[[#This Row],[Comparable '#2 Drawdown]]/MAX($B$2:B761)</f>
        <v>-0.3478335625859697</v>
      </c>
      <c r="H761" s="1" t="str">
        <f>IF(SUM(COUNTIF(Benchmark1[Benchmark '#1 Dates],Comp2[[#This Row],[Comparable '#2 Dates]]),COUNTIF(Benchmark2[Benchmark '#2 Dates],Comp2[[#This Row],[Comparable '#2 Dates]]))=2,"Pass","Fail")</f>
        <v>Pass</v>
      </c>
      <c r="I761" s="1">
        <f>IFERROR(Comp2[[#This Row],[Comparable '#2 Return]]-INDEX(Benchmark1[Benchmark '#1 Return],MATCH(Comp2[[#This Row],[Comparable '#2 Dates]],Benchmark1[Benchmark '#1 Dates],0)),"-")</f>
        <v>8.2241136022798682E-3</v>
      </c>
      <c r="L761" s="72">
        <f>Comp2[[#This Row],[Comparable '#2 Price]]/$B$2*100</f>
        <v>76.317907444667995</v>
      </c>
    </row>
    <row r="762" spans="1:12">
      <c r="A762" s="96">
        <v>44390</v>
      </c>
      <c r="B762" s="101">
        <v>37.56</v>
      </c>
      <c r="C762" s="4">
        <f t="shared" si="22"/>
        <v>-9.8027013607453646E-3</v>
      </c>
      <c r="D762" s="1">
        <f>IFERROR(Comp2[[#This Row],[Comparable '#2 Return]]+1,"-")</f>
        <v>0.99019729863925465</v>
      </c>
      <c r="E762" s="6">
        <f>B762-MAX($B$2:B762)</f>
        <v>-20.599999999999994</v>
      </c>
      <c r="F762" s="80">
        <f t="shared" si="23"/>
        <v>669</v>
      </c>
      <c r="G762" s="77">
        <f>Comp2[[#This Row],[Comparable '#2 Drawdown]]/MAX($B$2:B762)</f>
        <v>-0.35419532324621728</v>
      </c>
      <c r="H762" s="1" t="str">
        <f>IF(SUM(COUNTIF(Benchmark1[Benchmark '#1 Dates],Comp2[[#This Row],[Comparable '#2 Dates]]),COUNTIF(Benchmark2[Benchmark '#2 Dates],Comp2[[#This Row],[Comparable '#2 Dates]]))=2,"Pass","Fail")</f>
        <v>Pass</v>
      </c>
      <c r="I762" s="1">
        <f>IFERROR(Comp2[[#This Row],[Comparable '#2 Return]]-INDEX(Benchmark1[Benchmark '#1 Return],MATCH(Comp2[[#This Row],[Comparable '#2 Dates]],Benchmark1[Benchmark '#1 Dates],0)),"-")</f>
        <v>-6.2805937504255369E-3</v>
      </c>
      <c r="L762" s="72">
        <f>Comp2[[#This Row],[Comparable '#2 Price]]/$B$2*100</f>
        <v>75.573440643863179</v>
      </c>
    </row>
    <row r="763" spans="1:12">
      <c r="A763" s="96">
        <v>44391</v>
      </c>
      <c r="B763" s="101">
        <v>36.65</v>
      </c>
      <c r="C763" s="4">
        <f t="shared" si="22"/>
        <v>-2.4526226007401765E-2</v>
      </c>
      <c r="D763" s="1">
        <f>IFERROR(Comp2[[#This Row],[Comparable '#2 Return]]+1,"-")</f>
        <v>0.97547377399259827</v>
      </c>
      <c r="E763" s="6">
        <f>B763-MAX($B$2:B763)</f>
        <v>-21.509999999999998</v>
      </c>
      <c r="F763" s="80">
        <f t="shared" si="23"/>
        <v>670</v>
      </c>
      <c r="G763" s="77">
        <f>Comp2[[#This Row],[Comparable '#2 Drawdown]]/MAX($B$2:B763)</f>
        <v>-0.36984181568088031</v>
      </c>
      <c r="H763" s="1" t="str">
        <f>IF(SUM(COUNTIF(Benchmark1[Benchmark '#1 Dates],Comp2[[#This Row],[Comparable '#2 Dates]]),COUNTIF(Benchmark2[Benchmark '#2 Dates],Comp2[[#This Row],[Comparable '#2 Dates]]))=2,"Pass","Fail")</f>
        <v>Pass</v>
      </c>
      <c r="I763" s="1">
        <f>IFERROR(Comp2[[#This Row],[Comparable '#2 Return]]-INDEX(Benchmark1[Benchmark '#1 Return],MATCH(Comp2[[#This Row],[Comparable '#2 Dates]],Benchmark1[Benchmark '#1 Dates],0)),"-")</f>
        <v>-2.5689802124642003E-2</v>
      </c>
      <c r="L763" s="72">
        <f>Comp2[[#This Row],[Comparable '#2 Price]]/$B$2*100</f>
        <v>73.742454728370205</v>
      </c>
    </row>
    <row r="764" spans="1:12">
      <c r="A764" s="96">
        <v>44392</v>
      </c>
      <c r="B764" s="101">
        <v>35.83</v>
      </c>
      <c r="C764" s="4">
        <f t="shared" si="22"/>
        <v>-2.2627897015798079E-2</v>
      </c>
      <c r="D764" s="1">
        <f>IFERROR(Comp2[[#This Row],[Comparable '#2 Return]]+1,"-")</f>
        <v>0.97737210298420196</v>
      </c>
      <c r="E764" s="6">
        <f>B764-MAX($B$2:B764)</f>
        <v>-22.33</v>
      </c>
      <c r="F764" s="80">
        <f t="shared" si="23"/>
        <v>671</v>
      </c>
      <c r="G764" s="77">
        <f>Comp2[[#This Row],[Comparable '#2 Drawdown]]/MAX($B$2:B764)</f>
        <v>-0.38394085281980744</v>
      </c>
      <c r="H764" s="1" t="str">
        <f>IF(SUM(COUNTIF(Benchmark1[Benchmark '#1 Dates],Comp2[[#This Row],[Comparable '#2 Dates]]),COUNTIF(Benchmark2[Benchmark '#2 Dates],Comp2[[#This Row],[Comparable '#2 Dates]]))=2,"Pass","Fail")</f>
        <v>Pass</v>
      </c>
      <c r="I764" s="1">
        <f>IFERROR(Comp2[[#This Row],[Comparable '#2 Return]]-INDEX(Benchmark1[Benchmark '#1 Return],MATCH(Comp2[[#This Row],[Comparable '#2 Dates]],Benchmark1[Benchmark '#1 Dates],0)),"-")</f>
        <v>-1.9360351125477241E-2</v>
      </c>
      <c r="L764" s="72">
        <f>Comp2[[#This Row],[Comparable '#2 Price]]/$B$2*100</f>
        <v>72.092555331991946</v>
      </c>
    </row>
    <row r="765" spans="1:12">
      <c r="A765" s="96">
        <v>44393</v>
      </c>
      <c r="B765" s="101">
        <v>35.24</v>
      </c>
      <c r="C765" s="4">
        <f t="shared" si="22"/>
        <v>-1.6603730248883532E-2</v>
      </c>
      <c r="D765" s="1">
        <f>IFERROR(Comp2[[#This Row],[Comparable '#2 Return]]+1,"-")</f>
        <v>0.98339626975111649</v>
      </c>
      <c r="E765" s="6">
        <f>B765-MAX($B$2:B765)</f>
        <v>-22.919999999999995</v>
      </c>
      <c r="F765" s="80">
        <f t="shared" si="23"/>
        <v>672</v>
      </c>
      <c r="G765" s="77">
        <f>Comp2[[#This Row],[Comparable '#2 Drawdown]]/MAX($B$2:B765)</f>
        <v>-0.39408528198074272</v>
      </c>
      <c r="H765" s="1" t="str">
        <f>IF(SUM(COUNTIF(Benchmark1[Benchmark '#1 Dates],Comp2[[#This Row],[Comparable '#2 Dates]]),COUNTIF(Benchmark2[Benchmark '#2 Dates],Comp2[[#This Row],[Comparable '#2 Dates]]))=2,"Pass","Fail")</f>
        <v>Pass</v>
      </c>
      <c r="I765" s="1">
        <f>IFERROR(Comp2[[#This Row],[Comparable '#2 Return]]-INDEX(Benchmark1[Benchmark '#1 Return],MATCH(Comp2[[#This Row],[Comparable '#2 Dates]],Benchmark1[Benchmark '#1 Dates],0)),"-")</f>
        <v>-9.0365498982589963E-3</v>
      </c>
      <c r="L765" s="72">
        <f>Comp2[[#This Row],[Comparable '#2 Price]]/$B$2*100</f>
        <v>70.90543259557343</v>
      </c>
    </row>
    <row r="766" spans="1:12">
      <c r="A766" s="96">
        <v>44396</v>
      </c>
      <c r="B766" s="101">
        <v>35.01</v>
      </c>
      <c r="C766" s="4">
        <f t="shared" si="22"/>
        <v>-6.5480661014046121E-3</v>
      </c>
      <c r="D766" s="1">
        <f>IFERROR(Comp2[[#This Row],[Comparable '#2 Return]]+1,"-")</f>
        <v>0.99345193389859543</v>
      </c>
      <c r="E766" s="6">
        <f>B766-MAX($B$2:B766)</f>
        <v>-23.15</v>
      </c>
      <c r="F766" s="80">
        <f t="shared" si="23"/>
        <v>673</v>
      </c>
      <c r="G766" s="77">
        <f>Comp2[[#This Row],[Comparable '#2 Drawdown]]/MAX($B$2:B766)</f>
        <v>-0.39803988995873452</v>
      </c>
      <c r="H766" s="1" t="str">
        <f>IF(SUM(COUNTIF(Benchmark1[Benchmark '#1 Dates],Comp2[[#This Row],[Comparable '#2 Dates]]),COUNTIF(Benchmark2[Benchmark '#2 Dates],Comp2[[#This Row],[Comparable '#2 Dates]]))=2,"Pass","Fail")</f>
        <v>Pass</v>
      </c>
      <c r="I766" s="1">
        <f>IFERROR(Comp2[[#This Row],[Comparable '#2 Return]]-INDEX(Benchmark1[Benchmark '#1 Return],MATCH(Comp2[[#This Row],[Comparable '#2 Dates]],Benchmark1[Benchmark '#1 Dates],0)),"-")</f>
        <v>9.4476897214064819E-3</v>
      </c>
      <c r="L766" s="72">
        <f>Comp2[[#This Row],[Comparable '#2 Price]]/$B$2*100</f>
        <v>70.442655935613672</v>
      </c>
    </row>
    <row r="767" spans="1:12">
      <c r="A767" s="96">
        <v>44397</v>
      </c>
      <c r="B767" s="101">
        <v>36.03</v>
      </c>
      <c r="C767" s="4">
        <f t="shared" si="22"/>
        <v>2.8718189793427547E-2</v>
      </c>
      <c r="D767" s="1">
        <f>IFERROR(Comp2[[#This Row],[Comparable '#2 Return]]+1,"-")</f>
        <v>1.0287181897934274</v>
      </c>
      <c r="E767" s="6">
        <f>B767-MAX($B$2:B767)</f>
        <v>-22.129999999999995</v>
      </c>
      <c r="F767" s="80">
        <f t="shared" si="23"/>
        <v>674</v>
      </c>
      <c r="G767" s="77">
        <f>Comp2[[#This Row],[Comparable '#2 Drawdown]]/MAX($B$2:B767)</f>
        <v>-0.3805020632737276</v>
      </c>
      <c r="H767" s="1" t="str">
        <f>IF(SUM(COUNTIF(Benchmark1[Benchmark '#1 Dates],Comp2[[#This Row],[Comparable '#2 Dates]]),COUNTIF(Benchmark2[Benchmark '#2 Dates],Comp2[[#This Row],[Comparable '#2 Dates]]))=2,"Pass","Fail")</f>
        <v>Pass</v>
      </c>
      <c r="I767" s="1">
        <f>IFERROR(Comp2[[#This Row],[Comparable '#2 Return]]-INDEX(Benchmark1[Benchmark '#1 Return],MATCH(Comp2[[#This Row],[Comparable '#2 Dates]],Benchmark1[Benchmark '#1 Dates],0)),"-")</f>
        <v>1.3670283046642371E-2</v>
      </c>
      <c r="L767" s="72">
        <f>Comp2[[#This Row],[Comparable '#2 Price]]/$B$2*100</f>
        <v>72.494969818913475</v>
      </c>
    </row>
    <row r="768" spans="1:12">
      <c r="A768" s="96">
        <v>44398</v>
      </c>
      <c r="B768" s="101">
        <v>36.4</v>
      </c>
      <c r="C768" s="4">
        <f t="shared" si="22"/>
        <v>1.0216849882693013E-2</v>
      </c>
      <c r="D768" s="1">
        <f>IFERROR(Comp2[[#This Row],[Comparable '#2 Return]]+1,"-")</f>
        <v>1.0102168498826931</v>
      </c>
      <c r="E768" s="6">
        <f>B768-MAX($B$2:B768)</f>
        <v>-21.759999999999998</v>
      </c>
      <c r="F768" s="80">
        <f t="shared" si="23"/>
        <v>675</v>
      </c>
      <c r="G768" s="77">
        <f>Comp2[[#This Row],[Comparable '#2 Drawdown]]/MAX($B$2:B768)</f>
        <v>-0.37414030261348002</v>
      </c>
      <c r="H768" s="1" t="str">
        <f>IF(SUM(COUNTIF(Benchmark1[Benchmark '#1 Dates],Comp2[[#This Row],[Comparable '#2 Dates]]),COUNTIF(Benchmark2[Benchmark '#2 Dates],Comp2[[#This Row],[Comparable '#2 Dates]]))=2,"Pass","Fail")</f>
        <v>Pass</v>
      </c>
      <c r="I768" s="1">
        <f>IFERROR(Comp2[[#This Row],[Comparable '#2 Return]]-INDEX(Benchmark1[Benchmark '#1 Return],MATCH(Comp2[[#This Row],[Comparable '#2 Dates]],Benchmark1[Benchmark '#1 Dates],0)),"-")</f>
        <v>2.007702650993988E-3</v>
      </c>
      <c r="L768" s="72">
        <f>Comp2[[#This Row],[Comparable '#2 Price]]/$B$2*100</f>
        <v>73.239436619718305</v>
      </c>
    </row>
    <row r="769" spans="1:12">
      <c r="A769" s="96">
        <v>44399</v>
      </c>
      <c r="B769" s="101">
        <v>35.07</v>
      </c>
      <c r="C769" s="4">
        <f t="shared" si="22"/>
        <v>-3.722271049060822E-2</v>
      </c>
      <c r="D769" s="1">
        <f>IFERROR(Comp2[[#This Row],[Comparable '#2 Return]]+1,"-")</f>
        <v>0.96277728950939179</v>
      </c>
      <c r="E769" s="6">
        <f>B769-MAX($B$2:B769)</f>
        <v>-23.089999999999996</v>
      </c>
      <c r="F769" s="80">
        <f t="shared" si="23"/>
        <v>676</v>
      </c>
      <c r="G769" s="77">
        <f>Comp2[[#This Row],[Comparable '#2 Drawdown]]/MAX($B$2:B769)</f>
        <v>-0.39700825309491056</v>
      </c>
      <c r="H769" s="1" t="str">
        <f>IF(SUM(COUNTIF(Benchmark1[Benchmark '#1 Dates],Comp2[[#This Row],[Comparable '#2 Dates]]),COUNTIF(Benchmark2[Benchmark '#2 Dates],Comp2[[#This Row],[Comparable '#2 Dates]]))=2,"Pass","Fail")</f>
        <v>Pass</v>
      </c>
      <c r="I769" s="1">
        <f>IFERROR(Comp2[[#This Row],[Comparable '#2 Return]]-INDEX(Benchmark1[Benchmark '#1 Return],MATCH(Comp2[[#This Row],[Comparable '#2 Dates]],Benchmark1[Benchmark '#1 Dates],0)),"-")</f>
        <v>-3.9235454038145795E-2</v>
      </c>
      <c r="L769" s="72">
        <f>Comp2[[#This Row],[Comparable '#2 Price]]/$B$2*100</f>
        <v>70.563380281690129</v>
      </c>
    </row>
    <row r="770" spans="1:12">
      <c r="A770" s="96">
        <v>44400</v>
      </c>
      <c r="B770" s="101">
        <v>35.520000000000003</v>
      </c>
      <c r="C770" s="4">
        <f t="shared" ref="C770:C833" si="24">IFERROR(IF(B770="","-",LN(B770/B769)),"-")</f>
        <v>1.2749853971882757E-2</v>
      </c>
      <c r="D770" s="1">
        <f>IFERROR(Comp2[[#This Row],[Comparable '#2 Return]]+1,"-")</f>
        <v>1.0127498539718827</v>
      </c>
      <c r="E770" s="6">
        <f>B770-MAX($B$2:B770)</f>
        <v>-22.639999999999993</v>
      </c>
      <c r="F770" s="80">
        <f t="shared" ref="F770:F833" si="25">IF(E770=0,0,F769+1)</f>
        <v>677</v>
      </c>
      <c r="G770" s="77">
        <f>Comp2[[#This Row],[Comparable '#2 Drawdown]]/MAX($B$2:B770)</f>
        <v>-0.389270976616231</v>
      </c>
      <c r="H770" s="1" t="str">
        <f>IF(SUM(COUNTIF(Benchmark1[Benchmark '#1 Dates],Comp2[[#This Row],[Comparable '#2 Dates]]),COUNTIF(Benchmark2[Benchmark '#2 Dates],Comp2[[#This Row],[Comparable '#2 Dates]]))=2,"Pass","Fail")</f>
        <v>Pass</v>
      </c>
      <c r="I770" s="1">
        <f>IFERROR(Comp2[[#This Row],[Comparable '#2 Return]]-INDEX(Benchmark1[Benchmark '#1 Return],MATCH(Comp2[[#This Row],[Comparable '#2 Dates]],Benchmark1[Benchmark '#1 Dates],0)),"-")</f>
        <v>2.6538550187346424E-3</v>
      </c>
      <c r="L770" s="72">
        <f>Comp2[[#This Row],[Comparable '#2 Price]]/$B$2*100</f>
        <v>71.468812877263588</v>
      </c>
    </row>
    <row r="771" spans="1:12">
      <c r="A771" s="96">
        <v>44403</v>
      </c>
      <c r="B771" s="101">
        <v>35.369999999999997</v>
      </c>
      <c r="C771" s="4">
        <f t="shared" si="24"/>
        <v>-4.23191490658023E-3</v>
      </c>
      <c r="D771" s="1">
        <f>IFERROR(Comp2[[#This Row],[Comparable '#2 Return]]+1,"-")</f>
        <v>0.99576808509341974</v>
      </c>
      <c r="E771" s="6">
        <f>B771-MAX($B$2:B771)</f>
        <v>-22.79</v>
      </c>
      <c r="F771" s="80">
        <f t="shared" si="25"/>
        <v>678</v>
      </c>
      <c r="G771" s="77">
        <f>Comp2[[#This Row],[Comparable '#2 Drawdown]]/MAX($B$2:B771)</f>
        <v>-0.39185006877579093</v>
      </c>
      <c r="H771" s="1" t="str">
        <f>IF(SUM(COUNTIF(Benchmark1[Benchmark '#1 Dates],Comp2[[#This Row],[Comparable '#2 Dates]]),COUNTIF(Benchmark2[Benchmark '#2 Dates],Comp2[[#This Row],[Comparable '#2 Dates]]))=2,"Pass","Fail")</f>
        <v>Pass</v>
      </c>
      <c r="I771" s="1">
        <f>IFERROR(Comp2[[#This Row],[Comparable '#2 Return]]-INDEX(Benchmark1[Benchmark '#1 Return],MATCH(Comp2[[#This Row],[Comparable '#2 Dates]],Benchmark1[Benchmark '#1 Dates],0)),"-")</f>
        <v>-6.6115868442830281E-3</v>
      </c>
      <c r="L771" s="72">
        <f>Comp2[[#This Row],[Comparable '#2 Price]]/$B$2*100</f>
        <v>71.167002012072416</v>
      </c>
    </row>
    <row r="772" spans="1:12">
      <c r="A772" s="96">
        <v>44404</v>
      </c>
      <c r="B772" s="101">
        <v>35.22</v>
      </c>
      <c r="C772" s="4">
        <f t="shared" si="24"/>
        <v>-4.2499001493291515E-3</v>
      </c>
      <c r="D772" s="1">
        <f>IFERROR(Comp2[[#This Row],[Comparable '#2 Return]]+1,"-")</f>
        <v>0.99575009985067087</v>
      </c>
      <c r="E772" s="6">
        <f>B772-MAX($B$2:B772)</f>
        <v>-22.939999999999998</v>
      </c>
      <c r="F772" s="80">
        <f t="shared" si="25"/>
        <v>679</v>
      </c>
      <c r="G772" s="77">
        <f>Comp2[[#This Row],[Comparable '#2 Drawdown]]/MAX($B$2:B772)</f>
        <v>-0.39442916093535074</v>
      </c>
      <c r="H772" s="1" t="str">
        <f>IF(SUM(COUNTIF(Benchmark1[Benchmark '#1 Dates],Comp2[[#This Row],[Comparable '#2 Dates]]),COUNTIF(Benchmark2[Benchmark '#2 Dates],Comp2[[#This Row],[Comparable '#2 Dates]]))=2,"Pass","Fail")</f>
        <v>Pass</v>
      </c>
      <c r="I772" s="1">
        <f>IFERROR(Comp2[[#This Row],[Comparable '#2 Return]]-INDEX(Benchmark1[Benchmark '#1 Return],MATCH(Comp2[[#This Row],[Comparable '#2 Dates]],Benchmark1[Benchmark '#1 Dates],0)),"-")</f>
        <v>4.7382459716681716E-4</v>
      </c>
      <c r="L772" s="72">
        <f>Comp2[[#This Row],[Comparable '#2 Price]]/$B$2*100</f>
        <v>70.865191146881273</v>
      </c>
    </row>
    <row r="773" spans="1:12">
      <c r="A773" s="96">
        <v>44405</v>
      </c>
      <c r="B773" s="101">
        <v>36.479999999999997</v>
      </c>
      <c r="C773" s="4">
        <f t="shared" si="24"/>
        <v>3.5150062138070481E-2</v>
      </c>
      <c r="D773" s="1">
        <f>IFERROR(Comp2[[#This Row],[Comparable '#2 Return]]+1,"-")</f>
        <v>1.0351500621380705</v>
      </c>
      <c r="E773" s="6">
        <f>B773-MAX($B$2:B773)</f>
        <v>-21.68</v>
      </c>
      <c r="F773" s="80">
        <f t="shared" si="25"/>
        <v>680</v>
      </c>
      <c r="G773" s="77">
        <f>Comp2[[#This Row],[Comparable '#2 Drawdown]]/MAX($B$2:B773)</f>
        <v>-0.37276478679504815</v>
      </c>
      <c r="H773" s="1" t="str">
        <f>IF(SUM(COUNTIF(Benchmark1[Benchmark '#1 Dates],Comp2[[#This Row],[Comparable '#2 Dates]]),COUNTIF(Benchmark2[Benchmark '#2 Dates],Comp2[[#This Row],[Comparable '#2 Dates]]))=2,"Pass","Fail")</f>
        <v>Pass</v>
      </c>
      <c r="I773" s="1">
        <f>IFERROR(Comp2[[#This Row],[Comparable '#2 Return]]-INDEX(Benchmark1[Benchmark '#1 Return],MATCH(Comp2[[#This Row],[Comparable '#2 Dates]],Benchmark1[Benchmark '#1 Dates],0)),"-")</f>
        <v>3.5338097179908531E-2</v>
      </c>
      <c r="L773" s="72">
        <f>Comp2[[#This Row],[Comparable '#2 Price]]/$B$2*100</f>
        <v>73.400402414486905</v>
      </c>
    </row>
    <row r="774" spans="1:12">
      <c r="A774" s="96">
        <v>44406</v>
      </c>
      <c r="B774" s="101">
        <v>36.369999999999997</v>
      </c>
      <c r="C774" s="4">
        <f t="shared" si="24"/>
        <v>-3.019906207232948E-3</v>
      </c>
      <c r="D774" s="1">
        <f>IFERROR(Comp2[[#This Row],[Comparable '#2 Return]]+1,"-")</f>
        <v>0.99698009379276709</v>
      </c>
      <c r="E774" s="6">
        <f>B774-MAX($B$2:B774)</f>
        <v>-21.79</v>
      </c>
      <c r="F774" s="80">
        <f t="shared" si="25"/>
        <v>681</v>
      </c>
      <c r="G774" s="77">
        <f>Comp2[[#This Row],[Comparable '#2 Drawdown]]/MAX($B$2:B774)</f>
        <v>-0.37465612104539203</v>
      </c>
      <c r="H774" s="1" t="str">
        <f>IF(SUM(COUNTIF(Benchmark1[Benchmark '#1 Dates],Comp2[[#This Row],[Comparable '#2 Dates]]),COUNTIF(Benchmark2[Benchmark '#2 Dates],Comp2[[#This Row],[Comparable '#2 Dates]]))=2,"Pass","Fail")</f>
        <v>Pass</v>
      </c>
      <c r="I774" s="1">
        <f>IFERROR(Comp2[[#This Row],[Comparable '#2 Return]]-INDEX(Benchmark1[Benchmark '#1 Return],MATCH(Comp2[[#This Row],[Comparable '#2 Dates]],Benchmark1[Benchmark '#1 Dates],0)),"-")</f>
        <v>-7.2180327256158305E-3</v>
      </c>
      <c r="L774" s="72">
        <f>Comp2[[#This Row],[Comparable '#2 Price]]/$B$2*100</f>
        <v>73.179074446680076</v>
      </c>
    </row>
    <row r="775" spans="1:12">
      <c r="A775" s="96">
        <v>44407</v>
      </c>
      <c r="B775" s="101">
        <v>36.340000000000003</v>
      </c>
      <c r="C775" s="4">
        <f t="shared" si="24"/>
        <v>-8.2519603087236081E-4</v>
      </c>
      <c r="D775" s="1">
        <f>IFERROR(Comp2[[#This Row],[Comparable '#2 Return]]+1,"-")</f>
        <v>0.99917480396912761</v>
      </c>
      <c r="E775" s="6">
        <f>B775-MAX($B$2:B775)</f>
        <v>-21.819999999999993</v>
      </c>
      <c r="F775" s="80">
        <f t="shared" si="25"/>
        <v>682</v>
      </c>
      <c r="G775" s="77">
        <f>Comp2[[#This Row],[Comparable '#2 Drawdown]]/MAX($B$2:B775)</f>
        <v>-0.37517193947730387</v>
      </c>
      <c r="H775" s="1" t="str">
        <f>IF(SUM(COUNTIF(Benchmark1[Benchmark '#1 Dates],Comp2[[#This Row],[Comparable '#2 Dates]]),COUNTIF(Benchmark2[Benchmark '#2 Dates],Comp2[[#This Row],[Comparable '#2 Dates]]))=2,"Pass","Fail")</f>
        <v>Pass</v>
      </c>
      <c r="I775" s="1">
        <f>IFERROR(Comp2[[#This Row],[Comparable '#2 Return]]-INDEX(Benchmark1[Benchmark '#1 Return],MATCH(Comp2[[#This Row],[Comparable '#2 Dates]],Benchmark1[Benchmark '#1 Dates],0)),"-")</f>
        <v>4.5943030679941529E-3</v>
      </c>
      <c r="L775" s="72">
        <f>Comp2[[#This Row],[Comparable '#2 Price]]/$B$2*100</f>
        <v>73.118712273641847</v>
      </c>
    </row>
    <row r="776" spans="1:12">
      <c r="A776" s="96">
        <v>44410</v>
      </c>
      <c r="B776" s="101">
        <v>36.64</v>
      </c>
      <c r="C776" s="4">
        <f t="shared" si="24"/>
        <v>8.221476837904378E-3</v>
      </c>
      <c r="D776" s="1">
        <f>IFERROR(Comp2[[#This Row],[Comparable '#2 Return]]+1,"-")</f>
        <v>1.0082214768379043</v>
      </c>
      <c r="E776" s="6">
        <f>B776-MAX($B$2:B776)</f>
        <v>-21.519999999999996</v>
      </c>
      <c r="F776" s="80">
        <f t="shared" si="25"/>
        <v>683</v>
      </c>
      <c r="G776" s="77">
        <f>Comp2[[#This Row],[Comparable '#2 Drawdown]]/MAX($B$2:B776)</f>
        <v>-0.3700137551581843</v>
      </c>
      <c r="H776" s="1" t="str">
        <f>IF(SUM(COUNTIF(Benchmark1[Benchmark '#1 Dates],Comp2[[#This Row],[Comparable '#2 Dates]]),COUNTIF(Benchmark2[Benchmark '#2 Dates],Comp2[[#This Row],[Comparable '#2 Dates]]))=2,"Pass","Fail")</f>
        <v>Pass</v>
      </c>
      <c r="I776" s="1">
        <f>IFERROR(Comp2[[#This Row],[Comparable '#2 Return]]-INDEX(Benchmark1[Benchmark '#1 Return],MATCH(Comp2[[#This Row],[Comparable '#2 Dates]],Benchmark1[Benchmark '#1 Dates],0)),"-")</f>
        <v>1.0067899325067173E-2</v>
      </c>
      <c r="L776" s="72">
        <f>Comp2[[#This Row],[Comparable '#2 Price]]/$B$2*100</f>
        <v>73.722334004024134</v>
      </c>
    </row>
    <row r="777" spans="1:12">
      <c r="A777" s="96">
        <v>44411</v>
      </c>
      <c r="B777" s="101">
        <v>37.56</v>
      </c>
      <c r="C777" s="4">
        <f t="shared" si="24"/>
        <v>2.4799114534132725E-2</v>
      </c>
      <c r="D777" s="1">
        <f>IFERROR(Comp2[[#This Row],[Comparable '#2 Return]]+1,"-")</f>
        <v>1.0247991145341326</v>
      </c>
      <c r="E777" s="6">
        <f>B777-MAX($B$2:B777)</f>
        <v>-20.599999999999994</v>
      </c>
      <c r="F777" s="80">
        <f t="shared" si="25"/>
        <v>684</v>
      </c>
      <c r="G777" s="77">
        <f>Comp2[[#This Row],[Comparable '#2 Drawdown]]/MAX($B$2:B777)</f>
        <v>-0.35419532324621728</v>
      </c>
      <c r="H777" s="1" t="str">
        <f>IF(SUM(COUNTIF(Benchmark1[Benchmark '#1 Dates],Comp2[[#This Row],[Comparable '#2 Dates]]),COUNTIF(Benchmark2[Benchmark '#2 Dates],Comp2[[#This Row],[Comparable '#2 Dates]]))=2,"Pass","Fail")</f>
        <v>Pass</v>
      </c>
      <c r="I777" s="1">
        <f>IFERROR(Comp2[[#This Row],[Comparable '#2 Return]]-INDEX(Benchmark1[Benchmark '#1 Return],MATCH(Comp2[[#This Row],[Comparable '#2 Dates]],Benchmark1[Benchmark '#1 Dates],0)),"-")</f>
        <v>1.6627352084117714E-2</v>
      </c>
      <c r="L777" s="72">
        <f>Comp2[[#This Row],[Comparable '#2 Price]]/$B$2*100</f>
        <v>75.573440643863179</v>
      </c>
    </row>
    <row r="778" spans="1:12">
      <c r="A778" s="96">
        <v>44412</v>
      </c>
      <c r="B778" s="101">
        <v>36.979999999999997</v>
      </c>
      <c r="C778" s="4">
        <f t="shared" si="24"/>
        <v>-1.5562428381083555E-2</v>
      </c>
      <c r="D778" s="1">
        <f>IFERROR(Comp2[[#This Row],[Comparable '#2 Return]]+1,"-")</f>
        <v>0.98443757161891643</v>
      </c>
      <c r="E778" s="6">
        <f>B778-MAX($B$2:B778)</f>
        <v>-21.18</v>
      </c>
      <c r="F778" s="80">
        <f t="shared" si="25"/>
        <v>685</v>
      </c>
      <c r="G778" s="77">
        <f>Comp2[[#This Row],[Comparable '#2 Drawdown]]/MAX($B$2:B778)</f>
        <v>-0.36416781292984873</v>
      </c>
      <c r="H778" s="1" t="str">
        <f>IF(SUM(COUNTIF(Benchmark1[Benchmark '#1 Dates],Comp2[[#This Row],[Comparable '#2 Dates]]),COUNTIF(Benchmark2[Benchmark '#2 Dates],Comp2[[#This Row],[Comparable '#2 Dates]]))=2,"Pass","Fail")</f>
        <v>Pass</v>
      </c>
      <c r="I778" s="1">
        <f>IFERROR(Comp2[[#This Row],[Comparable '#2 Return]]-INDEX(Benchmark1[Benchmark '#1 Return],MATCH(Comp2[[#This Row],[Comparable '#2 Dates]],Benchmark1[Benchmark '#1 Dates],0)),"-")</f>
        <v>-1.0918639017600758E-2</v>
      </c>
      <c r="L778" s="72">
        <f>Comp2[[#This Row],[Comparable '#2 Price]]/$B$2*100</f>
        <v>74.406438631790735</v>
      </c>
    </row>
    <row r="779" spans="1:12">
      <c r="A779" s="96">
        <v>44413</v>
      </c>
      <c r="B779" s="101">
        <v>37.33</v>
      </c>
      <c r="C779" s="4">
        <f t="shared" si="24"/>
        <v>9.4200669675136191E-3</v>
      </c>
      <c r="D779" s="1">
        <f>IFERROR(Comp2[[#This Row],[Comparable '#2 Return]]+1,"-")</f>
        <v>1.0094200669675135</v>
      </c>
      <c r="E779" s="6">
        <f>B779-MAX($B$2:B779)</f>
        <v>-20.83</v>
      </c>
      <c r="F779" s="80">
        <f t="shared" si="25"/>
        <v>686</v>
      </c>
      <c r="G779" s="77">
        <f>Comp2[[#This Row],[Comparable '#2 Drawdown]]/MAX($B$2:B779)</f>
        <v>-0.35814993122420907</v>
      </c>
      <c r="H779" s="1" t="str">
        <f>IF(SUM(COUNTIF(Benchmark1[Benchmark '#1 Dates],Comp2[[#This Row],[Comparable '#2 Dates]]),COUNTIF(Benchmark2[Benchmark '#2 Dates],Comp2[[#This Row],[Comparable '#2 Dates]]))=2,"Pass","Fail")</f>
        <v>Pass</v>
      </c>
      <c r="I779" s="1">
        <f>IFERROR(Comp2[[#This Row],[Comparable '#2 Return]]-INDEX(Benchmark1[Benchmark '#1 Return],MATCH(Comp2[[#This Row],[Comparable '#2 Dates]],Benchmark1[Benchmark '#1 Dates],0)),"-")</f>
        <v>3.4321308834839763E-3</v>
      </c>
      <c r="L779" s="72">
        <f>Comp2[[#This Row],[Comparable '#2 Price]]/$B$2*100</f>
        <v>75.110663983903407</v>
      </c>
    </row>
    <row r="780" spans="1:12">
      <c r="A780" s="96">
        <v>44414</v>
      </c>
      <c r="B780" s="101">
        <v>36.69</v>
      </c>
      <c r="C780" s="4">
        <f t="shared" si="24"/>
        <v>-1.7293054559301826E-2</v>
      </c>
      <c r="D780" s="1">
        <f>IFERROR(Comp2[[#This Row],[Comparable '#2 Return]]+1,"-")</f>
        <v>0.98270694544069814</v>
      </c>
      <c r="E780" s="6">
        <f>B780-MAX($B$2:B780)</f>
        <v>-21.47</v>
      </c>
      <c r="F780" s="80">
        <f t="shared" si="25"/>
        <v>687</v>
      </c>
      <c r="G780" s="77">
        <f>Comp2[[#This Row],[Comparable '#2 Drawdown]]/MAX($B$2:B780)</f>
        <v>-0.36915405777166438</v>
      </c>
      <c r="H780" s="1" t="str">
        <f>IF(SUM(COUNTIF(Benchmark1[Benchmark '#1 Dates],Comp2[[#This Row],[Comparable '#2 Dates]]),COUNTIF(Benchmark2[Benchmark '#2 Dates],Comp2[[#This Row],[Comparable '#2 Dates]]))=2,"Pass","Fail")</f>
        <v>Pass</v>
      </c>
      <c r="I780" s="1">
        <f>IFERROR(Comp2[[#This Row],[Comparable '#2 Return]]-INDEX(Benchmark1[Benchmark '#1 Return],MATCH(Comp2[[#This Row],[Comparable '#2 Dates]],Benchmark1[Benchmark '#1 Dates],0)),"-")</f>
        <v>-1.8965756323767957E-2</v>
      </c>
      <c r="L780" s="72">
        <f>Comp2[[#This Row],[Comparable '#2 Price]]/$B$2*100</f>
        <v>73.82293762575452</v>
      </c>
    </row>
    <row r="781" spans="1:12">
      <c r="A781" s="96">
        <v>44417</v>
      </c>
      <c r="B781" s="101">
        <v>36.35</v>
      </c>
      <c r="C781" s="4">
        <f t="shared" si="24"/>
        <v>-9.3100343876622478E-3</v>
      </c>
      <c r="D781" s="1">
        <f>IFERROR(Comp2[[#This Row],[Comparable '#2 Return]]+1,"-")</f>
        <v>0.9906899656123378</v>
      </c>
      <c r="E781" s="6">
        <f>B781-MAX($B$2:B781)</f>
        <v>-21.809999999999995</v>
      </c>
      <c r="F781" s="80">
        <f t="shared" si="25"/>
        <v>688</v>
      </c>
      <c r="G781" s="77">
        <f>Comp2[[#This Row],[Comparable '#2 Drawdown]]/MAX($B$2:B781)</f>
        <v>-0.37499999999999994</v>
      </c>
      <c r="H781" s="1" t="str">
        <f>IF(SUM(COUNTIF(Benchmark1[Benchmark '#1 Dates],Comp2[[#This Row],[Comparable '#2 Dates]]),COUNTIF(Benchmark2[Benchmark '#2 Dates],Comp2[[#This Row],[Comparable '#2 Dates]]))=2,"Pass","Fail")</f>
        <v>Pass</v>
      </c>
      <c r="I781" s="1">
        <f>IFERROR(Comp2[[#This Row],[Comparable '#2 Return]]-INDEX(Benchmark1[Benchmark '#1 Return],MATCH(Comp2[[#This Row],[Comparable '#2 Dates]],Benchmark1[Benchmark '#1 Dates],0)),"-")</f>
        <v>-8.3708479474258208E-3</v>
      </c>
      <c r="L781" s="72">
        <f>Comp2[[#This Row],[Comparable '#2 Price]]/$B$2*100</f>
        <v>73.138832997987919</v>
      </c>
    </row>
    <row r="782" spans="1:12">
      <c r="A782" s="96">
        <v>44418</v>
      </c>
      <c r="B782" s="101">
        <v>36.43</v>
      </c>
      <c r="C782" s="4">
        <f t="shared" si="24"/>
        <v>2.1984070409439469E-3</v>
      </c>
      <c r="D782" s="1">
        <f>IFERROR(Comp2[[#This Row],[Comparable '#2 Return]]+1,"-")</f>
        <v>1.002198407040944</v>
      </c>
      <c r="E782" s="6">
        <f>B782-MAX($B$2:B782)</f>
        <v>-21.729999999999997</v>
      </c>
      <c r="F782" s="80">
        <f t="shared" si="25"/>
        <v>689</v>
      </c>
      <c r="G782" s="77">
        <f>Comp2[[#This Row],[Comparable '#2 Drawdown]]/MAX($B$2:B782)</f>
        <v>-0.37362448418156807</v>
      </c>
      <c r="H782" s="1" t="str">
        <f>IF(SUM(COUNTIF(Benchmark1[Benchmark '#1 Dates],Comp2[[#This Row],[Comparable '#2 Dates]]),COUNTIF(Benchmark2[Benchmark '#2 Dates],Comp2[[#This Row],[Comparable '#2 Dates]]))=2,"Pass","Fail")</f>
        <v>Pass</v>
      </c>
      <c r="I782" s="1">
        <f>IFERROR(Comp2[[#This Row],[Comparable '#2 Return]]-INDEX(Benchmark1[Benchmark '#1 Return],MATCH(Comp2[[#This Row],[Comparable '#2 Dates]],Benchmark1[Benchmark '#1 Dates],0)),"-")</f>
        <v>1.2062249368052799E-3</v>
      </c>
      <c r="L782" s="72">
        <f>Comp2[[#This Row],[Comparable '#2 Price]]/$B$2*100</f>
        <v>73.299798792756533</v>
      </c>
    </row>
    <row r="783" spans="1:12">
      <c r="A783" s="96">
        <v>44419</v>
      </c>
      <c r="B783" s="101">
        <v>37.19</v>
      </c>
      <c r="C783" s="4">
        <f t="shared" si="24"/>
        <v>2.0647296916506196E-2</v>
      </c>
      <c r="D783" s="1">
        <f>IFERROR(Comp2[[#This Row],[Comparable '#2 Return]]+1,"-")</f>
        <v>1.0206472969165061</v>
      </c>
      <c r="E783" s="6">
        <f>B783-MAX($B$2:B783)</f>
        <v>-20.97</v>
      </c>
      <c r="F783" s="80">
        <f t="shared" si="25"/>
        <v>690</v>
      </c>
      <c r="G783" s="77">
        <f>Comp2[[#This Row],[Comparable '#2 Drawdown]]/MAX($B$2:B783)</f>
        <v>-0.3605570839064649</v>
      </c>
      <c r="H783" s="1" t="str">
        <f>IF(SUM(COUNTIF(Benchmark1[Benchmark '#1 Dates],Comp2[[#This Row],[Comparable '#2 Dates]]),COUNTIF(Benchmark2[Benchmark '#2 Dates],Comp2[[#This Row],[Comparable '#2 Dates]]))=2,"Pass","Fail")</f>
        <v>Pass</v>
      </c>
      <c r="I783" s="1">
        <f>IFERROR(Comp2[[#This Row],[Comparable '#2 Return]]-INDEX(Benchmark1[Benchmark '#1 Return],MATCH(Comp2[[#This Row],[Comparable '#2 Dates]],Benchmark1[Benchmark '#1 Dates],0)),"-")</f>
        <v>1.8182159455175664E-2</v>
      </c>
      <c r="L783" s="72">
        <f>Comp2[[#This Row],[Comparable '#2 Price]]/$B$2*100</f>
        <v>74.82897384305835</v>
      </c>
    </row>
    <row r="784" spans="1:12">
      <c r="A784" s="96">
        <v>44420</v>
      </c>
      <c r="B784" s="101">
        <v>37.57</v>
      </c>
      <c r="C784" s="4">
        <f t="shared" si="24"/>
        <v>1.0165951648899003E-2</v>
      </c>
      <c r="D784" s="1">
        <f>IFERROR(Comp2[[#This Row],[Comparable '#2 Return]]+1,"-")</f>
        <v>1.010165951648899</v>
      </c>
      <c r="E784" s="6">
        <f>B784-MAX($B$2:B784)</f>
        <v>-20.589999999999996</v>
      </c>
      <c r="F784" s="80">
        <f t="shared" si="25"/>
        <v>691</v>
      </c>
      <c r="G784" s="77">
        <f>Comp2[[#This Row],[Comparable '#2 Drawdown]]/MAX($B$2:B784)</f>
        <v>-0.35402338376891329</v>
      </c>
      <c r="H784" s="1" t="str">
        <f>IF(SUM(COUNTIF(Benchmark1[Benchmark '#1 Dates],Comp2[[#This Row],[Comparable '#2 Dates]]),COUNTIF(Benchmark2[Benchmark '#2 Dates],Comp2[[#This Row],[Comparable '#2 Dates]]))=2,"Pass","Fail")</f>
        <v>Pass</v>
      </c>
      <c r="I784" s="1">
        <f>IFERROR(Comp2[[#This Row],[Comparable '#2 Return]]-INDEX(Benchmark1[Benchmark '#1 Return],MATCH(Comp2[[#This Row],[Comparable '#2 Dates]],Benchmark1[Benchmark '#1 Dates],0)),"-")</f>
        <v>7.2185868761026149E-3</v>
      </c>
      <c r="L784" s="72">
        <f>Comp2[[#This Row],[Comparable '#2 Price]]/$B$2*100</f>
        <v>75.593561368209251</v>
      </c>
    </row>
    <row r="785" spans="1:12">
      <c r="A785" s="96">
        <v>44421</v>
      </c>
      <c r="B785" s="101">
        <v>37.74</v>
      </c>
      <c r="C785" s="4">
        <f t="shared" si="24"/>
        <v>4.514680354526613E-3</v>
      </c>
      <c r="D785" s="1">
        <f>IFERROR(Comp2[[#This Row],[Comparable '#2 Return]]+1,"-")</f>
        <v>1.0045146803545266</v>
      </c>
      <c r="E785" s="6">
        <f>B785-MAX($B$2:B785)</f>
        <v>-20.419999999999995</v>
      </c>
      <c r="F785" s="80">
        <f t="shared" si="25"/>
        <v>692</v>
      </c>
      <c r="G785" s="77">
        <f>Comp2[[#This Row],[Comparable '#2 Drawdown]]/MAX($B$2:B785)</f>
        <v>-0.35110041265474545</v>
      </c>
      <c r="H785" s="1" t="str">
        <f>IF(SUM(COUNTIF(Benchmark1[Benchmark '#1 Dates],Comp2[[#This Row],[Comparable '#2 Dates]]),COUNTIF(Benchmark2[Benchmark '#2 Dates],Comp2[[#This Row],[Comparable '#2 Dates]]))=2,"Pass","Fail")</f>
        <v>Pass</v>
      </c>
      <c r="I785" s="1">
        <f>IFERROR(Comp2[[#This Row],[Comparable '#2 Return]]-INDEX(Benchmark1[Benchmark '#1 Return],MATCH(Comp2[[#This Row],[Comparable '#2 Dates]],Benchmark1[Benchmark '#1 Dates],0)),"-")</f>
        <v>2.9083507030592541E-3</v>
      </c>
      <c r="L785" s="72">
        <f>Comp2[[#This Row],[Comparable '#2 Price]]/$B$2*100</f>
        <v>75.935613682092551</v>
      </c>
    </row>
    <row r="786" spans="1:12">
      <c r="A786" s="96">
        <v>44424</v>
      </c>
      <c r="B786" s="101">
        <v>36.79</v>
      </c>
      <c r="C786" s="4">
        <f t="shared" si="24"/>
        <v>-2.5494470823721277E-2</v>
      </c>
      <c r="D786" s="1">
        <f>IFERROR(Comp2[[#This Row],[Comparable '#2 Return]]+1,"-")</f>
        <v>0.97450552917627875</v>
      </c>
      <c r="E786" s="6">
        <f>B786-MAX($B$2:B786)</f>
        <v>-21.369999999999997</v>
      </c>
      <c r="F786" s="80">
        <f t="shared" si="25"/>
        <v>693</v>
      </c>
      <c r="G786" s="77">
        <f>Comp2[[#This Row],[Comparable '#2 Drawdown]]/MAX($B$2:B786)</f>
        <v>-0.36743466299862448</v>
      </c>
      <c r="H786" s="1" t="str">
        <f>IF(SUM(COUNTIF(Benchmark1[Benchmark '#1 Dates],Comp2[[#This Row],[Comparable '#2 Dates]]),COUNTIF(Benchmark2[Benchmark '#2 Dates],Comp2[[#This Row],[Comparable '#2 Dates]]))=2,"Pass","Fail")</f>
        <v>Pass</v>
      </c>
      <c r="I786" s="1">
        <f>IFERROR(Comp2[[#This Row],[Comparable '#2 Return]]-INDEX(Benchmark1[Benchmark '#1 Return],MATCH(Comp2[[#This Row],[Comparable '#2 Dates]],Benchmark1[Benchmark '#1 Dates],0)),"-")</f>
        <v>-2.8110890065603349E-2</v>
      </c>
      <c r="L786" s="72">
        <f>Comp2[[#This Row],[Comparable '#2 Price]]/$B$2*100</f>
        <v>74.024144869215277</v>
      </c>
    </row>
    <row r="787" spans="1:12">
      <c r="A787" s="96">
        <v>44425</v>
      </c>
      <c r="B787" s="101">
        <v>36.01</v>
      </c>
      <c r="C787" s="4">
        <f t="shared" si="24"/>
        <v>-2.1429391455899165E-2</v>
      </c>
      <c r="D787" s="1">
        <f>IFERROR(Comp2[[#This Row],[Comparable '#2 Return]]+1,"-")</f>
        <v>0.97857060854410083</v>
      </c>
      <c r="E787" s="6">
        <f>B787-MAX($B$2:B787)</f>
        <v>-22.15</v>
      </c>
      <c r="F787" s="80">
        <f t="shared" si="25"/>
        <v>694</v>
      </c>
      <c r="G787" s="77">
        <f>Comp2[[#This Row],[Comparable '#2 Drawdown]]/MAX($B$2:B787)</f>
        <v>-0.38084594222833562</v>
      </c>
      <c r="H787" s="1" t="str">
        <f>IF(SUM(COUNTIF(Benchmark1[Benchmark '#1 Dates],Comp2[[#This Row],[Comparable '#2 Dates]]),COUNTIF(Benchmark2[Benchmark '#2 Dates],Comp2[[#This Row],[Comparable '#2 Dates]]))=2,"Pass","Fail")</f>
        <v>Pass</v>
      </c>
      <c r="I787" s="1">
        <f>IFERROR(Comp2[[#This Row],[Comparable '#2 Return]]-INDEX(Benchmark1[Benchmark '#1 Return],MATCH(Comp2[[#This Row],[Comparable '#2 Dates]],Benchmark1[Benchmark '#1 Dates],0)),"-")</f>
        <v>-1.4342874381575988E-2</v>
      </c>
      <c r="L787" s="72">
        <f>Comp2[[#This Row],[Comparable '#2 Price]]/$B$2*100</f>
        <v>72.454728370221318</v>
      </c>
    </row>
    <row r="788" spans="1:12">
      <c r="A788" s="96">
        <v>44426</v>
      </c>
      <c r="B788" s="101">
        <v>35.47</v>
      </c>
      <c r="C788" s="4">
        <f t="shared" si="24"/>
        <v>-1.5109408875253378E-2</v>
      </c>
      <c r="D788" s="1">
        <f>IFERROR(Comp2[[#This Row],[Comparable '#2 Return]]+1,"-")</f>
        <v>0.98489059112474664</v>
      </c>
      <c r="E788" s="6">
        <f>B788-MAX($B$2:B788)</f>
        <v>-22.689999999999998</v>
      </c>
      <c r="F788" s="80">
        <f t="shared" si="25"/>
        <v>695</v>
      </c>
      <c r="G788" s="77">
        <f>Comp2[[#This Row],[Comparable '#2 Drawdown]]/MAX($B$2:B788)</f>
        <v>-0.39013067400275103</v>
      </c>
      <c r="H788" s="1" t="str">
        <f>IF(SUM(COUNTIF(Benchmark1[Benchmark '#1 Dates],Comp2[[#This Row],[Comparable '#2 Dates]]),COUNTIF(Benchmark2[Benchmark '#2 Dates],Comp2[[#This Row],[Comparable '#2 Dates]]))=2,"Pass","Fail")</f>
        <v>Pass</v>
      </c>
      <c r="I788" s="1">
        <f>IFERROR(Comp2[[#This Row],[Comparable '#2 Return]]-INDEX(Benchmark1[Benchmark '#1 Return],MATCH(Comp2[[#This Row],[Comparable '#2 Dates]],Benchmark1[Benchmark '#1 Dates],0)),"-")</f>
        <v>-4.3029693476762717E-3</v>
      </c>
      <c r="L788" s="72">
        <f>Comp2[[#This Row],[Comparable '#2 Price]]/$B$2*100</f>
        <v>71.368209255533188</v>
      </c>
    </row>
    <row r="789" spans="1:12">
      <c r="A789" s="96">
        <v>44427</v>
      </c>
      <c r="B789" s="101">
        <v>34.6</v>
      </c>
      <c r="C789" s="4">
        <f t="shared" si="24"/>
        <v>-2.4833586721851857E-2</v>
      </c>
      <c r="D789" s="1">
        <f>IFERROR(Comp2[[#This Row],[Comparable '#2 Return]]+1,"-")</f>
        <v>0.97516641327814813</v>
      </c>
      <c r="E789" s="6">
        <f>B789-MAX($B$2:B789)</f>
        <v>-23.559999999999995</v>
      </c>
      <c r="F789" s="80">
        <f t="shared" si="25"/>
        <v>696</v>
      </c>
      <c r="G789" s="77">
        <f>Comp2[[#This Row],[Comparable '#2 Drawdown]]/MAX($B$2:B789)</f>
        <v>-0.40508940852819803</v>
      </c>
      <c r="H789" s="1" t="str">
        <f>IF(SUM(COUNTIF(Benchmark1[Benchmark '#1 Dates],Comp2[[#This Row],[Comparable '#2 Dates]]),COUNTIF(Benchmark2[Benchmark '#2 Dates],Comp2[[#This Row],[Comparable '#2 Dates]]))=2,"Pass","Fail")</f>
        <v>Pass</v>
      </c>
      <c r="I789" s="1">
        <f>IFERROR(Comp2[[#This Row],[Comparable '#2 Return]]-INDEX(Benchmark1[Benchmark '#1 Return],MATCH(Comp2[[#This Row],[Comparable '#2 Dates]],Benchmark1[Benchmark '#1 Dates],0)),"-")</f>
        <v>-2.6091028072988003E-2</v>
      </c>
      <c r="L789" s="72">
        <f>Comp2[[#This Row],[Comparable '#2 Price]]/$B$2*100</f>
        <v>69.617706237424542</v>
      </c>
    </row>
    <row r="790" spans="1:12">
      <c r="A790" s="96">
        <v>44428</v>
      </c>
      <c r="B790" s="101">
        <v>35.94</v>
      </c>
      <c r="C790" s="4">
        <f t="shared" si="24"/>
        <v>3.7997199291734257E-2</v>
      </c>
      <c r="D790" s="1">
        <f>IFERROR(Comp2[[#This Row],[Comparable '#2 Return]]+1,"-")</f>
        <v>1.0379971992917343</v>
      </c>
      <c r="E790" s="6">
        <f>B790-MAX($B$2:B790)</f>
        <v>-22.22</v>
      </c>
      <c r="F790" s="80">
        <f t="shared" si="25"/>
        <v>697</v>
      </c>
      <c r="G790" s="77">
        <f>Comp2[[#This Row],[Comparable '#2 Drawdown]]/MAX($B$2:B790)</f>
        <v>-0.38204951856946356</v>
      </c>
      <c r="H790" s="1" t="str">
        <f>IF(SUM(COUNTIF(Benchmark1[Benchmark '#1 Dates],Comp2[[#This Row],[Comparable '#2 Dates]]),COUNTIF(Benchmark2[Benchmark '#2 Dates],Comp2[[#This Row],[Comparable '#2 Dates]]))=2,"Pass","Fail")</f>
        <v>Pass</v>
      </c>
      <c r="I790" s="1">
        <f>IFERROR(Comp2[[#This Row],[Comparable '#2 Return]]-INDEX(Benchmark1[Benchmark '#1 Return],MATCH(Comp2[[#This Row],[Comparable '#2 Dates]],Benchmark1[Benchmark '#1 Dates],0)),"-")</f>
        <v>2.9890363393772528E-2</v>
      </c>
      <c r="L790" s="72">
        <f>Comp2[[#This Row],[Comparable '#2 Price]]/$B$2*100</f>
        <v>72.313883299798789</v>
      </c>
    </row>
    <row r="791" spans="1:12">
      <c r="A791" s="96">
        <v>44431</v>
      </c>
      <c r="B791" s="101">
        <v>36.85</v>
      </c>
      <c r="C791" s="4">
        <f t="shared" si="24"/>
        <v>2.5004737279932673E-2</v>
      </c>
      <c r="D791" s="1">
        <f>IFERROR(Comp2[[#This Row],[Comparable '#2 Return]]+1,"-")</f>
        <v>1.0250047372799327</v>
      </c>
      <c r="E791" s="6">
        <f>B791-MAX($B$2:B791)</f>
        <v>-21.309999999999995</v>
      </c>
      <c r="F791" s="80">
        <f t="shared" si="25"/>
        <v>698</v>
      </c>
      <c r="G791" s="77">
        <f>Comp2[[#This Row],[Comparable '#2 Drawdown]]/MAX($B$2:B791)</f>
        <v>-0.36640302613480047</v>
      </c>
      <c r="H791" s="1" t="str">
        <f>IF(SUM(COUNTIF(Benchmark1[Benchmark '#1 Dates],Comp2[[#This Row],[Comparable '#2 Dates]]),COUNTIF(Benchmark2[Benchmark '#2 Dates],Comp2[[#This Row],[Comparable '#2 Dates]]))=2,"Pass","Fail")</f>
        <v>Pass</v>
      </c>
      <c r="I791" s="1">
        <f>IFERROR(Comp2[[#This Row],[Comparable '#2 Return]]-INDEX(Benchmark1[Benchmark '#1 Return],MATCH(Comp2[[#This Row],[Comparable '#2 Dates]],Benchmark1[Benchmark '#1 Dates],0)),"-")</f>
        <v>1.6515850605540866E-2</v>
      </c>
      <c r="L791" s="72">
        <f>Comp2[[#This Row],[Comparable '#2 Price]]/$B$2*100</f>
        <v>74.144869215291749</v>
      </c>
    </row>
    <row r="792" spans="1:12">
      <c r="A792" s="96">
        <v>44432</v>
      </c>
      <c r="B792" s="101">
        <v>35.58</v>
      </c>
      <c r="C792" s="4">
        <f t="shared" si="24"/>
        <v>-3.5071936397656572E-2</v>
      </c>
      <c r="D792" s="1">
        <f>IFERROR(Comp2[[#This Row],[Comparable '#2 Return]]+1,"-")</f>
        <v>0.9649280636023434</v>
      </c>
      <c r="E792" s="6">
        <f>B792-MAX($B$2:B792)</f>
        <v>-22.58</v>
      </c>
      <c r="F792" s="80">
        <f t="shared" si="25"/>
        <v>699</v>
      </c>
      <c r="G792" s="77">
        <f>Comp2[[#This Row],[Comparable '#2 Drawdown]]/MAX($B$2:B792)</f>
        <v>-0.38823933975240715</v>
      </c>
      <c r="H792" s="1" t="str">
        <f>IF(SUM(COUNTIF(Benchmark1[Benchmark '#1 Dates],Comp2[[#This Row],[Comparable '#2 Dates]]),COUNTIF(Benchmark2[Benchmark '#2 Dates],Comp2[[#This Row],[Comparable '#2 Dates]]))=2,"Pass","Fail")</f>
        <v>Pass</v>
      </c>
      <c r="I792" s="1">
        <f>IFERROR(Comp2[[#This Row],[Comparable '#2 Return]]-INDEX(Benchmark1[Benchmark '#1 Return],MATCH(Comp2[[#This Row],[Comparable '#2 Dates]],Benchmark1[Benchmark '#1 Dates],0)),"-")</f>
        <v>-3.6567330160575742E-2</v>
      </c>
      <c r="L792" s="72">
        <f>Comp2[[#This Row],[Comparable '#2 Price]]/$B$2*100</f>
        <v>71.589537223340031</v>
      </c>
    </row>
    <row r="793" spans="1:12">
      <c r="A793" s="96">
        <v>44433</v>
      </c>
      <c r="B793" s="101">
        <v>36.46</v>
      </c>
      <c r="C793" s="4">
        <f t="shared" si="24"/>
        <v>2.4432087012827904E-2</v>
      </c>
      <c r="D793" s="1">
        <f>IFERROR(Comp2[[#This Row],[Comparable '#2 Return]]+1,"-")</f>
        <v>1.0244320870128278</v>
      </c>
      <c r="E793" s="6">
        <f>B793-MAX($B$2:B793)</f>
        <v>-21.699999999999996</v>
      </c>
      <c r="F793" s="80">
        <f t="shared" si="25"/>
        <v>700</v>
      </c>
      <c r="G793" s="77">
        <f>Comp2[[#This Row],[Comparable '#2 Drawdown]]/MAX($B$2:B793)</f>
        <v>-0.37310866574965607</v>
      </c>
      <c r="H793" s="1" t="str">
        <f>IF(SUM(COUNTIF(Benchmark1[Benchmark '#1 Dates],Comp2[[#This Row],[Comparable '#2 Dates]]),COUNTIF(Benchmark2[Benchmark '#2 Dates],Comp2[[#This Row],[Comparable '#2 Dates]]))=2,"Pass","Fail")</f>
        <v>Pass</v>
      </c>
      <c r="I793" s="1">
        <f>IFERROR(Comp2[[#This Row],[Comparable '#2 Return]]-INDEX(Benchmark1[Benchmark '#1 Return],MATCH(Comp2[[#This Row],[Comparable '#2 Dates]],Benchmark1[Benchmark '#1 Dates],0)),"-")</f>
        <v>2.2215144222879891E-2</v>
      </c>
      <c r="L793" s="72">
        <f>Comp2[[#This Row],[Comparable '#2 Price]]/$B$2*100</f>
        <v>73.360160965794762</v>
      </c>
    </row>
    <row r="794" spans="1:12">
      <c r="A794" s="96">
        <v>44434</v>
      </c>
      <c r="B794" s="101">
        <v>36.82</v>
      </c>
      <c r="C794" s="4">
        <f t="shared" si="24"/>
        <v>9.8254065544148578E-3</v>
      </c>
      <c r="D794" s="1">
        <f>IFERROR(Comp2[[#This Row],[Comparable '#2 Return]]+1,"-")</f>
        <v>1.0098254065544148</v>
      </c>
      <c r="E794" s="6">
        <f>B794-MAX($B$2:B794)</f>
        <v>-21.339999999999996</v>
      </c>
      <c r="F794" s="80">
        <f t="shared" si="25"/>
        <v>701</v>
      </c>
      <c r="G794" s="77">
        <f>Comp2[[#This Row],[Comparable '#2 Drawdown]]/MAX($B$2:B794)</f>
        <v>-0.36691884456671248</v>
      </c>
      <c r="H794" s="1" t="str">
        <f>IF(SUM(COUNTIF(Benchmark1[Benchmark '#1 Dates],Comp2[[#This Row],[Comparable '#2 Dates]]),COUNTIF(Benchmark2[Benchmark '#2 Dates],Comp2[[#This Row],[Comparable '#2 Dates]]))=2,"Pass","Fail")</f>
        <v>Pass</v>
      </c>
      <c r="I794" s="1">
        <f>IFERROR(Comp2[[#This Row],[Comparable '#2 Return]]-INDEX(Benchmark1[Benchmark '#1 Return],MATCH(Comp2[[#This Row],[Comparable '#2 Dates]],Benchmark1[Benchmark '#1 Dates],0)),"-")</f>
        <v>1.5668384055410781E-2</v>
      </c>
      <c r="L794" s="72">
        <f>Comp2[[#This Row],[Comparable '#2 Price]]/$B$2*100</f>
        <v>74.08450704225352</v>
      </c>
    </row>
    <row r="795" spans="1:12">
      <c r="A795" s="96">
        <v>44435</v>
      </c>
      <c r="B795" s="101">
        <v>37.58</v>
      </c>
      <c r="C795" s="4">
        <f t="shared" si="24"/>
        <v>2.0430818180387476E-2</v>
      </c>
      <c r="D795" s="1">
        <f>IFERROR(Comp2[[#This Row],[Comparable '#2 Return]]+1,"-")</f>
        <v>1.0204308181803874</v>
      </c>
      <c r="E795" s="6">
        <f>B795-MAX($B$2:B795)</f>
        <v>-20.58</v>
      </c>
      <c r="F795" s="80">
        <f t="shared" si="25"/>
        <v>702</v>
      </c>
      <c r="G795" s="77">
        <f>Comp2[[#This Row],[Comparable '#2 Drawdown]]/MAX($B$2:B795)</f>
        <v>-0.35385144429160936</v>
      </c>
      <c r="H795" s="1" t="str">
        <f>IF(SUM(COUNTIF(Benchmark1[Benchmark '#1 Dates],Comp2[[#This Row],[Comparable '#2 Dates]]),COUNTIF(Benchmark2[Benchmark '#2 Dates],Comp2[[#This Row],[Comparable '#2 Dates]]))=2,"Pass","Fail")</f>
        <v>Pass</v>
      </c>
      <c r="I795" s="1">
        <f>IFERROR(Comp2[[#This Row],[Comparable '#2 Return]]-INDEX(Benchmark1[Benchmark '#1 Return],MATCH(Comp2[[#This Row],[Comparable '#2 Dates]],Benchmark1[Benchmark '#1 Dates],0)),"-")</f>
        <v>1.1661158813492674E-2</v>
      </c>
      <c r="L795" s="72">
        <f>Comp2[[#This Row],[Comparable '#2 Price]]/$B$2*100</f>
        <v>75.613682092555322</v>
      </c>
    </row>
    <row r="796" spans="1:12">
      <c r="A796" s="96">
        <v>44438</v>
      </c>
      <c r="B796" s="101">
        <v>36.75</v>
      </c>
      <c r="C796" s="4">
        <f t="shared" si="24"/>
        <v>-2.2333768326473578E-2</v>
      </c>
      <c r="D796" s="1">
        <f>IFERROR(Comp2[[#This Row],[Comparable '#2 Return]]+1,"-")</f>
        <v>0.9776662316735264</v>
      </c>
      <c r="E796" s="6">
        <f>B796-MAX($B$2:B796)</f>
        <v>-21.409999999999997</v>
      </c>
      <c r="F796" s="80">
        <f t="shared" si="25"/>
        <v>703</v>
      </c>
      <c r="G796" s="77">
        <f>Comp2[[#This Row],[Comparable '#2 Drawdown]]/MAX($B$2:B796)</f>
        <v>-0.36812242090784042</v>
      </c>
      <c r="H796" s="1" t="str">
        <f>IF(SUM(COUNTIF(Benchmark1[Benchmark '#1 Dates],Comp2[[#This Row],[Comparable '#2 Dates]]),COUNTIF(Benchmark2[Benchmark '#2 Dates],Comp2[[#This Row],[Comparable '#2 Dates]]))=2,"Pass","Fail")</f>
        <v>Pass</v>
      </c>
      <c r="I796" s="1">
        <f>IFERROR(Comp2[[#This Row],[Comparable '#2 Return]]-INDEX(Benchmark1[Benchmark '#1 Return],MATCH(Comp2[[#This Row],[Comparable '#2 Dates]],Benchmark1[Benchmark '#1 Dates],0)),"-")</f>
        <v>-2.6632120702387862E-2</v>
      </c>
      <c r="L796" s="72">
        <f>Comp2[[#This Row],[Comparable '#2 Price]]/$B$2*100</f>
        <v>73.943661971830977</v>
      </c>
    </row>
    <row r="797" spans="1:12">
      <c r="A797" s="96">
        <v>44439</v>
      </c>
      <c r="B797" s="101">
        <v>37</v>
      </c>
      <c r="C797" s="4">
        <f t="shared" si="24"/>
        <v>6.7796869853787691E-3</v>
      </c>
      <c r="D797" s="1">
        <f>IFERROR(Comp2[[#This Row],[Comparable '#2 Return]]+1,"-")</f>
        <v>1.0067796869853787</v>
      </c>
      <c r="E797" s="6">
        <f>B797-MAX($B$2:B797)</f>
        <v>-21.159999999999997</v>
      </c>
      <c r="F797" s="80">
        <f t="shared" si="25"/>
        <v>704</v>
      </c>
      <c r="G797" s="77">
        <f>Comp2[[#This Row],[Comparable '#2 Drawdown]]/MAX($B$2:B797)</f>
        <v>-0.36382393397524065</v>
      </c>
      <c r="H797" s="1" t="str">
        <f>IF(SUM(COUNTIF(Benchmark1[Benchmark '#1 Dates],Comp2[[#This Row],[Comparable '#2 Dates]]),COUNTIF(Benchmark2[Benchmark '#2 Dates],Comp2[[#This Row],[Comparable '#2 Dates]]))=2,"Pass","Fail")</f>
        <v>Pass</v>
      </c>
      <c r="I797" s="1">
        <f>IFERROR(Comp2[[#This Row],[Comparable '#2 Return]]-INDEX(Benchmark1[Benchmark '#1 Return],MATCH(Comp2[[#This Row],[Comparable '#2 Dates]],Benchmark1[Benchmark '#1 Dates],0)),"-")</f>
        <v>8.1305267172871471E-3</v>
      </c>
      <c r="L797" s="72">
        <f>Comp2[[#This Row],[Comparable '#2 Price]]/$B$2*100</f>
        <v>74.446680080482892</v>
      </c>
    </row>
    <row r="798" spans="1:12">
      <c r="A798" s="96">
        <v>44440</v>
      </c>
      <c r="B798" s="101">
        <v>37.090000000000003</v>
      </c>
      <c r="C798" s="4">
        <f t="shared" si="24"/>
        <v>2.4294788572750766E-3</v>
      </c>
      <c r="D798" s="1">
        <f>IFERROR(Comp2[[#This Row],[Comparable '#2 Return]]+1,"-")</f>
        <v>1.0024294788572752</v>
      </c>
      <c r="E798" s="6">
        <f>B798-MAX($B$2:B798)</f>
        <v>-21.069999999999993</v>
      </c>
      <c r="F798" s="80">
        <f t="shared" si="25"/>
        <v>705</v>
      </c>
      <c r="G798" s="77">
        <f>Comp2[[#This Row],[Comparable '#2 Drawdown]]/MAX($B$2:B798)</f>
        <v>-0.36227647867950474</v>
      </c>
      <c r="H798" s="1" t="str">
        <f>IF(SUM(COUNTIF(Benchmark1[Benchmark '#1 Dates],Comp2[[#This Row],[Comparable '#2 Dates]]),COUNTIF(Benchmark2[Benchmark '#2 Dates],Comp2[[#This Row],[Comparable '#2 Dates]]))=2,"Pass","Fail")</f>
        <v>Pass</v>
      </c>
      <c r="I798" s="1">
        <f>IFERROR(Comp2[[#This Row],[Comparable '#2 Return]]-INDEX(Benchmark1[Benchmark '#1 Return],MATCH(Comp2[[#This Row],[Comparable '#2 Dates]],Benchmark1[Benchmark '#1 Dates],0)),"-")</f>
        <v>2.1172897493926153E-3</v>
      </c>
      <c r="L798" s="72">
        <f>Comp2[[#This Row],[Comparable '#2 Price]]/$B$2*100</f>
        <v>74.627766599597592</v>
      </c>
    </row>
    <row r="799" spans="1:12">
      <c r="A799" s="96">
        <v>44441</v>
      </c>
      <c r="B799" s="101">
        <v>37.369999999999997</v>
      </c>
      <c r="C799" s="4">
        <f t="shared" si="24"/>
        <v>7.5208519958929422E-3</v>
      </c>
      <c r="D799" s="1">
        <f>IFERROR(Comp2[[#This Row],[Comparable '#2 Return]]+1,"-")</f>
        <v>1.0075208519958929</v>
      </c>
      <c r="E799" s="6">
        <f>B799-MAX($B$2:B799)</f>
        <v>-20.79</v>
      </c>
      <c r="F799" s="80">
        <f t="shared" si="25"/>
        <v>706</v>
      </c>
      <c r="G799" s="77">
        <f>Comp2[[#This Row],[Comparable '#2 Drawdown]]/MAX($B$2:B799)</f>
        <v>-0.35746217331499314</v>
      </c>
      <c r="H799" s="1" t="str">
        <f>IF(SUM(COUNTIF(Benchmark1[Benchmark '#1 Dates],Comp2[[#This Row],[Comparable '#2 Dates]]),COUNTIF(Benchmark2[Benchmark '#2 Dates],Comp2[[#This Row],[Comparable '#2 Dates]]))=2,"Pass","Fail")</f>
        <v>Pass</v>
      </c>
      <c r="I799" s="1">
        <f>IFERROR(Comp2[[#This Row],[Comparable '#2 Return]]-INDEX(Benchmark1[Benchmark '#1 Return],MATCH(Comp2[[#This Row],[Comparable '#2 Dates]],Benchmark1[Benchmark '#1 Dates],0)),"-")</f>
        <v>4.6836714110317541E-3</v>
      </c>
      <c r="L799" s="72">
        <f>Comp2[[#This Row],[Comparable '#2 Price]]/$B$2*100</f>
        <v>75.191146881287722</v>
      </c>
    </row>
    <row r="800" spans="1:12">
      <c r="A800" s="96">
        <v>44442</v>
      </c>
      <c r="B800" s="101">
        <v>37.1</v>
      </c>
      <c r="C800" s="4">
        <f t="shared" si="24"/>
        <v>-7.2512738840030001E-3</v>
      </c>
      <c r="D800" s="1">
        <f>IFERROR(Comp2[[#This Row],[Comparable '#2 Return]]+1,"-")</f>
        <v>0.99274872611599696</v>
      </c>
      <c r="E800" s="6">
        <f>B800-MAX($B$2:B800)</f>
        <v>-21.059999999999995</v>
      </c>
      <c r="F800" s="80">
        <f t="shared" si="25"/>
        <v>707</v>
      </c>
      <c r="G800" s="77">
        <f>Comp2[[#This Row],[Comparable '#2 Drawdown]]/MAX($B$2:B800)</f>
        <v>-0.36210453920220076</v>
      </c>
      <c r="H800" s="1" t="str">
        <f>IF(SUM(COUNTIF(Benchmark1[Benchmark '#1 Dates],Comp2[[#This Row],[Comparable '#2 Dates]]),COUNTIF(Benchmark2[Benchmark '#2 Dates],Comp2[[#This Row],[Comparable '#2 Dates]]))=2,"Pass","Fail")</f>
        <v>Pass</v>
      </c>
      <c r="I800" s="1">
        <f>IFERROR(Comp2[[#This Row],[Comparable '#2 Return]]-INDEX(Benchmark1[Benchmark '#1 Return],MATCH(Comp2[[#This Row],[Comparable '#2 Dates]],Benchmark1[Benchmark '#1 Dates],0)),"-")</f>
        <v>-6.9176196441917762E-3</v>
      </c>
      <c r="L800" s="72">
        <f>Comp2[[#This Row],[Comparable '#2 Price]]/$B$2*100</f>
        <v>74.647887323943664</v>
      </c>
    </row>
    <row r="801" spans="1:12">
      <c r="A801" s="96">
        <v>44446</v>
      </c>
      <c r="B801" s="101">
        <v>37.200000000000003</v>
      </c>
      <c r="C801" s="4">
        <f t="shared" si="24"/>
        <v>2.691791665711353E-3</v>
      </c>
      <c r="D801" s="1">
        <f>IFERROR(Comp2[[#This Row],[Comparable '#2 Return]]+1,"-")</f>
        <v>1.0026917916657114</v>
      </c>
      <c r="E801" s="6">
        <f>B801-MAX($B$2:B801)</f>
        <v>-20.959999999999994</v>
      </c>
      <c r="F801" s="80">
        <f t="shared" si="25"/>
        <v>708</v>
      </c>
      <c r="G801" s="77">
        <f>Comp2[[#This Row],[Comparable '#2 Drawdown]]/MAX($B$2:B801)</f>
        <v>-0.36038514442916086</v>
      </c>
      <c r="H801" s="1" t="str">
        <f>IF(SUM(COUNTIF(Benchmark1[Benchmark '#1 Dates],Comp2[[#This Row],[Comparable '#2 Dates]]),COUNTIF(Benchmark2[Benchmark '#2 Dates],Comp2[[#This Row],[Comparable '#2 Dates]]))=2,"Pass","Fail")</f>
        <v>Pass</v>
      </c>
      <c r="I801" s="1">
        <f>IFERROR(Comp2[[#This Row],[Comparable '#2 Return]]-INDEX(Benchmark1[Benchmark '#1 Return],MATCH(Comp2[[#This Row],[Comparable '#2 Dates]],Benchmark1[Benchmark '#1 Dates],0)),"-")</f>
        <v>6.0941377614229615E-3</v>
      </c>
      <c r="L801" s="72">
        <f>Comp2[[#This Row],[Comparable '#2 Price]]/$B$2*100</f>
        <v>74.849094567404421</v>
      </c>
    </row>
    <row r="802" spans="1:12">
      <c r="A802" s="96">
        <v>44447</v>
      </c>
      <c r="B802" s="101">
        <v>37.79</v>
      </c>
      <c r="C802" s="4">
        <f t="shared" si="24"/>
        <v>1.5735756082296735E-2</v>
      </c>
      <c r="D802" s="1">
        <f>IFERROR(Comp2[[#This Row],[Comparable '#2 Return]]+1,"-")</f>
        <v>1.0157357560822968</v>
      </c>
      <c r="E802" s="6">
        <f>B802-MAX($B$2:B802)</f>
        <v>-20.369999999999997</v>
      </c>
      <c r="F802" s="80">
        <f t="shared" si="25"/>
        <v>709</v>
      </c>
      <c r="G802" s="77">
        <f>Comp2[[#This Row],[Comparable '#2 Drawdown]]/MAX($B$2:B802)</f>
        <v>-0.35024071526822559</v>
      </c>
      <c r="H802" s="1" t="str">
        <f>IF(SUM(COUNTIF(Benchmark1[Benchmark '#1 Dates],Comp2[[#This Row],[Comparable '#2 Dates]]),COUNTIF(Benchmark2[Benchmark '#2 Dates],Comp2[[#This Row],[Comparable '#2 Dates]]))=2,"Pass","Fail")</f>
        <v>Pass</v>
      </c>
      <c r="I802" s="1">
        <f>IFERROR(Comp2[[#This Row],[Comparable '#2 Return]]-INDEX(Benchmark1[Benchmark '#1 Return],MATCH(Comp2[[#This Row],[Comparable '#2 Dates]],Benchmark1[Benchmark '#1 Dates],0)),"-")</f>
        <v>1.7055031399659814E-2</v>
      </c>
      <c r="L802" s="72">
        <f>Comp2[[#This Row],[Comparable '#2 Price]]/$B$2*100</f>
        <v>76.036217303822923</v>
      </c>
    </row>
    <row r="803" spans="1:12">
      <c r="A803" s="96">
        <v>44448</v>
      </c>
      <c r="B803" s="101">
        <v>38.24</v>
      </c>
      <c r="C803" s="4">
        <f t="shared" si="24"/>
        <v>1.1837570821803112E-2</v>
      </c>
      <c r="D803" s="1">
        <f>IFERROR(Comp2[[#This Row],[Comparable '#2 Return]]+1,"-")</f>
        <v>1.011837570821803</v>
      </c>
      <c r="E803" s="6">
        <f>B803-MAX($B$2:B803)</f>
        <v>-19.919999999999995</v>
      </c>
      <c r="F803" s="80">
        <f t="shared" si="25"/>
        <v>710</v>
      </c>
      <c r="G803" s="77">
        <f>Comp2[[#This Row],[Comparable '#2 Drawdown]]/MAX($B$2:B803)</f>
        <v>-0.34250343878954603</v>
      </c>
      <c r="H803" s="1" t="str">
        <f>IF(SUM(COUNTIF(Benchmark1[Benchmark '#1 Dates],Comp2[[#This Row],[Comparable '#2 Dates]]),COUNTIF(Benchmark2[Benchmark '#2 Dates],Comp2[[#This Row],[Comparable '#2 Dates]]))=2,"Pass","Fail")</f>
        <v>Pass</v>
      </c>
      <c r="I803" s="1">
        <f>IFERROR(Comp2[[#This Row],[Comparable '#2 Return]]-INDEX(Benchmark1[Benchmark '#1 Return],MATCH(Comp2[[#This Row],[Comparable '#2 Dates]],Benchmark1[Benchmark '#1 Dates],0)),"-")</f>
        <v>1.6452526108878728E-2</v>
      </c>
      <c r="L803" s="72">
        <f>Comp2[[#This Row],[Comparable '#2 Price]]/$B$2*100</f>
        <v>76.941649899396381</v>
      </c>
    </row>
    <row r="804" spans="1:12">
      <c r="A804" s="96">
        <v>44449</v>
      </c>
      <c r="B804" s="101">
        <v>37.44</v>
      </c>
      <c r="C804" s="4">
        <f t="shared" si="24"/>
        <v>-2.1142436573809351E-2</v>
      </c>
      <c r="D804" s="1">
        <f>IFERROR(Comp2[[#This Row],[Comparable '#2 Return]]+1,"-")</f>
        <v>0.97885756342619068</v>
      </c>
      <c r="E804" s="6">
        <f>B804-MAX($B$2:B804)</f>
        <v>-20.72</v>
      </c>
      <c r="F804" s="80">
        <f t="shared" si="25"/>
        <v>711</v>
      </c>
      <c r="G804" s="77">
        <f>Comp2[[#This Row],[Comparable '#2 Drawdown]]/MAX($B$2:B804)</f>
        <v>-0.35625859697386519</v>
      </c>
      <c r="H804" s="1" t="str">
        <f>IF(SUM(COUNTIF(Benchmark1[Benchmark '#1 Dates],Comp2[[#This Row],[Comparable '#2 Dates]]),COUNTIF(Benchmark2[Benchmark '#2 Dates],Comp2[[#This Row],[Comparable '#2 Dates]]))=2,"Pass","Fail")</f>
        <v>Pass</v>
      </c>
      <c r="I804" s="1">
        <f>IFERROR(Comp2[[#This Row],[Comparable '#2 Return]]-INDEX(Benchmark1[Benchmark '#1 Return],MATCH(Comp2[[#This Row],[Comparable '#2 Dates]],Benchmark1[Benchmark '#1 Dates],0)),"-")</f>
        <v>-1.338882999862245E-2</v>
      </c>
      <c r="L804" s="72">
        <f>Comp2[[#This Row],[Comparable '#2 Price]]/$B$2*100</f>
        <v>75.331991951710251</v>
      </c>
    </row>
    <row r="805" spans="1:12">
      <c r="A805" s="96">
        <v>44452</v>
      </c>
      <c r="B805" s="101">
        <v>38.25</v>
      </c>
      <c r="C805" s="4">
        <f t="shared" si="24"/>
        <v>2.140390866315358E-2</v>
      </c>
      <c r="D805" s="1">
        <f>IFERROR(Comp2[[#This Row],[Comparable '#2 Return]]+1,"-")</f>
        <v>1.0214039086631537</v>
      </c>
      <c r="E805" s="6">
        <f>B805-MAX($B$2:B805)</f>
        <v>-19.909999999999997</v>
      </c>
      <c r="F805" s="80">
        <f t="shared" si="25"/>
        <v>712</v>
      </c>
      <c r="G805" s="77">
        <f>Comp2[[#This Row],[Comparable '#2 Drawdown]]/MAX($B$2:B805)</f>
        <v>-0.34233149931224205</v>
      </c>
      <c r="H805" s="1" t="str">
        <f>IF(SUM(COUNTIF(Benchmark1[Benchmark '#1 Dates],Comp2[[#This Row],[Comparable '#2 Dates]]),COUNTIF(Benchmark2[Benchmark '#2 Dates],Comp2[[#This Row],[Comparable '#2 Dates]]))=2,"Pass","Fail")</f>
        <v>Pass</v>
      </c>
      <c r="I805" s="1">
        <f>IFERROR(Comp2[[#This Row],[Comparable '#2 Return]]-INDEX(Benchmark1[Benchmark '#1 Return],MATCH(Comp2[[#This Row],[Comparable '#2 Dates]],Benchmark1[Benchmark '#1 Dates],0)),"-")</f>
        <v>1.913078213963168E-2</v>
      </c>
      <c r="L805" s="72">
        <f>Comp2[[#This Row],[Comparable '#2 Price]]/$B$2*100</f>
        <v>76.961770623742453</v>
      </c>
    </row>
    <row r="806" spans="1:12">
      <c r="A806" s="96">
        <v>44453</v>
      </c>
      <c r="B806" s="101">
        <v>38.01</v>
      </c>
      <c r="C806" s="4">
        <f t="shared" si="24"/>
        <v>-6.2942772713875357E-3</v>
      </c>
      <c r="D806" s="1">
        <f>IFERROR(Comp2[[#This Row],[Comparable '#2 Return]]+1,"-")</f>
        <v>0.99370572272861246</v>
      </c>
      <c r="E806" s="6">
        <f>B806-MAX($B$2:B806)</f>
        <v>-20.149999999999999</v>
      </c>
      <c r="F806" s="80">
        <f t="shared" si="25"/>
        <v>713</v>
      </c>
      <c r="G806" s="77">
        <f>Comp2[[#This Row],[Comparable '#2 Drawdown]]/MAX($B$2:B806)</f>
        <v>-0.34645804676753783</v>
      </c>
      <c r="H806" s="1" t="str">
        <f>IF(SUM(COUNTIF(Benchmark1[Benchmark '#1 Dates],Comp2[[#This Row],[Comparable '#2 Dates]]),COUNTIF(Benchmark2[Benchmark '#2 Dates],Comp2[[#This Row],[Comparable '#2 Dates]]))=2,"Pass","Fail")</f>
        <v>Pass</v>
      </c>
      <c r="I806" s="1">
        <f>IFERROR(Comp2[[#This Row],[Comparable '#2 Return]]-INDEX(Benchmark1[Benchmark '#1 Return],MATCH(Comp2[[#This Row],[Comparable '#2 Dates]],Benchmark1[Benchmark '#1 Dates],0)),"-")</f>
        <v>-5.3190084968984547E-4</v>
      </c>
      <c r="L806" s="72">
        <f>Comp2[[#This Row],[Comparable '#2 Price]]/$B$2*100</f>
        <v>76.478873239436609</v>
      </c>
    </row>
    <row r="807" spans="1:12">
      <c r="A807" s="96">
        <v>44454</v>
      </c>
      <c r="B807" s="101">
        <v>38.21</v>
      </c>
      <c r="C807" s="4">
        <f t="shared" si="24"/>
        <v>5.2479784576512567E-3</v>
      </c>
      <c r="D807" s="1">
        <f>IFERROR(Comp2[[#This Row],[Comparable '#2 Return]]+1,"-")</f>
        <v>1.0052479784576513</v>
      </c>
      <c r="E807" s="6">
        <f>B807-MAX($B$2:B807)</f>
        <v>-19.949999999999996</v>
      </c>
      <c r="F807" s="80">
        <f t="shared" si="25"/>
        <v>714</v>
      </c>
      <c r="G807" s="77">
        <f>Comp2[[#This Row],[Comparable '#2 Drawdown]]/MAX($B$2:B807)</f>
        <v>-0.34301925722145798</v>
      </c>
      <c r="H807" s="1" t="str">
        <f>IF(SUM(COUNTIF(Benchmark1[Benchmark '#1 Dates],Comp2[[#This Row],[Comparable '#2 Dates]]),COUNTIF(Benchmark2[Benchmark '#2 Dates],Comp2[[#This Row],[Comparable '#2 Dates]]))=2,"Pass","Fail")</f>
        <v>Pass</v>
      </c>
      <c r="I807" s="1">
        <f>IFERROR(Comp2[[#This Row],[Comparable '#2 Return]]-INDEX(Benchmark1[Benchmark '#1 Return],MATCH(Comp2[[#This Row],[Comparable '#2 Dates]],Benchmark1[Benchmark '#1 Dates],0)),"-")</f>
        <v>-3.1905919990416346E-3</v>
      </c>
      <c r="L807" s="72">
        <f>Comp2[[#This Row],[Comparable '#2 Price]]/$B$2*100</f>
        <v>76.881287726358153</v>
      </c>
    </row>
    <row r="808" spans="1:12">
      <c r="A808" s="96">
        <v>44455</v>
      </c>
      <c r="B808" s="101">
        <v>38.1</v>
      </c>
      <c r="C808" s="4">
        <f t="shared" si="24"/>
        <v>-2.8829793261533339E-3</v>
      </c>
      <c r="D808" s="1">
        <f>IFERROR(Comp2[[#This Row],[Comparable '#2 Return]]+1,"-")</f>
        <v>0.99711702067384667</v>
      </c>
      <c r="E808" s="6">
        <f>B808-MAX($B$2:B808)</f>
        <v>-20.059999999999995</v>
      </c>
      <c r="F808" s="80">
        <f t="shared" si="25"/>
        <v>715</v>
      </c>
      <c r="G808" s="77">
        <f>Comp2[[#This Row],[Comparable '#2 Drawdown]]/MAX($B$2:B808)</f>
        <v>-0.34491059147180186</v>
      </c>
      <c r="H808" s="1" t="str">
        <f>IF(SUM(COUNTIF(Benchmark1[Benchmark '#1 Dates],Comp2[[#This Row],[Comparable '#2 Dates]]),COUNTIF(Benchmark2[Benchmark '#2 Dates],Comp2[[#This Row],[Comparable '#2 Dates]]))=2,"Pass","Fail")</f>
        <v>Pass</v>
      </c>
      <c r="I808" s="1">
        <f>IFERROR(Comp2[[#This Row],[Comparable '#2 Return]]-INDEX(Benchmark1[Benchmark '#1 Return],MATCH(Comp2[[#This Row],[Comparable '#2 Dates]],Benchmark1[Benchmark '#1 Dates],0)),"-")</f>
        <v>-1.3309598746598325E-3</v>
      </c>
      <c r="L808" s="72">
        <f>Comp2[[#This Row],[Comparable '#2 Price]]/$B$2*100</f>
        <v>76.65995975855131</v>
      </c>
    </row>
    <row r="809" spans="1:12">
      <c r="A809" s="96">
        <v>44456</v>
      </c>
      <c r="B809" s="101">
        <v>39.659999999999997</v>
      </c>
      <c r="C809" s="4">
        <f t="shared" si="24"/>
        <v>4.0128840958994612E-2</v>
      </c>
      <c r="D809" s="1">
        <f>IFERROR(Comp2[[#This Row],[Comparable '#2 Return]]+1,"-")</f>
        <v>1.0401288409589946</v>
      </c>
      <c r="E809" s="6">
        <f>B809-MAX($B$2:B809)</f>
        <v>-18.5</v>
      </c>
      <c r="F809" s="80">
        <f t="shared" si="25"/>
        <v>716</v>
      </c>
      <c r="G809" s="77">
        <f>Comp2[[#This Row],[Comparable '#2 Drawdown]]/MAX($B$2:B809)</f>
        <v>-0.31808803301237965</v>
      </c>
      <c r="H809" s="1" t="str">
        <f>IF(SUM(COUNTIF(Benchmark1[Benchmark '#1 Dates],Comp2[[#This Row],[Comparable '#2 Dates]]),COUNTIF(Benchmark2[Benchmark '#2 Dates],Comp2[[#This Row],[Comparable '#2 Dates]]))=2,"Pass","Fail")</f>
        <v>Pass</v>
      </c>
      <c r="I809" s="1">
        <f>IFERROR(Comp2[[#This Row],[Comparable '#2 Return]]-INDEX(Benchmark1[Benchmark '#1 Return],MATCH(Comp2[[#This Row],[Comparable '#2 Dates]],Benchmark1[Benchmark '#1 Dates],0)),"-")</f>
        <v>4.9282707633264512E-2</v>
      </c>
      <c r="L809" s="72">
        <f>Comp2[[#This Row],[Comparable '#2 Price]]/$B$2*100</f>
        <v>79.798792756539228</v>
      </c>
    </row>
    <row r="810" spans="1:12">
      <c r="A810" s="96">
        <v>44459</v>
      </c>
      <c r="B810" s="101">
        <v>38.56</v>
      </c>
      <c r="C810" s="4">
        <f t="shared" si="24"/>
        <v>-2.8127653349304876E-2</v>
      </c>
      <c r="D810" s="1">
        <f>IFERROR(Comp2[[#This Row],[Comparable '#2 Return]]+1,"-")</f>
        <v>0.97187234665069511</v>
      </c>
      <c r="E810" s="6">
        <f>B810-MAX($B$2:B810)</f>
        <v>-19.599999999999994</v>
      </c>
      <c r="F810" s="80">
        <f t="shared" si="25"/>
        <v>717</v>
      </c>
      <c r="G810" s="77">
        <f>Comp2[[#This Row],[Comparable '#2 Drawdown]]/MAX($B$2:B810)</f>
        <v>-0.33700137551581838</v>
      </c>
      <c r="H810" s="1" t="str">
        <f>IF(SUM(COUNTIF(Benchmark1[Benchmark '#1 Dates],Comp2[[#This Row],[Comparable '#2 Dates]]),COUNTIF(Benchmark2[Benchmark '#2 Dates],Comp2[[#This Row],[Comparable '#2 Dates]]))=2,"Pass","Fail")</f>
        <v>Pass</v>
      </c>
      <c r="I810" s="1">
        <f>IFERROR(Comp2[[#This Row],[Comparable '#2 Return]]-INDEX(Benchmark1[Benchmark '#1 Return],MATCH(Comp2[[#This Row],[Comparable '#2 Dates]],Benchmark1[Benchmark '#1 Dates],0)),"-")</f>
        <v>-1.1004711806475637E-2</v>
      </c>
      <c r="L810" s="72">
        <f>Comp2[[#This Row],[Comparable '#2 Price]]/$B$2*100</f>
        <v>77.585513078470825</v>
      </c>
    </row>
    <row r="811" spans="1:12">
      <c r="A811" s="96">
        <v>44460</v>
      </c>
      <c r="B811" s="101">
        <v>38.17</v>
      </c>
      <c r="C811" s="4">
        <f t="shared" si="24"/>
        <v>-1.0165602985206461E-2</v>
      </c>
      <c r="D811" s="1">
        <f>IFERROR(Comp2[[#This Row],[Comparable '#2 Return]]+1,"-")</f>
        <v>0.98983439701479359</v>
      </c>
      <c r="E811" s="6">
        <f>B811-MAX($B$2:B811)</f>
        <v>-19.989999999999995</v>
      </c>
      <c r="F811" s="80">
        <f t="shared" si="25"/>
        <v>718</v>
      </c>
      <c r="G811" s="77">
        <f>Comp2[[#This Row],[Comparable '#2 Drawdown]]/MAX($B$2:B811)</f>
        <v>-0.34370701513067392</v>
      </c>
      <c r="H811" s="1" t="str">
        <f>IF(SUM(COUNTIF(Benchmark1[Benchmark '#1 Dates],Comp2[[#This Row],[Comparable '#2 Dates]]),COUNTIF(Benchmark2[Benchmark '#2 Dates],Comp2[[#This Row],[Comparable '#2 Dates]]))=2,"Pass","Fail")</f>
        <v>Pass</v>
      </c>
      <c r="I811" s="1">
        <f>IFERROR(Comp2[[#This Row],[Comparable '#2 Return]]-INDEX(Benchmark1[Benchmark '#1 Return],MATCH(Comp2[[#This Row],[Comparable '#2 Dates]],Benchmark1[Benchmark '#1 Dates],0)),"-")</f>
        <v>-9.3531501226949889E-3</v>
      </c>
      <c r="L811" s="72">
        <f>Comp2[[#This Row],[Comparable '#2 Price]]/$B$2*100</f>
        <v>76.800804828973838</v>
      </c>
    </row>
    <row r="812" spans="1:12">
      <c r="A812" s="96">
        <v>44461</v>
      </c>
      <c r="B812" s="101">
        <v>38.24</v>
      </c>
      <c r="C812" s="4">
        <f t="shared" si="24"/>
        <v>1.8322214260622809E-3</v>
      </c>
      <c r="D812" s="1">
        <f>IFERROR(Comp2[[#This Row],[Comparable '#2 Return]]+1,"-")</f>
        <v>1.0018322214260622</v>
      </c>
      <c r="E812" s="6">
        <f>B812-MAX($B$2:B812)</f>
        <v>-19.919999999999995</v>
      </c>
      <c r="F812" s="80">
        <f t="shared" si="25"/>
        <v>719</v>
      </c>
      <c r="G812" s="77">
        <f>Comp2[[#This Row],[Comparable '#2 Drawdown]]/MAX($B$2:B812)</f>
        <v>-0.34250343878954603</v>
      </c>
      <c r="H812" s="1" t="str">
        <f>IF(SUM(COUNTIF(Benchmark1[Benchmark '#1 Dates],Comp2[[#This Row],[Comparable '#2 Dates]]),COUNTIF(Benchmark2[Benchmark '#2 Dates],Comp2[[#This Row],[Comparable '#2 Dates]]))=2,"Pass","Fail")</f>
        <v>Pass</v>
      </c>
      <c r="I812" s="1">
        <f>IFERROR(Comp2[[#This Row],[Comparable '#2 Return]]-INDEX(Benchmark1[Benchmark '#1 Return],MATCH(Comp2[[#This Row],[Comparable '#2 Dates]],Benchmark1[Benchmark '#1 Dates],0)),"-")</f>
        <v>-7.6419311377684089E-3</v>
      </c>
      <c r="L812" s="72">
        <f>Comp2[[#This Row],[Comparable '#2 Price]]/$B$2*100</f>
        <v>76.941649899396381</v>
      </c>
    </row>
    <row r="813" spans="1:12">
      <c r="A813" s="96">
        <v>44462</v>
      </c>
      <c r="B813" s="101">
        <v>38.5</v>
      </c>
      <c r="C813" s="4">
        <f t="shared" si="24"/>
        <v>6.7761531105379313E-3</v>
      </c>
      <c r="D813" s="1">
        <f>IFERROR(Comp2[[#This Row],[Comparable '#2 Return]]+1,"-")</f>
        <v>1.0067761531105379</v>
      </c>
      <c r="E813" s="6">
        <f>B813-MAX($B$2:B813)</f>
        <v>-19.659999999999997</v>
      </c>
      <c r="F813" s="80">
        <f t="shared" si="25"/>
        <v>720</v>
      </c>
      <c r="G813" s="77">
        <f>Comp2[[#This Row],[Comparable '#2 Drawdown]]/MAX($B$2:B813)</f>
        <v>-0.33803301237964234</v>
      </c>
      <c r="H813" s="1" t="str">
        <f>IF(SUM(COUNTIF(Benchmark1[Benchmark '#1 Dates],Comp2[[#This Row],[Comparable '#2 Dates]]),COUNTIF(Benchmark2[Benchmark '#2 Dates],Comp2[[#This Row],[Comparable '#2 Dates]]))=2,"Pass","Fail")</f>
        <v>Pass</v>
      </c>
      <c r="I813" s="1">
        <f>IFERROR(Comp2[[#This Row],[Comparable '#2 Return]]-INDEX(Benchmark1[Benchmark '#1 Return],MATCH(Comp2[[#This Row],[Comparable '#2 Dates]],Benchmark1[Benchmark '#1 Dates],0)),"-")</f>
        <v>-5.2871247456228836E-3</v>
      </c>
      <c r="L813" s="72">
        <f>Comp2[[#This Row],[Comparable '#2 Price]]/$B$2*100</f>
        <v>77.464788732394368</v>
      </c>
    </row>
    <row r="814" spans="1:12">
      <c r="A814" s="96">
        <v>44463</v>
      </c>
      <c r="B814" s="101">
        <v>38.68</v>
      </c>
      <c r="C814" s="4">
        <f t="shared" si="24"/>
        <v>4.6644292913549717E-3</v>
      </c>
      <c r="D814" s="1">
        <f>IFERROR(Comp2[[#This Row],[Comparable '#2 Return]]+1,"-")</f>
        <v>1.0046644292913549</v>
      </c>
      <c r="E814" s="6">
        <f>B814-MAX($B$2:B814)</f>
        <v>-19.479999999999997</v>
      </c>
      <c r="F814" s="80">
        <f t="shared" si="25"/>
        <v>721</v>
      </c>
      <c r="G814" s="77">
        <f>Comp2[[#This Row],[Comparable '#2 Drawdown]]/MAX($B$2:B814)</f>
        <v>-0.33493810178817052</v>
      </c>
      <c r="H814" s="1" t="str">
        <f>IF(SUM(COUNTIF(Benchmark1[Benchmark '#1 Dates],Comp2[[#This Row],[Comparable '#2 Dates]]),COUNTIF(Benchmark2[Benchmark '#2 Dates],Comp2[[#This Row],[Comparable '#2 Dates]]))=2,"Pass","Fail")</f>
        <v>Pass</v>
      </c>
      <c r="I814" s="1">
        <f>IFERROR(Comp2[[#This Row],[Comparable '#2 Return]]-INDEX(Benchmark1[Benchmark '#1 Return],MATCH(Comp2[[#This Row],[Comparable '#2 Dates]],Benchmark1[Benchmark '#1 Dates],0)),"-")</f>
        <v>3.2058653374612161E-3</v>
      </c>
      <c r="L814" s="72">
        <f>Comp2[[#This Row],[Comparable '#2 Price]]/$B$2*100</f>
        <v>77.82696177062374</v>
      </c>
    </row>
    <row r="815" spans="1:12">
      <c r="A815" s="96">
        <v>44466</v>
      </c>
      <c r="B815" s="101">
        <v>38.96</v>
      </c>
      <c r="C815" s="4">
        <f t="shared" si="24"/>
        <v>7.2128081892407839E-3</v>
      </c>
      <c r="D815" s="1">
        <f>IFERROR(Comp2[[#This Row],[Comparable '#2 Return]]+1,"-")</f>
        <v>1.0072128081892409</v>
      </c>
      <c r="E815" s="6">
        <f>B815-MAX($B$2:B815)</f>
        <v>-19.199999999999996</v>
      </c>
      <c r="F815" s="80">
        <f t="shared" si="25"/>
        <v>722</v>
      </c>
      <c r="G815" s="77">
        <f>Comp2[[#This Row],[Comparable '#2 Drawdown]]/MAX($B$2:B815)</f>
        <v>-0.3301237964236588</v>
      </c>
      <c r="H815" s="1" t="str">
        <f>IF(SUM(COUNTIF(Benchmark1[Benchmark '#1 Dates],Comp2[[#This Row],[Comparable '#2 Dates]]),COUNTIF(Benchmark2[Benchmark '#2 Dates],Comp2[[#This Row],[Comparable '#2 Dates]]))=2,"Pass","Fail")</f>
        <v>Pass</v>
      </c>
      <c r="I815" s="1">
        <f>IFERROR(Comp2[[#This Row],[Comparable '#2 Return]]-INDEX(Benchmark1[Benchmark '#1 Return],MATCH(Comp2[[#This Row],[Comparable '#2 Dates]],Benchmark1[Benchmark '#1 Dates],0)),"-")</f>
        <v>9.9924678019176691E-3</v>
      </c>
      <c r="L815" s="72">
        <f>Comp2[[#This Row],[Comparable '#2 Price]]/$B$2*100</f>
        <v>78.390342052313883</v>
      </c>
    </row>
    <row r="816" spans="1:12">
      <c r="A816" s="96">
        <v>44467</v>
      </c>
      <c r="B816" s="101">
        <v>39.04</v>
      </c>
      <c r="C816" s="4">
        <f t="shared" si="24"/>
        <v>2.0512827705573612E-3</v>
      </c>
      <c r="D816" s="1">
        <f>IFERROR(Comp2[[#This Row],[Comparable '#2 Return]]+1,"-")</f>
        <v>1.0020512827705574</v>
      </c>
      <c r="E816" s="6">
        <f>B816-MAX($B$2:B816)</f>
        <v>-19.119999999999997</v>
      </c>
      <c r="F816" s="80">
        <f t="shared" si="25"/>
        <v>723</v>
      </c>
      <c r="G816" s="77">
        <f>Comp2[[#This Row],[Comparable '#2 Drawdown]]/MAX($B$2:B816)</f>
        <v>-0.32874828060522693</v>
      </c>
      <c r="H816" s="1" t="str">
        <f>IF(SUM(COUNTIF(Benchmark1[Benchmark '#1 Dates],Comp2[[#This Row],[Comparable '#2 Dates]]),COUNTIF(Benchmark2[Benchmark '#2 Dates],Comp2[[#This Row],[Comparable '#2 Dates]]))=2,"Pass","Fail")</f>
        <v>Pass</v>
      </c>
      <c r="I816" s="1">
        <f>IFERROR(Comp2[[#This Row],[Comparable '#2 Return]]-INDEX(Benchmark1[Benchmark '#1 Return],MATCH(Comp2[[#This Row],[Comparable '#2 Dates]],Benchmark1[Benchmark '#1 Dates],0)),"-")</f>
        <v>2.2624695890672179E-2</v>
      </c>
      <c r="L816" s="72">
        <f>Comp2[[#This Row],[Comparable '#2 Price]]/$B$2*100</f>
        <v>78.551307847082484</v>
      </c>
    </row>
    <row r="817" spans="1:12">
      <c r="A817" s="96">
        <v>44468</v>
      </c>
      <c r="B817" s="101">
        <v>38.31</v>
      </c>
      <c r="C817" s="4">
        <f t="shared" si="24"/>
        <v>-1.8875802832334084E-2</v>
      </c>
      <c r="D817" s="1">
        <f>IFERROR(Comp2[[#This Row],[Comparable '#2 Return]]+1,"-")</f>
        <v>0.98112419716766597</v>
      </c>
      <c r="E817" s="6">
        <f>B817-MAX($B$2:B817)</f>
        <v>-19.849999999999994</v>
      </c>
      <c r="F817" s="80">
        <f t="shared" si="25"/>
        <v>724</v>
      </c>
      <c r="G817" s="77">
        <f>Comp2[[#This Row],[Comparable '#2 Drawdown]]/MAX($B$2:B817)</f>
        <v>-0.34129986244841809</v>
      </c>
      <c r="H817" s="1" t="str">
        <f>IF(SUM(COUNTIF(Benchmark1[Benchmark '#1 Dates],Comp2[[#This Row],[Comparable '#2 Dates]]),COUNTIF(Benchmark2[Benchmark '#2 Dates],Comp2[[#This Row],[Comparable '#2 Dates]]))=2,"Pass","Fail")</f>
        <v>Pass</v>
      </c>
      <c r="I817" s="1">
        <f>IFERROR(Comp2[[#This Row],[Comparable '#2 Return]]-INDEX(Benchmark1[Benchmark '#1 Return],MATCH(Comp2[[#This Row],[Comparable '#2 Dates]],Benchmark1[Benchmark '#1 Dates],0)),"-")</f>
        <v>-2.0442983163938541E-2</v>
      </c>
      <c r="L817" s="72">
        <f>Comp2[[#This Row],[Comparable '#2 Price]]/$B$2*100</f>
        <v>77.08249496981891</v>
      </c>
    </row>
    <row r="818" spans="1:12">
      <c r="A818" s="96">
        <v>44469</v>
      </c>
      <c r="B818" s="101">
        <v>37.81</v>
      </c>
      <c r="C818" s="4">
        <f t="shared" si="24"/>
        <v>-1.3137340809716154E-2</v>
      </c>
      <c r="D818" s="1">
        <f>IFERROR(Comp2[[#This Row],[Comparable '#2 Return]]+1,"-")</f>
        <v>0.98686265919028382</v>
      </c>
      <c r="E818" s="6">
        <f>B818-MAX($B$2:B818)</f>
        <v>-20.349999999999994</v>
      </c>
      <c r="F818" s="80">
        <f t="shared" si="25"/>
        <v>725</v>
      </c>
      <c r="G818" s="77">
        <f>Comp2[[#This Row],[Comparable '#2 Drawdown]]/MAX($B$2:B818)</f>
        <v>-0.34989683631361751</v>
      </c>
      <c r="H818" s="1" t="str">
        <f>IF(SUM(COUNTIF(Benchmark1[Benchmark '#1 Dates],Comp2[[#This Row],[Comparable '#2 Dates]]),COUNTIF(Benchmark2[Benchmark '#2 Dates],Comp2[[#This Row],[Comparable '#2 Dates]]))=2,"Pass","Fail")</f>
        <v>Pass</v>
      </c>
      <c r="I818" s="1">
        <f>IFERROR(Comp2[[#This Row],[Comparable '#2 Return]]-INDEX(Benchmark1[Benchmark '#1 Return],MATCH(Comp2[[#This Row],[Comparable '#2 Dates]],Benchmark1[Benchmark '#1 Dates],0)),"-")</f>
        <v>-1.1555872494087814E-3</v>
      </c>
      <c r="L818" s="72">
        <f>Comp2[[#This Row],[Comparable '#2 Price]]/$B$2*100</f>
        <v>76.07645875251508</v>
      </c>
    </row>
    <row r="819" spans="1:12">
      <c r="A819" s="96">
        <v>44470</v>
      </c>
      <c r="B819" s="101">
        <v>37.54</v>
      </c>
      <c r="C819" s="4">
        <f t="shared" si="24"/>
        <v>-7.1665867444787876E-3</v>
      </c>
      <c r="D819" s="1">
        <f>IFERROR(Comp2[[#This Row],[Comparable '#2 Return]]+1,"-")</f>
        <v>0.99283341325552121</v>
      </c>
      <c r="E819" s="6">
        <f>B819-MAX($B$2:B819)</f>
        <v>-20.619999999999997</v>
      </c>
      <c r="F819" s="80">
        <f t="shared" si="25"/>
        <v>726</v>
      </c>
      <c r="G819" s="77">
        <f>Comp2[[#This Row],[Comparable '#2 Drawdown]]/MAX($B$2:B819)</f>
        <v>-0.3545392022008253</v>
      </c>
      <c r="H819" s="1" t="str">
        <f>IF(SUM(COUNTIF(Benchmark1[Benchmark '#1 Dates],Comp2[[#This Row],[Comparable '#2 Dates]]),COUNTIF(Benchmark2[Benchmark '#2 Dates],Comp2[[#This Row],[Comparable '#2 Dates]]))=2,"Pass","Fail")</f>
        <v>Pass</v>
      </c>
      <c r="I819" s="1">
        <f>IFERROR(Comp2[[#This Row],[Comparable '#2 Return]]-INDEX(Benchmark1[Benchmark '#1 Return],MATCH(Comp2[[#This Row],[Comparable '#2 Dates]],Benchmark1[Benchmark '#1 Dates],0)),"-")</f>
        <v>-1.8592570841183091E-2</v>
      </c>
      <c r="L819" s="72">
        <f>Comp2[[#This Row],[Comparable '#2 Price]]/$B$2*100</f>
        <v>75.533199195171022</v>
      </c>
    </row>
    <row r="820" spans="1:12">
      <c r="A820" s="96">
        <v>44473</v>
      </c>
      <c r="B820" s="101">
        <v>38.25</v>
      </c>
      <c r="C820" s="4">
        <f t="shared" si="24"/>
        <v>1.8736529114182141E-2</v>
      </c>
      <c r="D820" s="1">
        <f>IFERROR(Comp2[[#This Row],[Comparable '#2 Return]]+1,"-")</f>
        <v>1.0187365291141821</v>
      </c>
      <c r="E820" s="6">
        <f>B820-MAX($B$2:B820)</f>
        <v>-19.909999999999997</v>
      </c>
      <c r="F820" s="80">
        <f t="shared" si="25"/>
        <v>727</v>
      </c>
      <c r="G820" s="77">
        <f>Comp2[[#This Row],[Comparable '#2 Drawdown]]/MAX($B$2:B820)</f>
        <v>-0.34233149931224205</v>
      </c>
      <c r="H820" s="1" t="str">
        <f>IF(SUM(COUNTIF(Benchmark1[Benchmark '#1 Dates],Comp2[[#This Row],[Comparable '#2 Dates]]),COUNTIF(Benchmark2[Benchmark '#2 Dates],Comp2[[#This Row],[Comparable '#2 Dates]]))=2,"Pass","Fail")</f>
        <v>Pass</v>
      </c>
      <c r="I820" s="1">
        <f>IFERROR(Comp2[[#This Row],[Comparable '#2 Return]]-INDEX(Benchmark1[Benchmark '#1 Return],MATCH(Comp2[[#This Row],[Comparable '#2 Dates]],Benchmark1[Benchmark '#1 Dates],0)),"-")</f>
        <v>3.1807434727793023E-2</v>
      </c>
      <c r="L820" s="72">
        <f>Comp2[[#This Row],[Comparable '#2 Price]]/$B$2*100</f>
        <v>76.961770623742453</v>
      </c>
    </row>
    <row r="821" spans="1:12">
      <c r="A821" s="96">
        <v>44474</v>
      </c>
      <c r="B821" s="101">
        <v>39.07</v>
      </c>
      <c r="C821" s="4">
        <f t="shared" si="24"/>
        <v>2.1211348794434343E-2</v>
      </c>
      <c r="D821" s="1">
        <f>IFERROR(Comp2[[#This Row],[Comparable '#2 Return]]+1,"-")</f>
        <v>1.0212113487944343</v>
      </c>
      <c r="E821" s="6">
        <f>B821-MAX($B$2:B821)</f>
        <v>-19.089999999999996</v>
      </c>
      <c r="F821" s="80">
        <f t="shared" si="25"/>
        <v>728</v>
      </c>
      <c r="G821" s="77">
        <f>Comp2[[#This Row],[Comparable '#2 Drawdown]]/MAX($B$2:B821)</f>
        <v>-0.32823246217331498</v>
      </c>
      <c r="H821" s="1" t="str">
        <f>IF(SUM(COUNTIF(Benchmark1[Benchmark '#1 Dates],Comp2[[#This Row],[Comparable '#2 Dates]]),COUNTIF(Benchmark2[Benchmark '#2 Dates],Comp2[[#This Row],[Comparable '#2 Dates]]))=2,"Pass","Fail")</f>
        <v>Pass</v>
      </c>
      <c r="I821" s="1">
        <f>IFERROR(Comp2[[#This Row],[Comparable '#2 Return]]-INDEX(Benchmark1[Benchmark '#1 Return],MATCH(Comp2[[#This Row],[Comparable '#2 Dates]],Benchmark1[Benchmark '#1 Dates],0)),"-")</f>
        <v>1.0742529890532026E-2</v>
      </c>
      <c r="L821" s="72">
        <f>Comp2[[#This Row],[Comparable '#2 Price]]/$B$2*100</f>
        <v>78.611670020120712</v>
      </c>
    </row>
    <row r="822" spans="1:12">
      <c r="A822" s="96">
        <v>44475</v>
      </c>
      <c r="B822" s="101">
        <v>38.700000000000003</v>
      </c>
      <c r="C822" s="4">
        <f t="shared" si="24"/>
        <v>-9.515309031243032E-3</v>
      </c>
      <c r="D822" s="1">
        <f>IFERROR(Comp2[[#This Row],[Comparable '#2 Return]]+1,"-")</f>
        <v>0.99048469096875702</v>
      </c>
      <c r="E822" s="6">
        <f>B822-MAX($B$2:B822)</f>
        <v>-19.459999999999994</v>
      </c>
      <c r="F822" s="80">
        <f t="shared" si="25"/>
        <v>729</v>
      </c>
      <c r="G822" s="77">
        <f>Comp2[[#This Row],[Comparable '#2 Drawdown]]/MAX($B$2:B822)</f>
        <v>-0.33459422283356249</v>
      </c>
      <c r="H822" s="1" t="str">
        <f>IF(SUM(COUNTIF(Benchmark1[Benchmark '#1 Dates],Comp2[[#This Row],[Comparable '#2 Dates]]),COUNTIF(Benchmark2[Benchmark '#2 Dates],Comp2[[#This Row],[Comparable '#2 Dates]]))=2,"Pass","Fail")</f>
        <v>Pass</v>
      </c>
      <c r="I822" s="1">
        <f>IFERROR(Comp2[[#This Row],[Comparable '#2 Return]]-INDEX(Benchmark1[Benchmark '#1 Return],MATCH(Comp2[[#This Row],[Comparable '#2 Dates]],Benchmark1[Benchmark '#1 Dates],0)),"-")</f>
        <v>-1.3609563676477022E-2</v>
      </c>
      <c r="L822" s="72">
        <f>Comp2[[#This Row],[Comparable '#2 Price]]/$B$2*100</f>
        <v>77.867203219315897</v>
      </c>
    </row>
    <row r="823" spans="1:12">
      <c r="A823" s="96">
        <v>44476</v>
      </c>
      <c r="B823" s="101">
        <v>38.18</v>
      </c>
      <c r="C823" s="4">
        <f t="shared" si="24"/>
        <v>-1.3527781738134688E-2</v>
      </c>
      <c r="D823" s="1">
        <f>IFERROR(Comp2[[#This Row],[Comparable '#2 Return]]+1,"-")</f>
        <v>0.98647221826186526</v>
      </c>
      <c r="E823" s="6">
        <f>B823-MAX($B$2:B823)</f>
        <v>-19.979999999999997</v>
      </c>
      <c r="F823" s="80">
        <f t="shared" si="25"/>
        <v>730</v>
      </c>
      <c r="G823" s="77">
        <f>Comp2[[#This Row],[Comparable '#2 Drawdown]]/MAX($B$2:B823)</f>
        <v>-0.34353507565336999</v>
      </c>
      <c r="H823" s="1" t="str">
        <f>IF(SUM(COUNTIF(Benchmark1[Benchmark '#1 Dates],Comp2[[#This Row],[Comparable '#2 Dates]]),COUNTIF(Benchmark2[Benchmark '#2 Dates],Comp2[[#This Row],[Comparable '#2 Dates]]))=2,"Pass","Fail")</f>
        <v>Pass</v>
      </c>
      <c r="I823" s="1">
        <f>IFERROR(Comp2[[#This Row],[Comparable '#2 Return]]-INDEX(Benchmark1[Benchmark '#1 Return],MATCH(Comp2[[#This Row],[Comparable '#2 Dates]],Benchmark1[Benchmark '#1 Dates],0)),"-")</f>
        <v>-2.1793690027587388E-2</v>
      </c>
      <c r="L823" s="72">
        <f>Comp2[[#This Row],[Comparable '#2 Price]]/$B$2*100</f>
        <v>76.820925553319924</v>
      </c>
    </row>
    <row r="824" spans="1:12">
      <c r="A824" s="96">
        <v>44477</v>
      </c>
      <c r="B824" s="101">
        <v>37.76</v>
      </c>
      <c r="C824" s="4">
        <f t="shared" si="24"/>
        <v>-1.1061477020301677E-2</v>
      </c>
      <c r="D824" s="1">
        <f>IFERROR(Comp2[[#This Row],[Comparable '#2 Return]]+1,"-")</f>
        <v>0.98893852297969831</v>
      </c>
      <c r="E824" s="6">
        <f>B824-MAX($B$2:B824)</f>
        <v>-20.399999999999999</v>
      </c>
      <c r="F824" s="80">
        <f t="shared" si="25"/>
        <v>731</v>
      </c>
      <c r="G824" s="77">
        <f>Comp2[[#This Row],[Comparable '#2 Drawdown]]/MAX($B$2:B824)</f>
        <v>-0.35075653370013754</v>
      </c>
      <c r="H824" s="1" t="str">
        <f>IF(SUM(COUNTIF(Benchmark1[Benchmark '#1 Dates],Comp2[[#This Row],[Comparable '#2 Dates]]),COUNTIF(Benchmark2[Benchmark '#2 Dates],Comp2[[#This Row],[Comparable '#2 Dates]]))=2,"Pass","Fail")</f>
        <v>Pass</v>
      </c>
      <c r="I824" s="1">
        <f>IFERROR(Comp2[[#This Row],[Comparable '#2 Return]]-INDEX(Benchmark1[Benchmark '#1 Return],MATCH(Comp2[[#This Row],[Comparable '#2 Dates]],Benchmark1[Benchmark '#1 Dates],0)),"-")</f>
        <v>-9.1447073269714137E-3</v>
      </c>
      <c r="L824" s="72">
        <f>Comp2[[#This Row],[Comparable '#2 Price]]/$B$2*100</f>
        <v>75.975855130784694</v>
      </c>
    </row>
    <row r="825" spans="1:12">
      <c r="A825" s="96">
        <v>44480</v>
      </c>
      <c r="B825" s="101">
        <v>37.49</v>
      </c>
      <c r="C825" s="4">
        <f t="shared" si="24"/>
        <v>-7.1761105294791934E-3</v>
      </c>
      <c r="D825" s="1">
        <f>IFERROR(Comp2[[#This Row],[Comparable '#2 Return]]+1,"-")</f>
        <v>0.9928238894705208</v>
      </c>
      <c r="E825" s="6">
        <f>B825-MAX($B$2:B825)</f>
        <v>-20.669999999999995</v>
      </c>
      <c r="F825" s="80">
        <f t="shared" si="25"/>
        <v>732</v>
      </c>
      <c r="G825" s="77">
        <f>Comp2[[#This Row],[Comparable '#2 Drawdown]]/MAX($B$2:B825)</f>
        <v>-0.35539889958734516</v>
      </c>
      <c r="H825" s="1" t="str">
        <f>IF(SUM(COUNTIF(Benchmark1[Benchmark '#1 Dates],Comp2[[#This Row],[Comparable '#2 Dates]]),COUNTIF(Benchmark2[Benchmark '#2 Dates],Comp2[[#This Row],[Comparable '#2 Dates]]))=2,"Pass","Fail")</f>
        <v>Pass</v>
      </c>
      <c r="I825" s="1">
        <f>IFERROR(Comp2[[#This Row],[Comparable '#2 Return]]-INDEX(Benchmark1[Benchmark '#1 Return],MATCH(Comp2[[#This Row],[Comparable '#2 Dates]],Benchmark1[Benchmark '#1 Dates],0)),"-")</f>
        <v>-2.8720178893097519E-4</v>
      </c>
      <c r="L825" s="72">
        <f>Comp2[[#This Row],[Comparable '#2 Price]]/$B$2*100</f>
        <v>75.432595573440636</v>
      </c>
    </row>
    <row r="826" spans="1:12">
      <c r="A826" s="96">
        <v>44481</v>
      </c>
      <c r="B826" s="101">
        <v>35.11</v>
      </c>
      <c r="C826" s="4">
        <f t="shared" si="24"/>
        <v>-6.5588240567479861E-2</v>
      </c>
      <c r="D826" s="1">
        <f>IFERROR(Comp2[[#This Row],[Comparable '#2 Return]]+1,"-")</f>
        <v>0.93441175943252008</v>
      </c>
      <c r="E826" s="6">
        <f>B826-MAX($B$2:B826)</f>
        <v>-23.049999999999997</v>
      </c>
      <c r="F826" s="80">
        <f t="shared" si="25"/>
        <v>733</v>
      </c>
      <c r="G826" s="77">
        <f>Comp2[[#This Row],[Comparable '#2 Drawdown]]/MAX($B$2:B826)</f>
        <v>-0.39632049518569462</v>
      </c>
      <c r="H826" s="1" t="str">
        <f>IF(SUM(COUNTIF(Benchmark1[Benchmark '#1 Dates],Comp2[[#This Row],[Comparable '#2 Dates]]),COUNTIF(Benchmark2[Benchmark '#2 Dates],Comp2[[#This Row],[Comparable '#2 Dates]]))=2,"Pass","Fail")</f>
        <v>Pass</v>
      </c>
      <c r="I826" s="1">
        <f>IFERROR(Comp2[[#This Row],[Comparable '#2 Return]]-INDEX(Benchmark1[Benchmark '#1 Return],MATCH(Comp2[[#This Row],[Comparable '#2 Dates]],Benchmark1[Benchmark '#1 Dates],0)),"-")</f>
        <v>-6.3167505616773242E-2</v>
      </c>
      <c r="L826" s="72">
        <f>Comp2[[#This Row],[Comparable '#2 Price]]/$B$2*100</f>
        <v>70.643863179074444</v>
      </c>
    </row>
    <row r="827" spans="1:12">
      <c r="A827" s="96">
        <v>44482</v>
      </c>
      <c r="B827" s="101">
        <v>35.61</v>
      </c>
      <c r="C827" s="4">
        <f t="shared" si="24"/>
        <v>1.4140507109345475E-2</v>
      </c>
      <c r="D827" s="1">
        <f>IFERROR(Comp2[[#This Row],[Comparable '#2 Return]]+1,"-")</f>
        <v>1.0141405071093454</v>
      </c>
      <c r="E827" s="6">
        <f>B827-MAX($B$2:B827)</f>
        <v>-22.549999999999997</v>
      </c>
      <c r="F827" s="80">
        <f t="shared" si="25"/>
        <v>734</v>
      </c>
      <c r="G827" s="77">
        <f>Comp2[[#This Row],[Comparable '#2 Drawdown]]/MAX($B$2:B827)</f>
        <v>-0.38772352132049515</v>
      </c>
      <c r="H827" s="1" t="str">
        <f>IF(SUM(COUNTIF(Benchmark1[Benchmark '#1 Dates],Comp2[[#This Row],[Comparable '#2 Dates]]),COUNTIF(Benchmark2[Benchmark '#2 Dates],Comp2[[#This Row],[Comparable '#2 Dates]]))=2,"Pass","Fail")</f>
        <v>Pass</v>
      </c>
      <c r="I827" s="1">
        <f>IFERROR(Comp2[[#This Row],[Comparable '#2 Return]]-INDEX(Benchmark1[Benchmark '#1 Return],MATCH(Comp2[[#This Row],[Comparable '#2 Dates]],Benchmark1[Benchmark '#1 Dates],0)),"-")</f>
        <v>1.112056917346228E-2</v>
      </c>
      <c r="L827" s="72">
        <f>Comp2[[#This Row],[Comparable '#2 Price]]/$B$2*100</f>
        <v>71.649899396378274</v>
      </c>
    </row>
    <row r="828" spans="1:12">
      <c r="A828" s="96">
        <v>44483</v>
      </c>
      <c r="B828" s="101">
        <v>36.51</v>
      </c>
      <c r="C828" s="4">
        <f t="shared" si="24"/>
        <v>2.4959698377859142E-2</v>
      </c>
      <c r="D828" s="1">
        <f>IFERROR(Comp2[[#This Row],[Comparable '#2 Return]]+1,"-")</f>
        <v>1.0249596983778591</v>
      </c>
      <c r="E828" s="6">
        <f>B828-MAX($B$2:B828)</f>
        <v>-21.65</v>
      </c>
      <c r="F828" s="80">
        <f t="shared" si="25"/>
        <v>735</v>
      </c>
      <c r="G828" s="77">
        <f>Comp2[[#This Row],[Comparable '#2 Drawdown]]/MAX($B$2:B828)</f>
        <v>-0.3722489683631362</v>
      </c>
      <c r="H828" s="1" t="str">
        <f>IF(SUM(COUNTIF(Benchmark1[Benchmark '#1 Dates],Comp2[[#This Row],[Comparable '#2 Dates]]),COUNTIF(Benchmark2[Benchmark '#2 Dates],Comp2[[#This Row],[Comparable '#2 Dates]]))=2,"Pass","Fail")</f>
        <v>Pass</v>
      </c>
      <c r="I828" s="1">
        <f>IFERROR(Comp2[[#This Row],[Comparable '#2 Return]]-INDEX(Benchmark1[Benchmark '#1 Return],MATCH(Comp2[[#This Row],[Comparable '#2 Dates]],Benchmark1[Benchmark '#1 Dates],0)),"-")</f>
        <v>8.0405741126080427E-3</v>
      </c>
      <c r="L828" s="72">
        <f>Comp2[[#This Row],[Comparable '#2 Price]]/$B$2*100</f>
        <v>73.460764587525134</v>
      </c>
    </row>
    <row r="829" spans="1:12">
      <c r="A829" s="96">
        <v>44484</v>
      </c>
      <c r="B829" s="101">
        <v>36.409999999999997</v>
      </c>
      <c r="C829" s="4">
        <f t="shared" si="24"/>
        <v>-2.7427334802034445E-3</v>
      </c>
      <c r="D829" s="1">
        <f>IFERROR(Comp2[[#This Row],[Comparable '#2 Return]]+1,"-")</f>
        <v>0.99725726651979651</v>
      </c>
      <c r="E829" s="6">
        <f>B829-MAX($B$2:B829)</f>
        <v>-21.75</v>
      </c>
      <c r="F829" s="80">
        <f t="shared" si="25"/>
        <v>736</v>
      </c>
      <c r="G829" s="77">
        <f>Comp2[[#This Row],[Comparable '#2 Drawdown]]/MAX($B$2:B829)</f>
        <v>-0.3739683631361761</v>
      </c>
      <c r="H829" s="1" t="str">
        <f>IF(SUM(COUNTIF(Benchmark1[Benchmark '#1 Dates],Comp2[[#This Row],[Comparable '#2 Dates]]),COUNTIF(Benchmark2[Benchmark '#2 Dates],Comp2[[#This Row],[Comparable '#2 Dates]]))=2,"Pass","Fail")</f>
        <v>Pass</v>
      </c>
      <c r="I829" s="1">
        <f>IFERROR(Comp2[[#This Row],[Comparable '#2 Return]]-INDEX(Benchmark1[Benchmark '#1 Return],MATCH(Comp2[[#This Row],[Comparable '#2 Dates]],Benchmark1[Benchmark '#1 Dates],0)),"-")</f>
        <v>-1.0173842498620234E-2</v>
      </c>
      <c r="L829" s="72">
        <f>Comp2[[#This Row],[Comparable '#2 Price]]/$B$2*100</f>
        <v>73.259557344064376</v>
      </c>
    </row>
    <row r="830" spans="1:12">
      <c r="A830" s="96">
        <v>44487</v>
      </c>
      <c r="B830" s="101">
        <v>36.549999999999997</v>
      </c>
      <c r="C830" s="4">
        <f t="shared" si="24"/>
        <v>3.8377240084455423E-3</v>
      </c>
      <c r="D830" s="1">
        <f>IFERROR(Comp2[[#This Row],[Comparable '#2 Return]]+1,"-")</f>
        <v>1.0038377240084455</v>
      </c>
      <c r="E830" s="6">
        <f>B830-MAX($B$2:B830)</f>
        <v>-21.61</v>
      </c>
      <c r="F830" s="80">
        <f t="shared" si="25"/>
        <v>737</v>
      </c>
      <c r="G830" s="77">
        <f>Comp2[[#This Row],[Comparable '#2 Drawdown]]/MAX($B$2:B830)</f>
        <v>-0.37156121045392021</v>
      </c>
      <c r="H830" s="1" t="str">
        <f>IF(SUM(COUNTIF(Benchmark1[Benchmark '#1 Dates],Comp2[[#This Row],[Comparable '#2 Dates]]),COUNTIF(Benchmark2[Benchmark '#2 Dates],Comp2[[#This Row],[Comparable '#2 Dates]]))=2,"Pass","Fail")</f>
        <v>Pass</v>
      </c>
      <c r="I830" s="1">
        <f>IFERROR(Comp2[[#This Row],[Comparable '#2 Return]]-INDEX(Benchmark1[Benchmark '#1 Return],MATCH(Comp2[[#This Row],[Comparable '#2 Dates]],Benchmark1[Benchmark '#1 Dates],0)),"-")</f>
        <v>4.681458460830297E-4</v>
      </c>
      <c r="L830" s="72">
        <f>Comp2[[#This Row],[Comparable '#2 Price]]/$B$2*100</f>
        <v>73.541247484909448</v>
      </c>
    </row>
    <row r="831" spans="1:12">
      <c r="A831" s="96">
        <v>44488</v>
      </c>
      <c r="B831" s="101">
        <v>36.32</v>
      </c>
      <c r="C831" s="4">
        <f t="shared" si="24"/>
        <v>-6.312632462694868E-3</v>
      </c>
      <c r="D831" s="1">
        <f>IFERROR(Comp2[[#This Row],[Comparable '#2 Return]]+1,"-")</f>
        <v>0.99368736753730513</v>
      </c>
      <c r="E831" s="6">
        <f>B831-MAX($B$2:B831)</f>
        <v>-21.839999999999996</v>
      </c>
      <c r="F831" s="80">
        <f t="shared" si="25"/>
        <v>738</v>
      </c>
      <c r="G831" s="77">
        <f>Comp2[[#This Row],[Comparable '#2 Drawdown]]/MAX($B$2:B831)</f>
        <v>-0.37551581843191195</v>
      </c>
      <c r="H831" s="1" t="str">
        <f>IF(SUM(COUNTIF(Benchmark1[Benchmark '#1 Dates],Comp2[[#This Row],[Comparable '#2 Dates]]),COUNTIF(Benchmark2[Benchmark '#2 Dates],Comp2[[#This Row],[Comparable '#2 Dates]]))=2,"Pass","Fail")</f>
        <v>Pass</v>
      </c>
      <c r="I831" s="1">
        <f>IFERROR(Comp2[[#This Row],[Comparable '#2 Return]]-INDEX(Benchmark1[Benchmark '#1 Return],MATCH(Comp2[[#This Row],[Comparable '#2 Dates]],Benchmark1[Benchmark '#1 Dates],0)),"-")</f>
        <v>-1.3678818126543313E-2</v>
      </c>
      <c r="L831" s="72">
        <f>Comp2[[#This Row],[Comparable '#2 Price]]/$B$2*100</f>
        <v>73.07847082494969</v>
      </c>
    </row>
    <row r="832" spans="1:12">
      <c r="A832" s="96">
        <v>44489</v>
      </c>
      <c r="B832" s="101">
        <v>35.799999999999997</v>
      </c>
      <c r="C832" s="4">
        <f t="shared" si="24"/>
        <v>-1.4420660326437979E-2</v>
      </c>
      <c r="D832" s="1">
        <f>IFERROR(Comp2[[#This Row],[Comparable '#2 Return]]+1,"-")</f>
        <v>0.98557933967356204</v>
      </c>
      <c r="E832" s="6">
        <f>B832-MAX($B$2:B832)</f>
        <v>-22.36</v>
      </c>
      <c r="F832" s="80">
        <f t="shared" si="25"/>
        <v>739</v>
      </c>
      <c r="G832" s="77">
        <f>Comp2[[#This Row],[Comparable '#2 Drawdown]]/MAX($B$2:B832)</f>
        <v>-0.3844566712517194</v>
      </c>
      <c r="H832" s="1" t="str">
        <f>IF(SUM(COUNTIF(Benchmark1[Benchmark '#1 Dates],Comp2[[#This Row],[Comparable '#2 Dates]]),COUNTIF(Benchmark2[Benchmark '#2 Dates],Comp2[[#This Row],[Comparable '#2 Dates]]))=2,"Pass","Fail")</f>
        <v>Pass</v>
      </c>
      <c r="I832" s="1">
        <f>IFERROR(Comp2[[#This Row],[Comparable '#2 Return]]-INDEX(Benchmark1[Benchmark '#1 Return],MATCH(Comp2[[#This Row],[Comparable '#2 Dates]],Benchmark1[Benchmark '#1 Dates],0)),"-")</f>
        <v>-1.8078317218266172E-2</v>
      </c>
      <c r="L832" s="72">
        <f>Comp2[[#This Row],[Comparable '#2 Price]]/$B$2*100</f>
        <v>72.032193158953717</v>
      </c>
    </row>
    <row r="833" spans="1:12">
      <c r="A833" s="96">
        <v>44490</v>
      </c>
      <c r="B833" s="101">
        <v>36.729999999999997</v>
      </c>
      <c r="C833" s="4">
        <f t="shared" si="24"/>
        <v>2.5645966424921417E-2</v>
      </c>
      <c r="D833" s="1">
        <f>IFERROR(Comp2[[#This Row],[Comparable '#2 Return]]+1,"-")</f>
        <v>1.0256459664249213</v>
      </c>
      <c r="E833" s="6">
        <f>B833-MAX($B$2:B833)</f>
        <v>-21.43</v>
      </c>
      <c r="F833" s="80">
        <f t="shared" si="25"/>
        <v>740</v>
      </c>
      <c r="G833" s="77">
        <f>Comp2[[#This Row],[Comparable '#2 Drawdown]]/MAX($B$2:B833)</f>
        <v>-0.36846629986244844</v>
      </c>
      <c r="H833" s="1" t="str">
        <f>IF(SUM(COUNTIF(Benchmark1[Benchmark '#1 Dates],Comp2[[#This Row],[Comparable '#2 Dates]]),COUNTIF(Benchmark2[Benchmark '#2 Dates],Comp2[[#This Row],[Comparable '#2 Dates]]))=2,"Pass","Fail")</f>
        <v>Pass</v>
      </c>
      <c r="I833" s="1">
        <f>IFERROR(Comp2[[#This Row],[Comparable '#2 Return]]-INDEX(Benchmark1[Benchmark '#1 Return],MATCH(Comp2[[#This Row],[Comparable '#2 Dates]],Benchmark1[Benchmark '#1 Dates],0)),"-")</f>
        <v>2.2654714618358211E-2</v>
      </c>
      <c r="L833" s="72">
        <f>Comp2[[#This Row],[Comparable '#2 Price]]/$B$2*100</f>
        <v>73.90342052313882</v>
      </c>
    </row>
    <row r="834" spans="1:12">
      <c r="A834" s="96">
        <v>44491</v>
      </c>
      <c r="B834" s="101">
        <v>36.799999999999997</v>
      </c>
      <c r="C834" s="4">
        <f t="shared" ref="C834:C897" si="26">IFERROR(IF(B834="","-",LN(B834/B833)),"-")</f>
        <v>1.9039853433092248E-3</v>
      </c>
      <c r="D834" s="1">
        <f>IFERROR(Comp2[[#This Row],[Comparable '#2 Return]]+1,"-")</f>
        <v>1.0019039853433092</v>
      </c>
      <c r="E834" s="6">
        <f>B834-MAX($B$2:B834)</f>
        <v>-21.36</v>
      </c>
      <c r="F834" s="80">
        <f t="shared" ref="F834:F897" si="27">IF(E834=0,0,F833+1)</f>
        <v>741</v>
      </c>
      <c r="G834" s="77">
        <f>Comp2[[#This Row],[Comparable '#2 Drawdown]]/MAX($B$2:B834)</f>
        <v>-0.3672627235213205</v>
      </c>
      <c r="H834" s="1" t="str">
        <f>IF(SUM(COUNTIF(Benchmark1[Benchmark '#1 Dates],Comp2[[#This Row],[Comparable '#2 Dates]]),COUNTIF(Benchmark2[Benchmark '#2 Dates],Comp2[[#This Row],[Comparable '#2 Dates]]))=2,"Pass","Fail")</f>
        <v>Pass</v>
      </c>
      <c r="I834" s="1">
        <f>IFERROR(Comp2[[#This Row],[Comparable '#2 Return]]-INDEX(Benchmark1[Benchmark '#1 Return],MATCH(Comp2[[#This Row],[Comparable '#2 Dates]],Benchmark1[Benchmark '#1 Dates],0)),"-")</f>
        <v>2.9778207945257784E-3</v>
      </c>
      <c r="L834" s="72">
        <f>Comp2[[#This Row],[Comparable '#2 Price]]/$B$2*100</f>
        <v>74.044265593561349</v>
      </c>
    </row>
    <row r="835" spans="1:12">
      <c r="A835" s="96">
        <v>44494</v>
      </c>
      <c r="B835" s="101">
        <v>37.53</v>
      </c>
      <c r="C835" s="4">
        <f t="shared" si="26"/>
        <v>1.9642767972044419E-2</v>
      </c>
      <c r="D835" s="1">
        <f>IFERROR(Comp2[[#This Row],[Comparable '#2 Return]]+1,"-")</f>
        <v>1.0196427679720443</v>
      </c>
      <c r="E835" s="6">
        <f>B835-MAX($B$2:B835)</f>
        <v>-20.629999999999995</v>
      </c>
      <c r="F835" s="80">
        <f t="shared" si="27"/>
        <v>742</v>
      </c>
      <c r="G835" s="77">
        <f>Comp2[[#This Row],[Comparable '#2 Drawdown]]/MAX($B$2:B835)</f>
        <v>-0.35471114167812923</v>
      </c>
      <c r="H835" s="1" t="str">
        <f>IF(SUM(COUNTIF(Benchmark1[Benchmark '#1 Dates],Comp2[[#This Row],[Comparable '#2 Dates]]),COUNTIF(Benchmark2[Benchmark '#2 Dates],Comp2[[#This Row],[Comparable '#2 Dates]]))=2,"Pass","Fail")</f>
        <v>Pass</v>
      </c>
      <c r="I835" s="1">
        <f>IFERROR(Comp2[[#This Row],[Comparable '#2 Return]]-INDEX(Benchmark1[Benchmark '#1 Return],MATCH(Comp2[[#This Row],[Comparable '#2 Dates]],Benchmark1[Benchmark '#1 Dates],0)),"-")</f>
        <v>1.4905878805249344E-2</v>
      </c>
      <c r="L835" s="72">
        <f>Comp2[[#This Row],[Comparable '#2 Price]]/$B$2*100</f>
        <v>75.513078470824951</v>
      </c>
    </row>
    <row r="836" spans="1:12">
      <c r="A836" s="96">
        <v>44495</v>
      </c>
      <c r="B836" s="101">
        <v>37.19</v>
      </c>
      <c r="C836" s="4">
        <f t="shared" si="26"/>
        <v>-9.1007052099508681E-3</v>
      </c>
      <c r="D836" s="1">
        <f>IFERROR(Comp2[[#This Row],[Comparable '#2 Return]]+1,"-")</f>
        <v>0.99089929479004912</v>
      </c>
      <c r="E836" s="6">
        <f>B836-MAX($B$2:B836)</f>
        <v>-20.97</v>
      </c>
      <c r="F836" s="80">
        <f t="shared" si="27"/>
        <v>743</v>
      </c>
      <c r="G836" s="77">
        <f>Comp2[[#This Row],[Comparable '#2 Drawdown]]/MAX($B$2:B836)</f>
        <v>-0.3605570839064649</v>
      </c>
      <c r="H836" s="1" t="str">
        <f>IF(SUM(COUNTIF(Benchmark1[Benchmark '#1 Dates],Comp2[[#This Row],[Comparable '#2 Dates]]),COUNTIF(Benchmark2[Benchmark '#2 Dates],Comp2[[#This Row],[Comparable '#2 Dates]]))=2,"Pass","Fail")</f>
        <v>Pass</v>
      </c>
      <c r="I836" s="1">
        <f>IFERROR(Comp2[[#This Row],[Comparable '#2 Return]]-INDEX(Benchmark1[Benchmark '#1 Return],MATCH(Comp2[[#This Row],[Comparable '#2 Dates]],Benchmark1[Benchmark '#1 Dates],0)),"-")</f>
        <v>-1.0919017068786337E-2</v>
      </c>
      <c r="L836" s="72">
        <f>Comp2[[#This Row],[Comparable '#2 Price]]/$B$2*100</f>
        <v>74.82897384305835</v>
      </c>
    </row>
    <row r="837" spans="1:12">
      <c r="A837" s="96">
        <v>44496</v>
      </c>
      <c r="B837" s="101">
        <v>37.31</v>
      </c>
      <c r="C837" s="4">
        <f t="shared" si="26"/>
        <v>3.2214792960878259E-3</v>
      </c>
      <c r="D837" s="1">
        <f>IFERROR(Comp2[[#This Row],[Comparable '#2 Return]]+1,"-")</f>
        <v>1.0032214792960878</v>
      </c>
      <c r="E837" s="6">
        <f>B837-MAX($B$2:B837)</f>
        <v>-20.849999999999994</v>
      </c>
      <c r="F837" s="80">
        <f t="shared" si="27"/>
        <v>744</v>
      </c>
      <c r="G837" s="77">
        <f>Comp2[[#This Row],[Comparable '#2 Drawdown]]/MAX($B$2:B837)</f>
        <v>-0.35849381017881699</v>
      </c>
      <c r="H837" s="1" t="str">
        <f>IF(SUM(COUNTIF(Benchmark1[Benchmark '#1 Dates],Comp2[[#This Row],[Comparable '#2 Dates]]),COUNTIF(Benchmark2[Benchmark '#2 Dates],Comp2[[#This Row],[Comparable '#2 Dates]]))=2,"Pass","Fail")</f>
        <v>Pass</v>
      </c>
      <c r="I837" s="1">
        <f>IFERROR(Comp2[[#This Row],[Comparable '#2 Return]]-INDEX(Benchmark1[Benchmark '#1 Return],MATCH(Comp2[[#This Row],[Comparable '#2 Dates]],Benchmark1[Benchmark '#1 Dates],0)),"-")</f>
        <v>8.2853760331553696E-3</v>
      </c>
      <c r="L837" s="72">
        <f>Comp2[[#This Row],[Comparable '#2 Price]]/$B$2*100</f>
        <v>75.070422535211264</v>
      </c>
    </row>
    <row r="838" spans="1:12">
      <c r="A838" s="96">
        <v>44497</v>
      </c>
      <c r="B838" s="101">
        <v>38.03</v>
      </c>
      <c r="C838" s="4">
        <f t="shared" si="26"/>
        <v>1.9113934707101723E-2</v>
      </c>
      <c r="D838" s="1">
        <f>IFERROR(Comp2[[#This Row],[Comparable '#2 Return]]+1,"-")</f>
        <v>1.0191139347071017</v>
      </c>
      <c r="E838" s="6">
        <f>B838-MAX($B$2:B838)</f>
        <v>-20.129999999999995</v>
      </c>
      <c r="F838" s="80">
        <f t="shared" si="27"/>
        <v>745</v>
      </c>
      <c r="G838" s="77">
        <f>Comp2[[#This Row],[Comparable '#2 Drawdown]]/MAX($B$2:B838)</f>
        <v>-0.34611416781292981</v>
      </c>
      <c r="H838" s="1" t="str">
        <f>IF(SUM(COUNTIF(Benchmark1[Benchmark '#1 Dates],Comp2[[#This Row],[Comparable '#2 Dates]]),COUNTIF(Benchmark2[Benchmark '#2 Dates],Comp2[[#This Row],[Comparable '#2 Dates]]))=2,"Pass","Fail")</f>
        <v>Pass</v>
      </c>
      <c r="I838" s="1">
        <f>IFERROR(Comp2[[#This Row],[Comparable '#2 Return]]-INDEX(Benchmark1[Benchmark '#1 Return],MATCH(Comp2[[#This Row],[Comparable '#2 Dates]],Benchmark1[Benchmark '#1 Dates],0)),"-")</f>
        <v>9.3339106746064288E-3</v>
      </c>
      <c r="L838" s="72">
        <f>Comp2[[#This Row],[Comparable '#2 Price]]/$B$2*100</f>
        <v>76.519114688128781</v>
      </c>
    </row>
    <row r="839" spans="1:12">
      <c r="A839" s="96">
        <v>44498</v>
      </c>
      <c r="B839" s="101">
        <v>36.93</v>
      </c>
      <c r="C839" s="4">
        <f t="shared" si="26"/>
        <v>-2.935109307569652E-2</v>
      </c>
      <c r="D839" s="1">
        <f>IFERROR(Comp2[[#This Row],[Comparable '#2 Return]]+1,"-")</f>
        <v>0.9706489069243035</v>
      </c>
      <c r="E839" s="6">
        <f>B839-MAX($B$2:B839)</f>
        <v>-21.229999999999997</v>
      </c>
      <c r="F839" s="80">
        <f t="shared" si="27"/>
        <v>746</v>
      </c>
      <c r="G839" s="77">
        <f>Comp2[[#This Row],[Comparable '#2 Drawdown]]/MAX($B$2:B839)</f>
        <v>-0.3650275103163686</v>
      </c>
      <c r="H839" s="1" t="str">
        <f>IF(SUM(COUNTIF(Benchmark1[Benchmark '#1 Dates],Comp2[[#This Row],[Comparable '#2 Dates]]),COUNTIF(Benchmark2[Benchmark '#2 Dates],Comp2[[#This Row],[Comparable '#2 Dates]]))=2,"Pass","Fail")</f>
        <v>Pass</v>
      </c>
      <c r="I839" s="1">
        <f>IFERROR(Comp2[[#This Row],[Comparable '#2 Return]]-INDEX(Benchmark1[Benchmark '#1 Return],MATCH(Comp2[[#This Row],[Comparable '#2 Dates]],Benchmark1[Benchmark '#1 Dates],0)),"-")</f>
        <v>-3.129888152222636E-2</v>
      </c>
      <c r="L839" s="72">
        <f>Comp2[[#This Row],[Comparable '#2 Price]]/$B$2*100</f>
        <v>74.305835010060363</v>
      </c>
    </row>
    <row r="840" spans="1:12">
      <c r="A840" s="96">
        <v>44501</v>
      </c>
      <c r="B840" s="101">
        <v>38.869999999999997</v>
      </c>
      <c r="C840" s="4">
        <f t="shared" si="26"/>
        <v>5.1198515999659903E-2</v>
      </c>
      <c r="D840" s="1">
        <f>IFERROR(Comp2[[#This Row],[Comparable '#2 Return]]+1,"-")</f>
        <v>1.05119851599966</v>
      </c>
      <c r="E840" s="6">
        <f>B840-MAX($B$2:B840)</f>
        <v>-19.29</v>
      </c>
      <c r="F840" s="80">
        <f t="shared" si="27"/>
        <v>747</v>
      </c>
      <c r="G840" s="77">
        <f>Comp2[[#This Row],[Comparable '#2 Drawdown]]/MAX($B$2:B840)</f>
        <v>-0.33167125171939477</v>
      </c>
      <c r="H840" s="1" t="str">
        <f>IF(SUM(COUNTIF(Benchmark1[Benchmark '#1 Dates],Comp2[[#This Row],[Comparable '#2 Dates]]),COUNTIF(Benchmark2[Benchmark '#2 Dates],Comp2[[#This Row],[Comparable '#2 Dates]]))=2,"Pass","Fail")</f>
        <v>Pass</v>
      </c>
      <c r="I840" s="1">
        <f>IFERROR(Comp2[[#This Row],[Comparable '#2 Return]]-INDEX(Benchmark1[Benchmark '#1 Return],MATCH(Comp2[[#This Row],[Comparable '#2 Dates]],Benchmark1[Benchmark '#1 Dates],0)),"-")</f>
        <v>4.9398685863158008E-2</v>
      </c>
      <c r="L840" s="72">
        <f>Comp2[[#This Row],[Comparable '#2 Price]]/$B$2*100</f>
        <v>78.209255533199183</v>
      </c>
    </row>
    <row r="841" spans="1:12">
      <c r="A841" s="96">
        <v>44502</v>
      </c>
      <c r="B841" s="101">
        <v>34.909999999999997</v>
      </c>
      <c r="C841" s="4">
        <f t="shared" si="26"/>
        <v>-0.10744942374718711</v>
      </c>
      <c r="D841" s="1">
        <f>IFERROR(Comp2[[#This Row],[Comparable '#2 Return]]+1,"-")</f>
        <v>0.89255057625281287</v>
      </c>
      <c r="E841" s="6">
        <f>B841-MAX($B$2:B841)</f>
        <v>-23.25</v>
      </c>
      <c r="F841" s="80">
        <f t="shared" si="27"/>
        <v>748</v>
      </c>
      <c r="G841" s="77">
        <f>Comp2[[#This Row],[Comparable '#2 Drawdown]]/MAX($B$2:B841)</f>
        <v>-0.39975928473177441</v>
      </c>
      <c r="H841" s="1" t="str">
        <f>IF(SUM(COUNTIF(Benchmark1[Benchmark '#1 Dates],Comp2[[#This Row],[Comparable '#2 Dates]]),COUNTIF(Benchmark2[Benchmark '#2 Dates],Comp2[[#This Row],[Comparable '#2 Dates]]))=2,"Pass","Fail")</f>
        <v>Pass</v>
      </c>
      <c r="I841" s="1">
        <f>IFERROR(Comp2[[#This Row],[Comparable '#2 Return]]-INDEX(Benchmark1[Benchmark '#1 Return],MATCH(Comp2[[#This Row],[Comparable '#2 Dates]],Benchmark1[Benchmark '#1 Dates],0)),"-")</f>
        <v>-0.11112310893737749</v>
      </c>
      <c r="L841" s="72">
        <f>Comp2[[#This Row],[Comparable '#2 Price]]/$B$2*100</f>
        <v>70.241448692152915</v>
      </c>
    </row>
    <row r="842" spans="1:12">
      <c r="A842" s="96">
        <v>44503</v>
      </c>
      <c r="B842" s="101">
        <v>36.24</v>
      </c>
      <c r="C842" s="4">
        <f t="shared" si="26"/>
        <v>3.7390160057834021E-2</v>
      </c>
      <c r="D842" s="1">
        <f>IFERROR(Comp2[[#This Row],[Comparable '#2 Return]]+1,"-")</f>
        <v>1.0373901600578339</v>
      </c>
      <c r="E842" s="6">
        <f>B842-MAX($B$2:B842)</f>
        <v>-21.919999999999995</v>
      </c>
      <c r="F842" s="80">
        <f t="shared" si="27"/>
        <v>749</v>
      </c>
      <c r="G842" s="77">
        <f>Comp2[[#This Row],[Comparable '#2 Drawdown]]/MAX($B$2:B842)</f>
        <v>-0.37689133425034382</v>
      </c>
      <c r="H842" s="1" t="str">
        <f>IF(SUM(COUNTIF(Benchmark1[Benchmark '#1 Dates],Comp2[[#This Row],[Comparable '#2 Dates]]),COUNTIF(Benchmark2[Benchmark '#2 Dates],Comp2[[#This Row],[Comparable '#2 Dates]]))=2,"Pass","Fail")</f>
        <v>Pass</v>
      </c>
      <c r="I842" s="1">
        <f>IFERROR(Comp2[[#This Row],[Comparable '#2 Return]]-INDEX(Benchmark1[Benchmark '#1 Return],MATCH(Comp2[[#This Row],[Comparable '#2 Dates]],Benchmark1[Benchmark '#1 Dates],0)),"-")</f>
        <v>3.0950464196100858E-2</v>
      </c>
      <c r="L842" s="72">
        <f>Comp2[[#This Row],[Comparable '#2 Price]]/$B$2*100</f>
        <v>72.91750503018109</v>
      </c>
    </row>
    <row r="843" spans="1:12">
      <c r="A843" s="96">
        <v>44504</v>
      </c>
      <c r="B843" s="101">
        <v>30.42</v>
      </c>
      <c r="C843" s="4">
        <f t="shared" si="26"/>
        <v>-0.17506319434363177</v>
      </c>
      <c r="D843" s="1">
        <f>IFERROR(Comp2[[#This Row],[Comparable '#2 Return]]+1,"-")</f>
        <v>0.82493680565636818</v>
      </c>
      <c r="E843" s="6">
        <f>B843-MAX($B$2:B843)</f>
        <v>-27.739999999999995</v>
      </c>
      <c r="F843" s="80">
        <f t="shared" si="27"/>
        <v>750</v>
      </c>
      <c r="G843" s="77">
        <f>Comp2[[#This Row],[Comparable '#2 Drawdown]]/MAX($B$2:B843)</f>
        <v>-0.47696011004126543</v>
      </c>
      <c r="H843" s="1" t="str">
        <f>IF(SUM(COUNTIF(Benchmark1[Benchmark '#1 Dates],Comp2[[#This Row],[Comparable '#2 Dates]]),COUNTIF(Benchmark2[Benchmark '#2 Dates],Comp2[[#This Row],[Comparable '#2 Dates]]))=2,"Pass","Fail")</f>
        <v>Pass</v>
      </c>
      <c r="I843" s="1">
        <f>IFERROR(Comp2[[#This Row],[Comparable '#2 Return]]-INDEX(Benchmark1[Benchmark '#1 Return],MATCH(Comp2[[#This Row],[Comparable '#2 Dates]],Benchmark1[Benchmark '#1 Dates],0)),"-")</f>
        <v>-0.1792355676870469</v>
      </c>
      <c r="L843" s="72">
        <f>Comp2[[#This Row],[Comparable '#2 Price]]/$B$2*100</f>
        <v>61.20724346076458</v>
      </c>
    </row>
    <row r="844" spans="1:12">
      <c r="A844" s="96">
        <v>44505</v>
      </c>
      <c r="B844" s="101">
        <v>31.86</v>
      </c>
      <c r="C844" s="4">
        <f t="shared" si="26"/>
        <v>4.6251017650755691E-2</v>
      </c>
      <c r="D844" s="1">
        <f>IFERROR(Comp2[[#This Row],[Comparable '#2 Return]]+1,"-")</f>
        <v>1.0462510176507558</v>
      </c>
      <c r="E844" s="6">
        <f>B844-MAX($B$2:B844)</f>
        <v>-26.299999999999997</v>
      </c>
      <c r="F844" s="80">
        <f t="shared" si="27"/>
        <v>751</v>
      </c>
      <c r="G844" s="77">
        <f>Comp2[[#This Row],[Comparable '#2 Drawdown]]/MAX($B$2:B844)</f>
        <v>-0.45220082530949102</v>
      </c>
      <c r="H844" s="1" t="str">
        <f>IF(SUM(COUNTIF(Benchmark1[Benchmark '#1 Dates],Comp2[[#This Row],[Comparable '#2 Dates]]),COUNTIF(Benchmark2[Benchmark '#2 Dates],Comp2[[#This Row],[Comparable '#2 Dates]]))=2,"Pass","Fail")</f>
        <v>Pass</v>
      </c>
      <c r="I844" s="1">
        <f>IFERROR(Comp2[[#This Row],[Comparable '#2 Return]]-INDEX(Benchmark1[Benchmark '#1 Return],MATCH(Comp2[[#This Row],[Comparable '#2 Dates]],Benchmark1[Benchmark '#1 Dates],0)),"-")</f>
        <v>4.2524901061139465E-2</v>
      </c>
      <c r="L844" s="72">
        <f>Comp2[[#This Row],[Comparable '#2 Price]]/$B$2*100</f>
        <v>64.104627766599592</v>
      </c>
    </row>
    <row r="845" spans="1:12">
      <c r="A845" s="96">
        <v>44508</v>
      </c>
      <c r="B845" s="101">
        <v>32.82</v>
      </c>
      <c r="C845" s="4">
        <f t="shared" si="26"/>
        <v>2.9686781180042462E-2</v>
      </c>
      <c r="D845" s="1">
        <f>IFERROR(Comp2[[#This Row],[Comparable '#2 Return]]+1,"-")</f>
        <v>1.0296867811800425</v>
      </c>
      <c r="E845" s="6">
        <f>B845-MAX($B$2:B845)</f>
        <v>-25.339999999999996</v>
      </c>
      <c r="F845" s="80">
        <f t="shared" si="27"/>
        <v>752</v>
      </c>
      <c r="G845" s="77">
        <f>Comp2[[#This Row],[Comparable '#2 Drawdown]]/MAX($B$2:B845)</f>
        <v>-0.43569463548830806</v>
      </c>
      <c r="H845" s="1" t="str">
        <f>IF(SUM(COUNTIF(Benchmark1[Benchmark '#1 Dates],Comp2[[#This Row],[Comparable '#2 Dates]]),COUNTIF(Benchmark2[Benchmark '#2 Dates],Comp2[[#This Row],[Comparable '#2 Dates]]))=2,"Pass","Fail")</f>
        <v>Pass</v>
      </c>
      <c r="I845" s="1">
        <f>IFERROR(Comp2[[#This Row],[Comparable '#2 Return]]-INDEX(Benchmark1[Benchmark '#1 Return],MATCH(Comp2[[#This Row],[Comparable '#2 Dates]],Benchmark1[Benchmark '#1 Dates],0)),"-")</f>
        <v>2.8798359753299963E-2</v>
      </c>
      <c r="L845" s="72">
        <f>Comp2[[#This Row],[Comparable '#2 Price]]/$B$2*100</f>
        <v>66.036217303822937</v>
      </c>
    </row>
    <row r="846" spans="1:12">
      <c r="A846" s="96">
        <v>44509</v>
      </c>
      <c r="B846" s="101">
        <v>33.520000000000003</v>
      </c>
      <c r="C846" s="4">
        <f t="shared" si="26"/>
        <v>2.1104189951937635E-2</v>
      </c>
      <c r="D846" s="1">
        <f>IFERROR(Comp2[[#This Row],[Comparable '#2 Return]]+1,"-")</f>
        <v>1.0211041899519375</v>
      </c>
      <c r="E846" s="6">
        <f>B846-MAX($B$2:B846)</f>
        <v>-24.639999999999993</v>
      </c>
      <c r="F846" s="80">
        <f t="shared" si="27"/>
        <v>753</v>
      </c>
      <c r="G846" s="77">
        <f>Comp2[[#This Row],[Comparable '#2 Drawdown]]/MAX($B$2:B846)</f>
        <v>-0.42365887207702879</v>
      </c>
      <c r="H846" s="1" t="str">
        <f>IF(SUM(COUNTIF(Benchmark1[Benchmark '#1 Dates],Comp2[[#This Row],[Comparable '#2 Dates]]),COUNTIF(Benchmark2[Benchmark '#2 Dates],Comp2[[#This Row],[Comparable '#2 Dates]]))=2,"Pass","Fail")</f>
        <v>Pass</v>
      </c>
      <c r="I846" s="1">
        <f>IFERROR(Comp2[[#This Row],[Comparable '#2 Return]]-INDEX(Benchmark1[Benchmark '#1 Return],MATCH(Comp2[[#This Row],[Comparable '#2 Dates]],Benchmark1[Benchmark '#1 Dates],0)),"-")</f>
        <v>2.4609242647989041E-2</v>
      </c>
      <c r="L846" s="72">
        <f>Comp2[[#This Row],[Comparable '#2 Price]]/$B$2*100</f>
        <v>67.444668008048296</v>
      </c>
    </row>
    <row r="847" spans="1:12">
      <c r="A847" s="96">
        <v>44510</v>
      </c>
      <c r="B847" s="101">
        <v>33.840000000000003</v>
      </c>
      <c r="C847" s="4">
        <f t="shared" si="26"/>
        <v>9.5012591241402152E-3</v>
      </c>
      <c r="D847" s="1">
        <f>IFERROR(Comp2[[#This Row],[Comparable '#2 Return]]+1,"-")</f>
        <v>1.0095012591241401</v>
      </c>
      <c r="E847" s="6">
        <f>B847-MAX($B$2:B847)</f>
        <v>-24.319999999999993</v>
      </c>
      <c r="F847" s="80">
        <f t="shared" si="27"/>
        <v>754</v>
      </c>
      <c r="G847" s="77">
        <f>Comp2[[#This Row],[Comparable '#2 Drawdown]]/MAX($B$2:B847)</f>
        <v>-0.41815680880330114</v>
      </c>
      <c r="H847" s="1" t="str">
        <f>IF(SUM(COUNTIF(Benchmark1[Benchmark '#1 Dates],Comp2[[#This Row],[Comparable '#2 Dates]]),COUNTIF(Benchmark2[Benchmark '#2 Dates],Comp2[[#This Row],[Comparable '#2 Dates]]))=2,"Pass","Fail")</f>
        <v>Pass</v>
      </c>
      <c r="I847" s="1">
        <f>IFERROR(Comp2[[#This Row],[Comparable '#2 Return]]-INDEX(Benchmark1[Benchmark '#1 Return],MATCH(Comp2[[#This Row],[Comparable '#2 Dates]],Benchmark1[Benchmark '#1 Dates],0)),"-")</f>
        <v>1.7761846125957305E-2</v>
      </c>
      <c r="L847" s="72">
        <f>Comp2[[#This Row],[Comparable '#2 Price]]/$B$2*100</f>
        <v>68.08853118712274</v>
      </c>
    </row>
    <row r="848" spans="1:12">
      <c r="A848" s="96">
        <v>44511</v>
      </c>
      <c r="B848" s="101">
        <v>33.340000000000003</v>
      </c>
      <c r="C848" s="4">
        <f t="shared" si="26"/>
        <v>-1.4885657415374636E-2</v>
      </c>
      <c r="D848" s="1">
        <f>IFERROR(Comp2[[#This Row],[Comparable '#2 Return]]+1,"-")</f>
        <v>0.98511434258462538</v>
      </c>
      <c r="E848" s="6">
        <f>B848-MAX($B$2:B848)</f>
        <v>-24.819999999999993</v>
      </c>
      <c r="F848" s="80">
        <f t="shared" si="27"/>
        <v>755</v>
      </c>
      <c r="G848" s="77">
        <f>Comp2[[#This Row],[Comparable '#2 Drawdown]]/MAX($B$2:B848)</f>
        <v>-0.42675378266850061</v>
      </c>
      <c r="H848" s="1" t="str">
        <f>IF(SUM(COUNTIF(Benchmark1[Benchmark '#1 Dates],Comp2[[#This Row],[Comparable '#2 Dates]]),COUNTIF(Benchmark2[Benchmark '#2 Dates],Comp2[[#This Row],[Comparable '#2 Dates]]))=2,"Pass","Fail")</f>
        <v>Pass</v>
      </c>
      <c r="I848" s="1">
        <f>IFERROR(Comp2[[#This Row],[Comparable '#2 Return]]-INDEX(Benchmark1[Benchmark '#1 Return],MATCH(Comp2[[#This Row],[Comparable '#2 Dates]],Benchmark1[Benchmark '#1 Dates],0)),"-")</f>
        <v>-1.5436763720836282E-2</v>
      </c>
      <c r="L848" s="72">
        <f>Comp2[[#This Row],[Comparable '#2 Price]]/$B$2*100</f>
        <v>67.082494969818924</v>
      </c>
    </row>
    <row r="849" spans="1:12">
      <c r="A849" s="96">
        <v>44512</v>
      </c>
      <c r="B849" s="101">
        <v>32.9</v>
      </c>
      <c r="C849" s="4">
        <f t="shared" si="26"/>
        <v>-1.3285219551321869E-2</v>
      </c>
      <c r="D849" s="1">
        <f>IFERROR(Comp2[[#This Row],[Comparable '#2 Return]]+1,"-")</f>
        <v>0.98671478044867811</v>
      </c>
      <c r="E849" s="6">
        <f>B849-MAX($B$2:B849)</f>
        <v>-25.259999999999998</v>
      </c>
      <c r="F849" s="80">
        <f t="shared" si="27"/>
        <v>756</v>
      </c>
      <c r="G849" s="77">
        <f>Comp2[[#This Row],[Comparable '#2 Drawdown]]/MAX($B$2:B849)</f>
        <v>-0.43431911966987619</v>
      </c>
      <c r="H849" s="1" t="str">
        <f>IF(SUM(COUNTIF(Benchmark1[Benchmark '#1 Dates],Comp2[[#This Row],[Comparable '#2 Dates]]),COUNTIF(Benchmark2[Benchmark '#2 Dates],Comp2[[#This Row],[Comparable '#2 Dates]]))=2,"Pass","Fail")</f>
        <v>Pass</v>
      </c>
      <c r="I849" s="1">
        <f>IFERROR(Comp2[[#This Row],[Comparable '#2 Return]]-INDEX(Benchmark1[Benchmark '#1 Return],MATCH(Comp2[[#This Row],[Comparable '#2 Dates]],Benchmark1[Benchmark '#1 Dates],0)),"-")</f>
        <v>-2.0481515754371286E-2</v>
      </c>
      <c r="L849" s="72">
        <f>Comp2[[#This Row],[Comparable '#2 Price]]/$B$2*100</f>
        <v>66.197183098591537</v>
      </c>
    </row>
    <row r="850" spans="1:12">
      <c r="A850" s="96">
        <v>44515</v>
      </c>
      <c r="B850" s="101">
        <v>32.68</v>
      </c>
      <c r="C850" s="4">
        <f t="shared" si="26"/>
        <v>-6.7093877795240354E-3</v>
      </c>
      <c r="D850" s="1">
        <f>IFERROR(Comp2[[#This Row],[Comparable '#2 Return]]+1,"-")</f>
        <v>0.99329061222047599</v>
      </c>
      <c r="E850" s="6">
        <f>B850-MAX($B$2:B850)</f>
        <v>-25.479999999999997</v>
      </c>
      <c r="F850" s="80">
        <f t="shared" si="27"/>
        <v>757</v>
      </c>
      <c r="G850" s="77">
        <f>Comp2[[#This Row],[Comparable '#2 Drawdown]]/MAX($B$2:B850)</f>
        <v>-0.43810178817056394</v>
      </c>
      <c r="H850" s="1" t="str">
        <f>IF(SUM(COUNTIF(Benchmark1[Benchmark '#1 Dates],Comp2[[#This Row],[Comparable '#2 Dates]]),COUNTIF(Benchmark2[Benchmark '#2 Dates],Comp2[[#This Row],[Comparable '#2 Dates]]))=2,"Pass","Fail")</f>
        <v>Pass</v>
      </c>
      <c r="I850" s="1">
        <f>IFERROR(Comp2[[#This Row],[Comparable '#2 Return]]-INDEX(Benchmark1[Benchmark '#1 Return],MATCH(Comp2[[#This Row],[Comparable '#2 Dates]],Benchmark1[Benchmark '#1 Dates],0)),"-")</f>
        <v>-6.7000232970716323E-3</v>
      </c>
      <c r="L850" s="72">
        <f>Comp2[[#This Row],[Comparable '#2 Price]]/$B$2*100</f>
        <v>65.754527162977865</v>
      </c>
    </row>
    <row r="851" spans="1:12">
      <c r="A851" s="96">
        <v>44516</v>
      </c>
      <c r="B851" s="101">
        <v>32.31</v>
      </c>
      <c r="C851" s="4">
        <f t="shared" si="26"/>
        <v>-1.1386490155395196E-2</v>
      </c>
      <c r="D851" s="1">
        <f>IFERROR(Comp2[[#This Row],[Comparable '#2 Return]]+1,"-")</f>
        <v>0.98861350984460483</v>
      </c>
      <c r="E851" s="6">
        <f>B851-MAX($B$2:B851)</f>
        <v>-25.849999999999994</v>
      </c>
      <c r="F851" s="80">
        <f t="shared" si="27"/>
        <v>758</v>
      </c>
      <c r="G851" s="77">
        <f>Comp2[[#This Row],[Comparable '#2 Drawdown]]/MAX($B$2:B851)</f>
        <v>-0.44446354883081146</v>
      </c>
      <c r="H851" s="1" t="str">
        <f>IF(SUM(COUNTIF(Benchmark1[Benchmark '#1 Dates],Comp2[[#This Row],[Comparable '#2 Dates]]),COUNTIF(Benchmark2[Benchmark '#2 Dates],Comp2[[#This Row],[Comparable '#2 Dates]]))=2,"Pass","Fail")</f>
        <v>Pass</v>
      </c>
      <c r="I851" s="1">
        <f>IFERROR(Comp2[[#This Row],[Comparable '#2 Return]]-INDEX(Benchmark1[Benchmark '#1 Return],MATCH(Comp2[[#This Row],[Comparable '#2 Dates]],Benchmark1[Benchmark '#1 Dates],0)),"-")</f>
        <v>-1.5242880903723912E-2</v>
      </c>
      <c r="L851" s="72">
        <f>Comp2[[#This Row],[Comparable '#2 Price]]/$B$2*100</f>
        <v>65.010060362173036</v>
      </c>
    </row>
    <row r="852" spans="1:12">
      <c r="A852" s="96">
        <v>44517</v>
      </c>
      <c r="B852" s="101">
        <v>31.73</v>
      </c>
      <c r="C852" s="4">
        <f t="shared" si="26"/>
        <v>-1.8114174241302728E-2</v>
      </c>
      <c r="D852" s="1">
        <f>IFERROR(Comp2[[#This Row],[Comparable '#2 Return]]+1,"-")</f>
        <v>0.98188582575869732</v>
      </c>
      <c r="E852" s="6">
        <f>B852-MAX($B$2:B852)</f>
        <v>-26.429999999999996</v>
      </c>
      <c r="F852" s="80">
        <f t="shared" si="27"/>
        <v>759</v>
      </c>
      <c r="G852" s="77">
        <f>Comp2[[#This Row],[Comparable '#2 Drawdown]]/MAX($B$2:B852)</f>
        <v>-0.45443603851444286</v>
      </c>
      <c r="H852" s="1" t="str">
        <f>IF(SUM(COUNTIF(Benchmark1[Benchmark '#1 Dates],Comp2[[#This Row],[Comparable '#2 Dates]]),COUNTIF(Benchmark2[Benchmark '#2 Dates],Comp2[[#This Row],[Comparable '#2 Dates]]))=2,"Pass","Fail")</f>
        <v>Pass</v>
      </c>
      <c r="I852" s="1">
        <f>IFERROR(Comp2[[#This Row],[Comparable '#2 Return]]-INDEX(Benchmark1[Benchmark '#1 Return],MATCH(Comp2[[#This Row],[Comparable '#2 Dates]],Benchmark1[Benchmark '#1 Dates],0)),"-")</f>
        <v>-1.5509914610888634E-2</v>
      </c>
      <c r="L852" s="72">
        <f>Comp2[[#This Row],[Comparable '#2 Price]]/$B$2*100</f>
        <v>63.843058350100598</v>
      </c>
    </row>
    <row r="853" spans="1:12">
      <c r="A853" s="96">
        <v>44518</v>
      </c>
      <c r="B853" s="101">
        <v>30.48</v>
      </c>
      <c r="C853" s="4">
        <f t="shared" si="26"/>
        <v>-4.0191874776658705E-2</v>
      </c>
      <c r="D853" s="1">
        <f>IFERROR(Comp2[[#This Row],[Comparable '#2 Return]]+1,"-")</f>
        <v>0.95980812522334125</v>
      </c>
      <c r="E853" s="6">
        <f>B853-MAX($B$2:B853)</f>
        <v>-27.679999999999996</v>
      </c>
      <c r="F853" s="80">
        <f t="shared" si="27"/>
        <v>760</v>
      </c>
      <c r="G853" s="77">
        <f>Comp2[[#This Row],[Comparable '#2 Drawdown]]/MAX($B$2:B853)</f>
        <v>-0.47592847317744152</v>
      </c>
      <c r="H853" s="1" t="str">
        <f>IF(SUM(COUNTIF(Benchmark1[Benchmark '#1 Dates],Comp2[[#This Row],[Comparable '#2 Dates]]),COUNTIF(Benchmark2[Benchmark '#2 Dates],Comp2[[#This Row],[Comparable '#2 Dates]]))=2,"Pass","Fail")</f>
        <v>Pass</v>
      </c>
      <c r="I853" s="1">
        <f>IFERROR(Comp2[[#This Row],[Comparable '#2 Return]]-INDEX(Benchmark1[Benchmark '#1 Return],MATCH(Comp2[[#This Row],[Comparable '#2 Dates]],Benchmark1[Benchmark '#1 Dates],0)),"-")</f>
        <v>-4.3571178196305294E-2</v>
      </c>
      <c r="L853" s="72">
        <f>Comp2[[#This Row],[Comparable '#2 Price]]/$B$2*100</f>
        <v>61.327967806841045</v>
      </c>
    </row>
    <row r="854" spans="1:12">
      <c r="A854" s="96">
        <v>44519</v>
      </c>
      <c r="B854" s="101">
        <v>30.61</v>
      </c>
      <c r="C854" s="4">
        <f t="shared" si="26"/>
        <v>4.2560221388755317E-3</v>
      </c>
      <c r="D854" s="1">
        <f>IFERROR(Comp2[[#This Row],[Comparable '#2 Return]]+1,"-")</f>
        <v>1.0042560221388754</v>
      </c>
      <c r="E854" s="6">
        <f>B854-MAX($B$2:B854)</f>
        <v>-27.549999999999997</v>
      </c>
      <c r="F854" s="80">
        <f t="shared" si="27"/>
        <v>761</v>
      </c>
      <c r="G854" s="77">
        <f>Comp2[[#This Row],[Comparable '#2 Drawdown]]/MAX($B$2:B854)</f>
        <v>-0.47369325997248968</v>
      </c>
      <c r="H854" s="1" t="str">
        <f>IF(SUM(COUNTIF(Benchmark1[Benchmark '#1 Dates],Comp2[[#This Row],[Comparable '#2 Dates]]),COUNTIF(Benchmark2[Benchmark '#2 Dates],Comp2[[#This Row],[Comparable '#2 Dates]]))=2,"Pass","Fail")</f>
        <v>Pass</v>
      </c>
      <c r="I854" s="1">
        <f>IFERROR(Comp2[[#This Row],[Comparable '#2 Return]]-INDEX(Benchmark1[Benchmark '#1 Return],MATCH(Comp2[[#This Row],[Comparable '#2 Dates]],Benchmark1[Benchmark '#1 Dates],0)),"-")</f>
        <v>5.6571047465014132E-3</v>
      </c>
      <c r="L854" s="72">
        <f>Comp2[[#This Row],[Comparable '#2 Price]]/$B$2*100</f>
        <v>61.589537223340038</v>
      </c>
    </row>
    <row r="855" spans="1:12">
      <c r="A855" s="96">
        <v>44522</v>
      </c>
      <c r="B855" s="101">
        <v>30.78</v>
      </c>
      <c r="C855" s="4">
        <f t="shared" si="26"/>
        <v>5.5383754534121541E-3</v>
      </c>
      <c r="D855" s="1">
        <f>IFERROR(Comp2[[#This Row],[Comparable '#2 Return]]+1,"-")</f>
        <v>1.0055383754534122</v>
      </c>
      <c r="E855" s="6">
        <f>B855-MAX($B$2:B855)</f>
        <v>-27.379999999999995</v>
      </c>
      <c r="F855" s="80">
        <f t="shared" si="27"/>
        <v>762</v>
      </c>
      <c r="G855" s="77">
        <f>Comp2[[#This Row],[Comparable '#2 Drawdown]]/MAX($B$2:B855)</f>
        <v>-0.47077028885832184</v>
      </c>
      <c r="H855" s="1" t="str">
        <f>IF(SUM(COUNTIF(Benchmark1[Benchmark '#1 Dates],Comp2[[#This Row],[Comparable '#2 Dates]]),COUNTIF(Benchmark2[Benchmark '#2 Dates],Comp2[[#This Row],[Comparable '#2 Dates]]))=2,"Pass","Fail")</f>
        <v>Pass</v>
      </c>
      <c r="I855" s="1">
        <f>IFERROR(Comp2[[#This Row],[Comparable '#2 Return]]-INDEX(Benchmark1[Benchmark '#1 Return],MATCH(Comp2[[#This Row],[Comparable '#2 Dates]],Benchmark1[Benchmark '#1 Dates],0)),"-")</f>
        <v>8.7387447986363651E-3</v>
      </c>
      <c r="L855" s="72">
        <f>Comp2[[#This Row],[Comparable '#2 Price]]/$B$2*100</f>
        <v>61.931589537223338</v>
      </c>
    </row>
    <row r="856" spans="1:12">
      <c r="A856" s="96">
        <v>44523</v>
      </c>
      <c r="B856" s="101">
        <v>31.01</v>
      </c>
      <c r="C856" s="4">
        <f t="shared" si="26"/>
        <v>7.4446047016243251E-3</v>
      </c>
      <c r="D856" s="1">
        <f>IFERROR(Comp2[[#This Row],[Comparable '#2 Return]]+1,"-")</f>
        <v>1.0074446047016243</v>
      </c>
      <c r="E856" s="6">
        <f>B856-MAX($B$2:B856)</f>
        <v>-27.149999999999995</v>
      </c>
      <c r="F856" s="80">
        <f t="shared" si="27"/>
        <v>763</v>
      </c>
      <c r="G856" s="77">
        <f>Comp2[[#This Row],[Comparable '#2 Drawdown]]/MAX($B$2:B856)</f>
        <v>-0.46681568088033004</v>
      </c>
      <c r="H856" s="1" t="str">
        <f>IF(SUM(COUNTIF(Benchmark1[Benchmark '#1 Dates],Comp2[[#This Row],[Comparable '#2 Dates]]),COUNTIF(Benchmark2[Benchmark '#2 Dates],Comp2[[#This Row],[Comparable '#2 Dates]]))=2,"Pass","Fail")</f>
        <v>Pass</v>
      </c>
      <c r="I856" s="1">
        <f>IFERROR(Comp2[[#This Row],[Comparable '#2 Return]]-INDEX(Benchmark1[Benchmark '#1 Return],MATCH(Comp2[[#This Row],[Comparable '#2 Dates]],Benchmark1[Benchmark '#1 Dates],0)),"-")</f>
        <v>5.7901560987357655E-3</v>
      </c>
      <c r="L856" s="72">
        <f>Comp2[[#This Row],[Comparable '#2 Price]]/$B$2*100</f>
        <v>62.394366197183096</v>
      </c>
    </row>
    <row r="857" spans="1:12">
      <c r="A857" s="96">
        <v>44524</v>
      </c>
      <c r="B857" s="101">
        <v>31.72</v>
      </c>
      <c r="C857" s="4">
        <f t="shared" si="26"/>
        <v>2.2637663654289576E-2</v>
      </c>
      <c r="D857" s="1">
        <f>IFERROR(Comp2[[#This Row],[Comparable '#2 Return]]+1,"-")</f>
        <v>1.0226376636542895</v>
      </c>
      <c r="E857" s="6">
        <f>B857-MAX($B$2:B857)</f>
        <v>-26.439999999999998</v>
      </c>
      <c r="F857" s="80">
        <f t="shared" si="27"/>
        <v>764</v>
      </c>
      <c r="G857" s="77">
        <f>Comp2[[#This Row],[Comparable '#2 Drawdown]]/MAX($B$2:B857)</f>
        <v>-0.4546079779917469</v>
      </c>
      <c r="H857" s="1" t="str">
        <f>IF(SUM(COUNTIF(Benchmark1[Benchmark '#1 Dates],Comp2[[#This Row],[Comparable '#2 Dates]]),COUNTIF(Benchmark2[Benchmark '#2 Dates],Comp2[[#This Row],[Comparable '#2 Dates]]))=2,"Pass","Fail")</f>
        <v>Pass</v>
      </c>
      <c r="I857" s="1">
        <f>IFERROR(Comp2[[#This Row],[Comparable '#2 Return]]-INDEX(Benchmark1[Benchmark '#1 Return],MATCH(Comp2[[#This Row],[Comparable '#2 Dates]],Benchmark1[Benchmark '#1 Dates],0)),"-")</f>
        <v>2.0344941893497479E-2</v>
      </c>
      <c r="L857" s="72">
        <f>Comp2[[#This Row],[Comparable '#2 Price]]/$B$2*100</f>
        <v>63.82293762575452</v>
      </c>
    </row>
    <row r="858" spans="1:12">
      <c r="A858" s="96">
        <v>44526</v>
      </c>
      <c r="B858" s="101">
        <v>30.66</v>
      </c>
      <c r="C858" s="4">
        <f t="shared" si="26"/>
        <v>-3.3988523322979108E-2</v>
      </c>
      <c r="D858" s="1">
        <f>IFERROR(Comp2[[#This Row],[Comparable '#2 Return]]+1,"-")</f>
        <v>0.96601147667702092</v>
      </c>
      <c r="E858" s="6">
        <f>B858-MAX($B$2:B858)</f>
        <v>-27.499999999999996</v>
      </c>
      <c r="F858" s="80">
        <f t="shared" si="27"/>
        <v>765</v>
      </c>
      <c r="G858" s="77">
        <f>Comp2[[#This Row],[Comparable '#2 Drawdown]]/MAX($B$2:B858)</f>
        <v>-0.4728335625859697</v>
      </c>
      <c r="H858" s="1" t="str">
        <f>IF(SUM(COUNTIF(Benchmark1[Benchmark '#1 Dates],Comp2[[#This Row],[Comparable '#2 Dates]]),COUNTIF(Benchmark2[Benchmark '#2 Dates],Comp2[[#This Row],[Comparable '#2 Dates]]))=2,"Pass","Fail")</f>
        <v>Pass</v>
      </c>
      <c r="I858" s="1">
        <f>IFERROR(Comp2[[#This Row],[Comparable '#2 Return]]-INDEX(Benchmark1[Benchmark '#1 Return],MATCH(Comp2[[#This Row],[Comparable '#2 Dates]],Benchmark1[Benchmark '#1 Dates],0)),"-")</f>
        <v>-1.1000070910995623E-2</v>
      </c>
      <c r="L858" s="72">
        <f>Comp2[[#This Row],[Comparable '#2 Price]]/$B$2*100</f>
        <v>61.690140845070417</v>
      </c>
    </row>
    <row r="859" spans="1:12">
      <c r="A859" s="96">
        <v>44529</v>
      </c>
      <c r="B859" s="101">
        <v>29.84</v>
      </c>
      <c r="C859" s="4">
        <f t="shared" si="26"/>
        <v>-2.7109098108108021E-2</v>
      </c>
      <c r="D859" s="1">
        <f>IFERROR(Comp2[[#This Row],[Comparable '#2 Return]]+1,"-")</f>
        <v>0.97289090189189198</v>
      </c>
      <c r="E859" s="6">
        <f>B859-MAX($B$2:B859)</f>
        <v>-28.319999999999997</v>
      </c>
      <c r="F859" s="80">
        <f t="shared" si="27"/>
        <v>766</v>
      </c>
      <c r="G859" s="77">
        <f>Comp2[[#This Row],[Comparable '#2 Drawdown]]/MAX($B$2:B859)</f>
        <v>-0.48693259972489683</v>
      </c>
      <c r="H859" s="1" t="str">
        <f>IF(SUM(COUNTIF(Benchmark1[Benchmark '#1 Dates],Comp2[[#This Row],[Comparable '#2 Dates]]),COUNTIF(Benchmark2[Benchmark '#2 Dates],Comp2[[#This Row],[Comparable '#2 Dates]]))=2,"Pass","Fail")</f>
        <v>Pass</v>
      </c>
      <c r="I859" s="1">
        <f>IFERROR(Comp2[[#This Row],[Comparable '#2 Return]]-INDEX(Benchmark1[Benchmark '#1 Return],MATCH(Comp2[[#This Row],[Comparable '#2 Dates]],Benchmark1[Benchmark '#1 Dates],0)),"-")</f>
        <v>-4.022337104455545E-2</v>
      </c>
      <c r="L859" s="72">
        <f>Comp2[[#This Row],[Comparable '#2 Price]]/$B$2*100</f>
        <v>60.040241448692143</v>
      </c>
    </row>
    <row r="860" spans="1:12">
      <c r="A860" s="96">
        <v>44530</v>
      </c>
      <c r="B860" s="101">
        <v>29.67</v>
      </c>
      <c r="C860" s="4">
        <f t="shared" si="26"/>
        <v>-5.7133410328295839E-3</v>
      </c>
      <c r="D860" s="1">
        <f>IFERROR(Comp2[[#This Row],[Comparable '#2 Return]]+1,"-")</f>
        <v>0.99428665896717039</v>
      </c>
      <c r="E860" s="6">
        <f>B860-MAX($B$2:B860)</f>
        <v>-28.489999999999995</v>
      </c>
      <c r="F860" s="80">
        <f t="shared" si="27"/>
        <v>767</v>
      </c>
      <c r="G860" s="77">
        <f>Comp2[[#This Row],[Comparable '#2 Drawdown]]/MAX($B$2:B860)</f>
        <v>-0.48985557083906461</v>
      </c>
      <c r="H860" s="1" t="str">
        <f>IF(SUM(COUNTIF(Benchmark1[Benchmark '#1 Dates],Comp2[[#This Row],[Comparable '#2 Dates]]),COUNTIF(Benchmark2[Benchmark '#2 Dates],Comp2[[#This Row],[Comparable '#2 Dates]]))=2,"Pass","Fail")</f>
        <v>Pass</v>
      </c>
      <c r="I860" s="1">
        <f>IFERROR(Comp2[[#This Row],[Comparable '#2 Return]]-INDEX(Benchmark1[Benchmark '#1 Return],MATCH(Comp2[[#This Row],[Comparable '#2 Dates]],Benchmark1[Benchmark '#1 Dates],0)),"-")</f>
        <v>1.3429749479935478E-2</v>
      </c>
      <c r="L860" s="72">
        <f>Comp2[[#This Row],[Comparable '#2 Price]]/$B$2*100</f>
        <v>59.698189134808857</v>
      </c>
    </row>
    <row r="861" spans="1:12">
      <c r="A861" s="96">
        <v>44531</v>
      </c>
      <c r="B861" s="101">
        <v>28.83</v>
      </c>
      <c r="C861" s="4">
        <f t="shared" si="26"/>
        <v>-2.8719922652419703E-2</v>
      </c>
      <c r="D861" s="1">
        <f>IFERROR(Comp2[[#This Row],[Comparable '#2 Return]]+1,"-")</f>
        <v>0.97128007734758026</v>
      </c>
      <c r="E861" s="6">
        <f>B861-MAX($B$2:B861)</f>
        <v>-29.33</v>
      </c>
      <c r="F861" s="80">
        <f t="shared" si="27"/>
        <v>768</v>
      </c>
      <c r="G861" s="77">
        <f>Comp2[[#This Row],[Comparable '#2 Drawdown]]/MAX($B$2:B861)</f>
        <v>-0.50429848693259971</v>
      </c>
      <c r="H861" s="1" t="str">
        <f>IF(SUM(COUNTIF(Benchmark1[Benchmark '#1 Dates],Comp2[[#This Row],[Comparable '#2 Dates]]),COUNTIF(Benchmark2[Benchmark '#2 Dates],Comp2[[#This Row],[Comparable '#2 Dates]]))=2,"Pass","Fail")</f>
        <v>Pass</v>
      </c>
      <c r="I861" s="1">
        <f>IFERROR(Comp2[[#This Row],[Comparable '#2 Return]]-INDEX(Benchmark1[Benchmark '#1 Return],MATCH(Comp2[[#This Row],[Comparable '#2 Dates]],Benchmark1[Benchmark '#1 Dates],0)),"-")</f>
        <v>-1.683319351595032E-2</v>
      </c>
      <c r="L861" s="72">
        <f>Comp2[[#This Row],[Comparable '#2 Price]]/$B$2*100</f>
        <v>58.008048289738426</v>
      </c>
    </row>
    <row r="862" spans="1:12">
      <c r="A862" s="96">
        <v>44532</v>
      </c>
      <c r="B862" s="101">
        <v>28.56</v>
      </c>
      <c r="C862" s="4">
        <f t="shared" si="26"/>
        <v>-9.4093741789271438E-3</v>
      </c>
      <c r="D862" s="1">
        <f>IFERROR(Comp2[[#This Row],[Comparable '#2 Return]]+1,"-")</f>
        <v>0.99059062582107282</v>
      </c>
      <c r="E862" s="6">
        <f>B862-MAX($B$2:B862)</f>
        <v>-29.599999999999998</v>
      </c>
      <c r="F862" s="80">
        <f t="shared" si="27"/>
        <v>769</v>
      </c>
      <c r="G862" s="77">
        <f>Comp2[[#This Row],[Comparable '#2 Drawdown]]/MAX($B$2:B862)</f>
        <v>-0.50894085281980739</v>
      </c>
      <c r="H862" s="1" t="str">
        <f>IF(SUM(COUNTIF(Benchmark1[Benchmark '#1 Dates],Comp2[[#This Row],[Comparable '#2 Dates]]),COUNTIF(Benchmark2[Benchmark '#2 Dates],Comp2[[#This Row],[Comparable '#2 Dates]]))=2,"Pass","Fail")</f>
        <v>Pass</v>
      </c>
      <c r="I862" s="1">
        <f>IFERROR(Comp2[[#This Row],[Comparable '#2 Return]]-INDEX(Benchmark1[Benchmark '#1 Return],MATCH(Comp2[[#This Row],[Comparable '#2 Dates]],Benchmark1[Benchmark '#1 Dates],0)),"-")</f>
        <v>-2.3504968036173409E-2</v>
      </c>
      <c r="L862" s="72">
        <f>Comp2[[#This Row],[Comparable '#2 Price]]/$B$2*100</f>
        <v>57.464788732394354</v>
      </c>
    </row>
    <row r="863" spans="1:12">
      <c r="A863" s="96">
        <v>44533</v>
      </c>
      <c r="B863" s="101">
        <v>29.12</v>
      </c>
      <c r="C863" s="4">
        <f t="shared" si="26"/>
        <v>1.9418085857101731E-2</v>
      </c>
      <c r="D863" s="1">
        <f>IFERROR(Comp2[[#This Row],[Comparable '#2 Return]]+1,"-")</f>
        <v>1.0194180858571018</v>
      </c>
      <c r="E863" s="6">
        <f>B863-MAX($B$2:B863)</f>
        <v>-29.039999999999996</v>
      </c>
      <c r="F863" s="80">
        <f t="shared" si="27"/>
        <v>770</v>
      </c>
      <c r="G863" s="77">
        <f>Comp2[[#This Row],[Comparable '#2 Drawdown]]/MAX($B$2:B863)</f>
        <v>-0.49931224209078401</v>
      </c>
      <c r="H863" s="1" t="str">
        <f>IF(SUM(COUNTIF(Benchmark1[Benchmark '#1 Dates],Comp2[[#This Row],[Comparable '#2 Dates]]),COUNTIF(Benchmark2[Benchmark '#2 Dates],Comp2[[#This Row],[Comparable '#2 Dates]]))=2,"Pass","Fail")</f>
        <v>Pass</v>
      </c>
      <c r="I863" s="1">
        <f>IFERROR(Comp2[[#This Row],[Comparable '#2 Return]]-INDEX(Benchmark1[Benchmark '#1 Return],MATCH(Comp2[[#This Row],[Comparable '#2 Dates]],Benchmark1[Benchmark '#1 Dates],0)),"-")</f>
        <v>2.7903145085716279E-2</v>
      </c>
      <c r="L863" s="72">
        <f>Comp2[[#This Row],[Comparable '#2 Price]]/$B$2*100</f>
        <v>58.591549295774648</v>
      </c>
    </row>
    <row r="864" spans="1:12">
      <c r="A864" s="96">
        <v>44536</v>
      </c>
      <c r="B864" s="101">
        <v>30.35</v>
      </c>
      <c r="C864" s="4">
        <f t="shared" si="26"/>
        <v>4.1371294177022011E-2</v>
      </c>
      <c r="D864" s="1">
        <f>IFERROR(Comp2[[#This Row],[Comparable '#2 Return]]+1,"-")</f>
        <v>1.0413712941770221</v>
      </c>
      <c r="E864" s="6">
        <f>B864-MAX($B$2:B864)</f>
        <v>-27.809999999999995</v>
      </c>
      <c r="F864" s="80">
        <f t="shared" si="27"/>
        <v>771</v>
      </c>
      <c r="G864" s="77">
        <f>Comp2[[#This Row],[Comparable '#2 Drawdown]]/MAX($B$2:B864)</f>
        <v>-0.47816368638239332</v>
      </c>
      <c r="H864" s="1" t="str">
        <f>IF(SUM(COUNTIF(Benchmark1[Benchmark '#1 Dates],Comp2[[#This Row],[Comparable '#2 Dates]]),COUNTIF(Benchmark2[Benchmark '#2 Dates],Comp2[[#This Row],[Comparable '#2 Dates]]))=2,"Pass","Fail")</f>
        <v>Pass</v>
      </c>
      <c r="I864" s="1">
        <f>IFERROR(Comp2[[#This Row],[Comparable '#2 Return]]-INDEX(Benchmark1[Benchmark '#1 Return],MATCH(Comp2[[#This Row],[Comparable '#2 Dates]],Benchmark1[Benchmark '#1 Dates],0)),"-")</f>
        <v>2.9707777745111734E-2</v>
      </c>
      <c r="L864" s="72">
        <f>Comp2[[#This Row],[Comparable '#2 Price]]/$B$2*100</f>
        <v>61.066398390342044</v>
      </c>
    </row>
    <row r="865" spans="1:12">
      <c r="A865" s="96">
        <v>44537</v>
      </c>
      <c r="B865" s="101">
        <v>31.07</v>
      </c>
      <c r="C865" s="4">
        <f t="shared" si="26"/>
        <v>2.3446205899448631E-2</v>
      </c>
      <c r="D865" s="1">
        <f>IFERROR(Comp2[[#This Row],[Comparable '#2 Return]]+1,"-")</f>
        <v>1.0234462058994487</v>
      </c>
      <c r="E865" s="6">
        <f>B865-MAX($B$2:B865)</f>
        <v>-27.089999999999996</v>
      </c>
      <c r="F865" s="80">
        <f t="shared" si="27"/>
        <v>772</v>
      </c>
      <c r="G865" s="77">
        <f>Comp2[[#This Row],[Comparable '#2 Drawdown]]/MAX($B$2:B865)</f>
        <v>-0.46578404401650614</v>
      </c>
      <c r="H865" s="1" t="str">
        <f>IF(SUM(COUNTIF(Benchmark1[Benchmark '#1 Dates],Comp2[[#This Row],[Comparable '#2 Dates]]),COUNTIF(Benchmark2[Benchmark '#2 Dates],Comp2[[#This Row],[Comparable '#2 Dates]]))=2,"Pass","Fail")</f>
        <v>Pass</v>
      </c>
      <c r="I865" s="1">
        <f>IFERROR(Comp2[[#This Row],[Comparable '#2 Return]]-INDEX(Benchmark1[Benchmark '#1 Return],MATCH(Comp2[[#This Row],[Comparable '#2 Dates]],Benchmark1[Benchmark '#1 Dates],0)),"-")</f>
        <v>2.9519791652965477E-3</v>
      </c>
      <c r="L865" s="72">
        <f>Comp2[[#This Row],[Comparable '#2 Price]]/$B$2*100</f>
        <v>62.515090543259554</v>
      </c>
    </row>
    <row r="866" spans="1:12">
      <c r="A866" s="96">
        <v>44538</v>
      </c>
      <c r="B866" s="101">
        <v>31.7</v>
      </c>
      <c r="C866" s="4">
        <f t="shared" si="26"/>
        <v>2.0073957478278816E-2</v>
      </c>
      <c r="D866" s="1">
        <f>IFERROR(Comp2[[#This Row],[Comparable '#2 Return]]+1,"-")</f>
        <v>1.0200739574782789</v>
      </c>
      <c r="E866" s="6">
        <f>B866-MAX($B$2:B866)</f>
        <v>-26.459999999999997</v>
      </c>
      <c r="F866" s="80">
        <f t="shared" si="27"/>
        <v>773</v>
      </c>
      <c r="G866" s="77">
        <f>Comp2[[#This Row],[Comparable '#2 Drawdown]]/MAX($B$2:B866)</f>
        <v>-0.45495185694635487</v>
      </c>
      <c r="H866" s="1" t="str">
        <f>IF(SUM(COUNTIF(Benchmark1[Benchmark '#1 Dates],Comp2[[#This Row],[Comparable '#2 Dates]]),COUNTIF(Benchmark2[Benchmark '#2 Dates],Comp2[[#This Row],[Comparable '#2 Dates]]))=2,"Pass","Fail")</f>
        <v>Pass</v>
      </c>
      <c r="I866" s="1">
        <f>IFERROR(Comp2[[#This Row],[Comparable '#2 Return]]-INDEX(Benchmark1[Benchmark '#1 Return],MATCH(Comp2[[#This Row],[Comparable '#2 Dates]],Benchmark1[Benchmark '#1 Dates],0)),"-")</f>
        <v>1.6992899395850813E-2</v>
      </c>
      <c r="L866" s="72">
        <f>Comp2[[#This Row],[Comparable '#2 Price]]/$B$2*100</f>
        <v>63.78269617706237</v>
      </c>
    </row>
    <row r="867" spans="1:12">
      <c r="A867" s="96">
        <v>44539</v>
      </c>
      <c r="B867" s="101">
        <v>30.39</v>
      </c>
      <c r="C867" s="4">
        <f t="shared" si="26"/>
        <v>-4.220307395453321E-2</v>
      </c>
      <c r="D867" s="1">
        <f>IFERROR(Comp2[[#This Row],[Comparable '#2 Return]]+1,"-")</f>
        <v>0.95779692604546685</v>
      </c>
      <c r="E867" s="6">
        <f>B867-MAX($B$2:B867)</f>
        <v>-27.769999999999996</v>
      </c>
      <c r="F867" s="80">
        <f t="shared" si="27"/>
        <v>774</v>
      </c>
      <c r="G867" s="77">
        <f>Comp2[[#This Row],[Comparable '#2 Drawdown]]/MAX($B$2:B867)</f>
        <v>-0.47747592847317738</v>
      </c>
      <c r="H867" s="1" t="str">
        <f>IF(SUM(COUNTIF(Benchmark1[Benchmark '#1 Dates],Comp2[[#This Row],[Comparable '#2 Dates]]),COUNTIF(Benchmark2[Benchmark '#2 Dates],Comp2[[#This Row],[Comparable '#2 Dates]]))=2,"Pass","Fail")</f>
        <v>Pass</v>
      </c>
      <c r="I867" s="1">
        <f>IFERROR(Comp2[[#This Row],[Comparable '#2 Return]]-INDEX(Benchmark1[Benchmark '#1 Return],MATCH(Comp2[[#This Row],[Comparable '#2 Dates]],Benchmark1[Benchmark '#1 Dates],0)),"-")</f>
        <v>-3.4997336861867095E-2</v>
      </c>
      <c r="L867" s="72">
        <f>Comp2[[#This Row],[Comparable '#2 Price]]/$B$2*100</f>
        <v>61.146881287726352</v>
      </c>
    </row>
    <row r="868" spans="1:12">
      <c r="A868" s="96">
        <v>44540</v>
      </c>
      <c r="B868" s="101">
        <v>30.15</v>
      </c>
      <c r="C868" s="4">
        <f t="shared" si="26"/>
        <v>-7.9286837555073673E-3</v>
      </c>
      <c r="D868" s="1">
        <f>IFERROR(Comp2[[#This Row],[Comparable '#2 Return]]+1,"-")</f>
        <v>0.99207131624449263</v>
      </c>
      <c r="E868" s="6">
        <f>B868-MAX($B$2:B868)</f>
        <v>-28.009999999999998</v>
      </c>
      <c r="F868" s="80">
        <f t="shared" si="27"/>
        <v>775</v>
      </c>
      <c r="G868" s="77">
        <f>Comp2[[#This Row],[Comparable '#2 Drawdown]]/MAX($B$2:B868)</f>
        <v>-0.48160247592847316</v>
      </c>
      <c r="H868" s="1" t="str">
        <f>IF(SUM(COUNTIF(Benchmark1[Benchmark '#1 Dates],Comp2[[#This Row],[Comparable '#2 Dates]]),COUNTIF(Benchmark2[Benchmark '#2 Dates],Comp2[[#This Row],[Comparable '#2 Dates]]))=2,"Pass","Fail")</f>
        <v>Pass</v>
      </c>
      <c r="I868" s="1">
        <f>IFERROR(Comp2[[#This Row],[Comparable '#2 Return]]-INDEX(Benchmark1[Benchmark '#1 Return],MATCH(Comp2[[#This Row],[Comparable '#2 Dates]],Benchmark1[Benchmark '#1 Dates],0)),"-")</f>
        <v>-1.7432521382735346E-2</v>
      </c>
      <c r="L868" s="72">
        <f>Comp2[[#This Row],[Comparable '#2 Price]]/$B$2*100</f>
        <v>60.663983903420515</v>
      </c>
    </row>
    <row r="869" spans="1:12">
      <c r="A869" s="96">
        <v>44543</v>
      </c>
      <c r="B869" s="101">
        <v>29.94</v>
      </c>
      <c r="C869" s="4">
        <f t="shared" si="26"/>
        <v>-6.9895441817120745E-3</v>
      </c>
      <c r="D869" s="1">
        <f>IFERROR(Comp2[[#This Row],[Comparable '#2 Return]]+1,"-")</f>
        <v>0.99301045581828795</v>
      </c>
      <c r="E869" s="6">
        <f>B869-MAX($B$2:B869)</f>
        <v>-28.219999999999995</v>
      </c>
      <c r="F869" s="80">
        <f t="shared" si="27"/>
        <v>776</v>
      </c>
      <c r="G869" s="77">
        <f>Comp2[[#This Row],[Comparable '#2 Drawdown]]/MAX($B$2:B869)</f>
        <v>-0.48521320495185688</v>
      </c>
      <c r="H869" s="1" t="str">
        <f>IF(SUM(COUNTIF(Benchmark1[Benchmark '#1 Dates],Comp2[[#This Row],[Comparable '#2 Dates]]),COUNTIF(Benchmark2[Benchmark '#2 Dates],Comp2[[#This Row],[Comparable '#2 Dates]]))=2,"Pass","Fail")</f>
        <v>Pass</v>
      </c>
      <c r="I869" s="1">
        <f>IFERROR(Comp2[[#This Row],[Comparable '#2 Return]]-INDEX(Benchmark1[Benchmark '#1 Return],MATCH(Comp2[[#This Row],[Comparable '#2 Dates]],Benchmark1[Benchmark '#1 Dates],0)),"-")</f>
        <v>2.1890870144528566E-3</v>
      </c>
      <c r="L869" s="72">
        <f>Comp2[[#This Row],[Comparable '#2 Price]]/$B$2*100</f>
        <v>60.241448692152922</v>
      </c>
    </row>
    <row r="870" spans="1:12">
      <c r="A870" s="96">
        <v>44544</v>
      </c>
      <c r="B870" s="101">
        <v>29.25</v>
      </c>
      <c r="C870" s="4">
        <f t="shared" si="26"/>
        <v>-2.3315805313616877E-2</v>
      </c>
      <c r="D870" s="1">
        <f>IFERROR(Comp2[[#This Row],[Comparable '#2 Return]]+1,"-")</f>
        <v>0.97668419468638312</v>
      </c>
      <c r="E870" s="6">
        <f>B870-MAX($B$2:B870)</f>
        <v>-28.909999999999997</v>
      </c>
      <c r="F870" s="80">
        <f t="shared" si="27"/>
        <v>777</v>
      </c>
      <c r="G870" s="77">
        <f>Comp2[[#This Row],[Comparable '#2 Drawdown]]/MAX($B$2:B870)</f>
        <v>-0.49707702888583216</v>
      </c>
      <c r="H870" s="1" t="str">
        <f>IF(SUM(COUNTIF(Benchmark1[Benchmark '#1 Dates],Comp2[[#This Row],[Comparable '#2 Dates]]),COUNTIF(Benchmark2[Benchmark '#2 Dates],Comp2[[#This Row],[Comparable '#2 Dates]]))=2,"Pass","Fail")</f>
        <v>Pass</v>
      </c>
      <c r="I870" s="1">
        <f>IFERROR(Comp2[[#This Row],[Comparable '#2 Return]]-INDEX(Benchmark1[Benchmark '#1 Return],MATCH(Comp2[[#This Row],[Comparable '#2 Dates]],Benchmark1[Benchmark '#1 Dates],0)),"-")</f>
        <v>-1.5816200764323517E-2</v>
      </c>
      <c r="L870" s="72">
        <f>Comp2[[#This Row],[Comparable '#2 Price]]/$B$2*100</f>
        <v>58.853118712273634</v>
      </c>
    </row>
    <row r="871" spans="1:12">
      <c r="A871" s="96">
        <v>44545</v>
      </c>
      <c r="B871" s="101">
        <v>29.07</v>
      </c>
      <c r="C871" s="4">
        <f t="shared" si="26"/>
        <v>-6.1728591070809675E-3</v>
      </c>
      <c r="D871" s="1">
        <f>IFERROR(Comp2[[#This Row],[Comparable '#2 Return]]+1,"-")</f>
        <v>0.99382714089291901</v>
      </c>
      <c r="E871" s="6">
        <f>B871-MAX($B$2:B871)</f>
        <v>-29.089999999999996</v>
      </c>
      <c r="F871" s="80">
        <f t="shared" si="27"/>
        <v>778</v>
      </c>
      <c r="G871" s="77">
        <f>Comp2[[#This Row],[Comparable '#2 Drawdown]]/MAX($B$2:B871)</f>
        <v>-0.50017193947730398</v>
      </c>
      <c r="H871" s="1" t="str">
        <f>IF(SUM(COUNTIF(Benchmark1[Benchmark '#1 Dates],Comp2[[#This Row],[Comparable '#2 Dates]]),COUNTIF(Benchmark2[Benchmark '#2 Dates],Comp2[[#This Row],[Comparable '#2 Dates]]))=2,"Pass","Fail")</f>
        <v>Pass</v>
      </c>
      <c r="I871" s="1">
        <f>IFERROR(Comp2[[#This Row],[Comparable '#2 Return]]-INDEX(Benchmark1[Benchmark '#1 Return],MATCH(Comp2[[#This Row],[Comparable '#2 Dates]],Benchmark1[Benchmark '#1 Dates],0)),"-")</f>
        <v>-2.2390415825025153E-2</v>
      </c>
      <c r="L871" s="72">
        <f>Comp2[[#This Row],[Comparable '#2 Price]]/$B$2*100</f>
        <v>58.490945674044262</v>
      </c>
    </row>
    <row r="872" spans="1:12">
      <c r="A872" s="96">
        <v>44546</v>
      </c>
      <c r="B872" s="101">
        <v>28.23</v>
      </c>
      <c r="C872" s="4">
        <f t="shared" si="26"/>
        <v>-2.9321472305386634E-2</v>
      </c>
      <c r="D872" s="1">
        <f>IFERROR(Comp2[[#This Row],[Comparable '#2 Return]]+1,"-")</f>
        <v>0.97067852769461338</v>
      </c>
      <c r="E872" s="6">
        <f>B872-MAX($B$2:B872)</f>
        <v>-29.929999999999996</v>
      </c>
      <c r="F872" s="80">
        <f t="shared" si="27"/>
        <v>779</v>
      </c>
      <c r="G872" s="77">
        <f>Comp2[[#This Row],[Comparable '#2 Drawdown]]/MAX($B$2:B872)</f>
        <v>-0.51461485557083908</v>
      </c>
      <c r="H872" s="1" t="str">
        <f>IF(SUM(COUNTIF(Benchmark1[Benchmark '#1 Dates],Comp2[[#This Row],[Comparable '#2 Dates]]),COUNTIF(Benchmark2[Benchmark '#2 Dates],Comp2[[#This Row],[Comparable '#2 Dates]]))=2,"Pass","Fail")</f>
        <v>Pass</v>
      </c>
      <c r="I872" s="1">
        <f>IFERROR(Comp2[[#This Row],[Comparable '#2 Return]]-INDEX(Benchmark1[Benchmark '#1 Return],MATCH(Comp2[[#This Row],[Comparable '#2 Dates]],Benchmark1[Benchmark '#1 Dates],0)),"-")</f>
        <v>-2.0539073754003604E-2</v>
      </c>
      <c r="L872" s="72">
        <f>Comp2[[#This Row],[Comparable '#2 Price]]/$B$2*100</f>
        <v>56.800804828973838</v>
      </c>
    </row>
    <row r="873" spans="1:12">
      <c r="A873" s="96">
        <v>44547</v>
      </c>
      <c r="B873" s="101">
        <v>28.21</v>
      </c>
      <c r="C873" s="4">
        <f t="shared" si="26"/>
        <v>-7.08717251493077E-4</v>
      </c>
      <c r="D873" s="1">
        <f>IFERROR(Comp2[[#This Row],[Comparable '#2 Return]]+1,"-")</f>
        <v>0.99929128274850687</v>
      </c>
      <c r="E873" s="6">
        <f>B873-MAX($B$2:B873)</f>
        <v>-29.949999999999996</v>
      </c>
      <c r="F873" s="80">
        <f t="shared" si="27"/>
        <v>780</v>
      </c>
      <c r="G873" s="77">
        <f>Comp2[[#This Row],[Comparable '#2 Drawdown]]/MAX($B$2:B873)</f>
        <v>-0.51495873452544705</v>
      </c>
      <c r="H873" s="1" t="str">
        <f>IF(SUM(COUNTIF(Benchmark1[Benchmark '#1 Dates],Comp2[[#This Row],[Comparable '#2 Dates]]),COUNTIF(Benchmark2[Benchmark '#2 Dates],Comp2[[#This Row],[Comparable '#2 Dates]]))=2,"Pass","Fail")</f>
        <v>Pass</v>
      </c>
      <c r="I873" s="1">
        <f>IFERROR(Comp2[[#This Row],[Comparable '#2 Return]]-INDEX(Benchmark1[Benchmark '#1 Return],MATCH(Comp2[[#This Row],[Comparable '#2 Dates]],Benchmark1[Benchmark '#1 Dates],0)),"-")</f>
        <v>9.6327697526693255E-3</v>
      </c>
      <c r="L873" s="72">
        <f>Comp2[[#This Row],[Comparable '#2 Price]]/$B$2*100</f>
        <v>56.760563380281695</v>
      </c>
    </row>
    <row r="874" spans="1:12">
      <c r="A874" s="96">
        <v>44550</v>
      </c>
      <c r="B874" s="101">
        <v>27.57</v>
      </c>
      <c r="C874" s="4">
        <f t="shared" si="26"/>
        <v>-2.2948299978199603E-2</v>
      </c>
      <c r="D874" s="1">
        <f>IFERROR(Comp2[[#This Row],[Comparable '#2 Return]]+1,"-")</f>
        <v>0.97705170002180042</v>
      </c>
      <c r="E874" s="6">
        <f>B874-MAX($B$2:B874)</f>
        <v>-30.589999999999996</v>
      </c>
      <c r="F874" s="80">
        <f t="shared" si="27"/>
        <v>781</v>
      </c>
      <c r="G874" s="77">
        <f>Comp2[[#This Row],[Comparable '#2 Drawdown]]/MAX($B$2:B874)</f>
        <v>-0.52596286107290235</v>
      </c>
      <c r="H874" s="1" t="str">
        <f>IF(SUM(COUNTIF(Benchmark1[Benchmark '#1 Dates],Comp2[[#This Row],[Comparable '#2 Dates]]),COUNTIF(Benchmark2[Benchmark '#2 Dates],Comp2[[#This Row],[Comparable '#2 Dates]]))=2,"Pass","Fail")</f>
        <v>Pass</v>
      </c>
      <c r="I874" s="1">
        <f>IFERROR(Comp2[[#This Row],[Comparable '#2 Return]]-INDEX(Benchmark1[Benchmark '#1 Return],MATCH(Comp2[[#This Row],[Comparable '#2 Dates]],Benchmark1[Benchmark '#1 Dates],0)),"-")</f>
        <v>-1.1494543009293492E-2</v>
      </c>
      <c r="L874" s="72">
        <f>Comp2[[#This Row],[Comparable '#2 Price]]/$B$2*100</f>
        <v>55.472837022132794</v>
      </c>
    </row>
    <row r="875" spans="1:12">
      <c r="A875" s="96">
        <v>44551</v>
      </c>
      <c r="B875" s="101">
        <v>29.17</v>
      </c>
      <c r="C875" s="4">
        <f t="shared" si="26"/>
        <v>5.6412558843924737E-2</v>
      </c>
      <c r="D875" s="1">
        <f>IFERROR(Comp2[[#This Row],[Comparable '#2 Return]]+1,"-")</f>
        <v>1.0564125588439248</v>
      </c>
      <c r="E875" s="6">
        <f>B875-MAX($B$2:B875)</f>
        <v>-28.989999999999995</v>
      </c>
      <c r="F875" s="80">
        <f t="shared" si="27"/>
        <v>782</v>
      </c>
      <c r="G875" s="77">
        <f>Comp2[[#This Row],[Comparable '#2 Drawdown]]/MAX($B$2:B875)</f>
        <v>-0.49845254470426403</v>
      </c>
      <c r="H875" s="1" t="str">
        <f>IF(SUM(COUNTIF(Benchmark1[Benchmark '#1 Dates],Comp2[[#This Row],[Comparable '#2 Dates]]),COUNTIF(Benchmark2[Benchmark '#2 Dates],Comp2[[#This Row],[Comparable '#2 Dates]]))=2,"Pass","Fail")</f>
        <v>Pass</v>
      </c>
      <c r="I875" s="1">
        <f>IFERROR(Comp2[[#This Row],[Comparable '#2 Return]]-INDEX(Benchmark1[Benchmark '#1 Return],MATCH(Comp2[[#This Row],[Comparable '#2 Dates]],Benchmark1[Benchmark '#1 Dates],0)),"-")</f>
        <v>3.879091384374108E-2</v>
      </c>
      <c r="L875" s="72">
        <f>Comp2[[#This Row],[Comparable '#2 Price]]/$B$2*100</f>
        <v>58.692152917505027</v>
      </c>
    </row>
    <row r="876" spans="1:12">
      <c r="A876" s="96">
        <v>44552</v>
      </c>
      <c r="B876" s="101">
        <v>29.39</v>
      </c>
      <c r="C876" s="4">
        <f t="shared" si="26"/>
        <v>7.5136965511958609E-3</v>
      </c>
      <c r="D876" s="1">
        <f>IFERROR(Comp2[[#This Row],[Comparable '#2 Return]]+1,"-")</f>
        <v>1.0075136965511959</v>
      </c>
      <c r="E876" s="6">
        <f>B876-MAX($B$2:B876)</f>
        <v>-28.769999999999996</v>
      </c>
      <c r="F876" s="80">
        <f t="shared" si="27"/>
        <v>783</v>
      </c>
      <c r="G876" s="77">
        <f>Comp2[[#This Row],[Comparable '#2 Drawdown]]/MAX($B$2:B876)</f>
        <v>-0.49466987620357628</v>
      </c>
      <c r="H876" s="1" t="str">
        <f>IF(SUM(COUNTIF(Benchmark1[Benchmark '#1 Dates],Comp2[[#This Row],[Comparable '#2 Dates]]),COUNTIF(Benchmark2[Benchmark '#2 Dates],Comp2[[#This Row],[Comparable '#2 Dates]]))=2,"Pass","Fail")</f>
        <v>Pass</v>
      </c>
      <c r="I876" s="1">
        <f>IFERROR(Comp2[[#This Row],[Comparable '#2 Return]]-INDEX(Benchmark1[Benchmark '#1 Return],MATCH(Comp2[[#This Row],[Comparable '#2 Dates]],Benchmark1[Benchmark '#1 Dates],0)),"-")</f>
        <v>-2.6160718433158566E-3</v>
      </c>
      <c r="L876" s="72">
        <f>Comp2[[#This Row],[Comparable '#2 Price]]/$B$2*100</f>
        <v>59.134808853118713</v>
      </c>
    </row>
    <row r="877" spans="1:12">
      <c r="A877" s="96">
        <v>44553</v>
      </c>
      <c r="B877" s="101">
        <v>30.02</v>
      </c>
      <c r="C877" s="4">
        <f t="shared" si="26"/>
        <v>2.1209345774489814E-2</v>
      </c>
      <c r="D877" s="1">
        <f>IFERROR(Comp2[[#This Row],[Comparable '#2 Return]]+1,"-")</f>
        <v>1.0212093457744897</v>
      </c>
      <c r="E877" s="6">
        <f>B877-MAX($B$2:B877)</f>
        <v>-28.139999999999997</v>
      </c>
      <c r="F877" s="80">
        <f t="shared" si="27"/>
        <v>784</v>
      </c>
      <c r="G877" s="77">
        <f>Comp2[[#This Row],[Comparable '#2 Drawdown]]/MAX($B$2:B877)</f>
        <v>-0.48383768913342501</v>
      </c>
      <c r="H877" s="1" t="str">
        <f>IF(SUM(COUNTIF(Benchmark1[Benchmark '#1 Dates],Comp2[[#This Row],[Comparable '#2 Dates]]),COUNTIF(Benchmark2[Benchmark '#2 Dates],Comp2[[#This Row],[Comparable '#2 Dates]]))=2,"Pass","Fail")</f>
        <v>Pass</v>
      </c>
      <c r="I877" s="1">
        <f>IFERROR(Comp2[[#This Row],[Comparable '#2 Return]]-INDEX(Benchmark1[Benchmark '#1 Return],MATCH(Comp2[[#This Row],[Comparable '#2 Dates]],Benchmark1[Benchmark '#1 Dates],0)),"-")</f>
        <v>1.5005635432032451E-2</v>
      </c>
      <c r="L877" s="72">
        <f>Comp2[[#This Row],[Comparable '#2 Price]]/$B$2*100</f>
        <v>60.402414486921529</v>
      </c>
    </row>
    <row r="878" spans="1:12">
      <c r="A878" s="96">
        <v>44557</v>
      </c>
      <c r="B878" s="101">
        <v>30.4</v>
      </c>
      <c r="C878" s="4">
        <f t="shared" si="26"/>
        <v>1.2578782206860185E-2</v>
      </c>
      <c r="D878" s="1">
        <f>IFERROR(Comp2[[#This Row],[Comparable '#2 Return]]+1,"-")</f>
        <v>1.0125787822068602</v>
      </c>
      <c r="E878" s="6">
        <f>B878-MAX($B$2:B878)</f>
        <v>-27.759999999999998</v>
      </c>
      <c r="F878" s="80">
        <f t="shared" si="27"/>
        <v>785</v>
      </c>
      <c r="G878" s="77">
        <f>Comp2[[#This Row],[Comparable '#2 Drawdown]]/MAX($B$2:B878)</f>
        <v>-0.47730398899587345</v>
      </c>
      <c r="H878" s="1" t="str">
        <f>IF(SUM(COUNTIF(Benchmark1[Benchmark '#1 Dates],Comp2[[#This Row],[Comparable '#2 Dates]]),COUNTIF(Benchmark2[Benchmark '#2 Dates],Comp2[[#This Row],[Comparable '#2 Dates]]))=2,"Pass","Fail")</f>
        <v>Pass</v>
      </c>
      <c r="I878" s="1">
        <f>IFERROR(Comp2[[#This Row],[Comparable '#2 Return]]-INDEX(Benchmark1[Benchmark '#1 Return],MATCH(Comp2[[#This Row],[Comparable '#2 Dates]],Benchmark1[Benchmark '#1 Dates],0)),"-")</f>
        <v>-1.1660698034452899E-3</v>
      </c>
      <c r="L878" s="72">
        <f>Comp2[[#This Row],[Comparable '#2 Price]]/$B$2*100</f>
        <v>61.167002012072423</v>
      </c>
    </row>
    <row r="879" spans="1:12">
      <c r="A879" s="96">
        <v>44558</v>
      </c>
      <c r="B879" s="101">
        <v>29.82</v>
      </c>
      <c r="C879" s="4">
        <f t="shared" si="26"/>
        <v>-1.9263299075583572E-2</v>
      </c>
      <c r="D879" s="1">
        <f>IFERROR(Comp2[[#This Row],[Comparable '#2 Return]]+1,"-")</f>
        <v>0.98073670092441645</v>
      </c>
      <c r="E879" s="6">
        <f>B879-MAX($B$2:B879)</f>
        <v>-28.339999999999996</v>
      </c>
      <c r="F879" s="80">
        <f t="shared" si="27"/>
        <v>786</v>
      </c>
      <c r="G879" s="77">
        <f>Comp2[[#This Row],[Comparable '#2 Drawdown]]/MAX($B$2:B879)</f>
        <v>-0.4872764786795048</v>
      </c>
      <c r="H879" s="1" t="str">
        <f>IF(SUM(COUNTIF(Benchmark1[Benchmark '#1 Dates],Comp2[[#This Row],[Comparable '#2 Dates]]),COUNTIF(Benchmark2[Benchmark '#2 Dates],Comp2[[#This Row],[Comparable '#2 Dates]]))=2,"Pass","Fail")</f>
        <v>Pass</v>
      </c>
      <c r="I879" s="1">
        <f>IFERROR(Comp2[[#This Row],[Comparable '#2 Return]]-INDEX(Benchmark1[Benchmark '#1 Return],MATCH(Comp2[[#This Row],[Comparable '#2 Dates]],Benchmark1[Benchmark '#1 Dates],0)),"-")</f>
        <v>-1.8253053234098097E-2</v>
      </c>
      <c r="L879" s="72">
        <f>Comp2[[#This Row],[Comparable '#2 Price]]/$B$2*100</f>
        <v>60</v>
      </c>
    </row>
    <row r="880" spans="1:12">
      <c r="A880" s="96">
        <v>44559</v>
      </c>
      <c r="B880" s="101">
        <v>29.16</v>
      </c>
      <c r="C880" s="4">
        <f t="shared" si="26"/>
        <v>-2.2381402196134995E-2</v>
      </c>
      <c r="D880" s="1">
        <f>IFERROR(Comp2[[#This Row],[Comparable '#2 Return]]+1,"-")</f>
        <v>0.97761859780386495</v>
      </c>
      <c r="E880" s="6">
        <f>B880-MAX($B$2:B880)</f>
        <v>-28.999999999999996</v>
      </c>
      <c r="F880" s="80">
        <f t="shared" si="27"/>
        <v>787</v>
      </c>
      <c r="G880" s="77">
        <f>Comp2[[#This Row],[Comparable '#2 Drawdown]]/MAX($B$2:B880)</f>
        <v>-0.49862448418156807</v>
      </c>
      <c r="H880" s="1" t="str">
        <f>IF(SUM(COUNTIF(Benchmark1[Benchmark '#1 Dates],Comp2[[#This Row],[Comparable '#2 Dates]]),COUNTIF(Benchmark2[Benchmark '#2 Dates],Comp2[[#This Row],[Comparable '#2 Dates]]))=2,"Pass","Fail")</f>
        <v>Pass</v>
      </c>
      <c r="I880" s="1">
        <f>IFERROR(Comp2[[#This Row],[Comparable '#2 Return]]-INDEX(Benchmark1[Benchmark '#1 Return],MATCH(Comp2[[#This Row],[Comparable '#2 Dates]],Benchmark1[Benchmark '#1 Dates],0)),"-")</f>
        <v>-2.3781071634842523E-2</v>
      </c>
      <c r="L880" s="72">
        <f>Comp2[[#This Row],[Comparable '#2 Price]]/$B$2*100</f>
        <v>58.672032193158955</v>
      </c>
    </row>
    <row r="881" spans="1:12">
      <c r="A881" s="96">
        <v>44560</v>
      </c>
      <c r="B881" s="101">
        <v>29.63</v>
      </c>
      <c r="C881" s="4">
        <f t="shared" si="26"/>
        <v>1.598945444501652E-2</v>
      </c>
      <c r="D881" s="1">
        <f>IFERROR(Comp2[[#This Row],[Comparable '#2 Return]]+1,"-")</f>
        <v>1.0159894544450165</v>
      </c>
      <c r="E881" s="6">
        <f>B881-MAX($B$2:B881)</f>
        <v>-28.529999999999998</v>
      </c>
      <c r="F881" s="80">
        <f t="shared" si="27"/>
        <v>788</v>
      </c>
      <c r="G881" s="77">
        <f>Comp2[[#This Row],[Comparable '#2 Drawdown]]/MAX($B$2:B881)</f>
        <v>-0.4905433287482806</v>
      </c>
      <c r="H881" s="1" t="str">
        <f>IF(SUM(COUNTIF(Benchmark1[Benchmark '#1 Dates],Comp2[[#This Row],[Comparable '#2 Dates]]),COUNTIF(Benchmark2[Benchmark '#2 Dates],Comp2[[#This Row],[Comparable '#2 Dates]]))=2,"Pass","Fail")</f>
        <v>Pass</v>
      </c>
      <c r="I881" s="1">
        <f>IFERROR(Comp2[[#This Row],[Comparable '#2 Return]]-INDEX(Benchmark1[Benchmark '#1 Return],MATCH(Comp2[[#This Row],[Comparable '#2 Dates]],Benchmark1[Benchmark '#1 Dates],0)),"-")</f>
        <v>1.8983927397011657E-2</v>
      </c>
      <c r="L881" s="72">
        <f>Comp2[[#This Row],[Comparable '#2 Price]]/$B$2*100</f>
        <v>59.617706237424542</v>
      </c>
    </row>
    <row r="882" spans="1:12">
      <c r="A882" s="96">
        <v>44561</v>
      </c>
      <c r="B882" s="101">
        <v>29.56</v>
      </c>
      <c r="C882" s="4">
        <f t="shared" si="26"/>
        <v>-2.3652655054729058E-3</v>
      </c>
      <c r="D882" s="1">
        <f>IFERROR(Comp2[[#This Row],[Comparable '#2 Return]]+1,"-")</f>
        <v>0.99763473449452711</v>
      </c>
      <c r="E882" s="6">
        <f>B882-MAX($B$2:B882)</f>
        <v>-28.599999999999998</v>
      </c>
      <c r="F882" s="80">
        <f t="shared" si="27"/>
        <v>789</v>
      </c>
      <c r="G882" s="77">
        <f>Comp2[[#This Row],[Comparable '#2 Drawdown]]/MAX($B$2:B882)</f>
        <v>-0.49174690508940855</v>
      </c>
      <c r="H882" s="1" t="str">
        <f>IF(SUM(COUNTIF(Benchmark1[Benchmark '#1 Dates],Comp2[[#This Row],[Comparable '#2 Dates]]),COUNTIF(Benchmark2[Benchmark '#2 Dates],Comp2[[#This Row],[Comparable '#2 Dates]]))=2,"Pass","Fail")</f>
        <v>Pass</v>
      </c>
      <c r="I882" s="1">
        <f>IFERROR(Comp2[[#This Row],[Comparable '#2 Return]]-INDEX(Benchmark1[Benchmark '#1 Return],MATCH(Comp2[[#This Row],[Comparable '#2 Dates]],Benchmark1[Benchmark '#1 Dates],0)),"-")</f>
        <v>2.6313881155420231E-4</v>
      </c>
      <c r="L882" s="72">
        <f>Comp2[[#This Row],[Comparable '#2 Price]]/$B$2*100</f>
        <v>59.476861167002006</v>
      </c>
    </row>
    <row r="883" spans="1:12">
      <c r="A883" s="96">
        <v>44564</v>
      </c>
      <c r="B883" s="101">
        <v>30.65</v>
      </c>
      <c r="C883" s="4">
        <f t="shared" si="26"/>
        <v>3.6210566302219305E-2</v>
      </c>
      <c r="D883" s="1">
        <f>IFERROR(Comp2[[#This Row],[Comparable '#2 Return]]+1,"-")</f>
        <v>1.0362105663022194</v>
      </c>
      <c r="E883" s="6">
        <f>B883-MAX($B$2:B883)</f>
        <v>-27.509999999999998</v>
      </c>
      <c r="F883" s="80">
        <f t="shared" si="27"/>
        <v>790</v>
      </c>
      <c r="G883" s="77">
        <f>Comp2[[#This Row],[Comparable '#2 Drawdown]]/MAX($B$2:B883)</f>
        <v>-0.47300550206327374</v>
      </c>
      <c r="H883" s="1" t="str">
        <f>IF(SUM(COUNTIF(Benchmark1[Benchmark '#1 Dates],Comp2[[#This Row],[Comparable '#2 Dates]]),COUNTIF(Benchmark2[Benchmark '#2 Dates],Comp2[[#This Row],[Comparable '#2 Dates]]))=2,"Pass","Fail")</f>
        <v>Pass</v>
      </c>
      <c r="I883" s="1">
        <f>IFERROR(Comp2[[#This Row],[Comparable '#2 Return]]-INDEX(Benchmark1[Benchmark '#1 Return],MATCH(Comp2[[#This Row],[Comparable '#2 Dates]],Benchmark1[Benchmark '#1 Dates],0)),"-")</f>
        <v>2.9857080950624962E-2</v>
      </c>
      <c r="L883" s="72">
        <f>Comp2[[#This Row],[Comparable '#2 Price]]/$B$2*100</f>
        <v>61.670020120724345</v>
      </c>
    </row>
    <row r="884" spans="1:12">
      <c r="A884" s="96">
        <v>44565</v>
      </c>
      <c r="B884" s="101">
        <v>31.5</v>
      </c>
      <c r="C884" s="4">
        <f t="shared" si="26"/>
        <v>2.7354883449366933E-2</v>
      </c>
      <c r="D884" s="1">
        <f>IFERROR(Comp2[[#This Row],[Comparable '#2 Return]]+1,"-")</f>
        <v>1.0273548834493669</v>
      </c>
      <c r="E884" s="6">
        <f>B884-MAX($B$2:B884)</f>
        <v>-26.659999999999997</v>
      </c>
      <c r="F884" s="80">
        <f t="shared" si="27"/>
        <v>791</v>
      </c>
      <c r="G884" s="77">
        <f>Comp2[[#This Row],[Comparable '#2 Drawdown]]/MAX($B$2:B884)</f>
        <v>-0.45839064649243461</v>
      </c>
      <c r="H884" s="1" t="str">
        <f>IF(SUM(COUNTIF(Benchmark1[Benchmark '#1 Dates],Comp2[[#This Row],[Comparable '#2 Dates]]),COUNTIF(Benchmark2[Benchmark '#2 Dates],Comp2[[#This Row],[Comparable '#2 Dates]]))=2,"Pass","Fail")</f>
        <v>Pass</v>
      </c>
      <c r="I884" s="1">
        <f>IFERROR(Comp2[[#This Row],[Comparable '#2 Return]]-INDEX(Benchmark1[Benchmark '#1 Return],MATCH(Comp2[[#This Row],[Comparable '#2 Dates]],Benchmark1[Benchmark '#1 Dates],0)),"-")</f>
        <v>2.7985539161456751E-2</v>
      </c>
      <c r="L884" s="72">
        <f>Comp2[[#This Row],[Comparable '#2 Price]]/$B$2*100</f>
        <v>63.380281690140841</v>
      </c>
    </row>
    <row r="885" spans="1:12">
      <c r="A885" s="96">
        <v>44566</v>
      </c>
      <c r="B885" s="101">
        <v>30.64</v>
      </c>
      <c r="C885" s="4">
        <f t="shared" si="26"/>
        <v>-2.7681200959196798E-2</v>
      </c>
      <c r="D885" s="1">
        <f>IFERROR(Comp2[[#This Row],[Comparable '#2 Return]]+1,"-")</f>
        <v>0.97231879904080321</v>
      </c>
      <c r="E885" s="6">
        <f>B885-MAX($B$2:B885)</f>
        <v>-27.519999999999996</v>
      </c>
      <c r="F885" s="80">
        <f t="shared" si="27"/>
        <v>792</v>
      </c>
      <c r="G885" s="77">
        <f>Comp2[[#This Row],[Comparable '#2 Drawdown]]/MAX($B$2:B885)</f>
        <v>-0.47317744154057767</v>
      </c>
      <c r="H885" s="1" t="str">
        <f>IF(SUM(COUNTIF(Benchmark1[Benchmark '#1 Dates],Comp2[[#This Row],[Comparable '#2 Dates]]),COUNTIF(Benchmark2[Benchmark '#2 Dates],Comp2[[#This Row],[Comparable '#2 Dates]]))=2,"Pass","Fail")</f>
        <v>Pass</v>
      </c>
      <c r="I885" s="1">
        <f>IFERROR(Comp2[[#This Row],[Comparable '#2 Return]]-INDEX(Benchmark1[Benchmark '#1 Return],MATCH(Comp2[[#This Row],[Comparable '#2 Dates]],Benchmark1[Benchmark '#1 Dates],0)),"-")</f>
        <v>-8.0981604481951859E-3</v>
      </c>
      <c r="L885" s="72">
        <f>Comp2[[#This Row],[Comparable '#2 Price]]/$B$2*100</f>
        <v>61.649899396378274</v>
      </c>
    </row>
    <row r="886" spans="1:12">
      <c r="A886" s="96">
        <v>44567</v>
      </c>
      <c r="B886" s="101">
        <v>30.58</v>
      </c>
      <c r="C886" s="4">
        <f t="shared" si="26"/>
        <v>-1.9601443714744008E-3</v>
      </c>
      <c r="D886" s="1">
        <f>IFERROR(Comp2[[#This Row],[Comparable '#2 Return]]+1,"-")</f>
        <v>0.9980398556285256</v>
      </c>
      <c r="E886" s="6">
        <f>B886-MAX($B$2:B886)</f>
        <v>-27.58</v>
      </c>
      <c r="F886" s="80">
        <f t="shared" si="27"/>
        <v>793</v>
      </c>
      <c r="G886" s="77">
        <f>Comp2[[#This Row],[Comparable '#2 Drawdown]]/MAX($B$2:B886)</f>
        <v>-0.47420907840440163</v>
      </c>
      <c r="H886" s="1" t="str">
        <f>IF(SUM(COUNTIF(Benchmark1[Benchmark '#1 Dates],Comp2[[#This Row],[Comparable '#2 Dates]]),COUNTIF(Benchmark2[Benchmark '#2 Dates],Comp2[[#This Row],[Comparable '#2 Dates]]))=2,"Pass","Fail")</f>
        <v>Pass</v>
      </c>
      <c r="I886" s="1">
        <f>IFERROR(Comp2[[#This Row],[Comparable '#2 Return]]-INDEX(Benchmark1[Benchmark '#1 Return],MATCH(Comp2[[#This Row],[Comparable '#2 Dates]],Benchmark1[Benchmark '#1 Dates],0)),"-")</f>
        <v>-9.9713109644499571E-4</v>
      </c>
      <c r="L886" s="72">
        <f>Comp2[[#This Row],[Comparable '#2 Price]]/$B$2*100</f>
        <v>61.529175050301802</v>
      </c>
    </row>
    <row r="887" spans="1:12">
      <c r="A887" s="96">
        <v>44568</v>
      </c>
      <c r="B887" s="101">
        <v>30.18</v>
      </c>
      <c r="C887" s="4">
        <f t="shared" si="26"/>
        <v>-1.3166747161213341E-2</v>
      </c>
      <c r="D887" s="1">
        <f>IFERROR(Comp2[[#This Row],[Comparable '#2 Return]]+1,"-")</f>
        <v>0.98683325283878665</v>
      </c>
      <c r="E887" s="6">
        <f>B887-MAX($B$2:B887)</f>
        <v>-27.979999999999997</v>
      </c>
      <c r="F887" s="80">
        <f t="shared" si="27"/>
        <v>794</v>
      </c>
      <c r="G887" s="77">
        <f>Comp2[[#This Row],[Comparable '#2 Drawdown]]/MAX($B$2:B887)</f>
        <v>-0.48108665749656121</v>
      </c>
      <c r="H887" s="1" t="str">
        <f>IF(SUM(COUNTIF(Benchmark1[Benchmark '#1 Dates],Comp2[[#This Row],[Comparable '#2 Dates]]),COUNTIF(Benchmark2[Benchmark '#2 Dates],Comp2[[#This Row],[Comparable '#2 Dates]]))=2,"Pass","Fail")</f>
        <v>Pass</v>
      </c>
      <c r="I887" s="1">
        <f>IFERROR(Comp2[[#This Row],[Comparable '#2 Return]]-INDEX(Benchmark1[Benchmark '#1 Return],MATCH(Comp2[[#This Row],[Comparable '#2 Dates]],Benchmark1[Benchmark '#1 Dates],0)),"-")</f>
        <v>-9.1069942500012699E-3</v>
      </c>
      <c r="L887" s="72">
        <f>Comp2[[#This Row],[Comparable '#2 Price]]/$B$2*100</f>
        <v>60.724346076458744</v>
      </c>
    </row>
    <row r="888" spans="1:12">
      <c r="A888" s="96">
        <v>44571</v>
      </c>
      <c r="B888" s="101">
        <v>30.21</v>
      </c>
      <c r="C888" s="4">
        <f t="shared" si="26"/>
        <v>9.9354205887773562E-4</v>
      </c>
      <c r="D888" s="1">
        <f>IFERROR(Comp2[[#This Row],[Comparable '#2 Return]]+1,"-")</f>
        <v>1.0009935420588778</v>
      </c>
      <c r="E888" s="6">
        <f>B888-MAX($B$2:B888)</f>
        <v>-27.949999999999996</v>
      </c>
      <c r="F888" s="80">
        <f t="shared" si="27"/>
        <v>795</v>
      </c>
      <c r="G888" s="77">
        <f>Comp2[[#This Row],[Comparable '#2 Drawdown]]/MAX($B$2:B888)</f>
        <v>-0.4805708390646492</v>
      </c>
      <c r="H888" s="1" t="str">
        <f>IF(SUM(COUNTIF(Benchmark1[Benchmark '#1 Dates],Comp2[[#This Row],[Comparable '#2 Dates]]),COUNTIF(Benchmark2[Benchmark '#2 Dates],Comp2[[#This Row],[Comparable '#2 Dates]]))=2,"Pass","Fail")</f>
        <v>Pass</v>
      </c>
      <c r="I888" s="1">
        <f>IFERROR(Comp2[[#This Row],[Comparable '#2 Return]]-INDEX(Benchmark1[Benchmark '#1 Return],MATCH(Comp2[[#This Row],[Comparable '#2 Dates]],Benchmark1[Benchmark '#1 Dates],0)),"-")</f>
        <v>2.4350848091551618E-3</v>
      </c>
      <c r="L888" s="72">
        <f>Comp2[[#This Row],[Comparable '#2 Price]]/$B$2*100</f>
        <v>60.78470824949698</v>
      </c>
    </row>
    <row r="889" spans="1:12">
      <c r="A889" s="96">
        <v>44572</v>
      </c>
      <c r="B889" s="101">
        <v>30.53</v>
      </c>
      <c r="C889" s="4">
        <f t="shared" si="26"/>
        <v>1.0536811348205834E-2</v>
      </c>
      <c r="D889" s="1">
        <f>IFERROR(Comp2[[#This Row],[Comparable '#2 Return]]+1,"-")</f>
        <v>1.0105368113482058</v>
      </c>
      <c r="E889" s="6">
        <f>B889-MAX($B$2:B889)</f>
        <v>-27.629999999999995</v>
      </c>
      <c r="F889" s="80">
        <f t="shared" si="27"/>
        <v>796</v>
      </c>
      <c r="G889" s="77">
        <f>Comp2[[#This Row],[Comparable '#2 Drawdown]]/MAX($B$2:B889)</f>
        <v>-0.47506877579092155</v>
      </c>
      <c r="H889" s="1" t="str">
        <f>IF(SUM(COUNTIF(Benchmark1[Benchmark '#1 Dates],Comp2[[#This Row],[Comparable '#2 Dates]]),COUNTIF(Benchmark2[Benchmark '#2 Dates],Comp2[[#This Row],[Comparable '#2 Dates]]))=2,"Pass","Fail")</f>
        <v>Pass</v>
      </c>
      <c r="I889" s="1">
        <f>IFERROR(Comp2[[#This Row],[Comparable '#2 Return]]-INDEX(Benchmark1[Benchmark '#1 Return],MATCH(Comp2[[#This Row],[Comparable '#2 Dates]],Benchmark1[Benchmark '#1 Dates],0)),"-")</f>
        <v>1.4191285206927098E-3</v>
      </c>
      <c r="L889" s="72">
        <f>Comp2[[#This Row],[Comparable '#2 Price]]/$B$2*100</f>
        <v>61.428571428571431</v>
      </c>
    </row>
    <row r="890" spans="1:12">
      <c r="A890" s="96">
        <v>44573</v>
      </c>
      <c r="B890" s="101">
        <v>29.49</v>
      </c>
      <c r="C890" s="4">
        <f t="shared" si="26"/>
        <v>-3.4658583919601714E-2</v>
      </c>
      <c r="D890" s="1">
        <f>IFERROR(Comp2[[#This Row],[Comparable '#2 Return]]+1,"-")</f>
        <v>0.96534141608039825</v>
      </c>
      <c r="E890" s="6">
        <f>B890-MAX($B$2:B890)</f>
        <v>-28.669999999999998</v>
      </c>
      <c r="F890" s="80">
        <f t="shared" si="27"/>
        <v>797</v>
      </c>
      <c r="G890" s="77">
        <f>Comp2[[#This Row],[Comparable '#2 Drawdown]]/MAX($B$2:B890)</f>
        <v>-0.49295048143053644</v>
      </c>
      <c r="H890" s="1" t="str">
        <f>IF(SUM(COUNTIF(Benchmark1[Benchmark '#1 Dates],Comp2[[#This Row],[Comparable '#2 Dates]]),COUNTIF(Benchmark2[Benchmark '#2 Dates],Comp2[[#This Row],[Comparable '#2 Dates]]))=2,"Pass","Fail")</f>
        <v>Pass</v>
      </c>
      <c r="I890" s="1">
        <f>IFERROR(Comp2[[#This Row],[Comparable '#2 Return]]-INDEX(Benchmark1[Benchmark '#1 Return],MATCH(Comp2[[#This Row],[Comparable '#2 Dates]],Benchmark1[Benchmark '#1 Dates],0)),"-")</f>
        <v>-3.7471981225844844E-2</v>
      </c>
      <c r="L890" s="72">
        <f>Comp2[[#This Row],[Comparable '#2 Price]]/$B$2*100</f>
        <v>59.336016096579471</v>
      </c>
    </row>
    <row r="891" spans="1:12">
      <c r="A891" s="96">
        <v>44574</v>
      </c>
      <c r="B891" s="101">
        <v>29.42</v>
      </c>
      <c r="C891" s="4">
        <f t="shared" si="26"/>
        <v>-2.3765076538933491E-3</v>
      </c>
      <c r="D891" s="1">
        <f>IFERROR(Comp2[[#This Row],[Comparable '#2 Return]]+1,"-")</f>
        <v>0.9976234923461067</v>
      </c>
      <c r="E891" s="6">
        <f>B891-MAX($B$2:B891)</f>
        <v>-28.739999999999995</v>
      </c>
      <c r="F891" s="80">
        <f t="shared" si="27"/>
        <v>798</v>
      </c>
      <c r="G891" s="77">
        <f>Comp2[[#This Row],[Comparable '#2 Drawdown]]/MAX($B$2:B891)</f>
        <v>-0.49415405777166432</v>
      </c>
      <c r="H891" s="1" t="str">
        <f>IF(SUM(COUNTIF(Benchmark1[Benchmark '#1 Dates],Comp2[[#This Row],[Comparable '#2 Dates]]),COUNTIF(Benchmark2[Benchmark '#2 Dates],Comp2[[#This Row],[Comparable '#2 Dates]]))=2,"Pass","Fail")</f>
        <v>Pass</v>
      </c>
      <c r="I891" s="1">
        <f>IFERROR(Comp2[[#This Row],[Comparable '#2 Return]]-INDEX(Benchmark1[Benchmark '#1 Return],MATCH(Comp2[[#This Row],[Comparable '#2 Dates]],Benchmark1[Benchmark '#1 Dates],0)),"-")</f>
        <v>1.1969517811786149E-2</v>
      </c>
      <c r="L891" s="72">
        <f>Comp2[[#This Row],[Comparable '#2 Price]]/$B$2*100</f>
        <v>59.195171026156942</v>
      </c>
    </row>
    <row r="892" spans="1:12">
      <c r="A892" s="96">
        <v>44575</v>
      </c>
      <c r="B892" s="101">
        <v>29.7</v>
      </c>
      <c r="C892" s="4">
        <f t="shared" si="26"/>
        <v>9.4723306353624442E-3</v>
      </c>
      <c r="D892" s="1">
        <f>IFERROR(Comp2[[#This Row],[Comparable '#2 Return]]+1,"-")</f>
        <v>1.0094723306353623</v>
      </c>
      <c r="E892" s="6">
        <f>B892-MAX($B$2:B892)</f>
        <v>-28.459999999999997</v>
      </c>
      <c r="F892" s="80">
        <f t="shared" si="27"/>
        <v>799</v>
      </c>
      <c r="G892" s="77">
        <f>Comp2[[#This Row],[Comparable '#2 Drawdown]]/MAX($B$2:B892)</f>
        <v>-0.48933975240715266</v>
      </c>
      <c r="H892" s="1" t="str">
        <f>IF(SUM(COUNTIF(Benchmark1[Benchmark '#1 Dates],Comp2[[#This Row],[Comparable '#2 Dates]]),COUNTIF(Benchmark2[Benchmark '#2 Dates],Comp2[[#This Row],[Comparable '#2 Dates]]))=2,"Pass","Fail")</f>
        <v>Pass</v>
      </c>
      <c r="I892" s="1">
        <f>IFERROR(Comp2[[#This Row],[Comparable '#2 Return]]-INDEX(Benchmark1[Benchmark '#1 Return],MATCH(Comp2[[#This Row],[Comparable '#2 Dates]],Benchmark1[Benchmark '#1 Dates],0)),"-")</f>
        <v>8.6509021258653375E-3</v>
      </c>
      <c r="L892" s="72">
        <f>Comp2[[#This Row],[Comparable '#2 Price]]/$B$2*100</f>
        <v>59.758551307847071</v>
      </c>
    </row>
    <row r="893" spans="1:12">
      <c r="A893" s="96">
        <v>44579</v>
      </c>
      <c r="B893" s="101">
        <v>29.37</v>
      </c>
      <c r="C893" s="4">
        <f t="shared" si="26"/>
        <v>-1.1173300598125189E-2</v>
      </c>
      <c r="D893" s="1">
        <f>IFERROR(Comp2[[#This Row],[Comparable '#2 Return]]+1,"-")</f>
        <v>0.98882669940187484</v>
      </c>
      <c r="E893" s="6">
        <f>B893-MAX($B$2:B893)</f>
        <v>-28.789999999999996</v>
      </c>
      <c r="F893" s="80">
        <f t="shared" si="27"/>
        <v>800</v>
      </c>
      <c r="G893" s="77">
        <f>Comp2[[#This Row],[Comparable '#2 Drawdown]]/MAX($B$2:B893)</f>
        <v>-0.4950137551581843</v>
      </c>
      <c r="H893" s="1" t="str">
        <f>IF(SUM(COUNTIF(Benchmark1[Benchmark '#1 Dates],Comp2[[#This Row],[Comparable '#2 Dates]]),COUNTIF(Benchmark2[Benchmark '#2 Dates],Comp2[[#This Row],[Comparable '#2 Dates]]))=2,"Pass","Fail")</f>
        <v>Pass</v>
      </c>
      <c r="I893" s="1">
        <f>IFERROR(Comp2[[#This Row],[Comparable '#2 Return]]-INDEX(Benchmark1[Benchmark '#1 Return],MATCH(Comp2[[#This Row],[Comparable '#2 Dates]],Benchmark1[Benchmark '#1 Dates],0)),"-")</f>
        <v>7.3869867184048789E-3</v>
      </c>
      <c r="L893" s="72">
        <f>Comp2[[#This Row],[Comparable '#2 Price]]/$B$2*100</f>
        <v>59.094567404426556</v>
      </c>
    </row>
    <row r="894" spans="1:12">
      <c r="A894" s="96">
        <v>44580</v>
      </c>
      <c r="B894" s="101">
        <v>28.58</v>
      </c>
      <c r="C894" s="4">
        <f t="shared" si="26"/>
        <v>-2.7266572708807446E-2</v>
      </c>
      <c r="D894" s="1">
        <f>IFERROR(Comp2[[#This Row],[Comparable '#2 Return]]+1,"-")</f>
        <v>0.9727334272911925</v>
      </c>
      <c r="E894" s="6">
        <f>B894-MAX($B$2:B894)</f>
        <v>-29.58</v>
      </c>
      <c r="F894" s="80">
        <f t="shared" si="27"/>
        <v>801</v>
      </c>
      <c r="G894" s="77">
        <f>Comp2[[#This Row],[Comparable '#2 Drawdown]]/MAX($B$2:B894)</f>
        <v>-0.50859697386519942</v>
      </c>
      <c r="H894" s="1" t="str">
        <f>IF(SUM(COUNTIF(Benchmark1[Benchmark '#1 Dates],Comp2[[#This Row],[Comparable '#2 Dates]]),COUNTIF(Benchmark2[Benchmark '#2 Dates],Comp2[[#This Row],[Comparable '#2 Dates]]))=2,"Pass","Fail")</f>
        <v>Pass</v>
      </c>
      <c r="I894" s="1">
        <f>IFERROR(Comp2[[#This Row],[Comparable '#2 Return]]-INDEX(Benchmark1[Benchmark '#1 Return],MATCH(Comp2[[#This Row],[Comparable '#2 Dates]],Benchmark1[Benchmark '#1 Dates],0)),"-")</f>
        <v>-1.7530069931218042E-2</v>
      </c>
      <c r="L894" s="72">
        <f>Comp2[[#This Row],[Comparable '#2 Price]]/$B$2*100</f>
        <v>57.505030181086511</v>
      </c>
    </row>
    <row r="895" spans="1:12">
      <c r="A895" s="96">
        <v>44581</v>
      </c>
      <c r="B895" s="101">
        <v>28.29</v>
      </c>
      <c r="C895" s="4">
        <f t="shared" si="26"/>
        <v>-1.0198787188245505E-2</v>
      </c>
      <c r="D895" s="1">
        <f>IFERROR(Comp2[[#This Row],[Comparable '#2 Return]]+1,"-")</f>
        <v>0.98980121281175448</v>
      </c>
      <c r="E895" s="6">
        <f>B895-MAX($B$2:B895)</f>
        <v>-29.869999999999997</v>
      </c>
      <c r="F895" s="80">
        <f t="shared" si="27"/>
        <v>802</v>
      </c>
      <c r="G895" s="77">
        <f>Comp2[[#This Row],[Comparable '#2 Drawdown]]/MAX($B$2:B895)</f>
        <v>-0.51358321870701507</v>
      </c>
      <c r="H895" s="1" t="str">
        <f>IF(SUM(COUNTIF(Benchmark1[Benchmark '#1 Dates],Comp2[[#This Row],[Comparable '#2 Dates]]),COUNTIF(Benchmark2[Benchmark '#2 Dates],Comp2[[#This Row],[Comparable '#2 Dates]]))=2,"Pass","Fail")</f>
        <v>Pass</v>
      </c>
      <c r="I895" s="1">
        <f>IFERROR(Comp2[[#This Row],[Comparable '#2 Return]]-INDEX(Benchmark1[Benchmark '#1 Return],MATCH(Comp2[[#This Row],[Comparable '#2 Dates]],Benchmark1[Benchmark '#1 Dates],0)),"-")</f>
        <v>9.0045400900339717E-4</v>
      </c>
      <c r="L895" s="72">
        <f>Comp2[[#This Row],[Comparable '#2 Price]]/$B$2*100</f>
        <v>56.921529175050303</v>
      </c>
    </row>
    <row r="896" spans="1:12">
      <c r="A896" s="96">
        <v>44582</v>
      </c>
      <c r="B896" s="101">
        <v>27.9</v>
      </c>
      <c r="C896" s="4">
        <f t="shared" si="26"/>
        <v>-1.3881696486155861E-2</v>
      </c>
      <c r="D896" s="1">
        <f>IFERROR(Comp2[[#This Row],[Comparable '#2 Return]]+1,"-")</f>
        <v>0.98611830351384411</v>
      </c>
      <c r="E896" s="6">
        <f>B896-MAX($B$2:B896)</f>
        <v>-30.259999999999998</v>
      </c>
      <c r="F896" s="80">
        <f t="shared" si="27"/>
        <v>803</v>
      </c>
      <c r="G896" s="77">
        <f>Comp2[[#This Row],[Comparable '#2 Drawdown]]/MAX($B$2:B896)</f>
        <v>-0.52028885832187066</v>
      </c>
      <c r="H896" s="1" t="str">
        <f>IF(SUM(COUNTIF(Benchmark1[Benchmark '#1 Dates],Comp2[[#This Row],[Comparable '#2 Dates]]),COUNTIF(Benchmark2[Benchmark '#2 Dates],Comp2[[#This Row],[Comparable '#2 Dates]]))=2,"Pass","Fail")</f>
        <v>Pass</v>
      </c>
      <c r="I896" s="1">
        <f>IFERROR(Comp2[[#This Row],[Comparable '#2 Return]]-INDEX(Benchmark1[Benchmark '#1 Return],MATCH(Comp2[[#This Row],[Comparable '#2 Dates]],Benchmark1[Benchmark '#1 Dates],0)),"-")</f>
        <v>5.2139429456212263E-3</v>
      </c>
      <c r="L896" s="72">
        <f>Comp2[[#This Row],[Comparable '#2 Price]]/$B$2*100</f>
        <v>56.136820925553309</v>
      </c>
    </row>
    <row r="897" spans="1:12">
      <c r="A897" s="96">
        <v>44585</v>
      </c>
      <c r="B897" s="101">
        <v>31.71</v>
      </c>
      <c r="C897" s="4">
        <f t="shared" si="26"/>
        <v>0.12800539972293615</v>
      </c>
      <c r="D897" s="1">
        <f>IFERROR(Comp2[[#This Row],[Comparable '#2 Return]]+1,"-")</f>
        <v>1.1280053997229362</v>
      </c>
      <c r="E897" s="6">
        <f>B897-MAX($B$2:B897)</f>
        <v>-26.449999999999996</v>
      </c>
      <c r="F897" s="80">
        <f t="shared" si="27"/>
        <v>804</v>
      </c>
      <c r="G897" s="77">
        <f>Comp2[[#This Row],[Comparable '#2 Drawdown]]/MAX($B$2:B897)</f>
        <v>-0.45477991746905083</v>
      </c>
      <c r="H897" s="1" t="str">
        <f>IF(SUM(COUNTIF(Benchmark1[Benchmark '#1 Dates],Comp2[[#This Row],[Comparable '#2 Dates]]),COUNTIF(Benchmark2[Benchmark '#2 Dates],Comp2[[#This Row],[Comparable '#2 Dates]]))=2,"Pass","Fail")</f>
        <v>Pass</v>
      </c>
      <c r="I897" s="1">
        <f>IFERROR(Comp2[[#This Row],[Comparable '#2 Return]]-INDEX(Benchmark1[Benchmark '#1 Return],MATCH(Comp2[[#This Row],[Comparable '#2 Dates]],Benchmark1[Benchmark '#1 Dates],0)),"-")</f>
        <v>0.12523787768561906</v>
      </c>
      <c r="L897" s="72">
        <f>Comp2[[#This Row],[Comparable '#2 Price]]/$B$2*100</f>
        <v>63.802816901408441</v>
      </c>
    </row>
    <row r="898" spans="1:12">
      <c r="A898" s="96">
        <v>44586</v>
      </c>
      <c r="B898" s="101">
        <v>30.5</v>
      </c>
      <c r="C898" s="4">
        <f t="shared" ref="C898:C961" si="28">IFERROR(IF(B898="","-",LN(B898/B897)),"-")</f>
        <v>-3.8905404936890008E-2</v>
      </c>
      <c r="D898" s="1">
        <f>IFERROR(Comp2[[#This Row],[Comparable '#2 Return]]+1,"-")</f>
        <v>0.96109459506311001</v>
      </c>
      <c r="E898" s="6">
        <f>B898-MAX($B$2:B898)</f>
        <v>-27.659999999999997</v>
      </c>
      <c r="F898" s="80">
        <f t="shared" ref="F898:F961" si="29">IF(E898=0,0,F897+1)</f>
        <v>805</v>
      </c>
      <c r="G898" s="77">
        <f>Comp2[[#This Row],[Comparable '#2 Drawdown]]/MAX($B$2:B898)</f>
        <v>-0.47558459422283356</v>
      </c>
      <c r="H898" s="1" t="str">
        <f>IF(SUM(COUNTIF(Benchmark1[Benchmark '#1 Dates],Comp2[[#This Row],[Comparable '#2 Dates]]),COUNTIF(Benchmark2[Benchmark '#2 Dates],Comp2[[#This Row],[Comparable '#2 Dates]]))=2,"Pass","Fail")</f>
        <v>Pass</v>
      </c>
      <c r="I898" s="1">
        <f>IFERROR(Comp2[[#This Row],[Comparable '#2 Return]]-INDEX(Benchmark1[Benchmark '#1 Return],MATCH(Comp2[[#This Row],[Comparable '#2 Dates]],Benchmark1[Benchmark '#1 Dates],0)),"-")</f>
        <v>-2.666021612548734E-2</v>
      </c>
      <c r="L898" s="72">
        <f>Comp2[[#This Row],[Comparable '#2 Price]]/$B$2*100</f>
        <v>61.368209255533188</v>
      </c>
    </row>
    <row r="899" spans="1:12">
      <c r="A899" s="96">
        <v>44587</v>
      </c>
      <c r="B899" s="101">
        <v>29.66</v>
      </c>
      <c r="C899" s="4">
        <f t="shared" si="28"/>
        <v>-2.7927346903579849E-2</v>
      </c>
      <c r="D899" s="1">
        <f>IFERROR(Comp2[[#This Row],[Comparable '#2 Return]]+1,"-")</f>
        <v>0.9720726530964201</v>
      </c>
      <c r="E899" s="6">
        <f>B899-MAX($B$2:B899)</f>
        <v>-28.499999999999996</v>
      </c>
      <c r="F899" s="80">
        <f t="shared" si="29"/>
        <v>806</v>
      </c>
      <c r="G899" s="77">
        <f>Comp2[[#This Row],[Comparable '#2 Drawdown]]/MAX($B$2:B899)</f>
        <v>-0.4900275103163686</v>
      </c>
      <c r="H899" s="1" t="str">
        <f>IF(SUM(COUNTIF(Benchmark1[Benchmark '#1 Dates],Comp2[[#This Row],[Comparable '#2 Dates]]),COUNTIF(Benchmark2[Benchmark '#2 Dates],Comp2[[#This Row],[Comparable '#2 Dates]]))=2,"Pass","Fail")</f>
        <v>Pass</v>
      </c>
      <c r="I899" s="1">
        <f>IFERROR(Comp2[[#This Row],[Comparable '#2 Return]]-INDEX(Benchmark1[Benchmark '#1 Return],MATCH(Comp2[[#This Row],[Comparable '#2 Dates]],Benchmark1[Benchmark '#1 Dates],0)),"-")</f>
        <v>-2.6428391346886796E-2</v>
      </c>
      <c r="L899" s="72">
        <f>Comp2[[#This Row],[Comparable '#2 Price]]/$B$2*100</f>
        <v>59.678068410462771</v>
      </c>
    </row>
    <row r="900" spans="1:12">
      <c r="A900" s="96">
        <v>44588</v>
      </c>
      <c r="B900" s="101">
        <v>28.55</v>
      </c>
      <c r="C900" s="4">
        <f t="shared" si="28"/>
        <v>-3.814240060776676E-2</v>
      </c>
      <c r="D900" s="1">
        <f>IFERROR(Comp2[[#This Row],[Comparable '#2 Return]]+1,"-")</f>
        <v>0.96185759939223325</v>
      </c>
      <c r="E900" s="6">
        <f>B900-MAX($B$2:B900)</f>
        <v>-29.609999999999996</v>
      </c>
      <c r="F900" s="80">
        <f t="shared" si="29"/>
        <v>807</v>
      </c>
      <c r="G900" s="77">
        <f>Comp2[[#This Row],[Comparable '#2 Drawdown]]/MAX($B$2:B900)</f>
        <v>-0.50911279229711137</v>
      </c>
      <c r="H900" s="1" t="str">
        <f>IF(SUM(COUNTIF(Benchmark1[Benchmark '#1 Dates],Comp2[[#This Row],[Comparable '#2 Dates]]),COUNTIF(Benchmark2[Benchmark '#2 Dates],Comp2[[#This Row],[Comparable '#2 Dates]]))=2,"Pass","Fail")</f>
        <v>Pass</v>
      </c>
      <c r="I900" s="1">
        <f>IFERROR(Comp2[[#This Row],[Comparable '#2 Return]]-INDEX(Benchmark1[Benchmark '#1 Return],MATCH(Comp2[[#This Row],[Comparable '#2 Dates]],Benchmark1[Benchmark '#1 Dates],0)),"-")</f>
        <v>-3.2745024590075493E-2</v>
      </c>
      <c r="L900" s="72">
        <f>Comp2[[#This Row],[Comparable '#2 Price]]/$B$2*100</f>
        <v>57.444668008048282</v>
      </c>
    </row>
    <row r="901" spans="1:12">
      <c r="A901" s="96">
        <v>44589</v>
      </c>
      <c r="B901" s="101">
        <v>28.48</v>
      </c>
      <c r="C901" s="4">
        <f t="shared" si="28"/>
        <v>-2.4548495582441768E-3</v>
      </c>
      <c r="D901" s="1">
        <f>IFERROR(Comp2[[#This Row],[Comparable '#2 Return]]+1,"-")</f>
        <v>0.99754515044175585</v>
      </c>
      <c r="E901" s="6">
        <f>B901-MAX($B$2:B901)</f>
        <v>-29.679999999999996</v>
      </c>
      <c r="F901" s="80">
        <f t="shared" si="29"/>
        <v>808</v>
      </c>
      <c r="G901" s="77">
        <f>Comp2[[#This Row],[Comparable '#2 Drawdown]]/MAX($B$2:B901)</f>
        <v>-0.51031636863823926</v>
      </c>
      <c r="H901" s="1" t="str">
        <f>IF(SUM(COUNTIF(Benchmark1[Benchmark '#1 Dates],Comp2[[#This Row],[Comparable '#2 Dates]]),COUNTIF(Benchmark2[Benchmark '#2 Dates],Comp2[[#This Row],[Comparable '#2 Dates]]))=2,"Pass","Fail")</f>
        <v>Pass</v>
      </c>
      <c r="I901" s="1">
        <f>IFERROR(Comp2[[#This Row],[Comparable '#2 Return]]-INDEX(Benchmark1[Benchmark '#1 Return],MATCH(Comp2[[#This Row],[Comparable '#2 Dates]],Benchmark1[Benchmark '#1 Dates],0)),"-")</f>
        <v>-2.6509691445712892E-2</v>
      </c>
      <c r="L901" s="72">
        <f>Comp2[[#This Row],[Comparable '#2 Price]]/$B$2*100</f>
        <v>57.303822937625746</v>
      </c>
    </row>
    <row r="902" spans="1:12">
      <c r="A902" s="96">
        <v>44592</v>
      </c>
      <c r="B902" s="101">
        <v>29.42</v>
      </c>
      <c r="C902" s="4">
        <f t="shared" si="28"/>
        <v>3.247262862951656E-2</v>
      </c>
      <c r="D902" s="1">
        <f>IFERROR(Comp2[[#This Row],[Comparable '#2 Return]]+1,"-")</f>
        <v>1.0324726286295165</v>
      </c>
      <c r="E902" s="6">
        <f>B902-MAX($B$2:B902)</f>
        <v>-28.739999999999995</v>
      </c>
      <c r="F902" s="80">
        <f t="shared" si="29"/>
        <v>809</v>
      </c>
      <c r="G902" s="77">
        <f>Comp2[[#This Row],[Comparable '#2 Drawdown]]/MAX($B$2:B902)</f>
        <v>-0.49415405777166432</v>
      </c>
      <c r="H902" s="1" t="str">
        <f>IF(SUM(COUNTIF(Benchmark1[Benchmark '#1 Dates],Comp2[[#This Row],[Comparable '#2 Dates]]),COUNTIF(Benchmark2[Benchmark '#2 Dates],Comp2[[#This Row],[Comparable '#2 Dates]]))=2,"Pass","Fail")</f>
        <v>Pass</v>
      </c>
      <c r="I902" s="1">
        <f>IFERROR(Comp2[[#This Row],[Comparable '#2 Return]]-INDEX(Benchmark1[Benchmark '#1 Return],MATCH(Comp2[[#This Row],[Comparable '#2 Dates]],Benchmark1[Benchmark '#1 Dates],0)),"-")</f>
        <v>1.3763074477240438E-2</v>
      </c>
      <c r="L902" s="72">
        <f>Comp2[[#This Row],[Comparable '#2 Price]]/$B$2*100</f>
        <v>59.195171026156942</v>
      </c>
    </row>
    <row r="903" spans="1:12">
      <c r="A903" s="96">
        <v>44593</v>
      </c>
      <c r="B903" s="101">
        <v>29.37</v>
      </c>
      <c r="C903" s="4">
        <f t="shared" si="28"/>
        <v>-1.7009699627627641E-3</v>
      </c>
      <c r="D903" s="1">
        <f>IFERROR(Comp2[[#This Row],[Comparable '#2 Return]]+1,"-")</f>
        <v>0.99829903003723719</v>
      </c>
      <c r="E903" s="6">
        <f>B903-MAX($B$2:B903)</f>
        <v>-28.789999999999996</v>
      </c>
      <c r="F903" s="80">
        <f t="shared" si="29"/>
        <v>810</v>
      </c>
      <c r="G903" s="77">
        <f>Comp2[[#This Row],[Comparable '#2 Drawdown]]/MAX($B$2:B903)</f>
        <v>-0.4950137551581843</v>
      </c>
      <c r="H903" s="1" t="str">
        <f>IF(SUM(COUNTIF(Benchmark1[Benchmark '#1 Dates],Comp2[[#This Row],[Comparable '#2 Dates]]),COUNTIF(Benchmark2[Benchmark '#2 Dates],Comp2[[#This Row],[Comparable '#2 Dates]]))=2,"Pass","Fail")</f>
        <v>Pass</v>
      </c>
      <c r="I903" s="1">
        <f>IFERROR(Comp2[[#This Row],[Comparable '#2 Return]]-INDEX(Benchmark1[Benchmark '#1 Return],MATCH(Comp2[[#This Row],[Comparable '#2 Dates]],Benchmark1[Benchmark '#1 Dates],0)),"-")</f>
        <v>-8.5408003846588771E-3</v>
      </c>
      <c r="L903" s="72">
        <f>Comp2[[#This Row],[Comparable '#2 Price]]/$B$2*100</f>
        <v>59.094567404426556</v>
      </c>
    </row>
    <row r="904" spans="1:12">
      <c r="A904" s="96">
        <v>44594</v>
      </c>
      <c r="B904" s="101">
        <v>28.58</v>
      </c>
      <c r="C904" s="4">
        <f t="shared" si="28"/>
        <v>-2.7266572708807446E-2</v>
      </c>
      <c r="D904" s="1">
        <f>IFERROR(Comp2[[#This Row],[Comparable '#2 Return]]+1,"-")</f>
        <v>0.9727334272911925</v>
      </c>
      <c r="E904" s="6">
        <f>B904-MAX($B$2:B904)</f>
        <v>-29.58</v>
      </c>
      <c r="F904" s="80">
        <f t="shared" si="29"/>
        <v>811</v>
      </c>
      <c r="G904" s="77">
        <f>Comp2[[#This Row],[Comparable '#2 Drawdown]]/MAX($B$2:B904)</f>
        <v>-0.50859697386519942</v>
      </c>
      <c r="H904" s="1" t="str">
        <f>IF(SUM(COUNTIF(Benchmark1[Benchmark '#1 Dates],Comp2[[#This Row],[Comparable '#2 Dates]]),COUNTIF(Benchmark2[Benchmark '#2 Dates],Comp2[[#This Row],[Comparable '#2 Dates]]))=2,"Pass","Fail")</f>
        <v>Pass</v>
      </c>
      <c r="I904" s="1">
        <f>IFERROR(Comp2[[#This Row],[Comparable '#2 Return]]-INDEX(Benchmark1[Benchmark '#1 Return],MATCH(Comp2[[#This Row],[Comparable '#2 Dates]],Benchmark1[Benchmark '#1 Dates],0)),"-")</f>
        <v>-3.6644471955324401E-2</v>
      </c>
      <c r="L904" s="72">
        <f>Comp2[[#This Row],[Comparable '#2 Price]]/$B$2*100</f>
        <v>57.505030181086511</v>
      </c>
    </row>
    <row r="905" spans="1:12">
      <c r="A905" s="96">
        <v>44595</v>
      </c>
      <c r="B905" s="101">
        <v>27.98</v>
      </c>
      <c r="C905" s="4">
        <f t="shared" si="28"/>
        <v>-2.1217203264386118E-2</v>
      </c>
      <c r="D905" s="1">
        <f>IFERROR(Comp2[[#This Row],[Comparable '#2 Return]]+1,"-")</f>
        <v>0.97878279673561386</v>
      </c>
      <c r="E905" s="6">
        <f>B905-MAX($B$2:B905)</f>
        <v>-30.179999999999996</v>
      </c>
      <c r="F905" s="80">
        <f t="shared" si="29"/>
        <v>812</v>
      </c>
      <c r="G905" s="77">
        <f>Comp2[[#This Row],[Comparable '#2 Drawdown]]/MAX($B$2:B905)</f>
        <v>-0.51891334250343879</v>
      </c>
      <c r="H905" s="1" t="str">
        <f>IF(SUM(COUNTIF(Benchmark1[Benchmark '#1 Dates],Comp2[[#This Row],[Comparable '#2 Dates]]),COUNTIF(Benchmark2[Benchmark '#2 Dates],Comp2[[#This Row],[Comparable '#2 Dates]]))=2,"Pass","Fail")</f>
        <v>Pass</v>
      </c>
      <c r="I905" s="1">
        <f>IFERROR(Comp2[[#This Row],[Comparable '#2 Return]]-INDEX(Benchmark1[Benchmark '#1 Return],MATCH(Comp2[[#This Row],[Comparable '#2 Dates]],Benchmark1[Benchmark '#1 Dates],0)),"-")</f>
        <v>3.4750949369273913E-3</v>
      </c>
      <c r="L905" s="72">
        <f>Comp2[[#This Row],[Comparable '#2 Price]]/$B$2*100</f>
        <v>56.29778672032193</v>
      </c>
    </row>
    <row r="906" spans="1:12">
      <c r="A906" s="96">
        <v>44596</v>
      </c>
      <c r="B906" s="101">
        <v>28.22</v>
      </c>
      <c r="C906" s="4">
        <f t="shared" si="28"/>
        <v>8.5409771873326823E-3</v>
      </c>
      <c r="D906" s="1">
        <f>IFERROR(Comp2[[#This Row],[Comparable '#2 Return]]+1,"-")</f>
        <v>1.0085409771873326</v>
      </c>
      <c r="E906" s="6">
        <f>B906-MAX($B$2:B906)</f>
        <v>-29.939999999999998</v>
      </c>
      <c r="F906" s="80">
        <f t="shared" si="29"/>
        <v>813</v>
      </c>
      <c r="G906" s="77">
        <f>Comp2[[#This Row],[Comparable '#2 Drawdown]]/MAX($B$2:B906)</f>
        <v>-0.51478679504814306</v>
      </c>
      <c r="H906" s="1" t="str">
        <f>IF(SUM(COUNTIF(Benchmark1[Benchmark '#1 Dates],Comp2[[#This Row],[Comparable '#2 Dates]]),COUNTIF(Benchmark2[Benchmark '#2 Dates],Comp2[[#This Row],[Comparable '#2 Dates]]))=2,"Pass","Fail")</f>
        <v>Pass</v>
      </c>
      <c r="I906" s="1">
        <f>IFERROR(Comp2[[#This Row],[Comparable '#2 Return]]-INDEX(Benchmark1[Benchmark '#1 Return],MATCH(Comp2[[#This Row],[Comparable '#2 Dates]],Benchmark1[Benchmark '#1 Dates],0)),"-")</f>
        <v>3.3973767668750545E-3</v>
      </c>
      <c r="L906" s="72">
        <f>Comp2[[#This Row],[Comparable '#2 Price]]/$B$2*100</f>
        <v>56.780684104627767</v>
      </c>
    </row>
    <row r="907" spans="1:12">
      <c r="A907" s="96">
        <v>44599</v>
      </c>
      <c r="B907" s="101">
        <v>28.3</v>
      </c>
      <c r="C907" s="4">
        <f t="shared" si="28"/>
        <v>2.8308582245241349E-3</v>
      </c>
      <c r="D907" s="1">
        <f>IFERROR(Comp2[[#This Row],[Comparable '#2 Return]]+1,"-")</f>
        <v>1.0028308582245242</v>
      </c>
      <c r="E907" s="6">
        <f>B907-MAX($B$2:B907)</f>
        <v>-29.859999999999996</v>
      </c>
      <c r="F907" s="80">
        <f t="shared" si="29"/>
        <v>814</v>
      </c>
      <c r="G907" s="77">
        <f>Comp2[[#This Row],[Comparable '#2 Drawdown]]/MAX($B$2:B907)</f>
        <v>-0.51341127922971108</v>
      </c>
      <c r="H907" s="1" t="str">
        <f>IF(SUM(COUNTIF(Benchmark1[Benchmark '#1 Dates],Comp2[[#This Row],[Comparable '#2 Dates]]),COUNTIF(Benchmark2[Benchmark '#2 Dates],Comp2[[#This Row],[Comparable '#2 Dates]]))=2,"Pass","Fail")</f>
        <v>Pass</v>
      </c>
      <c r="I907" s="1">
        <f>IFERROR(Comp2[[#This Row],[Comparable '#2 Return]]-INDEX(Benchmark1[Benchmark '#1 Return],MATCH(Comp2[[#This Row],[Comparable '#2 Dates]],Benchmark1[Benchmark '#1 Dates],0)),"-")</f>
        <v>6.5408865280975823E-3</v>
      </c>
      <c r="L907" s="72">
        <f>Comp2[[#This Row],[Comparable '#2 Price]]/$B$2*100</f>
        <v>56.941649899396374</v>
      </c>
    </row>
    <row r="908" spans="1:12">
      <c r="A908" s="96">
        <v>44600</v>
      </c>
      <c r="B908" s="101">
        <v>28.75</v>
      </c>
      <c r="C908" s="4">
        <f t="shared" si="28"/>
        <v>1.57759625941674E-2</v>
      </c>
      <c r="D908" s="1">
        <f>IFERROR(Comp2[[#This Row],[Comparable '#2 Return]]+1,"-")</f>
        <v>1.0157759625941674</v>
      </c>
      <c r="E908" s="6">
        <f>B908-MAX($B$2:B908)</f>
        <v>-29.409999999999997</v>
      </c>
      <c r="F908" s="80">
        <f t="shared" si="29"/>
        <v>815</v>
      </c>
      <c r="G908" s="77">
        <f>Comp2[[#This Row],[Comparable '#2 Drawdown]]/MAX($B$2:B908)</f>
        <v>-0.50567400275103158</v>
      </c>
      <c r="H908" s="1" t="str">
        <f>IF(SUM(COUNTIF(Benchmark1[Benchmark '#1 Dates],Comp2[[#This Row],[Comparable '#2 Dates]]),COUNTIF(Benchmark2[Benchmark '#2 Dates],Comp2[[#This Row],[Comparable '#2 Dates]]))=2,"Pass","Fail")</f>
        <v>Pass</v>
      </c>
      <c r="I908" s="1">
        <f>IFERROR(Comp2[[#This Row],[Comparable '#2 Return]]-INDEX(Benchmark1[Benchmark '#1 Return],MATCH(Comp2[[#This Row],[Comparable '#2 Dates]],Benchmark1[Benchmark '#1 Dates],0)),"-")</f>
        <v>7.4090326675587213E-3</v>
      </c>
      <c r="L908" s="72">
        <f>Comp2[[#This Row],[Comparable '#2 Price]]/$B$2*100</f>
        <v>57.847082494969811</v>
      </c>
    </row>
    <row r="909" spans="1:12">
      <c r="A909" s="96">
        <v>44601</v>
      </c>
      <c r="B909" s="101">
        <v>24.7</v>
      </c>
      <c r="C909" s="4">
        <f t="shared" si="28"/>
        <v>-0.15183452360942801</v>
      </c>
      <c r="D909" s="1">
        <f>IFERROR(Comp2[[#This Row],[Comparable '#2 Return]]+1,"-")</f>
        <v>0.84816547639057194</v>
      </c>
      <c r="E909" s="6">
        <f>B909-MAX($B$2:B909)</f>
        <v>-33.459999999999994</v>
      </c>
      <c r="F909" s="80">
        <f t="shared" si="29"/>
        <v>816</v>
      </c>
      <c r="G909" s="77">
        <f>Comp2[[#This Row],[Comparable '#2 Drawdown]]/MAX($B$2:B909)</f>
        <v>-0.57530949105914708</v>
      </c>
      <c r="H909" s="1" t="str">
        <f>IF(SUM(COUNTIF(Benchmark1[Benchmark '#1 Dates],Comp2[[#This Row],[Comparable '#2 Dates]]),COUNTIF(Benchmark2[Benchmark '#2 Dates],Comp2[[#This Row],[Comparable '#2 Dates]]))=2,"Pass","Fail")</f>
        <v>Pass</v>
      </c>
      <c r="I909" s="1">
        <f>IFERROR(Comp2[[#This Row],[Comparable '#2 Return]]-INDEX(Benchmark1[Benchmark '#1 Return],MATCH(Comp2[[#This Row],[Comparable '#2 Dates]],Benchmark1[Benchmark '#1 Dates],0)),"-")</f>
        <v>-0.16624734461056193</v>
      </c>
      <c r="L909" s="72">
        <f>Comp2[[#This Row],[Comparable '#2 Price]]/$B$2*100</f>
        <v>49.69818913480885</v>
      </c>
    </row>
    <row r="910" spans="1:12">
      <c r="A910" s="96">
        <v>44602</v>
      </c>
      <c r="B910" s="101">
        <v>22.77</v>
      </c>
      <c r="C910" s="4">
        <f t="shared" si="28"/>
        <v>-8.1359363558283299E-2</v>
      </c>
      <c r="D910" s="1">
        <f>IFERROR(Comp2[[#This Row],[Comparable '#2 Return]]+1,"-")</f>
        <v>0.91864063644171667</v>
      </c>
      <c r="E910" s="6">
        <f>B910-MAX($B$2:B910)</f>
        <v>-35.39</v>
      </c>
      <c r="F910" s="80">
        <f t="shared" si="29"/>
        <v>817</v>
      </c>
      <c r="G910" s="77">
        <f>Comp2[[#This Row],[Comparable '#2 Drawdown]]/MAX($B$2:B910)</f>
        <v>-0.6084938101788171</v>
      </c>
      <c r="H910" s="1" t="str">
        <f>IF(SUM(COUNTIF(Benchmark1[Benchmark '#1 Dates],Comp2[[#This Row],[Comparable '#2 Dates]]),COUNTIF(Benchmark2[Benchmark '#2 Dates],Comp2[[#This Row],[Comparable '#2 Dates]]))=2,"Pass","Fail")</f>
        <v>Pass</v>
      </c>
      <c r="I910" s="1">
        <f>IFERROR(Comp2[[#This Row],[Comparable '#2 Return]]-INDEX(Benchmark1[Benchmark '#1 Return],MATCH(Comp2[[#This Row],[Comparable '#2 Dates]],Benchmark1[Benchmark '#1 Dates],0)),"-")</f>
        <v>-6.3078865058308856E-2</v>
      </c>
      <c r="L910" s="72">
        <f>Comp2[[#This Row],[Comparable '#2 Price]]/$B$2*100</f>
        <v>45.814889336016094</v>
      </c>
    </row>
    <row r="911" spans="1:12">
      <c r="A911" s="96">
        <v>44603</v>
      </c>
      <c r="B911" s="101">
        <v>23.76</v>
      </c>
      <c r="C911" s="4">
        <f t="shared" si="28"/>
        <v>4.2559614418796111E-2</v>
      </c>
      <c r="D911" s="1">
        <f>IFERROR(Comp2[[#This Row],[Comparable '#2 Return]]+1,"-")</f>
        <v>1.0425596144187961</v>
      </c>
      <c r="E911" s="6">
        <f>B911-MAX($B$2:B911)</f>
        <v>-34.399999999999991</v>
      </c>
      <c r="F911" s="80">
        <f t="shared" si="29"/>
        <v>818</v>
      </c>
      <c r="G911" s="77">
        <f>Comp2[[#This Row],[Comparable '#2 Drawdown]]/MAX($B$2:B911)</f>
        <v>-0.59147180192572202</v>
      </c>
      <c r="H911" s="1" t="str">
        <f>IF(SUM(COUNTIF(Benchmark1[Benchmark '#1 Dates],Comp2[[#This Row],[Comparable '#2 Dates]]),COUNTIF(Benchmark2[Benchmark '#2 Dates],Comp2[[#This Row],[Comparable '#2 Dates]]))=2,"Pass","Fail")</f>
        <v>Pass</v>
      </c>
      <c r="I911" s="1">
        <f>IFERROR(Comp2[[#This Row],[Comparable '#2 Return]]-INDEX(Benchmark1[Benchmark '#1 Return],MATCH(Comp2[[#This Row],[Comparable '#2 Dates]],Benchmark1[Benchmark '#1 Dates],0)),"-")</f>
        <v>6.1713161718356224E-2</v>
      </c>
      <c r="L911" s="72">
        <f>Comp2[[#This Row],[Comparable '#2 Price]]/$B$2*100</f>
        <v>47.806841046277668</v>
      </c>
    </row>
    <row r="912" spans="1:12">
      <c r="A912" s="96">
        <v>44606</v>
      </c>
      <c r="B912" s="101">
        <v>23.49</v>
      </c>
      <c r="C912" s="4">
        <f t="shared" si="28"/>
        <v>-1.1428695823622857E-2</v>
      </c>
      <c r="D912" s="1">
        <f>IFERROR(Comp2[[#This Row],[Comparable '#2 Return]]+1,"-")</f>
        <v>0.98857130417637717</v>
      </c>
      <c r="E912" s="6">
        <f>B912-MAX($B$2:B912)</f>
        <v>-34.67</v>
      </c>
      <c r="F912" s="80">
        <f t="shared" si="29"/>
        <v>819</v>
      </c>
      <c r="G912" s="77">
        <f>Comp2[[#This Row],[Comparable '#2 Drawdown]]/MAX($B$2:B912)</f>
        <v>-0.59611416781292992</v>
      </c>
      <c r="H912" s="1" t="str">
        <f>IF(SUM(COUNTIF(Benchmark1[Benchmark '#1 Dates],Comp2[[#This Row],[Comparable '#2 Dates]]),COUNTIF(Benchmark2[Benchmark '#2 Dates],Comp2[[#This Row],[Comparable '#2 Dates]]))=2,"Pass","Fail")</f>
        <v>Pass</v>
      </c>
      <c r="I912" s="1">
        <f>IFERROR(Comp2[[#This Row],[Comparable '#2 Return]]-INDEX(Benchmark1[Benchmark '#1 Return],MATCH(Comp2[[#This Row],[Comparable '#2 Dates]],Benchmark1[Benchmark '#1 Dates],0)),"-")</f>
        <v>-7.5808563611120365E-3</v>
      </c>
      <c r="L912" s="72">
        <f>Comp2[[#This Row],[Comparable '#2 Price]]/$B$2*100</f>
        <v>47.263581488933596</v>
      </c>
    </row>
    <row r="913" spans="1:12">
      <c r="A913" s="96">
        <v>44607</v>
      </c>
      <c r="B913" s="101">
        <v>23.69</v>
      </c>
      <c r="C913" s="4">
        <f t="shared" si="28"/>
        <v>8.4782194998726905E-3</v>
      </c>
      <c r="D913" s="1">
        <f>IFERROR(Comp2[[#This Row],[Comparable '#2 Return]]+1,"-")</f>
        <v>1.0084782194998727</v>
      </c>
      <c r="E913" s="6">
        <f>B913-MAX($B$2:B913)</f>
        <v>-34.47</v>
      </c>
      <c r="F913" s="80">
        <f t="shared" si="29"/>
        <v>820</v>
      </c>
      <c r="G913" s="77">
        <f>Comp2[[#This Row],[Comparable '#2 Drawdown]]/MAX($B$2:B913)</f>
        <v>-0.59267537826685013</v>
      </c>
      <c r="H913" s="1" t="str">
        <f>IF(SUM(COUNTIF(Benchmark1[Benchmark '#1 Dates],Comp2[[#This Row],[Comparable '#2 Dates]]),COUNTIF(Benchmark2[Benchmark '#2 Dates],Comp2[[#This Row],[Comparable '#2 Dates]]))=2,"Pass","Fail")</f>
        <v>Pass</v>
      </c>
      <c r="I913" s="1">
        <f>IFERROR(Comp2[[#This Row],[Comparable '#2 Return]]-INDEX(Benchmark1[Benchmark '#1 Return],MATCH(Comp2[[#This Row],[Comparable '#2 Dates]],Benchmark1[Benchmark '#1 Dates],0)),"-")</f>
        <v>-7.1671552804187556E-3</v>
      </c>
      <c r="L913" s="72">
        <f>Comp2[[#This Row],[Comparable '#2 Price]]/$B$2*100</f>
        <v>47.665995975855132</v>
      </c>
    </row>
    <row r="914" spans="1:12">
      <c r="A914" s="96">
        <v>44608</v>
      </c>
      <c r="B914" s="101">
        <v>23.1</v>
      </c>
      <c r="C914" s="4">
        <f t="shared" si="28"/>
        <v>-2.5220400642946256E-2</v>
      </c>
      <c r="D914" s="1">
        <f>IFERROR(Comp2[[#This Row],[Comparable '#2 Return]]+1,"-")</f>
        <v>0.97477959935705372</v>
      </c>
      <c r="E914" s="6">
        <f>B914-MAX($B$2:B914)</f>
        <v>-35.059999999999995</v>
      </c>
      <c r="F914" s="80">
        <f t="shared" si="29"/>
        <v>821</v>
      </c>
      <c r="G914" s="77">
        <f>Comp2[[#This Row],[Comparable '#2 Drawdown]]/MAX($B$2:B914)</f>
        <v>-0.6028198074277854</v>
      </c>
      <c r="H914" s="1" t="str">
        <f>IF(SUM(COUNTIF(Benchmark1[Benchmark '#1 Dates],Comp2[[#This Row],[Comparable '#2 Dates]]),COUNTIF(Benchmark2[Benchmark '#2 Dates],Comp2[[#This Row],[Comparable '#2 Dates]]))=2,"Pass","Fail")</f>
        <v>Pass</v>
      </c>
      <c r="I914" s="1">
        <f>IFERROR(Comp2[[#This Row],[Comparable '#2 Return]]-INDEX(Benchmark1[Benchmark '#1 Return],MATCH(Comp2[[#This Row],[Comparable '#2 Dates]],Benchmark1[Benchmark '#1 Dates],0)),"-")</f>
        <v>-2.6100529227247496E-2</v>
      </c>
      <c r="L914" s="72">
        <f>Comp2[[#This Row],[Comparable '#2 Price]]/$B$2*100</f>
        <v>46.478873239436616</v>
      </c>
    </row>
    <row r="915" spans="1:12">
      <c r="A915" s="96">
        <v>44609</v>
      </c>
      <c r="B915" s="101">
        <v>21.1</v>
      </c>
      <c r="C915" s="4">
        <f t="shared" si="28"/>
        <v>-9.0559577045726994E-2</v>
      </c>
      <c r="D915" s="1">
        <f>IFERROR(Comp2[[#This Row],[Comparable '#2 Return]]+1,"-")</f>
        <v>0.90944042295427296</v>
      </c>
      <c r="E915" s="6">
        <f>B915-MAX($B$2:B915)</f>
        <v>-37.059999999999995</v>
      </c>
      <c r="F915" s="80">
        <f t="shared" si="29"/>
        <v>822</v>
      </c>
      <c r="G915" s="77">
        <f>Comp2[[#This Row],[Comparable '#2 Drawdown]]/MAX($B$2:B915)</f>
        <v>-0.63720770288858319</v>
      </c>
      <c r="H915" s="1" t="str">
        <f>IF(SUM(COUNTIF(Benchmark1[Benchmark '#1 Dates],Comp2[[#This Row],[Comparable '#2 Dates]]),COUNTIF(Benchmark2[Benchmark '#2 Dates],Comp2[[#This Row],[Comparable '#2 Dates]]))=2,"Pass","Fail")</f>
        <v>Pass</v>
      </c>
      <c r="I915" s="1">
        <f>IFERROR(Comp2[[#This Row],[Comparable '#2 Return]]-INDEX(Benchmark1[Benchmark '#1 Return],MATCH(Comp2[[#This Row],[Comparable '#2 Dates]],Benchmark1[Benchmark '#1 Dates],0)),"-")</f>
        <v>-6.9158500161321787E-2</v>
      </c>
      <c r="L915" s="72">
        <f>Comp2[[#This Row],[Comparable '#2 Price]]/$B$2*100</f>
        <v>42.454728370221332</v>
      </c>
    </row>
    <row r="916" spans="1:12">
      <c r="A916" s="96">
        <v>44610</v>
      </c>
      <c r="B916" s="101">
        <v>20.83</v>
      </c>
      <c r="C916" s="4">
        <f t="shared" si="28"/>
        <v>-1.2878785209140375E-2</v>
      </c>
      <c r="D916" s="1">
        <f>IFERROR(Comp2[[#This Row],[Comparable '#2 Return]]+1,"-")</f>
        <v>0.98712121479085968</v>
      </c>
      <c r="E916" s="6">
        <f>B916-MAX($B$2:B916)</f>
        <v>-37.33</v>
      </c>
      <c r="F916" s="80">
        <f t="shared" si="29"/>
        <v>823</v>
      </c>
      <c r="G916" s="77">
        <f>Comp2[[#This Row],[Comparable '#2 Drawdown]]/MAX($B$2:B916)</f>
        <v>-0.64185006877579098</v>
      </c>
      <c r="H916" s="1" t="str">
        <f>IF(SUM(COUNTIF(Benchmark1[Benchmark '#1 Dates],Comp2[[#This Row],[Comparable '#2 Dates]]),COUNTIF(Benchmark2[Benchmark '#2 Dates],Comp2[[#This Row],[Comparable '#2 Dates]]))=2,"Pass","Fail")</f>
        <v>Pass</v>
      </c>
      <c r="I916" s="1">
        <f>IFERROR(Comp2[[#This Row],[Comparable '#2 Return]]-INDEX(Benchmark1[Benchmark '#1 Return],MATCH(Comp2[[#This Row],[Comparable '#2 Dates]],Benchmark1[Benchmark '#1 Dates],0)),"-")</f>
        <v>-5.6868865065737659E-3</v>
      </c>
      <c r="L916" s="72">
        <f>Comp2[[#This Row],[Comparable '#2 Price]]/$B$2*100</f>
        <v>41.911468812877253</v>
      </c>
    </row>
    <row r="917" spans="1:12">
      <c r="A917" s="96">
        <v>44614</v>
      </c>
      <c r="B917" s="101">
        <v>20.43</v>
      </c>
      <c r="C917" s="4">
        <f t="shared" si="28"/>
        <v>-1.9389846443349863E-2</v>
      </c>
      <c r="D917" s="1">
        <f>IFERROR(Comp2[[#This Row],[Comparable '#2 Return]]+1,"-")</f>
        <v>0.98061015355665015</v>
      </c>
      <c r="E917" s="6">
        <f>B917-MAX($B$2:B917)</f>
        <v>-37.729999999999997</v>
      </c>
      <c r="F917" s="80">
        <f t="shared" si="29"/>
        <v>824</v>
      </c>
      <c r="G917" s="77">
        <f>Comp2[[#This Row],[Comparable '#2 Drawdown]]/MAX($B$2:B917)</f>
        <v>-0.64872764786795045</v>
      </c>
      <c r="H917" s="1" t="str">
        <f>IF(SUM(COUNTIF(Benchmark1[Benchmark '#1 Dates],Comp2[[#This Row],[Comparable '#2 Dates]]),COUNTIF(Benchmark2[Benchmark '#2 Dates],Comp2[[#This Row],[Comparable '#2 Dates]]))=2,"Pass","Fail")</f>
        <v>Pass</v>
      </c>
      <c r="I917" s="1">
        <f>IFERROR(Comp2[[#This Row],[Comparable '#2 Return]]-INDEX(Benchmark1[Benchmark '#1 Return],MATCH(Comp2[[#This Row],[Comparable '#2 Dates]],Benchmark1[Benchmark '#1 Dates],0)),"-")</f>
        <v>-9.1948201551347204E-3</v>
      </c>
      <c r="L917" s="72">
        <f>Comp2[[#This Row],[Comparable '#2 Price]]/$B$2*100</f>
        <v>41.106639839034202</v>
      </c>
    </row>
    <row r="918" spans="1:12">
      <c r="A918" s="96">
        <v>44615</v>
      </c>
      <c r="B918" s="101">
        <v>19.739999999999998</v>
      </c>
      <c r="C918" s="4">
        <f t="shared" si="28"/>
        <v>-3.4357374824195208E-2</v>
      </c>
      <c r="D918" s="1">
        <f>IFERROR(Comp2[[#This Row],[Comparable '#2 Return]]+1,"-")</f>
        <v>0.96564262517580479</v>
      </c>
      <c r="E918" s="6">
        <f>B918-MAX($B$2:B918)</f>
        <v>-38.42</v>
      </c>
      <c r="F918" s="80">
        <f t="shared" si="29"/>
        <v>825</v>
      </c>
      <c r="G918" s="77">
        <f>Comp2[[#This Row],[Comparable '#2 Drawdown]]/MAX($B$2:B918)</f>
        <v>-0.66059147180192579</v>
      </c>
      <c r="H918" s="1" t="str">
        <f>IF(SUM(COUNTIF(Benchmark1[Benchmark '#1 Dates],Comp2[[#This Row],[Comparable '#2 Dates]]),COUNTIF(Benchmark2[Benchmark '#2 Dates],Comp2[[#This Row],[Comparable '#2 Dates]]))=2,"Pass","Fail")</f>
        <v>Pass</v>
      </c>
      <c r="I918" s="1">
        <f>IFERROR(Comp2[[#This Row],[Comparable '#2 Return]]-INDEX(Benchmark1[Benchmark '#1 Return],MATCH(Comp2[[#This Row],[Comparable '#2 Dates]],Benchmark1[Benchmark '#1 Dates],0)),"-")</f>
        <v>-1.5775296763979013E-2</v>
      </c>
      <c r="L918" s="72">
        <f>Comp2[[#This Row],[Comparable '#2 Price]]/$B$2*100</f>
        <v>39.718309859154928</v>
      </c>
    </row>
    <row r="919" spans="1:12">
      <c r="A919" s="96">
        <v>44616</v>
      </c>
      <c r="B919" s="101">
        <v>20.12</v>
      </c>
      <c r="C919" s="4">
        <f t="shared" si="28"/>
        <v>1.906731122620316E-2</v>
      </c>
      <c r="D919" s="1">
        <f>IFERROR(Comp2[[#This Row],[Comparable '#2 Return]]+1,"-")</f>
        <v>1.0190673112262032</v>
      </c>
      <c r="E919" s="6">
        <f>B919-MAX($B$2:B919)</f>
        <v>-38.039999999999992</v>
      </c>
      <c r="F919" s="80">
        <f t="shared" si="29"/>
        <v>826</v>
      </c>
      <c r="G919" s="77">
        <f>Comp2[[#This Row],[Comparable '#2 Drawdown]]/MAX($B$2:B919)</f>
        <v>-0.65405777166437407</v>
      </c>
      <c r="H919" s="1" t="str">
        <f>IF(SUM(COUNTIF(Benchmark1[Benchmark '#1 Dates],Comp2[[#This Row],[Comparable '#2 Dates]]),COUNTIF(Benchmark2[Benchmark '#2 Dates],Comp2[[#This Row],[Comparable '#2 Dates]]))=2,"Pass","Fail")</f>
        <v>Pass</v>
      </c>
      <c r="I919" s="1">
        <f>IFERROR(Comp2[[#This Row],[Comparable '#2 Return]]-INDEX(Benchmark1[Benchmark '#1 Return],MATCH(Comp2[[#This Row],[Comparable '#2 Dates]],Benchmark1[Benchmark '#1 Dates],0)),"-")</f>
        <v>4.2233363147452241E-3</v>
      </c>
      <c r="L919" s="72">
        <f>Comp2[[#This Row],[Comparable '#2 Price]]/$B$2*100</f>
        <v>40.482897384305829</v>
      </c>
    </row>
    <row r="920" spans="1:12">
      <c r="A920" s="96">
        <v>44617</v>
      </c>
      <c r="B920" s="101">
        <v>20.77</v>
      </c>
      <c r="C920" s="4">
        <f t="shared" si="28"/>
        <v>3.1795292656482316E-2</v>
      </c>
      <c r="D920" s="1">
        <f>IFERROR(Comp2[[#This Row],[Comparable '#2 Return]]+1,"-")</f>
        <v>1.0317952926564824</v>
      </c>
      <c r="E920" s="6">
        <f>B920-MAX($B$2:B920)</f>
        <v>-37.39</v>
      </c>
      <c r="F920" s="80">
        <f t="shared" si="29"/>
        <v>827</v>
      </c>
      <c r="G920" s="77">
        <f>Comp2[[#This Row],[Comparable '#2 Drawdown]]/MAX($B$2:B920)</f>
        <v>-0.64288170563961489</v>
      </c>
      <c r="H920" s="1" t="str">
        <f>IF(SUM(COUNTIF(Benchmark1[Benchmark '#1 Dates],Comp2[[#This Row],[Comparable '#2 Dates]]),COUNTIF(Benchmark2[Benchmark '#2 Dates],Comp2[[#This Row],[Comparable '#2 Dates]]))=2,"Pass","Fail")</f>
        <v>Pass</v>
      </c>
      <c r="I920" s="1">
        <f>IFERROR(Comp2[[#This Row],[Comparable '#2 Return]]-INDEX(Benchmark1[Benchmark '#1 Return],MATCH(Comp2[[#This Row],[Comparable '#2 Dates]],Benchmark1[Benchmark '#1 Dates],0)),"-")</f>
        <v>9.6671903844039696E-3</v>
      </c>
      <c r="L920" s="72">
        <f>Comp2[[#This Row],[Comparable '#2 Price]]/$B$2*100</f>
        <v>41.790744466800803</v>
      </c>
    </row>
    <row r="921" spans="1:12">
      <c r="A921" s="96">
        <v>44620</v>
      </c>
      <c r="B921" s="101">
        <v>20.78</v>
      </c>
      <c r="C921" s="4">
        <f t="shared" si="28"/>
        <v>4.8134778306046242E-4</v>
      </c>
      <c r="D921" s="1">
        <f>IFERROR(Comp2[[#This Row],[Comparable '#2 Return]]+1,"-")</f>
        <v>1.0004813477830605</v>
      </c>
      <c r="E921" s="6">
        <f>B921-MAX($B$2:B921)</f>
        <v>-37.379999999999995</v>
      </c>
      <c r="F921" s="80">
        <f t="shared" si="29"/>
        <v>828</v>
      </c>
      <c r="G921" s="77">
        <f>Comp2[[#This Row],[Comparable '#2 Drawdown]]/MAX($B$2:B921)</f>
        <v>-0.64270976616231079</v>
      </c>
      <c r="H921" s="1" t="str">
        <f>IF(SUM(COUNTIF(Benchmark1[Benchmark '#1 Dates],Comp2[[#This Row],[Comparable '#2 Dates]]),COUNTIF(Benchmark2[Benchmark '#2 Dates],Comp2[[#This Row],[Comparable '#2 Dates]]))=2,"Pass","Fail")</f>
        <v>Pass</v>
      </c>
      <c r="I921" s="1">
        <f>IFERROR(Comp2[[#This Row],[Comparable '#2 Return]]-INDEX(Benchmark1[Benchmark '#1 Return],MATCH(Comp2[[#This Row],[Comparable '#2 Dates]],Benchmark1[Benchmark '#1 Dates],0)),"-")</f>
        <v>2.9281669830869337E-3</v>
      </c>
      <c r="L921" s="72">
        <f>Comp2[[#This Row],[Comparable '#2 Price]]/$B$2*100</f>
        <v>41.810865191146881</v>
      </c>
    </row>
    <row r="922" spans="1:12">
      <c r="A922" s="96">
        <v>44621</v>
      </c>
      <c r="B922" s="101">
        <v>22.43</v>
      </c>
      <c r="C922" s="4">
        <f t="shared" si="28"/>
        <v>7.64083628610355E-2</v>
      </c>
      <c r="D922" s="1">
        <f>IFERROR(Comp2[[#This Row],[Comparable '#2 Return]]+1,"-")</f>
        <v>1.0764083628610355</v>
      </c>
      <c r="E922" s="6">
        <f>B922-MAX($B$2:B922)</f>
        <v>-35.729999999999997</v>
      </c>
      <c r="F922" s="80">
        <f t="shared" si="29"/>
        <v>829</v>
      </c>
      <c r="G922" s="77">
        <f>Comp2[[#This Row],[Comparable '#2 Drawdown]]/MAX($B$2:B922)</f>
        <v>-0.61433975240715266</v>
      </c>
      <c r="H922" s="1" t="str">
        <f>IF(SUM(COUNTIF(Benchmark1[Benchmark '#1 Dates],Comp2[[#This Row],[Comparable '#2 Dates]]),COUNTIF(Benchmark2[Benchmark '#2 Dates],Comp2[[#This Row],[Comparable '#2 Dates]]))=2,"Pass","Fail")</f>
        <v>Pass</v>
      </c>
      <c r="I922" s="1">
        <f>IFERROR(Comp2[[#This Row],[Comparable '#2 Return]]-INDEX(Benchmark1[Benchmark '#1 Return],MATCH(Comp2[[#This Row],[Comparable '#2 Dates]],Benchmark1[Benchmark '#1 Dates],0)),"-")</f>
        <v>9.2002851989090764E-2</v>
      </c>
      <c r="L922" s="72">
        <f>Comp2[[#This Row],[Comparable '#2 Price]]/$B$2*100</f>
        <v>45.130784708249493</v>
      </c>
    </row>
    <row r="923" spans="1:12">
      <c r="A923" s="96">
        <v>44622</v>
      </c>
      <c r="B923" s="101">
        <v>23.09</v>
      </c>
      <c r="C923" s="4">
        <f t="shared" si="28"/>
        <v>2.9000274834287E-2</v>
      </c>
      <c r="D923" s="1">
        <f>IFERROR(Comp2[[#This Row],[Comparable '#2 Return]]+1,"-")</f>
        <v>1.029000274834287</v>
      </c>
      <c r="E923" s="6">
        <f>B923-MAX($B$2:B923)</f>
        <v>-35.069999999999993</v>
      </c>
      <c r="F923" s="80">
        <f t="shared" si="29"/>
        <v>830</v>
      </c>
      <c r="G923" s="77">
        <f>Comp2[[#This Row],[Comparable '#2 Drawdown]]/MAX($B$2:B923)</f>
        <v>-0.60299174690508928</v>
      </c>
      <c r="H923" s="1" t="str">
        <f>IF(SUM(COUNTIF(Benchmark1[Benchmark '#1 Dates],Comp2[[#This Row],[Comparable '#2 Dates]]),COUNTIF(Benchmark2[Benchmark '#2 Dates],Comp2[[#This Row],[Comparable '#2 Dates]]))=2,"Pass","Fail")</f>
        <v>Pass</v>
      </c>
      <c r="I923" s="1">
        <f>IFERROR(Comp2[[#This Row],[Comparable '#2 Return]]-INDEX(Benchmark1[Benchmark '#1 Return],MATCH(Comp2[[#This Row],[Comparable '#2 Dates]],Benchmark1[Benchmark '#1 Dates],0)),"-")</f>
        <v>1.0528101777321937E-2</v>
      </c>
      <c r="L923" s="72">
        <f>Comp2[[#This Row],[Comparable '#2 Price]]/$B$2*100</f>
        <v>46.458752515090538</v>
      </c>
    </row>
    <row r="924" spans="1:12">
      <c r="A924" s="96">
        <v>44623</v>
      </c>
      <c r="B924" s="101">
        <v>22.75</v>
      </c>
      <c r="C924" s="4">
        <f t="shared" si="28"/>
        <v>-1.483447796944456E-2</v>
      </c>
      <c r="D924" s="1">
        <f>IFERROR(Comp2[[#This Row],[Comparable '#2 Return]]+1,"-")</f>
        <v>0.98516552203055541</v>
      </c>
      <c r="E924" s="6">
        <f>B924-MAX($B$2:B924)</f>
        <v>-35.409999999999997</v>
      </c>
      <c r="F924" s="80">
        <f t="shared" si="29"/>
        <v>831</v>
      </c>
      <c r="G924" s="77">
        <f>Comp2[[#This Row],[Comparable '#2 Drawdown]]/MAX($B$2:B924)</f>
        <v>-0.60883768913342506</v>
      </c>
      <c r="H924" s="1" t="str">
        <f>IF(SUM(COUNTIF(Benchmark1[Benchmark '#1 Dates],Comp2[[#This Row],[Comparable '#2 Dates]]),COUNTIF(Benchmark2[Benchmark '#2 Dates],Comp2[[#This Row],[Comparable '#2 Dates]]))=2,"Pass","Fail")</f>
        <v>Pass</v>
      </c>
      <c r="I924" s="1">
        <f>IFERROR(Comp2[[#This Row],[Comparable '#2 Return]]-INDEX(Benchmark1[Benchmark '#1 Return],MATCH(Comp2[[#This Row],[Comparable '#2 Dates]],Benchmark1[Benchmark '#1 Dates],0)),"-")</f>
        <v>-9.5642348377517859E-3</v>
      </c>
      <c r="L924" s="72">
        <f>Comp2[[#This Row],[Comparable '#2 Price]]/$B$2*100</f>
        <v>45.774647887323944</v>
      </c>
    </row>
    <row r="925" spans="1:12">
      <c r="A925" s="96">
        <v>44624</v>
      </c>
      <c r="B925" s="101">
        <v>22.54</v>
      </c>
      <c r="C925" s="4">
        <f t="shared" si="28"/>
        <v>-9.2736367853292149E-3</v>
      </c>
      <c r="D925" s="1">
        <f>IFERROR(Comp2[[#This Row],[Comparable '#2 Return]]+1,"-")</f>
        <v>0.99072636321467078</v>
      </c>
      <c r="E925" s="6">
        <f>B925-MAX($B$2:B925)</f>
        <v>-35.619999999999997</v>
      </c>
      <c r="F925" s="80">
        <f t="shared" si="29"/>
        <v>832</v>
      </c>
      <c r="G925" s="77">
        <f>Comp2[[#This Row],[Comparable '#2 Drawdown]]/MAX($B$2:B925)</f>
        <v>-0.61244841815680884</v>
      </c>
      <c r="H925" s="1" t="str">
        <f>IF(SUM(COUNTIF(Benchmark1[Benchmark '#1 Dates],Comp2[[#This Row],[Comparable '#2 Dates]]),COUNTIF(Benchmark2[Benchmark '#2 Dates],Comp2[[#This Row],[Comparable '#2 Dates]]))=2,"Pass","Fail")</f>
        <v>Pass</v>
      </c>
      <c r="I925" s="1">
        <f>IFERROR(Comp2[[#This Row],[Comparable '#2 Return]]-INDEX(Benchmark1[Benchmark '#1 Return],MATCH(Comp2[[#This Row],[Comparable '#2 Dates]],Benchmark1[Benchmark '#1 Dates],0)),"-")</f>
        <v>-1.3093906260510553E-3</v>
      </c>
      <c r="L925" s="72">
        <f>Comp2[[#This Row],[Comparable '#2 Price]]/$B$2*100</f>
        <v>45.352112676056336</v>
      </c>
    </row>
    <row r="926" spans="1:12">
      <c r="A926" s="96">
        <v>44627</v>
      </c>
      <c r="B926" s="101">
        <v>22.86</v>
      </c>
      <c r="C926" s="4">
        <f t="shared" si="28"/>
        <v>1.4097149755034476E-2</v>
      </c>
      <c r="D926" s="1">
        <f>IFERROR(Comp2[[#This Row],[Comparable '#2 Return]]+1,"-")</f>
        <v>1.0140971497550344</v>
      </c>
      <c r="E926" s="6">
        <f>B926-MAX($B$2:B926)</f>
        <v>-35.299999999999997</v>
      </c>
      <c r="F926" s="80">
        <f t="shared" si="29"/>
        <v>833</v>
      </c>
      <c r="G926" s="77">
        <f>Comp2[[#This Row],[Comparable '#2 Drawdown]]/MAX($B$2:B926)</f>
        <v>-0.60694635488308113</v>
      </c>
      <c r="H926" s="1" t="str">
        <f>IF(SUM(COUNTIF(Benchmark1[Benchmark '#1 Dates],Comp2[[#This Row],[Comparable '#2 Dates]]),COUNTIF(Benchmark2[Benchmark '#2 Dates],Comp2[[#This Row],[Comparable '#2 Dates]]))=2,"Pass","Fail")</f>
        <v>Pass</v>
      </c>
      <c r="I926" s="1">
        <f>IFERROR(Comp2[[#This Row],[Comparable '#2 Return]]-INDEX(Benchmark1[Benchmark '#1 Return],MATCH(Comp2[[#This Row],[Comparable '#2 Dates]],Benchmark1[Benchmark '#1 Dates],0)),"-")</f>
        <v>4.4060864328592415E-2</v>
      </c>
      <c r="L926" s="72">
        <f>Comp2[[#This Row],[Comparable '#2 Price]]/$B$2*100</f>
        <v>45.99597585513078</v>
      </c>
    </row>
    <row r="927" spans="1:12">
      <c r="A927" s="96">
        <v>44628</v>
      </c>
      <c r="B927" s="101">
        <v>23.39</v>
      </c>
      <c r="C927" s="4">
        <f t="shared" si="28"/>
        <v>2.2919922229423118E-2</v>
      </c>
      <c r="D927" s="1">
        <f>IFERROR(Comp2[[#This Row],[Comparable '#2 Return]]+1,"-")</f>
        <v>1.0229199222294232</v>
      </c>
      <c r="E927" s="6">
        <f>B927-MAX($B$2:B927)</f>
        <v>-34.769999999999996</v>
      </c>
      <c r="F927" s="80">
        <f t="shared" si="29"/>
        <v>834</v>
      </c>
      <c r="G927" s="77">
        <f>Comp2[[#This Row],[Comparable '#2 Drawdown]]/MAX($B$2:B927)</f>
        <v>-0.59783356258596976</v>
      </c>
      <c r="H927" s="1" t="str">
        <f>IF(SUM(COUNTIF(Benchmark1[Benchmark '#1 Dates],Comp2[[#This Row],[Comparable '#2 Dates]]),COUNTIF(Benchmark2[Benchmark '#2 Dates],Comp2[[#This Row],[Comparable '#2 Dates]]))=2,"Pass","Fail")</f>
        <v>Pass</v>
      </c>
      <c r="I927" s="1">
        <f>IFERROR(Comp2[[#This Row],[Comparable '#2 Return]]-INDEX(Benchmark1[Benchmark '#1 Return],MATCH(Comp2[[#This Row],[Comparable '#2 Dates]],Benchmark1[Benchmark '#1 Dates],0)),"-")</f>
        <v>3.0178540968730221E-2</v>
      </c>
      <c r="L927" s="72">
        <f>Comp2[[#This Row],[Comparable '#2 Price]]/$B$2*100</f>
        <v>47.062374245472839</v>
      </c>
    </row>
    <row r="928" spans="1:12">
      <c r="A928" s="96">
        <v>44629</v>
      </c>
      <c r="B928" s="101">
        <v>23.9</v>
      </c>
      <c r="C928" s="4">
        <f t="shared" si="28"/>
        <v>2.1569878341377351E-2</v>
      </c>
      <c r="D928" s="1">
        <f>IFERROR(Comp2[[#This Row],[Comparable '#2 Return]]+1,"-")</f>
        <v>1.0215698783413774</v>
      </c>
      <c r="E928" s="6">
        <f>B928-MAX($B$2:B928)</f>
        <v>-34.26</v>
      </c>
      <c r="F928" s="80">
        <f t="shared" si="29"/>
        <v>835</v>
      </c>
      <c r="G928" s="77">
        <f>Comp2[[#This Row],[Comparable '#2 Drawdown]]/MAX($B$2:B928)</f>
        <v>-0.58906464924346635</v>
      </c>
      <c r="H928" s="1" t="str">
        <f>IF(SUM(COUNTIF(Benchmark1[Benchmark '#1 Dates],Comp2[[#This Row],[Comparable '#2 Dates]]),COUNTIF(Benchmark2[Benchmark '#2 Dates],Comp2[[#This Row],[Comparable '#2 Dates]]))=2,"Pass","Fail")</f>
        <v>Pass</v>
      </c>
      <c r="I928" s="1">
        <f>IFERROR(Comp2[[#This Row],[Comparable '#2 Return]]-INDEX(Benchmark1[Benchmark '#1 Return],MATCH(Comp2[[#This Row],[Comparable '#2 Dates]],Benchmark1[Benchmark '#1 Dates],0)),"-")</f>
        <v>-3.8028339361773737E-3</v>
      </c>
      <c r="L928" s="72">
        <f>Comp2[[#This Row],[Comparable '#2 Price]]/$B$2*100</f>
        <v>48.088531187122726</v>
      </c>
    </row>
    <row r="929" spans="1:12">
      <c r="A929" s="96">
        <v>44630</v>
      </c>
      <c r="B929" s="101">
        <v>24.01</v>
      </c>
      <c r="C929" s="4">
        <f t="shared" si="28"/>
        <v>4.5919512956969976E-3</v>
      </c>
      <c r="D929" s="1">
        <f>IFERROR(Comp2[[#This Row],[Comparable '#2 Return]]+1,"-")</f>
        <v>1.0045919512956969</v>
      </c>
      <c r="E929" s="6">
        <f>B929-MAX($B$2:B929)</f>
        <v>-34.149999999999991</v>
      </c>
      <c r="F929" s="80">
        <f t="shared" si="29"/>
        <v>836</v>
      </c>
      <c r="G929" s="77">
        <f>Comp2[[#This Row],[Comparable '#2 Drawdown]]/MAX($B$2:B929)</f>
        <v>-0.58717331499312231</v>
      </c>
      <c r="H929" s="1" t="str">
        <f>IF(SUM(COUNTIF(Benchmark1[Benchmark '#1 Dates],Comp2[[#This Row],[Comparable '#2 Dates]]),COUNTIF(Benchmark2[Benchmark '#2 Dates],Comp2[[#This Row],[Comparable '#2 Dates]]))=2,"Pass","Fail")</f>
        <v>Pass</v>
      </c>
      <c r="I929" s="1">
        <f>IFERROR(Comp2[[#This Row],[Comparable '#2 Return]]-INDEX(Benchmark1[Benchmark '#1 Return],MATCH(Comp2[[#This Row],[Comparable '#2 Dates]],Benchmark1[Benchmark '#1 Dates],0)),"-")</f>
        <v>8.89188363359379E-3</v>
      </c>
      <c r="L929" s="72">
        <f>Comp2[[#This Row],[Comparable '#2 Price]]/$B$2*100</f>
        <v>48.309859154929583</v>
      </c>
    </row>
    <row r="930" spans="1:12">
      <c r="A930" s="96">
        <v>44631</v>
      </c>
      <c r="B930" s="101">
        <v>24.15</v>
      </c>
      <c r="C930" s="4">
        <f t="shared" si="28"/>
        <v>5.8139698654198161E-3</v>
      </c>
      <c r="D930" s="1">
        <f>IFERROR(Comp2[[#This Row],[Comparable '#2 Return]]+1,"-")</f>
        <v>1.0058139698654198</v>
      </c>
      <c r="E930" s="6">
        <f>B930-MAX($B$2:B930)</f>
        <v>-34.01</v>
      </c>
      <c r="F930" s="80">
        <f t="shared" si="29"/>
        <v>837</v>
      </c>
      <c r="G930" s="77">
        <f>Comp2[[#This Row],[Comparable '#2 Drawdown]]/MAX($B$2:B930)</f>
        <v>-0.58476616231086653</v>
      </c>
      <c r="H930" s="1" t="str">
        <f>IF(SUM(COUNTIF(Benchmark1[Benchmark '#1 Dates],Comp2[[#This Row],[Comparable '#2 Dates]]),COUNTIF(Benchmark2[Benchmark '#2 Dates],Comp2[[#This Row],[Comparable '#2 Dates]]))=2,"Pass","Fail")</f>
        <v>Pass</v>
      </c>
      <c r="I930" s="1">
        <f>IFERROR(Comp2[[#This Row],[Comparable '#2 Return]]-INDEX(Benchmark1[Benchmark '#1 Return],MATCH(Comp2[[#This Row],[Comparable '#2 Dates]],Benchmark1[Benchmark '#1 Dates],0)),"-")</f>
        <v>1.8860991500009014E-2</v>
      </c>
      <c r="L930" s="72">
        <f>Comp2[[#This Row],[Comparable '#2 Price]]/$B$2*100</f>
        <v>48.591549295774641</v>
      </c>
    </row>
    <row r="931" spans="1:12">
      <c r="A931" s="96">
        <v>44634</v>
      </c>
      <c r="B931" s="101">
        <v>25.48</v>
      </c>
      <c r="C931" s="4">
        <f t="shared" si="28"/>
        <v>5.360945060538088E-2</v>
      </c>
      <c r="D931" s="1">
        <f>IFERROR(Comp2[[#This Row],[Comparable '#2 Return]]+1,"-")</f>
        <v>1.0536094506053808</v>
      </c>
      <c r="E931" s="6">
        <f>B931-MAX($B$2:B931)</f>
        <v>-32.679999999999993</v>
      </c>
      <c r="F931" s="80">
        <f t="shared" si="29"/>
        <v>838</v>
      </c>
      <c r="G931" s="77">
        <f>Comp2[[#This Row],[Comparable '#2 Drawdown]]/MAX($B$2:B931)</f>
        <v>-0.56189821182943589</v>
      </c>
      <c r="H931" s="1" t="str">
        <f>IF(SUM(COUNTIF(Benchmark1[Benchmark '#1 Dates],Comp2[[#This Row],[Comparable '#2 Dates]]),COUNTIF(Benchmark2[Benchmark '#2 Dates],Comp2[[#This Row],[Comparable '#2 Dates]]))=2,"Pass","Fail")</f>
        <v>Pass</v>
      </c>
      <c r="I931" s="1">
        <f>IFERROR(Comp2[[#This Row],[Comparable '#2 Return]]-INDEX(Benchmark1[Benchmark '#1 Return],MATCH(Comp2[[#This Row],[Comparable '#2 Dates]],Benchmark1[Benchmark '#1 Dates],0)),"-")</f>
        <v>6.1058105899712285E-2</v>
      </c>
      <c r="L931" s="72">
        <f>Comp2[[#This Row],[Comparable '#2 Price]]/$B$2*100</f>
        <v>51.267605633802816</v>
      </c>
    </row>
    <row r="932" spans="1:12">
      <c r="A932" s="96">
        <v>44635</v>
      </c>
      <c r="B932" s="101">
        <v>26.85</v>
      </c>
      <c r="C932" s="4">
        <f t="shared" si="28"/>
        <v>5.2371990250911035E-2</v>
      </c>
      <c r="D932" s="1">
        <f>IFERROR(Comp2[[#This Row],[Comparable '#2 Return]]+1,"-")</f>
        <v>1.052371990250911</v>
      </c>
      <c r="E932" s="6">
        <f>B932-MAX($B$2:B932)</f>
        <v>-31.309999999999995</v>
      </c>
      <c r="F932" s="80">
        <f t="shared" si="29"/>
        <v>839</v>
      </c>
      <c r="G932" s="77">
        <f>Comp2[[#This Row],[Comparable '#2 Drawdown]]/MAX($B$2:B932)</f>
        <v>-0.53834250343878953</v>
      </c>
      <c r="H932" s="1" t="str">
        <f>IF(SUM(COUNTIF(Benchmark1[Benchmark '#1 Dates],Comp2[[#This Row],[Comparable '#2 Dates]]),COUNTIF(Benchmark2[Benchmark '#2 Dates],Comp2[[#This Row],[Comparable '#2 Dates]]))=2,"Pass","Fail")</f>
        <v>Pass</v>
      </c>
      <c r="I932" s="1">
        <f>IFERROR(Comp2[[#This Row],[Comparable '#2 Return]]-INDEX(Benchmark1[Benchmark '#1 Return],MATCH(Comp2[[#This Row],[Comparable '#2 Dates]],Benchmark1[Benchmark '#1 Dates],0)),"-")</f>
        <v>3.1190883194953969E-2</v>
      </c>
      <c r="L932" s="72">
        <f>Comp2[[#This Row],[Comparable '#2 Price]]/$B$2*100</f>
        <v>54.024144869215299</v>
      </c>
    </row>
    <row r="933" spans="1:12">
      <c r="A933" s="96">
        <v>44636</v>
      </c>
      <c r="B933" s="101">
        <v>27.62</v>
      </c>
      <c r="C933" s="4">
        <f t="shared" si="28"/>
        <v>2.8274327026272281E-2</v>
      </c>
      <c r="D933" s="1">
        <f>IFERROR(Comp2[[#This Row],[Comparable '#2 Return]]+1,"-")</f>
        <v>1.0282743270262722</v>
      </c>
      <c r="E933" s="6">
        <f>B933-MAX($B$2:B933)</f>
        <v>-30.539999999999996</v>
      </c>
      <c r="F933" s="80">
        <f t="shared" si="29"/>
        <v>840</v>
      </c>
      <c r="G933" s="77">
        <f>Comp2[[#This Row],[Comparable '#2 Drawdown]]/MAX($B$2:B933)</f>
        <v>-0.52510316368638232</v>
      </c>
      <c r="H933" s="1" t="str">
        <f>IF(SUM(COUNTIF(Benchmark1[Benchmark '#1 Dates],Comp2[[#This Row],[Comparable '#2 Dates]]),COUNTIF(Benchmark2[Benchmark '#2 Dates],Comp2[[#This Row],[Comparable '#2 Dates]]))=2,"Pass","Fail")</f>
        <v>Pass</v>
      </c>
      <c r="I933" s="1">
        <f>IFERROR(Comp2[[#This Row],[Comparable '#2 Return]]-INDEX(Benchmark1[Benchmark '#1 Return],MATCH(Comp2[[#This Row],[Comparable '#2 Dates]],Benchmark1[Benchmark '#1 Dates],0)),"-")</f>
        <v>6.13696366064145E-3</v>
      </c>
      <c r="L933" s="72">
        <f>Comp2[[#This Row],[Comparable '#2 Price]]/$B$2*100</f>
        <v>55.573440643863179</v>
      </c>
    </row>
    <row r="934" spans="1:12">
      <c r="A934" s="96">
        <v>44637</v>
      </c>
      <c r="B934" s="101">
        <v>28.63</v>
      </c>
      <c r="C934" s="4">
        <f t="shared" si="28"/>
        <v>3.5914971128877468E-2</v>
      </c>
      <c r="D934" s="1">
        <f>IFERROR(Comp2[[#This Row],[Comparable '#2 Return]]+1,"-")</f>
        <v>1.0359149711288775</v>
      </c>
      <c r="E934" s="6">
        <f>B934-MAX($B$2:B934)</f>
        <v>-29.529999999999998</v>
      </c>
      <c r="F934" s="80">
        <f t="shared" si="29"/>
        <v>841</v>
      </c>
      <c r="G934" s="77">
        <f>Comp2[[#This Row],[Comparable '#2 Drawdown]]/MAX($B$2:B934)</f>
        <v>-0.5077372764786795</v>
      </c>
      <c r="H934" s="1" t="str">
        <f>IF(SUM(COUNTIF(Benchmark1[Benchmark '#1 Dates],Comp2[[#This Row],[Comparable '#2 Dates]]),COUNTIF(Benchmark2[Benchmark '#2 Dates],Comp2[[#This Row],[Comparable '#2 Dates]]))=2,"Pass","Fail")</f>
        <v>Pass</v>
      </c>
      <c r="I934" s="1">
        <f>IFERROR(Comp2[[#This Row],[Comparable '#2 Return]]-INDEX(Benchmark1[Benchmark '#1 Return],MATCH(Comp2[[#This Row],[Comparable '#2 Dates]],Benchmark1[Benchmark '#1 Dates],0)),"-")</f>
        <v>2.3642653833308949E-2</v>
      </c>
      <c r="L934" s="72">
        <f>Comp2[[#This Row],[Comparable '#2 Price]]/$B$2*100</f>
        <v>57.605633802816889</v>
      </c>
    </row>
    <row r="935" spans="1:12">
      <c r="A935" s="96">
        <v>44638</v>
      </c>
      <c r="B935" s="101">
        <v>29.25</v>
      </c>
      <c r="C935" s="4">
        <f t="shared" si="28"/>
        <v>2.1424454567841807E-2</v>
      </c>
      <c r="D935" s="1">
        <f>IFERROR(Comp2[[#This Row],[Comparable '#2 Return]]+1,"-")</f>
        <v>1.0214244545678417</v>
      </c>
      <c r="E935" s="6">
        <f>B935-MAX($B$2:B935)</f>
        <v>-28.909999999999997</v>
      </c>
      <c r="F935" s="80">
        <f t="shared" si="29"/>
        <v>842</v>
      </c>
      <c r="G935" s="77">
        <f>Comp2[[#This Row],[Comparable '#2 Drawdown]]/MAX($B$2:B935)</f>
        <v>-0.49707702888583216</v>
      </c>
      <c r="H935" s="1" t="str">
        <f>IF(SUM(COUNTIF(Benchmark1[Benchmark '#1 Dates],Comp2[[#This Row],[Comparable '#2 Dates]]),COUNTIF(Benchmark2[Benchmark '#2 Dates],Comp2[[#This Row],[Comparable '#2 Dates]]))=2,"Pass","Fail")</f>
        <v>Pass</v>
      </c>
      <c r="I935" s="1">
        <f>IFERROR(Comp2[[#This Row],[Comparable '#2 Return]]-INDEX(Benchmark1[Benchmark '#1 Return],MATCH(Comp2[[#This Row],[Comparable '#2 Dates]],Benchmark1[Benchmark '#1 Dates],0)),"-")</f>
        <v>9.8296835976126682E-3</v>
      </c>
      <c r="L935" s="72">
        <f>Comp2[[#This Row],[Comparable '#2 Price]]/$B$2*100</f>
        <v>58.853118712273634</v>
      </c>
    </row>
    <row r="936" spans="1:12">
      <c r="A936" s="96">
        <v>44641</v>
      </c>
      <c r="B936" s="101">
        <v>29.43</v>
      </c>
      <c r="C936" s="4">
        <f t="shared" si="28"/>
        <v>6.1349885675159293E-3</v>
      </c>
      <c r="D936" s="1">
        <f>IFERROR(Comp2[[#This Row],[Comparable '#2 Return]]+1,"-")</f>
        <v>1.0061349885675159</v>
      </c>
      <c r="E936" s="6">
        <f>B936-MAX($B$2:B936)</f>
        <v>-28.729999999999997</v>
      </c>
      <c r="F936" s="80">
        <f t="shared" si="29"/>
        <v>843</v>
      </c>
      <c r="G936" s="77">
        <f>Comp2[[#This Row],[Comparable '#2 Drawdown]]/MAX($B$2:B936)</f>
        <v>-0.49398211829436034</v>
      </c>
      <c r="H936" s="1" t="str">
        <f>IF(SUM(COUNTIF(Benchmark1[Benchmark '#1 Dates],Comp2[[#This Row],[Comparable '#2 Dates]]),COUNTIF(Benchmark2[Benchmark '#2 Dates],Comp2[[#This Row],[Comparable '#2 Dates]]))=2,"Pass","Fail")</f>
        <v>Pass</v>
      </c>
      <c r="I936" s="1">
        <f>IFERROR(Comp2[[#This Row],[Comparable '#2 Return]]-INDEX(Benchmark1[Benchmark '#1 Return],MATCH(Comp2[[#This Row],[Comparable '#2 Dates]],Benchmark1[Benchmark '#1 Dates],0)),"-")</f>
        <v>6.5691860530090809E-3</v>
      </c>
      <c r="L936" s="72">
        <f>Comp2[[#This Row],[Comparable '#2 Price]]/$B$2*100</f>
        <v>59.21529175050302</v>
      </c>
    </row>
    <row r="937" spans="1:12">
      <c r="A937" s="96">
        <v>44642</v>
      </c>
      <c r="B937" s="101">
        <v>28.85</v>
      </c>
      <c r="C937" s="4">
        <f t="shared" si="28"/>
        <v>-1.9904569291272822E-2</v>
      </c>
      <c r="D937" s="1">
        <f>IFERROR(Comp2[[#This Row],[Comparable '#2 Return]]+1,"-")</f>
        <v>0.98009543070872718</v>
      </c>
      <c r="E937" s="6">
        <f>B937-MAX($B$2:B937)</f>
        <v>-29.309999999999995</v>
      </c>
      <c r="F937" s="80">
        <f t="shared" si="29"/>
        <v>844</v>
      </c>
      <c r="G937" s="77">
        <f>Comp2[[#This Row],[Comparable '#2 Drawdown]]/MAX($B$2:B937)</f>
        <v>-0.50395460797799174</v>
      </c>
      <c r="H937" s="1" t="str">
        <f>IF(SUM(COUNTIF(Benchmark1[Benchmark '#1 Dates],Comp2[[#This Row],[Comparable '#2 Dates]]),COUNTIF(Benchmark2[Benchmark '#2 Dates],Comp2[[#This Row],[Comparable '#2 Dates]]))=2,"Pass","Fail")</f>
        <v>Pass</v>
      </c>
      <c r="I937" s="1">
        <f>IFERROR(Comp2[[#This Row],[Comparable '#2 Return]]-INDEX(Benchmark1[Benchmark '#1 Return],MATCH(Comp2[[#This Row],[Comparable '#2 Dates]],Benchmark1[Benchmark '#1 Dates],0)),"-")</f>
        <v>-3.1144456566772706E-2</v>
      </c>
      <c r="L937" s="72">
        <f>Comp2[[#This Row],[Comparable '#2 Price]]/$B$2*100</f>
        <v>58.048289738430583</v>
      </c>
    </row>
    <row r="938" spans="1:12">
      <c r="A938" s="96">
        <v>44643</v>
      </c>
      <c r="B938" s="101">
        <v>28.64</v>
      </c>
      <c r="C938" s="4">
        <f t="shared" si="28"/>
        <v>-7.3056508616636852E-3</v>
      </c>
      <c r="D938" s="1">
        <f>IFERROR(Comp2[[#This Row],[Comparable '#2 Return]]+1,"-")</f>
        <v>0.99269434913833632</v>
      </c>
      <c r="E938" s="6">
        <f>B938-MAX($B$2:B938)</f>
        <v>-29.519999999999996</v>
      </c>
      <c r="F938" s="80">
        <f t="shared" si="29"/>
        <v>845</v>
      </c>
      <c r="G938" s="77">
        <f>Comp2[[#This Row],[Comparable '#2 Drawdown]]/MAX($B$2:B938)</f>
        <v>-0.50756533700137552</v>
      </c>
      <c r="H938" s="1" t="str">
        <f>IF(SUM(COUNTIF(Benchmark1[Benchmark '#1 Dates],Comp2[[#This Row],[Comparable '#2 Dates]]),COUNTIF(Benchmark2[Benchmark '#2 Dates],Comp2[[#This Row],[Comparable '#2 Dates]]))=2,"Pass","Fail")</f>
        <v>Pass</v>
      </c>
      <c r="I938" s="1">
        <f>IFERROR(Comp2[[#This Row],[Comparable '#2 Return]]-INDEX(Benchmark1[Benchmark '#1 Return],MATCH(Comp2[[#This Row],[Comparable '#2 Dates]],Benchmark1[Benchmark '#1 Dates],0)),"-")</f>
        <v>5.0430979481821767E-3</v>
      </c>
      <c r="L938" s="72">
        <f>Comp2[[#This Row],[Comparable '#2 Price]]/$B$2*100</f>
        <v>57.625754527162975</v>
      </c>
    </row>
    <row r="939" spans="1:12">
      <c r="A939" s="96">
        <v>44644</v>
      </c>
      <c r="B939" s="101">
        <v>29.85</v>
      </c>
      <c r="C939" s="4">
        <f t="shared" si="28"/>
        <v>4.138049774616627E-2</v>
      </c>
      <c r="D939" s="1">
        <f>IFERROR(Comp2[[#This Row],[Comparable '#2 Return]]+1,"-")</f>
        <v>1.0413804977461663</v>
      </c>
      <c r="E939" s="6">
        <f>B939-MAX($B$2:B939)</f>
        <v>-28.309999999999995</v>
      </c>
      <c r="F939" s="80">
        <f t="shared" si="29"/>
        <v>846</v>
      </c>
      <c r="G939" s="77">
        <f>Comp2[[#This Row],[Comparable '#2 Drawdown]]/MAX($B$2:B939)</f>
        <v>-0.48676066024759279</v>
      </c>
      <c r="H939" s="1" t="str">
        <f>IF(SUM(COUNTIF(Benchmark1[Benchmark '#1 Dates],Comp2[[#This Row],[Comparable '#2 Dates]]),COUNTIF(Benchmark2[Benchmark '#2 Dates],Comp2[[#This Row],[Comparable '#2 Dates]]))=2,"Pass","Fail")</f>
        <v>Pass</v>
      </c>
      <c r="I939" s="1">
        <f>IFERROR(Comp2[[#This Row],[Comparable '#2 Return]]-INDEX(Benchmark1[Benchmark '#1 Return],MATCH(Comp2[[#This Row],[Comparable '#2 Dates]],Benchmark1[Benchmark '#1 Dates],0)),"-")</f>
        <v>2.7137242803094444E-2</v>
      </c>
      <c r="L939" s="72">
        <f>Comp2[[#This Row],[Comparable '#2 Price]]/$B$2*100</f>
        <v>60.060362173038229</v>
      </c>
    </row>
    <row r="940" spans="1:12">
      <c r="A940" s="96">
        <v>44645</v>
      </c>
      <c r="B940" s="101">
        <v>30.08</v>
      </c>
      <c r="C940" s="4">
        <f t="shared" si="28"/>
        <v>7.6756592430279637E-3</v>
      </c>
      <c r="D940" s="1">
        <f>IFERROR(Comp2[[#This Row],[Comparable '#2 Return]]+1,"-")</f>
        <v>1.007675659243028</v>
      </c>
      <c r="E940" s="6">
        <f>B940-MAX($B$2:B940)</f>
        <v>-28.08</v>
      </c>
      <c r="F940" s="80">
        <f t="shared" si="29"/>
        <v>847</v>
      </c>
      <c r="G940" s="77">
        <f>Comp2[[#This Row],[Comparable '#2 Drawdown]]/MAX($B$2:B940)</f>
        <v>-0.4828060522696011</v>
      </c>
      <c r="H940" s="1" t="str">
        <f>IF(SUM(COUNTIF(Benchmark1[Benchmark '#1 Dates],Comp2[[#This Row],[Comparable '#2 Dates]]),COUNTIF(Benchmark2[Benchmark '#2 Dates],Comp2[[#This Row],[Comparable '#2 Dates]]))=2,"Pass","Fail")</f>
        <v>Pass</v>
      </c>
      <c r="I940" s="1">
        <f>IFERROR(Comp2[[#This Row],[Comparable '#2 Return]]-INDEX(Benchmark1[Benchmark '#1 Return],MATCH(Comp2[[#This Row],[Comparable '#2 Dates]],Benchmark1[Benchmark '#1 Dates],0)),"-")</f>
        <v>2.6233915876533002E-3</v>
      </c>
      <c r="L940" s="72">
        <f>Comp2[[#This Row],[Comparable '#2 Price]]/$B$2*100</f>
        <v>60.523138832997979</v>
      </c>
    </row>
    <row r="941" spans="1:12">
      <c r="A941" s="96">
        <v>44648</v>
      </c>
      <c r="B941" s="101">
        <v>30.07</v>
      </c>
      <c r="C941" s="4">
        <f t="shared" si="28"/>
        <v>-3.3250208120125951E-4</v>
      </c>
      <c r="D941" s="1">
        <f>IFERROR(Comp2[[#This Row],[Comparable '#2 Return]]+1,"-")</f>
        <v>0.99966749791879872</v>
      </c>
      <c r="E941" s="6">
        <f>B941-MAX($B$2:B941)</f>
        <v>-28.089999999999996</v>
      </c>
      <c r="F941" s="80">
        <f t="shared" si="29"/>
        <v>848</v>
      </c>
      <c r="G941" s="77">
        <f>Comp2[[#This Row],[Comparable '#2 Drawdown]]/MAX($B$2:B941)</f>
        <v>-0.48297799174690503</v>
      </c>
      <c r="H941" s="1" t="str">
        <f>IF(SUM(COUNTIF(Benchmark1[Benchmark '#1 Dates],Comp2[[#This Row],[Comparable '#2 Dates]]),COUNTIF(Benchmark2[Benchmark '#2 Dates],Comp2[[#This Row],[Comparable '#2 Dates]]))=2,"Pass","Fail")</f>
        <v>Pass</v>
      </c>
      <c r="I941" s="1">
        <f>IFERROR(Comp2[[#This Row],[Comparable '#2 Return]]-INDEX(Benchmark1[Benchmark '#1 Return],MATCH(Comp2[[#This Row],[Comparable '#2 Dates]],Benchmark1[Benchmark '#1 Dates],0)),"-")</f>
        <v>-7.4520555877105087E-3</v>
      </c>
      <c r="L941" s="72">
        <f>Comp2[[#This Row],[Comparable '#2 Price]]/$B$2*100</f>
        <v>60.503018108651908</v>
      </c>
    </row>
    <row r="942" spans="1:12">
      <c r="A942" s="96">
        <v>44649</v>
      </c>
      <c r="B942" s="101">
        <v>30.1</v>
      </c>
      <c r="C942" s="4">
        <f t="shared" si="28"/>
        <v>9.9717475439240551E-4</v>
      </c>
      <c r="D942" s="1">
        <f>IFERROR(Comp2[[#This Row],[Comparable '#2 Return]]+1,"-")</f>
        <v>1.0009971747543924</v>
      </c>
      <c r="E942" s="6">
        <f>B942-MAX($B$2:B942)</f>
        <v>-28.059999999999995</v>
      </c>
      <c r="F942" s="80">
        <f t="shared" si="29"/>
        <v>849</v>
      </c>
      <c r="G942" s="77">
        <f>Comp2[[#This Row],[Comparable '#2 Drawdown]]/MAX($B$2:B942)</f>
        <v>-0.48246217331499308</v>
      </c>
      <c r="H942" s="1" t="str">
        <f>IF(SUM(COUNTIF(Benchmark1[Benchmark '#1 Dates],Comp2[[#This Row],[Comparable '#2 Dates]]),COUNTIF(Benchmark2[Benchmark '#2 Dates],Comp2[[#This Row],[Comparable '#2 Dates]]))=2,"Pass","Fail")</f>
        <v>Pass</v>
      </c>
      <c r="I942" s="1">
        <f>IFERROR(Comp2[[#This Row],[Comparable '#2 Return]]-INDEX(Benchmark1[Benchmark '#1 Return],MATCH(Comp2[[#This Row],[Comparable '#2 Dates]],Benchmark1[Benchmark '#1 Dates],0)),"-")</f>
        <v>-1.1186703441568902E-2</v>
      </c>
      <c r="L942" s="72">
        <f>Comp2[[#This Row],[Comparable '#2 Price]]/$B$2*100</f>
        <v>60.563380281690137</v>
      </c>
    </row>
    <row r="943" spans="1:12">
      <c r="A943" s="96">
        <v>44650</v>
      </c>
      <c r="B943" s="101">
        <v>30.24</v>
      </c>
      <c r="C943" s="4">
        <f t="shared" si="28"/>
        <v>4.6403795565020797E-3</v>
      </c>
      <c r="D943" s="1">
        <f>IFERROR(Comp2[[#This Row],[Comparable '#2 Return]]+1,"-")</f>
        <v>1.004640379556502</v>
      </c>
      <c r="E943" s="6">
        <f>B943-MAX($B$2:B943)</f>
        <v>-27.919999999999998</v>
      </c>
      <c r="F943" s="80">
        <f t="shared" si="29"/>
        <v>850</v>
      </c>
      <c r="G943" s="77">
        <f>Comp2[[#This Row],[Comparable '#2 Drawdown]]/MAX($B$2:B943)</f>
        <v>-0.48005502063273725</v>
      </c>
      <c r="H943" s="1" t="str">
        <f>IF(SUM(COUNTIF(Benchmark1[Benchmark '#1 Dates],Comp2[[#This Row],[Comparable '#2 Dates]]),COUNTIF(Benchmark2[Benchmark '#2 Dates],Comp2[[#This Row],[Comparable '#2 Dates]]))=2,"Pass","Fail")</f>
        <v>Pass</v>
      </c>
      <c r="I943" s="1">
        <f>IFERROR(Comp2[[#This Row],[Comparable '#2 Return]]-INDEX(Benchmark1[Benchmark '#1 Return],MATCH(Comp2[[#This Row],[Comparable '#2 Dates]],Benchmark1[Benchmark '#1 Dates],0)),"-")</f>
        <v>1.0955339137453585E-2</v>
      </c>
      <c r="L943" s="72">
        <f>Comp2[[#This Row],[Comparable '#2 Price]]/$B$2*100</f>
        <v>60.845070422535208</v>
      </c>
    </row>
    <row r="944" spans="1:12">
      <c r="A944" s="96">
        <v>44651</v>
      </c>
      <c r="B944" s="101">
        <v>29.71</v>
      </c>
      <c r="C944" s="4">
        <f t="shared" si="28"/>
        <v>-1.768186183681595E-2</v>
      </c>
      <c r="D944" s="1">
        <f>IFERROR(Comp2[[#This Row],[Comparable '#2 Return]]+1,"-")</f>
        <v>0.98231813816318403</v>
      </c>
      <c r="E944" s="6">
        <f>B944-MAX($B$2:B944)</f>
        <v>-28.449999999999996</v>
      </c>
      <c r="F944" s="80">
        <f t="shared" si="29"/>
        <v>851</v>
      </c>
      <c r="G944" s="77">
        <f>Comp2[[#This Row],[Comparable '#2 Drawdown]]/MAX($B$2:B944)</f>
        <v>-0.48916781292984862</v>
      </c>
      <c r="H944" s="1" t="str">
        <f>IF(SUM(COUNTIF(Benchmark1[Benchmark '#1 Dates],Comp2[[#This Row],[Comparable '#2 Dates]]),COUNTIF(Benchmark2[Benchmark '#2 Dates],Comp2[[#This Row],[Comparable '#2 Dates]]))=2,"Pass","Fail")</f>
        <v>Pass</v>
      </c>
      <c r="I944" s="1">
        <f>IFERROR(Comp2[[#This Row],[Comparable '#2 Return]]-INDEX(Benchmark1[Benchmark '#1 Return],MATCH(Comp2[[#This Row],[Comparable '#2 Dates]],Benchmark1[Benchmark '#1 Dates],0)),"-")</f>
        <v>-1.9065979976987946E-3</v>
      </c>
      <c r="L944" s="72">
        <f>Comp2[[#This Row],[Comparable '#2 Price]]/$B$2*100</f>
        <v>59.778672032193157</v>
      </c>
    </row>
    <row r="945" spans="1:12">
      <c r="A945" s="96">
        <v>44652</v>
      </c>
      <c r="B945" s="101">
        <v>31</v>
      </c>
      <c r="C945" s="4">
        <f t="shared" si="28"/>
        <v>4.2503515010629891E-2</v>
      </c>
      <c r="D945" s="1">
        <f>IFERROR(Comp2[[#This Row],[Comparable '#2 Return]]+1,"-")</f>
        <v>1.0425035150106299</v>
      </c>
      <c r="E945" s="6">
        <f>B945-MAX($B$2:B945)</f>
        <v>-27.159999999999997</v>
      </c>
      <c r="F945" s="80">
        <f t="shared" si="29"/>
        <v>852</v>
      </c>
      <c r="G945" s="77">
        <f>Comp2[[#This Row],[Comparable '#2 Drawdown]]/MAX($B$2:B945)</f>
        <v>-0.46698762035763408</v>
      </c>
      <c r="H945" s="1" t="str">
        <f>IF(SUM(COUNTIF(Benchmark1[Benchmark '#1 Dates],Comp2[[#This Row],[Comparable '#2 Dates]]),COUNTIF(Benchmark2[Benchmark '#2 Dates],Comp2[[#This Row],[Comparable '#2 Dates]]))=2,"Pass","Fail")</f>
        <v>Pass</v>
      </c>
      <c r="I945" s="1">
        <f>IFERROR(Comp2[[#This Row],[Comparable '#2 Return]]-INDEX(Benchmark1[Benchmark '#1 Return],MATCH(Comp2[[#This Row],[Comparable '#2 Dates]],Benchmark1[Benchmark '#1 Dates],0)),"-")</f>
        <v>3.91007730619043E-2</v>
      </c>
      <c r="L945" s="72">
        <f>Comp2[[#This Row],[Comparable '#2 Price]]/$B$2*100</f>
        <v>62.374245472837018</v>
      </c>
    </row>
    <row r="946" spans="1:12">
      <c r="A946" s="96">
        <v>44655</v>
      </c>
      <c r="B946" s="101">
        <v>30.35</v>
      </c>
      <c r="C946" s="4">
        <f t="shared" si="28"/>
        <v>-2.1190686979638891E-2</v>
      </c>
      <c r="D946" s="1">
        <f>IFERROR(Comp2[[#This Row],[Comparable '#2 Return]]+1,"-")</f>
        <v>0.97880931302036112</v>
      </c>
      <c r="E946" s="6">
        <f>B946-MAX($B$2:B946)</f>
        <v>-27.809999999999995</v>
      </c>
      <c r="F946" s="80">
        <f t="shared" si="29"/>
        <v>853</v>
      </c>
      <c r="G946" s="77">
        <f>Comp2[[#This Row],[Comparable '#2 Drawdown]]/MAX($B$2:B946)</f>
        <v>-0.47816368638239332</v>
      </c>
      <c r="H946" s="1" t="str">
        <f>IF(SUM(COUNTIF(Benchmark1[Benchmark '#1 Dates],Comp2[[#This Row],[Comparable '#2 Dates]]),COUNTIF(Benchmark2[Benchmark '#2 Dates],Comp2[[#This Row],[Comparable '#2 Dates]]))=2,"Pass","Fail")</f>
        <v>Pass</v>
      </c>
      <c r="I946" s="1">
        <f>IFERROR(Comp2[[#This Row],[Comparable '#2 Return]]-INDEX(Benchmark1[Benchmark '#1 Return],MATCH(Comp2[[#This Row],[Comparable '#2 Dates]],Benchmark1[Benchmark '#1 Dates],0)),"-")</f>
        <v>-2.9249138882989641E-2</v>
      </c>
      <c r="L946" s="72">
        <f>Comp2[[#This Row],[Comparable '#2 Price]]/$B$2*100</f>
        <v>61.066398390342044</v>
      </c>
    </row>
    <row r="947" spans="1:12">
      <c r="A947" s="96">
        <v>44656</v>
      </c>
      <c r="B947" s="101">
        <v>29.38</v>
      </c>
      <c r="C947" s="4">
        <f t="shared" si="28"/>
        <v>-3.2482346759776078E-2</v>
      </c>
      <c r="D947" s="1">
        <f>IFERROR(Comp2[[#This Row],[Comparable '#2 Return]]+1,"-")</f>
        <v>0.96751765324022387</v>
      </c>
      <c r="E947" s="6">
        <f>B947-MAX($B$2:B947)</f>
        <v>-28.779999999999998</v>
      </c>
      <c r="F947" s="80">
        <f t="shared" si="29"/>
        <v>854</v>
      </c>
      <c r="G947" s="77">
        <f>Comp2[[#This Row],[Comparable '#2 Drawdown]]/MAX($B$2:B947)</f>
        <v>-0.49484181568088031</v>
      </c>
      <c r="H947" s="1" t="str">
        <f>IF(SUM(COUNTIF(Benchmark1[Benchmark '#1 Dates],Comp2[[#This Row],[Comparable '#2 Dates]]),COUNTIF(Benchmark2[Benchmark '#2 Dates],Comp2[[#This Row],[Comparable '#2 Dates]]))=2,"Pass","Fail")</f>
        <v>Pass</v>
      </c>
      <c r="I947" s="1">
        <f>IFERROR(Comp2[[#This Row],[Comparable '#2 Return]]-INDEX(Benchmark1[Benchmark '#1 Return],MATCH(Comp2[[#This Row],[Comparable '#2 Dates]],Benchmark1[Benchmark '#1 Dates],0)),"-")</f>
        <v>-1.9852510404140586E-2</v>
      </c>
      <c r="L947" s="72">
        <f>Comp2[[#This Row],[Comparable '#2 Price]]/$B$2*100</f>
        <v>59.114688128772627</v>
      </c>
    </row>
    <row r="948" spans="1:12">
      <c r="A948" s="96">
        <v>44657</v>
      </c>
      <c r="B948" s="101">
        <v>29.08</v>
      </c>
      <c r="C948" s="4">
        <f t="shared" si="28"/>
        <v>-1.026351808041262E-2</v>
      </c>
      <c r="D948" s="1">
        <f>IFERROR(Comp2[[#This Row],[Comparable '#2 Return]]+1,"-")</f>
        <v>0.98973648191958741</v>
      </c>
      <c r="E948" s="6">
        <f>B948-MAX($B$2:B948)</f>
        <v>-29.08</v>
      </c>
      <c r="F948" s="80">
        <f t="shared" si="29"/>
        <v>855</v>
      </c>
      <c r="G948" s="77">
        <f>Comp2[[#This Row],[Comparable '#2 Drawdown]]/MAX($B$2:B948)</f>
        <v>-0.5</v>
      </c>
      <c r="H948" s="1" t="str">
        <f>IF(SUM(COUNTIF(Benchmark1[Benchmark '#1 Dates],Comp2[[#This Row],[Comparable '#2 Dates]]),COUNTIF(Benchmark2[Benchmark '#2 Dates],Comp2[[#This Row],[Comparable '#2 Dates]]))=2,"Pass","Fail")</f>
        <v>Pass</v>
      </c>
      <c r="I948" s="1">
        <f>IFERROR(Comp2[[#This Row],[Comparable '#2 Return]]-INDEX(Benchmark1[Benchmark '#1 Return],MATCH(Comp2[[#This Row],[Comparable '#2 Dates]],Benchmark1[Benchmark '#1 Dates],0)),"-")</f>
        <v>-4.9940987260621572E-4</v>
      </c>
      <c r="L948" s="72">
        <f>Comp2[[#This Row],[Comparable '#2 Price]]/$B$2*100</f>
        <v>58.511066398390334</v>
      </c>
    </row>
    <row r="949" spans="1:12">
      <c r="A949" s="96">
        <v>44658</v>
      </c>
      <c r="B949" s="101">
        <v>29.04</v>
      </c>
      <c r="C949" s="4">
        <f t="shared" si="28"/>
        <v>-1.3764627087232365E-3</v>
      </c>
      <c r="D949" s="1">
        <f>IFERROR(Comp2[[#This Row],[Comparable '#2 Return]]+1,"-")</f>
        <v>0.99862353729127673</v>
      </c>
      <c r="E949" s="6">
        <f>B949-MAX($B$2:B949)</f>
        <v>-29.119999999999997</v>
      </c>
      <c r="F949" s="80">
        <f t="shared" si="29"/>
        <v>856</v>
      </c>
      <c r="G949" s="77">
        <f>Comp2[[#This Row],[Comparable '#2 Drawdown]]/MAX($B$2:B949)</f>
        <v>-0.50068775790921594</v>
      </c>
      <c r="H949" s="1" t="str">
        <f>IF(SUM(COUNTIF(Benchmark1[Benchmark '#1 Dates],Comp2[[#This Row],[Comparable '#2 Dates]]),COUNTIF(Benchmark2[Benchmark '#2 Dates],Comp2[[#This Row],[Comparable '#2 Dates]]))=2,"Pass","Fail")</f>
        <v>Pass</v>
      </c>
      <c r="I949" s="1">
        <f>IFERROR(Comp2[[#This Row],[Comparable '#2 Return]]-INDEX(Benchmark1[Benchmark '#1 Return],MATCH(Comp2[[#This Row],[Comparable '#2 Dates]],Benchmark1[Benchmark '#1 Dates],0)),"-")</f>
        <v>-5.6199424945185227E-3</v>
      </c>
      <c r="L949" s="72">
        <f>Comp2[[#This Row],[Comparable '#2 Price]]/$B$2*100</f>
        <v>58.430583501006026</v>
      </c>
    </row>
    <row r="950" spans="1:12">
      <c r="A950" s="96">
        <v>44659</v>
      </c>
      <c r="B950" s="101">
        <v>28.98</v>
      </c>
      <c r="C950" s="4">
        <f t="shared" si="28"/>
        <v>-2.0682530640589573E-3</v>
      </c>
      <c r="D950" s="1">
        <f>IFERROR(Comp2[[#This Row],[Comparable '#2 Return]]+1,"-")</f>
        <v>0.997931746935941</v>
      </c>
      <c r="E950" s="6">
        <f>B950-MAX($B$2:B950)</f>
        <v>-29.179999999999996</v>
      </c>
      <c r="F950" s="80">
        <f t="shared" si="29"/>
        <v>857</v>
      </c>
      <c r="G950" s="77">
        <f>Comp2[[#This Row],[Comparable '#2 Drawdown]]/MAX($B$2:B950)</f>
        <v>-0.50171939477303984</v>
      </c>
      <c r="H950" s="1" t="str">
        <f>IF(SUM(COUNTIF(Benchmark1[Benchmark '#1 Dates],Comp2[[#This Row],[Comparable '#2 Dates]]),COUNTIF(Benchmark2[Benchmark '#2 Dates],Comp2[[#This Row],[Comparable '#2 Dates]]))=2,"Pass","Fail")</f>
        <v>Pass</v>
      </c>
      <c r="I950" s="1">
        <f>IFERROR(Comp2[[#This Row],[Comparable '#2 Return]]-INDEX(Benchmark1[Benchmark '#1 Return],MATCH(Comp2[[#This Row],[Comparable '#2 Dates]],Benchmark1[Benchmark '#1 Dates],0)),"-")</f>
        <v>5.8573592953433361E-4</v>
      </c>
      <c r="L950" s="72">
        <f>Comp2[[#This Row],[Comparable '#2 Price]]/$B$2*100</f>
        <v>58.309859154929576</v>
      </c>
    </row>
    <row r="951" spans="1:12">
      <c r="A951" s="96">
        <v>44662</v>
      </c>
      <c r="B951" s="101">
        <v>28.71</v>
      </c>
      <c r="C951" s="4">
        <f t="shared" si="28"/>
        <v>-9.360442759563695E-3</v>
      </c>
      <c r="D951" s="1">
        <f>IFERROR(Comp2[[#This Row],[Comparable '#2 Return]]+1,"-")</f>
        <v>0.99063955724043629</v>
      </c>
      <c r="E951" s="6">
        <f>B951-MAX($B$2:B951)</f>
        <v>-29.449999999999996</v>
      </c>
      <c r="F951" s="80">
        <f t="shared" si="29"/>
        <v>858</v>
      </c>
      <c r="G951" s="77">
        <f>Comp2[[#This Row],[Comparable '#2 Drawdown]]/MAX($B$2:B951)</f>
        <v>-0.50636176066024752</v>
      </c>
      <c r="H951" s="1" t="str">
        <f>IF(SUM(COUNTIF(Benchmark1[Benchmark '#1 Dates],Comp2[[#This Row],[Comparable '#2 Dates]]),COUNTIF(Benchmark2[Benchmark '#2 Dates],Comp2[[#This Row],[Comparable '#2 Dates]]))=2,"Pass","Fail")</f>
        <v>Pass</v>
      </c>
      <c r="I951" s="1">
        <f>IFERROR(Comp2[[#This Row],[Comparable '#2 Return]]-INDEX(Benchmark1[Benchmark '#1 Return],MATCH(Comp2[[#This Row],[Comparable '#2 Dates]],Benchmark1[Benchmark '#1 Dates],0)),"-")</f>
        <v>7.6615580033700722E-3</v>
      </c>
      <c r="L951" s="72">
        <f>Comp2[[#This Row],[Comparable '#2 Price]]/$B$2*100</f>
        <v>57.766599597585511</v>
      </c>
    </row>
    <row r="952" spans="1:12">
      <c r="A952" s="96">
        <v>44663</v>
      </c>
      <c r="B952" s="101">
        <v>29.18</v>
      </c>
      <c r="C952" s="4">
        <f t="shared" si="28"/>
        <v>1.623804896166688E-2</v>
      </c>
      <c r="D952" s="1">
        <f>IFERROR(Comp2[[#This Row],[Comparable '#2 Return]]+1,"-")</f>
        <v>1.0162380489616669</v>
      </c>
      <c r="E952" s="6">
        <f>B952-MAX($B$2:B952)</f>
        <v>-28.979999999999997</v>
      </c>
      <c r="F952" s="80">
        <f t="shared" si="29"/>
        <v>859</v>
      </c>
      <c r="G952" s="77">
        <f>Comp2[[#This Row],[Comparable '#2 Drawdown]]/MAX($B$2:B952)</f>
        <v>-0.4982806052269601</v>
      </c>
      <c r="H952" s="1" t="str">
        <f>IF(SUM(COUNTIF(Benchmark1[Benchmark '#1 Dates],Comp2[[#This Row],[Comparable '#2 Dates]]),COUNTIF(Benchmark2[Benchmark '#2 Dates],Comp2[[#This Row],[Comparable '#2 Dates]]))=2,"Pass","Fail")</f>
        <v>Pass</v>
      </c>
      <c r="I952" s="1">
        <f>IFERROR(Comp2[[#This Row],[Comparable '#2 Return]]-INDEX(Benchmark1[Benchmark '#1 Return],MATCH(Comp2[[#This Row],[Comparable '#2 Dates]],Benchmark1[Benchmark '#1 Dates],0)),"-")</f>
        <v>1.9661794319252402E-2</v>
      </c>
      <c r="L952" s="72">
        <f>Comp2[[#This Row],[Comparable '#2 Price]]/$B$2*100</f>
        <v>58.712273641851098</v>
      </c>
    </row>
    <row r="953" spans="1:12">
      <c r="A953" s="96">
        <v>44664</v>
      </c>
      <c r="B953" s="101">
        <v>29.32</v>
      </c>
      <c r="C953" s="4">
        <f t="shared" si="28"/>
        <v>4.7863339238111719E-3</v>
      </c>
      <c r="D953" s="1">
        <f>IFERROR(Comp2[[#This Row],[Comparable '#2 Return]]+1,"-")</f>
        <v>1.0047863339238112</v>
      </c>
      <c r="E953" s="6">
        <f>B953-MAX($B$2:B953)</f>
        <v>-28.839999999999996</v>
      </c>
      <c r="F953" s="80">
        <f t="shared" si="29"/>
        <v>860</v>
      </c>
      <c r="G953" s="77">
        <f>Comp2[[#This Row],[Comparable '#2 Drawdown]]/MAX($B$2:B953)</f>
        <v>-0.49587345254470422</v>
      </c>
      <c r="H953" s="1" t="str">
        <f>IF(SUM(COUNTIF(Benchmark1[Benchmark '#1 Dates],Comp2[[#This Row],[Comparable '#2 Dates]]),COUNTIF(Benchmark2[Benchmark '#2 Dates],Comp2[[#This Row],[Comparable '#2 Dates]]))=2,"Pass","Fail")</f>
        <v>Pass</v>
      </c>
      <c r="I953" s="1">
        <f>IFERROR(Comp2[[#This Row],[Comparable '#2 Return]]-INDEX(Benchmark1[Benchmark '#1 Return],MATCH(Comp2[[#This Row],[Comparable '#2 Dates]],Benchmark1[Benchmark '#1 Dates],0)),"-")</f>
        <v>-6.327380676499985E-3</v>
      </c>
      <c r="L953" s="72">
        <f>Comp2[[#This Row],[Comparable '#2 Price]]/$B$2*100</f>
        <v>58.993963782696177</v>
      </c>
    </row>
    <row r="954" spans="1:12">
      <c r="A954" s="96">
        <v>44665</v>
      </c>
      <c r="B954" s="101">
        <v>29.67</v>
      </c>
      <c r="C954" s="4">
        <f t="shared" si="28"/>
        <v>1.1866557284279848E-2</v>
      </c>
      <c r="D954" s="1">
        <f>IFERROR(Comp2[[#This Row],[Comparable '#2 Return]]+1,"-")</f>
        <v>1.0118665572842798</v>
      </c>
      <c r="E954" s="6">
        <f>B954-MAX($B$2:B954)</f>
        <v>-28.489999999999995</v>
      </c>
      <c r="F954" s="80">
        <f t="shared" si="29"/>
        <v>861</v>
      </c>
      <c r="G954" s="77">
        <f>Comp2[[#This Row],[Comparable '#2 Drawdown]]/MAX($B$2:B954)</f>
        <v>-0.48985557083906461</v>
      </c>
      <c r="H954" s="1" t="str">
        <f>IF(SUM(COUNTIF(Benchmark1[Benchmark '#1 Dates],Comp2[[#This Row],[Comparable '#2 Dates]]),COUNTIF(Benchmark2[Benchmark '#2 Dates],Comp2[[#This Row],[Comparable '#2 Dates]]))=2,"Pass","Fail")</f>
        <v>Pass</v>
      </c>
      <c r="I954" s="1">
        <f>IFERROR(Comp2[[#This Row],[Comparable '#2 Return]]-INDEX(Benchmark1[Benchmark '#1 Return],MATCH(Comp2[[#This Row],[Comparable '#2 Dates]],Benchmark1[Benchmark '#1 Dates],0)),"-")</f>
        <v>2.4085972675640506E-2</v>
      </c>
      <c r="L954" s="72">
        <f>Comp2[[#This Row],[Comparable '#2 Price]]/$B$2*100</f>
        <v>59.698189134808857</v>
      </c>
    </row>
    <row r="955" spans="1:12">
      <c r="A955" s="96">
        <v>44669</v>
      </c>
      <c r="B955" s="101">
        <v>30.25</v>
      </c>
      <c r="C955" s="4">
        <f t="shared" si="28"/>
        <v>1.9359750174119915E-2</v>
      </c>
      <c r="D955" s="1">
        <f>IFERROR(Comp2[[#This Row],[Comparable '#2 Return]]+1,"-")</f>
        <v>1.0193597501741198</v>
      </c>
      <c r="E955" s="6">
        <f>B955-MAX($B$2:B955)</f>
        <v>-27.909999999999997</v>
      </c>
      <c r="F955" s="80">
        <f t="shared" si="29"/>
        <v>862</v>
      </c>
      <c r="G955" s="77">
        <f>Comp2[[#This Row],[Comparable '#2 Drawdown]]/MAX($B$2:B955)</f>
        <v>-0.47988308115543327</v>
      </c>
      <c r="H955" s="1" t="str">
        <f>IF(SUM(COUNTIF(Benchmark1[Benchmark '#1 Dates],Comp2[[#This Row],[Comparable '#2 Dates]]),COUNTIF(Benchmark2[Benchmark '#2 Dates],Comp2[[#This Row],[Comparable '#2 Dates]]))=2,"Pass","Fail")</f>
        <v>Pass</v>
      </c>
      <c r="I955" s="1">
        <f>IFERROR(Comp2[[#This Row],[Comparable '#2 Return]]-INDEX(Benchmark1[Benchmark '#1 Return],MATCH(Comp2[[#This Row],[Comparable '#2 Dates]],Benchmark1[Benchmark '#1 Dates],0)),"-")</f>
        <v>1.9564044747396415E-2</v>
      </c>
      <c r="L955" s="72">
        <f>Comp2[[#This Row],[Comparable '#2 Price]]/$B$2*100</f>
        <v>60.86519114688128</v>
      </c>
    </row>
    <row r="956" spans="1:12">
      <c r="A956" s="96">
        <v>44670</v>
      </c>
      <c r="B956" s="101">
        <v>30.62</v>
      </c>
      <c r="C956" s="4">
        <f t="shared" si="28"/>
        <v>1.2157205752687344E-2</v>
      </c>
      <c r="D956" s="1">
        <f>IFERROR(Comp2[[#This Row],[Comparable '#2 Return]]+1,"-")</f>
        <v>1.0121572057526873</v>
      </c>
      <c r="E956" s="6">
        <f>B956-MAX($B$2:B956)</f>
        <v>-27.539999999999996</v>
      </c>
      <c r="F956" s="80">
        <f t="shared" si="29"/>
        <v>863</v>
      </c>
      <c r="G956" s="77">
        <f>Comp2[[#This Row],[Comparable '#2 Drawdown]]/MAX($B$2:B956)</f>
        <v>-0.47352132049518564</v>
      </c>
      <c r="H956" s="1" t="str">
        <f>IF(SUM(COUNTIF(Benchmark1[Benchmark '#1 Dates],Comp2[[#This Row],[Comparable '#2 Dates]]),COUNTIF(Benchmark2[Benchmark '#2 Dates],Comp2[[#This Row],[Comparable '#2 Dates]]))=2,"Pass","Fail")</f>
        <v>Pass</v>
      </c>
      <c r="I956" s="1">
        <f>IFERROR(Comp2[[#This Row],[Comparable '#2 Return]]-INDEX(Benchmark1[Benchmark '#1 Return],MATCH(Comp2[[#This Row],[Comparable '#2 Dates]],Benchmark1[Benchmark '#1 Dates],0)),"-")</f>
        <v>-3.7727674189204953E-3</v>
      </c>
      <c r="L956" s="72">
        <f>Comp2[[#This Row],[Comparable '#2 Price]]/$B$2*100</f>
        <v>61.609657947686117</v>
      </c>
    </row>
    <row r="957" spans="1:12">
      <c r="A957" s="96">
        <v>44671</v>
      </c>
      <c r="B957" s="101">
        <v>30.89</v>
      </c>
      <c r="C957" s="4">
        <f t="shared" si="28"/>
        <v>8.7791167009525772E-3</v>
      </c>
      <c r="D957" s="1">
        <f>IFERROR(Comp2[[#This Row],[Comparable '#2 Return]]+1,"-")</f>
        <v>1.0087791167009525</v>
      </c>
      <c r="E957" s="6">
        <f>B957-MAX($B$2:B957)</f>
        <v>-27.269999999999996</v>
      </c>
      <c r="F957" s="80">
        <f t="shared" si="29"/>
        <v>864</v>
      </c>
      <c r="G957" s="77">
        <f>Comp2[[#This Row],[Comparable '#2 Drawdown]]/MAX($B$2:B957)</f>
        <v>-0.46887895460797796</v>
      </c>
      <c r="H957" s="1" t="str">
        <f>IF(SUM(COUNTIF(Benchmark1[Benchmark '#1 Dates],Comp2[[#This Row],[Comparable '#2 Dates]]),COUNTIF(Benchmark2[Benchmark '#2 Dates],Comp2[[#This Row],[Comparable '#2 Dates]]))=2,"Pass","Fail")</f>
        <v>Pass</v>
      </c>
      <c r="I957" s="1">
        <f>IFERROR(Comp2[[#This Row],[Comparable '#2 Return]]-INDEX(Benchmark1[Benchmark '#1 Return],MATCH(Comp2[[#This Row],[Comparable '#2 Dates]],Benchmark1[Benchmark '#1 Dates],0)),"-")</f>
        <v>9.3977784259632099E-3</v>
      </c>
      <c r="L957" s="72">
        <f>Comp2[[#This Row],[Comparable '#2 Price]]/$B$2*100</f>
        <v>62.152917505030182</v>
      </c>
    </row>
    <row r="958" spans="1:12">
      <c r="A958" s="96">
        <v>44672</v>
      </c>
      <c r="B958" s="101">
        <v>30.25</v>
      </c>
      <c r="C958" s="4">
        <f t="shared" si="28"/>
        <v>-2.0936322453639866E-2</v>
      </c>
      <c r="D958" s="1">
        <f>IFERROR(Comp2[[#This Row],[Comparable '#2 Return]]+1,"-")</f>
        <v>0.97906367754636014</v>
      </c>
      <c r="E958" s="6">
        <f>B958-MAX($B$2:B958)</f>
        <v>-27.909999999999997</v>
      </c>
      <c r="F958" s="80">
        <f t="shared" si="29"/>
        <v>865</v>
      </c>
      <c r="G958" s="77">
        <f>Comp2[[#This Row],[Comparable '#2 Drawdown]]/MAX($B$2:B958)</f>
        <v>-0.47988308115543327</v>
      </c>
      <c r="H958" s="1" t="str">
        <f>IF(SUM(COUNTIF(Benchmark1[Benchmark '#1 Dates],Comp2[[#This Row],[Comparable '#2 Dates]]),COUNTIF(Benchmark2[Benchmark '#2 Dates],Comp2[[#This Row],[Comparable '#2 Dates]]))=2,"Pass","Fail")</f>
        <v>Pass</v>
      </c>
      <c r="I958" s="1">
        <f>IFERROR(Comp2[[#This Row],[Comparable '#2 Return]]-INDEX(Benchmark1[Benchmark '#1 Return],MATCH(Comp2[[#This Row],[Comparable '#2 Dates]],Benchmark1[Benchmark '#1 Dates],0)),"-")</f>
        <v>-6.0741910581109757E-3</v>
      </c>
      <c r="L958" s="72">
        <f>Comp2[[#This Row],[Comparable '#2 Price]]/$B$2*100</f>
        <v>60.86519114688128</v>
      </c>
    </row>
    <row r="959" spans="1:12">
      <c r="A959" s="96">
        <v>44673</v>
      </c>
      <c r="B959" s="101">
        <v>29.88</v>
      </c>
      <c r="C959" s="4">
        <f t="shared" si="28"/>
        <v>-1.2306824212233921E-2</v>
      </c>
      <c r="D959" s="1">
        <f>IFERROR(Comp2[[#This Row],[Comparable '#2 Return]]+1,"-")</f>
        <v>0.98769317578776605</v>
      </c>
      <c r="E959" s="6">
        <f>B959-MAX($B$2:B959)</f>
        <v>-28.279999999999998</v>
      </c>
      <c r="F959" s="80">
        <f t="shared" si="29"/>
        <v>866</v>
      </c>
      <c r="G959" s="77">
        <f>Comp2[[#This Row],[Comparable '#2 Drawdown]]/MAX($B$2:B959)</f>
        <v>-0.48624484181568089</v>
      </c>
      <c r="H959" s="1" t="str">
        <f>IF(SUM(COUNTIF(Benchmark1[Benchmark '#1 Dates],Comp2[[#This Row],[Comparable '#2 Dates]]),COUNTIF(Benchmark2[Benchmark '#2 Dates],Comp2[[#This Row],[Comparable '#2 Dates]]))=2,"Pass","Fail")</f>
        <v>Pass</v>
      </c>
      <c r="I959" s="1">
        <f>IFERROR(Comp2[[#This Row],[Comparable '#2 Return]]-INDEX(Benchmark1[Benchmark '#1 Return],MATCH(Comp2[[#This Row],[Comparable '#2 Dates]],Benchmark1[Benchmark '#1 Dates],0)),"-")</f>
        <v>1.5826982744152313E-2</v>
      </c>
      <c r="L959" s="72">
        <f>Comp2[[#This Row],[Comparable '#2 Price]]/$B$2*100</f>
        <v>60.12072434607645</v>
      </c>
    </row>
    <row r="960" spans="1:12">
      <c r="A960" s="96">
        <v>44676</v>
      </c>
      <c r="B960" s="101">
        <v>30.07</v>
      </c>
      <c r="C960" s="4">
        <f t="shared" si="28"/>
        <v>6.3386367358212216E-3</v>
      </c>
      <c r="D960" s="1">
        <f>IFERROR(Comp2[[#This Row],[Comparable '#2 Return]]+1,"-")</f>
        <v>1.0063386367358211</v>
      </c>
      <c r="E960" s="6">
        <f>B960-MAX($B$2:B960)</f>
        <v>-28.089999999999996</v>
      </c>
      <c r="F960" s="80">
        <f t="shared" si="29"/>
        <v>867</v>
      </c>
      <c r="G960" s="77">
        <f>Comp2[[#This Row],[Comparable '#2 Drawdown]]/MAX($B$2:B960)</f>
        <v>-0.48297799174690503</v>
      </c>
      <c r="H960" s="1" t="str">
        <f>IF(SUM(COUNTIF(Benchmark1[Benchmark '#1 Dates],Comp2[[#This Row],[Comparable '#2 Dates]]),COUNTIF(Benchmark2[Benchmark '#2 Dates],Comp2[[#This Row],[Comparable '#2 Dates]]))=2,"Pass","Fail")</f>
        <v>Pass</v>
      </c>
      <c r="I960" s="1">
        <f>IFERROR(Comp2[[#This Row],[Comparable '#2 Return]]-INDEX(Benchmark1[Benchmark '#1 Return],MATCH(Comp2[[#This Row],[Comparable '#2 Dates]],Benchmark1[Benchmark '#1 Dates],0)),"-")</f>
        <v>6.5674639370409855E-4</v>
      </c>
      <c r="L960" s="72">
        <f>Comp2[[#This Row],[Comparable '#2 Price]]/$B$2*100</f>
        <v>60.503018108651908</v>
      </c>
    </row>
    <row r="961" spans="1:12">
      <c r="A961" s="96">
        <v>44677</v>
      </c>
      <c r="B961" s="101">
        <v>30.12</v>
      </c>
      <c r="C961" s="4">
        <f t="shared" si="28"/>
        <v>1.6614059312552297E-3</v>
      </c>
      <c r="D961" s="1">
        <f>IFERROR(Comp2[[#This Row],[Comparable '#2 Return]]+1,"-")</f>
        <v>1.0016614059312552</v>
      </c>
      <c r="E961" s="6">
        <f>B961-MAX($B$2:B961)</f>
        <v>-28.039999999999996</v>
      </c>
      <c r="F961" s="80">
        <f t="shared" si="29"/>
        <v>868</v>
      </c>
      <c r="G961" s="77">
        <f>Comp2[[#This Row],[Comparable '#2 Drawdown]]/MAX($B$2:B961)</f>
        <v>-0.48211829436038511</v>
      </c>
      <c r="H961" s="1" t="str">
        <f>IF(SUM(COUNTIF(Benchmark1[Benchmark '#1 Dates],Comp2[[#This Row],[Comparable '#2 Dates]]),COUNTIF(Benchmark2[Benchmark '#2 Dates],Comp2[[#This Row],[Comparable '#2 Dates]]))=2,"Pass","Fail")</f>
        <v>Pass</v>
      </c>
      <c r="I961" s="1">
        <f>IFERROR(Comp2[[#This Row],[Comparable '#2 Return]]-INDEX(Benchmark1[Benchmark '#1 Return],MATCH(Comp2[[#This Row],[Comparable '#2 Dates]],Benchmark1[Benchmark '#1 Dates],0)),"-")</f>
        <v>3.0211264165399022E-2</v>
      </c>
      <c r="L961" s="72">
        <f>Comp2[[#This Row],[Comparable '#2 Price]]/$B$2*100</f>
        <v>60.603621730382294</v>
      </c>
    </row>
    <row r="962" spans="1:12">
      <c r="A962" s="96">
        <v>44678</v>
      </c>
      <c r="B962" s="101">
        <v>29.81</v>
      </c>
      <c r="C962" s="4">
        <f t="shared" ref="C962:C1025" si="30">IFERROR(IF(B962="","-",LN(B962/B961)),"-")</f>
        <v>-1.0345495241712856E-2</v>
      </c>
      <c r="D962" s="1">
        <f>IFERROR(Comp2[[#This Row],[Comparable '#2 Return]]+1,"-")</f>
        <v>0.98965450475828709</v>
      </c>
      <c r="E962" s="6">
        <f>B962-MAX($B$2:B962)</f>
        <v>-28.349999999999998</v>
      </c>
      <c r="F962" s="80">
        <f t="shared" ref="F962:F1025" si="31">IF(E962=0,0,F961+1)</f>
        <v>869</v>
      </c>
      <c r="G962" s="77">
        <f>Comp2[[#This Row],[Comparable '#2 Drawdown]]/MAX($B$2:B962)</f>
        <v>-0.48744841815680878</v>
      </c>
      <c r="H962" s="1" t="str">
        <f>IF(SUM(COUNTIF(Benchmark1[Benchmark '#1 Dates],Comp2[[#This Row],[Comparable '#2 Dates]]),COUNTIF(Benchmark2[Benchmark '#2 Dates],Comp2[[#This Row],[Comparable '#2 Dates]]))=2,"Pass","Fail")</f>
        <v>Pass</v>
      </c>
      <c r="I962" s="1">
        <f>IFERROR(Comp2[[#This Row],[Comparable '#2 Return]]-INDEX(Benchmark1[Benchmark '#1 Return],MATCH(Comp2[[#This Row],[Comparable '#2 Dates]],Benchmark1[Benchmark '#1 Dates],0)),"-")</f>
        <v>-1.2440928952599895E-2</v>
      </c>
      <c r="L962" s="72">
        <f>Comp2[[#This Row],[Comparable '#2 Price]]/$B$2*100</f>
        <v>59.979879275653914</v>
      </c>
    </row>
    <row r="963" spans="1:12">
      <c r="A963" s="96">
        <v>44679</v>
      </c>
      <c r="B963" s="101">
        <v>30.13</v>
      </c>
      <c r="C963" s="4">
        <f t="shared" si="30"/>
        <v>1.0677445452229766E-2</v>
      </c>
      <c r="D963" s="1">
        <f>IFERROR(Comp2[[#This Row],[Comparable '#2 Return]]+1,"-")</f>
        <v>1.0106774454522298</v>
      </c>
      <c r="E963" s="6">
        <f>B963-MAX($B$2:B963)</f>
        <v>-28.029999999999998</v>
      </c>
      <c r="F963" s="80">
        <f t="shared" si="31"/>
        <v>870</v>
      </c>
      <c r="G963" s="77">
        <f>Comp2[[#This Row],[Comparable '#2 Drawdown]]/MAX($B$2:B963)</f>
        <v>-0.48194635488308113</v>
      </c>
      <c r="H963" s="1" t="str">
        <f>IF(SUM(COUNTIF(Benchmark1[Benchmark '#1 Dates],Comp2[[#This Row],[Comparable '#2 Dates]]),COUNTIF(Benchmark2[Benchmark '#2 Dates],Comp2[[#This Row],[Comparable '#2 Dates]]))=2,"Pass","Fail")</f>
        <v>Pass</v>
      </c>
      <c r="I963" s="1">
        <f>IFERROR(Comp2[[#This Row],[Comparable '#2 Return]]-INDEX(Benchmark1[Benchmark '#1 Return],MATCH(Comp2[[#This Row],[Comparable '#2 Dates]],Benchmark1[Benchmark '#1 Dates],0)),"-")</f>
        <v>-1.3769572482029214E-2</v>
      </c>
      <c r="L963" s="72">
        <f>Comp2[[#This Row],[Comparable '#2 Price]]/$B$2*100</f>
        <v>60.623742454728372</v>
      </c>
    </row>
    <row r="964" spans="1:12">
      <c r="A964" s="96">
        <v>44680</v>
      </c>
      <c r="B964" s="101">
        <v>29.31</v>
      </c>
      <c r="C964" s="4">
        <f t="shared" si="30"/>
        <v>-2.7592598419408816E-2</v>
      </c>
      <c r="D964" s="1">
        <f>IFERROR(Comp2[[#This Row],[Comparable '#2 Return]]+1,"-")</f>
        <v>0.97240740158059114</v>
      </c>
      <c r="E964" s="6">
        <f>B964-MAX($B$2:B964)</f>
        <v>-28.849999999999998</v>
      </c>
      <c r="F964" s="80">
        <f t="shared" si="31"/>
        <v>871</v>
      </c>
      <c r="G964" s="77">
        <f>Comp2[[#This Row],[Comparable '#2 Drawdown]]/MAX($B$2:B964)</f>
        <v>-0.49604539202200826</v>
      </c>
      <c r="H964" s="1" t="str">
        <f>IF(SUM(COUNTIF(Benchmark1[Benchmark '#1 Dates],Comp2[[#This Row],[Comparable '#2 Dates]]),COUNTIF(Benchmark2[Benchmark '#2 Dates],Comp2[[#This Row],[Comparable '#2 Dates]]))=2,"Pass","Fail")</f>
        <v>Pass</v>
      </c>
      <c r="I964" s="1">
        <f>IFERROR(Comp2[[#This Row],[Comparable '#2 Return]]-INDEX(Benchmark1[Benchmark '#1 Return],MATCH(Comp2[[#This Row],[Comparable '#2 Dates]],Benchmark1[Benchmark '#1 Dates],0)),"-")</f>
        <v>9.367720628969109E-3</v>
      </c>
      <c r="L964" s="72">
        <f>Comp2[[#This Row],[Comparable '#2 Price]]/$B$2*100</f>
        <v>58.973843058350099</v>
      </c>
    </row>
    <row r="965" spans="1:12">
      <c r="A965" s="96">
        <v>44683</v>
      </c>
      <c r="B965" s="101">
        <v>29.67</v>
      </c>
      <c r="C965" s="4">
        <f t="shared" si="30"/>
        <v>1.2207679579929407E-2</v>
      </c>
      <c r="D965" s="1">
        <f>IFERROR(Comp2[[#This Row],[Comparable '#2 Return]]+1,"-")</f>
        <v>1.0122076795799293</v>
      </c>
      <c r="E965" s="6">
        <f>B965-MAX($B$2:B965)</f>
        <v>-28.489999999999995</v>
      </c>
      <c r="F965" s="80">
        <f t="shared" si="31"/>
        <v>872</v>
      </c>
      <c r="G965" s="77">
        <f>Comp2[[#This Row],[Comparable '#2 Drawdown]]/MAX($B$2:B965)</f>
        <v>-0.48985557083906461</v>
      </c>
      <c r="H965" s="1" t="str">
        <f>IF(SUM(COUNTIF(Benchmark1[Benchmark '#1 Dates],Comp2[[#This Row],[Comparable '#2 Dates]]),COUNTIF(Benchmark2[Benchmark '#2 Dates],Comp2[[#This Row],[Comparable '#2 Dates]]))=2,"Pass","Fail")</f>
        <v>Pass</v>
      </c>
      <c r="I965" s="1">
        <f>IFERROR(Comp2[[#This Row],[Comparable '#2 Return]]-INDEX(Benchmark1[Benchmark '#1 Return],MATCH(Comp2[[#This Row],[Comparable '#2 Dates]],Benchmark1[Benchmark '#1 Dates],0)),"-")</f>
        <v>6.548125729713505E-3</v>
      </c>
      <c r="L965" s="72">
        <f>Comp2[[#This Row],[Comparable '#2 Price]]/$B$2*100</f>
        <v>59.698189134808857</v>
      </c>
    </row>
    <row r="966" spans="1:12">
      <c r="A966" s="96">
        <v>44684</v>
      </c>
      <c r="B966" s="101">
        <v>28.92</v>
      </c>
      <c r="C966" s="4">
        <f t="shared" si="30"/>
        <v>-2.5603037012166468E-2</v>
      </c>
      <c r="D966" s="1">
        <f>IFERROR(Comp2[[#This Row],[Comparable '#2 Return]]+1,"-")</f>
        <v>0.97439696298783351</v>
      </c>
      <c r="E966" s="6">
        <f>B966-MAX($B$2:B966)</f>
        <v>-29.239999999999995</v>
      </c>
      <c r="F966" s="80">
        <f t="shared" si="31"/>
        <v>873</v>
      </c>
      <c r="G966" s="77">
        <f>Comp2[[#This Row],[Comparable '#2 Drawdown]]/MAX($B$2:B966)</f>
        <v>-0.50275103163686374</v>
      </c>
      <c r="H966" s="1" t="str">
        <f>IF(SUM(COUNTIF(Benchmark1[Benchmark '#1 Dates],Comp2[[#This Row],[Comparable '#2 Dates]]),COUNTIF(Benchmark2[Benchmark '#2 Dates],Comp2[[#This Row],[Comparable '#2 Dates]]))=2,"Pass","Fail")</f>
        <v>Pass</v>
      </c>
      <c r="I966" s="1">
        <f>IFERROR(Comp2[[#This Row],[Comparable '#2 Return]]-INDEX(Benchmark1[Benchmark '#1 Return],MATCH(Comp2[[#This Row],[Comparable '#2 Dates]],Benchmark1[Benchmark '#1 Dates],0)),"-")</f>
        <v>-3.0428034339998803E-2</v>
      </c>
      <c r="L966" s="72">
        <f>Comp2[[#This Row],[Comparable '#2 Price]]/$B$2*100</f>
        <v>58.189134808853119</v>
      </c>
    </row>
    <row r="967" spans="1:12">
      <c r="A967" s="96">
        <v>44685</v>
      </c>
      <c r="B967" s="101">
        <v>29.02</v>
      </c>
      <c r="C967" s="4">
        <f t="shared" si="30"/>
        <v>3.4518501654778378E-3</v>
      </c>
      <c r="D967" s="1">
        <f>IFERROR(Comp2[[#This Row],[Comparable '#2 Return]]+1,"-")</f>
        <v>1.0034518501654779</v>
      </c>
      <c r="E967" s="6">
        <f>B967-MAX($B$2:B967)</f>
        <v>-29.139999999999997</v>
      </c>
      <c r="F967" s="80">
        <f t="shared" si="31"/>
        <v>874</v>
      </c>
      <c r="G967" s="77">
        <f>Comp2[[#This Row],[Comparable '#2 Drawdown]]/MAX($B$2:B967)</f>
        <v>-0.5010316368638239</v>
      </c>
      <c r="H967" s="1" t="str">
        <f>IF(SUM(COUNTIF(Benchmark1[Benchmark '#1 Dates],Comp2[[#This Row],[Comparable '#2 Dates]]),COUNTIF(Benchmark2[Benchmark '#2 Dates],Comp2[[#This Row],[Comparable '#2 Dates]]))=2,"Pass","Fail")</f>
        <v>Pass</v>
      </c>
      <c r="I967" s="1">
        <f>IFERROR(Comp2[[#This Row],[Comparable '#2 Return]]-INDEX(Benchmark1[Benchmark '#1 Return],MATCH(Comp2[[#This Row],[Comparable '#2 Dates]],Benchmark1[Benchmark '#1 Dates],0)),"-")</f>
        <v>-2.5975289814978327E-2</v>
      </c>
      <c r="L967" s="72">
        <f>Comp2[[#This Row],[Comparable '#2 Price]]/$B$2*100</f>
        <v>58.390342052313883</v>
      </c>
    </row>
    <row r="968" spans="1:12">
      <c r="A968" s="96">
        <v>44686</v>
      </c>
      <c r="B968" s="101">
        <v>28.22</v>
      </c>
      <c r="C968" s="4">
        <f t="shared" si="30"/>
        <v>-2.7954301031373897E-2</v>
      </c>
      <c r="D968" s="1">
        <f>IFERROR(Comp2[[#This Row],[Comparable '#2 Return]]+1,"-")</f>
        <v>0.97204569896862614</v>
      </c>
      <c r="E968" s="6">
        <f>B968-MAX($B$2:B968)</f>
        <v>-29.939999999999998</v>
      </c>
      <c r="F968" s="80">
        <f t="shared" si="31"/>
        <v>875</v>
      </c>
      <c r="G968" s="77">
        <f>Comp2[[#This Row],[Comparable '#2 Drawdown]]/MAX($B$2:B968)</f>
        <v>-0.51478679504814306</v>
      </c>
      <c r="H968" s="1" t="str">
        <f>IF(SUM(COUNTIF(Benchmark1[Benchmark '#1 Dates],Comp2[[#This Row],[Comparable '#2 Dates]]),COUNTIF(Benchmark2[Benchmark '#2 Dates],Comp2[[#This Row],[Comparable '#2 Dates]]))=2,"Pass","Fail")</f>
        <v>Pass</v>
      </c>
      <c r="I968" s="1">
        <f>IFERROR(Comp2[[#This Row],[Comparable '#2 Return]]-INDEX(Benchmark1[Benchmark '#1 Return],MATCH(Comp2[[#This Row],[Comparable '#2 Dates]],Benchmark1[Benchmark '#1 Dates],0)),"-")</f>
        <v>8.3478768917528492E-3</v>
      </c>
      <c r="L968" s="72">
        <f>Comp2[[#This Row],[Comparable '#2 Price]]/$B$2*100</f>
        <v>56.780684104627767</v>
      </c>
    </row>
    <row r="969" spans="1:12">
      <c r="A969" s="96">
        <v>44687</v>
      </c>
      <c r="B969" s="101">
        <v>30.87</v>
      </c>
      <c r="C969" s="4">
        <f t="shared" si="30"/>
        <v>8.9753892089400156E-2</v>
      </c>
      <c r="D969" s="1">
        <f>IFERROR(Comp2[[#This Row],[Comparable '#2 Return]]+1,"-")</f>
        <v>1.0897538920894001</v>
      </c>
      <c r="E969" s="6">
        <f>B969-MAX($B$2:B969)</f>
        <v>-27.289999999999996</v>
      </c>
      <c r="F969" s="80">
        <f t="shared" si="31"/>
        <v>876</v>
      </c>
      <c r="G969" s="77">
        <f>Comp2[[#This Row],[Comparable '#2 Drawdown]]/MAX($B$2:B969)</f>
        <v>-0.46922283356258593</v>
      </c>
      <c r="H969" s="1" t="str">
        <f>IF(SUM(COUNTIF(Benchmark1[Benchmark '#1 Dates],Comp2[[#This Row],[Comparable '#2 Dates]]),COUNTIF(Benchmark2[Benchmark '#2 Dates],Comp2[[#This Row],[Comparable '#2 Dates]]))=2,"Pass","Fail")</f>
        <v>Pass</v>
      </c>
      <c r="I969" s="1">
        <f>IFERROR(Comp2[[#This Row],[Comparable '#2 Return]]-INDEX(Benchmark1[Benchmark '#1 Return],MATCH(Comp2[[#This Row],[Comparable '#2 Dates]],Benchmark1[Benchmark '#1 Dates],0)),"-")</f>
        <v>9.5444687129954339E-2</v>
      </c>
      <c r="L969" s="72">
        <f>Comp2[[#This Row],[Comparable '#2 Price]]/$B$2*100</f>
        <v>62.112676056338024</v>
      </c>
    </row>
    <row r="970" spans="1:12">
      <c r="A970" s="96">
        <v>44690</v>
      </c>
      <c r="B970" s="101">
        <v>31.47</v>
      </c>
      <c r="C970" s="4">
        <f t="shared" si="30"/>
        <v>1.9249872562247559E-2</v>
      </c>
      <c r="D970" s="1">
        <f>IFERROR(Comp2[[#This Row],[Comparable '#2 Return]]+1,"-")</f>
        <v>1.0192498725622476</v>
      </c>
      <c r="E970" s="6">
        <f>B970-MAX($B$2:B970)</f>
        <v>-26.689999999999998</v>
      </c>
      <c r="F970" s="80">
        <f t="shared" si="31"/>
        <v>877</v>
      </c>
      <c r="G970" s="77">
        <f>Comp2[[#This Row],[Comparable '#2 Drawdown]]/MAX($B$2:B970)</f>
        <v>-0.45890646492434661</v>
      </c>
      <c r="H970" s="1" t="str">
        <f>IF(SUM(COUNTIF(Benchmark1[Benchmark '#1 Dates],Comp2[[#This Row],[Comparable '#2 Dates]]),COUNTIF(Benchmark2[Benchmark '#2 Dates],Comp2[[#This Row],[Comparable '#2 Dates]]))=2,"Pass","Fail")</f>
        <v>Pass</v>
      </c>
      <c r="I970" s="1">
        <f>IFERROR(Comp2[[#This Row],[Comparable '#2 Return]]-INDEX(Benchmark1[Benchmark '#1 Return],MATCH(Comp2[[#This Row],[Comparable '#2 Dates]],Benchmark1[Benchmark '#1 Dates],0)),"-")</f>
        <v>5.1811029090339356E-2</v>
      </c>
      <c r="L970" s="72">
        <f>Comp2[[#This Row],[Comparable '#2 Price]]/$B$2*100</f>
        <v>63.319919517102605</v>
      </c>
    </row>
    <row r="971" spans="1:12">
      <c r="A971" s="96">
        <v>44691</v>
      </c>
      <c r="B971" s="101">
        <v>32.18</v>
      </c>
      <c r="C971" s="4">
        <f t="shared" si="30"/>
        <v>2.2310430487921654E-2</v>
      </c>
      <c r="D971" s="1">
        <f>IFERROR(Comp2[[#This Row],[Comparable '#2 Return]]+1,"-")</f>
        <v>1.0223104304879216</v>
      </c>
      <c r="E971" s="6">
        <f>B971-MAX($B$2:B971)</f>
        <v>-25.979999999999997</v>
      </c>
      <c r="F971" s="80">
        <f t="shared" si="31"/>
        <v>878</v>
      </c>
      <c r="G971" s="77">
        <f>Comp2[[#This Row],[Comparable '#2 Drawdown]]/MAX($B$2:B971)</f>
        <v>-0.44669876203576336</v>
      </c>
      <c r="H971" s="1" t="str">
        <f>IF(SUM(COUNTIF(Benchmark1[Benchmark '#1 Dates],Comp2[[#This Row],[Comparable '#2 Dates]]),COUNTIF(Benchmark2[Benchmark '#2 Dates],Comp2[[#This Row],[Comparable '#2 Dates]]))=2,"Pass","Fail")</f>
        <v>Pass</v>
      </c>
      <c r="I971" s="1">
        <f>IFERROR(Comp2[[#This Row],[Comparable '#2 Return]]-INDEX(Benchmark1[Benchmark '#1 Return],MATCH(Comp2[[#This Row],[Comparable '#2 Dates]],Benchmark1[Benchmark '#1 Dates],0)),"-")</f>
        <v>1.98537333468915E-2</v>
      </c>
      <c r="L971" s="72">
        <f>Comp2[[#This Row],[Comparable '#2 Price]]/$B$2*100</f>
        <v>64.748490945674035</v>
      </c>
    </row>
    <row r="972" spans="1:12">
      <c r="A972" s="96">
        <v>44692</v>
      </c>
      <c r="B972" s="101">
        <v>30.74</v>
      </c>
      <c r="C972" s="4">
        <f t="shared" si="30"/>
        <v>-4.5780403453787387E-2</v>
      </c>
      <c r="D972" s="1">
        <f>IFERROR(Comp2[[#This Row],[Comparable '#2 Return]]+1,"-")</f>
        <v>0.95421959654621258</v>
      </c>
      <c r="E972" s="6">
        <f>B972-MAX($B$2:B972)</f>
        <v>-27.419999999999998</v>
      </c>
      <c r="F972" s="80">
        <f t="shared" si="31"/>
        <v>879</v>
      </c>
      <c r="G972" s="77">
        <f>Comp2[[#This Row],[Comparable '#2 Drawdown]]/MAX($B$2:B972)</f>
        <v>-0.47145804676753783</v>
      </c>
      <c r="H972" s="1" t="str">
        <f>IF(SUM(COUNTIF(Benchmark1[Benchmark '#1 Dates],Comp2[[#This Row],[Comparable '#2 Dates]]),COUNTIF(Benchmark2[Benchmark '#2 Dates],Comp2[[#This Row],[Comparable '#2 Dates]]))=2,"Pass","Fail")</f>
        <v>Pass</v>
      </c>
      <c r="I972" s="1">
        <f>IFERROR(Comp2[[#This Row],[Comparable '#2 Return]]-INDEX(Benchmark1[Benchmark '#1 Return],MATCH(Comp2[[#This Row],[Comparable '#2 Dates]],Benchmark1[Benchmark '#1 Dates],0)),"-")</f>
        <v>-2.9180197077606902E-2</v>
      </c>
      <c r="L972" s="72">
        <f>Comp2[[#This Row],[Comparable '#2 Price]]/$B$2*100</f>
        <v>61.851106639839024</v>
      </c>
    </row>
    <row r="973" spans="1:12">
      <c r="A973" s="96">
        <v>44693</v>
      </c>
      <c r="B973" s="101">
        <v>30.79</v>
      </c>
      <c r="C973" s="4">
        <f t="shared" si="30"/>
        <v>1.6252238259592748E-3</v>
      </c>
      <c r="D973" s="1">
        <f>IFERROR(Comp2[[#This Row],[Comparable '#2 Return]]+1,"-")</f>
        <v>1.0016252238259593</v>
      </c>
      <c r="E973" s="6">
        <f>B973-MAX($B$2:B973)</f>
        <v>-27.369999999999997</v>
      </c>
      <c r="F973" s="80">
        <f t="shared" si="31"/>
        <v>880</v>
      </c>
      <c r="G973" s="77">
        <f>Comp2[[#This Row],[Comparable '#2 Drawdown]]/MAX($B$2:B973)</f>
        <v>-0.47059834938101786</v>
      </c>
      <c r="H973" s="1" t="str">
        <f>IF(SUM(COUNTIF(Benchmark1[Benchmark '#1 Dates],Comp2[[#This Row],[Comparable '#2 Dates]]),COUNTIF(Benchmark2[Benchmark '#2 Dates],Comp2[[#This Row],[Comparable '#2 Dates]]))=2,"Pass","Fail")</f>
        <v>Pass</v>
      </c>
      <c r="I973" s="1">
        <f>IFERROR(Comp2[[#This Row],[Comparable '#2 Return]]-INDEX(Benchmark1[Benchmark '#1 Return],MATCH(Comp2[[#This Row],[Comparable '#2 Dates]],Benchmark1[Benchmark '#1 Dates],0)),"-")</f>
        <v>2.9227515111029698E-3</v>
      </c>
      <c r="L973" s="72">
        <f>Comp2[[#This Row],[Comparable '#2 Price]]/$B$2*100</f>
        <v>61.951710261569417</v>
      </c>
    </row>
    <row r="974" spans="1:12">
      <c r="A974" s="96">
        <v>44694</v>
      </c>
      <c r="B974" s="101">
        <v>30.43</v>
      </c>
      <c r="C974" s="4">
        <f t="shared" si="30"/>
        <v>-1.1760998027529303E-2</v>
      </c>
      <c r="D974" s="1">
        <f>IFERROR(Comp2[[#This Row],[Comparable '#2 Return]]+1,"-")</f>
        <v>0.98823900197247072</v>
      </c>
      <c r="E974" s="6">
        <f>B974-MAX($B$2:B974)</f>
        <v>-27.729999999999997</v>
      </c>
      <c r="F974" s="80">
        <f t="shared" si="31"/>
        <v>881</v>
      </c>
      <c r="G974" s="77">
        <f>Comp2[[#This Row],[Comparable '#2 Drawdown]]/MAX($B$2:B974)</f>
        <v>-0.47678817056396144</v>
      </c>
      <c r="H974" s="1" t="str">
        <f>IF(SUM(COUNTIF(Benchmark1[Benchmark '#1 Dates],Comp2[[#This Row],[Comparable '#2 Dates]]),COUNTIF(Benchmark2[Benchmark '#2 Dates],Comp2[[#This Row],[Comparable '#2 Dates]]))=2,"Pass","Fail")</f>
        <v>Pass</v>
      </c>
      <c r="I974" s="1">
        <f>IFERROR(Comp2[[#This Row],[Comparable '#2 Return]]-INDEX(Benchmark1[Benchmark '#1 Return],MATCH(Comp2[[#This Row],[Comparable '#2 Dates]],Benchmark1[Benchmark '#1 Dates],0)),"-")</f>
        <v>-3.535014396527239E-2</v>
      </c>
      <c r="L974" s="72">
        <f>Comp2[[#This Row],[Comparable '#2 Price]]/$B$2*100</f>
        <v>61.227364185110659</v>
      </c>
    </row>
    <row r="975" spans="1:12">
      <c r="A975" s="96">
        <v>44697</v>
      </c>
      <c r="B975" s="101">
        <v>30.39</v>
      </c>
      <c r="C975" s="4">
        <f t="shared" si="30"/>
        <v>-1.3153569801779377E-3</v>
      </c>
      <c r="D975" s="1">
        <f>IFERROR(Comp2[[#This Row],[Comparable '#2 Return]]+1,"-")</f>
        <v>0.99868464301982207</v>
      </c>
      <c r="E975" s="6">
        <f>B975-MAX($B$2:B975)</f>
        <v>-27.769999999999996</v>
      </c>
      <c r="F975" s="80">
        <f t="shared" si="31"/>
        <v>882</v>
      </c>
      <c r="G975" s="77">
        <f>Comp2[[#This Row],[Comparable '#2 Drawdown]]/MAX($B$2:B975)</f>
        <v>-0.47747592847317738</v>
      </c>
      <c r="H975" s="1" t="str">
        <f>IF(SUM(COUNTIF(Benchmark1[Benchmark '#1 Dates],Comp2[[#This Row],[Comparable '#2 Dates]]),COUNTIF(Benchmark2[Benchmark '#2 Dates],Comp2[[#This Row],[Comparable '#2 Dates]]))=2,"Pass","Fail")</f>
        <v>Pass</v>
      </c>
      <c r="I975" s="1">
        <f>IFERROR(Comp2[[#This Row],[Comparable '#2 Return]]-INDEX(Benchmark1[Benchmark '#1 Return],MATCH(Comp2[[#This Row],[Comparable '#2 Dates]],Benchmark1[Benchmark '#1 Dates],0)),"-")</f>
        <v>2.6390758364682435E-3</v>
      </c>
      <c r="L975" s="72">
        <f>Comp2[[#This Row],[Comparable '#2 Price]]/$B$2*100</f>
        <v>61.146881287726352</v>
      </c>
    </row>
    <row r="976" spans="1:12">
      <c r="A976" s="96">
        <v>44698</v>
      </c>
      <c r="B976" s="101">
        <v>31.17</v>
      </c>
      <c r="C976" s="4">
        <f t="shared" si="30"/>
        <v>2.534248685054415E-2</v>
      </c>
      <c r="D976" s="1">
        <f>IFERROR(Comp2[[#This Row],[Comparable '#2 Return]]+1,"-")</f>
        <v>1.0253424868505441</v>
      </c>
      <c r="E976" s="6">
        <f>B976-MAX($B$2:B976)</f>
        <v>-26.989999999999995</v>
      </c>
      <c r="F976" s="80">
        <f t="shared" si="31"/>
        <v>883</v>
      </c>
      <c r="G976" s="77">
        <f>Comp2[[#This Row],[Comparable '#2 Drawdown]]/MAX($B$2:B976)</f>
        <v>-0.46406464924346624</v>
      </c>
      <c r="H976" s="1" t="str">
        <f>IF(SUM(COUNTIF(Benchmark1[Benchmark '#1 Dates],Comp2[[#This Row],[Comparable '#2 Dates]]),COUNTIF(Benchmark2[Benchmark '#2 Dates],Comp2[[#This Row],[Comparable '#2 Dates]]))=2,"Pass","Fail")</f>
        <v>Pass</v>
      </c>
      <c r="I976" s="1">
        <f>IFERROR(Comp2[[#This Row],[Comparable '#2 Return]]-INDEX(Benchmark1[Benchmark '#1 Return],MATCH(Comp2[[#This Row],[Comparable '#2 Dates]],Benchmark1[Benchmark '#1 Dates],0)),"-")</f>
        <v>5.3736085371373539E-3</v>
      </c>
      <c r="L976" s="72">
        <f>Comp2[[#This Row],[Comparable '#2 Price]]/$B$2*100</f>
        <v>62.716297786720318</v>
      </c>
    </row>
    <row r="977" spans="1:12">
      <c r="A977" s="96">
        <v>44699</v>
      </c>
      <c r="B977" s="101">
        <v>31.7</v>
      </c>
      <c r="C977" s="4">
        <f t="shared" si="30"/>
        <v>1.6860587103989116E-2</v>
      </c>
      <c r="D977" s="1">
        <f>IFERROR(Comp2[[#This Row],[Comparable '#2 Return]]+1,"-")</f>
        <v>1.0168605871039891</v>
      </c>
      <c r="E977" s="6">
        <f>B977-MAX($B$2:B977)</f>
        <v>-26.459999999999997</v>
      </c>
      <c r="F977" s="80">
        <f t="shared" si="31"/>
        <v>884</v>
      </c>
      <c r="G977" s="77">
        <f>Comp2[[#This Row],[Comparable '#2 Drawdown]]/MAX($B$2:B977)</f>
        <v>-0.45495185694635487</v>
      </c>
      <c r="H977" s="1" t="str">
        <f>IF(SUM(COUNTIF(Benchmark1[Benchmark '#1 Dates],Comp2[[#This Row],[Comparable '#2 Dates]]),COUNTIF(Benchmark2[Benchmark '#2 Dates],Comp2[[#This Row],[Comparable '#2 Dates]]))=2,"Pass","Fail")</f>
        <v>Pass</v>
      </c>
      <c r="I977" s="1">
        <f>IFERROR(Comp2[[#This Row],[Comparable '#2 Return]]-INDEX(Benchmark1[Benchmark '#1 Return],MATCH(Comp2[[#This Row],[Comparable '#2 Dates]],Benchmark1[Benchmark '#1 Dates],0)),"-")</f>
        <v>5.8094515793021981E-2</v>
      </c>
      <c r="L977" s="72">
        <f>Comp2[[#This Row],[Comparable '#2 Price]]/$B$2*100</f>
        <v>63.78269617706237</v>
      </c>
    </row>
    <row r="978" spans="1:12">
      <c r="A978" s="96">
        <v>44700</v>
      </c>
      <c r="B978" s="101">
        <v>31.99</v>
      </c>
      <c r="C978" s="4">
        <f t="shared" si="30"/>
        <v>9.106673078191737E-3</v>
      </c>
      <c r="D978" s="1">
        <f>IFERROR(Comp2[[#This Row],[Comparable '#2 Return]]+1,"-")</f>
        <v>1.0091066730781917</v>
      </c>
      <c r="E978" s="6">
        <f>B978-MAX($B$2:B978)</f>
        <v>-26.169999999999998</v>
      </c>
      <c r="F978" s="80">
        <f t="shared" si="31"/>
        <v>885</v>
      </c>
      <c r="G978" s="77">
        <f>Comp2[[#This Row],[Comparable '#2 Drawdown]]/MAX($B$2:B978)</f>
        <v>-0.44996561210453917</v>
      </c>
      <c r="H978" s="1" t="str">
        <f>IF(SUM(COUNTIF(Benchmark1[Benchmark '#1 Dates],Comp2[[#This Row],[Comparable '#2 Dates]]),COUNTIF(Benchmark2[Benchmark '#2 Dates],Comp2[[#This Row],[Comparable '#2 Dates]]))=2,"Pass","Fail")</f>
        <v>Pass</v>
      </c>
      <c r="I978" s="1">
        <f>IFERROR(Comp2[[#This Row],[Comparable '#2 Return]]-INDEX(Benchmark1[Benchmark '#1 Return],MATCH(Comp2[[#This Row],[Comparable '#2 Dates]],Benchmark1[Benchmark '#1 Dates],0)),"-")</f>
        <v>1.4958289961950422E-2</v>
      </c>
      <c r="L978" s="72">
        <f>Comp2[[#This Row],[Comparable '#2 Price]]/$B$2*100</f>
        <v>64.366197183098578</v>
      </c>
    </row>
    <row r="979" spans="1:12">
      <c r="A979" s="96">
        <v>44701</v>
      </c>
      <c r="B979" s="101">
        <v>31.85</v>
      </c>
      <c r="C979" s="4">
        <f t="shared" si="30"/>
        <v>-4.3859719432542167E-3</v>
      </c>
      <c r="D979" s="1">
        <f>IFERROR(Comp2[[#This Row],[Comparable '#2 Return]]+1,"-")</f>
        <v>0.99561402805674581</v>
      </c>
      <c r="E979" s="6">
        <f>B979-MAX($B$2:B979)</f>
        <v>-26.309999999999995</v>
      </c>
      <c r="F979" s="80">
        <f t="shared" si="31"/>
        <v>886</v>
      </c>
      <c r="G979" s="77">
        <f>Comp2[[#This Row],[Comparable '#2 Drawdown]]/MAX($B$2:B979)</f>
        <v>-0.452372764786795</v>
      </c>
      <c r="H979" s="1" t="str">
        <f>IF(SUM(COUNTIF(Benchmark1[Benchmark '#1 Dates],Comp2[[#This Row],[Comparable '#2 Dates]]),COUNTIF(Benchmark2[Benchmark '#2 Dates],Comp2[[#This Row],[Comparable '#2 Dates]]))=2,"Pass","Fail")</f>
        <v>Pass</v>
      </c>
      <c r="I979" s="1">
        <f>IFERROR(Comp2[[#This Row],[Comparable '#2 Return]]-INDEX(Benchmark1[Benchmark '#1 Return],MATCH(Comp2[[#This Row],[Comparable '#2 Dates]],Benchmark1[Benchmark '#1 Dates],0)),"-")</f>
        <v>-4.5330178677010554E-3</v>
      </c>
      <c r="L979" s="72">
        <f>Comp2[[#This Row],[Comparable '#2 Price]]/$B$2*100</f>
        <v>64.08450704225352</v>
      </c>
    </row>
    <row r="980" spans="1:12">
      <c r="A980" s="96">
        <v>44704</v>
      </c>
      <c r="B980" s="101">
        <v>31.6</v>
      </c>
      <c r="C980" s="4">
        <f t="shared" si="30"/>
        <v>-7.8802614253059757E-3</v>
      </c>
      <c r="D980" s="1">
        <f>IFERROR(Comp2[[#This Row],[Comparable '#2 Return]]+1,"-")</f>
        <v>0.99211973857469404</v>
      </c>
      <c r="E980" s="6">
        <f>B980-MAX($B$2:B980)</f>
        <v>-26.559999999999995</v>
      </c>
      <c r="F980" s="80">
        <f t="shared" si="31"/>
        <v>887</v>
      </c>
      <c r="G980" s="77">
        <f>Comp2[[#This Row],[Comparable '#2 Drawdown]]/MAX($B$2:B980)</f>
        <v>-0.45667125171939471</v>
      </c>
      <c r="H980" s="1" t="str">
        <f>IF(SUM(COUNTIF(Benchmark1[Benchmark '#1 Dates],Comp2[[#This Row],[Comparable '#2 Dates]]),COUNTIF(Benchmark2[Benchmark '#2 Dates],Comp2[[#This Row],[Comparable '#2 Dates]]))=2,"Pass","Fail")</f>
        <v>Pass</v>
      </c>
      <c r="I980" s="1">
        <f>IFERROR(Comp2[[#This Row],[Comparable '#2 Return]]-INDEX(Benchmark1[Benchmark '#1 Return],MATCH(Comp2[[#This Row],[Comparable '#2 Dates]],Benchmark1[Benchmark '#1 Dates],0)),"-")</f>
        <v>-2.6265535192505969E-2</v>
      </c>
      <c r="L980" s="72">
        <f>Comp2[[#This Row],[Comparable '#2 Price]]/$B$2*100</f>
        <v>63.581488933601605</v>
      </c>
    </row>
    <row r="981" spans="1:12">
      <c r="A981" s="96">
        <v>44705</v>
      </c>
      <c r="B981" s="101">
        <v>31.48</v>
      </c>
      <c r="C981" s="4">
        <f t="shared" si="30"/>
        <v>-3.8046970436639714E-3</v>
      </c>
      <c r="D981" s="1">
        <f>IFERROR(Comp2[[#This Row],[Comparable '#2 Return]]+1,"-")</f>
        <v>0.99619530295633607</v>
      </c>
      <c r="E981" s="6">
        <f>B981-MAX($B$2:B981)</f>
        <v>-26.679999999999996</v>
      </c>
      <c r="F981" s="80">
        <f t="shared" si="31"/>
        <v>888</v>
      </c>
      <c r="G981" s="77">
        <f>Comp2[[#This Row],[Comparable '#2 Drawdown]]/MAX($B$2:B981)</f>
        <v>-0.45873452544704263</v>
      </c>
      <c r="H981" s="1" t="str">
        <f>IF(SUM(COUNTIF(Benchmark1[Benchmark '#1 Dates],Comp2[[#This Row],[Comparable '#2 Dates]]),COUNTIF(Benchmark2[Benchmark '#2 Dates],Comp2[[#This Row],[Comparable '#2 Dates]]))=2,"Pass","Fail")</f>
        <v>Pass</v>
      </c>
      <c r="I981" s="1">
        <f>IFERROR(Comp2[[#This Row],[Comparable '#2 Return]]-INDEX(Benchmark1[Benchmark '#1 Return],MATCH(Comp2[[#This Row],[Comparable '#2 Dates]],Benchmark1[Benchmark '#1 Dates],0)),"-")</f>
        <v>4.3504229237006573E-3</v>
      </c>
      <c r="L981" s="72">
        <f>Comp2[[#This Row],[Comparable '#2 Price]]/$B$2*100</f>
        <v>63.34004024144869</v>
      </c>
    </row>
    <row r="982" spans="1:12">
      <c r="A982" s="96">
        <v>44706</v>
      </c>
      <c r="B982" s="101">
        <v>31.88</v>
      </c>
      <c r="C982" s="4">
        <f t="shared" si="30"/>
        <v>1.2626430372811755E-2</v>
      </c>
      <c r="D982" s="1">
        <f>IFERROR(Comp2[[#This Row],[Comparable '#2 Return]]+1,"-")</f>
        <v>1.0126264303728119</v>
      </c>
      <c r="E982" s="6">
        <f>B982-MAX($B$2:B982)</f>
        <v>-26.279999999999998</v>
      </c>
      <c r="F982" s="80">
        <f t="shared" si="31"/>
        <v>889</v>
      </c>
      <c r="G982" s="77">
        <f>Comp2[[#This Row],[Comparable '#2 Drawdown]]/MAX($B$2:B982)</f>
        <v>-0.45185694635488305</v>
      </c>
      <c r="H982" s="1" t="str">
        <f>IF(SUM(COUNTIF(Benchmark1[Benchmark '#1 Dates],Comp2[[#This Row],[Comparable '#2 Dates]]),COUNTIF(Benchmark2[Benchmark '#2 Dates],Comp2[[#This Row],[Comparable '#2 Dates]]))=2,"Pass","Fail")</f>
        <v>Pass</v>
      </c>
      <c r="I982" s="1">
        <f>IFERROR(Comp2[[#This Row],[Comparable '#2 Return]]-INDEX(Benchmark1[Benchmark '#1 Return],MATCH(Comp2[[#This Row],[Comparable '#2 Dates]],Benchmark1[Benchmark '#1 Dates],0)),"-")</f>
        <v>3.2185952738282234E-3</v>
      </c>
      <c r="L982" s="72">
        <f>Comp2[[#This Row],[Comparable '#2 Price]]/$B$2*100</f>
        <v>64.144869215291749</v>
      </c>
    </row>
    <row r="983" spans="1:12">
      <c r="A983" s="96">
        <v>44707</v>
      </c>
      <c r="B983" s="101">
        <v>31.64</v>
      </c>
      <c r="C983" s="4">
        <f t="shared" si="30"/>
        <v>-7.5567110225611151E-3</v>
      </c>
      <c r="D983" s="1">
        <f>IFERROR(Comp2[[#This Row],[Comparable '#2 Return]]+1,"-")</f>
        <v>0.99244328897743883</v>
      </c>
      <c r="E983" s="6">
        <f>B983-MAX($B$2:B983)</f>
        <v>-26.519999999999996</v>
      </c>
      <c r="F983" s="80">
        <f t="shared" si="31"/>
        <v>890</v>
      </c>
      <c r="G983" s="77">
        <f>Comp2[[#This Row],[Comparable '#2 Drawdown]]/MAX($B$2:B983)</f>
        <v>-0.45598349381017877</v>
      </c>
      <c r="H983" s="1" t="str">
        <f>IF(SUM(COUNTIF(Benchmark1[Benchmark '#1 Dates],Comp2[[#This Row],[Comparable '#2 Dates]]),COUNTIF(Benchmark2[Benchmark '#2 Dates],Comp2[[#This Row],[Comparable '#2 Dates]]))=2,"Pass","Fail")</f>
        <v>Pass</v>
      </c>
      <c r="I983" s="1">
        <f>IFERROR(Comp2[[#This Row],[Comparable '#2 Return]]-INDEX(Benchmark1[Benchmark '#1 Return],MATCH(Comp2[[#This Row],[Comparable '#2 Dates]],Benchmark1[Benchmark '#1 Dates],0)),"-")</f>
        <v>-2.7244368790271055E-2</v>
      </c>
      <c r="L983" s="72">
        <f>Comp2[[#This Row],[Comparable '#2 Price]]/$B$2*100</f>
        <v>63.661971830985905</v>
      </c>
    </row>
    <row r="984" spans="1:12">
      <c r="A984" s="96">
        <v>44708</v>
      </c>
      <c r="B984" s="101">
        <v>32.619999999999997</v>
      </c>
      <c r="C984" s="4">
        <f t="shared" si="30"/>
        <v>3.0503454293414625E-2</v>
      </c>
      <c r="D984" s="1">
        <f>IFERROR(Comp2[[#This Row],[Comparable '#2 Return]]+1,"-")</f>
        <v>1.0305034542934146</v>
      </c>
      <c r="E984" s="6">
        <f>B984-MAX($B$2:B984)</f>
        <v>-25.54</v>
      </c>
      <c r="F984" s="80">
        <f t="shared" si="31"/>
        <v>891</v>
      </c>
      <c r="G984" s="77">
        <f>Comp2[[#This Row],[Comparable '#2 Drawdown]]/MAX($B$2:B984)</f>
        <v>-0.4391334250343879</v>
      </c>
      <c r="H984" s="1" t="str">
        <f>IF(SUM(COUNTIF(Benchmark1[Benchmark '#1 Dates],Comp2[[#This Row],[Comparable '#2 Dates]]),COUNTIF(Benchmark2[Benchmark '#2 Dates],Comp2[[#This Row],[Comparable '#2 Dates]]))=2,"Pass","Fail")</f>
        <v>Pass</v>
      </c>
      <c r="I984" s="1">
        <f>IFERROR(Comp2[[#This Row],[Comparable '#2 Return]]-INDEX(Benchmark1[Benchmark '#1 Return],MATCH(Comp2[[#This Row],[Comparable '#2 Dates]],Benchmark1[Benchmark '#1 Dates],0)),"-")</f>
        <v>6.0629451728444889E-3</v>
      </c>
      <c r="L984" s="72">
        <f>Comp2[[#This Row],[Comparable '#2 Price]]/$B$2*100</f>
        <v>65.633802816901394</v>
      </c>
    </row>
    <row r="985" spans="1:12">
      <c r="A985" s="96">
        <v>44712</v>
      </c>
      <c r="B985" s="101">
        <v>32.619999999999997</v>
      </c>
      <c r="C985" s="4">
        <f t="shared" si="30"/>
        <v>0</v>
      </c>
      <c r="D985" s="1">
        <f>IFERROR(Comp2[[#This Row],[Comparable '#2 Return]]+1,"-")</f>
        <v>1</v>
      </c>
      <c r="E985" s="6">
        <f>B985-MAX($B$2:B985)</f>
        <v>-25.54</v>
      </c>
      <c r="F985" s="80">
        <f t="shared" si="31"/>
        <v>892</v>
      </c>
      <c r="G985" s="77">
        <f>Comp2[[#This Row],[Comparable '#2 Drawdown]]/MAX($B$2:B985)</f>
        <v>-0.4391334250343879</v>
      </c>
      <c r="H985" s="1" t="str">
        <f>IF(SUM(COUNTIF(Benchmark1[Benchmark '#1 Dates],Comp2[[#This Row],[Comparable '#2 Dates]]),COUNTIF(Benchmark2[Benchmark '#2 Dates],Comp2[[#This Row],[Comparable '#2 Dates]]))=2,"Pass","Fail")</f>
        <v>Pass</v>
      </c>
      <c r="I985" s="1">
        <f>IFERROR(Comp2[[#This Row],[Comparable '#2 Return]]-INDEX(Benchmark1[Benchmark '#1 Return],MATCH(Comp2[[#This Row],[Comparable '#2 Dates]],Benchmark1[Benchmark '#1 Dates],0)),"-")</f>
        <v>6.2941978770662856E-3</v>
      </c>
      <c r="L985" s="72">
        <f>Comp2[[#This Row],[Comparable '#2 Price]]/$B$2*100</f>
        <v>65.633802816901394</v>
      </c>
    </row>
    <row r="986" spans="1:12">
      <c r="A986" s="96">
        <v>44713</v>
      </c>
      <c r="B986" s="101">
        <v>33.1</v>
      </c>
      <c r="C986" s="4">
        <f t="shared" si="30"/>
        <v>1.4607685190149605E-2</v>
      </c>
      <c r="D986" s="1">
        <f>IFERROR(Comp2[[#This Row],[Comparable '#2 Return]]+1,"-")</f>
        <v>1.0146076851901495</v>
      </c>
      <c r="E986" s="6">
        <f>B986-MAX($B$2:B986)</f>
        <v>-25.059999999999995</v>
      </c>
      <c r="F986" s="80">
        <f t="shared" si="31"/>
        <v>893</v>
      </c>
      <c r="G986" s="77">
        <f>Comp2[[#This Row],[Comparable '#2 Drawdown]]/MAX($B$2:B986)</f>
        <v>-0.43088033012379634</v>
      </c>
      <c r="H986" s="1" t="str">
        <f>IF(SUM(COUNTIF(Benchmark1[Benchmark '#1 Dates],Comp2[[#This Row],[Comparable '#2 Dates]]),COUNTIF(Benchmark2[Benchmark '#2 Dates],Comp2[[#This Row],[Comparable '#2 Dates]]))=2,"Pass","Fail")</f>
        <v>Pass</v>
      </c>
      <c r="I986" s="1">
        <f>IFERROR(Comp2[[#This Row],[Comparable '#2 Return]]-INDEX(Benchmark1[Benchmark '#1 Return],MATCH(Comp2[[#This Row],[Comparable '#2 Dates]],Benchmark1[Benchmark '#1 Dates],0)),"-")</f>
        <v>2.211811826997289E-2</v>
      </c>
      <c r="L986" s="72">
        <f>Comp2[[#This Row],[Comparable '#2 Price]]/$B$2*100</f>
        <v>66.599597585513081</v>
      </c>
    </row>
    <row r="987" spans="1:12">
      <c r="A987" s="96">
        <v>44714</v>
      </c>
      <c r="B987" s="101">
        <v>33.61</v>
      </c>
      <c r="C987" s="4">
        <f t="shared" si="30"/>
        <v>1.5290359353996984E-2</v>
      </c>
      <c r="D987" s="1">
        <f>IFERROR(Comp2[[#This Row],[Comparable '#2 Return]]+1,"-")</f>
        <v>1.015290359353997</v>
      </c>
      <c r="E987" s="6">
        <f>B987-MAX($B$2:B987)</f>
        <v>-24.549999999999997</v>
      </c>
      <c r="F987" s="80">
        <f t="shared" si="31"/>
        <v>894</v>
      </c>
      <c r="G987" s="77">
        <f>Comp2[[#This Row],[Comparable '#2 Drawdown]]/MAX($B$2:B987)</f>
        <v>-0.42211141678129294</v>
      </c>
      <c r="H987" s="1" t="str">
        <f>IF(SUM(COUNTIF(Benchmark1[Benchmark '#1 Dates],Comp2[[#This Row],[Comparable '#2 Dates]]),COUNTIF(Benchmark2[Benchmark '#2 Dates],Comp2[[#This Row],[Comparable '#2 Dates]]))=2,"Pass","Fail")</f>
        <v>Pass</v>
      </c>
      <c r="I987" s="1">
        <f>IFERROR(Comp2[[#This Row],[Comparable '#2 Return]]-INDEX(Benchmark1[Benchmark '#1 Return],MATCH(Comp2[[#This Row],[Comparable '#2 Dates]],Benchmark1[Benchmark '#1 Dates],0)),"-")</f>
        <v>-2.972456827396365E-3</v>
      </c>
      <c r="L987" s="72">
        <f>Comp2[[#This Row],[Comparable '#2 Price]]/$B$2*100</f>
        <v>67.625754527162968</v>
      </c>
    </row>
    <row r="988" spans="1:12">
      <c r="A988" s="96">
        <v>44715</v>
      </c>
      <c r="B988" s="101">
        <v>34.090000000000003</v>
      </c>
      <c r="C988" s="4">
        <f t="shared" si="30"/>
        <v>1.4180444412797607E-2</v>
      </c>
      <c r="D988" s="1">
        <f>IFERROR(Comp2[[#This Row],[Comparable '#2 Return]]+1,"-")</f>
        <v>1.0141804444127975</v>
      </c>
      <c r="E988" s="6">
        <f>B988-MAX($B$2:B988)</f>
        <v>-24.069999999999993</v>
      </c>
      <c r="F988" s="80">
        <f t="shared" si="31"/>
        <v>895</v>
      </c>
      <c r="G988" s="77">
        <f>Comp2[[#This Row],[Comparable '#2 Drawdown]]/MAX($B$2:B988)</f>
        <v>-0.41385832187070143</v>
      </c>
      <c r="H988" s="1" t="str">
        <f>IF(SUM(COUNTIF(Benchmark1[Benchmark '#1 Dates],Comp2[[#This Row],[Comparable '#2 Dates]]),COUNTIF(Benchmark2[Benchmark '#2 Dates],Comp2[[#This Row],[Comparable '#2 Dates]]))=2,"Pass","Fail")</f>
        <v>Pass</v>
      </c>
      <c r="I988" s="1">
        <f>IFERROR(Comp2[[#This Row],[Comparable '#2 Return]]-INDEX(Benchmark1[Benchmark '#1 Return],MATCH(Comp2[[#This Row],[Comparable '#2 Dates]],Benchmark1[Benchmark '#1 Dates],0)),"-")</f>
        <v>3.0663526768845185E-2</v>
      </c>
      <c r="L988" s="72">
        <f>Comp2[[#This Row],[Comparable '#2 Price]]/$B$2*100</f>
        <v>68.591549295774641</v>
      </c>
    </row>
    <row r="989" spans="1:12">
      <c r="A989" s="96">
        <v>44718</v>
      </c>
      <c r="B989" s="101">
        <v>34.58</v>
      </c>
      <c r="C989" s="4">
        <f t="shared" si="30"/>
        <v>1.4271394105332541E-2</v>
      </c>
      <c r="D989" s="1">
        <f>IFERROR(Comp2[[#This Row],[Comparable '#2 Return]]+1,"-")</f>
        <v>1.0142713941053325</v>
      </c>
      <c r="E989" s="6">
        <f>B989-MAX($B$2:B989)</f>
        <v>-23.58</v>
      </c>
      <c r="F989" s="80">
        <f t="shared" si="31"/>
        <v>896</v>
      </c>
      <c r="G989" s="77">
        <f>Comp2[[#This Row],[Comparable '#2 Drawdown]]/MAX($B$2:B989)</f>
        <v>-0.40543328748280605</v>
      </c>
      <c r="H989" s="1" t="str">
        <f>IF(SUM(COUNTIF(Benchmark1[Benchmark '#1 Dates],Comp2[[#This Row],[Comparable '#2 Dates]]),COUNTIF(Benchmark2[Benchmark '#2 Dates],Comp2[[#This Row],[Comparable '#2 Dates]]))=2,"Pass","Fail")</f>
        <v>Pass</v>
      </c>
      <c r="I989" s="1">
        <f>IFERROR(Comp2[[#This Row],[Comparable '#2 Return]]-INDEX(Benchmark1[Benchmark '#1 Return],MATCH(Comp2[[#This Row],[Comparable '#2 Dates]],Benchmark1[Benchmark '#1 Dates],0)),"-")</f>
        <v>1.1137958261467459E-2</v>
      </c>
      <c r="L989" s="72">
        <f>Comp2[[#This Row],[Comparable '#2 Price]]/$B$2*100</f>
        <v>69.577464788732385</v>
      </c>
    </row>
    <row r="990" spans="1:12">
      <c r="A990" s="96">
        <v>44719</v>
      </c>
      <c r="B990" s="101">
        <v>35.35</v>
      </c>
      <c r="C990" s="4">
        <f t="shared" si="30"/>
        <v>2.2022912087437473E-2</v>
      </c>
      <c r="D990" s="1">
        <f>IFERROR(Comp2[[#This Row],[Comparable '#2 Return]]+1,"-")</f>
        <v>1.0220229120874376</v>
      </c>
      <c r="E990" s="6">
        <f>B990-MAX($B$2:B990)</f>
        <v>-22.809999999999995</v>
      </c>
      <c r="F990" s="80">
        <f t="shared" si="31"/>
        <v>897</v>
      </c>
      <c r="G990" s="77">
        <f>Comp2[[#This Row],[Comparable '#2 Drawdown]]/MAX($B$2:B990)</f>
        <v>-0.39219394773039884</v>
      </c>
      <c r="H990" s="1" t="str">
        <f>IF(SUM(COUNTIF(Benchmark1[Benchmark '#1 Dates],Comp2[[#This Row],[Comparable '#2 Dates]]),COUNTIF(Benchmark2[Benchmark '#2 Dates],Comp2[[#This Row],[Comparable '#2 Dates]]))=2,"Pass","Fail")</f>
        <v>Pass</v>
      </c>
      <c r="I990" s="1">
        <f>IFERROR(Comp2[[#This Row],[Comparable '#2 Return]]-INDEX(Benchmark1[Benchmark '#1 Return],MATCH(Comp2[[#This Row],[Comparable '#2 Dates]],Benchmark1[Benchmark '#1 Dates],0)),"-")</f>
        <v>1.2543642539001107E-2</v>
      </c>
      <c r="L990" s="72">
        <f>Comp2[[#This Row],[Comparable '#2 Price]]/$B$2*100</f>
        <v>71.126760563380273</v>
      </c>
    </row>
    <row r="991" spans="1:12">
      <c r="A991" s="96">
        <v>44720</v>
      </c>
      <c r="B991" s="101">
        <v>33.99</v>
      </c>
      <c r="C991" s="4">
        <f t="shared" si="30"/>
        <v>-3.9232028634557145E-2</v>
      </c>
      <c r="D991" s="1">
        <f>IFERROR(Comp2[[#This Row],[Comparable '#2 Return]]+1,"-")</f>
        <v>0.9607679713654429</v>
      </c>
      <c r="E991" s="6">
        <f>B991-MAX($B$2:B991)</f>
        <v>-24.169999999999995</v>
      </c>
      <c r="F991" s="80">
        <f t="shared" si="31"/>
        <v>898</v>
      </c>
      <c r="G991" s="77">
        <f>Comp2[[#This Row],[Comparable '#2 Drawdown]]/MAX($B$2:B991)</f>
        <v>-0.41557771664374132</v>
      </c>
      <c r="H991" s="1" t="str">
        <f>IF(SUM(COUNTIF(Benchmark1[Benchmark '#1 Dates],Comp2[[#This Row],[Comparable '#2 Dates]]),COUNTIF(Benchmark2[Benchmark '#2 Dates],Comp2[[#This Row],[Comparable '#2 Dates]]))=2,"Pass","Fail")</f>
        <v>Pass</v>
      </c>
      <c r="I991" s="1">
        <f>IFERROR(Comp2[[#This Row],[Comparable '#2 Return]]-INDEX(Benchmark1[Benchmark '#1 Return],MATCH(Comp2[[#This Row],[Comparable '#2 Dates]],Benchmark1[Benchmark '#1 Dates],0)),"-")</f>
        <v>-2.8379243894745068E-2</v>
      </c>
      <c r="L991" s="72">
        <f>Comp2[[#This Row],[Comparable '#2 Price]]/$B$2*100</f>
        <v>68.390342052313883</v>
      </c>
    </row>
    <row r="992" spans="1:12">
      <c r="A992" s="96">
        <v>44721</v>
      </c>
      <c r="B992" s="101">
        <v>33.29</v>
      </c>
      <c r="C992" s="4">
        <f t="shared" si="30"/>
        <v>-2.0809312121091154E-2</v>
      </c>
      <c r="D992" s="1">
        <f>IFERROR(Comp2[[#This Row],[Comparable '#2 Return]]+1,"-")</f>
        <v>0.97919068787890884</v>
      </c>
      <c r="E992" s="6">
        <f>B992-MAX($B$2:B992)</f>
        <v>-24.869999999999997</v>
      </c>
      <c r="F992" s="80">
        <f t="shared" si="31"/>
        <v>899</v>
      </c>
      <c r="G992" s="77">
        <f>Comp2[[#This Row],[Comparable '#2 Drawdown]]/MAX($B$2:B992)</f>
        <v>-0.42761348005502059</v>
      </c>
      <c r="H992" s="1" t="str">
        <f>IF(SUM(COUNTIF(Benchmark1[Benchmark '#1 Dates],Comp2[[#This Row],[Comparable '#2 Dates]]),COUNTIF(Benchmark2[Benchmark '#2 Dates],Comp2[[#This Row],[Comparable '#2 Dates]]))=2,"Pass","Fail")</f>
        <v>Pass</v>
      </c>
      <c r="I992" s="1">
        <f>IFERROR(Comp2[[#This Row],[Comparable '#2 Return]]-INDEX(Benchmark1[Benchmark '#1 Return],MATCH(Comp2[[#This Row],[Comparable '#2 Dates]],Benchmark1[Benchmark '#1 Dates],0)),"-")</f>
        <v>3.2781328358457776E-3</v>
      </c>
      <c r="L992" s="72">
        <f>Comp2[[#This Row],[Comparable '#2 Price]]/$B$2*100</f>
        <v>66.981891348088524</v>
      </c>
    </row>
    <row r="993" spans="1:12">
      <c r="A993" s="96">
        <v>44722</v>
      </c>
      <c r="B993" s="101">
        <v>32</v>
      </c>
      <c r="C993" s="4">
        <f t="shared" si="30"/>
        <v>-3.9521148787206986E-2</v>
      </c>
      <c r="D993" s="1">
        <f>IFERROR(Comp2[[#This Row],[Comparable '#2 Return]]+1,"-")</f>
        <v>0.96047885121279297</v>
      </c>
      <c r="E993" s="6">
        <f>B993-MAX($B$2:B993)</f>
        <v>-26.159999999999997</v>
      </c>
      <c r="F993" s="80">
        <f t="shared" si="31"/>
        <v>900</v>
      </c>
      <c r="G993" s="77">
        <f>Comp2[[#This Row],[Comparable '#2 Drawdown]]/MAX($B$2:B993)</f>
        <v>-0.44979367262723519</v>
      </c>
      <c r="H993" s="1" t="str">
        <f>IF(SUM(COUNTIF(Benchmark1[Benchmark '#1 Dates],Comp2[[#This Row],[Comparable '#2 Dates]]),COUNTIF(Benchmark2[Benchmark '#2 Dates],Comp2[[#This Row],[Comparable '#2 Dates]]))=2,"Pass","Fail")</f>
        <v>Pass</v>
      </c>
      <c r="I993" s="1">
        <f>IFERROR(Comp2[[#This Row],[Comparable '#2 Return]]-INDEX(Benchmark1[Benchmark '#1 Return],MATCH(Comp2[[#This Row],[Comparable '#2 Dates]],Benchmark1[Benchmark '#1 Dates],0)),"-")</f>
        <v>-9.9802455199351527E-3</v>
      </c>
      <c r="L993" s="72">
        <f>Comp2[[#This Row],[Comparable '#2 Price]]/$B$2*100</f>
        <v>64.386317907444663</v>
      </c>
    </row>
    <row r="994" spans="1:12">
      <c r="A994" s="96">
        <v>44725</v>
      </c>
      <c r="B994" s="101">
        <v>31.3</v>
      </c>
      <c r="C994" s="4">
        <f t="shared" si="30"/>
        <v>-2.2117805253618991E-2</v>
      </c>
      <c r="D994" s="1">
        <f>IFERROR(Comp2[[#This Row],[Comparable '#2 Return]]+1,"-")</f>
        <v>0.97788219474638105</v>
      </c>
      <c r="E994" s="6">
        <f>B994-MAX($B$2:B994)</f>
        <v>-26.859999999999996</v>
      </c>
      <c r="F994" s="80">
        <f t="shared" si="31"/>
        <v>901</v>
      </c>
      <c r="G994" s="77">
        <f>Comp2[[#This Row],[Comparable '#2 Drawdown]]/MAX($B$2:B994)</f>
        <v>-0.4618294360385144</v>
      </c>
      <c r="H994" s="1" t="str">
        <f>IF(SUM(COUNTIF(Benchmark1[Benchmark '#1 Dates],Comp2[[#This Row],[Comparable '#2 Dates]]),COUNTIF(Benchmark2[Benchmark '#2 Dates],Comp2[[#This Row],[Comparable '#2 Dates]]))=2,"Pass","Fail")</f>
        <v>Pass</v>
      </c>
      <c r="I994" s="1">
        <f>IFERROR(Comp2[[#This Row],[Comparable '#2 Return]]-INDEX(Benchmark1[Benchmark '#1 Return],MATCH(Comp2[[#This Row],[Comparable '#2 Dates]],Benchmark1[Benchmark '#1 Dates],0)),"-")</f>
        <v>1.742393889439936E-2</v>
      </c>
      <c r="L994" s="72">
        <f>Comp2[[#This Row],[Comparable '#2 Price]]/$B$2*100</f>
        <v>62.977867203219319</v>
      </c>
    </row>
    <row r="995" spans="1:12">
      <c r="A995" s="96">
        <v>44726</v>
      </c>
      <c r="B995" s="101">
        <v>31.69</v>
      </c>
      <c r="C995" s="4">
        <f t="shared" si="30"/>
        <v>1.2383076156721929E-2</v>
      </c>
      <c r="D995" s="1">
        <f>IFERROR(Comp2[[#This Row],[Comparable '#2 Return]]+1,"-")</f>
        <v>1.0123830761567219</v>
      </c>
      <c r="E995" s="6">
        <f>B995-MAX($B$2:B995)</f>
        <v>-26.469999999999995</v>
      </c>
      <c r="F995" s="80">
        <f t="shared" si="31"/>
        <v>902</v>
      </c>
      <c r="G995" s="77">
        <f>Comp2[[#This Row],[Comparable '#2 Drawdown]]/MAX($B$2:B995)</f>
        <v>-0.4551237964236588</v>
      </c>
      <c r="H995" s="1" t="str">
        <f>IF(SUM(COUNTIF(Benchmark1[Benchmark '#1 Dates],Comp2[[#This Row],[Comparable '#2 Dates]]),COUNTIF(Benchmark2[Benchmark '#2 Dates],Comp2[[#This Row],[Comparable '#2 Dates]]))=2,"Pass","Fail")</f>
        <v>Pass</v>
      </c>
      <c r="I995" s="1">
        <f>IFERROR(Comp2[[#This Row],[Comparable '#2 Return]]-INDEX(Benchmark1[Benchmark '#1 Return],MATCH(Comp2[[#This Row],[Comparable '#2 Dates]],Benchmark1[Benchmark '#1 Dates],0)),"-")</f>
        <v>1.6162357694249337E-2</v>
      </c>
      <c r="L995" s="72">
        <f>Comp2[[#This Row],[Comparable '#2 Price]]/$B$2*100</f>
        <v>63.762575452716298</v>
      </c>
    </row>
    <row r="996" spans="1:12">
      <c r="A996" s="96">
        <v>44727</v>
      </c>
      <c r="B996" s="101">
        <v>31.79</v>
      </c>
      <c r="C996" s="4">
        <f t="shared" si="30"/>
        <v>3.1506012198818721E-3</v>
      </c>
      <c r="D996" s="1">
        <f>IFERROR(Comp2[[#This Row],[Comparable '#2 Return]]+1,"-")</f>
        <v>1.0031506012198819</v>
      </c>
      <c r="E996" s="6">
        <f>B996-MAX($B$2:B996)</f>
        <v>-26.369999999999997</v>
      </c>
      <c r="F996" s="80">
        <f t="shared" si="31"/>
        <v>903</v>
      </c>
      <c r="G996" s="77">
        <f>Comp2[[#This Row],[Comparable '#2 Drawdown]]/MAX($B$2:B996)</f>
        <v>-0.45340440165061896</v>
      </c>
      <c r="H996" s="1" t="str">
        <f>IF(SUM(COUNTIF(Benchmark1[Benchmark '#1 Dates],Comp2[[#This Row],[Comparable '#2 Dates]]),COUNTIF(Benchmark2[Benchmark '#2 Dates],Comp2[[#This Row],[Comparable '#2 Dates]]))=2,"Pass","Fail")</f>
        <v>Pass</v>
      </c>
      <c r="I996" s="1">
        <f>IFERROR(Comp2[[#This Row],[Comparable '#2 Return]]-INDEX(Benchmark1[Benchmark '#1 Return],MATCH(Comp2[[#This Row],[Comparable '#2 Dates]],Benchmark1[Benchmark '#1 Dates],0)),"-")</f>
        <v>-1.1334646229666819E-2</v>
      </c>
      <c r="L996" s="72">
        <f>Comp2[[#This Row],[Comparable '#2 Price]]/$B$2*100</f>
        <v>63.963782696177049</v>
      </c>
    </row>
    <row r="997" spans="1:12">
      <c r="A997" s="96">
        <v>44728</v>
      </c>
      <c r="B997" s="101">
        <v>31.12</v>
      </c>
      <c r="C997" s="4">
        <f t="shared" si="30"/>
        <v>-2.1301075612520464E-2</v>
      </c>
      <c r="D997" s="1">
        <f>IFERROR(Comp2[[#This Row],[Comparable '#2 Return]]+1,"-")</f>
        <v>0.97869892438747952</v>
      </c>
      <c r="E997" s="6">
        <f>B997-MAX($B$2:B997)</f>
        <v>-27.039999999999996</v>
      </c>
      <c r="F997" s="80">
        <f t="shared" si="31"/>
        <v>904</v>
      </c>
      <c r="G997" s="77">
        <f>Comp2[[#This Row],[Comparable '#2 Drawdown]]/MAX($B$2:B997)</f>
        <v>-0.46492434662998622</v>
      </c>
      <c r="H997" s="1" t="str">
        <f>IF(SUM(COUNTIF(Benchmark1[Benchmark '#1 Dates],Comp2[[#This Row],[Comparable '#2 Dates]]),COUNTIF(Benchmark2[Benchmark '#2 Dates],Comp2[[#This Row],[Comparable '#2 Dates]]))=2,"Pass","Fail")</f>
        <v>Pass</v>
      </c>
      <c r="I997" s="1">
        <f>IFERROR(Comp2[[#This Row],[Comparable '#2 Return]]-INDEX(Benchmark1[Benchmark '#1 Return],MATCH(Comp2[[#This Row],[Comparable '#2 Dates]],Benchmark1[Benchmark '#1 Dates],0)),"-")</f>
        <v>1.1750850904165149E-2</v>
      </c>
      <c r="L997" s="72">
        <f>Comp2[[#This Row],[Comparable '#2 Price]]/$B$2*100</f>
        <v>62.615694164989947</v>
      </c>
    </row>
    <row r="998" spans="1:12">
      <c r="A998" s="96">
        <v>44729</v>
      </c>
      <c r="B998" s="101">
        <v>31.74</v>
      </c>
      <c r="C998" s="4">
        <f t="shared" si="30"/>
        <v>1.9727015788072056E-2</v>
      </c>
      <c r="D998" s="1">
        <f>IFERROR(Comp2[[#This Row],[Comparable '#2 Return]]+1,"-")</f>
        <v>1.019727015788072</v>
      </c>
      <c r="E998" s="6">
        <f>B998-MAX($B$2:B998)</f>
        <v>-26.419999999999998</v>
      </c>
      <c r="F998" s="80">
        <f t="shared" si="31"/>
        <v>905</v>
      </c>
      <c r="G998" s="77">
        <f>Comp2[[#This Row],[Comparable '#2 Drawdown]]/MAX($B$2:B998)</f>
        <v>-0.45426409903713894</v>
      </c>
      <c r="H998" s="1" t="str">
        <f>IF(SUM(COUNTIF(Benchmark1[Benchmark '#1 Dates],Comp2[[#This Row],[Comparable '#2 Dates]]),COUNTIF(Benchmark2[Benchmark '#2 Dates],Comp2[[#This Row],[Comparable '#2 Dates]]))=2,"Pass","Fail")</f>
        <v>Pass</v>
      </c>
      <c r="I998" s="1">
        <f>IFERROR(Comp2[[#This Row],[Comparable '#2 Return]]-INDEX(Benchmark1[Benchmark '#1 Return],MATCH(Comp2[[#This Row],[Comparable '#2 Dates]],Benchmark1[Benchmark '#1 Dates],0)),"-")</f>
        <v>1.7527535666284021E-2</v>
      </c>
      <c r="L998" s="72">
        <f>Comp2[[#This Row],[Comparable '#2 Price]]/$B$2*100</f>
        <v>63.863179074446677</v>
      </c>
    </row>
    <row r="999" spans="1:12">
      <c r="A999" s="96">
        <v>44733</v>
      </c>
      <c r="B999" s="101">
        <v>32.03</v>
      </c>
      <c r="C999" s="4">
        <f t="shared" si="30"/>
        <v>9.0952485228038109E-3</v>
      </c>
      <c r="D999" s="1">
        <f>IFERROR(Comp2[[#This Row],[Comparable '#2 Return]]+1,"-")</f>
        <v>1.0090952485228037</v>
      </c>
      <c r="E999" s="6">
        <f>B999-MAX($B$2:B999)</f>
        <v>-26.129999999999995</v>
      </c>
      <c r="F999" s="80">
        <f t="shared" si="31"/>
        <v>906</v>
      </c>
      <c r="G999" s="77">
        <f>Comp2[[#This Row],[Comparable '#2 Drawdown]]/MAX($B$2:B999)</f>
        <v>-0.44927785419532318</v>
      </c>
      <c r="H999" s="1" t="str">
        <f>IF(SUM(COUNTIF(Benchmark1[Benchmark '#1 Dates],Comp2[[#This Row],[Comparable '#2 Dates]]),COUNTIF(Benchmark2[Benchmark '#2 Dates],Comp2[[#This Row],[Comparable '#2 Dates]]))=2,"Pass","Fail")</f>
        <v>Pass</v>
      </c>
      <c r="I999" s="1">
        <f>IFERROR(Comp2[[#This Row],[Comparable '#2 Return]]-INDEX(Benchmark1[Benchmark '#1 Return],MATCH(Comp2[[#This Row],[Comparable '#2 Dates]],Benchmark1[Benchmark '#1 Dates],0)),"-")</f>
        <v>-1.5086330877207094E-2</v>
      </c>
      <c r="L999" s="72">
        <f>Comp2[[#This Row],[Comparable '#2 Price]]/$B$2*100</f>
        <v>64.446680080482892</v>
      </c>
    </row>
    <row r="1000" spans="1:12">
      <c r="A1000" s="96">
        <v>44734</v>
      </c>
      <c r="B1000" s="101">
        <v>32.81</v>
      </c>
      <c r="C1000" s="4">
        <f t="shared" si="30"/>
        <v>2.4060383351943476E-2</v>
      </c>
      <c r="D1000" s="1">
        <f>IFERROR(Comp2[[#This Row],[Comparable '#2 Return]]+1,"-")</f>
        <v>1.0240603833519435</v>
      </c>
      <c r="E1000" s="6">
        <f>B1000-MAX($B$2:B1000)</f>
        <v>-25.349999999999994</v>
      </c>
      <c r="F1000" s="80">
        <f t="shared" si="31"/>
        <v>907</v>
      </c>
      <c r="G1000" s="77">
        <f>Comp2[[#This Row],[Comparable '#2 Drawdown]]/MAX($B$2:B1000)</f>
        <v>-0.43586657496561204</v>
      </c>
      <c r="H1000" s="1" t="str">
        <f>IF(SUM(COUNTIF(Benchmark1[Benchmark '#1 Dates],Comp2[[#This Row],[Comparable '#2 Dates]]),COUNTIF(Benchmark2[Benchmark '#2 Dates],Comp2[[#This Row],[Comparable '#2 Dates]]))=2,"Pass","Fail")</f>
        <v>Pass</v>
      </c>
      <c r="I1000" s="1">
        <f>IFERROR(Comp2[[#This Row],[Comparable '#2 Return]]-INDEX(Benchmark1[Benchmark '#1 Return],MATCH(Comp2[[#This Row],[Comparable '#2 Dates]],Benchmark1[Benchmark '#1 Dates],0)),"-")</f>
        <v>2.5361397691162354E-2</v>
      </c>
      <c r="L1000" s="72">
        <f>Comp2[[#This Row],[Comparable '#2 Price]]/$B$2*100</f>
        <v>66.016096579476852</v>
      </c>
    </row>
    <row r="1001" spans="1:12">
      <c r="A1001" s="96">
        <v>44735</v>
      </c>
      <c r="B1001" s="101">
        <v>33.700000000000003</v>
      </c>
      <c r="C1001" s="4">
        <f t="shared" si="30"/>
        <v>2.6764490385305744E-2</v>
      </c>
      <c r="D1001" s="1">
        <f>IFERROR(Comp2[[#This Row],[Comparable '#2 Return]]+1,"-")</f>
        <v>1.0267644903853057</v>
      </c>
      <c r="E1001" s="6">
        <f>B1001-MAX($B$2:B1001)</f>
        <v>-24.459999999999994</v>
      </c>
      <c r="F1001" s="80">
        <f t="shared" si="31"/>
        <v>908</v>
      </c>
      <c r="G1001" s="77">
        <f>Comp2[[#This Row],[Comparable '#2 Drawdown]]/MAX($B$2:B1001)</f>
        <v>-0.42056396148555703</v>
      </c>
      <c r="H1001" s="1" t="str">
        <f>IF(SUM(COUNTIF(Benchmark1[Benchmark '#1 Dates],Comp2[[#This Row],[Comparable '#2 Dates]]),COUNTIF(Benchmark2[Benchmark '#2 Dates],Comp2[[#This Row],[Comparable '#2 Dates]]))=2,"Pass","Fail")</f>
        <v>Pass</v>
      </c>
      <c r="I1001" s="1">
        <f>IFERROR(Comp2[[#This Row],[Comparable '#2 Return]]-INDEX(Benchmark1[Benchmark '#1 Return],MATCH(Comp2[[#This Row],[Comparable '#2 Dates]],Benchmark1[Benchmark '#1 Dates],0)),"-")</f>
        <v>1.727895260101163E-2</v>
      </c>
      <c r="L1001" s="72">
        <f>Comp2[[#This Row],[Comparable '#2 Price]]/$B$2*100</f>
        <v>67.806841046277668</v>
      </c>
    </row>
    <row r="1002" spans="1:12">
      <c r="A1002" s="96">
        <v>44736</v>
      </c>
      <c r="B1002" s="101">
        <v>36.64</v>
      </c>
      <c r="C1002" s="4">
        <f t="shared" si="30"/>
        <v>8.3642702447613321E-2</v>
      </c>
      <c r="D1002" s="1">
        <f>IFERROR(Comp2[[#This Row],[Comparable '#2 Return]]+1,"-")</f>
        <v>1.0836427024476134</v>
      </c>
      <c r="E1002" s="6">
        <f>B1002-MAX($B$2:B1002)</f>
        <v>-21.519999999999996</v>
      </c>
      <c r="F1002" s="80">
        <f t="shared" si="31"/>
        <v>909</v>
      </c>
      <c r="G1002" s="77">
        <f>Comp2[[#This Row],[Comparable '#2 Drawdown]]/MAX($B$2:B1002)</f>
        <v>-0.3700137551581843</v>
      </c>
      <c r="H1002" s="1" t="str">
        <f>IF(SUM(COUNTIF(Benchmark1[Benchmark '#1 Dates],Comp2[[#This Row],[Comparable '#2 Dates]]),COUNTIF(Benchmark2[Benchmark '#2 Dates],Comp2[[#This Row],[Comparable '#2 Dates]]))=2,"Pass","Fail")</f>
        <v>Pass</v>
      </c>
      <c r="I1002" s="1">
        <f>IFERROR(Comp2[[#This Row],[Comparable '#2 Return]]-INDEX(Benchmark1[Benchmark '#1 Return],MATCH(Comp2[[#This Row],[Comparable '#2 Dates]],Benchmark1[Benchmark '#1 Dates],0)),"-")</f>
        <v>5.3535497330226875E-2</v>
      </c>
      <c r="L1002" s="72">
        <f>Comp2[[#This Row],[Comparable '#2 Price]]/$B$2*100</f>
        <v>73.722334004024134</v>
      </c>
    </row>
    <row r="1003" spans="1:12">
      <c r="A1003" s="96">
        <v>44739</v>
      </c>
      <c r="B1003" s="101">
        <v>36.380000000000003</v>
      </c>
      <c r="C1003" s="4">
        <f t="shared" si="30"/>
        <v>-7.1213667159532703E-3</v>
      </c>
      <c r="D1003" s="1">
        <f>IFERROR(Comp2[[#This Row],[Comparable '#2 Return]]+1,"-")</f>
        <v>0.99287863328404669</v>
      </c>
      <c r="E1003" s="6">
        <f>B1003-MAX($B$2:B1003)</f>
        <v>-21.779999999999994</v>
      </c>
      <c r="F1003" s="80">
        <f t="shared" si="31"/>
        <v>910</v>
      </c>
      <c r="G1003" s="77">
        <f>Comp2[[#This Row],[Comparable '#2 Drawdown]]/MAX($B$2:B1003)</f>
        <v>-0.37448418156808794</v>
      </c>
      <c r="H1003" s="1" t="str">
        <f>IF(SUM(COUNTIF(Benchmark1[Benchmark '#1 Dates],Comp2[[#This Row],[Comparable '#2 Dates]]),COUNTIF(Benchmark2[Benchmark '#2 Dates],Comp2[[#This Row],[Comparable '#2 Dates]]))=2,"Pass","Fail")</f>
        <v>Pass</v>
      </c>
      <c r="I1003" s="1">
        <f>IFERROR(Comp2[[#This Row],[Comparable '#2 Return]]-INDEX(Benchmark1[Benchmark '#1 Return],MATCH(Comp2[[#This Row],[Comparable '#2 Dates]],Benchmark1[Benchmark '#1 Dates],0)),"-")</f>
        <v>-4.1439114194676569E-3</v>
      </c>
      <c r="L1003" s="72">
        <f>Comp2[[#This Row],[Comparable '#2 Price]]/$B$2*100</f>
        <v>73.199195171026162</v>
      </c>
    </row>
    <row r="1004" spans="1:12">
      <c r="A1004" s="96">
        <v>44740</v>
      </c>
      <c r="B1004" s="101">
        <v>35.32</v>
      </c>
      <c r="C1004" s="4">
        <f t="shared" si="30"/>
        <v>-2.9569797354217029E-2</v>
      </c>
      <c r="D1004" s="1">
        <f>IFERROR(Comp2[[#This Row],[Comparable '#2 Return]]+1,"-")</f>
        <v>0.97043020264578295</v>
      </c>
      <c r="E1004" s="6">
        <f>B1004-MAX($B$2:B1004)</f>
        <v>-22.839999999999996</v>
      </c>
      <c r="F1004" s="80">
        <f t="shared" si="31"/>
        <v>911</v>
      </c>
      <c r="G1004" s="77">
        <f>Comp2[[#This Row],[Comparable '#2 Drawdown]]/MAX($B$2:B1004)</f>
        <v>-0.39270976616231085</v>
      </c>
      <c r="H1004" s="1" t="str">
        <f>IF(SUM(COUNTIF(Benchmark1[Benchmark '#1 Dates],Comp2[[#This Row],[Comparable '#2 Dates]]),COUNTIF(Benchmark2[Benchmark '#2 Dates],Comp2[[#This Row],[Comparable '#2 Dates]]))=2,"Pass","Fail")</f>
        <v>Pass</v>
      </c>
      <c r="I1004" s="1">
        <f>IFERROR(Comp2[[#This Row],[Comparable '#2 Return]]-INDEX(Benchmark1[Benchmark '#1 Return],MATCH(Comp2[[#This Row],[Comparable '#2 Dates]],Benchmark1[Benchmark '#1 Dates],0)),"-")</f>
        <v>-9.2189962747844419E-3</v>
      </c>
      <c r="L1004" s="72">
        <f>Comp2[[#This Row],[Comparable '#2 Price]]/$B$2*100</f>
        <v>71.066398390342044</v>
      </c>
    </row>
    <row r="1005" spans="1:12">
      <c r="A1005" s="96">
        <v>44741</v>
      </c>
      <c r="B1005" s="101">
        <v>35.659999999999997</v>
      </c>
      <c r="C1005" s="4">
        <f t="shared" si="30"/>
        <v>9.5802366992350906E-3</v>
      </c>
      <c r="D1005" s="1">
        <f>IFERROR(Comp2[[#This Row],[Comparable '#2 Return]]+1,"-")</f>
        <v>1.009580236699235</v>
      </c>
      <c r="E1005" s="6">
        <f>B1005-MAX($B$2:B1005)</f>
        <v>-22.5</v>
      </c>
      <c r="F1005" s="80">
        <f t="shared" si="31"/>
        <v>912</v>
      </c>
      <c r="G1005" s="77">
        <f>Comp2[[#This Row],[Comparable '#2 Drawdown]]/MAX($B$2:B1005)</f>
        <v>-0.38686382393397528</v>
      </c>
      <c r="H1005" s="1" t="str">
        <f>IF(SUM(COUNTIF(Benchmark1[Benchmark '#1 Dates],Comp2[[#This Row],[Comparable '#2 Dates]]),COUNTIF(Benchmark2[Benchmark '#2 Dates],Comp2[[#This Row],[Comparable '#2 Dates]]))=2,"Pass","Fail")</f>
        <v>Pass</v>
      </c>
      <c r="I1005" s="1">
        <f>IFERROR(Comp2[[#This Row],[Comparable '#2 Return]]-INDEX(Benchmark1[Benchmark '#1 Return],MATCH(Comp2[[#This Row],[Comparable '#2 Dates]],Benchmark1[Benchmark '#1 Dates],0)),"-")</f>
        <v>1.0290447610705302E-2</v>
      </c>
      <c r="L1005" s="72">
        <f>Comp2[[#This Row],[Comparable '#2 Price]]/$B$2*100</f>
        <v>71.750503018108631</v>
      </c>
    </row>
    <row r="1006" spans="1:12">
      <c r="A1006" s="96">
        <v>44742</v>
      </c>
      <c r="B1006" s="101">
        <v>35.97</v>
      </c>
      <c r="C1006" s="4">
        <f t="shared" si="30"/>
        <v>8.6556452725383461E-3</v>
      </c>
      <c r="D1006" s="1">
        <f>IFERROR(Comp2[[#This Row],[Comparable '#2 Return]]+1,"-")</f>
        <v>1.0086556452725384</v>
      </c>
      <c r="E1006" s="6">
        <f>B1006-MAX($B$2:B1006)</f>
        <v>-22.189999999999998</v>
      </c>
      <c r="F1006" s="80">
        <f t="shared" si="31"/>
        <v>913</v>
      </c>
      <c r="G1006" s="77">
        <f>Comp2[[#This Row],[Comparable '#2 Drawdown]]/MAX($B$2:B1006)</f>
        <v>-0.38153370013755156</v>
      </c>
      <c r="H1006" s="1" t="str">
        <f>IF(SUM(COUNTIF(Benchmark1[Benchmark '#1 Dates],Comp2[[#This Row],[Comparable '#2 Dates]]),COUNTIF(Benchmark2[Benchmark '#2 Dates],Comp2[[#This Row],[Comparable '#2 Dates]]))=2,"Pass","Fail")</f>
        <v>Pass</v>
      </c>
      <c r="I1006" s="1">
        <f>IFERROR(Comp2[[#This Row],[Comparable '#2 Return]]-INDEX(Benchmark1[Benchmark '#1 Return],MATCH(Comp2[[#This Row],[Comparable '#2 Dates]],Benchmark1[Benchmark '#1 Dates],0)),"-")</f>
        <v>1.7452892025260364E-2</v>
      </c>
      <c r="L1006" s="72">
        <f>Comp2[[#This Row],[Comparable '#2 Price]]/$B$2*100</f>
        <v>72.374245472837018</v>
      </c>
    </row>
    <row r="1007" spans="1:12">
      <c r="A1007" s="96">
        <v>44743</v>
      </c>
      <c r="B1007" s="101">
        <v>36.520000000000003</v>
      </c>
      <c r="C1007" s="4">
        <f t="shared" si="30"/>
        <v>1.5174798019235353E-2</v>
      </c>
      <c r="D1007" s="1">
        <f>IFERROR(Comp2[[#This Row],[Comparable '#2 Return]]+1,"-")</f>
        <v>1.0151747980192354</v>
      </c>
      <c r="E1007" s="6">
        <f>B1007-MAX($B$2:B1007)</f>
        <v>-21.639999999999993</v>
      </c>
      <c r="F1007" s="80">
        <f t="shared" si="31"/>
        <v>914</v>
      </c>
      <c r="G1007" s="77">
        <f>Comp2[[#This Row],[Comparable '#2 Drawdown]]/MAX($B$2:B1007)</f>
        <v>-0.37207702888583211</v>
      </c>
      <c r="H1007" s="1" t="str">
        <f>IF(SUM(COUNTIF(Benchmark1[Benchmark '#1 Dates],Comp2[[#This Row],[Comparable '#2 Dates]]),COUNTIF(Benchmark2[Benchmark '#2 Dates],Comp2[[#This Row],[Comparable '#2 Dates]]))=2,"Pass","Fail")</f>
        <v>Pass</v>
      </c>
      <c r="I1007" s="1">
        <f>IFERROR(Comp2[[#This Row],[Comparable '#2 Return]]-INDEX(Benchmark1[Benchmark '#1 Return],MATCH(Comp2[[#This Row],[Comparable '#2 Dates]],Benchmark1[Benchmark '#1 Dates],0)),"-")</f>
        <v>4.6786363905356732E-3</v>
      </c>
      <c r="L1007" s="72">
        <f>Comp2[[#This Row],[Comparable '#2 Price]]/$B$2*100</f>
        <v>73.480885311871219</v>
      </c>
    </row>
    <row r="1008" spans="1:12">
      <c r="A1008" s="96">
        <v>44747</v>
      </c>
      <c r="B1008" s="101">
        <v>37.450000000000003</v>
      </c>
      <c r="C1008" s="4">
        <f t="shared" si="30"/>
        <v>2.514665423646072E-2</v>
      </c>
      <c r="D1008" s="1">
        <f>IFERROR(Comp2[[#This Row],[Comparable '#2 Return]]+1,"-")</f>
        <v>1.0251466542364607</v>
      </c>
      <c r="E1008" s="6">
        <f>B1008-MAX($B$2:B1008)</f>
        <v>-20.709999999999994</v>
      </c>
      <c r="F1008" s="80">
        <f t="shared" si="31"/>
        <v>915</v>
      </c>
      <c r="G1008" s="77">
        <f>Comp2[[#This Row],[Comparable '#2 Drawdown]]/MAX($B$2:B1008)</f>
        <v>-0.3560866574965611</v>
      </c>
      <c r="H1008" s="1" t="str">
        <f>IF(SUM(COUNTIF(Benchmark1[Benchmark '#1 Dates],Comp2[[#This Row],[Comparable '#2 Dates]]),COUNTIF(Benchmark2[Benchmark '#2 Dates],Comp2[[#This Row],[Comparable '#2 Dates]]))=2,"Pass","Fail")</f>
        <v>Pass</v>
      </c>
      <c r="I1008" s="1">
        <f>IFERROR(Comp2[[#This Row],[Comparable '#2 Return]]-INDEX(Benchmark1[Benchmark '#1 Return],MATCH(Comp2[[#This Row],[Comparable '#2 Dates]],Benchmark1[Benchmark '#1 Dates],0)),"-")</f>
        <v>2.3562607742358493E-2</v>
      </c>
      <c r="L1008" s="72">
        <f>Comp2[[#This Row],[Comparable '#2 Price]]/$B$2*100</f>
        <v>75.352112676056336</v>
      </c>
    </row>
    <row r="1009" spans="1:12">
      <c r="A1009" s="96">
        <v>44748</v>
      </c>
      <c r="B1009" s="101">
        <v>36.83</v>
      </c>
      <c r="C1009" s="4">
        <f t="shared" si="30"/>
        <v>-1.669397950625464E-2</v>
      </c>
      <c r="D1009" s="1">
        <f>IFERROR(Comp2[[#This Row],[Comparable '#2 Return]]+1,"-")</f>
        <v>0.98330602049374538</v>
      </c>
      <c r="E1009" s="6">
        <f>B1009-MAX($B$2:B1009)</f>
        <v>-21.33</v>
      </c>
      <c r="F1009" s="80">
        <f t="shared" si="31"/>
        <v>916</v>
      </c>
      <c r="G1009" s="77">
        <f>Comp2[[#This Row],[Comparable '#2 Drawdown]]/MAX($B$2:B1009)</f>
        <v>-0.36674690508940855</v>
      </c>
      <c r="H1009" s="1" t="str">
        <f>IF(SUM(COUNTIF(Benchmark1[Benchmark '#1 Dates],Comp2[[#This Row],[Comparable '#2 Dates]]),COUNTIF(Benchmark2[Benchmark '#2 Dates],Comp2[[#This Row],[Comparable '#2 Dates]]))=2,"Pass","Fail")</f>
        <v>Pass</v>
      </c>
      <c r="I1009" s="1">
        <f>IFERROR(Comp2[[#This Row],[Comparable '#2 Return]]-INDEX(Benchmark1[Benchmark '#1 Return],MATCH(Comp2[[#This Row],[Comparable '#2 Dates]],Benchmark1[Benchmark '#1 Dates],0)),"-")</f>
        <v>-2.0260940187210159E-2</v>
      </c>
      <c r="L1009" s="72">
        <f>Comp2[[#This Row],[Comparable '#2 Price]]/$B$2*100</f>
        <v>74.104627766599577</v>
      </c>
    </row>
    <row r="1010" spans="1:12">
      <c r="A1010" s="96">
        <v>44749</v>
      </c>
      <c r="B1010" s="101">
        <v>36.94</v>
      </c>
      <c r="C1010" s="4">
        <f t="shared" si="30"/>
        <v>2.9822443141198736E-3</v>
      </c>
      <c r="D1010" s="1">
        <f>IFERROR(Comp2[[#This Row],[Comparable '#2 Return]]+1,"-")</f>
        <v>1.0029822443141199</v>
      </c>
      <c r="E1010" s="6">
        <f>B1010-MAX($B$2:B1010)</f>
        <v>-21.22</v>
      </c>
      <c r="F1010" s="80">
        <f t="shared" si="31"/>
        <v>917</v>
      </c>
      <c r="G1010" s="77">
        <f>Comp2[[#This Row],[Comparable '#2 Drawdown]]/MAX($B$2:B1010)</f>
        <v>-0.36485557083906467</v>
      </c>
      <c r="H1010" s="1" t="str">
        <f>IF(SUM(COUNTIF(Benchmark1[Benchmark '#1 Dates],Comp2[[#This Row],[Comparable '#2 Dates]]),COUNTIF(Benchmark2[Benchmark '#2 Dates],Comp2[[#This Row],[Comparable '#2 Dates]]))=2,"Pass","Fail")</f>
        <v>Pass</v>
      </c>
      <c r="I1010" s="1">
        <f>IFERROR(Comp2[[#This Row],[Comparable '#2 Return]]-INDEX(Benchmark1[Benchmark '#1 Return],MATCH(Comp2[[#This Row],[Comparable '#2 Dates]],Benchmark1[Benchmark '#1 Dates],0)),"-")</f>
        <v>-1.1871790317993489E-2</v>
      </c>
      <c r="L1010" s="72">
        <f>Comp2[[#This Row],[Comparable '#2 Price]]/$B$2*100</f>
        <v>74.325955734406435</v>
      </c>
    </row>
    <row r="1011" spans="1:12">
      <c r="A1011" s="96">
        <v>44750</v>
      </c>
      <c r="B1011" s="101">
        <v>38.119999999999997</v>
      </c>
      <c r="C1011" s="4">
        <f t="shared" si="30"/>
        <v>3.1444104014907479E-2</v>
      </c>
      <c r="D1011" s="1">
        <f>IFERROR(Comp2[[#This Row],[Comparable '#2 Return]]+1,"-")</f>
        <v>1.0314441040149074</v>
      </c>
      <c r="E1011" s="6">
        <f>B1011-MAX($B$2:B1011)</f>
        <v>-20.04</v>
      </c>
      <c r="F1011" s="80">
        <f t="shared" si="31"/>
        <v>918</v>
      </c>
      <c r="G1011" s="77">
        <f>Comp2[[#This Row],[Comparable '#2 Drawdown]]/MAX($B$2:B1011)</f>
        <v>-0.34456671251719395</v>
      </c>
      <c r="H1011" s="1" t="str">
        <f>IF(SUM(COUNTIF(Benchmark1[Benchmark '#1 Dates],Comp2[[#This Row],[Comparable '#2 Dates]]),COUNTIF(Benchmark2[Benchmark '#2 Dates],Comp2[[#This Row],[Comparable '#2 Dates]]))=2,"Pass","Fail")</f>
        <v>Pass</v>
      </c>
      <c r="I1011" s="1">
        <f>IFERROR(Comp2[[#This Row],[Comparable '#2 Return]]-INDEX(Benchmark1[Benchmark '#1 Return],MATCH(Comp2[[#This Row],[Comparable '#2 Dates]],Benchmark1[Benchmark '#1 Dates],0)),"-")</f>
        <v>3.2276031135045138E-2</v>
      </c>
      <c r="L1011" s="72">
        <f>Comp2[[#This Row],[Comparable '#2 Price]]/$B$2*100</f>
        <v>76.700201207243452</v>
      </c>
    </row>
    <row r="1012" spans="1:12">
      <c r="A1012" s="96">
        <v>44753</v>
      </c>
      <c r="B1012" s="101">
        <v>36.93</v>
      </c>
      <c r="C1012" s="4">
        <f t="shared" si="30"/>
        <v>-3.1714849921529509E-2</v>
      </c>
      <c r="D1012" s="1">
        <f>IFERROR(Comp2[[#This Row],[Comparable '#2 Return]]+1,"-")</f>
        <v>0.96828515007847049</v>
      </c>
      <c r="E1012" s="6">
        <f>B1012-MAX($B$2:B1012)</f>
        <v>-21.229999999999997</v>
      </c>
      <c r="F1012" s="80">
        <f t="shared" si="31"/>
        <v>919</v>
      </c>
      <c r="G1012" s="77">
        <f>Comp2[[#This Row],[Comparable '#2 Drawdown]]/MAX($B$2:B1012)</f>
        <v>-0.3650275103163686</v>
      </c>
      <c r="H1012" s="1" t="str">
        <f>IF(SUM(COUNTIF(Benchmark1[Benchmark '#1 Dates],Comp2[[#This Row],[Comparable '#2 Dates]]),COUNTIF(Benchmark2[Benchmark '#2 Dates],Comp2[[#This Row],[Comparable '#2 Dates]]))=2,"Pass","Fail")</f>
        <v>Pass</v>
      </c>
      <c r="I1012" s="1">
        <f>IFERROR(Comp2[[#This Row],[Comparable '#2 Return]]-INDEX(Benchmark1[Benchmark '#1 Return],MATCH(Comp2[[#This Row],[Comparable '#2 Dates]],Benchmark1[Benchmark '#1 Dates],0)),"-")</f>
        <v>-2.0121998069359645E-2</v>
      </c>
      <c r="L1012" s="72">
        <f>Comp2[[#This Row],[Comparable '#2 Price]]/$B$2*100</f>
        <v>74.305835010060363</v>
      </c>
    </row>
    <row r="1013" spans="1:12">
      <c r="A1013" s="96">
        <v>44754</v>
      </c>
      <c r="B1013" s="101">
        <v>37</v>
      </c>
      <c r="C1013" s="4">
        <f t="shared" si="30"/>
        <v>1.8936837797526268E-3</v>
      </c>
      <c r="D1013" s="1">
        <f>IFERROR(Comp2[[#This Row],[Comparable '#2 Return]]+1,"-")</f>
        <v>1.0018936837797525</v>
      </c>
      <c r="E1013" s="6">
        <f>B1013-MAX($B$2:B1013)</f>
        <v>-21.159999999999997</v>
      </c>
      <c r="F1013" s="80">
        <f t="shared" si="31"/>
        <v>920</v>
      </c>
      <c r="G1013" s="77">
        <f>Comp2[[#This Row],[Comparable '#2 Drawdown]]/MAX($B$2:B1013)</f>
        <v>-0.36382393397524065</v>
      </c>
      <c r="H1013" s="1" t="str">
        <f>IF(SUM(COUNTIF(Benchmark1[Benchmark '#1 Dates],Comp2[[#This Row],[Comparable '#2 Dates]]),COUNTIF(Benchmark2[Benchmark '#2 Dates],Comp2[[#This Row],[Comparable '#2 Dates]]))=2,"Pass","Fail")</f>
        <v>Pass</v>
      </c>
      <c r="I1013" s="1">
        <f>IFERROR(Comp2[[#This Row],[Comparable '#2 Return]]-INDEX(Benchmark1[Benchmark '#1 Return],MATCH(Comp2[[#This Row],[Comparable '#2 Dates]],Benchmark1[Benchmark '#1 Dates],0)),"-")</f>
        <v>1.1182009886186195E-2</v>
      </c>
      <c r="L1013" s="72">
        <f>Comp2[[#This Row],[Comparable '#2 Price]]/$B$2*100</f>
        <v>74.446680080482892</v>
      </c>
    </row>
    <row r="1014" spans="1:12">
      <c r="A1014" s="96">
        <v>44755</v>
      </c>
      <c r="B1014" s="101">
        <v>37.68</v>
      </c>
      <c r="C1014" s="4">
        <f t="shared" si="30"/>
        <v>1.82115370639379E-2</v>
      </c>
      <c r="D1014" s="1">
        <f>IFERROR(Comp2[[#This Row],[Comparable '#2 Return]]+1,"-")</f>
        <v>1.018211537063938</v>
      </c>
      <c r="E1014" s="6">
        <f>B1014-MAX($B$2:B1014)</f>
        <v>-20.479999999999997</v>
      </c>
      <c r="F1014" s="80">
        <f t="shared" si="31"/>
        <v>921</v>
      </c>
      <c r="G1014" s="77">
        <f>Comp2[[#This Row],[Comparable '#2 Drawdown]]/MAX($B$2:B1014)</f>
        <v>-0.35213204951856941</v>
      </c>
      <c r="H1014" s="1" t="str">
        <f>IF(SUM(COUNTIF(Benchmark1[Benchmark '#1 Dates],Comp2[[#This Row],[Comparable '#2 Dates]]),COUNTIF(Benchmark2[Benchmark '#2 Dates],Comp2[[#This Row],[Comparable '#2 Dates]]))=2,"Pass","Fail")</f>
        <v>Pass</v>
      </c>
      <c r="I1014" s="1">
        <f>IFERROR(Comp2[[#This Row],[Comparable '#2 Return]]-INDEX(Benchmark1[Benchmark '#1 Return],MATCH(Comp2[[#This Row],[Comparable '#2 Dates]],Benchmark1[Benchmark '#1 Dates],0)),"-")</f>
        <v>2.2677650579249187E-2</v>
      </c>
      <c r="L1014" s="72">
        <f>Comp2[[#This Row],[Comparable '#2 Price]]/$B$2*100</f>
        <v>75.814889336016094</v>
      </c>
    </row>
    <row r="1015" spans="1:12">
      <c r="A1015" s="96">
        <v>44756</v>
      </c>
      <c r="B1015" s="101">
        <v>37.22</v>
      </c>
      <c r="C1015" s="4">
        <f t="shared" si="30"/>
        <v>-1.2283198494057663E-2</v>
      </c>
      <c r="D1015" s="1">
        <f>IFERROR(Comp2[[#This Row],[Comparable '#2 Return]]+1,"-")</f>
        <v>0.98771680150594232</v>
      </c>
      <c r="E1015" s="6">
        <f>B1015-MAX($B$2:B1015)</f>
        <v>-20.939999999999998</v>
      </c>
      <c r="F1015" s="80">
        <f t="shared" si="31"/>
        <v>922</v>
      </c>
      <c r="G1015" s="77">
        <f>Comp2[[#This Row],[Comparable '#2 Drawdown]]/MAX($B$2:B1015)</f>
        <v>-0.36004126547455295</v>
      </c>
      <c r="H1015" s="1" t="str">
        <f>IF(SUM(COUNTIF(Benchmark1[Benchmark '#1 Dates],Comp2[[#This Row],[Comparable '#2 Dates]]),COUNTIF(Benchmark2[Benchmark '#2 Dates],Comp2[[#This Row],[Comparable '#2 Dates]]))=2,"Pass","Fail")</f>
        <v>Pass</v>
      </c>
      <c r="I1015" s="1">
        <f>IFERROR(Comp2[[#This Row],[Comparable '#2 Return]]-INDEX(Benchmark1[Benchmark '#1 Return],MATCH(Comp2[[#This Row],[Comparable '#2 Dates]],Benchmark1[Benchmark '#1 Dates],0)),"-")</f>
        <v>-9.279242619608153E-3</v>
      </c>
      <c r="L1015" s="72">
        <f>Comp2[[#This Row],[Comparable '#2 Price]]/$B$2*100</f>
        <v>74.889336016096578</v>
      </c>
    </row>
    <row r="1016" spans="1:12">
      <c r="A1016" s="96">
        <v>44757</v>
      </c>
      <c r="B1016" s="101">
        <v>38.6</v>
      </c>
      <c r="C1016" s="4">
        <f t="shared" si="30"/>
        <v>3.6406025256680442E-2</v>
      </c>
      <c r="D1016" s="1">
        <f>IFERROR(Comp2[[#This Row],[Comparable '#2 Return]]+1,"-")</f>
        <v>1.0364060252566805</v>
      </c>
      <c r="E1016" s="6">
        <f>B1016-MAX($B$2:B1016)</f>
        <v>-19.559999999999995</v>
      </c>
      <c r="F1016" s="80">
        <f t="shared" si="31"/>
        <v>923</v>
      </c>
      <c r="G1016" s="77">
        <f>Comp2[[#This Row],[Comparable '#2 Drawdown]]/MAX($B$2:B1016)</f>
        <v>-0.33631361760660239</v>
      </c>
      <c r="H1016" s="1" t="str">
        <f>IF(SUM(COUNTIF(Benchmark1[Benchmark '#1 Dates],Comp2[[#This Row],[Comparable '#2 Dates]]),COUNTIF(Benchmark2[Benchmark '#2 Dates],Comp2[[#This Row],[Comparable '#2 Dates]]))=2,"Pass","Fail")</f>
        <v>Pass</v>
      </c>
      <c r="I1016" s="1">
        <f>IFERROR(Comp2[[#This Row],[Comparable '#2 Return]]-INDEX(Benchmark1[Benchmark '#1 Return],MATCH(Comp2[[#This Row],[Comparable '#2 Dates]],Benchmark1[Benchmark '#1 Dates],0)),"-")</f>
        <v>1.7385379315607418E-2</v>
      </c>
      <c r="L1016" s="72">
        <f>Comp2[[#This Row],[Comparable '#2 Price]]/$B$2*100</f>
        <v>77.665995975855125</v>
      </c>
    </row>
    <row r="1017" spans="1:12">
      <c r="A1017" s="96">
        <v>44760</v>
      </c>
      <c r="B1017" s="101">
        <v>38.770000000000003</v>
      </c>
      <c r="C1017" s="4">
        <f t="shared" si="30"/>
        <v>4.3944752120527297E-3</v>
      </c>
      <c r="D1017" s="1">
        <f>IFERROR(Comp2[[#This Row],[Comparable '#2 Return]]+1,"-")</f>
        <v>1.0043944752120528</v>
      </c>
      <c r="E1017" s="6">
        <f>B1017-MAX($B$2:B1017)</f>
        <v>-19.389999999999993</v>
      </c>
      <c r="F1017" s="80">
        <f t="shared" si="31"/>
        <v>924</v>
      </c>
      <c r="G1017" s="77">
        <f>Comp2[[#This Row],[Comparable '#2 Drawdown]]/MAX($B$2:B1017)</f>
        <v>-0.33339064649243455</v>
      </c>
      <c r="H1017" s="1" t="str">
        <f>IF(SUM(COUNTIF(Benchmark1[Benchmark '#1 Dates],Comp2[[#This Row],[Comparable '#2 Dates]]),COUNTIF(Benchmark2[Benchmark '#2 Dates],Comp2[[#This Row],[Comparable '#2 Dates]]))=2,"Pass","Fail")</f>
        <v>Pass</v>
      </c>
      <c r="I1017" s="1">
        <f>IFERROR(Comp2[[#This Row],[Comparable '#2 Return]]-INDEX(Benchmark1[Benchmark '#1 Return],MATCH(Comp2[[#This Row],[Comparable '#2 Dates]],Benchmark1[Benchmark '#1 Dates],0)),"-")</f>
        <v>1.2793253415309928E-2</v>
      </c>
      <c r="L1017" s="72">
        <f>Comp2[[#This Row],[Comparable '#2 Price]]/$B$2*100</f>
        <v>78.008048289738426</v>
      </c>
    </row>
    <row r="1018" spans="1:12">
      <c r="A1018" s="96">
        <v>44761</v>
      </c>
      <c r="B1018" s="101">
        <v>39.630000000000003</v>
      </c>
      <c r="C1018" s="4">
        <f t="shared" si="30"/>
        <v>2.193965551950576E-2</v>
      </c>
      <c r="D1018" s="1">
        <f>IFERROR(Comp2[[#This Row],[Comparable '#2 Return]]+1,"-")</f>
        <v>1.0219396555195057</v>
      </c>
      <c r="E1018" s="6">
        <f>B1018-MAX($B$2:B1018)</f>
        <v>-18.529999999999994</v>
      </c>
      <c r="F1018" s="80">
        <f t="shared" si="31"/>
        <v>925</v>
      </c>
      <c r="G1018" s="77">
        <f>Comp2[[#This Row],[Comparable '#2 Drawdown]]/MAX($B$2:B1018)</f>
        <v>-0.31860385144429154</v>
      </c>
      <c r="H1018" s="1" t="str">
        <f>IF(SUM(COUNTIF(Benchmark1[Benchmark '#1 Dates],Comp2[[#This Row],[Comparable '#2 Dates]]),COUNTIF(Benchmark2[Benchmark '#2 Dates],Comp2[[#This Row],[Comparable '#2 Dates]]))=2,"Pass","Fail")</f>
        <v>Pass</v>
      </c>
      <c r="I1018" s="1">
        <f>IFERROR(Comp2[[#This Row],[Comparable '#2 Return]]-INDEX(Benchmark1[Benchmark '#1 Return],MATCH(Comp2[[#This Row],[Comparable '#2 Dates]],Benchmark1[Benchmark '#1 Dates],0)),"-")</f>
        <v>-5.3130387320382763E-3</v>
      </c>
      <c r="L1018" s="72">
        <f>Comp2[[#This Row],[Comparable '#2 Price]]/$B$2*100</f>
        <v>79.738430583501014</v>
      </c>
    </row>
    <row r="1019" spans="1:12">
      <c r="A1019" s="96">
        <v>44762</v>
      </c>
      <c r="B1019" s="101">
        <v>39.65</v>
      </c>
      <c r="C1019" s="4">
        <f t="shared" si="30"/>
        <v>5.0454087851321567E-4</v>
      </c>
      <c r="D1019" s="1">
        <f>IFERROR(Comp2[[#This Row],[Comparable '#2 Return]]+1,"-")</f>
        <v>1.0005045408785131</v>
      </c>
      <c r="E1019" s="6">
        <f>B1019-MAX($B$2:B1019)</f>
        <v>-18.509999999999998</v>
      </c>
      <c r="F1019" s="80">
        <f t="shared" si="31"/>
        <v>926</v>
      </c>
      <c r="G1019" s="77">
        <f>Comp2[[#This Row],[Comparable '#2 Drawdown]]/MAX($B$2:B1019)</f>
        <v>-0.31825997248968363</v>
      </c>
      <c r="H1019" s="1" t="str">
        <f>IF(SUM(COUNTIF(Benchmark1[Benchmark '#1 Dates],Comp2[[#This Row],[Comparable '#2 Dates]]),COUNTIF(Benchmark2[Benchmark '#2 Dates],Comp2[[#This Row],[Comparable '#2 Dates]]))=2,"Pass","Fail")</f>
        <v>Pass</v>
      </c>
      <c r="I1019" s="1">
        <f>IFERROR(Comp2[[#This Row],[Comparable '#2 Return]]-INDEX(Benchmark1[Benchmark '#1 Return],MATCH(Comp2[[#This Row],[Comparable '#2 Dates]],Benchmark1[Benchmark '#1 Dates],0)),"-")</f>
        <v>-5.373759083309588E-3</v>
      </c>
      <c r="L1019" s="72">
        <f>Comp2[[#This Row],[Comparable '#2 Price]]/$B$2*100</f>
        <v>79.778672032193157</v>
      </c>
    </row>
    <row r="1020" spans="1:12">
      <c r="A1020" s="96">
        <v>44763</v>
      </c>
      <c r="B1020" s="101">
        <v>39.08</v>
      </c>
      <c r="C1020" s="4">
        <f t="shared" si="30"/>
        <v>-1.4480120906274983E-2</v>
      </c>
      <c r="D1020" s="1">
        <f>IFERROR(Comp2[[#This Row],[Comparable '#2 Return]]+1,"-")</f>
        <v>0.98551987909372507</v>
      </c>
      <c r="E1020" s="6">
        <f>B1020-MAX($B$2:B1020)</f>
        <v>-19.079999999999998</v>
      </c>
      <c r="F1020" s="80">
        <f t="shared" si="31"/>
        <v>927</v>
      </c>
      <c r="G1020" s="77">
        <f>Comp2[[#This Row],[Comparable '#2 Drawdown]]/MAX($B$2:B1020)</f>
        <v>-0.32806052269601099</v>
      </c>
      <c r="H1020" s="1" t="str">
        <f>IF(SUM(COUNTIF(Benchmark1[Benchmark '#1 Dates],Comp2[[#This Row],[Comparable '#2 Dates]]),COUNTIF(Benchmark2[Benchmark '#2 Dates],Comp2[[#This Row],[Comparable '#2 Dates]]))=2,"Pass","Fail")</f>
        <v>Pass</v>
      </c>
      <c r="I1020" s="1">
        <f>IFERROR(Comp2[[#This Row],[Comparable '#2 Return]]-INDEX(Benchmark1[Benchmark '#1 Return],MATCH(Comp2[[#This Row],[Comparable '#2 Dates]],Benchmark1[Benchmark '#1 Dates],0)),"-")</f>
        <v>-2.4293853380851424E-2</v>
      </c>
      <c r="L1020" s="72">
        <f>Comp2[[#This Row],[Comparable '#2 Price]]/$B$2*100</f>
        <v>78.631790744466784</v>
      </c>
    </row>
    <row r="1021" spans="1:12">
      <c r="A1021" s="96">
        <v>44764</v>
      </c>
      <c r="B1021" s="101">
        <v>39.11</v>
      </c>
      <c r="C1021" s="4">
        <f t="shared" si="30"/>
        <v>7.6736159284067915E-4</v>
      </c>
      <c r="D1021" s="1">
        <f>IFERROR(Comp2[[#This Row],[Comparable '#2 Return]]+1,"-")</f>
        <v>1.0007673615928407</v>
      </c>
      <c r="E1021" s="6">
        <f>B1021-MAX($B$2:B1021)</f>
        <v>-19.049999999999997</v>
      </c>
      <c r="F1021" s="80">
        <f t="shared" si="31"/>
        <v>928</v>
      </c>
      <c r="G1021" s="77">
        <f>Comp2[[#This Row],[Comparable '#2 Drawdown]]/MAX($B$2:B1021)</f>
        <v>-0.32754470426409898</v>
      </c>
      <c r="H1021" s="1" t="str">
        <f>IF(SUM(COUNTIF(Benchmark1[Benchmark '#1 Dates],Comp2[[#This Row],[Comparable '#2 Dates]]),COUNTIF(Benchmark2[Benchmark '#2 Dates],Comp2[[#This Row],[Comparable '#2 Dates]]))=2,"Pass","Fail")</f>
        <v>Pass</v>
      </c>
      <c r="I1021" s="1">
        <f>IFERROR(Comp2[[#This Row],[Comparable '#2 Return]]-INDEX(Benchmark1[Benchmark '#1 Return],MATCH(Comp2[[#This Row],[Comparable '#2 Dates]],Benchmark1[Benchmark '#1 Dates],0)),"-")</f>
        <v>1.0142754440133886E-2</v>
      </c>
      <c r="L1021" s="72">
        <f>Comp2[[#This Row],[Comparable '#2 Price]]/$B$2*100</f>
        <v>78.692152917505027</v>
      </c>
    </row>
    <row r="1022" spans="1:12">
      <c r="A1022" s="96">
        <v>44767</v>
      </c>
      <c r="B1022" s="101">
        <v>39.19</v>
      </c>
      <c r="C1022" s="4">
        <f t="shared" si="30"/>
        <v>2.0434234441172386E-3</v>
      </c>
      <c r="D1022" s="1">
        <f>IFERROR(Comp2[[#This Row],[Comparable '#2 Return]]+1,"-")</f>
        <v>1.0020434234441173</v>
      </c>
      <c r="E1022" s="6">
        <f>B1022-MAX($B$2:B1022)</f>
        <v>-18.97</v>
      </c>
      <c r="F1022" s="80">
        <f t="shared" si="31"/>
        <v>929</v>
      </c>
      <c r="G1022" s="77">
        <f>Comp2[[#This Row],[Comparable '#2 Drawdown]]/MAX($B$2:B1022)</f>
        <v>-0.32616918844566711</v>
      </c>
      <c r="H1022" s="1" t="str">
        <f>IF(SUM(COUNTIF(Benchmark1[Benchmark '#1 Dates],Comp2[[#This Row],[Comparable '#2 Dates]]),COUNTIF(Benchmark2[Benchmark '#2 Dates],Comp2[[#This Row],[Comparable '#2 Dates]]))=2,"Pass","Fail")</f>
        <v>Pass</v>
      </c>
      <c r="I1022" s="1">
        <f>IFERROR(Comp2[[#This Row],[Comparable '#2 Return]]-INDEX(Benchmark1[Benchmark '#1 Return],MATCH(Comp2[[#This Row],[Comparable '#2 Dates]],Benchmark1[Benchmark '#1 Dates],0)),"-")</f>
        <v>7.2914796202215668E-4</v>
      </c>
      <c r="L1022" s="72">
        <f>Comp2[[#This Row],[Comparable '#2 Price]]/$B$2*100</f>
        <v>78.853118712273627</v>
      </c>
    </row>
    <row r="1023" spans="1:12">
      <c r="A1023" s="96">
        <v>44768</v>
      </c>
      <c r="B1023" s="101">
        <v>39.76</v>
      </c>
      <c r="C1023" s="4">
        <f t="shared" si="30"/>
        <v>1.4439769576833171E-2</v>
      </c>
      <c r="D1023" s="1">
        <f>IFERROR(Comp2[[#This Row],[Comparable '#2 Return]]+1,"-")</f>
        <v>1.0144397695768332</v>
      </c>
      <c r="E1023" s="6">
        <f>B1023-MAX($B$2:B1023)</f>
        <v>-18.399999999999999</v>
      </c>
      <c r="F1023" s="80">
        <f t="shared" si="31"/>
        <v>930</v>
      </c>
      <c r="G1023" s="77">
        <f>Comp2[[#This Row],[Comparable '#2 Drawdown]]/MAX($B$2:B1023)</f>
        <v>-0.31636863823933975</v>
      </c>
      <c r="H1023" s="1" t="str">
        <f>IF(SUM(COUNTIF(Benchmark1[Benchmark '#1 Dates],Comp2[[#This Row],[Comparable '#2 Dates]]),COUNTIF(Benchmark2[Benchmark '#2 Dates],Comp2[[#This Row],[Comparable '#2 Dates]]))=2,"Pass","Fail")</f>
        <v>Pass</v>
      </c>
      <c r="I1023" s="1">
        <f>IFERROR(Comp2[[#This Row],[Comparable '#2 Return]]-INDEX(Benchmark1[Benchmark '#1 Return],MATCH(Comp2[[#This Row],[Comparable '#2 Dates]],Benchmark1[Benchmark '#1 Dates],0)),"-")</f>
        <v>2.6051457928777805E-2</v>
      </c>
      <c r="L1023" s="72">
        <f>Comp2[[#This Row],[Comparable '#2 Price]]/$B$2*100</f>
        <v>80</v>
      </c>
    </row>
    <row r="1024" spans="1:12">
      <c r="A1024" s="96">
        <v>44769</v>
      </c>
      <c r="B1024" s="101">
        <v>40.22</v>
      </c>
      <c r="C1024" s="4">
        <f t="shared" si="30"/>
        <v>1.150300255613264E-2</v>
      </c>
      <c r="D1024" s="1">
        <f>IFERROR(Comp2[[#This Row],[Comparable '#2 Return]]+1,"-")</f>
        <v>1.0115030025561327</v>
      </c>
      <c r="E1024" s="6">
        <f>B1024-MAX($B$2:B1024)</f>
        <v>-17.939999999999998</v>
      </c>
      <c r="F1024" s="80">
        <f t="shared" si="31"/>
        <v>931</v>
      </c>
      <c r="G1024" s="77">
        <f>Comp2[[#This Row],[Comparable '#2 Drawdown]]/MAX($B$2:B1024)</f>
        <v>-0.30845942228335621</v>
      </c>
      <c r="H1024" s="1" t="str">
        <f>IF(SUM(COUNTIF(Benchmark1[Benchmark '#1 Dates],Comp2[[#This Row],[Comparable '#2 Dates]]),COUNTIF(Benchmark2[Benchmark '#2 Dates],Comp2[[#This Row],[Comparable '#2 Dates]]))=2,"Pass","Fail")</f>
        <v>Pass</v>
      </c>
      <c r="I1024" s="1">
        <f>IFERROR(Comp2[[#This Row],[Comparable '#2 Return]]-INDEX(Benchmark1[Benchmark '#1 Return],MATCH(Comp2[[#This Row],[Comparable '#2 Dates]],Benchmark1[Benchmark '#1 Dates],0)),"-")</f>
        <v>-1.4317733308746047E-2</v>
      </c>
      <c r="L1024" s="72">
        <f>Comp2[[#This Row],[Comparable '#2 Price]]/$B$2*100</f>
        <v>80.925553319919501</v>
      </c>
    </row>
    <row r="1025" spans="1:12">
      <c r="A1025" s="96">
        <v>44770</v>
      </c>
      <c r="B1025" s="101">
        <v>39.76</v>
      </c>
      <c r="C1025" s="4">
        <f t="shared" si="30"/>
        <v>-1.1503002556132689E-2</v>
      </c>
      <c r="D1025" s="1">
        <f>IFERROR(Comp2[[#This Row],[Comparable '#2 Return]]+1,"-")</f>
        <v>0.98849699744386732</v>
      </c>
      <c r="E1025" s="6">
        <f>B1025-MAX($B$2:B1025)</f>
        <v>-18.399999999999999</v>
      </c>
      <c r="F1025" s="80">
        <f t="shared" si="31"/>
        <v>932</v>
      </c>
      <c r="G1025" s="77">
        <f>Comp2[[#This Row],[Comparable '#2 Drawdown]]/MAX($B$2:B1025)</f>
        <v>-0.31636863823933975</v>
      </c>
      <c r="H1025" s="1" t="str">
        <f>IF(SUM(COUNTIF(Benchmark1[Benchmark '#1 Dates],Comp2[[#This Row],[Comparable '#2 Dates]]),COUNTIF(Benchmark2[Benchmark '#2 Dates],Comp2[[#This Row],[Comparable '#2 Dates]]))=2,"Pass","Fail")</f>
        <v>Pass</v>
      </c>
      <c r="I1025" s="1">
        <f>IFERROR(Comp2[[#This Row],[Comparable '#2 Return]]-INDEX(Benchmark1[Benchmark '#1 Return],MATCH(Comp2[[#This Row],[Comparable '#2 Dates]],Benchmark1[Benchmark '#1 Dates],0)),"-")</f>
        <v>-2.3563819524331855E-2</v>
      </c>
      <c r="L1025" s="72">
        <f>Comp2[[#This Row],[Comparable '#2 Price]]/$B$2*100</f>
        <v>80</v>
      </c>
    </row>
    <row r="1026" spans="1:12">
      <c r="A1026" s="96">
        <v>44771</v>
      </c>
      <c r="B1026" s="101">
        <v>40.1</v>
      </c>
      <c r="C1026" s="4">
        <f t="shared" ref="C1026:C1089" si="32">IFERROR(IF(B1026="","-",LN(B1026/B1025)),"-")</f>
        <v>8.5149525241504081E-3</v>
      </c>
      <c r="D1026" s="1">
        <f>IFERROR(Comp2[[#This Row],[Comparable '#2 Return]]+1,"-")</f>
        <v>1.0085149525241504</v>
      </c>
      <c r="E1026" s="6">
        <f>B1026-MAX($B$2:B1026)</f>
        <v>-18.059999999999995</v>
      </c>
      <c r="F1026" s="80">
        <f t="shared" ref="F1026:F1089" si="33">IF(E1026=0,0,F1025+1)</f>
        <v>933</v>
      </c>
      <c r="G1026" s="77">
        <f>Comp2[[#This Row],[Comparable '#2 Drawdown]]/MAX($B$2:B1026)</f>
        <v>-0.31052269601100407</v>
      </c>
      <c r="H1026" s="1" t="str">
        <f>IF(SUM(COUNTIF(Benchmark1[Benchmark '#1 Dates],Comp2[[#This Row],[Comparable '#2 Dates]]),COUNTIF(Benchmark2[Benchmark '#2 Dates],Comp2[[#This Row],[Comparable '#2 Dates]]))=2,"Pass","Fail")</f>
        <v>Pass</v>
      </c>
      <c r="I1026" s="1">
        <f>IFERROR(Comp2[[#This Row],[Comparable '#2 Return]]-INDEX(Benchmark1[Benchmark '#1 Return],MATCH(Comp2[[#This Row],[Comparable '#2 Dates]],Benchmark1[Benchmark '#1 Dates],0)),"-")</f>
        <v>-5.5907178544927789E-3</v>
      </c>
      <c r="L1026" s="72">
        <f>Comp2[[#This Row],[Comparable '#2 Price]]/$B$2*100</f>
        <v>80.684104627766601</v>
      </c>
    </row>
    <row r="1027" spans="1:12">
      <c r="A1027" s="96">
        <v>44774</v>
      </c>
      <c r="B1027" s="101">
        <v>39.94</v>
      </c>
      <c r="C1027" s="4">
        <f t="shared" si="32"/>
        <v>-3.9980063248544742E-3</v>
      </c>
      <c r="D1027" s="1">
        <f>IFERROR(Comp2[[#This Row],[Comparable '#2 Return]]+1,"-")</f>
        <v>0.99600199367514552</v>
      </c>
      <c r="E1027" s="6">
        <f>B1027-MAX($B$2:B1027)</f>
        <v>-18.22</v>
      </c>
      <c r="F1027" s="80">
        <f t="shared" si="33"/>
        <v>934</v>
      </c>
      <c r="G1027" s="77">
        <f>Comp2[[#This Row],[Comparable '#2 Drawdown]]/MAX($B$2:B1027)</f>
        <v>-0.31327372764786793</v>
      </c>
      <c r="H1027" s="1" t="str">
        <f>IF(SUM(COUNTIF(Benchmark1[Benchmark '#1 Dates],Comp2[[#This Row],[Comparable '#2 Dates]]),COUNTIF(Benchmark2[Benchmark '#2 Dates],Comp2[[#This Row],[Comparable '#2 Dates]]))=2,"Pass","Fail")</f>
        <v>Pass</v>
      </c>
      <c r="I1027" s="1">
        <f>IFERROR(Comp2[[#This Row],[Comparable '#2 Return]]-INDEX(Benchmark1[Benchmark '#1 Return],MATCH(Comp2[[#This Row],[Comparable '#2 Dates]],Benchmark1[Benchmark '#1 Dates],0)),"-")</f>
        <v>-1.1718854565235318E-3</v>
      </c>
      <c r="L1027" s="72">
        <f>Comp2[[#This Row],[Comparable '#2 Price]]/$B$2*100</f>
        <v>80.362173038229372</v>
      </c>
    </row>
    <row r="1028" spans="1:12">
      <c r="A1028" s="96">
        <v>44775</v>
      </c>
      <c r="B1028" s="101">
        <v>39.869999999999997</v>
      </c>
      <c r="C1028" s="4">
        <f t="shared" si="32"/>
        <v>-1.7541665944054837E-3</v>
      </c>
      <c r="D1028" s="1">
        <f>IFERROR(Comp2[[#This Row],[Comparable '#2 Return]]+1,"-")</f>
        <v>0.99824583340559447</v>
      </c>
      <c r="E1028" s="6">
        <f>B1028-MAX($B$2:B1028)</f>
        <v>-18.29</v>
      </c>
      <c r="F1028" s="80">
        <f t="shared" si="33"/>
        <v>935</v>
      </c>
      <c r="G1028" s="77">
        <f>Comp2[[#This Row],[Comparable '#2 Drawdown]]/MAX($B$2:B1028)</f>
        <v>-0.31447730398899587</v>
      </c>
      <c r="H1028" s="1" t="str">
        <f>IF(SUM(COUNTIF(Benchmark1[Benchmark '#1 Dates],Comp2[[#This Row],[Comparable '#2 Dates]]),COUNTIF(Benchmark2[Benchmark '#2 Dates],Comp2[[#This Row],[Comparable '#2 Dates]]))=2,"Pass","Fail")</f>
        <v>Pass</v>
      </c>
      <c r="I1028" s="1">
        <f>IFERROR(Comp2[[#This Row],[Comparable '#2 Return]]-INDEX(Benchmark1[Benchmark '#1 Return],MATCH(Comp2[[#This Row],[Comparable '#2 Dates]],Benchmark1[Benchmark '#1 Dates],0)),"-")</f>
        <v>4.9316273787882057E-3</v>
      </c>
      <c r="L1028" s="72">
        <f>Comp2[[#This Row],[Comparable '#2 Price]]/$B$2*100</f>
        <v>80.221327967806829</v>
      </c>
    </row>
    <row r="1029" spans="1:12">
      <c r="A1029" s="96">
        <v>44776</v>
      </c>
      <c r="B1029" s="101">
        <v>39.909999999999997</v>
      </c>
      <c r="C1029" s="4">
        <f t="shared" si="32"/>
        <v>1.0027576673789279E-3</v>
      </c>
      <c r="D1029" s="1">
        <f>IFERROR(Comp2[[#This Row],[Comparable '#2 Return]]+1,"-")</f>
        <v>1.001002757667379</v>
      </c>
      <c r="E1029" s="6">
        <f>B1029-MAX($B$2:B1029)</f>
        <v>-18.25</v>
      </c>
      <c r="F1029" s="80">
        <f t="shared" si="33"/>
        <v>936</v>
      </c>
      <c r="G1029" s="77">
        <f>Comp2[[#This Row],[Comparable '#2 Drawdown]]/MAX($B$2:B1029)</f>
        <v>-0.31378954607977994</v>
      </c>
      <c r="H1029" s="1" t="str">
        <f>IF(SUM(COUNTIF(Benchmark1[Benchmark '#1 Dates],Comp2[[#This Row],[Comparable '#2 Dates]]),COUNTIF(Benchmark2[Benchmark '#2 Dates],Comp2[[#This Row],[Comparable '#2 Dates]]))=2,"Pass","Fail")</f>
        <v>Pass</v>
      </c>
      <c r="I1029" s="1">
        <f>IFERROR(Comp2[[#This Row],[Comparable '#2 Return]]-INDEX(Benchmark1[Benchmark '#1 Return],MATCH(Comp2[[#This Row],[Comparable '#2 Dates]],Benchmark1[Benchmark '#1 Dates],0)),"-")</f>
        <v>-1.4516558455270636E-2</v>
      </c>
      <c r="L1029" s="72">
        <f>Comp2[[#This Row],[Comparable '#2 Price]]/$B$2*100</f>
        <v>80.301810865191143</v>
      </c>
    </row>
    <row r="1030" spans="1:12">
      <c r="A1030" s="96">
        <v>44777</v>
      </c>
      <c r="B1030" s="101">
        <v>39.22</v>
      </c>
      <c r="C1030" s="4">
        <f t="shared" si="32"/>
        <v>-1.7440098292442266E-2</v>
      </c>
      <c r="D1030" s="1">
        <f>IFERROR(Comp2[[#This Row],[Comparable '#2 Return]]+1,"-")</f>
        <v>0.98255990170755769</v>
      </c>
      <c r="E1030" s="6">
        <f>B1030-MAX($B$2:B1030)</f>
        <v>-18.939999999999998</v>
      </c>
      <c r="F1030" s="80">
        <f t="shared" si="33"/>
        <v>937</v>
      </c>
      <c r="G1030" s="77">
        <f>Comp2[[#This Row],[Comparable '#2 Drawdown]]/MAX($B$2:B1030)</f>
        <v>-0.32565337001375516</v>
      </c>
      <c r="H1030" s="1" t="str">
        <f>IF(SUM(COUNTIF(Benchmark1[Benchmark '#1 Dates],Comp2[[#This Row],[Comparable '#2 Dates]]),COUNTIF(Benchmark2[Benchmark '#2 Dates],Comp2[[#This Row],[Comparable '#2 Dates]]))=2,"Pass","Fail")</f>
        <v>Pass</v>
      </c>
      <c r="I1030" s="1">
        <f>IFERROR(Comp2[[#This Row],[Comparable '#2 Return]]-INDEX(Benchmark1[Benchmark '#1 Return],MATCH(Comp2[[#This Row],[Comparable '#2 Dates]],Benchmark1[Benchmark '#1 Dates],0)),"-")</f>
        <v>-1.6662800413187122E-2</v>
      </c>
      <c r="L1030" s="72">
        <f>Comp2[[#This Row],[Comparable '#2 Price]]/$B$2*100</f>
        <v>78.913480885311856</v>
      </c>
    </row>
    <row r="1031" spans="1:12">
      <c r="A1031" s="96">
        <v>44778</v>
      </c>
      <c r="B1031" s="101">
        <v>38.26</v>
      </c>
      <c r="C1031" s="4">
        <f t="shared" si="32"/>
        <v>-2.4781856756093477E-2</v>
      </c>
      <c r="D1031" s="1">
        <f>IFERROR(Comp2[[#This Row],[Comparable '#2 Return]]+1,"-")</f>
        <v>0.97521814324390654</v>
      </c>
      <c r="E1031" s="6">
        <f>B1031-MAX($B$2:B1031)</f>
        <v>-19.899999999999999</v>
      </c>
      <c r="F1031" s="80">
        <f t="shared" si="33"/>
        <v>938</v>
      </c>
      <c r="G1031" s="77">
        <f>Comp2[[#This Row],[Comparable '#2 Drawdown]]/MAX($B$2:B1031)</f>
        <v>-0.34215955983493812</v>
      </c>
      <c r="H1031" s="1" t="str">
        <f>IF(SUM(COUNTIF(Benchmark1[Benchmark '#1 Dates],Comp2[[#This Row],[Comparable '#2 Dates]]),COUNTIF(Benchmark2[Benchmark '#2 Dates],Comp2[[#This Row],[Comparable '#2 Dates]]))=2,"Pass","Fail")</f>
        <v>Pass</v>
      </c>
      <c r="I1031" s="1">
        <f>IFERROR(Comp2[[#This Row],[Comparable '#2 Return]]-INDEX(Benchmark1[Benchmark '#1 Return],MATCH(Comp2[[#This Row],[Comparable '#2 Dates]],Benchmark1[Benchmark '#1 Dates],0)),"-")</f>
        <v>-2.3153557477610671E-2</v>
      </c>
      <c r="L1031" s="72">
        <f>Comp2[[#This Row],[Comparable '#2 Price]]/$B$2*100</f>
        <v>76.981891348088524</v>
      </c>
    </row>
    <row r="1032" spans="1:12">
      <c r="A1032" s="96">
        <v>44781</v>
      </c>
      <c r="B1032" s="101">
        <v>38.5</v>
      </c>
      <c r="C1032" s="4">
        <f t="shared" si="32"/>
        <v>6.2532772816316943E-3</v>
      </c>
      <c r="D1032" s="1">
        <f>IFERROR(Comp2[[#This Row],[Comparable '#2 Return]]+1,"-")</f>
        <v>1.0062532772816317</v>
      </c>
      <c r="E1032" s="6">
        <f>B1032-MAX($B$2:B1032)</f>
        <v>-19.659999999999997</v>
      </c>
      <c r="F1032" s="80">
        <f t="shared" si="33"/>
        <v>939</v>
      </c>
      <c r="G1032" s="77">
        <f>Comp2[[#This Row],[Comparable '#2 Drawdown]]/MAX($B$2:B1032)</f>
        <v>-0.33803301237964234</v>
      </c>
      <c r="H1032" s="1" t="str">
        <f>IF(SUM(COUNTIF(Benchmark1[Benchmark '#1 Dates],Comp2[[#This Row],[Comparable '#2 Dates]]),COUNTIF(Benchmark2[Benchmark '#2 Dates],Comp2[[#This Row],[Comparable '#2 Dates]]))=2,"Pass","Fail")</f>
        <v>Pass</v>
      </c>
      <c r="I1032" s="1">
        <f>IFERROR(Comp2[[#This Row],[Comparable '#2 Return]]-INDEX(Benchmark1[Benchmark '#1 Return],MATCH(Comp2[[#This Row],[Comparable '#2 Dates]],Benchmark1[Benchmark '#1 Dates],0)),"-")</f>
        <v>7.4917985208313061E-3</v>
      </c>
      <c r="L1032" s="72">
        <f>Comp2[[#This Row],[Comparable '#2 Price]]/$B$2*100</f>
        <v>77.464788732394368</v>
      </c>
    </row>
    <row r="1033" spans="1:12">
      <c r="A1033" s="96">
        <v>44782</v>
      </c>
      <c r="B1033" s="101">
        <v>39.04</v>
      </c>
      <c r="C1033" s="4">
        <f t="shared" si="32"/>
        <v>1.3928520251153225E-2</v>
      </c>
      <c r="D1033" s="1">
        <f>IFERROR(Comp2[[#This Row],[Comparable '#2 Return]]+1,"-")</f>
        <v>1.0139285202511532</v>
      </c>
      <c r="E1033" s="6">
        <f>B1033-MAX($B$2:B1033)</f>
        <v>-19.119999999999997</v>
      </c>
      <c r="F1033" s="80">
        <f t="shared" si="33"/>
        <v>940</v>
      </c>
      <c r="G1033" s="77">
        <f>Comp2[[#This Row],[Comparable '#2 Drawdown]]/MAX($B$2:B1033)</f>
        <v>-0.32874828060522693</v>
      </c>
      <c r="H1033" s="1" t="str">
        <f>IF(SUM(COUNTIF(Benchmark1[Benchmark '#1 Dates],Comp2[[#This Row],[Comparable '#2 Dates]]),COUNTIF(Benchmark2[Benchmark '#2 Dates],Comp2[[#This Row],[Comparable '#2 Dates]]))=2,"Pass","Fail")</f>
        <v>Pass</v>
      </c>
      <c r="I1033" s="1">
        <f>IFERROR(Comp2[[#This Row],[Comparable '#2 Return]]-INDEX(Benchmark1[Benchmark '#1 Return],MATCH(Comp2[[#This Row],[Comparable '#2 Dates]],Benchmark1[Benchmark '#1 Dates],0)),"-")</f>
        <v>1.8186906646708495E-2</v>
      </c>
      <c r="L1033" s="72">
        <f>Comp2[[#This Row],[Comparable '#2 Price]]/$B$2*100</f>
        <v>78.551307847082484</v>
      </c>
    </row>
    <row r="1034" spans="1:12">
      <c r="A1034" s="96">
        <v>44783</v>
      </c>
      <c r="B1034" s="101">
        <v>38.76</v>
      </c>
      <c r="C1034" s="4">
        <f t="shared" si="32"/>
        <v>-7.1979745223262771E-3</v>
      </c>
      <c r="D1034" s="1">
        <f>IFERROR(Comp2[[#This Row],[Comparable '#2 Return]]+1,"-")</f>
        <v>0.99280202547767371</v>
      </c>
      <c r="E1034" s="6">
        <f>B1034-MAX($B$2:B1034)</f>
        <v>-19.399999999999999</v>
      </c>
      <c r="F1034" s="80">
        <f t="shared" si="33"/>
        <v>941</v>
      </c>
      <c r="G1034" s="77">
        <f>Comp2[[#This Row],[Comparable '#2 Drawdown]]/MAX($B$2:B1034)</f>
        <v>-0.33356258596973865</v>
      </c>
      <c r="H1034" s="1" t="str">
        <f>IF(SUM(COUNTIF(Benchmark1[Benchmark '#1 Dates],Comp2[[#This Row],[Comparable '#2 Dates]]),COUNTIF(Benchmark2[Benchmark '#2 Dates],Comp2[[#This Row],[Comparable '#2 Dates]]))=2,"Pass","Fail")</f>
        <v>Pass</v>
      </c>
      <c r="I1034" s="1">
        <f>IFERROR(Comp2[[#This Row],[Comparable '#2 Return]]-INDEX(Benchmark1[Benchmark '#1 Return],MATCH(Comp2[[#This Row],[Comparable '#2 Dates]],Benchmark1[Benchmark '#1 Dates],0)),"-")</f>
        <v>-2.8266253957066265E-2</v>
      </c>
      <c r="L1034" s="72">
        <f>Comp2[[#This Row],[Comparable '#2 Price]]/$B$2*100</f>
        <v>77.98792756539234</v>
      </c>
    </row>
    <row r="1035" spans="1:12">
      <c r="A1035" s="96">
        <v>44784</v>
      </c>
      <c r="B1035" s="101">
        <v>37.74</v>
      </c>
      <c r="C1035" s="4">
        <f t="shared" si="32"/>
        <v>-2.666824708216118E-2</v>
      </c>
      <c r="D1035" s="1">
        <f>IFERROR(Comp2[[#This Row],[Comparable '#2 Return]]+1,"-")</f>
        <v>0.9733317529178388</v>
      </c>
      <c r="E1035" s="6">
        <f>B1035-MAX($B$2:B1035)</f>
        <v>-20.419999999999995</v>
      </c>
      <c r="F1035" s="80">
        <f t="shared" si="33"/>
        <v>942</v>
      </c>
      <c r="G1035" s="77">
        <f>Comp2[[#This Row],[Comparable '#2 Drawdown]]/MAX($B$2:B1035)</f>
        <v>-0.35110041265474545</v>
      </c>
      <c r="H1035" s="1" t="str">
        <f>IF(SUM(COUNTIF(Benchmark1[Benchmark '#1 Dates],Comp2[[#This Row],[Comparable '#2 Dates]]),COUNTIF(Benchmark2[Benchmark '#2 Dates],Comp2[[#This Row],[Comparable '#2 Dates]]))=2,"Pass","Fail")</f>
        <v>Pass</v>
      </c>
      <c r="I1035" s="1">
        <f>IFERROR(Comp2[[#This Row],[Comparable '#2 Return]]-INDEX(Benchmark1[Benchmark '#1 Return],MATCH(Comp2[[#This Row],[Comparable '#2 Dates]],Benchmark1[Benchmark '#1 Dates],0)),"-")</f>
        <v>-2.5963506688933994E-2</v>
      </c>
      <c r="L1035" s="72">
        <f>Comp2[[#This Row],[Comparable '#2 Price]]/$B$2*100</f>
        <v>75.935613682092551</v>
      </c>
    </row>
    <row r="1036" spans="1:12">
      <c r="A1036" s="96">
        <v>44785</v>
      </c>
      <c r="B1036" s="101">
        <v>37.57</v>
      </c>
      <c r="C1036" s="4">
        <f t="shared" si="32"/>
        <v>-4.5146803545266945E-3</v>
      </c>
      <c r="D1036" s="1">
        <f>IFERROR(Comp2[[#This Row],[Comparable '#2 Return]]+1,"-")</f>
        <v>0.99548531964547327</v>
      </c>
      <c r="E1036" s="6">
        <f>B1036-MAX($B$2:B1036)</f>
        <v>-20.589999999999996</v>
      </c>
      <c r="F1036" s="80">
        <f t="shared" si="33"/>
        <v>943</v>
      </c>
      <c r="G1036" s="77">
        <f>Comp2[[#This Row],[Comparable '#2 Drawdown]]/MAX($B$2:B1036)</f>
        <v>-0.35402338376891329</v>
      </c>
      <c r="H1036" s="1" t="str">
        <f>IF(SUM(COUNTIF(Benchmark1[Benchmark '#1 Dates],Comp2[[#This Row],[Comparable '#2 Dates]]),COUNTIF(Benchmark2[Benchmark '#2 Dates],Comp2[[#This Row],[Comparable '#2 Dates]]))=2,"Pass","Fail")</f>
        <v>Pass</v>
      </c>
      <c r="I1036" s="1">
        <f>IFERROR(Comp2[[#This Row],[Comparable '#2 Return]]-INDEX(Benchmark1[Benchmark '#1 Return],MATCH(Comp2[[#This Row],[Comparable '#2 Dates]],Benchmark1[Benchmark '#1 Dates],0)),"-")</f>
        <v>-2.1687824687739193E-2</v>
      </c>
      <c r="L1036" s="72">
        <f>Comp2[[#This Row],[Comparable '#2 Price]]/$B$2*100</f>
        <v>75.593561368209251</v>
      </c>
    </row>
    <row r="1037" spans="1:12">
      <c r="A1037" s="96">
        <v>44788</v>
      </c>
      <c r="B1037" s="101">
        <v>37.950000000000003</v>
      </c>
      <c r="C1037" s="4">
        <f t="shared" si="32"/>
        <v>1.0063644255761523E-2</v>
      </c>
      <c r="D1037" s="1">
        <f>IFERROR(Comp2[[#This Row],[Comparable '#2 Return]]+1,"-")</f>
        <v>1.0100636442557616</v>
      </c>
      <c r="E1037" s="6">
        <f>B1037-MAX($B$2:B1037)</f>
        <v>-20.209999999999994</v>
      </c>
      <c r="F1037" s="80">
        <f t="shared" si="33"/>
        <v>944</v>
      </c>
      <c r="G1037" s="77">
        <f>Comp2[[#This Row],[Comparable '#2 Drawdown]]/MAX($B$2:B1037)</f>
        <v>-0.34748968363136168</v>
      </c>
      <c r="H1037" s="1" t="str">
        <f>IF(SUM(COUNTIF(Benchmark1[Benchmark '#1 Dates],Comp2[[#This Row],[Comparable '#2 Dates]]),COUNTIF(Benchmark2[Benchmark '#2 Dates],Comp2[[#This Row],[Comparable '#2 Dates]]))=2,"Pass","Fail")</f>
        <v>Pass</v>
      </c>
      <c r="I1037" s="1">
        <f>IFERROR(Comp2[[#This Row],[Comparable '#2 Return]]-INDEX(Benchmark1[Benchmark '#1 Return],MATCH(Comp2[[#This Row],[Comparable '#2 Dates]],Benchmark1[Benchmark '#1 Dates],0)),"-")</f>
        <v>6.1013282245295161E-3</v>
      </c>
      <c r="L1037" s="72">
        <f>Comp2[[#This Row],[Comparable '#2 Price]]/$B$2*100</f>
        <v>76.358148893360166</v>
      </c>
    </row>
    <row r="1038" spans="1:12">
      <c r="A1038" s="96">
        <v>44789</v>
      </c>
      <c r="B1038" s="101">
        <v>37.74</v>
      </c>
      <c r="C1038" s="4">
        <f t="shared" si="32"/>
        <v>-5.5489639012347436E-3</v>
      </c>
      <c r="D1038" s="1">
        <f>IFERROR(Comp2[[#This Row],[Comparable '#2 Return]]+1,"-")</f>
        <v>0.99445103609876528</v>
      </c>
      <c r="E1038" s="6">
        <f>B1038-MAX($B$2:B1038)</f>
        <v>-20.419999999999995</v>
      </c>
      <c r="F1038" s="80">
        <f t="shared" si="33"/>
        <v>945</v>
      </c>
      <c r="G1038" s="77">
        <f>Comp2[[#This Row],[Comparable '#2 Drawdown]]/MAX($B$2:B1038)</f>
        <v>-0.35110041265474545</v>
      </c>
      <c r="H1038" s="1" t="str">
        <f>IF(SUM(COUNTIF(Benchmark1[Benchmark '#1 Dates],Comp2[[#This Row],[Comparable '#2 Dates]]),COUNTIF(Benchmark2[Benchmark '#2 Dates],Comp2[[#This Row],[Comparable '#2 Dates]]))=2,"Pass","Fail")</f>
        <v>Pass</v>
      </c>
      <c r="I1038" s="1">
        <f>IFERROR(Comp2[[#This Row],[Comparable '#2 Return]]-INDEX(Benchmark1[Benchmark '#1 Return],MATCH(Comp2[[#This Row],[Comparable '#2 Dates]],Benchmark1[Benchmark '#1 Dates],0)),"-")</f>
        <v>-7.4219061694117986E-3</v>
      </c>
      <c r="L1038" s="72">
        <f>Comp2[[#This Row],[Comparable '#2 Price]]/$B$2*100</f>
        <v>75.935613682092551</v>
      </c>
    </row>
    <row r="1039" spans="1:12">
      <c r="A1039" s="96">
        <v>44790</v>
      </c>
      <c r="B1039" s="101">
        <v>38.14</v>
      </c>
      <c r="C1039" s="4">
        <f t="shared" si="32"/>
        <v>1.0543060231868873E-2</v>
      </c>
      <c r="D1039" s="1">
        <f>IFERROR(Comp2[[#This Row],[Comparable '#2 Return]]+1,"-")</f>
        <v>1.0105430602318688</v>
      </c>
      <c r="E1039" s="6">
        <f>B1039-MAX($B$2:B1039)</f>
        <v>-20.019999999999996</v>
      </c>
      <c r="F1039" s="80">
        <f t="shared" si="33"/>
        <v>946</v>
      </c>
      <c r="G1039" s="77">
        <f>Comp2[[#This Row],[Comparable '#2 Drawdown]]/MAX($B$2:B1039)</f>
        <v>-0.34422283356258593</v>
      </c>
      <c r="H1039" s="1" t="str">
        <f>IF(SUM(COUNTIF(Benchmark1[Benchmark '#1 Dates],Comp2[[#This Row],[Comparable '#2 Dates]]),COUNTIF(Benchmark2[Benchmark '#2 Dates],Comp2[[#This Row],[Comparable '#2 Dates]]))=2,"Pass","Fail")</f>
        <v>Pass</v>
      </c>
      <c r="I1039" s="1">
        <f>IFERROR(Comp2[[#This Row],[Comparable '#2 Return]]-INDEX(Benchmark1[Benchmark '#1 Return],MATCH(Comp2[[#This Row],[Comparable '#2 Dates]],Benchmark1[Benchmark '#1 Dates],0)),"-")</f>
        <v>1.7807297034439812E-2</v>
      </c>
      <c r="L1039" s="72">
        <f>Comp2[[#This Row],[Comparable '#2 Price]]/$B$2*100</f>
        <v>76.74044265593561</v>
      </c>
    </row>
    <row r="1040" spans="1:12">
      <c r="A1040" s="96">
        <v>44791</v>
      </c>
      <c r="B1040" s="101">
        <v>38.35</v>
      </c>
      <c r="C1040" s="4">
        <f t="shared" si="32"/>
        <v>5.4909276409922849E-3</v>
      </c>
      <c r="D1040" s="1">
        <f>IFERROR(Comp2[[#This Row],[Comparable '#2 Return]]+1,"-")</f>
        <v>1.0054909276409922</v>
      </c>
      <c r="E1040" s="6">
        <f>B1040-MAX($B$2:B1040)</f>
        <v>-19.809999999999995</v>
      </c>
      <c r="F1040" s="80">
        <f t="shared" si="33"/>
        <v>947</v>
      </c>
      <c r="G1040" s="77">
        <f>Comp2[[#This Row],[Comparable '#2 Drawdown]]/MAX($B$2:B1040)</f>
        <v>-0.34061210453920215</v>
      </c>
      <c r="H1040" s="1" t="str">
        <f>IF(SUM(COUNTIF(Benchmark1[Benchmark '#1 Dates],Comp2[[#This Row],[Comparable '#2 Dates]]),COUNTIF(Benchmark2[Benchmark '#2 Dates],Comp2[[#This Row],[Comparable '#2 Dates]]))=2,"Pass","Fail")</f>
        <v>Pass</v>
      </c>
      <c r="I1040" s="1">
        <f>IFERROR(Comp2[[#This Row],[Comparable '#2 Return]]-INDEX(Benchmark1[Benchmark '#1 Return],MATCH(Comp2[[#This Row],[Comparable '#2 Dates]],Benchmark1[Benchmark '#1 Dates],0)),"-")</f>
        <v>3.2230096480574178E-3</v>
      </c>
      <c r="L1040" s="72">
        <f>Comp2[[#This Row],[Comparable '#2 Price]]/$B$2*100</f>
        <v>77.162977867203224</v>
      </c>
    </row>
    <row r="1041" spans="1:12">
      <c r="A1041" s="96">
        <v>44792</v>
      </c>
      <c r="B1041" s="101">
        <v>39.409999999999997</v>
      </c>
      <c r="C1041" s="4">
        <f t="shared" si="32"/>
        <v>2.7265063393647E-2</v>
      </c>
      <c r="D1041" s="1">
        <f>IFERROR(Comp2[[#This Row],[Comparable '#2 Return]]+1,"-")</f>
        <v>1.0272650633936471</v>
      </c>
      <c r="E1041" s="6">
        <f>B1041-MAX($B$2:B1041)</f>
        <v>-18.75</v>
      </c>
      <c r="F1041" s="80">
        <f t="shared" si="33"/>
        <v>948</v>
      </c>
      <c r="G1041" s="77">
        <f>Comp2[[#This Row],[Comparable '#2 Drawdown]]/MAX($B$2:B1041)</f>
        <v>-0.32238651994497941</v>
      </c>
      <c r="H1041" s="1" t="str">
        <f>IF(SUM(COUNTIF(Benchmark1[Benchmark '#1 Dates],Comp2[[#This Row],[Comparable '#2 Dates]]),COUNTIF(Benchmark2[Benchmark '#2 Dates],Comp2[[#This Row],[Comparable '#2 Dates]]))=2,"Pass","Fail")</f>
        <v>Pass</v>
      </c>
      <c r="I1041" s="1">
        <f>IFERROR(Comp2[[#This Row],[Comparable '#2 Return]]-INDEX(Benchmark1[Benchmark '#1 Return],MATCH(Comp2[[#This Row],[Comparable '#2 Dates]],Benchmark1[Benchmark '#1 Dates],0)),"-")</f>
        <v>4.0249949065058528E-2</v>
      </c>
      <c r="L1041" s="72">
        <f>Comp2[[#This Row],[Comparable '#2 Price]]/$B$2*100</f>
        <v>79.295774647887313</v>
      </c>
    </row>
    <row r="1042" spans="1:12">
      <c r="A1042" s="96">
        <v>44795</v>
      </c>
      <c r="B1042" s="101">
        <v>38.89</v>
      </c>
      <c r="C1042" s="4">
        <f t="shared" si="32"/>
        <v>-1.3282443039256261E-2</v>
      </c>
      <c r="D1042" s="1">
        <f>IFERROR(Comp2[[#This Row],[Comparable '#2 Return]]+1,"-")</f>
        <v>0.9867175569607437</v>
      </c>
      <c r="E1042" s="6">
        <f>B1042-MAX($B$2:B1042)</f>
        <v>-19.269999999999996</v>
      </c>
      <c r="F1042" s="80">
        <f t="shared" si="33"/>
        <v>949</v>
      </c>
      <c r="G1042" s="77">
        <f>Comp2[[#This Row],[Comparable '#2 Drawdown]]/MAX($B$2:B1042)</f>
        <v>-0.33132737276478674</v>
      </c>
      <c r="H1042" s="1" t="str">
        <f>IF(SUM(COUNTIF(Benchmark1[Benchmark '#1 Dates],Comp2[[#This Row],[Comparable '#2 Dates]]),COUNTIF(Benchmark2[Benchmark '#2 Dates],Comp2[[#This Row],[Comparable '#2 Dates]]))=2,"Pass","Fail")</f>
        <v>Pass</v>
      </c>
      <c r="I1042" s="1">
        <f>IFERROR(Comp2[[#This Row],[Comparable '#2 Return]]-INDEX(Benchmark1[Benchmark '#1 Return],MATCH(Comp2[[#This Row],[Comparable '#2 Dates]],Benchmark1[Benchmark '#1 Dates],0)),"-")</f>
        <v>8.3507451542880178E-3</v>
      </c>
      <c r="L1042" s="72">
        <f>Comp2[[#This Row],[Comparable '#2 Price]]/$B$2*100</f>
        <v>78.24949698189134</v>
      </c>
    </row>
    <row r="1043" spans="1:12">
      <c r="A1043" s="96">
        <v>44796</v>
      </c>
      <c r="B1043" s="101">
        <v>39.21</v>
      </c>
      <c r="C1043" s="4">
        <f t="shared" si="32"/>
        <v>8.1946681365843294E-3</v>
      </c>
      <c r="D1043" s="1">
        <f>IFERROR(Comp2[[#This Row],[Comparable '#2 Return]]+1,"-")</f>
        <v>1.0081946681365843</v>
      </c>
      <c r="E1043" s="6">
        <f>B1043-MAX($B$2:B1043)</f>
        <v>-18.949999999999996</v>
      </c>
      <c r="F1043" s="80">
        <f t="shared" si="33"/>
        <v>950</v>
      </c>
      <c r="G1043" s="77">
        <f>Comp2[[#This Row],[Comparable '#2 Drawdown]]/MAX($B$2:B1043)</f>
        <v>-0.32582530949105909</v>
      </c>
      <c r="H1043" s="1" t="str">
        <f>IF(SUM(COUNTIF(Benchmark1[Benchmark '#1 Dates],Comp2[[#This Row],[Comparable '#2 Dates]]),COUNTIF(Benchmark2[Benchmark '#2 Dates],Comp2[[#This Row],[Comparable '#2 Dates]]))=2,"Pass","Fail")</f>
        <v>Pass</v>
      </c>
      <c r="I1043" s="1">
        <f>IFERROR(Comp2[[#This Row],[Comparable '#2 Return]]-INDEX(Benchmark1[Benchmark '#1 Return],MATCH(Comp2[[#This Row],[Comparable '#2 Dates]],Benchmark1[Benchmark '#1 Dates],0)),"-")</f>
        <v>1.0434195529697265E-2</v>
      </c>
      <c r="L1043" s="72">
        <f>Comp2[[#This Row],[Comparable '#2 Price]]/$B$2*100</f>
        <v>78.893360160965798</v>
      </c>
    </row>
    <row r="1044" spans="1:12">
      <c r="A1044" s="96">
        <v>44797</v>
      </c>
      <c r="B1044" s="101">
        <v>39.74</v>
      </c>
      <c r="C1044" s="4">
        <f t="shared" si="32"/>
        <v>1.3426420819430653E-2</v>
      </c>
      <c r="D1044" s="1">
        <f>IFERROR(Comp2[[#This Row],[Comparable '#2 Return]]+1,"-")</f>
        <v>1.0134264208194306</v>
      </c>
      <c r="E1044" s="6">
        <f>B1044-MAX($B$2:B1044)</f>
        <v>-18.419999999999995</v>
      </c>
      <c r="F1044" s="80">
        <f t="shared" si="33"/>
        <v>951</v>
      </c>
      <c r="G1044" s="77">
        <f>Comp2[[#This Row],[Comparable '#2 Drawdown]]/MAX($B$2:B1044)</f>
        <v>-0.31671251719394766</v>
      </c>
      <c r="H1044" s="1" t="str">
        <f>IF(SUM(COUNTIF(Benchmark1[Benchmark '#1 Dates],Comp2[[#This Row],[Comparable '#2 Dates]]),COUNTIF(Benchmark2[Benchmark '#2 Dates],Comp2[[#This Row],[Comparable '#2 Dates]]))=2,"Pass","Fail")</f>
        <v>Pass</v>
      </c>
      <c r="I1044" s="1">
        <f>IFERROR(Comp2[[#This Row],[Comparable '#2 Return]]-INDEX(Benchmark1[Benchmark '#1 Return],MATCH(Comp2[[#This Row],[Comparable '#2 Dates]],Benchmark1[Benchmark '#1 Dates],0)),"-")</f>
        <v>1.0514556216343118E-2</v>
      </c>
      <c r="L1044" s="72">
        <f>Comp2[[#This Row],[Comparable '#2 Price]]/$B$2*100</f>
        <v>79.959758551307843</v>
      </c>
    </row>
    <row r="1045" spans="1:12">
      <c r="A1045" s="96">
        <v>44798</v>
      </c>
      <c r="B1045" s="101">
        <v>41.12</v>
      </c>
      <c r="C1045" s="4">
        <f t="shared" si="32"/>
        <v>3.4136384023238847E-2</v>
      </c>
      <c r="D1045" s="1">
        <f>IFERROR(Comp2[[#This Row],[Comparable '#2 Return]]+1,"-")</f>
        <v>1.0341363840232389</v>
      </c>
      <c r="E1045" s="6">
        <f>B1045-MAX($B$2:B1045)</f>
        <v>-17.04</v>
      </c>
      <c r="F1045" s="80">
        <f t="shared" si="33"/>
        <v>952</v>
      </c>
      <c r="G1045" s="77">
        <f>Comp2[[#This Row],[Comparable '#2 Drawdown]]/MAX($B$2:B1045)</f>
        <v>-0.29298486932599727</v>
      </c>
      <c r="H1045" s="1" t="str">
        <f>IF(SUM(COUNTIF(Benchmark1[Benchmark '#1 Dates],Comp2[[#This Row],[Comparable '#2 Dates]]),COUNTIF(Benchmark2[Benchmark '#2 Dates],Comp2[[#This Row],[Comparable '#2 Dates]]))=2,"Pass","Fail")</f>
        <v>Pass</v>
      </c>
      <c r="I1045" s="1">
        <f>IFERROR(Comp2[[#This Row],[Comparable '#2 Return]]-INDEX(Benchmark1[Benchmark '#1 Return],MATCH(Comp2[[#This Row],[Comparable '#2 Dates]],Benchmark1[Benchmark '#1 Dates],0)),"-")</f>
        <v>2.0142884754401041E-2</v>
      </c>
      <c r="L1045" s="72">
        <f>Comp2[[#This Row],[Comparable '#2 Price]]/$B$2*100</f>
        <v>82.73641851106639</v>
      </c>
    </row>
    <row r="1046" spans="1:12">
      <c r="A1046" s="96">
        <v>44799</v>
      </c>
      <c r="B1046" s="101">
        <v>39.75</v>
      </c>
      <c r="C1046" s="4">
        <f t="shared" si="32"/>
        <v>-3.3884780046568752E-2</v>
      </c>
      <c r="D1046" s="1">
        <f>IFERROR(Comp2[[#This Row],[Comparable '#2 Return]]+1,"-")</f>
        <v>0.9661152199534313</v>
      </c>
      <c r="E1046" s="6">
        <f>B1046-MAX($B$2:B1046)</f>
        <v>-18.409999999999997</v>
      </c>
      <c r="F1046" s="80">
        <f t="shared" si="33"/>
        <v>953</v>
      </c>
      <c r="G1046" s="77">
        <f>Comp2[[#This Row],[Comparable '#2 Drawdown]]/MAX($B$2:B1046)</f>
        <v>-0.31654057771664368</v>
      </c>
      <c r="H1046" s="1" t="str">
        <f>IF(SUM(COUNTIF(Benchmark1[Benchmark '#1 Dates],Comp2[[#This Row],[Comparable '#2 Dates]]),COUNTIF(Benchmark2[Benchmark '#2 Dates],Comp2[[#This Row],[Comparable '#2 Dates]]))=2,"Pass","Fail")</f>
        <v>Pass</v>
      </c>
      <c r="I1046" s="1">
        <f>IFERROR(Comp2[[#This Row],[Comparable '#2 Return]]-INDEX(Benchmark1[Benchmark '#1 Return],MATCH(Comp2[[#This Row],[Comparable '#2 Dates]],Benchmark1[Benchmark '#1 Dates],0)),"-")</f>
        <v>3.8289149011449392E-4</v>
      </c>
      <c r="L1046" s="72">
        <f>Comp2[[#This Row],[Comparable '#2 Price]]/$B$2*100</f>
        <v>79.979879275653914</v>
      </c>
    </row>
    <row r="1047" spans="1:12">
      <c r="A1047" s="96">
        <v>44802</v>
      </c>
      <c r="B1047" s="101">
        <v>38.630000000000003</v>
      </c>
      <c r="C1047" s="4">
        <f t="shared" si="32"/>
        <v>-2.8580664422150872E-2</v>
      </c>
      <c r="D1047" s="1">
        <f>IFERROR(Comp2[[#This Row],[Comparable '#2 Return]]+1,"-")</f>
        <v>0.9714193355778491</v>
      </c>
      <c r="E1047" s="6">
        <f>B1047-MAX($B$2:B1047)</f>
        <v>-19.529999999999994</v>
      </c>
      <c r="F1047" s="80">
        <f t="shared" si="33"/>
        <v>954</v>
      </c>
      <c r="G1047" s="77">
        <f>Comp2[[#This Row],[Comparable '#2 Drawdown]]/MAX($B$2:B1047)</f>
        <v>-0.33579779917469044</v>
      </c>
      <c r="H1047" s="1" t="str">
        <f>IF(SUM(COUNTIF(Benchmark1[Benchmark '#1 Dates],Comp2[[#This Row],[Comparable '#2 Dates]]),COUNTIF(Benchmark2[Benchmark '#2 Dates],Comp2[[#This Row],[Comparable '#2 Dates]]))=2,"Pass","Fail")</f>
        <v>Pass</v>
      </c>
      <c r="I1047" s="1">
        <f>IFERROR(Comp2[[#This Row],[Comparable '#2 Return]]-INDEX(Benchmark1[Benchmark '#1 Return],MATCH(Comp2[[#This Row],[Comparable '#2 Dates]],Benchmark1[Benchmark '#1 Dates],0)),"-")</f>
        <v>-2.1891927357103835E-2</v>
      </c>
      <c r="L1047" s="72">
        <f>Comp2[[#This Row],[Comparable '#2 Price]]/$B$2*100</f>
        <v>77.726358148893354</v>
      </c>
    </row>
    <row r="1048" spans="1:12">
      <c r="A1048" s="96">
        <v>44803</v>
      </c>
      <c r="B1048" s="101">
        <v>38.159999999999997</v>
      </c>
      <c r="C1048" s="4">
        <f t="shared" si="32"/>
        <v>-1.2241330098104318E-2</v>
      </c>
      <c r="D1048" s="1">
        <f>IFERROR(Comp2[[#This Row],[Comparable '#2 Return]]+1,"-")</f>
        <v>0.98775866990189565</v>
      </c>
      <c r="E1048" s="6">
        <f>B1048-MAX($B$2:B1048)</f>
        <v>-20</v>
      </c>
      <c r="F1048" s="80">
        <f t="shared" si="33"/>
        <v>955</v>
      </c>
      <c r="G1048" s="77">
        <f>Comp2[[#This Row],[Comparable '#2 Drawdown]]/MAX($B$2:B1048)</f>
        <v>-0.34387895460797802</v>
      </c>
      <c r="H1048" s="1" t="str">
        <f>IF(SUM(COUNTIF(Benchmark1[Benchmark '#1 Dates],Comp2[[#This Row],[Comparable '#2 Dates]]),COUNTIF(Benchmark2[Benchmark '#2 Dates],Comp2[[#This Row],[Comparable '#2 Dates]]))=2,"Pass","Fail")</f>
        <v>Pass</v>
      </c>
      <c r="I1048" s="1">
        <f>IFERROR(Comp2[[#This Row],[Comparable '#2 Return]]-INDEX(Benchmark1[Benchmark '#1 Return],MATCH(Comp2[[#This Row],[Comparable '#2 Dates]],Benchmark1[Benchmark '#1 Dates],0)),"-")</f>
        <v>-1.1516915079458137E-3</v>
      </c>
      <c r="L1048" s="72">
        <f>Comp2[[#This Row],[Comparable '#2 Price]]/$B$2*100</f>
        <v>76.780684104627753</v>
      </c>
    </row>
    <row r="1049" spans="1:12">
      <c r="A1049" s="96">
        <v>44804</v>
      </c>
      <c r="B1049" s="101">
        <v>37.69</v>
      </c>
      <c r="C1049" s="4">
        <f t="shared" si="32"/>
        <v>-1.2393039301041721E-2</v>
      </c>
      <c r="D1049" s="1">
        <f>IFERROR(Comp2[[#This Row],[Comparable '#2 Return]]+1,"-")</f>
        <v>0.98760696069895826</v>
      </c>
      <c r="E1049" s="6">
        <f>B1049-MAX($B$2:B1049)</f>
        <v>-20.47</v>
      </c>
      <c r="F1049" s="80">
        <f t="shared" si="33"/>
        <v>956</v>
      </c>
      <c r="G1049" s="77">
        <f>Comp2[[#This Row],[Comparable '#2 Drawdown]]/MAX($B$2:B1049)</f>
        <v>-0.35196011004126548</v>
      </c>
      <c r="H1049" s="1" t="str">
        <f>IF(SUM(COUNTIF(Benchmark1[Benchmark '#1 Dates],Comp2[[#This Row],[Comparable '#2 Dates]]),COUNTIF(Benchmark2[Benchmark '#2 Dates],Comp2[[#This Row],[Comparable '#2 Dates]]))=2,"Pass","Fail")</f>
        <v>Pass</v>
      </c>
      <c r="I1049" s="1">
        <f>IFERROR(Comp2[[#This Row],[Comparable '#2 Return]]-INDEX(Benchmark1[Benchmark '#1 Return],MATCH(Comp2[[#This Row],[Comparable '#2 Dates]],Benchmark1[Benchmark '#1 Dates],0)),"-")</f>
        <v>-4.5445539524535238E-3</v>
      </c>
      <c r="L1049" s="72">
        <f>Comp2[[#This Row],[Comparable '#2 Price]]/$B$2*100</f>
        <v>75.835010060362166</v>
      </c>
    </row>
    <row r="1050" spans="1:12">
      <c r="A1050" s="96">
        <v>44805</v>
      </c>
      <c r="B1050" s="101">
        <v>38.03</v>
      </c>
      <c r="C1050" s="4">
        <f t="shared" si="32"/>
        <v>8.980514661124402E-3</v>
      </c>
      <c r="D1050" s="1">
        <f>IFERROR(Comp2[[#This Row],[Comparable '#2 Return]]+1,"-")</f>
        <v>1.0089805146611244</v>
      </c>
      <c r="E1050" s="6">
        <f>B1050-MAX($B$2:B1050)</f>
        <v>-20.129999999999995</v>
      </c>
      <c r="F1050" s="80">
        <f t="shared" si="33"/>
        <v>957</v>
      </c>
      <c r="G1050" s="77">
        <f>Comp2[[#This Row],[Comparable '#2 Drawdown]]/MAX($B$2:B1050)</f>
        <v>-0.34611416781292981</v>
      </c>
      <c r="H1050" s="1" t="str">
        <f>IF(SUM(COUNTIF(Benchmark1[Benchmark '#1 Dates],Comp2[[#This Row],[Comparable '#2 Dates]]),COUNTIF(Benchmark2[Benchmark '#2 Dates],Comp2[[#This Row],[Comparable '#2 Dates]]))=2,"Pass","Fail")</f>
        <v>Pass</v>
      </c>
      <c r="I1050" s="1">
        <f>IFERROR(Comp2[[#This Row],[Comparable '#2 Return]]-INDEX(Benchmark1[Benchmark '#1 Return],MATCH(Comp2[[#This Row],[Comparable '#2 Dates]],Benchmark1[Benchmark '#1 Dates],0)),"-")</f>
        <v>5.9884684883996578E-3</v>
      </c>
      <c r="L1050" s="72">
        <f>Comp2[[#This Row],[Comparable '#2 Price]]/$B$2*100</f>
        <v>76.519114688128781</v>
      </c>
    </row>
    <row r="1051" spans="1:12">
      <c r="A1051" s="96">
        <v>44806</v>
      </c>
      <c r="B1051" s="101">
        <v>36.9</v>
      </c>
      <c r="C1051" s="4">
        <f t="shared" si="32"/>
        <v>-3.0163770893686812E-2</v>
      </c>
      <c r="D1051" s="1">
        <f>IFERROR(Comp2[[#This Row],[Comparable '#2 Return]]+1,"-")</f>
        <v>0.96983622910631317</v>
      </c>
      <c r="E1051" s="6">
        <f>B1051-MAX($B$2:B1051)</f>
        <v>-21.259999999999998</v>
      </c>
      <c r="F1051" s="80">
        <f t="shared" si="33"/>
        <v>958</v>
      </c>
      <c r="G1051" s="77">
        <f>Comp2[[#This Row],[Comparable '#2 Drawdown]]/MAX($B$2:B1051)</f>
        <v>-0.3655433287482806</v>
      </c>
      <c r="H1051" s="1" t="str">
        <f>IF(SUM(COUNTIF(Benchmark1[Benchmark '#1 Dates],Comp2[[#This Row],[Comparable '#2 Dates]]),COUNTIF(Benchmark2[Benchmark '#2 Dates],Comp2[[#This Row],[Comparable '#2 Dates]]))=2,"Pass","Fail")</f>
        <v>Pass</v>
      </c>
      <c r="I1051" s="1">
        <f>IFERROR(Comp2[[#This Row],[Comparable '#2 Return]]-INDEX(Benchmark1[Benchmark '#1 Return],MATCH(Comp2[[#This Row],[Comparable '#2 Dates]],Benchmark1[Benchmark '#1 Dates],0)),"-")</f>
        <v>-1.9369067571611456E-2</v>
      </c>
      <c r="L1051" s="72">
        <f>Comp2[[#This Row],[Comparable '#2 Price]]/$B$2*100</f>
        <v>74.245472837022135</v>
      </c>
    </row>
    <row r="1052" spans="1:12">
      <c r="A1052" s="96">
        <v>44810</v>
      </c>
      <c r="B1052" s="101">
        <v>37.19</v>
      </c>
      <c r="C1052" s="4">
        <f t="shared" si="32"/>
        <v>7.8283568904972036E-3</v>
      </c>
      <c r="D1052" s="1">
        <f>IFERROR(Comp2[[#This Row],[Comparable '#2 Return]]+1,"-")</f>
        <v>1.0078283568904971</v>
      </c>
      <c r="E1052" s="6">
        <f>B1052-MAX($B$2:B1052)</f>
        <v>-20.97</v>
      </c>
      <c r="F1052" s="80">
        <f t="shared" si="33"/>
        <v>959</v>
      </c>
      <c r="G1052" s="77">
        <f>Comp2[[#This Row],[Comparable '#2 Drawdown]]/MAX($B$2:B1052)</f>
        <v>-0.3605570839064649</v>
      </c>
      <c r="H1052" s="1" t="str">
        <f>IF(SUM(COUNTIF(Benchmark1[Benchmark '#1 Dates],Comp2[[#This Row],[Comparable '#2 Dates]]),COUNTIF(Benchmark2[Benchmark '#2 Dates],Comp2[[#This Row],[Comparable '#2 Dates]]))=2,"Pass","Fail")</f>
        <v>Pass</v>
      </c>
      <c r="I1052" s="1">
        <f>IFERROR(Comp2[[#This Row],[Comparable '#2 Return]]-INDEX(Benchmark1[Benchmark '#1 Return],MATCH(Comp2[[#This Row],[Comparable '#2 Dates]],Benchmark1[Benchmark '#1 Dates],0)),"-")</f>
        <v>1.1931700266123186E-2</v>
      </c>
      <c r="L1052" s="72">
        <f>Comp2[[#This Row],[Comparable '#2 Price]]/$B$2*100</f>
        <v>74.82897384305835</v>
      </c>
    </row>
    <row r="1053" spans="1:12">
      <c r="A1053" s="96">
        <v>44811</v>
      </c>
      <c r="B1053" s="101">
        <v>37.97</v>
      </c>
      <c r="C1053" s="4">
        <f t="shared" si="32"/>
        <v>2.0756466306732221E-2</v>
      </c>
      <c r="D1053" s="1">
        <f>IFERROR(Comp2[[#This Row],[Comparable '#2 Return]]+1,"-")</f>
        <v>1.0207564663067321</v>
      </c>
      <c r="E1053" s="6">
        <f>B1053-MAX($B$2:B1053)</f>
        <v>-20.189999999999998</v>
      </c>
      <c r="F1053" s="80">
        <f t="shared" si="33"/>
        <v>960</v>
      </c>
      <c r="G1053" s="77">
        <f>Comp2[[#This Row],[Comparable '#2 Drawdown]]/MAX($B$2:B1053)</f>
        <v>-0.34714580467675377</v>
      </c>
      <c r="H1053" s="1" t="str">
        <f>IF(SUM(COUNTIF(Benchmark1[Benchmark '#1 Dates],Comp2[[#This Row],[Comparable '#2 Dates]]),COUNTIF(Benchmark2[Benchmark '#2 Dates],Comp2[[#This Row],[Comparable '#2 Dates]]))=2,"Pass","Fail")</f>
        <v>Pass</v>
      </c>
      <c r="I1053" s="1">
        <f>IFERROR(Comp2[[#This Row],[Comparable '#2 Return]]-INDEX(Benchmark1[Benchmark '#1 Return],MATCH(Comp2[[#This Row],[Comparable '#2 Dates]],Benchmark1[Benchmark '#1 Dates],0)),"-")</f>
        <v>2.5804286639528606E-3</v>
      </c>
      <c r="L1053" s="72">
        <f>Comp2[[#This Row],[Comparable '#2 Price]]/$B$2*100</f>
        <v>76.398390342052309</v>
      </c>
    </row>
    <row r="1054" spans="1:12">
      <c r="A1054" s="96">
        <v>44812</v>
      </c>
      <c r="B1054" s="101">
        <v>37.54</v>
      </c>
      <c r="C1054" s="4">
        <f t="shared" si="32"/>
        <v>-1.1389343085348225E-2</v>
      </c>
      <c r="D1054" s="1">
        <f>IFERROR(Comp2[[#This Row],[Comparable '#2 Return]]+1,"-")</f>
        <v>0.98861065691465178</v>
      </c>
      <c r="E1054" s="6">
        <f>B1054-MAX($B$2:B1054)</f>
        <v>-20.619999999999997</v>
      </c>
      <c r="F1054" s="80">
        <f t="shared" si="33"/>
        <v>961</v>
      </c>
      <c r="G1054" s="77">
        <f>Comp2[[#This Row],[Comparable '#2 Drawdown]]/MAX($B$2:B1054)</f>
        <v>-0.3545392022008253</v>
      </c>
      <c r="H1054" s="1" t="str">
        <f>IF(SUM(COUNTIF(Benchmark1[Benchmark '#1 Dates],Comp2[[#This Row],[Comparable '#2 Dates]]),COUNTIF(Benchmark2[Benchmark '#2 Dates],Comp2[[#This Row],[Comparable '#2 Dates]]))=2,"Pass","Fail")</f>
        <v>Pass</v>
      </c>
      <c r="I1054" s="1">
        <f>IFERROR(Comp2[[#This Row],[Comparable '#2 Return]]-INDEX(Benchmark1[Benchmark '#1 Return],MATCH(Comp2[[#This Row],[Comparable '#2 Dates]],Benchmark1[Benchmark '#1 Dates],0)),"-")</f>
        <v>-1.7976905797603322E-2</v>
      </c>
      <c r="L1054" s="72">
        <f>Comp2[[#This Row],[Comparable '#2 Price]]/$B$2*100</f>
        <v>75.533199195171022</v>
      </c>
    </row>
    <row r="1055" spans="1:12">
      <c r="A1055" s="96">
        <v>44813</v>
      </c>
      <c r="B1055" s="101">
        <v>37.659999999999997</v>
      </c>
      <c r="C1055" s="4">
        <f t="shared" si="32"/>
        <v>3.191492070643431E-3</v>
      </c>
      <c r="D1055" s="1">
        <f>IFERROR(Comp2[[#This Row],[Comparable '#2 Return]]+1,"-")</f>
        <v>1.0031914920706435</v>
      </c>
      <c r="E1055" s="6">
        <f>B1055-MAX($B$2:B1055)</f>
        <v>-20.5</v>
      </c>
      <c r="F1055" s="80">
        <f t="shared" si="33"/>
        <v>962</v>
      </c>
      <c r="G1055" s="77">
        <f>Comp2[[#This Row],[Comparable '#2 Drawdown]]/MAX($B$2:B1055)</f>
        <v>-0.35247592847317744</v>
      </c>
      <c r="H1055" s="1" t="str">
        <f>IF(SUM(COUNTIF(Benchmark1[Benchmark '#1 Dates],Comp2[[#This Row],[Comparable '#2 Dates]]),COUNTIF(Benchmark2[Benchmark '#2 Dates],Comp2[[#This Row],[Comparable '#2 Dates]]))=2,"Pass","Fail")</f>
        <v>Pass</v>
      </c>
      <c r="I1055" s="1">
        <f>IFERROR(Comp2[[#This Row],[Comparable '#2 Return]]-INDEX(Benchmark1[Benchmark '#1 Return],MATCH(Comp2[[#This Row],[Comparable '#2 Dates]],Benchmark1[Benchmark '#1 Dates],0)),"-")</f>
        <v>-1.1965271330955696E-2</v>
      </c>
      <c r="L1055" s="72">
        <f>Comp2[[#This Row],[Comparable '#2 Price]]/$B$2*100</f>
        <v>75.774647887323937</v>
      </c>
    </row>
    <row r="1056" spans="1:12">
      <c r="A1056" s="96">
        <v>44816</v>
      </c>
      <c r="B1056" s="101">
        <v>39.340000000000003</v>
      </c>
      <c r="C1056" s="4">
        <f t="shared" si="32"/>
        <v>4.3643289731906794E-2</v>
      </c>
      <c r="D1056" s="1">
        <f>IFERROR(Comp2[[#This Row],[Comparable '#2 Return]]+1,"-")</f>
        <v>1.0436432897319068</v>
      </c>
      <c r="E1056" s="6">
        <f>B1056-MAX($B$2:B1056)</f>
        <v>-18.819999999999993</v>
      </c>
      <c r="F1056" s="80">
        <f t="shared" si="33"/>
        <v>963</v>
      </c>
      <c r="G1056" s="77">
        <f>Comp2[[#This Row],[Comparable '#2 Drawdown]]/MAX($B$2:B1056)</f>
        <v>-0.32359009628610719</v>
      </c>
      <c r="H1056" s="1" t="str">
        <f>IF(SUM(COUNTIF(Benchmark1[Benchmark '#1 Dates],Comp2[[#This Row],[Comparable '#2 Dates]]),COUNTIF(Benchmark2[Benchmark '#2 Dates],Comp2[[#This Row],[Comparable '#2 Dates]]))=2,"Pass","Fail")</f>
        <v>Pass</v>
      </c>
      <c r="I1056" s="1">
        <f>IFERROR(Comp2[[#This Row],[Comparable '#2 Return]]-INDEX(Benchmark1[Benchmark '#1 Return],MATCH(Comp2[[#This Row],[Comparable '#2 Dates]],Benchmark1[Benchmark '#1 Dates],0)),"-")</f>
        <v>3.311569339206745E-2</v>
      </c>
      <c r="L1056" s="72">
        <f>Comp2[[#This Row],[Comparable '#2 Price]]/$B$2*100</f>
        <v>79.154929577464799</v>
      </c>
    </row>
    <row r="1057" spans="1:12">
      <c r="A1057" s="96">
        <v>44817</v>
      </c>
      <c r="B1057" s="101">
        <v>37.770000000000003</v>
      </c>
      <c r="C1057" s="4">
        <f t="shared" si="32"/>
        <v>-4.0726676236547542E-2</v>
      </c>
      <c r="D1057" s="1">
        <f>IFERROR(Comp2[[#This Row],[Comparable '#2 Return]]+1,"-")</f>
        <v>0.95927332376345242</v>
      </c>
      <c r="E1057" s="6">
        <f>B1057-MAX($B$2:B1057)</f>
        <v>-20.389999999999993</v>
      </c>
      <c r="F1057" s="80">
        <f t="shared" si="33"/>
        <v>964</v>
      </c>
      <c r="G1057" s="77">
        <f>Comp2[[#This Row],[Comparable '#2 Drawdown]]/MAX($B$2:B1057)</f>
        <v>-0.35058459422283345</v>
      </c>
      <c r="H1057" s="1" t="str">
        <f>IF(SUM(COUNTIF(Benchmark1[Benchmark '#1 Dates],Comp2[[#This Row],[Comparable '#2 Dates]]),COUNTIF(Benchmark2[Benchmark '#2 Dates],Comp2[[#This Row],[Comparable '#2 Dates]]))=2,"Pass","Fail")</f>
        <v>Pass</v>
      </c>
      <c r="I1057" s="1">
        <f>IFERROR(Comp2[[#This Row],[Comparable '#2 Return]]-INDEX(Benchmark1[Benchmark '#1 Return],MATCH(Comp2[[#This Row],[Comparable '#2 Dates]],Benchmark1[Benchmark '#1 Dates],0)),"-")</f>
        <v>3.4711227613232476E-3</v>
      </c>
      <c r="L1057" s="72">
        <f>Comp2[[#This Row],[Comparable '#2 Price]]/$B$2*100</f>
        <v>75.99597585513078</v>
      </c>
    </row>
    <row r="1058" spans="1:12">
      <c r="A1058" s="96">
        <v>44818</v>
      </c>
      <c r="B1058" s="101">
        <v>38.15</v>
      </c>
      <c r="C1058" s="4">
        <f t="shared" si="32"/>
        <v>1.0010621006100491E-2</v>
      </c>
      <c r="D1058" s="1">
        <f>IFERROR(Comp2[[#This Row],[Comparable '#2 Return]]+1,"-")</f>
        <v>1.0100106210061004</v>
      </c>
      <c r="E1058" s="6">
        <f>B1058-MAX($B$2:B1058)</f>
        <v>-20.009999999999998</v>
      </c>
      <c r="F1058" s="80">
        <f t="shared" si="33"/>
        <v>965</v>
      </c>
      <c r="G1058" s="77">
        <f>Comp2[[#This Row],[Comparable '#2 Drawdown]]/MAX($B$2:B1058)</f>
        <v>-0.34405089408528194</v>
      </c>
      <c r="H1058" s="1" t="str">
        <f>IF(SUM(COUNTIF(Benchmark1[Benchmark '#1 Dates],Comp2[[#This Row],[Comparable '#2 Dates]]),COUNTIF(Benchmark2[Benchmark '#2 Dates],Comp2[[#This Row],[Comparable '#2 Dates]]))=2,"Pass","Fail")</f>
        <v>Pass</v>
      </c>
      <c r="I1058" s="1">
        <f>IFERROR(Comp2[[#This Row],[Comparable '#2 Return]]-INDEX(Benchmark1[Benchmark '#1 Return],MATCH(Comp2[[#This Row],[Comparable '#2 Dates]],Benchmark1[Benchmark '#1 Dates],0)),"-")</f>
        <v>6.6295848808006312E-3</v>
      </c>
      <c r="L1058" s="72">
        <f>Comp2[[#This Row],[Comparable '#2 Price]]/$B$2*100</f>
        <v>76.760563380281681</v>
      </c>
    </row>
    <row r="1059" spans="1:12">
      <c r="A1059" s="96">
        <v>44819</v>
      </c>
      <c r="B1059" s="101">
        <v>38.35</v>
      </c>
      <c r="C1059" s="4">
        <f t="shared" si="32"/>
        <v>5.2287700827992759E-3</v>
      </c>
      <c r="D1059" s="1">
        <f>IFERROR(Comp2[[#This Row],[Comparable '#2 Return]]+1,"-")</f>
        <v>1.0052287700827993</v>
      </c>
      <c r="E1059" s="6">
        <f>B1059-MAX($B$2:B1059)</f>
        <v>-19.809999999999995</v>
      </c>
      <c r="F1059" s="80">
        <f t="shared" si="33"/>
        <v>966</v>
      </c>
      <c r="G1059" s="77">
        <f>Comp2[[#This Row],[Comparable '#2 Drawdown]]/MAX($B$2:B1059)</f>
        <v>-0.34061210453920215</v>
      </c>
      <c r="H1059" s="1" t="str">
        <f>IF(SUM(COUNTIF(Benchmark1[Benchmark '#1 Dates],Comp2[[#This Row],[Comparable '#2 Dates]]),COUNTIF(Benchmark2[Benchmark '#2 Dates],Comp2[[#This Row],[Comparable '#2 Dates]]))=2,"Pass","Fail")</f>
        <v>Pass</v>
      </c>
      <c r="I1059" s="1">
        <f>IFERROR(Comp2[[#This Row],[Comparable '#2 Return]]-INDEX(Benchmark1[Benchmark '#1 Return],MATCH(Comp2[[#This Row],[Comparable '#2 Dates]],Benchmark1[Benchmark '#1 Dates],0)),"-")</f>
        <v>1.6610941683497443E-2</v>
      </c>
      <c r="L1059" s="72">
        <f>Comp2[[#This Row],[Comparable '#2 Price]]/$B$2*100</f>
        <v>77.162977867203224</v>
      </c>
    </row>
    <row r="1060" spans="1:12">
      <c r="A1060" s="96">
        <v>44820</v>
      </c>
      <c r="B1060" s="101">
        <v>37.270000000000003</v>
      </c>
      <c r="C1060" s="4">
        <f t="shared" si="32"/>
        <v>-2.8565814322098093E-2</v>
      </c>
      <c r="D1060" s="1">
        <f>IFERROR(Comp2[[#This Row],[Comparable '#2 Return]]+1,"-")</f>
        <v>0.97143418567790185</v>
      </c>
      <c r="E1060" s="6">
        <f>B1060-MAX($B$2:B1060)</f>
        <v>-20.889999999999993</v>
      </c>
      <c r="F1060" s="80">
        <f t="shared" si="33"/>
        <v>967</v>
      </c>
      <c r="G1060" s="77">
        <f>Comp2[[#This Row],[Comparable '#2 Drawdown]]/MAX($B$2:B1060)</f>
        <v>-0.35918156808803292</v>
      </c>
      <c r="H1060" s="1" t="str">
        <f>IF(SUM(COUNTIF(Benchmark1[Benchmark '#1 Dates],Comp2[[#This Row],[Comparable '#2 Dates]]),COUNTIF(Benchmark2[Benchmark '#2 Dates],Comp2[[#This Row],[Comparable '#2 Dates]]))=2,"Pass","Fail")</f>
        <v>Pass</v>
      </c>
      <c r="I1060" s="1">
        <f>IFERROR(Comp2[[#This Row],[Comparable '#2 Return]]-INDEX(Benchmark1[Benchmark '#1 Return],MATCH(Comp2[[#This Row],[Comparable '#2 Dates]],Benchmark1[Benchmark '#1 Dates],0)),"-")</f>
        <v>-2.1358145876353041E-2</v>
      </c>
      <c r="L1060" s="72">
        <f>Comp2[[#This Row],[Comparable '#2 Price]]/$B$2*100</f>
        <v>74.989939637826964</v>
      </c>
    </row>
    <row r="1061" spans="1:12">
      <c r="A1061" s="96">
        <v>44823</v>
      </c>
      <c r="B1061" s="101">
        <v>37.18</v>
      </c>
      <c r="C1061" s="4">
        <f t="shared" si="32"/>
        <v>-2.4177311978691904E-3</v>
      </c>
      <c r="D1061" s="1">
        <f>IFERROR(Comp2[[#This Row],[Comparable '#2 Return]]+1,"-")</f>
        <v>0.99758226880213086</v>
      </c>
      <c r="E1061" s="6">
        <f>B1061-MAX($B$2:B1061)</f>
        <v>-20.979999999999997</v>
      </c>
      <c r="F1061" s="80">
        <f t="shared" si="33"/>
        <v>968</v>
      </c>
      <c r="G1061" s="77">
        <f>Comp2[[#This Row],[Comparable '#2 Drawdown]]/MAX($B$2:B1061)</f>
        <v>-0.36072902338376889</v>
      </c>
      <c r="H1061" s="1" t="str">
        <f>IF(SUM(COUNTIF(Benchmark1[Benchmark '#1 Dates],Comp2[[#This Row],[Comparable '#2 Dates]]),COUNTIF(Benchmark2[Benchmark '#2 Dates],Comp2[[#This Row],[Comparable '#2 Dates]]))=2,"Pass","Fail")</f>
        <v>Pass</v>
      </c>
      <c r="I1061" s="1">
        <f>IFERROR(Comp2[[#This Row],[Comparable '#2 Return]]-INDEX(Benchmark1[Benchmark '#1 Return],MATCH(Comp2[[#This Row],[Comparable '#2 Dates]],Benchmark1[Benchmark '#1 Dates],0)),"-")</f>
        <v>-9.2493328840692682E-3</v>
      </c>
      <c r="L1061" s="72">
        <f>Comp2[[#This Row],[Comparable '#2 Price]]/$B$2*100</f>
        <v>74.808853118712264</v>
      </c>
    </row>
    <row r="1062" spans="1:12">
      <c r="A1062" s="96">
        <v>44824</v>
      </c>
      <c r="B1062" s="101">
        <v>37.229999999999997</v>
      </c>
      <c r="C1062" s="4">
        <f t="shared" si="32"/>
        <v>1.3439055913274914E-3</v>
      </c>
      <c r="D1062" s="1">
        <f>IFERROR(Comp2[[#This Row],[Comparable '#2 Return]]+1,"-")</f>
        <v>1.0013439055913276</v>
      </c>
      <c r="E1062" s="6">
        <f>B1062-MAX($B$2:B1062)</f>
        <v>-20.93</v>
      </c>
      <c r="F1062" s="80">
        <f t="shared" si="33"/>
        <v>969</v>
      </c>
      <c r="G1062" s="77">
        <f>Comp2[[#This Row],[Comparable '#2 Drawdown]]/MAX($B$2:B1062)</f>
        <v>-0.35986932599724897</v>
      </c>
      <c r="H1062" s="1" t="str">
        <f>IF(SUM(COUNTIF(Benchmark1[Benchmark '#1 Dates],Comp2[[#This Row],[Comparable '#2 Dates]]),COUNTIF(Benchmark2[Benchmark '#2 Dates],Comp2[[#This Row],[Comparable '#2 Dates]]))=2,"Pass","Fail")</f>
        <v>Pass</v>
      </c>
      <c r="I1062" s="1">
        <f>IFERROR(Comp2[[#This Row],[Comparable '#2 Return]]-INDEX(Benchmark1[Benchmark '#1 Return],MATCH(Comp2[[#This Row],[Comparable '#2 Dates]],Benchmark1[Benchmark '#1 Dates],0)),"-")</f>
        <v>1.2677868854734289E-2</v>
      </c>
      <c r="L1062" s="72">
        <f>Comp2[[#This Row],[Comparable '#2 Price]]/$B$2*100</f>
        <v>74.90945674044265</v>
      </c>
    </row>
    <row r="1063" spans="1:12">
      <c r="A1063" s="96">
        <v>44825</v>
      </c>
      <c r="B1063" s="101">
        <v>36.869999999999997</v>
      </c>
      <c r="C1063" s="4">
        <f t="shared" si="32"/>
        <v>-9.7166756385724268E-3</v>
      </c>
      <c r="D1063" s="1">
        <f>IFERROR(Comp2[[#This Row],[Comparable '#2 Return]]+1,"-")</f>
        <v>0.99028332436142752</v>
      </c>
      <c r="E1063" s="6">
        <f>B1063-MAX($B$2:B1063)</f>
        <v>-21.29</v>
      </c>
      <c r="F1063" s="80">
        <f t="shared" si="33"/>
        <v>970</v>
      </c>
      <c r="G1063" s="77">
        <f>Comp2[[#This Row],[Comparable '#2 Drawdown]]/MAX($B$2:B1063)</f>
        <v>-0.36605914718019256</v>
      </c>
      <c r="H1063" s="1" t="str">
        <f>IF(SUM(COUNTIF(Benchmark1[Benchmark '#1 Dates],Comp2[[#This Row],[Comparable '#2 Dates]]),COUNTIF(Benchmark2[Benchmark '#2 Dates],Comp2[[#This Row],[Comparable '#2 Dates]]))=2,"Pass","Fail")</f>
        <v>Pass</v>
      </c>
      <c r="I1063" s="1">
        <f>IFERROR(Comp2[[#This Row],[Comparable '#2 Return]]-INDEX(Benchmark1[Benchmark '#1 Return],MATCH(Comp2[[#This Row],[Comparable '#2 Dates]],Benchmark1[Benchmark '#1 Dates],0)),"-")</f>
        <v>7.5483955518043256E-3</v>
      </c>
      <c r="L1063" s="72">
        <f>Comp2[[#This Row],[Comparable '#2 Price]]/$B$2*100</f>
        <v>74.185110663983892</v>
      </c>
    </row>
    <row r="1064" spans="1:12">
      <c r="A1064" s="96">
        <v>44826</v>
      </c>
      <c r="B1064" s="101">
        <v>35.96</v>
      </c>
      <c r="C1064" s="4">
        <f t="shared" si="32"/>
        <v>-2.4991002642633531E-2</v>
      </c>
      <c r="D1064" s="1">
        <f>IFERROR(Comp2[[#This Row],[Comparable '#2 Return]]+1,"-")</f>
        <v>0.97500899735736646</v>
      </c>
      <c r="E1064" s="6">
        <f>B1064-MAX($B$2:B1064)</f>
        <v>-22.199999999999996</v>
      </c>
      <c r="F1064" s="80">
        <f t="shared" si="33"/>
        <v>971</v>
      </c>
      <c r="G1064" s="77">
        <f>Comp2[[#This Row],[Comparable '#2 Drawdown]]/MAX($B$2:B1064)</f>
        <v>-0.38170563961485554</v>
      </c>
      <c r="H1064" s="1" t="str">
        <f>IF(SUM(COUNTIF(Benchmark1[Benchmark '#1 Dates],Comp2[[#This Row],[Comparable '#2 Dates]]),COUNTIF(Benchmark2[Benchmark '#2 Dates],Comp2[[#This Row],[Comparable '#2 Dates]]))=2,"Pass","Fail")</f>
        <v>Pass</v>
      </c>
      <c r="I1064" s="1">
        <f>IFERROR(Comp2[[#This Row],[Comparable '#2 Return]]-INDEX(Benchmark1[Benchmark '#1 Return],MATCH(Comp2[[#This Row],[Comparable '#2 Dates]],Benchmark1[Benchmark '#1 Dates],0)),"-")</f>
        <v>-1.6527283610415298E-2</v>
      </c>
      <c r="L1064" s="72">
        <f>Comp2[[#This Row],[Comparable '#2 Price]]/$B$2*100</f>
        <v>72.354124748490946</v>
      </c>
    </row>
    <row r="1065" spans="1:12">
      <c r="A1065" s="96">
        <v>44827</v>
      </c>
      <c r="B1065" s="101">
        <v>35.47</v>
      </c>
      <c r="C1065" s="4">
        <f t="shared" si="32"/>
        <v>-1.3719940817889076E-2</v>
      </c>
      <c r="D1065" s="1">
        <f>IFERROR(Comp2[[#This Row],[Comparable '#2 Return]]+1,"-")</f>
        <v>0.98628005918211092</v>
      </c>
      <c r="E1065" s="6">
        <f>B1065-MAX($B$2:B1065)</f>
        <v>-22.689999999999998</v>
      </c>
      <c r="F1065" s="80">
        <f t="shared" si="33"/>
        <v>972</v>
      </c>
      <c r="G1065" s="77">
        <f>Comp2[[#This Row],[Comparable '#2 Drawdown]]/MAX($B$2:B1065)</f>
        <v>-0.39013067400275103</v>
      </c>
      <c r="H1065" s="1" t="str">
        <f>IF(SUM(COUNTIF(Benchmark1[Benchmark '#1 Dates],Comp2[[#This Row],[Comparable '#2 Dates]]),COUNTIF(Benchmark2[Benchmark '#2 Dates],Comp2[[#This Row],[Comparable '#2 Dates]]))=2,"Pass","Fail")</f>
        <v>Pass</v>
      </c>
      <c r="I1065" s="1">
        <f>IFERROR(Comp2[[#This Row],[Comparable '#2 Return]]-INDEX(Benchmark1[Benchmark '#1 Return],MATCH(Comp2[[#This Row],[Comparable '#2 Dates]],Benchmark1[Benchmark '#1 Dates],0)),"-")</f>
        <v>3.6622431513519821E-3</v>
      </c>
      <c r="L1065" s="72">
        <f>Comp2[[#This Row],[Comparable '#2 Price]]/$B$2*100</f>
        <v>71.368209255533188</v>
      </c>
    </row>
    <row r="1066" spans="1:12">
      <c r="A1066" s="96">
        <v>44830</v>
      </c>
      <c r="B1066" s="101">
        <v>35.33</v>
      </c>
      <c r="C1066" s="4">
        <f t="shared" si="32"/>
        <v>-3.9548074144766104E-3</v>
      </c>
      <c r="D1066" s="1">
        <f>IFERROR(Comp2[[#This Row],[Comparable '#2 Return]]+1,"-")</f>
        <v>0.99604519258552338</v>
      </c>
      <c r="E1066" s="6">
        <f>B1066-MAX($B$2:B1066)</f>
        <v>-22.83</v>
      </c>
      <c r="F1066" s="80">
        <f t="shared" si="33"/>
        <v>973</v>
      </c>
      <c r="G1066" s="77">
        <f>Comp2[[#This Row],[Comparable '#2 Drawdown]]/MAX($B$2:B1066)</f>
        <v>-0.39253782668500686</v>
      </c>
      <c r="H1066" s="1" t="str">
        <f>IF(SUM(COUNTIF(Benchmark1[Benchmark '#1 Dates],Comp2[[#This Row],[Comparable '#2 Dates]]),COUNTIF(Benchmark2[Benchmark '#2 Dates],Comp2[[#This Row],[Comparable '#2 Dates]]))=2,"Pass","Fail")</f>
        <v>Pass</v>
      </c>
      <c r="I1066" s="1">
        <f>IFERROR(Comp2[[#This Row],[Comparable '#2 Return]]-INDEX(Benchmark1[Benchmark '#1 Return],MATCH(Comp2[[#This Row],[Comparable '#2 Dates]],Benchmark1[Benchmark '#1 Dates],0)),"-")</f>
        <v>6.4399190578197565E-3</v>
      </c>
      <c r="L1066" s="72">
        <f>Comp2[[#This Row],[Comparable '#2 Price]]/$B$2*100</f>
        <v>71.086519114688116</v>
      </c>
    </row>
    <row r="1067" spans="1:12">
      <c r="A1067" s="96">
        <v>44831</v>
      </c>
      <c r="B1067" s="101">
        <v>35.47</v>
      </c>
      <c r="C1067" s="4">
        <f t="shared" si="32"/>
        <v>3.9548074144765966E-3</v>
      </c>
      <c r="D1067" s="1">
        <f>IFERROR(Comp2[[#This Row],[Comparable '#2 Return]]+1,"-")</f>
        <v>1.0039548074144766</v>
      </c>
      <c r="E1067" s="6">
        <f>B1067-MAX($B$2:B1067)</f>
        <v>-22.689999999999998</v>
      </c>
      <c r="F1067" s="80">
        <f t="shared" si="33"/>
        <v>974</v>
      </c>
      <c r="G1067" s="77">
        <f>Comp2[[#This Row],[Comparable '#2 Drawdown]]/MAX($B$2:B1067)</f>
        <v>-0.39013067400275103</v>
      </c>
      <c r="H1067" s="1" t="str">
        <f>IF(SUM(COUNTIF(Benchmark1[Benchmark '#1 Dates],Comp2[[#This Row],[Comparable '#2 Dates]]),COUNTIF(Benchmark2[Benchmark '#2 Dates],Comp2[[#This Row],[Comparable '#2 Dates]]))=2,"Pass","Fail")</f>
        <v>Pass</v>
      </c>
      <c r="I1067" s="1">
        <f>IFERROR(Comp2[[#This Row],[Comparable '#2 Return]]-INDEX(Benchmark1[Benchmark '#1 Return],MATCH(Comp2[[#This Row],[Comparable '#2 Dates]],Benchmark1[Benchmark '#1 Dates],0)),"-")</f>
        <v>6.0780439347391359E-3</v>
      </c>
      <c r="L1067" s="72">
        <f>Comp2[[#This Row],[Comparable '#2 Price]]/$B$2*100</f>
        <v>71.368209255533188</v>
      </c>
    </row>
    <row r="1068" spans="1:12">
      <c r="A1068" s="96">
        <v>44832</v>
      </c>
      <c r="B1068" s="101">
        <v>37.619999999999997</v>
      </c>
      <c r="C1068" s="4">
        <f t="shared" si="32"/>
        <v>5.8848555087353774E-2</v>
      </c>
      <c r="D1068" s="1">
        <f>IFERROR(Comp2[[#This Row],[Comparable '#2 Return]]+1,"-")</f>
        <v>1.0588485550873539</v>
      </c>
      <c r="E1068" s="6">
        <f>B1068-MAX($B$2:B1068)</f>
        <v>-20.54</v>
      </c>
      <c r="F1068" s="80">
        <f t="shared" si="33"/>
        <v>975</v>
      </c>
      <c r="G1068" s="77">
        <f>Comp2[[#This Row],[Comparable '#2 Drawdown]]/MAX($B$2:B1068)</f>
        <v>-0.35316368638239343</v>
      </c>
      <c r="H1068" s="1" t="str">
        <f>IF(SUM(COUNTIF(Benchmark1[Benchmark '#1 Dates],Comp2[[#This Row],[Comparable '#2 Dates]]),COUNTIF(Benchmark2[Benchmark '#2 Dates],Comp2[[#This Row],[Comparable '#2 Dates]]))=2,"Pass","Fail")</f>
        <v>Pass</v>
      </c>
      <c r="I1068" s="1">
        <f>IFERROR(Comp2[[#This Row],[Comparable '#2 Return]]-INDEX(Benchmark1[Benchmark '#1 Return],MATCH(Comp2[[#This Row],[Comparable '#2 Dates]],Benchmark1[Benchmark '#1 Dates],0)),"-")</f>
        <v>3.9367732710223556E-2</v>
      </c>
      <c r="L1068" s="72">
        <f>Comp2[[#This Row],[Comparable '#2 Price]]/$B$2*100</f>
        <v>75.694164989939623</v>
      </c>
    </row>
    <row r="1069" spans="1:12">
      <c r="A1069" s="96">
        <v>44833</v>
      </c>
      <c r="B1069" s="101">
        <v>37.020000000000003</v>
      </c>
      <c r="C1069" s="4">
        <f t="shared" si="32"/>
        <v>-1.6077516727532777E-2</v>
      </c>
      <c r="D1069" s="1">
        <f>IFERROR(Comp2[[#This Row],[Comparable '#2 Return]]+1,"-")</f>
        <v>0.98392248327246723</v>
      </c>
      <c r="E1069" s="6">
        <f>B1069-MAX($B$2:B1069)</f>
        <v>-21.139999999999993</v>
      </c>
      <c r="F1069" s="80">
        <f t="shared" si="33"/>
        <v>976</v>
      </c>
      <c r="G1069" s="77">
        <f>Comp2[[#This Row],[Comparable '#2 Drawdown]]/MAX($B$2:B1069)</f>
        <v>-0.36348005502063263</v>
      </c>
      <c r="H1069" s="1" t="str">
        <f>IF(SUM(COUNTIF(Benchmark1[Benchmark '#1 Dates],Comp2[[#This Row],[Comparable '#2 Dates]]),COUNTIF(Benchmark2[Benchmark '#2 Dates],Comp2[[#This Row],[Comparable '#2 Dates]]))=2,"Pass","Fail")</f>
        <v>Pass</v>
      </c>
      <c r="I1069" s="1">
        <f>IFERROR(Comp2[[#This Row],[Comparable '#2 Return]]-INDEX(Benchmark1[Benchmark '#1 Return],MATCH(Comp2[[#This Row],[Comparable '#2 Dates]],Benchmark1[Benchmark '#1 Dates],0)),"-")</f>
        <v>5.2754289972140773E-3</v>
      </c>
      <c r="L1069" s="72">
        <f>Comp2[[#This Row],[Comparable '#2 Price]]/$B$2*100</f>
        <v>74.486921529175049</v>
      </c>
    </row>
    <row r="1070" spans="1:12">
      <c r="A1070" s="96">
        <v>44834</v>
      </c>
      <c r="B1070" s="101">
        <v>36.450000000000003</v>
      </c>
      <c r="C1070" s="4">
        <f t="shared" si="32"/>
        <v>-1.5516848690684244E-2</v>
      </c>
      <c r="D1070" s="1">
        <f>IFERROR(Comp2[[#This Row],[Comparable '#2 Return]]+1,"-")</f>
        <v>0.98448315130931574</v>
      </c>
      <c r="E1070" s="6">
        <f>B1070-MAX($B$2:B1070)</f>
        <v>-21.709999999999994</v>
      </c>
      <c r="F1070" s="80">
        <f t="shared" si="33"/>
        <v>977</v>
      </c>
      <c r="G1070" s="77">
        <f>Comp2[[#This Row],[Comparable '#2 Drawdown]]/MAX($B$2:B1070)</f>
        <v>-0.37328060522696005</v>
      </c>
      <c r="H1070" s="1" t="str">
        <f>IF(SUM(COUNTIF(Benchmark1[Benchmark '#1 Dates],Comp2[[#This Row],[Comparable '#2 Dates]]),COUNTIF(Benchmark2[Benchmark '#2 Dates],Comp2[[#This Row],[Comparable '#2 Dates]]))=2,"Pass","Fail")</f>
        <v>Pass</v>
      </c>
      <c r="I1070" s="1">
        <f>IFERROR(Comp2[[#This Row],[Comparable '#2 Return]]-INDEX(Benchmark1[Benchmark '#1 Return],MATCH(Comp2[[#This Row],[Comparable '#2 Dates]],Benchmark1[Benchmark '#1 Dates],0)),"-")</f>
        <v>-3.371118738671481E-4</v>
      </c>
      <c r="L1070" s="72">
        <f>Comp2[[#This Row],[Comparable '#2 Price]]/$B$2*100</f>
        <v>73.34004024144869</v>
      </c>
    </row>
    <row r="1071" spans="1:12">
      <c r="A1071" s="96">
        <v>44837</v>
      </c>
      <c r="B1071" s="101">
        <v>36.380000000000003</v>
      </c>
      <c r="C1071" s="4">
        <f t="shared" si="32"/>
        <v>-1.9222853646909215E-3</v>
      </c>
      <c r="D1071" s="1">
        <f>IFERROR(Comp2[[#This Row],[Comparable '#2 Return]]+1,"-")</f>
        <v>0.99807771463530903</v>
      </c>
      <c r="E1071" s="6">
        <f>B1071-MAX($B$2:B1071)</f>
        <v>-21.779999999999994</v>
      </c>
      <c r="F1071" s="80">
        <f t="shared" si="33"/>
        <v>978</v>
      </c>
      <c r="G1071" s="77">
        <f>Comp2[[#This Row],[Comparable '#2 Drawdown]]/MAX($B$2:B1071)</f>
        <v>-0.37448418156808794</v>
      </c>
      <c r="H1071" s="1" t="str">
        <f>IF(SUM(COUNTIF(Benchmark1[Benchmark '#1 Dates],Comp2[[#This Row],[Comparable '#2 Dates]]),COUNTIF(Benchmark2[Benchmark '#2 Dates],Comp2[[#This Row],[Comparable '#2 Dates]]))=2,"Pass","Fail")</f>
        <v>Pass</v>
      </c>
      <c r="I1071" s="1">
        <f>IFERROR(Comp2[[#This Row],[Comparable '#2 Return]]-INDEX(Benchmark1[Benchmark '#1 Return],MATCH(Comp2[[#This Row],[Comparable '#2 Dates]],Benchmark1[Benchmark '#1 Dates],0)),"-")</f>
        <v>-2.7475447140233034E-2</v>
      </c>
      <c r="L1071" s="72">
        <f>Comp2[[#This Row],[Comparable '#2 Price]]/$B$2*100</f>
        <v>73.199195171026162</v>
      </c>
    </row>
    <row r="1072" spans="1:12">
      <c r="A1072" s="96">
        <v>44838</v>
      </c>
      <c r="B1072" s="101">
        <v>37.75</v>
      </c>
      <c r="C1072" s="4">
        <f t="shared" si="32"/>
        <v>3.6966302605057434E-2</v>
      </c>
      <c r="D1072" s="1">
        <f>IFERROR(Comp2[[#This Row],[Comparable '#2 Return]]+1,"-")</f>
        <v>1.0369663026050575</v>
      </c>
      <c r="E1072" s="6">
        <f>B1072-MAX($B$2:B1072)</f>
        <v>-20.409999999999997</v>
      </c>
      <c r="F1072" s="80">
        <f t="shared" si="33"/>
        <v>979</v>
      </c>
      <c r="G1072" s="77">
        <f>Comp2[[#This Row],[Comparable '#2 Drawdown]]/MAX($B$2:B1072)</f>
        <v>-0.35092847317744152</v>
      </c>
      <c r="H1072" s="1" t="str">
        <f>IF(SUM(COUNTIF(Benchmark1[Benchmark '#1 Dates],Comp2[[#This Row],[Comparable '#2 Dates]]),COUNTIF(Benchmark2[Benchmark '#2 Dates],Comp2[[#This Row],[Comparable '#2 Dates]]))=2,"Pass","Fail")</f>
        <v>Pass</v>
      </c>
      <c r="I1072" s="1">
        <f>IFERROR(Comp2[[#This Row],[Comparable '#2 Return]]-INDEX(Benchmark1[Benchmark '#1 Return],MATCH(Comp2[[#This Row],[Comparable '#2 Dates]],Benchmark1[Benchmark '#1 Dates],0)),"-")</f>
        <v>6.8409407315769277E-3</v>
      </c>
      <c r="L1072" s="72">
        <f>Comp2[[#This Row],[Comparable '#2 Price]]/$B$2*100</f>
        <v>75.955734406438623</v>
      </c>
    </row>
    <row r="1073" spans="1:12">
      <c r="A1073" s="96">
        <v>44839</v>
      </c>
      <c r="B1073" s="101">
        <v>37.159999999999997</v>
      </c>
      <c r="C1073" s="4">
        <f t="shared" si="32"/>
        <v>-1.5752561749396057E-2</v>
      </c>
      <c r="D1073" s="1">
        <f>IFERROR(Comp2[[#This Row],[Comparable '#2 Return]]+1,"-")</f>
        <v>0.9842474382506039</v>
      </c>
      <c r="E1073" s="6">
        <f>B1073-MAX($B$2:B1073)</f>
        <v>-21</v>
      </c>
      <c r="F1073" s="80">
        <f t="shared" si="33"/>
        <v>980</v>
      </c>
      <c r="G1073" s="77">
        <f>Comp2[[#This Row],[Comparable '#2 Drawdown]]/MAX($B$2:B1073)</f>
        <v>-0.36107290233837691</v>
      </c>
      <c r="H1073" s="1" t="str">
        <f>IF(SUM(COUNTIF(Benchmark1[Benchmark '#1 Dates],Comp2[[#This Row],[Comparable '#2 Dates]]),COUNTIF(Benchmark2[Benchmark '#2 Dates],Comp2[[#This Row],[Comparable '#2 Dates]]))=2,"Pass","Fail")</f>
        <v>Pass</v>
      </c>
      <c r="I1073" s="1">
        <f>IFERROR(Comp2[[#This Row],[Comparable '#2 Return]]-INDEX(Benchmark1[Benchmark '#1 Return],MATCH(Comp2[[#This Row],[Comparable '#2 Dates]],Benchmark1[Benchmark '#1 Dates],0)),"-")</f>
        <v>-1.3733215095640541E-2</v>
      </c>
      <c r="L1073" s="72">
        <f>Comp2[[#This Row],[Comparable '#2 Price]]/$B$2*100</f>
        <v>74.768611670020107</v>
      </c>
    </row>
    <row r="1074" spans="1:12">
      <c r="A1074" s="96">
        <v>44840</v>
      </c>
      <c r="B1074" s="101">
        <v>37.479999999999997</v>
      </c>
      <c r="C1074" s="4">
        <f t="shared" si="32"/>
        <v>8.5745434245837176E-3</v>
      </c>
      <c r="D1074" s="1">
        <f>IFERROR(Comp2[[#This Row],[Comparable '#2 Return]]+1,"-")</f>
        <v>1.0085745434245836</v>
      </c>
      <c r="E1074" s="6">
        <f>B1074-MAX($B$2:B1074)</f>
        <v>-20.68</v>
      </c>
      <c r="F1074" s="80">
        <f t="shared" si="33"/>
        <v>981</v>
      </c>
      <c r="G1074" s="77">
        <f>Comp2[[#This Row],[Comparable '#2 Drawdown]]/MAX($B$2:B1074)</f>
        <v>-0.35557083906464926</v>
      </c>
      <c r="H1074" s="1" t="str">
        <f>IF(SUM(COUNTIF(Benchmark1[Benchmark '#1 Dates],Comp2[[#This Row],[Comparable '#2 Dates]]),COUNTIF(Benchmark2[Benchmark '#2 Dates],Comp2[[#This Row],[Comparable '#2 Dates]]))=2,"Pass","Fail")</f>
        <v>Pass</v>
      </c>
      <c r="I1074" s="1">
        <f>IFERROR(Comp2[[#This Row],[Comparable '#2 Return]]-INDEX(Benchmark1[Benchmark '#1 Return],MATCH(Comp2[[#This Row],[Comparable '#2 Dates]],Benchmark1[Benchmark '#1 Dates],0)),"-")</f>
        <v>1.8872873715251239E-2</v>
      </c>
      <c r="L1074" s="72">
        <f>Comp2[[#This Row],[Comparable '#2 Price]]/$B$2*100</f>
        <v>75.412474849094551</v>
      </c>
    </row>
    <row r="1075" spans="1:12">
      <c r="A1075" s="96">
        <v>44841</v>
      </c>
      <c r="B1075" s="101">
        <v>36.74</v>
      </c>
      <c r="C1075" s="4">
        <f t="shared" si="32"/>
        <v>-1.9941377583241656E-2</v>
      </c>
      <c r="D1075" s="1">
        <f>IFERROR(Comp2[[#This Row],[Comparable '#2 Return]]+1,"-")</f>
        <v>0.98005862241675834</v>
      </c>
      <c r="E1075" s="6">
        <f>B1075-MAX($B$2:B1075)</f>
        <v>-21.419999999999995</v>
      </c>
      <c r="F1075" s="80">
        <f t="shared" si="33"/>
        <v>982</v>
      </c>
      <c r="G1075" s="77">
        <f>Comp2[[#This Row],[Comparable '#2 Drawdown]]/MAX($B$2:B1075)</f>
        <v>-0.36829436038514435</v>
      </c>
      <c r="H1075" s="1" t="str">
        <f>IF(SUM(COUNTIF(Benchmark1[Benchmark '#1 Dates],Comp2[[#This Row],[Comparable '#2 Dates]]),COUNTIF(Benchmark2[Benchmark '#2 Dates],Comp2[[#This Row],[Comparable '#2 Dates]]))=2,"Pass","Fail")</f>
        <v>Pass</v>
      </c>
      <c r="I1075" s="1">
        <f>IFERROR(Comp2[[#This Row],[Comparable '#2 Return]]-INDEX(Benchmark1[Benchmark '#1 Return],MATCH(Comp2[[#This Row],[Comparable '#2 Dates]],Benchmark1[Benchmark '#1 Dates],0)),"-")</f>
        <v>8.4617377120932702E-3</v>
      </c>
      <c r="L1075" s="72">
        <f>Comp2[[#This Row],[Comparable '#2 Price]]/$B$2*100</f>
        <v>73.92354124748492</v>
      </c>
    </row>
    <row r="1076" spans="1:12">
      <c r="A1076" s="96">
        <v>44844</v>
      </c>
      <c r="B1076" s="101">
        <v>37.33</v>
      </c>
      <c r="C1076" s="4">
        <f t="shared" si="32"/>
        <v>1.5931213139512714E-2</v>
      </c>
      <c r="D1076" s="1">
        <f>IFERROR(Comp2[[#This Row],[Comparable '#2 Return]]+1,"-")</f>
        <v>1.0159312131395126</v>
      </c>
      <c r="E1076" s="6">
        <f>B1076-MAX($B$2:B1076)</f>
        <v>-20.83</v>
      </c>
      <c r="F1076" s="80">
        <f t="shared" si="33"/>
        <v>983</v>
      </c>
      <c r="G1076" s="77">
        <f>Comp2[[#This Row],[Comparable '#2 Drawdown]]/MAX($B$2:B1076)</f>
        <v>-0.35814993122420907</v>
      </c>
      <c r="H1076" s="1" t="str">
        <f>IF(SUM(COUNTIF(Benchmark1[Benchmark '#1 Dates],Comp2[[#This Row],[Comparable '#2 Dates]]),COUNTIF(Benchmark2[Benchmark '#2 Dates],Comp2[[#This Row],[Comparable '#2 Dates]]))=2,"Pass","Fail")</f>
        <v>Pass</v>
      </c>
      <c r="I1076" s="1">
        <f>IFERROR(Comp2[[#This Row],[Comparable '#2 Return]]-INDEX(Benchmark1[Benchmark '#1 Return],MATCH(Comp2[[#This Row],[Comparable '#2 Dates]],Benchmark1[Benchmark '#1 Dates],0)),"-")</f>
        <v>2.3452583059088625E-2</v>
      </c>
      <c r="L1076" s="72">
        <f>Comp2[[#This Row],[Comparable '#2 Price]]/$B$2*100</f>
        <v>75.110663983903407</v>
      </c>
    </row>
    <row r="1077" spans="1:12">
      <c r="A1077" s="96">
        <v>44845</v>
      </c>
      <c r="B1077" s="101">
        <v>37.35</v>
      </c>
      <c r="C1077" s="4">
        <f t="shared" si="32"/>
        <v>5.3561865233382646E-4</v>
      </c>
      <c r="D1077" s="1">
        <f>IFERROR(Comp2[[#This Row],[Comparable '#2 Return]]+1,"-")</f>
        <v>1.0005356186523338</v>
      </c>
      <c r="E1077" s="6">
        <f>B1077-MAX($B$2:B1077)</f>
        <v>-20.809999999999995</v>
      </c>
      <c r="F1077" s="80">
        <f t="shared" si="33"/>
        <v>984</v>
      </c>
      <c r="G1077" s="77">
        <f>Comp2[[#This Row],[Comparable '#2 Drawdown]]/MAX($B$2:B1077)</f>
        <v>-0.35780605226960105</v>
      </c>
      <c r="H1077" s="1" t="str">
        <f>IF(SUM(COUNTIF(Benchmark1[Benchmark '#1 Dates],Comp2[[#This Row],[Comparable '#2 Dates]]),COUNTIF(Benchmark2[Benchmark '#2 Dates],Comp2[[#This Row],[Comparable '#2 Dates]]))=2,"Pass","Fail")</f>
        <v>Pass</v>
      </c>
      <c r="I1077" s="1">
        <f>IFERROR(Comp2[[#This Row],[Comparable '#2 Return]]-INDEX(Benchmark1[Benchmark '#1 Return],MATCH(Comp2[[#This Row],[Comparable '#2 Dates]],Benchmark1[Benchmark '#1 Dates],0)),"-")</f>
        <v>7.074964414130718E-3</v>
      </c>
      <c r="L1077" s="72">
        <f>Comp2[[#This Row],[Comparable '#2 Price]]/$B$2*100</f>
        <v>75.150905432595579</v>
      </c>
    </row>
    <row r="1078" spans="1:12">
      <c r="A1078" s="96">
        <v>44846</v>
      </c>
      <c r="B1078" s="101">
        <v>38.200000000000003</v>
      </c>
      <c r="C1078" s="4">
        <f t="shared" si="32"/>
        <v>2.2502604033703244E-2</v>
      </c>
      <c r="D1078" s="1">
        <f>IFERROR(Comp2[[#This Row],[Comparable '#2 Return]]+1,"-")</f>
        <v>1.0225026040337033</v>
      </c>
      <c r="E1078" s="6">
        <f>B1078-MAX($B$2:B1078)</f>
        <v>-19.959999999999994</v>
      </c>
      <c r="F1078" s="80">
        <f t="shared" si="33"/>
        <v>985</v>
      </c>
      <c r="G1078" s="77">
        <f>Comp2[[#This Row],[Comparable '#2 Drawdown]]/MAX($B$2:B1078)</f>
        <v>-0.34319119669876197</v>
      </c>
      <c r="H1078" s="1" t="str">
        <f>IF(SUM(COUNTIF(Benchmark1[Benchmark '#1 Dates],Comp2[[#This Row],[Comparable '#2 Dates]]),COUNTIF(Benchmark2[Benchmark '#2 Dates],Comp2[[#This Row],[Comparable '#2 Dates]]))=2,"Pass","Fail")</f>
        <v>Pass</v>
      </c>
      <c r="I1078" s="1">
        <f>IFERROR(Comp2[[#This Row],[Comparable '#2 Return]]-INDEX(Benchmark1[Benchmark '#1 Return],MATCH(Comp2[[#This Row],[Comparable '#2 Dates]],Benchmark1[Benchmark '#1 Dates],0)),"-")</f>
        <v>2.5798856433721064E-2</v>
      </c>
      <c r="L1078" s="72">
        <f>Comp2[[#This Row],[Comparable '#2 Price]]/$B$2*100</f>
        <v>76.861167002012081</v>
      </c>
    </row>
    <row r="1079" spans="1:12">
      <c r="A1079" s="96">
        <v>44847</v>
      </c>
      <c r="B1079" s="101">
        <v>37.99</v>
      </c>
      <c r="C1079" s="4">
        <f t="shared" si="32"/>
        <v>-5.5125484129953202E-3</v>
      </c>
      <c r="D1079" s="1">
        <f>IFERROR(Comp2[[#This Row],[Comparable '#2 Return]]+1,"-")</f>
        <v>0.99448745158700469</v>
      </c>
      <c r="E1079" s="6">
        <f>B1079-MAX($B$2:B1079)</f>
        <v>-20.169999999999995</v>
      </c>
      <c r="F1079" s="80">
        <f t="shared" si="33"/>
        <v>986</v>
      </c>
      <c r="G1079" s="77">
        <f>Comp2[[#This Row],[Comparable '#2 Drawdown]]/MAX($B$2:B1079)</f>
        <v>-0.34680192572214574</v>
      </c>
      <c r="H1079" s="1" t="str">
        <f>IF(SUM(COUNTIF(Benchmark1[Benchmark '#1 Dates],Comp2[[#This Row],[Comparable '#2 Dates]]),COUNTIF(Benchmark2[Benchmark '#2 Dates],Comp2[[#This Row],[Comparable '#2 Dates]]))=2,"Pass","Fail")</f>
        <v>Pass</v>
      </c>
      <c r="I1079" s="1">
        <f>IFERROR(Comp2[[#This Row],[Comparable '#2 Return]]-INDEX(Benchmark1[Benchmark '#1 Return],MATCH(Comp2[[#This Row],[Comparable '#2 Dates]],Benchmark1[Benchmark '#1 Dates],0)),"-")</f>
        <v>-3.1145196143941133E-2</v>
      </c>
      <c r="L1079" s="72">
        <f>Comp2[[#This Row],[Comparable '#2 Price]]/$B$2*100</f>
        <v>76.438631790744466</v>
      </c>
    </row>
    <row r="1080" spans="1:12">
      <c r="A1080" s="96">
        <v>44848</v>
      </c>
      <c r="B1080" s="101">
        <v>36.32</v>
      </c>
      <c r="C1080" s="4">
        <f t="shared" si="32"/>
        <v>-4.4954413466441683E-2</v>
      </c>
      <c r="D1080" s="1">
        <f>IFERROR(Comp2[[#This Row],[Comparable '#2 Return]]+1,"-")</f>
        <v>0.95504558653355831</v>
      </c>
      <c r="E1080" s="6">
        <f>B1080-MAX($B$2:B1080)</f>
        <v>-21.839999999999996</v>
      </c>
      <c r="F1080" s="80">
        <f t="shared" si="33"/>
        <v>987</v>
      </c>
      <c r="G1080" s="77">
        <f>Comp2[[#This Row],[Comparable '#2 Drawdown]]/MAX($B$2:B1080)</f>
        <v>-0.37551581843191195</v>
      </c>
      <c r="H1080" s="1" t="str">
        <f>IF(SUM(COUNTIF(Benchmark1[Benchmark '#1 Dates],Comp2[[#This Row],[Comparable '#2 Dates]]),COUNTIF(Benchmark2[Benchmark '#2 Dates],Comp2[[#This Row],[Comparable '#2 Dates]]))=2,"Pass","Fail")</f>
        <v>Pass</v>
      </c>
      <c r="I1080" s="1">
        <f>IFERROR(Comp2[[#This Row],[Comparable '#2 Return]]-INDEX(Benchmark1[Benchmark '#1 Return],MATCH(Comp2[[#This Row],[Comparable '#2 Dates]],Benchmark1[Benchmark '#1 Dates],0)),"-")</f>
        <v>-2.1008183874517625E-2</v>
      </c>
      <c r="L1080" s="72">
        <f>Comp2[[#This Row],[Comparable '#2 Price]]/$B$2*100</f>
        <v>73.07847082494969</v>
      </c>
    </row>
    <row r="1081" spans="1:12">
      <c r="A1081" s="96">
        <v>44851</v>
      </c>
      <c r="B1081" s="101">
        <v>37.22</v>
      </c>
      <c r="C1081" s="4">
        <f t="shared" si="32"/>
        <v>2.4477697481012205E-2</v>
      </c>
      <c r="D1081" s="1">
        <f>IFERROR(Comp2[[#This Row],[Comparable '#2 Return]]+1,"-")</f>
        <v>1.0244776974810121</v>
      </c>
      <c r="E1081" s="6">
        <f>B1081-MAX($B$2:B1081)</f>
        <v>-20.939999999999998</v>
      </c>
      <c r="F1081" s="80">
        <f t="shared" si="33"/>
        <v>988</v>
      </c>
      <c r="G1081" s="77">
        <f>Comp2[[#This Row],[Comparable '#2 Drawdown]]/MAX($B$2:B1081)</f>
        <v>-0.36004126547455295</v>
      </c>
      <c r="H1081" s="1" t="str">
        <f>IF(SUM(COUNTIF(Benchmark1[Benchmark '#1 Dates],Comp2[[#This Row],[Comparable '#2 Dates]]),COUNTIF(Benchmark2[Benchmark '#2 Dates],Comp2[[#This Row],[Comparable '#2 Dates]]))=2,"Pass","Fail")</f>
        <v>Pass</v>
      </c>
      <c r="I1081" s="1">
        <f>IFERROR(Comp2[[#This Row],[Comparable '#2 Return]]-INDEX(Benchmark1[Benchmark '#1 Return],MATCH(Comp2[[#This Row],[Comparable '#2 Dates]],Benchmark1[Benchmark '#1 Dates],0)),"-")</f>
        <v>-1.6591387551981619E-3</v>
      </c>
      <c r="L1081" s="72">
        <f>Comp2[[#This Row],[Comparable '#2 Price]]/$B$2*100</f>
        <v>74.889336016096578</v>
      </c>
    </row>
    <row r="1082" spans="1:12">
      <c r="A1082" s="96">
        <v>44852</v>
      </c>
      <c r="B1082" s="101">
        <v>38.659999999999997</v>
      </c>
      <c r="C1082" s="4">
        <f t="shared" si="32"/>
        <v>3.7959222566080135E-2</v>
      </c>
      <c r="D1082" s="1">
        <f>IFERROR(Comp2[[#This Row],[Comparable '#2 Return]]+1,"-")</f>
        <v>1.0379592225660801</v>
      </c>
      <c r="E1082" s="6">
        <f>B1082-MAX($B$2:B1082)</f>
        <v>-19.5</v>
      </c>
      <c r="F1082" s="80">
        <f t="shared" si="33"/>
        <v>989</v>
      </c>
      <c r="G1082" s="77">
        <f>Comp2[[#This Row],[Comparable '#2 Drawdown]]/MAX($B$2:B1082)</f>
        <v>-0.33528198074277854</v>
      </c>
      <c r="H1082" s="1" t="str">
        <f>IF(SUM(COUNTIF(Benchmark1[Benchmark '#1 Dates],Comp2[[#This Row],[Comparable '#2 Dates]]),COUNTIF(Benchmark2[Benchmark '#2 Dates],Comp2[[#This Row],[Comparable '#2 Dates]]))=2,"Pass","Fail")</f>
        <v>Pass</v>
      </c>
      <c r="I1082" s="1">
        <f>IFERROR(Comp2[[#This Row],[Comparable '#2 Return]]-INDEX(Benchmark1[Benchmark '#1 Return],MATCH(Comp2[[#This Row],[Comparable '#2 Dates]],Benchmark1[Benchmark '#1 Dates],0)),"-")</f>
        <v>2.6596764646112242E-2</v>
      </c>
      <c r="L1082" s="72">
        <f>Comp2[[#This Row],[Comparable '#2 Price]]/$B$2*100</f>
        <v>77.786720321931583</v>
      </c>
    </row>
    <row r="1083" spans="1:12">
      <c r="A1083" s="96">
        <v>44853</v>
      </c>
      <c r="B1083" s="101">
        <v>37.909999999999997</v>
      </c>
      <c r="C1083" s="4">
        <f t="shared" si="32"/>
        <v>-1.9590544251941403E-2</v>
      </c>
      <c r="D1083" s="1">
        <f>IFERROR(Comp2[[#This Row],[Comparable '#2 Return]]+1,"-")</f>
        <v>0.9804094557480586</v>
      </c>
      <c r="E1083" s="6">
        <f>B1083-MAX($B$2:B1083)</f>
        <v>-20.25</v>
      </c>
      <c r="F1083" s="80">
        <f t="shared" si="33"/>
        <v>990</v>
      </c>
      <c r="G1083" s="77">
        <f>Comp2[[#This Row],[Comparable '#2 Drawdown]]/MAX($B$2:B1083)</f>
        <v>-0.34817744154057773</v>
      </c>
      <c r="H1083" s="1" t="str">
        <f>IF(SUM(COUNTIF(Benchmark1[Benchmark '#1 Dates],Comp2[[#This Row],[Comparable '#2 Dates]]),COUNTIF(Benchmark2[Benchmark '#2 Dates],Comp2[[#This Row],[Comparable '#2 Dates]]))=2,"Pass","Fail")</f>
        <v>Pass</v>
      </c>
      <c r="I1083" s="1">
        <f>IFERROR(Comp2[[#This Row],[Comparable '#2 Return]]-INDEX(Benchmark1[Benchmark '#1 Return],MATCH(Comp2[[#This Row],[Comparable '#2 Dates]],Benchmark1[Benchmark '#1 Dates],0)),"-")</f>
        <v>-1.2894061325982796E-2</v>
      </c>
      <c r="L1083" s="72">
        <f>Comp2[[#This Row],[Comparable '#2 Price]]/$B$2*100</f>
        <v>76.277665995975838</v>
      </c>
    </row>
    <row r="1084" spans="1:12">
      <c r="A1084" s="96">
        <v>44854</v>
      </c>
      <c r="B1084" s="101">
        <v>37.880000000000003</v>
      </c>
      <c r="C1084" s="4">
        <f t="shared" si="32"/>
        <v>-7.9166121036585422E-4</v>
      </c>
      <c r="D1084" s="1">
        <f>IFERROR(Comp2[[#This Row],[Comparable '#2 Return]]+1,"-")</f>
        <v>0.99920833878963411</v>
      </c>
      <c r="E1084" s="6">
        <f>B1084-MAX($B$2:B1084)</f>
        <v>-20.279999999999994</v>
      </c>
      <c r="F1084" s="80">
        <f t="shared" si="33"/>
        <v>991</v>
      </c>
      <c r="G1084" s="77">
        <f>Comp2[[#This Row],[Comparable '#2 Drawdown]]/MAX($B$2:B1084)</f>
        <v>-0.34869325997248962</v>
      </c>
      <c r="H1084" s="1" t="str">
        <f>IF(SUM(COUNTIF(Benchmark1[Benchmark '#1 Dates],Comp2[[#This Row],[Comparable '#2 Dates]]),COUNTIF(Benchmark2[Benchmark '#2 Dates],Comp2[[#This Row],[Comparable '#2 Dates]]))=2,"Pass","Fail")</f>
        <v>Pass</v>
      </c>
      <c r="I1084" s="1">
        <f>IFERROR(Comp2[[#This Row],[Comparable '#2 Return]]-INDEX(Benchmark1[Benchmark '#1 Return],MATCH(Comp2[[#This Row],[Comparable '#2 Dates]],Benchmark1[Benchmark '#1 Dates],0)),"-")</f>
        <v>7.1896593499038586E-3</v>
      </c>
      <c r="L1084" s="72">
        <f>Comp2[[#This Row],[Comparable '#2 Price]]/$B$2*100</f>
        <v>76.217303822937637</v>
      </c>
    </row>
    <row r="1085" spans="1:12">
      <c r="A1085" s="96">
        <v>44855</v>
      </c>
      <c r="B1085" s="101">
        <v>38.14</v>
      </c>
      <c r="C1085" s="4">
        <f t="shared" si="32"/>
        <v>6.8403318543953512E-3</v>
      </c>
      <c r="D1085" s="1">
        <f>IFERROR(Comp2[[#This Row],[Comparable '#2 Return]]+1,"-")</f>
        <v>1.0068403318543953</v>
      </c>
      <c r="E1085" s="6">
        <f>B1085-MAX($B$2:B1085)</f>
        <v>-20.019999999999996</v>
      </c>
      <c r="F1085" s="80">
        <f t="shared" si="33"/>
        <v>992</v>
      </c>
      <c r="G1085" s="77">
        <f>Comp2[[#This Row],[Comparable '#2 Drawdown]]/MAX($B$2:B1085)</f>
        <v>-0.34422283356258593</v>
      </c>
      <c r="H1085" s="1" t="str">
        <f>IF(SUM(COUNTIF(Benchmark1[Benchmark '#1 Dates],Comp2[[#This Row],[Comparable '#2 Dates]]),COUNTIF(Benchmark2[Benchmark '#2 Dates],Comp2[[#This Row],[Comparable '#2 Dates]]))=2,"Pass","Fail")</f>
        <v>Pass</v>
      </c>
      <c r="I1085" s="1">
        <f>IFERROR(Comp2[[#This Row],[Comparable '#2 Return]]-INDEX(Benchmark1[Benchmark '#1 Return],MATCH(Comp2[[#This Row],[Comparable '#2 Dates]],Benchmark1[Benchmark '#1 Dates],0)),"-")</f>
        <v>-1.6606782098298616E-2</v>
      </c>
      <c r="L1085" s="72">
        <f>Comp2[[#This Row],[Comparable '#2 Price]]/$B$2*100</f>
        <v>76.74044265593561</v>
      </c>
    </row>
    <row r="1086" spans="1:12">
      <c r="A1086" s="96">
        <v>44858</v>
      </c>
      <c r="B1086" s="101">
        <v>38.590000000000003</v>
      </c>
      <c r="C1086" s="4">
        <f t="shared" si="32"/>
        <v>1.1729575377254373E-2</v>
      </c>
      <c r="D1086" s="1">
        <f>IFERROR(Comp2[[#This Row],[Comparable '#2 Return]]+1,"-")</f>
        <v>1.0117295753772544</v>
      </c>
      <c r="E1086" s="6">
        <f>B1086-MAX($B$2:B1086)</f>
        <v>-19.569999999999993</v>
      </c>
      <c r="F1086" s="80">
        <f t="shared" si="33"/>
        <v>993</v>
      </c>
      <c r="G1086" s="77">
        <f>Comp2[[#This Row],[Comparable '#2 Drawdown]]/MAX($B$2:B1086)</f>
        <v>-0.33648555708390637</v>
      </c>
      <c r="H1086" s="1" t="str">
        <f>IF(SUM(COUNTIF(Benchmark1[Benchmark '#1 Dates],Comp2[[#This Row],[Comparable '#2 Dates]]),COUNTIF(Benchmark2[Benchmark '#2 Dates],Comp2[[#This Row],[Comparable '#2 Dates]]))=2,"Pass","Fail")</f>
        <v>Pass</v>
      </c>
      <c r="I1086" s="1">
        <f>IFERROR(Comp2[[#This Row],[Comparable '#2 Return]]-INDEX(Benchmark1[Benchmark '#1 Return],MATCH(Comp2[[#This Row],[Comparable '#2 Dates]],Benchmark1[Benchmark '#1 Dates],0)),"-")</f>
        <v>-8.232680171574476E-5</v>
      </c>
      <c r="L1086" s="72">
        <f>Comp2[[#This Row],[Comparable '#2 Price]]/$B$2*100</f>
        <v>77.645875251509054</v>
      </c>
    </row>
    <row r="1087" spans="1:12">
      <c r="A1087" s="96">
        <v>44859</v>
      </c>
      <c r="B1087" s="101">
        <v>40.93</v>
      </c>
      <c r="C1087" s="4">
        <f t="shared" si="32"/>
        <v>5.8870114954784065E-2</v>
      </c>
      <c r="D1087" s="1">
        <f>IFERROR(Comp2[[#This Row],[Comparable '#2 Return]]+1,"-")</f>
        <v>1.0588701149547841</v>
      </c>
      <c r="E1087" s="6">
        <f>B1087-MAX($B$2:B1087)</f>
        <v>-17.229999999999997</v>
      </c>
      <c r="F1087" s="80">
        <f t="shared" si="33"/>
        <v>994</v>
      </c>
      <c r="G1087" s="77">
        <f>Comp2[[#This Row],[Comparable '#2 Drawdown]]/MAX($B$2:B1087)</f>
        <v>-0.29625171939477302</v>
      </c>
      <c r="H1087" s="1" t="str">
        <f>IF(SUM(COUNTIF(Benchmark1[Benchmark '#1 Dates],Comp2[[#This Row],[Comparable '#2 Dates]]),COUNTIF(Benchmark2[Benchmark '#2 Dates],Comp2[[#This Row],[Comparable '#2 Dates]]))=2,"Pass","Fail")</f>
        <v>Pass</v>
      </c>
      <c r="I1087" s="1">
        <f>IFERROR(Comp2[[#This Row],[Comparable '#2 Return]]-INDEX(Benchmark1[Benchmark '#1 Return],MATCH(Comp2[[#This Row],[Comparable '#2 Dates]],Benchmark1[Benchmark '#1 Dates],0)),"-")</f>
        <v>4.2732851807113753E-2</v>
      </c>
      <c r="L1087" s="72">
        <f>Comp2[[#This Row],[Comparable '#2 Price]]/$B$2*100</f>
        <v>82.354124748490946</v>
      </c>
    </row>
    <row r="1088" spans="1:12">
      <c r="A1088" s="96">
        <v>44860</v>
      </c>
      <c r="B1088" s="101">
        <v>40.47</v>
      </c>
      <c r="C1088" s="4">
        <f t="shared" si="32"/>
        <v>-1.1302331616537415E-2</v>
      </c>
      <c r="D1088" s="1">
        <f>IFERROR(Comp2[[#This Row],[Comparable '#2 Return]]+1,"-")</f>
        <v>0.98869766838346262</v>
      </c>
      <c r="E1088" s="6">
        <f>B1088-MAX($B$2:B1088)</f>
        <v>-17.689999999999998</v>
      </c>
      <c r="F1088" s="80">
        <f t="shared" si="33"/>
        <v>995</v>
      </c>
      <c r="G1088" s="77">
        <f>Comp2[[#This Row],[Comparable '#2 Drawdown]]/MAX($B$2:B1088)</f>
        <v>-0.3041609353507565</v>
      </c>
      <c r="H1088" s="1" t="str">
        <f>IF(SUM(COUNTIF(Benchmark1[Benchmark '#1 Dates],Comp2[[#This Row],[Comparable '#2 Dates]]),COUNTIF(Benchmark2[Benchmark '#2 Dates],Comp2[[#This Row],[Comparable '#2 Dates]]))=2,"Pass","Fail")</f>
        <v>Pass</v>
      </c>
      <c r="I1088" s="1">
        <f>IFERROR(Comp2[[#This Row],[Comparable '#2 Return]]-INDEX(Benchmark1[Benchmark '#1 Return],MATCH(Comp2[[#This Row],[Comparable '#2 Dates]],Benchmark1[Benchmark '#1 Dates],0)),"-")</f>
        <v>-3.8852020543062946E-3</v>
      </c>
      <c r="L1088" s="72">
        <f>Comp2[[#This Row],[Comparable '#2 Price]]/$B$2*100</f>
        <v>81.428571428571416</v>
      </c>
    </row>
    <row r="1089" spans="1:12">
      <c r="A1089" s="96">
        <v>44861</v>
      </c>
      <c r="B1089" s="101">
        <v>40.56</v>
      </c>
      <c r="C1089" s="4">
        <f t="shared" si="32"/>
        <v>2.2214003951535979E-3</v>
      </c>
      <c r="D1089" s="1">
        <f>IFERROR(Comp2[[#This Row],[Comparable '#2 Return]]+1,"-")</f>
        <v>1.0022214003951535</v>
      </c>
      <c r="E1089" s="6">
        <f>B1089-MAX($B$2:B1089)</f>
        <v>-17.599999999999994</v>
      </c>
      <c r="F1089" s="80">
        <f t="shared" si="33"/>
        <v>996</v>
      </c>
      <c r="G1089" s="77">
        <f>Comp2[[#This Row],[Comparable '#2 Drawdown]]/MAX($B$2:B1089)</f>
        <v>-0.30261348005502053</v>
      </c>
      <c r="H1089" s="1" t="str">
        <f>IF(SUM(COUNTIF(Benchmark1[Benchmark '#1 Dates],Comp2[[#This Row],[Comparable '#2 Dates]]),COUNTIF(Benchmark2[Benchmark '#2 Dates],Comp2[[#This Row],[Comparable '#2 Dates]]))=2,"Pass","Fail")</f>
        <v>Pass</v>
      </c>
      <c r="I1089" s="1">
        <f>IFERROR(Comp2[[#This Row],[Comparable '#2 Return]]-INDEX(Benchmark1[Benchmark '#1 Return],MATCH(Comp2[[#This Row],[Comparable '#2 Dates]],Benchmark1[Benchmark '#1 Dates],0)),"-")</f>
        <v>8.3219866198686425E-3</v>
      </c>
      <c r="L1089" s="72">
        <f>Comp2[[#This Row],[Comparable '#2 Price]]/$B$2*100</f>
        <v>81.609657947686117</v>
      </c>
    </row>
    <row r="1090" spans="1:12">
      <c r="A1090" s="96">
        <v>44862</v>
      </c>
      <c r="B1090" s="101">
        <v>41.81</v>
      </c>
      <c r="C1090" s="4">
        <f t="shared" ref="C1090:C1153" si="34">IFERROR(IF(B1090="","-",LN(B1090/B1089)),"-")</f>
        <v>3.0353186085545832E-2</v>
      </c>
      <c r="D1090" s="1">
        <f>IFERROR(Comp2[[#This Row],[Comparable '#2 Return]]+1,"-")</f>
        <v>1.0303531860855459</v>
      </c>
      <c r="E1090" s="6">
        <f>B1090-MAX($B$2:B1090)</f>
        <v>-16.349999999999994</v>
      </c>
      <c r="F1090" s="80">
        <f t="shared" ref="F1090:F1153" si="35">IF(E1090=0,0,F1089+1)</f>
        <v>997</v>
      </c>
      <c r="G1090" s="77">
        <f>Comp2[[#This Row],[Comparable '#2 Drawdown]]/MAX($B$2:B1090)</f>
        <v>-0.28112104539202193</v>
      </c>
      <c r="H1090" s="1" t="str">
        <f>IF(SUM(COUNTIF(Benchmark1[Benchmark '#1 Dates],Comp2[[#This Row],[Comparable '#2 Dates]]),COUNTIF(Benchmark2[Benchmark '#2 Dates],Comp2[[#This Row],[Comparable '#2 Dates]]))=2,"Pass","Fail")</f>
        <v>Pass</v>
      </c>
      <c r="I1090" s="1">
        <f>IFERROR(Comp2[[#This Row],[Comparable '#2 Return]]-INDEX(Benchmark1[Benchmark '#1 Return],MATCH(Comp2[[#This Row],[Comparable '#2 Dates]],Benchmark1[Benchmark '#1 Dates],0)),"-")</f>
        <v>6.0236837103801698E-3</v>
      </c>
      <c r="L1090" s="72">
        <f>Comp2[[#This Row],[Comparable '#2 Price]]/$B$2*100</f>
        <v>84.124748490945677</v>
      </c>
    </row>
    <row r="1091" spans="1:12">
      <c r="A1091" s="96">
        <v>44865</v>
      </c>
      <c r="B1091" s="101">
        <v>41.7</v>
      </c>
      <c r="C1091" s="4">
        <f t="shared" si="34"/>
        <v>-2.6344165637179114E-3</v>
      </c>
      <c r="D1091" s="1">
        <f>IFERROR(Comp2[[#This Row],[Comparable '#2 Return]]+1,"-")</f>
        <v>0.99736558343628212</v>
      </c>
      <c r="E1091" s="6">
        <f>B1091-MAX($B$2:B1091)</f>
        <v>-16.459999999999994</v>
      </c>
      <c r="F1091" s="80">
        <f t="shared" si="35"/>
        <v>998</v>
      </c>
      <c r="G1091" s="77">
        <f>Comp2[[#This Row],[Comparable '#2 Drawdown]]/MAX($B$2:B1091)</f>
        <v>-0.28301237964236581</v>
      </c>
      <c r="H1091" s="1" t="str">
        <f>IF(SUM(COUNTIF(Benchmark1[Benchmark '#1 Dates],Comp2[[#This Row],[Comparable '#2 Dates]]),COUNTIF(Benchmark2[Benchmark '#2 Dates],Comp2[[#This Row],[Comparable '#2 Dates]]))=2,"Pass","Fail")</f>
        <v>Pass</v>
      </c>
      <c r="I1091" s="1">
        <f>IFERROR(Comp2[[#This Row],[Comparable '#2 Return]]-INDEX(Benchmark1[Benchmark '#1 Return],MATCH(Comp2[[#This Row],[Comparable '#2 Dates]],Benchmark1[Benchmark '#1 Dates],0)),"-")</f>
        <v>4.84958130362263E-3</v>
      </c>
      <c r="L1091" s="72">
        <f>Comp2[[#This Row],[Comparable '#2 Price]]/$B$2*100</f>
        <v>83.903420523138834</v>
      </c>
    </row>
    <row r="1092" spans="1:12">
      <c r="A1092" s="96">
        <v>44866</v>
      </c>
      <c r="B1092" s="101">
        <v>41.66</v>
      </c>
      <c r="C1092" s="4">
        <f t="shared" si="34"/>
        <v>-9.5969297193002339E-4</v>
      </c>
      <c r="D1092" s="1">
        <f>IFERROR(Comp2[[#This Row],[Comparable '#2 Return]]+1,"-")</f>
        <v>0.99904030702807001</v>
      </c>
      <c r="E1092" s="6">
        <f>B1092-MAX($B$2:B1092)</f>
        <v>-16.5</v>
      </c>
      <c r="F1092" s="80">
        <f t="shared" si="35"/>
        <v>999</v>
      </c>
      <c r="G1092" s="77">
        <f>Comp2[[#This Row],[Comparable '#2 Drawdown]]/MAX($B$2:B1092)</f>
        <v>-0.28370013755158185</v>
      </c>
      <c r="H1092" s="1" t="str">
        <f>IF(SUM(COUNTIF(Benchmark1[Benchmark '#1 Dates],Comp2[[#This Row],[Comparable '#2 Dates]]),COUNTIF(Benchmark2[Benchmark '#2 Dates],Comp2[[#This Row],[Comparable '#2 Dates]]))=2,"Pass","Fail")</f>
        <v>Pass</v>
      </c>
      <c r="I1092" s="1">
        <f>IFERROR(Comp2[[#This Row],[Comparable '#2 Return]]-INDEX(Benchmark1[Benchmark '#1 Return],MATCH(Comp2[[#This Row],[Comparable '#2 Dates]],Benchmark1[Benchmark '#1 Dates],0)),"-")</f>
        <v>3.1488204692195244E-3</v>
      </c>
      <c r="L1092" s="72">
        <f>Comp2[[#This Row],[Comparable '#2 Price]]/$B$2*100</f>
        <v>83.822937625754506</v>
      </c>
    </row>
    <row r="1093" spans="1:12">
      <c r="A1093" s="96">
        <v>44867</v>
      </c>
      <c r="B1093" s="101">
        <v>41.29</v>
      </c>
      <c r="C1093" s="4">
        <f t="shared" si="34"/>
        <v>-8.9210959348270235E-3</v>
      </c>
      <c r="D1093" s="1">
        <f>IFERROR(Comp2[[#This Row],[Comparable '#2 Return]]+1,"-")</f>
        <v>0.99107890406517296</v>
      </c>
      <c r="E1093" s="6">
        <f>B1093-MAX($B$2:B1093)</f>
        <v>-16.869999999999997</v>
      </c>
      <c r="F1093" s="80">
        <f t="shared" si="35"/>
        <v>1000</v>
      </c>
      <c r="G1093" s="77">
        <f>Comp2[[#This Row],[Comparable '#2 Drawdown]]/MAX($B$2:B1093)</f>
        <v>-0.29006189821182943</v>
      </c>
      <c r="H1093" s="1" t="str">
        <f>IF(SUM(COUNTIF(Benchmark1[Benchmark '#1 Dates],Comp2[[#This Row],[Comparable '#2 Dates]]),COUNTIF(Benchmark2[Benchmark '#2 Dates],Comp2[[#This Row],[Comparable '#2 Dates]]))=2,"Pass","Fail")</f>
        <v>Pass</v>
      </c>
      <c r="I1093" s="1">
        <f>IFERROR(Comp2[[#This Row],[Comparable '#2 Return]]-INDEX(Benchmark1[Benchmark '#1 Return],MATCH(Comp2[[#This Row],[Comparable '#2 Dates]],Benchmark1[Benchmark '#1 Dates],0)),"-")</f>
        <v>1.6399046240912936E-2</v>
      </c>
      <c r="L1093" s="72">
        <f>Comp2[[#This Row],[Comparable '#2 Price]]/$B$2*100</f>
        <v>83.07847082494969</v>
      </c>
    </row>
    <row r="1094" spans="1:12">
      <c r="A1094" s="96">
        <v>44868</v>
      </c>
      <c r="B1094" s="101">
        <v>41.86</v>
      </c>
      <c r="C1094" s="4">
        <f t="shared" si="34"/>
        <v>1.371037711985473E-2</v>
      </c>
      <c r="D1094" s="1">
        <f>IFERROR(Comp2[[#This Row],[Comparable '#2 Return]]+1,"-")</f>
        <v>1.0137103771198548</v>
      </c>
      <c r="E1094" s="6">
        <f>B1094-MAX($B$2:B1094)</f>
        <v>-16.299999999999997</v>
      </c>
      <c r="F1094" s="80">
        <f t="shared" si="35"/>
        <v>1001</v>
      </c>
      <c r="G1094" s="77">
        <f>Comp2[[#This Row],[Comparable '#2 Drawdown]]/MAX($B$2:B1094)</f>
        <v>-0.28026134800550201</v>
      </c>
      <c r="H1094" s="1" t="str">
        <f>IF(SUM(COUNTIF(Benchmark1[Benchmark '#1 Dates],Comp2[[#This Row],[Comparable '#2 Dates]]),COUNTIF(Benchmark2[Benchmark '#2 Dates],Comp2[[#This Row],[Comparable '#2 Dates]]))=2,"Pass","Fail")</f>
        <v>Pass</v>
      </c>
      <c r="I1094" s="1">
        <f>IFERROR(Comp2[[#This Row],[Comparable '#2 Return]]-INDEX(Benchmark1[Benchmark '#1 Return],MATCH(Comp2[[#This Row],[Comparable '#2 Dates]],Benchmark1[Benchmark '#1 Dates],0)),"-")</f>
        <v>2.4352027051081762E-2</v>
      </c>
      <c r="L1094" s="72">
        <f>Comp2[[#This Row],[Comparable '#2 Price]]/$B$2*100</f>
        <v>84.225352112676049</v>
      </c>
    </row>
    <row r="1095" spans="1:12">
      <c r="A1095" s="96">
        <v>44869</v>
      </c>
      <c r="B1095" s="101">
        <v>42.27</v>
      </c>
      <c r="C1095" s="4">
        <f t="shared" si="34"/>
        <v>9.7468975608450328E-3</v>
      </c>
      <c r="D1095" s="1">
        <f>IFERROR(Comp2[[#This Row],[Comparable '#2 Return]]+1,"-")</f>
        <v>1.009746897560845</v>
      </c>
      <c r="E1095" s="6">
        <f>B1095-MAX($B$2:B1095)</f>
        <v>-15.889999999999993</v>
      </c>
      <c r="F1095" s="80">
        <f t="shared" si="35"/>
        <v>1002</v>
      </c>
      <c r="G1095" s="77">
        <f>Comp2[[#This Row],[Comparable '#2 Drawdown]]/MAX($B$2:B1095)</f>
        <v>-0.27321182943603844</v>
      </c>
      <c r="H1095" s="1" t="str">
        <f>IF(SUM(COUNTIF(Benchmark1[Benchmark '#1 Dates],Comp2[[#This Row],[Comparable '#2 Dates]]),COUNTIF(Benchmark2[Benchmark '#2 Dates],Comp2[[#This Row],[Comparable '#2 Dates]]))=2,"Pass","Fail")</f>
        <v>Pass</v>
      </c>
      <c r="I1095" s="1">
        <f>IFERROR(Comp2[[#This Row],[Comparable '#2 Return]]-INDEX(Benchmark1[Benchmark '#1 Return],MATCH(Comp2[[#This Row],[Comparable '#2 Dates]],Benchmark1[Benchmark '#1 Dates],0)),"-")</f>
        <v>-3.7780561922422153E-3</v>
      </c>
      <c r="L1095" s="72">
        <f>Comp2[[#This Row],[Comparable '#2 Price]]/$B$2*100</f>
        <v>85.050301810865193</v>
      </c>
    </row>
    <row r="1096" spans="1:12">
      <c r="A1096" s="96">
        <v>44872</v>
      </c>
      <c r="B1096" s="101">
        <v>43</v>
      </c>
      <c r="C1096" s="4">
        <f t="shared" si="34"/>
        <v>1.7122501114863905E-2</v>
      </c>
      <c r="D1096" s="1">
        <f>IFERROR(Comp2[[#This Row],[Comparable '#2 Return]]+1,"-")</f>
        <v>1.0171225011148639</v>
      </c>
      <c r="E1096" s="6">
        <f>B1096-MAX($B$2:B1096)</f>
        <v>-15.159999999999997</v>
      </c>
      <c r="F1096" s="80">
        <f t="shared" si="35"/>
        <v>1003</v>
      </c>
      <c r="G1096" s="77">
        <f>Comp2[[#This Row],[Comparable '#2 Drawdown]]/MAX($B$2:B1096)</f>
        <v>-0.26066024759284728</v>
      </c>
      <c r="H1096" s="1" t="str">
        <f>IF(SUM(COUNTIF(Benchmark1[Benchmark '#1 Dates],Comp2[[#This Row],[Comparable '#2 Dates]]),COUNTIF(Benchmark2[Benchmark '#2 Dates],Comp2[[#This Row],[Comparable '#2 Dates]]))=2,"Pass","Fail")</f>
        <v>Pass</v>
      </c>
      <c r="I1096" s="1">
        <f>IFERROR(Comp2[[#This Row],[Comparable '#2 Return]]-INDEX(Benchmark1[Benchmark '#1 Return],MATCH(Comp2[[#This Row],[Comparable '#2 Dates]],Benchmark1[Benchmark '#1 Dates],0)),"-")</f>
        <v>7.55218566622568E-3</v>
      </c>
      <c r="L1096" s="72">
        <f>Comp2[[#This Row],[Comparable '#2 Price]]/$B$2*100</f>
        <v>86.519114688128766</v>
      </c>
    </row>
    <row r="1097" spans="1:12">
      <c r="A1097" s="96">
        <v>44873</v>
      </c>
      <c r="B1097" s="101">
        <v>44.12</v>
      </c>
      <c r="C1097" s="4">
        <f t="shared" si="34"/>
        <v>2.5713078691739263E-2</v>
      </c>
      <c r="D1097" s="1">
        <f>IFERROR(Comp2[[#This Row],[Comparable '#2 Return]]+1,"-")</f>
        <v>1.0257130786917392</v>
      </c>
      <c r="E1097" s="6">
        <f>B1097-MAX($B$2:B1097)</f>
        <v>-14.04</v>
      </c>
      <c r="F1097" s="80">
        <f t="shared" si="35"/>
        <v>1004</v>
      </c>
      <c r="G1097" s="77">
        <f>Comp2[[#This Row],[Comparable '#2 Drawdown]]/MAX($B$2:B1097)</f>
        <v>-0.24140302613480055</v>
      </c>
      <c r="H1097" s="1" t="str">
        <f>IF(SUM(COUNTIF(Benchmark1[Benchmark '#1 Dates],Comp2[[#This Row],[Comparable '#2 Dates]]),COUNTIF(Benchmark2[Benchmark '#2 Dates],Comp2[[#This Row],[Comparable '#2 Dates]]))=2,"Pass","Fail")</f>
        <v>Pass</v>
      </c>
      <c r="I1097" s="1">
        <f>IFERROR(Comp2[[#This Row],[Comparable '#2 Return]]-INDEX(Benchmark1[Benchmark '#1 Return],MATCH(Comp2[[#This Row],[Comparable '#2 Dates]],Benchmark1[Benchmark '#1 Dates],0)),"-")</f>
        <v>2.0132624714055865E-2</v>
      </c>
      <c r="L1097" s="72">
        <f>Comp2[[#This Row],[Comparable '#2 Price]]/$B$2*100</f>
        <v>88.772635814889327</v>
      </c>
    </row>
    <row r="1098" spans="1:12">
      <c r="A1098" s="96">
        <v>44874</v>
      </c>
      <c r="B1098" s="101">
        <v>42.69</v>
      </c>
      <c r="C1098" s="4">
        <f t="shared" si="34"/>
        <v>-3.2948493615430972E-2</v>
      </c>
      <c r="D1098" s="1">
        <f>IFERROR(Comp2[[#This Row],[Comparable '#2 Return]]+1,"-")</f>
        <v>0.96705150638456905</v>
      </c>
      <c r="E1098" s="6">
        <f>B1098-MAX($B$2:B1098)</f>
        <v>-15.469999999999999</v>
      </c>
      <c r="F1098" s="80">
        <f t="shared" si="35"/>
        <v>1005</v>
      </c>
      <c r="G1098" s="77">
        <f>Comp2[[#This Row],[Comparable '#2 Drawdown]]/MAX($B$2:B1098)</f>
        <v>-0.26599037138927095</v>
      </c>
      <c r="H1098" s="1" t="str">
        <f>IF(SUM(COUNTIF(Benchmark1[Benchmark '#1 Dates],Comp2[[#This Row],[Comparable '#2 Dates]]),COUNTIF(Benchmark2[Benchmark '#2 Dates],Comp2[[#This Row],[Comparable '#2 Dates]]))=2,"Pass","Fail")</f>
        <v>Pass</v>
      </c>
      <c r="I1098" s="1">
        <f>IFERROR(Comp2[[#This Row],[Comparable '#2 Return]]-INDEX(Benchmark1[Benchmark '#1 Return],MATCH(Comp2[[#This Row],[Comparable '#2 Dates]],Benchmark1[Benchmark '#1 Dates],0)),"-")</f>
        <v>-1.1952904040122142E-2</v>
      </c>
      <c r="L1098" s="72">
        <f>Comp2[[#This Row],[Comparable '#2 Price]]/$B$2*100</f>
        <v>85.895372233400394</v>
      </c>
    </row>
    <row r="1099" spans="1:12">
      <c r="A1099" s="96">
        <v>44875</v>
      </c>
      <c r="B1099" s="101">
        <v>42.91</v>
      </c>
      <c r="C1099" s="4">
        <f t="shared" si="34"/>
        <v>5.1401982335625394E-3</v>
      </c>
      <c r="D1099" s="1">
        <f>IFERROR(Comp2[[#This Row],[Comparable '#2 Return]]+1,"-")</f>
        <v>1.0051401982335626</v>
      </c>
      <c r="E1099" s="6">
        <f>B1099-MAX($B$2:B1099)</f>
        <v>-15.25</v>
      </c>
      <c r="F1099" s="80">
        <f t="shared" si="35"/>
        <v>1006</v>
      </c>
      <c r="G1099" s="77">
        <f>Comp2[[#This Row],[Comparable '#2 Drawdown]]/MAX($B$2:B1099)</f>
        <v>-0.26220770288858325</v>
      </c>
      <c r="H1099" s="1" t="str">
        <f>IF(SUM(COUNTIF(Benchmark1[Benchmark '#1 Dates],Comp2[[#This Row],[Comparable '#2 Dates]]),COUNTIF(Benchmark2[Benchmark '#2 Dates],Comp2[[#This Row],[Comparable '#2 Dates]]))=2,"Pass","Fail")</f>
        <v>Pass</v>
      </c>
      <c r="I1099" s="1">
        <f>IFERROR(Comp2[[#This Row],[Comparable '#2 Return]]-INDEX(Benchmark1[Benchmark '#1 Return],MATCH(Comp2[[#This Row],[Comparable '#2 Dates]],Benchmark1[Benchmark '#1 Dates],0)),"-")</f>
        <v>-4.8811692940103596E-2</v>
      </c>
      <c r="L1099" s="72">
        <f>Comp2[[#This Row],[Comparable '#2 Price]]/$B$2*100</f>
        <v>86.338028169014066</v>
      </c>
    </row>
    <row r="1100" spans="1:12">
      <c r="A1100" s="96">
        <v>44876</v>
      </c>
      <c r="B1100" s="101">
        <v>40.549999999999997</v>
      </c>
      <c r="C1100" s="4">
        <f t="shared" si="34"/>
        <v>-5.6569118442011387E-2</v>
      </c>
      <c r="D1100" s="1">
        <f>IFERROR(Comp2[[#This Row],[Comparable '#2 Return]]+1,"-")</f>
        <v>0.9434308815579886</v>
      </c>
      <c r="E1100" s="6">
        <f>B1100-MAX($B$2:B1100)</f>
        <v>-17.61</v>
      </c>
      <c r="F1100" s="80">
        <f t="shared" si="35"/>
        <v>1007</v>
      </c>
      <c r="G1100" s="77">
        <f>Comp2[[#This Row],[Comparable '#2 Drawdown]]/MAX($B$2:B1100)</f>
        <v>-0.30278541953232463</v>
      </c>
      <c r="H1100" s="1" t="str">
        <f>IF(SUM(COUNTIF(Benchmark1[Benchmark '#1 Dates],Comp2[[#This Row],[Comparable '#2 Dates]]),COUNTIF(Benchmark2[Benchmark '#2 Dates],Comp2[[#This Row],[Comparable '#2 Dates]]))=2,"Pass","Fail")</f>
        <v>Pass</v>
      </c>
      <c r="I1100" s="1">
        <f>IFERROR(Comp2[[#This Row],[Comparable '#2 Return]]-INDEX(Benchmark1[Benchmark '#1 Return],MATCH(Comp2[[#This Row],[Comparable '#2 Dates]],Benchmark1[Benchmark '#1 Dates],0)),"-")</f>
        <v>-6.5766843759817284E-2</v>
      </c>
      <c r="L1100" s="72">
        <f>Comp2[[#This Row],[Comparable '#2 Price]]/$B$2*100</f>
        <v>81.589537223340031</v>
      </c>
    </row>
    <row r="1101" spans="1:12">
      <c r="A1101" s="96">
        <v>44879</v>
      </c>
      <c r="B1101" s="101">
        <v>39.72</v>
      </c>
      <c r="C1101" s="4">
        <f t="shared" si="34"/>
        <v>-2.0680941384450081E-2</v>
      </c>
      <c r="D1101" s="1">
        <f>IFERROR(Comp2[[#This Row],[Comparable '#2 Return]]+1,"-")</f>
        <v>0.97931905861554991</v>
      </c>
      <c r="E1101" s="6">
        <f>B1101-MAX($B$2:B1101)</f>
        <v>-18.439999999999998</v>
      </c>
      <c r="F1101" s="80">
        <f t="shared" si="35"/>
        <v>1008</v>
      </c>
      <c r="G1101" s="77">
        <f>Comp2[[#This Row],[Comparable '#2 Drawdown]]/MAX($B$2:B1101)</f>
        <v>-0.31705639614855569</v>
      </c>
      <c r="H1101" s="1" t="str">
        <f>IF(SUM(COUNTIF(Benchmark1[Benchmark '#1 Dates],Comp2[[#This Row],[Comparable '#2 Dates]]),COUNTIF(Benchmark2[Benchmark '#2 Dates],Comp2[[#This Row],[Comparable '#2 Dates]]))=2,"Pass","Fail")</f>
        <v>Pass</v>
      </c>
      <c r="I1101" s="1">
        <f>IFERROR(Comp2[[#This Row],[Comparable '#2 Return]]-INDEX(Benchmark1[Benchmark '#1 Return],MATCH(Comp2[[#This Row],[Comparable '#2 Dates]],Benchmark1[Benchmark '#1 Dates],0)),"-")</f>
        <v>-1.1706309680608635E-2</v>
      </c>
      <c r="L1101" s="72">
        <f>Comp2[[#This Row],[Comparable '#2 Price]]/$B$2*100</f>
        <v>79.919517102615686</v>
      </c>
    </row>
    <row r="1102" spans="1:12">
      <c r="A1102" s="96">
        <v>44880</v>
      </c>
      <c r="B1102" s="101">
        <v>39.729999999999997</v>
      </c>
      <c r="C1102" s="4">
        <f t="shared" si="34"/>
        <v>2.5173064953573865E-4</v>
      </c>
      <c r="D1102" s="1">
        <f>IFERROR(Comp2[[#This Row],[Comparable '#2 Return]]+1,"-")</f>
        <v>1.0002517306495358</v>
      </c>
      <c r="E1102" s="6">
        <f>B1102-MAX($B$2:B1102)</f>
        <v>-18.43</v>
      </c>
      <c r="F1102" s="80">
        <f t="shared" si="35"/>
        <v>1009</v>
      </c>
      <c r="G1102" s="77">
        <f>Comp2[[#This Row],[Comparable '#2 Drawdown]]/MAX($B$2:B1102)</f>
        <v>-0.31688445667125176</v>
      </c>
      <c r="H1102" s="1" t="str">
        <f>IF(SUM(COUNTIF(Benchmark1[Benchmark '#1 Dates],Comp2[[#This Row],[Comparable '#2 Dates]]),COUNTIF(Benchmark2[Benchmark '#2 Dates],Comp2[[#This Row],[Comparable '#2 Dates]]))=2,"Pass","Fail")</f>
        <v>Pass</v>
      </c>
      <c r="I1102" s="1">
        <f>IFERROR(Comp2[[#This Row],[Comparable '#2 Return]]-INDEX(Benchmark1[Benchmark '#1 Return],MATCH(Comp2[[#This Row],[Comparable '#2 Dates]],Benchmark1[Benchmark '#1 Dates],0)),"-")</f>
        <v>-8.423725040294686E-3</v>
      </c>
      <c r="L1102" s="72">
        <f>Comp2[[#This Row],[Comparable '#2 Price]]/$B$2*100</f>
        <v>79.939637826961757</v>
      </c>
    </row>
    <row r="1103" spans="1:12">
      <c r="A1103" s="96">
        <v>44881</v>
      </c>
      <c r="B1103" s="101">
        <v>40.85</v>
      </c>
      <c r="C1103" s="4">
        <f t="shared" si="34"/>
        <v>2.7800251479504497E-2</v>
      </c>
      <c r="D1103" s="1">
        <f>IFERROR(Comp2[[#This Row],[Comparable '#2 Return]]+1,"-")</f>
        <v>1.0278002514795046</v>
      </c>
      <c r="E1103" s="6">
        <f>B1103-MAX($B$2:B1103)</f>
        <v>-17.309999999999995</v>
      </c>
      <c r="F1103" s="80">
        <f t="shared" si="35"/>
        <v>1010</v>
      </c>
      <c r="G1103" s="77">
        <f>Comp2[[#This Row],[Comparable '#2 Drawdown]]/MAX($B$2:B1103)</f>
        <v>-0.29762723521320489</v>
      </c>
      <c r="H1103" s="1" t="str">
        <f>IF(SUM(COUNTIF(Benchmark1[Benchmark '#1 Dates],Comp2[[#This Row],[Comparable '#2 Dates]]),COUNTIF(Benchmark2[Benchmark '#2 Dates],Comp2[[#This Row],[Comparable '#2 Dates]]))=2,"Pass","Fail")</f>
        <v>Pass</v>
      </c>
      <c r="I1103" s="1">
        <f>IFERROR(Comp2[[#This Row],[Comparable '#2 Return]]-INDEX(Benchmark1[Benchmark '#1 Return],MATCH(Comp2[[#This Row],[Comparable '#2 Dates]],Benchmark1[Benchmark '#1 Dates],0)),"-")</f>
        <v>3.6086527659921527E-2</v>
      </c>
      <c r="L1103" s="72">
        <f>Comp2[[#This Row],[Comparable '#2 Price]]/$B$2*100</f>
        <v>82.193158953722332</v>
      </c>
    </row>
    <row r="1104" spans="1:12">
      <c r="A1104" s="96">
        <v>44882</v>
      </c>
      <c r="B1104" s="101">
        <v>40.53</v>
      </c>
      <c r="C1104" s="4">
        <f t="shared" si="34"/>
        <v>-7.8643806657946978E-3</v>
      </c>
      <c r="D1104" s="1">
        <f>IFERROR(Comp2[[#This Row],[Comparable '#2 Return]]+1,"-")</f>
        <v>0.99213561933420535</v>
      </c>
      <c r="E1104" s="6">
        <f>B1104-MAX($B$2:B1104)</f>
        <v>-17.629999999999995</v>
      </c>
      <c r="F1104" s="80">
        <f t="shared" si="35"/>
        <v>1011</v>
      </c>
      <c r="G1104" s="77">
        <f>Comp2[[#This Row],[Comparable '#2 Drawdown]]/MAX($B$2:B1104)</f>
        <v>-0.30312929848693254</v>
      </c>
      <c r="H1104" s="1" t="str">
        <f>IF(SUM(COUNTIF(Benchmark1[Benchmark '#1 Dates],Comp2[[#This Row],[Comparable '#2 Dates]]),COUNTIF(Benchmark2[Benchmark '#2 Dates],Comp2[[#This Row],[Comparable '#2 Dates]]))=2,"Pass","Fail")</f>
        <v>Pass</v>
      </c>
      <c r="I1104" s="1">
        <f>IFERROR(Comp2[[#This Row],[Comparable '#2 Return]]-INDEX(Benchmark1[Benchmark '#1 Return],MATCH(Comp2[[#This Row],[Comparable '#2 Dates]],Benchmark1[Benchmark '#1 Dates],0)),"-")</f>
        <v>-4.7689045316982089E-3</v>
      </c>
      <c r="L1104" s="72">
        <f>Comp2[[#This Row],[Comparable '#2 Price]]/$B$2*100</f>
        <v>81.549295774647888</v>
      </c>
    </row>
    <row r="1105" spans="1:12">
      <c r="A1105" s="96">
        <v>44883</v>
      </c>
      <c r="B1105" s="101">
        <v>40.83</v>
      </c>
      <c r="C1105" s="4">
        <f t="shared" si="34"/>
        <v>7.3746646912671463E-3</v>
      </c>
      <c r="D1105" s="1">
        <f>IFERROR(Comp2[[#This Row],[Comparable '#2 Return]]+1,"-")</f>
        <v>1.0073746646912671</v>
      </c>
      <c r="E1105" s="6">
        <f>B1105-MAX($B$2:B1105)</f>
        <v>-17.329999999999998</v>
      </c>
      <c r="F1105" s="80">
        <f t="shared" si="35"/>
        <v>1012</v>
      </c>
      <c r="G1105" s="77">
        <f>Comp2[[#This Row],[Comparable '#2 Drawdown]]/MAX($B$2:B1105)</f>
        <v>-0.29797111416781291</v>
      </c>
      <c r="H1105" s="1" t="str">
        <f>IF(SUM(COUNTIF(Benchmark1[Benchmark '#1 Dates],Comp2[[#This Row],[Comparable '#2 Dates]]),COUNTIF(Benchmark2[Benchmark '#2 Dates],Comp2[[#This Row],[Comparable '#2 Dates]]))=2,"Pass","Fail")</f>
        <v>Pass</v>
      </c>
      <c r="I1105" s="1">
        <f>IFERROR(Comp2[[#This Row],[Comparable '#2 Return]]-INDEX(Benchmark1[Benchmark '#1 Return],MATCH(Comp2[[#This Row],[Comparable '#2 Dates]],Benchmark1[Benchmark '#1 Dates],0)),"-")</f>
        <v>2.627042038758378E-3</v>
      </c>
      <c r="L1105" s="72">
        <f>Comp2[[#This Row],[Comparable '#2 Price]]/$B$2*100</f>
        <v>82.152917505030175</v>
      </c>
    </row>
    <row r="1106" spans="1:12">
      <c r="A1106" s="96">
        <v>44886</v>
      </c>
      <c r="B1106" s="101">
        <v>40.39</v>
      </c>
      <c r="C1106" s="4">
        <f t="shared" si="34"/>
        <v>-1.0834875756162885E-2</v>
      </c>
      <c r="D1106" s="1">
        <f>IFERROR(Comp2[[#This Row],[Comparable '#2 Return]]+1,"-")</f>
        <v>0.98916512424383707</v>
      </c>
      <c r="E1106" s="6">
        <f>B1106-MAX($B$2:B1106)</f>
        <v>-17.769999999999996</v>
      </c>
      <c r="F1106" s="80">
        <f t="shared" si="35"/>
        <v>1013</v>
      </c>
      <c r="G1106" s="77">
        <f>Comp2[[#This Row],[Comparable '#2 Drawdown]]/MAX($B$2:B1106)</f>
        <v>-0.30553645116918837</v>
      </c>
      <c r="H1106" s="1" t="str">
        <f>IF(SUM(COUNTIF(Benchmark1[Benchmark '#1 Dates],Comp2[[#This Row],[Comparable '#2 Dates]]),COUNTIF(Benchmark2[Benchmark '#2 Dates],Comp2[[#This Row],[Comparable '#2 Dates]]))=2,"Pass","Fail")</f>
        <v>Pass</v>
      </c>
      <c r="I1106" s="1">
        <f>IFERROR(Comp2[[#This Row],[Comparable '#2 Return]]-INDEX(Benchmark1[Benchmark '#1 Return],MATCH(Comp2[[#This Row],[Comparable '#2 Dates]],Benchmark1[Benchmark '#1 Dates],0)),"-")</f>
        <v>-6.9431243477281468E-3</v>
      </c>
      <c r="L1106" s="72">
        <f>Comp2[[#This Row],[Comparable '#2 Price]]/$B$2*100</f>
        <v>81.267605633802802</v>
      </c>
    </row>
    <row r="1107" spans="1:12">
      <c r="A1107" s="96">
        <v>44887</v>
      </c>
      <c r="B1107" s="101">
        <v>40.92</v>
      </c>
      <c r="C1107" s="4">
        <f t="shared" si="34"/>
        <v>1.3036711508104312E-2</v>
      </c>
      <c r="D1107" s="1">
        <f>IFERROR(Comp2[[#This Row],[Comparable '#2 Return]]+1,"-")</f>
        <v>1.0130367115081043</v>
      </c>
      <c r="E1107" s="6">
        <f>B1107-MAX($B$2:B1107)</f>
        <v>-17.239999999999995</v>
      </c>
      <c r="F1107" s="80">
        <f t="shared" si="35"/>
        <v>1014</v>
      </c>
      <c r="G1107" s="77">
        <f>Comp2[[#This Row],[Comparable '#2 Drawdown]]/MAX($B$2:B1107)</f>
        <v>-0.29642365887207694</v>
      </c>
      <c r="H1107" s="1" t="str">
        <f>IF(SUM(COUNTIF(Benchmark1[Benchmark '#1 Dates],Comp2[[#This Row],[Comparable '#2 Dates]]),COUNTIF(Benchmark2[Benchmark '#2 Dates],Comp2[[#This Row],[Comparable '#2 Dates]]))=2,"Pass","Fail")</f>
        <v>Pass</v>
      </c>
      <c r="I1107" s="1">
        <f>IFERROR(Comp2[[#This Row],[Comparable '#2 Return]]-INDEX(Benchmark1[Benchmark '#1 Return],MATCH(Comp2[[#This Row],[Comparable '#2 Dates]],Benchmark1[Benchmark '#1 Dates],0)),"-")</f>
        <v>-4.5218497813915431E-4</v>
      </c>
      <c r="L1107" s="72">
        <f>Comp2[[#This Row],[Comparable '#2 Price]]/$B$2*100</f>
        <v>82.334004024144875</v>
      </c>
    </row>
    <row r="1108" spans="1:12">
      <c r="A1108" s="96">
        <v>44888</v>
      </c>
      <c r="B1108" s="101">
        <v>40.47</v>
      </c>
      <c r="C1108" s="4">
        <f t="shared" si="34"/>
        <v>-1.105798219565163E-2</v>
      </c>
      <c r="D1108" s="1">
        <f>IFERROR(Comp2[[#This Row],[Comparable '#2 Return]]+1,"-")</f>
        <v>0.98894201780434832</v>
      </c>
      <c r="E1108" s="6">
        <f>B1108-MAX($B$2:B1108)</f>
        <v>-17.689999999999998</v>
      </c>
      <c r="F1108" s="80">
        <f t="shared" si="35"/>
        <v>1015</v>
      </c>
      <c r="G1108" s="77">
        <f>Comp2[[#This Row],[Comparable '#2 Drawdown]]/MAX($B$2:B1108)</f>
        <v>-0.3041609353507565</v>
      </c>
      <c r="H1108" s="1" t="str">
        <f>IF(SUM(COUNTIF(Benchmark1[Benchmark '#1 Dates],Comp2[[#This Row],[Comparable '#2 Dates]]),COUNTIF(Benchmark2[Benchmark '#2 Dates],Comp2[[#This Row],[Comparable '#2 Dates]]))=2,"Pass","Fail")</f>
        <v>Pass</v>
      </c>
      <c r="I1108" s="1">
        <f>IFERROR(Comp2[[#This Row],[Comparable '#2 Return]]-INDEX(Benchmark1[Benchmark '#1 Return],MATCH(Comp2[[#This Row],[Comparable '#2 Dates]],Benchmark1[Benchmark '#1 Dates],0)),"-")</f>
        <v>-1.6956197822341517E-2</v>
      </c>
      <c r="L1108" s="72">
        <f>Comp2[[#This Row],[Comparable '#2 Price]]/$B$2*100</f>
        <v>81.428571428571416</v>
      </c>
    </row>
    <row r="1109" spans="1:12">
      <c r="A1109" s="96">
        <v>44890</v>
      </c>
      <c r="B1109" s="101">
        <v>40.340000000000003</v>
      </c>
      <c r="C1109" s="4">
        <f t="shared" si="34"/>
        <v>-3.2174263617084321E-3</v>
      </c>
      <c r="D1109" s="1">
        <f>IFERROR(Comp2[[#This Row],[Comparable '#2 Return]]+1,"-")</f>
        <v>0.99678257363829159</v>
      </c>
      <c r="E1109" s="6">
        <f>B1109-MAX($B$2:B1109)</f>
        <v>-17.819999999999993</v>
      </c>
      <c r="F1109" s="80">
        <f t="shared" si="35"/>
        <v>1016</v>
      </c>
      <c r="G1109" s="77">
        <f>Comp2[[#This Row],[Comparable '#2 Drawdown]]/MAX($B$2:B1109)</f>
        <v>-0.30639614855570829</v>
      </c>
      <c r="H1109" s="1" t="str">
        <f>IF(SUM(COUNTIF(Benchmark1[Benchmark '#1 Dates],Comp2[[#This Row],[Comparable '#2 Dates]]),COUNTIF(Benchmark2[Benchmark '#2 Dates],Comp2[[#This Row],[Comparable '#2 Dates]]))=2,"Pass","Fail")</f>
        <v>Pass</v>
      </c>
      <c r="I1109" s="1">
        <f>IFERROR(Comp2[[#This Row],[Comparable '#2 Return]]-INDEX(Benchmark1[Benchmark '#1 Return],MATCH(Comp2[[#This Row],[Comparable '#2 Dates]],Benchmark1[Benchmark '#1 Dates],0)),"-")</f>
        <v>-2.9326552431321712E-3</v>
      </c>
      <c r="L1109" s="72">
        <f>Comp2[[#This Row],[Comparable '#2 Price]]/$B$2*100</f>
        <v>81.167002012072444</v>
      </c>
    </row>
    <row r="1110" spans="1:12">
      <c r="A1110" s="96">
        <v>44893</v>
      </c>
      <c r="B1110" s="101">
        <v>40.68</v>
      </c>
      <c r="C1110" s="4">
        <f t="shared" si="34"/>
        <v>8.3930386542934391E-3</v>
      </c>
      <c r="D1110" s="1">
        <f>IFERROR(Comp2[[#This Row],[Comparable '#2 Return]]+1,"-")</f>
        <v>1.0083930386542934</v>
      </c>
      <c r="E1110" s="6">
        <f>B1110-MAX($B$2:B1110)</f>
        <v>-17.479999999999997</v>
      </c>
      <c r="F1110" s="80">
        <f t="shared" si="35"/>
        <v>1017</v>
      </c>
      <c r="G1110" s="77">
        <f>Comp2[[#This Row],[Comparable '#2 Drawdown]]/MAX($B$2:B1110)</f>
        <v>-0.30055020632737273</v>
      </c>
      <c r="H1110" s="1" t="str">
        <f>IF(SUM(COUNTIF(Benchmark1[Benchmark '#1 Dates],Comp2[[#This Row],[Comparable '#2 Dates]]),COUNTIF(Benchmark2[Benchmark '#2 Dates],Comp2[[#This Row],[Comparable '#2 Dates]]))=2,"Pass","Fail")</f>
        <v>Pass</v>
      </c>
      <c r="I1110" s="1">
        <f>IFERROR(Comp2[[#This Row],[Comparable '#2 Return]]-INDEX(Benchmark1[Benchmark '#1 Return],MATCH(Comp2[[#This Row],[Comparable '#2 Dates]],Benchmark1[Benchmark '#1 Dates],0)),"-")</f>
        <v>2.3956105942854182E-2</v>
      </c>
      <c r="L1110" s="72">
        <f>Comp2[[#This Row],[Comparable '#2 Price]]/$B$2*100</f>
        <v>81.851106639839031</v>
      </c>
    </row>
    <row r="1111" spans="1:12">
      <c r="A1111" s="96">
        <v>44894</v>
      </c>
      <c r="B1111" s="101">
        <v>40.71</v>
      </c>
      <c r="C1111" s="4">
        <f t="shared" si="34"/>
        <v>7.3719133452835618E-4</v>
      </c>
      <c r="D1111" s="1">
        <f>IFERROR(Comp2[[#This Row],[Comparable '#2 Return]]+1,"-")</f>
        <v>1.0007371913345284</v>
      </c>
      <c r="E1111" s="6">
        <f>B1111-MAX($B$2:B1111)</f>
        <v>-17.449999999999996</v>
      </c>
      <c r="F1111" s="80">
        <f t="shared" si="35"/>
        <v>1018</v>
      </c>
      <c r="G1111" s="77">
        <f>Comp2[[#This Row],[Comparable '#2 Drawdown]]/MAX($B$2:B1111)</f>
        <v>-0.30003438789546072</v>
      </c>
      <c r="H1111" s="1" t="str">
        <f>IF(SUM(COUNTIF(Benchmark1[Benchmark '#1 Dates],Comp2[[#This Row],[Comparable '#2 Dates]]),COUNTIF(Benchmark2[Benchmark '#2 Dates],Comp2[[#This Row],[Comparable '#2 Dates]]))=2,"Pass","Fail")</f>
        <v>Pass</v>
      </c>
      <c r="I1111" s="1">
        <f>IFERROR(Comp2[[#This Row],[Comparable '#2 Return]]-INDEX(Benchmark1[Benchmark '#1 Return],MATCH(Comp2[[#This Row],[Comparable '#2 Dates]],Benchmark1[Benchmark '#1 Dates],0)),"-")</f>
        <v>2.3318154698460428E-3</v>
      </c>
      <c r="L1111" s="72">
        <f>Comp2[[#This Row],[Comparable '#2 Price]]/$B$2*100</f>
        <v>81.91146881287726</v>
      </c>
    </row>
    <row r="1112" spans="1:12">
      <c r="A1112" s="96">
        <v>44895</v>
      </c>
      <c r="B1112" s="101">
        <v>41.6</v>
      </c>
      <c r="C1112" s="4">
        <f t="shared" si="34"/>
        <v>2.1626404752330092E-2</v>
      </c>
      <c r="D1112" s="1">
        <f>IFERROR(Comp2[[#This Row],[Comparable '#2 Return]]+1,"-")</f>
        <v>1.02162640475233</v>
      </c>
      <c r="E1112" s="6">
        <f>B1112-MAX($B$2:B1112)</f>
        <v>-16.559999999999995</v>
      </c>
      <c r="F1112" s="80">
        <f t="shared" si="35"/>
        <v>1019</v>
      </c>
      <c r="G1112" s="77">
        <f>Comp2[[#This Row],[Comparable '#2 Drawdown]]/MAX($B$2:B1112)</f>
        <v>-0.2847317744154057</v>
      </c>
      <c r="H1112" s="1" t="str">
        <f>IF(SUM(COUNTIF(Benchmark1[Benchmark '#1 Dates],Comp2[[#This Row],[Comparable '#2 Dates]]),COUNTIF(Benchmark2[Benchmark '#2 Dates],Comp2[[#This Row],[Comparable '#2 Dates]]))=2,"Pass","Fail")</f>
        <v>Pass</v>
      </c>
      <c r="I1112" s="1">
        <f>IFERROR(Comp2[[#This Row],[Comparable '#2 Return]]-INDEX(Benchmark1[Benchmark '#1 Return],MATCH(Comp2[[#This Row],[Comparable '#2 Dates]],Benchmark1[Benchmark '#1 Dates],0)),"-")</f>
        <v>-8.8523755209983547E-3</v>
      </c>
      <c r="L1112" s="72">
        <f>Comp2[[#This Row],[Comparable '#2 Price]]/$B$2*100</f>
        <v>83.702213279678062</v>
      </c>
    </row>
    <row r="1113" spans="1:12">
      <c r="A1113" s="96">
        <v>44896</v>
      </c>
      <c r="B1113" s="101">
        <v>41.24</v>
      </c>
      <c r="C1113" s="4">
        <f t="shared" si="34"/>
        <v>-8.6915081184583912E-3</v>
      </c>
      <c r="D1113" s="1">
        <f>IFERROR(Comp2[[#This Row],[Comparable '#2 Return]]+1,"-")</f>
        <v>0.99130849188154158</v>
      </c>
      <c r="E1113" s="6">
        <f>B1113-MAX($B$2:B1113)</f>
        <v>-16.919999999999995</v>
      </c>
      <c r="F1113" s="80">
        <f t="shared" si="35"/>
        <v>1020</v>
      </c>
      <c r="G1113" s="77">
        <f>Comp2[[#This Row],[Comparable '#2 Drawdown]]/MAX($B$2:B1113)</f>
        <v>-0.29092159559834929</v>
      </c>
      <c r="H1113" s="1" t="str">
        <f>IF(SUM(COUNTIF(Benchmark1[Benchmark '#1 Dates],Comp2[[#This Row],[Comparable '#2 Dates]]),COUNTIF(Benchmark2[Benchmark '#2 Dates],Comp2[[#This Row],[Comparable '#2 Dates]]))=2,"Pass","Fail")</f>
        <v>Pass</v>
      </c>
      <c r="I1113" s="1">
        <f>IFERROR(Comp2[[#This Row],[Comparable '#2 Return]]-INDEX(Benchmark1[Benchmark '#1 Return],MATCH(Comp2[[#This Row],[Comparable '#2 Dates]],Benchmark1[Benchmark '#1 Dates],0)),"-")</f>
        <v>-7.8234876265324462E-3</v>
      </c>
      <c r="L1113" s="72">
        <f>Comp2[[#This Row],[Comparable '#2 Price]]/$B$2*100</f>
        <v>82.977867203219319</v>
      </c>
    </row>
    <row r="1114" spans="1:12">
      <c r="A1114" s="96">
        <v>44897</v>
      </c>
      <c r="B1114" s="101">
        <v>40.43</v>
      </c>
      <c r="C1114" s="4">
        <f t="shared" si="34"/>
        <v>-1.9836575496079773E-2</v>
      </c>
      <c r="D1114" s="1">
        <f>IFERROR(Comp2[[#This Row],[Comparable '#2 Return]]+1,"-")</f>
        <v>0.98016342450392024</v>
      </c>
      <c r="E1114" s="6">
        <f>B1114-MAX($B$2:B1114)</f>
        <v>-17.729999999999997</v>
      </c>
      <c r="F1114" s="80">
        <f t="shared" si="35"/>
        <v>1021</v>
      </c>
      <c r="G1114" s="77">
        <f>Comp2[[#This Row],[Comparable '#2 Drawdown]]/MAX($B$2:B1114)</f>
        <v>-0.30484869325997244</v>
      </c>
      <c r="H1114" s="1" t="str">
        <f>IF(SUM(COUNTIF(Benchmark1[Benchmark '#1 Dates],Comp2[[#This Row],[Comparable '#2 Dates]]),COUNTIF(Benchmark2[Benchmark '#2 Dates],Comp2[[#This Row],[Comparable '#2 Dates]]))=2,"Pass","Fail")</f>
        <v>Pass</v>
      </c>
      <c r="I1114" s="1">
        <f>IFERROR(Comp2[[#This Row],[Comparable '#2 Return]]-INDEX(Benchmark1[Benchmark '#1 Return],MATCH(Comp2[[#This Row],[Comparable '#2 Dates]],Benchmark1[Benchmark '#1 Dates],0)),"-")</f>
        <v>-1.8642103043447565E-2</v>
      </c>
      <c r="L1114" s="72">
        <f>Comp2[[#This Row],[Comparable '#2 Price]]/$B$2*100</f>
        <v>81.348088531187116</v>
      </c>
    </row>
    <row r="1115" spans="1:12">
      <c r="A1115" s="96">
        <v>44900</v>
      </c>
      <c r="B1115" s="101">
        <v>39.46</v>
      </c>
      <c r="C1115" s="4">
        <f t="shared" si="34"/>
        <v>-2.4284583058210223E-2</v>
      </c>
      <c r="D1115" s="1">
        <f>IFERROR(Comp2[[#This Row],[Comparable '#2 Return]]+1,"-")</f>
        <v>0.97571541694178976</v>
      </c>
      <c r="E1115" s="6">
        <f>B1115-MAX($B$2:B1115)</f>
        <v>-18.699999999999996</v>
      </c>
      <c r="F1115" s="80">
        <f t="shared" si="35"/>
        <v>1022</v>
      </c>
      <c r="G1115" s="77">
        <f>Comp2[[#This Row],[Comparable '#2 Drawdown]]/MAX($B$2:B1115)</f>
        <v>-0.32152682255845938</v>
      </c>
      <c r="H1115" s="1" t="str">
        <f>IF(SUM(COUNTIF(Benchmark1[Benchmark '#1 Dates],Comp2[[#This Row],[Comparable '#2 Dates]]),COUNTIF(Benchmark2[Benchmark '#2 Dates],Comp2[[#This Row],[Comparable '#2 Dates]]))=2,"Pass","Fail")</f>
        <v>Pass</v>
      </c>
      <c r="I1115" s="1">
        <f>IFERROR(Comp2[[#This Row],[Comparable '#2 Return]]-INDEX(Benchmark1[Benchmark '#1 Return],MATCH(Comp2[[#This Row],[Comparable '#2 Dates]],Benchmark1[Benchmark '#1 Dates],0)),"-")</f>
        <v>-6.2283141767237454E-3</v>
      </c>
      <c r="L1115" s="72">
        <f>Comp2[[#This Row],[Comparable '#2 Price]]/$B$2*100</f>
        <v>79.396378269617713</v>
      </c>
    </row>
    <row r="1116" spans="1:12">
      <c r="A1116" s="96">
        <v>44901</v>
      </c>
      <c r="B1116" s="101">
        <v>39.47</v>
      </c>
      <c r="C1116" s="4">
        <f t="shared" si="34"/>
        <v>2.5338908028632221E-4</v>
      </c>
      <c r="D1116" s="1">
        <f>IFERROR(Comp2[[#This Row],[Comparable '#2 Return]]+1,"-")</f>
        <v>1.0002533890802863</v>
      </c>
      <c r="E1116" s="6">
        <f>B1116-MAX($B$2:B1116)</f>
        <v>-18.689999999999998</v>
      </c>
      <c r="F1116" s="80">
        <f t="shared" si="35"/>
        <v>1023</v>
      </c>
      <c r="G1116" s="77">
        <f>Comp2[[#This Row],[Comparable '#2 Drawdown]]/MAX($B$2:B1116)</f>
        <v>-0.3213548830811554</v>
      </c>
      <c r="H1116" s="1" t="str">
        <f>IF(SUM(COUNTIF(Benchmark1[Benchmark '#1 Dates],Comp2[[#This Row],[Comparable '#2 Dates]]),COUNTIF(Benchmark2[Benchmark '#2 Dates],Comp2[[#This Row],[Comparable '#2 Dates]]))=2,"Pass","Fail")</f>
        <v>Pass</v>
      </c>
      <c r="I1116" s="1">
        <f>IFERROR(Comp2[[#This Row],[Comparable '#2 Return]]-INDEX(Benchmark1[Benchmark '#1 Return],MATCH(Comp2[[#This Row],[Comparable '#2 Dates]],Benchmark1[Benchmark '#1 Dates],0)),"-")</f>
        <v>1.475725839747844E-2</v>
      </c>
      <c r="L1116" s="72">
        <f>Comp2[[#This Row],[Comparable '#2 Price]]/$B$2*100</f>
        <v>79.416498993963785</v>
      </c>
    </row>
    <row r="1117" spans="1:12">
      <c r="A1117" s="96">
        <v>44902</v>
      </c>
      <c r="B1117" s="101">
        <v>38.950000000000003</v>
      </c>
      <c r="C1117" s="4">
        <f t="shared" si="34"/>
        <v>-1.3262117357998326E-2</v>
      </c>
      <c r="D1117" s="1">
        <f>IFERROR(Comp2[[#This Row],[Comparable '#2 Return]]+1,"-")</f>
        <v>0.98673788264200168</v>
      </c>
      <c r="E1117" s="6">
        <f>B1117-MAX($B$2:B1117)</f>
        <v>-19.209999999999994</v>
      </c>
      <c r="F1117" s="80">
        <f t="shared" si="35"/>
        <v>1024</v>
      </c>
      <c r="G1117" s="77">
        <f>Comp2[[#This Row],[Comparable '#2 Drawdown]]/MAX($B$2:B1117)</f>
        <v>-0.33029573590096278</v>
      </c>
      <c r="H1117" s="1" t="str">
        <f>IF(SUM(COUNTIF(Benchmark1[Benchmark '#1 Dates],Comp2[[#This Row],[Comparable '#2 Dates]]),COUNTIF(Benchmark2[Benchmark '#2 Dates],Comp2[[#This Row],[Comparable '#2 Dates]]))=2,"Pass","Fail")</f>
        <v>Pass</v>
      </c>
      <c r="I1117" s="1">
        <f>IFERROR(Comp2[[#This Row],[Comparable '#2 Return]]-INDEX(Benchmark1[Benchmark '#1 Return],MATCH(Comp2[[#This Row],[Comparable '#2 Dates]],Benchmark1[Benchmark '#1 Dates],0)),"-")</f>
        <v>-1.1399024035464137E-2</v>
      </c>
      <c r="L1117" s="72">
        <f>Comp2[[#This Row],[Comparable '#2 Price]]/$B$2*100</f>
        <v>78.370221327967798</v>
      </c>
    </row>
    <row r="1118" spans="1:12">
      <c r="A1118" s="96">
        <v>44903</v>
      </c>
      <c r="B1118" s="101">
        <v>38.74</v>
      </c>
      <c r="C1118" s="4">
        <f t="shared" si="34"/>
        <v>-5.4061143379075093E-3</v>
      </c>
      <c r="D1118" s="1">
        <f>IFERROR(Comp2[[#This Row],[Comparable '#2 Return]]+1,"-")</f>
        <v>0.9945938856620925</v>
      </c>
      <c r="E1118" s="6">
        <f>B1118-MAX($B$2:B1118)</f>
        <v>-19.419999999999995</v>
      </c>
      <c r="F1118" s="80">
        <f t="shared" si="35"/>
        <v>1025</v>
      </c>
      <c r="G1118" s="77">
        <f>Comp2[[#This Row],[Comparable '#2 Drawdown]]/MAX($B$2:B1118)</f>
        <v>-0.33390646492434656</v>
      </c>
      <c r="H1118" s="1" t="str">
        <f>IF(SUM(COUNTIF(Benchmark1[Benchmark '#1 Dates],Comp2[[#This Row],[Comparable '#2 Dates]]),COUNTIF(Benchmark2[Benchmark '#2 Dates],Comp2[[#This Row],[Comparable '#2 Dates]]))=2,"Pass","Fail")</f>
        <v>Pass</v>
      </c>
      <c r="I1118" s="1">
        <f>IFERROR(Comp2[[#This Row],[Comparable '#2 Return]]-INDEX(Benchmark1[Benchmark '#1 Return],MATCH(Comp2[[#This Row],[Comparable '#2 Dates]],Benchmark1[Benchmark '#1 Dates],0)),"-")</f>
        <v>-1.2899164726890677E-2</v>
      </c>
      <c r="L1118" s="72">
        <f>Comp2[[#This Row],[Comparable '#2 Price]]/$B$2*100</f>
        <v>77.947686116700197</v>
      </c>
    </row>
    <row r="1119" spans="1:12">
      <c r="A1119" s="96">
        <v>44904</v>
      </c>
      <c r="B1119" s="101">
        <v>37.58</v>
      </c>
      <c r="C1119" s="4">
        <f t="shared" si="34"/>
        <v>-3.0400663993530693E-2</v>
      </c>
      <c r="D1119" s="1">
        <f>IFERROR(Comp2[[#This Row],[Comparable '#2 Return]]+1,"-")</f>
        <v>0.9695993360064693</v>
      </c>
      <c r="E1119" s="6">
        <f>B1119-MAX($B$2:B1119)</f>
        <v>-20.58</v>
      </c>
      <c r="F1119" s="80">
        <f t="shared" si="35"/>
        <v>1026</v>
      </c>
      <c r="G1119" s="77">
        <f>Comp2[[#This Row],[Comparable '#2 Drawdown]]/MAX($B$2:B1119)</f>
        <v>-0.35385144429160936</v>
      </c>
      <c r="H1119" s="1" t="str">
        <f>IF(SUM(COUNTIF(Benchmark1[Benchmark '#1 Dates],Comp2[[#This Row],[Comparable '#2 Dates]]),COUNTIF(Benchmark2[Benchmark '#2 Dates],Comp2[[#This Row],[Comparable '#2 Dates]]))=2,"Pass","Fail")</f>
        <v>Pass</v>
      </c>
      <c r="I1119" s="1">
        <f>IFERROR(Comp2[[#This Row],[Comparable '#2 Return]]-INDEX(Benchmark1[Benchmark '#1 Return],MATCH(Comp2[[#This Row],[Comparable '#2 Dates]],Benchmark1[Benchmark '#1 Dates],0)),"-")</f>
        <v>-2.3022647727461567E-2</v>
      </c>
      <c r="L1119" s="72">
        <f>Comp2[[#This Row],[Comparable '#2 Price]]/$B$2*100</f>
        <v>75.613682092555322</v>
      </c>
    </row>
    <row r="1120" spans="1:12">
      <c r="A1120" s="96">
        <v>44907</v>
      </c>
      <c r="B1120" s="101">
        <v>37.53</v>
      </c>
      <c r="C1120" s="4">
        <f t="shared" si="34"/>
        <v>-1.331380838389768E-3</v>
      </c>
      <c r="D1120" s="1">
        <f>IFERROR(Comp2[[#This Row],[Comparable '#2 Return]]+1,"-")</f>
        <v>0.9986686191616102</v>
      </c>
      <c r="E1120" s="6">
        <f>B1120-MAX($B$2:B1120)</f>
        <v>-20.629999999999995</v>
      </c>
      <c r="F1120" s="80">
        <f t="shared" si="35"/>
        <v>1027</v>
      </c>
      <c r="G1120" s="77">
        <f>Comp2[[#This Row],[Comparable '#2 Drawdown]]/MAX($B$2:B1120)</f>
        <v>-0.35471114167812923</v>
      </c>
      <c r="H1120" s="1" t="str">
        <f>IF(SUM(COUNTIF(Benchmark1[Benchmark '#1 Dates],Comp2[[#This Row],[Comparable '#2 Dates]]),COUNTIF(Benchmark2[Benchmark '#2 Dates],Comp2[[#This Row],[Comparable '#2 Dates]]))=2,"Pass","Fail")</f>
        <v>Pass</v>
      </c>
      <c r="I1120" s="1">
        <f>IFERROR(Comp2[[#This Row],[Comparable '#2 Return]]-INDEX(Benchmark1[Benchmark '#1 Return],MATCH(Comp2[[#This Row],[Comparable '#2 Dates]],Benchmark1[Benchmark '#1 Dates],0)),"-")</f>
        <v>-1.5509907814833511E-2</v>
      </c>
      <c r="L1120" s="72">
        <f>Comp2[[#This Row],[Comparable '#2 Price]]/$B$2*100</f>
        <v>75.513078470824951</v>
      </c>
    </row>
    <row r="1121" spans="1:12">
      <c r="A1121" s="96">
        <v>44908</v>
      </c>
      <c r="B1121" s="101">
        <v>37.020000000000003</v>
      </c>
      <c r="C1121" s="4">
        <f t="shared" si="34"/>
        <v>-1.3682306001577969E-2</v>
      </c>
      <c r="D1121" s="1">
        <f>IFERROR(Comp2[[#This Row],[Comparable '#2 Return]]+1,"-")</f>
        <v>0.98631769399842206</v>
      </c>
      <c r="E1121" s="6">
        <f>B1121-MAX($B$2:B1121)</f>
        <v>-21.139999999999993</v>
      </c>
      <c r="F1121" s="80">
        <f t="shared" si="35"/>
        <v>1028</v>
      </c>
      <c r="G1121" s="77">
        <f>Comp2[[#This Row],[Comparable '#2 Drawdown]]/MAX($B$2:B1121)</f>
        <v>-0.36348005502063263</v>
      </c>
      <c r="H1121" s="1" t="str">
        <f>IF(SUM(COUNTIF(Benchmark1[Benchmark '#1 Dates],Comp2[[#This Row],[Comparable '#2 Dates]]),COUNTIF(Benchmark2[Benchmark '#2 Dates],Comp2[[#This Row],[Comparable '#2 Dates]]))=2,"Pass","Fail")</f>
        <v>Pass</v>
      </c>
      <c r="I1121" s="1">
        <f>IFERROR(Comp2[[#This Row],[Comparable '#2 Return]]-INDEX(Benchmark1[Benchmark '#1 Return],MATCH(Comp2[[#This Row],[Comparable '#2 Dates]],Benchmark1[Benchmark '#1 Dates],0)),"-")</f>
        <v>-2.0947286339409496E-2</v>
      </c>
      <c r="L1121" s="72">
        <f>Comp2[[#This Row],[Comparable '#2 Price]]/$B$2*100</f>
        <v>74.486921529175049</v>
      </c>
    </row>
    <row r="1122" spans="1:12">
      <c r="A1122" s="96">
        <v>44909</v>
      </c>
      <c r="B1122" s="101">
        <v>36.82</v>
      </c>
      <c r="C1122" s="4">
        <f t="shared" si="34"/>
        <v>-5.4171313404196737E-3</v>
      </c>
      <c r="D1122" s="1">
        <f>IFERROR(Comp2[[#This Row],[Comparable '#2 Return]]+1,"-")</f>
        <v>0.99458286865958034</v>
      </c>
      <c r="E1122" s="6">
        <f>B1122-MAX($B$2:B1122)</f>
        <v>-21.339999999999996</v>
      </c>
      <c r="F1122" s="80">
        <f t="shared" si="35"/>
        <v>1029</v>
      </c>
      <c r="G1122" s="77">
        <f>Comp2[[#This Row],[Comparable '#2 Drawdown]]/MAX($B$2:B1122)</f>
        <v>-0.36691884456671248</v>
      </c>
      <c r="H1122" s="1" t="str">
        <f>IF(SUM(COUNTIF(Benchmark1[Benchmark '#1 Dates],Comp2[[#This Row],[Comparable '#2 Dates]]),COUNTIF(Benchmark2[Benchmark '#2 Dates],Comp2[[#This Row],[Comparable '#2 Dates]]))=2,"Pass","Fail")</f>
        <v>Pass</v>
      </c>
      <c r="I1122" s="1">
        <f>IFERROR(Comp2[[#This Row],[Comparable '#2 Return]]-INDEX(Benchmark1[Benchmark '#1 Return],MATCH(Comp2[[#This Row],[Comparable '#2 Dates]],Benchmark1[Benchmark '#1 Dates],0)),"-")</f>
        <v>6.5543224147729222E-4</v>
      </c>
      <c r="L1122" s="72">
        <f>Comp2[[#This Row],[Comparable '#2 Price]]/$B$2*100</f>
        <v>74.08450704225352</v>
      </c>
    </row>
    <row r="1123" spans="1:12">
      <c r="A1123" s="96">
        <v>44910</v>
      </c>
      <c r="B1123" s="101">
        <v>37.08</v>
      </c>
      <c r="C1123" s="4">
        <f t="shared" si="34"/>
        <v>7.0365648927224623E-3</v>
      </c>
      <c r="D1123" s="1">
        <f>IFERROR(Comp2[[#This Row],[Comparable '#2 Return]]+1,"-")</f>
        <v>1.0070365648927224</v>
      </c>
      <c r="E1123" s="6">
        <f>B1123-MAX($B$2:B1123)</f>
        <v>-21.08</v>
      </c>
      <c r="F1123" s="80">
        <f t="shared" si="35"/>
        <v>1030</v>
      </c>
      <c r="G1123" s="77">
        <f>Comp2[[#This Row],[Comparable '#2 Drawdown]]/MAX($B$2:B1123)</f>
        <v>-0.36244841815680878</v>
      </c>
      <c r="H1123" s="1" t="str">
        <f>IF(SUM(COUNTIF(Benchmark1[Benchmark '#1 Dates],Comp2[[#This Row],[Comparable '#2 Dates]]),COUNTIF(Benchmark2[Benchmark '#2 Dates],Comp2[[#This Row],[Comparable '#2 Dates]]))=2,"Pass","Fail")</f>
        <v>Pass</v>
      </c>
      <c r="I1123" s="1">
        <f>IFERROR(Comp2[[#This Row],[Comparable '#2 Return]]-INDEX(Benchmark1[Benchmark '#1 Return],MATCH(Comp2[[#This Row],[Comparable '#2 Dates]],Benchmark1[Benchmark '#1 Dates],0)),"-")</f>
        <v>3.2272847371206226E-2</v>
      </c>
      <c r="L1123" s="72">
        <f>Comp2[[#This Row],[Comparable '#2 Price]]/$B$2*100</f>
        <v>74.607645875251507</v>
      </c>
    </row>
    <row r="1124" spans="1:12">
      <c r="A1124" s="96">
        <v>44911</v>
      </c>
      <c r="B1124" s="101">
        <v>36.01</v>
      </c>
      <c r="C1124" s="4">
        <f t="shared" si="34"/>
        <v>-2.9281063036870576E-2</v>
      </c>
      <c r="D1124" s="1">
        <f>IFERROR(Comp2[[#This Row],[Comparable '#2 Return]]+1,"-")</f>
        <v>0.97071893696312939</v>
      </c>
      <c r="E1124" s="6">
        <f>B1124-MAX($B$2:B1124)</f>
        <v>-22.15</v>
      </c>
      <c r="F1124" s="80">
        <f t="shared" si="35"/>
        <v>1031</v>
      </c>
      <c r="G1124" s="77">
        <f>Comp2[[#This Row],[Comparable '#2 Drawdown]]/MAX($B$2:B1124)</f>
        <v>-0.38084594222833562</v>
      </c>
      <c r="H1124" s="1" t="str">
        <f>IF(SUM(COUNTIF(Benchmark1[Benchmark '#1 Dates],Comp2[[#This Row],[Comparable '#2 Dates]]),COUNTIF(Benchmark2[Benchmark '#2 Dates],Comp2[[#This Row],[Comparable '#2 Dates]]))=2,"Pass","Fail")</f>
        <v>Pass</v>
      </c>
      <c r="I1124" s="1">
        <f>IFERROR(Comp2[[#This Row],[Comparable '#2 Return]]-INDEX(Benchmark1[Benchmark '#1 Return],MATCH(Comp2[[#This Row],[Comparable '#2 Dates]],Benchmark1[Benchmark '#1 Dates],0)),"-")</f>
        <v>-1.8080868505595371E-2</v>
      </c>
      <c r="L1124" s="72">
        <f>Comp2[[#This Row],[Comparable '#2 Price]]/$B$2*100</f>
        <v>72.454728370221318</v>
      </c>
    </row>
    <row r="1125" spans="1:12">
      <c r="A1125" s="96">
        <v>44914</v>
      </c>
      <c r="B1125" s="101">
        <v>36.11</v>
      </c>
      <c r="C1125" s="4">
        <f t="shared" si="34"/>
        <v>2.7731576285824665E-3</v>
      </c>
      <c r="D1125" s="1">
        <f>IFERROR(Comp2[[#This Row],[Comparable '#2 Return]]+1,"-")</f>
        <v>1.0027731576285825</v>
      </c>
      <c r="E1125" s="6">
        <f>B1125-MAX($B$2:B1125)</f>
        <v>-22.049999999999997</v>
      </c>
      <c r="F1125" s="80">
        <f t="shared" si="35"/>
        <v>1032</v>
      </c>
      <c r="G1125" s="77">
        <f>Comp2[[#This Row],[Comparable '#2 Drawdown]]/MAX($B$2:B1125)</f>
        <v>-0.37912654745529573</v>
      </c>
      <c r="H1125" s="1" t="str">
        <f>IF(SUM(COUNTIF(Benchmark1[Benchmark '#1 Dates],Comp2[[#This Row],[Comparable '#2 Dates]]),COUNTIF(Benchmark2[Benchmark '#2 Dates],Comp2[[#This Row],[Comparable '#2 Dates]]))=2,"Pass","Fail")</f>
        <v>Pass</v>
      </c>
      <c r="I1125" s="1">
        <f>IFERROR(Comp2[[#This Row],[Comparable '#2 Return]]-INDEX(Benchmark1[Benchmark '#1 Return],MATCH(Comp2[[#This Row],[Comparable '#2 Dates]],Benchmark1[Benchmark '#1 Dates],0)),"-")</f>
        <v>1.1822850547525555E-2</v>
      </c>
      <c r="L1125" s="72">
        <f>Comp2[[#This Row],[Comparable '#2 Price]]/$B$2*100</f>
        <v>72.65593561368209</v>
      </c>
    </row>
    <row r="1126" spans="1:12">
      <c r="A1126" s="96">
        <v>44915</v>
      </c>
      <c r="B1126" s="101">
        <v>36.340000000000003</v>
      </c>
      <c r="C1126" s="4">
        <f t="shared" si="34"/>
        <v>6.3492276786589657E-3</v>
      </c>
      <c r="D1126" s="1">
        <f>IFERROR(Comp2[[#This Row],[Comparable '#2 Return]]+1,"-")</f>
        <v>1.006349227678659</v>
      </c>
      <c r="E1126" s="6">
        <f>B1126-MAX($B$2:B1126)</f>
        <v>-21.819999999999993</v>
      </c>
      <c r="F1126" s="80">
        <f t="shared" si="35"/>
        <v>1033</v>
      </c>
      <c r="G1126" s="77">
        <f>Comp2[[#This Row],[Comparable '#2 Drawdown]]/MAX($B$2:B1126)</f>
        <v>-0.37517193947730387</v>
      </c>
      <c r="H1126" s="1" t="str">
        <f>IF(SUM(COUNTIF(Benchmark1[Benchmark '#1 Dates],Comp2[[#This Row],[Comparable '#2 Dates]]),COUNTIF(Benchmark2[Benchmark '#2 Dates],Comp2[[#This Row],[Comparable '#2 Dates]]))=2,"Pass","Fail")</f>
        <v>Pass</v>
      </c>
      <c r="I1126" s="1">
        <f>IFERROR(Comp2[[#This Row],[Comparable '#2 Return]]-INDEX(Benchmark1[Benchmark '#1 Return],MATCH(Comp2[[#This Row],[Comparable '#2 Dates]],Benchmark1[Benchmark '#1 Dates],0)),"-")</f>
        <v>5.3121661153729214E-3</v>
      </c>
      <c r="L1126" s="72">
        <f>Comp2[[#This Row],[Comparable '#2 Price]]/$B$2*100</f>
        <v>73.118712273641847</v>
      </c>
    </row>
    <row r="1127" spans="1:12">
      <c r="A1127" s="96">
        <v>44916</v>
      </c>
      <c r="B1127" s="101">
        <v>37.299999999999997</v>
      </c>
      <c r="C1127" s="4">
        <f t="shared" si="34"/>
        <v>2.6074263681744557E-2</v>
      </c>
      <c r="D1127" s="1">
        <f>IFERROR(Comp2[[#This Row],[Comparable '#2 Return]]+1,"-")</f>
        <v>1.0260742636817446</v>
      </c>
      <c r="E1127" s="6">
        <f>B1127-MAX($B$2:B1127)</f>
        <v>-20.86</v>
      </c>
      <c r="F1127" s="80">
        <f t="shared" si="35"/>
        <v>1034</v>
      </c>
      <c r="G1127" s="77">
        <f>Comp2[[#This Row],[Comparable '#2 Drawdown]]/MAX($B$2:B1127)</f>
        <v>-0.35866574965612108</v>
      </c>
      <c r="H1127" s="1" t="str">
        <f>IF(SUM(COUNTIF(Benchmark1[Benchmark '#1 Dates],Comp2[[#This Row],[Comparable '#2 Dates]]),COUNTIF(Benchmark2[Benchmark '#2 Dates],Comp2[[#This Row],[Comparable '#2 Dates]]))=2,"Pass","Fail")</f>
        <v>Pass</v>
      </c>
      <c r="I1127" s="1">
        <f>IFERROR(Comp2[[#This Row],[Comparable '#2 Return]]-INDEX(Benchmark1[Benchmark '#1 Return],MATCH(Comp2[[#This Row],[Comparable '#2 Dates]],Benchmark1[Benchmark '#1 Dates],0)),"-")</f>
        <v>1.1315508276218906E-2</v>
      </c>
      <c r="L1127" s="72">
        <f>Comp2[[#This Row],[Comparable '#2 Price]]/$B$2*100</f>
        <v>75.050301810865179</v>
      </c>
    </row>
    <row r="1128" spans="1:12">
      <c r="A1128" s="96">
        <v>44917</v>
      </c>
      <c r="B1128" s="101">
        <v>37</v>
      </c>
      <c r="C1128" s="4">
        <f t="shared" si="34"/>
        <v>-8.0754140055453068E-3</v>
      </c>
      <c r="D1128" s="1">
        <f>IFERROR(Comp2[[#This Row],[Comparable '#2 Return]]+1,"-")</f>
        <v>0.99192458599445466</v>
      </c>
      <c r="E1128" s="6">
        <f>B1128-MAX($B$2:B1128)</f>
        <v>-21.159999999999997</v>
      </c>
      <c r="F1128" s="80">
        <f t="shared" si="35"/>
        <v>1035</v>
      </c>
      <c r="G1128" s="77">
        <f>Comp2[[#This Row],[Comparable '#2 Drawdown]]/MAX($B$2:B1128)</f>
        <v>-0.36382393397524065</v>
      </c>
      <c r="H1128" s="1" t="str">
        <f>IF(SUM(COUNTIF(Benchmark1[Benchmark '#1 Dates],Comp2[[#This Row],[Comparable '#2 Dates]]),COUNTIF(Benchmark2[Benchmark '#2 Dates],Comp2[[#This Row],[Comparable '#2 Dates]]))=2,"Pass","Fail")</f>
        <v>Pass</v>
      </c>
      <c r="I1128" s="1">
        <f>IFERROR(Comp2[[#This Row],[Comparable '#2 Return]]-INDEX(Benchmark1[Benchmark '#1 Return],MATCH(Comp2[[#This Row],[Comparable '#2 Dates]],Benchmark1[Benchmark '#1 Dates],0)),"-")</f>
        <v>6.4825761094463082E-3</v>
      </c>
      <c r="L1128" s="72">
        <f>Comp2[[#This Row],[Comparable '#2 Price]]/$B$2*100</f>
        <v>74.446680080482892</v>
      </c>
    </row>
    <row r="1129" spans="1:12">
      <c r="A1129" s="96">
        <v>44918</v>
      </c>
      <c r="B1129" s="101">
        <v>36.17</v>
      </c>
      <c r="C1129" s="4">
        <f t="shared" si="34"/>
        <v>-2.2687866680217859E-2</v>
      </c>
      <c r="D1129" s="1">
        <f>IFERROR(Comp2[[#This Row],[Comparable '#2 Return]]+1,"-")</f>
        <v>0.97731213331978217</v>
      </c>
      <c r="E1129" s="6">
        <f>B1129-MAX($B$2:B1129)</f>
        <v>-21.989999999999995</v>
      </c>
      <c r="F1129" s="80">
        <f t="shared" si="35"/>
        <v>1036</v>
      </c>
      <c r="G1129" s="77">
        <f>Comp2[[#This Row],[Comparable '#2 Drawdown]]/MAX($B$2:B1129)</f>
        <v>-0.37809491059147171</v>
      </c>
      <c r="H1129" s="1" t="str">
        <f>IF(SUM(COUNTIF(Benchmark1[Benchmark '#1 Dates],Comp2[[#This Row],[Comparable '#2 Dates]]),COUNTIF(Benchmark2[Benchmark '#2 Dates],Comp2[[#This Row],[Comparable '#2 Dates]]))=2,"Pass","Fail")</f>
        <v>Pass</v>
      </c>
      <c r="I1129" s="1">
        <f>IFERROR(Comp2[[#This Row],[Comparable '#2 Return]]-INDEX(Benchmark1[Benchmark '#1 Return],MATCH(Comp2[[#This Row],[Comparable '#2 Dates]],Benchmark1[Benchmark '#1 Dates],0)),"-")</f>
        <v>-2.8538347563987231E-2</v>
      </c>
      <c r="L1129" s="72">
        <f>Comp2[[#This Row],[Comparable '#2 Price]]/$B$2*100</f>
        <v>72.776659959758547</v>
      </c>
    </row>
    <row r="1130" spans="1:12">
      <c r="A1130" s="96">
        <v>44922</v>
      </c>
      <c r="B1130" s="101">
        <v>36.130000000000003</v>
      </c>
      <c r="C1130" s="4">
        <f t="shared" si="34"/>
        <v>-1.1065008044577258E-3</v>
      </c>
      <c r="D1130" s="1">
        <f>IFERROR(Comp2[[#This Row],[Comparable '#2 Return]]+1,"-")</f>
        <v>0.99889349919554227</v>
      </c>
      <c r="E1130" s="6">
        <f>B1130-MAX($B$2:B1130)</f>
        <v>-22.029999999999994</v>
      </c>
      <c r="F1130" s="80">
        <f t="shared" si="35"/>
        <v>1037</v>
      </c>
      <c r="G1130" s="77">
        <f>Comp2[[#This Row],[Comparable '#2 Drawdown]]/MAX($B$2:B1130)</f>
        <v>-0.3787826685006877</v>
      </c>
      <c r="H1130" s="1" t="str">
        <f>IF(SUM(COUNTIF(Benchmark1[Benchmark '#1 Dates],Comp2[[#This Row],[Comparable '#2 Dates]]),COUNTIF(Benchmark2[Benchmark '#2 Dates],Comp2[[#This Row],[Comparable '#2 Dates]]))=2,"Pass","Fail")</f>
        <v>Pass</v>
      </c>
      <c r="I1130" s="1">
        <f>IFERROR(Comp2[[#This Row],[Comparable '#2 Return]]-INDEX(Benchmark1[Benchmark '#1 Return],MATCH(Comp2[[#This Row],[Comparable '#2 Dates]],Benchmark1[Benchmark '#1 Dates],0)),"-")</f>
        <v>2.9502284910753436E-3</v>
      </c>
      <c r="L1130" s="72">
        <f>Comp2[[#This Row],[Comparable '#2 Price]]/$B$2*100</f>
        <v>72.696177062374247</v>
      </c>
    </row>
    <row r="1131" spans="1:12">
      <c r="A1131" s="96">
        <v>44923</v>
      </c>
      <c r="B1131" s="101">
        <v>35.65</v>
      </c>
      <c r="C1131" s="4">
        <f t="shared" si="34"/>
        <v>-1.3374398299244014E-2</v>
      </c>
      <c r="D1131" s="1">
        <f>IFERROR(Comp2[[#This Row],[Comparable '#2 Return]]+1,"-")</f>
        <v>0.98662560170075597</v>
      </c>
      <c r="E1131" s="6">
        <f>B1131-MAX($B$2:B1131)</f>
        <v>-22.509999999999998</v>
      </c>
      <c r="F1131" s="80">
        <f t="shared" si="35"/>
        <v>1038</v>
      </c>
      <c r="G1131" s="77">
        <f>Comp2[[#This Row],[Comparable '#2 Drawdown]]/MAX($B$2:B1131)</f>
        <v>-0.38703576341127921</v>
      </c>
      <c r="H1131" s="1" t="str">
        <f>IF(SUM(COUNTIF(Benchmark1[Benchmark '#1 Dates],Comp2[[#This Row],[Comparable '#2 Dates]]),COUNTIF(Benchmark2[Benchmark '#2 Dates],Comp2[[#This Row],[Comparable '#2 Dates]]))=2,"Pass","Fail")</f>
        <v>Pass</v>
      </c>
      <c r="I1131" s="1">
        <f>IFERROR(Comp2[[#This Row],[Comparable '#2 Return]]-INDEX(Benchmark1[Benchmark '#1 Return],MATCH(Comp2[[#This Row],[Comparable '#2 Dates]],Benchmark1[Benchmark '#1 Dates],0)),"-")</f>
        <v>-1.2816376765310746E-3</v>
      </c>
      <c r="L1131" s="72">
        <f>Comp2[[#This Row],[Comparable '#2 Price]]/$B$2*100</f>
        <v>71.730382293762574</v>
      </c>
    </row>
    <row r="1132" spans="1:12">
      <c r="A1132" s="96">
        <v>44924</v>
      </c>
      <c r="B1132" s="101">
        <v>35.58</v>
      </c>
      <c r="C1132" s="4">
        <f t="shared" si="34"/>
        <v>-1.9654646226158969E-3</v>
      </c>
      <c r="D1132" s="1">
        <f>IFERROR(Comp2[[#This Row],[Comparable '#2 Return]]+1,"-")</f>
        <v>0.99803453537738407</v>
      </c>
      <c r="E1132" s="6">
        <f>B1132-MAX($B$2:B1132)</f>
        <v>-22.58</v>
      </c>
      <c r="F1132" s="80">
        <f t="shared" si="35"/>
        <v>1039</v>
      </c>
      <c r="G1132" s="77">
        <f>Comp2[[#This Row],[Comparable '#2 Drawdown]]/MAX($B$2:B1132)</f>
        <v>-0.38823933975240715</v>
      </c>
      <c r="H1132" s="1" t="str">
        <f>IF(SUM(COUNTIF(Benchmark1[Benchmark '#1 Dates],Comp2[[#This Row],[Comparable '#2 Dates]]),COUNTIF(Benchmark2[Benchmark '#2 Dates],Comp2[[#This Row],[Comparable '#2 Dates]]))=2,"Pass","Fail")</f>
        <v>Pass</v>
      </c>
      <c r="I1132" s="1">
        <f>IFERROR(Comp2[[#This Row],[Comparable '#2 Return]]-INDEX(Benchmark1[Benchmark '#1 Return],MATCH(Comp2[[#This Row],[Comparable '#2 Dates]],Benchmark1[Benchmark '#1 Dates],0)),"-")</f>
        <v>-1.9276416231026869E-2</v>
      </c>
      <c r="L1132" s="72">
        <f>Comp2[[#This Row],[Comparable '#2 Price]]/$B$2*100</f>
        <v>71.589537223340031</v>
      </c>
    </row>
    <row r="1133" spans="1:12">
      <c r="A1133" s="96">
        <v>44925</v>
      </c>
      <c r="B1133" s="101">
        <v>35.5</v>
      </c>
      <c r="C1133" s="4">
        <f t="shared" si="34"/>
        <v>-2.2509857563189337E-3</v>
      </c>
      <c r="D1133" s="1">
        <f>IFERROR(Comp2[[#This Row],[Comparable '#2 Return]]+1,"-")</f>
        <v>0.99774901424368112</v>
      </c>
      <c r="E1133" s="6">
        <f>B1133-MAX($B$2:B1133)</f>
        <v>-22.659999999999997</v>
      </c>
      <c r="F1133" s="80">
        <f t="shared" si="35"/>
        <v>1040</v>
      </c>
      <c r="G1133" s="77">
        <f>Comp2[[#This Row],[Comparable '#2 Drawdown]]/MAX($B$2:B1133)</f>
        <v>-0.38961485557083902</v>
      </c>
      <c r="H1133" s="1" t="str">
        <f>IF(SUM(COUNTIF(Benchmark1[Benchmark '#1 Dates],Comp2[[#This Row],[Comparable '#2 Dates]]),COUNTIF(Benchmark2[Benchmark '#2 Dates],Comp2[[#This Row],[Comparable '#2 Dates]]))=2,"Pass","Fail")</f>
        <v>Pass</v>
      </c>
      <c r="I1133" s="1">
        <f>IFERROR(Comp2[[#This Row],[Comparable '#2 Return]]-INDEX(Benchmark1[Benchmark '#1 Return],MATCH(Comp2[[#This Row],[Comparable '#2 Dates]],Benchmark1[Benchmark '#1 Dates],0)),"-")</f>
        <v>2.9471015145787977E-4</v>
      </c>
      <c r="L1133" s="72">
        <f>Comp2[[#This Row],[Comparable '#2 Price]]/$B$2*100</f>
        <v>71.428571428571416</v>
      </c>
    </row>
    <row r="1134" spans="1:12">
      <c r="A1134" s="96">
        <v>44929</v>
      </c>
      <c r="B1134" s="101">
        <v>35.61</v>
      </c>
      <c r="C1134" s="4">
        <f t="shared" si="34"/>
        <v>3.0938008083162888E-3</v>
      </c>
      <c r="D1134" s="1">
        <f>IFERROR(Comp2[[#This Row],[Comparable '#2 Return]]+1,"-")</f>
        <v>1.0030938008083163</v>
      </c>
      <c r="E1134" s="6">
        <f>B1134-MAX($B$2:B1134)</f>
        <v>-22.549999999999997</v>
      </c>
      <c r="F1134" s="80">
        <f t="shared" si="35"/>
        <v>1041</v>
      </c>
      <c r="G1134" s="77">
        <f>Comp2[[#This Row],[Comparable '#2 Drawdown]]/MAX($B$2:B1134)</f>
        <v>-0.38772352132049515</v>
      </c>
      <c r="H1134" s="1" t="str">
        <f>IF(SUM(COUNTIF(Benchmark1[Benchmark '#1 Dates],Comp2[[#This Row],[Comparable '#2 Dates]]),COUNTIF(Benchmark2[Benchmark '#2 Dates],Comp2[[#This Row],[Comparable '#2 Dates]]))=2,"Pass","Fail")</f>
        <v>Pass</v>
      </c>
      <c r="I1134" s="1">
        <f>IFERROR(Comp2[[#This Row],[Comparable '#2 Return]]-INDEX(Benchmark1[Benchmark '#1 Return],MATCH(Comp2[[#This Row],[Comparable '#2 Dates]],Benchmark1[Benchmark '#1 Dates],0)),"-")</f>
        <v>7.1019320297892059E-3</v>
      </c>
      <c r="L1134" s="72">
        <f>Comp2[[#This Row],[Comparable '#2 Price]]/$B$2*100</f>
        <v>71.649899396378274</v>
      </c>
    </row>
    <row r="1135" spans="1:12">
      <c r="A1135" s="96">
        <v>44930</v>
      </c>
      <c r="B1135" s="101">
        <v>36.06</v>
      </c>
      <c r="C1135" s="4">
        <f t="shared" si="34"/>
        <v>1.2557720485484966E-2</v>
      </c>
      <c r="D1135" s="1">
        <f>IFERROR(Comp2[[#This Row],[Comparable '#2 Return]]+1,"-")</f>
        <v>1.012557720485485</v>
      </c>
      <c r="E1135" s="6">
        <f>B1135-MAX($B$2:B1135)</f>
        <v>-22.099999999999994</v>
      </c>
      <c r="F1135" s="80">
        <f t="shared" si="35"/>
        <v>1042</v>
      </c>
      <c r="G1135" s="77">
        <f>Comp2[[#This Row],[Comparable '#2 Drawdown]]/MAX($B$2:B1135)</f>
        <v>-0.37998624484181559</v>
      </c>
      <c r="H1135" s="1" t="str">
        <f>IF(SUM(COUNTIF(Benchmark1[Benchmark '#1 Dates],Comp2[[#This Row],[Comparable '#2 Dates]]),COUNTIF(Benchmark2[Benchmark '#2 Dates],Comp2[[#This Row],[Comparable '#2 Dates]]))=2,"Pass","Fail")</f>
        <v>Pass</v>
      </c>
      <c r="I1135" s="1">
        <f>IFERROR(Comp2[[#This Row],[Comparable '#2 Return]]-INDEX(Benchmark1[Benchmark '#1 Return],MATCH(Comp2[[#This Row],[Comparable '#2 Dates]],Benchmark1[Benchmark '#1 Dates],0)),"-")</f>
        <v>5.0477104425194746E-3</v>
      </c>
      <c r="L1135" s="72">
        <f>Comp2[[#This Row],[Comparable '#2 Price]]/$B$2*100</f>
        <v>72.555331991951704</v>
      </c>
    </row>
    <row r="1136" spans="1:12">
      <c r="A1136" s="96">
        <v>44931</v>
      </c>
      <c r="B1136" s="101">
        <v>36.39</v>
      </c>
      <c r="C1136" s="4">
        <f t="shared" si="34"/>
        <v>9.1097938488972335E-3</v>
      </c>
      <c r="D1136" s="1">
        <f>IFERROR(Comp2[[#This Row],[Comparable '#2 Return]]+1,"-")</f>
        <v>1.0091097938488973</v>
      </c>
      <c r="E1136" s="6">
        <f>B1136-MAX($B$2:B1136)</f>
        <v>-21.769999999999996</v>
      </c>
      <c r="F1136" s="80">
        <f t="shared" si="35"/>
        <v>1043</v>
      </c>
      <c r="G1136" s="77">
        <f>Comp2[[#This Row],[Comparable '#2 Drawdown]]/MAX($B$2:B1136)</f>
        <v>-0.37431224209078401</v>
      </c>
      <c r="H1136" s="1" t="str">
        <f>IF(SUM(COUNTIF(Benchmark1[Benchmark '#1 Dates],Comp2[[#This Row],[Comparable '#2 Dates]]),COUNTIF(Benchmark2[Benchmark '#2 Dates],Comp2[[#This Row],[Comparable '#2 Dates]]))=2,"Pass","Fail")</f>
        <v>Pass</v>
      </c>
      <c r="I1136" s="1">
        <f>IFERROR(Comp2[[#This Row],[Comparable '#2 Return]]-INDEX(Benchmark1[Benchmark '#1 Return],MATCH(Comp2[[#This Row],[Comparable '#2 Dates]],Benchmark1[Benchmark '#1 Dates],0)),"-")</f>
        <v>2.0821793106136188E-2</v>
      </c>
      <c r="L1136" s="72">
        <f>Comp2[[#This Row],[Comparable '#2 Price]]/$B$2*100</f>
        <v>73.219315895372233</v>
      </c>
    </row>
    <row r="1137" spans="1:12">
      <c r="A1137" s="96">
        <v>44932</v>
      </c>
      <c r="B1137" s="101">
        <v>37.369999999999997</v>
      </c>
      <c r="C1137" s="4">
        <f t="shared" si="34"/>
        <v>2.6574231873323941E-2</v>
      </c>
      <c r="D1137" s="1">
        <f>IFERROR(Comp2[[#This Row],[Comparable '#2 Return]]+1,"-")</f>
        <v>1.026574231873324</v>
      </c>
      <c r="E1137" s="6">
        <f>B1137-MAX($B$2:B1137)</f>
        <v>-20.79</v>
      </c>
      <c r="F1137" s="80">
        <f t="shared" si="35"/>
        <v>1044</v>
      </c>
      <c r="G1137" s="77">
        <f>Comp2[[#This Row],[Comparable '#2 Drawdown]]/MAX($B$2:B1137)</f>
        <v>-0.35746217331499314</v>
      </c>
      <c r="H1137" s="1" t="str">
        <f>IF(SUM(COUNTIF(Benchmark1[Benchmark '#1 Dates],Comp2[[#This Row],[Comparable '#2 Dates]]),COUNTIF(Benchmark2[Benchmark '#2 Dates],Comp2[[#This Row],[Comparable '#2 Dates]]))=2,"Pass","Fail")</f>
        <v>Pass</v>
      </c>
      <c r="I1137" s="1">
        <f>IFERROR(Comp2[[#This Row],[Comparable '#2 Return]]-INDEX(Benchmark1[Benchmark '#1 Return],MATCH(Comp2[[#This Row],[Comparable '#2 Dates]],Benchmark1[Benchmark '#1 Dates],0)),"-")</f>
        <v>3.9922918587148686E-3</v>
      </c>
      <c r="L1137" s="72">
        <f>Comp2[[#This Row],[Comparable '#2 Price]]/$B$2*100</f>
        <v>75.191146881287722</v>
      </c>
    </row>
    <row r="1138" spans="1:12">
      <c r="A1138" s="96">
        <v>44935</v>
      </c>
      <c r="B1138" s="101">
        <v>36.06</v>
      </c>
      <c r="C1138" s="4">
        <f t="shared" si="34"/>
        <v>-3.5684025722221166E-2</v>
      </c>
      <c r="D1138" s="1">
        <f>IFERROR(Comp2[[#This Row],[Comparable '#2 Return]]+1,"-")</f>
        <v>0.96431597427777882</v>
      </c>
      <c r="E1138" s="6">
        <f>B1138-MAX($B$2:B1138)</f>
        <v>-22.099999999999994</v>
      </c>
      <c r="F1138" s="80">
        <f t="shared" si="35"/>
        <v>1045</v>
      </c>
      <c r="G1138" s="77">
        <f>Comp2[[#This Row],[Comparable '#2 Drawdown]]/MAX($B$2:B1138)</f>
        <v>-0.37998624484181559</v>
      </c>
      <c r="H1138" s="1" t="str">
        <f>IF(SUM(COUNTIF(Benchmark1[Benchmark '#1 Dates],Comp2[[#This Row],[Comparable '#2 Dates]]),COUNTIF(Benchmark2[Benchmark '#2 Dates],Comp2[[#This Row],[Comparable '#2 Dates]]))=2,"Pass","Fail")</f>
        <v>Pass</v>
      </c>
      <c r="I1138" s="1">
        <f>IFERROR(Comp2[[#This Row],[Comparable '#2 Return]]-INDEX(Benchmark1[Benchmark '#1 Return],MATCH(Comp2[[#This Row],[Comparable '#2 Dates]],Benchmark1[Benchmark '#1 Dates],0)),"-")</f>
        <v>-3.4917496998846699E-2</v>
      </c>
      <c r="L1138" s="72">
        <f>Comp2[[#This Row],[Comparable '#2 Price]]/$B$2*100</f>
        <v>72.555331991951704</v>
      </c>
    </row>
    <row r="1139" spans="1:12">
      <c r="A1139" s="96">
        <v>44936</v>
      </c>
      <c r="B1139" s="101">
        <v>37</v>
      </c>
      <c r="C1139" s="4">
        <f t="shared" si="34"/>
        <v>2.5733694869053209E-2</v>
      </c>
      <c r="D1139" s="1">
        <f>IFERROR(Comp2[[#This Row],[Comparable '#2 Return]]+1,"-")</f>
        <v>1.0257336948690532</v>
      </c>
      <c r="E1139" s="6">
        <f>B1139-MAX($B$2:B1139)</f>
        <v>-21.159999999999997</v>
      </c>
      <c r="F1139" s="80">
        <f t="shared" si="35"/>
        <v>1046</v>
      </c>
      <c r="G1139" s="77">
        <f>Comp2[[#This Row],[Comparable '#2 Drawdown]]/MAX($B$2:B1139)</f>
        <v>-0.36382393397524065</v>
      </c>
      <c r="H1139" s="1" t="str">
        <f>IF(SUM(COUNTIF(Benchmark1[Benchmark '#1 Dates],Comp2[[#This Row],[Comparable '#2 Dates]]),COUNTIF(Benchmark2[Benchmark '#2 Dates],Comp2[[#This Row],[Comparable '#2 Dates]]))=2,"Pass","Fail")</f>
        <v>Pass</v>
      </c>
      <c r="I1139" s="1">
        <f>IFERROR(Comp2[[#This Row],[Comparable '#2 Return]]-INDEX(Benchmark1[Benchmark '#1 Return],MATCH(Comp2[[#This Row],[Comparable '#2 Dates]],Benchmark1[Benchmark '#1 Dates],0)),"-")</f>
        <v>1.8779057306229679E-2</v>
      </c>
      <c r="L1139" s="72">
        <f>Comp2[[#This Row],[Comparable '#2 Price]]/$B$2*100</f>
        <v>74.446680080482892</v>
      </c>
    </row>
    <row r="1140" spans="1:12">
      <c r="A1140" s="96">
        <v>44937</v>
      </c>
      <c r="B1140" s="101">
        <v>36.89</v>
      </c>
      <c r="C1140" s="4">
        <f t="shared" si="34"/>
        <v>-2.9774010356401507E-3</v>
      </c>
      <c r="D1140" s="1">
        <f>IFERROR(Comp2[[#This Row],[Comparable '#2 Return]]+1,"-")</f>
        <v>0.99702259896435985</v>
      </c>
      <c r="E1140" s="6">
        <f>B1140-MAX($B$2:B1140)</f>
        <v>-21.269999999999996</v>
      </c>
      <c r="F1140" s="80">
        <f t="shared" si="35"/>
        <v>1047</v>
      </c>
      <c r="G1140" s="77">
        <f>Comp2[[#This Row],[Comparable '#2 Drawdown]]/MAX($B$2:B1140)</f>
        <v>-0.36571526822558453</v>
      </c>
      <c r="H1140" s="1" t="str">
        <f>IF(SUM(COUNTIF(Benchmark1[Benchmark '#1 Dates],Comp2[[#This Row],[Comparable '#2 Dates]]),COUNTIF(Benchmark2[Benchmark '#2 Dates],Comp2[[#This Row],[Comparable '#2 Dates]]))=2,"Pass","Fail")</f>
        <v>Pass</v>
      </c>
      <c r="I1140" s="1">
        <f>IFERROR(Comp2[[#This Row],[Comparable '#2 Return]]-INDEX(Benchmark1[Benchmark '#1 Return],MATCH(Comp2[[#This Row],[Comparable '#2 Dates]],Benchmark1[Benchmark '#1 Dates],0)),"-")</f>
        <v>-1.5745099405045464E-2</v>
      </c>
      <c r="L1140" s="72">
        <f>Comp2[[#This Row],[Comparable '#2 Price]]/$B$2*100</f>
        <v>74.225352112676063</v>
      </c>
    </row>
    <row r="1141" spans="1:12">
      <c r="A1141" s="96">
        <v>44938</v>
      </c>
      <c r="B1141" s="101">
        <v>36.97</v>
      </c>
      <c r="C1141" s="4">
        <f t="shared" si="34"/>
        <v>2.1662613399561817E-3</v>
      </c>
      <c r="D1141" s="1">
        <f>IFERROR(Comp2[[#This Row],[Comparable '#2 Return]]+1,"-")</f>
        <v>1.0021662613399562</v>
      </c>
      <c r="E1141" s="6">
        <f>B1141-MAX($B$2:B1141)</f>
        <v>-21.189999999999998</v>
      </c>
      <c r="F1141" s="80">
        <f t="shared" si="35"/>
        <v>1048</v>
      </c>
      <c r="G1141" s="77">
        <f>Comp2[[#This Row],[Comparable '#2 Drawdown]]/MAX($B$2:B1141)</f>
        <v>-0.36433975240715266</v>
      </c>
      <c r="H1141" s="1" t="str">
        <f>IF(SUM(COUNTIF(Benchmark1[Benchmark '#1 Dates],Comp2[[#This Row],[Comparable '#2 Dates]]),COUNTIF(Benchmark2[Benchmark '#2 Dates],Comp2[[#This Row],[Comparable '#2 Dates]]))=2,"Pass","Fail")</f>
        <v>Pass</v>
      </c>
      <c r="I1141" s="1">
        <f>IFERROR(Comp2[[#This Row],[Comparable '#2 Return]]-INDEX(Benchmark1[Benchmark '#1 Return],MATCH(Comp2[[#This Row],[Comparable '#2 Dates]],Benchmark1[Benchmark '#1 Dates],0)),"-")</f>
        <v>-1.2419654707864591E-3</v>
      </c>
      <c r="L1141" s="72">
        <f>Comp2[[#This Row],[Comparable '#2 Price]]/$B$2*100</f>
        <v>74.386317907444663</v>
      </c>
    </row>
    <row r="1142" spans="1:12">
      <c r="A1142" s="96">
        <v>44939</v>
      </c>
      <c r="B1142" s="101">
        <v>37.32</v>
      </c>
      <c r="C1142" s="4">
        <f t="shared" si="34"/>
        <v>9.4226030306025343E-3</v>
      </c>
      <c r="D1142" s="1">
        <f>IFERROR(Comp2[[#This Row],[Comparable '#2 Return]]+1,"-")</f>
        <v>1.0094226030306026</v>
      </c>
      <c r="E1142" s="6">
        <f>B1142-MAX($B$2:B1142)</f>
        <v>-20.839999999999996</v>
      </c>
      <c r="F1142" s="80">
        <f t="shared" si="35"/>
        <v>1049</v>
      </c>
      <c r="G1142" s="77">
        <f>Comp2[[#This Row],[Comparable '#2 Drawdown]]/MAX($B$2:B1142)</f>
        <v>-0.358321870701513</v>
      </c>
      <c r="H1142" s="1" t="str">
        <f>IF(SUM(COUNTIF(Benchmark1[Benchmark '#1 Dates],Comp2[[#This Row],[Comparable '#2 Dates]]),COUNTIF(Benchmark2[Benchmark '#2 Dates],Comp2[[#This Row],[Comparable '#2 Dates]]))=2,"Pass","Fail")</f>
        <v>Pass</v>
      </c>
      <c r="I1142" s="1">
        <f>IFERROR(Comp2[[#This Row],[Comparable '#2 Return]]-INDEX(Benchmark1[Benchmark '#1 Return],MATCH(Comp2[[#This Row],[Comparable '#2 Dates]],Benchmark1[Benchmark '#1 Dates],0)),"-")</f>
        <v>5.4326731386411652E-3</v>
      </c>
      <c r="L1142" s="72">
        <f>Comp2[[#This Row],[Comparable '#2 Price]]/$B$2*100</f>
        <v>75.090543259557336</v>
      </c>
    </row>
    <row r="1143" spans="1:12">
      <c r="A1143" s="96">
        <v>44943</v>
      </c>
      <c r="B1143" s="101">
        <v>36.92</v>
      </c>
      <c r="C1143" s="4">
        <f t="shared" si="34"/>
        <v>-1.0775966344491635E-2</v>
      </c>
      <c r="D1143" s="1">
        <f>IFERROR(Comp2[[#This Row],[Comparable '#2 Return]]+1,"-")</f>
        <v>0.98922403365550837</v>
      </c>
      <c r="E1143" s="6">
        <f>B1143-MAX($B$2:B1143)</f>
        <v>-21.239999999999995</v>
      </c>
      <c r="F1143" s="80">
        <f t="shared" si="35"/>
        <v>1050</v>
      </c>
      <c r="G1143" s="77">
        <f>Comp2[[#This Row],[Comparable '#2 Drawdown]]/MAX($B$2:B1143)</f>
        <v>-0.36519944979367258</v>
      </c>
      <c r="H1143" s="1" t="str">
        <f>IF(SUM(COUNTIF(Benchmark1[Benchmark '#1 Dates],Comp2[[#This Row],[Comparable '#2 Dates]]),COUNTIF(Benchmark2[Benchmark '#2 Dates],Comp2[[#This Row],[Comparable '#2 Dates]]))=2,"Pass","Fail")</f>
        <v>Pass</v>
      </c>
      <c r="I1143" s="1">
        <f>IFERROR(Comp2[[#This Row],[Comparable '#2 Return]]-INDEX(Benchmark1[Benchmark '#1 Return],MATCH(Comp2[[#This Row],[Comparable '#2 Dates]],Benchmark1[Benchmark '#1 Dates],0)),"-")</f>
        <v>-8.7432649561060248E-3</v>
      </c>
      <c r="L1143" s="72">
        <f>Comp2[[#This Row],[Comparable '#2 Price]]/$B$2*100</f>
        <v>74.285714285714292</v>
      </c>
    </row>
    <row r="1144" spans="1:12">
      <c r="A1144" s="96">
        <v>44944</v>
      </c>
      <c r="B1144" s="101">
        <v>36.43</v>
      </c>
      <c r="C1144" s="4">
        <f t="shared" si="34"/>
        <v>-1.3360798614179039E-2</v>
      </c>
      <c r="D1144" s="1">
        <f>IFERROR(Comp2[[#This Row],[Comparable '#2 Return]]+1,"-")</f>
        <v>0.98663920138582095</v>
      </c>
      <c r="E1144" s="6">
        <f>B1144-MAX($B$2:B1144)</f>
        <v>-21.729999999999997</v>
      </c>
      <c r="F1144" s="80">
        <f t="shared" si="35"/>
        <v>1051</v>
      </c>
      <c r="G1144" s="77">
        <f>Comp2[[#This Row],[Comparable '#2 Drawdown]]/MAX($B$2:B1144)</f>
        <v>-0.37362448418156807</v>
      </c>
      <c r="H1144" s="1" t="str">
        <f>IF(SUM(COUNTIF(Benchmark1[Benchmark '#1 Dates],Comp2[[#This Row],[Comparable '#2 Dates]]),COUNTIF(Benchmark2[Benchmark '#2 Dates],Comp2[[#This Row],[Comparable '#2 Dates]]))=2,"Pass","Fail")</f>
        <v>Pass</v>
      </c>
      <c r="I1144" s="1">
        <f>IFERROR(Comp2[[#This Row],[Comparable '#2 Return]]-INDEX(Benchmark1[Benchmark '#1 Return],MATCH(Comp2[[#This Row],[Comparable '#2 Dates]],Benchmark1[Benchmark '#1 Dates],0)),"-")</f>
        <v>2.3236392828206911E-3</v>
      </c>
      <c r="L1144" s="72">
        <f>Comp2[[#This Row],[Comparable '#2 Price]]/$B$2*100</f>
        <v>73.299798792756533</v>
      </c>
    </row>
    <row r="1145" spans="1:12">
      <c r="A1145" s="96">
        <v>44945</v>
      </c>
      <c r="B1145" s="101">
        <v>36.69</v>
      </c>
      <c r="C1145" s="4">
        <f t="shared" si="34"/>
        <v>7.1116273467182328E-3</v>
      </c>
      <c r="D1145" s="1">
        <f>IFERROR(Comp2[[#This Row],[Comparable '#2 Return]]+1,"-")</f>
        <v>1.0071116273467182</v>
      </c>
      <c r="E1145" s="6">
        <f>B1145-MAX($B$2:B1145)</f>
        <v>-21.47</v>
      </c>
      <c r="F1145" s="80">
        <f t="shared" si="35"/>
        <v>1052</v>
      </c>
      <c r="G1145" s="77">
        <f>Comp2[[#This Row],[Comparable '#2 Drawdown]]/MAX($B$2:B1145)</f>
        <v>-0.36915405777166438</v>
      </c>
      <c r="H1145" s="1" t="str">
        <f>IF(SUM(COUNTIF(Benchmark1[Benchmark '#1 Dates],Comp2[[#This Row],[Comparable '#2 Dates]]),COUNTIF(Benchmark2[Benchmark '#2 Dates],Comp2[[#This Row],[Comparable '#2 Dates]]))=2,"Pass","Fail")</f>
        <v>Pass</v>
      </c>
      <c r="I1145" s="1">
        <f>IFERROR(Comp2[[#This Row],[Comparable '#2 Return]]-INDEX(Benchmark1[Benchmark '#1 Return],MATCH(Comp2[[#This Row],[Comparable '#2 Dates]],Benchmark1[Benchmark '#1 Dates],0)),"-")</f>
        <v>1.4778672778268139E-2</v>
      </c>
      <c r="L1145" s="72">
        <f>Comp2[[#This Row],[Comparable '#2 Price]]/$B$2*100</f>
        <v>73.82293762575452</v>
      </c>
    </row>
    <row r="1146" spans="1:12">
      <c r="A1146" s="96">
        <v>44946</v>
      </c>
      <c r="B1146" s="101">
        <v>37.659999999999997</v>
      </c>
      <c r="C1146" s="4">
        <f t="shared" si="34"/>
        <v>2.6094284861815545E-2</v>
      </c>
      <c r="D1146" s="1">
        <f>IFERROR(Comp2[[#This Row],[Comparable '#2 Return]]+1,"-")</f>
        <v>1.0260942848618155</v>
      </c>
      <c r="E1146" s="6">
        <f>B1146-MAX($B$2:B1146)</f>
        <v>-20.5</v>
      </c>
      <c r="F1146" s="80">
        <f t="shared" si="35"/>
        <v>1053</v>
      </c>
      <c r="G1146" s="77">
        <f>Comp2[[#This Row],[Comparable '#2 Drawdown]]/MAX($B$2:B1146)</f>
        <v>-0.35247592847317744</v>
      </c>
      <c r="H1146" s="1" t="str">
        <f>IF(SUM(COUNTIF(Benchmark1[Benchmark '#1 Dates],Comp2[[#This Row],[Comparable '#2 Dates]]),COUNTIF(Benchmark2[Benchmark '#2 Dates],Comp2[[#This Row],[Comparable '#2 Dates]]))=2,"Pass","Fail")</f>
        <v>Pass</v>
      </c>
      <c r="I1146" s="1">
        <f>IFERROR(Comp2[[#This Row],[Comparable '#2 Return]]-INDEX(Benchmark1[Benchmark '#1 Return],MATCH(Comp2[[#This Row],[Comparable '#2 Dates]],Benchmark1[Benchmark '#1 Dates],0)),"-")</f>
        <v>7.3537210134207998E-3</v>
      </c>
      <c r="L1146" s="72">
        <f>Comp2[[#This Row],[Comparable '#2 Price]]/$B$2*100</f>
        <v>75.774647887323937</v>
      </c>
    </row>
    <row r="1147" spans="1:12">
      <c r="A1147" s="96">
        <v>44949</v>
      </c>
      <c r="B1147" s="101">
        <v>38.090000000000003</v>
      </c>
      <c r="C1147" s="4">
        <f t="shared" si="34"/>
        <v>1.135325726150649E-2</v>
      </c>
      <c r="D1147" s="1">
        <f>IFERROR(Comp2[[#This Row],[Comparable '#2 Return]]+1,"-")</f>
        <v>1.0113532572615065</v>
      </c>
      <c r="E1147" s="6">
        <f>B1147-MAX($B$2:B1147)</f>
        <v>-20.069999999999993</v>
      </c>
      <c r="F1147" s="80">
        <f t="shared" si="35"/>
        <v>1054</v>
      </c>
      <c r="G1147" s="77">
        <f>Comp2[[#This Row],[Comparable '#2 Drawdown]]/MAX($B$2:B1147)</f>
        <v>-0.34508253094910579</v>
      </c>
      <c r="H1147" s="1" t="str">
        <f>IF(SUM(COUNTIF(Benchmark1[Benchmark '#1 Dates],Comp2[[#This Row],[Comparable '#2 Dates]]),COUNTIF(Benchmark2[Benchmark '#2 Dates],Comp2[[#This Row],[Comparable '#2 Dates]]))=2,"Pass","Fail")</f>
        <v>Pass</v>
      </c>
      <c r="I1147" s="1">
        <f>IFERROR(Comp2[[#This Row],[Comparable '#2 Return]]-INDEX(Benchmark1[Benchmark '#1 Return],MATCH(Comp2[[#This Row],[Comparable '#2 Dates]],Benchmark1[Benchmark '#1 Dates],0)),"-")</f>
        <v>-4.5897739392806482E-4</v>
      </c>
      <c r="L1147" s="72">
        <f>Comp2[[#This Row],[Comparable '#2 Price]]/$B$2*100</f>
        <v>76.639839034205238</v>
      </c>
    </row>
    <row r="1148" spans="1:12">
      <c r="A1148" s="96">
        <v>44950</v>
      </c>
      <c r="B1148" s="101">
        <v>38.46</v>
      </c>
      <c r="C1148" s="4">
        <f t="shared" si="34"/>
        <v>9.6669596701210395E-3</v>
      </c>
      <c r="D1148" s="1">
        <f>IFERROR(Comp2[[#This Row],[Comparable '#2 Return]]+1,"-")</f>
        <v>1.0096669596701211</v>
      </c>
      <c r="E1148" s="6">
        <f>B1148-MAX($B$2:B1148)</f>
        <v>-19.699999999999996</v>
      </c>
      <c r="F1148" s="80">
        <f t="shared" si="35"/>
        <v>1055</v>
      </c>
      <c r="G1148" s="77">
        <f>Comp2[[#This Row],[Comparable '#2 Drawdown]]/MAX($B$2:B1148)</f>
        <v>-0.33872077028885827</v>
      </c>
      <c r="H1148" s="1" t="str">
        <f>IF(SUM(COUNTIF(Benchmark1[Benchmark '#1 Dates],Comp2[[#This Row],[Comparable '#2 Dates]]),COUNTIF(Benchmark2[Benchmark '#2 Dates],Comp2[[#This Row],[Comparable '#2 Dates]]))=2,"Pass","Fail")</f>
        <v>Pass</v>
      </c>
      <c r="I1148" s="1">
        <f>IFERROR(Comp2[[#This Row],[Comparable '#2 Return]]-INDEX(Benchmark1[Benchmark '#1 Return],MATCH(Comp2[[#This Row],[Comparable '#2 Dates]],Benchmark1[Benchmark '#1 Dates],0)),"-")</f>
        <v>1.037978086097445E-2</v>
      </c>
      <c r="L1148" s="72">
        <f>Comp2[[#This Row],[Comparable '#2 Price]]/$B$2*100</f>
        <v>77.384305835010053</v>
      </c>
    </row>
    <row r="1149" spans="1:12">
      <c r="A1149" s="96">
        <v>44951</v>
      </c>
      <c r="B1149" s="101">
        <v>38.64</v>
      </c>
      <c r="C1149" s="4">
        <f t="shared" si="34"/>
        <v>4.6692691836834714E-3</v>
      </c>
      <c r="D1149" s="1">
        <f>IFERROR(Comp2[[#This Row],[Comparable '#2 Return]]+1,"-")</f>
        <v>1.0046692691836834</v>
      </c>
      <c r="E1149" s="6">
        <f>B1149-MAX($B$2:B1149)</f>
        <v>-19.519999999999996</v>
      </c>
      <c r="F1149" s="80">
        <f t="shared" si="35"/>
        <v>1056</v>
      </c>
      <c r="G1149" s="77">
        <f>Comp2[[#This Row],[Comparable '#2 Drawdown]]/MAX($B$2:B1149)</f>
        <v>-0.33562585969738645</v>
      </c>
      <c r="H1149" s="1" t="str">
        <f>IF(SUM(COUNTIF(Benchmark1[Benchmark '#1 Dates],Comp2[[#This Row],[Comparable '#2 Dates]]),COUNTIF(Benchmark2[Benchmark '#2 Dates],Comp2[[#This Row],[Comparable '#2 Dates]]))=2,"Pass","Fail")</f>
        <v>Pass</v>
      </c>
      <c r="I1149" s="1">
        <f>IFERROR(Comp2[[#This Row],[Comparable '#2 Return]]-INDEX(Benchmark1[Benchmark '#1 Return],MATCH(Comp2[[#This Row],[Comparable '#2 Dates]],Benchmark1[Benchmark '#1 Dates],0)),"-")</f>
        <v>4.8511333611424307E-3</v>
      </c>
      <c r="L1149" s="72">
        <f>Comp2[[#This Row],[Comparable '#2 Price]]/$B$2*100</f>
        <v>77.74647887323944</v>
      </c>
    </row>
    <row r="1150" spans="1:12">
      <c r="A1150" s="96">
        <v>44952</v>
      </c>
      <c r="B1150" s="101">
        <v>38.79</v>
      </c>
      <c r="C1150" s="4">
        <f t="shared" si="34"/>
        <v>3.8744721075584933E-3</v>
      </c>
      <c r="D1150" s="1">
        <f>IFERROR(Comp2[[#This Row],[Comparable '#2 Return]]+1,"-")</f>
        <v>1.0038744721075585</v>
      </c>
      <c r="E1150" s="6">
        <f>B1150-MAX($B$2:B1150)</f>
        <v>-19.369999999999997</v>
      </c>
      <c r="F1150" s="80">
        <f t="shared" si="35"/>
        <v>1057</v>
      </c>
      <c r="G1150" s="77">
        <f>Comp2[[#This Row],[Comparable '#2 Drawdown]]/MAX($B$2:B1150)</f>
        <v>-0.33304676753782664</v>
      </c>
      <c r="H1150" s="1" t="str">
        <f>IF(SUM(COUNTIF(Benchmark1[Benchmark '#1 Dates],Comp2[[#This Row],[Comparable '#2 Dates]]),COUNTIF(Benchmark2[Benchmark '#2 Dates],Comp2[[#This Row],[Comparable '#2 Dates]]))=2,"Pass","Fail")</f>
        <v>Pass</v>
      </c>
      <c r="I1150" s="1">
        <f>IFERROR(Comp2[[#This Row],[Comparable '#2 Return]]-INDEX(Benchmark1[Benchmark '#1 Return],MATCH(Comp2[[#This Row],[Comparable '#2 Dates]],Benchmark1[Benchmark '#1 Dates],0)),"-")</f>
        <v>-7.0727820996800937E-3</v>
      </c>
      <c r="L1150" s="72">
        <f>Comp2[[#This Row],[Comparable '#2 Price]]/$B$2*100</f>
        <v>78.048289738430583</v>
      </c>
    </row>
    <row r="1151" spans="1:12">
      <c r="A1151" s="96">
        <v>44953</v>
      </c>
      <c r="B1151" s="101">
        <v>38.25</v>
      </c>
      <c r="C1151" s="4">
        <f t="shared" si="34"/>
        <v>-1.4018921179330929E-2</v>
      </c>
      <c r="D1151" s="1">
        <f>IFERROR(Comp2[[#This Row],[Comparable '#2 Return]]+1,"-")</f>
        <v>0.9859810788206691</v>
      </c>
      <c r="E1151" s="6">
        <f>B1151-MAX($B$2:B1151)</f>
        <v>-19.909999999999997</v>
      </c>
      <c r="F1151" s="80">
        <f t="shared" si="35"/>
        <v>1058</v>
      </c>
      <c r="G1151" s="77">
        <f>Comp2[[#This Row],[Comparable '#2 Drawdown]]/MAX($B$2:B1151)</f>
        <v>-0.34233149931224205</v>
      </c>
      <c r="H1151" s="1" t="str">
        <f>IF(SUM(COUNTIF(Benchmark1[Benchmark '#1 Dates],Comp2[[#This Row],[Comparable '#2 Dates]]),COUNTIF(Benchmark2[Benchmark '#2 Dates],Comp2[[#This Row],[Comparable '#2 Dates]]))=2,"Pass","Fail")</f>
        <v>Pass</v>
      </c>
      <c r="I1151" s="1">
        <f>IFERROR(Comp2[[#This Row],[Comparable '#2 Return]]-INDEX(Benchmark1[Benchmark '#1 Return],MATCH(Comp2[[#This Row],[Comparable '#2 Dates]],Benchmark1[Benchmark '#1 Dates],0)),"-")</f>
        <v>-1.6510856818928939E-2</v>
      </c>
      <c r="L1151" s="72">
        <f>Comp2[[#This Row],[Comparable '#2 Price]]/$B$2*100</f>
        <v>76.961770623742453</v>
      </c>
    </row>
    <row r="1152" spans="1:12">
      <c r="A1152" s="96">
        <v>44956</v>
      </c>
      <c r="B1152" s="101">
        <v>37.619999999999997</v>
      </c>
      <c r="C1152" s="4">
        <f t="shared" si="34"/>
        <v>-1.6607736399660636E-2</v>
      </c>
      <c r="D1152" s="1">
        <f>IFERROR(Comp2[[#This Row],[Comparable '#2 Return]]+1,"-")</f>
        <v>0.98339226360033938</v>
      </c>
      <c r="E1152" s="6">
        <f>B1152-MAX($B$2:B1152)</f>
        <v>-20.54</v>
      </c>
      <c r="F1152" s="80">
        <f t="shared" si="35"/>
        <v>1059</v>
      </c>
      <c r="G1152" s="77">
        <f>Comp2[[#This Row],[Comparable '#2 Drawdown]]/MAX($B$2:B1152)</f>
        <v>-0.35316368638239343</v>
      </c>
      <c r="H1152" s="1" t="str">
        <f>IF(SUM(COUNTIF(Benchmark1[Benchmark '#1 Dates],Comp2[[#This Row],[Comparable '#2 Dates]]),COUNTIF(Benchmark2[Benchmark '#2 Dates],Comp2[[#This Row],[Comparable '#2 Dates]]))=2,"Pass","Fail")</f>
        <v>Pass</v>
      </c>
      <c r="I1152" s="1">
        <f>IFERROR(Comp2[[#This Row],[Comparable '#2 Return]]-INDEX(Benchmark1[Benchmark '#1 Return],MATCH(Comp2[[#This Row],[Comparable '#2 Dates]],Benchmark1[Benchmark '#1 Dates],0)),"-")</f>
        <v>-3.5552357563856888E-3</v>
      </c>
      <c r="L1152" s="72">
        <f>Comp2[[#This Row],[Comparable '#2 Price]]/$B$2*100</f>
        <v>75.694164989939623</v>
      </c>
    </row>
    <row r="1153" spans="1:12">
      <c r="A1153" s="96">
        <v>44957</v>
      </c>
      <c r="B1153" s="101">
        <v>38.18</v>
      </c>
      <c r="C1153" s="4">
        <f t="shared" si="34"/>
        <v>1.4775994424717206E-2</v>
      </c>
      <c r="D1153" s="1">
        <f>IFERROR(Comp2[[#This Row],[Comparable '#2 Return]]+1,"-")</f>
        <v>1.0147759944247172</v>
      </c>
      <c r="E1153" s="6">
        <f>B1153-MAX($B$2:B1153)</f>
        <v>-19.979999999999997</v>
      </c>
      <c r="F1153" s="80">
        <f t="shared" si="35"/>
        <v>1060</v>
      </c>
      <c r="G1153" s="77">
        <f>Comp2[[#This Row],[Comparable '#2 Drawdown]]/MAX($B$2:B1153)</f>
        <v>-0.34353507565336999</v>
      </c>
      <c r="H1153" s="1" t="str">
        <f>IF(SUM(COUNTIF(Benchmark1[Benchmark '#1 Dates],Comp2[[#This Row],[Comparable '#2 Dates]]),COUNTIF(Benchmark2[Benchmark '#2 Dates],Comp2[[#This Row],[Comparable '#2 Dates]]))=2,"Pass","Fail")</f>
        <v>Pass</v>
      </c>
      <c r="I1153" s="1">
        <f>IFERROR(Comp2[[#This Row],[Comparable '#2 Return]]-INDEX(Benchmark1[Benchmark '#1 Return],MATCH(Comp2[[#This Row],[Comparable '#2 Dates]],Benchmark1[Benchmark '#1 Dates],0)),"-")</f>
        <v>2.3941174740341187E-4</v>
      </c>
      <c r="L1153" s="72">
        <f>Comp2[[#This Row],[Comparable '#2 Price]]/$B$2*100</f>
        <v>76.820925553319924</v>
      </c>
    </row>
    <row r="1154" spans="1:12">
      <c r="A1154" s="96">
        <v>44958</v>
      </c>
      <c r="B1154" s="101">
        <v>38.54</v>
      </c>
      <c r="C1154" s="4">
        <f t="shared" ref="C1154:C1217" si="36">IFERROR(IF(B1154="","-",LN(B1154/B1153)),"-")</f>
        <v>9.3848446886187018E-3</v>
      </c>
      <c r="D1154" s="1">
        <f>IFERROR(Comp2[[#This Row],[Comparable '#2 Return]]+1,"-")</f>
        <v>1.0093848446886187</v>
      </c>
      <c r="E1154" s="6">
        <f>B1154-MAX($B$2:B1154)</f>
        <v>-19.619999999999997</v>
      </c>
      <c r="F1154" s="80">
        <f t="shared" ref="F1154:F1217" si="37">IF(E1154=0,0,F1153+1)</f>
        <v>1061</v>
      </c>
      <c r="G1154" s="77">
        <f>Comp2[[#This Row],[Comparable '#2 Drawdown]]/MAX($B$2:B1154)</f>
        <v>-0.3373452544704264</v>
      </c>
      <c r="H1154" s="1" t="str">
        <f>IF(SUM(COUNTIF(Benchmark1[Benchmark '#1 Dates],Comp2[[#This Row],[Comparable '#2 Dates]]),COUNTIF(Benchmark2[Benchmark '#2 Dates],Comp2[[#This Row],[Comparable '#2 Dates]]))=2,"Pass","Fail")</f>
        <v>Pass</v>
      </c>
      <c r="I1154" s="1">
        <f>IFERROR(Comp2[[#This Row],[Comparable '#2 Return]]-INDEX(Benchmark1[Benchmark '#1 Return],MATCH(Comp2[[#This Row],[Comparable '#2 Dates]],Benchmark1[Benchmark '#1 Dates],0)),"-")</f>
        <v>-1.0124063200264797E-3</v>
      </c>
      <c r="L1154" s="72">
        <f>Comp2[[#This Row],[Comparable '#2 Price]]/$B$2*100</f>
        <v>77.545271629778668</v>
      </c>
    </row>
    <row r="1155" spans="1:12">
      <c r="A1155" s="96">
        <v>44959</v>
      </c>
      <c r="B1155" s="101">
        <v>38.64</v>
      </c>
      <c r="C1155" s="4">
        <f t="shared" si="36"/>
        <v>2.5913463580968894E-3</v>
      </c>
      <c r="D1155" s="1">
        <f>IFERROR(Comp2[[#This Row],[Comparable '#2 Return]]+1,"-")</f>
        <v>1.0025913463580969</v>
      </c>
      <c r="E1155" s="6">
        <f>B1155-MAX($B$2:B1155)</f>
        <v>-19.519999999999996</v>
      </c>
      <c r="F1155" s="80">
        <f t="shared" si="37"/>
        <v>1062</v>
      </c>
      <c r="G1155" s="77">
        <f>Comp2[[#This Row],[Comparable '#2 Drawdown]]/MAX($B$2:B1155)</f>
        <v>-0.33562585969738645</v>
      </c>
      <c r="H1155" s="1" t="str">
        <f>IF(SUM(COUNTIF(Benchmark1[Benchmark '#1 Dates],Comp2[[#This Row],[Comparable '#2 Dates]]),COUNTIF(Benchmark2[Benchmark '#2 Dates],Comp2[[#This Row],[Comparable '#2 Dates]]))=2,"Pass","Fail")</f>
        <v>Pass</v>
      </c>
      <c r="I1155" s="1">
        <f>IFERROR(Comp2[[#This Row],[Comparable '#2 Return]]-INDEX(Benchmark1[Benchmark '#1 Return],MATCH(Comp2[[#This Row],[Comparable '#2 Dates]],Benchmark1[Benchmark '#1 Dates],0)),"-")</f>
        <v>-1.1999931833236062E-2</v>
      </c>
      <c r="L1155" s="72">
        <f>Comp2[[#This Row],[Comparable '#2 Price]]/$B$2*100</f>
        <v>77.74647887323944</v>
      </c>
    </row>
    <row r="1156" spans="1:12">
      <c r="A1156" s="96">
        <v>44960</v>
      </c>
      <c r="B1156" s="101">
        <v>43.83</v>
      </c>
      <c r="C1156" s="4">
        <f t="shared" si="36"/>
        <v>0.12603050508640043</v>
      </c>
      <c r="D1156" s="1">
        <f>IFERROR(Comp2[[#This Row],[Comparable '#2 Return]]+1,"-")</f>
        <v>1.1260305050864003</v>
      </c>
      <c r="E1156" s="6">
        <f>B1156-MAX($B$2:B1156)</f>
        <v>-14.329999999999998</v>
      </c>
      <c r="F1156" s="80">
        <f t="shared" si="37"/>
        <v>1063</v>
      </c>
      <c r="G1156" s="77">
        <f>Comp2[[#This Row],[Comparable '#2 Drawdown]]/MAX($B$2:B1156)</f>
        <v>-0.24638927097661623</v>
      </c>
      <c r="H1156" s="1" t="str">
        <f>IF(SUM(COUNTIF(Benchmark1[Benchmark '#1 Dates],Comp2[[#This Row],[Comparable '#2 Dates]]),COUNTIF(Benchmark2[Benchmark '#2 Dates],Comp2[[#This Row],[Comparable '#2 Dates]]))=2,"Pass","Fail")</f>
        <v>Pass</v>
      </c>
      <c r="I1156" s="1">
        <f>IFERROR(Comp2[[#This Row],[Comparable '#2 Return]]-INDEX(Benchmark1[Benchmark '#1 Return],MATCH(Comp2[[#This Row],[Comparable '#2 Dates]],Benchmark1[Benchmark '#1 Dates],0)),"-")</f>
        <v>0.13643770739836791</v>
      </c>
      <c r="L1156" s="72">
        <f>Comp2[[#This Row],[Comparable '#2 Price]]/$B$2*100</f>
        <v>88.189134808853112</v>
      </c>
    </row>
    <row r="1157" spans="1:12">
      <c r="A1157" s="96">
        <v>44963</v>
      </c>
      <c r="B1157" s="101">
        <v>40.72</v>
      </c>
      <c r="C1157" s="4">
        <f t="shared" si="36"/>
        <v>-7.3599142188450442E-2</v>
      </c>
      <c r="D1157" s="1">
        <f>IFERROR(Comp2[[#This Row],[Comparable '#2 Return]]+1,"-")</f>
        <v>0.92640085781154957</v>
      </c>
      <c r="E1157" s="6">
        <f>B1157-MAX($B$2:B1157)</f>
        <v>-17.439999999999998</v>
      </c>
      <c r="F1157" s="80">
        <f t="shared" si="37"/>
        <v>1064</v>
      </c>
      <c r="G1157" s="77">
        <f>Comp2[[#This Row],[Comparable '#2 Drawdown]]/MAX($B$2:B1157)</f>
        <v>-0.29986244841815679</v>
      </c>
      <c r="H1157" s="1" t="str">
        <f>IF(SUM(COUNTIF(Benchmark1[Benchmark '#1 Dates],Comp2[[#This Row],[Comparable '#2 Dates]]),COUNTIF(Benchmark2[Benchmark '#2 Dates],Comp2[[#This Row],[Comparable '#2 Dates]]))=2,"Pass","Fail")</f>
        <v>Pass</v>
      </c>
      <c r="I1157" s="1">
        <f>IFERROR(Comp2[[#This Row],[Comparable '#2 Return]]-INDEX(Benchmark1[Benchmark '#1 Return],MATCH(Comp2[[#This Row],[Comparable '#2 Dates]],Benchmark1[Benchmark '#1 Dates],0)),"-")</f>
        <v>-6.743955296129156E-2</v>
      </c>
      <c r="L1157" s="72">
        <f>Comp2[[#This Row],[Comparable '#2 Price]]/$B$2*100</f>
        <v>81.931589537223331</v>
      </c>
    </row>
    <row r="1158" spans="1:12">
      <c r="A1158" s="96">
        <v>44964</v>
      </c>
      <c r="B1158" s="101">
        <v>39.729999999999997</v>
      </c>
      <c r="C1158" s="4">
        <f t="shared" si="36"/>
        <v>-2.4612802415759794E-2</v>
      </c>
      <c r="D1158" s="1">
        <f>IFERROR(Comp2[[#This Row],[Comparable '#2 Return]]+1,"-")</f>
        <v>0.9753871975842402</v>
      </c>
      <c r="E1158" s="6">
        <f>B1158-MAX($B$2:B1158)</f>
        <v>-18.43</v>
      </c>
      <c r="F1158" s="80">
        <f t="shared" si="37"/>
        <v>1065</v>
      </c>
      <c r="G1158" s="77">
        <f>Comp2[[#This Row],[Comparable '#2 Drawdown]]/MAX($B$2:B1158)</f>
        <v>-0.31688445667125176</v>
      </c>
      <c r="H1158" s="1" t="str">
        <f>IF(SUM(COUNTIF(Benchmark1[Benchmark '#1 Dates],Comp2[[#This Row],[Comparable '#2 Dates]]),COUNTIF(Benchmark2[Benchmark '#2 Dates],Comp2[[#This Row],[Comparable '#2 Dates]]))=2,"Pass","Fail")</f>
        <v>Pass</v>
      </c>
      <c r="I1158" s="1">
        <f>IFERROR(Comp2[[#This Row],[Comparable '#2 Return]]-INDEX(Benchmark1[Benchmark '#1 Return],MATCH(Comp2[[#This Row],[Comparable '#2 Dates]],Benchmark1[Benchmark '#1 Dates],0)),"-")</f>
        <v>-3.740286317682745E-2</v>
      </c>
      <c r="L1158" s="72">
        <f>Comp2[[#This Row],[Comparable '#2 Price]]/$B$2*100</f>
        <v>79.939637826961757</v>
      </c>
    </row>
    <row r="1159" spans="1:12">
      <c r="A1159" s="96">
        <v>44965</v>
      </c>
      <c r="B1159" s="101">
        <v>38.799999999999997</v>
      </c>
      <c r="C1159" s="4">
        <f t="shared" si="36"/>
        <v>-2.3686323197279788E-2</v>
      </c>
      <c r="D1159" s="1">
        <f>IFERROR(Comp2[[#This Row],[Comparable '#2 Return]]+1,"-")</f>
        <v>0.97631367680272019</v>
      </c>
      <c r="E1159" s="6">
        <f>B1159-MAX($B$2:B1159)</f>
        <v>-19.36</v>
      </c>
      <c r="F1159" s="80">
        <f t="shared" si="37"/>
        <v>1066</v>
      </c>
      <c r="G1159" s="77">
        <f>Comp2[[#This Row],[Comparable '#2 Drawdown]]/MAX($B$2:B1159)</f>
        <v>-0.33287482806052271</v>
      </c>
      <c r="H1159" s="1" t="str">
        <f>IF(SUM(COUNTIF(Benchmark1[Benchmark '#1 Dates],Comp2[[#This Row],[Comparable '#2 Dates]]),COUNTIF(Benchmark2[Benchmark '#2 Dates],Comp2[[#This Row],[Comparable '#2 Dates]]))=2,"Pass","Fail")</f>
        <v>Pass</v>
      </c>
      <c r="I1159" s="1">
        <f>IFERROR(Comp2[[#This Row],[Comparable '#2 Return]]-INDEX(Benchmark1[Benchmark '#1 Return],MATCH(Comp2[[#This Row],[Comparable '#2 Dates]],Benchmark1[Benchmark '#1 Dates],0)),"-")</f>
        <v>-1.25450579756528E-2</v>
      </c>
      <c r="L1159" s="72">
        <f>Comp2[[#This Row],[Comparable '#2 Price]]/$B$2*100</f>
        <v>78.068410462776654</v>
      </c>
    </row>
    <row r="1160" spans="1:12">
      <c r="A1160" s="96">
        <v>44966</v>
      </c>
      <c r="B1160" s="101">
        <v>39.369999999999997</v>
      </c>
      <c r="C1160" s="4">
        <f t="shared" si="36"/>
        <v>1.4583858326418342E-2</v>
      </c>
      <c r="D1160" s="1">
        <f>IFERROR(Comp2[[#This Row],[Comparable '#2 Return]]+1,"-")</f>
        <v>1.0145838583264184</v>
      </c>
      <c r="E1160" s="6">
        <f>B1160-MAX($B$2:B1160)</f>
        <v>-18.79</v>
      </c>
      <c r="F1160" s="80">
        <f t="shared" si="37"/>
        <v>1067</v>
      </c>
      <c r="G1160" s="77">
        <f>Comp2[[#This Row],[Comparable '#2 Drawdown]]/MAX($B$2:B1160)</f>
        <v>-0.32307427785419535</v>
      </c>
      <c r="H1160" s="1" t="str">
        <f>IF(SUM(COUNTIF(Benchmark1[Benchmark '#1 Dates],Comp2[[#This Row],[Comparable '#2 Dates]]),COUNTIF(Benchmark2[Benchmark '#2 Dates],Comp2[[#This Row],[Comparable '#2 Dates]]))=2,"Pass","Fail")</f>
        <v>Pass</v>
      </c>
      <c r="I1160" s="1">
        <f>IFERROR(Comp2[[#This Row],[Comparable '#2 Return]]-INDEX(Benchmark1[Benchmark '#1 Return],MATCH(Comp2[[#This Row],[Comparable '#2 Dates]],Benchmark1[Benchmark '#1 Dates],0)),"-")</f>
        <v>2.3452937452230309E-2</v>
      </c>
      <c r="L1160" s="72">
        <f>Comp2[[#This Row],[Comparable '#2 Price]]/$B$2*100</f>
        <v>79.215291750502999</v>
      </c>
    </row>
    <row r="1161" spans="1:12">
      <c r="A1161" s="96">
        <v>44967</v>
      </c>
      <c r="B1161" s="101">
        <v>40.11</v>
      </c>
      <c r="C1161" s="4">
        <f t="shared" si="36"/>
        <v>1.8621574826315431E-2</v>
      </c>
      <c r="D1161" s="1">
        <f>IFERROR(Comp2[[#This Row],[Comparable '#2 Return]]+1,"-")</f>
        <v>1.0186215748263154</v>
      </c>
      <c r="E1161" s="6">
        <f>B1161-MAX($B$2:B1161)</f>
        <v>-18.049999999999997</v>
      </c>
      <c r="F1161" s="80">
        <f t="shared" si="37"/>
        <v>1068</v>
      </c>
      <c r="G1161" s="77">
        <f>Comp2[[#This Row],[Comparable '#2 Drawdown]]/MAX($B$2:B1161)</f>
        <v>-0.31035075653370009</v>
      </c>
      <c r="H1161" s="1" t="str">
        <f>IF(SUM(COUNTIF(Benchmark1[Benchmark '#1 Dates],Comp2[[#This Row],[Comparable '#2 Dates]]),COUNTIF(Benchmark2[Benchmark '#2 Dates],Comp2[[#This Row],[Comparable '#2 Dates]]))=2,"Pass","Fail")</f>
        <v>Pass</v>
      </c>
      <c r="I1161" s="1">
        <f>IFERROR(Comp2[[#This Row],[Comparable '#2 Return]]-INDEX(Benchmark1[Benchmark '#1 Return],MATCH(Comp2[[#This Row],[Comparable '#2 Dates]],Benchmark1[Benchmark '#1 Dates],0)),"-")</f>
        <v>1.6429359940256894E-2</v>
      </c>
      <c r="L1161" s="72">
        <f>Comp2[[#This Row],[Comparable '#2 Price]]/$B$2*100</f>
        <v>80.704225352112672</v>
      </c>
    </row>
    <row r="1162" spans="1:12">
      <c r="A1162" s="96">
        <v>44970</v>
      </c>
      <c r="B1162" s="101">
        <v>41.27</v>
      </c>
      <c r="C1162" s="4">
        <f t="shared" si="36"/>
        <v>2.8510163982529018E-2</v>
      </c>
      <c r="D1162" s="1">
        <f>IFERROR(Comp2[[#This Row],[Comparable '#2 Return]]+1,"-")</f>
        <v>1.0285101639825289</v>
      </c>
      <c r="E1162" s="6">
        <f>B1162-MAX($B$2:B1162)</f>
        <v>-16.889999999999993</v>
      </c>
      <c r="F1162" s="80">
        <f t="shared" si="37"/>
        <v>1069</v>
      </c>
      <c r="G1162" s="77">
        <f>Comp2[[#This Row],[Comparable '#2 Drawdown]]/MAX($B$2:B1162)</f>
        <v>-0.29040577716643734</v>
      </c>
      <c r="H1162" s="1" t="str">
        <f>IF(SUM(COUNTIF(Benchmark1[Benchmark '#1 Dates],Comp2[[#This Row],[Comparable '#2 Dates]]),COUNTIF(Benchmark2[Benchmark '#2 Dates],Comp2[[#This Row],[Comparable '#2 Dates]]))=2,"Pass","Fail")</f>
        <v>Pass</v>
      </c>
      <c r="I1162" s="1">
        <f>IFERROR(Comp2[[#This Row],[Comparable '#2 Return]]-INDEX(Benchmark1[Benchmark '#1 Return],MATCH(Comp2[[#This Row],[Comparable '#2 Dates]],Benchmark1[Benchmark '#1 Dates],0)),"-")</f>
        <v>1.7127806298529603E-2</v>
      </c>
      <c r="L1162" s="72">
        <f>Comp2[[#This Row],[Comparable '#2 Price]]/$B$2*100</f>
        <v>83.038229376257547</v>
      </c>
    </row>
    <row r="1163" spans="1:12">
      <c r="A1163" s="96">
        <v>44971</v>
      </c>
      <c r="B1163" s="101">
        <v>40.18</v>
      </c>
      <c r="C1163" s="4">
        <f t="shared" si="36"/>
        <v>-2.6766484377702147E-2</v>
      </c>
      <c r="D1163" s="1">
        <f>IFERROR(Comp2[[#This Row],[Comparable '#2 Return]]+1,"-")</f>
        <v>0.97323351562229787</v>
      </c>
      <c r="E1163" s="6">
        <f>B1163-MAX($B$2:B1163)</f>
        <v>-17.979999999999997</v>
      </c>
      <c r="F1163" s="80">
        <f t="shared" si="37"/>
        <v>1070</v>
      </c>
      <c r="G1163" s="77">
        <f>Comp2[[#This Row],[Comparable '#2 Drawdown]]/MAX($B$2:B1163)</f>
        <v>-0.3091471801925722</v>
      </c>
      <c r="H1163" s="1" t="str">
        <f>IF(SUM(COUNTIF(Benchmark1[Benchmark '#1 Dates],Comp2[[#This Row],[Comparable '#2 Dates]]),COUNTIF(Benchmark2[Benchmark '#2 Dates],Comp2[[#This Row],[Comparable '#2 Dates]]))=2,"Pass","Fail")</f>
        <v>Pass</v>
      </c>
      <c r="I1163" s="1">
        <f>IFERROR(Comp2[[#This Row],[Comparable '#2 Return]]-INDEX(Benchmark1[Benchmark '#1 Return],MATCH(Comp2[[#This Row],[Comparable '#2 Dates]],Benchmark1[Benchmark '#1 Dates],0)),"-")</f>
        <v>-2.6487507366779978E-2</v>
      </c>
      <c r="L1163" s="72">
        <f>Comp2[[#This Row],[Comparable '#2 Price]]/$B$2*100</f>
        <v>80.845070422535201</v>
      </c>
    </row>
    <row r="1164" spans="1:12">
      <c r="A1164" s="96">
        <v>44972</v>
      </c>
      <c r="B1164" s="101">
        <v>40.43</v>
      </c>
      <c r="C1164" s="4">
        <f t="shared" si="36"/>
        <v>6.2027242658910485E-3</v>
      </c>
      <c r="D1164" s="1">
        <f>IFERROR(Comp2[[#This Row],[Comparable '#2 Return]]+1,"-")</f>
        <v>1.0062027242658911</v>
      </c>
      <c r="E1164" s="6">
        <f>B1164-MAX($B$2:B1164)</f>
        <v>-17.729999999999997</v>
      </c>
      <c r="F1164" s="80">
        <f t="shared" si="37"/>
        <v>1071</v>
      </c>
      <c r="G1164" s="77">
        <f>Comp2[[#This Row],[Comparable '#2 Drawdown]]/MAX($B$2:B1164)</f>
        <v>-0.30484869325997244</v>
      </c>
      <c r="H1164" s="1" t="str">
        <f>IF(SUM(COUNTIF(Benchmark1[Benchmark '#1 Dates],Comp2[[#This Row],[Comparable '#2 Dates]]),COUNTIF(Benchmark2[Benchmark '#2 Dates],Comp2[[#This Row],[Comparable '#2 Dates]]))=2,"Pass","Fail")</f>
        <v>Pass</v>
      </c>
      <c r="I1164" s="1">
        <f>IFERROR(Comp2[[#This Row],[Comparable '#2 Return]]-INDEX(Benchmark1[Benchmark '#1 Return],MATCH(Comp2[[#This Row],[Comparable '#2 Dates]],Benchmark1[Benchmark '#1 Dates],0)),"-")</f>
        <v>3.4334586898399763E-3</v>
      </c>
      <c r="L1164" s="72">
        <f>Comp2[[#This Row],[Comparable '#2 Price]]/$B$2*100</f>
        <v>81.348088531187116</v>
      </c>
    </row>
    <row r="1165" spans="1:12">
      <c r="A1165" s="96">
        <v>44973</v>
      </c>
      <c r="B1165" s="101">
        <v>40.71</v>
      </c>
      <c r="C1165" s="4">
        <f t="shared" si="36"/>
        <v>6.901678862208013E-3</v>
      </c>
      <c r="D1165" s="1">
        <f>IFERROR(Comp2[[#This Row],[Comparable '#2 Return]]+1,"-")</f>
        <v>1.006901678862208</v>
      </c>
      <c r="E1165" s="6">
        <f>B1165-MAX($B$2:B1165)</f>
        <v>-17.449999999999996</v>
      </c>
      <c r="F1165" s="80">
        <f t="shared" si="37"/>
        <v>1072</v>
      </c>
      <c r="G1165" s="77">
        <f>Comp2[[#This Row],[Comparable '#2 Drawdown]]/MAX($B$2:B1165)</f>
        <v>-0.30003438789546072</v>
      </c>
      <c r="H1165" s="1" t="str">
        <f>IF(SUM(COUNTIF(Benchmark1[Benchmark '#1 Dates],Comp2[[#This Row],[Comparable '#2 Dates]]),COUNTIF(Benchmark2[Benchmark '#2 Dates],Comp2[[#This Row],[Comparable '#2 Dates]]))=2,"Pass","Fail")</f>
        <v>Pass</v>
      </c>
      <c r="I1165" s="1">
        <f>IFERROR(Comp2[[#This Row],[Comparable '#2 Return]]-INDEX(Benchmark1[Benchmark '#1 Return],MATCH(Comp2[[#This Row],[Comparable '#2 Dates]],Benchmark1[Benchmark '#1 Dates],0)),"-")</f>
        <v>2.0787266930606292E-2</v>
      </c>
      <c r="L1165" s="72">
        <f>Comp2[[#This Row],[Comparable '#2 Price]]/$B$2*100</f>
        <v>81.91146881287726</v>
      </c>
    </row>
    <row r="1166" spans="1:12">
      <c r="A1166" s="96">
        <v>44974</v>
      </c>
      <c r="B1166" s="101">
        <v>40.96</v>
      </c>
      <c r="C1166" s="4">
        <f t="shared" si="36"/>
        <v>6.1222182163648284E-3</v>
      </c>
      <c r="D1166" s="1">
        <f>IFERROR(Comp2[[#This Row],[Comparable '#2 Return]]+1,"-")</f>
        <v>1.0061222182163649</v>
      </c>
      <c r="E1166" s="6">
        <f>B1166-MAX($B$2:B1166)</f>
        <v>-17.199999999999996</v>
      </c>
      <c r="F1166" s="80">
        <f t="shared" si="37"/>
        <v>1073</v>
      </c>
      <c r="G1166" s="77">
        <f>Comp2[[#This Row],[Comparable '#2 Drawdown]]/MAX($B$2:B1166)</f>
        <v>-0.29573590096286101</v>
      </c>
      <c r="H1166" s="1" t="str">
        <f>IF(SUM(COUNTIF(Benchmark1[Benchmark '#1 Dates],Comp2[[#This Row],[Comparable '#2 Dates]]),COUNTIF(Benchmark2[Benchmark '#2 Dates],Comp2[[#This Row],[Comparable '#2 Dates]]))=2,"Pass","Fail")</f>
        <v>Pass</v>
      </c>
      <c r="I1166" s="1">
        <f>IFERROR(Comp2[[#This Row],[Comparable '#2 Return]]-INDEX(Benchmark1[Benchmark '#1 Return],MATCH(Comp2[[#This Row],[Comparable '#2 Dates]],Benchmark1[Benchmark '#1 Dates],0)),"-")</f>
        <v>8.8921226463187335E-3</v>
      </c>
      <c r="L1166" s="72">
        <f>Comp2[[#This Row],[Comparable '#2 Price]]/$B$2*100</f>
        <v>82.414486921529175</v>
      </c>
    </row>
    <row r="1167" spans="1:12">
      <c r="A1167" s="96">
        <v>44978</v>
      </c>
      <c r="B1167" s="101">
        <v>40.96</v>
      </c>
      <c r="C1167" s="4">
        <f t="shared" si="36"/>
        <v>0</v>
      </c>
      <c r="D1167" s="1">
        <f>IFERROR(Comp2[[#This Row],[Comparable '#2 Return]]+1,"-")</f>
        <v>1</v>
      </c>
      <c r="E1167" s="6">
        <f>B1167-MAX($B$2:B1167)</f>
        <v>-17.199999999999996</v>
      </c>
      <c r="F1167" s="80">
        <f t="shared" si="37"/>
        <v>1074</v>
      </c>
      <c r="G1167" s="77">
        <f>Comp2[[#This Row],[Comparable '#2 Drawdown]]/MAX($B$2:B1167)</f>
        <v>-0.29573590096286101</v>
      </c>
      <c r="H1167" s="1" t="str">
        <f>IF(SUM(COUNTIF(Benchmark1[Benchmark '#1 Dates],Comp2[[#This Row],[Comparable '#2 Dates]]),COUNTIF(Benchmark2[Benchmark '#2 Dates],Comp2[[#This Row],[Comparable '#2 Dates]]))=2,"Pass","Fail")</f>
        <v>Pass</v>
      </c>
      <c r="I1167" s="1">
        <f>IFERROR(Comp2[[#This Row],[Comparable '#2 Return]]-INDEX(Benchmark1[Benchmark '#1 Return],MATCH(Comp2[[#This Row],[Comparable '#2 Dates]],Benchmark1[Benchmark '#1 Dates],0)),"-")</f>
        <v>2.0246729365173851E-2</v>
      </c>
      <c r="L1167" s="72">
        <f>Comp2[[#This Row],[Comparable '#2 Price]]/$B$2*100</f>
        <v>82.414486921529175</v>
      </c>
    </row>
    <row r="1168" spans="1:12">
      <c r="A1168" s="96">
        <v>44979</v>
      </c>
      <c r="B1168" s="101">
        <v>40.159999999999997</v>
      </c>
      <c r="C1168" s="4">
        <f t="shared" si="36"/>
        <v>-1.9724505347778701E-2</v>
      </c>
      <c r="D1168" s="1">
        <f>IFERROR(Comp2[[#This Row],[Comparable '#2 Return]]+1,"-")</f>
        <v>0.9802754946522213</v>
      </c>
      <c r="E1168" s="6">
        <f>B1168-MAX($B$2:B1168)</f>
        <v>-18</v>
      </c>
      <c r="F1168" s="80">
        <f t="shared" si="37"/>
        <v>1075</v>
      </c>
      <c r="G1168" s="77">
        <f>Comp2[[#This Row],[Comparable '#2 Drawdown]]/MAX($B$2:B1168)</f>
        <v>-0.30949105914718023</v>
      </c>
      <c r="H1168" s="1" t="str">
        <f>IF(SUM(COUNTIF(Benchmark1[Benchmark '#1 Dates],Comp2[[#This Row],[Comparable '#2 Dates]]),COUNTIF(Benchmark2[Benchmark '#2 Dates],Comp2[[#This Row],[Comparable '#2 Dates]]))=2,"Pass","Fail")</f>
        <v>Pass</v>
      </c>
      <c r="I1168" s="1">
        <f>IFERROR(Comp2[[#This Row],[Comparable '#2 Return]]-INDEX(Benchmark1[Benchmark '#1 Return],MATCH(Comp2[[#This Row],[Comparable '#2 Dates]],Benchmark1[Benchmark '#1 Dates],0)),"-")</f>
        <v>-1.8149933929044605E-2</v>
      </c>
      <c r="L1168" s="72">
        <f>Comp2[[#This Row],[Comparable '#2 Price]]/$B$2*100</f>
        <v>80.804828973843044</v>
      </c>
    </row>
    <row r="1169" spans="1:12">
      <c r="A1169" s="96">
        <v>44980</v>
      </c>
      <c r="B1169" s="101">
        <v>40.01</v>
      </c>
      <c r="C1169" s="4">
        <f t="shared" si="36"/>
        <v>-3.7420525143300369E-3</v>
      </c>
      <c r="D1169" s="1">
        <f>IFERROR(Comp2[[#This Row],[Comparable '#2 Return]]+1,"-")</f>
        <v>0.99625794748566998</v>
      </c>
      <c r="E1169" s="6">
        <f>B1169-MAX($B$2:B1169)</f>
        <v>-18.149999999999999</v>
      </c>
      <c r="F1169" s="80">
        <f t="shared" si="37"/>
        <v>1076</v>
      </c>
      <c r="G1169" s="77">
        <f>Comp2[[#This Row],[Comparable '#2 Drawdown]]/MAX($B$2:B1169)</f>
        <v>-0.31207015130674004</v>
      </c>
      <c r="H1169" s="1" t="str">
        <f>IF(SUM(COUNTIF(Benchmark1[Benchmark '#1 Dates],Comp2[[#This Row],[Comparable '#2 Dates]]),COUNTIF(Benchmark2[Benchmark '#2 Dates],Comp2[[#This Row],[Comparable '#2 Dates]]))=2,"Pass","Fail")</f>
        <v>Pass</v>
      </c>
      <c r="I1169" s="1">
        <f>IFERROR(Comp2[[#This Row],[Comparable '#2 Return]]-INDEX(Benchmark1[Benchmark '#1 Return],MATCH(Comp2[[#This Row],[Comparable '#2 Dates]],Benchmark1[Benchmark '#1 Dates],0)),"-")</f>
        <v>-9.0587051634186573E-3</v>
      </c>
      <c r="L1169" s="72">
        <f>Comp2[[#This Row],[Comparable '#2 Price]]/$B$2*100</f>
        <v>80.503018108651901</v>
      </c>
    </row>
    <row r="1170" spans="1:12">
      <c r="A1170" s="96">
        <v>44981</v>
      </c>
      <c r="B1170" s="101">
        <v>39.79</v>
      </c>
      <c r="C1170" s="4">
        <f t="shared" si="36"/>
        <v>-5.5137984303063829E-3</v>
      </c>
      <c r="D1170" s="1">
        <f>IFERROR(Comp2[[#This Row],[Comparable '#2 Return]]+1,"-")</f>
        <v>0.99448620156969358</v>
      </c>
      <c r="E1170" s="6">
        <f>B1170-MAX($B$2:B1170)</f>
        <v>-18.369999999999997</v>
      </c>
      <c r="F1170" s="80">
        <f t="shared" si="37"/>
        <v>1077</v>
      </c>
      <c r="G1170" s="77">
        <f>Comp2[[#This Row],[Comparable '#2 Drawdown]]/MAX($B$2:B1170)</f>
        <v>-0.31585281980742774</v>
      </c>
      <c r="H1170" s="1" t="str">
        <f>IF(SUM(COUNTIF(Benchmark1[Benchmark '#1 Dates],Comp2[[#This Row],[Comparable '#2 Dates]]),COUNTIF(Benchmark2[Benchmark '#2 Dates],Comp2[[#This Row],[Comparable '#2 Dates]]))=2,"Pass","Fail")</f>
        <v>Pass</v>
      </c>
      <c r="I1170" s="1">
        <f>IFERROR(Comp2[[#This Row],[Comparable '#2 Return]]-INDEX(Benchmark1[Benchmark '#1 Return],MATCH(Comp2[[#This Row],[Comparable '#2 Dates]],Benchmark1[Benchmark '#1 Dates],0)),"-")</f>
        <v>5.0812626021444606E-3</v>
      </c>
      <c r="L1170" s="72">
        <f>Comp2[[#This Row],[Comparable '#2 Price]]/$B$2*100</f>
        <v>80.060362173038229</v>
      </c>
    </row>
    <row r="1171" spans="1:12">
      <c r="A1171" s="96">
        <v>44984</v>
      </c>
      <c r="B1171" s="101">
        <v>39.19</v>
      </c>
      <c r="C1171" s="4">
        <f t="shared" si="36"/>
        <v>-1.519401222729719E-2</v>
      </c>
      <c r="D1171" s="1">
        <f>IFERROR(Comp2[[#This Row],[Comparable '#2 Return]]+1,"-")</f>
        <v>0.98480598777270278</v>
      </c>
      <c r="E1171" s="6">
        <f>B1171-MAX($B$2:B1171)</f>
        <v>-18.97</v>
      </c>
      <c r="F1171" s="80">
        <f t="shared" si="37"/>
        <v>1078</v>
      </c>
      <c r="G1171" s="77">
        <f>Comp2[[#This Row],[Comparable '#2 Drawdown]]/MAX($B$2:B1171)</f>
        <v>-0.32616918844566711</v>
      </c>
      <c r="H1171" s="1" t="str">
        <f>IF(SUM(COUNTIF(Benchmark1[Benchmark '#1 Dates],Comp2[[#This Row],[Comparable '#2 Dates]]),COUNTIF(Benchmark2[Benchmark '#2 Dates],Comp2[[#This Row],[Comparable '#2 Dates]]))=2,"Pass","Fail")</f>
        <v>Pass</v>
      </c>
      <c r="I1171" s="1">
        <f>IFERROR(Comp2[[#This Row],[Comparable '#2 Return]]-INDEX(Benchmark1[Benchmark '#1 Return],MATCH(Comp2[[#This Row],[Comparable '#2 Dates]],Benchmark1[Benchmark '#1 Dates],0)),"-")</f>
        <v>-1.8263199550585793E-2</v>
      </c>
      <c r="L1171" s="72">
        <f>Comp2[[#This Row],[Comparable '#2 Price]]/$B$2*100</f>
        <v>78.853118712273627</v>
      </c>
    </row>
    <row r="1172" spans="1:12">
      <c r="A1172" s="96">
        <v>44985</v>
      </c>
      <c r="B1172" s="101">
        <v>39.119999999999997</v>
      </c>
      <c r="C1172" s="4">
        <f t="shared" si="36"/>
        <v>-1.7877670449234799E-3</v>
      </c>
      <c r="D1172" s="1">
        <f>IFERROR(Comp2[[#This Row],[Comparable '#2 Return]]+1,"-")</f>
        <v>0.99821223295507655</v>
      </c>
      <c r="E1172" s="6">
        <f>B1172-MAX($B$2:B1172)</f>
        <v>-19.04</v>
      </c>
      <c r="F1172" s="80">
        <f t="shared" si="37"/>
        <v>1079</v>
      </c>
      <c r="G1172" s="77">
        <f>Comp2[[#This Row],[Comparable '#2 Drawdown]]/MAX($B$2:B1172)</f>
        <v>-0.32737276478679506</v>
      </c>
      <c r="H1172" s="1" t="str">
        <f>IF(SUM(COUNTIF(Benchmark1[Benchmark '#1 Dates],Comp2[[#This Row],[Comparable '#2 Dates]]),COUNTIF(Benchmark2[Benchmark '#2 Dates],Comp2[[#This Row],[Comparable '#2 Dates]]))=2,"Pass","Fail")</f>
        <v>Pass</v>
      </c>
      <c r="I1172" s="1">
        <f>IFERROR(Comp2[[#This Row],[Comparable '#2 Return]]-INDEX(Benchmark1[Benchmark '#1 Return],MATCH(Comp2[[#This Row],[Comparable '#2 Dates]],Benchmark1[Benchmark '#1 Dates],0)),"-")</f>
        <v>1.2520339457528767E-3</v>
      </c>
      <c r="L1172" s="72">
        <f>Comp2[[#This Row],[Comparable '#2 Price]]/$B$2*100</f>
        <v>78.712273641851098</v>
      </c>
    </row>
    <row r="1173" spans="1:12">
      <c r="A1173" s="96">
        <v>44986</v>
      </c>
      <c r="B1173" s="101">
        <v>38.520000000000003</v>
      </c>
      <c r="C1173" s="4">
        <f t="shared" si="36"/>
        <v>-1.5456258236691577E-2</v>
      </c>
      <c r="D1173" s="1">
        <f>IFERROR(Comp2[[#This Row],[Comparable '#2 Return]]+1,"-")</f>
        <v>0.98454374176330839</v>
      </c>
      <c r="E1173" s="6">
        <f>B1173-MAX($B$2:B1173)</f>
        <v>-19.639999999999993</v>
      </c>
      <c r="F1173" s="80">
        <f t="shared" si="37"/>
        <v>1080</v>
      </c>
      <c r="G1173" s="77">
        <f>Comp2[[#This Row],[Comparable '#2 Drawdown]]/MAX($B$2:B1173)</f>
        <v>-0.33768913342503432</v>
      </c>
      <c r="H1173" s="1" t="str">
        <f>IF(SUM(COUNTIF(Benchmark1[Benchmark '#1 Dates],Comp2[[#This Row],[Comparable '#2 Dates]]),COUNTIF(Benchmark2[Benchmark '#2 Dates],Comp2[[#This Row],[Comparable '#2 Dates]]))=2,"Pass","Fail")</f>
        <v>Pass</v>
      </c>
      <c r="I1173" s="1">
        <f>IFERROR(Comp2[[#This Row],[Comparable '#2 Return]]-INDEX(Benchmark1[Benchmark '#1 Return],MATCH(Comp2[[#This Row],[Comparable '#2 Dates]],Benchmark1[Benchmark '#1 Dates],0)),"-")</f>
        <v>-1.0720020617149623E-2</v>
      </c>
      <c r="L1173" s="72">
        <f>Comp2[[#This Row],[Comparable '#2 Price]]/$B$2*100</f>
        <v>77.505030181086525</v>
      </c>
    </row>
    <row r="1174" spans="1:12">
      <c r="A1174" s="96">
        <v>44987</v>
      </c>
      <c r="B1174" s="101">
        <v>38.85</v>
      </c>
      <c r="C1174" s="4">
        <f t="shared" si="36"/>
        <v>8.5304898837315589E-3</v>
      </c>
      <c r="D1174" s="1">
        <f>IFERROR(Comp2[[#This Row],[Comparable '#2 Return]]+1,"-")</f>
        <v>1.0085304898837315</v>
      </c>
      <c r="E1174" s="6">
        <f>B1174-MAX($B$2:B1174)</f>
        <v>-19.309999999999995</v>
      </c>
      <c r="F1174" s="80">
        <f t="shared" si="37"/>
        <v>1081</v>
      </c>
      <c r="G1174" s="77">
        <f>Comp2[[#This Row],[Comparable '#2 Drawdown]]/MAX($B$2:B1174)</f>
        <v>-0.33201513067400268</v>
      </c>
      <c r="H1174" s="1" t="str">
        <f>IF(SUM(COUNTIF(Benchmark1[Benchmark '#1 Dates],Comp2[[#This Row],[Comparable '#2 Dates]]),COUNTIF(Benchmark2[Benchmark '#2 Dates],Comp2[[#This Row],[Comparable '#2 Dates]]))=2,"Pass","Fail")</f>
        <v>Pass</v>
      </c>
      <c r="I1174" s="1">
        <f>IFERROR(Comp2[[#This Row],[Comparable '#2 Return]]-INDEX(Benchmark1[Benchmark '#1 Return],MATCH(Comp2[[#This Row],[Comparable '#2 Dates]],Benchmark1[Benchmark '#1 Dates],0)),"-")</f>
        <v>9.7746590474543336E-4</v>
      </c>
      <c r="L1174" s="72">
        <f>Comp2[[#This Row],[Comparable '#2 Price]]/$B$2*100</f>
        <v>78.16901408450704</v>
      </c>
    </row>
    <row r="1175" spans="1:12">
      <c r="A1175" s="96">
        <v>44988</v>
      </c>
      <c r="B1175" s="101">
        <v>39.380000000000003</v>
      </c>
      <c r="C1175" s="4">
        <f t="shared" si="36"/>
        <v>1.3549996397323022E-2</v>
      </c>
      <c r="D1175" s="1">
        <f>IFERROR(Comp2[[#This Row],[Comparable '#2 Return]]+1,"-")</f>
        <v>1.0135499963973231</v>
      </c>
      <c r="E1175" s="6">
        <f>B1175-MAX($B$2:B1175)</f>
        <v>-18.779999999999994</v>
      </c>
      <c r="F1175" s="80">
        <f t="shared" si="37"/>
        <v>1082</v>
      </c>
      <c r="G1175" s="77">
        <f>Comp2[[#This Row],[Comparable '#2 Drawdown]]/MAX($B$2:B1175)</f>
        <v>-0.32290233837689125</v>
      </c>
      <c r="H1175" s="1" t="str">
        <f>IF(SUM(COUNTIF(Benchmark1[Benchmark '#1 Dates],Comp2[[#This Row],[Comparable '#2 Dates]]),COUNTIF(Benchmark2[Benchmark '#2 Dates],Comp2[[#This Row],[Comparable '#2 Dates]]))=2,"Pass","Fail")</f>
        <v>Pass</v>
      </c>
      <c r="I1175" s="1">
        <f>IFERROR(Comp2[[#This Row],[Comparable '#2 Return]]-INDEX(Benchmark1[Benchmark '#1 Return],MATCH(Comp2[[#This Row],[Comparable '#2 Dates]],Benchmark1[Benchmark '#1 Dates],0)),"-")</f>
        <v>-2.4676493362210169E-3</v>
      </c>
      <c r="L1175" s="72">
        <f>Comp2[[#This Row],[Comparable '#2 Price]]/$B$2*100</f>
        <v>79.235412474849099</v>
      </c>
    </row>
    <row r="1176" spans="1:12">
      <c r="A1176" s="96">
        <v>44991</v>
      </c>
      <c r="B1176" s="101">
        <v>38.72</v>
      </c>
      <c r="C1176" s="4">
        <f t="shared" si="36"/>
        <v>-1.6901810802603254E-2</v>
      </c>
      <c r="D1176" s="1">
        <f>IFERROR(Comp2[[#This Row],[Comparable '#2 Return]]+1,"-")</f>
        <v>0.98309818919739678</v>
      </c>
      <c r="E1176" s="6">
        <f>B1176-MAX($B$2:B1176)</f>
        <v>-19.439999999999998</v>
      </c>
      <c r="F1176" s="80">
        <f t="shared" si="37"/>
        <v>1083</v>
      </c>
      <c r="G1176" s="77">
        <f>Comp2[[#This Row],[Comparable '#2 Drawdown]]/MAX($B$2:B1176)</f>
        <v>-0.33425034387895458</v>
      </c>
      <c r="H1176" s="1" t="str">
        <f>IF(SUM(COUNTIF(Benchmark1[Benchmark '#1 Dates],Comp2[[#This Row],[Comparable '#2 Dates]]),COUNTIF(Benchmark2[Benchmark '#2 Dates],Comp2[[#This Row],[Comparable '#2 Dates]]))=2,"Pass","Fail")</f>
        <v>Pass</v>
      </c>
      <c r="I1176" s="1">
        <f>IFERROR(Comp2[[#This Row],[Comparable '#2 Return]]-INDEX(Benchmark1[Benchmark '#1 Return],MATCH(Comp2[[#This Row],[Comparable '#2 Dates]],Benchmark1[Benchmark '#1 Dates],0)),"-")</f>
        <v>-1.7588775997513361E-2</v>
      </c>
      <c r="L1176" s="72">
        <f>Comp2[[#This Row],[Comparable '#2 Price]]/$B$2*100</f>
        <v>77.90744466800804</v>
      </c>
    </row>
    <row r="1177" spans="1:12">
      <c r="A1177" s="96">
        <v>44992</v>
      </c>
      <c r="B1177" s="101">
        <v>38.72</v>
      </c>
      <c r="C1177" s="4">
        <f t="shared" si="36"/>
        <v>0</v>
      </c>
      <c r="D1177" s="1">
        <f>IFERROR(Comp2[[#This Row],[Comparable '#2 Return]]+1,"-")</f>
        <v>1</v>
      </c>
      <c r="E1177" s="6">
        <f>B1177-MAX($B$2:B1177)</f>
        <v>-19.439999999999998</v>
      </c>
      <c r="F1177" s="80">
        <f t="shared" si="37"/>
        <v>1084</v>
      </c>
      <c r="G1177" s="77">
        <f>Comp2[[#This Row],[Comparable '#2 Drawdown]]/MAX($B$2:B1177)</f>
        <v>-0.33425034387895458</v>
      </c>
      <c r="H1177" s="1" t="str">
        <f>IF(SUM(COUNTIF(Benchmark1[Benchmark '#1 Dates],Comp2[[#This Row],[Comparable '#2 Dates]]),COUNTIF(Benchmark2[Benchmark '#2 Dates],Comp2[[#This Row],[Comparable '#2 Dates]]))=2,"Pass","Fail")</f>
        <v>Pass</v>
      </c>
      <c r="I1177" s="1">
        <f>IFERROR(Comp2[[#This Row],[Comparable '#2 Return]]-INDEX(Benchmark1[Benchmark '#1 Return],MATCH(Comp2[[#This Row],[Comparable '#2 Dates]],Benchmark1[Benchmark '#1 Dates],0)),"-")</f>
        <v>1.5444403957306981E-2</v>
      </c>
      <c r="L1177" s="72">
        <f>Comp2[[#This Row],[Comparable '#2 Price]]/$B$2*100</f>
        <v>77.90744466800804</v>
      </c>
    </row>
    <row r="1178" spans="1:12">
      <c r="A1178" s="96">
        <v>44993</v>
      </c>
      <c r="B1178" s="101">
        <v>38.07</v>
      </c>
      <c r="C1178" s="4">
        <f t="shared" si="36"/>
        <v>-1.6929692013970276E-2</v>
      </c>
      <c r="D1178" s="1">
        <f>IFERROR(Comp2[[#This Row],[Comparable '#2 Return]]+1,"-")</f>
        <v>0.98307030798602968</v>
      </c>
      <c r="E1178" s="6">
        <f>B1178-MAX($B$2:B1178)</f>
        <v>-20.089999999999996</v>
      </c>
      <c r="F1178" s="80">
        <f t="shared" si="37"/>
        <v>1085</v>
      </c>
      <c r="G1178" s="77">
        <f>Comp2[[#This Row],[Comparable '#2 Drawdown]]/MAX($B$2:B1178)</f>
        <v>-0.34542640990371387</v>
      </c>
      <c r="H1178" s="1" t="str">
        <f>IF(SUM(COUNTIF(Benchmark1[Benchmark '#1 Dates],Comp2[[#This Row],[Comparable '#2 Dates]]),COUNTIF(Benchmark2[Benchmark '#2 Dates],Comp2[[#This Row],[Comparable '#2 Dates]]))=2,"Pass","Fail")</f>
        <v>Pass</v>
      </c>
      <c r="I1178" s="1">
        <f>IFERROR(Comp2[[#This Row],[Comparable '#2 Return]]-INDEX(Benchmark1[Benchmark '#1 Return],MATCH(Comp2[[#This Row],[Comparable '#2 Dates]],Benchmark1[Benchmark '#1 Dates],0)),"-")</f>
        <v>-1.8343629002367304E-2</v>
      </c>
      <c r="L1178" s="72">
        <f>Comp2[[#This Row],[Comparable '#2 Price]]/$B$2*100</f>
        <v>76.599597585513081</v>
      </c>
    </row>
    <row r="1179" spans="1:12">
      <c r="A1179" s="96">
        <v>44994</v>
      </c>
      <c r="B1179" s="101">
        <v>38.61</v>
      </c>
      <c r="C1179" s="4">
        <f t="shared" si="36"/>
        <v>1.4084739881739023E-2</v>
      </c>
      <c r="D1179" s="1">
        <f>IFERROR(Comp2[[#This Row],[Comparable '#2 Return]]+1,"-")</f>
        <v>1.014084739881739</v>
      </c>
      <c r="E1179" s="6">
        <f>B1179-MAX($B$2:B1179)</f>
        <v>-19.549999999999997</v>
      </c>
      <c r="F1179" s="80">
        <f t="shared" si="37"/>
        <v>1086</v>
      </c>
      <c r="G1179" s="77">
        <f>Comp2[[#This Row],[Comparable '#2 Drawdown]]/MAX($B$2:B1179)</f>
        <v>-0.33614167812929846</v>
      </c>
      <c r="H1179" s="1" t="str">
        <f>IF(SUM(COUNTIF(Benchmark1[Benchmark '#1 Dates],Comp2[[#This Row],[Comparable '#2 Dates]]),COUNTIF(Benchmark2[Benchmark '#2 Dates],Comp2[[#This Row],[Comparable '#2 Dates]]))=2,"Pass","Fail")</f>
        <v>Pass</v>
      </c>
      <c r="I1179" s="1">
        <f>IFERROR(Comp2[[#This Row],[Comparable '#2 Return]]-INDEX(Benchmark1[Benchmark '#1 Return],MATCH(Comp2[[#This Row],[Comparable '#2 Dates]],Benchmark1[Benchmark '#1 Dates],0)),"-")</f>
        <v>3.2717062666127832E-2</v>
      </c>
      <c r="L1179" s="72">
        <f>Comp2[[#This Row],[Comparable '#2 Price]]/$B$2*100</f>
        <v>77.686116700201197</v>
      </c>
    </row>
    <row r="1180" spans="1:12">
      <c r="A1180" s="96">
        <v>44995</v>
      </c>
      <c r="B1180" s="101">
        <v>37.79</v>
      </c>
      <c r="C1180" s="4">
        <f t="shared" si="36"/>
        <v>-2.146679291474736E-2</v>
      </c>
      <c r="D1180" s="1">
        <f>IFERROR(Comp2[[#This Row],[Comparable '#2 Return]]+1,"-")</f>
        <v>0.9785332070852526</v>
      </c>
      <c r="E1180" s="6">
        <f>B1180-MAX($B$2:B1180)</f>
        <v>-20.369999999999997</v>
      </c>
      <c r="F1180" s="80">
        <f t="shared" si="37"/>
        <v>1087</v>
      </c>
      <c r="G1180" s="77">
        <f>Comp2[[#This Row],[Comparable '#2 Drawdown]]/MAX($B$2:B1180)</f>
        <v>-0.35024071526822559</v>
      </c>
      <c r="H1180" s="1" t="str">
        <f>IF(SUM(COUNTIF(Benchmark1[Benchmark '#1 Dates],Comp2[[#This Row],[Comparable '#2 Dates]]),COUNTIF(Benchmark2[Benchmark '#2 Dates],Comp2[[#This Row],[Comparable '#2 Dates]]))=2,"Pass","Fail")</f>
        <v>Pass</v>
      </c>
      <c r="I1180" s="1">
        <f>IFERROR(Comp2[[#This Row],[Comparable '#2 Return]]-INDEX(Benchmark1[Benchmark '#1 Return],MATCH(Comp2[[#This Row],[Comparable '#2 Dates]],Benchmark1[Benchmark '#1 Dates],0)),"-")</f>
        <v>-6.8824329646745321E-3</v>
      </c>
      <c r="L1180" s="72">
        <f>Comp2[[#This Row],[Comparable '#2 Price]]/$B$2*100</f>
        <v>76.036217303822923</v>
      </c>
    </row>
    <row r="1181" spans="1:12">
      <c r="A1181" s="96">
        <v>44998</v>
      </c>
      <c r="B1181" s="101">
        <v>36.76</v>
      </c>
      <c r="C1181" s="4">
        <f t="shared" si="36"/>
        <v>-2.7634219873911372E-2</v>
      </c>
      <c r="D1181" s="1">
        <f>IFERROR(Comp2[[#This Row],[Comparable '#2 Return]]+1,"-")</f>
        <v>0.97236578012608865</v>
      </c>
      <c r="E1181" s="6">
        <f>B1181-MAX($B$2:B1181)</f>
        <v>-21.4</v>
      </c>
      <c r="F1181" s="80">
        <f t="shared" si="37"/>
        <v>1088</v>
      </c>
      <c r="G1181" s="77">
        <f>Comp2[[#This Row],[Comparable '#2 Drawdown]]/MAX($B$2:B1181)</f>
        <v>-0.36795048143053644</v>
      </c>
      <c r="H1181" s="1" t="str">
        <f>IF(SUM(COUNTIF(Benchmark1[Benchmark '#1 Dates],Comp2[[#This Row],[Comparable '#2 Dates]]),COUNTIF(Benchmark2[Benchmark '#2 Dates],Comp2[[#This Row],[Comparable '#2 Dates]]))=2,"Pass","Fail")</f>
        <v>Pass</v>
      </c>
      <c r="I1181" s="1">
        <f>IFERROR(Comp2[[#This Row],[Comparable '#2 Return]]-INDEX(Benchmark1[Benchmark '#1 Return],MATCH(Comp2[[#This Row],[Comparable '#2 Dates]],Benchmark1[Benchmark '#1 Dates],0)),"-")</f>
        <v>-2.6123844444766564E-2</v>
      </c>
      <c r="L1181" s="72">
        <f>Comp2[[#This Row],[Comparable '#2 Price]]/$B$2*100</f>
        <v>73.963782696177049</v>
      </c>
    </row>
    <row r="1182" spans="1:12">
      <c r="A1182" s="96">
        <v>44999</v>
      </c>
      <c r="B1182" s="101">
        <v>37.42</v>
      </c>
      <c r="C1182" s="4">
        <f t="shared" si="36"/>
        <v>1.7795023358457285E-2</v>
      </c>
      <c r="D1182" s="1">
        <f>IFERROR(Comp2[[#This Row],[Comparable '#2 Return]]+1,"-")</f>
        <v>1.0177950233584574</v>
      </c>
      <c r="E1182" s="6">
        <f>B1182-MAX($B$2:B1182)</f>
        <v>-20.739999999999995</v>
      </c>
      <c r="F1182" s="80">
        <f t="shared" si="37"/>
        <v>1089</v>
      </c>
      <c r="G1182" s="77">
        <f>Comp2[[#This Row],[Comparable '#2 Drawdown]]/MAX($B$2:B1182)</f>
        <v>-0.35660247592847311</v>
      </c>
      <c r="H1182" s="1" t="str">
        <f>IF(SUM(COUNTIF(Benchmark1[Benchmark '#1 Dates],Comp2[[#This Row],[Comparable '#2 Dates]]),COUNTIF(Benchmark2[Benchmark '#2 Dates],Comp2[[#This Row],[Comparable '#2 Dates]]))=2,"Pass","Fail")</f>
        <v>Pass</v>
      </c>
      <c r="I1182" s="1">
        <f>IFERROR(Comp2[[#This Row],[Comparable '#2 Return]]-INDEX(Benchmark1[Benchmark '#1 Return],MATCH(Comp2[[#This Row],[Comparable '#2 Dates]],Benchmark1[Benchmark '#1 Dates],0)),"-")</f>
        <v>1.4539009666360396E-3</v>
      </c>
      <c r="L1182" s="72">
        <f>Comp2[[#This Row],[Comparable '#2 Price]]/$B$2*100</f>
        <v>75.291750503018108</v>
      </c>
    </row>
    <row r="1183" spans="1:12">
      <c r="A1183" s="96">
        <v>45000</v>
      </c>
      <c r="B1183" s="101">
        <v>36.89</v>
      </c>
      <c r="C1183" s="4">
        <f t="shared" si="36"/>
        <v>-1.4264809237359307E-2</v>
      </c>
      <c r="D1183" s="1">
        <f>IFERROR(Comp2[[#This Row],[Comparable '#2 Return]]+1,"-")</f>
        <v>0.98573519076264071</v>
      </c>
      <c r="E1183" s="6">
        <f>B1183-MAX($B$2:B1183)</f>
        <v>-21.269999999999996</v>
      </c>
      <c r="F1183" s="80">
        <f t="shared" si="37"/>
        <v>1090</v>
      </c>
      <c r="G1183" s="77">
        <f>Comp2[[#This Row],[Comparable '#2 Drawdown]]/MAX($B$2:B1183)</f>
        <v>-0.36571526822558453</v>
      </c>
      <c r="H1183" s="1" t="str">
        <f>IF(SUM(COUNTIF(Benchmark1[Benchmark '#1 Dates],Comp2[[#This Row],[Comparable '#2 Dates]]),COUNTIF(Benchmark2[Benchmark '#2 Dates],Comp2[[#This Row],[Comparable '#2 Dates]]))=2,"Pass","Fail")</f>
        <v>Pass</v>
      </c>
      <c r="I1183" s="1">
        <f>IFERROR(Comp2[[#This Row],[Comparable '#2 Return]]-INDEX(Benchmark1[Benchmark '#1 Return],MATCH(Comp2[[#This Row],[Comparable '#2 Dates]],Benchmark1[Benchmark '#1 Dates],0)),"-")</f>
        <v>-7.2594133559417007E-3</v>
      </c>
      <c r="L1183" s="72">
        <f>Comp2[[#This Row],[Comparable '#2 Price]]/$B$2*100</f>
        <v>74.225352112676063</v>
      </c>
    </row>
    <row r="1184" spans="1:12">
      <c r="A1184" s="96">
        <v>45001</v>
      </c>
      <c r="B1184" s="101">
        <v>37.130000000000003</v>
      </c>
      <c r="C1184" s="4">
        <f t="shared" si="36"/>
        <v>6.4847565804045902E-3</v>
      </c>
      <c r="D1184" s="1">
        <f>IFERROR(Comp2[[#This Row],[Comparable '#2 Return]]+1,"-")</f>
        <v>1.0064847565804045</v>
      </c>
      <c r="E1184" s="6">
        <f>B1184-MAX($B$2:B1184)</f>
        <v>-21.029999999999994</v>
      </c>
      <c r="F1184" s="80">
        <f t="shared" si="37"/>
        <v>1091</v>
      </c>
      <c r="G1184" s="77">
        <f>Comp2[[#This Row],[Comparable '#2 Drawdown]]/MAX($B$2:B1184)</f>
        <v>-0.36158872077028875</v>
      </c>
      <c r="H1184" s="1" t="str">
        <f>IF(SUM(COUNTIF(Benchmark1[Benchmark '#1 Dates],Comp2[[#This Row],[Comparable '#2 Dates]]),COUNTIF(Benchmark2[Benchmark '#2 Dates],Comp2[[#This Row],[Comparable '#2 Dates]]))=2,"Pass","Fail")</f>
        <v>Pass</v>
      </c>
      <c r="I1184" s="1">
        <f>IFERROR(Comp2[[#This Row],[Comparable '#2 Return]]-INDEX(Benchmark1[Benchmark '#1 Return],MATCH(Comp2[[#This Row],[Comparable '#2 Dates]],Benchmark1[Benchmark '#1 Dates],0)),"-")</f>
        <v>-1.0925915886664431E-2</v>
      </c>
      <c r="L1184" s="72">
        <f>Comp2[[#This Row],[Comparable '#2 Price]]/$B$2*100</f>
        <v>74.708249496981892</v>
      </c>
    </row>
    <row r="1185" spans="1:12">
      <c r="A1185" s="96">
        <v>45002</v>
      </c>
      <c r="B1185" s="101">
        <v>36.409999999999997</v>
      </c>
      <c r="C1185" s="4">
        <f t="shared" si="36"/>
        <v>-1.9581806001646808E-2</v>
      </c>
      <c r="D1185" s="1">
        <f>IFERROR(Comp2[[#This Row],[Comparable '#2 Return]]+1,"-")</f>
        <v>0.98041819399835317</v>
      </c>
      <c r="E1185" s="6">
        <f>B1185-MAX($B$2:B1185)</f>
        <v>-21.75</v>
      </c>
      <c r="F1185" s="80">
        <f t="shared" si="37"/>
        <v>1092</v>
      </c>
      <c r="G1185" s="77">
        <f>Comp2[[#This Row],[Comparable '#2 Drawdown]]/MAX($B$2:B1185)</f>
        <v>-0.3739683631361761</v>
      </c>
      <c r="H1185" s="1" t="str">
        <f>IF(SUM(COUNTIF(Benchmark1[Benchmark '#1 Dates],Comp2[[#This Row],[Comparable '#2 Dates]]),COUNTIF(Benchmark2[Benchmark '#2 Dates],Comp2[[#This Row],[Comparable '#2 Dates]]))=2,"Pass","Fail")</f>
        <v>Pass</v>
      </c>
      <c r="I1185" s="1">
        <f>IFERROR(Comp2[[#This Row],[Comparable '#2 Return]]-INDEX(Benchmark1[Benchmark '#1 Return],MATCH(Comp2[[#This Row],[Comparable '#2 Dates]],Benchmark1[Benchmark '#1 Dates],0)),"-")</f>
        <v>-8.5002288267415141E-3</v>
      </c>
      <c r="L1185" s="72">
        <f>Comp2[[#This Row],[Comparable '#2 Price]]/$B$2*100</f>
        <v>73.259557344064376</v>
      </c>
    </row>
    <row r="1186" spans="1:12">
      <c r="A1186" s="96">
        <v>45005</v>
      </c>
      <c r="B1186" s="101">
        <v>37.29</v>
      </c>
      <c r="C1186" s="4">
        <f t="shared" si="36"/>
        <v>2.388173200338738E-2</v>
      </c>
      <c r="D1186" s="1">
        <f>IFERROR(Comp2[[#This Row],[Comparable '#2 Return]]+1,"-")</f>
        <v>1.0238817320033873</v>
      </c>
      <c r="E1186" s="6">
        <f>B1186-MAX($B$2:B1186)</f>
        <v>-20.869999999999997</v>
      </c>
      <c r="F1186" s="80">
        <f t="shared" si="37"/>
        <v>1093</v>
      </c>
      <c r="G1186" s="77">
        <f>Comp2[[#This Row],[Comparable '#2 Drawdown]]/MAX($B$2:B1186)</f>
        <v>-0.35883768913342501</v>
      </c>
      <c r="H1186" s="1" t="str">
        <f>IF(SUM(COUNTIF(Benchmark1[Benchmark '#1 Dates],Comp2[[#This Row],[Comparable '#2 Dates]]),COUNTIF(Benchmark2[Benchmark '#2 Dates],Comp2[[#This Row],[Comparable '#2 Dates]]))=2,"Pass","Fail")</f>
        <v>Pass</v>
      </c>
      <c r="I1186" s="1">
        <f>IFERROR(Comp2[[#This Row],[Comparable '#2 Return]]-INDEX(Benchmark1[Benchmark '#1 Return],MATCH(Comp2[[#This Row],[Comparable '#2 Dates]],Benchmark1[Benchmark '#1 Dates],0)),"-")</f>
        <v>1.5002481093173222E-2</v>
      </c>
      <c r="L1186" s="72">
        <f>Comp2[[#This Row],[Comparable '#2 Price]]/$B$2*100</f>
        <v>75.030181086519107</v>
      </c>
    </row>
    <row r="1187" spans="1:12">
      <c r="A1187" s="96">
        <v>45006</v>
      </c>
      <c r="B1187" s="101">
        <v>37.729999999999997</v>
      </c>
      <c r="C1187" s="4">
        <f t="shared" si="36"/>
        <v>1.17303397854896E-2</v>
      </c>
      <c r="D1187" s="1">
        <f>IFERROR(Comp2[[#This Row],[Comparable '#2 Return]]+1,"-")</f>
        <v>1.0117303397854895</v>
      </c>
      <c r="E1187" s="6">
        <f>B1187-MAX($B$2:B1187)</f>
        <v>-20.43</v>
      </c>
      <c r="F1187" s="80">
        <f t="shared" si="37"/>
        <v>1094</v>
      </c>
      <c r="G1187" s="77">
        <f>Comp2[[#This Row],[Comparable '#2 Drawdown]]/MAX($B$2:B1187)</f>
        <v>-0.35127235213204955</v>
      </c>
      <c r="H1187" s="1" t="str">
        <f>IF(SUM(COUNTIF(Benchmark1[Benchmark '#1 Dates],Comp2[[#This Row],[Comparable '#2 Dates]]),COUNTIF(Benchmark2[Benchmark '#2 Dates],Comp2[[#This Row],[Comparable '#2 Dates]]))=2,"Pass","Fail")</f>
        <v>Pass</v>
      </c>
      <c r="I1187" s="1">
        <f>IFERROR(Comp2[[#This Row],[Comparable '#2 Return]]-INDEX(Benchmark1[Benchmark '#1 Return],MATCH(Comp2[[#This Row],[Comparable '#2 Dates]],Benchmark1[Benchmark '#1 Dates],0)),"-")</f>
        <v>-1.1694403537030537E-3</v>
      </c>
      <c r="L1187" s="72">
        <f>Comp2[[#This Row],[Comparable '#2 Price]]/$B$2*100</f>
        <v>75.915492957746466</v>
      </c>
    </row>
    <row r="1188" spans="1:12">
      <c r="A1188" s="96">
        <v>45007</v>
      </c>
      <c r="B1188" s="101">
        <v>36.590000000000003</v>
      </c>
      <c r="C1188" s="4">
        <f t="shared" si="36"/>
        <v>-3.0680554945103473E-2</v>
      </c>
      <c r="D1188" s="1">
        <f>IFERROR(Comp2[[#This Row],[Comparable '#2 Return]]+1,"-")</f>
        <v>0.96931944505489653</v>
      </c>
      <c r="E1188" s="6">
        <f>B1188-MAX($B$2:B1188)</f>
        <v>-21.569999999999993</v>
      </c>
      <c r="F1188" s="80">
        <f t="shared" si="37"/>
        <v>1095</v>
      </c>
      <c r="G1188" s="77">
        <f>Comp2[[#This Row],[Comparable '#2 Drawdown]]/MAX($B$2:B1188)</f>
        <v>-0.37087345254470416</v>
      </c>
      <c r="H1188" s="1" t="str">
        <f>IF(SUM(COUNTIF(Benchmark1[Benchmark '#1 Dates],Comp2[[#This Row],[Comparable '#2 Dates]]),COUNTIF(Benchmark2[Benchmark '#2 Dates],Comp2[[#This Row],[Comparable '#2 Dates]]))=2,"Pass","Fail")</f>
        <v>Pass</v>
      </c>
      <c r="I1188" s="1">
        <f>IFERROR(Comp2[[#This Row],[Comparable '#2 Return]]-INDEX(Benchmark1[Benchmark '#1 Return],MATCH(Comp2[[#This Row],[Comparable '#2 Dates]],Benchmark1[Benchmark '#1 Dates],0)),"-")</f>
        <v>-1.4079831039772724E-2</v>
      </c>
      <c r="L1188" s="72">
        <f>Comp2[[#This Row],[Comparable '#2 Price]]/$B$2*100</f>
        <v>73.621730382293777</v>
      </c>
    </row>
    <row r="1189" spans="1:12">
      <c r="A1189" s="96">
        <v>45008</v>
      </c>
      <c r="B1189" s="101">
        <v>36.17</v>
      </c>
      <c r="C1189" s="4">
        <f t="shared" si="36"/>
        <v>-1.1544933067108952E-2</v>
      </c>
      <c r="D1189" s="1">
        <f>IFERROR(Comp2[[#This Row],[Comparable '#2 Return]]+1,"-")</f>
        <v>0.98845506693289109</v>
      </c>
      <c r="E1189" s="6">
        <f>B1189-MAX($B$2:B1189)</f>
        <v>-21.989999999999995</v>
      </c>
      <c r="F1189" s="80">
        <f t="shared" si="37"/>
        <v>1096</v>
      </c>
      <c r="G1189" s="77">
        <f>Comp2[[#This Row],[Comparable '#2 Drawdown]]/MAX($B$2:B1189)</f>
        <v>-0.37809491059147171</v>
      </c>
      <c r="H1189" s="1" t="str">
        <f>IF(SUM(COUNTIF(Benchmark1[Benchmark '#1 Dates],Comp2[[#This Row],[Comparable '#2 Dates]]),COUNTIF(Benchmark2[Benchmark '#2 Dates],Comp2[[#This Row],[Comparable '#2 Dates]]))=2,"Pass","Fail")</f>
        <v>Pass</v>
      </c>
      <c r="I1189" s="1">
        <f>IFERROR(Comp2[[#This Row],[Comparable '#2 Return]]-INDEX(Benchmark1[Benchmark '#1 Return],MATCH(Comp2[[#This Row],[Comparable '#2 Dates]],Benchmark1[Benchmark '#1 Dates],0)),"-")</f>
        <v>-1.4525607926720065E-2</v>
      </c>
      <c r="L1189" s="72">
        <f>Comp2[[#This Row],[Comparable '#2 Price]]/$B$2*100</f>
        <v>72.776659959758547</v>
      </c>
    </row>
    <row r="1190" spans="1:12">
      <c r="A1190" s="96">
        <v>45009</v>
      </c>
      <c r="B1190" s="101">
        <v>36.56</v>
      </c>
      <c r="C1190" s="4">
        <f t="shared" si="36"/>
        <v>1.0724700621942626E-2</v>
      </c>
      <c r="D1190" s="1">
        <f>IFERROR(Comp2[[#This Row],[Comparable '#2 Return]]+1,"-")</f>
        <v>1.0107247006219426</v>
      </c>
      <c r="E1190" s="6">
        <f>B1190-MAX($B$2:B1190)</f>
        <v>-21.599999999999994</v>
      </c>
      <c r="F1190" s="80">
        <f t="shared" si="37"/>
        <v>1097</v>
      </c>
      <c r="G1190" s="77">
        <f>Comp2[[#This Row],[Comparable '#2 Drawdown]]/MAX($B$2:B1190)</f>
        <v>-0.37138927097661617</v>
      </c>
      <c r="H1190" s="1" t="str">
        <f>IF(SUM(COUNTIF(Benchmark1[Benchmark '#1 Dates],Comp2[[#This Row],[Comparable '#2 Dates]]),COUNTIF(Benchmark2[Benchmark '#2 Dates],Comp2[[#This Row],[Comparable '#2 Dates]]))=2,"Pass","Fail")</f>
        <v>Pass</v>
      </c>
      <c r="I1190" s="1">
        <f>IFERROR(Comp2[[#This Row],[Comparable '#2 Return]]-INDEX(Benchmark1[Benchmark '#1 Return],MATCH(Comp2[[#This Row],[Comparable '#2 Dates]],Benchmark1[Benchmark '#1 Dates],0)),"-")</f>
        <v>5.1025907248943804E-3</v>
      </c>
      <c r="L1190" s="72">
        <f>Comp2[[#This Row],[Comparable '#2 Price]]/$B$2*100</f>
        <v>73.561368209255534</v>
      </c>
    </row>
    <row r="1191" spans="1:12">
      <c r="A1191" s="96">
        <v>45012</v>
      </c>
      <c r="B1191" s="101">
        <v>37.68</v>
      </c>
      <c r="C1191" s="4">
        <f t="shared" si="36"/>
        <v>3.0174703122213032E-2</v>
      </c>
      <c r="D1191" s="1">
        <f>IFERROR(Comp2[[#This Row],[Comparable '#2 Return]]+1,"-")</f>
        <v>1.030174703122213</v>
      </c>
      <c r="E1191" s="6">
        <f>B1191-MAX($B$2:B1191)</f>
        <v>-20.479999999999997</v>
      </c>
      <c r="F1191" s="80">
        <f t="shared" si="37"/>
        <v>1098</v>
      </c>
      <c r="G1191" s="77">
        <f>Comp2[[#This Row],[Comparable '#2 Drawdown]]/MAX($B$2:B1191)</f>
        <v>-0.35213204951856941</v>
      </c>
      <c r="H1191" s="1" t="str">
        <f>IF(SUM(COUNTIF(Benchmark1[Benchmark '#1 Dates],Comp2[[#This Row],[Comparable '#2 Dates]]),COUNTIF(Benchmark2[Benchmark '#2 Dates],Comp2[[#This Row],[Comparable '#2 Dates]]))=2,"Pass","Fail")</f>
        <v>Pass</v>
      </c>
      <c r="I1191" s="1">
        <f>IFERROR(Comp2[[#This Row],[Comparable '#2 Return]]-INDEX(Benchmark1[Benchmark '#1 Return],MATCH(Comp2[[#This Row],[Comparable '#2 Dates]],Benchmark1[Benchmark '#1 Dates],0)),"-")</f>
        <v>2.8528672984587247E-2</v>
      </c>
      <c r="L1191" s="72">
        <f>Comp2[[#This Row],[Comparable '#2 Price]]/$B$2*100</f>
        <v>75.814889336016094</v>
      </c>
    </row>
    <row r="1192" spans="1:12">
      <c r="A1192" s="96">
        <v>45013</v>
      </c>
      <c r="B1192" s="101">
        <v>37.46</v>
      </c>
      <c r="C1192" s="4">
        <f t="shared" si="36"/>
        <v>-5.8557526922197968E-3</v>
      </c>
      <c r="D1192" s="1">
        <f>IFERROR(Comp2[[#This Row],[Comparable '#2 Return]]+1,"-")</f>
        <v>0.99414424730778017</v>
      </c>
      <c r="E1192" s="6">
        <f>B1192-MAX($B$2:B1192)</f>
        <v>-20.699999999999996</v>
      </c>
      <c r="F1192" s="80">
        <f t="shared" si="37"/>
        <v>1099</v>
      </c>
      <c r="G1192" s="77">
        <f>Comp2[[#This Row],[Comparable '#2 Drawdown]]/MAX($B$2:B1192)</f>
        <v>-0.35591471801925717</v>
      </c>
      <c r="H1192" s="1" t="str">
        <f>IF(SUM(COUNTIF(Benchmark1[Benchmark '#1 Dates],Comp2[[#This Row],[Comparable '#2 Dates]]),COUNTIF(Benchmark2[Benchmark '#2 Dates],Comp2[[#This Row],[Comparable '#2 Dates]]))=2,"Pass","Fail")</f>
        <v>Pass</v>
      </c>
      <c r="I1192" s="1">
        <f>IFERROR(Comp2[[#This Row],[Comparable '#2 Return]]-INDEX(Benchmark1[Benchmark '#1 Return],MATCH(Comp2[[#This Row],[Comparable '#2 Dates]],Benchmark1[Benchmark '#1 Dates],0)),"-")</f>
        <v>-4.2811835970470316E-3</v>
      </c>
      <c r="L1192" s="72">
        <f>Comp2[[#This Row],[Comparable '#2 Price]]/$B$2*100</f>
        <v>75.372233400402408</v>
      </c>
    </row>
    <row r="1193" spans="1:12">
      <c r="A1193" s="96">
        <v>45014</v>
      </c>
      <c r="B1193" s="101">
        <v>36.799999999999997</v>
      </c>
      <c r="C1193" s="4">
        <f t="shared" si="36"/>
        <v>-1.7775851841057337E-2</v>
      </c>
      <c r="D1193" s="1">
        <f>IFERROR(Comp2[[#This Row],[Comparable '#2 Return]]+1,"-")</f>
        <v>0.98222414815894266</v>
      </c>
      <c r="E1193" s="6">
        <f>B1193-MAX($B$2:B1193)</f>
        <v>-21.36</v>
      </c>
      <c r="F1193" s="80">
        <f t="shared" si="37"/>
        <v>1100</v>
      </c>
      <c r="G1193" s="77">
        <f>Comp2[[#This Row],[Comparable '#2 Drawdown]]/MAX($B$2:B1193)</f>
        <v>-0.3672627235213205</v>
      </c>
      <c r="H1193" s="1" t="str">
        <f>IF(SUM(COUNTIF(Benchmark1[Benchmark '#1 Dates],Comp2[[#This Row],[Comparable '#2 Dates]]),COUNTIF(Benchmark2[Benchmark '#2 Dates],Comp2[[#This Row],[Comparable '#2 Dates]]))=2,"Pass","Fail")</f>
        <v>Pass</v>
      </c>
      <c r="I1193" s="1">
        <f>IFERROR(Comp2[[#This Row],[Comparable '#2 Return]]-INDEX(Benchmark1[Benchmark '#1 Return],MATCH(Comp2[[#This Row],[Comparable '#2 Dates]],Benchmark1[Benchmark '#1 Dates],0)),"-")</f>
        <v>-3.1913120137281689E-2</v>
      </c>
      <c r="L1193" s="72">
        <f>Comp2[[#This Row],[Comparable '#2 Price]]/$B$2*100</f>
        <v>74.044265593561349</v>
      </c>
    </row>
    <row r="1194" spans="1:12">
      <c r="A1194" s="96">
        <v>45015</v>
      </c>
      <c r="B1194" s="101">
        <v>37.32</v>
      </c>
      <c r="C1194" s="4">
        <f t="shared" si="36"/>
        <v>1.4031530804257916E-2</v>
      </c>
      <c r="D1194" s="1">
        <f>IFERROR(Comp2[[#This Row],[Comparable '#2 Return]]+1,"-")</f>
        <v>1.014031530804258</v>
      </c>
      <c r="E1194" s="6">
        <f>B1194-MAX($B$2:B1194)</f>
        <v>-20.839999999999996</v>
      </c>
      <c r="F1194" s="80">
        <f t="shared" si="37"/>
        <v>1101</v>
      </c>
      <c r="G1194" s="77">
        <f>Comp2[[#This Row],[Comparable '#2 Drawdown]]/MAX($B$2:B1194)</f>
        <v>-0.358321870701513</v>
      </c>
      <c r="H1194" s="1" t="str">
        <f>IF(SUM(COUNTIF(Benchmark1[Benchmark '#1 Dates],Comp2[[#This Row],[Comparable '#2 Dates]]),COUNTIF(Benchmark2[Benchmark '#2 Dates],Comp2[[#This Row],[Comparable '#2 Dates]]))=2,"Pass","Fail")</f>
        <v>Pass</v>
      </c>
      <c r="I1194" s="1">
        <f>IFERROR(Comp2[[#This Row],[Comparable '#2 Return]]-INDEX(Benchmark1[Benchmark '#1 Return],MATCH(Comp2[[#This Row],[Comparable '#2 Dates]],Benchmark1[Benchmark '#1 Dates],0)),"-")</f>
        <v>8.3332148755242835E-3</v>
      </c>
      <c r="L1194" s="72">
        <f>Comp2[[#This Row],[Comparable '#2 Price]]/$B$2*100</f>
        <v>75.090543259557336</v>
      </c>
    </row>
    <row r="1195" spans="1:12">
      <c r="A1195" s="96">
        <v>45016</v>
      </c>
      <c r="B1195" s="101">
        <v>38.619999999999997</v>
      </c>
      <c r="C1195" s="4">
        <f t="shared" si="36"/>
        <v>3.4240901021225151E-2</v>
      </c>
      <c r="D1195" s="1">
        <f>IFERROR(Comp2[[#This Row],[Comparable '#2 Return]]+1,"-")</f>
        <v>1.0342409010212252</v>
      </c>
      <c r="E1195" s="6">
        <f>B1195-MAX($B$2:B1195)</f>
        <v>-19.54</v>
      </c>
      <c r="F1195" s="80">
        <f t="shared" si="37"/>
        <v>1102</v>
      </c>
      <c r="G1195" s="77">
        <f>Comp2[[#This Row],[Comparable '#2 Drawdown]]/MAX($B$2:B1195)</f>
        <v>-0.33596973865199448</v>
      </c>
      <c r="H1195" s="1" t="str">
        <f>IF(SUM(COUNTIF(Benchmark1[Benchmark '#1 Dates],Comp2[[#This Row],[Comparable '#2 Dates]]),COUNTIF(Benchmark2[Benchmark '#2 Dates],Comp2[[#This Row],[Comparable '#2 Dates]]))=2,"Pass","Fail")</f>
        <v>Pass</v>
      </c>
      <c r="I1195" s="1">
        <f>IFERROR(Comp2[[#This Row],[Comparable '#2 Return]]-INDEX(Benchmark1[Benchmark '#1 Return],MATCH(Comp2[[#This Row],[Comparable '#2 Dates]],Benchmark1[Benchmark '#1 Dates],0)),"-")</f>
        <v>1.9906750499312835E-2</v>
      </c>
      <c r="L1195" s="72">
        <f>Comp2[[#This Row],[Comparable '#2 Price]]/$B$2*100</f>
        <v>77.706237424547282</v>
      </c>
    </row>
    <row r="1196" spans="1:12">
      <c r="A1196" s="96">
        <v>45019</v>
      </c>
      <c r="B1196" s="101">
        <v>38.51</v>
      </c>
      <c r="C1196" s="4">
        <f t="shared" si="36"/>
        <v>-2.8523291735508944E-3</v>
      </c>
      <c r="D1196" s="1">
        <f>IFERROR(Comp2[[#This Row],[Comparable '#2 Return]]+1,"-")</f>
        <v>0.99714767082644906</v>
      </c>
      <c r="E1196" s="6">
        <f>B1196-MAX($B$2:B1196)</f>
        <v>-19.649999999999999</v>
      </c>
      <c r="F1196" s="80">
        <f t="shared" si="37"/>
        <v>1103</v>
      </c>
      <c r="G1196" s="77">
        <f>Comp2[[#This Row],[Comparable '#2 Drawdown]]/MAX($B$2:B1196)</f>
        <v>-0.33786107290233836</v>
      </c>
      <c r="H1196" s="1" t="str">
        <f>IF(SUM(COUNTIF(Benchmark1[Benchmark '#1 Dates],Comp2[[#This Row],[Comparable '#2 Dates]]),COUNTIF(Benchmark2[Benchmark '#2 Dates],Comp2[[#This Row],[Comparable '#2 Dates]]))=2,"Pass","Fail")</f>
        <v>Pass</v>
      </c>
      <c r="I1196" s="1">
        <f>IFERROR(Comp2[[#This Row],[Comparable '#2 Return]]-INDEX(Benchmark1[Benchmark '#1 Return],MATCH(Comp2[[#This Row],[Comparable '#2 Dates]],Benchmark1[Benchmark '#1 Dates],0)),"-")</f>
        <v>-6.5428660143057385E-3</v>
      </c>
      <c r="L1196" s="72">
        <f>Comp2[[#This Row],[Comparable '#2 Price]]/$B$2*100</f>
        <v>77.484909456740439</v>
      </c>
    </row>
    <row r="1197" spans="1:12">
      <c r="A1197" s="96">
        <v>45020</v>
      </c>
      <c r="B1197" s="101">
        <v>37.78</v>
      </c>
      <c r="C1197" s="4">
        <f t="shared" si="36"/>
        <v>-1.9138085753453899E-2</v>
      </c>
      <c r="D1197" s="1">
        <f>IFERROR(Comp2[[#This Row],[Comparable '#2 Return]]+1,"-")</f>
        <v>0.98086191424654612</v>
      </c>
      <c r="E1197" s="6">
        <f>B1197-MAX($B$2:B1197)</f>
        <v>-20.379999999999995</v>
      </c>
      <c r="F1197" s="80">
        <f t="shared" si="37"/>
        <v>1104</v>
      </c>
      <c r="G1197" s="77">
        <f>Comp2[[#This Row],[Comparable '#2 Drawdown]]/MAX($B$2:B1197)</f>
        <v>-0.35041265474552952</v>
      </c>
      <c r="H1197" s="1" t="str">
        <f>IF(SUM(COUNTIF(Benchmark1[Benchmark '#1 Dates],Comp2[[#This Row],[Comparable '#2 Dates]]),COUNTIF(Benchmark2[Benchmark '#2 Dates],Comp2[[#This Row],[Comparable '#2 Dates]]))=2,"Pass","Fail")</f>
        <v>Pass</v>
      </c>
      <c r="I1197" s="1">
        <f>IFERROR(Comp2[[#This Row],[Comparable '#2 Return]]-INDEX(Benchmark1[Benchmark '#1 Return],MATCH(Comp2[[#This Row],[Comparable '#2 Dates]],Benchmark1[Benchmark '#1 Dates],0)),"-")</f>
        <v>-1.3324883247582783E-2</v>
      </c>
      <c r="L1197" s="72">
        <f>Comp2[[#This Row],[Comparable '#2 Price]]/$B$2*100</f>
        <v>76.016096579476852</v>
      </c>
    </row>
    <row r="1198" spans="1:12">
      <c r="A1198" s="96">
        <v>45021</v>
      </c>
      <c r="B1198" s="101">
        <v>38.090000000000003</v>
      </c>
      <c r="C1198" s="4">
        <f t="shared" si="36"/>
        <v>8.1719184171492164E-3</v>
      </c>
      <c r="D1198" s="1">
        <f>IFERROR(Comp2[[#This Row],[Comparable '#2 Return]]+1,"-")</f>
        <v>1.0081719184171491</v>
      </c>
      <c r="E1198" s="6">
        <f>B1198-MAX($B$2:B1198)</f>
        <v>-20.069999999999993</v>
      </c>
      <c r="F1198" s="80">
        <f t="shared" si="37"/>
        <v>1105</v>
      </c>
      <c r="G1198" s="77">
        <f>Comp2[[#This Row],[Comparable '#2 Drawdown]]/MAX($B$2:B1198)</f>
        <v>-0.34508253094910579</v>
      </c>
      <c r="H1198" s="1" t="str">
        <f>IF(SUM(COUNTIF(Benchmark1[Benchmark '#1 Dates],Comp2[[#This Row],[Comparable '#2 Dates]]),COUNTIF(Benchmark2[Benchmark '#2 Dates],Comp2[[#This Row],[Comparable '#2 Dates]]))=2,"Pass","Fail")</f>
        <v>Pass</v>
      </c>
      <c r="I1198" s="1">
        <f>IFERROR(Comp2[[#This Row],[Comparable '#2 Return]]-INDEX(Benchmark1[Benchmark '#1 Return],MATCH(Comp2[[#This Row],[Comparable '#2 Dates]],Benchmark1[Benchmark '#1 Dates],0)),"-")</f>
        <v>1.0668255998903383E-2</v>
      </c>
      <c r="L1198" s="72">
        <f>Comp2[[#This Row],[Comparable '#2 Price]]/$B$2*100</f>
        <v>76.639839034205238</v>
      </c>
    </row>
    <row r="1199" spans="1:12">
      <c r="A1199" s="96">
        <v>45022</v>
      </c>
      <c r="B1199" s="101">
        <v>37.909999999999997</v>
      </c>
      <c r="C1199" s="4">
        <f t="shared" si="36"/>
        <v>-4.7368509622694194E-3</v>
      </c>
      <c r="D1199" s="1">
        <f>IFERROR(Comp2[[#This Row],[Comparable '#2 Return]]+1,"-")</f>
        <v>0.99526314903773061</v>
      </c>
      <c r="E1199" s="6">
        <f>B1199-MAX($B$2:B1199)</f>
        <v>-20.25</v>
      </c>
      <c r="F1199" s="80">
        <f t="shared" si="37"/>
        <v>1106</v>
      </c>
      <c r="G1199" s="77">
        <f>Comp2[[#This Row],[Comparable '#2 Drawdown]]/MAX($B$2:B1199)</f>
        <v>-0.34817744154057773</v>
      </c>
      <c r="H1199" s="1" t="str">
        <f>IF(SUM(COUNTIF(Benchmark1[Benchmark '#1 Dates],Comp2[[#This Row],[Comparable '#2 Dates]]),COUNTIF(Benchmark2[Benchmark '#2 Dates],Comp2[[#This Row],[Comparable '#2 Dates]]))=2,"Pass","Fail")</f>
        <v>Pass</v>
      </c>
      <c r="I1199" s="1">
        <f>IFERROR(Comp2[[#This Row],[Comparable '#2 Return]]-INDEX(Benchmark1[Benchmark '#1 Return],MATCH(Comp2[[#This Row],[Comparable '#2 Dates]],Benchmark1[Benchmark '#1 Dates],0)),"-")</f>
        <v>-8.3104368239687743E-3</v>
      </c>
      <c r="L1199" s="72">
        <f>Comp2[[#This Row],[Comparable '#2 Price]]/$B$2*100</f>
        <v>76.277665995975838</v>
      </c>
    </row>
    <row r="1200" spans="1:12">
      <c r="A1200" s="96">
        <v>45026</v>
      </c>
      <c r="B1200" s="101">
        <v>38.21</v>
      </c>
      <c r="C1200" s="4">
        <f t="shared" si="36"/>
        <v>7.8823319305652249E-3</v>
      </c>
      <c r="D1200" s="1">
        <f>IFERROR(Comp2[[#This Row],[Comparable '#2 Return]]+1,"-")</f>
        <v>1.0078823319305652</v>
      </c>
      <c r="E1200" s="6">
        <f>B1200-MAX($B$2:B1200)</f>
        <v>-19.949999999999996</v>
      </c>
      <c r="F1200" s="80">
        <f t="shared" si="37"/>
        <v>1107</v>
      </c>
      <c r="G1200" s="77">
        <f>Comp2[[#This Row],[Comparable '#2 Drawdown]]/MAX($B$2:B1200)</f>
        <v>-0.34301925722145798</v>
      </c>
      <c r="H1200" s="1" t="str">
        <f>IF(SUM(COUNTIF(Benchmark1[Benchmark '#1 Dates],Comp2[[#This Row],[Comparable '#2 Dates]]),COUNTIF(Benchmark2[Benchmark '#2 Dates],Comp2[[#This Row],[Comparable '#2 Dates]]))=2,"Pass","Fail")</f>
        <v>Pass</v>
      </c>
      <c r="I1200" s="1">
        <f>IFERROR(Comp2[[#This Row],[Comparable '#2 Return]]-INDEX(Benchmark1[Benchmark '#1 Return],MATCH(Comp2[[#This Row],[Comparable '#2 Dates]],Benchmark1[Benchmark '#1 Dates],0)),"-")</f>
        <v>6.8856022778825505E-3</v>
      </c>
      <c r="L1200" s="72">
        <f>Comp2[[#This Row],[Comparable '#2 Price]]/$B$2*100</f>
        <v>76.881287726358153</v>
      </c>
    </row>
    <row r="1201" spans="1:12">
      <c r="A1201" s="96">
        <v>45027</v>
      </c>
      <c r="B1201" s="101">
        <v>38.619999999999997</v>
      </c>
      <c r="C1201" s="4">
        <f t="shared" si="36"/>
        <v>1.0673015541559619E-2</v>
      </c>
      <c r="D1201" s="1">
        <f>IFERROR(Comp2[[#This Row],[Comparable '#2 Return]]+1,"-")</f>
        <v>1.0106730155415595</v>
      </c>
      <c r="E1201" s="6">
        <f>B1201-MAX($B$2:B1201)</f>
        <v>-19.54</v>
      </c>
      <c r="F1201" s="80">
        <f t="shared" si="37"/>
        <v>1108</v>
      </c>
      <c r="G1201" s="77">
        <f>Comp2[[#This Row],[Comparable '#2 Drawdown]]/MAX($B$2:B1201)</f>
        <v>-0.33596973865199448</v>
      </c>
      <c r="H1201" s="1" t="str">
        <f>IF(SUM(COUNTIF(Benchmark1[Benchmark '#1 Dates],Comp2[[#This Row],[Comparable '#2 Dates]]),COUNTIF(Benchmark2[Benchmark '#2 Dates],Comp2[[#This Row],[Comparable '#2 Dates]]))=2,"Pass","Fail")</f>
        <v>Pass</v>
      </c>
      <c r="I1201" s="1">
        <f>IFERROR(Comp2[[#This Row],[Comparable '#2 Return]]-INDEX(Benchmark1[Benchmark '#1 Return],MATCH(Comp2[[#This Row],[Comparable '#2 Dates]],Benchmark1[Benchmark '#1 Dates],0)),"-")</f>
        <v>1.0714714981972979E-2</v>
      </c>
      <c r="L1201" s="72">
        <f>Comp2[[#This Row],[Comparable '#2 Price]]/$B$2*100</f>
        <v>77.706237424547282</v>
      </c>
    </row>
    <row r="1202" spans="1:12">
      <c r="A1202" s="96">
        <v>45028</v>
      </c>
      <c r="B1202" s="101">
        <v>39.200000000000003</v>
      </c>
      <c r="C1202" s="4">
        <f t="shared" si="36"/>
        <v>1.4906469796048509E-2</v>
      </c>
      <c r="D1202" s="1">
        <f>IFERROR(Comp2[[#This Row],[Comparable '#2 Return]]+1,"-")</f>
        <v>1.0149064697960486</v>
      </c>
      <c r="E1202" s="6">
        <f>B1202-MAX($B$2:B1202)</f>
        <v>-18.959999999999994</v>
      </c>
      <c r="F1202" s="80">
        <f t="shared" si="37"/>
        <v>1109</v>
      </c>
      <c r="G1202" s="77">
        <f>Comp2[[#This Row],[Comparable '#2 Drawdown]]/MAX($B$2:B1202)</f>
        <v>-0.32599724896836307</v>
      </c>
      <c r="H1202" s="1" t="str">
        <f>IF(SUM(COUNTIF(Benchmark1[Benchmark '#1 Dates],Comp2[[#This Row],[Comparable '#2 Dates]]),COUNTIF(Benchmark2[Benchmark '#2 Dates],Comp2[[#This Row],[Comparable '#2 Dates]]))=2,"Pass","Fail")</f>
        <v>Pass</v>
      </c>
      <c r="I1202" s="1">
        <f>IFERROR(Comp2[[#This Row],[Comparable '#2 Return]]-INDEX(Benchmark1[Benchmark '#1 Return],MATCH(Comp2[[#This Row],[Comparable '#2 Dates]],Benchmark1[Benchmark '#1 Dates],0)),"-")</f>
        <v>1.9049172446675658E-2</v>
      </c>
      <c r="L1202" s="72">
        <f>Comp2[[#This Row],[Comparable '#2 Price]]/$B$2*100</f>
        <v>78.873239436619727</v>
      </c>
    </row>
    <row r="1203" spans="1:12">
      <c r="A1203" s="96">
        <v>45029</v>
      </c>
      <c r="B1203" s="101">
        <v>39.979999999999997</v>
      </c>
      <c r="C1203" s="4">
        <f t="shared" si="36"/>
        <v>1.9702582275836895E-2</v>
      </c>
      <c r="D1203" s="1">
        <f>IFERROR(Comp2[[#This Row],[Comparable '#2 Return]]+1,"-")</f>
        <v>1.019702582275837</v>
      </c>
      <c r="E1203" s="6">
        <f>B1203-MAX($B$2:B1203)</f>
        <v>-18.18</v>
      </c>
      <c r="F1203" s="80">
        <f t="shared" si="37"/>
        <v>1110</v>
      </c>
      <c r="G1203" s="77">
        <f>Comp2[[#This Row],[Comparable '#2 Drawdown]]/MAX($B$2:B1203)</f>
        <v>-0.31258596973865199</v>
      </c>
      <c r="H1203" s="1" t="str">
        <f>IF(SUM(COUNTIF(Benchmark1[Benchmark '#1 Dates],Comp2[[#This Row],[Comparable '#2 Dates]]),COUNTIF(Benchmark2[Benchmark '#2 Dates],Comp2[[#This Row],[Comparable '#2 Dates]]))=2,"Pass","Fail")</f>
        <v>Pass</v>
      </c>
      <c r="I1203" s="1">
        <f>IFERROR(Comp2[[#This Row],[Comparable '#2 Return]]-INDEX(Benchmark1[Benchmark '#1 Return],MATCH(Comp2[[#This Row],[Comparable '#2 Dates]],Benchmark1[Benchmark '#1 Dates],0)),"-")</f>
        <v>6.5290870294502888E-3</v>
      </c>
      <c r="L1203" s="72">
        <f>Comp2[[#This Row],[Comparable '#2 Price]]/$B$2*100</f>
        <v>80.442655935613672</v>
      </c>
    </row>
    <row r="1204" spans="1:12">
      <c r="A1204" s="96">
        <v>45030</v>
      </c>
      <c r="B1204" s="101">
        <v>39.9</v>
      </c>
      <c r="C1204" s="4">
        <f t="shared" si="36"/>
        <v>-2.0030051764362016E-3</v>
      </c>
      <c r="D1204" s="1">
        <f>IFERROR(Comp2[[#This Row],[Comparable '#2 Return]]+1,"-")</f>
        <v>0.99799699482356374</v>
      </c>
      <c r="E1204" s="6">
        <f>B1204-MAX($B$2:B1204)</f>
        <v>-18.259999999999998</v>
      </c>
      <c r="F1204" s="80">
        <f t="shared" si="37"/>
        <v>1111</v>
      </c>
      <c r="G1204" s="77">
        <f>Comp2[[#This Row],[Comparable '#2 Drawdown]]/MAX($B$2:B1204)</f>
        <v>-0.31396148555708386</v>
      </c>
      <c r="H1204" s="1" t="str">
        <f>IF(SUM(COUNTIF(Benchmark1[Benchmark '#1 Dates],Comp2[[#This Row],[Comparable '#2 Dates]]),COUNTIF(Benchmark2[Benchmark '#2 Dates],Comp2[[#This Row],[Comparable '#2 Dates]]))=2,"Pass","Fail")</f>
        <v>Pass</v>
      </c>
      <c r="I1204" s="1">
        <f>IFERROR(Comp2[[#This Row],[Comparable '#2 Return]]-INDEX(Benchmark1[Benchmark '#1 Return],MATCH(Comp2[[#This Row],[Comparable '#2 Dates]],Benchmark1[Benchmark '#1 Dates],0)),"-")</f>
        <v>6.7855151821145411E-5</v>
      </c>
      <c r="L1204" s="72">
        <f>Comp2[[#This Row],[Comparable '#2 Price]]/$B$2*100</f>
        <v>80.281690140845058</v>
      </c>
    </row>
    <row r="1205" spans="1:12">
      <c r="A1205" s="96">
        <v>45033</v>
      </c>
      <c r="B1205" s="101">
        <v>39.39</v>
      </c>
      <c r="C1205" s="4">
        <f t="shared" si="36"/>
        <v>-1.2864346913003222E-2</v>
      </c>
      <c r="D1205" s="1">
        <f>IFERROR(Comp2[[#This Row],[Comparable '#2 Return]]+1,"-")</f>
        <v>0.9871356530869968</v>
      </c>
      <c r="E1205" s="6">
        <f>B1205-MAX($B$2:B1205)</f>
        <v>-18.769999999999996</v>
      </c>
      <c r="F1205" s="80">
        <f t="shared" si="37"/>
        <v>1112</v>
      </c>
      <c r="G1205" s="77">
        <f>Comp2[[#This Row],[Comparable '#2 Drawdown]]/MAX($B$2:B1205)</f>
        <v>-0.32273039889958732</v>
      </c>
      <c r="H1205" s="1" t="str">
        <f>IF(SUM(COUNTIF(Benchmark1[Benchmark '#1 Dates],Comp2[[#This Row],[Comparable '#2 Dates]]),COUNTIF(Benchmark2[Benchmark '#2 Dates],Comp2[[#This Row],[Comparable '#2 Dates]]))=2,"Pass","Fail")</f>
        <v>Pass</v>
      </c>
      <c r="I1205" s="1">
        <f>IFERROR(Comp2[[#This Row],[Comparable '#2 Return]]-INDEX(Benchmark1[Benchmark '#1 Return],MATCH(Comp2[[#This Row],[Comparable '#2 Dates]],Benchmark1[Benchmark '#1 Dates],0)),"-")</f>
        <v>-1.6166007682086446E-2</v>
      </c>
      <c r="L1205" s="72">
        <f>Comp2[[#This Row],[Comparable '#2 Price]]/$B$2*100</f>
        <v>79.25553319919517</v>
      </c>
    </row>
    <row r="1206" spans="1:12">
      <c r="A1206" s="96">
        <v>45034</v>
      </c>
      <c r="B1206" s="101">
        <v>39.5</v>
      </c>
      <c r="C1206" s="4">
        <f t="shared" si="36"/>
        <v>2.7886949242616997E-3</v>
      </c>
      <c r="D1206" s="1">
        <f>IFERROR(Comp2[[#This Row],[Comparable '#2 Return]]+1,"-")</f>
        <v>1.0027886949242617</v>
      </c>
      <c r="E1206" s="6">
        <f>B1206-MAX($B$2:B1206)</f>
        <v>-18.659999999999997</v>
      </c>
      <c r="F1206" s="80">
        <f t="shared" si="37"/>
        <v>1113</v>
      </c>
      <c r="G1206" s="77">
        <f>Comp2[[#This Row],[Comparable '#2 Drawdown]]/MAX($B$2:B1206)</f>
        <v>-0.32083906464924344</v>
      </c>
      <c r="H1206" s="1" t="str">
        <f>IF(SUM(COUNTIF(Benchmark1[Benchmark '#1 Dates],Comp2[[#This Row],[Comparable '#2 Dates]]),COUNTIF(Benchmark2[Benchmark '#2 Dates],Comp2[[#This Row],[Comparable '#2 Dates]]))=2,"Pass","Fail")</f>
        <v>Pass</v>
      </c>
      <c r="I1206" s="1">
        <f>IFERROR(Comp2[[#This Row],[Comparable '#2 Return]]-INDEX(Benchmark1[Benchmark '#1 Return],MATCH(Comp2[[#This Row],[Comparable '#2 Dates]],Benchmark1[Benchmark '#1 Dates],0)),"-")</f>
        <v>1.9344611797482976E-3</v>
      </c>
      <c r="L1206" s="72">
        <f>Comp2[[#This Row],[Comparable '#2 Price]]/$B$2*100</f>
        <v>79.476861167002014</v>
      </c>
    </row>
    <row r="1207" spans="1:12">
      <c r="A1207" s="96">
        <v>45035</v>
      </c>
      <c r="B1207" s="101">
        <v>39.07</v>
      </c>
      <c r="C1207" s="4">
        <f t="shared" si="36"/>
        <v>-1.0945762840096959E-2</v>
      </c>
      <c r="D1207" s="1">
        <f>IFERROR(Comp2[[#This Row],[Comparable '#2 Return]]+1,"-")</f>
        <v>0.98905423715990304</v>
      </c>
      <c r="E1207" s="6">
        <f>B1207-MAX($B$2:B1207)</f>
        <v>-19.089999999999996</v>
      </c>
      <c r="F1207" s="80">
        <f t="shared" si="37"/>
        <v>1114</v>
      </c>
      <c r="G1207" s="77">
        <f>Comp2[[#This Row],[Comparable '#2 Drawdown]]/MAX($B$2:B1207)</f>
        <v>-0.32823246217331498</v>
      </c>
      <c r="H1207" s="1" t="str">
        <f>IF(SUM(COUNTIF(Benchmark1[Benchmark '#1 Dates],Comp2[[#This Row],[Comparable '#2 Dates]]),COUNTIF(Benchmark2[Benchmark '#2 Dates],Comp2[[#This Row],[Comparable '#2 Dates]]))=2,"Pass","Fail")</f>
        <v>Pass</v>
      </c>
      <c r="I1207" s="1">
        <f>IFERROR(Comp2[[#This Row],[Comparable '#2 Return]]-INDEX(Benchmark1[Benchmark '#1 Return],MATCH(Comp2[[#This Row],[Comparable '#2 Dates]],Benchmark1[Benchmark '#1 Dates],0)),"-")</f>
        <v>-1.0861252282907701E-2</v>
      </c>
      <c r="L1207" s="72">
        <f>Comp2[[#This Row],[Comparable '#2 Price]]/$B$2*100</f>
        <v>78.611670020120712</v>
      </c>
    </row>
    <row r="1208" spans="1:12">
      <c r="A1208" s="96">
        <v>45036</v>
      </c>
      <c r="B1208" s="101">
        <v>39.64</v>
      </c>
      <c r="C1208" s="4">
        <f t="shared" si="36"/>
        <v>1.4483800394808063E-2</v>
      </c>
      <c r="D1208" s="1">
        <f>IFERROR(Comp2[[#This Row],[Comparable '#2 Return]]+1,"-")</f>
        <v>1.014483800394808</v>
      </c>
      <c r="E1208" s="6">
        <f>B1208-MAX($B$2:B1208)</f>
        <v>-18.519999999999996</v>
      </c>
      <c r="F1208" s="80">
        <f t="shared" si="37"/>
        <v>1115</v>
      </c>
      <c r="G1208" s="77">
        <f>Comp2[[#This Row],[Comparable '#2 Drawdown]]/MAX($B$2:B1208)</f>
        <v>-0.31843191196698756</v>
      </c>
      <c r="H1208" s="1" t="str">
        <f>IF(SUM(COUNTIF(Benchmark1[Benchmark '#1 Dates],Comp2[[#This Row],[Comparable '#2 Dates]]),COUNTIF(Benchmark2[Benchmark '#2 Dates],Comp2[[#This Row],[Comparable '#2 Dates]]))=2,"Pass","Fail")</f>
        <v>Pass</v>
      </c>
      <c r="I1208" s="1">
        <f>IFERROR(Comp2[[#This Row],[Comparable '#2 Return]]-INDEX(Benchmark1[Benchmark '#1 Return],MATCH(Comp2[[#This Row],[Comparable '#2 Dates]],Benchmark1[Benchmark '#1 Dates],0)),"-")</f>
        <v>2.0453323607190689E-2</v>
      </c>
      <c r="L1208" s="72">
        <f>Comp2[[#This Row],[Comparable '#2 Price]]/$B$2*100</f>
        <v>79.758551307847085</v>
      </c>
    </row>
    <row r="1209" spans="1:12">
      <c r="A1209" s="96">
        <v>45037</v>
      </c>
      <c r="B1209" s="101">
        <v>40.64</v>
      </c>
      <c r="C1209" s="4">
        <f t="shared" si="36"/>
        <v>2.4914093808439206E-2</v>
      </c>
      <c r="D1209" s="1">
        <f>IFERROR(Comp2[[#This Row],[Comparable '#2 Return]]+1,"-")</f>
        <v>1.0249140938084391</v>
      </c>
      <c r="E1209" s="6">
        <f>B1209-MAX($B$2:B1209)</f>
        <v>-17.519999999999996</v>
      </c>
      <c r="F1209" s="80">
        <f t="shared" si="37"/>
        <v>1116</v>
      </c>
      <c r="G1209" s="77">
        <f>Comp2[[#This Row],[Comparable '#2 Drawdown]]/MAX($B$2:B1209)</f>
        <v>-0.30123796423658866</v>
      </c>
      <c r="H1209" s="1" t="str">
        <f>IF(SUM(COUNTIF(Benchmark1[Benchmark '#1 Dates],Comp2[[#This Row],[Comparable '#2 Dates]]),COUNTIF(Benchmark2[Benchmark '#2 Dates],Comp2[[#This Row],[Comparable '#2 Dates]]))=2,"Pass","Fail")</f>
        <v>Pass</v>
      </c>
      <c r="I1209" s="1">
        <f>IFERROR(Comp2[[#This Row],[Comparable '#2 Return]]-INDEX(Benchmark1[Benchmark '#1 Return],MATCH(Comp2[[#This Row],[Comparable '#2 Dates]],Benchmark1[Benchmark '#1 Dates],0)),"-")</f>
        <v>2.40115620963142E-2</v>
      </c>
      <c r="L1209" s="72">
        <f>Comp2[[#This Row],[Comparable '#2 Price]]/$B$2*100</f>
        <v>81.770623742454731</v>
      </c>
    </row>
    <row r="1210" spans="1:12">
      <c r="A1210" s="96">
        <v>45040</v>
      </c>
      <c r="B1210" s="101">
        <v>40.56</v>
      </c>
      <c r="C1210" s="4">
        <f t="shared" si="36"/>
        <v>-1.9704439872987251E-3</v>
      </c>
      <c r="D1210" s="1">
        <f>IFERROR(Comp2[[#This Row],[Comparable '#2 Return]]+1,"-")</f>
        <v>0.99802955601270127</v>
      </c>
      <c r="E1210" s="6">
        <f>B1210-MAX($B$2:B1210)</f>
        <v>-17.599999999999994</v>
      </c>
      <c r="F1210" s="80">
        <f t="shared" si="37"/>
        <v>1117</v>
      </c>
      <c r="G1210" s="77">
        <f>Comp2[[#This Row],[Comparable '#2 Drawdown]]/MAX($B$2:B1210)</f>
        <v>-0.30261348005502053</v>
      </c>
      <c r="H1210" s="1" t="str">
        <f>IF(SUM(COUNTIF(Benchmark1[Benchmark '#1 Dates],Comp2[[#This Row],[Comparable '#2 Dates]]),COUNTIF(Benchmark2[Benchmark '#2 Dates],Comp2[[#This Row],[Comparable '#2 Dates]]))=2,"Pass","Fail")</f>
        <v>Pass</v>
      </c>
      <c r="I1210" s="1">
        <f>IFERROR(Comp2[[#This Row],[Comparable '#2 Return]]-INDEX(Benchmark1[Benchmark '#1 Return],MATCH(Comp2[[#This Row],[Comparable '#2 Dates]],Benchmark1[Benchmark '#1 Dates],0)),"-")</f>
        <v>-2.8224452405448868E-3</v>
      </c>
      <c r="L1210" s="72">
        <f>Comp2[[#This Row],[Comparable '#2 Price]]/$B$2*100</f>
        <v>81.609657947686117</v>
      </c>
    </row>
    <row r="1211" spans="1:12">
      <c r="A1211" s="96">
        <v>45041</v>
      </c>
      <c r="B1211" s="101">
        <v>40.58</v>
      </c>
      <c r="C1211" s="4">
        <f t="shared" si="36"/>
        <v>4.9297511474090763E-4</v>
      </c>
      <c r="D1211" s="1">
        <f>IFERROR(Comp2[[#This Row],[Comparable '#2 Return]]+1,"-")</f>
        <v>1.0004929751147409</v>
      </c>
      <c r="E1211" s="6">
        <f>B1211-MAX($B$2:B1211)</f>
        <v>-17.579999999999998</v>
      </c>
      <c r="F1211" s="80">
        <f t="shared" si="37"/>
        <v>1118</v>
      </c>
      <c r="G1211" s="77">
        <f>Comp2[[#This Row],[Comparable '#2 Drawdown]]/MAX($B$2:B1211)</f>
        <v>-0.30226960110041262</v>
      </c>
      <c r="H1211" s="1" t="str">
        <f>IF(SUM(COUNTIF(Benchmark1[Benchmark '#1 Dates],Comp2[[#This Row],[Comparable '#2 Dates]]),COUNTIF(Benchmark2[Benchmark '#2 Dates],Comp2[[#This Row],[Comparable '#2 Dates]]))=2,"Pass","Fail")</f>
        <v>Pass</v>
      </c>
      <c r="I1211" s="1">
        <f>IFERROR(Comp2[[#This Row],[Comparable '#2 Return]]-INDEX(Benchmark1[Benchmark '#1 Return],MATCH(Comp2[[#This Row],[Comparable '#2 Dates]],Benchmark1[Benchmark '#1 Dates],0)),"-")</f>
        <v>1.6431124758710128E-2</v>
      </c>
      <c r="L1211" s="72">
        <f>Comp2[[#This Row],[Comparable '#2 Price]]/$B$2*100</f>
        <v>81.64989939637826</v>
      </c>
    </row>
    <row r="1212" spans="1:12">
      <c r="A1212" s="96">
        <v>45042</v>
      </c>
      <c r="B1212" s="101">
        <v>40.85</v>
      </c>
      <c r="C1212" s="4">
        <f t="shared" si="36"/>
        <v>6.6314869083431982E-3</v>
      </c>
      <c r="D1212" s="1">
        <f>IFERROR(Comp2[[#This Row],[Comparable '#2 Return]]+1,"-")</f>
        <v>1.0066314869083433</v>
      </c>
      <c r="E1212" s="6">
        <f>B1212-MAX($B$2:B1212)</f>
        <v>-17.309999999999995</v>
      </c>
      <c r="F1212" s="80">
        <f t="shared" si="37"/>
        <v>1119</v>
      </c>
      <c r="G1212" s="77">
        <f>Comp2[[#This Row],[Comparable '#2 Drawdown]]/MAX($B$2:B1212)</f>
        <v>-0.29762723521320489</v>
      </c>
      <c r="H1212" s="1" t="str">
        <f>IF(SUM(COUNTIF(Benchmark1[Benchmark '#1 Dates],Comp2[[#This Row],[Comparable '#2 Dates]]),COUNTIF(Benchmark2[Benchmark '#2 Dates],Comp2[[#This Row],[Comparable '#2 Dates]]))=2,"Pass","Fail")</f>
        <v>Pass</v>
      </c>
      <c r="I1212" s="1">
        <f>IFERROR(Comp2[[#This Row],[Comparable '#2 Return]]-INDEX(Benchmark1[Benchmark '#1 Return],MATCH(Comp2[[#This Row],[Comparable '#2 Dates]],Benchmark1[Benchmark '#1 Dates],0)),"-")</f>
        <v>1.0480747921796795E-2</v>
      </c>
      <c r="L1212" s="72">
        <f>Comp2[[#This Row],[Comparable '#2 Price]]/$B$2*100</f>
        <v>82.193158953722332</v>
      </c>
    </row>
    <row r="1213" spans="1:12">
      <c r="A1213" s="96">
        <v>45043</v>
      </c>
      <c r="B1213" s="101">
        <v>40.630000000000003</v>
      </c>
      <c r="C1213" s="4">
        <f t="shared" si="36"/>
        <v>-5.4001113063764884E-3</v>
      </c>
      <c r="D1213" s="1">
        <f>IFERROR(Comp2[[#This Row],[Comparable '#2 Return]]+1,"-")</f>
        <v>0.99459988869362348</v>
      </c>
      <c r="E1213" s="6">
        <f>B1213-MAX($B$2:B1213)</f>
        <v>-17.529999999999994</v>
      </c>
      <c r="F1213" s="80">
        <f t="shared" si="37"/>
        <v>1120</v>
      </c>
      <c r="G1213" s="77">
        <f>Comp2[[#This Row],[Comparable '#2 Drawdown]]/MAX($B$2:B1213)</f>
        <v>-0.30140990371389265</v>
      </c>
      <c r="H1213" s="1" t="str">
        <f>IF(SUM(COUNTIF(Benchmark1[Benchmark '#1 Dates],Comp2[[#This Row],[Comparable '#2 Dates]]),COUNTIF(Benchmark2[Benchmark '#2 Dates],Comp2[[#This Row],[Comparable '#2 Dates]]))=2,"Pass","Fail")</f>
        <v>Pass</v>
      </c>
      <c r="I1213" s="1">
        <f>IFERROR(Comp2[[#This Row],[Comparable '#2 Return]]-INDEX(Benchmark1[Benchmark '#1 Return],MATCH(Comp2[[#This Row],[Comparable '#2 Dates]],Benchmark1[Benchmark '#1 Dates],0)),"-")</f>
        <v>-2.4778364284263967E-2</v>
      </c>
      <c r="L1213" s="72">
        <f>Comp2[[#This Row],[Comparable '#2 Price]]/$B$2*100</f>
        <v>81.75050301810866</v>
      </c>
    </row>
    <row r="1214" spans="1:12">
      <c r="A1214" s="96">
        <v>45044</v>
      </c>
      <c r="B1214" s="101">
        <v>40.57</v>
      </c>
      <c r="C1214" s="4">
        <f t="shared" si="36"/>
        <v>-1.4778327812795633E-3</v>
      </c>
      <c r="D1214" s="1">
        <f>IFERROR(Comp2[[#This Row],[Comparable '#2 Return]]+1,"-")</f>
        <v>0.99852216721872045</v>
      </c>
      <c r="E1214" s="6">
        <f>B1214-MAX($B$2:B1214)</f>
        <v>-17.589999999999996</v>
      </c>
      <c r="F1214" s="80">
        <f t="shared" si="37"/>
        <v>1121</v>
      </c>
      <c r="G1214" s="77">
        <f>Comp2[[#This Row],[Comparable '#2 Drawdown]]/MAX($B$2:B1214)</f>
        <v>-0.30244154057771661</v>
      </c>
      <c r="H1214" s="1" t="str">
        <f>IF(SUM(COUNTIF(Benchmark1[Benchmark '#1 Dates],Comp2[[#This Row],[Comparable '#2 Dates]]),COUNTIF(Benchmark2[Benchmark '#2 Dates],Comp2[[#This Row],[Comparable '#2 Dates]]))=2,"Pass","Fail")</f>
        <v>Pass</v>
      </c>
      <c r="I1214" s="1">
        <f>IFERROR(Comp2[[#This Row],[Comparable '#2 Return]]-INDEX(Benchmark1[Benchmark '#1 Return],MATCH(Comp2[[#This Row],[Comparable '#2 Dates]],Benchmark1[Benchmark '#1 Dates],0)),"-")</f>
        <v>-9.6969892771530224E-3</v>
      </c>
      <c r="L1214" s="72">
        <f>Comp2[[#This Row],[Comparable '#2 Price]]/$B$2*100</f>
        <v>81.629778672032188</v>
      </c>
    </row>
    <row r="1215" spans="1:12">
      <c r="A1215" s="96">
        <v>45047</v>
      </c>
      <c r="B1215" s="101">
        <v>40.82</v>
      </c>
      <c r="C1215" s="4">
        <f t="shared" si="36"/>
        <v>6.1432801633429217E-3</v>
      </c>
      <c r="D1215" s="1">
        <f>IFERROR(Comp2[[#This Row],[Comparable '#2 Return]]+1,"-")</f>
        <v>1.006143280163343</v>
      </c>
      <c r="E1215" s="6">
        <f>B1215-MAX($B$2:B1215)</f>
        <v>-17.339999999999996</v>
      </c>
      <c r="F1215" s="80">
        <f t="shared" si="37"/>
        <v>1122</v>
      </c>
      <c r="G1215" s="77">
        <f>Comp2[[#This Row],[Comparable '#2 Drawdown]]/MAX($B$2:B1215)</f>
        <v>-0.2981430536451169</v>
      </c>
      <c r="H1215" s="1" t="str">
        <f>IF(SUM(COUNTIF(Benchmark1[Benchmark '#1 Dates],Comp2[[#This Row],[Comparable '#2 Dates]]),COUNTIF(Benchmark2[Benchmark '#2 Dates],Comp2[[#This Row],[Comparable '#2 Dates]]))=2,"Pass","Fail")</f>
        <v>Pass</v>
      </c>
      <c r="I1215" s="1">
        <f>IFERROR(Comp2[[#This Row],[Comparable '#2 Return]]-INDEX(Benchmark1[Benchmark '#1 Return],MATCH(Comp2[[#This Row],[Comparable '#2 Dates]],Benchmark1[Benchmark '#1 Dates],0)),"-")</f>
        <v>6.5305771824279869E-3</v>
      </c>
      <c r="L1215" s="72">
        <f>Comp2[[#This Row],[Comparable '#2 Price]]/$B$2*100</f>
        <v>82.132796780684103</v>
      </c>
    </row>
    <row r="1216" spans="1:12">
      <c r="A1216" s="96">
        <v>45048</v>
      </c>
      <c r="B1216" s="101">
        <v>38.340000000000003</v>
      </c>
      <c r="C1216" s="4">
        <f t="shared" si="36"/>
        <v>-6.2678419764200272E-2</v>
      </c>
      <c r="D1216" s="1">
        <f>IFERROR(Comp2[[#This Row],[Comparable '#2 Return]]+1,"-")</f>
        <v>0.9373215802357997</v>
      </c>
      <c r="E1216" s="6">
        <f>B1216-MAX($B$2:B1216)</f>
        <v>-19.819999999999993</v>
      </c>
      <c r="F1216" s="80">
        <f t="shared" si="37"/>
        <v>1123</v>
      </c>
      <c r="G1216" s="77">
        <f>Comp2[[#This Row],[Comparable '#2 Drawdown]]/MAX($B$2:B1216)</f>
        <v>-0.34078404401650608</v>
      </c>
      <c r="H1216" s="1" t="str">
        <f>IF(SUM(COUNTIF(Benchmark1[Benchmark '#1 Dates],Comp2[[#This Row],[Comparable '#2 Dates]]),COUNTIF(Benchmark2[Benchmark '#2 Dates],Comp2[[#This Row],[Comparable '#2 Dates]]))=2,"Pass","Fail")</f>
        <v>Pass</v>
      </c>
      <c r="I1216" s="1">
        <f>IFERROR(Comp2[[#This Row],[Comparable '#2 Return]]-INDEX(Benchmark1[Benchmark '#1 Return],MATCH(Comp2[[#This Row],[Comparable '#2 Dates]],Benchmark1[Benchmark '#1 Dates],0)),"-")</f>
        <v>-5.1025377512984263E-2</v>
      </c>
      <c r="L1216" s="72">
        <f>Comp2[[#This Row],[Comparable '#2 Price]]/$B$2*100</f>
        <v>77.142857142857153</v>
      </c>
    </row>
    <row r="1217" spans="1:12">
      <c r="A1217" s="96">
        <v>45049</v>
      </c>
      <c r="B1217" s="101">
        <v>42.64</v>
      </c>
      <c r="C1217" s="4">
        <f t="shared" si="36"/>
        <v>0.10629904224009058</v>
      </c>
      <c r="D1217" s="1">
        <f>IFERROR(Comp2[[#This Row],[Comparable '#2 Return]]+1,"-")</f>
        <v>1.1062990422400907</v>
      </c>
      <c r="E1217" s="6">
        <f>B1217-MAX($B$2:B1217)</f>
        <v>-15.519999999999996</v>
      </c>
      <c r="F1217" s="80">
        <f t="shared" si="37"/>
        <v>1124</v>
      </c>
      <c r="G1217" s="77">
        <f>Comp2[[#This Row],[Comparable '#2 Drawdown]]/MAX($B$2:B1217)</f>
        <v>-0.26685006877579087</v>
      </c>
      <c r="H1217" s="1" t="str">
        <f>IF(SUM(COUNTIF(Benchmark1[Benchmark '#1 Dates],Comp2[[#This Row],[Comparable '#2 Dates]]),COUNTIF(Benchmark2[Benchmark '#2 Dates],Comp2[[#This Row],[Comparable '#2 Dates]]))=2,"Pass","Fail")</f>
        <v>Pass</v>
      </c>
      <c r="I1217" s="1">
        <f>IFERROR(Comp2[[#This Row],[Comparable '#2 Return]]-INDEX(Benchmark1[Benchmark '#1 Return],MATCH(Comp2[[#This Row],[Comparable '#2 Dates]],Benchmark1[Benchmark '#1 Dates],0)),"-")</f>
        <v>0.11332149574806352</v>
      </c>
      <c r="L1217" s="72">
        <f>Comp2[[#This Row],[Comparable '#2 Price]]/$B$2*100</f>
        <v>85.794768611670008</v>
      </c>
    </row>
    <row r="1218" spans="1:12">
      <c r="A1218" s="96">
        <v>45050</v>
      </c>
      <c r="B1218" s="101">
        <v>42.1</v>
      </c>
      <c r="C1218" s="4">
        <f t="shared" ref="C1218:C1256" si="38">IFERROR(IF(B1218="","-",LN(B1218/B1217)),"-")</f>
        <v>-1.2745039169253335E-2</v>
      </c>
      <c r="D1218" s="1">
        <f>IFERROR(Comp2[[#This Row],[Comparable '#2 Return]]+1,"-")</f>
        <v>0.98725496083074671</v>
      </c>
      <c r="E1218" s="6">
        <f>B1218-MAX($B$2:B1218)</f>
        <v>-16.059999999999995</v>
      </c>
      <c r="F1218" s="80">
        <f t="shared" ref="F1218:F1256" si="39">IF(E1218=0,0,F1217+1)</f>
        <v>1125</v>
      </c>
      <c r="G1218" s="77">
        <f>Comp2[[#This Row],[Comparable '#2 Drawdown]]/MAX($B$2:B1218)</f>
        <v>-0.27613480055020628</v>
      </c>
      <c r="H1218" s="1" t="str">
        <f>IF(SUM(COUNTIF(Benchmark1[Benchmark '#1 Dates],Comp2[[#This Row],[Comparable '#2 Dates]]),COUNTIF(Benchmark2[Benchmark '#2 Dates],Comp2[[#This Row],[Comparable '#2 Dates]]))=2,"Pass","Fail")</f>
        <v>Pass</v>
      </c>
      <c r="I1218" s="1">
        <f>IFERROR(Comp2[[#This Row],[Comparable '#2 Return]]-INDEX(Benchmark1[Benchmark '#1 Return],MATCH(Comp2[[#This Row],[Comparable '#2 Dates]],Benchmark1[Benchmark '#1 Dates],0)),"-")</f>
        <v>-5.4988232086407096E-3</v>
      </c>
      <c r="L1218" s="72">
        <f>Comp2[[#This Row],[Comparable '#2 Price]]/$B$2*100</f>
        <v>84.708249496981892</v>
      </c>
    </row>
    <row r="1219" spans="1:12">
      <c r="A1219" s="96">
        <v>45051</v>
      </c>
      <c r="B1219" s="101">
        <v>41.65</v>
      </c>
      <c r="C1219" s="4">
        <f t="shared" si="38"/>
        <v>-1.0746372075484073E-2</v>
      </c>
      <c r="D1219" s="1">
        <f>IFERROR(Comp2[[#This Row],[Comparable '#2 Return]]+1,"-")</f>
        <v>0.98925362792451588</v>
      </c>
      <c r="E1219" s="6">
        <f>B1219-MAX($B$2:B1219)</f>
        <v>-16.509999999999998</v>
      </c>
      <c r="F1219" s="80">
        <f t="shared" si="39"/>
        <v>1126</v>
      </c>
      <c r="G1219" s="77">
        <f>Comp2[[#This Row],[Comparable '#2 Drawdown]]/MAX($B$2:B1219)</f>
        <v>-0.28387207702888584</v>
      </c>
      <c r="H1219" s="1" t="str">
        <f>IF(SUM(COUNTIF(Benchmark1[Benchmark '#1 Dates],Comp2[[#This Row],[Comparable '#2 Dates]]),COUNTIF(Benchmark2[Benchmark '#2 Dates],Comp2[[#This Row],[Comparable '#2 Dates]]))=2,"Pass","Fail")</f>
        <v>Pass</v>
      </c>
      <c r="I1219" s="1">
        <f>IFERROR(Comp2[[#This Row],[Comparable '#2 Return]]-INDEX(Benchmark1[Benchmark '#1 Return],MATCH(Comp2[[#This Row],[Comparable '#2 Dates]],Benchmark1[Benchmark '#1 Dates],0)),"-")</f>
        <v>-2.9054108356317158E-2</v>
      </c>
      <c r="L1219" s="72">
        <f>Comp2[[#This Row],[Comparable '#2 Price]]/$B$2*100</f>
        <v>83.802816901408434</v>
      </c>
    </row>
    <row r="1220" spans="1:12">
      <c r="A1220" s="96">
        <v>45054</v>
      </c>
      <c r="B1220" s="101">
        <v>41.5</v>
      </c>
      <c r="C1220" s="4">
        <f t="shared" si="38"/>
        <v>-3.607941376199054E-3</v>
      </c>
      <c r="D1220" s="1">
        <f>IFERROR(Comp2[[#This Row],[Comparable '#2 Return]]+1,"-")</f>
        <v>0.99639205862380098</v>
      </c>
      <c r="E1220" s="6">
        <f>B1220-MAX($B$2:B1220)</f>
        <v>-16.659999999999997</v>
      </c>
      <c r="F1220" s="80">
        <f t="shared" si="39"/>
        <v>1127</v>
      </c>
      <c r="G1220" s="77">
        <f>Comp2[[#This Row],[Comparable '#2 Drawdown]]/MAX($B$2:B1220)</f>
        <v>-0.2864511691884456</v>
      </c>
      <c r="H1220" s="1" t="str">
        <f>IF(SUM(COUNTIF(Benchmark1[Benchmark '#1 Dates],Comp2[[#This Row],[Comparable '#2 Dates]]),COUNTIF(Benchmark2[Benchmark '#2 Dates],Comp2[[#This Row],[Comparable '#2 Dates]]))=2,"Pass","Fail")</f>
        <v>Pass</v>
      </c>
      <c r="I1220" s="1">
        <f>IFERROR(Comp2[[#This Row],[Comparable '#2 Return]]-INDEX(Benchmark1[Benchmark '#1 Return],MATCH(Comp2[[#This Row],[Comparable '#2 Dates]],Benchmark1[Benchmark '#1 Dates],0)),"-")</f>
        <v>-4.0598485152666961E-3</v>
      </c>
      <c r="L1220" s="72">
        <f>Comp2[[#This Row],[Comparable '#2 Price]]/$B$2*100</f>
        <v>83.501006036217291</v>
      </c>
    </row>
    <row r="1221" spans="1:12">
      <c r="A1221" s="96">
        <v>45055</v>
      </c>
      <c r="B1221" s="101">
        <v>41.31</v>
      </c>
      <c r="C1221" s="4">
        <f t="shared" si="38"/>
        <v>-4.5888258279793417E-3</v>
      </c>
      <c r="D1221" s="1">
        <f>IFERROR(Comp2[[#This Row],[Comparable '#2 Return]]+1,"-")</f>
        <v>0.99541117417202063</v>
      </c>
      <c r="E1221" s="6">
        <f>B1221-MAX($B$2:B1221)</f>
        <v>-16.849999999999994</v>
      </c>
      <c r="F1221" s="80">
        <f t="shared" si="39"/>
        <v>1128</v>
      </c>
      <c r="G1221" s="77">
        <f>Comp2[[#This Row],[Comparable '#2 Drawdown]]/MAX($B$2:B1221)</f>
        <v>-0.2897180192572214</v>
      </c>
      <c r="H1221" s="1" t="str">
        <f>IF(SUM(COUNTIF(Benchmark1[Benchmark '#1 Dates],Comp2[[#This Row],[Comparable '#2 Dates]]),COUNTIF(Benchmark2[Benchmark '#2 Dates],Comp2[[#This Row],[Comparable '#2 Dates]]))=2,"Pass","Fail")</f>
        <v>Pass</v>
      </c>
      <c r="I1221" s="1">
        <f>IFERROR(Comp2[[#This Row],[Comparable '#2 Return]]-INDEX(Benchmark1[Benchmark '#1 Return],MATCH(Comp2[[#This Row],[Comparable '#2 Dates]],Benchmark1[Benchmark '#1 Dates],0)),"-")</f>
        <v>9.6879015292622439E-7</v>
      </c>
      <c r="L1221" s="72">
        <f>Comp2[[#This Row],[Comparable '#2 Price]]/$B$2*100</f>
        <v>83.118712273641847</v>
      </c>
    </row>
    <row r="1222" spans="1:12">
      <c r="A1222" s="96">
        <v>45056</v>
      </c>
      <c r="B1222" s="101">
        <v>41.69</v>
      </c>
      <c r="C1222" s="4">
        <f t="shared" si="38"/>
        <v>9.1566904840321844E-3</v>
      </c>
      <c r="D1222" s="1">
        <f>IFERROR(Comp2[[#This Row],[Comparable '#2 Return]]+1,"-")</f>
        <v>1.0091566904840321</v>
      </c>
      <c r="E1222" s="6">
        <f>B1222-MAX($B$2:B1222)</f>
        <v>-16.47</v>
      </c>
      <c r="F1222" s="80">
        <f t="shared" si="39"/>
        <v>1129</v>
      </c>
      <c r="G1222" s="77">
        <f>Comp2[[#This Row],[Comparable '#2 Drawdown]]/MAX($B$2:B1222)</f>
        <v>-0.28318431911966985</v>
      </c>
      <c r="H1222" s="1" t="str">
        <f>IF(SUM(COUNTIF(Benchmark1[Benchmark '#1 Dates],Comp2[[#This Row],[Comparable '#2 Dates]]),COUNTIF(Benchmark2[Benchmark '#2 Dates],Comp2[[#This Row],[Comparable '#2 Dates]]))=2,"Pass","Fail")</f>
        <v>Pass</v>
      </c>
      <c r="I1222" s="1">
        <f>IFERROR(Comp2[[#This Row],[Comparable '#2 Return]]-INDEX(Benchmark1[Benchmark '#1 Return],MATCH(Comp2[[#This Row],[Comparable '#2 Dates]],Benchmark1[Benchmark '#1 Dates],0)),"-")</f>
        <v>4.6830880343333376E-3</v>
      </c>
      <c r="L1222" s="72">
        <f>Comp2[[#This Row],[Comparable '#2 Price]]/$B$2*100</f>
        <v>83.883299798792748</v>
      </c>
    </row>
    <row r="1223" spans="1:12">
      <c r="A1223" s="96">
        <v>45057</v>
      </c>
      <c r="B1223" s="101">
        <v>41.23</v>
      </c>
      <c r="C1223" s="4">
        <f t="shared" si="38"/>
        <v>-1.1095145173896936E-2</v>
      </c>
      <c r="D1223" s="1">
        <f>IFERROR(Comp2[[#This Row],[Comparable '#2 Return]]+1,"-")</f>
        <v>0.98890485482610302</v>
      </c>
      <c r="E1223" s="6">
        <f>B1223-MAX($B$2:B1223)</f>
        <v>-16.93</v>
      </c>
      <c r="F1223" s="80">
        <f t="shared" si="39"/>
        <v>1130</v>
      </c>
      <c r="G1223" s="77">
        <f>Comp2[[#This Row],[Comparable '#2 Drawdown]]/MAX($B$2:B1223)</f>
        <v>-0.29109353507565339</v>
      </c>
      <c r="H1223" s="1" t="str">
        <f>IF(SUM(COUNTIF(Benchmark1[Benchmark '#1 Dates],Comp2[[#This Row],[Comparable '#2 Dates]]),COUNTIF(Benchmark2[Benchmark '#2 Dates],Comp2[[#This Row],[Comparable '#2 Dates]]))=2,"Pass","Fail")</f>
        <v>Pass</v>
      </c>
      <c r="I1223" s="1">
        <f>IFERROR(Comp2[[#This Row],[Comparable '#2 Return]]-INDEX(Benchmark1[Benchmark '#1 Return],MATCH(Comp2[[#This Row],[Comparable '#2 Dates]],Benchmark1[Benchmark '#1 Dates],0)),"-")</f>
        <v>-9.3968629830653919E-3</v>
      </c>
      <c r="L1223" s="72">
        <f>Comp2[[#This Row],[Comparable '#2 Price]]/$B$2*100</f>
        <v>82.957746478873233</v>
      </c>
    </row>
    <row r="1224" spans="1:12">
      <c r="A1224" s="96">
        <v>45058</v>
      </c>
      <c r="B1224" s="101">
        <v>41.15</v>
      </c>
      <c r="C1224" s="4">
        <f t="shared" si="38"/>
        <v>-1.9422195957297635E-3</v>
      </c>
      <c r="D1224" s="1">
        <f>IFERROR(Comp2[[#This Row],[Comparable '#2 Return]]+1,"-")</f>
        <v>0.99805778040427029</v>
      </c>
      <c r="E1224" s="6">
        <f>B1224-MAX($B$2:B1224)</f>
        <v>-17.009999999999998</v>
      </c>
      <c r="F1224" s="80">
        <f t="shared" si="39"/>
        <v>1131</v>
      </c>
      <c r="G1224" s="77">
        <f>Comp2[[#This Row],[Comparable '#2 Drawdown]]/MAX($B$2:B1224)</f>
        <v>-0.29246905089408526</v>
      </c>
      <c r="H1224" s="1" t="str">
        <f>IF(SUM(COUNTIF(Benchmark1[Benchmark '#1 Dates],Comp2[[#This Row],[Comparable '#2 Dates]]),COUNTIF(Benchmark2[Benchmark '#2 Dates],Comp2[[#This Row],[Comparable '#2 Dates]]))=2,"Pass","Fail")</f>
        <v>Pass</v>
      </c>
      <c r="I1224" s="1">
        <f>IFERROR(Comp2[[#This Row],[Comparable '#2 Return]]-INDEX(Benchmark1[Benchmark '#1 Return],MATCH(Comp2[[#This Row],[Comparable '#2 Dates]],Benchmark1[Benchmark '#1 Dates],0)),"-")</f>
        <v>-3.5760785810593312E-4</v>
      </c>
      <c r="L1224" s="72">
        <f>Comp2[[#This Row],[Comparable '#2 Price]]/$B$2*100</f>
        <v>82.796780684104618</v>
      </c>
    </row>
    <row r="1225" spans="1:12">
      <c r="A1225" s="96">
        <v>45061</v>
      </c>
      <c r="B1225" s="101">
        <v>40.5</v>
      </c>
      <c r="C1225" s="4">
        <f t="shared" si="38"/>
        <v>-1.5921953010585355E-2</v>
      </c>
      <c r="D1225" s="1">
        <f>IFERROR(Comp2[[#This Row],[Comparable '#2 Return]]+1,"-")</f>
        <v>0.98407804698941459</v>
      </c>
      <c r="E1225" s="6">
        <f>B1225-MAX($B$2:B1225)</f>
        <v>-17.659999999999997</v>
      </c>
      <c r="F1225" s="80">
        <f t="shared" si="39"/>
        <v>1132</v>
      </c>
      <c r="G1225" s="77">
        <f>Comp2[[#This Row],[Comparable '#2 Drawdown]]/MAX($B$2:B1225)</f>
        <v>-0.30364511691884455</v>
      </c>
      <c r="H1225" s="1" t="str">
        <f>IF(SUM(COUNTIF(Benchmark1[Benchmark '#1 Dates],Comp2[[#This Row],[Comparable '#2 Dates]]),COUNTIF(Benchmark2[Benchmark '#2 Dates],Comp2[[#This Row],[Comparable '#2 Dates]]))=2,"Pass","Fail")</f>
        <v>Pass</v>
      </c>
      <c r="I1225" s="1">
        <f>IFERROR(Comp2[[#This Row],[Comparable '#2 Return]]-INDEX(Benchmark1[Benchmark '#1 Return],MATCH(Comp2[[#This Row],[Comparable '#2 Dates]],Benchmark1[Benchmark '#1 Dates],0)),"-")</f>
        <v>-1.8876592750169958E-2</v>
      </c>
      <c r="L1225" s="72">
        <f>Comp2[[#This Row],[Comparable '#2 Price]]/$B$2*100</f>
        <v>81.488933601609659</v>
      </c>
    </row>
    <row r="1226" spans="1:12">
      <c r="A1226" s="96">
        <v>45062</v>
      </c>
      <c r="B1226" s="101">
        <v>41.42</v>
      </c>
      <c r="C1226" s="4">
        <f t="shared" si="38"/>
        <v>2.2461881854944691E-2</v>
      </c>
      <c r="D1226" s="1">
        <f>IFERROR(Comp2[[#This Row],[Comparable '#2 Return]]+1,"-")</f>
        <v>1.0224618818549447</v>
      </c>
      <c r="E1226" s="6">
        <f>B1226-MAX($B$2:B1226)</f>
        <v>-16.739999999999995</v>
      </c>
      <c r="F1226" s="80">
        <f t="shared" si="39"/>
        <v>1133</v>
      </c>
      <c r="G1226" s="77">
        <f>Comp2[[#This Row],[Comparable '#2 Drawdown]]/MAX($B$2:B1226)</f>
        <v>-0.28782668500687753</v>
      </c>
      <c r="H1226" s="1" t="str">
        <f>IF(SUM(COUNTIF(Benchmark1[Benchmark '#1 Dates],Comp2[[#This Row],[Comparable '#2 Dates]]),COUNTIF(Benchmark2[Benchmark '#2 Dates],Comp2[[#This Row],[Comparable '#2 Dates]]))=2,"Pass","Fail")</f>
        <v>Pass</v>
      </c>
      <c r="I1226" s="1">
        <f>IFERROR(Comp2[[#This Row],[Comparable '#2 Return]]-INDEX(Benchmark1[Benchmark '#1 Return],MATCH(Comp2[[#This Row],[Comparable '#2 Dates]],Benchmark1[Benchmark '#1 Dates],0)),"-")</f>
        <v>2.8861765111720498E-2</v>
      </c>
      <c r="L1226" s="72">
        <f>Comp2[[#This Row],[Comparable '#2 Price]]/$B$2*100</f>
        <v>83.34004024144869</v>
      </c>
    </row>
    <row r="1227" spans="1:12">
      <c r="A1227" s="96">
        <v>45063</v>
      </c>
      <c r="B1227" s="101">
        <v>42.46</v>
      </c>
      <c r="C1227" s="4">
        <f t="shared" si="38"/>
        <v>2.4798600307671823E-2</v>
      </c>
      <c r="D1227" s="1">
        <f>IFERROR(Comp2[[#This Row],[Comparable '#2 Return]]+1,"-")</f>
        <v>1.0247986003076719</v>
      </c>
      <c r="E1227" s="6">
        <f>B1227-MAX($B$2:B1227)</f>
        <v>-15.699999999999996</v>
      </c>
      <c r="F1227" s="80">
        <f t="shared" si="39"/>
        <v>1134</v>
      </c>
      <c r="G1227" s="77">
        <f>Comp2[[#This Row],[Comparable '#2 Drawdown]]/MAX($B$2:B1227)</f>
        <v>-0.26994497936726264</v>
      </c>
      <c r="H1227" s="1" t="str">
        <f>IF(SUM(COUNTIF(Benchmark1[Benchmark '#1 Dates],Comp2[[#This Row],[Comparable '#2 Dates]]),COUNTIF(Benchmark2[Benchmark '#2 Dates],Comp2[[#This Row],[Comparable '#2 Dates]]))=2,"Pass","Fail")</f>
        <v>Pass</v>
      </c>
      <c r="I1227" s="1">
        <f>IFERROR(Comp2[[#This Row],[Comparable '#2 Return]]-INDEX(Benchmark1[Benchmark '#1 Return],MATCH(Comp2[[#This Row],[Comparable '#2 Dates]],Benchmark1[Benchmark '#1 Dates],0)),"-")</f>
        <v>1.2977025953441256E-2</v>
      </c>
      <c r="L1227" s="72">
        <f>Comp2[[#This Row],[Comparable '#2 Price]]/$B$2*100</f>
        <v>85.432595573440636</v>
      </c>
    </row>
    <row r="1228" spans="1:12">
      <c r="A1228" s="96">
        <v>45064</v>
      </c>
      <c r="B1228" s="101">
        <v>42.98</v>
      </c>
      <c r="C1228" s="4">
        <f t="shared" si="38"/>
        <v>1.2172434939254287E-2</v>
      </c>
      <c r="D1228" s="1">
        <f>IFERROR(Comp2[[#This Row],[Comparable '#2 Return]]+1,"-")</f>
        <v>1.0121724349392542</v>
      </c>
      <c r="E1228" s="6">
        <f>B1228-MAX($B$2:B1228)</f>
        <v>-15.18</v>
      </c>
      <c r="F1228" s="80">
        <f t="shared" si="39"/>
        <v>1135</v>
      </c>
      <c r="G1228" s="77">
        <f>Comp2[[#This Row],[Comparable '#2 Drawdown]]/MAX($B$2:B1228)</f>
        <v>-0.26100412654745531</v>
      </c>
      <c r="H1228" s="1" t="str">
        <f>IF(SUM(COUNTIF(Benchmark1[Benchmark '#1 Dates],Comp2[[#This Row],[Comparable '#2 Dates]]),COUNTIF(Benchmark2[Benchmark '#2 Dates],Comp2[[#This Row],[Comparable '#2 Dates]]))=2,"Pass","Fail")</f>
        <v>Pass</v>
      </c>
      <c r="I1228" s="1">
        <f>IFERROR(Comp2[[#This Row],[Comparable '#2 Return]]-INDEX(Benchmark1[Benchmark '#1 Return],MATCH(Comp2[[#This Row],[Comparable '#2 Dates]],Benchmark1[Benchmark '#1 Dates],0)),"-")</f>
        <v>2.7716203411580799E-3</v>
      </c>
      <c r="L1228" s="72">
        <f>Comp2[[#This Row],[Comparable '#2 Price]]/$B$2*100</f>
        <v>86.478873239436609</v>
      </c>
    </row>
    <row r="1229" spans="1:12">
      <c r="A1229" s="96">
        <v>45065</v>
      </c>
      <c r="B1229" s="101">
        <v>43.5</v>
      </c>
      <c r="C1229" s="4">
        <f t="shared" si="38"/>
        <v>1.2026046880273982E-2</v>
      </c>
      <c r="D1229" s="1">
        <f>IFERROR(Comp2[[#This Row],[Comparable '#2 Return]]+1,"-")</f>
        <v>1.012026046880274</v>
      </c>
      <c r="E1229" s="6">
        <f>B1229-MAX($B$2:B1229)</f>
        <v>-14.659999999999997</v>
      </c>
      <c r="F1229" s="80">
        <f t="shared" si="39"/>
        <v>1136</v>
      </c>
      <c r="G1229" s="77">
        <f>Comp2[[#This Row],[Comparable '#2 Drawdown]]/MAX($B$2:B1229)</f>
        <v>-0.25206327372764781</v>
      </c>
      <c r="H1229" s="1" t="str">
        <f>IF(SUM(COUNTIF(Benchmark1[Benchmark '#1 Dates],Comp2[[#This Row],[Comparable '#2 Dates]]),COUNTIF(Benchmark2[Benchmark '#2 Dates],Comp2[[#This Row],[Comparable '#2 Dates]]))=2,"Pass","Fail")</f>
        <v>Pass</v>
      </c>
      <c r="I1229" s="1">
        <f>IFERROR(Comp2[[#This Row],[Comparable '#2 Return]]-INDEX(Benchmark1[Benchmark '#1 Return],MATCH(Comp2[[#This Row],[Comparable '#2 Dates]],Benchmark1[Benchmark '#1 Dates],0)),"-")</f>
        <v>1.3473279225278592E-2</v>
      </c>
      <c r="L1229" s="72">
        <f>Comp2[[#This Row],[Comparable '#2 Price]]/$B$2*100</f>
        <v>87.525150905432596</v>
      </c>
    </row>
    <row r="1230" spans="1:12">
      <c r="A1230" s="96">
        <v>45068</v>
      </c>
      <c r="B1230" s="101">
        <v>42.91</v>
      </c>
      <c r="C1230" s="4">
        <f t="shared" si="38"/>
        <v>-1.365603909120513E-2</v>
      </c>
      <c r="D1230" s="1">
        <f>IFERROR(Comp2[[#This Row],[Comparable '#2 Return]]+1,"-")</f>
        <v>0.98634396090879484</v>
      </c>
      <c r="E1230" s="6">
        <f>B1230-MAX($B$2:B1230)</f>
        <v>-15.25</v>
      </c>
      <c r="F1230" s="80">
        <f t="shared" si="39"/>
        <v>1137</v>
      </c>
      <c r="G1230" s="77">
        <f>Comp2[[#This Row],[Comparable '#2 Drawdown]]/MAX($B$2:B1230)</f>
        <v>-0.26220770288858325</v>
      </c>
      <c r="H1230" s="1" t="str">
        <f>IF(SUM(COUNTIF(Benchmark1[Benchmark '#1 Dates],Comp2[[#This Row],[Comparable '#2 Dates]]),COUNTIF(Benchmark2[Benchmark '#2 Dates],Comp2[[#This Row],[Comparable '#2 Dates]]))=2,"Pass","Fail")</f>
        <v>Pass</v>
      </c>
      <c r="I1230" s="1">
        <f>IFERROR(Comp2[[#This Row],[Comparable '#2 Return]]-INDEX(Benchmark1[Benchmark '#1 Return],MATCH(Comp2[[#This Row],[Comparable '#2 Dates]],Benchmark1[Benchmark '#1 Dates],0)),"-")</f>
        <v>-1.3811303628368774E-2</v>
      </c>
      <c r="L1230" s="72">
        <f>Comp2[[#This Row],[Comparable '#2 Price]]/$B$2*100</f>
        <v>86.338028169014066</v>
      </c>
    </row>
    <row r="1231" spans="1:12">
      <c r="A1231" s="96">
        <v>45069</v>
      </c>
      <c r="B1231" s="101">
        <v>42.3</v>
      </c>
      <c r="C1231" s="4">
        <f t="shared" si="38"/>
        <v>-1.4317812951201042E-2</v>
      </c>
      <c r="D1231" s="1">
        <f>IFERROR(Comp2[[#This Row],[Comparable '#2 Return]]+1,"-")</f>
        <v>0.98568218704879895</v>
      </c>
      <c r="E1231" s="6">
        <f>B1231-MAX($B$2:B1231)</f>
        <v>-15.86</v>
      </c>
      <c r="F1231" s="80">
        <f t="shared" si="39"/>
        <v>1138</v>
      </c>
      <c r="G1231" s="77">
        <f>Comp2[[#This Row],[Comparable '#2 Drawdown]]/MAX($B$2:B1231)</f>
        <v>-0.27269601100412655</v>
      </c>
      <c r="H1231" s="1" t="str">
        <f>IF(SUM(COUNTIF(Benchmark1[Benchmark '#1 Dates],Comp2[[#This Row],[Comparable '#2 Dates]]),COUNTIF(Benchmark2[Benchmark '#2 Dates],Comp2[[#This Row],[Comparable '#2 Dates]]))=2,"Pass","Fail")</f>
        <v>Pass</v>
      </c>
      <c r="I1231" s="1">
        <f>IFERROR(Comp2[[#This Row],[Comparable '#2 Return]]-INDEX(Benchmark1[Benchmark '#1 Return],MATCH(Comp2[[#This Row],[Comparable '#2 Dates]],Benchmark1[Benchmark '#1 Dates],0)),"-")</f>
        <v>-3.030967977560221E-3</v>
      </c>
      <c r="L1231" s="72">
        <f>Comp2[[#This Row],[Comparable '#2 Price]]/$B$2*100</f>
        <v>85.110663983903407</v>
      </c>
    </row>
    <row r="1232" spans="1:12">
      <c r="A1232" s="96">
        <v>45070</v>
      </c>
      <c r="B1232" s="101">
        <v>42.79</v>
      </c>
      <c r="C1232" s="4">
        <f t="shared" si="38"/>
        <v>1.1517344376493256E-2</v>
      </c>
      <c r="D1232" s="1">
        <f>IFERROR(Comp2[[#This Row],[Comparable '#2 Return]]+1,"-")</f>
        <v>1.0115173443764933</v>
      </c>
      <c r="E1232" s="6">
        <f>B1232-MAX($B$2:B1232)</f>
        <v>-15.369999999999997</v>
      </c>
      <c r="F1232" s="80">
        <f t="shared" si="39"/>
        <v>1139</v>
      </c>
      <c r="G1232" s="77">
        <f>Comp2[[#This Row],[Comparable '#2 Drawdown]]/MAX($B$2:B1232)</f>
        <v>-0.26427097661623106</v>
      </c>
      <c r="H1232" s="1" t="str">
        <f>IF(SUM(COUNTIF(Benchmark1[Benchmark '#1 Dates],Comp2[[#This Row],[Comparable '#2 Dates]]),COUNTIF(Benchmark2[Benchmark '#2 Dates],Comp2[[#This Row],[Comparable '#2 Dates]]))=2,"Pass","Fail")</f>
        <v>Pass</v>
      </c>
      <c r="I1232" s="1">
        <f>IFERROR(Comp2[[#This Row],[Comparable '#2 Return]]-INDEX(Benchmark1[Benchmark '#1 Return],MATCH(Comp2[[#This Row],[Comparable '#2 Dates]],Benchmark1[Benchmark '#1 Dates],0)),"-")</f>
        <v>1.8862082110229609E-2</v>
      </c>
      <c r="L1232" s="72">
        <f>Comp2[[#This Row],[Comparable '#2 Price]]/$B$2*100</f>
        <v>86.096579476861152</v>
      </c>
    </row>
    <row r="1233" spans="1:12">
      <c r="A1233" s="96">
        <v>45071</v>
      </c>
      <c r="B1233" s="101">
        <v>42.53</v>
      </c>
      <c r="C1233" s="4">
        <f t="shared" si="38"/>
        <v>-6.0947211631832707E-3</v>
      </c>
      <c r="D1233" s="1">
        <f>IFERROR(Comp2[[#This Row],[Comparable '#2 Return]]+1,"-")</f>
        <v>0.99390527883681667</v>
      </c>
      <c r="E1233" s="6">
        <f>B1233-MAX($B$2:B1233)</f>
        <v>-15.629999999999995</v>
      </c>
      <c r="F1233" s="80">
        <f t="shared" si="39"/>
        <v>1140</v>
      </c>
      <c r="G1233" s="77">
        <f>Comp2[[#This Row],[Comparable '#2 Drawdown]]/MAX($B$2:B1233)</f>
        <v>-0.26874140302613475</v>
      </c>
      <c r="H1233" s="1" t="str">
        <f>IF(SUM(COUNTIF(Benchmark1[Benchmark '#1 Dates],Comp2[[#This Row],[Comparable '#2 Dates]]),COUNTIF(Benchmark2[Benchmark '#2 Dates],Comp2[[#This Row],[Comparable '#2 Dates]]))=2,"Pass","Fail")</f>
        <v>Pass</v>
      </c>
      <c r="I1233" s="1">
        <f>IFERROR(Comp2[[#This Row],[Comparable '#2 Return]]-INDEX(Benchmark1[Benchmark '#1 Return],MATCH(Comp2[[#This Row],[Comparable '#2 Dates]],Benchmark1[Benchmark '#1 Dates],0)),"-")</f>
        <v>-1.4814603944272715E-2</v>
      </c>
      <c r="L1233" s="72">
        <f>Comp2[[#This Row],[Comparable '#2 Price]]/$B$2*100</f>
        <v>85.573440643863179</v>
      </c>
    </row>
    <row r="1234" spans="1:12">
      <c r="A1234" s="96">
        <v>45072</v>
      </c>
      <c r="B1234" s="101">
        <v>42.29</v>
      </c>
      <c r="C1234" s="4">
        <f t="shared" si="38"/>
        <v>-5.6590577811449798E-3</v>
      </c>
      <c r="D1234" s="1">
        <f>IFERROR(Comp2[[#This Row],[Comparable '#2 Return]]+1,"-")</f>
        <v>0.99434094221885505</v>
      </c>
      <c r="E1234" s="6">
        <f>B1234-MAX($B$2:B1234)</f>
        <v>-15.869999999999997</v>
      </c>
      <c r="F1234" s="80">
        <f t="shared" si="39"/>
        <v>1141</v>
      </c>
      <c r="G1234" s="77">
        <f>Comp2[[#This Row],[Comparable '#2 Drawdown]]/MAX($B$2:B1234)</f>
        <v>-0.27286795048143053</v>
      </c>
      <c r="H1234" s="1" t="str">
        <f>IF(SUM(COUNTIF(Benchmark1[Benchmark '#1 Dates],Comp2[[#This Row],[Comparable '#2 Dates]]),COUNTIF(Benchmark2[Benchmark '#2 Dates],Comp2[[#This Row],[Comparable '#2 Dates]]))=2,"Pass","Fail")</f>
        <v>Pass</v>
      </c>
      <c r="I1234" s="1">
        <f>IFERROR(Comp2[[#This Row],[Comparable '#2 Return]]-INDEX(Benchmark1[Benchmark '#1 Return],MATCH(Comp2[[#This Row],[Comparable '#2 Dates]],Benchmark1[Benchmark '#1 Dates],0)),"-")</f>
        <v>-1.8624271941922583E-2</v>
      </c>
      <c r="L1234" s="72">
        <f>Comp2[[#This Row],[Comparable '#2 Price]]/$B$2*100</f>
        <v>85.090543259557336</v>
      </c>
    </row>
    <row r="1235" spans="1:12">
      <c r="A1235" s="96">
        <v>45076</v>
      </c>
      <c r="B1235" s="101">
        <v>41.88</v>
      </c>
      <c r="C1235" s="4">
        <f t="shared" si="38"/>
        <v>-9.7422654820610282E-3</v>
      </c>
      <c r="D1235" s="1">
        <f>IFERROR(Comp2[[#This Row],[Comparable '#2 Return]]+1,"-")</f>
        <v>0.99025773451793897</v>
      </c>
      <c r="E1235" s="6">
        <f>B1235-MAX($B$2:B1235)</f>
        <v>-16.279999999999994</v>
      </c>
      <c r="F1235" s="80">
        <f t="shared" si="39"/>
        <v>1142</v>
      </c>
      <c r="G1235" s="77">
        <f>Comp2[[#This Row],[Comparable '#2 Drawdown]]/MAX($B$2:B1235)</f>
        <v>-0.27991746905089399</v>
      </c>
      <c r="H1235" s="1" t="str">
        <f>IF(SUM(COUNTIF(Benchmark1[Benchmark '#1 Dates],Comp2[[#This Row],[Comparable '#2 Dates]]),COUNTIF(Benchmark2[Benchmark '#2 Dates],Comp2[[#This Row],[Comparable '#2 Dates]]))=2,"Pass","Fail")</f>
        <v>Pass</v>
      </c>
      <c r="I1235" s="1">
        <f>IFERROR(Comp2[[#This Row],[Comparable '#2 Return]]-INDEX(Benchmark1[Benchmark '#1 Return],MATCH(Comp2[[#This Row],[Comparable '#2 Dates]],Benchmark1[Benchmark '#1 Dates],0)),"-")</f>
        <v>-9.7584744273085146E-3</v>
      </c>
      <c r="L1235" s="72">
        <f>Comp2[[#This Row],[Comparable '#2 Price]]/$B$2*100</f>
        <v>84.265593561368206</v>
      </c>
    </row>
    <row r="1236" spans="1:12">
      <c r="A1236" s="96">
        <v>45077</v>
      </c>
      <c r="B1236" s="101">
        <v>41.5</v>
      </c>
      <c r="C1236" s="4">
        <f t="shared" si="38"/>
        <v>-9.1149587656835472E-3</v>
      </c>
      <c r="D1236" s="1">
        <f>IFERROR(Comp2[[#This Row],[Comparable '#2 Return]]+1,"-")</f>
        <v>0.99088504123431642</v>
      </c>
      <c r="E1236" s="6">
        <f>B1236-MAX($B$2:B1236)</f>
        <v>-16.659999999999997</v>
      </c>
      <c r="F1236" s="80">
        <f t="shared" si="39"/>
        <v>1143</v>
      </c>
      <c r="G1236" s="77">
        <f>Comp2[[#This Row],[Comparable '#2 Drawdown]]/MAX($B$2:B1236)</f>
        <v>-0.2864511691884456</v>
      </c>
      <c r="H1236" s="1" t="str">
        <f>IF(SUM(COUNTIF(Benchmark1[Benchmark '#1 Dates],Comp2[[#This Row],[Comparable '#2 Dates]]),COUNTIF(Benchmark2[Benchmark '#2 Dates],Comp2[[#This Row],[Comparable '#2 Dates]]))=2,"Pass","Fail")</f>
        <v>Pass</v>
      </c>
      <c r="I1236" s="1">
        <f>IFERROR(Comp2[[#This Row],[Comparable '#2 Return]]-INDEX(Benchmark1[Benchmark '#1 Return],MATCH(Comp2[[#This Row],[Comparable '#2 Dates]],Benchmark1[Benchmark '#1 Dates],0)),"-")</f>
        <v>-2.9863357364862224E-3</v>
      </c>
      <c r="L1236" s="72">
        <f>Comp2[[#This Row],[Comparable '#2 Price]]/$B$2*100</f>
        <v>83.501006036217291</v>
      </c>
    </row>
    <row r="1237" spans="1:12">
      <c r="A1237" s="96">
        <v>45078</v>
      </c>
      <c r="B1237" s="101">
        <v>41.8</v>
      </c>
      <c r="C1237" s="4">
        <f t="shared" si="38"/>
        <v>7.2029122940580163E-3</v>
      </c>
      <c r="D1237" s="1">
        <f>IFERROR(Comp2[[#This Row],[Comparable '#2 Return]]+1,"-")</f>
        <v>1.007202912294058</v>
      </c>
      <c r="E1237" s="6">
        <f>B1237-MAX($B$2:B1237)</f>
        <v>-16.36</v>
      </c>
      <c r="F1237" s="80">
        <f t="shared" si="39"/>
        <v>1144</v>
      </c>
      <c r="G1237" s="77">
        <f>Comp2[[#This Row],[Comparable '#2 Drawdown]]/MAX($B$2:B1237)</f>
        <v>-0.28129298486932602</v>
      </c>
      <c r="H1237" s="1" t="str">
        <f>IF(SUM(COUNTIF(Benchmark1[Benchmark '#1 Dates],Comp2[[#This Row],[Comparable '#2 Dates]]),COUNTIF(Benchmark2[Benchmark '#2 Dates],Comp2[[#This Row],[Comparable '#2 Dates]]))=2,"Pass","Fail")</f>
        <v>Pass</v>
      </c>
      <c r="I1237" s="1">
        <f>IFERROR(Comp2[[#This Row],[Comparable '#2 Return]]-INDEX(Benchmark1[Benchmark '#1 Return],MATCH(Comp2[[#This Row],[Comparable '#2 Dates]],Benchmark1[Benchmark '#1 Dates],0)),"-")</f>
        <v>-2.6044537296729918E-3</v>
      </c>
      <c r="L1237" s="72">
        <f>Comp2[[#This Row],[Comparable '#2 Price]]/$B$2*100</f>
        <v>84.104627766599577</v>
      </c>
    </row>
    <row r="1238" spans="1:12">
      <c r="A1238" s="96">
        <v>45079</v>
      </c>
      <c r="B1238" s="101">
        <v>43.43</v>
      </c>
      <c r="C1238" s="4">
        <f t="shared" si="38"/>
        <v>3.825410701602E-2</v>
      </c>
      <c r="D1238" s="1">
        <f>IFERROR(Comp2[[#This Row],[Comparable '#2 Return]]+1,"-")</f>
        <v>1.0382541070160201</v>
      </c>
      <c r="E1238" s="6">
        <f>B1238-MAX($B$2:B1238)</f>
        <v>-14.729999999999997</v>
      </c>
      <c r="F1238" s="80">
        <f t="shared" si="39"/>
        <v>1145</v>
      </c>
      <c r="G1238" s="77">
        <f>Comp2[[#This Row],[Comparable '#2 Drawdown]]/MAX($B$2:B1238)</f>
        <v>-0.25326685006877575</v>
      </c>
      <c r="H1238" s="1" t="str">
        <f>IF(SUM(COUNTIF(Benchmark1[Benchmark '#1 Dates],Comp2[[#This Row],[Comparable '#2 Dates]]),COUNTIF(Benchmark2[Benchmark '#2 Dates],Comp2[[#This Row],[Comparable '#2 Dates]]))=2,"Pass","Fail")</f>
        <v>Pass</v>
      </c>
      <c r="I1238" s="1">
        <f>IFERROR(Comp2[[#This Row],[Comparable '#2 Return]]-INDEX(Benchmark1[Benchmark '#1 Return],MATCH(Comp2[[#This Row],[Comparable '#2 Dates]],Benchmark1[Benchmark '#1 Dates],0)),"-")</f>
        <v>2.382540224555512E-2</v>
      </c>
      <c r="L1238" s="72">
        <f>Comp2[[#This Row],[Comparable '#2 Price]]/$B$2*100</f>
        <v>87.384305835010053</v>
      </c>
    </row>
    <row r="1239" spans="1:12">
      <c r="A1239" s="96">
        <v>45082</v>
      </c>
      <c r="B1239" s="101">
        <v>41.26</v>
      </c>
      <c r="C1239" s="4">
        <f t="shared" si="38"/>
        <v>-5.1256938903624739E-2</v>
      </c>
      <c r="D1239" s="1">
        <f>IFERROR(Comp2[[#This Row],[Comparable '#2 Return]]+1,"-")</f>
        <v>0.9487430610963753</v>
      </c>
      <c r="E1239" s="6">
        <f>B1239-MAX($B$2:B1239)</f>
        <v>-16.899999999999999</v>
      </c>
      <c r="F1239" s="80">
        <f t="shared" si="39"/>
        <v>1146</v>
      </c>
      <c r="G1239" s="77">
        <f>Comp2[[#This Row],[Comparable '#2 Drawdown]]/MAX($B$2:B1239)</f>
        <v>-0.29057771664374138</v>
      </c>
      <c r="H1239" s="1" t="str">
        <f>IF(SUM(COUNTIF(Benchmark1[Benchmark '#1 Dates],Comp2[[#This Row],[Comparable '#2 Dates]]),COUNTIF(Benchmark2[Benchmark '#2 Dates],Comp2[[#This Row],[Comparable '#2 Dates]]))=2,"Pass","Fail")</f>
        <v>Pass</v>
      </c>
      <c r="I1239" s="1">
        <f>IFERROR(Comp2[[#This Row],[Comparable '#2 Return]]-INDEX(Benchmark1[Benchmark '#1 Return],MATCH(Comp2[[#This Row],[Comparable '#2 Dates]],Benchmark1[Benchmark '#1 Dates],0)),"-")</f>
        <v>-4.9253379163894696E-2</v>
      </c>
      <c r="L1239" s="72">
        <f>Comp2[[#This Row],[Comparable '#2 Price]]/$B$2*100</f>
        <v>83.018108651911461</v>
      </c>
    </row>
    <row r="1240" spans="1:12">
      <c r="A1240" s="96">
        <v>45083</v>
      </c>
      <c r="B1240" s="101">
        <v>42.13</v>
      </c>
      <c r="C1240" s="4">
        <f t="shared" si="38"/>
        <v>2.0866568347819418E-2</v>
      </c>
      <c r="D1240" s="1">
        <f>IFERROR(Comp2[[#This Row],[Comparable '#2 Return]]+1,"-")</f>
        <v>1.0208665683478195</v>
      </c>
      <c r="E1240" s="6">
        <f>B1240-MAX($B$2:B1240)</f>
        <v>-16.029999999999994</v>
      </c>
      <c r="F1240" s="80">
        <f t="shared" si="39"/>
        <v>1147</v>
      </c>
      <c r="G1240" s="77">
        <f>Comp2[[#This Row],[Comparable '#2 Drawdown]]/MAX($B$2:B1240)</f>
        <v>-0.27561898211829428</v>
      </c>
      <c r="H1240" s="1" t="str">
        <f>IF(SUM(COUNTIF(Benchmark1[Benchmark '#1 Dates],Comp2[[#This Row],[Comparable '#2 Dates]]),COUNTIF(Benchmark2[Benchmark '#2 Dates],Comp2[[#This Row],[Comparable '#2 Dates]]))=2,"Pass","Fail")</f>
        <v>Pass</v>
      </c>
      <c r="I1240" s="1">
        <f>IFERROR(Comp2[[#This Row],[Comparable '#2 Return]]-INDEX(Benchmark1[Benchmark '#1 Return],MATCH(Comp2[[#This Row],[Comparable '#2 Dates]],Benchmark1[Benchmark '#1 Dates],0)),"-")</f>
        <v>1.8516808487515423E-2</v>
      </c>
      <c r="L1240" s="72">
        <f>Comp2[[#This Row],[Comparable '#2 Price]]/$B$2*100</f>
        <v>84.768611670020121</v>
      </c>
    </row>
    <row r="1241" spans="1:12">
      <c r="A1241" s="96">
        <v>45084</v>
      </c>
      <c r="B1241" s="101">
        <v>42.48</v>
      </c>
      <c r="C1241" s="4">
        <f t="shared" si="38"/>
        <v>8.273300942758138E-3</v>
      </c>
      <c r="D1241" s="1">
        <f>IFERROR(Comp2[[#This Row],[Comparable '#2 Return]]+1,"-")</f>
        <v>1.0082733009427582</v>
      </c>
      <c r="E1241" s="6">
        <f>B1241-MAX($B$2:B1241)</f>
        <v>-15.68</v>
      </c>
      <c r="F1241" s="80">
        <f t="shared" si="39"/>
        <v>1148</v>
      </c>
      <c r="G1241" s="77">
        <f>Comp2[[#This Row],[Comparable '#2 Drawdown]]/MAX($B$2:B1241)</f>
        <v>-0.26960110041265478</v>
      </c>
      <c r="H1241" s="1" t="str">
        <f>IF(SUM(COUNTIF(Benchmark1[Benchmark '#1 Dates],Comp2[[#This Row],[Comparable '#2 Dates]]),COUNTIF(Benchmark2[Benchmark '#2 Dates],Comp2[[#This Row],[Comparable '#2 Dates]]))=2,"Pass","Fail")</f>
        <v>Pass</v>
      </c>
      <c r="I1241" s="1">
        <f>IFERROR(Comp2[[#This Row],[Comparable '#2 Return]]-INDEX(Benchmark1[Benchmark '#1 Return],MATCH(Comp2[[#This Row],[Comparable '#2 Dates]],Benchmark1[Benchmark '#1 Dates],0)),"-")</f>
        <v>1.2092559988934257E-2</v>
      </c>
      <c r="L1241" s="72">
        <f>Comp2[[#This Row],[Comparable '#2 Price]]/$B$2*100</f>
        <v>85.472837022132779</v>
      </c>
    </row>
    <row r="1242" spans="1:12">
      <c r="A1242" s="96">
        <v>45085</v>
      </c>
      <c r="B1242" s="101">
        <v>42.13</v>
      </c>
      <c r="C1242" s="4">
        <f t="shared" si="38"/>
        <v>-8.2733009427581189E-3</v>
      </c>
      <c r="D1242" s="1">
        <f>IFERROR(Comp2[[#This Row],[Comparable '#2 Return]]+1,"-")</f>
        <v>0.99172669905724187</v>
      </c>
      <c r="E1242" s="6">
        <f>B1242-MAX($B$2:B1242)</f>
        <v>-16.029999999999994</v>
      </c>
      <c r="F1242" s="80">
        <f t="shared" si="39"/>
        <v>1149</v>
      </c>
      <c r="G1242" s="77">
        <f>Comp2[[#This Row],[Comparable '#2 Drawdown]]/MAX($B$2:B1242)</f>
        <v>-0.27561898211829428</v>
      </c>
      <c r="H1242" s="1" t="str">
        <f>IF(SUM(COUNTIF(Benchmark1[Benchmark '#1 Dates],Comp2[[#This Row],[Comparable '#2 Dates]]),COUNTIF(Benchmark2[Benchmark '#2 Dates],Comp2[[#This Row],[Comparable '#2 Dates]]))=2,"Pass","Fail")</f>
        <v>Pass</v>
      </c>
      <c r="I1242" s="1">
        <f>IFERROR(Comp2[[#This Row],[Comparable '#2 Return]]-INDEX(Benchmark1[Benchmark '#1 Return],MATCH(Comp2[[#This Row],[Comparable '#2 Dates]],Benchmark1[Benchmark '#1 Dates],0)),"-")</f>
        <v>-1.4442676872870285E-2</v>
      </c>
      <c r="L1242" s="72">
        <f>Comp2[[#This Row],[Comparable '#2 Price]]/$B$2*100</f>
        <v>84.768611670020121</v>
      </c>
    </row>
    <row r="1243" spans="1:12">
      <c r="A1243" s="96">
        <v>45086</v>
      </c>
      <c r="B1243" s="101">
        <v>41.94</v>
      </c>
      <c r="C1243" s="4">
        <f t="shared" si="38"/>
        <v>-4.5200505171514409E-3</v>
      </c>
      <c r="D1243" s="1">
        <f>IFERROR(Comp2[[#This Row],[Comparable '#2 Return]]+1,"-")</f>
        <v>0.99547994948284857</v>
      </c>
      <c r="E1243" s="6">
        <f>B1243-MAX($B$2:B1243)</f>
        <v>-16.22</v>
      </c>
      <c r="F1243" s="80">
        <f t="shared" si="39"/>
        <v>1150</v>
      </c>
      <c r="G1243" s="77">
        <f>Comp2[[#This Row],[Comparable '#2 Drawdown]]/MAX($B$2:B1243)</f>
        <v>-0.27888583218707014</v>
      </c>
      <c r="H1243" s="1" t="str">
        <f>IF(SUM(COUNTIF(Benchmark1[Benchmark '#1 Dates],Comp2[[#This Row],[Comparable '#2 Dates]]),COUNTIF(Benchmark2[Benchmark '#2 Dates],Comp2[[#This Row],[Comparable '#2 Dates]]))=2,"Pass","Fail")</f>
        <v>Pass</v>
      </c>
      <c r="I1243" s="1">
        <f>IFERROR(Comp2[[#This Row],[Comparable '#2 Return]]-INDEX(Benchmark1[Benchmark '#1 Return],MATCH(Comp2[[#This Row],[Comparable '#2 Dates]],Benchmark1[Benchmark '#1 Dates],0)),"-")</f>
        <v>-5.6674190538505932E-3</v>
      </c>
      <c r="L1243" s="72">
        <f>Comp2[[#This Row],[Comparable '#2 Price]]/$B$2*100</f>
        <v>84.386317907444663</v>
      </c>
    </row>
    <row r="1244" spans="1:12">
      <c r="A1244" s="96">
        <v>45089</v>
      </c>
      <c r="B1244" s="101">
        <v>41.01</v>
      </c>
      <c r="C1244" s="4">
        <f t="shared" si="38"/>
        <v>-2.2424086069805973E-2</v>
      </c>
      <c r="D1244" s="1">
        <f>IFERROR(Comp2[[#This Row],[Comparable '#2 Return]]+1,"-")</f>
        <v>0.97757591393019405</v>
      </c>
      <c r="E1244" s="6">
        <f>B1244-MAX($B$2:B1244)</f>
        <v>-17.149999999999999</v>
      </c>
      <c r="F1244" s="80">
        <f t="shared" si="39"/>
        <v>1151</v>
      </c>
      <c r="G1244" s="77">
        <f>Comp2[[#This Row],[Comparable '#2 Drawdown]]/MAX($B$2:B1244)</f>
        <v>-0.29487620357634114</v>
      </c>
      <c r="H1244" s="1" t="str">
        <f>IF(SUM(COUNTIF(Benchmark1[Benchmark '#1 Dates],Comp2[[#This Row],[Comparable '#2 Dates]]),COUNTIF(Benchmark2[Benchmark '#2 Dates],Comp2[[#This Row],[Comparable '#2 Dates]]))=2,"Pass","Fail")</f>
        <v>Pass</v>
      </c>
      <c r="I1244" s="1">
        <f>IFERROR(Comp2[[#This Row],[Comparable '#2 Return]]-INDEX(Benchmark1[Benchmark '#1 Return],MATCH(Comp2[[#This Row],[Comparable '#2 Dates]],Benchmark1[Benchmark '#1 Dates],0)),"-")</f>
        <v>-3.1703636243436473E-2</v>
      </c>
      <c r="L1244" s="72">
        <f>Comp2[[#This Row],[Comparable '#2 Price]]/$B$2*100</f>
        <v>82.515090543259547</v>
      </c>
    </row>
    <row r="1245" spans="1:12">
      <c r="A1245" s="96">
        <v>45090</v>
      </c>
      <c r="B1245" s="101">
        <v>40.58</v>
      </c>
      <c r="C1245" s="4">
        <f t="shared" si="38"/>
        <v>-1.0540605006299232E-2</v>
      </c>
      <c r="D1245" s="1">
        <f>IFERROR(Comp2[[#This Row],[Comparable '#2 Return]]+1,"-")</f>
        <v>0.98945939499370072</v>
      </c>
      <c r="E1245" s="6">
        <f>B1245-MAX($B$2:B1245)</f>
        <v>-17.579999999999998</v>
      </c>
      <c r="F1245" s="80">
        <f t="shared" si="39"/>
        <v>1152</v>
      </c>
      <c r="G1245" s="77">
        <f>Comp2[[#This Row],[Comparable '#2 Drawdown]]/MAX($B$2:B1245)</f>
        <v>-0.30226960110041262</v>
      </c>
      <c r="H1245" s="1" t="str">
        <f>IF(SUM(COUNTIF(Benchmark1[Benchmark '#1 Dates],Comp2[[#This Row],[Comparable '#2 Dates]]),COUNTIF(Benchmark2[Benchmark '#2 Dates],Comp2[[#This Row],[Comparable '#2 Dates]]))=2,"Pass","Fail")</f>
        <v>Pass</v>
      </c>
      <c r="I1245" s="1">
        <f>IFERROR(Comp2[[#This Row],[Comparable '#2 Return]]-INDEX(Benchmark1[Benchmark '#1 Return],MATCH(Comp2[[#This Row],[Comparable '#2 Dates]],Benchmark1[Benchmark '#1 Dates],0)),"-")</f>
        <v>-1.7447419994092703E-2</v>
      </c>
      <c r="L1245" s="72">
        <f>Comp2[[#This Row],[Comparable '#2 Price]]/$B$2*100</f>
        <v>81.64989939637826</v>
      </c>
    </row>
    <row r="1246" spans="1:12">
      <c r="A1246" s="96">
        <v>45091</v>
      </c>
      <c r="B1246" s="101">
        <v>39.380000000000003</v>
      </c>
      <c r="C1246" s="4">
        <f t="shared" si="38"/>
        <v>-3.0017261186689053E-2</v>
      </c>
      <c r="D1246" s="1">
        <f>IFERROR(Comp2[[#This Row],[Comparable '#2 Return]]+1,"-")</f>
        <v>0.96998273881331099</v>
      </c>
      <c r="E1246" s="6">
        <f>B1246-MAX($B$2:B1246)</f>
        <v>-18.779999999999994</v>
      </c>
      <c r="F1246" s="80">
        <f t="shared" si="39"/>
        <v>1153</v>
      </c>
      <c r="G1246" s="77">
        <f>Comp2[[#This Row],[Comparable '#2 Drawdown]]/MAX($B$2:B1246)</f>
        <v>-0.32290233837689125</v>
      </c>
      <c r="H1246" s="1" t="str">
        <f>IF(SUM(COUNTIF(Benchmark1[Benchmark '#1 Dates],Comp2[[#This Row],[Comparable '#2 Dates]]),COUNTIF(Benchmark2[Benchmark '#2 Dates],Comp2[[#This Row],[Comparable '#2 Dates]]))=2,"Pass","Fail")</f>
        <v>Pass</v>
      </c>
      <c r="I1246" s="1">
        <f>IFERROR(Comp2[[#This Row],[Comparable '#2 Return]]-INDEX(Benchmark1[Benchmark '#1 Return],MATCH(Comp2[[#This Row],[Comparable '#2 Dates]],Benchmark1[Benchmark '#1 Dates],0)),"-")</f>
        <v>-3.0837033034903497E-2</v>
      </c>
      <c r="L1246" s="72">
        <f>Comp2[[#This Row],[Comparable '#2 Price]]/$B$2*100</f>
        <v>79.235412474849099</v>
      </c>
    </row>
    <row r="1247" spans="1:12">
      <c r="A1247" s="96">
        <v>45092</v>
      </c>
      <c r="B1247" s="101">
        <v>38.76</v>
      </c>
      <c r="C1247" s="4">
        <f t="shared" si="38"/>
        <v>-1.5869286188414142E-2</v>
      </c>
      <c r="D1247" s="1">
        <f>IFERROR(Comp2[[#This Row],[Comparable '#2 Return]]+1,"-")</f>
        <v>0.9841307138115859</v>
      </c>
      <c r="E1247" s="6">
        <f>B1247-MAX($B$2:B1247)</f>
        <v>-19.399999999999999</v>
      </c>
      <c r="F1247" s="80">
        <f t="shared" si="39"/>
        <v>1154</v>
      </c>
      <c r="G1247" s="77">
        <f>Comp2[[#This Row],[Comparable '#2 Drawdown]]/MAX($B$2:B1247)</f>
        <v>-0.33356258596973865</v>
      </c>
      <c r="H1247" s="1" t="str">
        <f>IF(SUM(COUNTIF(Benchmark1[Benchmark '#1 Dates],Comp2[[#This Row],[Comparable '#2 Dates]]),COUNTIF(Benchmark2[Benchmark '#2 Dates],Comp2[[#This Row],[Comparable '#2 Dates]]))=2,"Pass","Fail")</f>
        <v>Pass</v>
      </c>
      <c r="I1247" s="1">
        <f>IFERROR(Comp2[[#This Row],[Comparable '#2 Return]]-INDEX(Benchmark1[Benchmark '#1 Return],MATCH(Comp2[[#This Row],[Comparable '#2 Dates]],Benchmark1[Benchmark '#1 Dates],0)),"-")</f>
        <v>-2.79749573414215E-2</v>
      </c>
      <c r="L1247" s="72">
        <f>Comp2[[#This Row],[Comparable '#2 Price]]/$B$2*100</f>
        <v>77.98792756539234</v>
      </c>
    </row>
    <row r="1248" spans="1:12">
      <c r="A1248" s="96">
        <v>45093</v>
      </c>
      <c r="B1248" s="101">
        <v>38.840000000000003</v>
      </c>
      <c r="C1248" s="4">
        <f t="shared" si="38"/>
        <v>2.0618564005587771E-3</v>
      </c>
      <c r="D1248" s="1">
        <f>IFERROR(Comp2[[#This Row],[Comparable '#2 Return]]+1,"-")</f>
        <v>1.0020618564005588</v>
      </c>
      <c r="E1248" s="6">
        <f>B1248-MAX($B$2:B1248)</f>
        <v>-19.319999999999993</v>
      </c>
      <c r="F1248" s="80">
        <f t="shared" si="39"/>
        <v>1155</v>
      </c>
      <c r="G1248" s="77">
        <f>Comp2[[#This Row],[Comparable '#2 Drawdown]]/MAX($B$2:B1248)</f>
        <v>-0.33218707015130666</v>
      </c>
      <c r="H1248" s="1" t="str">
        <f>IF(SUM(COUNTIF(Benchmark1[Benchmark '#1 Dates],Comp2[[#This Row],[Comparable '#2 Dates]]),COUNTIF(Benchmark2[Benchmark '#2 Dates],Comp2[[#This Row],[Comparable '#2 Dates]]))=2,"Pass","Fail")</f>
        <v>Pass</v>
      </c>
      <c r="I1248" s="1">
        <f>IFERROR(Comp2[[#This Row],[Comparable '#2 Return]]-INDEX(Benchmark1[Benchmark '#1 Return],MATCH(Comp2[[#This Row],[Comparable '#2 Dates]],Benchmark1[Benchmark '#1 Dates],0)),"-")</f>
        <v>5.7402074005409847E-3</v>
      </c>
      <c r="L1248" s="72">
        <f>Comp2[[#This Row],[Comparable '#2 Price]]/$B$2*100</f>
        <v>78.148893360160969</v>
      </c>
    </row>
    <row r="1249" spans="1:12">
      <c r="A1249" s="96">
        <v>45097</v>
      </c>
      <c r="B1249" s="101">
        <v>38.53</v>
      </c>
      <c r="C1249" s="4">
        <f t="shared" si="38"/>
        <v>-8.0134847850579592E-3</v>
      </c>
      <c r="D1249" s="1">
        <f>IFERROR(Comp2[[#This Row],[Comparable '#2 Return]]+1,"-")</f>
        <v>0.99198651521494208</v>
      </c>
      <c r="E1249" s="6">
        <f>B1249-MAX($B$2:B1249)</f>
        <v>-19.629999999999995</v>
      </c>
      <c r="F1249" s="80">
        <f t="shared" si="39"/>
        <v>1156</v>
      </c>
      <c r="G1249" s="77">
        <f>Comp2[[#This Row],[Comparable '#2 Drawdown]]/MAX($B$2:B1249)</f>
        <v>-0.33751719394773033</v>
      </c>
      <c r="H1249" s="1" t="str">
        <f>IF(SUM(COUNTIF(Benchmark1[Benchmark '#1 Dates],Comp2[[#This Row],[Comparable '#2 Dates]]),COUNTIF(Benchmark2[Benchmark '#2 Dates],Comp2[[#This Row],[Comparable '#2 Dates]]))=2,"Pass","Fail")</f>
        <v>Pass</v>
      </c>
      <c r="I1249" s="1">
        <f>IFERROR(Comp2[[#This Row],[Comparable '#2 Return]]-INDEX(Benchmark1[Benchmark '#1 Return],MATCH(Comp2[[#This Row],[Comparable '#2 Dates]],Benchmark1[Benchmark '#1 Dates],0)),"-")</f>
        <v>-3.2660597715019665E-3</v>
      </c>
      <c r="L1249" s="72">
        <f>Comp2[[#This Row],[Comparable '#2 Price]]/$B$2*100</f>
        <v>77.525150905432596</v>
      </c>
    </row>
    <row r="1250" spans="1:12">
      <c r="A1250" s="96">
        <v>45098</v>
      </c>
      <c r="B1250" s="101">
        <v>37.020000000000003</v>
      </c>
      <c r="C1250" s="4">
        <f t="shared" si="38"/>
        <v>-3.9978851492714768E-2</v>
      </c>
      <c r="D1250" s="1">
        <f>IFERROR(Comp2[[#This Row],[Comparable '#2 Return]]+1,"-")</f>
        <v>0.96002114850728526</v>
      </c>
      <c r="E1250" s="6">
        <f>B1250-MAX($B$2:B1250)</f>
        <v>-21.139999999999993</v>
      </c>
      <c r="F1250" s="80">
        <f t="shared" si="39"/>
        <v>1157</v>
      </c>
      <c r="G1250" s="77">
        <f>Comp2[[#This Row],[Comparable '#2 Drawdown]]/MAX($B$2:B1250)</f>
        <v>-0.36348005502063263</v>
      </c>
      <c r="H1250" s="1" t="str">
        <f>IF(SUM(COUNTIF(Benchmark1[Benchmark '#1 Dates],Comp2[[#This Row],[Comparable '#2 Dates]]),COUNTIF(Benchmark2[Benchmark '#2 Dates],Comp2[[#This Row],[Comparable '#2 Dates]]))=2,"Pass","Fail")</f>
        <v>Pass</v>
      </c>
      <c r="I1250" s="1">
        <f>IFERROR(Comp2[[#This Row],[Comparable '#2 Return]]-INDEX(Benchmark1[Benchmark '#1 Return],MATCH(Comp2[[#This Row],[Comparable '#2 Dates]],Benchmark1[Benchmark '#1 Dates],0)),"-")</f>
        <v>-3.4719787095089827E-2</v>
      </c>
      <c r="L1250" s="72">
        <f>Comp2[[#This Row],[Comparable '#2 Price]]/$B$2*100</f>
        <v>74.486921529175049</v>
      </c>
    </row>
    <row r="1251" spans="1:12">
      <c r="A1251" s="96">
        <v>45099</v>
      </c>
      <c r="B1251" s="101">
        <v>36.159999999999997</v>
      </c>
      <c r="C1251" s="4">
        <f t="shared" si="38"/>
        <v>-2.3504771621375931E-2</v>
      </c>
      <c r="D1251" s="1">
        <f>IFERROR(Comp2[[#This Row],[Comparable '#2 Return]]+1,"-")</f>
        <v>0.97649522837862412</v>
      </c>
      <c r="E1251" s="6">
        <f>B1251-MAX($B$2:B1251)</f>
        <v>-22</v>
      </c>
      <c r="F1251" s="80">
        <f t="shared" si="39"/>
        <v>1158</v>
      </c>
      <c r="G1251" s="77">
        <f>Comp2[[#This Row],[Comparable '#2 Drawdown]]/MAX($B$2:B1251)</f>
        <v>-0.37826685006877581</v>
      </c>
      <c r="H1251" s="1" t="str">
        <f>IF(SUM(COUNTIF(Benchmark1[Benchmark '#1 Dates],Comp2[[#This Row],[Comparable '#2 Dates]]),COUNTIF(Benchmark2[Benchmark '#2 Dates],Comp2[[#This Row],[Comparable '#2 Dates]]))=2,"Pass","Fail")</f>
        <v>Pass</v>
      </c>
      <c r="I1251" s="1">
        <f>IFERROR(Comp2[[#This Row],[Comparable '#2 Return]]-INDEX(Benchmark1[Benchmark '#1 Return],MATCH(Comp2[[#This Row],[Comparable '#2 Dates]],Benchmark1[Benchmark '#1 Dates],0)),"-")</f>
        <v>-2.720880442252294E-2</v>
      </c>
      <c r="L1251" s="72">
        <f>Comp2[[#This Row],[Comparable '#2 Price]]/$B$2*100</f>
        <v>72.756539235412461</v>
      </c>
    </row>
    <row r="1252" spans="1:12">
      <c r="A1252" s="96">
        <v>45100</v>
      </c>
      <c r="B1252" s="101">
        <v>34.950000000000003</v>
      </c>
      <c r="C1252" s="4">
        <f t="shared" si="38"/>
        <v>-3.4035066844156317E-2</v>
      </c>
      <c r="D1252" s="1">
        <f>IFERROR(Comp2[[#This Row],[Comparable '#2 Return]]+1,"-")</f>
        <v>0.96596493315584364</v>
      </c>
      <c r="E1252" s="6">
        <f>B1252-MAX($B$2:B1252)</f>
        <v>-23.209999999999994</v>
      </c>
      <c r="F1252" s="80">
        <f t="shared" si="39"/>
        <v>1159</v>
      </c>
      <c r="G1252" s="77">
        <f>Comp2[[#This Row],[Comparable '#2 Drawdown]]/MAX($B$2:B1252)</f>
        <v>-0.39907152682255836</v>
      </c>
      <c r="H1252" s="1" t="str">
        <f>IF(SUM(COUNTIF(Benchmark1[Benchmark '#1 Dates],Comp2[[#This Row],[Comparable '#2 Dates]]),COUNTIF(Benchmark2[Benchmark '#2 Dates],Comp2[[#This Row],[Comparable '#2 Dates]]))=2,"Pass","Fail")</f>
        <v>Pass</v>
      </c>
      <c r="I1252" s="1">
        <f>IFERROR(Comp2[[#This Row],[Comparable '#2 Return]]-INDEX(Benchmark1[Benchmark '#1 Return],MATCH(Comp2[[#This Row],[Comparable '#2 Dates]],Benchmark1[Benchmark '#1 Dates],0)),"-")</f>
        <v>-2.6346837516709021E-2</v>
      </c>
      <c r="L1252" s="72">
        <f>Comp2[[#This Row],[Comparable '#2 Price]]/$B$2*100</f>
        <v>70.321931589537229</v>
      </c>
    </row>
    <row r="1253" spans="1:12">
      <c r="A1253" s="96">
        <v>45103</v>
      </c>
      <c r="B1253" s="101">
        <v>34.26</v>
      </c>
      <c r="C1253" s="4">
        <f t="shared" si="38"/>
        <v>-1.9939975783845505E-2</v>
      </c>
      <c r="D1253" s="1">
        <f>IFERROR(Comp2[[#This Row],[Comparable '#2 Return]]+1,"-")</f>
        <v>0.98006002421615446</v>
      </c>
      <c r="E1253" s="6">
        <f>B1253-MAX($B$2:B1253)</f>
        <v>-23.9</v>
      </c>
      <c r="F1253" s="80">
        <f t="shared" si="39"/>
        <v>1160</v>
      </c>
      <c r="G1253" s="77">
        <f>Comp2[[#This Row],[Comparable '#2 Drawdown]]/MAX($B$2:B1253)</f>
        <v>-0.4109353507565337</v>
      </c>
      <c r="H1253" s="1" t="str">
        <f>IF(SUM(COUNTIF(Benchmark1[Benchmark '#1 Dates],Comp2[[#This Row],[Comparable '#2 Dates]]),COUNTIF(Benchmark2[Benchmark '#2 Dates],Comp2[[#This Row],[Comparable '#2 Dates]]))=2,"Pass","Fail")</f>
        <v>Pass</v>
      </c>
      <c r="I1253" s="1">
        <f>IFERROR(Comp2[[#This Row],[Comparable '#2 Return]]-INDEX(Benchmark1[Benchmark '#1 Return],MATCH(Comp2[[#This Row],[Comparable '#2 Dates]],Benchmark1[Benchmark '#1 Dates],0)),"-")</f>
        <v>-1.5443317196037316E-2</v>
      </c>
      <c r="L1253" s="72">
        <f>Comp2[[#This Row],[Comparable '#2 Price]]/$B$2*100</f>
        <v>68.933601609657941</v>
      </c>
    </row>
    <row r="1254" spans="1:12">
      <c r="A1254" s="96">
        <v>45104</v>
      </c>
      <c r="B1254" s="101">
        <v>34.200000000000003</v>
      </c>
      <c r="C1254" s="4">
        <f t="shared" si="38"/>
        <v>-1.7528488274142493E-3</v>
      </c>
      <c r="D1254" s="1">
        <f>IFERROR(Comp2[[#This Row],[Comparable '#2 Return]]+1,"-")</f>
        <v>0.99824715117258578</v>
      </c>
      <c r="E1254" s="6">
        <f>B1254-MAX($B$2:B1254)</f>
        <v>-23.959999999999994</v>
      </c>
      <c r="F1254" s="80">
        <f t="shared" si="39"/>
        <v>1161</v>
      </c>
      <c r="G1254" s="77">
        <f>Comp2[[#This Row],[Comparable '#2 Drawdown]]/MAX($B$2:B1254)</f>
        <v>-0.41196698762035755</v>
      </c>
      <c r="H1254" s="1" t="str">
        <f>IF(SUM(COUNTIF(Benchmark1[Benchmark '#1 Dates],Comp2[[#This Row],[Comparable '#2 Dates]]),COUNTIF(Benchmark2[Benchmark '#2 Dates],Comp2[[#This Row],[Comparable '#2 Dates]]))=2,"Pass","Fail")</f>
        <v>Pass</v>
      </c>
      <c r="I1254" s="1">
        <f>IFERROR(Comp2[[#This Row],[Comparable '#2 Return]]-INDEX(Benchmark1[Benchmark '#1 Return],MATCH(Comp2[[#This Row],[Comparable '#2 Dates]],Benchmark1[Benchmark '#1 Dates],0)),"-")</f>
        <v>-1.3142066643252102E-2</v>
      </c>
      <c r="L1254" s="72">
        <f>Comp2[[#This Row],[Comparable '#2 Price]]/$B$2*100</f>
        <v>68.812877263581498</v>
      </c>
    </row>
    <row r="1255" spans="1:12">
      <c r="A1255" s="96">
        <v>45105</v>
      </c>
      <c r="B1255" s="101">
        <v>33.81</v>
      </c>
      <c r="C1255" s="4">
        <f t="shared" si="38"/>
        <v>-1.146902734876488E-2</v>
      </c>
      <c r="D1255" s="1">
        <f>IFERROR(Comp2[[#This Row],[Comparable '#2 Return]]+1,"-")</f>
        <v>0.98853097265123513</v>
      </c>
      <c r="E1255" s="6">
        <f>B1255-MAX($B$2:B1255)</f>
        <v>-24.349999999999994</v>
      </c>
      <c r="F1255" s="80">
        <f t="shared" si="39"/>
        <v>1162</v>
      </c>
      <c r="G1255" s="77">
        <f>Comp2[[#This Row],[Comparable '#2 Drawdown]]/MAX($B$2:B1255)</f>
        <v>-0.41867262723521315</v>
      </c>
      <c r="H1255" s="1" t="str">
        <f>IF(SUM(COUNTIF(Benchmark1[Benchmark '#1 Dates],Comp2[[#This Row],[Comparable '#2 Dates]]),COUNTIF(Benchmark2[Benchmark '#2 Dates],Comp2[[#This Row],[Comparable '#2 Dates]]))=2,"Pass","Fail")</f>
        <v>Pass</v>
      </c>
      <c r="I1255" s="1">
        <f>IFERROR(Comp2[[#This Row],[Comparable '#2 Return]]-INDEX(Benchmark1[Benchmark '#1 Return],MATCH(Comp2[[#This Row],[Comparable '#2 Dates]],Benchmark1[Benchmark '#1 Dates],0)),"-")</f>
        <v>-1.1116870711098081E-2</v>
      </c>
      <c r="L1255" s="72">
        <f>Comp2[[#This Row],[Comparable '#2 Price]]/$B$2*100</f>
        <v>68.028169014084511</v>
      </c>
    </row>
    <row r="1256" spans="1:12">
      <c r="A1256" s="96">
        <v>45106</v>
      </c>
      <c r="B1256" s="101">
        <v>34.450000000000003</v>
      </c>
      <c r="C1256" s="4">
        <f t="shared" si="38"/>
        <v>1.875238073987304E-2</v>
      </c>
      <c r="D1256" s="1">
        <f>IFERROR(Comp2[[#This Row],[Comparable '#2 Return]]+1,"-")</f>
        <v>1.0187523807398731</v>
      </c>
      <c r="E1256" s="6">
        <f>B1256-MAX($B$2:B1258)</f>
        <v>-23.709999999999994</v>
      </c>
      <c r="F1256" s="80">
        <f t="shared" si="39"/>
        <v>1163</v>
      </c>
      <c r="G1256" s="77">
        <f>Comp2[[#This Row],[Comparable '#2 Drawdown]]/MAX($B$2:B1258)</f>
        <v>-0.40766850068775784</v>
      </c>
      <c r="H1256" s="1" t="str">
        <f>IF(SUM(COUNTIF(Benchmark1[Benchmark '#1 Dates],Comp2[[#This Row],[Comparable '#2 Dates]]),COUNTIF(Benchmark2[Benchmark '#2 Dates],Comp2[[#This Row],[Comparable '#2 Dates]]))=2,"Pass","Fail")</f>
        <v>Pass</v>
      </c>
      <c r="I1256" s="1">
        <f>IFERROR(Comp2[[#This Row],[Comparable '#2 Return]]-INDEX(Benchmark1[Benchmark '#1 Return],MATCH(Comp2[[#This Row],[Comparable '#2 Dates]],Benchmark1[Benchmark '#1 Dates],0)),"-")</f>
        <v>1.4288900901898226E-2</v>
      </c>
      <c r="L1256" s="72">
        <f>Comp2[[#This Row],[Comparable '#2 Price]]/$B$2*100</f>
        <v>69.315895372233399</v>
      </c>
    </row>
    <row r="1257" spans="1:12">
      <c r="A1257" s="103">
        <v>45107</v>
      </c>
      <c r="B1257" s="104">
        <v>34.340000000000003</v>
      </c>
      <c r="C1257" s="4">
        <f t="shared" ref="C1257:C1258" si="40">IFERROR(IF(B1257="","-",LN(B1257/B1256)),"-")</f>
        <v>-3.1981419903380948E-3</v>
      </c>
      <c r="D1257" s="1">
        <f>IFERROR(Comp2[[#This Row],[Comparable '#2 Return]]+1,"-")</f>
        <v>0.99680185800966192</v>
      </c>
      <c r="E1257" s="6">
        <f>B1257-MAX($B$2:B1257)</f>
        <v>-23.819999999999993</v>
      </c>
      <c r="F1257" s="80">
        <f t="shared" ref="F1257:F1258" si="41">IF(E1257=0,0,F1256+1)</f>
        <v>1164</v>
      </c>
      <c r="G1257" s="77">
        <f>Comp2[[#This Row],[Comparable '#2 Drawdown]]/MAX($B$2:B1257)</f>
        <v>-0.40955983493810172</v>
      </c>
      <c r="H1257" s="1" t="str">
        <f>IF(SUM(COUNTIF(Benchmark1[Benchmark '#1 Dates],Comp2[[#This Row],[Comparable '#2 Dates]]),COUNTIF(Benchmark2[Benchmark '#2 Dates],Comp2[[#This Row],[Comparable '#2 Dates]]))=2,"Pass","Fail")</f>
        <v>Pass</v>
      </c>
      <c r="I1257" s="1">
        <f>IFERROR(Comp2[[#This Row],[Comparable '#2 Return]]-INDEX(Benchmark1[Benchmark '#1 Return],MATCH(Comp2[[#This Row],[Comparable '#2 Dates]],Benchmark1[Benchmark '#1 Dates],0)),"-")</f>
        <v>-1.5392022472661367E-2</v>
      </c>
    </row>
    <row r="1258" spans="1:12">
      <c r="A1258" s="103">
        <v>45110</v>
      </c>
      <c r="B1258" s="104">
        <v>34.520000000000003</v>
      </c>
      <c r="C1258" s="4">
        <f t="shared" si="40"/>
        <v>5.228010745897637E-3</v>
      </c>
      <c r="D1258" s="1">
        <f>IFERROR(Comp2[[#This Row],[Comparable '#2 Return]]+1,"-")</f>
        <v>1.0052280107458977</v>
      </c>
      <c r="E1258" s="6">
        <f>B1258-MAX($B$2:B1258)</f>
        <v>-23.639999999999993</v>
      </c>
      <c r="F1258" s="80">
        <f t="shared" si="41"/>
        <v>1165</v>
      </c>
      <c r="G1258" s="77">
        <f>Comp2[[#This Row],[Comparable '#2 Drawdown]]/MAX($B$2:B1258)</f>
        <v>-0.4064649243466299</v>
      </c>
      <c r="H1258" s="1" t="str">
        <f>IF(SUM(COUNTIF(Benchmark1[Benchmark '#1 Dates],Comp2[[#This Row],[Comparable '#2 Dates]]),COUNTIF(Benchmark2[Benchmark '#2 Dates],Comp2[[#This Row],[Comparable '#2 Dates]]))=2,"Pass","Fail")</f>
        <v>Pass</v>
      </c>
      <c r="I1258" s="1">
        <f>IFERROR(Comp2[[#This Row],[Comparable '#2 Return]]-INDEX(Benchmark1[Benchmark '#1 Return],MATCH(Comp2[[#This Row],[Comparable '#2 Dates]],Benchmark1[Benchmark '#1 Dates],0)),"-")</f>
        <v>4.0574338593731153E-3</v>
      </c>
    </row>
  </sheetData>
  <phoneticPr fontId="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99CF0-88C3-4BB0-86BC-D36856592CFF}">
  <sheetPr codeName="Sheet9">
    <tabColor theme="1"/>
  </sheetPr>
  <dimension ref="A1:L1258"/>
  <sheetViews>
    <sheetView zoomScale="85" zoomScaleNormal="85" workbookViewId="0">
      <pane ySplit="1" topLeftCell="A2" activePane="bottomLeft" state="frozen"/>
      <selection pane="bottomLeft" activeCell="B1260" sqref="B1260"/>
    </sheetView>
  </sheetViews>
  <sheetFormatPr defaultColWidth="8.85546875" defaultRowHeight="15"/>
  <cols>
    <col min="1" max="1" width="14.42578125" bestFit="1" customWidth="1"/>
    <col min="2" max="2" width="14.28515625" bestFit="1" customWidth="1"/>
    <col min="3" max="3" width="15" bestFit="1" customWidth="1"/>
    <col min="4" max="4" width="17.85546875" bestFit="1" customWidth="1"/>
    <col min="5" max="5" width="17" bestFit="1" customWidth="1"/>
    <col min="6" max="6" width="17" style="82" customWidth="1"/>
    <col min="7" max="7" width="23" bestFit="1" customWidth="1"/>
    <col min="8" max="8" width="17.28515625" bestFit="1" customWidth="1"/>
    <col min="9" max="9" width="32" bestFit="1" customWidth="1"/>
  </cols>
  <sheetData>
    <row r="1" spans="1:12" s="2" customFormat="1" ht="36" customHeight="1" thickBot="1">
      <c r="A1" s="3" t="s">
        <v>100</v>
      </c>
      <c r="B1" s="3" t="s">
        <v>82</v>
      </c>
      <c r="C1" s="8" t="s">
        <v>83</v>
      </c>
      <c r="D1" s="8" t="s">
        <v>101</v>
      </c>
      <c r="E1" s="8" t="s">
        <v>102</v>
      </c>
      <c r="F1" s="79" t="s">
        <v>103</v>
      </c>
      <c r="G1" s="8" t="s">
        <v>104</v>
      </c>
      <c r="H1" s="7" t="s">
        <v>81</v>
      </c>
      <c r="I1" s="7" t="s">
        <v>84</v>
      </c>
      <c r="L1" s="73" t="s">
        <v>105</v>
      </c>
    </row>
    <row r="2" spans="1:12">
      <c r="A2" s="96">
        <v>43286</v>
      </c>
      <c r="B2" s="101">
        <v>117.21</v>
      </c>
      <c r="C2" s="1" t="str">
        <f t="shared" ref="C2:C65" si="0">IFERROR(IF(B2="","-",LN(B2/B1)),"-")</f>
        <v>-</v>
      </c>
      <c r="D2" s="1" t="str">
        <f>IFERROR(Comp3[[#This Row],[Comparable '#3 Return]]+1,"-")</f>
        <v>-</v>
      </c>
      <c r="E2" s="6">
        <f>B2-MAX($B$2:B2)</f>
        <v>0</v>
      </c>
      <c r="F2" s="80">
        <f t="shared" ref="F2:F65" si="1">IF(E2=0,0,F1+1)</f>
        <v>0</v>
      </c>
      <c r="G2" s="6">
        <f>IFERROR(Comp3[[#This Row],[Comparable '#3 Drawdown]]/MAX($B$2:B2),"-")</f>
        <v>0</v>
      </c>
      <c r="H2" s="1" t="str">
        <f>IF(SUM(COUNTIF(Benchmark1[Benchmark '#1 Dates],Comp3[[#This Row],[Comparable '#3 Dates]]),COUNTIF(Benchmark2[Benchmark '#2 Dates],Comp3[[#This Row],[Comparable '#3 Dates]]))=2,"Pass","Fail")</f>
        <v>Pass</v>
      </c>
      <c r="I2" s="1" t="str">
        <f>IFERROR(Comp3[[#This Row],[Comparable '#3 Return]]-INDEX(Benchmark1[Benchmark '#1 Return],MATCH(Comp3[[#This Row],[Comparable '#3 Dates]],Benchmark1[Benchmark '#1 Dates],0)),"-")</f>
        <v>-</v>
      </c>
      <c r="L2" s="72">
        <f>Comp3[[#This Row],[Comparable '#3 Price]]/$B$2*100</f>
        <v>100</v>
      </c>
    </row>
    <row r="3" spans="1:12">
      <c r="A3" s="96">
        <v>43287</v>
      </c>
      <c r="B3" s="101">
        <v>118.4</v>
      </c>
      <c r="C3" s="1">
        <f t="shared" si="0"/>
        <v>1.0101524714816462E-2</v>
      </c>
      <c r="D3" s="1">
        <f>IFERROR(Comp3[[#This Row],[Comparable '#3 Return]]+1,"-")</f>
        <v>1.0101015247148164</v>
      </c>
      <c r="E3" s="6">
        <f>B3-MAX($B$2:B3)</f>
        <v>0</v>
      </c>
      <c r="F3" s="80">
        <f t="shared" si="1"/>
        <v>0</v>
      </c>
      <c r="G3" s="6">
        <f>IFERROR(Comp3[[#This Row],[Comparable '#3 Drawdown]]/MAX($B$2:B3),"-")</f>
        <v>0</v>
      </c>
      <c r="H3" s="1" t="str">
        <f>IF(SUM(COUNTIF(Benchmark1[Benchmark '#1 Dates],Comp3[[#This Row],[Comparable '#3 Dates]]),COUNTIF(Benchmark2[Benchmark '#2 Dates],Comp3[[#This Row],[Comparable '#3 Dates]]))=2,"Pass","Fail")</f>
        <v>Pass</v>
      </c>
      <c r="I3" s="1">
        <f>IFERROR(Comp3[[#This Row],[Comparable '#3 Return]]-INDEX(Benchmark1[Benchmark '#1 Return],MATCH(Comp3[[#This Row],[Comparable '#3 Dates]],Benchmark1[Benchmark '#1 Dates],0)),"-")</f>
        <v>1.6562380119335158E-3</v>
      </c>
      <c r="L3" s="72">
        <f>Comp3[[#This Row],[Comparable '#3 Price]]/$B$2*100</f>
        <v>101.01527173449365</v>
      </c>
    </row>
    <row r="4" spans="1:12">
      <c r="A4" s="96">
        <v>43290</v>
      </c>
      <c r="B4" s="101">
        <v>118.33</v>
      </c>
      <c r="C4" s="1">
        <f t="shared" si="0"/>
        <v>-5.9139105343789444E-4</v>
      </c>
      <c r="D4" s="1">
        <f>IFERROR(Comp3[[#This Row],[Comparable '#3 Return]]+1,"-")</f>
        <v>0.99940860894656214</v>
      </c>
      <c r="E4" s="6">
        <f>B4-MAX($B$2:B4)</f>
        <v>-7.000000000000739E-2</v>
      </c>
      <c r="F4" s="80">
        <f t="shared" si="1"/>
        <v>1</v>
      </c>
      <c r="G4" s="6">
        <f>IFERROR(Comp3[[#This Row],[Comparable '#3 Drawdown]]/MAX($B$2:B4),"-")</f>
        <v>-5.9121621621627859E-4</v>
      </c>
      <c r="H4" s="1" t="str">
        <f>IF(SUM(COUNTIF(Benchmark1[Benchmark '#1 Dates],Comp3[[#This Row],[Comparable '#3 Dates]]),COUNTIF(Benchmark2[Benchmark '#2 Dates],Comp3[[#This Row],[Comparable '#3 Dates]]))=2,"Pass","Fail")</f>
        <v>Pass</v>
      </c>
      <c r="I4" s="1">
        <f>IFERROR(Comp3[[#This Row],[Comparable '#3 Return]]-INDEX(Benchmark1[Benchmark '#1 Return],MATCH(Comp3[[#This Row],[Comparable '#3 Dates]],Benchmark1[Benchmark '#1 Dates],0)),"-")</f>
        <v>-9.3762043372702959E-3</v>
      </c>
      <c r="L4" s="72">
        <f>Comp3[[#This Row],[Comparable '#3 Price]]/$B$2*100</f>
        <v>100.95554986775872</v>
      </c>
    </row>
    <row r="5" spans="1:12">
      <c r="A5" s="96">
        <v>43291</v>
      </c>
      <c r="B5" s="101">
        <v>119.24</v>
      </c>
      <c r="C5" s="1">
        <f t="shared" si="0"/>
        <v>7.6609374134031351E-3</v>
      </c>
      <c r="D5" s="1">
        <f>IFERROR(Comp3[[#This Row],[Comparable '#3 Return]]+1,"-")</f>
        <v>1.0076609374134031</v>
      </c>
      <c r="E5" s="6">
        <f>B5-MAX($B$2:B5)</f>
        <v>0</v>
      </c>
      <c r="F5" s="80">
        <f t="shared" si="1"/>
        <v>0</v>
      </c>
      <c r="G5" s="6">
        <f>IFERROR(Comp3[[#This Row],[Comparable '#3 Drawdown]]/MAX($B$2:B5),"-")</f>
        <v>0</v>
      </c>
      <c r="H5" s="1" t="str">
        <f>IF(SUM(COUNTIF(Benchmark1[Benchmark '#1 Dates],Comp3[[#This Row],[Comparable '#3 Dates]]),COUNTIF(Benchmark2[Benchmark '#2 Dates],Comp3[[#This Row],[Comparable '#3 Dates]]))=2,"Pass","Fail")</f>
        <v>Pass</v>
      </c>
      <c r="I5" s="1">
        <f>IFERROR(Comp3[[#This Row],[Comparable '#3 Return]]-INDEX(Benchmark1[Benchmark '#1 Return],MATCH(Comp3[[#This Row],[Comparable '#3 Dates]],Benchmark1[Benchmark '#1 Dates],0)),"-")</f>
        <v>4.1952152905204423E-3</v>
      </c>
      <c r="L5" s="72">
        <f>Comp3[[#This Row],[Comparable '#3 Price]]/$B$2*100</f>
        <v>101.7319341353127</v>
      </c>
    </row>
    <row r="6" spans="1:12">
      <c r="A6" s="96">
        <v>43292</v>
      </c>
      <c r="B6" s="101">
        <v>119.68</v>
      </c>
      <c r="C6" s="1">
        <f t="shared" si="0"/>
        <v>3.6832454162965891E-3</v>
      </c>
      <c r="D6" s="1">
        <f>IFERROR(Comp3[[#This Row],[Comparable '#3 Return]]+1,"-")</f>
        <v>1.0036832454162965</v>
      </c>
      <c r="E6" s="6">
        <f>B6-MAX($B$2:B6)</f>
        <v>0</v>
      </c>
      <c r="F6" s="80">
        <f t="shared" si="1"/>
        <v>0</v>
      </c>
      <c r="G6" s="6">
        <f>IFERROR(Comp3[[#This Row],[Comparable '#3 Drawdown]]/MAX($B$2:B6),"-")</f>
        <v>0</v>
      </c>
      <c r="H6" s="1" t="str">
        <f>IF(SUM(COUNTIF(Benchmark1[Benchmark '#1 Dates],Comp3[[#This Row],[Comparable '#3 Dates]]),COUNTIF(Benchmark2[Benchmark '#2 Dates],Comp3[[#This Row],[Comparable '#3 Dates]]))=2,"Pass","Fail")</f>
        <v>Pass</v>
      </c>
      <c r="I6" s="1">
        <f>IFERROR(Comp3[[#This Row],[Comparable '#3 Return]]-INDEX(Benchmark1[Benchmark '#1 Return],MATCH(Comp3[[#This Row],[Comparable '#3 Dates]],Benchmark1[Benchmark '#1 Dates],0)),"-")</f>
        <v>1.0803312560100373E-2</v>
      </c>
      <c r="L6" s="72">
        <f>Comp3[[#This Row],[Comparable '#3 Price]]/$B$2*100</f>
        <v>102.1073287262179</v>
      </c>
    </row>
    <row r="7" spans="1:12">
      <c r="A7" s="96">
        <v>43293</v>
      </c>
      <c r="B7" s="101">
        <v>119.8</v>
      </c>
      <c r="C7" s="1">
        <f t="shared" si="0"/>
        <v>1.0021714551818378E-3</v>
      </c>
      <c r="D7" s="1">
        <f>IFERROR(Comp3[[#This Row],[Comparable '#3 Return]]+1,"-")</f>
        <v>1.0010021714551818</v>
      </c>
      <c r="E7" s="6">
        <f>B7-MAX($B$2:B7)</f>
        <v>0</v>
      </c>
      <c r="F7" s="80">
        <f t="shared" si="1"/>
        <v>0</v>
      </c>
      <c r="G7" s="6">
        <f>IFERROR(Comp3[[#This Row],[Comparable '#3 Drawdown]]/MAX($B$2:B7),"-")</f>
        <v>0</v>
      </c>
      <c r="H7" s="1" t="str">
        <f>IF(SUM(COUNTIF(Benchmark1[Benchmark '#1 Dates],Comp3[[#This Row],[Comparable '#3 Dates]]),COUNTIF(Benchmark2[Benchmark '#2 Dates],Comp3[[#This Row],[Comparable '#3 Dates]]))=2,"Pass","Fail")</f>
        <v>Pass</v>
      </c>
      <c r="I7" s="1">
        <f>IFERROR(Comp3[[#This Row],[Comparable '#3 Return]]-INDEX(Benchmark1[Benchmark '#1 Return],MATCH(Comp3[[#This Row],[Comparable '#3 Dates]],Benchmark1[Benchmark '#1 Dates],0)),"-")</f>
        <v>-7.7086224000168305E-3</v>
      </c>
      <c r="L7" s="72">
        <f>Comp3[[#This Row],[Comparable '#3 Price]]/$B$2*100</f>
        <v>102.20970906919204</v>
      </c>
    </row>
    <row r="8" spans="1:12">
      <c r="A8" s="96">
        <v>43294</v>
      </c>
      <c r="B8" s="101">
        <v>119.51</v>
      </c>
      <c r="C8" s="1">
        <f t="shared" si="0"/>
        <v>-2.423635802559259E-3</v>
      </c>
      <c r="D8" s="1">
        <f>IFERROR(Comp3[[#This Row],[Comparable '#3 Return]]+1,"-")</f>
        <v>0.99757636419744078</v>
      </c>
      <c r="E8" s="6">
        <f>B8-MAX($B$2:B8)</f>
        <v>-0.28999999999999204</v>
      </c>
      <c r="F8" s="80">
        <f t="shared" si="1"/>
        <v>1</v>
      </c>
      <c r="G8" s="6">
        <f>IFERROR(Comp3[[#This Row],[Comparable '#3 Drawdown]]/MAX($B$2:B8),"-")</f>
        <v>-2.4207011686142909E-3</v>
      </c>
      <c r="H8" s="1" t="str">
        <f>IF(SUM(COUNTIF(Benchmark1[Benchmark '#1 Dates],Comp3[[#This Row],[Comparable '#3 Dates]]),COUNTIF(Benchmark2[Benchmark '#2 Dates],Comp3[[#This Row],[Comparable '#3 Dates]]))=2,"Pass","Fail")</f>
        <v>Pass</v>
      </c>
      <c r="I8" s="1">
        <f>IFERROR(Comp3[[#This Row],[Comparable '#3 Return]]-INDEX(Benchmark1[Benchmark '#1 Return],MATCH(Comp3[[#This Row],[Comparable '#3 Dates]],Benchmark1[Benchmark '#1 Dates],0)),"-")</f>
        <v>-3.5038742087972136E-3</v>
      </c>
      <c r="L8" s="72">
        <f>Comp3[[#This Row],[Comparable '#3 Price]]/$B$2*100</f>
        <v>101.96228990700453</v>
      </c>
    </row>
    <row r="9" spans="1:12">
      <c r="A9" s="96">
        <v>43297</v>
      </c>
      <c r="B9" s="101">
        <v>119.09</v>
      </c>
      <c r="C9" s="1">
        <f t="shared" si="0"/>
        <v>-3.520540098885173E-3</v>
      </c>
      <c r="D9" s="1">
        <f>IFERROR(Comp3[[#This Row],[Comparable '#3 Return]]+1,"-")</f>
        <v>0.99647945990111486</v>
      </c>
      <c r="E9" s="6">
        <f>B9-MAX($B$2:B9)</f>
        <v>-0.70999999999999375</v>
      </c>
      <c r="F9" s="80">
        <f t="shared" si="1"/>
        <v>2</v>
      </c>
      <c r="G9" s="6">
        <f>IFERROR(Comp3[[#This Row],[Comparable '#3 Drawdown]]/MAX($B$2:B9),"-")</f>
        <v>-5.9265442404006158E-3</v>
      </c>
      <c r="H9" s="1" t="str">
        <f>IF(SUM(COUNTIF(Benchmark1[Benchmark '#1 Dates],Comp3[[#This Row],[Comparable '#3 Dates]]),COUNTIF(Benchmark2[Benchmark '#2 Dates],Comp3[[#This Row],[Comparable '#3 Dates]]))=2,"Pass","Fail")</f>
        <v>Pass</v>
      </c>
      <c r="I9" s="1">
        <f>IFERROR(Comp3[[#This Row],[Comparable '#3 Return]]-INDEX(Benchmark1[Benchmark '#1 Return],MATCH(Comp3[[#This Row],[Comparable '#3 Dates]],Benchmark1[Benchmark '#1 Dates],0)),"-")</f>
        <v>-2.4930760706948795E-3</v>
      </c>
      <c r="L9" s="72">
        <f>Comp3[[#This Row],[Comparable '#3 Price]]/$B$2*100</f>
        <v>101.60395870659499</v>
      </c>
    </row>
    <row r="10" spans="1:12">
      <c r="A10" s="96">
        <v>43298</v>
      </c>
      <c r="B10" s="101">
        <v>118.52</v>
      </c>
      <c r="C10" s="1">
        <f t="shared" si="0"/>
        <v>-4.7977870745399753E-3</v>
      </c>
      <c r="D10" s="1">
        <f>IFERROR(Comp3[[#This Row],[Comparable '#3 Return]]+1,"-")</f>
        <v>0.99520221292546007</v>
      </c>
      <c r="E10" s="6">
        <f>B10-MAX($B$2:B10)</f>
        <v>-1.2800000000000011</v>
      </c>
      <c r="F10" s="80">
        <f t="shared" si="1"/>
        <v>3</v>
      </c>
      <c r="G10" s="6">
        <f>IFERROR(Comp3[[#This Row],[Comparable '#3 Drawdown]]/MAX($B$2:B10),"-")</f>
        <v>-1.0684474123539242E-2</v>
      </c>
      <c r="H10" s="1" t="str">
        <f>IF(SUM(COUNTIF(Benchmark1[Benchmark '#1 Dates],Comp3[[#This Row],[Comparable '#3 Dates]]),COUNTIF(Benchmark2[Benchmark '#2 Dates],Comp3[[#This Row],[Comparable '#3 Dates]]))=2,"Pass","Fail")</f>
        <v>Pass</v>
      </c>
      <c r="I10" s="1">
        <f>IFERROR(Comp3[[#This Row],[Comparable '#3 Return]]-INDEX(Benchmark1[Benchmark '#1 Return],MATCH(Comp3[[#This Row],[Comparable '#3 Dates]],Benchmark1[Benchmark '#1 Dates],0)),"-")</f>
        <v>-8.7625017970829125E-3</v>
      </c>
      <c r="L10" s="72">
        <f>Comp3[[#This Row],[Comparable '#3 Price]]/$B$2*100</f>
        <v>101.1176520774678</v>
      </c>
    </row>
    <row r="11" spans="1:12">
      <c r="A11" s="96">
        <v>43299</v>
      </c>
      <c r="B11" s="101">
        <v>119.32</v>
      </c>
      <c r="C11" s="1">
        <f t="shared" si="0"/>
        <v>6.7272369411832495E-3</v>
      </c>
      <c r="D11" s="1">
        <f>IFERROR(Comp3[[#This Row],[Comparable '#3 Return]]+1,"-")</f>
        <v>1.0067272369411833</v>
      </c>
      <c r="E11" s="6">
        <f>B11-MAX($B$2:B11)</f>
        <v>-0.48000000000000398</v>
      </c>
      <c r="F11" s="80">
        <f t="shared" si="1"/>
        <v>4</v>
      </c>
      <c r="G11" s="6">
        <f>IFERROR(Comp3[[#This Row],[Comparable '#3 Drawdown]]/MAX($B$2:B11),"-")</f>
        <v>-4.0066777963272456E-3</v>
      </c>
      <c r="H11" s="1" t="str">
        <f>IF(SUM(COUNTIF(Benchmark1[Benchmark '#1 Dates],Comp3[[#This Row],[Comparable '#3 Dates]]),COUNTIF(Benchmark2[Benchmark '#2 Dates],Comp3[[#This Row],[Comparable '#3 Dates]]))=2,"Pass","Fail")</f>
        <v>Pass</v>
      </c>
      <c r="I11" s="1">
        <f>IFERROR(Comp3[[#This Row],[Comparable '#3 Return]]-INDEX(Benchmark1[Benchmark '#1 Return],MATCH(Comp3[[#This Row],[Comparable '#3 Dates]],Benchmark1[Benchmark '#1 Dates],0)),"-")</f>
        <v>4.5697331411552362E-3</v>
      </c>
      <c r="L11" s="72">
        <f>Comp3[[#This Row],[Comparable '#3 Price]]/$B$2*100</f>
        <v>101.80018769729544</v>
      </c>
    </row>
    <row r="12" spans="1:12">
      <c r="A12" s="96">
        <v>43300</v>
      </c>
      <c r="B12" s="101">
        <v>119.92</v>
      </c>
      <c r="C12" s="1">
        <f t="shared" si="0"/>
        <v>5.015894147794576E-3</v>
      </c>
      <c r="D12" s="1">
        <f>IFERROR(Comp3[[#This Row],[Comparable '#3 Return]]+1,"-")</f>
        <v>1.0050158941477947</v>
      </c>
      <c r="E12" s="6">
        <f>B12-MAX($B$2:B12)</f>
        <v>0</v>
      </c>
      <c r="F12" s="80">
        <f t="shared" si="1"/>
        <v>0</v>
      </c>
      <c r="G12" s="6">
        <f>IFERROR(Comp3[[#This Row],[Comparable '#3 Drawdown]]/MAX($B$2:B12),"-")</f>
        <v>0</v>
      </c>
      <c r="H12" s="1" t="str">
        <f>IF(SUM(COUNTIF(Benchmark1[Benchmark '#1 Dates],Comp3[[#This Row],[Comparable '#3 Dates]]),COUNTIF(Benchmark2[Benchmark '#2 Dates],Comp3[[#This Row],[Comparable '#3 Dates]]))=2,"Pass","Fail")</f>
        <v>Pass</v>
      </c>
      <c r="I12" s="1">
        <f>IFERROR(Comp3[[#This Row],[Comparable '#3 Return]]-INDEX(Benchmark1[Benchmark '#1 Return],MATCH(Comp3[[#This Row],[Comparable '#3 Dates]],Benchmark1[Benchmark '#1 Dates],0)),"-")</f>
        <v>8.9753819827687441E-3</v>
      </c>
      <c r="L12" s="72">
        <f>Comp3[[#This Row],[Comparable '#3 Price]]/$B$2*100</f>
        <v>102.3120894121662</v>
      </c>
    </row>
    <row r="13" spans="1:12">
      <c r="A13" s="96">
        <v>43301</v>
      </c>
      <c r="B13" s="101">
        <v>120.01</v>
      </c>
      <c r="C13" s="1">
        <f t="shared" si="0"/>
        <v>7.5021884900775243E-4</v>
      </c>
      <c r="D13" s="1">
        <f>IFERROR(Comp3[[#This Row],[Comparable '#3 Return]]+1,"-")</f>
        <v>1.0007502188490078</v>
      </c>
      <c r="E13" s="6">
        <f>B13-MAX($B$2:B13)</f>
        <v>0</v>
      </c>
      <c r="F13" s="80">
        <f t="shared" si="1"/>
        <v>0</v>
      </c>
      <c r="G13" s="6">
        <f>IFERROR(Comp3[[#This Row],[Comparable '#3 Drawdown]]/MAX($B$2:B13),"-")</f>
        <v>0</v>
      </c>
      <c r="H13" s="1" t="str">
        <f>IF(SUM(COUNTIF(Benchmark1[Benchmark '#1 Dates],Comp3[[#This Row],[Comparable '#3 Dates]]),COUNTIF(Benchmark2[Benchmark '#2 Dates],Comp3[[#This Row],[Comparable '#3 Dates]]))=2,"Pass","Fail")</f>
        <v>Pass</v>
      </c>
      <c r="I13" s="1">
        <f>IFERROR(Comp3[[#This Row],[Comparable '#3 Return]]-INDEX(Benchmark1[Benchmark '#1 Return],MATCH(Comp3[[#This Row],[Comparable '#3 Dates]],Benchmark1[Benchmark '#1 Dates],0)),"-")</f>
        <v>1.7010476820467769E-3</v>
      </c>
      <c r="L13" s="72">
        <f>Comp3[[#This Row],[Comparable '#3 Price]]/$B$2*100</f>
        <v>102.38887466939681</v>
      </c>
    </row>
    <row r="14" spans="1:12">
      <c r="A14" s="96">
        <v>43304</v>
      </c>
      <c r="B14" s="101">
        <v>120.4</v>
      </c>
      <c r="C14" s="1">
        <f t="shared" si="0"/>
        <v>3.2444602313706013E-3</v>
      </c>
      <c r="D14" s="1">
        <f>IFERROR(Comp3[[#This Row],[Comparable '#3 Return]]+1,"-")</f>
        <v>1.0032444602313706</v>
      </c>
      <c r="E14" s="6">
        <f>B14-MAX($B$2:B14)</f>
        <v>0</v>
      </c>
      <c r="F14" s="80">
        <f t="shared" si="1"/>
        <v>0</v>
      </c>
      <c r="G14" s="6">
        <f>IFERROR(Comp3[[#This Row],[Comparable '#3 Drawdown]]/MAX($B$2:B14),"-")</f>
        <v>0</v>
      </c>
      <c r="H14" s="1" t="str">
        <f>IF(SUM(COUNTIF(Benchmark1[Benchmark '#1 Dates],Comp3[[#This Row],[Comparable '#3 Dates]]),COUNTIF(Benchmark2[Benchmark '#2 Dates],Comp3[[#This Row],[Comparable '#3 Dates]]))=2,"Pass","Fail")</f>
        <v>Pass</v>
      </c>
      <c r="I14" s="1">
        <f>IFERROR(Comp3[[#This Row],[Comparable '#3 Return]]-INDEX(Benchmark1[Benchmark '#1 Return],MATCH(Comp3[[#This Row],[Comparable '#3 Dates]],Benchmark1[Benchmark '#1 Dates],0)),"-")</f>
        <v>1.406347933874277E-3</v>
      </c>
      <c r="L14" s="72">
        <f>Comp3[[#This Row],[Comparable '#3 Price]]/$B$2*100</f>
        <v>102.72161078406282</v>
      </c>
    </row>
    <row r="15" spans="1:12">
      <c r="A15" s="96">
        <v>43305</v>
      </c>
      <c r="B15" s="101">
        <v>119.18</v>
      </c>
      <c r="C15" s="1">
        <f t="shared" si="0"/>
        <v>-1.0184577555887826E-2</v>
      </c>
      <c r="D15" s="1">
        <f>IFERROR(Comp3[[#This Row],[Comparable '#3 Return]]+1,"-")</f>
        <v>0.98981542244411214</v>
      </c>
      <c r="E15" s="6">
        <f>B15-MAX($B$2:B15)</f>
        <v>-1.2199999999999989</v>
      </c>
      <c r="F15" s="80">
        <f t="shared" si="1"/>
        <v>1</v>
      </c>
      <c r="G15" s="6">
        <f>IFERROR(Comp3[[#This Row],[Comparable '#3 Drawdown]]/MAX($B$2:B15),"-")</f>
        <v>-1.0132890365448495E-2</v>
      </c>
      <c r="H15" s="1" t="str">
        <f>IF(SUM(COUNTIF(Benchmark1[Benchmark '#1 Dates],Comp3[[#This Row],[Comparable '#3 Dates]]),COUNTIF(Benchmark2[Benchmark '#2 Dates],Comp3[[#This Row],[Comparable '#3 Dates]]))=2,"Pass","Fail")</f>
        <v>Pass</v>
      </c>
      <c r="I15" s="1">
        <f>IFERROR(Comp3[[#This Row],[Comparable '#3 Return]]-INDEX(Benchmark1[Benchmark '#1 Return],MATCH(Comp3[[#This Row],[Comparable '#3 Dates]],Benchmark1[Benchmark '#1 Dates],0)),"-")</f>
        <v>-1.4954555605891092E-2</v>
      </c>
      <c r="L15" s="72">
        <f>Comp3[[#This Row],[Comparable '#3 Price]]/$B$2*100</f>
        <v>101.68074396382562</v>
      </c>
    </row>
    <row r="16" spans="1:12">
      <c r="A16" s="96">
        <v>43306</v>
      </c>
      <c r="B16" s="101">
        <v>119.96</v>
      </c>
      <c r="C16" s="1">
        <f t="shared" si="0"/>
        <v>6.5233985619752889E-3</v>
      </c>
      <c r="D16" s="1">
        <f>IFERROR(Comp3[[#This Row],[Comparable '#3 Return]]+1,"-")</f>
        <v>1.0065233985619753</v>
      </c>
      <c r="E16" s="6">
        <f>B16-MAX($B$2:B16)</f>
        <v>-0.44000000000001194</v>
      </c>
      <c r="F16" s="80">
        <f t="shared" si="1"/>
        <v>2</v>
      </c>
      <c r="G16" s="6">
        <f>IFERROR(Comp3[[#This Row],[Comparable '#3 Drawdown]]/MAX($B$2:B16),"-")</f>
        <v>-3.6544850498339862E-3</v>
      </c>
      <c r="H16" s="1" t="str">
        <f>IF(SUM(COUNTIF(Benchmark1[Benchmark '#1 Dates],Comp3[[#This Row],[Comparable '#3 Dates]]),COUNTIF(Benchmark2[Benchmark '#2 Dates],Comp3[[#This Row],[Comparable '#3 Dates]]))=2,"Pass","Fail")</f>
        <v>Pass</v>
      </c>
      <c r="I16" s="1">
        <f>IFERROR(Comp3[[#This Row],[Comparable '#3 Return]]-INDEX(Benchmark1[Benchmark '#1 Return],MATCH(Comp3[[#This Row],[Comparable '#3 Dates]],Benchmark1[Benchmark '#1 Dates],0)),"-")</f>
        <v>-2.5344747843348819E-3</v>
      </c>
      <c r="L16" s="72">
        <f>Comp3[[#This Row],[Comparable '#3 Price]]/$B$2*100</f>
        <v>102.34621619315757</v>
      </c>
    </row>
    <row r="17" spans="1:12">
      <c r="A17" s="96">
        <v>43307</v>
      </c>
      <c r="B17" s="101">
        <v>120.86</v>
      </c>
      <c r="C17" s="1">
        <f t="shared" si="0"/>
        <v>7.4744970526040688E-3</v>
      </c>
      <c r="D17" s="1">
        <f>IFERROR(Comp3[[#This Row],[Comparable '#3 Return]]+1,"-")</f>
        <v>1.0074744970526042</v>
      </c>
      <c r="E17" s="6">
        <f>B17-MAX($B$2:B17)</f>
        <v>0</v>
      </c>
      <c r="F17" s="80">
        <f t="shared" si="1"/>
        <v>0</v>
      </c>
      <c r="G17" s="6">
        <f>IFERROR(Comp3[[#This Row],[Comparable '#3 Drawdown]]/MAX($B$2:B17),"-")</f>
        <v>0</v>
      </c>
      <c r="H17" s="1" t="str">
        <f>IF(SUM(COUNTIF(Benchmark1[Benchmark '#1 Dates],Comp3[[#This Row],[Comparable '#3 Dates]]),COUNTIF(Benchmark2[Benchmark '#2 Dates],Comp3[[#This Row],[Comparable '#3 Dates]]))=2,"Pass","Fail")</f>
        <v>Pass</v>
      </c>
      <c r="I17" s="1">
        <f>IFERROR(Comp3[[#This Row],[Comparable '#3 Return]]-INDEX(Benchmark1[Benchmark '#1 Return],MATCH(Comp3[[#This Row],[Comparable '#3 Dates]],Benchmark1[Benchmark '#1 Dates],0)),"-")</f>
        <v>1.0510321346238255E-2</v>
      </c>
      <c r="L17" s="72">
        <f>Comp3[[#This Row],[Comparable '#3 Price]]/$B$2*100</f>
        <v>103.1140687654637</v>
      </c>
    </row>
    <row r="18" spans="1:12">
      <c r="A18" s="96">
        <v>43308</v>
      </c>
      <c r="B18" s="101">
        <v>119.56</v>
      </c>
      <c r="C18" s="1">
        <f t="shared" si="0"/>
        <v>-1.0814513517675303E-2</v>
      </c>
      <c r="D18" s="1">
        <f>IFERROR(Comp3[[#This Row],[Comparable '#3 Return]]+1,"-")</f>
        <v>0.98918548648232474</v>
      </c>
      <c r="E18" s="6">
        <f>B18-MAX($B$2:B18)</f>
        <v>-1.2999999999999972</v>
      </c>
      <c r="F18" s="80">
        <f t="shared" si="1"/>
        <v>1</v>
      </c>
      <c r="G18" s="6">
        <f>IFERROR(Comp3[[#This Row],[Comparable '#3 Drawdown]]/MAX($B$2:B18),"-")</f>
        <v>-1.0756246897236449E-2</v>
      </c>
      <c r="H18" s="1" t="str">
        <f>IF(SUM(COUNTIF(Benchmark1[Benchmark '#1 Dates],Comp3[[#This Row],[Comparable '#3 Dates]]),COUNTIF(Benchmark2[Benchmark '#2 Dates],Comp3[[#This Row],[Comparable '#3 Dates]]))=2,"Pass","Fail")</f>
        <v>Pass</v>
      </c>
      <c r="I18" s="1">
        <f>IFERROR(Comp3[[#This Row],[Comparable '#3 Return]]-INDEX(Benchmark1[Benchmark '#1 Return],MATCH(Comp3[[#This Row],[Comparable '#3 Dates]],Benchmark1[Benchmark '#1 Dates],0)),"-")</f>
        <v>-4.229796942909236E-3</v>
      </c>
      <c r="L18" s="72">
        <f>Comp3[[#This Row],[Comparable '#3 Price]]/$B$2*100</f>
        <v>102.00494838324377</v>
      </c>
    </row>
    <row r="19" spans="1:12">
      <c r="A19" s="96">
        <v>43311</v>
      </c>
      <c r="B19" s="101">
        <v>119.03</v>
      </c>
      <c r="C19" s="1">
        <f t="shared" si="0"/>
        <v>-4.442775235948767E-3</v>
      </c>
      <c r="D19" s="1">
        <f>IFERROR(Comp3[[#This Row],[Comparable '#3 Return]]+1,"-")</f>
        <v>0.99555722476405129</v>
      </c>
      <c r="E19" s="6">
        <f>B19-MAX($B$2:B19)</f>
        <v>-1.8299999999999983</v>
      </c>
      <c r="F19" s="80">
        <f t="shared" si="1"/>
        <v>2</v>
      </c>
      <c r="G19" s="6">
        <f>IFERROR(Comp3[[#This Row],[Comparable '#3 Drawdown]]/MAX($B$2:B19),"-")</f>
        <v>-1.514148601687902E-2</v>
      </c>
      <c r="H19" s="1" t="str">
        <f>IF(SUM(COUNTIF(Benchmark1[Benchmark '#1 Dates],Comp3[[#This Row],[Comparable '#3 Dates]]),COUNTIF(Benchmark2[Benchmark '#2 Dates],Comp3[[#This Row],[Comparable '#3 Dates]]))=2,"Pass","Fail")</f>
        <v>Pass</v>
      </c>
      <c r="I19" s="1">
        <f>IFERROR(Comp3[[#This Row],[Comparable '#3 Return]]-INDEX(Benchmark1[Benchmark '#1 Return],MATCH(Comp3[[#This Row],[Comparable '#3 Dates]],Benchmark1[Benchmark '#1 Dates],0)),"-")</f>
        <v>1.3266666884455356E-3</v>
      </c>
      <c r="L19" s="72">
        <f>Comp3[[#This Row],[Comparable '#3 Price]]/$B$2*100</f>
        <v>101.55276853510793</v>
      </c>
    </row>
    <row r="20" spans="1:12">
      <c r="A20" s="96">
        <v>43312</v>
      </c>
      <c r="B20" s="101">
        <v>117.84</v>
      </c>
      <c r="C20" s="1">
        <f t="shared" si="0"/>
        <v>-1.0047790025413608E-2</v>
      </c>
      <c r="D20" s="1">
        <f>IFERROR(Comp3[[#This Row],[Comparable '#3 Return]]+1,"-")</f>
        <v>0.98995220997458644</v>
      </c>
      <c r="E20" s="6">
        <f>B20-MAX($B$2:B20)</f>
        <v>-3.019999999999996</v>
      </c>
      <c r="F20" s="80">
        <f t="shared" si="1"/>
        <v>3</v>
      </c>
      <c r="G20" s="6">
        <f>IFERROR(Comp3[[#This Row],[Comparable '#3 Drawdown]]/MAX($B$2:B20),"-")</f>
        <v>-2.4987588945887772E-2</v>
      </c>
      <c r="H20" s="1" t="str">
        <f>IF(SUM(COUNTIF(Benchmark1[Benchmark '#1 Dates],Comp3[[#This Row],[Comparable '#3 Dates]]),COUNTIF(Benchmark2[Benchmark '#2 Dates],Comp3[[#This Row],[Comparable '#3 Dates]]))=2,"Pass","Fail")</f>
        <v>Pass</v>
      </c>
      <c r="I20" s="1">
        <f>IFERROR(Comp3[[#This Row],[Comparable '#3 Return]]-INDEX(Benchmark1[Benchmark '#1 Return],MATCH(Comp3[[#This Row],[Comparable '#3 Dates]],Benchmark1[Benchmark '#1 Dates],0)),"-")</f>
        <v>-1.4919646257785531E-2</v>
      </c>
      <c r="L20" s="72">
        <f>Comp3[[#This Row],[Comparable '#3 Price]]/$B$2*100</f>
        <v>100.53749680061431</v>
      </c>
    </row>
    <row r="21" spans="1:12">
      <c r="A21" s="96">
        <v>43313</v>
      </c>
      <c r="B21" s="101">
        <v>131.56</v>
      </c>
      <c r="C21" s="1">
        <f t="shared" si="0"/>
        <v>0.11013524916648147</v>
      </c>
      <c r="D21" s="1">
        <f>IFERROR(Comp3[[#This Row],[Comparable '#3 Return]]+1,"-")</f>
        <v>1.1101352491664815</v>
      </c>
      <c r="E21" s="6">
        <f>B21-MAX($B$2:B21)</f>
        <v>0</v>
      </c>
      <c r="F21" s="80">
        <f t="shared" si="1"/>
        <v>0</v>
      </c>
      <c r="G21" s="6">
        <f>IFERROR(Comp3[[#This Row],[Comparable '#3 Drawdown]]/MAX($B$2:B21),"-")</f>
        <v>0</v>
      </c>
      <c r="H21" s="1" t="str">
        <f>IF(SUM(COUNTIF(Benchmark1[Benchmark '#1 Dates],Comp3[[#This Row],[Comparable '#3 Dates]]),COUNTIF(Benchmark2[Benchmark '#2 Dates],Comp3[[#This Row],[Comparable '#3 Dates]]))=2,"Pass","Fail")</f>
        <v>Pass</v>
      </c>
      <c r="I21" s="1">
        <f>IFERROR(Comp3[[#This Row],[Comparable '#3 Return]]-INDEX(Benchmark1[Benchmark '#1 Return],MATCH(Comp3[[#This Row],[Comparable '#3 Dates]],Benchmark1[Benchmark '#1 Dates],0)),"-")</f>
        <v>0.11117393560790814</v>
      </c>
      <c r="L21" s="72">
        <f>Comp3[[#This Row],[Comparable '#3 Price]]/$B$2*100</f>
        <v>112.24298268065867</v>
      </c>
    </row>
    <row r="22" spans="1:12">
      <c r="A22" s="96">
        <v>43314</v>
      </c>
      <c r="B22" s="101">
        <v>126.42</v>
      </c>
      <c r="C22" s="1">
        <f t="shared" si="0"/>
        <v>-3.985332427670351E-2</v>
      </c>
      <c r="D22" s="1">
        <f>IFERROR(Comp3[[#This Row],[Comparable '#3 Return]]+1,"-")</f>
        <v>0.96014667572329648</v>
      </c>
      <c r="E22" s="6">
        <f>B22-MAX($B$2:B22)</f>
        <v>-5.1400000000000006</v>
      </c>
      <c r="F22" s="80">
        <f t="shared" si="1"/>
        <v>1</v>
      </c>
      <c r="G22" s="6">
        <f>IFERROR(Comp3[[#This Row],[Comparable '#3 Drawdown]]/MAX($B$2:B22),"-")</f>
        <v>-3.9069626026147768E-2</v>
      </c>
      <c r="H22" s="1" t="str">
        <f>IF(SUM(COUNTIF(Benchmark1[Benchmark '#1 Dates],Comp3[[#This Row],[Comparable '#3 Dates]]),COUNTIF(Benchmark2[Benchmark '#2 Dates],Comp3[[#This Row],[Comparable '#3 Dates]]))=2,"Pass","Fail")</f>
        <v>Pass</v>
      </c>
      <c r="I22" s="1">
        <f>IFERROR(Comp3[[#This Row],[Comparable '#3 Return]]-INDEX(Benchmark1[Benchmark '#1 Return],MATCH(Comp3[[#This Row],[Comparable '#3 Dates]],Benchmark1[Benchmark '#1 Dates],0)),"-")</f>
        <v>-4.4765361517106028E-2</v>
      </c>
      <c r="L22" s="72">
        <f>Comp3[[#This Row],[Comparable '#3 Price]]/$B$2*100</f>
        <v>107.85769132326595</v>
      </c>
    </row>
    <row r="23" spans="1:12">
      <c r="A23" s="96">
        <v>43315</v>
      </c>
      <c r="B23" s="101">
        <v>122.62</v>
      </c>
      <c r="C23" s="1">
        <f t="shared" si="0"/>
        <v>-3.0519554709610729E-2</v>
      </c>
      <c r="D23" s="1">
        <f>IFERROR(Comp3[[#This Row],[Comparable '#3 Return]]+1,"-")</f>
        <v>0.96948044529038924</v>
      </c>
      <c r="E23" s="6">
        <f>B23-MAX($B$2:B23)</f>
        <v>-8.9399999999999977</v>
      </c>
      <c r="F23" s="80">
        <f t="shared" si="1"/>
        <v>2</v>
      </c>
      <c r="G23" s="6">
        <f>IFERROR(Comp3[[#This Row],[Comparable '#3 Drawdown]]/MAX($B$2:B23),"-")</f>
        <v>-6.7953785345089668E-2</v>
      </c>
      <c r="H23" s="1" t="str">
        <f>IF(SUM(COUNTIF(Benchmark1[Benchmark '#1 Dates],Comp3[[#This Row],[Comparable '#3 Dates]]),COUNTIF(Benchmark2[Benchmark '#2 Dates],Comp3[[#This Row],[Comparable '#3 Dates]]))=2,"Pass","Fail")</f>
        <v>Pass</v>
      </c>
      <c r="I23" s="1">
        <f>IFERROR(Comp3[[#This Row],[Comparable '#3 Return]]-INDEX(Benchmark1[Benchmark '#1 Return],MATCH(Comp3[[#This Row],[Comparable '#3 Dates]],Benchmark1[Benchmark '#1 Dates],0)),"-")</f>
        <v>-3.5154809434846446E-2</v>
      </c>
      <c r="L23" s="72">
        <f>Comp3[[#This Row],[Comparable '#3 Price]]/$B$2*100</f>
        <v>104.61564712908455</v>
      </c>
    </row>
    <row r="24" spans="1:12">
      <c r="A24" s="96">
        <v>43318</v>
      </c>
      <c r="B24" s="101">
        <v>123.19</v>
      </c>
      <c r="C24" s="1">
        <f t="shared" si="0"/>
        <v>4.6377366393409005E-3</v>
      </c>
      <c r="D24" s="1">
        <f>IFERROR(Comp3[[#This Row],[Comparable '#3 Return]]+1,"-")</f>
        <v>1.0046377366393409</v>
      </c>
      <c r="E24" s="6">
        <f>B24-MAX($B$2:B24)</f>
        <v>-8.3700000000000045</v>
      </c>
      <c r="F24" s="80">
        <f t="shared" si="1"/>
        <v>3</v>
      </c>
      <c r="G24" s="6">
        <f>IFERROR(Comp3[[#This Row],[Comparable '#3 Drawdown]]/MAX($B$2:B24),"-")</f>
        <v>-6.3621161447248442E-2</v>
      </c>
      <c r="H24" s="1" t="str">
        <f>IF(SUM(COUNTIF(Benchmark1[Benchmark '#1 Dates],Comp3[[#This Row],[Comparable '#3 Dates]]),COUNTIF(Benchmark2[Benchmark '#2 Dates],Comp3[[#This Row],[Comparable '#3 Dates]]))=2,"Pass","Fail")</f>
        <v>Pass</v>
      </c>
      <c r="I24" s="1">
        <f>IFERROR(Comp3[[#This Row],[Comparable '#3 Return]]-INDEX(Benchmark1[Benchmark '#1 Return],MATCH(Comp3[[#This Row],[Comparable '#3 Dates]],Benchmark1[Benchmark '#1 Dates],0)),"-")</f>
        <v>1.1081372661689332E-3</v>
      </c>
      <c r="L24" s="72">
        <f>Comp3[[#This Row],[Comparable '#3 Price]]/$B$2*100</f>
        <v>105.10195375821176</v>
      </c>
    </row>
    <row r="25" spans="1:12">
      <c r="A25" s="96">
        <v>43319</v>
      </c>
      <c r="B25" s="101">
        <v>124.52</v>
      </c>
      <c r="C25" s="1">
        <f t="shared" si="0"/>
        <v>1.0738466599524607E-2</v>
      </c>
      <c r="D25" s="1">
        <f>IFERROR(Comp3[[#This Row],[Comparable '#3 Return]]+1,"-")</f>
        <v>1.0107384665995247</v>
      </c>
      <c r="E25" s="6">
        <f>B25-MAX($B$2:B25)</f>
        <v>-7.0400000000000063</v>
      </c>
      <c r="F25" s="80">
        <f t="shared" si="1"/>
        <v>4</v>
      </c>
      <c r="G25" s="6">
        <f>IFERROR(Comp3[[#This Row],[Comparable '#3 Drawdown]]/MAX($B$2:B25),"-")</f>
        <v>-5.3511705685618777E-2</v>
      </c>
      <c r="H25" s="1" t="str">
        <f>IF(SUM(COUNTIF(Benchmark1[Benchmark '#1 Dates],Comp3[[#This Row],[Comparable '#3 Dates]]),COUNTIF(Benchmark2[Benchmark '#2 Dates],Comp3[[#This Row],[Comparable '#3 Dates]]))=2,"Pass","Fail")</f>
        <v>Pass</v>
      </c>
      <c r="I25" s="1">
        <f>IFERROR(Comp3[[#This Row],[Comparable '#3 Return]]-INDEX(Benchmark1[Benchmark '#1 Return],MATCH(Comp3[[#This Row],[Comparable '#3 Dates]],Benchmark1[Benchmark '#1 Dates],0)),"-")</f>
        <v>7.9165534335741469E-3</v>
      </c>
      <c r="L25" s="72">
        <f>Comp3[[#This Row],[Comparable '#3 Price]]/$B$2*100</f>
        <v>106.23666922617525</v>
      </c>
    </row>
    <row r="26" spans="1:12">
      <c r="A26" s="96">
        <v>43320</v>
      </c>
      <c r="B26" s="101">
        <v>123.79</v>
      </c>
      <c r="C26" s="1">
        <f t="shared" si="0"/>
        <v>-5.8797640296884314E-3</v>
      </c>
      <c r="D26" s="1">
        <f>IFERROR(Comp3[[#This Row],[Comparable '#3 Return]]+1,"-")</f>
        <v>0.99412023597031152</v>
      </c>
      <c r="E26" s="6">
        <f>B26-MAX($B$2:B26)</f>
        <v>-7.769999999999996</v>
      </c>
      <c r="F26" s="80">
        <f t="shared" si="1"/>
        <v>5</v>
      </c>
      <c r="G26" s="6">
        <f>IFERROR(Comp3[[#This Row],[Comparable '#3 Drawdown]]/MAX($B$2:B26),"-")</f>
        <v>-5.9060504712678596E-2</v>
      </c>
      <c r="H26" s="1" t="str">
        <f>IF(SUM(COUNTIF(Benchmark1[Benchmark '#1 Dates],Comp3[[#This Row],[Comparable '#3 Dates]]),COUNTIF(Benchmark2[Benchmark '#2 Dates],Comp3[[#This Row],[Comparable '#3 Dates]]))=2,"Pass","Fail")</f>
        <v>Pass</v>
      </c>
      <c r="I26" s="1">
        <f>IFERROR(Comp3[[#This Row],[Comparable '#3 Return]]-INDEX(Benchmark1[Benchmark '#1 Return],MATCH(Comp3[[#This Row],[Comparable '#3 Dates]],Benchmark1[Benchmark '#1 Dates],0)),"-")</f>
        <v>-5.6183945272016162E-3</v>
      </c>
      <c r="L26" s="72">
        <f>Comp3[[#This Row],[Comparable '#3 Price]]/$B$2*100</f>
        <v>105.61385547308251</v>
      </c>
    </row>
    <row r="27" spans="1:12">
      <c r="A27" s="96">
        <v>43321</v>
      </c>
      <c r="B27" s="101">
        <v>127.15</v>
      </c>
      <c r="C27" s="1">
        <f t="shared" si="0"/>
        <v>2.678091032440973E-2</v>
      </c>
      <c r="D27" s="1">
        <f>IFERROR(Comp3[[#This Row],[Comparable '#3 Return]]+1,"-")</f>
        <v>1.0267809103244097</v>
      </c>
      <c r="E27" s="6">
        <f>B27-MAX($B$2:B27)</f>
        <v>-4.4099999999999966</v>
      </c>
      <c r="F27" s="80">
        <f t="shared" si="1"/>
        <v>6</v>
      </c>
      <c r="G27" s="6">
        <f>IFERROR(Comp3[[#This Row],[Comparable '#3 Drawdown]]/MAX($B$2:B27),"-")</f>
        <v>-3.3520826999087844E-2</v>
      </c>
      <c r="H27" s="1" t="str">
        <f>IF(SUM(COUNTIF(Benchmark1[Benchmark '#1 Dates],Comp3[[#This Row],[Comparable '#3 Dates]]),COUNTIF(Benchmark2[Benchmark '#2 Dates],Comp3[[#This Row],[Comparable '#3 Dates]]))=2,"Pass","Fail")</f>
        <v>Pass</v>
      </c>
      <c r="I27" s="1">
        <f>IFERROR(Comp3[[#This Row],[Comparable '#3 Return]]-INDEX(Benchmark1[Benchmark '#1 Return],MATCH(Comp3[[#This Row],[Comparable '#3 Dates]],Benchmark1[Benchmark '#1 Dates],0)),"-")</f>
        <v>2.8223858963879377E-2</v>
      </c>
      <c r="L27" s="72">
        <f>Comp3[[#This Row],[Comparable '#3 Price]]/$B$2*100</f>
        <v>108.4805050763587</v>
      </c>
    </row>
    <row r="28" spans="1:12">
      <c r="A28" s="96">
        <v>43322</v>
      </c>
      <c r="B28" s="101">
        <v>126.64</v>
      </c>
      <c r="C28" s="1">
        <f t="shared" si="0"/>
        <v>-4.0190762953719603E-3</v>
      </c>
      <c r="D28" s="1">
        <f>IFERROR(Comp3[[#This Row],[Comparable '#3 Return]]+1,"-")</f>
        <v>0.99598092370462799</v>
      </c>
      <c r="E28" s="6">
        <f>B28-MAX($B$2:B28)</f>
        <v>-4.9200000000000017</v>
      </c>
      <c r="F28" s="80">
        <f t="shared" si="1"/>
        <v>7</v>
      </c>
      <c r="G28" s="6">
        <f>IFERROR(Comp3[[#This Row],[Comparable '#3 Drawdown]]/MAX($B$2:B28),"-")</f>
        <v>-3.739738522347219E-2</v>
      </c>
      <c r="H28" s="1" t="str">
        <f>IF(SUM(COUNTIF(Benchmark1[Benchmark '#1 Dates],Comp3[[#This Row],[Comparable '#3 Dates]]),COUNTIF(Benchmark2[Benchmark '#2 Dates],Comp3[[#This Row],[Comparable '#3 Dates]]))=2,"Pass","Fail")</f>
        <v>Pass</v>
      </c>
      <c r="I28" s="1">
        <f>IFERROR(Comp3[[#This Row],[Comparable '#3 Return]]-INDEX(Benchmark1[Benchmark '#1 Return],MATCH(Comp3[[#This Row],[Comparable '#3 Dates]],Benchmark1[Benchmark '#1 Dates],0)),"-")</f>
        <v>3.1203205906297849E-3</v>
      </c>
      <c r="L28" s="72">
        <f>Comp3[[#This Row],[Comparable '#3 Price]]/$B$2*100</f>
        <v>108.04538861871855</v>
      </c>
    </row>
    <row r="29" spans="1:12">
      <c r="A29" s="96">
        <v>43325</v>
      </c>
      <c r="B29" s="101">
        <v>123.23</v>
      </c>
      <c r="C29" s="1">
        <f t="shared" si="0"/>
        <v>-2.7295887622724911E-2</v>
      </c>
      <c r="D29" s="1">
        <f>IFERROR(Comp3[[#This Row],[Comparable '#3 Return]]+1,"-")</f>
        <v>0.97270411237727505</v>
      </c>
      <c r="E29" s="6">
        <f>B29-MAX($B$2:B29)</f>
        <v>-8.3299999999999983</v>
      </c>
      <c r="F29" s="80">
        <f t="shared" si="1"/>
        <v>8</v>
      </c>
      <c r="G29" s="6">
        <f>IFERROR(Comp3[[#This Row],[Comparable '#3 Drawdown]]/MAX($B$2:B29),"-")</f>
        <v>-6.3317117664943731E-2</v>
      </c>
      <c r="H29" s="1" t="str">
        <f>IF(SUM(COUNTIF(Benchmark1[Benchmark '#1 Dates],Comp3[[#This Row],[Comparable '#3 Dates]]),COUNTIF(Benchmark2[Benchmark '#2 Dates],Comp3[[#This Row],[Comparable '#3 Dates]]))=2,"Pass","Fail")</f>
        <v>Pass</v>
      </c>
      <c r="I29" s="1">
        <f>IFERROR(Comp3[[#This Row],[Comparable '#3 Return]]-INDEX(Benchmark1[Benchmark '#1 Return],MATCH(Comp3[[#This Row],[Comparable '#3 Dates]],Benchmark1[Benchmark '#1 Dates],0)),"-")</f>
        <v>-2.3279976987827827E-2</v>
      </c>
      <c r="L29" s="72">
        <f>Comp3[[#This Row],[Comparable '#3 Price]]/$B$2*100</f>
        <v>105.13608053920316</v>
      </c>
    </row>
    <row r="30" spans="1:12">
      <c r="A30" s="96">
        <v>43326</v>
      </c>
      <c r="B30" s="101">
        <v>123.92</v>
      </c>
      <c r="C30" s="1">
        <f t="shared" si="0"/>
        <v>5.5836681585814413E-3</v>
      </c>
      <c r="D30" s="1">
        <f>IFERROR(Comp3[[#This Row],[Comparable '#3 Return]]+1,"-")</f>
        <v>1.0055836681585815</v>
      </c>
      <c r="E30" s="6">
        <f>B30-MAX($B$2:B30)</f>
        <v>-7.6400000000000006</v>
      </c>
      <c r="F30" s="80">
        <f t="shared" si="1"/>
        <v>9</v>
      </c>
      <c r="G30" s="6">
        <f>IFERROR(Comp3[[#This Row],[Comparable '#3 Drawdown]]/MAX($B$2:B30),"-")</f>
        <v>-5.8072362420188511E-2</v>
      </c>
      <c r="H30" s="1" t="str">
        <f>IF(SUM(COUNTIF(Benchmark1[Benchmark '#1 Dates],Comp3[[#This Row],[Comparable '#3 Dates]]),COUNTIF(Benchmark2[Benchmark '#2 Dates],Comp3[[#This Row],[Comparable '#3 Dates]]))=2,"Pass","Fail")</f>
        <v>Pass</v>
      </c>
      <c r="I30" s="1">
        <f>IFERROR(Comp3[[#This Row],[Comparable '#3 Return]]-INDEX(Benchmark1[Benchmark '#1 Return],MATCH(Comp3[[#This Row],[Comparable '#3 Dates]],Benchmark1[Benchmark '#1 Dates],0)),"-")</f>
        <v>-7.8425417014951326E-4</v>
      </c>
      <c r="L30" s="72">
        <f>Comp3[[#This Row],[Comparable '#3 Price]]/$B$2*100</f>
        <v>105.72476751130451</v>
      </c>
    </row>
    <row r="31" spans="1:12">
      <c r="A31" s="96">
        <v>43327</v>
      </c>
      <c r="B31" s="101">
        <v>127.96</v>
      </c>
      <c r="C31" s="1">
        <f t="shared" si="0"/>
        <v>3.2081518972703914E-2</v>
      </c>
      <c r="D31" s="1">
        <f>IFERROR(Comp3[[#This Row],[Comparable '#3 Return]]+1,"-")</f>
        <v>1.0320815189727039</v>
      </c>
      <c r="E31" s="6">
        <f>B31-MAX($B$2:B31)</f>
        <v>-3.6000000000000085</v>
      </c>
      <c r="F31" s="80">
        <f t="shared" si="1"/>
        <v>10</v>
      </c>
      <c r="G31" s="6">
        <f>IFERROR(Comp3[[#This Row],[Comparable '#3 Drawdown]]/MAX($B$2:B31),"-")</f>
        <v>-2.7363940407418734E-2</v>
      </c>
      <c r="H31" s="1" t="str">
        <f>IF(SUM(COUNTIF(Benchmark1[Benchmark '#1 Dates],Comp3[[#This Row],[Comparable '#3 Dates]]),COUNTIF(Benchmark2[Benchmark '#2 Dates],Comp3[[#This Row],[Comparable '#3 Dates]]))=2,"Pass","Fail")</f>
        <v>Pass</v>
      </c>
      <c r="I31" s="1">
        <f>IFERROR(Comp3[[#This Row],[Comparable '#3 Return]]-INDEX(Benchmark1[Benchmark '#1 Return],MATCH(Comp3[[#This Row],[Comparable '#3 Dates]],Benchmark1[Benchmark '#1 Dates],0)),"-")</f>
        <v>3.9710088426333313E-2</v>
      </c>
      <c r="L31" s="72">
        <f>Comp3[[#This Row],[Comparable '#3 Price]]/$B$2*100</f>
        <v>109.17157239143418</v>
      </c>
    </row>
    <row r="32" spans="1:12">
      <c r="A32" s="96">
        <v>43328</v>
      </c>
      <c r="B32" s="101">
        <v>129</v>
      </c>
      <c r="C32" s="1">
        <f t="shared" si="0"/>
        <v>8.0946892803548647E-3</v>
      </c>
      <c r="D32" s="1">
        <f>IFERROR(Comp3[[#This Row],[Comparable '#3 Return]]+1,"-")</f>
        <v>1.0080946892803548</v>
      </c>
      <c r="E32" s="6">
        <f>B32-MAX($B$2:B32)</f>
        <v>-2.5600000000000023</v>
      </c>
      <c r="F32" s="80">
        <f t="shared" si="1"/>
        <v>11</v>
      </c>
      <c r="G32" s="6">
        <f>IFERROR(Comp3[[#This Row],[Comparable '#3 Drawdown]]/MAX($B$2:B32),"-")</f>
        <v>-1.9458802067497737E-2</v>
      </c>
      <c r="H32" s="1" t="str">
        <f>IF(SUM(COUNTIF(Benchmark1[Benchmark '#1 Dates],Comp3[[#This Row],[Comparable '#3 Dates]]),COUNTIF(Benchmark2[Benchmark '#2 Dates],Comp3[[#This Row],[Comparable '#3 Dates]]))=2,"Pass","Fail")</f>
        <v>Pass</v>
      </c>
      <c r="I32" s="1">
        <f>IFERROR(Comp3[[#This Row],[Comparable '#3 Return]]-INDEX(Benchmark1[Benchmark '#1 Return],MATCH(Comp3[[#This Row],[Comparable '#3 Dates]],Benchmark1[Benchmark '#1 Dates],0)),"-")</f>
        <v>2.081977710876922E-4</v>
      </c>
      <c r="L32" s="72">
        <f>Comp3[[#This Row],[Comparable '#3 Price]]/$B$2*100</f>
        <v>110.05886869721013</v>
      </c>
    </row>
    <row r="33" spans="1:12">
      <c r="A33" s="96">
        <v>43329</v>
      </c>
      <c r="B33" s="101">
        <v>129.12</v>
      </c>
      <c r="C33" s="1">
        <f t="shared" si="0"/>
        <v>9.2980015996652738E-4</v>
      </c>
      <c r="D33" s="1">
        <f>IFERROR(Comp3[[#This Row],[Comparable '#3 Return]]+1,"-")</f>
        <v>1.0009298001599665</v>
      </c>
      <c r="E33" s="6">
        <f>B33-MAX($B$2:B33)</f>
        <v>-2.4399999999999977</v>
      </c>
      <c r="F33" s="80">
        <f t="shared" si="1"/>
        <v>12</v>
      </c>
      <c r="G33" s="6">
        <f>IFERROR(Comp3[[#This Row],[Comparable '#3 Drawdown]]/MAX($B$2:B33),"-")</f>
        <v>-1.8546670720583747E-2</v>
      </c>
      <c r="H33" s="1" t="str">
        <f>IF(SUM(COUNTIF(Benchmark1[Benchmark '#1 Dates],Comp3[[#This Row],[Comparable '#3 Dates]]),COUNTIF(Benchmark2[Benchmark '#2 Dates],Comp3[[#This Row],[Comparable '#3 Dates]]))=2,"Pass","Fail")</f>
        <v>Pass</v>
      </c>
      <c r="I33" s="1">
        <f>IFERROR(Comp3[[#This Row],[Comparable '#3 Return]]-INDEX(Benchmark1[Benchmark '#1 Return],MATCH(Comp3[[#This Row],[Comparable '#3 Dates]],Benchmark1[Benchmark '#1 Dates],0)),"-")</f>
        <v>-2.3891059000129989E-3</v>
      </c>
      <c r="L33" s="72">
        <f>Comp3[[#This Row],[Comparable '#3 Price]]/$B$2*100</f>
        <v>110.16124904018429</v>
      </c>
    </row>
    <row r="34" spans="1:12">
      <c r="A34" s="96">
        <v>43332</v>
      </c>
      <c r="B34" s="101">
        <v>134.25</v>
      </c>
      <c r="C34" s="1">
        <f t="shared" si="0"/>
        <v>3.8961528867335345E-2</v>
      </c>
      <c r="D34" s="1">
        <f>IFERROR(Comp3[[#This Row],[Comparable '#3 Return]]+1,"-")</f>
        <v>1.0389615288673353</v>
      </c>
      <c r="E34" s="6">
        <f>B34-MAX($B$2:B34)</f>
        <v>0</v>
      </c>
      <c r="F34" s="80">
        <f t="shared" si="1"/>
        <v>0</v>
      </c>
      <c r="G34" s="6">
        <f>IFERROR(Comp3[[#This Row],[Comparable '#3 Drawdown]]/MAX($B$2:B34),"-")</f>
        <v>0</v>
      </c>
      <c r="H34" s="1" t="str">
        <f>IF(SUM(COUNTIF(Benchmark1[Benchmark '#1 Dates],Comp3[[#This Row],[Comparable '#3 Dates]]),COUNTIF(Benchmark2[Benchmark '#2 Dates],Comp3[[#This Row],[Comparable '#3 Dates]]))=2,"Pass","Fail")</f>
        <v>Pass</v>
      </c>
      <c r="I34" s="1">
        <f>IFERROR(Comp3[[#This Row],[Comparable '#3 Return]]-INDEX(Benchmark1[Benchmark '#1 Return],MATCH(Comp3[[#This Row],[Comparable '#3 Dates]],Benchmark1[Benchmark '#1 Dates],0)),"-")</f>
        <v>3.6535675044734636E-2</v>
      </c>
      <c r="L34" s="72">
        <f>Comp3[[#This Row],[Comparable '#3 Price]]/$B$2*100</f>
        <v>114.53800870232915</v>
      </c>
    </row>
    <row r="35" spans="1:12">
      <c r="A35" s="96">
        <v>43333</v>
      </c>
      <c r="B35" s="101">
        <v>137.76</v>
      </c>
      <c r="C35" s="1">
        <f t="shared" si="0"/>
        <v>2.5809307290446584E-2</v>
      </c>
      <c r="D35" s="1">
        <f>IFERROR(Comp3[[#This Row],[Comparable '#3 Return]]+1,"-")</f>
        <v>1.0258093072904466</v>
      </c>
      <c r="E35" s="6">
        <f>B35-MAX($B$2:B35)</f>
        <v>0</v>
      </c>
      <c r="F35" s="80">
        <f t="shared" si="1"/>
        <v>0</v>
      </c>
      <c r="G35" s="6">
        <f>IFERROR(Comp3[[#This Row],[Comparable '#3 Drawdown]]/MAX($B$2:B35),"-")</f>
        <v>0</v>
      </c>
      <c r="H35" s="1" t="str">
        <f>IF(SUM(COUNTIF(Benchmark1[Benchmark '#1 Dates],Comp3[[#This Row],[Comparable '#3 Dates]]),COUNTIF(Benchmark2[Benchmark '#2 Dates],Comp3[[#This Row],[Comparable '#3 Dates]]))=2,"Pass","Fail")</f>
        <v>Pass</v>
      </c>
      <c r="I35" s="1">
        <f>IFERROR(Comp3[[#This Row],[Comparable '#3 Return]]-INDEX(Benchmark1[Benchmark '#1 Return],MATCH(Comp3[[#This Row],[Comparable '#3 Dates]],Benchmark1[Benchmark '#1 Dates],0)),"-")</f>
        <v>2.3745331203314242E-2</v>
      </c>
      <c r="L35" s="72">
        <f>Comp3[[#This Row],[Comparable '#3 Price]]/$B$2*100</f>
        <v>117.53263373432301</v>
      </c>
    </row>
    <row r="36" spans="1:12">
      <c r="A36" s="96">
        <v>43334</v>
      </c>
      <c r="B36" s="101">
        <v>136.72999999999999</v>
      </c>
      <c r="C36" s="1">
        <f t="shared" si="0"/>
        <v>-7.5048623584304175E-3</v>
      </c>
      <c r="D36" s="1">
        <f>IFERROR(Comp3[[#This Row],[Comparable '#3 Return]]+1,"-")</f>
        <v>0.9924951376415696</v>
      </c>
      <c r="E36" s="6">
        <f>B36-MAX($B$2:B36)</f>
        <v>-1.0300000000000011</v>
      </c>
      <c r="F36" s="80">
        <f t="shared" si="1"/>
        <v>1</v>
      </c>
      <c r="G36" s="6">
        <f>IFERROR(Comp3[[#This Row],[Comparable '#3 Drawdown]]/MAX($B$2:B36),"-")</f>
        <v>-7.4767711962834002E-3</v>
      </c>
      <c r="H36" s="1" t="str">
        <f>IF(SUM(COUNTIF(Benchmark1[Benchmark '#1 Dates],Comp3[[#This Row],[Comparable '#3 Dates]]),COUNTIF(Benchmark2[Benchmark '#2 Dates],Comp3[[#This Row],[Comparable '#3 Dates]]))=2,"Pass","Fail")</f>
        <v>Pass</v>
      </c>
      <c r="I36" s="1">
        <f>IFERROR(Comp3[[#This Row],[Comparable '#3 Return]]-INDEX(Benchmark1[Benchmark '#1 Return],MATCH(Comp3[[#This Row],[Comparable '#3 Dates]],Benchmark1[Benchmark '#1 Dates],0)),"-")</f>
        <v>-7.109263619098893E-3</v>
      </c>
      <c r="L36" s="72">
        <f>Comp3[[#This Row],[Comparable '#3 Price]]/$B$2*100</f>
        <v>116.65386912379489</v>
      </c>
    </row>
    <row r="37" spans="1:12">
      <c r="A37" s="96">
        <v>43335</v>
      </c>
      <c r="B37" s="101">
        <v>135.01</v>
      </c>
      <c r="C37" s="1">
        <f t="shared" si="0"/>
        <v>-1.2659328551835517E-2</v>
      </c>
      <c r="D37" s="1">
        <f>IFERROR(Comp3[[#This Row],[Comparable '#3 Return]]+1,"-")</f>
        <v>0.98734067144816451</v>
      </c>
      <c r="E37" s="6">
        <f>B37-MAX($B$2:B37)</f>
        <v>-2.75</v>
      </c>
      <c r="F37" s="80">
        <f t="shared" si="1"/>
        <v>2</v>
      </c>
      <c r="G37" s="6">
        <f>IFERROR(Comp3[[#This Row],[Comparable '#3 Drawdown]]/MAX($B$2:B37),"-")</f>
        <v>-1.9962253193960514E-2</v>
      </c>
      <c r="H37" s="1" t="str">
        <f>IF(SUM(COUNTIF(Benchmark1[Benchmark '#1 Dates],Comp3[[#This Row],[Comparable '#3 Dates]]),COUNTIF(Benchmark2[Benchmark '#2 Dates],Comp3[[#This Row],[Comparable '#3 Dates]]))=2,"Pass","Fail")</f>
        <v>Pass</v>
      </c>
      <c r="I37" s="1">
        <f>IFERROR(Comp3[[#This Row],[Comparable '#3 Return]]-INDEX(Benchmark1[Benchmark '#1 Return],MATCH(Comp3[[#This Row],[Comparable '#3 Dates]],Benchmark1[Benchmark '#1 Dates],0)),"-")</f>
        <v>-1.0965236993086153E-2</v>
      </c>
      <c r="L37" s="72">
        <f>Comp3[[#This Row],[Comparable '#3 Price]]/$B$2*100</f>
        <v>115.18641754116543</v>
      </c>
    </row>
    <row r="38" spans="1:12">
      <c r="A38" s="96">
        <v>43336</v>
      </c>
      <c r="B38" s="101">
        <v>136.01</v>
      </c>
      <c r="C38" s="1">
        <f t="shared" si="0"/>
        <v>7.3795626755071434E-3</v>
      </c>
      <c r="D38" s="1">
        <f>IFERROR(Comp3[[#This Row],[Comparable '#3 Return]]+1,"-")</f>
        <v>1.0073795626755071</v>
      </c>
      <c r="E38" s="6">
        <f>B38-MAX($B$2:B38)</f>
        <v>-1.75</v>
      </c>
      <c r="F38" s="80">
        <f t="shared" si="1"/>
        <v>3</v>
      </c>
      <c r="G38" s="6">
        <f>IFERROR(Comp3[[#This Row],[Comparable '#3 Drawdown]]/MAX($B$2:B38),"-")</f>
        <v>-1.2703252032520327E-2</v>
      </c>
      <c r="H38" s="1" t="str">
        <f>IF(SUM(COUNTIF(Benchmark1[Benchmark '#1 Dates],Comp3[[#This Row],[Comparable '#3 Dates]]),COUNTIF(Benchmark2[Benchmark '#2 Dates],Comp3[[#This Row],[Comparable '#3 Dates]]))=2,"Pass","Fail")</f>
        <v>Pass</v>
      </c>
      <c r="I38" s="1">
        <f>IFERROR(Comp3[[#This Row],[Comparable '#3 Return]]-INDEX(Benchmark1[Benchmark '#1 Return],MATCH(Comp3[[#This Row],[Comparable '#3 Dates]],Benchmark1[Benchmark '#1 Dates],0)),"-")</f>
        <v>1.2003304721502003E-3</v>
      </c>
      <c r="L38" s="72">
        <f>Comp3[[#This Row],[Comparable '#3 Price]]/$B$2*100</f>
        <v>116.03958706595002</v>
      </c>
    </row>
    <row r="39" spans="1:12">
      <c r="A39" s="96">
        <v>43339</v>
      </c>
      <c r="B39" s="101">
        <v>137.6</v>
      </c>
      <c r="C39" s="1">
        <f t="shared" si="0"/>
        <v>1.1622513054581294E-2</v>
      </c>
      <c r="D39" s="1">
        <f>IFERROR(Comp3[[#This Row],[Comparable '#3 Return]]+1,"-")</f>
        <v>1.0116225130545813</v>
      </c>
      <c r="E39" s="6">
        <f>B39-MAX($B$2:B39)</f>
        <v>-0.15999999999999659</v>
      </c>
      <c r="F39" s="80">
        <f t="shared" si="1"/>
        <v>4</v>
      </c>
      <c r="G39" s="6">
        <f>IFERROR(Comp3[[#This Row],[Comparable '#3 Drawdown]]/MAX($B$2:B39),"-")</f>
        <v>-1.161440185830405E-3</v>
      </c>
      <c r="H39" s="1" t="str">
        <f>IF(SUM(COUNTIF(Benchmark1[Benchmark '#1 Dates],Comp3[[#This Row],[Comparable '#3 Dates]]),COUNTIF(Benchmark2[Benchmark '#2 Dates],Comp3[[#This Row],[Comparable '#3 Dates]]))=2,"Pass","Fail")</f>
        <v>Pass</v>
      </c>
      <c r="I39" s="1">
        <f>IFERROR(Comp3[[#This Row],[Comparable '#3 Return]]-INDEX(Benchmark1[Benchmark '#1 Return],MATCH(Comp3[[#This Row],[Comparable '#3 Dates]],Benchmark1[Benchmark '#1 Dates],0)),"-")</f>
        <v>3.9825976123637249E-3</v>
      </c>
      <c r="L39" s="72">
        <f>Comp3[[#This Row],[Comparable '#3 Price]]/$B$2*100</f>
        <v>117.39612661035747</v>
      </c>
    </row>
    <row r="40" spans="1:12">
      <c r="A40" s="96">
        <v>43340</v>
      </c>
      <c r="B40" s="101">
        <v>138.38</v>
      </c>
      <c r="C40" s="1">
        <f t="shared" si="0"/>
        <v>5.652598571421634E-3</v>
      </c>
      <c r="D40" s="1">
        <f>IFERROR(Comp3[[#This Row],[Comparable '#3 Return]]+1,"-")</f>
        <v>1.0056525985714215</v>
      </c>
      <c r="E40" s="6">
        <f>B40-MAX($B$2:B40)</f>
        <v>0</v>
      </c>
      <c r="F40" s="80">
        <f t="shared" si="1"/>
        <v>0</v>
      </c>
      <c r="G40" s="6">
        <f>IFERROR(Comp3[[#This Row],[Comparable '#3 Drawdown]]/MAX($B$2:B40),"-")</f>
        <v>0</v>
      </c>
      <c r="H40" s="1" t="str">
        <f>IF(SUM(COUNTIF(Benchmark1[Benchmark '#1 Dates],Comp3[[#This Row],[Comparable '#3 Dates]]),COUNTIF(Benchmark2[Benchmark '#2 Dates],Comp3[[#This Row],[Comparable '#3 Dates]]))=2,"Pass","Fail")</f>
        <v>Pass</v>
      </c>
      <c r="I40" s="1">
        <f>IFERROR(Comp3[[#This Row],[Comparable '#3 Return]]-INDEX(Benchmark1[Benchmark '#1 Return],MATCH(Comp3[[#This Row],[Comparable '#3 Dates]],Benchmark1[Benchmark '#1 Dates],0)),"-")</f>
        <v>5.3811541144192527E-3</v>
      </c>
      <c r="L40" s="72">
        <f>Comp3[[#This Row],[Comparable '#3 Price]]/$B$2*100</f>
        <v>118.06159883968945</v>
      </c>
    </row>
    <row r="41" spans="1:12">
      <c r="A41" s="96">
        <v>43341</v>
      </c>
      <c r="B41" s="101">
        <v>137.38999999999999</v>
      </c>
      <c r="C41" s="1">
        <f t="shared" si="0"/>
        <v>-7.1799271348082297E-3</v>
      </c>
      <c r="D41" s="1">
        <f>IFERROR(Comp3[[#This Row],[Comparable '#3 Return]]+1,"-")</f>
        <v>0.99282007286519181</v>
      </c>
      <c r="E41" s="6">
        <f>B41-MAX($B$2:B41)</f>
        <v>-0.99000000000000909</v>
      </c>
      <c r="F41" s="80">
        <f t="shared" si="1"/>
        <v>1</v>
      </c>
      <c r="G41" s="6">
        <f>IFERROR(Comp3[[#This Row],[Comparable '#3 Drawdown]]/MAX($B$2:B41),"-")</f>
        <v>-7.154213036566044E-3</v>
      </c>
      <c r="H41" s="1" t="str">
        <f>IF(SUM(COUNTIF(Benchmark1[Benchmark '#1 Dates],Comp3[[#This Row],[Comparable '#3 Dates]]),COUNTIF(Benchmark2[Benchmark '#2 Dates],Comp3[[#This Row],[Comparable '#3 Dates]]))=2,"Pass","Fail")</f>
        <v>Pass</v>
      </c>
      <c r="I41" s="1">
        <f>IFERROR(Comp3[[#This Row],[Comparable '#3 Return]]-INDEX(Benchmark1[Benchmark '#1 Return],MATCH(Comp3[[#This Row],[Comparable '#3 Dates]],Benchmark1[Benchmark '#1 Dates],0)),"-")</f>
        <v>-1.2864925781543824E-2</v>
      </c>
      <c r="L41" s="72">
        <f>Comp3[[#This Row],[Comparable '#3 Price]]/$B$2*100</f>
        <v>117.21696101015272</v>
      </c>
    </row>
    <row r="42" spans="1:12">
      <c r="A42" s="96">
        <v>43342</v>
      </c>
      <c r="B42" s="101">
        <v>137.04</v>
      </c>
      <c r="C42" s="1">
        <f t="shared" si="0"/>
        <v>-2.5507429199923002E-3</v>
      </c>
      <c r="D42" s="1">
        <f>IFERROR(Comp3[[#This Row],[Comparable '#3 Return]]+1,"-")</f>
        <v>0.99744925708000765</v>
      </c>
      <c r="E42" s="6">
        <f>B42-MAX($B$2:B42)</f>
        <v>-1.3400000000000034</v>
      </c>
      <c r="F42" s="80">
        <f t="shared" si="1"/>
        <v>2</v>
      </c>
      <c r="G42" s="6">
        <f>IFERROR(Comp3[[#This Row],[Comparable '#3 Drawdown]]/MAX($B$2:B42),"-")</f>
        <v>-9.6834802717155905E-3</v>
      </c>
      <c r="H42" s="1" t="str">
        <f>IF(SUM(COUNTIF(Benchmark1[Benchmark '#1 Dates],Comp3[[#This Row],[Comparable '#3 Dates]]),COUNTIF(Benchmark2[Benchmark '#2 Dates],Comp3[[#This Row],[Comparable '#3 Dates]]))=2,"Pass","Fail")</f>
        <v>Pass</v>
      </c>
      <c r="I42" s="1">
        <f>IFERROR(Comp3[[#This Row],[Comparable '#3 Return]]-INDEX(Benchmark1[Benchmark '#1 Return],MATCH(Comp3[[#This Row],[Comparable '#3 Dates]],Benchmark1[Benchmark '#1 Dates],0)),"-")</f>
        <v>1.8910171631387369E-3</v>
      </c>
      <c r="L42" s="72">
        <f>Comp3[[#This Row],[Comparable '#3 Price]]/$B$2*100</f>
        <v>116.91835167647811</v>
      </c>
    </row>
    <row r="43" spans="1:12">
      <c r="A43" s="96">
        <v>43343</v>
      </c>
      <c r="B43" s="101">
        <v>138.77000000000001</v>
      </c>
      <c r="C43" s="1">
        <f t="shared" si="0"/>
        <v>1.2545032367054692E-2</v>
      </c>
      <c r="D43" s="1">
        <f>IFERROR(Comp3[[#This Row],[Comparable '#3 Return]]+1,"-")</f>
        <v>1.0125450323670546</v>
      </c>
      <c r="E43" s="6">
        <f>B43-MAX($B$2:B43)</f>
        <v>0</v>
      </c>
      <c r="F43" s="80">
        <f t="shared" si="1"/>
        <v>0</v>
      </c>
      <c r="G43" s="6">
        <f>IFERROR(Comp3[[#This Row],[Comparable '#3 Drawdown]]/MAX($B$2:B43),"-")</f>
        <v>0</v>
      </c>
      <c r="H43" s="1" t="str">
        <f>IF(SUM(COUNTIF(Benchmark1[Benchmark '#1 Dates],Comp3[[#This Row],[Comparable '#3 Dates]]),COUNTIF(Benchmark2[Benchmark '#2 Dates],Comp3[[#This Row],[Comparable '#3 Dates]]))=2,"Pass","Fail")</f>
        <v>Pass</v>
      </c>
      <c r="I43" s="1">
        <f>IFERROR(Comp3[[#This Row],[Comparable '#3 Return]]-INDEX(Benchmark1[Benchmark '#1 Return],MATCH(Comp3[[#This Row],[Comparable '#3 Dates]],Benchmark1[Benchmark '#1 Dates],0)),"-")</f>
        <v>1.2410238359452512E-2</v>
      </c>
      <c r="L43" s="72">
        <f>Comp3[[#This Row],[Comparable '#3 Price]]/$B$2*100</f>
        <v>118.39433495435546</v>
      </c>
    </row>
    <row r="44" spans="1:12">
      <c r="A44" s="96">
        <v>43347</v>
      </c>
      <c r="B44" s="101">
        <v>135.77000000000001</v>
      </c>
      <c r="C44" s="1">
        <f t="shared" si="0"/>
        <v>-2.1855608770729278E-2</v>
      </c>
      <c r="D44" s="1">
        <f>IFERROR(Comp3[[#This Row],[Comparable '#3 Return]]+1,"-")</f>
        <v>0.97814439122927077</v>
      </c>
      <c r="E44" s="6">
        <f>B44-MAX($B$2:B44)</f>
        <v>-3</v>
      </c>
      <c r="F44" s="80">
        <f t="shared" si="1"/>
        <v>1</v>
      </c>
      <c r="G44" s="6">
        <f>IFERROR(Comp3[[#This Row],[Comparable '#3 Drawdown]]/MAX($B$2:B44),"-")</f>
        <v>-2.1618505440657201E-2</v>
      </c>
      <c r="H44" s="1" t="str">
        <f>IF(SUM(COUNTIF(Benchmark1[Benchmark '#1 Dates],Comp3[[#This Row],[Comparable '#3 Dates]]),COUNTIF(Benchmark2[Benchmark '#2 Dates],Comp3[[#This Row],[Comparable '#3 Dates]]))=2,"Pass","Fail")</f>
        <v>Pass</v>
      </c>
      <c r="I44" s="1">
        <f>IFERROR(Comp3[[#This Row],[Comparable '#3 Return]]-INDEX(Benchmark1[Benchmark '#1 Return],MATCH(Comp3[[#This Row],[Comparable '#3 Dates]],Benchmark1[Benchmark '#1 Dates],0)),"-")</f>
        <v>-2.0201868618370134E-2</v>
      </c>
      <c r="L44" s="72">
        <f>Comp3[[#This Row],[Comparable '#3 Price]]/$B$2*100</f>
        <v>115.83482638000173</v>
      </c>
    </row>
    <row r="45" spans="1:12">
      <c r="A45" s="96">
        <v>43348</v>
      </c>
      <c r="B45" s="101">
        <v>136.62</v>
      </c>
      <c r="C45" s="1">
        <f t="shared" si="0"/>
        <v>6.2410716915134376E-3</v>
      </c>
      <c r="D45" s="1">
        <f>IFERROR(Comp3[[#This Row],[Comparable '#3 Return]]+1,"-")</f>
        <v>1.0062410716915133</v>
      </c>
      <c r="E45" s="6">
        <f>B45-MAX($B$2:B45)</f>
        <v>-2.1500000000000057</v>
      </c>
      <c r="F45" s="80">
        <f t="shared" si="1"/>
        <v>2</v>
      </c>
      <c r="G45" s="6">
        <f>IFERROR(Comp3[[#This Row],[Comparable '#3 Drawdown]]/MAX($B$2:B45),"-")</f>
        <v>-1.5493262232471034E-2</v>
      </c>
      <c r="H45" s="1" t="str">
        <f>IF(SUM(COUNTIF(Benchmark1[Benchmark '#1 Dates],Comp3[[#This Row],[Comparable '#3 Dates]]),COUNTIF(Benchmark2[Benchmark '#2 Dates],Comp3[[#This Row],[Comparable '#3 Dates]]))=2,"Pass","Fail")</f>
        <v>Pass</v>
      </c>
      <c r="I45" s="1">
        <f>IFERROR(Comp3[[#This Row],[Comparable '#3 Return]]-INDEX(Benchmark1[Benchmark '#1 Return],MATCH(Comp3[[#This Row],[Comparable '#3 Dates]],Benchmark1[Benchmark '#1 Dates],0)),"-")</f>
        <v>9.0486901067284263E-3</v>
      </c>
      <c r="L45" s="72">
        <f>Comp3[[#This Row],[Comparable '#3 Price]]/$B$2*100</f>
        <v>116.56002047606862</v>
      </c>
    </row>
    <row r="46" spans="1:12">
      <c r="A46" s="96">
        <v>43349</v>
      </c>
      <c r="B46" s="101">
        <v>134.41</v>
      </c>
      <c r="C46" s="1">
        <f t="shared" si="0"/>
        <v>-1.6308519220646436E-2</v>
      </c>
      <c r="D46" s="1">
        <f>IFERROR(Comp3[[#This Row],[Comparable '#3 Return]]+1,"-")</f>
        <v>0.98369148077935353</v>
      </c>
      <c r="E46" s="6">
        <f>B46-MAX($B$2:B46)</f>
        <v>-4.3600000000000136</v>
      </c>
      <c r="F46" s="80">
        <f t="shared" si="1"/>
        <v>3</v>
      </c>
      <c r="G46" s="6">
        <f>IFERROR(Comp3[[#This Row],[Comparable '#3 Drawdown]]/MAX($B$2:B46),"-")</f>
        <v>-3.1418894573755234E-2</v>
      </c>
      <c r="H46" s="1" t="str">
        <f>IF(SUM(COUNTIF(Benchmark1[Benchmark '#1 Dates],Comp3[[#This Row],[Comparable '#3 Dates]]),COUNTIF(Benchmark2[Benchmark '#2 Dates],Comp3[[#This Row],[Comparable '#3 Dates]]))=2,"Pass","Fail")</f>
        <v>Pass</v>
      </c>
      <c r="I46" s="1">
        <f>IFERROR(Comp3[[#This Row],[Comparable '#3 Return]]-INDEX(Benchmark1[Benchmark '#1 Return],MATCH(Comp3[[#This Row],[Comparable '#3 Dates]],Benchmark1[Benchmark '#1 Dates],0)),"-")</f>
        <v>-1.2649767608765742E-2</v>
      </c>
      <c r="L46" s="72">
        <f>Comp3[[#This Row],[Comparable '#3 Price]]/$B$2*100</f>
        <v>114.67451582629468</v>
      </c>
    </row>
    <row r="47" spans="1:12">
      <c r="A47" s="96">
        <v>43350</v>
      </c>
      <c r="B47" s="101">
        <v>132.94999999999999</v>
      </c>
      <c r="C47" s="1">
        <f t="shared" si="0"/>
        <v>-1.092171239402817E-2</v>
      </c>
      <c r="D47" s="1">
        <f>IFERROR(Comp3[[#This Row],[Comparable '#3 Return]]+1,"-")</f>
        <v>0.98907828760597183</v>
      </c>
      <c r="E47" s="6">
        <f>B47-MAX($B$2:B47)</f>
        <v>-5.8200000000000216</v>
      </c>
      <c r="F47" s="80">
        <f t="shared" si="1"/>
        <v>4</v>
      </c>
      <c r="G47" s="6">
        <f>IFERROR(Comp3[[#This Row],[Comparable '#3 Drawdown]]/MAX($B$2:B47),"-")</f>
        <v>-4.1939900554875127E-2</v>
      </c>
      <c r="H47" s="1" t="str">
        <f>IF(SUM(COUNTIF(Benchmark1[Benchmark '#1 Dates],Comp3[[#This Row],[Comparable '#3 Dates]]),COUNTIF(Benchmark2[Benchmark '#2 Dates],Comp3[[#This Row],[Comparable '#3 Dates]]))=2,"Pass","Fail")</f>
        <v>Pass</v>
      </c>
      <c r="I47" s="1">
        <f>IFERROR(Comp3[[#This Row],[Comparable '#3 Return]]-INDEX(Benchmark1[Benchmark '#1 Return],MATCH(Comp3[[#This Row],[Comparable '#3 Dates]],Benchmark1[Benchmark '#1 Dates],0)),"-")</f>
        <v>-8.7056421267183264E-3</v>
      </c>
      <c r="L47" s="72">
        <f>Comp3[[#This Row],[Comparable '#3 Price]]/$B$2*100</f>
        <v>113.42888832010919</v>
      </c>
    </row>
    <row r="48" spans="1:12">
      <c r="A48" s="96">
        <v>43353</v>
      </c>
      <c r="B48" s="101">
        <v>135.26</v>
      </c>
      <c r="C48" s="1">
        <f t="shared" si="0"/>
        <v>1.722573445776519E-2</v>
      </c>
      <c r="D48" s="1">
        <f>IFERROR(Comp3[[#This Row],[Comparable '#3 Return]]+1,"-")</f>
        <v>1.0172257344577651</v>
      </c>
      <c r="E48" s="6">
        <f>B48-MAX($B$2:B48)</f>
        <v>-3.5100000000000193</v>
      </c>
      <c r="F48" s="80">
        <f t="shared" si="1"/>
        <v>5</v>
      </c>
      <c r="G48" s="6">
        <f>IFERROR(Comp3[[#This Row],[Comparable '#3 Drawdown]]/MAX($B$2:B48),"-")</f>
        <v>-2.5293651365569065E-2</v>
      </c>
      <c r="H48" s="1" t="str">
        <f>IF(SUM(COUNTIF(Benchmark1[Benchmark '#1 Dates],Comp3[[#This Row],[Comparable '#3 Dates]]),COUNTIF(Benchmark2[Benchmark '#2 Dates],Comp3[[#This Row],[Comparable '#3 Dates]]))=2,"Pass","Fail")</f>
        <v>Pass</v>
      </c>
      <c r="I48" s="1">
        <f>IFERROR(Comp3[[#This Row],[Comparable '#3 Return]]-INDEX(Benchmark1[Benchmark '#1 Return],MATCH(Comp3[[#This Row],[Comparable '#3 Dates]],Benchmark1[Benchmark '#1 Dates],0)),"-")</f>
        <v>1.5331561069235989E-2</v>
      </c>
      <c r="L48" s="72">
        <f>Comp3[[#This Row],[Comparable '#3 Price]]/$B$2*100</f>
        <v>115.39970992236157</v>
      </c>
    </row>
    <row r="49" spans="1:12">
      <c r="A49" s="96">
        <v>43354</v>
      </c>
      <c r="B49" s="101">
        <v>134.94</v>
      </c>
      <c r="C49" s="1">
        <f t="shared" si="0"/>
        <v>-2.3686169475145374E-3</v>
      </c>
      <c r="D49" s="1">
        <f>IFERROR(Comp3[[#This Row],[Comparable '#3 Return]]+1,"-")</f>
        <v>0.99763138305248544</v>
      </c>
      <c r="E49" s="6">
        <f>B49-MAX($B$2:B49)</f>
        <v>-3.8300000000000125</v>
      </c>
      <c r="F49" s="80">
        <f t="shared" si="1"/>
        <v>6</v>
      </c>
      <c r="G49" s="6">
        <f>IFERROR(Comp3[[#This Row],[Comparable '#3 Drawdown]]/MAX($B$2:B49),"-")</f>
        <v>-2.7599625279239117E-2</v>
      </c>
      <c r="H49" s="1" t="str">
        <f>IF(SUM(COUNTIF(Benchmark1[Benchmark '#1 Dates],Comp3[[#This Row],[Comparable '#3 Dates]]),COUNTIF(Benchmark2[Benchmark '#2 Dates],Comp3[[#This Row],[Comparable '#3 Dates]]))=2,"Pass","Fail")</f>
        <v>Pass</v>
      </c>
      <c r="I49" s="1">
        <f>IFERROR(Comp3[[#This Row],[Comparable '#3 Return]]-INDEX(Benchmark1[Benchmark '#1 Return],MATCH(Comp3[[#This Row],[Comparable '#3 Dates]],Benchmark1[Benchmark '#1 Dates],0)),"-")</f>
        <v>-6.1041335830182199E-3</v>
      </c>
      <c r="L49" s="72">
        <f>Comp3[[#This Row],[Comparable '#3 Price]]/$B$2*100</f>
        <v>115.12669567443052</v>
      </c>
    </row>
    <row r="50" spans="1:12">
      <c r="A50" s="96">
        <v>43355</v>
      </c>
      <c r="B50" s="101">
        <v>134.97999999999999</v>
      </c>
      <c r="C50" s="1">
        <f t="shared" si="0"/>
        <v>2.9638411598107041E-4</v>
      </c>
      <c r="D50" s="1">
        <f>IFERROR(Comp3[[#This Row],[Comparable '#3 Return]]+1,"-")</f>
        <v>1.0002963841159811</v>
      </c>
      <c r="E50" s="6">
        <f>B50-MAX($B$2:B50)</f>
        <v>-3.7900000000000205</v>
      </c>
      <c r="F50" s="80">
        <f t="shared" si="1"/>
        <v>7</v>
      </c>
      <c r="G50" s="6">
        <f>IFERROR(Comp3[[#This Row],[Comparable '#3 Drawdown]]/MAX($B$2:B50),"-")</f>
        <v>-2.731137854003041E-2</v>
      </c>
      <c r="H50" s="1" t="str">
        <f>IF(SUM(COUNTIF(Benchmark1[Benchmark '#1 Dates],Comp3[[#This Row],[Comparable '#3 Dates]]),COUNTIF(Benchmark2[Benchmark '#2 Dates],Comp3[[#This Row],[Comparable '#3 Dates]]))=2,"Pass","Fail")</f>
        <v>Pass</v>
      </c>
      <c r="I50" s="1">
        <f>IFERROR(Comp3[[#This Row],[Comparable '#3 Return]]-INDEX(Benchmark1[Benchmark '#1 Return],MATCH(Comp3[[#This Row],[Comparable '#3 Dates]],Benchmark1[Benchmark '#1 Dates],0)),"-")</f>
        <v>-5.7741292059504282E-5</v>
      </c>
      <c r="L50" s="72">
        <f>Comp3[[#This Row],[Comparable '#3 Price]]/$B$2*100</f>
        <v>115.16082245542189</v>
      </c>
    </row>
    <row r="51" spans="1:12">
      <c r="A51" s="96">
        <v>43356</v>
      </c>
      <c r="B51" s="101">
        <v>136.57</v>
      </c>
      <c r="C51" s="1">
        <f t="shared" si="0"/>
        <v>1.1710684375072724E-2</v>
      </c>
      <c r="D51" s="1">
        <f>IFERROR(Comp3[[#This Row],[Comparable '#3 Return]]+1,"-")</f>
        <v>1.0117106843750727</v>
      </c>
      <c r="E51" s="6">
        <f>B51-MAX($B$2:B51)</f>
        <v>-2.2000000000000171</v>
      </c>
      <c r="F51" s="80">
        <f t="shared" si="1"/>
        <v>8</v>
      </c>
      <c r="G51" s="6">
        <f>IFERROR(Comp3[[#This Row],[Comparable '#3 Drawdown]]/MAX($B$2:B51),"-")</f>
        <v>-1.5853570656482071E-2</v>
      </c>
      <c r="H51" s="1" t="str">
        <f>IF(SUM(COUNTIF(Benchmark1[Benchmark '#1 Dates],Comp3[[#This Row],[Comparable '#3 Dates]]),COUNTIF(Benchmark2[Benchmark '#2 Dates],Comp3[[#This Row],[Comparable '#3 Dates]]))=2,"Pass","Fail")</f>
        <v>Pass</v>
      </c>
      <c r="I51" s="1">
        <f>IFERROR(Comp3[[#This Row],[Comparable '#3 Return]]-INDEX(Benchmark1[Benchmark '#1 Return],MATCH(Comp3[[#This Row],[Comparable '#3 Dates]],Benchmark1[Benchmark '#1 Dates],0)),"-")</f>
        <v>6.439848648865115E-3</v>
      </c>
      <c r="L51" s="72">
        <f>Comp3[[#This Row],[Comparable '#3 Price]]/$B$2*100</f>
        <v>116.51736199982936</v>
      </c>
    </row>
    <row r="52" spans="1:12">
      <c r="A52" s="96">
        <v>43357</v>
      </c>
      <c r="B52" s="101">
        <v>138.22</v>
      </c>
      <c r="C52" s="1">
        <f t="shared" si="0"/>
        <v>1.2009314972915203E-2</v>
      </c>
      <c r="D52" s="1">
        <f>IFERROR(Comp3[[#This Row],[Comparable '#3 Return]]+1,"-")</f>
        <v>1.0120093149729152</v>
      </c>
      <c r="E52" s="6">
        <f>B52-MAX($B$2:B52)</f>
        <v>-0.55000000000001137</v>
      </c>
      <c r="F52" s="80">
        <f t="shared" si="1"/>
        <v>9</v>
      </c>
      <c r="G52" s="6">
        <f>IFERROR(Comp3[[#This Row],[Comparable '#3 Drawdown]]/MAX($B$2:B52),"-")</f>
        <v>-3.9633926641205689E-3</v>
      </c>
      <c r="H52" s="1" t="str">
        <f>IF(SUM(COUNTIF(Benchmark1[Benchmark '#1 Dates],Comp3[[#This Row],[Comparable '#3 Dates]]),COUNTIF(Benchmark2[Benchmark '#2 Dates],Comp3[[#This Row],[Comparable '#3 Dates]]))=2,"Pass","Fail")</f>
        <v>Pass</v>
      </c>
      <c r="I52" s="1">
        <f>IFERROR(Comp3[[#This Row],[Comparable '#3 Return]]-INDEX(Benchmark1[Benchmark '#1 Return],MATCH(Comp3[[#This Row],[Comparable '#3 Dates]],Benchmark1[Benchmark '#1 Dates],0)),"-")</f>
        <v>1.1736805644525035E-2</v>
      </c>
      <c r="L52" s="72">
        <f>Comp3[[#This Row],[Comparable '#3 Price]]/$B$2*100</f>
        <v>117.92509171572392</v>
      </c>
    </row>
    <row r="53" spans="1:12">
      <c r="A53" s="96">
        <v>43360</v>
      </c>
      <c r="B53" s="101">
        <v>136.69999999999999</v>
      </c>
      <c r="C53" s="1">
        <f t="shared" si="0"/>
        <v>-1.1057874933344458E-2</v>
      </c>
      <c r="D53" s="1">
        <f>IFERROR(Comp3[[#This Row],[Comparable '#3 Return]]+1,"-")</f>
        <v>0.98894212506665558</v>
      </c>
      <c r="E53" s="6">
        <f>B53-MAX($B$2:B53)</f>
        <v>-2.0700000000000216</v>
      </c>
      <c r="F53" s="80">
        <f t="shared" si="1"/>
        <v>10</v>
      </c>
      <c r="G53" s="6">
        <f>IFERROR(Comp3[[#This Row],[Comparable '#3 Drawdown]]/MAX($B$2:B53),"-")</f>
        <v>-1.4916768754053624E-2</v>
      </c>
      <c r="H53" s="1" t="str">
        <f>IF(SUM(COUNTIF(Benchmark1[Benchmark '#1 Dates],Comp3[[#This Row],[Comparable '#3 Dates]]),COUNTIF(Benchmark2[Benchmark '#2 Dates],Comp3[[#This Row],[Comparable '#3 Dates]]))=2,"Pass","Fail")</f>
        <v>Pass</v>
      </c>
      <c r="I53" s="1">
        <f>IFERROR(Comp3[[#This Row],[Comparable '#3 Return]]-INDEX(Benchmark1[Benchmark '#1 Return],MATCH(Comp3[[#This Row],[Comparable '#3 Dates]],Benchmark1[Benchmark '#1 Dates],0)),"-")</f>
        <v>-5.474545210916038E-3</v>
      </c>
      <c r="L53" s="72">
        <f>Comp3[[#This Row],[Comparable '#3 Price]]/$B$2*100</f>
        <v>116.62827403805136</v>
      </c>
    </row>
    <row r="54" spans="1:12">
      <c r="A54" s="96">
        <v>43361</v>
      </c>
      <c r="B54" s="101">
        <v>134.87</v>
      </c>
      <c r="C54" s="1">
        <f t="shared" si="0"/>
        <v>-1.3477392201137589E-2</v>
      </c>
      <c r="D54" s="1">
        <f>IFERROR(Comp3[[#This Row],[Comparable '#3 Return]]+1,"-")</f>
        <v>0.98652260779886236</v>
      </c>
      <c r="E54" s="6">
        <f>B54-MAX($B$2:B54)</f>
        <v>-3.9000000000000057</v>
      </c>
      <c r="F54" s="80">
        <f t="shared" si="1"/>
        <v>11</v>
      </c>
      <c r="G54" s="6">
        <f>IFERROR(Comp3[[#This Row],[Comparable '#3 Drawdown]]/MAX($B$2:B54),"-")</f>
        <v>-2.8104057072854401E-2</v>
      </c>
      <c r="H54" s="1" t="str">
        <f>IF(SUM(COUNTIF(Benchmark1[Benchmark '#1 Dates],Comp3[[#This Row],[Comparable '#3 Dates]]),COUNTIF(Benchmark2[Benchmark '#2 Dates],Comp3[[#This Row],[Comparable '#3 Dates]]))=2,"Pass","Fail")</f>
        <v>Pass</v>
      </c>
      <c r="I54" s="1">
        <f>IFERROR(Comp3[[#This Row],[Comparable '#3 Return]]-INDEX(Benchmark1[Benchmark '#1 Return],MATCH(Comp3[[#This Row],[Comparable '#3 Dates]],Benchmark1[Benchmark '#1 Dates],0)),"-")</f>
        <v>-1.8831867967082961E-2</v>
      </c>
      <c r="L54" s="72">
        <f>Comp3[[#This Row],[Comparable '#3 Price]]/$B$2*100</f>
        <v>115.06697380769559</v>
      </c>
    </row>
    <row r="55" spans="1:12">
      <c r="A55" s="96">
        <v>43362</v>
      </c>
      <c r="B55" s="101">
        <v>134.71</v>
      </c>
      <c r="C55" s="1">
        <f t="shared" si="0"/>
        <v>-1.1870318182895672E-3</v>
      </c>
      <c r="D55" s="1">
        <f>IFERROR(Comp3[[#This Row],[Comparable '#3 Return]]+1,"-")</f>
        <v>0.99881296818171039</v>
      </c>
      <c r="E55" s="6">
        <f>B55-MAX($B$2:B55)</f>
        <v>-4.0600000000000023</v>
      </c>
      <c r="F55" s="80">
        <f t="shared" si="1"/>
        <v>12</v>
      </c>
      <c r="G55" s="6">
        <f>IFERROR(Comp3[[#This Row],[Comparable '#3 Drawdown]]/MAX($B$2:B55),"-")</f>
        <v>-2.9257044029689427E-2</v>
      </c>
      <c r="H55" s="1" t="str">
        <f>IF(SUM(COUNTIF(Benchmark1[Benchmark '#1 Dates],Comp3[[#This Row],[Comparable '#3 Dates]]),COUNTIF(Benchmark2[Benchmark '#2 Dates],Comp3[[#This Row],[Comparable '#3 Dates]]))=2,"Pass","Fail")</f>
        <v>Pass</v>
      </c>
      <c r="I55" s="1">
        <f>IFERROR(Comp3[[#This Row],[Comparable '#3 Return]]-INDEX(Benchmark1[Benchmark '#1 Return],MATCH(Comp3[[#This Row],[Comparable '#3 Dates]],Benchmark1[Benchmark '#1 Dates],0)),"-")</f>
        <v>-2.4377504472833933E-3</v>
      </c>
      <c r="L55" s="72">
        <f>Comp3[[#This Row],[Comparable '#3 Price]]/$B$2*100</f>
        <v>114.93046668373006</v>
      </c>
    </row>
    <row r="56" spans="1:12">
      <c r="A56" s="96">
        <v>43363</v>
      </c>
      <c r="B56" s="101">
        <v>135.82</v>
      </c>
      <c r="C56" s="1">
        <f t="shared" si="0"/>
        <v>8.2061599751687263E-3</v>
      </c>
      <c r="D56" s="1">
        <f>IFERROR(Comp3[[#This Row],[Comparable '#3 Return]]+1,"-")</f>
        <v>1.0082061599751688</v>
      </c>
      <c r="E56" s="6">
        <f>B56-MAX($B$2:B56)</f>
        <v>-2.9500000000000171</v>
      </c>
      <c r="F56" s="80">
        <f t="shared" si="1"/>
        <v>13</v>
      </c>
      <c r="G56" s="6">
        <f>IFERROR(Comp3[[#This Row],[Comparable '#3 Drawdown]]/MAX($B$2:B56),"-")</f>
        <v>-2.1258197016646371E-2</v>
      </c>
      <c r="H56" s="1" t="str">
        <f>IF(SUM(COUNTIF(Benchmark1[Benchmark '#1 Dates],Comp3[[#This Row],[Comparable '#3 Dates]]),COUNTIF(Benchmark2[Benchmark '#2 Dates],Comp3[[#This Row],[Comparable '#3 Dates]]))=2,"Pass","Fail")</f>
        <v>Pass</v>
      </c>
      <c r="I56" s="1">
        <f>IFERROR(Comp3[[#This Row],[Comparable '#3 Return]]-INDEX(Benchmark1[Benchmark '#1 Return],MATCH(Comp3[[#This Row],[Comparable '#3 Dates]],Benchmark1[Benchmark '#1 Dates],0)),"-")</f>
        <v>3.9589166914818022E-4</v>
      </c>
      <c r="L56" s="72">
        <f>Comp3[[#This Row],[Comparable '#3 Price]]/$B$2*100</f>
        <v>115.87748485624094</v>
      </c>
    </row>
    <row r="57" spans="1:12">
      <c r="A57" s="96">
        <v>43364</v>
      </c>
      <c r="B57" s="101">
        <v>136.87</v>
      </c>
      <c r="C57" s="1">
        <f t="shared" si="0"/>
        <v>7.7010905375297263E-3</v>
      </c>
      <c r="D57" s="1">
        <f>IFERROR(Comp3[[#This Row],[Comparable '#3 Return]]+1,"-")</f>
        <v>1.0077010905375297</v>
      </c>
      <c r="E57" s="6">
        <f>B57-MAX($B$2:B57)</f>
        <v>-1.9000000000000057</v>
      </c>
      <c r="F57" s="80">
        <f t="shared" si="1"/>
        <v>14</v>
      </c>
      <c r="G57" s="6">
        <f>IFERROR(Comp3[[#This Row],[Comparable '#3 Drawdown]]/MAX($B$2:B57),"-")</f>
        <v>-1.3691720112416268E-2</v>
      </c>
      <c r="H57" s="1" t="str">
        <f>IF(SUM(COUNTIF(Benchmark1[Benchmark '#1 Dates],Comp3[[#This Row],[Comparable '#3 Dates]]),COUNTIF(Benchmark2[Benchmark '#2 Dates],Comp3[[#This Row],[Comparable '#3 Dates]]))=2,"Pass","Fail")</f>
        <v>Pass</v>
      </c>
      <c r="I57" s="1">
        <f>IFERROR(Comp3[[#This Row],[Comparable '#3 Return]]-INDEX(Benchmark1[Benchmark '#1 Return],MATCH(Comp3[[#This Row],[Comparable '#3 Dates]],Benchmark1[Benchmark '#1 Dates],0)),"-")</f>
        <v>8.0693090990301558E-3</v>
      </c>
      <c r="L57" s="72">
        <f>Comp3[[#This Row],[Comparable '#3 Price]]/$B$2*100</f>
        <v>116.77331285726476</v>
      </c>
    </row>
    <row r="58" spans="1:12">
      <c r="A58" s="96">
        <v>43367</v>
      </c>
      <c r="B58" s="101">
        <v>137.47999999999999</v>
      </c>
      <c r="C58" s="1">
        <f t="shared" si="0"/>
        <v>4.4468817584579854E-3</v>
      </c>
      <c r="D58" s="1">
        <f>IFERROR(Comp3[[#This Row],[Comparable '#3 Return]]+1,"-")</f>
        <v>1.004446881758458</v>
      </c>
      <c r="E58" s="6">
        <f>B58-MAX($B$2:B58)</f>
        <v>-1.2900000000000205</v>
      </c>
      <c r="F58" s="80">
        <f t="shared" si="1"/>
        <v>15</v>
      </c>
      <c r="G58" s="6">
        <f>IFERROR(Comp3[[#This Row],[Comparable '#3 Drawdown]]/MAX($B$2:B58),"-")</f>
        <v>-9.2959573394827445E-3</v>
      </c>
      <c r="H58" s="1" t="str">
        <f>IF(SUM(COUNTIF(Benchmark1[Benchmark '#1 Dates],Comp3[[#This Row],[Comparable '#3 Dates]]),COUNTIF(Benchmark2[Benchmark '#2 Dates],Comp3[[#This Row],[Comparable '#3 Dates]]))=2,"Pass","Fail")</f>
        <v>Pass</v>
      </c>
      <c r="I58" s="1">
        <f>IFERROR(Comp3[[#This Row],[Comparable '#3 Return]]-INDEX(Benchmark1[Benchmark '#1 Return],MATCH(Comp3[[#This Row],[Comparable '#3 Dates]],Benchmark1[Benchmark '#1 Dates],0)),"-")</f>
        <v>7.9667948614605567E-3</v>
      </c>
      <c r="L58" s="72">
        <f>Comp3[[#This Row],[Comparable '#3 Price]]/$B$2*100</f>
        <v>117.29374626738334</v>
      </c>
    </row>
    <row r="59" spans="1:12">
      <c r="A59" s="96">
        <v>43368</v>
      </c>
      <c r="B59" s="101">
        <v>137.53</v>
      </c>
      <c r="C59" s="1">
        <f t="shared" si="0"/>
        <v>3.6362314498330052E-4</v>
      </c>
      <c r="D59" s="1">
        <f>IFERROR(Comp3[[#This Row],[Comparable '#3 Return]]+1,"-")</f>
        <v>1.0003636231449833</v>
      </c>
      <c r="E59" s="6">
        <f>B59-MAX($B$2:B59)</f>
        <v>-1.2400000000000091</v>
      </c>
      <c r="F59" s="80">
        <f t="shared" si="1"/>
        <v>16</v>
      </c>
      <c r="G59" s="6">
        <f>IFERROR(Comp3[[#This Row],[Comparable '#3 Drawdown]]/MAX($B$2:B59),"-")</f>
        <v>-8.935648915471708E-3</v>
      </c>
      <c r="H59" s="1" t="str">
        <f>IF(SUM(COUNTIF(Benchmark1[Benchmark '#1 Dates],Comp3[[#This Row],[Comparable '#3 Dates]]),COUNTIF(Benchmark2[Benchmark '#2 Dates],Comp3[[#This Row],[Comparable '#3 Dates]]))=2,"Pass","Fail")</f>
        <v>Pass</v>
      </c>
      <c r="I59" s="1">
        <f>IFERROR(Comp3[[#This Row],[Comparable '#3 Return]]-INDEX(Benchmark1[Benchmark '#1 Return],MATCH(Comp3[[#This Row],[Comparable '#3 Dates]],Benchmark1[Benchmark '#1 Dates],0)),"-")</f>
        <v>1.669161100424239E-3</v>
      </c>
      <c r="L59" s="72">
        <f>Comp3[[#This Row],[Comparable '#3 Price]]/$B$2*100</f>
        <v>117.33640474362257</v>
      </c>
    </row>
    <row r="60" spans="1:12">
      <c r="A60" s="96">
        <v>43369</v>
      </c>
      <c r="B60" s="101">
        <v>135.5</v>
      </c>
      <c r="C60" s="1">
        <f t="shared" si="0"/>
        <v>-1.487043480686079E-2</v>
      </c>
      <c r="D60" s="1">
        <f>IFERROR(Comp3[[#This Row],[Comparable '#3 Return]]+1,"-")</f>
        <v>0.98512956519313921</v>
      </c>
      <c r="E60" s="6">
        <f>B60-MAX($B$2:B60)</f>
        <v>-3.2700000000000102</v>
      </c>
      <c r="F60" s="80">
        <f t="shared" si="1"/>
        <v>17</v>
      </c>
      <c r="G60" s="6">
        <f>IFERROR(Comp3[[#This Row],[Comparable '#3 Drawdown]]/MAX($B$2:B60),"-")</f>
        <v>-2.3564170930316423E-2</v>
      </c>
      <c r="H60" s="1" t="str">
        <f>IF(SUM(COUNTIF(Benchmark1[Benchmark '#1 Dates],Comp3[[#This Row],[Comparable '#3 Dates]]),COUNTIF(Benchmark2[Benchmark '#2 Dates],Comp3[[#This Row],[Comparable '#3 Dates]]))=2,"Pass","Fail")</f>
        <v>Pass</v>
      </c>
      <c r="I60" s="1">
        <f>IFERROR(Comp3[[#This Row],[Comparable '#3 Return]]-INDEX(Benchmark1[Benchmark '#1 Return],MATCH(Comp3[[#This Row],[Comparable '#3 Dates]],Benchmark1[Benchmark '#1 Dates],0)),"-")</f>
        <v>-1.1572777645892398E-2</v>
      </c>
      <c r="L60" s="72">
        <f>Comp3[[#This Row],[Comparable '#3 Price]]/$B$2*100</f>
        <v>115.60447060830987</v>
      </c>
    </row>
    <row r="61" spans="1:12">
      <c r="A61" s="96">
        <v>43370</v>
      </c>
      <c r="B61" s="101">
        <v>135.72</v>
      </c>
      <c r="C61" s="1">
        <f t="shared" si="0"/>
        <v>1.6222995962736956E-3</v>
      </c>
      <c r="D61" s="1">
        <f>IFERROR(Comp3[[#This Row],[Comparable '#3 Return]]+1,"-")</f>
        <v>1.0016222995962738</v>
      </c>
      <c r="E61" s="6">
        <f>B61-MAX($B$2:B61)</f>
        <v>-3.0500000000000114</v>
      </c>
      <c r="F61" s="80">
        <f t="shared" si="1"/>
        <v>18</v>
      </c>
      <c r="G61" s="6">
        <f>IFERROR(Comp3[[#This Row],[Comparable '#3 Drawdown]]/MAX($B$2:B61),"-")</f>
        <v>-2.1978813864668236E-2</v>
      </c>
      <c r="H61" s="1" t="str">
        <f>IF(SUM(COUNTIF(Benchmark1[Benchmark '#1 Dates],Comp3[[#This Row],[Comparable '#3 Dates]]),COUNTIF(Benchmark2[Benchmark '#2 Dates],Comp3[[#This Row],[Comparable '#3 Dates]]))=2,"Pass","Fail")</f>
        <v>Pass</v>
      </c>
      <c r="I61" s="1">
        <f>IFERROR(Comp3[[#This Row],[Comparable '#3 Return]]-INDEX(Benchmark1[Benchmark '#1 Return],MATCH(Comp3[[#This Row],[Comparable '#3 Dates]],Benchmark1[Benchmark '#1 Dates],0)),"-")</f>
        <v>-1.1380624533740553E-3</v>
      </c>
      <c r="L61" s="72">
        <f>Comp3[[#This Row],[Comparable '#3 Price]]/$B$2*100</f>
        <v>115.79216790376248</v>
      </c>
    </row>
    <row r="62" spans="1:12">
      <c r="A62" s="96">
        <v>43371</v>
      </c>
      <c r="B62" s="101">
        <v>137.03</v>
      </c>
      <c r="C62" s="1">
        <f t="shared" si="0"/>
        <v>9.6059400420802805E-3</v>
      </c>
      <c r="D62" s="1">
        <f>IFERROR(Comp3[[#This Row],[Comparable '#3 Return]]+1,"-")</f>
        <v>1.0096059400420803</v>
      </c>
      <c r="E62" s="6">
        <f>B62-MAX($B$2:B62)</f>
        <v>-1.7400000000000091</v>
      </c>
      <c r="F62" s="80">
        <f t="shared" si="1"/>
        <v>19</v>
      </c>
      <c r="G62" s="6">
        <f>IFERROR(Comp3[[#This Row],[Comparable '#3 Drawdown]]/MAX($B$2:B62),"-")</f>
        <v>-1.2538733155581242E-2</v>
      </c>
      <c r="H62" s="1" t="str">
        <f>IF(SUM(COUNTIF(Benchmark1[Benchmark '#1 Dates],Comp3[[#This Row],[Comparable '#3 Dates]]),COUNTIF(Benchmark2[Benchmark '#2 Dates],Comp3[[#This Row],[Comparable '#3 Dates]]))=2,"Pass","Fail")</f>
        <v>Pass</v>
      </c>
      <c r="I62" s="1">
        <f>IFERROR(Comp3[[#This Row],[Comparable '#3 Return]]-INDEX(Benchmark1[Benchmark '#1 Return],MATCH(Comp3[[#This Row],[Comparable '#3 Dates]],Benchmark1[Benchmark '#1 Dates],0)),"-")</f>
        <v>9.6128193492949123E-3</v>
      </c>
      <c r="L62" s="72">
        <f>Comp3[[#This Row],[Comparable '#3 Price]]/$B$2*100</f>
        <v>116.90981998123027</v>
      </c>
    </row>
    <row r="63" spans="1:12">
      <c r="A63" s="96">
        <v>43374</v>
      </c>
      <c r="B63" s="101">
        <v>136.16999999999999</v>
      </c>
      <c r="C63" s="1">
        <f t="shared" si="0"/>
        <v>-6.2957748216257462E-3</v>
      </c>
      <c r="D63" s="1">
        <f>IFERROR(Comp3[[#This Row],[Comparable '#3 Return]]+1,"-")</f>
        <v>0.9937042251783742</v>
      </c>
      <c r="E63" s="6">
        <f>B63-MAX($B$2:B63)</f>
        <v>-2.6000000000000227</v>
      </c>
      <c r="F63" s="80">
        <f t="shared" si="1"/>
        <v>20</v>
      </c>
      <c r="G63" s="6">
        <f>IFERROR(Comp3[[#This Row],[Comparable '#3 Drawdown]]/MAX($B$2:B63),"-")</f>
        <v>-1.8736038048569739E-2</v>
      </c>
      <c r="H63" s="1" t="str">
        <f>IF(SUM(COUNTIF(Benchmark1[Benchmark '#1 Dates],Comp3[[#This Row],[Comparable '#3 Dates]]),COUNTIF(Benchmark2[Benchmark '#2 Dates],Comp3[[#This Row],[Comparable '#3 Dates]]))=2,"Pass","Fail")</f>
        <v>Pass</v>
      </c>
      <c r="I63" s="1">
        <f>IFERROR(Comp3[[#This Row],[Comparable '#3 Return]]-INDEX(Benchmark1[Benchmark '#1 Return],MATCH(Comp3[[#This Row],[Comparable '#3 Dates]],Benchmark1[Benchmark '#1 Dates],0)),"-")</f>
        <v>-9.931189152819592E-3</v>
      </c>
      <c r="L63" s="72">
        <f>Comp3[[#This Row],[Comparable '#3 Price]]/$B$2*100</f>
        <v>116.17609418991552</v>
      </c>
    </row>
    <row r="64" spans="1:12">
      <c r="A64" s="96">
        <v>43375</v>
      </c>
      <c r="B64" s="101">
        <v>132.21</v>
      </c>
      <c r="C64" s="1">
        <f t="shared" si="0"/>
        <v>-2.9512537614478467E-2</v>
      </c>
      <c r="D64" s="1">
        <f>IFERROR(Comp3[[#This Row],[Comparable '#3 Return]]+1,"-")</f>
        <v>0.97048746238552153</v>
      </c>
      <c r="E64" s="6">
        <f>B64-MAX($B$2:B64)</f>
        <v>-6.5600000000000023</v>
      </c>
      <c r="F64" s="80">
        <f t="shared" si="1"/>
        <v>21</v>
      </c>
      <c r="G64" s="6">
        <f>IFERROR(Comp3[[#This Row],[Comparable '#3 Drawdown]]/MAX($B$2:B64),"-")</f>
        <v>-4.7272465230237093E-2</v>
      </c>
      <c r="H64" s="1" t="str">
        <f>IF(SUM(COUNTIF(Benchmark1[Benchmark '#1 Dates],Comp3[[#This Row],[Comparable '#3 Dates]]),COUNTIF(Benchmark2[Benchmark '#2 Dates],Comp3[[#This Row],[Comparable '#3 Dates]]))=2,"Pass","Fail")</f>
        <v>Pass</v>
      </c>
      <c r="I64" s="1">
        <f>IFERROR(Comp3[[#This Row],[Comparable '#3 Return]]-INDEX(Benchmark1[Benchmark '#1 Return],MATCH(Comp3[[#This Row],[Comparable '#3 Dates]],Benchmark1[Benchmark '#1 Dates],0)),"-")</f>
        <v>-2.9116682768732471E-2</v>
      </c>
      <c r="L64" s="72">
        <f>Comp3[[#This Row],[Comparable '#3 Price]]/$B$2*100</f>
        <v>112.79754287176864</v>
      </c>
    </row>
    <row r="65" spans="1:12">
      <c r="A65" s="96">
        <v>43376</v>
      </c>
      <c r="B65" s="101">
        <v>134.99</v>
      </c>
      <c r="C65" s="1">
        <f t="shared" si="0"/>
        <v>2.0809134098730409E-2</v>
      </c>
      <c r="D65" s="1">
        <f>IFERROR(Comp3[[#This Row],[Comparable '#3 Return]]+1,"-")</f>
        <v>1.0208091340987304</v>
      </c>
      <c r="E65" s="6">
        <f>B65-MAX($B$2:B65)</f>
        <v>-3.7800000000000011</v>
      </c>
      <c r="F65" s="80">
        <f t="shared" si="1"/>
        <v>22</v>
      </c>
      <c r="G65" s="6">
        <f>IFERROR(Comp3[[#This Row],[Comparable '#3 Drawdown]]/MAX($B$2:B65),"-")</f>
        <v>-2.7239316855228082E-2</v>
      </c>
      <c r="H65" s="1" t="str">
        <f>IF(SUM(COUNTIF(Benchmark1[Benchmark '#1 Dates],Comp3[[#This Row],[Comparable '#3 Dates]]),COUNTIF(Benchmark2[Benchmark '#2 Dates],Comp3[[#This Row],[Comparable '#3 Dates]]))=2,"Pass","Fail")</f>
        <v>Pass</v>
      </c>
      <c r="I65" s="1">
        <f>IFERROR(Comp3[[#This Row],[Comparable '#3 Return]]-INDEX(Benchmark1[Benchmark '#1 Return],MATCH(Comp3[[#This Row],[Comparable '#3 Dates]],Benchmark1[Benchmark '#1 Dates],0)),"-")</f>
        <v>2.0098036775627545E-2</v>
      </c>
      <c r="L65" s="72">
        <f>Comp3[[#This Row],[Comparable '#3 Price]]/$B$2*100</f>
        <v>115.16935415066976</v>
      </c>
    </row>
    <row r="66" spans="1:12">
      <c r="A66" s="96">
        <v>43377</v>
      </c>
      <c r="B66" s="101">
        <v>131.41</v>
      </c>
      <c r="C66" s="1">
        <f t="shared" ref="C66:C129" si="2">IFERROR(IF(B66="","-",LN(B66/B65)),"-")</f>
        <v>-2.6878494965189112E-2</v>
      </c>
      <c r="D66" s="1">
        <f>IFERROR(Comp3[[#This Row],[Comparable '#3 Return]]+1,"-")</f>
        <v>0.97312150503481087</v>
      </c>
      <c r="E66" s="6">
        <f>B66-MAX($B$2:B66)</f>
        <v>-7.3600000000000136</v>
      </c>
      <c r="F66" s="80">
        <f t="shared" ref="F66:F129" si="3">IF(E66=0,0,F65+1)</f>
        <v>23</v>
      </c>
      <c r="G66" s="6">
        <f>IFERROR(Comp3[[#This Row],[Comparable '#3 Drawdown]]/MAX($B$2:B66),"-")</f>
        <v>-5.3037400014412428E-2</v>
      </c>
      <c r="H66" s="1" t="str">
        <f>IF(SUM(COUNTIF(Benchmark1[Benchmark '#1 Dates],Comp3[[#This Row],[Comparable '#3 Dates]]),COUNTIF(Benchmark2[Benchmark '#2 Dates],Comp3[[#This Row],[Comparable '#3 Dates]]))=2,"Pass","Fail")</f>
        <v>Pass</v>
      </c>
      <c r="I66" s="1">
        <f>IFERROR(Comp3[[#This Row],[Comparable '#3 Return]]-INDEX(Benchmark1[Benchmark '#1 Return],MATCH(Comp3[[#This Row],[Comparable '#3 Dates]],Benchmark1[Benchmark '#1 Dates],0)),"-")</f>
        <v>-1.8674900358197806E-2</v>
      </c>
      <c r="L66" s="72">
        <f>Comp3[[#This Row],[Comparable '#3 Price]]/$B$2*100</f>
        <v>112.11500725194097</v>
      </c>
    </row>
    <row r="67" spans="1:12">
      <c r="A67" s="96">
        <v>43378</v>
      </c>
      <c r="B67" s="101">
        <v>130.91999999999999</v>
      </c>
      <c r="C67" s="1">
        <f t="shared" si="2"/>
        <v>-3.7357570225669892E-3</v>
      </c>
      <c r="D67" s="1">
        <f>IFERROR(Comp3[[#This Row],[Comparable '#3 Return]]+1,"-")</f>
        <v>0.99626424297743299</v>
      </c>
      <c r="E67" s="6">
        <f>B67-MAX($B$2:B67)</f>
        <v>-7.8500000000000227</v>
      </c>
      <c r="F67" s="80">
        <f t="shared" si="3"/>
        <v>24</v>
      </c>
      <c r="G67" s="6">
        <f>IFERROR(Comp3[[#This Row],[Comparable '#3 Drawdown]]/MAX($B$2:B67),"-")</f>
        <v>-5.6568422569719841E-2</v>
      </c>
      <c r="H67" s="1" t="str">
        <f>IF(SUM(COUNTIF(Benchmark1[Benchmark '#1 Dates],Comp3[[#This Row],[Comparable '#3 Dates]]),COUNTIF(Benchmark2[Benchmark '#2 Dates],Comp3[[#This Row],[Comparable '#3 Dates]]))=2,"Pass","Fail")</f>
        <v>Pass</v>
      </c>
      <c r="I67" s="1">
        <f>IFERROR(Comp3[[#This Row],[Comparable '#3 Return]]-INDEX(Benchmark1[Benchmark '#1 Return],MATCH(Comp3[[#This Row],[Comparable '#3 Dates]],Benchmark1[Benchmark '#1 Dates],0)),"-")</f>
        <v>1.8093558507897411E-3</v>
      </c>
      <c r="L67" s="72">
        <f>Comp3[[#This Row],[Comparable '#3 Price]]/$B$2*100</f>
        <v>111.69695418479651</v>
      </c>
    </row>
    <row r="68" spans="1:12">
      <c r="A68" s="96">
        <v>43381</v>
      </c>
      <c r="B68" s="101">
        <v>127.94</v>
      </c>
      <c r="C68" s="1">
        <f t="shared" si="2"/>
        <v>-2.3025045610988084E-2</v>
      </c>
      <c r="D68" s="1">
        <f>IFERROR(Comp3[[#This Row],[Comparable '#3 Return]]+1,"-")</f>
        <v>0.97697495438901194</v>
      </c>
      <c r="E68" s="6">
        <f>B68-MAX($B$2:B68)</f>
        <v>-10.830000000000013</v>
      </c>
      <c r="F68" s="80">
        <f t="shared" si="3"/>
        <v>25</v>
      </c>
      <c r="G68" s="6">
        <f>IFERROR(Comp3[[#This Row],[Comparable '#3 Drawdown]]/MAX($B$2:B68),"-")</f>
        <v>-7.8042804640772581E-2</v>
      </c>
      <c r="H68" s="1" t="str">
        <f>IF(SUM(COUNTIF(Benchmark1[Benchmark '#1 Dates],Comp3[[#This Row],[Comparable '#3 Dates]]),COUNTIF(Benchmark2[Benchmark '#2 Dates],Comp3[[#This Row],[Comparable '#3 Dates]]))=2,"Pass","Fail")</f>
        <v>Pass</v>
      </c>
      <c r="I68" s="1">
        <f>IFERROR(Comp3[[#This Row],[Comparable '#3 Return]]-INDEX(Benchmark1[Benchmark '#1 Return],MATCH(Comp3[[#This Row],[Comparable '#3 Dates]],Benchmark1[Benchmark '#1 Dates],0)),"-")</f>
        <v>-2.2632124240193049E-2</v>
      </c>
      <c r="L68" s="72">
        <f>Comp3[[#This Row],[Comparable '#3 Price]]/$B$2*100</f>
        <v>109.15450900093848</v>
      </c>
    </row>
    <row r="69" spans="1:12">
      <c r="A69" s="96">
        <v>43382</v>
      </c>
      <c r="B69" s="101">
        <v>129.56</v>
      </c>
      <c r="C69" s="1">
        <f t="shared" si="2"/>
        <v>1.2582690281137012E-2</v>
      </c>
      <c r="D69" s="1">
        <f>IFERROR(Comp3[[#This Row],[Comparable '#3 Return]]+1,"-")</f>
        <v>1.012582690281137</v>
      </c>
      <c r="E69" s="6">
        <f>B69-MAX($B$2:B69)</f>
        <v>-9.210000000000008</v>
      </c>
      <c r="F69" s="80">
        <f t="shared" si="3"/>
        <v>26</v>
      </c>
      <c r="G69" s="6">
        <f>IFERROR(Comp3[[#This Row],[Comparable '#3 Drawdown]]/MAX($B$2:B69),"-")</f>
        <v>-6.6368811702817665E-2</v>
      </c>
      <c r="H69" s="1" t="str">
        <f>IF(SUM(COUNTIF(Benchmark1[Benchmark '#1 Dates],Comp3[[#This Row],[Comparable '#3 Dates]]),COUNTIF(Benchmark2[Benchmark '#2 Dates],Comp3[[#This Row],[Comparable '#3 Dates]]))=2,"Pass","Fail")</f>
        <v>Pass</v>
      </c>
      <c r="I69" s="1">
        <f>IFERROR(Comp3[[#This Row],[Comparable '#3 Return]]-INDEX(Benchmark1[Benchmark '#1 Return],MATCH(Comp3[[#This Row],[Comparable '#3 Dates]],Benchmark1[Benchmark '#1 Dates],0)),"-")</f>
        <v>1.4001292872512346E-2</v>
      </c>
      <c r="L69" s="72">
        <f>Comp3[[#This Row],[Comparable '#3 Price]]/$B$2*100</f>
        <v>110.5366436310895</v>
      </c>
    </row>
    <row r="70" spans="1:12">
      <c r="A70" s="96">
        <v>43383</v>
      </c>
      <c r="B70" s="101">
        <v>127.41</v>
      </c>
      <c r="C70" s="1">
        <f t="shared" si="2"/>
        <v>-1.6733861309839056E-2</v>
      </c>
      <c r="D70" s="1">
        <f>IFERROR(Comp3[[#This Row],[Comparable '#3 Return]]+1,"-")</f>
        <v>0.983266138690161</v>
      </c>
      <c r="E70" s="6">
        <f>B70-MAX($B$2:B70)</f>
        <v>-11.360000000000014</v>
      </c>
      <c r="F70" s="80">
        <f t="shared" si="3"/>
        <v>27</v>
      </c>
      <c r="G70" s="6">
        <f>IFERROR(Comp3[[#This Row],[Comparable '#3 Drawdown]]/MAX($B$2:B70),"-")</f>
        <v>-8.1862073935288701E-2</v>
      </c>
      <c r="H70" s="1" t="str">
        <f>IF(SUM(COUNTIF(Benchmark1[Benchmark '#1 Dates],Comp3[[#This Row],[Comparable '#3 Dates]]),COUNTIF(Benchmark2[Benchmark '#2 Dates],Comp3[[#This Row],[Comparable '#3 Dates]]))=2,"Pass","Fail")</f>
        <v>Pass</v>
      </c>
      <c r="I70" s="1">
        <f>IFERROR(Comp3[[#This Row],[Comparable '#3 Return]]-INDEX(Benchmark1[Benchmark '#1 Return],MATCH(Comp3[[#This Row],[Comparable '#3 Dates]],Benchmark1[Benchmark '#1 Dates],0)),"-")</f>
        <v>1.6684055985823943E-2</v>
      </c>
      <c r="L70" s="72">
        <f>Comp3[[#This Row],[Comparable '#3 Price]]/$B$2*100</f>
        <v>108.70232915280266</v>
      </c>
    </row>
    <row r="71" spans="1:12">
      <c r="A71" s="96">
        <v>43384</v>
      </c>
      <c r="B71" s="101">
        <v>122.57</v>
      </c>
      <c r="C71" s="1">
        <f t="shared" si="2"/>
        <v>-3.872793764021569E-2</v>
      </c>
      <c r="D71" s="1">
        <f>IFERROR(Comp3[[#This Row],[Comparable '#3 Return]]+1,"-")</f>
        <v>0.96127206235978435</v>
      </c>
      <c r="E71" s="6">
        <f>B71-MAX($B$2:B71)</f>
        <v>-16.200000000000017</v>
      </c>
      <c r="F71" s="80">
        <f t="shared" si="3"/>
        <v>28</v>
      </c>
      <c r="G71" s="6">
        <f>IFERROR(Comp3[[#This Row],[Comparable '#3 Drawdown]]/MAX($B$2:B71),"-")</f>
        <v>-0.11673992937954901</v>
      </c>
      <c r="H71" s="1" t="str">
        <f>IF(SUM(COUNTIF(Benchmark1[Benchmark '#1 Dates],Comp3[[#This Row],[Comparable '#3 Dates]]),COUNTIF(Benchmark2[Benchmark '#2 Dates],Comp3[[#This Row],[Comparable '#3 Dates]]))=2,"Pass","Fail")</f>
        <v>Pass</v>
      </c>
      <c r="I71" s="1">
        <f>IFERROR(Comp3[[#This Row],[Comparable '#3 Return]]-INDEX(Benchmark1[Benchmark '#1 Return],MATCH(Comp3[[#This Row],[Comparable '#3 Dates]],Benchmark1[Benchmark '#1 Dates],0)),"-")</f>
        <v>-1.7939225625049092E-2</v>
      </c>
      <c r="L71" s="72">
        <f>Comp3[[#This Row],[Comparable '#3 Price]]/$B$2*100</f>
        <v>104.57298865284532</v>
      </c>
    </row>
    <row r="72" spans="1:12">
      <c r="A72" s="96">
        <v>43385</v>
      </c>
      <c r="B72" s="101">
        <v>122.78</v>
      </c>
      <c r="C72" s="1">
        <f t="shared" si="2"/>
        <v>1.7118406462766152E-3</v>
      </c>
      <c r="D72" s="1">
        <f>IFERROR(Comp3[[#This Row],[Comparable '#3 Return]]+1,"-")</f>
        <v>1.0017118406462766</v>
      </c>
      <c r="E72" s="6">
        <f>B72-MAX($B$2:B72)</f>
        <v>-15.990000000000009</v>
      </c>
      <c r="F72" s="80">
        <f t="shared" si="3"/>
        <v>29</v>
      </c>
      <c r="G72" s="6">
        <f>IFERROR(Comp3[[#This Row],[Comparable '#3 Drawdown]]/MAX($B$2:B72),"-")</f>
        <v>-0.11522663399870295</v>
      </c>
      <c r="H72" s="1" t="str">
        <f>IF(SUM(COUNTIF(Benchmark1[Benchmark '#1 Dates],Comp3[[#This Row],[Comparable '#3 Dates]]),COUNTIF(Benchmark2[Benchmark '#2 Dates],Comp3[[#This Row],[Comparable '#3 Dates]]))=2,"Pass","Fail")</f>
        <v>Pass</v>
      </c>
      <c r="I72" s="1">
        <f>IFERROR(Comp3[[#This Row],[Comparable '#3 Return]]-INDEX(Benchmark1[Benchmark '#1 Return],MATCH(Comp3[[#This Row],[Comparable '#3 Dates]],Benchmark1[Benchmark '#1 Dates],0)),"-")</f>
        <v>-1.2394400329322233E-2</v>
      </c>
      <c r="L72" s="72">
        <f>Comp3[[#This Row],[Comparable '#3 Price]]/$B$2*100</f>
        <v>104.75215425305009</v>
      </c>
    </row>
    <row r="73" spans="1:12">
      <c r="A73" s="96">
        <v>43388</v>
      </c>
      <c r="B73" s="101">
        <v>125.36</v>
      </c>
      <c r="C73" s="1">
        <f t="shared" si="2"/>
        <v>2.0795462048415096E-2</v>
      </c>
      <c r="D73" s="1">
        <f>IFERROR(Comp3[[#This Row],[Comparable '#3 Return]]+1,"-")</f>
        <v>1.0207954620484152</v>
      </c>
      <c r="E73" s="6">
        <f>B73-MAX($B$2:B73)</f>
        <v>-13.410000000000011</v>
      </c>
      <c r="F73" s="80">
        <f t="shared" si="3"/>
        <v>30</v>
      </c>
      <c r="G73" s="6">
        <f>IFERROR(Comp3[[#This Row],[Comparable '#3 Drawdown]]/MAX($B$2:B73),"-")</f>
        <v>-9.6634719319737772E-2</v>
      </c>
      <c r="H73" s="1" t="str">
        <f>IF(SUM(COUNTIF(Benchmark1[Benchmark '#1 Dates],Comp3[[#This Row],[Comparable '#3 Dates]]),COUNTIF(Benchmark2[Benchmark '#2 Dates],Comp3[[#This Row],[Comparable '#3 Dates]]))=2,"Pass","Fail")</f>
        <v>Pass</v>
      </c>
      <c r="I73" s="1">
        <f>IFERROR(Comp3[[#This Row],[Comparable '#3 Return]]-INDEX(Benchmark1[Benchmark '#1 Return],MATCH(Comp3[[#This Row],[Comparable '#3 Dates]],Benchmark1[Benchmark '#1 Dates],0)),"-")</f>
        <v>2.6718001175025312E-2</v>
      </c>
      <c r="L73" s="72">
        <f>Comp3[[#This Row],[Comparable '#3 Price]]/$B$2*100</f>
        <v>106.9533316269943</v>
      </c>
    </row>
    <row r="74" spans="1:12">
      <c r="A74" s="96">
        <v>43389</v>
      </c>
      <c r="B74" s="101">
        <v>133.35</v>
      </c>
      <c r="C74" s="1">
        <f t="shared" si="2"/>
        <v>6.178765258025775E-2</v>
      </c>
      <c r="D74" s="1">
        <f>IFERROR(Comp3[[#This Row],[Comparable '#3 Return]]+1,"-")</f>
        <v>1.0617876525802576</v>
      </c>
      <c r="E74" s="6">
        <f>B74-MAX($B$2:B74)</f>
        <v>-5.4200000000000159</v>
      </c>
      <c r="F74" s="80">
        <f t="shared" si="3"/>
        <v>31</v>
      </c>
      <c r="G74" s="6">
        <f>IFERROR(Comp3[[#This Row],[Comparable '#3 Drawdown]]/MAX($B$2:B74),"-")</f>
        <v>-3.905743316278746E-2</v>
      </c>
      <c r="H74" s="1" t="str">
        <f>IF(SUM(COUNTIF(Benchmark1[Benchmark '#1 Dates],Comp3[[#This Row],[Comparable '#3 Dates]]),COUNTIF(Benchmark2[Benchmark '#2 Dates],Comp3[[#This Row],[Comparable '#3 Dates]]))=2,"Pass","Fail")</f>
        <v>Pass</v>
      </c>
      <c r="I74" s="1">
        <f>IFERROR(Comp3[[#This Row],[Comparable '#3 Return]]-INDEX(Benchmark1[Benchmark '#1 Return],MATCH(Comp3[[#This Row],[Comparable '#3 Dates]],Benchmark1[Benchmark '#1 Dates],0)),"-")</f>
        <v>4.0519883987307589E-2</v>
      </c>
      <c r="L74" s="72">
        <f>Comp3[[#This Row],[Comparable '#3 Price]]/$B$2*100</f>
        <v>113.77015613002304</v>
      </c>
    </row>
    <row r="75" spans="1:12">
      <c r="A75" s="96">
        <v>43390</v>
      </c>
      <c r="B75" s="101">
        <v>131.5</v>
      </c>
      <c r="C75" s="1">
        <f t="shared" si="2"/>
        <v>-1.3970399010203988E-2</v>
      </c>
      <c r="D75" s="1">
        <f>IFERROR(Comp3[[#This Row],[Comparable '#3 Return]]+1,"-")</f>
        <v>0.98602960098979597</v>
      </c>
      <c r="E75" s="6">
        <f>B75-MAX($B$2:B75)</f>
        <v>-7.2700000000000102</v>
      </c>
      <c r="F75" s="80">
        <f t="shared" si="3"/>
        <v>32</v>
      </c>
      <c r="G75" s="6">
        <f>IFERROR(Comp3[[#This Row],[Comparable '#3 Drawdown]]/MAX($B$2:B75),"-")</f>
        <v>-5.238884485119269E-2</v>
      </c>
      <c r="H75" s="1" t="str">
        <f>IF(SUM(COUNTIF(Benchmark1[Benchmark '#1 Dates],Comp3[[#This Row],[Comparable '#3 Dates]]),COUNTIF(Benchmark2[Benchmark '#2 Dates],Comp3[[#This Row],[Comparable '#3 Dates]]))=2,"Pass","Fail")</f>
        <v>Pass</v>
      </c>
      <c r="I75" s="1">
        <f>IFERROR(Comp3[[#This Row],[Comparable '#3 Return]]-INDEX(Benchmark1[Benchmark '#1 Return],MATCH(Comp3[[#This Row],[Comparable '#3 Dates]],Benchmark1[Benchmark '#1 Dates],0)),"-")</f>
        <v>-1.3718904864764703E-2</v>
      </c>
      <c r="L75" s="72">
        <f>Comp3[[#This Row],[Comparable '#3 Price]]/$B$2*100</f>
        <v>112.19179250917158</v>
      </c>
    </row>
    <row r="76" spans="1:12">
      <c r="A76" s="96">
        <v>43391</v>
      </c>
      <c r="B76" s="101">
        <v>127.7</v>
      </c>
      <c r="C76" s="1">
        <f t="shared" si="2"/>
        <v>-2.9323088579325567E-2</v>
      </c>
      <c r="D76" s="1">
        <f>IFERROR(Comp3[[#This Row],[Comparable '#3 Return]]+1,"-")</f>
        <v>0.97067691142067447</v>
      </c>
      <c r="E76" s="6">
        <f>B76-MAX($B$2:B76)</f>
        <v>-11.070000000000007</v>
      </c>
      <c r="F76" s="80">
        <f t="shared" si="3"/>
        <v>33</v>
      </c>
      <c r="G76" s="6">
        <f>IFERROR(Comp3[[#This Row],[Comparable '#3 Drawdown]]/MAX($B$2:B76),"-")</f>
        <v>-7.9772285076025129E-2</v>
      </c>
      <c r="H76" s="1" t="str">
        <f>IF(SUM(COUNTIF(Benchmark1[Benchmark '#1 Dates],Comp3[[#This Row],[Comparable '#3 Dates]]),COUNTIF(Benchmark2[Benchmark '#2 Dates],Comp3[[#This Row],[Comparable '#3 Dates]]))=2,"Pass","Fail")</f>
        <v>Pass</v>
      </c>
      <c r="I76" s="1">
        <f>IFERROR(Comp3[[#This Row],[Comparable '#3 Return]]-INDEX(Benchmark1[Benchmark '#1 Return],MATCH(Comp3[[#This Row],[Comparable '#3 Dates]],Benchmark1[Benchmark '#1 Dates],0)),"-")</f>
        <v>-1.482855902626218E-2</v>
      </c>
      <c r="L76" s="72">
        <f>Comp3[[#This Row],[Comparable '#3 Price]]/$B$2*100</f>
        <v>108.9497483149902</v>
      </c>
    </row>
    <row r="77" spans="1:12">
      <c r="A77" s="96">
        <v>43392</v>
      </c>
      <c r="B77" s="101">
        <v>128.30000000000001</v>
      </c>
      <c r="C77" s="1">
        <f t="shared" si="2"/>
        <v>4.6875085830972432E-3</v>
      </c>
      <c r="D77" s="1">
        <f>IFERROR(Comp3[[#This Row],[Comparable '#3 Return]]+1,"-")</f>
        <v>1.0046875085830973</v>
      </c>
      <c r="E77" s="6">
        <f>B77-MAX($B$2:B77)</f>
        <v>-10.469999999999999</v>
      </c>
      <c r="F77" s="80">
        <f t="shared" si="3"/>
        <v>34</v>
      </c>
      <c r="G77" s="6">
        <f>IFERROR(Comp3[[#This Row],[Comparable '#3 Drawdown]]/MAX($B$2:B77),"-")</f>
        <v>-7.5448583987893628E-2</v>
      </c>
      <c r="H77" s="1" t="str">
        <f>IF(SUM(COUNTIF(Benchmark1[Benchmark '#1 Dates],Comp3[[#This Row],[Comparable '#3 Dates]]),COUNTIF(Benchmark2[Benchmark '#2 Dates],Comp3[[#This Row],[Comparable '#3 Dates]]))=2,"Pass","Fail")</f>
        <v>Pass</v>
      </c>
      <c r="I77" s="1">
        <f>IFERROR(Comp3[[#This Row],[Comparable '#3 Return]]-INDEX(Benchmark1[Benchmark '#1 Return],MATCH(Comp3[[#This Row],[Comparable '#3 Dates]],Benchmark1[Benchmark '#1 Dates],0)),"-")</f>
        <v>5.0502264293978997E-3</v>
      </c>
      <c r="L77" s="72">
        <f>Comp3[[#This Row],[Comparable '#3 Price]]/$B$2*100</f>
        <v>109.46165002986095</v>
      </c>
    </row>
    <row r="78" spans="1:12">
      <c r="A78" s="96">
        <v>43395</v>
      </c>
      <c r="B78" s="101">
        <v>127.76</v>
      </c>
      <c r="C78" s="1">
        <f t="shared" si="2"/>
        <v>-4.2177677148337936E-3</v>
      </c>
      <c r="D78" s="1">
        <f>IFERROR(Comp3[[#This Row],[Comparable '#3 Return]]+1,"-")</f>
        <v>0.99578223228516616</v>
      </c>
      <c r="E78" s="6">
        <f>B78-MAX($B$2:B78)</f>
        <v>-11.010000000000005</v>
      </c>
      <c r="F78" s="80">
        <f t="shared" si="3"/>
        <v>35</v>
      </c>
      <c r="G78" s="6">
        <f>IFERROR(Comp3[[#This Row],[Comparable '#3 Drawdown]]/MAX($B$2:B78),"-")</f>
        <v>-7.9339914967211961E-2</v>
      </c>
      <c r="H78" s="1" t="str">
        <f>IF(SUM(COUNTIF(Benchmark1[Benchmark '#1 Dates],Comp3[[#This Row],[Comparable '#3 Dates]]),COUNTIF(Benchmark2[Benchmark '#2 Dates],Comp3[[#This Row],[Comparable '#3 Dates]]))=2,"Pass","Fail")</f>
        <v>Pass</v>
      </c>
      <c r="I78" s="1">
        <f>IFERROR(Comp3[[#This Row],[Comparable '#3 Return]]-INDEX(Benchmark1[Benchmark '#1 Return],MATCH(Comp3[[#This Row],[Comparable '#3 Dates]],Benchmark1[Benchmark '#1 Dates],0)),"-")</f>
        <v>8.9788602438909022E-5</v>
      </c>
      <c r="L78" s="72">
        <f>Comp3[[#This Row],[Comparable '#3 Price]]/$B$2*100</f>
        <v>109.00093848647727</v>
      </c>
    </row>
    <row r="79" spans="1:12">
      <c r="A79" s="96">
        <v>43396</v>
      </c>
      <c r="B79" s="101">
        <v>123.8</v>
      </c>
      <c r="C79" s="1">
        <f t="shared" si="2"/>
        <v>-3.1486143656261366E-2</v>
      </c>
      <c r="D79" s="1">
        <f>IFERROR(Comp3[[#This Row],[Comparable '#3 Return]]+1,"-")</f>
        <v>0.96851385634373865</v>
      </c>
      <c r="E79" s="6">
        <f>B79-MAX($B$2:B79)</f>
        <v>-14.970000000000013</v>
      </c>
      <c r="F79" s="80">
        <f t="shared" si="3"/>
        <v>36</v>
      </c>
      <c r="G79" s="6">
        <f>IFERROR(Comp3[[#This Row],[Comparable '#3 Drawdown]]/MAX($B$2:B79),"-")</f>
        <v>-0.10787634214887953</v>
      </c>
      <c r="H79" s="1" t="str">
        <f>IF(SUM(COUNTIF(Benchmark1[Benchmark '#1 Dates],Comp3[[#This Row],[Comparable '#3 Dates]]),COUNTIF(Benchmark2[Benchmark '#2 Dates],Comp3[[#This Row],[Comparable '#3 Dates]]))=2,"Pass","Fail")</f>
        <v>Pass</v>
      </c>
      <c r="I79" s="1">
        <f>IFERROR(Comp3[[#This Row],[Comparable '#3 Return]]-INDEX(Benchmark1[Benchmark '#1 Return],MATCH(Comp3[[#This Row],[Comparable '#3 Dates]],Benchmark1[Benchmark '#1 Dates],0)),"-")</f>
        <v>-2.5958552645099137E-2</v>
      </c>
      <c r="L79" s="72">
        <f>Comp3[[#This Row],[Comparable '#3 Price]]/$B$2*100</f>
        <v>105.62238716833035</v>
      </c>
    </row>
    <row r="80" spans="1:12">
      <c r="A80" s="96">
        <v>43397</v>
      </c>
      <c r="B80" s="101">
        <v>122.5</v>
      </c>
      <c r="C80" s="1">
        <f t="shared" si="2"/>
        <v>-1.0556330265714023E-2</v>
      </c>
      <c r="D80" s="1">
        <f>IFERROR(Comp3[[#This Row],[Comparable '#3 Return]]+1,"-")</f>
        <v>0.98944366973428599</v>
      </c>
      <c r="E80" s="6">
        <f>B80-MAX($B$2:B80)</f>
        <v>-16.27000000000001</v>
      </c>
      <c r="F80" s="80">
        <f t="shared" si="3"/>
        <v>37</v>
      </c>
      <c r="G80" s="6">
        <f>IFERROR(Comp3[[#This Row],[Comparable '#3 Drawdown]]/MAX($B$2:B80),"-")</f>
        <v>-0.11724436117316429</v>
      </c>
      <c r="H80" s="1" t="str">
        <f>IF(SUM(COUNTIF(Benchmark1[Benchmark '#1 Dates],Comp3[[#This Row],[Comparable '#3 Dates]]),COUNTIF(Benchmark2[Benchmark '#2 Dates],Comp3[[#This Row],[Comparable '#3 Dates]]))=2,"Pass","Fail")</f>
        <v>Pass</v>
      </c>
      <c r="I80" s="1">
        <f>IFERROR(Comp3[[#This Row],[Comparable '#3 Return]]-INDEX(Benchmark1[Benchmark '#1 Return],MATCH(Comp3[[#This Row],[Comparable '#3 Dates]],Benchmark1[Benchmark '#1 Dates],0)),"-")</f>
        <v>2.0794157739955799E-2</v>
      </c>
      <c r="L80" s="72">
        <f>Comp3[[#This Row],[Comparable '#3 Price]]/$B$2*100</f>
        <v>104.51326678611042</v>
      </c>
    </row>
    <row r="81" spans="1:12">
      <c r="A81" s="96">
        <v>43398</v>
      </c>
      <c r="B81" s="101">
        <v>125.72</v>
      </c>
      <c r="C81" s="1">
        <f t="shared" si="2"/>
        <v>2.5946181944585135E-2</v>
      </c>
      <c r="D81" s="1">
        <f>IFERROR(Comp3[[#This Row],[Comparable '#3 Return]]+1,"-")</f>
        <v>1.0259461819445852</v>
      </c>
      <c r="E81" s="6">
        <f>B81-MAX($B$2:B81)</f>
        <v>-13.050000000000011</v>
      </c>
      <c r="F81" s="80">
        <f t="shared" si="3"/>
        <v>38</v>
      </c>
      <c r="G81" s="6">
        <f>IFERROR(Comp3[[#This Row],[Comparable '#3 Drawdown]]/MAX($B$2:B81),"-")</f>
        <v>-9.4040498666858902E-2</v>
      </c>
      <c r="H81" s="1" t="str">
        <f>IF(SUM(COUNTIF(Benchmark1[Benchmark '#1 Dates],Comp3[[#This Row],[Comparable '#3 Dates]]),COUNTIF(Benchmark2[Benchmark '#2 Dates],Comp3[[#This Row],[Comparable '#3 Dates]]))=2,"Pass","Fail")</f>
        <v>Pass</v>
      </c>
      <c r="I81" s="1">
        <f>IFERROR(Comp3[[#This Row],[Comparable '#3 Return]]-INDEX(Benchmark1[Benchmark '#1 Return],MATCH(Comp3[[#This Row],[Comparable '#3 Dates]],Benchmark1[Benchmark '#1 Dates],0)),"-")</f>
        <v>7.4943019291668668E-3</v>
      </c>
      <c r="L81" s="72">
        <f>Comp3[[#This Row],[Comparable '#3 Price]]/$B$2*100</f>
        <v>107.26047265591674</v>
      </c>
    </row>
    <row r="82" spans="1:12">
      <c r="A82" s="96">
        <v>43399</v>
      </c>
      <c r="B82" s="101">
        <v>125.79</v>
      </c>
      <c r="C82" s="1">
        <f t="shared" si="2"/>
        <v>5.566379214141182E-4</v>
      </c>
      <c r="D82" s="1">
        <f>IFERROR(Comp3[[#This Row],[Comparable '#3 Return]]+1,"-")</f>
        <v>1.0005566379214141</v>
      </c>
      <c r="E82" s="6">
        <f>B82-MAX($B$2:B82)</f>
        <v>-12.980000000000004</v>
      </c>
      <c r="F82" s="80">
        <f t="shared" si="3"/>
        <v>39</v>
      </c>
      <c r="G82" s="6">
        <f>IFERROR(Comp3[[#This Row],[Comparable '#3 Drawdown]]/MAX($B$2:B82),"-")</f>
        <v>-9.353606687324352E-2</v>
      </c>
      <c r="H82" s="1" t="str">
        <f>IF(SUM(COUNTIF(Benchmark1[Benchmark '#1 Dates],Comp3[[#This Row],[Comparable '#3 Dates]]),COUNTIF(Benchmark2[Benchmark '#2 Dates],Comp3[[#This Row],[Comparable '#3 Dates]]))=2,"Pass","Fail")</f>
        <v>Pass</v>
      </c>
      <c r="I82" s="1">
        <f>IFERROR(Comp3[[#This Row],[Comparable '#3 Return]]-INDEX(Benchmark1[Benchmark '#1 Return],MATCH(Comp3[[#This Row],[Comparable '#3 Dates]],Benchmark1[Benchmark '#1 Dates],0)),"-")</f>
        <v>1.8036931336210055E-2</v>
      </c>
      <c r="L82" s="72">
        <f>Comp3[[#This Row],[Comparable '#3 Price]]/$B$2*100</f>
        <v>107.32019452265166</v>
      </c>
    </row>
    <row r="83" spans="1:12">
      <c r="A83" s="96">
        <v>43402</v>
      </c>
      <c r="B83" s="101">
        <v>124.23</v>
      </c>
      <c r="C83" s="1">
        <f t="shared" si="2"/>
        <v>-1.2479163625195397E-2</v>
      </c>
      <c r="D83" s="1">
        <f>IFERROR(Comp3[[#This Row],[Comparable '#3 Return]]+1,"-")</f>
        <v>0.98752083637480459</v>
      </c>
      <c r="E83" s="6">
        <f>B83-MAX($B$2:B83)</f>
        <v>-14.540000000000006</v>
      </c>
      <c r="F83" s="80">
        <f t="shared" si="3"/>
        <v>40</v>
      </c>
      <c r="G83" s="6">
        <f>IFERROR(Comp3[[#This Row],[Comparable '#3 Drawdown]]/MAX($B$2:B83),"-")</f>
        <v>-0.10477768970238528</v>
      </c>
      <c r="H83" s="1" t="str">
        <f>IF(SUM(COUNTIF(Benchmark1[Benchmark '#1 Dates],Comp3[[#This Row],[Comparable '#3 Dates]]),COUNTIF(Benchmark2[Benchmark '#2 Dates],Comp3[[#This Row],[Comparable '#3 Dates]]))=2,"Pass","Fail")</f>
        <v>Pass</v>
      </c>
      <c r="I83" s="1">
        <f>IFERROR(Comp3[[#This Row],[Comparable '#3 Return]]-INDEX(Benchmark1[Benchmark '#1 Return],MATCH(Comp3[[#This Row],[Comparable '#3 Dates]],Benchmark1[Benchmark '#1 Dates],0)),"-")</f>
        <v>-5.8979232480325149E-3</v>
      </c>
      <c r="L83" s="72">
        <f>Comp3[[#This Row],[Comparable '#3 Price]]/$B$2*100</f>
        <v>105.98925006398771</v>
      </c>
    </row>
    <row r="84" spans="1:12">
      <c r="A84" s="96">
        <v>43403</v>
      </c>
      <c r="B84" s="101">
        <v>124.14</v>
      </c>
      <c r="C84" s="1">
        <f t="shared" si="2"/>
        <v>-7.2472524007891526E-4</v>
      </c>
      <c r="D84" s="1">
        <f>IFERROR(Comp3[[#This Row],[Comparable '#3 Return]]+1,"-")</f>
        <v>0.99927527475992106</v>
      </c>
      <c r="E84" s="6">
        <f>B84-MAX($B$2:B84)</f>
        <v>-14.63000000000001</v>
      </c>
      <c r="F84" s="80">
        <f t="shared" si="3"/>
        <v>41</v>
      </c>
      <c r="G84" s="6">
        <f>IFERROR(Comp3[[#This Row],[Comparable '#3 Drawdown]]/MAX($B$2:B84),"-")</f>
        <v>-0.10542624486560502</v>
      </c>
      <c r="H84" s="1" t="str">
        <f>IF(SUM(COUNTIF(Benchmark1[Benchmark '#1 Dates],Comp3[[#This Row],[Comparable '#3 Dates]]),COUNTIF(Benchmark2[Benchmark '#2 Dates],Comp3[[#This Row],[Comparable '#3 Dates]]))=2,"Pass","Fail")</f>
        <v>Pass</v>
      </c>
      <c r="I84" s="1">
        <f>IFERROR(Comp3[[#This Row],[Comparable '#3 Return]]-INDEX(Benchmark1[Benchmark '#1 Return],MATCH(Comp3[[#This Row],[Comparable '#3 Dates]],Benchmark1[Benchmark '#1 Dates],0)),"-")</f>
        <v>-1.6272311248147941E-2</v>
      </c>
      <c r="L84" s="72">
        <f>Comp3[[#This Row],[Comparable '#3 Price]]/$B$2*100</f>
        <v>105.91246480675711</v>
      </c>
    </row>
    <row r="85" spans="1:12">
      <c r="A85" s="96">
        <v>43404</v>
      </c>
      <c r="B85" s="101">
        <v>125.82</v>
      </c>
      <c r="C85" s="1">
        <f t="shared" si="2"/>
        <v>1.344235315637677E-2</v>
      </c>
      <c r="D85" s="1">
        <f>IFERROR(Comp3[[#This Row],[Comparable '#3 Return]]+1,"-")</f>
        <v>1.0134423531563768</v>
      </c>
      <c r="E85" s="6">
        <f>B85-MAX($B$2:B85)</f>
        <v>-12.950000000000017</v>
      </c>
      <c r="F85" s="80">
        <f t="shared" si="3"/>
        <v>42</v>
      </c>
      <c r="G85" s="6">
        <f>IFERROR(Comp3[[#This Row],[Comparable '#3 Drawdown]]/MAX($B$2:B85),"-")</f>
        <v>-9.3319881818837047E-2</v>
      </c>
      <c r="H85" s="1" t="str">
        <f>IF(SUM(COUNTIF(Benchmark1[Benchmark '#1 Dates],Comp3[[#This Row],[Comparable '#3 Dates]]),COUNTIF(Benchmark2[Benchmark '#2 Dates],Comp3[[#This Row],[Comparable '#3 Dates]]))=2,"Pass","Fail")</f>
        <v>Pass</v>
      </c>
      <c r="I85" s="1">
        <f>IFERROR(Comp3[[#This Row],[Comparable '#3 Return]]-INDEX(Benchmark1[Benchmark '#1 Return],MATCH(Comp3[[#This Row],[Comparable '#3 Dates]],Benchmark1[Benchmark '#1 Dates],0)),"-")</f>
        <v>2.6482601583593564E-3</v>
      </c>
      <c r="L85" s="72">
        <f>Comp3[[#This Row],[Comparable '#3 Price]]/$B$2*100</f>
        <v>107.34578960839518</v>
      </c>
    </row>
    <row r="86" spans="1:12">
      <c r="A86" s="96">
        <v>43405</v>
      </c>
      <c r="B86" s="101">
        <v>125.82</v>
      </c>
      <c r="C86" s="1">
        <f t="shared" si="2"/>
        <v>0</v>
      </c>
      <c r="D86" s="1">
        <f>IFERROR(Comp3[[#This Row],[Comparable '#3 Return]]+1,"-")</f>
        <v>1</v>
      </c>
      <c r="E86" s="6">
        <f>B86-MAX($B$2:B86)</f>
        <v>-12.950000000000017</v>
      </c>
      <c r="F86" s="80">
        <f t="shared" si="3"/>
        <v>43</v>
      </c>
      <c r="G86" s="6">
        <f>IFERROR(Comp3[[#This Row],[Comparable '#3 Drawdown]]/MAX($B$2:B86),"-")</f>
        <v>-9.3319881818837047E-2</v>
      </c>
      <c r="H86" s="1" t="str">
        <f>IF(SUM(COUNTIF(Benchmark1[Benchmark '#1 Dates],Comp3[[#This Row],[Comparable '#3 Dates]]),COUNTIF(Benchmark2[Benchmark '#2 Dates],Comp3[[#This Row],[Comparable '#3 Dates]]))=2,"Pass","Fail")</f>
        <v>Pass</v>
      </c>
      <c r="I86" s="1">
        <f>IFERROR(Comp3[[#This Row],[Comparable '#3 Return]]-INDEX(Benchmark1[Benchmark '#1 Return],MATCH(Comp3[[#This Row],[Comparable '#3 Dates]],Benchmark1[Benchmark '#1 Dates],0)),"-")</f>
        <v>-1.0501723787375258E-2</v>
      </c>
      <c r="L86" s="72">
        <f>Comp3[[#This Row],[Comparable '#3 Price]]/$B$2*100</f>
        <v>107.34578960839518</v>
      </c>
    </row>
    <row r="87" spans="1:12">
      <c r="A87" s="96">
        <v>43406</v>
      </c>
      <c r="B87" s="101">
        <v>128.58000000000001</v>
      </c>
      <c r="C87" s="1">
        <f t="shared" si="2"/>
        <v>2.1698964571657261E-2</v>
      </c>
      <c r="D87" s="1">
        <f>IFERROR(Comp3[[#This Row],[Comparable '#3 Return]]+1,"-")</f>
        <v>1.0216989645716572</v>
      </c>
      <c r="E87" s="6">
        <f>B87-MAX($B$2:B87)</f>
        <v>-10.189999999999998</v>
      </c>
      <c r="F87" s="80">
        <f t="shared" si="3"/>
        <v>44</v>
      </c>
      <c r="G87" s="6">
        <f>IFERROR(Comp3[[#This Row],[Comparable '#3 Drawdown]]/MAX($B$2:B87),"-")</f>
        <v>-7.3430856813432283E-2</v>
      </c>
      <c r="H87" s="1" t="str">
        <f>IF(SUM(COUNTIF(Benchmark1[Benchmark '#1 Dates],Comp3[[#This Row],[Comparable '#3 Dates]]),COUNTIF(Benchmark2[Benchmark '#2 Dates],Comp3[[#This Row],[Comparable '#3 Dates]]))=2,"Pass","Fail")</f>
        <v>Pass</v>
      </c>
      <c r="I87" s="1">
        <f>IFERROR(Comp3[[#This Row],[Comparable '#3 Return]]-INDEX(Benchmark1[Benchmark '#1 Return],MATCH(Comp3[[#This Row],[Comparable '#3 Dates]],Benchmark1[Benchmark '#1 Dates],0)),"-")</f>
        <v>2.8037193559180912E-2</v>
      </c>
      <c r="L87" s="72">
        <f>Comp3[[#This Row],[Comparable '#3 Price]]/$B$2*100</f>
        <v>109.70053749680062</v>
      </c>
    </row>
    <row r="88" spans="1:12">
      <c r="A88" s="96">
        <v>43409</v>
      </c>
      <c r="B88" s="101">
        <v>131.6</v>
      </c>
      <c r="C88" s="1">
        <f t="shared" si="2"/>
        <v>2.3215740177676022E-2</v>
      </c>
      <c r="D88" s="1">
        <f>IFERROR(Comp3[[#This Row],[Comparable '#3 Return]]+1,"-")</f>
        <v>1.023215740177676</v>
      </c>
      <c r="E88" s="6">
        <f>B88-MAX($B$2:B88)</f>
        <v>-7.1700000000000159</v>
      </c>
      <c r="F88" s="80">
        <f t="shared" si="3"/>
        <v>45</v>
      </c>
      <c r="G88" s="6">
        <f>IFERROR(Comp3[[#This Row],[Comparable '#3 Drawdown]]/MAX($B$2:B88),"-")</f>
        <v>-5.1668228003170828E-2</v>
      </c>
      <c r="H88" s="1" t="str">
        <f>IF(SUM(COUNTIF(Benchmark1[Benchmark '#1 Dates],Comp3[[#This Row],[Comparable '#3 Dates]]),COUNTIF(Benchmark2[Benchmark '#2 Dates],Comp3[[#This Row],[Comparable '#3 Dates]]))=2,"Pass","Fail")</f>
        <v>Pass</v>
      </c>
      <c r="I88" s="1">
        <f>IFERROR(Comp3[[#This Row],[Comparable '#3 Return]]-INDEX(Benchmark1[Benchmark '#1 Return],MATCH(Comp3[[#This Row],[Comparable '#3 Dates]],Benchmark1[Benchmark '#1 Dates],0)),"-")</f>
        <v>1.7629070671072361E-2</v>
      </c>
      <c r="L88" s="72">
        <f>Comp3[[#This Row],[Comparable '#3 Price]]/$B$2*100</f>
        <v>112.27710946165004</v>
      </c>
    </row>
    <row r="89" spans="1:12">
      <c r="A89" s="96">
        <v>43410</v>
      </c>
      <c r="B89" s="101">
        <v>132.9</v>
      </c>
      <c r="C89" s="1">
        <f t="shared" si="2"/>
        <v>9.8299468279828689E-3</v>
      </c>
      <c r="D89" s="1">
        <f>IFERROR(Comp3[[#This Row],[Comparable '#3 Return]]+1,"-")</f>
        <v>1.0098299468279828</v>
      </c>
      <c r="E89" s="6">
        <f>B89-MAX($B$2:B89)</f>
        <v>-5.8700000000000045</v>
      </c>
      <c r="F89" s="80">
        <f t="shared" si="3"/>
        <v>46</v>
      </c>
      <c r="G89" s="6">
        <f>IFERROR(Comp3[[#This Row],[Comparable '#3 Drawdown]]/MAX($B$2:B89),"-")</f>
        <v>-4.2300208978885957E-2</v>
      </c>
      <c r="H89" s="1" t="str">
        <f>IF(SUM(COUNTIF(Benchmark1[Benchmark '#1 Dates],Comp3[[#This Row],[Comparable '#3 Dates]]),COUNTIF(Benchmark2[Benchmark '#2 Dates],Comp3[[#This Row],[Comparable '#3 Dates]]))=2,"Pass","Fail")</f>
        <v>Pass</v>
      </c>
      <c r="I89" s="1">
        <f>IFERROR(Comp3[[#This Row],[Comparable '#3 Return]]-INDEX(Benchmark1[Benchmark '#1 Return],MATCH(Comp3[[#This Row],[Comparable '#3 Dates]],Benchmark1[Benchmark '#1 Dates],0)),"-")</f>
        <v>3.5911599553896181E-3</v>
      </c>
      <c r="L89" s="72">
        <f>Comp3[[#This Row],[Comparable '#3 Price]]/$B$2*100</f>
        <v>113.38622984386998</v>
      </c>
    </row>
    <row r="90" spans="1:12">
      <c r="A90" s="96">
        <v>43411</v>
      </c>
      <c r="B90" s="101">
        <v>134.28</v>
      </c>
      <c r="C90" s="1">
        <f t="shared" si="2"/>
        <v>1.0330206392634421E-2</v>
      </c>
      <c r="D90" s="1">
        <f>IFERROR(Comp3[[#This Row],[Comparable '#3 Return]]+1,"-")</f>
        <v>1.0103302063926345</v>
      </c>
      <c r="E90" s="6">
        <f>B90-MAX($B$2:B90)</f>
        <v>-4.4900000000000091</v>
      </c>
      <c r="F90" s="80">
        <f t="shared" si="3"/>
        <v>47</v>
      </c>
      <c r="G90" s="6">
        <f>IFERROR(Comp3[[#This Row],[Comparable '#3 Drawdown]]/MAX($B$2:B90),"-")</f>
        <v>-3.2355696476183679E-2</v>
      </c>
      <c r="H90" s="1" t="str">
        <f>IF(SUM(COUNTIF(Benchmark1[Benchmark '#1 Dates],Comp3[[#This Row],[Comparable '#3 Dates]]),COUNTIF(Benchmark2[Benchmark '#2 Dates],Comp3[[#This Row],[Comparable '#3 Dates]]))=2,"Pass","Fail")</f>
        <v>Pass</v>
      </c>
      <c r="I90" s="1">
        <f>IFERROR(Comp3[[#This Row],[Comparable '#3 Return]]-INDEX(Benchmark1[Benchmark '#1 Return],MATCH(Comp3[[#This Row],[Comparable '#3 Dates]],Benchmark1[Benchmark '#1 Dates],0)),"-")</f>
        <v>-1.0658300197993477E-2</v>
      </c>
      <c r="L90" s="72">
        <f>Comp3[[#This Row],[Comparable '#3 Price]]/$B$2*100</f>
        <v>114.56360378807268</v>
      </c>
    </row>
    <row r="91" spans="1:12">
      <c r="A91" s="96">
        <v>43412</v>
      </c>
      <c r="B91" s="101">
        <v>150.21</v>
      </c>
      <c r="C91" s="1">
        <f t="shared" si="2"/>
        <v>0.11210714289812904</v>
      </c>
      <c r="D91" s="1">
        <f>IFERROR(Comp3[[#This Row],[Comparable '#3 Return]]+1,"-")</f>
        <v>1.1121071428981291</v>
      </c>
      <c r="E91" s="6">
        <f>B91-MAX($B$2:B91)</f>
        <v>0</v>
      </c>
      <c r="F91" s="80">
        <f t="shared" si="3"/>
        <v>0</v>
      </c>
      <c r="G91" s="6">
        <f>IFERROR(Comp3[[#This Row],[Comparable '#3 Drawdown]]/MAX($B$2:B91),"-")</f>
        <v>0</v>
      </c>
      <c r="H91" s="1" t="str">
        <f>IF(SUM(COUNTIF(Benchmark1[Benchmark '#1 Dates],Comp3[[#This Row],[Comparable '#3 Dates]]),COUNTIF(Benchmark2[Benchmark '#2 Dates],Comp3[[#This Row],[Comparable '#3 Dates]]))=2,"Pass","Fail")</f>
        <v>Pass</v>
      </c>
      <c r="I91" s="1">
        <f>IFERROR(Comp3[[#This Row],[Comparable '#3 Return]]-INDEX(Benchmark1[Benchmark '#1 Return],MATCH(Comp3[[#This Row],[Comparable '#3 Dates]],Benchmark1[Benchmark '#1 Dates],0)),"-")</f>
        <v>0.11462063690997611</v>
      </c>
      <c r="L91" s="72">
        <f>Comp3[[#This Row],[Comparable '#3 Price]]/$B$2*100</f>
        <v>128.15459431789097</v>
      </c>
    </row>
    <row r="92" spans="1:12">
      <c r="A92" s="96">
        <v>43413</v>
      </c>
      <c r="B92" s="101">
        <v>140.33000000000001</v>
      </c>
      <c r="C92" s="1">
        <f t="shared" si="2"/>
        <v>-6.8037523246918752E-2</v>
      </c>
      <c r="D92" s="1">
        <f>IFERROR(Comp3[[#This Row],[Comparable '#3 Return]]+1,"-")</f>
        <v>0.93196247675308119</v>
      </c>
      <c r="E92" s="6">
        <f>B92-MAX($B$2:B92)</f>
        <v>-9.8799999999999955</v>
      </c>
      <c r="F92" s="80">
        <f t="shared" si="3"/>
        <v>1</v>
      </c>
      <c r="G92" s="6">
        <f>IFERROR(Comp3[[#This Row],[Comparable '#3 Drawdown]]/MAX($B$2:B92),"-")</f>
        <v>-6.5774582251514516E-2</v>
      </c>
      <c r="H92" s="1" t="str">
        <f>IF(SUM(COUNTIF(Benchmark1[Benchmark '#1 Dates],Comp3[[#This Row],[Comparable '#3 Dates]]),COUNTIF(Benchmark2[Benchmark '#2 Dates],Comp3[[#This Row],[Comparable '#3 Dates]]))=2,"Pass","Fail")</f>
        <v>Pass</v>
      </c>
      <c r="I92" s="1">
        <f>IFERROR(Comp3[[#This Row],[Comparable '#3 Return]]-INDEX(Benchmark1[Benchmark '#1 Return],MATCH(Comp3[[#This Row],[Comparable '#3 Dates]],Benchmark1[Benchmark '#1 Dates],0)),"-")</f>
        <v>-5.8795306497742506E-2</v>
      </c>
      <c r="L92" s="72">
        <f>Comp3[[#This Row],[Comparable '#3 Price]]/$B$2*100</f>
        <v>119.72527941301938</v>
      </c>
    </row>
    <row r="93" spans="1:12">
      <c r="A93" s="96">
        <v>43416</v>
      </c>
      <c r="B93" s="101">
        <v>144.09</v>
      </c>
      <c r="C93" s="1">
        <f t="shared" si="2"/>
        <v>2.6441312581798285E-2</v>
      </c>
      <c r="D93" s="1">
        <f>IFERROR(Comp3[[#This Row],[Comparable '#3 Return]]+1,"-")</f>
        <v>1.0264413125817984</v>
      </c>
      <c r="E93" s="6">
        <f>B93-MAX($B$2:B93)</f>
        <v>-6.1200000000000045</v>
      </c>
      <c r="F93" s="80">
        <f t="shared" si="3"/>
        <v>2</v>
      </c>
      <c r="G93" s="6">
        <f>IFERROR(Comp3[[#This Row],[Comparable '#3 Drawdown]]/MAX($B$2:B93),"-")</f>
        <v>-4.0742959856201348E-2</v>
      </c>
      <c r="H93" s="1" t="str">
        <f>IF(SUM(COUNTIF(Benchmark1[Benchmark '#1 Dates],Comp3[[#This Row],[Comparable '#3 Dates]]),COUNTIF(Benchmark2[Benchmark '#2 Dates],Comp3[[#This Row],[Comparable '#3 Dates]]))=2,"Pass","Fail")</f>
        <v>Pass</v>
      </c>
      <c r="I93" s="1">
        <f>IFERROR(Comp3[[#This Row],[Comparable '#3 Return]]-INDEX(Benchmark1[Benchmark '#1 Return],MATCH(Comp3[[#This Row],[Comparable '#3 Dates]],Benchmark1[Benchmark '#1 Dates],0)),"-")</f>
        <v>4.6340673213999629E-2</v>
      </c>
      <c r="L93" s="72">
        <f>Comp3[[#This Row],[Comparable '#3 Price]]/$B$2*100</f>
        <v>122.93319682620938</v>
      </c>
    </row>
    <row r="94" spans="1:12">
      <c r="A94" s="96">
        <v>43417</v>
      </c>
      <c r="B94" s="101">
        <v>142.56</v>
      </c>
      <c r="C94" s="1">
        <f t="shared" si="2"/>
        <v>-1.0675140622343484E-2</v>
      </c>
      <c r="D94" s="1">
        <f>IFERROR(Comp3[[#This Row],[Comparable '#3 Return]]+1,"-")</f>
        <v>0.98932485937765646</v>
      </c>
      <c r="E94" s="6">
        <f>B94-MAX($B$2:B94)</f>
        <v>-7.6500000000000057</v>
      </c>
      <c r="F94" s="80">
        <f t="shared" si="3"/>
        <v>3</v>
      </c>
      <c r="G94" s="6">
        <f>IFERROR(Comp3[[#This Row],[Comparable '#3 Drawdown]]/MAX($B$2:B94),"-")</f>
        <v>-5.092869982025168E-2</v>
      </c>
      <c r="H94" s="1" t="str">
        <f>IF(SUM(COUNTIF(Benchmark1[Benchmark '#1 Dates],Comp3[[#This Row],[Comparable '#3 Dates]]),COUNTIF(Benchmark2[Benchmark '#2 Dates],Comp3[[#This Row],[Comparable '#3 Dates]]))=2,"Pass","Fail")</f>
        <v>Pass</v>
      </c>
      <c r="I94" s="1">
        <f>IFERROR(Comp3[[#This Row],[Comparable '#3 Return]]-INDEX(Benchmark1[Benchmark '#1 Return],MATCH(Comp3[[#This Row],[Comparable '#3 Dates]],Benchmark1[Benchmark '#1 Dates],0)),"-")</f>
        <v>-9.1943941924604155E-3</v>
      </c>
      <c r="L94" s="72">
        <f>Comp3[[#This Row],[Comparable '#3 Price]]/$B$2*100</f>
        <v>121.62784745328898</v>
      </c>
    </row>
    <row r="95" spans="1:12">
      <c r="A95" s="96">
        <v>43418</v>
      </c>
      <c r="B95" s="101">
        <v>137.88999999999999</v>
      </c>
      <c r="C95" s="1">
        <f t="shared" si="2"/>
        <v>-3.3306697868849447E-2</v>
      </c>
      <c r="D95" s="1">
        <f>IFERROR(Comp3[[#This Row],[Comparable '#3 Return]]+1,"-")</f>
        <v>0.96669330213115057</v>
      </c>
      <c r="E95" s="6">
        <f>B95-MAX($B$2:B95)</f>
        <v>-12.320000000000022</v>
      </c>
      <c r="F95" s="80">
        <f t="shared" si="3"/>
        <v>4</v>
      </c>
      <c r="G95" s="6">
        <f>IFERROR(Comp3[[#This Row],[Comparable '#3 Drawdown]]/MAX($B$2:B95),"-")</f>
        <v>-8.2018507422941353E-2</v>
      </c>
      <c r="H95" s="1" t="str">
        <f>IF(SUM(COUNTIF(Benchmark1[Benchmark '#1 Dates],Comp3[[#This Row],[Comparable '#3 Dates]]),COUNTIF(Benchmark2[Benchmark '#2 Dates],Comp3[[#This Row],[Comparable '#3 Dates]]))=2,"Pass","Fail")</f>
        <v>Pass</v>
      </c>
      <c r="I95" s="1">
        <f>IFERROR(Comp3[[#This Row],[Comparable '#3 Return]]-INDEX(Benchmark1[Benchmark '#1 Return],MATCH(Comp3[[#This Row],[Comparable '#3 Dates]],Benchmark1[Benchmark '#1 Dates],0)),"-")</f>
        <v>-2.570829592387433E-2</v>
      </c>
      <c r="L95" s="72">
        <f>Comp3[[#This Row],[Comparable '#3 Price]]/$B$2*100</f>
        <v>117.64354577254498</v>
      </c>
    </row>
    <row r="96" spans="1:12">
      <c r="A96" s="96">
        <v>43419</v>
      </c>
      <c r="B96" s="101">
        <v>138.82</v>
      </c>
      <c r="C96" s="1">
        <f t="shared" si="2"/>
        <v>6.7218640577878849E-3</v>
      </c>
      <c r="D96" s="1">
        <f>IFERROR(Comp3[[#This Row],[Comparable '#3 Return]]+1,"-")</f>
        <v>1.006721864057788</v>
      </c>
      <c r="E96" s="6">
        <f>B96-MAX($B$2:B96)</f>
        <v>-11.390000000000015</v>
      </c>
      <c r="F96" s="80">
        <f t="shared" si="3"/>
        <v>5</v>
      </c>
      <c r="G96" s="6">
        <f>IFERROR(Comp3[[#This Row],[Comparable '#3 Drawdown]]/MAX($B$2:B96),"-")</f>
        <v>-7.5827175287930329E-2</v>
      </c>
      <c r="H96" s="1" t="str">
        <f>IF(SUM(COUNTIF(Benchmark1[Benchmark '#1 Dates],Comp3[[#This Row],[Comparable '#3 Dates]]),COUNTIF(Benchmark2[Benchmark '#2 Dates],Comp3[[#This Row],[Comparable '#3 Dates]]))=2,"Pass","Fail")</f>
        <v>Pass</v>
      </c>
      <c r="I96" s="1">
        <f>IFERROR(Comp3[[#This Row],[Comparable '#3 Return]]-INDEX(Benchmark1[Benchmark '#1 Return],MATCH(Comp3[[#This Row],[Comparable '#3 Dates]],Benchmark1[Benchmark '#1 Dates],0)),"-")</f>
        <v>-3.8185667883977956E-3</v>
      </c>
      <c r="L96" s="72">
        <f>Comp3[[#This Row],[Comparable '#3 Price]]/$B$2*100</f>
        <v>118.43699343059467</v>
      </c>
    </row>
    <row r="97" spans="1:12">
      <c r="A97" s="96">
        <v>43420</v>
      </c>
      <c r="B97" s="101">
        <v>134.18</v>
      </c>
      <c r="C97" s="1">
        <f t="shared" si="2"/>
        <v>-3.3995947776695547E-2</v>
      </c>
      <c r="D97" s="1">
        <f>IFERROR(Comp3[[#This Row],[Comparable '#3 Return]]+1,"-")</f>
        <v>0.96600405222330443</v>
      </c>
      <c r="E97" s="6">
        <f>B97-MAX($B$2:B97)</f>
        <v>-16.03</v>
      </c>
      <c r="F97" s="80">
        <f t="shared" si="3"/>
        <v>6</v>
      </c>
      <c r="G97" s="6">
        <f>IFERROR(Comp3[[#This Row],[Comparable '#3 Drawdown]]/MAX($B$2:B97),"-")</f>
        <v>-0.10671726249916784</v>
      </c>
      <c r="H97" s="1" t="str">
        <f>IF(SUM(COUNTIF(Benchmark1[Benchmark '#1 Dates],Comp3[[#This Row],[Comparable '#3 Dates]]),COUNTIF(Benchmark2[Benchmark '#2 Dates],Comp3[[#This Row],[Comparable '#3 Dates]]))=2,"Pass","Fail")</f>
        <v>Pass</v>
      </c>
      <c r="I97" s="1">
        <f>IFERROR(Comp3[[#This Row],[Comparable '#3 Return]]-INDEX(Benchmark1[Benchmark '#1 Return],MATCH(Comp3[[#This Row],[Comparable '#3 Dates]],Benchmark1[Benchmark '#1 Dates],0)),"-")</f>
        <v>-3.6215467359509146E-2</v>
      </c>
      <c r="L97" s="72">
        <f>Comp3[[#This Row],[Comparable '#3 Price]]/$B$2*100</f>
        <v>114.47828683559425</v>
      </c>
    </row>
    <row r="98" spans="1:12">
      <c r="A98" s="96">
        <v>43423</v>
      </c>
      <c r="B98" s="101">
        <v>129.16999999999999</v>
      </c>
      <c r="C98" s="1">
        <f t="shared" si="2"/>
        <v>-3.8052815890818006E-2</v>
      </c>
      <c r="D98" s="1">
        <f>IFERROR(Comp3[[#This Row],[Comparable '#3 Return]]+1,"-")</f>
        <v>0.96194718410918201</v>
      </c>
      <c r="E98" s="6">
        <f>B98-MAX($B$2:B98)</f>
        <v>-21.04000000000002</v>
      </c>
      <c r="F98" s="80">
        <f t="shared" si="3"/>
        <v>7</v>
      </c>
      <c r="G98" s="6">
        <f>IFERROR(Comp3[[#This Row],[Comparable '#3 Drawdown]]/MAX($B$2:B98),"-")</f>
        <v>-0.14007056787164648</v>
      </c>
      <c r="H98" s="1" t="str">
        <f>IF(SUM(COUNTIF(Benchmark1[Benchmark '#1 Dates],Comp3[[#This Row],[Comparable '#3 Dates]]),COUNTIF(Benchmark2[Benchmark '#2 Dates],Comp3[[#This Row],[Comparable '#3 Dates]]))=2,"Pass","Fail")</f>
        <v>Pass</v>
      </c>
      <c r="I98" s="1">
        <f>IFERROR(Comp3[[#This Row],[Comparable '#3 Return]]-INDEX(Benchmark1[Benchmark '#1 Return],MATCH(Comp3[[#This Row],[Comparable '#3 Dates]],Benchmark1[Benchmark '#1 Dates],0)),"-")</f>
        <v>-2.1270490744770828E-2</v>
      </c>
      <c r="L98" s="72">
        <f>Comp3[[#This Row],[Comparable '#3 Price]]/$B$2*100</f>
        <v>110.2039075164235</v>
      </c>
    </row>
    <row r="99" spans="1:12">
      <c r="A99" s="96">
        <v>43424</v>
      </c>
      <c r="B99" s="101">
        <v>128.54</v>
      </c>
      <c r="C99" s="1">
        <f t="shared" si="2"/>
        <v>-4.8892263007840426E-3</v>
      </c>
      <c r="D99" s="1">
        <f>IFERROR(Comp3[[#This Row],[Comparable '#3 Return]]+1,"-")</f>
        <v>0.99511077369921597</v>
      </c>
      <c r="E99" s="6">
        <f>B99-MAX($B$2:B99)</f>
        <v>-21.670000000000016</v>
      </c>
      <c r="F99" s="80">
        <f t="shared" si="3"/>
        <v>8</v>
      </c>
      <c r="G99" s="6">
        <f>IFERROR(Comp3[[#This Row],[Comparable '#3 Drawdown]]/MAX($B$2:B99),"-")</f>
        <v>-0.14426469609213777</v>
      </c>
      <c r="H99" s="1" t="str">
        <f>IF(SUM(COUNTIF(Benchmark1[Benchmark '#1 Dates],Comp3[[#This Row],[Comparable '#3 Dates]]),COUNTIF(Benchmark2[Benchmark '#2 Dates],Comp3[[#This Row],[Comparable '#3 Dates]]))=2,"Pass","Fail")</f>
        <v>Pass</v>
      </c>
      <c r="I99" s="1">
        <f>IFERROR(Comp3[[#This Row],[Comparable '#3 Return]]-INDEX(Benchmark1[Benchmark '#1 Return],MATCH(Comp3[[#This Row],[Comparable '#3 Dates]],Benchmark1[Benchmark '#1 Dates],0)),"-")</f>
        <v>1.3429074927933455E-2</v>
      </c>
      <c r="L99" s="72">
        <f>Comp3[[#This Row],[Comparable '#3 Price]]/$B$2*100</f>
        <v>109.66641071580922</v>
      </c>
    </row>
    <row r="100" spans="1:12">
      <c r="A100" s="96">
        <v>43425</v>
      </c>
      <c r="B100" s="101">
        <v>130.24</v>
      </c>
      <c r="C100" s="1">
        <f t="shared" si="2"/>
        <v>1.3138762311090237E-2</v>
      </c>
      <c r="D100" s="1">
        <f>IFERROR(Comp3[[#This Row],[Comparable '#3 Return]]+1,"-")</f>
        <v>1.0131387623110903</v>
      </c>
      <c r="E100" s="6">
        <f>B100-MAX($B$2:B100)</f>
        <v>-19.97</v>
      </c>
      <c r="F100" s="80">
        <f t="shared" si="3"/>
        <v>9</v>
      </c>
      <c r="G100" s="6">
        <f>IFERROR(Comp3[[#This Row],[Comparable '#3 Drawdown]]/MAX($B$2:B100),"-")</f>
        <v>-0.13294720724319284</v>
      </c>
      <c r="H100" s="1" t="str">
        <f>IF(SUM(COUNTIF(Benchmark1[Benchmark '#1 Dates],Comp3[[#This Row],[Comparable '#3 Dates]]),COUNTIF(Benchmark2[Benchmark '#2 Dates],Comp3[[#This Row],[Comparable '#3 Dates]]))=2,"Pass","Fail")</f>
        <v>Pass</v>
      </c>
      <c r="I100" s="1">
        <f>IFERROR(Comp3[[#This Row],[Comparable '#3 Return]]-INDEX(Benchmark1[Benchmark '#1 Return],MATCH(Comp3[[#This Row],[Comparable '#3 Dates]],Benchmark1[Benchmark '#1 Dates],0)),"-")</f>
        <v>1.0100568085244311E-2</v>
      </c>
      <c r="L100" s="72">
        <f>Comp3[[#This Row],[Comparable '#3 Price]]/$B$2*100</f>
        <v>111.11679890794302</v>
      </c>
    </row>
    <row r="101" spans="1:12">
      <c r="A101" s="96">
        <v>43427</v>
      </c>
      <c r="B101" s="101">
        <v>128.31</v>
      </c>
      <c r="C101" s="1">
        <f t="shared" si="2"/>
        <v>-1.4929691347303251E-2</v>
      </c>
      <c r="D101" s="1">
        <f>IFERROR(Comp3[[#This Row],[Comparable '#3 Return]]+1,"-")</f>
        <v>0.98507030865269674</v>
      </c>
      <c r="E101" s="6">
        <f>B101-MAX($B$2:B101)</f>
        <v>-21.900000000000006</v>
      </c>
      <c r="F101" s="80">
        <f t="shared" si="3"/>
        <v>10</v>
      </c>
      <c r="G101" s="6">
        <f>IFERROR(Comp3[[#This Row],[Comparable '#3 Drawdown]]/MAX($B$2:B101),"-")</f>
        <v>-0.14579588575993613</v>
      </c>
      <c r="H101" s="1" t="str">
        <f>IF(SUM(COUNTIF(Benchmark1[Benchmark '#1 Dates],Comp3[[#This Row],[Comparable '#3 Dates]]),COUNTIF(Benchmark2[Benchmark '#2 Dates],Comp3[[#This Row],[Comparable '#3 Dates]]))=2,"Pass","Fail")</f>
        <v>Pass</v>
      </c>
      <c r="I101" s="1">
        <f>IFERROR(Comp3[[#This Row],[Comparable '#3 Return]]-INDEX(Benchmark1[Benchmark '#1 Return],MATCH(Comp3[[#This Row],[Comparable '#3 Dates]],Benchmark1[Benchmark '#1 Dates],0)),"-")</f>
        <v>-8.3522926385909621E-3</v>
      </c>
      <c r="L101" s="72">
        <f>Comp3[[#This Row],[Comparable '#3 Price]]/$B$2*100</f>
        <v>109.47018172510879</v>
      </c>
    </row>
    <row r="102" spans="1:12">
      <c r="A102" s="96">
        <v>43430</v>
      </c>
      <c r="B102" s="101">
        <v>131.66999999999999</v>
      </c>
      <c r="C102" s="1">
        <f t="shared" si="2"/>
        <v>2.5849581461325311E-2</v>
      </c>
      <c r="D102" s="1">
        <f>IFERROR(Comp3[[#This Row],[Comparable '#3 Return]]+1,"-")</f>
        <v>1.0258495814613253</v>
      </c>
      <c r="E102" s="6">
        <f>B102-MAX($B$2:B102)</f>
        <v>-18.54000000000002</v>
      </c>
      <c r="F102" s="80">
        <f t="shared" si="3"/>
        <v>11</v>
      </c>
      <c r="G102" s="6">
        <f>IFERROR(Comp3[[#This Row],[Comparable '#3 Drawdown]]/MAX($B$2:B102),"-")</f>
        <v>-0.12342720191731589</v>
      </c>
      <c r="H102" s="1" t="str">
        <f>IF(SUM(COUNTIF(Benchmark1[Benchmark '#1 Dates],Comp3[[#This Row],[Comparable '#3 Dates]]),COUNTIF(Benchmark2[Benchmark '#2 Dates],Comp3[[#This Row],[Comparable '#3 Dates]]))=2,"Pass","Fail")</f>
        <v>Pass</v>
      </c>
      <c r="I102" s="1">
        <f>IFERROR(Comp3[[#This Row],[Comparable '#3 Return]]-INDEX(Benchmark1[Benchmark '#1 Return],MATCH(Comp3[[#This Row],[Comparable '#3 Dates]],Benchmark1[Benchmark '#1 Dates],0)),"-")</f>
        <v>1.0436253784221125E-2</v>
      </c>
      <c r="L102" s="72">
        <f>Comp3[[#This Row],[Comparable '#3 Price]]/$B$2*100</f>
        <v>112.33683132838495</v>
      </c>
    </row>
    <row r="103" spans="1:12">
      <c r="A103" s="96">
        <v>43431</v>
      </c>
      <c r="B103" s="101">
        <v>129.84</v>
      </c>
      <c r="C103" s="1">
        <f t="shared" si="2"/>
        <v>-1.3995869161916454E-2</v>
      </c>
      <c r="D103" s="1">
        <f>IFERROR(Comp3[[#This Row],[Comparable '#3 Return]]+1,"-")</f>
        <v>0.98600413083808358</v>
      </c>
      <c r="E103" s="6">
        <f>B103-MAX($B$2:B103)</f>
        <v>-20.370000000000005</v>
      </c>
      <c r="F103" s="80">
        <f t="shared" si="3"/>
        <v>12</v>
      </c>
      <c r="G103" s="6">
        <f>IFERROR(Comp3[[#This Row],[Comparable '#3 Drawdown]]/MAX($B$2:B103),"-")</f>
        <v>-0.13561014579588579</v>
      </c>
      <c r="H103" s="1" t="str">
        <f>IF(SUM(COUNTIF(Benchmark1[Benchmark '#1 Dates],Comp3[[#This Row],[Comparable '#3 Dates]]),COUNTIF(Benchmark2[Benchmark '#2 Dates],Comp3[[#This Row],[Comparable '#3 Dates]]))=2,"Pass","Fail")</f>
        <v>Pass</v>
      </c>
      <c r="I103" s="1">
        <f>IFERROR(Comp3[[#This Row],[Comparable '#3 Return]]-INDEX(Benchmark1[Benchmark '#1 Return],MATCH(Comp3[[#This Row],[Comparable '#3 Dates]],Benchmark1[Benchmark '#1 Dates],0)),"-")</f>
        <v>-1.7253131024545815E-2</v>
      </c>
      <c r="L103" s="72">
        <f>Comp3[[#This Row],[Comparable '#3 Price]]/$B$2*100</f>
        <v>110.77553109802918</v>
      </c>
    </row>
    <row r="104" spans="1:12">
      <c r="A104" s="96">
        <v>43432</v>
      </c>
      <c r="B104" s="101">
        <v>133.36000000000001</v>
      </c>
      <c r="C104" s="1">
        <f t="shared" si="2"/>
        <v>2.6749315236202761E-2</v>
      </c>
      <c r="D104" s="1">
        <f>IFERROR(Comp3[[#This Row],[Comparable '#3 Return]]+1,"-")</f>
        <v>1.0267493152362028</v>
      </c>
      <c r="E104" s="6">
        <f>B104-MAX($B$2:B104)</f>
        <v>-16.849999999999994</v>
      </c>
      <c r="F104" s="80">
        <f t="shared" si="3"/>
        <v>13</v>
      </c>
      <c r="G104" s="6">
        <f>IFERROR(Comp3[[#This Row],[Comparable '#3 Drawdown]]/MAX($B$2:B104),"-")</f>
        <v>-0.11217628653218822</v>
      </c>
      <c r="H104" s="1" t="str">
        <f>IF(SUM(COUNTIF(Benchmark1[Benchmark '#1 Dates],Comp3[[#This Row],[Comparable '#3 Dates]]),COUNTIF(Benchmark2[Benchmark '#2 Dates],Comp3[[#This Row],[Comparable '#3 Dates]]))=2,"Pass","Fail")</f>
        <v>Pass</v>
      </c>
      <c r="I104" s="1">
        <f>IFERROR(Comp3[[#This Row],[Comparable '#3 Return]]-INDEX(Benchmark1[Benchmark '#1 Return],MATCH(Comp3[[#This Row],[Comparable '#3 Dates]],Benchmark1[Benchmark '#1 Dates],0)),"-")</f>
        <v>4.0369523646200355E-3</v>
      </c>
      <c r="L104" s="72">
        <f>Comp3[[#This Row],[Comparable '#3 Price]]/$B$2*100</f>
        <v>113.77868782527089</v>
      </c>
    </row>
    <row r="105" spans="1:12">
      <c r="A105" s="96">
        <v>43433</v>
      </c>
      <c r="B105" s="101">
        <v>135.41</v>
      </c>
      <c r="C105" s="1">
        <f t="shared" si="2"/>
        <v>1.5254974552194092E-2</v>
      </c>
      <c r="D105" s="1">
        <f>IFERROR(Comp3[[#This Row],[Comparable '#3 Return]]+1,"-")</f>
        <v>1.0152549745521942</v>
      </c>
      <c r="E105" s="6">
        <f>B105-MAX($B$2:B105)</f>
        <v>-14.800000000000011</v>
      </c>
      <c r="F105" s="80">
        <f t="shared" si="3"/>
        <v>14</v>
      </c>
      <c r="G105" s="6">
        <f>IFERROR(Comp3[[#This Row],[Comparable '#3 Drawdown]]/MAX($B$2:B105),"-")</f>
        <v>-9.8528726449637241E-2</v>
      </c>
      <c r="H105" s="1" t="str">
        <f>IF(SUM(COUNTIF(Benchmark1[Benchmark '#1 Dates],Comp3[[#This Row],[Comparable '#3 Dates]]),COUNTIF(Benchmark2[Benchmark '#2 Dates],Comp3[[#This Row],[Comparable '#3 Dates]]))=2,"Pass","Fail")</f>
        <v>Pass</v>
      </c>
      <c r="I105" s="1">
        <f>IFERROR(Comp3[[#This Row],[Comparable '#3 Return]]-INDEX(Benchmark1[Benchmark '#1 Return],MATCH(Comp3[[#This Row],[Comparable '#3 Dates]],Benchmark1[Benchmark '#1 Dates],0)),"-")</f>
        <v>1.7453229883912666E-2</v>
      </c>
      <c r="L105" s="72">
        <f>Comp3[[#This Row],[Comparable '#3 Price]]/$B$2*100</f>
        <v>115.52768535107927</v>
      </c>
    </row>
    <row r="106" spans="1:12">
      <c r="A106" s="96">
        <v>43434</v>
      </c>
      <c r="B106" s="101">
        <v>136.49</v>
      </c>
      <c r="C106" s="1">
        <f t="shared" si="2"/>
        <v>7.9441388733716197E-3</v>
      </c>
      <c r="D106" s="1">
        <f>IFERROR(Comp3[[#This Row],[Comparable '#3 Return]]+1,"-")</f>
        <v>1.0079441388733716</v>
      </c>
      <c r="E106" s="6">
        <f>B106-MAX($B$2:B106)</f>
        <v>-13.719999999999999</v>
      </c>
      <c r="F106" s="80">
        <f t="shared" si="3"/>
        <v>15</v>
      </c>
      <c r="G106" s="6">
        <f>IFERROR(Comp3[[#This Row],[Comparable '#3 Drawdown]]/MAX($B$2:B106),"-")</f>
        <v>-9.1338792357366347E-2</v>
      </c>
      <c r="H106" s="1" t="str">
        <f>IF(SUM(COUNTIF(Benchmark1[Benchmark '#1 Dates],Comp3[[#This Row],[Comparable '#3 Dates]]),COUNTIF(Benchmark2[Benchmark '#2 Dates],Comp3[[#This Row],[Comparable '#3 Dates]]))=2,"Pass","Fail")</f>
        <v>Pass</v>
      </c>
      <c r="I106" s="1">
        <f>IFERROR(Comp3[[#This Row],[Comparable '#3 Return]]-INDEX(Benchmark1[Benchmark '#1 Return],MATCH(Comp3[[#This Row],[Comparable '#3 Dates]],Benchmark1[Benchmark '#1 Dates],0)),"-")</f>
        <v>-2.0949980834287542E-4</v>
      </c>
      <c r="L106" s="72">
        <f>Comp3[[#This Row],[Comparable '#3 Price]]/$B$2*100</f>
        <v>116.44910843784662</v>
      </c>
    </row>
    <row r="107" spans="1:12">
      <c r="A107" s="96">
        <v>43437</v>
      </c>
      <c r="B107" s="101">
        <v>136.21</v>
      </c>
      <c r="C107" s="1">
        <f t="shared" si="2"/>
        <v>-2.0535394088538822E-3</v>
      </c>
      <c r="D107" s="1">
        <f>IFERROR(Comp3[[#This Row],[Comparable '#3 Return]]+1,"-")</f>
        <v>0.99794646059114611</v>
      </c>
      <c r="E107" s="6">
        <f>B107-MAX($B$2:B107)</f>
        <v>-14</v>
      </c>
      <c r="F107" s="80">
        <f t="shared" si="3"/>
        <v>16</v>
      </c>
      <c r="G107" s="6">
        <f>IFERROR(Comp3[[#This Row],[Comparable '#3 Drawdown]]/MAX($B$2:B107),"-")</f>
        <v>-9.3202849344251382E-2</v>
      </c>
      <c r="H107" s="1" t="str">
        <f>IF(SUM(COUNTIF(Benchmark1[Benchmark '#1 Dates],Comp3[[#This Row],[Comparable '#3 Dates]]),COUNTIF(Benchmark2[Benchmark '#2 Dates],Comp3[[#This Row],[Comparable '#3 Dates]]))=2,"Pass","Fail")</f>
        <v>Pass</v>
      </c>
      <c r="I107" s="1">
        <f>IFERROR(Comp3[[#This Row],[Comparable '#3 Return]]-INDEX(Benchmark1[Benchmark '#1 Return],MATCH(Comp3[[#This Row],[Comparable '#3 Dates]],Benchmark1[Benchmark '#1 Dates],0)),"-")</f>
        <v>-1.2933741731088154E-2</v>
      </c>
      <c r="L107" s="72">
        <f>Comp3[[#This Row],[Comparable '#3 Price]]/$B$2*100</f>
        <v>116.21022097090695</v>
      </c>
    </row>
    <row r="108" spans="1:12">
      <c r="A108" s="96">
        <v>43438</v>
      </c>
      <c r="B108" s="101">
        <v>128.63</v>
      </c>
      <c r="C108" s="1">
        <f t="shared" si="2"/>
        <v>-5.7257746368626308E-2</v>
      </c>
      <c r="D108" s="1">
        <f>IFERROR(Comp3[[#This Row],[Comparable '#3 Return]]+1,"-")</f>
        <v>0.94274225363137365</v>
      </c>
      <c r="E108" s="6">
        <f>B108-MAX($B$2:B108)</f>
        <v>-21.580000000000013</v>
      </c>
      <c r="F108" s="80">
        <f t="shared" si="3"/>
        <v>17</v>
      </c>
      <c r="G108" s="6">
        <f>IFERROR(Comp3[[#This Row],[Comparable '#3 Drawdown]]/MAX($B$2:B108),"-")</f>
        <v>-0.14366553491778183</v>
      </c>
      <c r="H108" s="1" t="str">
        <f>IF(SUM(COUNTIF(Benchmark1[Benchmark '#1 Dates],Comp3[[#This Row],[Comparable '#3 Dates]]),COUNTIF(Benchmark2[Benchmark '#2 Dates],Comp3[[#This Row],[Comparable '#3 Dates]]))=2,"Pass","Fail")</f>
        <v>Pass</v>
      </c>
      <c r="I108" s="1">
        <f>IFERROR(Comp3[[#This Row],[Comparable '#3 Return]]-INDEX(Benchmark1[Benchmark '#1 Return],MATCH(Comp3[[#This Row],[Comparable '#3 Dates]],Benchmark1[Benchmark '#1 Dates],0)),"-")</f>
        <v>-2.4359342718610663E-2</v>
      </c>
      <c r="L108" s="72">
        <f>Comp3[[#This Row],[Comparable '#3 Price]]/$B$2*100</f>
        <v>109.74319597303986</v>
      </c>
    </row>
    <row r="109" spans="1:12">
      <c r="A109" s="96">
        <v>43440</v>
      </c>
      <c r="B109" s="101">
        <v>125.45</v>
      </c>
      <c r="C109" s="1">
        <f t="shared" si="2"/>
        <v>-2.5032793278192786E-2</v>
      </c>
      <c r="D109" s="1">
        <f>IFERROR(Comp3[[#This Row],[Comparable '#3 Return]]+1,"-")</f>
        <v>0.97496720672180726</v>
      </c>
      <c r="E109" s="6">
        <f>B109-MAX($B$2:B109)</f>
        <v>-24.760000000000005</v>
      </c>
      <c r="F109" s="80">
        <f t="shared" si="3"/>
        <v>18</v>
      </c>
      <c r="G109" s="6">
        <f>IFERROR(Comp3[[#This Row],[Comparable '#3 Drawdown]]/MAX($B$2:B109),"-")</f>
        <v>-0.16483589641169033</v>
      </c>
      <c r="H109" s="1" t="str">
        <f>IF(SUM(COUNTIF(Benchmark1[Benchmark '#1 Dates],Comp3[[#This Row],[Comparable '#3 Dates]]),COUNTIF(Benchmark2[Benchmark '#2 Dates],Comp3[[#This Row],[Comparable '#3 Dates]]))=2,"Pass","Fail")</f>
        <v>Pass</v>
      </c>
      <c r="I109" s="1">
        <f>IFERROR(Comp3[[#This Row],[Comparable '#3 Return]]-INDEX(Benchmark1[Benchmark '#1 Return],MATCH(Comp3[[#This Row],[Comparable '#3 Dates]],Benchmark1[Benchmark '#1 Dates],0)),"-")</f>
        <v>-2.3506104257232457E-2</v>
      </c>
      <c r="L109" s="72">
        <f>Comp3[[#This Row],[Comparable '#3 Price]]/$B$2*100</f>
        <v>107.0301168842249</v>
      </c>
    </row>
    <row r="110" spans="1:12">
      <c r="A110" s="96">
        <v>43441</v>
      </c>
      <c r="B110" s="101">
        <v>119.59</v>
      </c>
      <c r="C110" s="1">
        <f t="shared" si="2"/>
        <v>-4.7838046831715192E-2</v>
      </c>
      <c r="D110" s="1">
        <f>IFERROR(Comp3[[#This Row],[Comparable '#3 Return]]+1,"-")</f>
        <v>0.95216195316828478</v>
      </c>
      <c r="E110" s="6">
        <f>B110-MAX($B$2:B110)</f>
        <v>-30.620000000000005</v>
      </c>
      <c r="F110" s="80">
        <f t="shared" si="3"/>
        <v>19</v>
      </c>
      <c r="G110" s="6">
        <f>IFERROR(Comp3[[#This Row],[Comparable '#3 Drawdown]]/MAX($B$2:B110),"-")</f>
        <v>-0.20384794620864125</v>
      </c>
      <c r="H110" s="1" t="str">
        <f>IF(SUM(COUNTIF(Benchmark1[Benchmark '#1 Dates],Comp3[[#This Row],[Comparable '#3 Dates]]),COUNTIF(Benchmark2[Benchmark '#2 Dates],Comp3[[#This Row],[Comparable '#3 Dates]]))=2,"Pass","Fail")</f>
        <v>Pass</v>
      </c>
      <c r="I110" s="1">
        <f>IFERROR(Comp3[[#This Row],[Comparable '#3 Return]]-INDEX(Benchmark1[Benchmark '#1 Return],MATCH(Comp3[[#This Row],[Comparable '#3 Dates]],Benchmark1[Benchmark '#1 Dates],0)),"-")</f>
        <v>-2.4242938732417299E-2</v>
      </c>
      <c r="L110" s="72">
        <f>Comp3[[#This Row],[Comparable '#3 Price]]/$B$2*100</f>
        <v>102.0305434689873</v>
      </c>
    </row>
    <row r="111" spans="1:12">
      <c r="A111" s="96">
        <v>43444</v>
      </c>
      <c r="B111" s="101">
        <v>119.63</v>
      </c>
      <c r="C111" s="1">
        <f t="shared" si="2"/>
        <v>3.344202020965676E-4</v>
      </c>
      <c r="D111" s="1">
        <f>IFERROR(Comp3[[#This Row],[Comparable '#3 Return]]+1,"-")</f>
        <v>1.0003344202020965</v>
      </c>
      <c r="E111" s="6">
        <f>B111-MAX($B$2:B111)</f>
        <v>-30.580000000000013</v>
      </c>
      <c r="F111" s="80">
        <f t="shared" si="3"/>
        <v>20</v>
      </c>
      <c r="G111" s="6">
        <f>IFERROR(Comp3[[#This Row],[Comparable '#3 Drawdown]]/MAX($B$2:B111),"-")</f>
        <v>-0.20358165235337203</v>
      </c>
      <c r="H111" s="1" t="str">
        <f>IF(SUM(COUNTIF(Benchmark1[Benchmark '#1 Dates],Comp3[[#This Row],[Comparable '#3 Dates]]),COUNTIF(Benchmark2[Benchmark '#2 Dates],Comp3[[#This Row],[Comparable '#3 Dates]]))=2,"Pass","Fail")</f>
        <v>Pass</v>
      </c>
      <c r="I111" s="1">
        <f>IFERROR(Comp3[[#This Row],[Comparable '#3 Return]]-INDEX(Benchmark1[Benchmark '#1 Return],MATCH(Comp3[[#This Row],[Comparable '#3 Dates]],Benchmark1[Benchmark '#1 Dates],0)),"-")</f>
        <v>-1.427835867021522E-3</v>
      </c>
      <c r="L111" s="72">
        <f>Comp3[[#This Row],[Comparable '#3 Price]]/$B$2*100</f>
        <v>102.06467024997868</v>
      </c>
    </row>
    <row r="112" spans="1:12">
      <c r="A112" s="96">
        <v>43445</v>
      </c>
      <c r="B112" s="101">
        <v>120.57</v>
      </c>
      <c r="C112" s="1">
        <f t="shared" si="2"/>
        <v>7.8268509464064859E-3</v>
      </c>
      <c r="D112" s="1">
        <f>IFERROR(Comp3[[#This Row],[Comparable '#3 Return]]+1,"-")</f>
        <v>1.0078268509464066</v>
      </c>
      <c r="E112" s="6">
        <f>B112-MAX($B$2:B112)</f>
        <v>-29.640000000000015</v>
      </c>
      <c r="F112" s="80">
        <f t="shared" si="3"/>
        <v>21</v>
      </c>
      <c r="G112" s="6">
        <f>IFERROR(Comp3[[#This Row],[Comparable '#3 Drawdown]]/MAX($B$2:B112),"-")</f>
        <v>-0.19732374675454373</v>
      </c>
      <c r="H112" s="1" t="str">
        <f>IF(SUM(COUNTIF(Benchmark1[Benchmark '#1 Dates],Comp3[[#This Row],[Comparable '#3 Dates]]),COUNTIF(Benchmark2[Benchmark '#2 Dates],Comp3[[#This Row],[Comparable '#3 Dates]]))=2,"Pass","Fail")</f>
        <v>Pass</v>
      </c>
      <c r="I112" s="1">
        <f>IFERROR(Comp3[[#This Row],[Comparable '#3 Return]]-INDEX(Benchmark1[Benchmark '#1 Return],MATCH(Comp3[[#This Row],[Comparable '#3 Dates]],Benchmark1[Benchmark '#1 Dates],0)),"-")</f>
        <v>8.1830208088283871E-3</v>
      </c>
      <c r="L112" s="72">
        <f>Comp3[[#This Row],[Comparable '#3 Price]]/$B$2*100</f>
        <v>102.86664960327616</v>
      </c>
    </row>
    <row r="113" spans="1:12">
      <c r="A113" s="96">
        <v>43446</v>
      </c>
      <c r="B113" s="101">
        <v>124.38</v>
      </c>
      <c r="C113" s="1">
        <f t="shared" si="2"/>
        <v>3.1110898546523887E-2</v>
      </c>
      <c r="D113" s="1">
        <f>IFERROR(Comp3[[#This Row],[Comparable '#3 Return]]+1,"-")</f>
        <v>1.0311108985465238</v>
      </c>
      <c r="E113" s="6">
        <f>B113-MAX($B$2:B113)</f>
        <v>-25.830000000000013</v>
      </c>
      <c r="F113" s="80">
        <f t="shared" si="3"/>
        <v>22</v>
      </c>
      <c r="G113" s="6">
        <f>IFERROR(Comp3[[#This Row],[Comparable '#3 Drawdown]]/MAX($B$2:B113),"-")</f>
        <v>-0.17195925704014386</v>
      </c>
      <c r="H113" s="1" t="str">
        <f>IF(SUM(COUNTIF(Benchmark1[Benchmark '#1 Dates],Comp3[[#This Row],[Comparable '#3 Dates]]),COUNTIF(Benchmark2[Benchmark '#2 Dates],Comp3[[#This Row],[Comparable '#3 Dates]]))=2,"Pass","Fail")</f>
        <v>Pass</v>
      </c>
      <c r="I113" s="1">
        <f>IFERROR(Comp3[[#This Row],[Comparable '#3 Return]]-INDEX(Benchmark1[Benchmark '#1 Return],MATCH(Comp3[[#This Row],[Comparable '#3 Dates]],Benchmark1[Benchmark '#1 Dates],0)),"-")</f>
        <v>2.5708337222558015E-2</v>
      </c>
      <c r="L113" s="72">
        <f>Comp3[[#This Row],[Comparable '#3 Price]]/$B$2*100</f>
        <v>106.11722549270539</v>
      </c>
    </row>
    <row r="114" spans="1:12">
      <c r="A114" s="96">
        <v>43447</v>
      </c>
      <c r="B114" s="101">
        <v>126.98</v>
      </c>
      <c r="C114" s="1">
        <f t="shared" si="2"/>
        <v>2.0688198066560651E-2</v>
      </c>
      <c r="D114" s="1">
        <f>IFERROR(Comp3[[#This Row],[Comparable '#3 Return]]+1,"-")</f>
        <v>1.0206881980665607</v>
      </c>
      <c r="E114" s="6">
        <f>B114-MAX($B$2:B114)</f>
        <v>-23.230000000000004</v>
      </c>
      <c r="F114" s="80">
        <f t="shared" si="3"/>
        <v>23</v>
      </c>
      <c r="G114" s="6">
        <f>IFERROR(Comp3[[#This Row],[Comparable '#3 Drawdown]]/MAX($B$2:B114),"-")</f>
        <v>-0.15465015644763999</v>
      </c>
      <c r="H114" s="1" t="str">
        <f>IF(SUM(COUNTIF(Benchmark1[Benchmark '#1 Dates],Comp3[[#This Row],[Comparable '#3 Dates]]),COUNTIF(Benchmark2[Benchmark '#2 Dates],Comp3[[#This Row],[Comparable '#3 Dates]]))=2,"Pass","Fail")</f>
        <v>Pass</v>
      </c>
      <c r="I114" s="1">
        <f>IFERROR(Comp3[[#This Row],[Comparable '#3 Return]]-INDEX(Benchmark1[Benchmark '#1 Return],MATCH(Comp3[[#This Row],[Comparable '#3 Dates]],Benchmark1[Benchmark '#1 Dates],0)),"-")</f>
        <v>2.0889088081649049E-2</v>
      </c>
      <c r="L114" s="72">
        <f>Comp3[[#This Row],[Comparable '#3 Price]]/$B$2*100</f>
        <v>108.3354662571453</v>
      </c>
    </row>
    <row r="115" spans="1:12">
      <c r="A115" s="96">
        <v>43448</v>
      </c>
      <c r="B115" s="101">
        <v>128.5</v>
      </c>
      <c r="C115" s="1">
        <f t="shared" si="2"/>
        <v>1.1899310592970608E-2</v>
      </c>
      <c r="D115" s="1">
        <f>IFERROR(Comp3[[#This Row],[Comparable '#3 Return]]+1,"-")</f>
        <v>1.0118993105929706</v>
      </c>
      <c r="E115" s="6">
        <f>B115-MAX($B$2:B115)</f>
        <v>-21.710000000000008</v>
      </c>
      <c r="F115" s="80">
        <f t="shared" si="3"/>
        <v>24</v>
      </c>
      <c r="G115" s="6">
        <f>IFERROR(Comp3[[#This Row],[Comparable '#3 Drawdown]]/MAX($B$2:B115),"-")</f>
        <v>-0.14453098994740701</v>
      </c>
      <c r="H115" s="1" t="str">
        <f>IF(SUM(COUNTIF(Benchmark1[Benchmark '#1 Dates],Comp3[[#This Row],[Comparable '#3 Dates]]),COUNTIF(Benchmark2[Benchmark '#2 Dates],Comp3[[#This Row],[Comparable '#3 Dates]]))=2,"Pass","Fail")</f>
        <v>Pass</v>
      </c>
      <c r="I115" s="1">
        <f>IFERROR(Comp3[[#This Row],[Comparable '#3 Return]]-INDEX(Benchmark1[Benchmark '#1 Return],MATCH(Comp3[[#This Row],[Comparable '#3 Dates]],Benchmark1[Benchmark '#1 Dates],0)),"-")</f>
        <v>3.116699829390502E-2</v>
      </c>
      <c r="L115" s="72">
        <f>Comp3[[#This Row],[Comparable '#3 Price]]/$B$2*100</f>
        <v>109.63228393481785</v>
      </c>
    </row>
    <row r="116" spans="1:12">
      <c r="A116" s="96">
        <v>43451</v>
      </c>
      <c r="B116" s="101">
        <v>125.25</v>
      </c>
      <c r="C116" s="1">
        <f t="shared" si="2"/>
        <v>-2.561716437030033E-2</v>
      </c>
      <c r="D116" s="1">
        <f>IFERROR(Comp3[[#This Row],[Comparable '#3 Return]]+1,"-")</f>
        <v>0.97438283562969963</v>
      </c>
      <c r="E116" s="6">
        <f>B116-MAX($B$2:B116)</f>
        <v>-24.960000000000008</v>
      </c>
      <c r="F116" s="80">
        <f t="shared" si="3"/>
        <v>25</v>
      </c>
      <c r="G116" s="6">
        <f>IFERROR(Comp3[[#This Row],[Comparable '#3 Drawdown]]/MAX($B$2:B116),"-")</f>
        <v>-0.16616736568803681</v>
      </c>
      <c r="H116" s="1" t="str">
        <f>IF(SUM(COUNTIF(Benchmark1[Benchmark '#1 Dates],Comp3[[#This Row],[Comparable '#3 Dates]]),COUNTIF(Benchmark2[Benchmark '#2 Dates],Comp3[[#This Row],[Comparable '#3 Dates]]))=2,"Pass","Fail")</f>
        <v>Pass</v>
      </c>
      <c r="I116" s="1">
        <f>IFERROR(Comp3[[#This Row],[Comparable '#3 Return]]-INDEX(Benchmark1[Benchmark '#1 Return],MATCH(Comp3[[#This Row],[Comparable '#3 Dates]],Benchmark1[Benchmark '#1 Dates],0)),"-")</f>
        <v>-4.6231215165232938E-3</v>
      </c>
      <c r="L116" s="72">
        <f>Comp3[[#This Row],[Comparable '#3 Price]]/$B$2*100</f>
        <v>106.85948297926799</v>
      </c>
    </row>
    <row r="117" spans="1:12">
      <c r="A117" s="96">
        <v>43452</v>
      </c>
      <c r="B117" s="101">
        <v>120.21</v>
      </c>
      <c r="C117" s="1">
        <f t="shared" si="2"/>
        <v>-4.1071526648811391E-2</v>
      </c>
      <c r="D117" s="1">
        <f>IFERROR(Comp3[[#This Row],[Comparable '#3 Return]]+1,"-")</f>
        <v>0.95892847335118858</v>
      </c>
      <c r="E117" s="6">
        <f>B117-MAX($B$2:B117)</f>
        <v>-30.000000000000014</v>
      </c>
      <c r="F117" s="80">
        <f t="shared" si="3"/>
        <v>26</v>
      </c>
      <c r="G117" s="6">
        <f>IFERROR(Comp3[[#This Row],[Comparable '#3 Drawdown]]/MAX($B$2:B117),"-")</f>
        <v>-0.19972039145196732</v>
      </c>
      <c r="H117" s="1" t="str">
        <f>IF(SUM(COUNTIF(Benchmark1[Benchmark '#1 Dates],Comp3[[#This Row],[Comparable '#3 Dates]]),COUNTIF(Benchmark2[Benchmark '#2 Dates],Comp3[[#This Row],[Comparable '#3 Dates]]))=2,"Pass","Fail")</f>
        <v>Pass</v>
      </c>
      <c r="I117" s="1">
        <f>IFERROR(Comp3[[#This Row],[Comparable '#3 Return]]-INDEX(Benchmark1[Benchmark '#1 Return],MATCH(Comp3[[#This Row],[Comparable '#3 Dates]],Benchmark1[Benchmark '#1 Dates],0)),"-")</f>
        <v>-4.1158458097107241E-2</v>
      </c>
      <c r="L117" s="72">
        <f>Comp3[[#This Row],[Comparable '#3 Price]]/$B$2*100</f>
        <v>102.55950857435371</v>
      </c>
    </row>
    <row r="118" spans="1:12">
      <c r="A118" s="96">
        <v>43453</v>
      </c>
      <c r="B118" s="101">
        <v>114.48</v>
      </c>
      <c r="C118" s="1">
        <f t="shared" si="2"/>
        <v>-4.8840078067967342E-2</v>
      </c>
      <c r="D118" s="1">
        <f>IFERROR(Comp3[[#This Row],[Comparable '#3 Return]]+1,"-")</f>
        <v>0.95115992193203269</v>
      </c>
      <c r="E118" s="6">
        <f>B118-MAX($B$2:B118)</f>
        <v>-35.730000000000004</v>
      </c>
      <c r="F118" s="80">
        <f t="shared" si="3"/>
        <v>27</v>
      </c>
      <c r="G118" s="6">
        <f>IFERROR(Comp3[[#This Row],[Comparable '#3 Drawdown]]/MAX($B$2:B118),"-")</f>
        <v>-0.237866986219293</v>
      </c>
      <c r="H118" s="1" t="str">
        <f>IF(SUM(COUNTIF(Benchmark1[Benchmark '#1 Dates],Comp3[[#This Row],[Comparable '#3 Dates]]),COUNTIF(Benchmark2[Benchmark '#2 Dates],Comp3[[#This Row],[Comparable '#3 Dates]]))=2,"Pass","Fail")</f>
        <v>Pass</v>
      </c>
      <c r="I118" s="1">
        <f>IFERROR(Comp3[[#This Row],[Comparable '#3 Return]]-INDEX(Benchmark1[Benchmark '#1 Return],MATCH(Comp3[[#This Row],[Comparable '#3 Dates]],Benchmark1[Benchmark '#1 Dates],0)),"-")</f>
        <v>-3.3322259116359922E-2</v>
      </c>
      <c r="L118" s="72">
        <f>Comp3[[#This Row],[Comparable '#3 Price]]/$B$2*100</f>
        <v>97.670847197338119</v>
      </c>
    </row>
    <row r="119" spans="1:12">
      <c r="A119" s="96">
        <v>43454</v>
      </c>
      <c r="B119" s="101">
        <v>112.02</v>
      </c>
      <c r="C119" s="1">
        <f t="shared" si="2"/>
        <v>-2.1722708466509234E-2</v>
      </c>
      <c r="D119" s="1">
        <f>IFERROR(Comp3[[#This Row],[Comparable '#3 Return]]+1,"-")</f>
        <v>0.97827729153349074</v>
      </c>
      <c r="E119" s="6">
        <f>B119-MAX($B$2:B119)</f>
        <v>-38.190000000000012</v>
      </c>
      <c r="F119" s="80">
        <f t="shared" si="3"/>
        <v>28</v>
      </c>
      <c r="G119" s="6">
        <f>IFERROR(Comp3[[#This Row],[Comparable '#3 Drawdown]]/MAX($B$2:B119),"-")</f>
        <v>-0.25424405831835439</v>
      </c>
      <c r="H119" s="1" t="str">
        <f>IF(SUM(COUNTIF(Benchmark1[Benchmark '#1 Dates],Comp3[[#This Row],[Comparable '#3 Dates]]),COUNTIF(Benchmark2[Benchmark '#2 Dates],Comp3[[#This Row],[Comparable '#3 Dates]]))=2,"Pass","Fail")</f>
        <v>Pass</v>
      </c>
      <c r="I119" s="1">
        <f>IFERROR(Comp3[[#This Row],[Comparable '#3 Return]]-INDEX(Benchmark1[Benchmark '#1 Return],MATCH(Comp3[[#This Row],[Comparable '#3 Dates]],Benchmark1[Benchmark '#1 Dates],0)),"-")</f>
        <v>-5.8262035815127115E-3</v>
      </c>
      <c r="L119" s="72">
        <f>Comp3[[#This Row],[Comparable '#3 Price]]/$B$2*100</f>
        <v>95.572050166368058</v>
      </c>
    </row>
    <row r="120" spans="1:12">
      <c r="A120" s="96">
        <v>43455</v>
      </c>
      <c r="B120" s="101">
        <v>107.89</v>
      </c>
      <c r="C120" s="1">
        <f t="shared" si="2"/>
        <v>-3.7565237218437499E-2</v>
      </c>
      <c r="D120" s="1">
        <f>IFERROR(Comp3[[#This Row],[Comparable '#3 Return]]+1,"-")</f>
        <v>0.96243476278156248</v>
      </c>
      <c r="E120" s="6">
        <f>B120-MAX($B$2:B120)</f>
        <v>-42.320000000000007</v>
      </c>
      <c r="F120" s="80">
        <f t="shared" si="3"/>
        <v>29</v>
      </c>
      <c r="G120" s="6">
        <f>IFERROR(Comp3[[#This Row],[Comparable '#3 Drawdown]]/MAX($B$2:B120),"-")</f>
        <v>-0.28173889887490849</v>
      </c>
      <c r="H120" s="1" t="str">
        <f>IF(SUM(COUNTIF(Benchmark1[Benchmark '#1 Dates],Comp3[[#This Row],[Comparable '#3 Dates]]),COUNTIF(Benchmark2[Benchmark '#2 Dates],Comp3[[#This Row],[Comparable '#3 Dates]]))=2,"Pass","Fail")</f>
        <v>Pass</v>
      </c>
      <c r="I120" s="1">
        <f>IFERROR(Comp3[[#This Row],[Comparable '#3 Return]]-INDEX(Benchmark1[Benchmark '#1 Return],MATCH(Comp3[[#This Row],[Comparable '#3 Dates]],Benchmark1[Benchmark '#1 Dates],0)),"-")</f>
        <v>-1.6761988387040475E-2</v>
      </c>
      <c r="L120" s="72">
        <f>Comp3[[#This Row],[Comparable '#3 Price]]/$B$2*100</f>
        <v>92.048460029007771</v>
      </c>
    </row>
    <row r="121" spans="1:12">
      <c r="A121" s="96">
        <v>43458</v>
      </c>
      <c r="B121" s="101">
        <v>104.43</v>
      </c>
      <c r="C121" s="1">
        <f t="shared" si="2"/>
        <v>-3.2595199071791411E-2</v>
      </c>
      <c r="D121" s="1">
        <f>IFERROR(Comp3[[#This Row],[Comparable '#3 Return]]+1,"-")</f>
        <v>0.96740480092820857</v>
      </c>
      <c r="E121" s="6">
        <f>B121-MAX($B$2:B121)</f>
        <v>-45.78</v>
      </c>
      <c r="F121" s="80">
        <f t="shared" si="3"/>
        <v>30</v>
      </c>
      <c r="G121" s="6">
        <f>IFERROR(Comp3[[#This Row],[Comparable '#3 Drawdown]]/MAX($B$2:B121),"-")</f>
        <v>-0.30477331735570201</v>
      </c>
      <c r="H121" s="1" t="str">
        <f>IF(SUM(COUNTIF(Benchmark1[Benchmark '#1 Dates],Comp3[[#This Row],[Comparable '#3 Dates]]),COUNTIF(Benchmark2[Benchmark '#2 Dates],Comp3[[#This Row],[Comparable '#3 Dates]]))=2,"Pass","Fail")</f>
        <v>Pass</v>
      </c>
      <c r="I121" s="1">
        <f>IFERROR(Comp3[[#This Row],[Comparable '#3 Return]]-INDEX(Benchmark1[Benchmark '#1 Return],MATCH(Comp3[[#This Row],[Comparable '#3 Dates]],Benchmark1[Benchmark '#1 Dates],0)),"-")</f>
        <v>-5.1091032257156964E-3</v>
      </c>
      <c r="L121" s="72">
        <f>Comp3[[#This Row],[Comparable '#3 Price]]/$B$2*100</f>
        <v>89.096493473253147</v>
      </c>
    </row>
    <row r="122" spans="1:12">
      <c r="A122" s="96">
        <v>43460</v>
      </c>
      <c r="B122" s="101">
        <v>109.3</v>
      </c>
      <c r="C122" s="1">
        <f t="shared" si="2"/>
        <v>4.5579404691035483E-2</v>
      </c>
      <c r="D122" s="1">
        <f>IFERROR(Comp3[[#This Row],[Comparable '#3 Return]]+1,"-")</f>
        <v>1.0455794046910354</v>
      </c>
      <c r="E122" s="6">
        <f>B122-MAX($B$2:B122)</f>
        <v>-40.910000000000011</v>
      </c>
      <c r="F122" s="80">
        <f t="shared" si="3"/>
        <v>31</v>
      </c>
      <c r="G122" s="6">
        <f>IFERROR(Comp3[[#This Row],[Comparable '#3 Drawdown]]/MAX($B$2:B122),"-")</f>
        <v>-0.27235204047666606</v>
      </c>
      <c r="H122" s="1" t="str">
        <f>IF(SUM(COUNTIF(Benchmark1[Benchmark '#1 Dates],Comp3[[#This Row],[Comparable '#3 Dates]]),COUNTIF(Benchmark2[Benchmark '#2 Dates],Comp3[[#This Row],[Comparable '#3 Dates]]))=2,"Pass","Fail")</f>
        <v>Pass</v>
      </c>
      <c r="I122" s="1">
        <f>IFERROR(Comp3[[#This Row],[Comparable '#3 Return]]-INDEX(Benchmark1[Benchmark '#1 Return],MATCH(Comp3[[#This Row],[Comparable '#3 Dates]],Benchmark1[Benchmark '#1 Dates],0)),"-")</f>
        <v>-2.8256796300997061E-3</v>
      </c>
      <c r="L122" s="72">
        <f>Comp3[[#This Row],[Comparable '#3 Price]]/$B$2*100</f>
        <v>93.251429058954017</v>
      </c>
    </row>
    <row r="123" spans="1:12">
      <c r="A123" s="96">
        <v>43461</v>
      </c>
      <c r="B123" s="101">
        <v>111.06</v>
      </c>
      <c r="C123" s="1">
        <f t="shared" si="2"/>
        <v>1.5974200630968209E-2</v>
      </c>
      <c r="D123" s="1">
        <f>IFERROR(Comp3[[#This Row],[Comparable '#3 Return]]+1,"-")</f>
        <v>1.0159742006309682</v>
      </c>
      <c r="E123" s="6">
        <f>B123-MAX($B$2:B123)</f>
        <v>-39.150000000000006</v>
      </c>
      <c r="F123" s="80">
        <f t="shared" si="3"/>
        <v>32</v>
      </c>
      <c r="G123" s="6">
        <f>IFERROR(Comp3[[#This Row],[Comparable '#3 Drawdown]]/MAX($B$2:B123),"-")</f>
        <v>-0.26063511084481727</v>
      </c>
      <c r="H123" s="1" t="str">
        <f>IF(SUM(COUNTIF(Benchmark1[Benchmark '#1 Dates],Comp3[[#This Row],[Comparable '#3 Dates]]),COUNTIF(Benchmark2[Benchmark '#2 Dates],Comp3[[#This Row],[Comparable '#3 Dates]]))=2,"Pass","Fail")</f>
        <v>Pass</v>
      </c>
      <c r="I123" s="1">
        <f>IFERROR(Comp3[[#This Row],[Comparable '#3 Return]]-INDEX(Benchmark1[Benchmark '#1 Return],MATCH(Comp3[[#This Row],[Comparable '#3 Dates]],Benchmark1[Benchmark '#1 Dates],0)),"-")</f>
        <v>7.4507001658941207E-3</v>
      </c>
      <c r="L123" s="72">
        <f>Comp3[[#This Row],[Comparable '#3 Price]]/$B$2*100</f>
        <v>94.753007422574882</v>
      </c>
    </row>
    <row r="124" spans="1:12">
      <c r="A124" s="96">
        <v>43462</v>
      </c>
      <c r="B124" s="101">
        <v>113.43</v>
      </c>
      <c r="C124" s="1">
        <f t="shared" si="2"/>
        <v>2.1115310757490097E-2</v>
      </c>
      <c r="D124" s="1">
        <f>IFERROR(Comp3[[#This Row],[Comparable '#3 Return]]+1,"-")</f>
        <v>1.0211153107574902</v>
      </c>
      <c r="E124" s="6">
        <f>B124-MAX($B$2:B124)</f>
        <v>-36.78</v>
      </c>
      <c r="F124" s="80">
        <f t="shared" si="3"/>
        <v>33</v>
      </c>
      <c r="G124" s="6">
        <f>IFERROR(Comp3[[#This Row],[Comparable '#3 Drawdown]]/MAX($B$2:B124),"-")</f>
        <v>-0.24485719992011185</v>
      </c>
      <c r="H124" s="1" t="str">
        <f>IF(SUM(COUNTIF(Benchmark1[Benchmark '#1 Dates],Comp3[[#This Row],[Comparable '#3 Dates]]),COUNTIF(Benchmark2[Benchmark '#2 Dates],Comp3[[#This Row],[Comparable '#3 Dates]]))=2,"Pass","Fail")</f>
        <v>Pass</v>
      </c>
      <c r="I124" s="1">
        <f>IFERROR(Comp3[[#This Row],[Comparable '#3 Return]]-INDEX(Benchmark1[Benchmark '#1 Return],MATCH(Comp3[[#This Row],[Comparable '#3 Dates]],Benchmark1[Benchmark '#1 Dates],0)),"-")</f>
        <v>2.2358523986490714E-2</v>
      </c>
      <c r="L124" s="72">
        <f>Comp3[[#This Row],[Comparable '#3 Price]]/$B$2*100</f>
        <v>96.775019196314318</v>
      </c>
    </row>
    <row r="125" spans="1:12">
      <c r="A125" s="96">
        <v>43465</v>
      </c>
      <c r="B125" s="101">
        <v>113.42</v>
      </c>
      <c r="C125" s="1">
        <f t="shared" si="2"/>
        <v>-8.8163985069273184E-5</v>
      </c>
      <c r="D125" s="1">
        <f>IFERROR(Comp3[[#This Row],[Comparable '#3 Return]]+1,"-")</f>
        <v>0.99991183601493072</v>
      </c>
      <c r="E125" s="6">
        <f>B125-MAX($B$2:B125)</f>
        <v>-36.790000000000006</v>
      </c>
      <c r="F125" s="80">
        <f t="shared" si="3"/>
        <v>34</v>
      </c>
      <c r="G125" s="6">
        <f>IFERROR(Comp3[[#This Row],[Comparable '#3 Drawdown]]/MAX($B$2:B125),"-")</f>
        <v>-0.24492377338392921</v>
      </c>
      <c r="H125" s="1" t="str">
        <f>IF(SUM(COUNTIF(Benchmark1[Benchmark '#1 Dates],Comp3[[#This Row],[Comparable '#3 Dates]]),COUNTIF(Benchmark2[Benchmark '#2 Dates],Comp3[[#This Row],[Comparable '#3 Dates]]))=2,"Pass","Fail")</f>
        <v>Pass</v>
      </c>
      <c r="I125" s="1">
        <f>IFERROR(Comp3[[#This Row],[Comparable '#3 Return]]-INDEX(Benchmark1[Benchmark '#1 Return],MATCH(Comp3[[#This Row],[Comparable '#3 Dates]],Benchmark1[Benchmark '#1 Dates],0)),"-")</f>
        <v>-8.5455478555514983E-3</v>
      </c>
      <c r="L125" s="72">
        <f>Comp3[[#This Row],[Comparable '#3 Price]]/$B$2*100</f>
        <v>96.766487501066464</v>
      </c>
    </row>
    <row r="126" spans="1:12">
      <c r="A126" s="96">
        <v>43467</v>
      </c>
      <c r="B126" s="101">
        <v>111.98</v>
      </c>
      <c r="C126" s="1">
        <f t="shared" si="2"/>
        <v>-1.2777458665134713E-2</v>
      </c>
      <c r="D126" s="1">
        <f>IFERROR(Comp3[[#This Row],[Comparable '#3 Return]]+1,"-")</f>
        <v>0.98722254133486531</v>
      </c>
      <c r="E126" s="6">
        <f>B126-MAX($B$2:B126)</f>
        <v>-38.230000000000004</v>
      </c>
      <c r="F126" s="80">
        <f t="shared" si="3"/>
        <v>35</v>
      </c>
      <c r="G126" s="6">
        <f>IFERROR(Comp3[[#This Row],[Comparable '#3 Drawdown]]/MAX($B$2:B126),"-")</f>
        <v>-0.25451035217362361</v>
      </c>
      <c r="H126" s="1" t="str">
        <f>IF(SUM(COUNTIF(Benchmark1[Benchmark '#1 Dates],Comp3[[#This Row],[Comparable '#3 Dates]]),COUNTIF(Benchmark2[Benchmark '#2 Dates],Comp3[[#This Row],[Comparable '#3 Dates]]))=2,"Pass","Fail")</f>
        <v>Pass</v>
      </c>
      <c r="I126" s="1">
        <f>IFERROR(Comp3[[#This Row],[Comparable '#3 Return]]-INDEX(Benchmark1[Benchmark '#1 Return],MATCH(Comp3[[#This Row],[Comparable '#3 Dates]],Benchmark1[Benchmark '#1 Dates],0)),"-")</f>
        <v>-1.4046356175327977E-2</v>
      </c>
      <c r="L126" s="72">
        <f>Comp3[[#This Row],[Comparable '#3 Price]]/$B$2*100</f>
        <v>95.537923385376672</v>
      </c>
    </row>
    <row r="127" spans="1:12">
      <c r="A127" s="96">
        <v>43468</v>
      </c>
      <c r="B127" s="101">
        <v>109.15</v>
      </c>
      <c r="C127" s="1">
        <f t="shared" si="2"/>
        <v>-2.559720092479428E-2</v>
      </c>
      <c r="D127" s="1">
        <f>IFERROR(Comp3[[#This Row],[Comparable '#3 Return]]+1,"-")</f>
        <v>0.97440279907520577</v>
      </c>
      <c r="E127" s="6">
        <f>B127-MAX($B$2:B127)</f>
        <v>-41.06</v>
      </c>
      <c r="F127" s="80">
        <f t="shared" si="3"/>
        <v>36</v>
      </c>
      <c r="G127" s="6">
        <f>IFERROR(Comp3[[#This Row],[Comparable '#3 Drawdown]]/MAX($B$2:B127),"-")</f>
        <v>-0.27335064243392582</v>
      </c>
      <c r="H127" s="1" t="str">
        <f>IF(SUM(COUNTIF(Benchmark1[Benchmark '#1 Dates],Comp3[[#This Row],[Comparable '#3 Dates]]),COUNTIF(Benchmark2[Benchmark '#2 Dates],Comp3[[#This Row],[Comparable '#3 Dates]]))=2,"Pass","Fail")</f>
        <v>Pass</v>
      </c>
      <c r="I127" s="1">
        <f>IFERROR(Comp3[[#This Row],[Comparable '#3 Return]]-INDEX(Benchmark1[Benchmark '#1 Return],MATCH(Comp3[[#This Row],[Comparable '#3 Dates]],Benchmark1[Benchmark '#1 Dates],0)),"-")</f>
        <v>-5.3027278439890871E-4</v>
      </c>
      <c r="L127" s="72">
        <f>Comp3[[#This Row],[Comparable '#3 Price]]/$B$2*100</f>
        <v>93.123453630236341</v>
      </c>
    </row>
    <row r="128" spans="1:12">
      <c r="A128" s="96">
        <v>43469</v>
      </c>
      <c r="B128" s="101">
        <v>113.31</v>
      </c>
      <c r="C128" s="1">
        <f t="shared" si="2"/>
        <v>3.7404342396522322E-2</v>
      </c>
      <c r="D128" s="1">
        <f>IFERROR(Comp3[[#This Row],[Comparable '#3 Return]]+1,"-")</f>
        <v>1.0374043423965222</v>
      </c>
      <c r="E128" s="6">
        <f>B128-MAX($B$2:B128)</f>
        <v>-36.900000000000006</v>
      </c>
      <c r="F128" s="80">
        <f t="shared" si="3"/>
        <v>37</v>
      </c>
      <c r="G128" s="6">
        <f>IFERROR(Comp3[[#This Row],[Comparable '#3 Drawdown]]/MAX($B$2:B128),"-")</f>
        <v>-0.24565608148591975</v>
      </c>
      <c r="H128" s="1" t="str">
        <f>IF(SUM(COUNTIF(Benchmark1[Benchmark '#1 Dates],Comp3[[#This Row],[Comparable '#3 Dates]]),COUNTIF(Benchmark2[Benchmark '#2 Dates],Comp3[[#This Row],[Comparable '#3 Dates]]))=2,"Pass","Fail")</f>
        <v>Pass</v>
      </c>
      <c r="I128" s="1">
        <f>IFERROR(Comp3[[#This Row],[Comparable '#3 Return]]-INDEX(Benchmark1[Benchmark '#1 Return],MATCH(Comp3[[#This Row],[Comparable '#3 Dates]],Benchmark1[Benchmark '#1 Dates],0)),"-")</f>
        <v>3.6450180877056274E-3</v>
      </c>
      <c r="L128" s="72">
        <f>Comp3[[#This Row],[Comparable '#3 Price]]/$B$2*100</f>
        <v>96.67263885334016</v>
      </c>
    </row>
    <row r="129" spans="1:12">
      <c r="A129" s="96">
        <v>43472</v>
      </c>
      <c r="B129" s="101">
        <v>110.35</v>
      </c>
      <c r="C129" s="1">
        <f t="shared" si="2"/>
        <v>-2.6470292689729842E-2</v>
      </c>
      <c r="D129" s="1">
        <f>IFERROR(Comp3[[#This Row],[Comparable '#3 Return]]+1,"-")</f>
        <v>0.97352970731027011</v>
      </c>
      <c r="E129" s="6">
        <f>B129-MAX($B$2:B129)</f>
        <v>-39.860000000000014</v>
      </c>
      <c r="F129" s="80">
        <f t="shared" si="3"/>
        <v>38</v>
      </c>
      <c r="G129" s="6">
        <f>IFERROR(Comp3[[#This Row],[Comparable '#3 Drawdown]]/MAX($B$2:B129),"-")</f>
        <v>-0.26536182677584724</v>
      </c>
      <c r="H129" s="1" t="str">
        <f>IF(SUM(COUNTIF(Benchmark1[Benchmark '#1 Dates],Comp3[[#This Row],[Comparable '#3 Dates]]),COUNTIF(Benchmark2[Benchmark '#2 Dates],Comp3[[#This Row],[Comparable '#3 Dates]]))=2,"Pass","Fail")</f>
        <v>Pass</v>
      </c>
      <c r="I129" s="1">
        <f>IFERROR(Comp3[[#This Row],[Comparable '#3 Return]]-INDEX(Benchmark1[Benchmark '#1 Return],MATCH(Comp3[[#This Row],[Comparable '#3 Dates]],Benchmark1[Benchmark '#1 Dates],0)),"-")</f>
        <v>-3.3454926510119345E-2</v>
      </c>
      <c r="L129" s="72">
        <f>Comp3[[#This Row],[Comparable '#3 Price]]/$B$2*100</f>
        <v>94.147257059977818</v>
      </c>
    </row>
    <row r="130" spans="1:12">
      <c r="A130" s="96">
        <v>43473</v>
      </c>
      <c r="B130" s="101">
        <v>109.52</v>
      </c>
      <c r="C130" s="1">
        <f t="shared" ref="C130:C193" si="4">IFERROR(IF(B130="","-",LN(B130/B129)),"-")</f>
        <v>-7.5499517225519289E-3</v>
      </c>
      <c r="D130" s="1">
        <f>IFERROR(Comp3[[#This Row],[Comparable '#3 Return]]+1,"-")</f>
        <v>0.99245004827744809</v>
      </c>
      <c r="E130" s="6">
        <f>B130-MAX($B$2:B130)</f>
        <v>-40.690000000000012</v>
      </c>
      <c r="F130" s="80">
        <f t="shared" ref="F130:F193" si="5">IF(E130=0,0,F129+1)</f>
        <v>39</v>
      </c>
      <c r="G130" s="6">
        <f>IFERROR(Comp3[[#This Row],[Comparable '#3 Drawdown]]/MAX($B$2:B130),"-")</f>
        <v>-0.27088742427268497</v>
      </c>
      <c r="H130" s="1" t="str">
        <f>IF(SUM(COUNTIF(Benchmark1[Benchmark '#1 Dates],Comp3[[#This Row],[Comparable '#3 Dates]]),COUNTIF(Benchmark2[Benchmark '#2 Dates],Comp3[[#This Row],[Comparable '#3 Dates]]))=2,"Pass","Fail")</f>
        <v>Pass</v>
      </c>
      <c r="I130" s="1">
        <f>IFERROR(Comp3[[#This Row],[Comparable '#3 Return]]-INDEX(Benchmark1[Benchmark '#1 Return],MATCH(Comp3[[#This Row],[Comparable '#3 Dates]],Benchmark1[Benchmark '#1 Dates],0)),"-")</f>
        <v>-1.7198918762217297E-2</v>
      </c>
      <c r="L130" s="72">
        <f>Comp3[[#This Row],[Comparable '#3 Price]]/$B$2*100</f>
        <v>93.439126354406625</v>
      </c>
    </row>
    <row r="131" spans="1:12">
      <c r="A131" s="96">
        <v>43474</v>
      </c>
      <c r="B131" s="101">
        <v>109.01</v>
      </c>
      <c r="C131" s="1">
        <f t="shared" si="4"/>
        <v>-4.6675598399262041E-3</v>
      </c>
      <c r="D131" s="1">
        <f>IFERROR(Comp3[[#This Row],[Comparable '#3 Return]]+1,"-")</f>
        <v>0.99533244016007383</v>
      </c>
      <c r="E131" s="6">
        <f>B131-MAX($B$2:B131)</f>
        <v>-41.2</v>
      </c>
      <c r="F131" s="80">
        <f t="shared" si="5"/>
        <v>40</v>
      </c>
      <c r="G131" s="6">
        <f>IFERROR(Comp3[[#This Row],[Comparable '#3 Drawdown]]/MAX($B$2:B131),"-")</f>
        <v>-0.27428267092736835</v>
      </c>
      <c r="H131" s="1" t="str">
        <f>IF(SUM(COUNTIF(Benchmark1[Benchmark '#1 Dates],Comp3[[#This Row],[Comparable '#3 Dates]]),COUNTIF(Benchmark2[Benchmark '#2 Dates],Comp3[[#This Row],[Comparable '#3 Dates]]))=2,"Pass","Fail")</f>
        <v>Pass</v>
      </c>
      <c r="I131" s="1">
        <f>IFERROR(Comp3[[#This Row],[Comparable '#3 Return]]-INDEX(Benchmark1[Benchmark '#1 Return],MATCH(Comp3[[#This Row],[Comparable '#3 Dates]],Benchmark1[Benchmark '#1 Dates],0)),"-")</f>
        <v>-8.7582547110894981E-3</v>
      </c>
      <c r="L131" s="72">
        <f>Comp3[[#This Row],[Comparable '#3 Price]]/$B$2*100</f>
        <v>93.00400989676649</v>
      </c>
    </row>
    <row r="132" spans="1:12">
      <c r="A132" s="96">
        <v>43475</v>
      </c>
      <c r="B132" s="101">
        <v>109.35</v>
      </c>
      <c r="C132" s="1">
        <f t="shared" si="4"/>
        <v>3.114125982509596E-3</v>
      </c>
      <c r="D132" s="1">
        <f>IFERROR(Comp3[[#This Row],[Comparable '#3 Return]]+1,"-")</f>
        <v>1.0031141259825096</v>
      </c>
      <c r="E132" s="6">
        <f>B132-MAX($B$2:B132)</f>
        <v>-40.860000000000014</v>
      </c>
      <c r="F132" s="80">
        <f t="shared" si="5"/>
        <v>41</v>
      </c>
      <c r="G132" s="6">
        <f>IFERROR(Comp3[[#This Row],[Comparable '#3 Drawdown]]/MAX($B$2:B132),"-")</f>
        <v>-0.27201917315757945</v>
      </c>
      <c r="H132" s="1" t="str">
        <f>IF(SUM(COUNTIF(Benchmark1[Benchmark '#1 Dates],Comp3[[#This Row],[Comparable '#3 Dates]]),COUNTIF(Benchmark2[Benchmark '#2 Dates],Comp3[[#This Row],[Comparable '#3 Dates]]))=2,"Pass","Fail")</f>
        <v>Pass</v>
      </c>
      <c r="I132" s="1">
        <f>IFERROR(Comp3[[#This Row],[Comparable '#3 Return]]-INDEX(Benchmark1[Benchmark '#1 Return],MATCH(Comp3[[#This Row],[Comparable '#3 Dates]],Benchmark1[Benchmark '#1 Dates],0)),"-")</f>
        <v>-1.3929207544867428E-3</v>
      </c>
      <c r="L132" s="72">
        <f>Comp3[[#This Row],[Comparable '#3 Price]]/$B$2*100</f>
        <v>93.294087535193242</v>
      </c>
    </row>
    <row r="133" spans="1:12">
      <c r="A133" s="96">
        <v>43476</v>
      </c>
      <c r="B133" s="101">
        <v>110.49</v>
      </c>
      <c r="C133" s="1">
        <f t="shared" si="4"/>
        <v>1.037127200230676E-2</v>
      </c>
      <c r="D133" s="1">
        <f>IFERROR(Comp3[[#This Row],[Comparable '#3 Return]]+1,"-")</f>
        <v>1.0103712720023068</v>
      </c>
      <c r="E133" s="6">
        <f>B133-MAX($B$2:B133)</f>
        <v>-39.720000000000013</v>
      </c>
      <c r="F133" s="80">
        <f t="shared" si="5"/>
        <v>42</v>
      </c>
      <c r="G133" s="6">
        <f>IFERROR(Comp3[[#This Row],[Comparable '#3 Drawdown]]/MAX($B$2:B133),"-")</f>
        <v>-0.2644297982824047</v>
      </c>
      <c r="H133" s="1" t="str">
        <f>IF(SUM(COUNTIF(Benchmark1[Benchmark '#1 Dates],Comp3[[#This Row],[Comparable '#3 Dates]]),COUNTIF(Benchmark2[Benchmark '#2 Dates],Comp3[[#This Row],[Comparable '#3 Dates]]))=2,"Pass","Fail")</f>
        <v>Pass</v>
      </c>
      <c r="I133" s="1">
        <f>IFERROR(Comp3[[#This Row],[Comparable '#3 Return]]-INDEX(Benchmark1[Benchmark '#1 Return],MATCH(Comp3[[#This Row],[Comparable '#3 Dates]],Benchmark1[Benchmark '#1 Dates],0)),"-")</f>
        <v>1.0518860641465235E-2</v>
      </c>
      <c r="L133" s="72">
        <f>Comp3[[#This Row],[Comparable '#3 Price]]/$B$2*100</f>
        <v>94.266700793447654</v>
      </c>
    </row>
    <row r="134" spans="1:12">
      <c r="A134" s="96">
        <v>43479</v>
      </c>
      <c r="B134" s="101">
        <v>107.92</v>
      </c>
      <c r="C134" s="1">
        <f t="shared" si="4"/>
        <v>-2.3534807225583081E-2</v>
      </c>
      <c r="D134" s="1">
        <f>IFERROR(Comp3[[#This Row],[Comparable '#3 Return]]+1,"-")</f>
        <v>0.9764651927744169</v>
      </c>
      <c r="E134" s="6">
        <f>B134-MAX($B$2:B134)</f>
        <v>-42.290000000000006</v>
      </c>
      <c r="F134" s="80">
        <f t="shared" si="5"/>
        <v>43</v>
      </c>
      <c r="G134" s="6">
        <f>IFERROR(Comp3[[#This Row],[Comparable '#3 Drawdown]]/MAX($B$2:B134),"-")</f>
        <v>-0.2815391784834565</v>
      </c>
      <c r="H134" s="1" t="str">
        <f>IF(SUM(COUNTIF(Benchmark1[Benchmark '#1 Dates],Comp3[[#This Row],[Comparable '#3 Dates]]),COUNTIF(Benchmark2[Benchmark '#2 Dates],Comp3[[#This Row],[Comparable '#3 Dates]]))=2,"Pass","Fail")</f>
        <v>Pass</v>
      </c>
      <c r="I134" s="1">
        <f>IFERROR(Comp3[[#This Row],[Comparable '#3 Return]]-INDEX(Benchmark1[Benchmark '#1 Return],MATCH(Comp3[[#This Row],[Comparable '#3 Dates]],Benchmark1[Benchmark '#1 Dates],0)),"-")</f>
        <v>-1.8265909599884996E-2</v>
      </c>
      <c r="L134" s="72">
        <f>Comp3[[#This Row],[Comparable '#3 Price]]/$B$2*100</f>
        <v>92.074055114751303</v>
      </c>
    </row>
    <row r="135" spans="1:12">
      <c r="A135" s="96">
        <v>43480</v>
      </c>
      <c r="B135" s="101">
        <v>108.55</v>
      </c>
      <c r="C135" s="1">
        <f t="shared" si="4"/>
        <v>5.820684424800421E-3</v>
      </c>
      <c r="D135" s="1">
        <f>IFERROR(Comp3[[#This Row],[Comparable '#3 Return]]+1,"-")</f>
        <v>1.0058206844248003</v>
      </c>
      <c r="E135" s="6">
        <f>B135-MAX($B$2:B135)</f>
        <v>-41.660000000000011</v>
      </c>
      <c r="F135" s="80">
        <f t="shared" si="5"/>
        <v>44</v>
      </c>
      <c r="G135" s="6">
        <f>IFERROR(Comp3[[#This Row],[Comparable '#3 Drawdown]]/MAX($B$2:B135),"-")</f>
        <v>-0.27734505026296524</v>
      </c>
      <c r="H135" s="1" t="str">
        <f>IF(SUM(COUNTIF(Benchmark1[Benchmark '#1 Dates],Comp3[[#This Row],[Comparable '#3 Dates]]),COUNTIF(Benchmark2[Benchmark '#2 Dates],Comp3[[#This Row],[Comparable '#3 Dates]]))=2,"Pass","Fail")</f>
        <v>Pass</v>
      </c>
      <c r="I135" s="1">
        <f>IFERROR(Comp3[[#This Row],[Comparable '#3 Return]]-INDEX(Benchmark1[Benchmark '#1 Return],MATCH(Comp3[[#This Row],[Comparable '#3 Dates]],Benchmark1[Benchmark '#1 Dates],0)),"-")</f>
        <v>-4.8434452035934052E-3</v>
      </c>
      <c r="L135" s="72">
        <f>Comp3[[#This Row],[Comparable '#3 Price]]/$B$2*100</f>
        <v>92.611551915365581</v>
      </c>
    </row>
    <row r="136" spans="1:12">
      <c r="A136" s="96">
        <v>43481</v>
      </c>
      <c r="B136" s="101">
        <v>107.64</v>
      </c>
      <c r="C136" s="1">
        <f t="shared" si="4"/>
        <v>-8.4185704655957896E-3</v>
      </c>
      <c r="D136" s="1">
        <f>IFERROR(Comp3[[#This Row],[Comparable '#3 Return]]+1,"-")</f>
        <v>0.9915814295344042</v>
      </c>
      <c r="E136" s="6">
        <f>B136-MAX($B$2:B136)</f>
        <v>-42.570000000000007</v>
      </c>
      <c r="F136" s="80">
        <f t="shared" si="5"/>
        <v>45</v>
      </c>
      <c r="G136" s="6">
        <f>IFERROR(Comp3[[#This Row],[Comparable '#3 Drawdown]]/MAX($B$2:B136),"-")</f>
        <v>-0.28340323547034157</v>
      </c>
      <c r="H136" s="1" t="str">
        <f>IF(SUM(COUNTIF(Benchmark1[Benchmark '#1 Dates],Comp3[[#This Row],[Comparable '#3 Dates]]),COUNTIF(Benchmark2[Benchmark '#2 Dates],Comp3[[#This Row],[Comparable '#3 Dates]]))=2,"Pass","Fail")</f>
        <v>Pass</v>
      </c>
      <c r="I136" s="1">
        <f>IFERROR(Comp3[[#This Row],[Comparable '#3 Return]]-INDEX(Benchmark1[Benchmark '#1 Return],MATCH(Comp3[[#This Row],[Comparable '#3 Dates]],Benchmark1[Benchmark '#1 Dates],0)),"-")</f>
        <v>-1.0635990545414836E-2</v>
      </c>
      <c r="L136" s="72">
        <f>Comp3[[#This Row],[Comparable '#3 Price]]/$B$2*100</f>
        <v>91.835167647811616</v>
      </c>
    </row>
    <row r="137" spans="1:12">
      <c r="A137" s="96">
        <v>43482</v>
      </c>
      <c r="B137" s="101">
        <v>108.99</v>
      </c>
      <c r="C137" s="1">
        <f t="shared" si="4"/>
        <v>1.2463809042515143E-2</v>
      </c>
      <c r="D137" s="1">
        <f>IFERROR(Comp3[[#This Row],[Comparable '#3 Return]]+1,"-")</f>
        <v>1.0124638090425151</v>
      </c>
      <c r="E137" s="6">
        <f>B137-MAX($B$2:B137)</f>
        <v>-41.220000000000013</v>
      </c>
      <c r="F137" s="80">
        <f t="shared" si="5"/>
        <v>46</v>
      </c>
      <c r="G137" s="6">
        <f>IFERROR(Comp3[[#This Row],[Comparable '#3 Drawdown]]/MAX($B$2:B137),"-")</f>
        <v>-0.27441581785500307</v>
      </c>
      <c r="H137" s="1" t="str">
        <f>IF(SUM(COUNTIF(Benchmark1[Benchmark '#1 Dates],Comp3[[#This Row],[Comparable '#3 Dates]]),COUNTIF(Benchmark2[Benchmark '#2 Dates],Comp3[[#This Row],[Comparable '#3 Dates]]))=2,"Pass","Fail")</f>
        <v>Pass</v>
      </c>
      <c r="I137" s="1">
        <f>IFERROR(Comp3[[#This Row],[Comparable '#3 Return]]-INDEX(Benchmark1[Benchmark '#1 Return],MATCH(Comp3[[#This Row],[Comparable '#3 Dates]],Benchmark1[Benchmark '#1 Dates],0)),"-")</f>
        <v>4.9011877262240596E-3</v>
      </c>
      <c r="L137" s="72">
        <f>Comp3[[#This Row],[Comparable '#3 Price]]/$B$2*100</f>
        <v>92.986946506270797</v>
      </c>
    </row>
    <row r="138" spans="1:12">
      <c r="A138" s="96">
        <v>43483</v>
      </c>
      <c r="B138" s="101">
        <v>111.26</v>
      </c>
      <c r="C138" s="1">
        <f t="shared" si="4"/>
        <v>2.0613669745926971E-2</v>
      </c>
      <c r="D138" s="1">
        <f>IFERROR(Comp3[[#This Row],[Comparable '#3 Return]]+1,"-")</f>
        <v>1.0206136697459269</v>
      </c>
      <c r="E138" s="6">
        <f>B138-MAX($B$2:B138)</f>
        <v>-38.950000000000003</v>
      </c>
      <c r="F138" s="80">
        <f t="shared" si="5"/>
        <v>47</v>
      </c>
      <c r="G138" s="6">
        <f>IFERROR(Comp3[[#This Row],[Comparable '#3 Drawdown]]/MAX($B$2:B138),"-")</f>
        <v>-0.2593036415684708</v>
      </c>
      <c r="H138" s="1" t="str">
        <f>IF(SUM(COUNTIF(Benchmark1[Benchmark '#1 Dates],Comp3[[#This Row],[Comparable '#3 Dates]]),COUNTIF(Benchmark2[Benchmark '#2 Dates],Comp3[[#This Row],[Comparable '#3 Dates]]))=2,"Pass","Fail")</f>
        <v>Pass</v>
      </c>
      <c r="I138" s="1">
        <f>IFERROR(Comp3[[#This Row],[Comparable '#3 Return]]-INDEX(Benchmark1[Benchmark '#1 Return],MATCH(Comp3[[#This Row],[Comparable '#3 Dates]],Benchmark1[Benchmark '#1 Dates],0)),"-")</f>
        <v>7.5148558145520378E-3</v>
      </c>
      <c r="L138" s="72">
        <f>Comp3[[#This Row],[Comparable '#3 Price]]/$B$2*100</f>
        <v>94.923641327531797</v>
      </c>
    </row>
    <row r="139" spans="1:12">
      <c r="A139" s="96">
        <v>43487</v>
      </c>
      <c r="B139" s="101">
        <v>108.74</v>
      </c>
      <c r="C139" s="1">
        <f t="shared" si="4"/>
        <v>-2.2910092929372673E-2</v>
      </c>
      <c r="D139" s="1">
        <f>IFERROR(Comp3[[#This Row],[Comparable '#3 Return]]+1,"-")</f>
        <v>0.97708990707062737</v>
      </c>
      <c r="E139" s="6">
        <f>B139-MAX($B$2:B139)</f>
        <v>-41.470000000000013</v>
      </c>
      <c r="F139" s="80">
        <f t="shared" si="5"/>
        <v>48</v>
      </c>
      <c r="G139" s="6">
        <f>IFERROR(Comp3[[#This Row],[Comparable '#3 Drawdown]]/MAX($B$2:B139),"-")</f>
        <v>-0.27608015445043615</v>
      </c>
      <c r="H139" s="1" t="str">
        <f>IF(SUM(COUNTIF(Benchmark1[Benchmark '#1 Dates],Comp3[[#This Row],[Comparable '#3 Dates]]),COUNTIF(Benchmark2[Benchmark '#2 Dates],Comp3[[#This Row],[Comparable '#3 Dates]]))=2,"Pass","Fail")</f>
        <v>Pass</v>
      </c>
      <c r="I139" s="1">
        <f>IFERROR(Comp3[[#This Row],[Comparable '#3 Return]]-INDEX(Benchmark1[Benchmark '#1 Return],MATCH(Comp3[[#This Row],[Comparable '#3 Dates]],Benchmark1[Benchmark '#1 Dates],0)),"-")</f>
        <v>-8.6524884412538371E-3</v>
      </c>
      <c r="L139" s="72">
        <f>Comp3[[#This Row],[Comparable '#3 Price]]/$B$2*100</f>
        <v>92.773654125074657</v>
      </c>
    </row>
    <row r="140" spans="1:12">
      <c r="A140" s="96">
        <v>43488</v>
      </c>
      <c r="B140" s="101">
        <v>110.13</v>
      </c>
      <c r="C140" s="1">
        <f t="shared" si="4"/>
        <v>1.2701774459078051E-2</v>
      </c>
      <c r="D140" s="1">
        <f>IFERROR(Comp3[[#This Row],[Comparable '#3 Return]]+1,"-")</f>
        <v>1.0127017744590781</v>
      </c>
      <c r="E140" s="6">
        <f>B140-MAX($B$2:B140)</f>
        <v>-40.080000000000013</v>
      </c>
      <c r="F140" s="80">
        <f t="shared" si="5"/>
        <v>49</v>
      </c>
      <c r="G140" s="6">
        <f>IFERROR(Comp3[[#This Row],[Comparable '#3 Drawdown]]/MAX($B$2:B140),"-")</f>
        <v>-0.26682644297982833</v>
      </c>
      <c r="H140" s="1" t="str">
        <f>IF(SUM(COUNTIF(Benchmark1[Benchmark '#1 Dates],Comp3[[#This Row],[Comparable '#3 Dates]]),COUNTIF(Benchmark2[Benchmark '#2 Dates],Comp3[[#This Row],[Comparable '#3 Dates]]))=2,"Pass","Fail")</f>
        <v>Pass</v>
      </c>
      <c r="I140" s="1">
        <f>IFERROR(Comp3[[#This Row],[Comparable '#3 Return]]-INDEX(Benchmark1[Benchmark '#1 Return],MATCH(Comp3[[#This Row],[Comparable '#3 Dates]],Benchmark1[Benchmark '#1 Dates],0)),"-")</f>
        <v>1.0503989544572608E-2</v>
      </c>
      <c r="L140" s="72">
        <f>Comp3[[#This Row],[Comparable '#3 Price]]/$B$2*100</f>
        <v>93.95955976452521</v>
      </c>
    </row>
    <row r="141" spans="1:12">
      <c r="A141" s="96">
        <v>43489</v>
      </c>
      <c r="B141" s="101">
        <v>111.01</v>
      </c>
      <c r="C141" s="1">
        <f t="shared" si="4"/>
        <v>7.9588011677031653E-3</v>
      </c>
      <c r="D141" s="1">
        <f>IFERROR(Comp3[[#This Row],[Comparable '#3 Return]]+1,"-")</f>
        <v>1.0079588011677032</v>
      </c>
      <c r="E141" s="6">
        <f>B141-MAX($B$2:B141)</f>
        <v>-39.200000000000003</v>
      </c>
      <c r="F141" s="80">
        <f t="shared" si="5"/>
        <v>50</v>
      </c>
      <c r="G141" s="6">
        <f>IFERROR(Comp3[[#This Row],[Comparable '#3 Drawdown]]/MAX($B$2:B141),"-")</f>
        <v>-0.26096797816390388</v>
      </c>
      <c r="H141" s="1" t="str">
        <f>IF(SUM(COUNTIF(Benchmark1[Benchmark '#1 Dates],Comp3[[#This Row],[Comparable '#3 Dates]]),COUNTIF(Benchmark2[Benchmark '#2 Dates],Comp3[[#This Row],[Comparable '#3 Dates]]))=2,"Pass","Fail")</f>
        <v>Pass</v>
      </c>
      <c r="I141" s="1">
        <f>IFERROR(Comp3[[#This Row],[Comparable '#3 Return]]-INDEX(Benchmark1[Benchmark '#1 Return],MATCH(Comp3[[#This Row],[Comparable '#3 Dates]],Benchmark1[Benchmark '#1 Dates],0)),"-")</f>
        <v>6.581902494720784E-3</v>
      </c>
      <c r="L141" s="72">
        <f>Comp3[[#This Row],[Comparable '#3 Price]]/$B$2*100</f>
        <v>94.710348946335642</v>
      </c>
    </row>
    <row r="142" spans="1:12">
      <c r="A142" s="96">
        <v>43490</v>
      </c>
      <c r="B142" s="101">
        <v>113.6</v>
      </c>
      <c r="C142" s="1">
        <f t="shared" si="4"/>
        <v>2.3063218942495144E-2</v>
      </c>
      <c r="D142" s="1">
        <f>IFERROR(Comp3[[#This Row],[Comparable '#3 Return]]+1,"-")</f>
        <v>1.0230632189424951</v>
      </c>
      <c r="E142" s="6">
        <f>B142-MAX($B$2:B142)</f>
        <v>-36.610000000000014</v>
      </c>
      <c r="F142" s="80">
        <f t="shared" si="5"/>
        <v>51</v>
      </c>
      <c r="G142" s="6">
        <f>IFERROR(Comp3[[#This Row],[Comparable '#3 Drawdown]]/MAX($B$2:B142),"-")</f>
        <v>-0.24372545103521745</v>
      </c>
      <c r="H142" s="1" t="str">
        <f>IF(SUM(COUNTIF(Benchmark1[Benchmark '#1 Dates],Comp3[[#This Row],[Comparable '#3 Dates]]),COUNTIF(Benchmark2[Benchmark '#2 Dates],Comp3[[#This Row],[Comparable '#3 Dates]]))=2,"Pass","Fail")</f>
        <v>Pass</v>
      </c>
      <c r="I142" s="1">
        <f>IFERROR(Comp3[[#This Row],[Comparable '#3 Return]]-INDEX(Benchmark1[Benchmark '#1 Return],MATCH(Comp3[[#This Row],[Comparable '#3 Dates]],Benchmark1[Benchmark '#1 Dates],0)),"-")</f>
        <v>1.4611105422383587E-2</v>
      </c>
      <c r="L142" s="72">
        <f>Comp3[[#This Row],[Comparable '#3 Price]]/$B$2*100</f>
        <v>96.920058015527687</v>
      </c>
    </row>
    <row r="143" spans="1:12">
      <c r="A143" s="96">
        <v>43493</v>
      </c>
      <c r="B143" s="101">
        <v>111.18</v>
      </c>
      <c r="C143" s="1">
        <f t="shared" si="4"/>
        <v>-2.1532996761727447E-2</v>
      </c>
      <c r="D143" s="1">
        <f>IFERROR(Comp3[[#This Row],[Comparable '#3 Return]]+1,"-")</f>
        <v>0.97846700323827251</v>
      </c>
      <c r="E143" s="6">
        <f>B143-MAX($B$2:B143)</f>
        <v>-39.03</v>
      </c>
      <c r="F143" s="80">
        <f t="shared" si="5"/>
        <v>52</v>
      </c>
      <c r="G143" s="6">
        <f>IFERROR(Comp3[[#This Row],[Comparable '#3 Drawdown]]/MAX($B$2:B143),"-")</f>
        <v>-0.2598362292790094</v>
      </c>
      <c r="H143" s="1" t="str">
        <f>IF(SUM(COUNTIF(Benchmark1[Benchmark '#1 Dates],Comp3[[#This Row],[Comparable '#3 Dates]]),COUNTIF(Benchmark2[Benchmark '#2 Dates],Comp3[[#This Row],[Comparable '#3 Dates]]))=2,"Pass","Fail")</f>
        <v>Pass</v>
      </c>
      <c r="I143" s="1">
        <f>IFERROR(Comp3[[#This Row],[Comparable '#3 Return]]-INDEX(Benchmark1[Benchmark '#1 Return],MATCH(Comp3[[#This Row],[Comparable '#3 Dates]],Benchmark1[Benchmark '#1 Dates],0)),"-")</f>
        <v>-1.3653364748190292E-2</v>
      </c>
      <c r="L143" s="72">
        <f>Comp3[[#This Row],[Comparable '#3 Price]]/$B$2*100</f>
        <v>94.855387765549025</v>
      </c>
    </row>
    <row r="144" spans="1:12">
      <c r="A144" s="96">
        <v>43494</v>
      </c>
      <c r="B144" s="101">
        <v>109.34</v>
      </c>
      <c r="C144" s="1">
        <f t="shared" si="4"/>
        <v>-1.6688216058470224E-2</v>
      </c>
      <c r="D144" s="1">
        <f>IFERROR(Comp3[[#This Row],[Comparable '#3 Return]]+1,"-")</f>
        <v>0.98331178394152974</v>
      </c>
      <c r="E144" s="6">
        <f>B144-MAX($B$2:B144)</f>
        <v>-40.870000000000005</v>
      </c>
      <c r="F144" s="80">
        <f t="shared" si="5"/>
        <v>53</v>
      </c>
      <c r="G144" s="6">
        <f>IFERROR(Comp3[[#This Row],[Comparable '#3 Drawdown]]/MAX($B$2:B144),"-")</f>
        <v>-0.27208574662139673</v>
      </c>
      <c r="H144" s="1" t="str">
        <f>IF(SUM(COUNTIF(Benchmark1[Benchmark '#1 Dates],Comp3[[#This Row],[Comparable '#3 Dates]]),COUNTIF(Benchmark2[Benchmark '#2 Dates],Comp3[[#This Row],[Comparable '#3 Dates]]))=2,"Pass","Fail")</f>
        <v>Pass</v>
      </c>
      <c r="I144" s="1">
        <f>IFERROR(Comp3[[#This Row],[Comparable '#3 Return]]-INDEX(Benchmark1[Benchmark '#1 Return],MATCH(Comp3[[#This Row],[Comparable '#3 Dates]],Benchmark1[Benchmark '#1 Dates],0)),"-")</f>
        <v>-1.5234365769715177E-2</v>
      </c>
      <c r="L144" s="72">
        <f>Comp3[[#This Row],[Comparable '#3 Price]]/$B$2*100</f>
        <v>93.285555839945403</v>
      </c>
    </row>
    <row r="145" spans="1:12">
      <c r="A145" s="96">
        <v>43495</v>
      </c>
      <c r="B145" s="101">
        <v>108.47</v>
      </c>
      <c r="C145" s="1">
        <f t="shared" si="4"/>
        <v>-7.9886564147270724E-3</v>
      </c>
      <c r="D145" s="1">
        <f>IFERROR(Comp3[[#This Row],[Comparable '#3 Return]]+1,"-")</f>
        <v>0.99201134358527288</v>
      </c>
      <c r="E145" s="6">
        <f>B145-MAX($B$2:B145)</f>
        <v>-41.740000000000009</v>
      </c>
      <c r="F145" s="80">
        <f t="shared" si="5"/>
        <v>54</v>
      </c>
      <c r="G145" s="6">
        <f>IFERROR(Comp3[[#This Row],[Comparable '#3 Drawdown]]/MAX($B$2:B145),"-")</f>
        <v>-0.27787763797350379</v>
      </c>
      <c r="H145" s="1" t="str">
        <f>IF(SUM(COUNTIF(Benchmark1[Benchmark '#1 Dates],Comp3[[#This Row],[Comparable '#3 Dates]]),COUNTIF(Benchmark2[Benchmark '#2 Dates],Comp3[[#This Row],[Comparable '#3 Dates]]))=2,"Pass","Fail")</f>
        <v>Pass</v>
      </c>
      <c r="I145" s="1">
        <f>IFERROR(Comp3[[#This Row],[Comparable '#3 Return]]-INDEX(Benchmark1[Benchmark '#1 Return],MATCH(Comp3[[#This Row],[Comparable '#3 Dates]],Benchmark1[Benchmark '#1 Dates],0)),"-")</f>
        <v>-2.3416864224632523E-2</v>
      </c>
      <c r="L145" s="72">
        <f>Comp3[[#This Row],[Comparable '#3 Price]]/$B$2*100</f>
        <v>92.543298353382824</v>
      </c>
    </row>
    <row r="146" spans="1:12">
      <c r="A146" s="96">
        <v>43496</v>
      </c>
      <c r="B146" s="101">
        <v>109.4</v>
      </c>
      <c r="C146" s="1">
        <f t="shared" si="4"/>
        <v>8.5372529357547865E-3</v>
      </c>
      <c r="D146" s="1">
        <f>IFERROR(Comp3[[#This Row],[Comparable '#3 Return]]+1,"-")</f>
        <v>1.0085372529357548</v>
      </c>
      <c r="E146" s="6">
        <f>B146-MAX($B$2:B146)</f>
        <v>-40.81</v>
      </c>
      <c r="F146" s="80">
        <f t="shared" si="5"/>
        <v>55</v>
      </c>
      <c r="G146" s="6">
        <f>IFERROR(Comp3[[#This Row],[Comparable '#3 Drawdown]]/MAX($B$2:B146),"-")</f>
        <v>-0.27168630583849279</v>
      </c>
      <c r="H146" s="1" t="str">
        <f>IF(SUM(COUNTIF(Benchmark1[Benchmark '#1 Dates],Comp3[[#This Row],[Comparable '#3 Dates]]),COUNTIF(Benchmark2[Benchmark '#2 Dates],Comp3[[#This Row],[Comparable '#3 Dates]]))=2,"Pass","Fail")</f>
        <v>Pass</v>
      </c>
      <c r="I146" s="1">
        <f>IFERROR(Comp3[[#This Row],[Comparable '#3 Return]]-INDEX(Benchmark1[Benchmark '#1 Return],MATCH(Comp3[[#This Row],[Comparable '#3 Dates]],Benchmark1[Benchmark '#1 Dates],0)),"-")</f>
        <v>-2.3187177106422444E-5</v>
      </c>
      <c r="L146" s="72">
        <f>Comp3[[#This Row],[Comparable '#3 Price]]/$B$2*100</f>
        <v>93.336746011432481</v>
      </c>
    </row>
    <row r="147" spans="1:12">
      <c r="A147" s="96">
        <v>43497</v>
      </c>
      <c r="B147" s="101">
        <v>109.42</v>
      </c>
      <c r="C147" s="1">
        <f t="shared" si="4"/>
        <v>1.8279864779909523E-4</v>
      </c>
      <c r="D147" s="1">
        <f>IFERROR(Comp3[[#This Row],[Comparable '#3 Return]]+1,"-")</f>
        <v>1.0001827986477991</v>
      </c>
      <c r="E147" s="6">
        <f>B147-MAX($B$2:B147)</f>
        <v>-40.790000000000006</v>
      </c>
      <c r="F147" s="80">
        <f t="shared" si="5"/>
        <v>56</v>
      </c>
      <c r="G147" s="6">
        <f>IFERROR(Comp3[[#This Row],[Comparable '#3 Drawdown]]/MAX($B$2:B147),"-")</f>
        <v>-0.27155315891085818</v>
      </c>
      <c r="H147" s="1" t="str">
        <f>IF(SUM(COUNTIF(Benchmark1[Benchmark '#1 Dates],Comp3[[#This Row],[Comparable '#3 Dates]]),COUNTIF(Benchmark2[Benchmark '#2 Dates],Comp3[[#This Row],[Comparable '#3 Dates]]))=2,"Pass","Fail")</f>
        <v>Pass</v>
      </c>
      <c r="I147" s="1">
        <f>IFERROR(Comp3[[#This Row],[Comparable '#3 Return]]-INDEX(Benchmark1[Benchmark '#1 Return],MATCH(Comp3[[#This Row],[Comparable '#3 Dates]],Benchmark1[Benchmark '#1 Dates],0)),"-")</f>
        <v>-7.1649722137730144E-4</v>
      </c>
      <c r="L147" s="72">
        <f>Comp3[[#This Row],[Comparable '#3 Price]]/$B$2*100</f>
        <v>93.353809401928174</v>
      </c>
    </row>
    <row r="148" spans="1:12">
      <c r="A148" s="96">
        <v>43500</v>
      </c>
      <c r="B148" s="101">
        <v>113.44</v>
      </c>
      <c r="C148" s="1">
        <f t="shared" si="4"/>
        <v>3.6080374148137369E-2</v>
      </c>
      <c r="D148" s="1">
        <f>IFERROR(Comp3[[#This Row],[Comparable '#3 Return]]+1,"-")</f>
        <v>1.0360803741481375</v>
      </c>
      <c r="E148" s="6">
        <f>B148-MAX($B$2:B148)</f>
        <v>-36.77000000000001</v>
      </c>
      <c r="F148" s="80">
        <f t="shared" si="5"/>
        <v>57</v>
      </c>
      <c r="G148" s="6">
        <f>IFERROR(Comp3[[#This Row],[Comparable '#3 Drawdown]]/MAX($B$2:B148),"-")</f>
        <v>-0.24479062645629457</v>
      </c>
      <c r="H148" s="1" t="str">
        <f>IF(SUM(COUNTIF(Benchmark1[Benchmark '#1 Dates],Comp3[[#This Row],[Comparable '#3 Dates]]),COUNTIF(Benchmark2[Benchmark '#2 Dates],Comp3[[#This Row],[Comparable '#3 Dates]]))=2,"Pass","Fail")</f>
        <v>Pass</v>
      </c>
      <c r="I148" s="1">
        <f>IFERROR(Comp3[[#This Row],[Comparable '#3 Return]]-INDEX(Benchmark1[Benchmark '#1 Return],MATCH(Comp3[[#This Row],[Comparable '#3 Dates]],Benchmark1[Benchmark '#1 Dates],0)),"-")</f>
        <v>2.9329438533332079E-2</v>
      </c>
      <c r="L148" s="72">
        <f>Comp3[[#This Row],[Comparable '#3 Price]]/$B$2*100</f>
        <v>96.783550891562157</v>
      </c>
    </row>
    <row r="149" spans="1:12">
      <c r="A149" s="96">
        <v>43501</v>
      </c>
      <c r="B149" s="101">
        <v>114.5</v>
      </c>
      <c r="C149" s="1">
        <f t="shared" si="4"/>
        <v>9.3007602104769275E-3</v>
      </c>
      <c r="D149" s="1">
        <f>IFERROR(Comp3[[#This Row],[Comparable '#3 Return]]+1,"-")</f>
        <v>1.0093007602104769</v>
      </c>
      <c r="E149" s="6">
        <f>B149-MAX($B$2:B149)</f>
        <v>-35.710000000000008</v>
      </c>
      <c r="F149" s="80">
        <f t="shared" si="5"/>
        <v>58</v>
      </c>
      <c r="G149" s="6">
        <f>IFERROR(Comp3[[#This Row],[Comparable '#3 Drawdown]]/MAX($B$2:B149),"-")</f>
        <v>-0.23773383929165839</v>
      </c>
      <c r="H149" s="1" t="str">
        <f>IF(SUM(COUNTIF(Benchmark1[Benchmark '#1 Dates],Comp3[[#This Row],[Comparable '#3 Dates]]),COUNTIF(Benchmark2[Benchmark '#2 Dates],Comp3[[#This Row],[Comparable '#3 Dates]]))=2,"Pass","Fail")</f>
        <v>Pass</v>
      </c>
      <c r="I149" s="1">
        <f>IFERROR(Comp3[[#This Row],[Comparable '#3 Return]]-INDEX(Benchmark1[Benchmark '#1 Return],MATCH(Comp3[[#This Row],[Comparable '#3 Dates]],Benchmark1[Benchmark '#1 Dates],0)),"-")</f>
        <v>4.6014156583871783E-3</v>
      </c>
      <c r="L149" s="72">
        <f>Comp3[[#This Row],[Comparable '#3 Price]]/$B$2*100</f>
        <v>97.687910587833798</v>
      </c>
    </row>
    <row r="150" spans="1:12">
      <c r="A150" s="96">
        <v>43502</v>
      </c>
      <c r="B150" s="101">
        <v>111.74</v>
      </c>
      <c r="C150" s="1">
        <f t="shared" si="4"/>
        <v>-2.4400078963291633E-2</v>
      </c>
      <c r="D150" s="1">
        <f>IFERROR(Comp3[[#This Row],[Comparable '#3 Return]]+1,"-")</f>
        <v>0.97559992103670834</v>
      </c>
      <c r="E150" s="6">
        <f>B150-MAX($B$2:B150)</f>
        <v>-38.470000000000013</v>
      </c>
      <c r="F150" s="80">
        <f t="shared" si="5"/>
        <v>59</v>
      </c>
      <c r="G150" s="6">
        <f>IFERROR(Comp3[[#This Row],[Comparable '#3 Drawdown]]/MAX($B$2:B150),"-")</f>
        <v>-0.25610811530523941</v>
      </c>
      <c r="H150" s="1" t="str">
        <f>IF(SUM(COUNTIF(Benchmark1[Benchmark '#1 Dates],Comp3[[#This Row],[Comparable '#3 Dates]]),COUNTIF(Benchmark2[Benchmark '#2 Dates],Comp3[[#This Row],[Comparable '#3 Dates]]))=2,"Pass","Fail")</f>
        <v>Pass</v>
      </c>
      <c r="I150" s="1">
        <f>IFERROR(Comp3[[#This Row],[Comparable '#3 Return]]-INDEX(Benchmark1[Benchmark '#1 Return],MATCH(Comp3[[#This Row],[Comparable '#3 Dates]],Benchmark1[Benchmark '#1 Dates],0)),"-")</f>
        <v>-2.2174151808534229E-2</v>
      </c>
      <c r="L150" s="72">
        <f>Comp3[[#This Row],[Comparable '#3 Price]]/$B$2*100</f>
        <v>95.333162699428371</v>
      </c>
    </row>
    <row r="151" spans="1:12">
      <c r="A151" s="96">
        <v>43503</v>
      </c>
      <c r="B151" s="101">
        <v>110.57</v>
      </c>
      <c r="C151" s="1">
        <f t="shared" si="4"/>
        <v>-1.0525939476692286E-2</v>
      </c>
      <c r="D151" s="1">
        <f>IFERROR(Comp3[[#This Row],[Comparable '#3 Return]]+1,"-")</f>
        <v>0.98947406052330766</v>
      </c>
      <c r="E151" s="6">
        <f>B151-MAX($B$2:B151)</f>
        <v>-39.640000000000015</v>
      </c>
      <c r="F151" s="80">
        <f t="shared" si="5"/>
        <v>60</v>
      </c>
      <c r="G151" s="6">
        <f>IFERROR(Comp3[[#This Row],[Comparable '#3 Drawdown]]/MAX($B$2:B151),"-")</f>
        <v>-0.26389721057186616</v>
      </c>
      <c r="H151" s="1" t="str">
        <f>IF(SUM(COUNTIF(Benchmark1[Benchmark '#1 Dates],Comp3[[#This Row],[Comparable '#3 Dates]]),COUNTIF(Benchmark2[Benchmark '#2 Dates],Comp3[[#This Row],[Comparable '#3 Dates]]))=2,"Pass","Fail")</f>
        <v>Pass</v>
      </c>
      <c r="I151" s="1">
        <f>IFERROR(Comp3[[#This Row],[Comparable '#3 Return]]-INDEX(Benchmark1[Benchmark '#1 Return],MATCH(Comp3[[#This Row],[Comparable '#3 Dates]],Benchmark1[Benchmark '#1 Dates],0)),"-")</f>
        <v>-1.1245824984127354E-3</v>
      </c>
      <c r="L151" s="72">
        <f>Comp3[[#This Row],[Comparable '#3 Price]]/$B$2*100</f>
        <v>94.334954355430426</v>
      </c>
    </row>
    <row r="152" spans="1:12">
      <c r="A152" s="96">
        <v>43504</v>
      </c>
      <c r="B152" s="101">
        <v>111</v>
      </c>
      <c r="C152" s="1">
        <f t="shared" si="4"/>
        <v>3.8813967580237693E-3</v>
      </c>
      <c r="D152" s="1">
        <f>IFERROR(Comp3[[#This Row],[Comparable '#3 Return]]+1,"-")</f>
        <v>1.0038813967580238</v>
      </c>
      <c r="E152" s="6">
        <f>B152-MAX($B$2:B152)</f>
        <v>-39.210000000000008</v>
      </c>
      <c r="F152" s="80">
        <f t="shared" si="5"/>
        <v>61</v>
      </c>
      <c r="G152" s="6">
        <f>IFERROR(Comp3[[#This Row],[Comparable '#3 Drawdown]]/MAX($B$2:B152),"-")</f>
        <v>-0.26103455162772121</v>
      </c>
      <c r="H152" s="1" t="str">
        <f>IF(SUM(COUNTIF(Benchmark1[Benchmark '#1 Dates],Comp3[[#This Row],[Comparable '#3 Dates]]),COUNTIF(Benchmark2[Benchmark '#2 Dates],Comp3[[#This Row],[Comparable '#3 Dates]]))=2,"Pass","Fail")</f>
        <v>Pass</v>
      </c>
      <c r="I152" s="1">
        <f>IFERROR(Comp3[[#This Row],[Comparable '#3 Return]]-INDEX(Benchmark1[Benchmark '#1 Return],MATCH(Comp3[[#This Row],[Comparable '#3 Dates]],Benchmark1[Benchmark '#1 Dates],0)),"-")</f>
        <v>3.2068597237596016E-3</v>
      </c>
      <c r="L152" s="72">
        <f>Comp3[[#This Row],[Comparable '#3 Price]]/$B$2*100</f>
        <v>94.701817251087789</v>
      </c>
    </row>
    <row r="153" spans="1:12">
      <c r="A153" s="96">
        <v>43507</v>
      </c>
      <c r="B153" s="101">
        <v>113.47</v>
      </c>
      <c r="C153" s="1">
        <f t="shared" si="4"/>
        <v>2.2008283490563791E-2</v>
      </c>
      <c r="D153" s="1">
        <f>IFERROR(Comp3[[#This Row],[Comparable '#3 Return]]+1,"-")</f>
        <v>1.0220082834905637</v>
      </c>
      <c r="E153" s="6">
        <f>B153-MAX($B$2:B153)</f>
        <v>-36.740000000000009</v>
      </c>
      <c r="F153" s="80">
        <f t="shared" si="5"/>
        <v>62</v>
      </c>
      <c r="G153" s="6">
        <f>IFERROR(Comp3[[#This Row],[Comparable '#3 Drawdown]]/MAX($B$2:B153),"-")</f>
        <v>-0.2445909060648426</v>
      </c>
      <c r="H153" s="1" t="str">
        <f>IF(SUM(COUNTIF(Benchmark1[Benchmark '#1 Dates],Comp3[[#This Row],[Comparable '#3 Dates]]),COUNTIF(Benchmark2[Benchmark '#2 Dates],Comp3[[#This Row],[Comparable '#3 Dates]]))=2,"Pass","Fail")</f>
        <v>Pass</v>
      </c>
      <c r="I153" s="1">
        <f>IFERROR(Comp3[[#This Row],[Comparable '#3 Return]]-INDEX(Benchmark1[Benchmark '#1 Return],MATCH(Comp3[[#This Row],[Comparable '#3 Dates]],Benchmark1[Benchmark '#1 Dates],0)),"-")</f>
        <v>2.1298205386459594E-2</v>
      </c>
      <c r="L153" s="72">
        <f>Comp3[[#This Row],[Comparable '#3 Price]]/$B$2*100</f>
        <v>96.809145977305704</v>
      </c>
    </row>
    <row r="154" spans="1:12">
      <c r="A154" s="96">
        <v>43508</v>
      </c>
      <c r="B154" s="101">
        <v>114.9</v>
      </c>
      <c r="C154" s="1">
        <f t="shared" si="4"/>
        <v>1.2523700051812038E-2</v>
      </c>
      <c r="D154" s="1">
        <f>IFERROR(Comp3[[#This Row],[Comparable '#3 Return]]+1,"-")</f>
        <v>1.0125237000518121</v>
      </c>
      <c r="E154" s="6">
        <f>B154-MAX($B$2:B154)</f>
        <v>-35.31</v>
      </c>
      <c r="F154" s="80">
        <f t="shared" si="5"/>
        <v>63</v>
      </c>
      <c r="G154" s="6">
        <f>IFERROR(Comp3[[#This Row],[Comparable '#3 Drawdown]]/MAX($B$2:B154),"-")</f>
        <v>-0.23507090073896544</v>
      </c>
      <c r="H154" s="1" t="str">
        <f>IF(SUM(COUNTIF(Benchmark1[Benchmark '#1 Dates],Comp3[[#This Row],[Comparable '#3 Dates]]),COUNTIF(Benchmark2[Benchmark '#2 Dates],Comp3[[#This Row],[Comparable '#3 Dates]]))=2,"Pass","Fail")</f>
        <v>Pass</v>
      </c>
      <c r="I154" s="1">
        <f>IFERROR(Comp3[[#This Row],[Comparable '#3 Return]]-INDEX(Benchmark1[Benchmark '#1 Return],MATCH(Comp3[[#This Row],[Comparable '#3 Dates]],Benchmark1[Benchmark '#1 Dates],0)),"-")</f>
        <v>-2.8403145004049501E-4</v>
      </c>
      <c r="L154" s="72">
        <f>Comp3[[#This Row],[Comparable '#3 Price]]/$B$2*100</f>
        <v>98.029178397747643</v>
      </c>
    </row>
    <row r="155" spans="1:12">
      <c r="A155" s="96">
        <v>43509</v>
      </c>
      <c r="B155" s="101">
        <v>118.27</v>
      </c>
      <c r="C155" s="1">
        <f t="shared" si="4"/>
        <v>2.8907961408315499E-2</v>
      </c>
      <c r="D155" s="1">
        <f>IFERROR(Comp3[[#This Row],[Comparable '#3 Return]]+1,"-")</f>
        <v>1.0289079614083154</v>
      </c>
      <c r="E155" s="6">
        <f>B155-MAX($B$2:B155)</f>
        <v>-31.940000000000012</v>
      </c>
      <c r="F155" s="80">
        <f t="shared" si="5"/>
        <v>64</v>
      </c>
      <c r="G155" s="6">
        <f>IFERROR(Comp3[[#This Row],[Comparable '#3 Drawdown]]/MAX($B$2:B155),"-")</f>
        <v>-0.21263564343252786</v>
      </c>
      <c r="H155" s="1" t="str">
        <f>IF(SUM(COUNTIF(Benchmark1[Benchmark '#1 Dates],Comp3[[#This Row],[Comparable '#3 Dates]]),COUNTIF(Benchmark2[Benchmark '#2 Dates],Comp3[[#This Row],[Comparable '#3 Dates]]))=2,"Pass","Fail")</f>
        <v>Pass</v>
      </c>
      <c r="I155" s="1">
        <f>IFERROR(Comp3[[#This Row],[Comparable '#3 Return]]-INDEX(Benchmark1[Benchmark '#1 Return],MATCH(Comp3[[#This Row],[Comparable '#3 Dates]],Benchmark1[Benchmark '#1 Dates],0)),"-")</f>
        <v>2.5888541702703903E-2</v>
      </c>
      <c r="L155" s="72">
        <f>Comp3[[#This Row],[Comparable '#3 Price]]/$B$2*100</f>
        <v>100.90435969627165</v>
      </c>
    </row>
    <row r="156" spans="1:12">
      <c r="A156" s="96">
        <v>43510</v>
      </c>
      <c r="B156" s="101">
        <v>118.75</v>
      </c>
      <c r="C156" s="1">
        <f t="shared" si="4"/>
        <v>4.0502966517252052E-3</v>
      </c>
      <c r="D156" s="1">
        <f>IFERROR(Comp3[[#This Row],[Comparable '#3 Return]]+1,"-")</f>
        <v>1.0040502966517253</v>
      </c>
      <c r="E156" s="6">
        <f>B156-MAX($B$2:B156)</f>
        <v>-31.460000000000008</v>
      </c>
      <c r="F156" s="80">
        <f t="shared" si="5"/>
        <v>65</v>
      </c>
      <c r="G156" s="6">
        <f>IFERROR(Comp3[[#This Row],[Comparable '#3 Drawdown]]/MAX($B$2:B156),"-")</f>
        <v>-0.20944011716929636</v>
      </c>
      <c r="H156" s="1" t="str">
        <f>IF(SUM(COUNTIF(Benchmark1[Benchmark '#1 Dates],Comp3[[#This Row],[Comparable '#3 Dates]]),COUNTIF(Benchmark2[Benchmark '#2 Dates],Comp3[[#This Row],[Comparable '#3 Dates]]))=2,"Pass","Fail")</f>
        <v>Pass</v>
      </c>
      <c r="I156" s="1">
        <f>IFERROR(Comp3[[#This Row],[Comparable '#3 Return]]-INDEX(Benchmark1[Benchmark '#1 Return],MATCH(Comp3[[#This Row],[Comparable '#3 Dates]],Benchmark1[Benchmark '#1 Dates],0)),"-")</f>
        <v>6.7068097204776881E-3</v>
      </c>
      <c r="L156" s="72">
        <f>Comp3[[#This Row],[Comparable '#3 Price]]/$B$2*100</f>
        <v>101.31388106816826</v>
      </c>
    </row>
    <row r="157" spans="1:12">
      <c r="A157" s="96">
        <v>43511</v>
      </c>
      <c r="B157" s="101">
        <v>119.11</v>
      </c>
      <c r="C157" s="1">
        <f t="shared" si="4"/>
        <v>3.0269929780590401E-3</v>
      </c>
      <c r="D157" s="1">
        <f>IFERROR(Comp3[[#This Row],[Comparable '#3 Return]]+1,"-")</f>
        <v>1.0030269929780591</v>
      </c>
      <c r="E157" s="6">
        <f>B157-MAX($B$2:B157)</f>
        <v>-31.100000000000009</v>
      </c>
      <c r="F157" s="80">
        <f t="shared" si="5"/>
        <v>66</v>
      </c>
      <c r="G157" s="6">
        <f>IFERROR(Comp3[[#This Row],[Comparable '#3 Drawdown]]/MAX($B$2:B157),"-")</f>
        <v>-0.20704347247187277</v>
      </c>
      <c r="H157" s="1" t="str">
        <f>IF(SUM(COUNTIF(Benchmark1[Benchmark '#1 Dates],Comp3[[#This Row],[Comparable '#3 Dates]]),COUNTIF(Benchmark2[Benchmark '#2 Dates],Comp3[[#This Row],[Comparable '#3 Dates]]))=2,"Pass","Fail")</f>
        <v>Pass</v>
      </c>
      <c r="I157" s="1">
        <f>IFERROR(Comp3[[#This Row],[Comparable '#3 Return]]-INDEX(Benchmark1[Benchmark '#1 Return],MATCH(Comp3[[#This Row],[Comparable '#3 Dates]],Benchmark1[Benchmark '#1 Dates],0)),"-")</f>
        <v>-7.7920031293188139E-3</v>
      </c>
      <c r="L157" s="72">
        <f>Comp3[[#This Row],[Comparable '#3 Price]]/$B$2*100</f>
        <v>101.6210220970907</v>
      </c>
    </row>
    <row r="158" spans="1:12">
      <c r="A158" s="96">
        <v>43515</v>
      </c>
      <c r="B158" s="101">
        <v>119.8</v>
      </c>
      <c r="C158" s="1">
        <f t="shared" si="4"/>
        <v>5.7762497885394445E-3</v>
      </c>
      <c r="D158" s="1">
        <f>IFERROR(Comp3[[#This Row],[Comparable '#3 Return]]+1,"-")</f>
        <v>1.0057762497885394</v>
      </c>
      <c r="E158" s="6">
        <f>B158-MAX($B$2:B158)</f>
        <v>-30.410000000000011</v>
      </c>
      <c r="F158" s="80">
        <f t="shared" si="5"/>
        <v>67</v>
      </c>
      <c r="G158" s="6">
        <f>IFERROR(Comp3[[#This Row],[Comparable '#3 Drawdown]]/MAX($B$2:B158),"-")</f>
        <v>-0.20244990346847752</v>
      </c>
      <c r="H158" s="1" t="str">
        <f>IF(SUM(COUNTIF(Benchmark1[Benchmark '#1 Dates],Comp3[[#This Row],[Comparable '#3 Dates]]),COUNTIF(Benchmark2[Benchmark '#2 Dates],Comp3[[#This Row],[Comparable '#3 Dates]]))=2,"Pass","Fail")</f>
        <v>Pass</v>
      </c>
      <c r="I158" s="1">
        <f>IFERROR(Comp3[[#This Row],[Comparable '#3 Return]]-INDEX(Benchmark1[Benchmark '#1 Return],MATCH(Comp3[[#This Row],[Comparable '#3 Dates]],Benchmark1[Benchmark '#1 Dates],0)),"-")</f>
        <v>4.2782360988658395E-3</v>
      </c>
      <c r="L158" s="72">
        <f>Comp3[[#This Row],[Comparable '#3 Price]]/$B$2*100</f>
        <v>102.20970906919204</v>
      </c>
    </row>
    <row r="159" spans="1:12">
      <c r="A159" s="96">
        <v>43516</v>
      </c>
      <c r="B159" s="101">
        <v>120.19</v>
      </c>
      <c r="C159" s="1">
        <f t="shared" si="4"/>
        <v>3.2501382833485032E-3</v>
      </c>
      <c r="D159" s="1">
        <f>IFERROR(Comp3[[#This Row],[Comparable '#3 Return]]+1,"-")</f>
        <v>1.0032501382833485</v>
      </c>
      <c r="E159" s="6">
        <f>B159-MAX($B$2:B159)</f>
        <v>-30.02000000000001</v>
      </c>
      <c r="F159" s="80">
        <f t="shared" si="5"/>
        <v>68</v>
      </c>
      <c r="G159" s="6">
        <f>IFERROR(Comp3[[#This Row],[Comparable '#3 Drawdown]]/MAX($B$2:B159),"-")</f>
        <v>-0.19985353837960196</v>
      </c>
      <c r="H159" s="1" t="str">
        <f>IF(SUM(COUNTIF(Benchmark1[Benchmark '#1 Dates],Comp3[[#This Row],[Comparable '#3 Dates]]),COUNTIF(Benchmark2[Benchmark '#2 Dates],Comp3[[#This Row],[Comparable '#3 Dates]]))=2,"Pass","Fail")</f>
        <v>Pass</v>
      </c>
      <c r="I159" s="1">
        <f>IFERROR(Comp3[[#This Row],[Comparable '#3 Return]]-INDEX(Benchmark1[Benchmark '#1 Return],MATCH(Comp3[[#This Row],[Comparable '#3 Dates]],Benchmark1[Benchmark '#1 Dates],0)),"-")</f>
        <v>1.4752728459647821E-3</v>
      </c>
      <c r="L159" s="72">
        <f>Comp3[[#This Row],[Comparable '#3 Price]]/$B$2*100</f>
        <v>102.54244518385805</v>
      </c>
    </row>
    <row r="160" spans="1:12">
      <c r="A160" s="96">
        <v>43517</v>
      </c>
      <c r="B160" s="101">
        <v>126.92</v>
      </c>
      <c r="C160" s="1">
        <f t="shared" si="4"/>
        <v>5.4483142750297482E-2</v>
      </c>
      <c r="D160" s="1">
        <f>IFERROR(Comp3[[#This Row],[Comparable '#3 Return]]+1,"-")</f>
        <v>1.0544831427502974</v>
      </c>
      <c r="E160" s="6">
        <f>B160-MAX($B$2:B160)</f>
        <v>-23.290000000000006</v>
      </c>
      <c r="F160" s="80">
        <f t="shared" si="5"/>
        <v>69</v>
      </c>
      <c r="G160" s="6">
        <f>IFERROR(Comp3[[#This Row],[Comparable '#3 Drawdown]]/MAX($B$2:B160),"-")</f>
        <v>-0.15504959723054393</v>
      </c>
      <c r="H160" s="1" t="str">
        <f>IF(SUM(COUNTIF(Benchmark1[Benchmark '#1 Dates],Comp3[[#This Row],[Comparable '#3 Dates]]),COUNTIF(Benchmark2[Benchmark '#2 Dates],Comp3[[#This Row],[Comparable '#3 Dates]]))=2,"Pass","Fail")</f>
        <v>Pass</v>
      </c>
      <c r="I160" s="1">
        <f>IFERROR(Comp3[[#This Row],[Comparable '#3 Return]]-INDEX(Benchmark1[Benchmark '#1 Return],MATCH(Comp3[[#This Row],[Comparable '#3 Dates]],Benchmark1[Benchmark '#1 Dates],0)),"-")</f>
        <v>5.8015810747040646E-2</v>
      </c>
      <c r="L160" s="72">
        <f>Comp3[[#This Row],[Comparable '#3 Price]]/$B$2*100</f>
        <v>108.28427608565822</v>
      </c>
    </row>
    <row r="161" spans="1:12">
      <c r="A161" s="96">
        <v>43518</v>
      </c>
      <c r="B161" s="101">
        <v>127.33</v>
      </c>
      <c r="C161" s="1">
        <f t="shared" si="4"/>
        <v>3.2251748703493966E-3</v>
      </c>
      <c r="D161" s="1">
        <f>IFERROR(Comp3[[#This Row],[Comparable '#3 Return]]+1,"-")</f>
        <v>1.0032251748703493</v>
      </c>
      <c r="E161" s="6">
        <f>B161-MAX($B$2:B161)</f>
        <v>-22.88000000000001</v>
      </c>
      <c r="F161" s="80">
        <f t="shared" si="5"/>
        <v>70</v>
      </c>
      <c r="G161" s="6">
        <f>IFERROR(Comp3[[#This Row],[Comparable '#3 Drawdown]]/MAX($B$2:B161),"-")</f>
        <v>-0.15232008521403373</v>
      </c>
      <c r="H161" s="1" t="str">
        <f>IF(SUM(COUNTIF(Benchmark1[Benchmark '#1 Dates],Comp3[[#This Row],[Comparable '#3 Dates]]),COUNTIF(Benchmark2[Benchmark '#2 Dates],Comp3[[#This Row],[Comparable '#3 Dates]]))=2,"Pass","Fail")</f>
        <v>Pass</v>
      </c>
      <c r="I161" s="1">
        <f>IFERROR(Comp3[[#This Row],[Comparable '#3 Return]]-INDEX(Benchmark1[Benchmark '#1 Return],MATCH(Comp3[[#This Row],[Comparable '#3 Dates]],Benchmark1[Benchmark '#1 Dates],0)),"-")</f>
        <v>-3.1672120845785178E-3</v>
      </c>
      <c r="L161" s="72">
        <f>Comp3[[#This Row],[Comparable '#3 Price]]/$B$2*100</f>
        <v>108.6340755908199</v>
      </c>
    </row>
    <row r="162" spans="1:12">
      <c r="A162" s="96">
        <v>43521</v>
      </c>
      <c r="B162" s="101">
        <v>126.25</v>
      </c>
      <c r="C162" s="1">
        <f t="shared" si="4"/>
        <v>-8.5180734298749283E-3</v>
      </c>
      <c r="D162" s="1">
        <f>IFERROR(Comp3[[#This Row],[Comparable '#3 Return]]+1,"-")</f>
        <v>0.99148192657012513</v>
      </c>
      <c r="E162" s="6">
        <f>B162-MAX($B$2:B162)</f>
        <v>-23.960000000000008</v>
      </c>
      <c r="F162" s="80">
        <f t="shared" si="5"/>
        <v>71</v>
      </c>
      <c r="G162" s="6">
        <f>IFERROR(Comp3[[#This Row],[Comparable '#3 Drawdown]]/MAX($B$2:B162),"-")</f>
        <v>-0.15951001930630454</v>
      </c>
      <c r="H162" s="1" t="str">
        <f>IF(SUM(COUNTIF(Benchmark1[Benchmark '#1 Dates],Comp3[[#This Row],[Comparable '#3 Dates]]),COUNTIF(Benchmark2[Benchmark '#2 Dates],Comp3[[#This Row],[Comparable '#3 Dates]]))=2,"Pass","Fail")</f>
        <v>Pass</v>
      </c>
      <c r="I162" s="1">
        <f>IFERROR(Comp3[[#This Row],[Comparable '#3 Return]]-INDEX(Benchmark1[Benchmark '#1 Return],MATCH(Comp3[[#This Row],[Comparable '#3 Dates]],Benchmark1[Benchmark '#1 Dates],0)),"-")</f>
        <v>-9.7475113438345827E-3</v>
      </c>
      <c r="L162" s="72">
        <f>Comp3[[#This Row],[Comparable '#3 Price]]/$B$2*100</f>
        <v>107.71265250405256</v>
      </c>
    </row>
    <row r="163" spans="1:12">
      <c r="A163" s="96">
        <v>43522</v>
      </c>
      <c r="B163" s="101">
        <v>125.7</v>
      </c>
      <c r="C163" s="1">
        <f t="shared" si="4"/>
        <v>-4.3659525592674719E-3</v>
      </c>
      <c r="D163" s="1">
        <f>IFERROR(Comp3[[#This Row],[Comparable '#3 Return]]+1,"-")</f>
        <v>0.99563404744073258</v>
      </c>
      <c r="E163" s="6">
        <f>B163-MAX($B$2:B163)</f>
        <v>-24.510000000000005</v>
      </c>
      <c r="F163" s="80">
        <f t="shared" si="5"/>
        <v>72</v>
      </c>
      <c r="G163" s="6">
        <f>IFERROR(Comp3[[#This Row],[Comparable '#3 Drawdown]]/MAX($B$2:B163),"-")</f>
        <v>-0.16317155981625728</v>
      </c>
      <c r="H163" s="1" t="str">
        <f>IF(SUM(COUNTIF(Benchmark1[Benchmark '#1 Dates],Comp3[[#This Row],[Comparable '#3 Dates]]),COUNTIF(Benchmark2[Benchmark '#2 Dates],Comp3[[#This Row],[Comparable '#3 Dates]]))=2,"Pass","Fail")</f>
        <v>Pass</v>
      </c>
      <c r="I163" s="1">
        <f>IFERROR(Comp3[[#This Row],[Comparable '#3 Return]]-INDEX(Benchmark1[Benchmark '#1 Return],MATCH(Comp3[[#This Row],[Comparable '#3 Dates]],Benchmark1[Benchmark '#1 Dates],0)),"-")</f>
        <v>-3.5759819592770816E-3</v>
      </c>
      <c r="L163" s="72">
        <f>Comp3[[#This Row],[Comparable '#3 Price]]/$B$2*100</f>
        <v>107.24340926542104</v>
      </c>
    </row>
    <row r="164" spans="1:12">
      <c r="A164" s="96">
        <v>43523</v>
      </c>
      <c r="B164" s="101">
        <v>127.06</v>
      </c>
      <c r="C164" s="1">
        <f t="shared" si="4"/>
        <v>1.076130024218554E-2</v>
      </c>
      <c r="D164" s="1">
        <f>IFERROR(Comp3[[#This Row],[Comparable '#3 Return]]+1,"-")</f>
        <v>1.0107613002421856</v>
      </c>
      <c r="E164" s="6">
        <f>B164-MAX($B$2:B164)</f>
        <v>-23.150000000000006</v>
      </c>
      <c r="F164" s="80">
        <f t="shared" si="5"/>
        <v>73</v>
      </c>
      <c r="G164" s="6">
        <f>IFERROR(Comp3[[#This Row],[Comparable '#3 Drawdown]]/MAX($B$2:B164),"-")</f>
        <v>-0.15411756873710142</v>
      </c>
      <c r="H164" s="1" t="str">
        <f>IF(SUM(COUNTIF(Benchmark1[Benchmark '#1 Dates],Comp3[[#This Row],[Comparable '#3 Dates]]),COUNTIF(Benchmark2[Benchmark '#2 Dates],Comp3[[#This Row],[Comparable '#3 Dates]]))=2,"Pass","Fail")</f>
        <v>Pass</v>
      </c>
      <c r="I164" s="1">
        <f>IFERROR(Comp3[[#This Row],[Comparable '#3 Return]]-INDEX(Benchmark1[Benchmark '#1 Return],MATCH(Comp3[[#This Row],[Comparable '#3 Dates]],Benchmark1[Benchmark '#1 Dates],0)),"-")</f>
        <v>1.1304954971314026E-2</v>
      </c>
      <c r="L164" s="72">
        <f>Comp3[[#This Row],[Comparable '#3 Price]]/$B$2*100</f>
        <v>108.40371981912807</v>
      </c>
    </row>
    <row r="165" spans="1:12">
      <c r="A165" s="96">
        <v>43524</v>
      </c>
      <c r="B165" s="101">
        <v>130.78</v>
      </c>
      <c r="C165" s="1">
        <f t="shared" si="4"/>
        <v>2.8857106294742644E-2</v>
      </c>
      <c r="D165" s="1">
        <f>IFERROR(Comp3[[#This Row],[Comparable '#3 Return]]+1,"-")</f>
        <v>1.0288571062947427</v>
      </c>
      <c r="E165" s="6">
        <f>B165-MAX($B$2:B165)</f>
        <v>-19.430000000000007</v>
      </c>
      <c r="F165" s="80">
        <f t="shared" si="5"/>
        <v>74</v>
      </c>
      <c r="G165" s="6">
        <f>IFERROR(Comp3[[#This Row],[Comparable '#3 Drawdown]]/MAX($B$2:B165),"-")</f>
        <v>-0.12935224019705749</v>
      </c>
      <c r="H165" s="1" t="str">
        <f>IF(SUM(COUNTIF(Benchmark1[Benchmark '#1 Dates],Comp3[[#This Row],[Comparable '#3 Dates]]),COUNTIF(Benchmark2[Benchmark '#2 Dates],Comp3[[#This Row],[Comparable '#3 Dates]]))=2,"Pass","Fail")</f>
        <v>Pass</v>
      </c>
      <c r="I165" s="1">
        <f>IFERROR(Comp3[[#This Row],[Comparable '#3 Return]]-INDEX(Benchmark1[Benchmark '#1 Return],MATCH(Comp3[[#This Row],[Comparable '#3 Dates]],Benchmark1[Benchmark '#1 Dates],0)),"-")</f>
        <v>3.1686191756108199E-2</v>
      </c>
      <c r="L165" s="72">
        <f>Comp3[[#This Row],[Comparable '#3 Price]]/$B$2*100</f>
        <v>111.57751045132669</v>
      </c>
    </row>
    <row r="166" spans="1:12">
      <c r="A166" s="96">
        <v>43525</v>
      </c>
      <c r="B166" s="101">
        <v>144.61000000000001</v>
      </c>
      <c r="C166" s="1">
        <f t="shared" si="4"/>
        <v>0.10052394149357094</v>
      </c>
      <c r="D166" s="1">
        <f>IFERROR(Comp3[[#This Row],[Comparable '#3 Return]]+1,"-")</f>
        <v>1.100523941493571</v>
      </c>
      <c r="E166" s="6">
        <f>B166-MAX($B$2:B166)</f>
        <v>-5.5999999999999943</v>
      </c>
      <c r="F166" s="80">
        <f t="shared" si="5"/>
        <v>75</v>
      </c>
      <c r="G166" s="6">
        <f>IFERROR(Comp3[[#This Row],[Comparable '#3 Drawdown]]/MAX($B$2:B166),"-")</f>
        <v>-3.728113973770051E-2</v>
      </c>
      <c r="H166" s="1" t="str">
        <f>IF(SUM(COUNTIF(Benchmark1[Benchmark '#1 Dates],Comp3[[#This Row],[Comparable '#3 Dates]]),COUNTIF(Benchmark2[Benchmark '#2 Dates],Comp3[[#This Row],[Comparable '#3 Dates]]))=2,"Pass","Fail")</f>
        <v>Pass</v>
      </c>
      <c r="I166" s="1">
        <f>IFERROR(Comp3[[#This Row],[Comparable '#3 Return]]-INDEX(Benchmark1[Benchmark '#1 Return],MATCH(Comp3[[#This Row],[Comparable '#3 Dates]],Benchmark1[Benchmark '#1 Dates],0)),"-")</f>
        <v>9.3651202323661767E-2</v>
      </c>
      <c r="L166" s="72">
        <f>Comp3[[#This Row],[Comparable '#3 Price]]/$B$2*100</f>
        <v>123.37684497909736</v>
      </c>
    </row>
    <row r="167" spans="1:12">
      <c r="A167" s="96">
        <v>43528</v>
      </c>
      <c r="B167" s="101">
        <v>142.15</v>
      </c>
      <c r="C167" s="1">
        <f t="shared" si="4"/>
        <v>-1.7157625529692019E-2</v>
      </c>
      <c r="D167" s="1">
        <f>IFERROR(Comp3[[#This Row],[Comparable '#3 Return]]+1,"-")</f>
        <v>0.98284237447030798</v>
      </c>
      <c r="E167" s="6">
        <f>B167-MAX($B$2:B167)</f>
        <v>-8.0600000000000023</v>
      </c>
      <c r="F167" s="80">
        <f t="shared" si="5"/>
        <v>76</v>
      </c>
      <c r="G167" s="6">
        <f>IFERROR(Comp3[[#This Row],[Comparable '#3 Drawdown]]/MAX($B$2:B167),"-")</f>
        <v>-5.3658211836761879E-2</v>
      </c>
      <c r="H167" s="1" t="str">
        <f>IF(SUM(COUNTIF(Benchmark1[Benchmark '#1 Dates],Comp3[[#This Row],[Comparable '#3 Dates]]),COUNTIF(Benchmark2[Benchmark '#2 Dates],Comp3[[#This Row],[Comparable '#3 Dates]]))=2,"Pass","Fail")</f>
        <v>Pass</v>
      </c>
      <c r="I167" s="1">
        <f>IFERROR(Comp3[[#This Row],[Comparable '#3 Return]]-INDEX(Benchmark1[Benchmark '#1 Return],MATCH(Comp3[[#This Row],[Comparable '#3 Dates]],Benchmark1[Benchmark '#1 Dates],0)),"-")</f>
        <v>-1.3268246048753617E-2</v>
      </c>
      <c r="L167" s="72">
        <f>Comp3[[#This Row],[Comparable '#3 Price]]/$B$2*100</f>
        <v>121.27804794812731</v>
      </c>
    </row>
    <row r="168" spans="1:12">
      <c r="A168" s="96">
        <v>43529</v>
      </c>
      <c r="B168" s="101">
        <v>141.82</v>
      </c>
      <c r="C168" s="1">
        <f t="shared" si="4"/>
        <v>-2.3241902211582886E-3</v>
      </c>
      <c r="D168" s="1">
        <f>IFERROR(Comp3[[#This Row],[Comparable '#3 Return]]+1,"-")</f>
        <v>0.99767580977884174</v>
      </c>
      <c r="E168" s="6">
        <f>B168-MAX($B$2:B168)</f>
        <v>-8.3900000000000148</v>
      </c>
      <c r="F168" s="80">
        <f t="shared" si="5"/>
        <v>77</v>
      </c>
      <c r="G168" s="6">
        <f>IFERROR(Comp3[[#This Row],[Comparable '#3 Drawdown]]/MAX($B$2:B168),"-")</f>
        <v>-5.5855136142733602E-2</v>
      </c>
      <c r="H168" s="1" t="str">
        <f>IF(SUM(COUNTIF(Benchmark1[Benchmark '#1 Dates],Comp3[[#This Row],[Comparable '#3 Dates]]),COUNTIF(Benchmark2[Benchmark '#2 Dates],Comp3[[#This Row],[Comparable '#3 Dates]]))=2,"Pass","Fail")</f>
        <v>Pass</v>
      </c>
      <c r="I168" s="1">
        <f>IFERROR(Comp3[[#This Row],[Comparable '#3 Return]]-INDEX(Benchmark1[Benchmark '#1 Return],MATCH(Comp3[[#This Row],[Comparable '#3 Dates]],Benchmark1[Benchmark '#1 Dates],0)),"-")</f>
        <v>-1.19210120009822E-3</v>
      </c>
      <c r="L168" s="72">
        <f>Comp3[[#This Row],[Comparable '#3 Price]]/$B$2*100</f>
        <v>120.99650200494838</v>
      </c>
    </row>
    <row r="169" spans="1:12">
      <c r="A169" s="96">
        <v>43530</v>
      </c>
      <c r="B169" s="101">
        <v>139.26</v>
      </c>
      <c r="C169" s="1">
        <f t="shared" si="4"/>
        <v>-1.8215958361449975E-2</v>
      </c>
      <c r="D169" s="1">
        <f>IFERROR(Comp3[[#This Row],[Comparable '#3 Return]]+1,"-")</f>
        <v>0.98178404163855004</v>
      </c>
      <c r="E169" s="6">
        <f>B169-MAX($B$2:B169)</f>
        <v>-10.950000000000017</v>
      </c>
      <c r="F169" s="80">
        <f t="shared" si="5"/>
        <v>78</v>
      </c>
      <c r="G169" s="6">
        <f>IFERROR(Comp3[[#This Row],[Comparable '#3 Drawdown]]/MAX($B$2:B169),"-")</f>
        <v>-7.2897942879968161E-2</v>
      </c>
      <c r="H169" s="1" t="str">
        <f>IF(SUM(COUNTIF(Benchmark1[Benchmark '#1 Dates],Comp3[[#This Row],[Comparable '#3 Dates]]),COUNTIF(Benchmark2[Benchmark '#2 Dates],Comp3[[#This Row],[Comparable '#3 Dates]]))=2,"Pass","Fail")</f>
        <v>Pass</v>
      </c>
      <c r="I169" s="1">
        <f>IFERROR(Comp3[[#This Row],[Comparable '#3 Return]]-INDEX(Benchmark1[Benchmark '#1 Return],MATCH(Comp3[[#This Row],[Comparable '#3 Dates]],Benchmark1[Benchmark '#1 Dates],0)),"-")</f>
        <v>-1.1669265272566081E-2</v>
      </c>
      <c r="L169" s="72">
        <f>Comp3[[#This Row],[Comparable '#3 Price]]/$B$2*100</f>
        <v>118.81238802149987</v>
      </c>
    </row>
    <row r="170" spans="1:12">
      <c r="A170" s="96">
        <v>43531</v>
      </c>
      <c r="B170" s="101">
        <v>136.18</v>
      </c>
      <c r="C170" s="1">
        <f t="shared" si="4"/>
        <v>-2.2365149459579941E-2</v>
      </c>
      <c r="D170" s="1">
        <f>IFERROR(Comp3[[#This Row],[Comparable '#3 Return]]+1,"-")</f>
        <v>0.9776348505404201</v>
      </c>
      <c r="E170" s="6">
        <f>B170-MAX($B$2:B170)</f>
        <v>-14.030000000000001</v>
      </c>
      <c r="F170" s="80">
        <f t="shared" si="5"/>
        <v>79</v>
      </c>
      <c r="G170" s="6">
        <f>IFERROR(Comp3[[#This Row],[Comparable '#3 Drawdown]]/MAX($B$2:B170),"-")</f>
        <v>-9.340256973570335E-2</v>
      </c>
      <c r="H170" s="1" t="str">
        <f>IF(SUM(COUNTIF(Benchmark1[Benchmark '#1 Dates],Comp3[[#This Row],[Comparable '#3 Dates]]),COUNTIF(Benchmark2[Benchmark '#2 Dates],Comp3[[#This Row],[Comparable '#3 Dates]]))=2,"Pass","Fail")</f>
        <v>Pass</v>
      </c>
      <c r="I170" s="1">
        <f>IFERROR(Comp3[[#This Row],[Comparable '#3 Return]]-INDEX(Benchmark1[Benchmark '#1 Return],MATCH(Comp3[[#This Row],[Comparable '#3 Dates]],Benchmark1[Benchmark '#1 Dates],0)),"-")</f>
        <v>-1.4205561291838913E-2</v>
      </c>
      <c r="L170" s="72">
        <f>Comp3[[#This Row],[Comparable '#3 Price]]/$B$2*100</f>
        <v>116.18462588516338</v>
      </c>
    </row>
    <row r="171" spans="1:12">
      <c r="A171" s="96">
        <v>43532</v>
      </c>
      <c r="B171" s="101">
        <v>133.79</v>
      </c>
      <c r="C171" s="1">
        <f t="shared" si="4"/>
        <v>-1.7706133569292737E-2</v>
      </c>
      <c r="D171" s="1">
        <f>IFERROR(Comp3[[#This Row],[Comparable '#3 Return]]+1,"-")</f>
        <v>0.98229386643070726</v>
      </c>
      <c r="E171" s="6">
        <f>B171-MAX($B$2:B171)</f>
        <v>-16.420000000000016</v>
      </c>
      <c r="F171" s="80">
        <f t="shared" si="5"/>
        <v>80</v>
      </c>
      <c r="G171" s="6">
        <f>IFERROR(Comp3[[#This Row],[Comparable '#3 Drawdown]]/MAX($B$2:B171),"-")</f>
        <v>-0.1093136275880435</v>
      </c>
      <c r="H171" s="1" t="str">
        <f>IF(SUM(COUNTIF(Benchmark1[Benchmark '#1 Dates],Comp3[[#This Row],[Comparable '#3 Dates]]),COUNTIF(Benchmark2[Benchmark '#2 Dates],Comp3[[#This Row],[Comparable '#3 Dates]]))=2,"Pass","Fail")</f>
        <v>Pass</v>
      </c>
      <c r="I171" s="1">
        <f>IFERROR(Comp3[[#This Row],[Comparable '#3 Return]]-INDEX(Benchmark1[Benchmark '#1 Return],MATCH(Comp3[[#This Row],[Comparable '#3 Dates]],Benchmark1[Benchmark '#1 Dates],0)),"-")</f>
        <v>-1.5572804971964102E-2</v>
      </c>
      <c r="L171" s="72">
        <f>Comp3[[#This Row],[Comparable '#3 Price]]/$B$2*100</f>
        <v>114.14555072092824</v>
      </c>
    </row>
    <row r="172" spans="1:12">
      <c r="A172" s="96">
        <v>43535</v>
      </c>
      <c r="B172" s="101">
        <v>137.63</v>
      </c>
      <c r="C172" s="1">
        <f t="shared" si="4"/>
        <v>2.8297518505913201E-2</v>
      </c>
      <c r="D172" s="1">
        <f>IFERROR(Comp3[[#This Row],[Comparable '#3 Return]]+1,"-")</f>
        <v>1.0282975185059131</v>
      </c>
      <c r="E172" s="6">
        <f>B172-MAX($B$2:B172)</f>
        <v>-12.580000000000013</v>
      </c>
      <c r="F172" s="80">
        <f t="shared" si="5"/>
        <v>81</v>
      </c>
      <c r="G172" s="6">
        <f>IFERROR(Comp3[[#This Row],[Comparable '#3 Drawdown]]/MAX($B$2:B172),"-")</f>
        <v>-8.3749417482191682E-2</v>
      </c>
      <c r="H172" s="1" t="str">
        <f>IF(SUM(COUNTIF(Benchmark1[Benchmark '#1 Dates],Comp3[[#This Row],[Comparable '#3 Dates]]),COUNTIF(Benchmark2[Benchmark '#2 Dates],Comp3[[#This Row],[Comparable '#3 Dates]]))=2,"Pass","Fail")</f>
        <v>Pass</v>
      </c>
      <c r="I172" s="1">
        <f>IFERROR(Comp3[[#This Row],[Comparable '#3 Return]]-INDEX(Benchmark1[Benchmark '#1 Return],MATCH(Comp3[[#This Row],[Comparable '#3 Dates]],Benchmark1[Benchmark '#1 Dates],0)),"-")</f>
        <v>1.3738919902252204E-2</v>
      </c>
      <c r="L172" s="72">
        <f>Comp3[[#This Row],[Comparable '#3 Price]]/$B$2*100</f>
        <v>117.42172169610102</v>
      </c>
    </row>
    <row r="173" spans="1:12">
      <c r="A173" s="96">
        <v>43536</v>
      </c>
      <c r="B173" s="101">
        <v>138.77000000000001</v>
      </c>
      <c r="C173" s="1">
        <f t="shared" si="4"/>
        <v>8.2489613914780054E-3</v>
      </c>
      <c r="D173" s="1">
        <f>IFERROR(Comp3[[#This Row],[Comparable '#3 Return]]+1,"-")</f>
        <v>1.008248961391478</v>
      </c>
      <c r="E173" s="6">
        <f>B173-MAX($B$2:B173)</f>
        <v>-11.439999999999998</v>
      </c>
      <c r="F173" s="80">
        <f t="shared" si="5"/>
        <v>82</v>
      </c>
      <c r="G173" s="6">
        <f>IFERROR(Comp3[[#This Row],[Comparable '#3 Drawdown]]/MAX($B$2:B173),"-")</f>
        <v>-7.6160042607016823E-2</v>
      </c>
      <c r="H173" s="1" t="str">
        <f>IF(SUM(COUNTIF(Benchmark1[Benchmark '#1 Dates],Comp3[[#This Row],[Comparable '#3 Dates]]),COUNTIF(Benchmark2[Benchmark '#2 Dates],Comp3[[#This Row],[Comparable '#3 Dates]]))=2,"Pass","Fail")</f>
        <v>Pass</v>
      </c>
      <c r="I173" s="1">
        <f>IFERROR(Comp3[[#This Row],[Comparable '#3 Return]]-INDEX(Benchmark1[Benchmark '#1 Return],MATCH(Comp3[[#This Row],[Comparable '#3 Dates]],Benchmark1[Benchmark '#1 Dates],0)),"-")</f>
        <v>5.2973741152506281E-3</v>
      </c>
      <c r="L173" s="72">
        <f>Comp3[[#This Row],[Comparable '#3 Price]]/$B$2*100</f>
        <v>118.39433495435546</v>
      </c>
    </row>
    <row r="174" spans="1:12">
      <c r="A174" s="96">
        <v>43537</v>
      </c>
      <c r="B174" s="101">
        <v>138.82</v>
      </c>
      <c r="C174" s="1">
        <f t="shared" si="4"/>
        <v>3.602435285185005E-4</v>
      </c>
      <c r="D174" s="1">
        <f>IFERROR(Comp3[[#This Row],[Comparable '#3 Return]]+1,"-")</f>
        <v>1.0003602435285186</v>
      </c>
      <c r="E174" s="6">
        <f>B174-MAX($B$2:B174)</f>
        <v>-11.390000000000015</v>
      </c>
      <c r="F174" s="80">
        <f t="shared" si="5"/>
        <v>83</v>
      </c>
      <c r="G174" s="6">
        <f>IFERROR(Comp3[[#This Row],[Comparable '#3 Drawdown]]/MAX($B$2:B174),"-")</f>
        <v>-7.5827175287930329E-2</v>
      </c>
      <c r="H174" s="1" t="str">
        <f>IF(SUM(COUNTIF(Benchmark1[Benchmark '#1 Dates],Comp3[[#This Row],[Comparable '#3 Dates]]),COUNTIF(Benchmark2[Benchmark '#2 Dates],Comp3[[#This Row],[Comparable '#3 Dates]]))=2,"Pass","Fail")</f>
        <v>Pass</v>
      </c>
      <c r="I174" s="1">
        <f>IFERROR(Comp3[[#This Row],[Comparable '#3 Return]]-INDEX(Benchmark1[Benchmark '#1 Return],MATCH(Comp3[[#This Row],[Comparable '#3 Dates]],Benchmark1[Benchmark '#1 Dates],0)),"-")</f>
        <v>-6.5636360277275315E-3</v>
      </c>
      <c r="L174" s="72">
        <f>Comp3[[#This Row],[Comparable '#3 Price]]/$B$2*100</f>
        <v>118.43699343059467</v>
      </c>
    </row>
    <row r="175" spans="1:12">
      <c r="A175" s="96">
        <v>43538</v>
      </c>
      <c r="B175" s="101">
        <v>137.36000000000001</v>
      </c>
      <c r="C175" s="1">
        <f t="shared" si="4"/>
        <v>-1.0572913322217412E-2</v>
      </c>
      <c r="D175" s="1">
        <f>IFERROR(Comp3[[#This Row],[Comparable '#3 Return]]+1,"-")</f>
        <v>0.98942708667778256</v>
      </c>
      <c r="E175" s="6">
        <f>B175-MAX($B$2:B175)</f>
        <v>-12.849999999999994</v>
      </c>
      <c r="F175" s="80">
        <f t="shared" si="5"/>
        <v>84</v>
      </c>
      <c r="G175" s="6">
        <f>IFERROR(Comp3[[#This Row],[Comparable '#3 Drawdown]]/MAX($B$2:B175),"-")</f>
        <v>-8.554690100525926E-2</v>
      </c>
      <c r="H175" s="1" t="str">
        <f>IF(SUM(COUNTIF(Benchmark1[Benchmark '#1 Dates],Comp3[[#This Row],[Comparable '#3 Dates]]),COUNTIF(Benchmark2[Benchmark '#2 Dates],Comp3[[#This Row],[Comparable '#3 Dates]]))=2,"Pass","Fail")</f>
        <v>Pass</v>
      </c>
      <c r="I175" s="1">
        <f>IFERROR(Comp3[[#This Row],[Comparable '#3 Return]]-INDEX(Benchmark1[Benchmark '#1 Return],MATCH(Comp3[[#This Row],[Comparable '#3 Dates]],Benchmark1[Benchmark '#1 Dates],0)),"-")</f>
        <v>-9.7063707651518765E-3</v>
      </c>
      <c r="L175" s="72">
        <f>Comp3[[#This Row],[Comparable '#3 Price]]/$B$2*100</f>
        <v>117.1913659244092</v>
      </c>
    </row>
    <row r="176" spans="1:12">
      <c r="A176" s="96">
        <v>43539</v>
      </c>
      <c r="B176" s="101">
        <v>138.29</v>
      </c>
      <c r="C176" s="1">
        <f t="shared" si="4"/>
        <v>6.7477128873468309E-3</v>
      </c>
      <c r="D176" s="1">
        <f>IFERROR(Comp3[[#This Row],[Comparable '#3 Return]]+1,"-")</f>
        <v>1.0067477128873468</v>
      </c>
      <c r="E176" s="6">
        <f>B176-MAX($B$2:B176)</f>
        <v>-11.920000000000016</v>
      </c>
      <c r="F176" s="80">
        <f t="shared" si="5"/>
        <v>85</v>
      </c>
      <c r="G176" s="6">
        <f>IFERROR(Comp3[[#This Row],[Comparable '#3 Drawdown]]/MAX($B$2:B176),"-")</f>
        <v>-7.9355568870248416E-2</v>
      </c>
      <c r="H176" s="1" t="str">
        <f>IF(SUM(COUNTIF(Benchmark1[Benchmark '#1 Dates],Comp3[[#This Row],[Comparable '#3 Dates]]),COUNTIF(Benchmark2[Benchmark '#2 Dates],Comp3[[#This Row],[Comparable '#3 Dates]]))=2,"Pass","Fail")</f>
        <v>Pass</v>
      </c>
      <c r="I176" s="1">
        <f>IFERROR(Comp3[[#This Row],[Comparable '#3 Return]]-INDEX(Benchmark1[Benchmark '#1 Return],MATCH(Comp3[[#This Row],[Comparable '#3 Dates]],Benchmark1[Benchmark '#1 Dates],0)),"-")</f>
        <v>1.777373270871364E-3</v>
      </c>
      <c r="L176" s="72">
        <f>Comp3[[#This Row],[Comparable '#3 Price]]/$B$2*100</f>
        <v>117.98481358245883</v>
      </c>
    </row>
    <row r="177" spans="1:12">
      <c r="A177" s="96">
        <v>43542</v>
      </c>
      <c r="B177" s="101">
        <v>136.5</v>
      </c>
      <c r="C177" s="1">
        <f t="shared" si="4"/>
        <v>-1.3028314851552456E-2</v>
      </c>
      <c r="D177" s="1">
        <f>IFERROR(Comp3[[#This Row],[Comparable '#3 Return]]+1,"-")</f>
        <v>0.98697168514844758</v>
      </c>
      <c r="E177" s="6">
        <f>B177-MAX($B$2:B177)</f>
        <v>-13.710000000000008</v>
      </c>
      <c r="F177" s="80">
        <f t="shared" si="5"/>
        <v>86</v>
      </c>
      <c r="G177" s="6">
        <f>IFERROR(Comp3[[#This Row],[Comparable '#3 Drawdown]]/MAX($B$2:B177),"-")</f>
        <v>-9.1272218893549084E-2</v>
      </c>
      <c r="H177" s="1" t="str">
        <f>IF(SUM(COUNTIF(Benchmark1[Benchmark '#1 Dates],Comp3[[#This Row],[Comparable '#3 Dates]]),COUNTIF(Benchmark2[Benchmark '#2 Dates],Comp3[[#This Row],[Comparable '#3 Dates]]))=2,"Pass","Fail")</f>
        <v>Pass</v>
      </c>
      <c r="I177" s="1">
        <f>IFERROR(Comp3[[#This Row],[Comparable '#3 Return]]-INDEX(Benchmark1[Benchmark '#1 Return],MATCH(Comp3[[#This Row],[Comparable '#3 Dates]],Benchmark1[Benchmark '#1 Dates],0)),"-")</f>
        <v>-1.6728817005577479E-2</v>
      </c>
      <c r="L177" s="72">
        <f>Comp3[[#This Row],[Comparable '#3 Price]]/$B$2*100</f>
        <v>116.45764013309446</v>
      </c>
    </row>
    <row r="178" spans="1:12">
      <c r="A178" s="96">
        <v>43543</v>
      </c>
      <c r="B178" s="101">
        <v>136.01</v>
      </c>
      <c r="C178" s="1">
        <f t="shared" si="4"/>
        <v>-3.5962021803524311E-3</v>
      </c>
      <c r="D178" s="1">
        <f>IFERROR(Comp3[[#This Row],[Comparable '#3 Return]]+1,"-")</f>
        <v>0.99640379781964761</v>
      </c>
      <c r="E178" s="6">
        <f>B178-MAX($B$2:B178)</f>
        <v>-14.200000000000017</v>
      </c>
      <c r="F178" s="80">
        <f t="shared" si="5"/>
        <v>87</v>
      </c>
      <c r="G178" s="6">
        <f>IFERROR(Comp3[[#This Row],[Comparable '#3 Drawdown]]/MAX($B$2:B178),"-")</f>
        <v>-9.453431862059794E-2</v>
      </c>
      <c r="H178" s="1" t="str">
        <f>IF(SUM(COUNTIF(Benchmark1[Benchmark '#1 Dates],Comp3[[#This Row],[Comparable '#3 Dates]]),COUNTIF(Benchmark2[Benchmark '#2 Dates],Comp3[[#This Row],[Comparable '#3 Dates]]))=2,"Pass","Fail")</f>
        <v>Pass</v>
      </c>
      <c r="I178" s="1">
        <f>IFERROR(Comp3[[#This Row],[Comparable '#3 Return]]-INDEX(Benchmark1[Benchmark '#1 Return],MATCH(Comp3[[#This Row],[Comparable '#3 Dates]],Benchmark1[Benchmark '#1 Dates],0)),"-")</f>
        <v>-3.4644598896831735E-3</v>
      </c>
      <c r="L178" s="72">
        <f>Comp3[[#This Row],[Comparable '#3 Price]]/$B$2*100</f>
        <v>116.03958706595002</v>
      </c>
    </row>
    <row r="179" spans="1:12">
      <c r="A179" s="96">
        <v>43544</v>
      </c>
      <c r="B179" s="101">
        <v>133.56</v>
      </c>
      <c r="C179" s="1">
        <f t="shared" si="4"/>
        <v>-1.8177597369208133E-2</v>
      </c>
      <c r="D179" s="1">
        <f>IFERROR(Comp3[[#This Row],[Comparable '#3 Return]]+1,"-")</f>
        <v>0.9818224026307919</v>
      </c>
      <c r="E179" s="6">
        <f>B179-MAX($B$2:B179)</f>
        <v>-16.650000000000006</v>
      </c>
      <c r="F179" s="80">
        <f t="shared" si="5"/>
        <v>88</v>
      </c>
      <c r="G179" s="6">
        <f>IFERROR(Comp3[[#This Row],[Comparable '#3 Drawdown]]/MAX($B$2:B179),"-")</f>
        <v>-0.11084481725584186</v>
      </c>
      <c r="H179" s="1" t="str">
        <f>IF(SUM(COUNTIF(Benchmark1[Benchmark '#1 Dates],Comp3[[#This Row],[Comparable '#3 Dates]]),COUNTIF(Benchmark2[Benchmark '#2 Dates],Comp3[[#This Row],[Comparable '#3 Dates]]))=2,"Pass","Fail")</f>
        <v>Pass</v>
      </c>
      <c r="I179" s="1">
        <f>IFERROR(Comp3[[#This Row],[Comparable '#3 Return]]-INDEX(Benchmark1[Benchmark '#1 Return],MATCH(Comp3[[#This Row],[Comparable '#3 Dates]],Benchmark1[Benchmark '#1 Dates],0)),"-")</f>
        <v>-1.5228372521092314E-2</v>
      </c>
      <c r="L179" s="72">
        <f>Comp3[[#This Row],[Comparable '#3 Price]]/$B$2*100</f>
        <v>113.94932173022781</v>
      </c>
    </row>
    <row r="180" spans="1:12">
      <c r="A180" s="96">
        <v>43545</v>
      </c>
      <c r="B180" s="101">
        <v>136.58000000000001</v>
      </c>
      <c r="C180" s="1">
        <f t="shared" si="4"/>
        <v>2.2359708457489538E-2</v>
      </c>
      <c r="D180" s="1">
        <f>IFERROR(Comp3[[#This Row],[Comparable '#3 Return]]+1,"-")</f>
        <v>1.0223597084574896</v>
      </c>
      <c r="E180" s="6">
        <f>B180-MAX($B$2:B180)</f>
        <v>-13.629999999999995</v>
      </c>
      <c r="F180" s="80">
        <f t="shared" si="5"/>
        <v>89</v>
      </c>
      <c r="G180" s="6">
        <f>IFERROR(Comp3[[#This Row],[Comparable '#3 Drawdown]]/MAX($B$2:B180),"-")</f>
        <v>-9.0739631183010414E-2</v>
      </c>
      <c r="H180" s="1" t="str">
        <f>IF(SUM(COUNTIF(Benchmark1[Benchmark '#1 Dates],Comp3[[#This Row],[Comparable '#3 Dates]]),COUNTIF(Benchmark2[Benchmark '#2 Dates],Comp3[[#This Row],[Comparable '#3 Dates]]))=2,"Pass","Fail")</f>
        <v>Pass</v>
      </c>
      <c r="I180" s="1">
        <f>IFERROR(Comp3[[#This Row],[Comparable '#3 Return]]-INDEX(Benchmark1[Benchmark '#1 Return],MATCH(Comp3[[#This Row],[Comparable '#3 Dates]],Benchmark1[Benchmark '#1 Dates],0)),"-")</f>
        <v>1.1565343231521351E-2</v>
      </c>
      <c r="L180" s="72">
        <f>Comp3[[#This Row],[Comparable '#3 Price]]/$B$2*100</f>
        <v>116.52589369507722</v>
      </c>
    </row>
    <row r="181" spans="1:12">
      <c r="A181" s="96">
        <v>43546</v>
      </c>
      <c r="B181" s="101">
        <v>132.54</v>
      </c>
      <c r="C181" s="1">
        <f t="shared" si="4"/>
        <v>-3.0026036872862587E-2</v>
      </c>
      <c r="D181" s="1">
        <f>IFERROR(Comp3[[#This Row],[Comparable '#3 Return]]+1,"-")</f>
        <v>0.96997396312713746</v>
      </c>
      <c r="E181" s="6">
        <f>B181-MAX($B$2:B181)</f>
        <v>-17.670000000000016</v>
      </c>
      <c r="F181" s="80">
        <f t="shared" si="5"/>
        <v>90</v>
      </c>
      <c r="G181" s="6">
        <f>IFERROR(Comp3[[#This Row],[Comparable '#3 Drawdown]]/MAX($B$2:B181),"-")</f>
        <v>-0.1176353105652088</v>
      </c>
      <c r="H181" s="1" t="str">
        <f>IF(SUM(COUNTIF(Benchmark1[Benchmark '#1 Dates],Comp3[[#This Row],[Comparable '#3 Dates]]),COUNTIF(Benchmark2[Benchmark '#2 Dates],Comp3[[#This Row],[Comparable '#3 Dates]]))=2,"Pass","Fail")</f>
        <v>Pass</v>
      </c>
      <c r="I181" s="1">
        <f>IFERROR(Comp3[[#This Row],[Comparable '#3 Return]]-INDEX(Benchmark1[Benchmark '#1 Return],MATCH(Comp3[[#This Row],[Comparable '#3 Dates]],Benchmark1[Benchmark '#1 Dates],0)),"-")</f>
        <v>-1.0871222895026966E-2</v>
      </c>
      <c r="L181" s="72">
        <f>Comp3[[#This Row],[Comparable '#3 Price]]/$B$2*100</f>
        <v>113.07908881494753</v>
      </c>
    </row>
    <row r="182" spans="1:12">
      <c r="A182" s="96">
        <v>43549</v>
      </c>
      <c r="B182" s="101">
        <v>131.80000000000001</v>
      </c>
      <c r="C182" s="1">
        <f t="shared" si="4"/>
        <v>-5.598864591673856E-3</v>
      </c>
      <c r="D182" s="1">
        <f>IFERROR(Comp3[[#This Row],[Comparable '#3 Return]]+1,"-")</f>
        <v>0.9944011354083262</v>
      </c>
      <c r="E182" s="6">
        <f>B182-MAX($B$2:B182)</f>
        <v>-18.409999999999997</v>
      </c>
      <c r="F182" s="80">
        <f t="shared" si="5"/>
        <v>91</v>
      </c>
      <c r="G182" s="6">
        <f>IFERROR(Comp3[[#This Row],[Comparable '#3 Drawdown]]/MAX($B$2:B182),"-")</f>
        <v>-0.12256174688769053</v>
      </c>
      <c r="H182" s="1" t="str">
        <f>IF(SUM(COUNTIF(Benchmark1[Benchmark '#1 Dates],Comp3[[#This Row],[Comparable '#3 Dates]]),COUNTIF(Benchmark2[Benchmark '#2 Dates],Comp3[[#This Row],[Comparable '#3 Dates]]))=2,"Pass","Fail")</f>
        <v>Pass</v>
      </c>
      <c r="I182" s="1">
        <f>IFERROR(Comp3[[#This Row],[Comparable '#3 Return]]-INDEX(Benchmark1[Benchmark '#1 Return],MATCH(Comp3[[#This Row],[Comparable '#3 Dates]],Benchmark1[Benchmark '#1 Dates],0)),"-")</f>
        <v>-4.7591535779297322E-3</v>
      </c>
      <c r="L182" s="72">
        <f>Comp3[[#This Row],[Comparable '#3 Price]]/$B$2*100</f>
        <v>112.44774336660697</v>
      </c>
    </row>
    <row r="183" spans="1:12">
      <c r="A183" s="96">
        <v>43550</v>
      </c>
      <c r="B183" s="101">
        <v>132.69</v>
      </c>
      <c r="C183" s="1">
        <f t="shared" si="4"/>
        <v>6.7299584799382197E-3</v>
      </c>
      <c r="D183" s="1">
        <f>IFERROR(Comp3[[#This Row],[Comparable '#3 Return]]+1,"-")</f>
        <v>1.0067299584799383</v>
      </c>
      <c r="E183" s="6">
        <f>B183-MAX($B$2:B183)</f>
        <v>-17.52000000000001</v>
      </c>
      <c r="F183" s="80">
        <f t="shared" si="5"/>
        <v>92</v>
      </c>
      <c r="G183" s="6">
        <f>IFERROR(Comp3[[#This Row],[Comparable '#3 Drawdown]]/MAX($B$2:B183),"-")</f>
        <v>-0.11663670860794893</v>
      </c>
      <c r="H183" s="1" t="str">
        <f>IF(SUM(COUNTIF(Benchmark1[Benchmark '#1 Dates],Comp3[[#This Row],[Comparable '#3 Dates]]),COUNTIF(Benchmark2[Benchmark '#2 Dates],Comp3[[#This Row],[Comparable '#3 Dates]]))=2,"Pass","Fail")</f>
        <v>Pass</v>
      </c>
      <c r="I183" s="1">
        <f>IFERROR(Comp3[[#This Row],[Comparable '#3 Return]]-INDEX(Benchmark1[Benchmark '#1 Return],MATCH(Comp3[[#This Row],[Comparable '#3 Dates]],Benchmark1[Benchmark '#1 Dates],0)),"-")</f>
        <v>-4.2580858948246692E-4</v>
      </c>
      <c r="L183" s="72">
        <f>Comp3[[#This Row],[Comparable '#3 Price]]/$B$2*100</f>
        <v>113.20706424366523</v>
      </c>
    </row>
    <row r="184" spans="1:12">
      <c r="A184" s="96">
        <v>43551</v>
      </c>
      <c r="B184" s="101">
        <v>129.82</v>
      </c>
      <c r="C184" s="1">
        <f t="shared" si="4"/>
        <v>-2.186670494302256E-2</v>
      </c>
      <c r="D184" s="1">
        <f>IFERROR(Comp3[[#This Row],[Comparable '#3 Return]]+1,"-")</f>
        <v>0.97813329505697744</v>
      </c>
      <c r="E184" s="6">
        <f>B184-MAX($B$2:B184)</f>
        <v>-20.390000000000015</v>
      </c>
      <c r="F184" s="80">
        <f t="shared" si="5"/>
        <v>93</v>
      </c>
      <c r="G184" s="6">
        <f>IFERROR(Comp3[[#This Row],[Comparable '#3 Drawdown]]/MAX($B$2:B184),"-")</f>
        <v>-0.13574329272352051</v>
      </c>
      <c r="H184" s="1" t="str">
        <f>IF(SUM(COUNTIF(Benchmark1[Benchmark '#1 Dates],Comp3[[#This Row],[Comparable '#3 Dates]]),COUNTIF(Benchmark2[Benchmark '#2 Dates],Comp3[[#This Row],[Comparable '#3 Dates]]))=2,"Pass","Fail")</f>
        <v>Pass</v>
      </c>
      <c r="I184" s="1">
        <f>IFERROR(Comp3[[#This Row],[Comparable '#3 Return]]-INDEX(Benchmark1[Benchmark '#1 Return],MATCH(Comp3[[#This Row],[Comparable '#3 Dates]],Benchmark1[Benchmark '#1 Dates],0)),"-")</f>
        <v>-1.7213381485133121E-2</v>
      </c>
      <c r="L184" s="72">
        <f>Comp3[[#This Row],[Comparable '#3 Price]]/$B$2*100</f>
        <v>110.75846770753348</v>
      </c>
    </row>
    <row r="185" spans="1:12">
      <c r="A185" s="96">
        <v>43552</v>
      </c>
      <c r="B185" s="101">
        <v>133.83000000000001</v>
      </c>
      <c r="C185" s="1">
        <f t="shared" si="4"/>
        <v>3.0421462202960697E-2</v>
      </c>
      <c r="D185" s="1">
        <f>IFERROR(Comp3[[#This Row],[Comparable '#3 Return]]+1,"-")</f>
        <v>1.0304214622029606</v>
      </c>
      <c r="E185" s="6">
        <f>B185-MAX($B$2:B185)</f>
        <v>-16.379999999999995</v>
      </c>
      <c r="F185" s="80">
        <f t="shared" si="5"/>
        <v>94</v>
      </c>
      <c r="G185" s="6">
        <f>IFERROR(Comp3[[#This Row],[Comparable '#3 Drawdown]]/MAX($B$2:B185),"-")</f>
        <v>-0.10904733373277407</v>
      </c>
      <c r="H185" s="1" t="str">
        <f>IF(SUM(COUNTIF(Benchmark1[Benchmark '#1 Dates],Comp3[[#This Row],[Comparable '#3 Dates]]),COUNTIF(Benchmark2[Benchmark '#2 Dates],Comp3[[#This Row],[Comparable '#3 Dates]]))=2,"Pass","Fail")</f>
        <v>Pass</v>
      </c>
      <c r="I185" s="1">
        <f>IFERROR(Comp3[[#This Row],[Comparable '#3 Return]]-INDEX(Benchmark1[Benchmark '#1 Return],MATCH(Comp3[[#This Row],[Comparable '#3 Dates]],Benchmark1[Benchmark '#1 Dates],0)),"-")</f>
        <v>2.6840430915297399E-2</v>
      </c>
      <c r="L185" s="72">
        <f>Comp3[[#This Row],[Comparable '#3 Price]]/$B$2*100</f>
        <v>114.17967750191964</v>
      </c>
    </row>
    <row r="186" spans="1:12">
      <c r="A186" s="96">
        <v>43553</v>
      </c>
      <c r="B186" s="101">
        <v>131.31</v>
      </c>
      <c r="C186" s="1">
        <f t="shared" si="4"/>
        <v>-1.9009397937369499E-2</v>
      </c>
      <c r="D186" s="1">
        <f>IFERROR(Comp3[[#This Row],[Comparable '#3 Return]]+1,"-")</f>
        <v>0.98099060206263045</v>
      </c>
      <c r="E186" s="6">
        <f>B186-MAX($B$2:B186)</f>
        <v>-18.900000000000006</v>
      </c>
      <c r="F186" s="80">
        <f t="shared" si="5"/>
        <v>95</v>
      </c>
      <c r="G186" s="6">
        <f>IFERROR(Comp3[[#This Row],[Comparable '#3 Drawdown]]/MAX($B$2:B186),"-")</f>
        <v>-0.12582384661473939</v>
      </c>
      <c r="H186" s="1" t="str">
        <f>IF(SUM(COUNTIF(Benchmark1[Benchmark '#1 Dates],Comp3[[#This Row],[Comparable '#3 Dates]]),COUNTIF(Benchmark2[Benchmark '#2 Dates],Comp3[[#This Row],[Comparable '#3 Dates]]))=2,"Pass","Fail")</f>
        <v>Pass</v>
      </c>
      <c r="I186" s="1">
        <f>IFERROR(Comp3[[#This Row],[Comparable '#3 Return]]-INDEX(Benchmark1[Benchmark '#1 Return],MATCH(Comp3[[#This Row],[Comparable '#3 Dates]],Benchmark1[Benchmark '#1 Dates],0)),"-")</f>
        <v>-2.5722014772061513E-2</v>
      </c>
      <c r="L186" s="72">
        <f>Comp3[[#This Row],[Comparable '#3 Price]]/$B$2*100</f>
        <v>112.0296902994625</v>
      </c>
    </row>
    <row r="187" spans="1:12">
      <c r="A187" s="96">
        <v>43556</v>
      </c>
      <c r="B187" s="101">
        <v>132.08000000000001</v>
      </c>
      <c r="C187" s="1">
        <f t="shared" si="4"/>
        <v>5.8468597409589039E-3</v>
      </c>
      <c r="D187" s="1">
        <f>IFERROR(Comp3[[#This Row],[Comparable '#3 Return]]+1,"-")</f>
        <v>1.0058468597409589</v>
      </c>
      <c r="E187" s="6">
        <f>B187-MAX($B$2:B187)</f>
        <v>-18.129999999999995</v>
      </c>
      <c r="F187" s="80">
        <f t="shared" si="5"/>
        <v>96</v>
      </c>
      <c r="G187" s="6">
        <f>IFERROR(Comp3[[#This Row],[Comparable '#3 Drawdown]]/MAX($B$2:B187),"-")</f>
        <v>-0.1206976899008055</v>
      </c>
      <c r="H187" s="1" t="str">
        <f>IF(SUM(COUNTIF(Benchmark1[Benchmark '#1 Dates],Comp3[[#This Row],[Comparable '#3 Dates]]),COUNTIF(Benchmark2[Benchmark '#2 Dates],Comp3[[#This Row],[Comparable '#3 Dates]]))=2,"Pass","Fail")</f>
        <v>Pass</v>
      </c>
      <c r="I187" s="1">
        <f>IFERROR(Comp3[[#This Row],[Comparable '#3 Return]]-INDEX(Benchmark1[Benchmark '#1 Return],MATCH(Comp3[[#This Row],[Comparable '#3 Dates]],Benchmark1[Benchmark '#1 Dates],0)),"-")</f>
        <v>-5.6567419033038734E-3</v>
      </c>
      <c r="L187" s="72">
        <f>Comp3[[#This Row],[Comparable '#3 Price]]/$B$2*100</f>
        <v>112.68663083354664</v>
      </c>
    </row>
    <row r="188" spans="1:12">
      <c r="A188" s="96">
        <v>43557</v>
      </c>
      <c r="B188" s="101">
        <v>133.4</v>
      </c>
      <c r="C188" s="1">
        <f t="shared" si="4"/>
        <v>9.944333869650622E-3</v>
      </c>
      <c r="D188" s="1">
        <f>IFERROR(Comp3[[#This Row],[Comparable '#3 Return]]+1,"-")</f>
        <v>1.0099443338696505</v>
      </c>
      <c r="E188" s="6">
        <f>B188-MAX($B$2:B188)</f>
        <v>-16.810000000000002</v>
      </c>
      <c r="F188" s="80">
        <f t="shared" si="5"/>
        <v>97</v>
      </c>
      <c r="G188" s="6">
        <f>IFERROR(Comp3[[#This Row],[Comparable '#3 Drawdown]]/MAX($B$2:B188),"-")</f>
        <v>-0.11190999267691899</v>
      </c>
      <c r="H188" s="1" t="str">
        <f>IF(SUM(COUNTIF(Benchmark1[Benchmark '#1 Dates],Comp3[[#This Row],[Comparable '#3 Dates]]),COUNTIF(Benchmark2[Benchmark '#2 Dates],Comp3[[#This Row],[Comparable '#3 Dates]]))=2,"Pass","Fail")</f>
        <v>Pass</v>
      </c>
      <c r="I188" s="1">
        <f>IFERROR(Comp3[[#This Row],[Comparable '#3 Return]]-INDEX(Benchmark1[Benchmark '#1 Return],MATCH(Comp3[[#This Row],[Comparable '#3 Dates]],Benchmark1[Benchmark '#1 Dates],0)),"-")</f>
        <v>9.9294921805374373E-3</v>
      </c>
      <c r="L188" s="72">
        <f>Comp3[[#This Row],[Comparable '#3 Price]]/$B$2*100</f>
        <v>113.81281460626226</v>
      </c>
    </row>
    <row r="189" spans="1:12">
      <c r="A189" s="96">
        <v>43558</v>
      </c>
      <c r="B189" s="101">
        <v>135.19999999999999</v>
      </c>
      <c r="C189" s="1">
        <f t="shared" si="4"/>
        <v>1.3403030127340228E-2</v>
      </c>
      <c r="D189" s="1">
        <f>IFERROR(Comp3[[#This Row],[Comparable '#3 Return]]+1,"-")</f>
        <v>1.0134030301273402</v>
      </c>
      <c r="E189" s="6">
        <f>B189-MAX($B$2:B189)</f>
        <v>-15.010000000000019</v>
      </c>
      <c r="F189" s="80">
        <f t="shared" si="5"/>
        <v>98</v>
      </c>
      <c r="G189" s="6">
        <f>IFERROR(Comp3[[#This Row],[Comparable '#3 Drawdown]]/MAX($B$2:B189),"-")</f>
        <v>-9.9926769189801062E-2</v>
      </c>
      <c r="H189" s="1" t="str">
        <f>IF(SUM(COUNTIF(Benchmark1[Benchmark '#1 Dates],Comp3[[#This Row],[Comparable '#3 Dates]]),COUNTIF(Benchmark2[Benchmark '#2 Dates],Comp3[[#This Row],[Comparable '#3 Dates]]))=2,"Pass","Fail")</f>
        <v>Pass</v>
      </c>
      <c r="I189" s="1">
        <f>IFERROR(Comp3[[#This Row],[Comparable '#3 Return]]-INDEX(Benchmark1[Benchmark '#1 Return],MATCH(Comp3[[#This Row],[Comparable '#3 Dates]],Benchmark1[Benchmark '#1 Dates],0)),"-")</f>
        <v>1.1255983218216409E-2</v>
      </c>
      <c r="L189" s="72">
        <f>Comp3[[#This Row],[Comparable '#3 Price]]/$B$2*100</f>
        <v>115.3485197508745</v>
      </c>
    </row>
    <row r="190" spans="1:12">
      <c r="A190" s="96">
        <v>43559</v>
      </c>
      <c r="B190" s="101">
        <v>138.02000000000001</v>
      </c>
      <c r="C190" s="1">
        <f t="shared" si="4"/>
        <v>2.0643438583592317E-2</v>
      </c>
      <c r="D190" s="1">
        <f>IFERROR(Comp3[[#This Row],[Comparable '#3 Return]]+1,"-")</f>
        <v>1.0206434385835923</v>
      </c>
      <c r="E190" s="6">
        <f>B190-MAX($B$2:B190)</f>
        <v>-12.189999999999998</v>
      </c>
      <c r="F190" s="80">
        <f t="shared" si="5"/>
        <v>99</v>
      </c>
      <c r="G190" s="6">
        <f>IFERROR(Comp3[[#This Row],[Comparable '#3 Drawdown]]/MAX($B$2:B190),"-")</f>
        <v>-8.1153052393316008E-2</v>
      </c>
      <c r="H190" s="1" t="str">
        <f>IF(SUM(COUNTIF(Benchmark1[Benchmark '#1 Dates],Comp3[[#This Row],[Comparable '#3 Dates]]),COUNTIF(Benchmark2[Benchmark '#2 Dates],Comp3[[#This Row],[Comparable '#3 Dates]]))=2,"Pass","Fail")</f>
        <v>Pass</v>
      </c>
      <c r="I190" s="1">
        <f>IFERROR(Comp3[[#This Row],[Comparable '#3 Return]]-INDEX(Benchmark1[Benchmark '#1 Return],MATCH(Comp3[[#This Row],[Comparable '#3 Dates]],Benchmark1[Benchmark '#1 Dates],0)),"-")</f>
        <v>1.8560402511161995E-2</v>
      </c>
      <c r="L190" s="72">
        <f>Comp3[[#This Row],[Comparable '#3 Price]]/$B$2*100</f>
        <v>117.75445781076701</v>
      </c>
    </row>
    <row r="191" spans="1:12">
      <c r="A191" s="96">
        <v>43560</v>
      </c>
      <c r="B191" s="101">
        <v>139.33000000000001</v>
      </c>
      <c r="C191" s="1">
        <f t="shared" si="4"/>
        <v>9.4466179330445661E-3</v>
      </c>
      <c r="D191" s="1">
        <f>IFERROR(Comp3[[#This Row],[Comparable '#3 Return]]+1,"-")</f>
        <v>1.0094466179330446</v>
      </c>
      <c r="E191" s="6">
        <f>B191-MAX($B$2:B191)</f>
        <v>-10.879999999999995</v>
      </c>
      <c r="F191" s="80">
        <f t="shared" si="5"/>
        <v>100</v>
      </c>
      <c r="G191" s="6">
        <f>IFERROR(Comp3[[#This Row],[Comparable '#3 Drawdown]]/MAX($B$2:B191),"-")</f>
        <v>-7.2431928633246753E-2</v>
      </c>
      <c r="H191" s="1" t="str">
        <f>IF(SUM(COUNTIF(Benchmark1[Benchmark '#1 Dates],Comp3[[#This Row],[Comparable '#3 Dates]]),COUNTIF(Benchmark2[Benchmark '#2 Dates],Comp3[[#This Row],[Comparable '#3 Dates]]))=2,"Pass","Fail")</f>
        <v>Pass</v>
      </c>
      <c r="I191" s="1">
        <f>IFERROR(Comp3[[#This Row],[Comparable '#3 Return]]-INDEX(Benchmark1[Benchmark '#1 Return],MATCH(Comp3[[#This Row],[Comparable '#3 Dates]],Benchmark1[Benchmark '#1 Dates],0)),"-")</f>
        <v>4.8196852462267471E-3</v>
      </c>
      <c r="L191" s="72">
        <f>Comp3[[#This Row],[Comparable '#3 Price]]/$B$2*100</f>
        <v>118.8721098882348</v>
      </c>
    </row>
    <row r="192" spans="1:12">
      <c r="A192" s="96">
        <v>43563</v>
      </c>
      <c r="B192" s="101">
        <v>139.62</v>
      </c>
      <c r="C192" s="1">
        <f t="shared" si="4"/>
        <v>2.0792264167550359E-3</v>
      </c>
      <c r="D192" s="1">
        <f>IFERROR(Comp3[[#This Row],[Comparable '#3 Return]]+1,"-")</f>
        <v>1.0020792264167551</v>
      </c>
      <c r="E192" s="6">
        <f>B192-MAX($B$2:B192)</f>
        <v>-10.590000000000003</v>
      </c>
      <c r="F192" s="80">
        <f t="shared" si="5"/>
        <v>101</v>
      </c>
      <c r="G192" s="6">
        <f>IFERROR(Comp3[[#This Row],[Comparable '#3 Drawdown]]/MAX($B$2:B192),"-")</f>
        <v>-7.0501298182544456E-2</v>
      </c>
      <c r="H192" s="1" t="str">
        <f>IF(SUM(COUNTIF(Benchmark1[Benchmark '#1 Dates],Comp3[[#This Row],[Comparable '#3 Dates]]),COUNTIF(Benchmark2[Benchmark '#2 Dates],Comp3[[#This Row],[Comparable '#3 Dates]]))=2,"Pass","Fail")</f>
        <v>Pass</v>
      </c>
      <c r="I192" s="1">
        <f>IFERROR(Comp3[[#This Row],[Comparable '#3 Return]]-INDEX(Benchmark1[Benchmark '#1 Return],MATCH(Comp3[[#This Row],[Comparable '#3 Dates]],Benchmark1[Benchmark '#1 Dates],0)),"-")</f>
        <v>1.0336399823948617E-3</v>
      </c>
      <c r="L192" s="72">
        <f>Comp3[[#This Row],[Comparable '#3 Price]]/$B$2*100</f>
        <v>119.11952905042233</v>
      </c>
    </row>
    <row r="193" spans="1:12">
      <c r="A193" s="96">
        <v>43564</v>
      </c>
      <c r="B193" s="101">
        <v>139.08000000000001</v>
      </c>
      <c r="C193" s="1">
        <f t="shared" si="4"/>
        <v>-3.8751394025946201E-3</v>
      </c>
      <c r="D193" s="1">
        <f>IFERROR(Comp3[[#This Row],[Comparable '#3 Return]]+1,"-")</f>
        <v>0.99612486059740535</v>
      </c>
      <c r="E193" s="6">
        <f>B193-MAX($B$2:B193)</f>
        <v>-11.129999999999995</v>
      </c>
      <c r="F193" s="80">
        <f t="shared" si="5"/>
        <v>102</v>
      </c>
      <c r="G193" s="6">
        <f>IFERROR(Comp3[[#This Row],[Comparable '#3 Drawdown]]/MAX($B$2:B193),"-")</f>
        <v>-7.409626522867982E-2</v>
      </c>
      <c r="H193" s="1" t="str">
        <f>IF(SUM(COUNTIF(Benchmark1[Benchmark '#1 Dates],Comp3[[#This Row],[Comparable '#3 Dates]]),COUNTIF(Benchmark2[Benchmark '#2 Dates],Comp3[[#This Row],[Comparable '#3 Dates]]))=2,"Pass","Fail")</f>
        <v>Pass</v>
      </c>
      <c r="I193" s="1">
        <f>IFERROR(Comp3[[#This Row],[Comparable '#3 Return]]-INDEX(Benchmark1[Benchmark '#1 Return],MATCH(Comp3[[#This Row],[Comparable '#3 Dates]],Benchmark1[Benchmark '#1 Dates],0)),"-")</f>
        <v>2.2107988958249684E-3</v>
      </c>
      <c r="L193" s="72">
        <f>Comp3[[#This Row],[Comparable '#3 Price]]/$B$2*100</f>
        <v>118.65881750703866</v>
      </c>
    </row>
    <row r="194" spans="1:12">
      <c r="A194" s="96">
        <v>43565</v>
      </c>
      <c r="B194" s="101">
        <v>141.37</v>
      </c>
      <c r="C194" s="1">
        <f t="shared" ref="C194:C257" si="6">IFERROR(IF(B194="","-",LN(B194/B193)),"-")</f>
        <v>1.6331259739280488E-2</v>
      </c>
      <c r="D194" s="1">
        <f>IFERROR(Comp3[[#This Row],[Comparable '#3 Return]]+1,"-")</f>
        <v>1.0163312597392804</v>
      </c>
      <c r="E194" s="6">
        <f>B194-MAX($B$2:B194)</f>
        <v>-8.8400000000000034</v>
      </c>
      <c r="F194" s="80">
        <f t="shared" ref="F194:F257" si="7">IF(E194=0,0,F193+1)</f>
        <v>103</v>
      </c>
      <c r="G194" s="6">
        <f>IFERROR(Comp3[[#This Row],[Comparable '#3 Drawdown]]/MAX($B$2:B194),"-")</f>
        <v>-5.8850942014513033E-2</v>
      </c>
      <c r="H194" s="1" t="str">
        <f>IF(SUM(COUNTIF(Benchmark1[Benchmark '#1 Dates],Comp3[[#This Row],[Comparable '#3 Dates]]),COUNTIF(Benchmark2[Benchmark '#2 Dates],Comp3[[#This Row],[Comparable '#3 Dates]]))=2,"Pass","Fail")</f>
        <v>Pass</v>
      </c>
      <c r="I194" s="1">
        <f>IFERROR(Comp3[[#This Row],[Comparable '#3 Return]]-INDEX(Benchmark1[Benchmark '#1 Return],MATCH(Comp3[[#This Row],[Comparable '#3 Dates]],Benchmark1[Benchmark '#1 Dates],0)),"-")</f>
        <v>1.2859500355760899E-2</v>
      </c>
      <c r="L194" s="72">
        <f>Comp3[[#This Row],[Comparable '#3 Price]]/$B$2*100</f>
        <v>120.61257571879534</v>
      </c>
    </row>
    <row r="195" spans="1:12">
      <c r="A195" s="96">
        <v>43566</v>
      </c>
      <c r="B195" s="101">
        <v>139.30000000000001</v>
      </c>
      <c r="C195" s="1">
        <f t="shared" si="6"/>
        <v>-1.4750686093181099E-2</v>
      </c>
      <c r="D195" s="1">
        <f>IFERROR(Comp3[[#This Row],[Comparable '#3 Return]]+1,"-")</f>
        <v>0.98524931390681891</v>
      </c>
      <c r="E195" s="6">
        <f>B195-MAX($B$2:B195)</f>
        <v>-10.909999999999997</v>
      </c>
      <c r="F195" s="80">
        <f t="shared" si="7"/>
        <v>104</v>
      </c>
      <c r="G195" s="6">
        <f>IFERROR(Comp3[[#This Row],[Comparable '#3 Drawdown]]/MAX($B$2:B195),"-")</f>
        <v>-7.2631649024698722E-2</v>
      </c>
      <c r="H195" s="1" t="str">
        <f>IF(SUM(COUNTIF(Benchmark1[Benchmark '#1 Dates],Comp3[[#This Row],[Comparable '#3 Dates]]),COUNTIF(Benchmark2[Benchmark '#2 Dates],Comp3[[#This Row],[Comparable '#3 Dates]]))=2,"Pass","Fail")</f>
        <v>Pass</v>
      </c>
      <c r="I195" s="1">
        <f>IFERROR(Comp3[[#This Row],[Comparable '#3 Return]]-INDEX(Benchmark1[Benchmark '#1 Return],MATCH(Comp3[[#This Row],[Comparable '#3 Dates]],Benchmark1[Benchmark '#1 Dates],0)),"-")</f>
        <v>-1.4788437687210651E-2</v>
      </c>
      <c r="L195" s="72">
        <f>Comp3[[#This Row],[Comparable '#3 Price]]/$B$2*100</f>
        <v>118.84651480249127</v>
      </c>
    </row>
    <row r="196" spans="1:12">
      <c r="A196" s="96">
        <v>43567</v>
      </c>
      <c r="B196" s="101">
        <v>139.96</v>
      </c>
      <c r="C196" s="1">
        <f t="shared" si="6"/>
        <v>4.726786713727291E-3</v>
      </c>
      <c r="D196" s="1">
        <f>IFERROR(Comp3[[#This Row],[Comparable '#3 Return]]+1,"-")</f>
        <v>1.0047267867137273</v>
      </c>
      <c r="E196" s="6">
        <f>B196-MAX($B$2:B196)</f>
        <v>-10.25</v>
      </c>
      <c r="F196" s="80">
        <f t="shared" si="7"/>
        <v>105</v>
      </c>
      <c r="G196" s="6">
        <f>IFERROR(Comp3[[#This Row],[Comparable '#3 Drawdown]]/MAX($B$2:B196),"-")</f>
        <v>-6.823780041275547E-2</v>
      </c>
      <c r="H196" s="1" t="str">
        <f>IF(SUM(COUNTIF(Benchmark1[Benchmark '#1 Dates],Comp3[[#This Row],[Comparable '#3 Dates]]),COUNTIF(Benchmark2[Benchmark '#2 Dates],Comp3[[#This Row],[Comparable '#3 Dates]]))=2,"Pass","Fail")</f>
        <v>Pass</v>
      </c>
      <c r="I196" s="1">
        <f>IFERROR(Comp3[[#This Row],[Comparable '#3 Return]]-INDEX(Benchmark1[Benchmark '#1 Return],MATCH(Comp3[[#This Row],[Comparable '#3 Dates]],Benchmark1[Benchmark '#1 Dates],0)),"-")</f>
        <v>-1.8625423132858608E-3</v>
      </c>
      <c r="L196" s="72">
        <f>Comp3[[#This Row],[Comparable '#3 Price]]/$B$2*100</f>
        <v>119.40960668884908</v>
      </c>
    </row>
    <row r="197" spans="1:12">
      <c r="A197" s="96">
        <v>43570</v>
      </c>
      <c r="B197" s="101">
        <v>140.66</v>
      </c>
      <c r="C197" s="1">
        <f t="shared" si="6"/>
        <v>4.9889633803848893E-3</v>
      </c>
      <c r="D197" s="1">
        <f>IFERROR(Comp3[[#This Row],[Comparable '#3 Return]]+1,"-")</f>
        <v>1.0049889633803848</v>
      </c>
      <c r="E197" s="6">
        <f>B197-MAX($B$2:B197)</f>
        <v>-9.5500000000000114</v>
      </c>
      <c r="F197" s="80">
        <f t="shared" si="7"/>
        <v>106</v>
      </c>
      <c r="G197" s="6">
        <f>IFERROR(Comp3[[#This Row],[Comparable '#3 Drawdown]]/MAX($B$2:B197),"-")</f>
        <v>-6.3577657945542973E-2</v>
      </c>
      <c r="H197" s="1" t="str">
        <f>IF(SUM(COUNTIF(Benchmark1[Benchmark '#1 Dates],Comp3[[#This Row],[Comparable '#3 Dates]]),COUNTIF(Benchmark2[Benchmark '#2 Dates],Comp3[[#This Row],[Comparable '#3 Dates]]))=2,"Pass","Fail")</f>
        <v>Pass</v>
      </c>
      <c r="I197" s="1">
        <f>IFERROR(Comp3[[#This Row],[Comparable '#3 Return]]-INDEX(Benchmark1[Benchmark '#1 Return],MATCH(Comp3[[#This Row],[Comparable '#3 Dates]],Benchmark1[Benchmark '#1 Dates],0)),"-")</f>
        <v>5.6189685468385963E-3</v>
      </c>
      <c r="L197" s="72">
        <f>Comp3[[#This Row],[Comparable '#3 Price]]/$B$2*100</f>
        <v>120.00682535619829</v>
      </c>
    </row>
    <row r="198" spans="1:12">
      <c r="A198" s="96">
        <v>43571</v>
      </c>
      <c r="B198" s="101">
        <v>140.72</v>
      </c>
      <c r="C198" s="1">
        <f t="shared" si="6"/>
        <v>4.2646954943048501E-4</v>
      </c>
      <c r="D198" s="1">
        <f>IFERROR(Comp3[[#This Row],[Comparable '#3 Return]]+1,"-")</f>
        <v>1.0004264695494305</v>
      </c>
      <c r="E198" s="6">
        <f>B198-MAX($B$2:B198)</f>
        <v>-9.4900000000000091</v>
      </c>
      <c r="F198" s="80">
        <f t="shared" si="7"/>
        <v>107</v>
      </c>
      <c r="G198" s="6">
        <f>IFERROR(Comp3[[#This Row],[Comparable '#3 Drawdown]]/MAX($B$2:B198),"-")</f>
        <v>-6.3178217162639036E-2</v>
      </c>
      <c r="H198" s="1" t="str">
        <f>IF(SUM(COUNTIF(Benchmark1[Benchmark '#1 Dates],Comp3[[#This Row],[Comparable '#3 Dates]]),COUNTIF(Benchmark2[Benchmark '#2 Dates],Comp3[[#This Row],[Comparable '#3 Dates]]))=2,"Pass","Fail")</f>
        <v>Pass</v>
      </c>
      <c r="I198" s="1">
        <f>IFERROR(Comp3[[#This Row],[Comparable '#3 Return]]-INDEX(Benchmark1[Benchmark '#1 Return],MATCH(Comp3[[#This Row],[Comparable '#3 Dates]],Benchmark1[Benchmark '#1 Dates],0)),"-")</f>
        <v>-8.0795381491488181E-5</v>
      </c>
      <c r="L198" s="72">
        <f>Comp3[[#This Row],[Comparable '#3 Price]]/$B$2*100</f>
        <v>120.05801552768536</v>
      </c>
    </row>
    <row r="199" spans="1:12">
      <c r="A199" s="96">
        <v>43572</v>
      </c>
      <c r="B199" s="101">
        <v>142.16999999999999</v>
      </c>
      <c r="C199" s="1">
        <f t="shared" si="6"/>
        <v>1.0251424218303799E-2</v>
      </c>
      <c r="D199" s="1">
        <f>IFERROR(Comp3[[#This Row],[Comparable '#3 Return]]+1,"-")</f>
        <v>1.0102514242183038</v>
      </c>
      <c r="E199" s="6">
        <f>B199-MAX($B$2:B199)</f>
        <v>-8.0400000000000205</v>
      </c>
      <c r="F199" s="80">
        <f t="shared" si="7"/>
        <v>108</v>
      </c>
      <c r="G199" s="6">
        <f>IFERROR(Comp3[[#This Row],[Comparable '#3 Drawdown]]/MAX($B$2:B199),"-")</f>
        <v>-5.3525064909127354E-2</v>
      </c>
      <c r="H199" s="1" t="str">
        <f>IF(SUM(COUNTIF(Benchmark1[Benchmark '#1 Dates],Comp3[[#This Row],[Comparable '#3 Dates]]),COUNTIF(Benchmark2[Benchmark '#2 Dates],Comp3[[#This Row],[Comparable '#3 Dates]]))=2,"Pass","Fail")</f>
        <v>Pass</v>
      </c>
      <c r="I199" s="1">
        <f>IFERROR(Comp3[[#This Row],[Comparable '#3 Return]]-INDEX(Benchmark1[Benchmark '#1 Return],MATCH(Comp3[[#This Row],[Comparable '#3 Dates]],Benchmark1[Benchmark '#1 Dates],0)),"-")</f>
        <v>1.2525863464764267E-2</v>
      </c>
      <c r="L199" s="72">
        <f>Comp3[[#This Row],[Comparable '#3 Price]]/$B$2*100</f>
        <v>121.29511133862299</v>
      </c>
    </row>
    <row r="200" spans="1:12">
      <c r="A200" s="96">
        <v>43573</v>
      </c>
      <c r="B200" s="101">
        <v>139.33000000000001</v>
      </c>
      <c r="C200" s="1">
        <f t="shared" si="6"/>
        <v>-2.0178304522106096E-2</v>
      </c>
      <c r="D200" s="1">
        <f>IFERROR(Comp3[[#This Row],[Comparable '#3 Return]]+1,"-")</f>
        <v>0.97982169547789388</v>
      </c>
      <c r="E200" s="6">
        <f>B200-MAX($B$2:B200)</f>
        <v>-10.879999999999995</v>
      </c>
      <c r="F200" s="80">
        <f t="shared" si="7"/>
        <v>109</v>
      </c>
      <c r="G200" s="6">
        <f>IFERROR(Comp3[[#This Row],[Comparable '#3 Drawdown]]/MAX($B$2:B200),"-")</f>
        <v>-7.2431928633246753E-2</v>
      </c>
      <c r="H200" s="1" t="str">
        <f>IF(SUM(COUNTIF(Benchmark1[Benchmark '#1 Dates],Comp3[[#This Row],[Comparable '#3 Dates]]),COUNTIF(Benchmark2[Benchmark '#2 Dates],Comp3[[#This Row],[Comparable '#3 Dates]]))=2,"Pass","Fail")</f>
        <v>Pass</v>
      </c>
      <c r="I200" s="1">
        <f>IFERROR(Comp3[[#This Row],[Comparable '#3 Return]]-INDEX(Benchmark1[Benchmark '#1 Return],MATCH(Comp3[[#This Row],[Comparable '#3 Dates]],Benchmark1[Benchmark '#1 Dates],0)),"-")</f>
        <v>-2.1755910750683824E-2</v>
      </c>
      <c r="L200" s="72">
        <f>Comp3[[#This Row],[Comparable '#3 Price]]/$B$2*100</f>
        <v>118.8721098882348</v>
      </c>
    </row>
    <row r="201" spans="1:12">
      <c r="A201" s="96">
        <v>43577</v>
      </c>
      <c r="B201" s="101">
        <v>139.52000000000001</v>
      </c>
      <c r="C201" s="1">
        <f t="shared" si="6"/>
        <v>1.3627400351690093E-3</v>
      </c>
      <c r="D201" s="1">
        <f>IFERROR(Comp3[[#This Row],[Comparable '#3 Return]]+1,"-")</f>
        <v>1.001362740035169</v>
      </c>
      <c r="E201" s="6">
        <f>B201-MAX($B$2:B201)</f>
        <v>-10.689999999999998</v>
      </c>
      <c r="F201" s="80">
        <f t="shared" si="7"/>
        <v>110</v>
      </c>
      <c r="G201" s="6">
        <f>IFERROR(Comp3[[#This Row],[Comparable '#3 Drawdown]]/MAX($B$2:B201),"-")</f>
        <v>-7.1167032820717638E-2</v>
      </c>
      <c r="H201" s="1" t="str">
        <f>IF(SUM(COUNTIF(Benchmark1[Benchmark '#1 Dates],Comp3[[#This Row],[Comparable '#3 Dates]]),COUNTIF(Benchmark2[Benchmark '#2 Dates],Comp3[[#This Row],[Comparable '#3 Dates]]))=2,"Pass","Fail")</f>
        <v>Pass</v>
      </c>
      <c r="I201" s="1">
        <f>IFERROR(Comp3[[#This Row],[Comparable '#3 Return]]-INDEX(Benchmark1[Benchmark '#1 Return],MATCH(Comp3[[#This Row],[Comparable '#3 Dates]],Benchmark1[Benchmark '#1 Dates],0)),"-")</f>
        <v>3.5116086780082197E-4</v>
      </c>
      <c r="L201" s="72">
        <f>Comp3[[#This Row],[Comparable '#3 Price]]/$B$2*100</f>
        <v>119.03421209794386</v>
      </c>
    </row>
    <row r="202" spans="1:12">
      <c r="A202" s="96">
        <v>43578</v>
      </c>
      <c r="B202" s="101">
        <v>143.94</v>
      </c>
      <c r="C202" s="1">
        <f t="shared" si="6"/>
        <v>3.1188585918988668E-2</v>
      </c>
      <c r="D202" s="1">
        <f>IFERROR(Comp3[[#This Row],[Comparable '#3 Return]]+1,"-")</f>
        <v>1.0311885859189887</v>
      </c>
      <c r="E202" s="6">
        <f>B202-MAX($B$2:B202)</f>
        <v>-6.2700000000000102</v>
      </c>
      <c r="F202" s="80">
        <f t="shared" si="7"/>
        <v>111</v>
      </c>
      <c r="G202" s="6">
        <f>IFERROR(Comp3[[#This Row],[Comparable '#3 Drawdown]]/MAX($B$2:B202),"-")</f>
        <v>-4.1741561813461218E-2</v>
      </c>
      <c r="H202" s="1" t="str">
        <f>IF(SUM(COUNTIF(Benchmark1[Benchmark '#1 Dates],Comp3[[#This Row],[Comparable '#3 Dates]]),COUNTIF(Benchmark2[Benchmark '#2 Dates],Comp3[[#This Row],[Comparable '#3 Dates]]))=2,"Pass","Fail")</f>
        <v>Pass</v>
      </c>
      <c r="I202" s="1">
        <f>IFERROR(Comp3[[#This Row],[Comparable '#3 Return]]-INDEX(Benchmark1[Benchmark '#1 Return],MATCH(Comp3[[#This Row],[Comparable '#3 Dates]],Benchmark1[Benchmark '#1 Dates],0)),"-")</f>
        <v>2.238856759305282E-2</v>
      </c>
      <c r="L202" s="72">
        <f>Comp3[[#This Row],[Comparable '#3 Price]]/$B$2*100</f>
        <v>122.80522139749168</v>
      </c>
    </row>
    <row r="203" spans="1:12">
      <c r="A203" s="96">
        <v>43579</v>
      </c>
      <c r="B203" s="101">
        <v>142.61000000000001</v>
      </c>
      <c r="C203" s="1">
        <f t="shared" si="6"/>
        <v>-9.2829143309824894E-3</v>
      </c>
      <c r="D203" s="1">
        <f>IFERROR(Comp3[[#This Row],[Comparable '#3 Return]]+1,"-")</f>
        <v>0.99071708566901751</v>
      </c>
      <c r="E203" s="6">
        <f>B203-MAX($B$2:B203)</f>
        <v>-7.5999999999999943</v>
      </c>
      <c r="F203" s="80">
        <f t="shared" si="7"/>
        <v>112</v>
      </c>
      <c r="G203" s="6">
        <f>IFERROR(Comp3[[#This Row],[Comparable '#3 Drawdown]]/MAX($B$2:B203),"-")</f>
        <v>-5.0595832501164992E-2</v>
      </c>
      <c r="H203" s="1" t="str">
        <f>IF(SUM(COUNTIF(Benchmark1[Benchmark '#1 Dates],Comp3[[#This Row],[Comparable '#3 Dates]]),COUNTIF(Benchmark2[Benchmark '#2 Dates],Comp3[[#This Row],[Comparable '#3 Dates]]))=2,"Pass","Fail")</f>
        <v>Pass</v>
      </c>
      <c r="I203" s="1">
        <f>IFERROR(Comp3[[#This Row],[Comparable '#3 Return]]-INDEX(Benchmark1[Benchmark '#1 Return],MATCH(Comp3[[#This Row],[Comparable '#3 Dates]],Benchmark1[Benchmark '#1 Dates],0)),"-")</f>
        <v>-7.0909557357462672E-3</v>
      </c>
      <c r="L203" s="72">
        <f>Comp3[[#This Row],[Comparable '#3 Price]]/$B$2*100</f>
        <v>121.67050592952822</v>
      </c>
    </row>
    <row r="204" spans="1:12">
      <c r="A204" s="96">
        <v>43580</v>
      </c>
      <c r="B204" s="101">
        <v>141.1</v>
      </c>
      <c r="C204" s="1">
        <f t="shared" si="6"/>
        <v>-1.0644772889907407E-2</v>
      </c>
      <c r="D204" s="1">
        <f>IFERROR(Comp3[[#This Row],[Comparable '#3 Return]]+1,"-")</f>
        <v>0.98935522711009261</v>
      </c>
      <c r="E204" s="6">
        <f>B204-MAX($B$2:B204)</f>
        <v>-9.1100000000000136</v>
      </c>
      <c r="F204" s="80">
        <f t="shared" si="7"/>
        <v>113</v>
      </c>
      <c r="G204" s="6">
        <f>IFERROR(Comp3[[#This Row],[Comparable '#3 Drawdown]]/MAX($B$2:B204),"-")</f>
        <v>-6.0648425537580805E-2</v>
      </c>
      <c r="H204" s="1" t="str">
        <f>IF(SUM(COUNTIF(Benchmark1[Benchmark '#1 Dates],Comp3[[#This Row],[Comparable '#3 Dates]]),COUNTIF(Benchmark2[Benchmark '#2 Dates],Comp3[[#This Row],[Comparable '#3 Dates]]))=2,"Pass","Fail")</f>
        <v>Pass</v>
      </c>
      <c r="I204" s="1">
        <f>IFERROR(Comp3[[#This Row],[Comparable '#3 Return]]-INDEX(Benchmark1[Benchmark '#1 Return],MATCH(Comp3[[#This Row],[Comparable '#3 Dates]],Benchmark1[Benchmark '#1 Dates],0)),"-")</f>
        <v>-1.0276000894544052E-2</v>
      </c>
      <c r="L204" s="72">
        <f>Comp3[[#This Row],[Comparable '#3 Price]]/$B$2*100</f>
        <v>120.38221994710349</v>
      </c>
    </row>
    <row r="205" spans="1:12">
      <c r="A205" s="96">
        <v>43581</v>
      </c>
      <c r="B205" s="101">
        <v>144.82</v>
      </c>
      <c r="C205" s="1">
        <f t="shared" si="6"/>
        <v>2.6022733101906434E-2</v>
      </c>
      <c r="D205" s="1">
        <f>IFERROR(Comp3[[#This Row],[Comparable '#3 Return]]+1,"-")</f>
        <v>1.0260227331019065</v>
      </c>
      <c r="E205" s="6">
        <f>B205-MAX($B$2:B205)</f>
        <v>-5.3900000000000148</v>
      </c>
      <c r="F205" s="80">
        <f t="shared" si="7"/>
        <v>114</v>
      </c>
      <c r="G205" s="6">
        <f>IFERROR(Comp3[[#This Row],[Comparable '#3 Drawdown]]/MAX($B$2:B205),"-")</f>
        <v>-3.5883096997536876E-2</v>
      </c>
      <c r="H205" s="1" t="str">
        <f>IF(SUM(COUNTIF(Benchmark1[Benchmark '#1 Dates],Comp3[[#This Row],[Comparable '#3 Dates]]),COUNTIF(Benchmark2[Benchmark '#2 Dates],Comp3[[#This Row],[Comparable '#3 Dates]]))=2,"Pass","Fail")</f>
        <v>Pass</v>
      </c>
      <c r="I205" s="1">
        <f>IFERROR(Comp3[[#This Row],[Comparable '#3 Return]]-INDEX(Benchmark1[Benchmark '#1 Return],MATCH(Comp3[[#This Row],[Comparable '#3 Dates]],Benchmark1[Benchmark '#1 Dates],0)),"-")</f>
        <v>2.1348852819725973E-2</v>
      </c>
      <c r="L205" s="72">
        <f>Comp3[[#This Row],[Comparable '#3 Price]]/$B$2*100</f>
        <v>123.5560105793021</v>
      </c>
    </row>
    <row r="206" spans="1:12">
      <c r="A206" s="96">
        <v>43584</v>
      </c>
      <c r="B206" s="101">
        <v>143.97</v>
      </c>
      <c r="C206" s="1">
        <f t="shared" si="6"/>
        <v>-5.8866474224108373E-3</v>
      </c>
      <c r="D206" s="1">
        <f>IFERROR(Comp3[[#This Row],[Comparable '#3 Return]]+1,"-")</f>
        <v>0.99411335257758915</v>
      </c>
      <c r="E206" s="6">
        <f>B206-MAX($B$2:B206)</f>
        <v>-6.2400000000000091</v>
      </c>
      <c r="F206" s="80">
        <f t="shared" si="7"/>
        <v>115</v>
      </c>
      <c r="G206" s="6">
        <f>IFERROR(Comp3[[#This Row],[Comparable '#3 Drawdown]]/MAX($B$2:B206),"-")</f>
        <v>-4.1541841422009243E-2</v>
      </c>
      <c r="H206" s="1" t="str">
        <f>IF(SUM(COUNTIF(Benchmark1[Benchmark '#1 Dates],Comp3[[#This Row],[Comparable '#3 Dates]]),COUNTIF(Benchmark2[Benchmark '#2 Dates],Comp3[[#This Row],[Comparable '#3 Dates]]))=2,"Pass","Fail")</f>
        <v>Pass</v>
      </c>
      <c r="I206" s="1">
        <f>IFERROR(Comp3[[#This Row],[Comparable '#3 Return]]-INDEX(Benchmark1[Benchmark '#1 Return],MATCH(Comp3[[#This Row],[Comparable '#3 Dates]],Benchmark1[Benchmark '#1 Dates],0)),"-")</f>
        <v>-6.9559316601910462E-3</v>
      </c>
      <c r="L206" s="72">
        <f>Comp3[[#This Row],[Comparable '#3 Price]]/$B$2*100</f>
        <v>122.83081648323521</v>
      </c>
    </row>
    <row r="207" spans="1:12">
      <c r="A207" s="96">
        <v>43585</v>
      </c>
      <c r="B207" s="101">
        <v>143.35</v>
      </c>
      <c r="C207" s="1">
        <f t="shared" si="6"/>
        <v>-4.3157522088849839E-3</v>
      </c>
      <c r="D207" s="1">
        <f>IFERROR(Comp3[[#This Row],[Comparable '#3 Return]]+1,"-")</f>
        <v>0.99568424779111497</v>
      </c>
      <c r="E207" s="6">
        <f>B207-MAX($B$2:B207)</f>
        <v>-6.8600000000000136</v>
      </c>
      <c r="F207" s="80">
        <f t="shared" si="7"/>
        <v>116</v>
      </c>
      <c r="G207" s="6">
        <f>IFERROR(Comp3[[#This Row],[Comparable '#3 Drawdown]]/MAX($B$2:B207),"-")</f>
        <v>-4.5669396178683264E-2</v>
      </c>
      <c r="H207" s="1" t="str">
        <f>IF(SUM(COUNTIF(Benchmark1[Benchmark '#1 Dates],Comp3[[#This Row],[Comparable '#3 Dates]]),COUNTIF(Benchmark2[Benchmark '#2 Dates],Comp3[[#This Row],[Comparable '#3 Dates]]))=2,"Pass","Fail")</f>
        <v>Pass</v>
      </c>
      <c r="I207" s="1">
        <f>IFERROR(Comp3[[#This Row],[Comparable '#3 Return]]-INDEX(Benchmark1[Benchmark '#1 Return],MATCH(Comp3[[#This Row],[Comparable '#3 Dates]],Benchmark1[Benchmark '#1 Dates],0)),"-")</f>
        <v>-5.2680480470758823E-3</v>
      </c>
      <c r="L207" s="72">
        <f>Comp3[[#This Row],[Comparable '#3 Price]]/$B$2*100</f>
        <v>122.30185137786877</v>
      </c>
    </row>
    <row r="208" spans="1:12">
      <c r="A208" s="96">
        <v>43586</v>
      </c>
      <c r="B208" s="101">
        <v>158.56</v>
      </c>
      <c r="C208" s="1">
        <f t="shared" si="6"/>
        <v>0.10084387825229899</v>
      </c>
      <c r="D208" s="1">
        <f>IFERROR(Comp3[[#This Row],[Comparable '#3 Return]]+1,"-")</f>
        <v>1.1008438782522989</v>
      </c>
      <c r="E208" s="6">
        <f>B208-MAX($B$2:B208)</f>
        <v>0</v>
      </c>
      <c r="F208" s="80">
        <f t="shared" si="7"/>
        <v>0</v>
      </c>
      <c r="G208" s="6">
        <f>IFERROR(Comp3[[#This Row],[Comparable '#3 Drawdown]]/MAX($B$2:B208),"-")</f>
        <v>0</v>
      </c>
      <c r="H208" s="1" t="str">
        <f>IF(SUM(COUNTIF(Benchmark1[Benchmark '#1 Dates],Comp3[[#This Row],[Comparable '#3 Dates]]),COUNTIF(Benchmark2[Benchmark '#2 Dates],Comp3[[#This Row],[Comparable '#3 Dates]]))=2,"Pass","Fail")</f>
        <v>Pass</v>
      </c>
      <c r="I208" s="1">
        <f>IFERROR(Comp3[[#This Row],[Comparable '#3 Return]]-INDEX(Benchmark1[Benchmark '#1 Return],MATCH(Comp3[[#This Row],[Comparable '#3 Dates]],Benchmark1[Benchmark '#1 Dates],0)),"-")</f>
        <v>0.10837392903889857</v>
      </c>
      <c r="L208" s="72">
        <f>Comp3[[#This Row],[Comparable '#3 Price]]/$B$2*100</f>
        <v>135.2785598498422</v>
      </c>
    </row>
    <row r="209" spans="1:12">
      <c r="A209" s="96">
        <v>43587</v>
      </c>
      <c r="B209" s="101">
        <v>162.49</v>
      </c>
      <c r="C209" s="1">
        <f t="shared" si="6"/>
        <v>2.4483390833007185E-2</v>
      </c>
      <c r="D209" s="1">
        <f>IFERROR(Comp3[[#This Row],[Comparable '#3 Return]]+1,"-")</f>
        <v>1.0244833908330071</v>
      </c>
      <c r="E209" s="6">
        <f>B209-MAX($B$2:B209)</f>
        <v>0</v>
      </c>
      <c r="F209" s="80">
        <f t="shared" si="7"/>
        <v>0</v>
      </c>
      <c r="G209" s="6">
        <f>IFERROR(Comp3[[#This Row],[Comparable '#3 Drawdown]]/MAX($B$2:B209),"-")</f>
        <v>0</v>
      </c>
      <c r="H209" s="1" t="str">
        <f>IF(SUM(COUNTIF(Benchmark1[Benchmark '#1 Dates],Comp3[[#This Row],[Comparable '#3 Dates]]),COUNTIF(Benchmark2[Benchmark '#2 Dates],Comp3[[#This Row],[Comparable '#3 Dates]]))=2,"Pass","Fail")</f>
        <v>Pass</v>
      </c>
      <c r="I209" s="1">
        <f>IFERROR(Comp3[[#This Row],[Comparable '#3 Return]]-INDEX(Benchmark1[Benchmark '#1 Return],MATCH(Comp3[[#This Row],[Comparable '#3 Dates]],Benchmark1[Benchmark '#1 Dates],0)),"-")</f>
        <v>2.6611552592660046E-2</v>
      </c>
      <c r="L209" s="72">
        <f>Comp3[[#This Row],[Comparable '#3 Price]]/$B$2*100</f>
        <v>138.63151608224555</v>
      </c>
    </row>
    <row r="210" spans="1:12">
      <c r="A210" s="96">
        <v>43588</v>
      </c>
      <c r="B210" s="101">
        <v>164.82</v>
      </c>
      <c r="C210" s="1">
        <f t="shared" si="6"/>
        <v>1.4237507920552523E-2</v>
      </c>
      <c r="D210" s="1">
        <f>IFERROR(Comp3[[#This Row],[Comparable '#3 Return]]+1,"-")</f>
        <v>1.0142375079205526</v>
      </c>
      <c r="E210" s="6">
        <f>B210-MAX($B$2:B210)</f>
        <v>0</v>
      </c>
      <c r="F210" s="80">
        <f t="shared" si="7"/>
        <v>0</v>
      </c>
      <c r="G210" s="6">
        <f>IFERROR(Comp3[[#This Row],[Comparable '#3 Drawdown]]/MAX($B$2:B210),"-")</f>
        <v>0</v>
      </c>
      <c r="H210" s="1" t="str">
        <f>IF(SUM(COUNTIF(Benchmark1[Benchmark '#1 Dates],Comp3[[#This Row],[Comparable '#3 Dates]]),COUNTIF(Benchmark2[Benchmark '#2 Dates],Comp3[[#This Row],[Comparable '#3 Dates]]))=2,"Pass","Fail")</f>
        <v>Pass</v>
      </c>
      <c r="I210" s="1">
        <f>IFERROR(Comp3[[#This Row],[Comparable '#3 Return]]-INDEX(Benchmark1[Benchmark '#1 Return],MATCH(Comp3[[#This Row],[Comparable '#3 Dates]],Benchmark1[Benchmark '#1 Dates],0)),"-")</f>
        <v>4.6448466838970269E-3</v>
      </c>
      <c r="L210" s="72">
        <f>Comp3[[#This Row],[Comparable '#3 Price]]/$B$2*100</f>
        <v>140.61940107499359</v>
      </c>
    </row>
    <row r="211" spans="1:12">
      <c r="A211" s="96">
        <v>43591</v>
      </c>
      <c r="B211" s="101">
        <v>167.06</v>
      </c>
      <c r="C211" s="1">
        <f t="shared" si="6"/>
        <v>1.3499059992522721E-2</v>
      </c>
      <c r="D211" s="1">
        <f>IFERROR(Comp3[[#This Row],[Comparable '#3 Return]]+1,"-")</f>
        <v>1.0134990599925227</v>
      </c>
      <c r="E211" s="6">
        <f>B211-MAX($B$2:B211)</f>
        <v>0</v>
      </c>
      <c r="F211" s="80">
        <f t="shared" si="7"/>
        <v>0</v>
      </c>
      <c r="G211" s="6">
        <f>IFERROR(Comp3[[#This Row],[Comparable '#3 Drawdown]]/MAX($B$2:B211),"-")</f>
        <v>0</v>
      </c>
      <c r="H211" s="1" t="str">
        <f>IF(SUM(COUNTIF(Benchmark1[Benchmark '#1 Dates],Comp3[[#This Row],[Comparable '#3 Dates]]),COUNTIF(Benchmark2[Benchmark '#2 Dates],Comp3[[#This Row],[Comparable '#3 Dates]]))=2,"Pass","Fail")</f>
        <v>Pass</v>
      </c>
      <c r="I211" s="1">
        <f>IFERROR(Comp3[[#This Row],[Comparable '#3 Return]]-INDEX(Benchmark1[Benchmark '#1 Return],MATCH(Comp3[[#This Row],[Comparable '#3 Dates]],Benchmark1[Benchmark '#1 Dates],0)),"-")</f>
        <v>1.7978036858445512E-2</v>
      </c>
      <c r="L211" s="72">
        <f>Comp3[[#This Row],[Comparable '#3 Price]]/$B$2*100</f>
        <v>142.53050081051106</v>
      </c>
    </row>
    <row r="212" spans="1:12">
      <c r="A212" s="96">
        <v>43592</v>
      </c>
      <c r="B212" s="101">
        <v>165.41</v>
      </c>
      <c r="C212" s="1">
        <f t="shared" si="6"/>
        <v>-9.9257890736304862E-3</v>
      </c>
      <c r="D212" s="1">
        <f>IFERROR(Comp3[[#This Row],[Comparable '#3 Return]]+1,"-")</f>
        <v>0.99007421092636949</v>
      </c>
      <c r="E212" s="6">
        <f>B212-MAX($B$2:B212)</f>
        <v>-1.6500000000000057</v>
      </c>
      <c r="F212" s="80">
        <f t="shared" si="7"/>
        <v>1</v>
      </c>
      <c r="G212" s="6">
        <f>IFERROR(Comp3[[#This Row],[Comparable '#3 Drawdown]]/MAX($B$2:B212),"-")</f>
        <v>-9.8766910092182789E-3</v>
      </c>
      <c r="H212" s="1" t="str">
        <f>IF(SUM(COUNTIF(Benchmark1[Benchmark '#1 Dates],Comp3[[#This Row],[Comparable '#3 Dates]]),COUNTIF(Benchmark2[Benchmark '#2 Dates],Comp3[[#This Row],[Comparable '#3 Dates]]))=2,"Pass","Fail")</f>
        <v>Pass</v>
      </c>
      <c r="I212" s="1">
        <f>IFERROR(Comp3[[#This Row],[Comparable '#3 Return]]-INDEX(Benchmark1[Benchmark '#1 Return],MATCH(Comp3[[#This Row],[Comparable '#3 Dates]],Benchmark1[Benchmark '#1 Dates],0)),"-")</f>
        <v>6.7249317863444808E-3</v>
      </c>
      <c r="L212" s="72">
        <f>Comp3[[#This Row],[Comparable '#3 Price]]/$B$2*100</f>
        <v>141.1227710946165</v>
      </c>
    </row>
    <row r="213" spans="1:12">
      <c r="A213" s="96">
        <v>43593</v>
      </c>
      <c r="B213" s="101">
        <v>168.48</v>
      </c>
      <c r="C213" s="1">
        <f t="shared" si="6"/>
        <v>1.8389808131535648E-2</v>
      </c>
      <c r="D213" s="1">
        <f>IFERROR(Comp3[[#This Row],[Comparable '#3 Return]]+1,"-")</f>
        <v>1.0183898081315357</v>
      </c>
      <c r="E213" s="6">
        <f>B213-MAX($B$2:B213)</f>
        <v>0</v>
      </c>
      <c r="F213" s="80">
        <f t="shared" si="7"/>
        <v>0</v>
      </c>
      <c r="G213" s="6">
        <f>IFERROR(Comp3[[#This Row],[Comparable '#3 Drawdown]]/MAX($B$2:B213),"-")</f>
        <v>0</v>
      </c>
      <c r="H213" s="1" t="str">
        <f>IF(SUM(COUNTIF(Benchmark1[Benchmark '#1 Dates],Comp3[[#This Row],[Comparable '#3 Dates]]),COUNTIF(Benchmark2[Benchmark '#2 Dates],Comp3[[#This Row],[Comparable '#3 Dates]]))=2,"Pass","Fail")</f>
        <v>Pass</v>
      </c>
      <c r="I213" s="1">
        <f>IFERROR(Comp3[[#This Row],[Comparable '#3 Return]]-INDEX(Benchmark1[Benchmark '#1 Return],MATCH(Comp3[[#This Row],[Comparable '#3 Dates]],Benchmark1[Benchmark '#1 Dates],0)),"-")</f>
        <v>1.9996710604182413E-2</v>
      </c>
      <c r="L213" s="72">
        <f>Comp3[[#This Row],[Comparable '#3 Price]]/$B$2*100</f>
        <v>143.74200153570513</v>
      </c>
    </row>
    <row r="214" spans="1:12">
      <c r="A214" s="96">
        <v>43594</v>
      </c>
      <c r="B214" s="101">
        <v>171.76</v>
      </c>
      <c r="C214" s="1">
        <f t="shared" si="6"/>
        <v>1.9281105184860318E-2</v>
      </c>
      <c r="D214" s="1">
        <f>IFERROR(Comp3[[#This Row],[Comparable '#3 Return]]+1,"-")</f>
        <v>1.0192811051848603</v>
      </c>
      <c r="E214" s="6">
        <f>B214-MAX($B$2:B214)</f>
        <v>0</v>
      </c>
      <c r="F214" s="80">
        <f t="shared" si="7"/>
        <v>0</v>
      </c>
      <c r="G214" s="6">
        <f>IFERROR(Comp3[[#This Row],[Comparable '#3 Drawdown]]/MAX($B$2:B214),"-")</f>
        <v>0</v>
      </c>
      <c r="H214" s="1" t="str">
        <f>IF(SUM(COUNTIF(Benchmark1[Benchmark '#1 Dates],Comp3[[#This Row],[Comparable '#3 Dates]]),COUNTIF(Benchmark2[Benchmark '#2 Dates],Comp3[[#This Row],[Comparable '#3 Dates]]))=2,"Pass","Fail")</f>
        <v>Pass</v>
      </c>
      <c r="I214" s="1">
        <f>IFERROR(Comp3[[#This Row],[Comparable '#3 Return]]-INDEX(Benchmark1[Benchmark '#1 Return],MATCH(Comp3[[#This Row],[Comparable '#3 Dates]],Benchmark1[Benchmark '#1 Dates],0)),"-")</f>
        <v>2.2308008040745033E-2</v>
      </c>
      <c r="L214" s="72">
        <f>Comp3[[#This Row],[Comparable '#3 Price]]/$B$2*100</f>
        <v>146.54039757699854</v>
      </c>
    </row>
    <row r="215" spans="1:12">
      <c r="A215" s="96">
        <v>43595</v>
      </c>
      <c r="B215" s="101">
        <v>172.63</v>
      </c>
      <c r="C215" s="1">
        <f t="shared" si="6"/>
        <v>5.0524222579319232E-3</v>
      </c>
      <c r="D215" s="1">
        <f>IFERROR(Comp3[[#This Row],[Comparable '#3 Return]]+1,"-")</f>
        <v>1.005052422257932</v>
      </c>
      <c r="E215" s="6">
        <f>B215-MAX($B$2:B215)</f>
        <v>0</v>
      </c>
      <c r="F215" s="80">
        <f t="shared" si="7"/>
        <v>0</v>
      </c>
      <c r="G215" s="6">
        <f>IFERROR(Comp3[[#This Row],[Comparable '#3 Drawdown]]/MAX($B$2:B215),"-")</f>
        <v>0</v>
      </c>
      <c r="H215" s="1" t="str">
        <f>IF(SUM(COUNTIF(Benchmark1[Benchmark '#1 Dates],Comp3[[#This Row],[Comparable '#3 Dates]]),COUNTIF(Benchmark2[Benchmark '#2 Dates],Comp3[[#This Row],[Comparable '#3 Dates]]))=2,"Pass","Fail")</f>
        <v>Pass</v>
      </c>
      <c r="I215" s="1">
        <f>IFERROR(Comp3[[#This Row],[Comparable '#3 Return]]-INDEX(Benchmark1[Benchmark '#1 Return],MATCH(Comp3[[#This Row],[Comparable '#3 Dates]],Benchmark1[Benchmark '#1 Dates],0)),"-")</f>
        <v>1.3378157010932932E-3</v>
      </c>
      <c r="L215" s="72">
        <f>Comp3[[#This Row],[Comparable '#3 Price]]/$B$2*100</f>
        <v>147.28265506356112</v>
      </c>
    </row>
    <row r="216" spans="1:12">
      <c r="A216" s="96">
        <v>43598</v>
      </c>
      <c r="B216" s="101">
        <v>168.5</v>
      </c>
      <c r="C216" s="1">
        <f t="shared" si="6"/>
        <v>-2.4214826036041054E-2</v>
      </c>
      <c r="D216" s="1">
        <f>IFERROR(Comp3[[#This Row],[Comparable '#3 Return]]+1,"-")</f>
        <v>0.97578517396395892</v>
      </c>
      <c r="E216" s="6">
        <f>B216-MAX($B$2:B216)</f>
        <v>-4.1299999999999955</v>
      </c>
      <c r="F216" s="80">
        <f t="shared" si="7"/>
        <v>1</v>
      </c>
      <c r="G216" s="6">
        <f>IFERROR(Comp3[[#This Row],[Comparable '#3 Drawdown]]/MAX($B$2:B216),"-")</f>
        <v>-2.3923999304871664E-2</v>
      </c>
      <c r="H216" s="1" t="str">
        <f>IF(SUM(COUNTIF(Benchmark1[Benchmark '#1 Dates],Comp3[[#This Row],[Comparable '#3 Dates]]),COUNTIF(Benchmark2[Benchmark '#2 Dates],Comp3[[#This Row],[Comparable '#3 Dates]]))=2,"Pass","Fail")</f>
        <v>Pass</v>
      </c>
      <c r="I216" s="1">
        <f>IFERROR(Comp3[[#This Row],[Comparable '#3 Return]]-INDEX(Benchmark1[Benchmark '#1 Return],MATCH(Comp3[[#This Row],[Comparable '#3 Dates]],Benchmark1[Benchmark '#1 Dates],0)),"-")</f>
        <v>2.1353166900766121E-4</v>
      </c>
      <c r="L216" s="72">
        <f>Comp3[[#This Row],[Comparable '#3 Price]]/$B$2*100</f>
        <v>143.75906492620086</v>
      </c>
    </row>
    <row r="217" spans="1:12">
      <c r="A217" s="96">
        <v>43599</v>
      </c>
      <c r="B217" s="101">
        <v>170.59</v>
      </c>
      <c r="C217" s="1">
        <f t="shared" si="6"/>
        <v>1.2327266900011794E-2</v>
      </c>
      <c r="D217" s="1">
        <f>IFERROR(Comp3[[#This Row],[Comparable '#3 Return]]+1,"-")</f>
        <v>1.0123272669000118</v>
      </c>
      <c r="E217" s="6">
        <f>B217-MAX($B$2:B217)</f>
        <v>-2.039999999999992</v>
      </c>
      <c r="F217" s="80">
        <f t="shared" si="7"/>
        <v>2</v>
      </c>
      <c r="G217" s="6">
        <f>IFERROR(Comp3[[#This Row],[Comparable '#3 Drawdown]]/MAX($B$2:B217),"-")</f>
        <v>-1.1817181254706552E-2</v>
      </c>
      <c r="H217" s="1" t="str">
        <f>IF(SUM(COUNTIF(Benchmark1[Benchmark '#1 Dates],Comp3[[#This Row],[Comparable '#3 Dates]]),COUNTIF(Benchmark2[Benchmark '#2 Dates],Comp3[[#This Row],[Comparable '#3 Dates]]))=2,"Pass","Fail")</f>
        <v>Pass</v>
      </c>
      <c r="I217" s="1">
        <f>IFERROR(Comp3[[#This Row],[Comparable '#3 Return]]-INDEX(Benchmark1[Benchmark '#1 Return],MATCH(Comp3[[#This Row],[Comparable '#3 Dates]],Benchmark1[Benchmark '#1 Dates],0)),"-")</f>
        <v>4.3426997326606806E-3</v>
      </c>
      <c r="L217" s="72">
        <f>Comp3[[#This Row],[Comparable '#3 Price]]/$B$2*100</f>
        <v>145.54218923300061</v>
      </c>
    </row>
    <row r="218" spans="1:12">
      <c r="A218" s="96">
        <v>43600</v>
      </c>
      <c r="B218" s="101">
        <v>172.65</v>
      </c>
      <c r="C218" s="1">
        <f t="shared" si="6"/>
        <v>1.2003407143573269E-2</v>
      </c>
      <c r="D218" s="1">
        <f>IFERROR(Comp3[[#This Row],[Comparable '#3 Return]]+1,"-")</f>
        <v>1.0120034071435733</v>
      </c>
      <c r="E218" s="6">
        <f>B218-MAX($B$2:B218)</f>
        <v>0</v>
      </c>
      <c r="F218" s="80">
        <f t="shared" si="7"/>
        <v>0</v>
      </c>
      <c r="G218" s="6">
        <f>IFERROR(Comp3[[#This Row],[Comparable '#3 Drawdown]]/MAX($B$2:B218),"-")</f>
        <v>0</v>
      </c>
      <c r="H218" s="1" t="str">
        <f>IF(SUM(COUNTIF(Benchmark1[Benchmark '#1 Dates],Comp3[[#This Row],[Comparable '#3 Dates]]),COUNTIF(Benchmark2[Benchmark '#2 Dates],Comp3[[#This Row],[Comparable '#3 Dates]]))=2,"Pass","Fail")</f>
        <v>Pass</v>
      </c>
      <c r="I218" s="1">
        <f>IFERROR(Comp3[[#This Row],[Comparable '#3 Return]]-INDEX(Benchmark1[Benchmark '#1 Return],MATCH(Comp3[[#This Row],[Comparable '#3 Dates]],Benchmark1[Benchmark '#1 Dates],0)),"-")</f>
        <v>6.1787108432847749E-3</v>
      </c>
      <c r="L218" s="72">
        <f>Comp3[[#This Row],[Comparable '#3 Price]]/$B$2*100</f>
        <v>147.29971845405683</v>
      </c>
    </row>
    <row r="219" spans="1:12">
      <c r="A219" s="96">
        <v>43601</v>
      </c>
      <c r="B219" s="101">
        <v>175.98</v>
      </c>
      <c r="C219" s="1">
        <f t="shared" si="6"/>
        <v>1.9103928381413188E-2</v>
      </c>
      <c r="D219" s="1">
        <f>IFERROR(Comp3[[#This Row],[Comparable '#3 Return]]+1,"-")</f>
        <v>1.0191039283814132</v>
      </c>
      <c r="E219" s="6">
        <f>B219-MAX($B$2:B219)</f>
        <v>0</v>
      </c>
      <c r="F219" s="80">
        <f t="shared" si="7"/>
        <v>0</v>
      </c>
      <c r="G219" s="6">
        <f>IFERROR(Comp3[[#This Row],[Comparable '#3 Drawdown]]/MAX($B$2:B219),"-")</f>
        <v>0</v>
      </c>
      <c r="H219" s="1" t="str">
        <f>IF(SUM(COUNTIF(Benchmark1[Benchmark '#1 Dates],Comp3[[#This Row],[Comparable '#3 Dates]]),COUNTIF(Benchmark2[Benchmark '#2 Dates],Comp3[[#This Row],[Comparable '#3 Dates]]))=2,"Pass","Fail")</f>
        <v>Pass</v>
      </c>
      <c r="I219" s="1">
        <f>IFERROR(Comp3[[#This Row],[Comparable '#3 Return]]-INDEX(Benchmark1[Benchmark '#1 Return],MATCH(Comp3[[#This Row],[Comparable '#3 Dates]],Benchmark1[Benchmark '#1 Dates],0)),"-")</f>
        <v>1.0250667152363727E-2</v>
      </c>
      <c r="L219" s="72">
        <f>Comp3[[#This Row],[Comparable '#3 Price]]/$B$2*100</f>
        <v>150.14077297158946</v>
      </c>
    </row>
    <row r="220" spans="1:12">
      <c r="A220" s="96">
        <v>43602</v>
      </c>
      <c r="B220" s="101">
        <v>174.61</v>
      </c>
      <c r="C220" s="1">
        <f t="shared" si="6"/>
        <v>-7.8154366833783941E-3</v>
      </c>
      <c r="D220" s="1">
        <f>IFERROR(Comp3[[#This Row],[Comparable '#3 Return]]+1,"-")</f>
        <v>0.99218456331662164</v>
      </c>
      <c r="E220" s="6">
        <f>B220-MAX($B$2:B220)</f>
        <v>-1.3699999999999761</v>
      </c>
      <c r="F220" s="80">
        <f t="shared" si="7"/>
        <v>1</v>
      </c>
      <c r="G220" s="6">
        <f>IFERROR(Comp3[[#This Row],[Comparable '#3 Drawdown]]/MAX($B$2:B220),"-")</f>
        <v>-7.7849755654050244E-3</v>
      </c>
      <c r="H220" s="1" t="str">
        <f>IF(SUM(COUNTIF(Benchmark1[Benchmark '#1 Dates],Comp3[[#This Row],[Comparable '#3 Dates]]),COUNTIF(Benchmark2[Benchmark '#2 Dates],Comp3[[#This Row],[Comparable '#3 Dates]]))=2,"Pass","Fail")</f>
        <v>Pass</v>
      </c>
      <c r="I220" s="1">
        <f>IFERROR(Comp3[[#This Row],[Comparable '#3 Return]]-INDEX(Benchmark1[Benchmark '#1 Return],MATCH(Comp3[[#This Row],[Comparable '#3 Dates]],Benchmark1[Benchmark '#1 Dates],0)),"-")</f>
        <v>-1.962901761436135E-3</v>
      </c>
      <c r="L220" s="72">
        <f>Comp3[[#This Row],[Comparable '#3 Price]]/$B$2*100</f>
        <v>148.97193072263462</v>
      </c>
    </row>
    <row r="221" spans="1:12">
      <c r="A221" s="96">
        <v>43605</v>
      </c>
      <c r="B221" s="101">
        <v>174.59</v>
      </c>
      <c r="C221" s="1">
        <f t="shared" si="6"/>
        <v>-1.1454753735322568E-4</v>
      </c>
      <c r="D221" s="1">
        <f>IFERROR(Comp3[[#This Row],[Comparable '#3 Return]]+1,"-")</f>
        <v>0.99988545246264682</v>
      </c>
      <c r="E221" s="6">
        <f>B221-MAX($B$2:B221)</f>
        <v>-1.3899999999999864</v>
      </c>
      <c r="F221" s="80">
        <f t="shared" si="7"/>
        <v>2</v>
      </c>
      <c r="G221" s="6">
        <f>IFERROR(Comp3[[#This Row],[Comparable '#3 Drawdown]]/MAX($B$2:B221),"-")</f>
        <v>-7.8986248437321657E-3</v>
      </c>
      <c r="H221" s="1" t="str">
        <f>IF(SUM(COUNTIF(Benchmark1[Benchmark '#1 Dates],Comp3[[#This Row],[Comparable '#3 Dates]]),COUNTIF(Benchmark2[Benchmark '#2 Dates],Comp3[[#This Row],[Comparable '#3 Dates]]))=2,"Pass","Fail")</f>
        <v>Pass</v>
      </c>
      <c r="I221" s="1">
        <f>IFERROR(Comp3[[#This Row],[Comparable '#3 Return]]-INDEX(Benchmark1[Benchmark '#1 Return],MATCH(Comp3[[#This Row],[Comparable '#3 Dates]],Benchmark1[Benchmark '#1 Dates],0)),"-")</f>
        <v>6.6574111179865756E-3</v>
      </c>
      <c r="L221" s="72">
        <f>Comp3[[#This Row],[Comparable '#3 Price]]/$B$2*100</f>
        <v>148.95486733213889</v>
      </c>
    </row>
    <row r="222" spans="1:12">
      <c r="A222" s="96">
        <v>43606</v>
      </c>
      <c r="B222" s="101">
        <v>176.06</v>
      </c>
      <c r="C222" s="1">
        <f t="shared" si="6"/>
        <v>8.384478036077064E-3</v>
      </c>
      <c r="D222" s="1">
        <f>IFERROR(Comp3[[#This Row],[Comparable '#3 Return]]+1,"-")</f>
        <v>1.0083844780360771</v>
      </c>
      <c r="E222" s="6">
        <f>B222-MAX($B$2:B222)</f>
        <v>0</v>
      </c>
      <c r="F222" s="80">
        <f t="shared" si="7"/>
        <v>0</v>
      </c>
      <c r="G222" s="6">
        <f>IFERROR(Comp3[[#This Row],[Comparable '#3 Drawdown]]/MAX($B$2:B222),"-")</f>
        <v>0</v>
      </c>
      <c r="H222" s="1" t="str">
        <f>IF(SUM(COUNTIF(Benchmark1[Benchmark '#1 Dates],Comp3[[#This Row],[Comparable '#3 Dates]]),COUNTIF(Benchmark2[Benchmark '#2 Dates],Comp3[[#This Row],[Comparable '#3 Dates]]))=2,"Pass","Fail")</f>
        <v>Pass</v>
      </c>
      <c r="I222" s="1">
        <f>IFERROR(Comp3[[#This Row],[Comparable '#3 Return]]-INDEX(Benchmark1[Benchmark '#1 Return],MATCH(Comp3[[#This Row],[Comparable '#3 Dates]],Benchmark1[Benchmark '#1 Dates],0)),"-")</f>
        <v>-7.4117616024826916E-5</v>
      </c>
      <c r="L222" s="72">
        <f>Comp3[[#This Row],[Comparable '#3 Price]]/$B$2*100</f>
        <v>150.20902653357223</v>
      </c>
    </row>
    <row r="223" spans="1:12">
      <c r="A223" s="96">
        <v>43607</v>
      </c>
      <c r="B223" s="101">
        <v>176.87</v>
      </c>
      <c r="C223" s="1">
        <f t="shared" si="6"/>
        <v>4.5901534139422013E-3</v>
      </c>
      <c r="D223" s="1">
        <f>IFERROR(Comp3[[#This Row],[Comparable '#3 Return]]+1,"-")</f>
        <v>1.0045901534139423</v>
      </c>
      <c r="E223" s="6">
        <f>B223-MAX($B$2:B223)</f>
        <v>0</v>
      </c>
      <c r="F223" s="80">
        <f t="shared" si="7"/>
        <v>0</v>
      </c>
      <c r="G223" s="6">
        <f>IFERROR(Comp3[[#This Row],[Comparable '#3 Drawdown]]/MAX($B$2:B223),"-")</f>
        <v>0</v>
      </c>
      <c r="H223" s="1" t="str">
        <f>IF(SUM(COUNTIF(Benchmark1[Benchmark '#1 Dates],Comp3[[#This Row],[Comparable '#3 Dates]]),COUNTIF(Benchmark2[Benchmark '#2 Dates],Comp3[[#This Row],[Comparable '#3 Dates]]))=2,"Pass","Fail")</f>
        <v>Pass</v>
      </c>
      <c r="I223" s="1">
        <f>IFERROR(Comp3[[#This Row],[Comparable '#3 Return]]-INDEX(Benchmark1[Benchmark '#1 Return],MATCH(Comp3[[#This Row],[Comparable '#3 Dates]],Benchmark1[Benchmark '#1 Dates],0)),"-")</f>
        <v>7.4168556076654171E-3</v>
      </c>
      <c r="L223" s="72">
        <f>Comp3[[#This Row],[Comparable '#3 Price]]/$B$2*100</f>
        <v>150.90009384864774</v>
      </c>
    </row>
    <row r="224" spans="1:12">
      <c r="A224" s="96">
        <v>43608</v>
      </c>
      <c r="B224" s="101">
        <v>176.72</v>
      </c>
      <c r="C224" s="1">
        <f t="shared" si="6"/>
        <v>-8.4844033484055871E-4</v>
      </c>
      <c r="D224" s="1">
        <f>IFERROR(Comp3[[#This Row],[Comparable '#3 Return]]+1,"-")</f>
        <v>0.99915155966515945</v>
      </c>
      <c r="E224" s="6">
        <f>B224-MAX($B$2:B224)</f>
        <v>-0.15000000000000568</v>
      </c>
      <c r="F224" s="80">
        <f t="shared" si="7"/>
        <v>1</v>
      </c>
      <c r="G224" s="6">
        <f>IFERROR(Comp3[[#This Row],[Comparable '#3 Drawdown]]/MAX($B$2:B224),"-")</f>
        <v>-8.4808051110988681E-4</v>
      </c>
      <c r="H224" s="1" t="str">
        <f>IF(SUM(COUNTIF(Benchmark1[Benchmark '#1 Dates],Comp3[[#This Row],[Comparable '#3 Dates]]),COUNTIF(Benchmark2[Benchmark '#2 Dates],Comp3[[#This Row],[Comparable '#3 Dates]]))=2,"Pass","Fail")</f>
        <v>Pass</v>
      </c>
      <c r="I224" s="1">
        <f>IFERROR(Comp3[[#This Row],[Comparable '#3 Return]]-INDEX(Benchmark1[Benchmark '#1 Return],MATCH(Comp3[[#This Row],[Comparable '#3 Dates]],Benchmark1[Benchmark '#1 Dates],0)),"-")</f>
        <v>1.113835620065433E-2</v>
      </c>
      <c r="L224" s="72">
        <f>Comp3[[#This Row],[Comparable '#3 Price]]/$B$2*100</f>
        <v>150.77211841993005</v>
      </c>
    </row>
    <row r="225" spans="1:12">
      <c r="A225" s="96">
        <v>43609</v>
      </c>
      <c r="B225" s="101">
        <v>180.23</v>
      </c>
      <c r="C225" s="1">
        <f t="shared" si="6"/>
        <v>1.9667253892852055E-2</v>
      </c>
      <c r="D225" s="1">
        <f>IFERROR(Comp3[[#This Row],[Comparable '#3 Return]]+1,"-")</f>
        <v>1.019667253892852</v>
      </c>
      <c r="E225" s="6">
        <f>B225-MAX($B$2:B225)</f>
        <v>0</v>
      </c>
      <c r="F225" s="80">
        <f t="shared" si="7"/>
        <v>0</v>
      </c>
      <c r="G225" s="6">
        <f>IFERROR(Comp3[[#This Row],[Comparable '#3 Drawdown]]/MAX($B$2:B225),"-")</f>
        <v>0</v>
      </c>
      <c r="H225" s="1" t="str">
        <f>IF(SUM(COUNTIF(Benchmark1[Benchmark '#1 Dates],Comp3[[#This Row],[Comparable '#3 Dates]]),COUNTIF(Benchmark2[Benchmark '#2 Dates],Comp3[[#This Row],[Comparable '#3 Dates]]))=2,"Pass","Fail")</f>
        <v>Pass</v>
      </c>
      <c r="I225" s="1">
        <f>IFERROR(Comp3[[#This Row],[Comparable '#3 Return]]-INDEX(Benchmark1[Benchmark '#1 Return],MATCH(Comp3[[#This Row],[Comparable '#3 Dates]],Benchmark1[Benchmark '#1 Dates],0)),"-")</f>
        <v>1.8313314713807441E-2</v>
      </c>
      <c r="L225" s="72">
        <f>Comp3[[#This Row],[Comparable '#3 Price]]/$B$2*100</f>
        <v>153.7667434519239</v>
      </c>
    </row>
    <row r="226" spans="1:12">
      <c r="A226" s="96">
        <v>43613</v>
      </c>
      <c r="B226" s="101">
        <v>178.5</v>
      </c>
      <c r="C226" s="1">
        <f t="shared" si="6"/>
        <v>-9.6452117850199786E-3</v>
      </c>
      <c r="D226" s="1">
        <f>IFERROR(Comp3[[#This Row],[Comparable '#3 Return]]+1,"-")</f>
        <v>0.99035478821498002</v>
      </c>
      <c r="E226" s="6">
        <f>B226-MAX($B$2:B226)</f>
        <v>-1.7299999999999898</v>
      </c>
      <c r="F226" s="80">
        <f t="shared" si="7"/>
        <v>1</v>
      </c>
      <c r="G226" s="6">
        <f>IFERROR(Comp3[[#This Row],[Comparable '#3 Drawdown]]/MAX($B$2:B226),"-")</f>
        <v>-9.5988459191033125E-3</v>
      </c>
      <c r="H226" s="1" t="str">
        <f>IF(SUM(COUNTIF(Benchmark1[Benchmark '#1 Dates],Comp3[[#This Row],[Comparable '#3 Dates]]),COUNTIF(Benchmark2[Benchmark '#2 Dates],Comp3[[#This Row],[Comparable '#3 Dates]]))=2,"Pass","Fail")</f>
        <v>Pass</v>
      </c>
      <c r="I226" s="1">
        <f>IFERROR(Comp3[[#This Row],[Comparable '#3 Return]]-INDEX(Benchmark1[Benchmark '#1 Return],MATCH(Comp3[[#This Row],[Comparable '#3 Dates]],Benchmark1[Benchmark '#1 Dates],0)),"-")</f>
        <v>-1.2309562824764347E-3</v>
      </c>
      <c r="L226" s="72">
        <f>Comp3[[#This Row],[Comparable '#3 Price]]/$B$2*100</f>
        <v>152.2907601740466</v>
      </c>
    </row>
    <row r="227" spans="1:12">
      <c r="A227" s="96">
        <v>43614</v>
      </c>
      <c r="B227" s="101">
        <v>176.67</v>
      </c>
      <c r="C227" s="1">
        <f t="shared" si="6"/>
        <v>-1.0305015595104786E-2</v>
      </c>
      <c r="D227" s="1">
        <f>IFERROR(Comp3[[#This Row],[Comparable '#3 Return]]+1,"-")</f>
        <v>0.98969498440489523</v>
      </c>
      <c r="E227" s="6">
        <f>B227-MAX($B$2:B227)</f>
        <v>-3.5600000000000023</v>
      </c>
      <c r="F227" s="80">
        <f t="shared" si="7"/>
        <v>2</v>
      </c>
      <c r="G227" s="6">
        <f>IFERROR(Comp3[[#This Row],[Comparable '#3 Drawdown]]/MAX($B$2:B227),"-")</f>
        <v>-1.975253842312602E-2</v>
      </c>
      <c r="H227" s="1" t="str">
        <f>IF(SUM(COUNTIF(Benchmark1[Benchmark '#1 Dates],Comp3[[#This Row],[Comparable '#3 Dates]]),COUNTIF(Benchmark2[Benchmark '#2 Dates],Comp3[[#This Row],[Comparable '#3 Dates]]))=2,"Pass","Fail")</f>
        <v>Pass</v>
      </c>
      <c r="I227" s="1">
        <f>IFERROR(Comp3[[#This Row],[Comparable '#3 Return]]-INDEX(Benchmark1[Benchmark '#1 Return],MATCH(Comp3[[#This Row],[Comparable '#3 Dates]],Benchmark1[Benchmark '#1 Dates],0)),"-")</f>
        <v>-3.3701635472297214E-3</v>
      </c>
      <c r="L227" s="72">
        <f>Comp3[[#This Row],[Comparable '#3 Price]]/$B$2*100</f>
        <v>150.72945994369081</v>
      </c>
    </row>
    <row r="228" spans="1:12">
      <c r="A228" s="96">
        <v>43615</v>
      </c>
      <c r="B228" s="101">
        <v>178.3</v>
      </c>
      <c r="C228" s="1">
        <f t="shared" si="6"/>
        <v>9.1839392445058378E-3</v>
      </c>
      <c r="D228" s="1">
        <f>IFERROR(Comp3[[#This Row],[Comparable '#3 Return]]+1,"-")</f>
        <v>1.0091839392445059</v>
      </c>
      <c r="E228" s="6">
        <f>B228-MAX($B$2:B228)</f>
        <v>-1.9299999999999784</v>
      </c>
      <c r="F228" s="80">
        <f t="shared" si="7"/>
        <v>3</v>
      </c>
      <c r="G228" s="6">
        <f>IFERROR(Comp3[[#This Row],[Comparable '#3 Drawdown]]/MAX($B$2:B228),"-")</f>
        <v>-1.0708539088941788E-2</v>
      </c>
      <c r="H228" s="1" t="str">
        <f>IF(SUM(COUNTIF(Benchmark1[Benchmark '#1 Dates],Comp3[[#This Row],[Comparable '#3 Dates]]),COUNTIF(Benchmark2[Benchmark '#2 Dates],Comp3[[#This Row],[Comparable '#3 Dates]]))=2,"Pass","Fail")</f>
        <v>Pass</v>
      </c>
      <c r="I228" s="1">
        <f>IFERROR(Comp3[[#This Row],[Comparable '#3 Return]]-INDEX(Benchmark1[Benchmark '#1 Return],MATCH(Comp3[[#This Row],[Comparable '#3 Dates]],Benchmark1[Benchmark '#1 Dates],0)),"-")</f>
        <v>7.0853273171229865E-3</v>
      </c>
      <c r="L228" s="72">
        <f>Comp3[[#This Row],[Comparable '#3 Price]]/$B$2*100</f>
        <v>152.1201262690897</v>
      </c>
    </row>
    <row r="229" spans="1:12">
      <c r="A229" s="96">
        <v>43616</v>
      </c>
      <c r="B229" s="101">
        <v>175.99</v>
      </c>
      <c r="C229" s="1">
        <f t="shared" si="6"/>
        <v>-1.304034962697522E-2</v>
      </c>
      <c r="D229" s="1">
        <f>IFERROR(Comp3[[#This Row],[Comparable '#3 Return]]+1,"-")</f>
        <v>0.9869596503730248</v>
      </c>
      <c r="E229" s="6">
        <f>B229-MAX($B$2:B229)</f>
        <v>-4.2399999999999807</v>
      </c>
      <c r="F229" s="80">
        <f t="shared" si="7"/>
        <v>4</v>
      </c>
      <c r="G229" s="6">
        <f>IFERROR(Comp3[[#This Row],[Comparable '#3 Drawdown]]/MAX($B$2:B229),"-")</f>
        <v>-2.3525495200576934E-2</v>
      </c>
      <c r="H229" s="1" t="str">
        <f>IF(SUM(COUNTIF(Benchmark1[Benchmark '#1 Dates],Comp3[[#This Row],[Comparable '#3 Dates]]),COUNTIF(Benchmark2[Benchmark '#2 Dates],Comp3[[#This Row],[Comparable '#3 Dates]]))=2,"Pass","Fail")</f>
        <v>Pass</v>
      </c>
      <c r="I229" s="1">
        <f>IFERROR(Comp3[[#This Row],[Comparable '#3 Return]]-INDEX(Benchmark1[Benchmark '#1 Return],MATCH(Comp3[[#This Row],[Comparable '#3 Dates]],Benchmark1[Benchmark '#1 Dates],0)),"-")</f>
        <v>2.4355764702020839E-4</v>
      </c>
      <c r="L229" s="72">
        <f>Comp3[[#This Row],[Comparable '#3 Price]]/$B$2*100</f>
        <v>150.14930466683731</v>
      </c>
    </row>
    <row r="230" spans="1:12">
      <c r="A230" s="96">
        <v>43619</v>
      </c>
      <c r="B230" s="101">
        <v>178.46</v>
      </c>
      <c r="C230" s="1">
        <f t="shared" si="6"/>
        <v>1.3937311229885762E-2</v>
      </c>
      <c r="D230" s="1">
        <f>IFERROR(Comp3[[#This Row],[Comparable '#3 Return]]+1,"-")</f>
        <v>1.0139373112298857</v>
      </c>
      <c r="E230" s="6">
        <f>B230-MAX($B$2:B230)</f>
        <v>-1.7699999999999818</v>
      </c>
      <c r="F230" s="80">
        <f t="shared" si="7"/>
        <v>5</v>
      </c>
      <c r="G230" s="6">
        <f>IFERROR(Comp3[[#This Row],[Comparable '#3 Drawdown]]/MAX($B$2:B230),"-")</f>
        <v>-9.8207845530709752E-3</v>
      </c>
      <c r="H230" s="1" t="str">
        <f>IF(SUM(COUNTIF(Benchmark1[Benchmark '#1 Dates],Comp3[[#This Row],[Comparable '#3 Dates]]),COUNTIF(Benchmark2[Benchmark '#2 Dates],Comp3[[#This Row],[Comparable '#3 Dates]]))=2,"Pass","Fail")</f>
        <v>Pass</v>
      </c>
      <c r="I230" s="1">
        <f>IFERROR(Comp3[[#This Row],[Comparable '#3 Return]]-INDEX(Benchmark1[Benchmark '#1 Return],MATCH(Comp3[[#This Row],[Comparable '#3 Dates]],Benchmark1[Benchmark '#1 Dates],0)),"-")</f>
        <v>1.6708687524259958E-2</v>
      </c>
      <c r="L230" s="72">
        <f>Comp3[[#This Row],[Comparable '#3 Price]]/$B$2*100</f>
        <v>152.25663339305521</v>
      </c>
    </row>
    <row r="231" spans="1:12">
      <c r="A231" s="96">
        <v>43620</v>
      </c>
      <c r="B231" s="101">
        <v>181.34</v>
      </c>
      <c r="C231" s="1">
        <f t="shared" si="6"/>
        <v>1.6009235745904651E-2</v>
      </c>
      <c r="D231" s="1">
        <f>IFERROR(Comp3[[#This Row],[Comparable '#3 Return]]+1,"-")</f>
        <v>1.0160092357459047</v>
      </c>
      <c r="E231" s="6">
        <f>B231-MAX($B$2:B231)</f>
        <v>0</v>
      </c>
      <c r="F231" s="80">
        <f t="shared" si="7"/>
        <v>0</v>
      </c>
      <c r="G231" s="6">
        <f>IFERROR(Comp3[[#This Row],[Comparable '#3 Drawdown]]/MAX($B$2:B231),"-")</f>
        <v>0</v>
      </c>
      <c r="H231" s="1" t="str">
        <f>IF(SUM(COUNTIF(Benchmark1[Benchmark '#1 Dates],Comp3[[#This Row],[Comparable '#3 Dates]]),COUNTIF(Benchmark2[Benchmark '#2 Dates],Comp3[[#This Row],[Comparable '#3 Dates]]))=2,"Pass","Fail")</f>
        <v>Pass</v>
      </c>
      <c r="I231" s="1">
        <f>IFERROR(Comp3[[#This Row],[Comparable '#3 Return]]-INDEX(Benchmark1[Benchmark '#1 Return],MATCH(Comp3[[#This Row],[Comparable '#3 Dates]],Benchmark1[Benchmark '#1 Dates],0)),"-")</f>
        <v>-5.1988671742873756E-3</v>
      </c>
      <c r="L231" s="72">
        <f>Comp3[[#This Row],[Comparable '#3 Price]]/$B$2*100</f>
        <v>154.71376162443477</v>
      </c>
    </row>
    <row r="232" spans="1:12">
      <c r="A232" s="96">
        <v>43621</v>
      </c>
      <c r="B232" s="101">
        <v>184.79</v>
      </c>
      <c r="C232" s="1">
        <f t="shared" si="6"/>
        <v>1.8846322971423961E-2</v>
      </c>
      <c r="D232" s="1">
        <f>IFERROR(Comp3[[#This Row],[Comparable '#3 Return]]+1,"-")</f>
        <v>1.018846322971424</v>
      </c>
      <c r="E232" s="6">
        <f>B232-MAX($B$2:B232)</f>
        <v>0</v>
      </c>
      <c r="F232" s="80">
        <f t="shared" si="7"/>
        <v>0</v>
      </c>
      <c r="G232" s="6">
        <f>IFERROR(Comp3[[#This Row],[Comparable '#3 Drawdown]]/MAX($B$2:B232),"-")</f>
        <v>0</v>
      </c>
      <c r="H232" s="1" t="str">
        <f>IF(SUM(COUNTIF(Benchmark1[Benchmark '#1 Dates],Comp3[[#This Row],[Comparable '#3 Dates]]),COUNTIF(Benchmark2[Benchmark '#2 Dates],Comp3[[#This Row],[Comparable '#3 Dates]]))=2,"Pass","Fail")</f>
        <v>Pass</v>
      </c>
      <c r="I232" s="1">
        <f>IFERROR(Comp3[[#This Row],[Comparable '#3 Return]]-INDEX(Benchmark1[Benchmark '#1 Return],MATCH(Comp3[[#This Row],[Comparable '#3 Dates]],Benchmark1[Benchmark '#1 Dates],0)),"-")</f>
        <v>1.071824691826298E-2</v>
      </c>
      <c r="L232" s="72">
        <f>Comp3[[#This Row],[Comparable '#3 Price]]/$B$2*100</f>
        <v>157.65719648494155</v>
      </c>
    </row>
    <row r="233" spans="1:12">
      <c r="A233" s="96">
        <v>43622</v>
      </c>
      <c r="B233" s="101">
        <v>183.95</v>
      </c>
      <c r="C233" s="1">
        <f t="shared" si="6"/>
        <v>-4.5560636385508129E-3</v>
      </c>
      <c r="D233" s="1">
        <f>IFERROR(Comp3[[#This Row],[Comparable '#3 Return]]+1,"-")</f>
        <v>0.99544393636144923</v>
      </c>
      <c r="E233" s="6">
        <f>B233-MAX($B$2:B233)</f>
        <v>-0.84000000000000341</v>
      </c>
      <c r="F233" s="80">
        <f t="shared" si="7"/>
        <v>1</v>
      </c>
      <c r="G233" s="6">
        <f>IFERROR(Comp3[[#This Row],[Comparable '#3 Drawdown]]/MAX($B$2:B233),"-")</f>
        <v>-4.5457005249201982E-3</v>
      </c>
      <c r="H233" s="1" t="str">
        <f>IF(SUM(COUNTIF(Benchmark1[Benchmark '#1 Dates],Comp3[[#This Row],[Comparable '#3 Dates]]),COUNTIF(Benchmark2[Benchmark '#2 Dates],Comp3[[#This Row],[Comparable '#3 Dates]]))=2,"Pass","Fail")</f>
        <v>Pass</v>
      </c>
      <c r="I233" s="1">
        <f>IFERROR(Comp3[[#This Row],[Comparable '#3 Return]]-INDEX(Benchmark1[Benchmark '#1 Return],MATCH(Comp3[[#This Row],[Comparable '#3 Dates]],Benchmark1[Benchmark '#1 Dates],0)),"-")</f>
        <v>-1.0672793697286478E-2</v>
      </c>
      <c r="L233" s="72">
        <f>Comp3[[#This Row],[Comparable '#3 Price]]/$B$2*100</f>
        <v>156.94053408412253</v>
      </c>
    </row>
    <row r="234" spans="1:12">
      <c r="A234" s="96">
        <v>43623</v>
      </c>
      <c r="B234" s="101">
        <v>182.84</v>
      </c>
      <c r="C234" s="1">
        <f t="shared" si="6"/>
        <v>-6.0525280872396866E-3</v>
      </c>
      <c r="D234" s="1">
        <f>IFERROR(Comp3[[#This Row],[Comparable '#3 Return]]+1,"-")</f>
        <v>0.99394747191276034</v>
      </c>
      <c r="E234" s="6">
        <f>B234-MAX($B$2:B234)</f>
        <v>-1.9499999999999886</v>
      </c>
      <c r="F234" s="80">
        <f t="shared" si="7"/>
        <v>2</v>
      </c>
      <c r="G234" s="6">
        <f>IFERROR(Comp3[[#This Row],[Comparable '#3 Drawdown]]/MAX($B$2:B234),"-")</f>
        <v>-1.0552519075707499E-2</v>
      </c>
      <c r="H234" s="1" t="str">
        <f>IF(SUM(COUNTIF(Benchmark1[Benchmark '#1 Dates],Comp3[[#This Row],[Comparable '#3 Dates]]),COUNTIF(Benchmark2[Benchmark '#2 Dates],Comp3[[#This Row],[Comparable '#3 Dates]]))=2,"Pass","Fail")</f>
        <v>Pass</v>
      </c>
      <c r="I234" s="1">
        <f>IFERROR(Comp3[[#This Row],[Comparable '#3 Return]]-INDEX(Benchmark1[Benchmark '#1 Return],MATCH(Comp3[[#This Row],[Comparable '#3 Dates]],Benchmark1[Benchmark '#1 Dates],0)),"-")</f>
        <v>-1.6496037291217604E-2</v>
      </c>
      <c r="L234" s="72">
        <f>Comp3[[#This Row],[Comparable '#3 Price]]/$B$2*100</f>
        <v>155.99351591161167</v>
      </c>
    </row>
    <row r="235" spans="1:12">
      <c r="A235" s="96">
        <v>43626</v>
      </c>
      <c r="B235" s="101">
        <v>179.37</v>
      </c>
      <c r="C235" s="1">
        <f t="shared" si="6"/>
        <v>-1.9160741902620838E-2</v>
      </c>
      <c r="D235" s="1">
        <f>IFERROR(Comp3[[#This Row],[Comparable '#3 Return]]+1,"-")</f>
        <v>0.98083925809737915</v>
      </c>
      <c r="E235" s="6">
        <f>B235-MAX($B$2:B235)</f>
        <v>-5.4199999999999875</v>
      </c>
      <c r="F235" s="80">
        <f t="shared" si="7"/>
        <v>3</v>
      </c>
      <c r="G235" s="6">
        <f>IFERROR(Comp3[[#This Row],[Comparable '#3 Drawdown]]/MAX($B$2:B235),"-")</f>
        <v>-2.9330591482222997E-2</v>
      </c>
      <c r="H235" s="1" t="str">
        <f>IF(SUM(COUNTIF(Benchmark1[Benchmark '#1 Dates],Comp3[[#This Row],[Comparable '#3 Dates]]),COUNTIF(Benchmark2[Benchmark '#2 Dates],Comp3[[#This Row],[Comparable '#3 Dates]]))=2,"Pass","Fail")</f>
        <v>Pass</v>
      </c>
      <c r="I235" s="1">
        <f>IFERROR(Comp3[[#This Row],[Comparable '#3 Return]]-INDEX(Benchmark1[Benchmark '#1 Return],MATCH(Comp3[[#This Row],[Comparable '#3 Dates]],Benchmark1[Benchmark '#1 Dates],0)),"-")</f>
        <v>-2.3810732187797713E-2</v>
      </c>
      <c r="L235" s="72">
        <f>Comp3[[#This Row],[Comparable '#3 Price]]/$B$2*100</f>
        <v>153.03301766060918</v>
      </c>
    </row>
    <row r="236" spans="1:12">
      <c r="A236" s="96">
        <v>43627</v>
      </c>
      <c r="B236" s="101">
        <v>178.92</v>
      </c>
      <c r="C236" s="1">
        <f t="shared" si="6"/>
        <v>-2.5119329962755088E-3</v>
      </c>
      <c r="D236" s="1">
        <f>IFERROR(Comp3[[#This Row],[Comparable '#3 Return]]+1,"-")</f>
        <v>0.9974880670037245</v>
      </c>
      <c r="E236" s="6">
        <f>B236-MAX($B$2:B236)</f>
        <v>-5.8700000000000045</v>
      </c>
      <c r="F236" s="80">
        <f t="shared" si="7"/>
        <v>4</v>
      </c>
      <c r="G236" s="6">
        <f>IFERROR(Comp3[[#This Row],[Comparable '#3 Drawdown]]/MAX($B$2:B236),"-")</f>
        <v>-3.1765788192001758E-2</v>
      </c>
      <c r="H236" s="1" t="str">
        <f>IF(SUM(COUNTIF(Benchmark1[Benchmark '#1 Dates],Comp3[[#This Row],[Comparable '#3 Dates]]),COUNTIF(Benchmark2[Benchmark '#2 Dates],Comp3[[#This Row],[Comparable '#3 Dates]]))=2,"Pass","Fail")</f>
        <v>Pass</v>
      </c>
      <c r="I236" s="1">
        <f>IFERROR(Comp3[[#This Row],[Comparable '#3 Return]]-INDEX(Benchmark1[Benchmark '#1 Return],MATCH(Comp3[[#This Row],[Comparable '#3 Dates]],Benchmark1[Benchmark '#1 Dates],0)),"-")</f>
        <v>-2.1613091860421987E-3</v>
      </c>
      <c r="L236" s="72">
        <f>Comp3[[#This Row],[Comparable '#3 Price]]/$B$2*100</f>
        <v>152.64909137445611</v>
      </c>
    </row>
    <row r="237" spans="1:12">
      <c r="A237" s="96">
        <v>43628</v>
      </c>
      <c r="B237" s="101">
        <v>181.05</v>
      </c>
      <c r="C237" s="1">
        <f t="shared" si="6"/>
        <v>1.1834457647003017E-2</v>
      </c>
      <c r="D237" s="1">
        <f>IFERROR(Comp3[[#This Row],[Comparable '#3 Return]]+1,"-")</f>
        <v>1.0118344576470031</v>
      </c>
      <c r="E237" s="6">
        <f>B237-MAX($B$2:B237)</f>
        <v>-3.7399999999999807</v>
      </c>
      <c r="F237" s="80">
        <f t="shared" si="7"/>
        <v>5</v>
      </c>
      <c r="G237" s="6">
        <f>IFERROR(Comp3[[#This Row],[Comparable '#3 Drawdown]]/MAX($B$2:B237),"-")</f>
        <v>-2.0239190432382603E-2</v>
      </c>
      <c r="H237" s="1" t="str">
        <f>IF(SUM(COUNTIF(Benchmark1[Benchmark '#1 Dates],Comp3[[#This Row],[Comparable '#3 Dates]]),COUNTIF(Benchmark2[Benchmark '#2 Dates],Comp3[[#This Row],[Comparable '#3 Dates]]))=2,"Pass","Fail")</f>
        <v>Pass</v>
      </c>
      <c r="I237" s="1">
        <f>IFERROR(Comp3[[#This Row],[Comparable '#3 Return]]-INDEX(Benchmark1[Benchmark '#1 Return],MATCH(Comp3[[#This Row],[Comparable '#3 Dates]],Benchmark1[Benchmark '#1 Dates],0)),"-")</f>
        <v>1.3876129447996878E-2</v>
      </c>
      <c r="L237" s="72">
        <f>Comp3[[#This Row],[Comparable '#3 Price]]/$B$2*100</f>
        <v>154.46634246224727</v>
      </c>
    </row>
    <row r="238" spans="1:12">
      <c r="A238" s="96">
        <v>43629</v>
      </c>
      <c r="B238" s="101">
        <v>180.84</v>
      </c>
      <c r="C238" s="1">
        <f t="shared" si="6"/>
        <v>-1.1605737852458096E-3</v>
      </c>
      <c r="D238" s="1">
        <f>IFERROR(Comp3[[#This Row],[Comparable '#3 Return]]+1,"-")</f>
        <v>0.99883942621475419</v>
      </c>
      <c r="E238" s="6">
        <f>B238-MAX($B$2:B238)</f>
        <v>-3.9499999999999886</v>
      </c>
      <c r="F238" s="80">
        <f t="shared" si="7"/>
        <v>6</v>
      </c>
      <c r="G238" s="6">
        <f>IFERROR(Comp3[[#This Row],[Comparable '#3 Drawdown]]/MAX($B$2:B238),"-")</f>
        <v>-2.1375615563612688E-2</v>
      </c>
      <c r="H238" s="1" t="str">
        <f>IF(SUM(COUNTIF(Benchmark1[Benchmark '#1 Dates],Comp3[[#This Row],[Comparable '#3 Dates]]),COUNTIF(Benchmark2[Benchmark '#2 Dates],Comp3[[#This Row],[Comparable '#3 Dates]]))=2,"Pass","Fail")</f>
        <v>Pass</v>
      </c>
      <c r="I238" s="1">
        <f>IFERROR(Comp3[[#This Row],[Comparable '#3 Return]]-INDEX(Benchmark1[Benchmark '#1 Return],MATCH(Comp3[[#This Row],[Comparable '#3 Dates]],Benchmark1[Benchmark '#1 Dates],0)),"-")</f>
        <v>-5.25106635890118E-3</v>
      </c>
      <c r="L238" s="72">
        <f>Comp3[[#This Row],[Comparable '#3 Price]]/$B$2*100</f>
        <v>154.28717686204249</v>
      </c>
    </row>
    <row r="239" spans="1:12">
      <c r="A239" s="96">
        <v>43630</v>
      </c>
      <c r="B239" s="101">
        <v>181.08</v>
      </c>
      <c r="C239" s="1">
        <f t="shared" si="6"/>
        <v>1.3262601413535377E-3</v>
      </c>
      <c r="D239" s="1">
        <f>IFERROR(Comp3[[#This Row],[Comparable '#3 Return]]+1,"-")</f>
        <v>1.0013262601413535</v>
      </c>
      <c r="E239" s="6">
        <f>B239-MAX($B$2:B239)</f>
        <v>-3.7099999999999795</v>
      </c>
      <c r="F239" s="80">
        <f t="shared" si="7"/>
        <v>7</v>
      </c>
      <c r="G239" s="6">
        <f>IFERROR(Comp3[[#This Row],[Comparable '#3 Drawdown]]/MAX($B$2:B239),"-")</f>
        <v>-2.0076843985064017E-2</v>
      </c>
      <c r="H239" s="1" t="str">
        <f>IF(SUM(COUNTIF(Benchmark1[Benchmark '#1 Dates],Comp3[[#This Row],[Comparable '#3 Dates]]),COUNTIF(Benchmark2[Benchmark '#2 Dates],Comp3[[#This Row],[Comparable '#3 Dates]]))=2,"Pass","Fail")</f>
        <v>Pass</v>
      </c>
      <c r="I239" s="1">
        <f>IFERROR(Comp3[[#This Row],[Comparable '#3 Return]]-INDEX(Benchmark1[Benchmark '#1 Return],MATCH(Comp3[[#This Row],[Comparable '#3 Dates]],Benchmark1[Benchmark '#1 Dates],0)),"-")</f>
        <v>2.9381752748027191E-3</v>
      </c>
      <c r="L239" s="72">
        <f>Comp3[[#This Row],[Comparable '#3 Price]]/$B$2*100</f>
        <v>154.4919375479908</v>
      </c>
    </row>
    <row r="240" spans="1:12">
      <c r="A240" s="96">
        <v>43633</v>
      </c>
      <c r="B240" s="101">
        <v>180.35</v>
      </c>
      <c r="C240" s="1">
        <f t="shared" si="6"/>
        <v>-4.0395152182099011E-3</v>
      </c>
      <c r="D240" s="1">
        <f>IFERROR(Comp3[[#This Row],[Comparable '#3 Return]]+1,"-")</f>
        <v>0.99596048478179011</v>
      </c>
      <c r="E240" s="6">
        <f>B240-MAX($B$2:B240)</f>
        <v>-4.4399999999999977</v>
      </c>
      <c r="F240" s="80">
        <f t="shared" si="7"/>
        <v>8</v>
      </c>
      <c r="G240" s="6">
        <f>IFERROR(Comp3[[#This Row],[Comparable '#3 Drawdown]]/MAX($B$2:B240),"-")</f>
        <v>-2.4027274203149509E-2</v>
      </c>
      <c r="H240" s="1" t="str">
        <f>IF(SUM(COUNTIF(Benchmark1[Benchmark '#1 Dates],Comp3[[#This Row],[Comparable '#3 Dates]]),COUNTIF(Benchmark2[Benchmark '#2 Dates],Comp3[[#This Row],[Comparable '#3 Dates]]))=2,"Pass","Fail")</f>
        <v>Pass</v>
      </c>
      <c r="I240" s="1">
        <f>IFERROR(Comp3[[#This Row],[Comparable '#3 Return]]-INDEX(Benchmark1[Benchmark '#1 Return],MATCH(Comp3[[#This Row],[Comparable '#3 Dates]],Benchmark1[Benchmark '#1 Dates],0)),"-")</f>
        <v>-4.9697313717388279E-3</v>
      </c>
      <c r="L240" s="72">
        <f>Comp3[[#This Row],[Comparable '#3 Price]]/$B$2*100</f>
        <v>153.86912379489806</v>
      </c>
    </row>
    <row r="241" spans="1:12">
      <c r="A241" s="96">
        <v>43634</v>
      </c>
      <c r="B241" s="101">
        <v>176.64</v>
      </c>
      <c r="C241" s="1">
        <f t="shared" si="6"/>
        <v>-2.0785644260817561E-2</v>
      </c>
      <c r="D241" s="1">
        <f>IFERROR(Comp3[[#This Row],[Comparable '#3 Return]]+1,"-")</f>
        <v>0.97921435573918247</v>
      </c>
      <c r="E241" s="6">
        <f>B241-MAX($B$2:B241)</f>
        <v>-8.1500000000000057</v>
      </c>
      <c r="F241" s="80">
        <f t="shared" si="7"/>
        <v>9</v>
      </c>
      <c r="G241" s="6">
        <f>IFERROR(Comp3[[#This Row],[Comparable '#3 Drawdown]]/MAX($B$2:B241),"-")</f>
        <v>-4.4104118188213678E-2</v>
      </c>
      <c r="H241" s="1" t="str">
        <f>IF(SUM(COUNTIF(Benchmark1[Benchmark '#1 Dates],Comp3[[#This Row],[Comparable '#3 Dates]]),COUNTIF(Benchmark2[Benchmark '#2 Dates],Comp3[[#This Row],[Comparable '#3 Dates]]))=2,"Pass","Fail")</f>
        <v>Pass</v>
      </c>
      <c r="I241" s="1">
        <f>IFERROR(Comp3[[#This Row],[Comparable '#3 Return]]-INDEX(Benchmark1[Benchmark '#1 Return],MATCH(Comp3[[#This Row],[Comparable '#3 Dates]],Benchmark1[Benchmark '#1 Dates],0)),"-")</f>
        <v>-3.0456375527483086E-2</v>
      </c>
      <c r="L241" s="72">
        <f>Comp3[[#This Row],[Comparable '#3 Price]]/$B$2*100</f>
        <v>150.70386485794728</v>
      </c>
    </row>
    <row r="242" spans="1:12">
      <c r="A242" s="96">
        <v>43635</v>
      </c>
      <c r="B242" s="101">
        <v>180.07</v>
      </c>
      <c r="C242" s="1">
        <f t="shared" si="6"/>
        <v>1.9231901092683596E-2</v>
      </c>
      <c r="D242" s="1">
        <f>IFERROR(Comp3[[#This Row],[Comparable '#3 Return]]+1,"-")</f>
        <v>1.0192319010926836</v>
      </c>
      <c r="E242" s="6">
        <f>B242-MAX($B$2:B242)</f>
        <v>-4.7199999999999989</v>
      </c>
      <c r="F242" s="80">
        <f t="shared" si="7"/>
        <v>10</v>
      </c>
      <c r="G242" s="6">
        <f>IFERROR(Comp3[[#This Row],[Comparable '#3 Drawdown]]/MAX($B$2:B242),"-")</f>
        <v>-2.5542507711456244E-2</v>
      </c>
      <c r="H242" s="1" t="str">
        <f>IF(SUM(COUNTIF(Benchmark1[Benchmark '#1 Dates],Comp3[[#This Row],[Comparable '#3 Dates]]),COUNTIF(Benchmark2[Benchmark '#2 Dates],Comp3[[#This Row],[Comparable '#3 Dates]]))=2,"Pass","Fail")</f>
        <v>Pass</v>
      </c>
      <c r="I242" s="1">
        <f>IFERROR(Comp3[[#This Row],[Comparable '#3 Return]]-INDEX(Benchmark1[Benchmark '#1 Return],MATCH(Comp3[[#This Row],[Comparable '#3 Dates]],Benchmark1[Benchmark '#1 Dates],0)),"-")</f>
        <v>1.6252862034244493E-2</v>
      </c>
      <c r="L242" s="72">
        <f>Comp3[[#This Row],[Comparable '#3 Price]]/$B$2*100</f>
        <v>153.63023632795836</v>
      </c>
    </row>
    <row r="243" spans="1:12">
      <c r="A243" s="96">
        <v>43636</v>
      </c>
      <c r="B243" s="101">
        <v>179.63</v>
      </c>
      <c r="C243" s="1">
        <f t="shared" si="6"/>
        <v>-2.4464844006698207E-3</v>
      </c>
      <c r="D243" s="1">
        <f>IFERROR(Comp3[[#This Row],[Comparable '#3 Return]]+1,"-")</f>
        <v>0.99755351559933014</v>
      </c>
      <c r="E243" s="6">
        <f>B243-MAX($B$2:B243)</f>
        <v>-5.1599999999999966</v>
      </c>
      <c r="F243" s="80">
        <f t="shared" si="7"/>
        <v>11</v>
      </c>
      <c r="G243" s="6">
        <f>IFERROR(Comp3[[#This Row],[Comparable '#3 Drawdown]]/MAX($B$2:B243),"-")</f>
        <v>-2.792358893879537E-2</v>
      </c>
      <c r="H243" s="1" t="str">
        <f>IF(SUM(COUNTIF(Benchmark1[Benchmark '#1 Dates],Comp3[[#This Row],[Comparable '#3 Dates]]),COUNTIF(Benchmark2[Benchmark '#2 Dates],Comp3[[#This Row],[Comparable '#3 Dates]]))=2,"Pass","Fail")</f>
        <v>Pass</v>
      </c>
      <c r="I243" s="1">
        <f>IFERROR(Comp3[[#This Row],[Comparable '#3 Return]]-INDEX(Benchmark1[Benchmark '#1 Return],MATCH(Comp3[[#This Row],[Comparable '#3 Dates]],Benchmark1[Benchmark '#1 Dates],0)),"-")</f>
        <v>-1.1876163547268996E-2</v>
      </c>
      <c r="L243" s="72">
        <f>Comp3[[#This Row],[Comparable '#3 Price]]/$B$2*100</f>
        <v>153.25484173705314</v>
      </c>
    </row>
    <row r="244" spans="1:12">
      <c r="A244" s="96">
        <v>43637</v>
      </c>
      <c r="B244" s="101">
        <v>180.42</v>
      </c>
      <c r="C244" s="1">
        <f t="shared" si="6"/>
        <v>4.3882864477483999E-3</v>
      </c>
      <c r="D244" s="1">
        <f>IFERROR(Comp3[[#This Row],[Comparable '#3 Return]]+1,"-")</f>
        <v>1.0043882864477485</v>
      </c>
      <c r="E244" s="6">
        <f>B244-MAX($B$2:B244)</f>
        <v>-4.3700000000000045</v>
      </c>
      <c r="F244" s="80">
        <f t="shared" si="7"/>
        <v>12</v>
      </c>
      <c r="G244" s="6">
        <f>IFERROR(Comp3[[#This Row],[Comparable '#3 Drawdown]]/MAX($B$2:B244),"-")</f>
        <v>-2.3648465826072863E-2</v>
      </c>
      <c r="H244" s="1" t="str">
        <f>IF(SUM(COUNTIF(Benchmark1[Benchmark '#1 Dates],Comp3[[#This Row],[Comparable '#3 Dates]]),COUNTIF(Benchmark2[Benchmark '#2 Dates],Comp3[[#This Row],[Comparable '#3 Dates]]))=2,"Pass","Fail")</f>
        <v>Pass</v>
      </c>
      <c r="I244" s="1">
        <f>IFERROR(Comp3[[#This Row],[Comparable '#3 Return]]-INDEX(Benchmark1[Benchmark '#1 Return],MATCH(Comp3[[#This Row],[Comparable '#3 Dates]],Benchmark1[Benchmark '#1 Dates],0)),"-")</f>
        <v>5.6506367803112762E-3</v>
      </c>
      <c r="L244" s="72">
        <f>Comp3[[#This Row],[Comparable '#3 Price]]/$B$2*100</f>
        <v>153.92884566163298</v>
      </c>
    </row>
    <row r="245" spans="1:12">
      <c r="A245" s="96">
        <v>43640</v>
      </c>
      <c r="B245" s="101">
        <v>177.45</v>
      </c>
      <c r="C245" s="1">
        <f t="shared" si="6"/>
        <v>-1.6598587135987233E-2</v>
      </c>
      <c r="D245" s="1">
        <f>IFERROR(Comp3[[#This Row],[Comparable '#3 Return]]+1,"-")</f>
        <v>0.98340141286401273</v>
      </c>
      <c r="E245" s="6">
        <f>B245-MAX($B$2:B245)</f>
        <v>-7.3400000000000034</v>
      </c>
      <c r="F245" s="80">
        <f t="shared" si="7"/>
        <v>13</v>
      </c>
      <c r="G245" s="6">
        <f>IFERROR(Comp3[[#This Row],[Comparable '#3 Drawdown]]/MAX($B$2:B245),"-")</f>
        <v>-3.9720764110612067E-2</v>
      </c>
      <c r="H245" s="1" t="str">
        <f>IF(SUM(COUNTIF(Benchmark1[Benchmark '#1 Dates],Comp3[[#This Row],[Comparable '#3 Dates]]),COUNTIF(Benchmark2[Benchmark '#2 Dates],Comp3[[#This Row],[Comparable '#3 Dates]]))=2,"Pass","Fail")</f>
        <v>Pass</v>
      </c>
      <c r="I245" s="1">
        <f>IFERROR(Comp3[[#This Row],[Comparable '#3 Return]]-INDEX(Benchmark1[Benchmark '#1 Return],MATCH(Comp3[[#This Row],[Comparable '#3 Dates]],Benchmark1[Benchmark '#1 Dates],0)),"-")</f>
        <v>-1.486643372703253E-2</v>
      </c>
      <c r="L245" s="72">
        <f>Comp3[[#This Row],[Comparable '#3 Price]]/$B$2*100</f>
        <v>151.39493217302277</v>
      </c>
    </row>
    <row r="246" spans="1:12">
      <c r="A246" s="96">
        <v>43641</v>
      </c>
      <c r="B246" s="101">
        <v>174.76</v>
      </c>
      <c r="C246" s="1">
        <f t="shared" si="6"/>
        <v>-1.5275275009270308E-2</v>
      </c>
      <c r="D246" s="1">
        <f>IFERROR(Comp3[[#This Row],[Comparable '#3 Return]]+1,"-")</f>
        <v>0.98472472499072972</v>
      </c>
      <c r="E246" s="6">
        <f>B246-MAX($B$2:B246)</f>
        <v>-10.030000000000001</v>
      </c>
      <c r="F246" s="80">
        <f t="shared" si="7"/>
        <v>14</v>
      </c>
      <c r="G246" s="6">
        <f>IFERROR(Comp3[[#This Row],[Comparable '#3 Drawdown]]/MAX($B$2:B246),"-")</f>
        <v>-5.4277828886844535E-2</v>
      </c>
      <c r="H246" s="1" t="str">
        <f>IF(SUM(COUNTIF(Benchmark1[Benchmark '#1 Dates],Comp3[[#This Row],[Comparable '#3 Dates]]),COUNTIF(Benchmark2[Benchmark '#2 Dates],Comp3[[#This Row],[Comparable '#3 Dates]]))=2,"Pass","Fail")</f>
        <v>Pass</v>
      </c>
      <c r="I246" s="1">
        <f>IFERROR(Comp3[[#This Row],[Comparable '#3 Return]]-INDEX(Benchmark1[Benchmark '#1 Return],MATCH(Comp3[[#This Row],[Comparable '#3 Dates]],Benchmark1[Benchmark '#1 Dates],0)),"-")</f>
        <v>-5.7350578779987241E-3</v>
      </c>
      <c r="L246" s="72">
        <f>Comp3[[#This Row],[Comparable '#3 Price]]/$B$2*100</f>
        <v>149.09990615135226</v>
      </c>
    </row>
    <row r="247" spans="1:12">
      <c r="A247" s="96">
        <v>43642</v>
      </c>
      <c r="B247" s="101">
        <v>176.6</v>
      </c>
      <c r="C247" s="1">
        <f t="shared" si="6"/>
        <v>1.0473684086624472E-2</v>
      </c>
      <c r="D247" s="1">
        <f>IFERROR(Comp3[[#This Row],[Comparable '#3 Return]]+1,"-")</f>
        <v>1.0104736840866244</v>
      </c>
      <c r="E247" s="6">
        <f>B247-MAX($B$2:B247)</f>
        <v>-8.1899999999999977</v>
      </c>
      <c r="F247" s="80">
        <f t="shared" si="7"/>
        <v>15</v>
      </c>
      <c r="G247" s="6">
        <f>IFERROR(Comp3[[#This Row],[Comparable '#3 Drawdown]]/MAX($B$2:B247),"-")</f>
        <v>-4.4320580117971742E-2</v>
      </c>
      <c r="H247" s="1" t="str">
        <f>IF(SUM(COUNTIF(Benchmark1[Benchmark '#1 Dates],Comp3[[#This Row],[Comparable '#3 Dates]]),COUNTIF(Benchmark2[Benchmark '#2 Dates],Comp3[[#This Row],[Comparable '#3 Dates]]))=2,"Pass","Fail")</f>
        <v>Pass</v>
      </c>
      <c r="I247" s="1">
        <f>IFERROR(Comp3[[#This Row],[Comparable '#3 Return]]-INDEX(Benchmark1[Benchmark '#1 Return],MATCH(Comp3[[#This Row],[Comparable '#3 Dates]],Benchmark1[Benchmark '#1 Dates],0)),"-")</f>
        <v>1.1709925764501181E-2</v>
      </c>
      <c r="L247" s="72">
        <f>Comp3[[#This Row],[Comparable '#3 Price]]/$B$2*100</f>
        <v>150.66973807695589</v>
      </c>
    </row>
    <row r="248" spans="1:12">
      <c r="A248" s="96">
        <v>43643</v>
      </c>
      <c r="B248" s="101">
        <v>180.43</v>
      </c>
      <c r="C248" s="1">
        <f t="shared" si="6"/>
        <v>2.1455602750347493E-2</v>
      </c>
      <c r="D248" s="1">
        <f>IFERROR(Comp3[[#This Row],[Comparable '#3 Return]]+1,"-")</f>
        <v>1.0214556027503474</v>
      </c>
      <c r="E248" s="6">
        <f>B248-MAX($B$2:B248)</f>
        <v>-4.3599999999999852</v>
      </c>
      <c r="F248" s="80">
        <f t="shared" si="7"/>
        <v>16</v>
      </c>
      <c r="G248" s="6">
        <f>IFERROR(Comp3[[#This Row],[Comparable '#3 Drawdown]]/MAX($B$2:B248),"-")</f>
        <v>-2.3594350343633233E-2</v>
      </c>
      <c r="H248" s="1" t="str">
        <f>IF(SUM(COUNTIF(Benchmark1[Benchmark '#1 Dates],Comp3[[#This Row],[Comparable '#3 Dates]]),COUNTIF(Benchmark2[Benchmark '#2 Dates],Comp3[[#This Row],[Comparable '#3 Dates]]))=2,"Pass","Fail")</f>
        <v>Pass</v>
      </c>
      <c r="I248" s="1">
        <f>IFERROR(Comp3[[#This Row],[Comparable '#3 Return]]-INDEX(Benchmark1[Benchmark '#1 Return],MATCH(Comp3[[#This Row],[Comparable '#3 Dates]],Benchmark1[Benchmark '#1 Dates],0)),"-")</f>
        <v>1.7638850049684879E-2</v>
      </c>
      <c r="L248" s="72">
        <f>Comp3[[#This Row],[Comparable '#3 Price]]/$B$2*100</f>
        <v>153.93737735688083</v>
      </c>
    </row>
    <row r="249" spans="1:12">
      <c r="A249" s="96">
        <v>43644</v>
      </c>
      <c r="B249" s="101">
        <v>178</v>
      </c>
      <c r="C249" s="1">
        <f t="shared" si="6"/>
        <v>-1.3559340628121957E-2</v>
      </c>
      <c r="D249" s="1">
        <f>IFERROR(Comp3[[#This Row],[Comparable '#3 Return]]+1,"-")</f>
        <v>0.98644065937187808</v>
      </c>
      <c r="E249" s="6">
        <f>B249-MAX($B$2:B249)</f>
        <v>-6.789999999999992</v>
      </c>
      <c r="F249" s="80">
        <f t="shared" si="7"/>
        <v>17</v>
      </c>
      <c r="G249" s="6">
        <f>IFERROR(Comp3[[#This Row],[Comparable '#3 Drawdown]]/MAX($B$2:B249),"-")</f>
        <v>-3.6744412576438075E-2</v>
      </c>
      <c r="H249" s="1" t="str">
        <f>IF(SUM(COUNTIF(Benchmark1[Benchmark '#1 Dates],Comp3[[#This Row],[Comparable '#3 Dates]]),COUNTIF(Benchmark2[Benchmark '#2 Dates],Comp3[[#This Row],[Comparable '#3 Dates]]))=2,"Pass","Fail")</f>
        <v>Pass</v>
      </c>
      <c r="I249" s="1">
        <f>IFERROR(Comp3[[#This Row],[Comparable '#3 Return]]-INDEX(Benchmark1[Benchmark '#1 Return],MATCH(Comp3[[#This Row],[Comparable '#3 Dates]],Benchmark1[Benchmark '#1 Dates],0)),"-")</f>
        <v>-1.9300058307489872E-2</v>
      </c>
      <c r="L249" s="72">
        <f>Comp3[[#This Row],[Comparable '#3 Price]]/$B$2*100</f>
        <v>151.86417541165432</v>
      </c>
    </row>
    <row r="250" spans="1:12">
      <c r="A250" s="96">
        <v>43647</v>
      </c>
      <c r="B250" s="101">
        <v>180.75</v>
      </c>
      <c r="C250" s="1">
        <f t="shared" si="6"/>
        <v>1.533131074678893E-2</v>
      </c>
      <c r="D250" s="1">
        <f>IFERROR(Comp3[[#This Row],[Comparable '#3 Return]]+1,"-")</f>
        <v>1.015331310746789</v>
      </c>
      <c r="E250" s="6">
        <f>B250-MAX($B$2:B250)</f>
        <v>-4.039999999999992</v>
      </c>
      <c r="F250" s="80">
        <f t="shared" si="7"/>
        <v>18</v>
      </c>
      <c r="G250" s="6">
        <f>IFERROR(Comp3[[#This Row],[Comparable '#3 Drawdown]]/MAX($B$2:B250),"-")</f>
        <v>-2.1862654905568442E-2</v>
      </c>
      <c r="H250" s="1" t="str">
        <f>IF(SUM(COUNTIF(Benchmark1[Benchmark '#1 Dates],Comp3[[#This Row],[Comparable '#3 Dates]]),COUNTIF(Benchmark2[Benchmark '#2 Dates],Comp3[[#This Row],[Comparable '#3 Dates]]))=2,"Pass","Fail")</f>
        <v>Pass</v>
      </c>
      <c r="I250" s="1">
        <f>IFERROR(Comp3[[#This Row],[Comparable '#3 Return]]-INDEX(Benchmark1[Benchmark '#1 Return],MATCH(Comp3[[#This Row],[Comparable '#3 Dates]],Benchmark1[Benchmark '#1 Dates],0)),"-")</f>
        <v>7.687572973687426E-3</v>
      </c>
      <c r="L250" s="72">
        <f>Comp3[[#This Row],[Comparable '#3 Price]]/$B$2*100</f>
        <v>154.21039160481189</v>
      </c>
    </row>
    <row r="251" spans="1:12">
      <c r="A251" s="96">
        <v>43648</v>
      </c>
      <c r="B251" s="101">
        <v>180.19</v>
      </c>
      <c r="C251" s="1">
        <f t="shared" si="6"/>
        <v>-3.1030113001512122E-3</v>
      </c>
      <c r="D251" s="1">
        <f>IFERROR(Comp3[[#This Row],[Comparable '#3 Return]]+1,"-")</f>
        <v>0.99689698869984877</v>
      </c>
      <c r="E251" s="6">
        <f>B251-MAX($B$2:B251)</f>
        <v>-4.5999999999999943</v>
      </c>
      <c r="F251" s="80">
        <f t="shared" si="7"/>
        <v>19</v>
      </c>
      <c r="G251" s="6">
        <f>IFERROR(Comp3[[#This Row],[Comparable '#3 Drawdown]]/MAX($B$2:B251),"-")</f>
        <v>-2.4893121922181908E-2</v>
      </c>
      <c r="H251" s="1" t="str">
        <f>IF(SUM(COUNTIF(Benchmark1[Benchmark '#1 Dates],Comp3[[#This Row],[Comparable '#3 Dates]]),COUNTIF(Benchmark2[Benchmark '#2 Dates],Comp3[[#This Row],[Comparable '#3 Dates]]))=2,"Pass","Fail")</f>
        <v>Pass</v>
      </c>
      <c r="I251" s="1">
        <f>IFERROR(Comp3[[#This Row],[Comparable '#3 Return]]-INDEX(Benchmark1[Benchmark '#1 Return],MATCH(Comp3[[#This Row],[Comparable '#3 Dates]],Benchmark1[Benchmark '#1 Dates],0)),"-")</f>
        <v>-6.0265711121288102E-3</v>
      </c>
      <c r="L251" s="72">
        <f>Comp3[[#This Row],[Comparable '#3 Price]]/$B$2*100</f>
        <v>153.73261667093252</v>
      </c>
    </row>
    <row r="252" spans="1:12">
      <c r="A252" s="96">
        <v>43649</v>
      </c>
      <c r="B252" s="101">
        <v>181.75</v>
      </c>
      <c r="C252" s="1">
        <f t="shared" si="6"/>
        <v>8.6202666749058462E-3</v>
      </c>
      <c r="D252" s="1">
        <f>IFERROR(Comp3[[#This Row],[Comparable '#3 Return]]+1,"-")</f>
        <v>1.0086202666749058</v>
      </c>
      <c r="E252" s="6">
        <f>B252-MAX($B$2:B252)</f>
        <v>-3.039999999999992</v>
      </c>
      <c r="F252" s="80">
        <f t="shared" si="7"/>
        <v>20</v>
      </c>
      <c r="G252" s="6">
        <f>IFERROR(Comp3[[#This Row],[Comparable '#3 Drawdown]]/MAX($B$2:B252),"-")</f>
        <v>-1.6451106661615846E-2</v>
      </c>
      <c r="H252" s="1" t="str">
        <f>IF(SUM(COUNTIF(Benchmark1[Benchmark '#1 Dates],Comp3[[#This Row],[Comparable '#3 Dates]]),COUNTIF(Benchmark2[Benchmark '#2 Dates],Comp3[[#This Row],[Comparable '#3 Dates]]))=2,"Pass","Fail")</f>
        <v>Pass</v>
      </c>
      <c r="I252" s="1">
        <f>IFERROR(Comp3[[#This Row],[Comparable '#3 Return]]-INDEX(Benchmark1[Benchmark '#1 Return],MATCH(Comp3[[#This Row],[Comparable '#3 Dates]],Benchmark1[Benchmark '#1 Dates],0)),"-")</f>
        <v>9.7697368507683978E-4</v>
      </c>
      <c r="L252" s="72">
        <f>Comp3[[#This Row],[Comparable '#3 Price]]/$B$2*100</f>
        <v>155.06356112959645</v>
      </c>
    </row>
    <row r="253" spans="1:12">
      <c r="A253" s="96">
        <v>43651</v>
      </c>
      <c r="B253" s="101">
        <v>181.21</v>
      </c>
      <c r="C253" s="1">
        <f t="shared" si="6"/>
        <v>-2.9755366895623612E-3</v>
      </c>
      <c r="D253" s="1">
        <f>IFERROR(Comp3[[#This Row],[Comparable '#3 Return]]+1,"-")</f>
        <v>0.99702446331043759</v>
      </c>
      <c r="E253" s="6">
        <f>B253-MAX($B$2:B253)</f>
        <v>-3.5799999999999841</v>
      </c>
      <c r="F253" s="80">
        <f t="shared" si="7"/>
        <v>21</v>
      </c>
      <c r="G253" s="6">
        <f>IFERROR(Comp3[[#This Row],[Comparable '#3 Drawdown]]/MAX($B$2:B253),"-")</f>
        <v>-1.9373342713350204E-2</v>
      </c>
      <c r="H253" s="1" t="str">
        <f>IF(SUM(COUNTIF(Benchmark1[Benchmark '#1 Dates],Comp3[[#This Row],[Comparable '#3 Dates]]),COUNTIF(Benchmark2[Benchmark '#2 Dates],Comp3[[#This Row],[Comparable '#3 Dates]]))=2,"Pass","Fail")</f>
        <v>Pass</v>
      </c>
      <c r="I253" s="1">
        <f>IFERROR(Comp3[[#This Row],[Comparable '#3 Return]]-INDEX(Benchmark1[Benchmark '#1 Return],MATCH(Comp3[[#This Row],[Comparable '#3 Dates]],Benchmark1[Benchmark '#1 Dates],0)),"-")</f>
        <v>-1.1670499065563101E-3</v>
      </c>
      <c r="L253" s="72">
        <f>Comp3[[#This Row],[Comparable '#3 Price]]/$B$2*100</f>
        <v>154.60284958621281</v>
      </c>
    </row>
    <row r="254" spans="1:12">
      <c r="A254" s="96">
        <v>43654</v>
      </c>
      <c r="B254" s="101">
        <v>180</v>
      </c>
      <c r="C254" s="1">
        <f t="shared" si="6"/>
        <v>-6.699728833856047E-3</v>
      </c>
      <c r="D254" s="1">
        <f>IFERROR(Comp3[[#This Row],[Comparable '#3 Return]]+1,"-")</f>
        <v>0.99330027116614394</v>
      </c>
      <c r="E254" s="6">
        <f>B254-MAX($B$2:B254)</f>
        <v>-4.789999999999992</v>
      </c>
      <c r="F254" s="80">
        <f t="shared" si="7"/>
        <v>22</v>
      </c>
      <c r="G254" s="6">
        <f>IFERROR(Comp3[[#This Row],[Comparable '#3 Drawdown]]/MAX($B$2:B254),"-")</f>
        <v>-2.5921316088532886E-2</v>
      </c>
      <c r="H254" s="1" t="str">
        <f>IF(SUM(COUNTIF(Benchmark1[Benchmark '#1 Dates],Comp3[[#This Row],[Comparable '#3 Dates]]),COUNTIF(Benchmark2[Benchmark '#2 Dates],Comp3[[#This Row],[Comparable '#3 Dates]]))=2,"Pass","Fail")</f>
        <v>Pass</v>
      </c>
      <c r="I254" s="1">
        <f>IFERROR(Comp3[[#This Row],[Comparable '#3 Return]]-INDEX(Benchmark1[Benchmark '#1 Return],MATCH(Comp3[[#This Row],[Comparable '#3 Dates]],Benchmark1[Benchmark '#1 Dates],0)),"-")</f>
        <v>-1.8511707049403379E-3</v>
      </c>
      <c r="L254" s="72">
        <f>Comp3[[#This Row],[Comparable '#3 Price]]/$B$2*100</f>
        <v>153.57051446122344</v>
      </c>
    </row>
    <row r="255" spans="1:12">
      <c r="A255" s="96">
        <v>43655</v>
      </c>
      <c r="B255" s="101">
        <v>181.19</v>
      </c>
      <c r="C255" s="1">
        <f t="shared" si="6"/>
        <v>6.589353557805773E-3</v>
      </c>
      <c r="D255" s="1">
        <f>IFERROR(Comp3[[#This Row],[Comparable '#3 Return]]+1,"-")</f>
        <v>1.0065893535578059</v>
      </c>
      <c r="E255" s="6">
        <f>B255-MAX($B$2:B255)</f>
        <v>-3.5999999999999943</v>
      </c>
      <c r="F255" s="80">
        <f t="shared" si="7"/>
        <v>23</v>
      </c>
      <c r="G255" s="6">
        <f>IFERROR(Comp3[[#This Row],[Comparable '#3 Drawdown]]/MAX($B$2:B255),"-")</f>
        <v>-1.9481573678229312E-2</v>
      </c>
      <c r="H255" s="1" t="str">
        <f>IF(SUM(COUNTIF(Benchmark1[Benchmark '#1 Dates],Comp3[[#This Row],[Comparable '#3 Dates]]),COUNTIF(Benchmark2[Benchmark '#2 Dates],Comp3[[#This Row],[Comparable '#3 Dates]]))=2,"Pass","Fail")</f>
        <v>Pass</v>
      </c>
      <c r="I255" s="1">
        <f>IFERROR(Comp3[[#This Row],[Comparable '#3 Return]]-INDEX(Benchmark1[Benchmark '#1 Return],MATCH(Comp3[[#This Row],[Comparable '#3 Dates]],Benchmark1[Benchmark '#1 Dates],0)),"-")</f>
        <v>5.3534334741396194E-3</v>
      </c>
      <c r="L255" s="72">
        <f>Comp3[[#This Row],[Comparable '#3 Price]]/$B$2*100</f>
        <v>154.58578619571711</v>
      </c>
    </row>
    <row r="256" spans="1:12">
      <c r="A256" s="96">
        <v>43656</v>
      </c>
      <c r="B256" s="101">
        <v>180.89</v>
      </c>
      <c r="C256" s="1">
        <f t="shared" si="6"/>
        <v>-1.6570927344725821E-3</v>
      </c>
      <c r="D256" s="1">
        <f>IFERROR(Comp3[[#This Row],[Comparable '#3 Return]]+1,"-")</f>
        <v>0.99834290726552744</v>
      </c>
      <c r="E256" s="6">
        <f>B256-MAX($B$2:B256)</f>
        <v>-3.9000000000000057</v>
      </c>
      <c r="F256" s="80">
        <f t="shared" si="7"/>
        <v>24</v>
      </c>
      <c r="G256" s="6">
        <f>IFERROR(Comp3[[#This Row],[Comparable '#3 Drawdown]]/MAX($B$2:B256),"-")</f>
        <v>-2.1105038151415151E-2</v>
      </c>
      <c r="H256" s="1" t="str">
        <f>IF(SUM(COUNTIF(Benchmark1[Benchmark '#1 Dates],Comp3[[#This Row],[Comparable '#3 Dates]]),COUNTIF(Benchmark2[Benchmark '#2 Dates],Comp3[[#This Row],[Comparable '#3 Dates]]))=2,"Pass","Fail")</f>
        <v>Pass</v>
      </c>
      <c r="I256" s="1">
        <f>IFERROR(Comp3[[#This Row],[Comparable '#3 Return]]-INDEX(Benchmark1[Benchmark '#1 Return],MATCH(Comp3[[#This Row],[Comparable '#3 Dates]],Benchmark1[Benchmark '#1 Dates],0)),"-")</f>
        <v>-6.1589710778179657E-3</v>
      </c>
      <c r="L256" s="72">
        <f>Comp3[[#This Row],[Comparable '#3 Price]]/$B$2*100</f>
        <v>154.3298353382817</v>
      </c>
    </row>
    <row r="257" spans="1:12">
      <c r="A257" s="96">
        <v>43657</v>
      </c>
      <c r="B257" s="101">
        <v>182.43</v>
      </c>
      <c r="C257" s="1">
        <f t="shared" si="6"/>
        <v>8.4774260865846506E-3</v>
      </c>
      <c r="D257" s="1">
        <f>IFERROR(Comp3[[#This Row],[Comparable '#3 Return]]+1,"-")</f>
        <v>1.0084774260865847</v>
      </c>
      <c r="E257" s="6">
        <f>B257-MAX($B$2:B257)</f>
        <v>-2.3599999999999852</v>
      </c>
      <c r="F257" s="80">
        <f t="shared" si="7"/>
        <v>25</v>
      </c>
      <c r="G257" s="6">
        <f>IFERROR(Comp3[[#This Row],[Comparable '#3 Drawdown]]/MAX($B$2:B257),"-")</f>
        <v>-1.2771253855728044E-2</v>
      </c>
      <c r="H257" s="1" t="str">
        <f>IF(SUM(COUNTIF(Benchmark1[Benchmark '#1 Dates],Comp3[[#This Row],[Comparable '#3 Dates]]),COUNTIF(Benchmark2[Benchmark '#2 Dates],Comp3[[#This Row],[Comparable '#3 Dates]]))=2,"Pass","Fail")</f>
        <v>Pass</v>
      </c>
      <c r="I257" s="1">
        <f>IFERROR(Comp3[[#This Row],[Comparable '#3 Return]]-INDEX(Benchmark1[Benchmark '#1 Return],MATCH(Comp3[[#This Row],[Comparable '#3 Dates]],Benchmark1[Benchmark '#1 Dates],0)),"-")</f>
        <v>6.1957579430995504E-3</v>
      </c>
      <c r="L257" s="72">
        <f>Comp3[[#This Row],[Comparable '#3 Price]]/$B$2*100</f>
        <v>155.64371640644998</v>
      </c>
    </row>
    <row r="258" spans="1:12">
      <c r="A258" s="96">
        <v>43658</v>
      </c>
      <c r="B258" s="101">
        <v>180.99</v>
      </c>
      <c r="C258" s="1">
        <f t="shared" ref="C258:C321" si="8">IFERROR(IF(B258="","-",LN(B258/B257)),"-")</f>
        <v>-7.924756679347944E-3</v>
      </c>
      <c r="D258" s="1">
        <f>IFERROR(Comp3[[#This Row],[Comparable '#3 Return]]+1,"-")</f>
        <v>0.99207524332065211</v>
      </c>
      <c r="E258" s="6">
        <f>B258-MAX($B$2:B258)</f>
        <v>-3.7999999999999829</v>
      </c>
      <c r="F258" s="80">
        <f t="shared" ref="F258:F321" si="9">IF(E258=0,0,F257+1)</f>
        <v>26</v>
      </c>
      <c r="G258" s="6">
        <f>IFERROR(Comp3[[#This Row],[Comparable '#3 Drawdown]]/MAX($B$2:B258),"-")</f>
        <v>-2.056388332701977E-2</v>
      </c>
      <c r="H258" s="1" t="str">
        <f>IF(SUM(COUNTIF(Benchmark1[Benchmark '#1 Dates],Comp3[[#This Row],[Comparable '#3 Dates]]),COUNTIF(Benchmark2[Benchmark '#2 Dates],Comp3[[#This Row],[Comparable '#3 Dates]]))=2,"Pass","Fail")</f>
        <v>Pass</v>
      </c>
      <c r="I258" s="1">
        <f>IFERROR(Comp3[[#This Row],[Comparable '#3 Return]]-INDEX(Benchmark1[Benchmark '#1 Return],MATCH(Comp3[[#This Row],[Comparable '#3 Dates]],Benchmark1[Benchmark '#1 Dates],0)),"-")</f>
        <v>-1.2536151792321294E-2</v>
      </c>
      <c r="L258" s="72">
        <f>Comp3[[#This Row],[Comparable '#3 Price]]/$B$2*100</f>
        <v>154.4151522907602</v>
      </c>
    </row>
    <row r="259" spans="1:12">
      <c r="A259" s="96">
        <v>43661</v>
      </c>
      <c r="B259" s="101">
        <v>183.58</v>
      </c>
      <c r="C259" s="1">
        <f t="shared" si="8"/>
        <v>1.420875867016496E-2</v>
      </c>
      <c r="D259" s="1">
        <f>IFERROR(Comp3[[#This Row],[Comparable '#3 Return]]+1,"-")</f>
        <v>1.0142087586701649</v>
      </c>
      <c r="E259" s="6">
        <f>B259-MAX($B$2:B259)</f>
        <v>-1.2099999999999795</v>
      </c>
      <c r="F259" s="80">
        <f t="shared" si="9"/>
        <v>27</v>
      </c>
      <c r="G259" s="6">
        <f>IFERROR(Comp3[[#This Row],[Comparable '#3 Drawdown]]/MAX($B$2:B259),"-")</f>
        <v>-6.5479733751825295E-3</v>
      </c>
      <c r="H259" s="1" t="str">
        <f>IF(SUM(COUNTIF(Benchmark1[Benchmark '#1 Dates],Comp3[[#This Row],[Comparable '#3 Dates]]),COUNTIF(Benchmark2[Benchmark '#2 Dates],Comp3[[#This Row],[Comparable '#3 Dates]]))=2,"Pass","Fail")</f>
        <v>Pass</v>
      </c>
      <c r="I259" s="1">
        <f>IFERROR(Comp3[[#This Row],[Comparable '#3 Return]]-INDEX(Benchmark1[Benchmark '#1 Return],MATCH(Comp3[[#This Row],[Comparable '#3 Dates]],Benchmark1[Benchmark '#1 Dates],0)),"-")</f>
        <v>1.403449523560335E-2</v>
      </c>
      <c r="L259" s="72">
        <f>Comp3[[#This Row],[Comparable '#3 Price]]/$B$2*100</f>
        <v>156.62486135995223</v>
      </c>
    </row>
    <row r="260" spans="1:12">
      <c r="A260" s="96">
        <v>43662</v>
      </c>
      <c r="B260" s="101">
        <v>181.84</v>
      </c>
      <c r="C260" s="1">
        <f t="shared" si="8"/>
        <v>-9.5233602466572535E-3</v>
      </c>
      <c r="D260" s="1">
        <f>IFERROR(Comp3[[#This Row],[Comparable '#3 Return]]+1,"-")</f>
        <v>0.99047663975334277</v>
      </c>
      <c r="E260" s="6">
        <f>B260-MAX($B$2:B260)</f>
        <v>-2.9499999999999886</v>
      </c>
      <c r="F260" s="80">
        <f t="shared" si="9"/>
        <v>28</v>
      </c>
      <c r="G260" s="6">
        <f>IFERROR(Comp3[[#This Row],[Comparable '#3 Drawdown]]/MAX($B$2:B260),"-")</f>
        <v>-1.5964067319660095E-2</v>
      </c>
      <c r="H260" s="1" t="str">
        <f>IF(SUM(COUNTIF(Benchmark1[Benchmark '#1 Dates],Comp3[[#This Row],[Comparable '#3 Dates]]),COUNTIF(Benchmark2[Benchmark '#2 Dates],Comp3[[#This Row],[Comparable '#3 Dates]]))=2,"Pass","Fail")</f>
        <v>Pass</v>
      </c>
      <c r="I260" s="1">
        <f>IFERROR(Comp3[[#This Row],[Comparable '#3 Return]]-INDEX(Benchmark1[Benchmark '#1 Return],MATCH(Comp3[[#This Row],[Comparable '#3 Dates]],Benchmark1[Benchmark '#1 Dates],0)),"-")</f>
        <v>-6.1155137241993372E-3</v>
      </c>
      <c r="L260" s="72">
        <f>Comp3[[#This Row],[Comparable '#3 Price]]/$B$2*100</f>
        <v>155.14034638682708</v>
      </c>
    </row>
    <row r="261" spans="1:12">
      <c r="A261" s="96">
        <v>43663</v>
      </c>
      <c r="B261" s="101">
        <v>180.11</v>
      </c>
      <c r="C261" s="1">
        <f t="shared" si="8"/>
        <v>-9.5594041953215685E-3</v>
      </c>
      <c r="D261" s="1">
        <f>IFERROR(Comp3[[#This Row],[Comparable '#3 Return]]+1,"-")</f>
        <v>0.99044059580467847</v>
      </c>
      <c r="E261" s="6">
        <f>B261-MAX($B$2:B261)</f>
        <v>-4.6799999999999784</v>
      </c>
      <c r="F261" s="80">
        <f t="shared" si="9"/>
        <v>29</v>
      </c>
      <c r="G261" s="6">
        <f>IFERROR(Comp3[[#This Row],[Comparable '#3 Drawdown]]/MAX($B$2:B261),"-")</f>
        <v>-2.5326045781698028E-2</v>
      </c>
      <c r="H261" s="1" t="str">
        <f>IF(SUM(COUNTIF(Benchmark1[Benchmark '#1 Dates],Comp3[[#This Row],[Comparable '#3 Dates]]),COUNTIF(Benchmark2[Benchmark '#2 Dates],Comp3[[#This Row],[Comparable '#3 Dates]]))=2,"Pass","Fail")</f>
        <v>Pass</v>
      </c>
      <c r="I261" s="1">
        <f>IFERROR(Comp3[[#This Row],[Comparable '#3 Return]]-INDEX(Benchmark1[Benchmark '#1 Return],MATCH(Comp3[[#This Row],[Comparable '#3 Dates]],Benchmark1[Benchmark '#1 Dates],0)),"-")</f>
        <v>-3.0069077276299976E-3</v>
      </c>
      <c r="L261" s="72">
        <f>Comp3[[#This Row],[Comparable '#3 Price]]/$B$2*100</f>
        <v>153.66436310894977</v>
      </c>
    </row>
    <row r="262" spans="1:12">
      <c r="A262" s="96">
        <v>43664</v>
      </c>
      <c r="B262" s="101">
        <v>188.04</v>
      </c>
      <c r="C262" s="1">
        <f t="shared" si="8"/>
        <v>4.3086930806963596E-2</v>
      </c>
      <c r="D262" s="1">
        <f>IFERROR(Comp3[[#This Row],[Comparable '#3 Return]]+1,"-")</f>
        <v>1.0430869308069637</v>
      </c>
      <c r="E262" s="6">
        <f>B262-MAX($B$2:B262)</f>
        <v>0</v>
      </c>
      <c r="F262" s="80">
        <f t="shared" si="9"/>
        <v>0</v>
      </c>
      <c r="G262" s="6">
        <f>IFERROR(Comp3[[#This Row],[Comparable '#3 Drawdown]]/MAX($B$2:B262),"-")</f>
        <v>0</v>
      </c>
      <c r="H262" s="1" t="str">
        <f>IF(SUM(COUNTIF(Benchmark1[Benchmark '#1 Dates],Comp3[[#This Row],[Comparable '#3 Dates]]),COUNTIF(Benchmark2[Benchmark '#2 Dates],Comp3[[#This Row],[Comparable '#3 Dates]]))=2,"Pass","Fail")</f>
        <v>Pass</v>
      </c>
      <c r="I262" s="1">
        <f>IFERROR(Comp3[[#This Row],[Comparable '#3 Return]]-INDEX(Benchmark1[Benchmark '#1 Return],MATCH(Comp3[[#This Row],[Comparable '#3 Dates]],Benchmark1[Benchmark '#1 Dates],0)),"-")</f>
        <v>3.9511735360245513E-2</v>
      </c>
      <c r="L262" s="72">
        <f>Comp3[[#This Row],[Comparable '#3 Price]]/$B$2*100</f>
        <v>160.42999744049143</v>
      </c>
    </row>
    <row r="263" spans="1:12">
      <c r="A263" s="96">
        <v>43665</v>
      </c>
      <c r="B263" s="101">
        <v>185.84</v>
      </c>
      <c r="C263" s="1">
        <f t="shared" si="8"/>
        <v>-1.1768617693776002E-2</v>
      </c>
      <c r="D263" s="1">
        <f>IFERROR(Comp3[[#This Row],[Comparable '#3 Return]]+1,"-")</f>
        <v>0.98823138230622398</v>
      </c>
      <c r="E263" s="6">
        <f>B263-MAX($B$2:B263)</f>
        <v>-2.1999999999999886</v>
      </c>
      <c r="F263" s="80">
        <f t="shared" si="9"/>
        <v>1</v>
      </c>
      <c r="G263" s="6">
        <f>IFERROR(Comp3[[#This Row],[Comparable '#3 Drawdown]]/MAX($B$2:B263),"-")</f>
        <v>-1.169963837481381E-2</v>
      </c>
      <c r="H263" s="1" t="str">
        <f>IF(SUM(COUNTIF(Benchmark1[Benchmark '#1 Dates],Comp3[[#This Row],[Comparable '#3 Dates]]),COUNTIF(Benchmark2[Benchmark '#2 Dates],Comp3[[#This Row],[Comparable '#3 Dates]]))=2,"Pass","Fail")</f>
        <v>Pass</v>
      </c>
      <c r="I263" s="1">
        <f>IFERROR(Comp3[[#This Row],[Comparable '#3 Return]]-INDEX(Benchmark1[Benchmark '#1 Return],MATCH(Comp3[[#This Row],[Comparable '#3 Dates]],Benchmark1[Benchmark '#1 Dates],0)),"-")</f>
        <v>-5.5715883475911648E-3</v>
      </c>
      <c r="L263" s="72">
        <f>Comp3[[#This Row],[Comparable '#3 Price]]/$B$2*100</f>
        <v>158.55302448596538</v>
      </c>
    </row>
    <row r="264" spans="1:12">
      <c r="A264" s="96">
        <v>43668</v>
      </c>
      <c r="B264" s="101">
        <v>186.11</v>
      </c>
      <c r="C264" s="1">
        <f t="shared" si="8"/>
        <v>1.4518082937185291E-3</v>
      </c>
      <c r="D264" s="1">
        <f>IFERROR(Comp3[[#This Row],[Comparable '#3 Return]]+1,"-")</f>
        <v>1.0014518082937185</v>
      </c>
      <c r="E264" s="6">
        <f>B264-MAX($B$2:B264)</f>
        <v>-1.9299999999999784</v>
      </c>
      <c r="F264" s="80">
        <f t="shared" si="9"/>
        <v>2</v>
      </c>
      <c r="G264" s="6">
        <f>IFERROR(Comp3[[#This Row],[Comparable '#3 Drawdown]]/MAX($B$2:B264),"-")</f>
        <v>-1.0263773665177507E-2</v>
      </c>
      <c r="H264" s="1" t="str">
        <f>IF(SUM(COUNTIF(Benchmark1[Benchmark '#1 Dates],Comp3[[#This Row],[Comparable '#3 Dates]]),COUNTIF(Benchmark2[Benchmark '#2 Dates],Comp3[[#This Row],[Comparable '#3 Dates]]))=2,"Pass","Fail")</f>
        <v>Pass</v>
      </c>
      <c r="I264" s="1">
        <f>IFERROR(Comp3[[#This Row],[Comparable '#3 Return]]-INDEX(Benchmark1[Benchmark '#1 Return],MATCH(Comp3[[#This Row],[Comparable '#3 Dates]],Benchmark1[Benchmark '#1 Dates],0)),"-")</f>
        <v>-1.3736235109049792E-3</v>
      </c>
      <c r="L264" s="72">
        <f>Comp3[[#This Row],[Comparable '#3 Price]]/$B$2*100</f>
        <v>158.7833802576572</v>
      </c>
    </row>
    <row r="265" spans="1:12">
      <c r="A265" s="96">
        <v>43669</v>
      </c>
      <c r="B265" s="101">
        <v>186.67</v>
      </c>
      <c r="C265" s="1">
        <f t="shared" si="8"/>
        <v>3.0044552886330793E-3</v>
      </c>
      <c r="D265" s="1">
        <f>IFERROR(Comp3[[#This Row],[Comparable '#3 Return]]+1,"-")</f>
        <v>1.003004455288633</v>
      </c>
      <c r="E265" s="6">
        <f>B265-MAX($B$2:B265)</f>
        <v>-1.3700000000000045</v>
      </c>
      <c r="F265" s="80">
        <f t="shared" si="9"/>
        <v>3</v>
      </c>
      <c r="G265" s="6">
        <f>IFERROR(Comp3[[#This Row],[Comparable '#3 Drawdown]]/MAX($B$2:B265),"-")</f>
        <v>-7.2856838970432065E-3</v>
      </c>
      <c r="H265" s="1" t="str">
        <f>IF(SUM(COUNTIF(Benchmark1[Benchmark '#1 Dates],Comp3[[#This Row],[Comparable '#3 Dates]]),COUNTIF(Benchmark2[Benchmark '#2 Dates],Comp3[[#This Row],[Comparable '#3 Dates]]))=2,"Pass","Fail")</f>
        <v>Pass</v>
      </c>
      <c r="I265" s="1">
        <f>IFERROR(Comp3[[#This Row],[Comparable '#3 Return]]-INDEX(Benchmark1[Benchmark '#1 Return],MATCH(Comp3[[#This Row],[Comparable '#3 Dates]],Benchmark1[Benchmark '#1 Dates],0)),"-")</f>
        <v>-3.8204826953690181E-3</v>
      </c>
      <c r="L265" s="72">
        <f>Comp3[[#This Row],[Comparable '#3 Price]]/$B$2*100</f>
        <v>159.26115519153657</v>
      </c>
    </row>
    <row r="266" spans="1:12">
      <c r="A266" s="96">
        <v>43670</v>
      </c>
      <c r="B266" s="101">
        <v>187.78</v>
      </c>
      <c r="C266" s="1">
        <f t="shared" si="8"/>
        <v>5.9287127858960271E-3</v>
      </c>
      <c r="D266" s="1">
        <f>IFERROR(Comp3[[#This Row],[Comparable '#3 Return]]+1,"-")</f>
        <v>1.005928712785896</v>
      </c>
      <c r="E266" s="6">
        <f>B266-MAX($B$2:B266)</f>
        <v>-0.25999999999999091</v>
      </c>
      <c r="F266" s="80">
        <f t="shared" si="9"/>
        <v>4</v>
      </c>
      <c r="G266" s="6">
        <f>IFERROR(Comp3[[#This Row],[Comparable '#3 Drawdown]]/MAX($B$2:B266),"-")</f>
        <v>-1.3826845352052273E-3</v>
      </c>
      <c r="H266" s="1" t="str">
        <f>IF(SUM(COUNTIF(Benchmark1[Benchmark '#1 Dates],Comp3[[#This Row],[Comparable '#3 Dates]]),COUNTIF(Benchmark2[Benchmark '#2 Dates],Comp3[[#This Row],[Comparable '#3 Dates]]))=2,"Pass","Fail")</f>
        <v>Pass</v>
      </c>
      <c r="I266" s="1">
        <f>IFERROR(Comp3[[#This Row],[Comparable '#3 Return]]-INDEX(Benchmark1[Benchmark '#1 Return],MATCH(Comp3[[#This Row],[Comparable '#3 Dates]],Benchmark1[Benchmark '#1 Dates],0)),"-")</f>
        <v>1.2538485472190115E-3</v>
      </c>
      <c r="L266" s="72">
        <f>Comp3[[#This Row],[Comparable '#3 Price]]/$B$2*100</f>
        <v>160.20817336404744</v>
      </c>
    </row>
    <row r="267" spans="1:12">
      <c r="A267" s="96">
        <v>43671</v>
      </c>
      <c r="B267" s="101">
        <v>186.39</v>
      </c>
      <c r="C267" s="1">
        <f t="shared" si="8"/>
        <v>-7.4298120866892426E-3</v>
      </c>
      <c r="D267" s="1">
        <f>IFERROR(Comp3[[#This Row],[Comparable '#3 Return]]+1,"-")</f>
        <v>0.99257018791331075</v>
      </c>
      <c r="E267" s="6">
        <f>B267-MAX($B$2:B267)</f>
        <v>-1.6500000000000057</v>
      </c>
      <c r="F267" s="80">
        <f t="shared" si="9"/>
        <v>5</v>
      </c>
      <c r="G267" s="6">
        <f>IFERROR(Comp3[[#This Row],[Comparable '#3 Drawdown]]/MAX($B$2:B267),"-")</f>
        <v>-8.7747287811104323E-3</v>
      </c>
      <c r="H267" s="1" t="str">
        <f>IF(SUM(COUNTIF(Benchmark1[Benchmark '#1 Dates],Comp3[[#This Row],[Comparable '#3 Dates]]),COUNTIF(Benchmark2[Benchmark '#2 Dates],Comp3[[#This Row],[Comparable '#3 Dates]]))=2,"Pass","Fail")</f>
        <v>Pass</v>
      </c>
      <c r="I267" s="1">
        <f>IFERROR(Comp3[[#This Row],[Comparable '#3 Return]]-INDEX(Benchmark1[Benchmark '#1 Return],MATCH(Comp3[[#This Row],[Comparable '#3 Dates]],Benchmark1[Benchmark '#1 Dates],0)),"-")</f>
        <v>-2.1551166479681803E-3</v>
      </c>
      <c r="L267" s="72">
        <f>Comp3[[#This Row],[Comparable '#3 Price]]/$B$2*100</f>
        <v>159.02226772459687</v>
      </c>
    </row>
    <row r="268" spans="1:12">
      <c r="A268" s="96">
        <v>43672</v>
      </c>
      <c r="B268" s="101">
        <v>187.6</v>
      </c>
      <c r="C268" s="1">
        <f t="shared" si="8"/>
        <v>6.4707838284122467E-3</v>
      </c>
      <c r="D268" s="1">
        <f>IFERROR(Comp3[[#This Row],[Comparable '#3 Return]]+1,"-")</f>
        <v>1.0064707838284122</v>
      </c>
      <c r="E268" s="6">
        <f>B268-MAX($B$2:B268)</f>
        <v>-0.43999999999999773</v>
      </c>
      <c r="F268" s="80">
        <f t="shared" si="9"/>
        <v>6</v>
      </c>
      <c r="G268" s="6">
        <f>IFERROR(Comp3[[#This Row],[Comparable '#3 Drawdown]]/MAX($B$2:B268),"-")</f>
        <v>-2.3399276749627618E-3</v>
      </c>
      <c r="H268" s="1" t="str">
        <f>IF(SUM(COUNTIF(Benchmark1[Benchmark '#1 Dates],Comp3[[#This Row],[Comparable '#3 Dates]]),COUNTIF(Benchmark2[Benchmark '#2 Dates],Comp3[[#This Row],[Comparable '#3 Dates]]))=2,"Pass","Fail")</f>
        <v>Pass</v>
      </c>
      <c r="I268" s="1">
        <f>IFERROR(Comp3[[#This Row],[Comparable '#3 Return]]-INDEX(Benchmark1[Benchmark '#1 Return],MATCH(Comp3[[#This Row],[Comparable '#3 Dates]],Benchmark1[Benchmark '#1 Dates],0)),"-")</f>
        <v>-8.8899237064245934E-4</v>
      </c>
      <c r="L268" s="72">
        <f>Comp3[[#This Row],[Comparable '#3 Price]]/$B$2*100</f>
        <v>160.05460284958622</v>
      </c>
    </row>
    <row r="269" spans="1:12">
      <c r="A269" s="96">
        <v>43675</v>
      </c>
      <c r="B269" s="101">
        <v>185.34</v>
      </c>
      <c r="C269" s="1">
        <f t="shared" si="8"/>
        <v>-1.2120060413578914E-2</v>
      </c>
      <c r="D269" s="1">
        <f>IFERROR(Comp3[[#This Row],[Comparable '#3 Return]]+1,"-")</f>
        <v>0.98787993958642106</v>
      </c>
      <c r="E269" s="6">
        <f>B269-MAX($B$2:B269)</f>
        <v>-2.6999999999999886</v>
      </c>
      <c r="F269" s="80">
        <f t="shared" si="9"/>
        <v>7</v>
      </c>
      <c r="G269" s="6">
        <f>IFERROR(Comp3[[#This Row],[Comparable '#3 Drawdown]]/MAX($B$2:B269),"-")</f>
        <v>-1.4358647096362417E-2</v>
      </c>
      <c r="H269" s="1" t="str">
        <f>IF(SUM(COUNTIF(Benchmark1[Benchmark '#1 Dates],Comp3[[#This Row],[Comparable '#3 Dates]]),COUNTIF(Benchmark2[Benchmark '#2 Dates],Comp3[[#This Row],[Comparable '#3 Dates]]))=2,"Pass","Fail")</f>
        <v>Pass</v>
      </c>
      <c r="I269" s="1">
        <f>IFERROR(Comp3[[#This Row],[Comparable '#3 Return]]-INDEX(Benchmark1[Benchmark '#1 Return],MATCH(Comp3[[#This Row],[Comparable '#3 Dates]],Benchmark1[Benchmark '#1 Dates],0)),"-")</f>
        <v>-1.0502343873758601E-2</v>
      </c>
      <c r="L269" s="72">
        <f>Comp3[[#This Row],[Comparable '#3 Price]]/$B$2*100</f>
        <v>158.12643972357307</v>
      </c>
    </row>
    <row r="270" spans="1:12">
      <c r="A270" s="96">
        <v>43676</v>
      </c>
      <c r="B270" s="101">
        <v>182.02</v>
      </c>
      <c r="C270" s="1">
        <f t="shared" si="8"/>
        <v>-1.8075405009335646E-2</v>
      </c>
      <c r="D270" s="1">
        <f>IFERROR(Comp3[[#This Row],[Comparable '#3 Return]]+1,"-")</f>
        <v>0.98192459499066431</v>
      </c>
      <c r="E270" s="6">
        <f>B270-MAX($B$2:B270)</f>
        <v>-6.0199999999999818</v>
      </c>
      <c r="F270" s="80">
        <f t="shared" si="9"/>
        <v>8</v>
      </c>
      <c r="G270" s="6">
        <f>IFERROR(Comp3[[#This Row],[Comparable '#3 Drawdown]]/MAX($B$2:B270),"-")</f>
        <v>-3.2014465007445127E-2</v>
      </c>
      <c r="H270" s="1" t="str">
        <f>IF(SUM(COUNTIF(Benchmark1[Benchmark '#1 Dates],Comp3[[#This Row],[Comparable '#3 Dates]]),COUNTIF(Benchmark2[Benchmark '#2 Dates],Comp3[[#This Row],[Comparable '#3 Dates]]))=2,"Pass","Fail")</f>
        <v>Pass</v>
      </c>
      <c r="I270" s="1">
        <f>IFERROR(Comp3[[#This Row],[Comparable '#3 Return]]-INDEX(Benchmark1[Benchmark '#1 Return],MATCH(Comp3[[#This Row],[Comparable '#3 Dates]],Benchmark1[Benchmark '#1 Dates],0)),"-")</f>
        <v>-1.5494672141017688E-2</v>
      </c>
      <c r="L270" s="72">
        <f>Comp3[[#This Row],[Comparable '#3 Price]]/$B$2*100</f>
        <v>155.2939169012883</v>
      </c>
    </row>
    <row r="271" spans="1:12">
      <c r="A271" s="96">
        <v>43677</v>
      </c>
      <c r="B271" s="101">
        <v>177.99</v>
      </c>
      <c r="C271" s="1">
        <f t="shared" si="8"/>
        <v>-2.2389202210548072E-2</v>
      </c>
      <c r="D271" s="1">
        <f>IFERROR(Comp3[[#This Row],[Comparable '#3 Return]]+1,"-")</f>
        <v>0.97761079778945192</v>
      </c>
      <c r="E271" s="6">
        <f>B271-MAX($B$2:B271)</f>
        <v>-10.049999999999983</v>
      </c>
      <c r="F271" s="80">
        <f t="shared" si="9"/>
        <v>9</v>
      </c>
      <c r="G271" s="6">
        <f>IFERROR(Comp3[[#This Row],[Comparable '#3 Drawdown]]/MAX($B$2:B271),"-")</f>
        <v>-5.3446075303126908E-2</v>
      </c>
      <c r="H271" s="1" t="str">
        <f>IF(SUM(COUNTIF(Benchmark1[Benchmark '#1 Dates],Comp3[[#This Row],[Comparable '#3 Dates]]),COUNTIF(Benchmark2[Benchmark '#2 Dates],Comp3[[#This Row],[Comparable '#3 Dates]]))=2,"Pass","Fail")</f>
        <v>Pass</v>
      </c>
      <c r="I271" s="1">
        <f>IFERROR(Comp3[[#This Row],[Comparable '#3 Return]]-INDEX(Benchmark1[Benchmark '#1 Return],MATCH(Comp3[[#This Row],[Comparable '#3 Dates]],Benchmark1[Benchmark '#1 Dates],0)),"-")</f>
        <v>-1.1443009360951788E-2</v>
      </c>
      <c r="L271" s="72">
        <f>Comp3[[#This Row],[Comparable '#3 Price]]/$B$2*100</f>
        <v>151.85564371640646</v>
      </c>
    </row>
    <row r="272" spans="1:12">
      <c r="A272" s="96">
        <v>43678</v>
      </c>
      <c r="B272" s="101">
        <v>176.96</v>
      </c>
      <c r="C272" s="1">
        <f t="shared" si="8"/>
        <v>-5.8036506046915525E-3</v>
      </c>
      <c r="D272" s="1">
        <f>IFERROR(Comp3[[#This Row],[Comparable '#3 Return]]+1,"-")</f>
        <v>0.99419634939530843</v>
      </c>
      <c r="E272" s="6">
        <f>B272-MAX($B$2:B272)</f>
        <v>-11.079999999999984</v>
      </c>
      <c r="F272" s="80">
        <f t="shared" si="9"/>
        <v>10</v>
      </c>
      <c r="G272" s="6">
        <f>IFERROR(Comp3[[#This Row],[Comparable '#3 Drawdown]]/MAX($B$2:B272),"-")</f>
        <v>-5.8923633269517044E-2</v>
      </c>
      <c r="H272" s="1" t="str">
        <f>IF(SUM(COUNTIF(Benchmark1[Benchmark '#1 Dates],Comp3[[#This Row],[Comparable '#3 Dates]]),COUNTIF(Benchmark2[Benchmark '#2 Dates],Comp3[[#This Row],[Comparable '#3 Dates]]))=2,"Pass","Fail")</f>
        <v>Pass</v>
      </c>
      <c r="I272" s="1">
        <f>IFERROR(Comp3[[#This Row],[Comparable '#3 Return]]-INDEX(Benchmark1[Benchmark '#1 Return],MATCH(Comp3[[#This Row],[Comparable '#3 Dates]],Benchmark1[Benchmark '#1 Dates],0)),"-")</f>
        <v>3.2355099063703565E-3</v>
      </c>
      <c r="L272" s="72">
        <f>Comp3[[#This Row],[Comparable '#3 Price]]/$B$2*100</f>
        <v>150.97687910587837</v>
      </c>
    </row>
    <row r="273" spans="1:12">
      <c r="A273" s="96">
        <v>43679</v>
      </c>
      <c r="B273" s="101">
        <v>175.29</v>
      </c>
      <c r="C273" s="1">
        <f t="shared" si="8"/>
        <v>-9.4819730995146668E-3</v>
      </c>
      <c r="D273" s="1">
        <f>IFERROR(Comp3[[#This Row],[Comparable '#3 Return]]+1,"-")</f>
        <v>0.99051802690048529</v>
      </c>
      <c r="E273" s="6">
        <f>B273-MAX($B$2:B273)</f>
        <v>-12.75</v>
      </c>
      <c r="F273" s="80">
        <f t="shared" si="9"/>
        <v>11</v>
      </c>
      <c r="G273" s="6">
        <f>IFERROR(Comp3[[#This Row],[Comparable '#3 Drawdown]]/MAX($B$2:B273),"-")</f>
        <v>-6.7804722399489467E-2</v>
      </c>
      <c r="H273" s="1" t="str">
        <f>IF(SUM(COUNTIF(Benchmark1[Benchmark '#1 Dates],Comp3[[#This Row],[Comparable '#3 Dates]]),COUNTIF(Benchmark2[Benchmark '#2 Dates],Comp3[[#This Row],[Comparable '#3 Dates]]))=2,"Pass","Fail")</f>
        <v>Pass</v>
      </c>
      <c r="I273" s="1">
        <f>IFERROR(Comp3[[#This Row],[Comparable '#3 Return]]-INDEX(Benchmark1[Benchmark '#1 Return],MATCH(Comp3[[#This Row],[Comparable '#3 Dates]],Benchmark1[Benchmark '#1 Dates],0)),"-")</f>
        <v>-2.1709113333810348E-3</v>
      </c>
      <c r="L273" s="72">
        <f>Comp3[[#This Row],[Comparable '#3 Price]]/$B$2*100</f>
        <v>149.5520859994881</v>
      </c>
    </row>
    <row r="274" spans="1:12">
      <c r="A274" s="96">
        <v>43682</v>
      </c>
      <c r="B274" s="101">
        <v>167.27</v>
      </c>
      <c r="C274" s="1">
        <f t="shared" si="8"/>
        <v>-4.683247191053793E-2</v>
      </c>
      <c r="D274" s="1">
        <f>IFERROR(Comp3[[#This Row],[Comparable '#3 Return]]+1,"-")</f>
        <v>0.95316752808946204</v>
      </c>
      <c r="E274" s="6">
        <f>B274-MAX($B$2:B274)</f>
        <v>-20.769999999999982</v>
      </c>
      <c r="F274" s="80">
        <f t="shared" si="9"/>
        <v>12</v>
      </c>
      <c r="G274" s="6">
        <f>IFERROR(Comp3[[#This Row],[Comparable '#3 Drawdown]]/MAX($B$2:B274),"-")</f>
        <v>-0.11045522229312903</v>
      </c>
      <c r="H274" s="1" t="str">
        <f>IF(SUM(COUNTIF(Benchmark1[Benchmark '#1 Dates],Comp3[[#This Row],[Comparable '#3 Dates]]),COUNTIF(Benchmark2[Benchmark '#2 Dates],Comp3[[#This Row],[Comparable '#3 Dates]]))=2,"Pass","Fail")</f>
        <v>Pass</v>
      </c>
      <c r="I274" s="1">
        <f>IFERROR(Comp3[[#This Row],[Comparable '#3 Return]]-INDEX(Benchmark1[Benchmark '#1 Return],MATCH(Comp3[[#This Row],[Comparable '#3 Dates]],Benchmark1[Benchmark '#1 Dates],0)),"-")</f>
        <v>-1.660489641816695E-2</v>
      </c>
      <c r="L274" s="72">
        <f>Comp3[[#This Row],[Comparable '#3 Price]]/$B$2*100</f>
        <v>142.70966641071584</v>
      </c>
    </row>
    <row r="275" spans="1:12">
      <c r="A275" s="96">
        <v>43683</v>
      </c>
      <c r="B275" s="101">
        <v>171.37</v>
      </c>
      <c r="C275" s="1">
        <f t="shared" si="8"/>
        <v>2.4215688348840358E-2</v>
      </c>
      <c r="D275" s="1">
        <f>IFERROR(Comp3[[#This Row],[Comparable '#3 Return]]+1,"-")</f>
        <v>1.0242156883488405</v>
      </c>
      <c r="E275" s="6">
        <f>B275-MAX($B$2:B275)</f>
        <v>-16.669999999999987</v>
      </c>
      <c r="F275" s="80">
        <f t="shared" si="9"/>
        <v>13</v>
      </c>
      <c r="G275" s="6">
        <f>IFERROR(Comp3[[#This Row],[Comparable '#3 Drawdown]]/MAX($B$2:B275),"-")</f>
        <v>-8.8651350776430479E-2</v>
      </c>
      <c r="H275" s="1" t="str">
        <f>IF(SUM(COUNTIF(Benchmark1[Benchmark '#1 Dates],Comp3[[#This Row],[Comparable '#3 Dates]]),COUNTIF(Benchmark2[Benchmark '#2 Dates],Comp3[[#This Row],[Comparable '#3 Dates]]))=2,"Pass","Fail")</f>
        <v>Pass</v>
      </c>
      <c r="I275" s="1">
        <f>IFERROR(Comp3[[#This Row],[Comparable '#3 Return]]-INDEX(Benchmark1[Benchmark '#1 Return],MATCH(Comp3[[#This Row],[Comparable '#3 Dates]],Benchmark1[Benchmark '#1 Dates],0)),"-")</f>
        <v>1.1282212901700088E-2</v>
      </c>
      <c r="L275" s="72">
        <f>Comp3[[#This Row],[Comparable '#3 Price]]/$B$2*100</f>
        <v>146.20766146233257</v>
      </c>
    </row>
    <row r="276" spans="1:12">
      <c r="A276" s="96">
        <v>43684</v>
      </c>
      <c r="B276" s="101">
        <v>172.57</v>
      </c>
      <c r="C276" s="1">
        <f t="shared" si="8"/>
        <v>6.9779895867297494E-3</v>
      </c>
      <c r="D276" s="1">
        <f>IFERROR(Comp3[[#This Row],[Comparable '#3 Return]]+1,"-")</f>
        <v>1.0069779895867297</v>
      </c>
      <c r="E276" s="6">
        <f>B276-MAX($B$2:B276)</f>
        <v>-15.469999999999999</v>
      </c>
      <c r="F276" s="80">
        <f t="shared" si="9"/>
        <v>14</v>
      </c>
      <c r="G276" s="6">
        <f>IFERROR(Comp3[[#This Row],[Comparable '#3 Drawdown]]/MAX($B$2:B276),"-")</f>
        <v>-8.2269729844713882E-2</v>
      </c>
      <c r="H276" s="1" t="str">
        <f>IF(SUM(COUNTIF(Benchmark1[Benchmark '#1 Dates],Comp3[[#This Row],[Comparable '#3 Dates]]),COUNTIF(Benchmark2[Benchmark '#2 Dates],Comp3[[#This Row],[Comparable '#3 Dates]]))=2,"Pass","Fail")</f>
        <v>Pass</v>
      </c>
      <c r="I276" s="1">
        <f>IFERROR(Comp3[[#This Row],[Comparable '#3 Return]]-INDEX(Benchmark1[Benchmark '#1 Return],MATCH(Comp3[[#This Row],[Comparable '#3 Dates]],Benchmark1[Benchmark '#1 Dates],0)),"-")</f>
        <v>6.2112759071206317E-3</v>
      </c>
      <c r="L276" s="72">
        <f>Comp3[[#This Row],[Comparable '#3 Price]]/$B$2*100</f>
        <v>147.23146489207406</v>
      </c>
    </row>
    <row r="277" spans="1:12">
      <c r="A277" s="96">
        <v>43685</v>
      </c>
      <c r="B277" s="101">
        <v>175.72</v>
      </c>
      <c r="C277" s="1">
        <f t="shared" si="8"/>
        <v>1.8088867848091227E-2</v>
      </c>
      <c r="D277" s="1">
        <f>IFERROR(Comp3[[#This Row],[Comparable '#3 Return]]+1,"-")</f>
        <v>1.0180888678480913</v>
      </c>
      <c r="E277" s="6">
        <f>B277-MAX($B$2:B277)</f>
        <v>-12.319999999999993</v>
      </c>
      <c r="F277" s="80">
        <f t="shared" si="9"/>
        <v>15</v>
      </c>
      <c r="G277" s="6">
        <f>IFERROR(Comp3[[#This Row],[Comparable '#3 Drawdown]]/MAX($B$2:B277),"-")</f>
        <v>-6.5517974898957637E-2</v>
      </c>
      <c r="H277" s="1" t="str">
        <f>IF(SUM(COUNTIF(Benchmark1[Benchmark '#1 Dates],Comp3[[#This Row],[Comparable '#3 Dates]]),COUNTIF(Benchmark2[Benchmark '#2 Dates],Comp3[[#This Row],[Comparable '#3 Dates]]))=2,"Pass","Fail")</f>
        <v>Pass</v>
      </c>
      <c r="I277" s="1">
        <f>IFERROR(Comp3[[#This Row],[Comparable '#3 Return]]-INDEX(Benchmark1[Benchmark '#1 Return],MATCH(Comp3[[#This Row],[Comparable '#3 Dates]],Benchmark1[Benchmark '#1 Dates],0)),"-")</f>
        <v>-4.9956689741572843E-4</v>
      </c>
      <c r="L277" s="72">
        <f>Comp3[[#This Row],[Comparable '#3 Price]]/$B$2*100</f>
        <v>149.91894889514549</v>
      </c>
    </row>
    <row r="278" spans="1:12">
      <c r="A278" s="96">
        <v>43686</v>
      </c>
      <c r="B278" s="101">
        <v>174.01</v>
      </c>
      <c r="C278" s="1">
        <f t="shared" si="8"/>
        <v>-9.7790502800918812E-3</v>
      </c>
      <c r="D278" s="1">
        <f>IFERROR(Comp3[[#This Row],[Comparable '#3 Return]]+1,"-")</f>
        <v>0.99022094971990815</v>
      </c>
      <c r="E278" s="6">
        <f>B278-MAX($B$2:B278)</f>
        <v>-14.030000000000001</v>
      </c>
      <c r="F278" s="80">
        <f t="shared" si="9"/>
        <v>16</v>
      </c>
      <c r="G278" s="6">
        <f>IFERROR(Comp3[[#This Row],[Comparable '#3 Drawdown]]/MAX($B$2:B278),"-")</f>
        <v>-7.4611784726653918E-2</v>
      </c>
      <c r="H278" s="1" t="str">
        <f>IF(SUM(COUNTIF(Benchmark1[Benchmark '#1 Dates],Comp3[[#This Row],[Comparable '#3 Dates]]),COUNTIF(Benchmark2[Benchmark '#2 Dates],Comp3[[#This Row],[Comparable '#3 Dates]]))=2,"Pass","Fail")</f>
        <v>Pass</v>
      </c>
      <c r="I278" s="1">
        <f>IFERROR(Comp3[[#This Row],[Comparable '#3 Return]]-INDEX(Benchmark1[Benchmark '#1 Return],MATCH(Comp3[[#This Row],[Comparable '#3 Dates]],Benchmark1[Benchmark '#1 Dates],0)),"-")</f>
        <v>-3.1374731337111324E-3</v>
      </c>
      <c r="L278" s="72">
        <f>Comp3[[#This Row],[Comparable '#3 Price]]/$B$2*100</f>
        <v>148.46002900776384</v>
      </c>
    </row>
    <row r="279" spans="1:12">
      <c r="A279" s="96">
        <v>43689</v>
      </c>
      <c r="B279" s="101">
        <v>170.8</v>
      </c>
      <c r="C279" s="1">
        <f t="shared" si="8"/>
        <v>-1.8619487473017404E-2</v>
      </c>
      <c r="D279" s="1">
        <f>IFERROR(Comp3[[#This Row],[Comparable '#3 Return]]+1,"-")</f>
        <v>0.98138051252698255</v>
      </c>
      <c r="E279" s="6">
        <f>B279-MAX($B$2:B279)</f>
        <v>-17.239999999999981</v>
      </c>
      <c r="F279" s="80">
        <f t="shared" si="9"/>
        <v>17</v>
      </c>
      <c r="G279" s="6">
        <f>IFERROR(Comp3[[#This Row],[Comparable '#3 Drawdown]]/MAX($B$2:B279),"-")</f>
        <v>-9.1682620718995855E-2</v>
      </c>
      <c r="H279" s="1" t="str">
        <f>IF(SUM(COUNTIF(Benchmark1[Benchmark '#1 Dates],Comp3[[#This Row],[Comparable '#3 Dates]]),COUNTIF(Benchmark2[Benchmark '#2 Dates],Comp3[[#This Row],[Comparable '#3 Dates]]))=2,"Pass","Fail")</f>
        <v>Pass</v>
      </c>
      <c r="I279" s="1">
        <f>IFERROR(Comp3[[#This Row],[Comparable '#3 Return]]-INDEX(Benchmark1[Benchmark '#1 Return],MATCH(Comp3[[#This Row],[Comparable '#3 Dates]],Benchmark1[Benchmark '#1 Dates],0)),"-")</f>
        <v>-6.5913442152960595E-3</v>
      </c>
      <c r="L279" s="72">
        <f>Comp3[[#This Row],[Comparable '#3 Price]]/$B$2*100</f>
        <v>145.7213548332054</v>
      </c>
    </row>
    <row r="280" spans="1:12">
      <c r="A280" s="96">
        <v>43690</v>
      </c>
      <c r="B280" s="101">
        <v>173.44</v>
      </c>
      <c r="C280" s="1">
        <f t="shared" si="8"/>
        <v>1.5338436896811742E-2</v>
      </c>
      <c r="D280" s="1">
        <f>IFERROR(Comp3[[#This Row],[Comparable '#3 Return]]+1,"-")</f>
        <v>1.0153384368968117</v>
      </c>
      <c r="E280" s="6">
        <f>B280-MAX($B$2:B280)</f>
        <v>-14.599999999999994</v>
      </c>
      <c r="F280" s="80">
        <f t="shared" si="9"/>
        <v>18</v>
      </c>
      <c r="G280" s="6">
        <f>IFERROR(Comp3[[#This Row],[Comparable '#3 Drawdown]]/MAX($B$2:B280),"-")</f>
        <v>-7.7643054669219294E-2</v>
      </c>
      <c r="H280" s="1" t="str">
        <f>IF(SUM(COUNTIF(Benchmark1[Benchmark '#1 Dates],Comp3[[#This Row],[Comparable '#3 Dates]]),COUNTIF(Benchmark2[Benchmark '#2 Dates],Comp3[[#This Row],[Comparable '#3 Dates]]))=2,"Pass","Fail")</f>
        <v>Pass</v>
      </c>
      <c r="I280" s="1">
        <f>IFERROR(Comp3[[#This Row],[Comparable '#3 Return]]-INDEX(Benchmark1[Benchmark '#1 Return],MATCH(Comp3[[#This Row],[Comparable '#3 Dates]],Benchmark1[Benchmark '#1 Dates],0)),"-")</f>
        <v>6.8267610785006753E-4</v>
      </c>
      <c r="L280" s="72">
        <f>Comp3[[#This Row],[Comparable '#3 Price]]/$B$2*100</f>
        <v>147.97372237863664</v>
      </c>
    </row>
    <row r="281" spans="1:12">
      <c r="A281" s="96">
        <v>43691</v>
      </c>
      <c r="B281" s="101">
        <v>170.7</v>
      </c>
      <c r="C281" s="1">
        <f t="shared" si="8"/>
        <v>-1.5924088450886546E-2</v>
      </c>
      <c r="D281" s="1">
        <f>IFERROR(Comp3[[#This Row],[Comparable '#3 Return]]+1,"-")</f>
        <v>0.98407591154911345</v>
      </c>
      <c r="E281" s="6">
        <f>B281-MAX($B$2:B281)</f>
        <v>-17.340000000000003</v>
      </c>
      <c r="F281" s="80">
        <f t="shared" si="9"/>
        <v>19</v>
      </c>
      <c r="G281" s="6">
        <f>IFERROR(Comp3[[#This Row],[Comparable '#3 Drawdown]]/MAX($B$2:B281),"-")</f>
        <v>-9.2214422463305704E-2</v>
      </c>
      <c r="H281" s="1" t="str">
        <f>IF(SUM(COUNTIF(Benchmark1[Benchmark '#1 Dates],Comp3[[#This Row],[Comparable '#3 Dates]]),COUNTIF(Benchmark2[Benchmark '#2 Dates],Comp3[[#This Row],[Comparable '#3 Dates]]))=2,"Pass","Fail")</f>
        <v>Pass</v>
      </c>
      <c r="I281" s="1">
        <f>IFERROR(Comp3[[#This Row],[Comparable '#3 Return]]-INDEX(Benchmark1[Benchmark '#1 Return],MATCH(Comp3[[#This Row],[Comparable '#3 Dates]],Benchmark1[Benchmark '#1 Dates],0)),"-")</f>
        <v>1.3808509891977318E-2</v>
      </c>
      <c r="L281" s="72">
        <f>Comp3[[#This Row],[Comparable '#3 Price]]/$B$2*100</f>
        <v>145.63603788072689</v>
      </c>
    </row>
    <row r="282" spans="1:12">
      <c r="A282" s="96">
        <v>43692</v>
      </c>
      <c r="B282" s="101">
        <v>172.97</v>
      </c>
      <c r="C282" s="1">
        <f t="shared" si="8"/>
        <v>1.3210539255437128E-2</v>
      </c>
      <c r="D282" s="1">
        <f>IFERROR(Comp3[[#This Row],[Comparable '#3 Return]]+1,"-")</f>
        <v>1.0132105392554371</v>
      </c>
      <c r="E282" s="6">
        <f>B282-MAX($B$2:B282)</f>
        <v>-15.069999999999993</v>
      </c>
      <c r="F282" s="80">
        <f t="shared" si="9"/>
        <v>20</v>
      </c>
      <c r="G282" s="6">
        <f>IFERROR(Comp3[[#This Row],[Comparable '#3 Drawdown]]/MAX($B$2:B282),"-")</f>
        <v>-8.0142522867474975E-2</v>
      </c>
      <c r="H282" s="1" t="str">
        <f>IF(SUM(COUNTIF(Benchmark1[Benchmark '#1 Dates],Comp3[[#This Row],[Comparable '#3 Dates]]),COUNTIF(Benchmark2[Benchmark '#2 Dates],Comp3[[#This Row],[Comparable '#3 Dates]]))=2,"Pass","Fail")</f>
        <v>Pass</v>
      </c>
      <c r="I282" s="1">
        <f>IFERROR(Comp3[[#This Row],[Comparable '#3 Return]]-INDEX(Benchmark1[Benchmark '#1 Return],MATCH(Comp3[[#This Row],[Comparable '#3 Dates]],Benchmark1[Benchmark '#1 Dates],0)),"-")</f>
        <v>1.0750431442047393E-2</v>
      </c>
      <c r="L282" s="72">
        <f>Comp3[[#This Row],[Comparable '#3 Price]]/$B$2*100</f>
        <v>147.57273270198789</v>
      </c>
    </row>
    <row r="283" spans="1:12">
      <c r="A283" s="96">
        <v>43693</v>
      </c>
      <c r="B283" s="101">
        <v>175.17</v>
      </c>
      <c r="C283" s="1">
        <f t="shared" si="8"/>
        <v>1.2638761907723827E-2</v>
      </c>
      <c r="D283" s="1">
        <f>IFERROR(Comp3[[#This Row],[Comparable '#3 Return]]+1,"-")</f>
        <v>1.0126387619077237</v>
      </c>
      <c r="E283" s="6">
        <f>B283-MAX($B$2:B283)</f>
        <v>-12.870000000000005</v>
      </c>
      <c r="F283" s="80">
        <f t="shared" si="9"/>
        <v>21</v>
      </c>
      <c r="G283" s="6">
        <f>IFERROR(Comp3[[#This Row],[Comparable '#3 Drawdown]]/MAX($B$2:B283),"-")</f>
        <v>-6.8442884492661157E-2</v>
      </c>
      <c r="H283" s="1" t="str">
        <f>IF(SUM(COUNTIF(Benchmark1[Benchmark '#1 Dates],Comp3[[#This Row],[Comparable '#3 Dates]]),COUNTIF(Benchmark2[Benchmark '#2 Dates],Comp3[[#This Row],[Comparable '#3 Dates]]))=2,"Pass","Fail")</f>
        <v>Pass</v>
      </c>
      <c r="I283" s="1">
        <f>IFERROR(Comp3[[#This Row],[Comparable '#3 Return]]-INDEX(Benchmark1[Benchmark '#1 Return],MATCH(Comp3[[#This Row],[Comparable '#3 Dates]],Benchmark1[Benchmark '#1 Dates],0)),"-")</f>
        <v>-1.6853889190101331E-3</v>
      </c>
      <c r="L283" s="72">
        <f>Comp3[[#This Row],[Comparable '#3 Price]]/$B$2*100</f>
        <v>149.44970565651394</v>
      </c>
    </row>
    <row r="284" spans="1:12">
      <c r="A284" s="96">
        <v>43696</v>
      </c>
      <c r="B284" s="101">
        <v>178.97</v>
      </c>
      <c r="C284" s="1">
        <f t="shared" si="8"/>
        <v>2.14612630657612E-2</v>
      </c>
      <c r="D284" s="1">
        <f>IFERROR(Comp3[[#This Row],[Comparable '#3 Return]]+1,"-")</f>
        <v>1.0214612630657611</v>
      </c>
      <c r="E284" s="6">
        <f>B284-MAX($B$2:B284)</f>
        <v>-9.0699999999999932</v>
      </c>
      <c r="F284" s="80">
        <f t="shared" si="9"/>
        <v>22</v>
      </c>
      <c r="G284" s="6">
        <f>IFERROR(Comp3[[#This Row],[Comparable '#3 Drawdown]]/MAX($B$2:B284),"-")</f>
        <v>-4.823441820889169E-2</v>
      </c>
      <c r="H284" s="1" t="str">
        <f>IF(SUM(COUNTIF(Benchmark1[Benchmark '#1 Dates],Comp3[[#This Row],[Comparable '#3 Dates]]),COUNTIF(Benchmark2[Benchmark '#2 Dates],Comp3[[#This Row],[Comparable '#3 Dates]]))=2,"Pass","Fail")</f>
        <v>Pass</v>
      </c>
      <c r="I284" s="1">
        <f>IFERROR(Comp3[[#This Row],[Comparable '#3 Return]]-INDEX(Benchmark1[Benchmark '#1 Return],MATCH(Comp3[[#This Row],[Comparable '#3 Dates]],Benchmark1[Benchmark '#1 Dates],0)),"-")</f>
        <v>9.4279857768890789E-3</v>
      </c>
      <c r="L284" s="72">
        <f>Comp3[[#This Row],[Comparable '#3 Price]]/$B$2*100</f>
        <v>152.69174985069535</v>
      </c>
    </row>
    <row r="285" spans="1:12">
      <c r="A285" s="96">
        <v>43697</v>
      </c>
      <c r="B285" s="101">
        <v>177.65</v>
      </c>
      <c r="C285" s="1">
        <f t="shared" si="8"/>
        <v>-7.4028715622808427E-3</v>
      </c>
      <c r="D285" s="1">
        <f>IFERROR(Comp3[[#This Row],[Comparable '#3 Return]]+1,"-")</f>
        <v>0.99259712843771919</v>
      </c>
      <c r="E285" s="6">
        <f>B285-MAX($B$2:B285)</f>
        <v>-10.389999999999986</v>
      </c>
      <c r="F285" s="80">
        <f t="shared" si="9"/>
        <v>23</v>
      </c>
      <c r="G285" s="6">
        <f>IFERROR(Comp3[[#This Row],[Comparable '#3 Drawdown]]/MAX($B$2:B285),"-")</f>
        <v>-5.5254201233779977E-2</v>
      </c>
      <c r="H285" s="1" t="str">
        <f>IF(SUM(COUNTIF(Benchmark1[Benchmark '#1 Dates],Comp3[[#This Row],[Comparable '#3 Dates]]),COUNTIF(Benchmark2[Benchmark '#2 Dates],Comp3[[#This Row],[Comparable '#3 Dates]]))=2,"Pass","Fail")</f>
        <v>Pass</v>
      </c>
      <c r="I285" s="1">
        <f>IFERROR(Comp3[[#This Row],[Comparable '#3 Return]]-INDEX(Benchmark1[Benchmark '#1 Return],MATCH(Comp3[[#This Row],[Comparable '#3 Dates]],Benchmark1[Benchmark '#1 Dates],0)),"-")</f>
        <v>5.4268140488651553E-4</v>
      </c>
      <c r="L285" s="72">
        <f>Comp3[[#This Row],[Comparable '#3 Price]]/$B$2*100</f>
        <v>151.5655660779797</v>
      </c>
    </row>
    <row r="286" spans="1:12">
      <c r="A286" s="96">
        <v>43698</v>
      </c>
      <c r="B286" s="101">
        <v>176.99</v>
      </c>
      <c r="C286" s="1">
        <f t="shared" si="8"/>
        <v>-3.7220886643737042E-3</v>
      </c>
      <c r="D286" s="1">
        <f>IFERROR(Comp3[[#This Row],[Comparable '#3 Return]]+1,"-")</f>
        <v>0.99627791133562627</v>
      </c>
      <c r="E286" s="6">
        <f>B286-MAX($B$2:B286)</f>
        <v>-11.049999999999983</v>
      </c>
      <c r="F286" s="80">
        <f t="shared" si="9"/>
        <v>24</v>
      </c>
      <c r="G286" s="6">
        <f>IFERROR(Comp3[[#This Row],[Comparable '#3 Drawdown]]/MAX($B$2:B286),"-")</f>
        <v>-5.8764092746224121E-2</v>
      </c>
      <c r="H286" s="1" t="str">
        <f>IF(SUM(COUNTIF(Benchmark1[Benchmark '#1 Dates],Comp3[[#This Row],[Comparable '#3 Dates]]),COUNTIF(Benchmark2[Benchmark '#2 Dates],Comp3[[#This Row],[Comparable '#3 Dates]]))=2,"Pass","Fail")</f>
        <v>Pass</v>
      </c>
      <c r="I286" s="1">
        <f>IFERROR(Comp3[[#This Row],[Comparable '#3 Return]]-INDEX(Benchmark1[Benchmark '#1 Return],MATCH(Comp3[[#This Row],[Comparable '#3 Dates]],Benchmark1[Benchmark '#1 Dates],0)),"-")</f>
        <v>-1.1935111214365248E-2</v>
      </c>
      <c r="L286" s="72">
        <f>Comp3[[#This Row],[Comparable '#3 Price]]/$B$2*100</f>
        <v>151.0024741916219</v>
      </c>
    </row>
    <row r="287" spans="1:12">
      <c r="A287" s="96">
        <v>43699</v>
      </c>
      <c r="B287" s="101">
        <v>176.07</v>
      </c>
      <c r="C287" s="1">
        <f t="shared" si="8"/>
        <v>-5.2115905643096696E-3</v>
      </c>
      <c r="D287" s="1">
        <f>IFERROR(Comp3[[#This Row],[Comparable '#3 Return]]+1,"-")</f>
        <v>0.99478840943569036</v>
      </c>
      <c r="E287" s="6">
        <f>B287-MAX($B$2:B287)</f>
        <v>-11.969999999999999</v>
      </c>
      <c r="F287" s="80">
        <f t="shared" si="9"/>
        <v>25</v>
      </c>
      <c r="G287" s="6">
        <f>IFERROR(Comp3[[#This Row],[Comparable '#3 Drawdown]]/MAX($B$2:B287),"-")</f>
        <v>-6.3656668793873647E-2</v>
      </c>
      <c r="H287" s="1" t="str">
        <f>IF(SUM(COUNTIF(Benchmark1[Benchmark '#1 Dates],Comp3[[#This Row],[Comparable '#3 Dates]]),COUNTIF(Benchmark2[Benchmark '#2 Dates],Comp3[[#This Row],[Comparable '#3 Dates]]))=2,"Pass","Fail")</f>
        <v>Pass</v>
      </c>
      <c r="I287" s="1">
        <f>IFERROR(Comp3[[#This Row],[Comparable '#3 Return]]-INDEX(Benchmark1[Benchmark '#1 Return],MATCH(Comp3[[#This Row],[Comparable '#3 Dates]],Benchmark1[Benchmark '#1 Dates],0)),"-")</f>
        <v>-4.7060789839453243E-3</v>
      </c>
      <c r="L287" s="72">
        <f>Comp3[[#This Row],[Comparable '#3 Price]]/$B$2*100</f>
        <v>150.21755822882005</v>
      </c>
    </row>
    <row r="288" spans="1:12">
      <c r="A288" s="96">
        <v>43700</v>
      </c>
      <c r="B288" s="101">
        <v>167.57</v>
      </c>
      <c r="C288" s="1">
        <f t="shared" si="8"/>
        <v>-4.948046882572011E-2</v>
      </c>
      <c r="D288" s="1">
        <f>IFERROR(Comp3[[#This Row],[Comparable '#3 Return]]+1,"-")</f>
        <v>0.9505195311742799</v>
      </c>
      <c r="E288" s="6">
        <f>B288-MAX($B$2:B288)</f>
        <v>-20.47</v>
      </c>
      <c r="F288" s="80">
        <f t="shared" si="9"/>
        <v>26</v>
      </c>
      <c r="G288" s="6">
        <f>IFERROR(Comp3[[#This Row],[Comparable '#3 Drawdown]]/MAX($B$2:B288),"-")</f>
        <v>-0.10885981706019995</v>
      </c>
      <c r="H288" s="1" t="str">
        <f>IF(SUM(COUNTIF(Benchmark1[Benchmark '#1 Dates],Comp3[[#This Row],[Comparable '#3 Dates]]),COUNTIF(Benchmark2[Benchmark '#2 Dates],Comp3[[#This Row],[Comparable '#3 Dates]]))=2,"Pass","Fail")</f>
        <v>Pass</v>
      </c>
      <c r="I288" s="1">
        <f>IFERROR(Comp3[[#This Row],[Comparable '#3 Return]]-INDEX(Benchmark1[Benchmark '#1 Return],MATCH(Comp3[[#This Row],[Comparable '#3 Dates]],Benchmark1[Benchmark '#1 Dates],0)),"-")</f>
        <v>-2.3191072112034413E-2</v>
      </c>
      <c r="L288" s="72">
        <f>Comp3[[#This Row],[Comparable '#3 Price]]/$B$2*100</f>
        <v>142.96561726815119</v>
      </c>
    </row>
    <row r="289" spans="1:12">
      <c r="A289" s="96">
        <v>43703</v>
      </c>
      <c r="B289" s="101">
        <v>171.04</v>
      </c>
      <c r="C289" s="1">
        <f t="shared" si="8"/>
        <v>2.0496272864102421E-2</v>
      </c>
      <c r="D289" s="1">
        <f>IFERROR(Comp3[[#This Row],[Comparable '#3 Return]]+1,"-")</f>
        <v>1.0204962728641025</v>
      </c>
      <c r="E289" s="6">
        <f>B289-MAX($B$2:B289)</f>
        <v>-17</v>
      </c>
      <c r="F289" s="80">
        <f t="shared" si="9"/>
        <v>27</v>
      </c>
      <c r="G289" s="6">
        <f>IFERROR(Comp3[[#This Row],[Comparable '#3 Drawdown]]/MAX($B$2:B289),"-")</f>
        <v>-9.0406296532652627E-2</v>
      </c>
      <c r="H289" s="1" t="str">
        <f>IF(SUM(COUNTIF(Benchmark1[Benchmark '#1 Dates],Comp3[[#This Row],[Comparable '#3 Dates]]),COUNTIF(Benchmark2[Benchmark '#2 Dates],Comp3[[#This Row],[Comparable '#3 Dates]]))=2,"Pass","Fail")</f>
        <v>Pass</v>
      </c>
      <c r="I289" s="1">
        <f>IFERROR(Comp3[[#This Row],[Comparable '#3 Return]]-INDEX(Benchmark1[Benchmark '#1 Return],MATCH(Comp3[[#This Row],[Comparable '#3 Dates]],Benchmark1[Benchmark '#1 Dates],0)),"-")</f>
        <v>9.5720774863204527E-3</v>
      </c>
      <c r="L289" s="72">
        <f>Comp3[[#This Row],[Comparable '#3 Price]]/$B$2*100</f>
        <v>145.92611551915365</v>
      </c>
    </row>
    <row r="290" spans="1:12">
      <c r="A290" s="96">
        <v>43704</v>
      </c>
      <c r="B290" s="101">
        <v>169.82</v>
      </c>
      <c r="C290" s="1">
        <f t="shared" si="8"/>
        <v>-7.1583947055176619E-3</v>
      </c>
      <c r="D290" s="1">
        <f>IFERROR(Comp3[[#This Row],[Comparable '#3 Return]]+1,"-")</f>
        <v>0.99284160529448229</v>
      </c>
      <c r="E290" s="6">
        <f>B290-MAX($B$2:B290)</f>
        <v>-18.22</v>
      </c>
      <c r="F290" s="80">
        <f t="shared" si="9"/>
        <v>28</v>
      </c>
      <c r="G290" s="6">
        <f>IFERROR(Comp3[[#This Row],[Comparable '#3 Drawdown]]/MAX($B$2:B290),"-")</f>
        <v>-9.6894277813231219E-2</v>
      </c>
      <c r="H290" s="1" t="str">
        <f>IF(SUM(COUNTIF(Benchmark1[Benchmark '#1 Dates],Comp3[[#This Row],[Comparable '#3 Dates]]),COUNTIF(Benchmark2[Benchmark '#2 Dates],Comp3[[#This Row],[Comparable '#3 Dates]]))=2,"Pass","Fail")</f>
        <v>Pass</v>
      </c>
      <c r="I290" s="1">
        <f>IFERROR(Comp3[[#This Row],[Comparable '#3 Return]]-INDEX(Benchmark1[Benchmark '#1 Return],MATCH(Comp3[[#This Row],[Comparable '#3 Dates]],Benchmark1[Benchmark '#1 Dates],0)),"-")</f>
        <v>-3.9473578222491874E-3</v>
      </c>
      <c r="L290" s="72">
        <f>Comp3[[#This Row],[Comparable '#3 Price]]/$B$2*100</f>
        <v>144.88524869891648</v>
      </c>
    </row>
    <row r="291" spans="1:12">
      <c r="A291" s="96">
        <v>43705</v>
      </c>
      <c r="B291" s="101">
        <v>170</v>
      </c>
      <c r="C291" s="1">
        <f t="shared" si="8"/>
        <v>1.0593844790443576E-3</v>
      </c>
      <c r="D291" s="1">
        <f>IFERROR(Comp3[[#This Row],[Comparable '#3 Return]]+1,"-")</f>
        <v>1.0010593844790443</v>
      </c>
      <c r="E291" s="6">
        <f>B291-MAX($B$2:B291)</f>
        <v>-18.039999999999992</v>
      </c>
      <c r="F291" s="80">
        <f t="shared" si="9"/>
        <v>29</v>
      </c>
      <c r="G291" s="6">
        <f>IFERROR(Comp3[[#This Row],[Comparable '#3 Drawdown]]/MAX($B$2:B291),"-")</f>
        <v>-9.5937034673473684E-2</v>
      </c>
      <c r="H291" s="1" t="str">
        <f>IF(SUM(COUNTIF(Benchmark1[Benchmark '#1 Dates],Comp3[[#This Row],[Comparable '#3 Dates]]),COUNTIF(Benchmark2[Benchmark '#2 Dates],Comp3[[#This Row],[Comparable '#3 Dates]]))=2,"Pass","Fail")</f>
        <v>Pass</v>
      </c>
      <c r="I291" s="1">
        <f>IFERROR(Comp3[[#This Row],[Comparable '#3 Return]]-INDEX(Benchmark1[Benchmark '#1 Return],MATCH(Comp3[[#This Row],[Comparable '#3 Dates]],Benchmark1[Benchmark '#1 Dates],0)),"-")</f>
        <v>-5.4656930658845276E-3</v>
      </c>
      <c r="L291" s="72">
        <f>Comp3[[#This Row],[Comparable '#3 Price]]/$B$2*100</f>
        <v>145.03881921337771</v>
      </c>
    </row>
    <row r="292" spans="1:12">
      <c r="A292" s="96">
        <v>43706</v>
      </c>
      <c r="B292" s="101">
        <v>170.78</v>
      </c>
      <c r="C292" s="1">
        <f t="shared" si="8"/>
        <v>4.5777414291982392E-3</v>
      </c>
      <c r="D292" s="1">
        <f>IFERROR(Comp3[[#This Row],[Comparable '#3 Return]]+1,"-")</f>
        <v>1.0045777414291983</v>
      </c>
      <c r="E292" s="6">
        <f>B292-MAX($B$2:B292)</f>
        <v>-17.259999999999991</v>
      </c>
      <c r="F292" s="80">
        <f t="shared" si="9"/>
        <v>30</v>
      </c>
      <c r="G292" s="6">
        <f>IFERROR(Comp3[[#This Row],[Comparable '#3 Drawdown]]/MAX($B$2:B292),"-")</f>
        <v>-9.1788981067857864E-2</v>
      </c>
      <c r="H292" s="1" t="str">
        <f>IF(SUM(COUNTIF(Benchmark1[Benchmark '#1 Dates],Comp3[[#This Row],[Comparable '#3 Dates]]),COUNTIF(Benchmark2[Benchmark '#2 Dates],Comp3[[#This Row],[Comparable '#3 Dates]]))=2,"Pass","Fail")</f>
        <v>Pass</v>
      </c>
      <c r="I292" s="1">
        <f>IFERROR(Comp3[[#This Row],[Comparable '#3 Return]]-INDEX(Benchmark1[Benchmark '#1 Return],MATCH(Comp3[[#This Row],[Comparable '#3 Dates]],Benchmark1[Benchmark '#1 Dates],0)),"-")</f>
        <v>-8.0291210206887339E-3</v>
      </c>
      <c r="L292" s="72">
        <f>Comp3[[#This Row],[Comparable '#3 Price]]/$B$2*100</f>
        <v>145.70429144270966</v>
      </c>
    </row>
    <row r="293" spans="1:12">
      <c r="A293" s="96">
        <v>43707</v>
      </c>
      <c r="B293" s="101">
        <v>169.23</v>
      </c>
      <c r="C293" s="1">
        <f t="shared" si="8"/>
        <v>-9.117442059465776E-3</v>
      </c>
      <c r="D293" s="1">
        <f>IFERROR(Comp3[[#This Row],[Comparable '#3 Return]]+1,"-")</f>
        <v>0.99088255794053426</v>
      </c>
      <c r="E293" s="6">
        <f>B293-MAX($B$2:B293)</f>
        <v>-18.810000000000002</v>
      </c>
      <c r="F293" s="80">
        <f t="shared" si="9"/>
        <v>31</v>
      </c>
      <c r="G293" s="6">
        <f>IFERROR(Comp3[[#This Row],[Comparable '#3 Drawdown]]/MAX($B$2:B293),"-")</f>
        <v>-0.1000319081046586</v>
      </c>
      <c r="H293" s="1" t="str">
        <f>IF(SUM(COUNTIF(Benchmark1[Benchmark '#1 Dates],Comp3[[#This Row],[Comparable '#3 Dates]]),COUNTIF(Benchmark2[Benchmark '#2 Dates],Comp3[[#This Row],[Comparable '#3 Dates]]))=2,"Pass","Fail")</f>
        <v>Pass</v>
      </c>
      <c r="I293" s="1">
        <f>IFERROR(Comp3[[#This Row],[Comparable '#3 Return]]-INDEX(Benchmark1[Benchmark '#1 Return],MATCH(Comp3[[#This Row],[Comparable '#3 Dates]],Benchmark1[Benchmark '#1 Dates],0)),"-")</f>
        <v>-9.7604153789804492E-3</v>
      </c>
      <c r="L293" s="72">
        <f>Comp3[[#This Row],[Comparable '#3 Price]]/$B$2*100</f>
        <v>144.38187867929358</v>
      </c>
    </row>
    <row r="294" spans="1:12">
      <c r="A294" s="96">
        <v>43711</v>
      </c>
      <c r="B294" s="101">
        <v>167.66</v>
      </c>
      <c r="C294" s="1">
        <f t="shared" si="8"/>
        <v>-9.3206172102830893E-3</v>
      </c>
      <c r="D294" s="1">
        <f>IFERROR(Comp3[[#This Row],[Comparable '#3 Return]]+1,"-")</f>
        <v>0.9906793827897169</v>
      </c>
      <c r="E294" s="6">
        <f>B294-MAX($B$2:B294)</f>
        <v>-20.379999999999995</v>
      </c>
      <c r="F294" s="80">
        <f t="shared" si="9"/>
        <v>32</v>
      </c>
      <c r="G294" s="6">
        <f>IFERROR(Comp3[[#This Row],[Comparable '#3 Drawdown]]/MAX($B$2:B294),"-")</f>
        <v>-0.10838119549032119</v>
      </c>
      <c r="H294" s="1" t="str">
        <f>IF(SUM(COUNTIF(Benchmark1[Benchmark '#1 Dates],Comp3[[#This Row],[Comparable '#3 Dates]]),COUNTIF(Benchmark2[Benchmark '#2 Dates],Comp3[[#This Row],[Comparable '#3 Dates]]))=2,"Pass","Fail")</f>
        <v>Pass</v>
      </c>
      <c r="I294" s="1">
        <f>IFERROR(Comp3[[#This Row],[Comparable '#3 Return]]-INDEX(Benchmark1[Benchmark '#1 Return],MATCH(Comp3[[#This Row],[Comparable '#3 Dates]],Benchmark1[Benchmark '#1 Dates],0)),"-")</f>
        <v>-2.3986079993146749E-3</v>
      </c>
      <c r="L294" s="72">
        <f>Comp3[[#This Row],[Comparable '#3 Price]]/$B$2*100</f>
        <v>143.04240252538182</v>
      </c>
    </row>
    <row r="295" spans="1:12">
      <c r="A295" s="96">
        <v>43712</v>
      </c>
      <c r="B295" s="101">
        <v>162.01</v>
      </c>
      <c r="C295" s="1">
        <f t="shared" si="8"/>
        <v>-3.4280057487384469E-2</v>
      </c>
      <c r="D295" s="1">
        <f>IFERROR(Comp3[[#This Row],[Comparable '#3 Return]]+1,"-")</f>
        <v>0.9657199425126155</v>
      </c>
      <c r="E295" s="6">
        <f>B295-MAX($B$2:B295)</f>
        <v>-26.03</v>
      </c>
      <c r="F295" s="80">
        <f t="shared" si="9"/>
        <v>33</v>
      </c>
      <c r="G295" s="6">
        <f>IFERROR(Comp3[[#This Row],[Comparable '#3 Drawdown]]/MAX($B$2:B295),"-")</f>
        <v>-0.13842799404382047</v>
      </c>
      <c r="H295" s="1" t="str">
        <f>IF(SUM(COUNTIF(Benchmark1[Benchmark '#1 Dates],Comp3[[#This Row],[Comparable '#3 Dates]]),COUNTIF(Benchmark2[Benchmark '#2 Dates],Comp3[[#This Row],[Comparable '#3 Dates]]))=2,"Pass","Fail")</f>
        <v>Pass</v>
      </c>
      <c r="I295" s="1">
        <f>IFERROR(Comp3[[#This Row],[Comparable '#3 Return]]-INDEX(Benchmark1[Benchmark '#1 Return],MATCH(Comp3[[#This Row],[Comparable '#3 Dates]],Benchmark1[Benchmark '#1 Dates],0)),"-")</f>
        <v>-4.5063066876521216E-2</v>
      </c>
      <c r="L295" s="72">
        <f>Comp3[[#This Row],[Comparable '#3 Price]]/$B$2*100</f>
        <v>138.22199471034895</v>
      </c>
    </row>
    <row r="296" spans="1:12">
      <c r="A296" s="96">
        <v>43713</v>
      </c>
      <c r="B296" s="101">
        <v>165.17</v>
      </c>
      <c r="C296" s="1">
        <f t="shared" si="8"/>
        <v>1.9317184810672201E-2</v>
      </c>
      <c r="D296" s="1">
        <f>IFERROR(Comp3[[#This Row],[Comparable '#3 Return]]+1,"-")</f>
        <v>1.0193171848106721</v>
      </c>
      <c r="E296" s="6">
        <f>B296-MAX($B$2:B296)</f>
        <v>-22.870000000000005</v>
      </c>
      <c r="F296" s="80">
        <f t="shared" si="9"/>
        <v>34</v>
      </c>
      <c r="G296" s="6">
        <f>IFERROR(Comp3[[#This Row],[Comparable '#3 Drawdown]]/MAX($B$2:B296),"-")</f>
        <v>-0.1216230589236333</v>
      </c>
      <c r="H296" s="1" t="str">
        <f>IF(SUM(COUNTIF(Benchmark1[Benchmark '#1 Dates],Comp3[[#This Row],[Comparable '#3 Dates]]),COUNTIF(Benchmark2[Benchmark '#2 Dates],Comp3[[#This Row],[Comparable '#3 Dates]]))=2,"Pass","Fail")</f>
        <v>Pass</v>
      </c>
      <c r="I296" s="1">
        <f>IFERROR(Comp3[[#This Row],[Comparable '#3 Return]]-INDEX(Benchmark1[Benchmark '#1 Return],MATCH(Comp3[[#This Row],[Comparable '#3 Dates]],Benchmark1[Benchmark '#1 Dates],0)),"-")</f>
        <v>6.3917883471236552E-3</v>
      </c>
      <c r="L296" s="72">
        <f>Comp3[[#This Row],[Comparable '#3 Price]]/$B$2*100</f>
        <v>140.91801040866821</v>
      </c>
    </row>
    <row r="297" spans="1:12">
      <c r="A297" s="96">
        <v>43714</v>
      </c>
      <c r="B297" s="101">
        <v>162.76</v>
      </c>
      <c r="C297" s="1">
        <f t="shared" si="8"/>
        <v>-1.4698523399509719E-2</v>
      </c>
      <c r="D297" s="1">
        <f>IFERROR(Comp3[[#This Row],[Comparable '#3 Return]]+1,"-")</f>
        <v>0.98530147660049028</v>
      </c>
      <c r="E297" s="6">
        <f>B297-MAX($B$2:B297)</f>
        <v>-25.28</v>
      </c>
      <c r="F297" s="80">
        <f t="shared" si="9"/>
        <v>35</v>
      </c>
      <c r="G297" s="6">
        <f>IFERROR(Comp3[[#This Row],[Comparable '#3 Drawdown]]/MAX($B$2:B297),"-")</f>
        <v>-0.13443948096149758</v>
      </c>
      <c r="H297" s="1" t="str">
        <f>IF(SUM(COUNTIF(Benchmark1[Benchmark '#1 Dates],Comp3[[#This Row],[Comparable '#3 Dates]]),COUNTIF(Benchmark2[Benchmark '#2 Dates],Comp3[[#This Row],[Comparable '#3 Dates]]))=2,"Pass","Fail")</f>
        <v>Pass</v>
      </c>
      <c r="I297" s="1">
        <f>IFERROR(Comp3[[#This Row],[Comparable '#3 Return]]-INDEX(Benchmark1[Benchmark '#1 Return],MATCH(Comp3[[#This Row],[Comparable '#3 Dates]],Benchmark1[Benchmark '#1 Dates],0)),"-")</f>
        <v>-1.5608850657695163E-2</v>
      </c>
      <c r="L297" s="72">
        <f>Comp3[[#This Row],[Comparable '#3 Price]]/$B$2*100</f>
        <v>138.86187185393737</v>
      </c>
    </row>
    <row r="298" spans="1:12">
      <c r="A298" s="96">
        <v>43717</v>
      </c>
      <c r="B298" s="101">
        <v>161.87</v>
      </c>
      <c r="C298" s="1">
        <f t="shared" si="8"/>
        <v>-5.4831791876200457E-3</v>
      </c>
      <c r="D298" s="1">
        <f>IFERROR(Comp3[[#This Row],[Comparable '#3 Return]]+1,"-")</f>
        <v>0.99451682081237991</v>
      </c>
      <c r="E298" s="6">
        <f>B298-MAX($B$2:B298)</f>
        <v>-26.169999999999987</v>
      </c>
      <c r="F298" s="80">
        <f t="shared" si="9"/>
        <v>36</v>
      </c>
      <c r="G298" s="6">
        <f>IFERROR(Comp3[[#This Row],[Comparable '#3 Drawdown]]/MAX($B$2:B298),"-")</f>
        <v>-0.13917251648585402</v>
      </c>
      <c r="H298" s="1" t="str">
        <f>IF(SUM(COUNTIF(Benchmark1[Benchmark '#1 Dates],Comp3[[#This Row],[Comparable '#3 Dates]]),COUNTIF(Benchmark2[Benchmark '#2 Dates],Comp3[[#This Row],[Comparable '#3 Dates]]))=2,"Pass","Fail")</f>
        <v>Pass</v>
      </c>
      <c r="I298" s="1">
        <f>IFERROR(Comp3[[#This Row],[Comparable '#3 Return]]-INDEX(Benchmark1[Benchmark '#1 Return],MATCH(Comp3[[#This Row],[Comparable '#3 Dates]],Benchmark1[Benchmark '#1 Dates],0)),"-")</f>
        <v>-5.3911838651629204E-3</v>
      </c>
      <c r="L298" s="72">
        <f>Comp3[[#This Row],[Comparable '#3 Price]]/$B$2*100</f>
        <v>138.10255097687912</v>
      </c>
    </row>
    <row r="299" spans="1:12">
      <c r="A299" s="96">
        <v>43718</v>
      </c>
      <c r="B299" s="101">
        <v>157.80000000000001</v>
      </c>
      <c r="C299" s="1">
        <f t="shared" si="8"/>
        <v>-2.5465135534095171E-2</v>
      </c>
      <c r="D299" s="1">
        <f>IFERROR(Comp3[[#This Row],[Comparable '#3 Return]]+1,"-")</f>
        <v>0.97453486446590487</v>
      </c>
      <c r="E299" s="6">
        <f>B299-MAX($B$2:B299)</f>
        <v>-30.239999999999981</v>
      </c>
      <c r="F299" s="80">
        <f t="shared" si="9"/>
        <v>37</v>
      </c>
      <c r="G299" s="6">
        <f>IFERROR(Comp3[[#This Row],[Comparable '#3 Drawdown]]/MAX($B$2:B299),"-")</f>
        <v>-0.16081684747925964</v>
      </c>
      <c r="H299" s="1" t="str">
        <f>IF(SUM(COUNTIF(Benchmark1[Benchmark '#1 Dates],Comp3[[#This Row],[Comparable '#3 Dates]]),COUNTIF(Benchmark2[Benchmark '#2 Dates],Comp3[[#This Row],[Comparable '#3 Dates]]))=2,"Pass","Fail")</f>
        <v>Pass</v>
      </c>
      <c r="I299" s="1">
        <f>IFERROR(Comp3[[#This Row],[Comparable '#3 Return]]-INDEX(Benchmark1[Benchmark '#1 Return],MATCH(Comp3[[#This Row],[Comparable '#3 Dates]],Benchmark1[Benchmark '#1 Dates],0)),"-")</f>
        <v>-2.5784631717309731E-2</v>
      </c>
      <c r="L299" s="72">
        <f>Comp3[[#This Row],[Comparable '#3 Price]]/$B$2*100</f>
        <v>134.63015101100589</v>
      </c>
    </row>
    <row r="300" spans="1:12">
      <c r="A300" s="96">
        <v>43719</v>
      </c>
      <c r="B300" s="101">
        <v>159.36000000000001</v>
      </c>
      <c r="C300" s="1">
        <f t="shared" si="8"/>
        <v>9.8373854245143409E-3</v>
      </c>
      <c r="D300" s="1">
        <f>IFERROR(Comp3[[#This Row],[Comparable '#3 Return]]+1,"-")</f>
        <v>1.0098373854245144</v>
      </c>
      <c r="E300" s="6">
        <f>B300-MAX($B$2:B300)</f>
        <v>-28.679999999999978</v>
      </c>
      <c r="F300" s="80">
        <f t="shared" si="9"/>
        <v>38</v>
      </c>
      <c r="G300" s="6">
        <f>IFERROR(Comp3[[#This Row],[Comparable '#3 Drawdown]]/MAX($B$2:B300),"-")</f>
        <v>-0.15252074026802798</v>
      </c>
      <c r="H300" s="1" t="str">
        <f>IF(SUM(COUNTIF(Benchmark1[Benchmark '#1 Dates],Comp3[[#This Row],[Comparable '#3 Dates]]),COUNTIF(Benchmark2[Benchmark '#2 Dates],Comp3[[#This Row],[Comparable '#3 Dates]]))=2,"Pass","Fail")</f>
        <v>Pass</v>
      </c>
      <c r="I300" s="1">
        <f>IFERROR(Comp3[[#This Row],[Comparable '#3 Return]]-INDEX(Benchmark1[Benchmark '#1 Return],MATCH(Comp3[[#This Row],[Comparable '#3 Dates]],Benchmark1[Benchmark '#1 Dates],0)),"-")</f>
        <v>2.633446114442833E-3</v>
      </c>
      <c r="L300" s="72">
        <f>Comp3[[#This Row],[Comparable '#3 Price]]/$B$2*100</f>
        <v>135.96109546966983</v>
      </c>
    </row>
    <row r="301" spans="1:12">
      <c r="A301" s="96">
        <v>43720</v>
      </c>
      <c r="B301" s="101">
        <v>160.32</v>
      </c>
      <c r="C301" s="1">
        <f t="shared" si="8"/>
        <v>6.0060240602117284E-3</v>
      </c>
      <c r="D301" s="1">
        <f>IFERROR(Comp3[[#This Row],[Comparable '#3 Return]]+1,"-")</f>
        <v>1.0060060240602118</v>
      </c>
      <c r="E301" s="6">
        <f>B301-MAX($B$2:B301)</f>
        <v>-27.72</v>
      </c>
      <c r="F301" s="80">
        <f t="shared" si="9"/>
        <v>39</v>
      </c>
      <c r="G301" s="6">
        <f>IFERROR(Comp3[[#This Row],[Comparable '#3 Drawdown]]/MAX($B$2:B301),"-")</f>
        <v>-0.14741544352265476</v>
      </c>
      <c r="H301" s="1" t="str">
        <f>IF(SUM(COUNTIF(Benchmark1[Benchmark '#1 Dates],Comp3[[#This Row],[Comparable '#3 Dates]]),COUNTIF(Benchmark2[Benchmark '#2 Dates],Comp3[[#This Row],[Comparable '#3 Dates]]))=2,"Pass","Fail")</f>
        <v>Pass</v>
      </c>
      <c r="I301" s="1">
        <f>IFERROR(Comp3[[#This Row],[Comparable '#3 Return]]-INDEX(Benchmark1[Benchmark '#1 Return],MATCH(Comp3[[#This Row],[Comparable '#3 Dates]],Benchmark1[Benchmark '#1 Dates],0)),"-")</f>
        <v>3.1292156113705396E-3</v>
      </c>
      <c r="L301" s="72">
        <f>Comp3[[#This Row],[Comparable '#3 Price]]/$B$2*100</f>
        <v>136.78013821346303</v>
      </c>
    </row>
    <row r="302" spans="1:12">
      <c r="A302" s="96">
        <v>43721</v>
      </c>
      <c r="B302" s="101">
        <v>156</v>
      </c>
      <c r="C302" s="1">
        <f t="shared" si="8"/>
        <v>-2.7315810646962865E-2</v>
      </c>
      <c r="D302" s="1">
        <f>IFERROR(Comp3[[#This Row],[Comparable '#3 Return]]+1,"-")</f>
        <v>0.97268418935303713</v>
      </c>
      <c r="E302" s="6">
        <f>B302-MAX($B$2:B302)</f>
        <v>-32.039999999999992</v>
      </c>
      <c r="F302" s="80">
        <f t="shared" si="9"/>
        <v>40</v>
      </c>
      <c r="G302" s="6">
        <f>IFERROR(Comp3[[#This Row],[Comparable '#3 Drawdown]]/MAX($B$2:B302),"-")</f>
        <v>-0.17038927887683469</v>
      </c>
      <c r="H302" s="1" t="str">
        <f>IF(SUM(COUNTIF(Benchmark1[Benchmark '#1 Dates],Comp3[[#This Row],[Comparable '#3 Dates]]),COUNTIF(Benchmark2[Benchmark '#2 Dates],Comp3[[#This Row],[Comparable '#3 Dates]]))=2,"Pass","Fail")</f>
        <v>Pass</v>
      </c>
      <c r="I302" s="1">
        <f>IFERROR(Comp3[[#This Row],[Comparable '#3 Return]]-INDEX(Benchmark1[Benchmark '#1 Return],MATCH(Comp3[[#This Row],[Comparable '#3 Dates]],Benchmark1[Benchmark '#1 Dates],0)),"-")</f>
        <v>-2.6589695811511334E-2</v>
      </c>
      <c r="L302" s="72">
        <f>Comp3[[#This Row],[Comparable '#3 Price]]/$B$2*100</f>
        <v>133.09444586639364</v>
      </c>
    </row>
    <row r="303" spans="1:12">
      <c r="A303" s="96">
        <v>43724</v>
      </c>
      <c r="B303" s="101">
        <v>156.4</v>
      </c>
      <c r="C303" s="1">
        <f t="shared" si="8"/>
        <v>2.5608208616736505E-3</v>
      </c>
      <c r="D303" s="1">
        <f>IFERROR(Comp3[[#This Row],[Comparable '#3 Return]]+1,"-")</f>
        <v>1.0025608208616736</v>
      </c>
      <c r="E303" s="6">
        <f>B303-MAX($B$2:B303)</f>
        <v>-31.639999999999986</v>
      </c>
      <c r="F303" s="80">
        <f t="shared" si="9"/>
        <v>41</v>
      </c>
      <c r="G303" s="6">
        <f>IFERROR(Comp3[[#This Row],[Comparable '#3 Drawdown]]/MAX($B$2:B303),"-")</f>
        <v>-0.16826207189959577</v>
      </c>
      <c r="H303" s="1" t="str">
        <f>IF(SUM(COUNTIF(Benchmark1[Benchmark '#1 Dates],Comp3[[#This Row],[Comparable '#3 Dates]]),COUNTIF(Benchmark2[Benchmark '#2 Dates],Comp3[[#This Row],[Comparable '#3 Dates]]))=2,"Pass","Fail")</f>
        <v>Pass</v>
      </c>
      <c r="I303" s="1">
        <f>IFERROR(Comp3[[#This Row],[Comparable '#3 Return]]-INDEX(Benchmark1[Benchmark '#1 Return],MATCH(Comp3[[#This Row],[Comparable '#3 Dates]],Benchmark1[Benchmark '#1 Dates],0)),"-")</f>
        <v>5.7006195134024096E-3</v>
      </c>
      <c r="L303" s="72">
        <f>Comp3[[#This Row],[Comparable '#3 Price]]/$B$2*100</f>
        <v>133.4357136763075</v>
      </c>
    </row>
    <row r="304" spans="1:12">
      <c r="A304" s="96">
        <v>43725</v>
      </c>
      <c r="B304" s="101">
        <v>157.74</v>
      </c>
      <c r="C304" s="1">
        <f t="shared" si="8"/>
        <v>8.5312798586340693E-3</v>
      </c>
      <c r="D304" s="1">
        <f>IFERROR(Comp3[[#This Row],[Comparable '#3 Return]]+1,"-")</f>
        <v>1.0085312798586341</v>
      </c>
      <c r="E304" s="6">
        <f>B304-MAX($B$2:B304)</f>
        <v>-30.299999999999983</v>
      </c>
      <c r="F304" s="80">
        <f t="shared" si="9"/>
        <v>42</v>
      </c>
      <c r="G304" s="6">
        <f>IFERROR(Comp3[[#This Row],[Comparable '#3 Drawdown]]/MAX($B$2:B304),"-")</f>
        <v>-0.16113592852584549</v>
      </c>
      <c r="H304" s="1" t="str">
        <f>IF(SUM(COUNTIF(Benchmark1[Benchmark '#1 Dates],Comp3[[#This Row],[Comparable '#3 Dates]]),COUNTIF(Benchmark2[Benchmark '#2 Dates],Comp3[[#This Row],[Comparable '#3 Dates]]))=2,"Pass","Fail")</f>
        <v>Pass</v>
      </c>
      <c r="I304" s="1">
        <f>IFERROR(Comp3[[#This Row],[Comparable '#3 Return]]-INDEX(Benchmark1[Benchmark '#1 Return],MATCH(Comp3[[#This Row],[Comparable '#3 Dates]],Benchmark1[Benchmark '#1 Dates],0)),"-")</f>
        <v>5.9538920981168503E-3</v>
      </c>
      <c r="L304" s="72">
        <f>Comp3[[#This Row],[Comparable '#3 Price]]/$B$2*100</f>
        <v>134.57896083951883</v>
      </c>
    </row>
    <row r="305" spans="1:12">
      <c r="A305" s="96">
        <v>43726</v>
      </c>
      <c r="B305" s="101">
        <v>156.91999999999999</v>
      </c>
      <c r="C305" s="1">
        <f t="shared" si="8"/>
        <v>-5.2119866284931595E-3</v>
      </c>
      <c r="D305" s="1">
        <f>IFERROR(Comp3[[#This Row],[Comparable '#3 Return]]+1,"-")</f>
        <v>0.9947880133715068</v>
      </c>
      <c r="E305" s="6">
        <f>B305-MAX($B$2:B305)</f>
        <v>-31.120000000000005</v>
      </c>
      <c r="F305" s="80">
        <f t="shared" si="9"/>
        <v>43</v>
      </c>
      <c r="G305" s="6">
        <f>IFERROR(Comp3[[#This Row],[Comparable '#3 Drawdown]]/MAX($B$2:B305),"-")</f>
        <v>-0.1654967028291853</v>
      </c>
      <c r="H305" s="1" t="str">
        <f>IF(SUM(COUNTIF(Benchmark1[Benchmark '#1 Dates],Comp3[[#This Row],[Comparable '#3 Dates]]),COUNTIF(Benchmark2[Benchmark '#2 Dates],Comp3[[#This Row],[Comparable '#3 Dates]]))=2,"Pass","Fail")</f>
        <v>Pass</v>
      </c>
      <c r="I305" s="1">
        <f>IFERROR(Comp3[[#This Row],[Comparable '#3 Return]]-INDEX(Benchmark1[Benchmark '#1 Return],MATCH(Comp3[[#This Row],[Comparable '#3 Dates]],Benchmark1[Benchmark '#1 Dates],0)),"-")</f>
        <v>-5.5557825207866634E-3</v>
      </c>
      <c r="L305" s="72">
        <f>Comp3[[#This Row],[Comparable '#3 Price]]/$B$2*100</f>
        <v>133.87936182919546</v>
      </c>
    </row>
    <row r="306" spans="1:12">
      <c r="A306" s="96">
        <v>43727</v>
      </c>
      <c r="B306" s="101">
        <v>158.74</v>
      </c>
      <c r="C306" s="1">
        <f t="shared" si="8"/>
        <v>1.1531522321377864E-2</v>
      </c>
      <c r="D306" s="1">
        <f>IFERROR(Comp3[[#This Row],[Comparable '#3 Return]]+1,"-")</f>
        <v>1.0115315223213779</v>
      </c>
      <c r="E306" s="6">
        <f>B306-MAX($B$2:B306)</f>
        <v>-29.299999999999983</v>
      </c>
      <c r="F306" s="80">
        <f t="shared" si="9"/>
        <v>44</v>
      </c>
      <c r="G306" s="6">
        <f>IFERROR(Comp3[[#This Row],[Comparable '#3 Drawdown]]/MAX($B$2:B306),"-")</f>
        <v>-0.15581791108274826</v>
      </c>
      <c r="H306" s="1" t="str">
        <f>IF(SUM(COUNTIF(Benchmark1[Benchmark '#1 Dates],Comp3[[#This Row],[Comparable '#3 Dates]]),COUNTIF(Benchmark2[Benchmark '#2 Dates],Comp3[[#This Row],[Comparable '#3 Dates]]))=2,"Pass","Fail")</f>
        <v>Pass</v>
      </c>
      <c r="I306" s="1">
        <f>IFERROR(Comp3[[#This Row],[Comparable '#3 Return]]-INDEX(Benchmark1[Benchmark '#1 Return],MATCH(Comp3[[#This Row],[Comparable '#3 Dates]],Benchmark1[Benchmark '#1 Dates],0)),"-")</f>
        <v>1.1511302442652709E-2</v>
      </c>
      <c r="L306" s="72">
        <f>Comp3[[#This Row],[Comparable '#3 Price]]/$B$2*100</f>
        <v>135.43213036430339</v>
      </c>
    </row>
    <row r="307" spans="1:12">
      <c r="A307" s="96">
        <v>43728</v>
      </c>
      <c r="B307" s="101">
        <v>147.01</v>
      </c>
      <c r="C307" s="1">
        <f t="shared" si="8"/>
        <v>-7.676703198685475E-2</v>
      </c>
      <c r="D307" s="1">
        <f>IFERROR(Comp3[[#This Row],[Comparable '#3 Return]]+1,"-")</f>
        <v>0.92323296801314525</v>
      </c>
      <c r="E307" s="6">
        <f>B307-MAX($B$2:B307)</f>
        <v>-41.03</v>
      </c>
      <c r="F307" s="80">
        <f t="shared" si="9"/>
        <v>45</v>
      </c>
      <c r="G307" s="6">
        <f>IFERROR(Comp3[[#This Row],[Comparable '#3 Drawdown]]/MAX($B$2:B307),"-")</f>
        <v>-0.21819825569027868</v>
      </c>
      <c r="H307" s="1" t="str">
        <f>IF(SUM(COUNTIF(Benchmark1[Benchmark '#1 Dates],Comp3[[#This Row],[Comparable '#3 Dates]]),COUNTIF(Benchmark2[Benchmark '#2 Dates],Comp3[[#This Row],[Comparable '#3 Dates]]))=2,"Pass","Fail")</f>
        <v>Pass</v>
      </c>
      <c r="I307" s="1">
        <f>IFERROR(Comp3[[#This Row],[Comparable '#3 Return]]-INDEX(Benchmark1[Benchmark '#1 Return],MATCH(Comp3[[#This Row],[Comparable '#3 Dates]],Benchmark1[Benchmark '#1 Dates],0)),"-")</f>
        <v>-7.1859929533158284E-2</v>
      </c>
      <c r="L307" s="72">
        <f>Comp3[[#This Row],[Comparable '#3 Price]]/$B$2*100</f>
        <v>125.42445183858032</v>
      </c>
    </row>
    <row r="308" spans="1:12">
      <c r="A308" s="96">
        <v>43731</v>
      </c>
      <c r="B308" s="101">
        <v>148.16999999999999</v>
      </c>
      <c r="C308" s="1">
        <f t="shared" si="8"/>
        <v>7.8596515447681876E-3</v>
      </c>
      <c r="D308" s="1">
        <f>IFERROR(Comp3[[#This Row],[Comparable '#3 Return]]+1,"-")</f>
        <v>1.0078596515447682</v>
      </c>
      <c r="E308" s="6">
        <f>B308-MAX($B$2:B308)</f>
        <v>-39.870000000000005</v>
      </c>
      <c r="F308" s="80">
        <f t="shared" si="9"/>
        <v>46</v>
      </c>
      <c r="G308" s="6">
        <f>IFERROR(Comp3[[#This Row],[Comparable '#3 Drawdown]]/MAX($B$2:B308),"-")</f>
        <v>-0.21202935545628593</v>
      </c>
      <c r="H308" s="1" t="str">
        <f>IF(SUM(COUNTIF(Benchmark1[Benchmark '#1 Dates],Comp3[[#This Row],[Comparable '#3 Dates]]),COUNTIF(Benchmark2[Benchmark '#2 Dates],Comp3[[#This Row],[Comparable '#3 Dates]]))=2,"Pass","Fail")</f>
        <v>Pass</v>
      </c>
      <c r="I308" s="1">
        <f>IFERROR(Comp3[[#This Row],[Comparable '#3 Return]]-INDEX(Benchmark1[Benchmark '#1 Return],MATCH(Comp3[[#This Row],[Comparable '#3 Dates]],Benchmark1[Benchmark '#1 Dates],0)),"-")</f>
        <v>7.9576686982076716E-3</v>
      </c>
      <c r="L308" s="72">
        <f>Comp3[[#This Row],[Comparable '#3 Price]]/$B$2*100</f>
        <v>126.41412848733043</v>
      </c>
    </row>
    <row r="309" spans="1:12">
      <c r="A309" s="96">
        <v>43732</v>
      </c>
      <c r="B309" s="101">
        <v>149.75</v>
      </c>
      <c r="C309" s="1">
        <f t="shared" si="8"/>
        <v>1.0606973774915688E-2</v>
      </c>
      <c r="D309" s="1">
        <f>IFERROR(Comp3[[#This Row],[Comparable '#3 Return]]+1,"-")</f>
        <v>1.0106069737749157</v>
      </c>
      <c r="E309" s="6">
        <f>B309-MAX($B$2:B309)</f>
        <v>-38.289999999999992</v>
      </c>
      <c r="F309" s="80">
        <f t="shared" si="9"/>
        <v>47</v>
      </c>
      <c r="G309" s="6">
        <f>IFERROR(Comp3[[#This Row],[Comparable '#3 Drawdown]]/MAX($B$2:B309),"-")</f>
        <v>-0.20362688789619227</v>
      </c>
      <c r="H309" s="1" t="str">
        <f>IF(SUM(COUNTIF(Benchmark1[Benchmark '#1 Dates],Comp3[[#This Row],[Comparable '#3 Dates]]),COUNTIF(Benchmark2[Benchmark '#2 Dates],Comp3[[#This Row],[Comparable '#3 Dates]]))=2,"Pass","Fail")</f>
        <v>Pass</v>
      </c>
      <c r="I309" s="1">
        <f>IFERROR(Comp3[[#This Row],[Comparable '#3 Return]]-INDEX(Benchmark1[Benchmark '#1 Return],MATCH(Comp3[[#This Row],[Comparable '#3 Dates]],Benchmark1[Benchmark '#1 Dates],0)),"-")</f>
        <v>1.906000982995637E-2</v>
      </c>
      <c r="L309" s="72">
        <f>Comp3[[#This Row],[Comparable '#3 Price]]/$B$2*100</f>
        <v>127.76213633649007</v>
      </c>
    </row>
    <row r="310" spans="1:12">
      <c r="A310" s="96">
        <v>43733</v>
      </c>
      <c r="B310" s="101">
        <v>143.04</v>
      </c>
      <c r="C310" s="1">
        <f t="shared" si="8"/>
        <v>-4.584292557035477E-2</v>
      </c>
      <c r="D310" s="1">
        <f>IFERROR(Comp3[[#This Row],[Comparable '#3 Return]]+1,"-")</f>
        <v>0.95415707442964526</v>
      </c>
      <c r="E310" s="6">
        <f>B310-MAX($B$2:B310)</f>
        <v>-45</v>
      </c>
      <c r="F310" s="80">
        <f t="shared" si="9"/>
        <v>48</v>
      </c>
      <c r="G310" s="6">
        <f>IFERROR(Comp3[[#This Row],[Comparable '#3 Drawdown]]/MAX($B$2:B310),"-")</f>
        <v>-0.2393107849393746</v>
      </c>
      <c r="H310" s="1" t="str">
        <f>IF(SUM(COUNTIF(Benchmark1[Benchmark '#1 Dates],Comp3[[#This Row],[Comparable '#3 Dates]]),COUNTIF(Benchmark2[Benchmark '#2 Dates],Comp3[[#This Row],[Comparable '#3 Dates]]))=2,"Pass","Fail")</f>
        <v>Pass</v>
      </c>
      <c r="I310" s="1">
        <f>IFERROR(Comp3[[#This Row],[Comparable '#3 Return]]-INDEX(Benchmark1[Benchmark '#1 Return],MATCH(Comp3[[#This Row],[Comparable '#3 Dates]],Benchmark1[Benchmark '#1 Dates],0)),"-")</f>
        <v>-5.1983393059478314E-2</v>
      </c>
      <c r="L310" s="72">
        <f>Comp3[[#This Row],[Comparable '#3 Price]]/$B$2*100</f>
        <v>122.03736882518557</v>
      </c>
    </row>
    <row r="311" spans="1:12">
      <c r="A311" s="96">
        <v>43734</v>
      </c>
      <c r="B311" s="101">
        <v>139.66</v>
      </c>
      <c r="C311" s="1">
        <f t="shared" si="8"/>
        <v>-2.3913414007314743E-2</v>
      </c>
      <c r="D311" s="1">
        <f>IFERROR(Comp3[[#This Row],[Comparable '#3 Return]]+1,"-")</f>
        <v>0.97608658599268527</v>
      </c>
      <c r="E311" s="6">
        <f>B311-MAX($B$2:B311)</f>
        <v>-48.379999999999995</v>
      </c>
      <c r="F311" s="80">
        <f t="shared" si="9"/>
        <v>49</v>
      </c>
      <c r="G311" s="6">
        <f>IFERROR(Comp3[[#This Row],[Comparable '#3 Drawdown]]/MAX($B$2:B311),"-")</f>
        <v>-0.25728568389704315</v>
      </c>
      <c r="H311" s="1" t="str">
        <f>IF(SUM(COUNTIF(Benchmark1[Benchmark '#1 Dates],Comp3[[#This Row],[Comparable '#3 Dates]]),COUNTIF(Benchmark2[Benchmark '#2 Dates],Comp3[[#This Row],[Comparable '#3 Dates]]))=2,"Pass","Fail")</f>
        <v>Pass</v>
      </c>
      <c r="I311" s="1">
        <f>IFERROR(Comp3[[#This Row],[Comparable '#3 Return]]-INDEX(Benchmark1[Benchmark '#1 Return],MATCH(Comp3[[#This Row],[Comparable '#3 Dates]],Benchmark1[Benchmark '#1 Dates],0)),"-")</f>
        <v>-2.148124040957779E-2</v>
      </c>
      <c r="L311" s="72">
        <f>Comp3[[#This Row],[Comparable '#3 Price]]/$B$2*100</f>
        <v>119.1536558314137</v>
      </c>
    </row>
    <row r="312" spans="1:12">
      <c r="A312" s="96">
        <v>43735</v>
      </c>
      <c r="B312" s="101">
        <v>135.33000000000001</v>
      </c>
      <c r="C312" s="1">
        <f t="shared" si="8"/>
        <v>-3.1494657329474818E-2</v>
      </c>
      <c r="D312" s="1">
        <f>IFERROR(Comp3[[#This Row],[Comparable '#3 Return]]+1,"-")</f>
        <v>0.96850534267052524</v>
      </c>
      <c r="E312" s="6">
        <f>B312-MAX($B$2:B312)</f>
        <v>-52.70999999999998</v>
      </c>
      <c r="F312" s="80">
        <f t="shared" si="9"/>
        <v>50</v>
      </c>
      <c r="G312" s="6">
        <f>IFERROR(Comp3[[#This Row],[Comparable '#3 Drawdown]]/MAX($B$2:B312),"-")</f>
        <v>-0.28031269942565401</v>
      </c>
      <c r="H312" s="1" t="str">
        <f>IF(SUM(COUNTIF(Benchmark1[Benchmark '#1 Dates],Comp3[[#This Row],[Comparable '#3 Dates]]),COUNTIF(Benchmark2[Benchmark '#2 Dates],Comp3[[#This Row],[Comparable '#3 Dates]]))=2,"Pass","Fail")</f>
        <v>Pass</v>
      </c>
      <c r="I312" s="1">
        <f>IFERROR(Comp3[[#This Row],[Comparable '#3 Return]]-INDEX(Benchmark1[Benchmark '#1 Return],MATCH(Comp3[[#This Row],[Comparable '#3 Dates]],Benchmark1[Benchmark '#1 Dates],0)),"-")</f>
        <v>-2.6166062015366909E-2</v>
      </c>
      <c r="L312" s="72">
        <f>Comp3[[#This Row],[Comparable '#3 Price]]/$B$2*100</f>
        <v>115.4594317890965</v>
      </c>
    </row>
    <row r="313" spans="1:12">
      <c r="A313" s="96">
        <v>43738</v>
      </c>
      <c r="B313" s="101">
        <v>135.88</v>
      </c>
      <c r="C313" s="1">
        <f t="shared" si="8"/>
        <v>4.0559032039687096E-3</v>
      </c>
      <c r="D313" s="1">
        <f>IFERROR(Comp3[[#This Row],[Comparable '#3 Return]]+1,"-")</f>
        <v>1.0040559032039686</v>
      </c>
      <c r="E313" s="6">
        <f>B313-MAX($B$2:B313)</f>
        <v>-52.16</v>
      </c>
      <c r="F313" s="80">
        <f t="shared" si="9"/>
        <v>51</v>
      </c>
      <c r="G313" s="6">
        <f>IFERROR(Comp3[[#This Row],[Comparable '#3 Drawdown]]/MAX($B$2:B313),"-")</f>
        <v>-0.27738778983195062</v>
      </c>
      <c r="H313" s="1" t="str">
        <f>IF(SUM(COUNTIF(Benchmark1[Benchmark '#1 Dates],Comp3[[#This Row],[Comparable '#3 Dates]]),COUNTIF(Benchmark2[Benchmark '#2 Dates],Comp3[[#This Row],[Comparable '#3 Dates]]))=2,"Pass","Fail")</f>
        <v>Pass</v>
      </c>
      <c r="I313" s="1">
        <f>IFERROR(Comp3[[#This Row],[Comparable '#3 Return]]-INDEX(Benchmark1[Benchmark '#1 Return],MATCH(Comp3[[#This Row],[Comparable '#3 Dates]],Benchmark1[Benchmark '#1 Dates],0)),"-")</f>
        <v>-9.770547884317398E-4</v>
      </c>
      <c r="L313" s="72">
        <f>Comp3[[#This Row],[Comparable '#3 Price]]/$B$2*100</f>
        <v>115.92867502772802</v>
      </c>
    </row>
    <row r="314" spans="1:12">
      <c r="A314" s="96">
        <v>43739</v>
      </c>
      <c r="B314" s="101">
        <v>133.19</v>
      </c>
      <c r="C314" s="1">
        <f t="shared" si="8"/>
        <v>-1.9995463079443949E-2</v>
      </c>
      <c r="D314" s="1">
        <f>IFERROR(Comp3[[#This Row],[Comparable '#3 Return]]+1,"-")</f>
        <v>0.980004536920556</v>
      </c>
      <c r="E314" s="6">
        <f>B314-MAX($B$2:B314)</f>
        <v>-54.849999999999994</v>
      </c>
      <c r="F314" s="80">
        <f t="shared" si="9"/>
        <v>52</v>
      </c>
      <c r="G314" s="6">
        <f>IFERROR(Comp3[[#This Row],[Comparable '#3 Drawdown]]/MAX($B$2:B314),"-")</f>
        <v>-0.29169325675388214</v>
      </c>
      <c r="H314" s="1" t="str">
        <f>IF(SUM(COUNTIF(Benchmark1[Benchmark '#1 Dates],Comp3[[#This Row],[Comparable '#3 Dates]]),COUNTIF(Benchmark2[Benchmark '#2 Dates],Comp3[[#This Row],[Comparable '#3 Dates]]))=2,"Pass","Fail")</f>
        <v>Pass</v>
      </c>
      <c r="I314" s="1">
        <f>IFERROR(Comp3[[#This Row],[Comparable '#3 Return]]-INDEX(Benchmark1[Benchmark '#1 Return],MATCH(Comp3[[#This Row],[Comparable '#3 Dates]],Benchmark1[Benchmark '#1 Dates],0)),"-")</f>
        <v>-7.6617693095700958E-3</v>
      </c>
      <c r="L314" s="72">
        <f>Comp3[[#This Row],[Comparable '#3 Price]]/$B$2*100</f>
        <v>113.6336490060575</v>
      </c>
    </row>
    <row r="315" spans="1:12">
      <c r="A315" s="96">
        <v>43740</v>
      </c>
      <c r="B315" s="101">
        <v>135.06</v>
      </c>
      <c r="C315" s="1">
        <f t="shared" si="8"/>
        <v>1.3942443933756689E-2</v>
      </c>
      <c r="D315" s="1">
        <f>IFERROR(Comp3[[#This Row],[Comparable '#3 Return]]+1,"-")</f>
        <v>1.0139424439337568</v>
      </c>
      <c r="E315" s="6">
        <f>B315-MAX($B$2:B315)</f>
        <v>-52.97999999999999</v>
      </c>
      <c r="F315" s="80">
        <f t="shared" si="9"/>
        <v>53</v>
      </c>
      <c r="G315" s="6">
        <f>IFERROR(Comp3[[#This Row],[Comparable '#3 Drawdown]]/MAX($B$2:B315),"-")</f>
        <v>-0.28174856413529031</v>
      </c>
      <c r="H315" s="1" t="str">
        <f>IF(SUM(COUNTIF(Benchmark1[Benchmark '#1 Dates],Comp3[[#This Row],[Comparable '#3 Dates]]),COUNTIF(Benchmark2[Benchmark '#2 Dates],Comp3[[#This Row],[Comparable '#3 Dates]]))=2,"Pass","Fail")</f>
        <v>Pass</v>
      </c>
      <c r="I315" s="1">
        <f>IFERROR(Comp3[[#This Row],[Comparable '#3 Return]]-INDEX(Benchmark1[Benchmark '#1 Return],MATCH(Comp3[[#This Row],[Comparable '#3 Dates]],Benchmark1[Benchmark '#1 Dates],0)),"-")</f>
        <v>3.2008615887545354E-2</v>
      </c>
      <c r="L315" s="72">
        <f>Comp3[[#This Row],[Comparable '#3 Price]]/$B$2*100</f>
        <v>115.22907601740467</v>
      </c>
    </row>
    <row r="316" spans="1:12">
      <c r="A316" s="96">
        <v>43741</v>
      </c>
      <c r="B316" s="101">
        <v>133.56</v>
      </c>
      <c r="C316" s="1">
        <f t="shared" si="8"/>
        <v>-1.1168309071242144E-2</v>
      </c>
      <c r="D316" s="1">
        <f>IFERROR(Comp3[[#This Row],[Comparable '#3 Return]]+1,"-")</f>
        <v>0.98883169092875789</v>
      </c>
      <c r="E316" s="6">
        <f>B316-MAX($B$2:B316)</f>
        <v>-54.47999999999999</v>
      </c>
      <c r="F316" s="80">
        <f t="shared" si="9"/>
        <v>54</v>
      </c>
      <c r="G316" s="6">
        <f>IFERROR(Comp3[[#This Row],[Comparable '#3 Drawdown]]/MAX($B$2:B316),"-")</f>
        <v>-0.28972559029993616</v>
      </c>
      <c r="H316" s="1" t="str">
        <f>IF(SUM(COUNTIF(Benchmark1[Benchmark '#1 Dates],Comp3[[#This Row],[Comparable '#3 Dates]]),COUNTIF(Benchmark2[Benchmark '#2 Dates],Comp3[[#This Row],[Comparable '#3 Dates]]))=2,"Pass","Fail")</f>
        <v>Pass</v>
      </c>
      <c r="I316" s="1">
        <f>IFERROR(Comp3[[#This Row],[Comparable '#3 Return]]-INDEX(Benchmark1[Benchmark '#1 Return],MATCH(Comp3[[#This Row],[Comparable '#3 Dates]],Benchmark1[Benchmark '#1 Dates],0)),"-")</f>
        <v>-1.9111290142334522E-2</v>
      </c>
      <c r="L316" s="72">
        <f>Comp3[[#This Row],[Comparable '#3 Price]]/$B$2*100</f>
        <v>113.94932173022781</v>
      </c>
    </row>
    <row r="317" spans="1:12">
      <c r="A317" s="96">
        <v>43742</v>
      </c>
      <c r="B317" s="101">
        <v>133.71</v>
      </c>
      <c r="C317" s="1">
        <f t="shared" si="8"/>
        <v>1.1224605511203629E-3</v>
      </c>
      <c r="D317" s="1">
        <f>IFERROR(Comp3[[#This Row],[Comparable '#3 Return]]+1,"-")</f>
        <v>1.0011224605511204</v>
      </c>
      <c r="E317" s="6">
        <f>B317-MAX($B$2:B317)</f>
        <v>-54.329999999999984</v>
      </c>
      <c r="F317" s="80">
        <f t="shared" si="9"/>
        <v>55</v>
      </c>
      <c r="G317" s="6">
        <f>IFERROR(Comp3[[#This Row],[Comparable '#3 Drawdown]]/MAX($B$2:B317),"-")</f>
        <v>-0.28892788768347155</v>
      </c>
      <c r="H317" s="1" t="str">
        <f>IF(SUM(COUNTIF(Benchmark1[Benchmark '#1 Dates],Comp3[[#This Row],[Comparable '#3 Dates]]),COUNTIF(Benchmark2[Benchmark '#2 Dates],Comp3[[#This Row],[Comparable '#3 Dates]]))=2,"Pass","Fail")</f>
        <v>Pass</v>
      </c>
      <c r="I317" s="1">
        <f>IFERROR(Comp3[[#This Row],[Comparable '#3 Return]]-INDEX(Benchmark1[Benchmark '#1 Return],MATCH(Comp3[[#This Row],[Comparable '#3 Dates]],Benchmark1[Benchmark '#1 Dates],0)),"-")</f>
        <v>-1.2992067866233465E-2</v>
      </c>
      <c r="L317" s="72">
        <f>Comp3[[#This Row],[Comparable '#3 Price]]/$B$2*100</f>
        <v>114.0772971589455</v>
      </c>
    </row>
    <row r="318" spans="1:12">
      <c r="A318" s="96">
        <v>43745</v>
      </c>
      <c r="B318" s="101">
        <v>133.96</v>
      </c>
      <c r="C318" s="1">
        <f t="shared" si="8"/>
        <v>1.867972299429696E-3</v>
      </c>
      <c r="D318" s="1">
        <f>IFERROR(Comp3[[#This Row],[Comparable '#3 Return]]+1,"-")</f>
        <v>1.0018679722994297</v>
      </c>
      <c r="E318" s="6">
        <f>B318-MAX($B$2:B318)</f>
        <v>-54.079999999999984</v>
      </c>
      <c r="F318" s="80">
        <f t="shared" si="9"/>
        <v>56</v>
      </c>
      <c r="G318" s="6">
        <f>IFERROR(Comp3[[#This Row],[Comparable '#3 Drawdown]]/MAX($B$2:B318),"-")</f>
        <v>-0.28759838332269722</v>
      </c>
      <c r="H318" s="1" t="str">
        <f>IF(SUM(COUNTIF(Benchmark1[Benchmark '#1 Dates],Comp3[[#This Row],[Comparable '#3 Dates]]),COUNTIF(Benchmark2[Benchmark '#2 Dates],Comp3[[#This Row],[Comparable '#3 Dates]]))=2,"Pass","Fail")</f>
        <v>Pass</v>
      </c>
      <c r="I318" s="1">
        <f>IFERROR(Comp3[[#This Row],[Comparable '#3 Return]]-INDEX(Benchmark1[Benchmark '#1 Return],MATCH(Comp3[[#This Row],[Comparable '#3 Dates]],Benchmark1[Benchmark '#1 Dates],0)),"-")</f>
        <v>6.3557160109289175E-3</v>
      </c>
      <c r="L318" s="72">
        <f>Comp3[[#This Row],[Comparable '#3 Price]]/$B$2*100</f>
        <v>114.29058954014164</v>
      </c>
    </row>
    <row r="319" spans="1:12">
      <c r="A319" s="96">
        <v>43746</v>
      </c>
      <c r="B319" s="101">
        <v>132.54</v>
      </c>
      <c r="C319" s="1">
        <f t="shared" si="8"/>
        <v>-1.0656761265923178E-2</v>
      </c>
      <c r="D319" s="1">
        <f>IFERROR(Comp3[[#This Row],[Comparable '#3 Return]]+1,"-")</f>
        <v>0.98934323873407681</v>
      </c>
      <c r="E319" s="6">
        <f>B319-MAX($B$2:B319)</f>
        <v>-55.5</v>
      </c>
      <c r="F319" s="80">
        <f t="shared" si="9"/>
        <v>57</v>
      </c>
      <c r="G319" s="6">
        <f>IFERROR(Comp3[[#This Row],[Comparable '#3 Drawdown]]/MAX($B$2:B319),"-")</f>
        <v>-0.29514996809189536</v>
      </c>
      <c r="H319" s="1" t="str">
        <f>IF(SUM(COUNTIF(Benchmark1[Benchmark '#1 Dates],Comp3[[#This Row],[Comparable '#3 Dates]]),COUNTIF(Benchmark2[Benchmark '#2 Dates],Comp3[[#This Row],[Comparable '#3 Dates]]))=2,"Pass","Fail")</f>
        <v>Pass</v>
      </c>
      <c r="I319" s="1">
        <f>IFERROR(Comp3[[#This Row],[Comparable '#3 Return]]-INDEX(Benchmark1[Benchmark '#1 Return],MATCH(Comp3[[#This Row],[Comparable '#3 Dates]],Benchmark1[Benchmark '#1 Dates],0)),"-")</f>
        <v>5.0277262667758078E-3</v>
      </c>
      <c r="L319" s="72">
        <f>Comp3[[#This Row],[Comparable '#3 Price]]/$B$2*100</f>
        <v>113.07908881494753</v>
      </c>
    </row>
    <row r="320" spans="1:12">
      <c r="A320" s="96">
        <v>43747</v>
      </c>
      <c r="B320" s="101">
        <v>135.69999999999999</v>
      </c>
      <c r="C320" s="1">
        <f t="shared" si="8"/>
        <v>2.3562080180742569E-2</v>
      </c>
      <c r="D320" s="1">
        <f>IFERROR(Comp3[[#This Row],[Comparable '#3 Return]]+1,"-")</f>
        <v>1.0235620801807426</v>
      </c>
      <c r="E320" s="6">
        <f>B320-MAX($B$2:B320)</f>
        <v>-52.34</v>
      </c>
      <c r="F320" s="80">
        <f t="shared" si="9"/>
        <v>58</v>
      </c>
      <c r="G320" s="6">
        <f>IFERROR(Comp3[[#This Row],[Comparable '#3 Drawdown]]/MAX($B$2:B320),"-")</f>
        <v>-0.27834503297170815</v>
      </c>
      <c r="H320" s="1" t="str">
        <f>IF(SUM(COUNTIF(Benchmark1[Benchmark '#1 Dates],Comp3[[#This Row],[Comparable '#3 Dates]]),COUNTIF(Benchmark2[Benchmark '#2 Dates],Comp3[[#This Row],[Comparable '#3 Dates]]))=2,"Pass","Fail")</f>
        <v>Pass</v>
      </c>
      <c r="I320" s="1">
        <f>IFERROR(Comp3[[#This Row],[Comparable '#3 Return]]-INDEX(Benchmark1[Benchmark '#1 Return],MATCH(Comp3[[#This Row],[Comparable '#3 Dates]],Benchmark1[Benchmark '#1 Dates],0)),"-")</f>
        <v>1.4497169046203547E-2</v>
      </c>
      <c r="L320" s="72">
        <f>Comp3[[#This Row],[Comparable '#3 Price]]/$B$2*100</f>
        <v>115.77510451326678</v>
      </c>
    </row>
    <row r="321" spans="1:12">
      <c r="A321" s="96">
        <v>43748</v>
      </c>
      <c r="B321" s="101">
        <v>136.19</v>
      </c>
      <c r="C321" s="1">
        <f t="shared" si="8"/>
        <v>3.6044027400426739E-3</v>
      </c>
      <c r="D321" s="1">
        <f>IFERROR(Comp3[[#This Row],[Comparable '#3 Return]]+1,"-")</f>
        <v>1.0036044027400426</v>
      </c>
      <c r="E321" s="6">
        <f>B321-MAX($B$2:B321)</f>
        <v>-51.849999999999994</v>
      </c>
      <c r="F321" s="80">
        <f t="shared" si="9"/>
        <v>59</v>
      </c>
      <c r="G321" s="6">
        <f>IFERROR(Comp3[[#This Row],[Comparable '#3 Drawdown]]/MAX($B$2:B321),"-")</f>
        <v>-0.27573920442459049</v>
      </c>
      <c r="H321" s="1" t="str">
        <f>IF(SUM(COUNTIF(Benchmark1[Benchmark '#1 Dates],Comp3[[#This Row],[Comparable '#3 Dates]]),COUNTIF(Benchmark2[Benchmark '#2 Dates],Comp3[[#This Row],[Comparable '#3 Dates]]))=2,"Pass","Fail")</f>
        <v>Pass</v>
      </c>
      <c r="I321" s="1">
        <f>IFERROR(Comp3[[#This Row],[Comparable '#3 Return]]-INDEX(Benchmark1[Benchmark '#1 Return],MATCH(Comp3[[#This Row],[Comparable '#3 Dates]],Benchmark1[Benchmark '#1 Dates],0)),"-")</f>
        <v>-2.7915741821217302E-3</v>
      </c>
      <c r="L321" s="72">
        <f>Comp3[[#This Row],[Comparable '#3 Price]]/$B$2*100</f>
        <v>116.19315758041122</v>
      </c>
    </row>
    <row r="322" spans="1:12">
      <c r="A322" s="96">
        <v>43749</v>
      </c>
      <c r="B322" s="101">
        <v>139.16999999999999</v>
      </c>
      <c r="C322" s="1">
        <f t="shared" ref="C322:C385" si="10">IFERROR(IF(B322="","-",LN(B322/B321)),"-")</f>
        <v>2.1645237850895904E-2</v>
      </c>
      <c r="D322" s="1">
        <f>IFERROR(Comp3[[#This Row],[Comparable '#3 Return]]+1,"-")</f>
        <v>1.021645237850896</v>
      </c>
      <c r="E322" s="6">
        <f>B322-MAX($B$2:B322)</f>
        <v>-48.870000000000005</v>
      </c>
      <c r="F322" s="80">
        <f t="shared" ref="F322:F385" si="11">IF(E322=0,0,F321+1)</f>
        <v>60</v>
      </c>
      <c r="G322" s="6">
        <f>IFERROR(Comp3[[#This Row],[Comparable '#3 Drawdown]]/MAX($B$2:B322),"-")</f>
        <v>-0.25989151244416087</v>
      </c>
      <c r="H322" s="1" t="str">
        <f>IF(SUM(COUNTIF(Benchmark1[Benchmark '#1 Dates],Comp3[[#This Row],[Comparable '#3 Dates]]),COUNTIF(Benchmark2[Benchmark '#2 Dates],Comp3[[#This Row],[Comparable '#3 Dates]]))=2,"Pass","Fail")</f>
        <v>Pass</v>
      </c>
      <c r="I322" s="1">
        <f>IFERROR(Comp3[[#This Row],[Comparable '#3 Return]]-INDEX(Benchmark1[Benchmark '#1 Return],MATCH(Comp3[[#This Row],[Comparable '#3 Dates]],Benchmark1[Benchmark '#1 Dates],0)),"-")</f>
        <v>1.0766659327890572E-2</v>
      </c>
      <c r="L322" s="72">
        <f>Comp3[[#This Row],[Comparable '#3 Price]]/$B$2*100</f>
        <v>118.73560276426926</v>
      </c>
    </row>
    <row r="323" spans="1:12">
      <c r="A323" s="96">
        <v>43752</v>
      </c>
      <c r="B323" s="101">
        <v>135.97</v>
      </c>
      <c r="C323" s="1">
        <f t="shared" si="10"/>
        <v>-2.3261934264167235E-2</v>
      </c>
      <c r="D323" s="1">
        <f>IFERROR(Comp3[[#This Row],[Comparable '#3 Return]]+1,"-")</f>
        <v>0.97673806573583277</v>
      </c>
      <c r="E323" s="6">
        <f>B323-MAX($B$2:B323)</f>
        <v>-52.069999999999993</v>
      </c>
      <c r="F323" s="80">
        <f t="shared" si="11"/>
        <v>61</v>
      </c>
      <c r="G323" s="6">
        <f>IFERROR(Comp3[[#This Row],[Comparable '#3 Drawdown]]/MAX($B$2:B323),"-")</f>
        <v>-0.27690916826207185</v>
      </c>
      <c r="H323" s="1" t="str">
        <f>IF(SUM(COUNTIF(Benchmark1[Benchmark '#1 Dates],Comp3[[#This Row],[Comparable '#3 Dates]]),COUNTIF(Benchmark2[Benchmark '#2 Dates],Comp3[[#This Row],[Comparable '#3 Dates]]))=2,"Pass","Fail")</f>
        <v>Pass</v>
      </c>
      <c r="I323" s="1">
        <f>IFERROR(Comp3[[#This Row],[Comparable '#3 Return]]-INDEX(Benchmark1[Benchmark '#1 Return],MATCH(Comp3[[#This Row],[Comparable '#3 Dates]],Benchmark1[Benchmark '#1 Dates],0)),"-")</f>
        <v>-2.1874198906525737E-2</v>
      </c>
      <c r="L323" s="72">
        <f>Comp3[[#This Row],[Comparable '#3 Price]]/$B$2*100</f>
        <v>116.00546028495862</v>
      </c>
    </row>
    <row r="324" spans="1:12">
      <c r="A324" s="96">
        <v>43753</v>
      </c>
      <c r="B324" s="101">
        <v>134.19</v>
      </c>
      <c r="C324" s="1">
        <f t="shared" si="10"/>
        <v>-1.3177567054728197E-2</v>
      </c>
      <c r="D324" s="1">
        <f>IFERROR(Comp3[[#This Row],[Comparable '#3 Return]]+1,"-")</f>
        <v>0.98682243294527183</v>
      </c>
      <c r="E324" s="6">
        <f>B324-MAX($B$2:B324)</f>
        <v>-53.849999999999994</v>
      </c>
      <c r="F324" s="80">
        <f t="shared" si="11"/>
        <v>62</v>
      </c>
      <c r="G324" s="6">
        <f>IFERROR(Comp3[[#This Row],[Comparable '#3 Drawdown]]/MAX($B$2:B324),"-")</f>
        <v>-0.2863752393107849</v>
      </c>
      <c r="H324" s="1" t="str">
        <f>IF(SUM(COUNTIF(Benchmark1[Benchmark '#1 Dates],Comp3[[#This Row],[Comparable '#3 Dates]]),COUNTIF(Benchmark2[Benchmark '#2 Dates],Comp3[[#This Row],[Comparable '#3 Dates]]))=2,"Pass","Fail")</f>
        <v>Pass</v>
      </c>
      <c r="I324" s="1">
        <f>IFERROR(Comp3[[#This Row],[Comparable '#3 Return]]-INDEX(Benchmark1[Benchmark '#1 Return],MATCH(Comp3[[#This Row],[Comparable '#3 Dates]],Benchmark1[Benchmark '#1 Dates],0)),"-")</f>
        <v>-2.3084894580682878E-2</v>
      </c>
      <c r="L324" s="72">
        <f>Comp3[[#This Row],[Comparable '#3 Price]]/$B$2*100</f>
        <v>114.48681853084209</v>
      </c>
    </row>
    <row r="325" spans="1:12">
      <c r="A325" s="96">
        <v>43754</v>
      </c>
      <c r="B325" s="101">
        <v>132.31</v>
      </c>
      <c r="C325" s="1">
        <f t="shared" si="10"/>
        <v>-1.4109052058546732E-2</v>
      </c>
      <c r="D325" s="1">
        <f>IFERROR(Comp3[[#This Row],[Comparable '#3 Return]]+1,"-")</f>
        <v>0.98589094794145327</v>
      </c>
      <c r="E325" s="6">
        <f>B325-MAX($B$2:B325)</f>
        <v>-55.72999999999999</v>
      </c>
      <c r="F325" s="80">
        <f t="shared" si="11"/>
        <v>63</v>
      </c>
      <c r="G325" s="6">
        <f>IFERROR(Comp3[[#This Row],[Comparable '#3 Drawdown]]/MAX($B$2:B325),"-")</f>
        <v>-0.29637311210380768</v>
      </c>
      <c r="H325" s="1" t="str">
        <f>IF(SUM(COUNTIF(Benchmark1[Benchmark '#1 Dates],Comp3[[#This Row],[Comparable '#3 Dates]]),COUNTIF(Benchmark2[Benchmark '#2 Dates],Comp3[[#This Row],[Comparable '#3 Dates]]))=2,"Pass","Fail")</f>
        <v>Pass</v>
      </c>
      <c r="I325" s="1">
        <f>IFERROR(Comp3[[#This Row],[Comparable '#3 Return]]-INDEX(Benchmark1[Benchmark '#1 Return],MATCH(Comp3[[#This Row],[Comparable '#3 Dates]],Benchmark1[Benchmark '#1 Dates],0)),"-")</f>
        <v>-1.2107723131177927E-2</v>
      </c>
      <c r="L325" s="72">
        <f>Comp3[[#This Row],[Comparable '#3 Price]]/$B$2*100</f>
        <v>112.88285982424708</v>
      </c>
    </row>
    <row r="326" spans="1:12">
      <c r="A326" s="96">
        <v>43755</v>
      </c>
      <c r="B326" s="101">
        <v>132.28</v>
      </c>
      <c r="C326" s="1">
        <f t="shared" si="10"/>
        <v>-2.2676594072755976E-4</v>
      </c>
      <c r="D326" s="1">
        <f>IFERROR(Comp3[[#This Row],[Comparable '#3 Return]]+1,"-")</f>
        <v>0.99977323405927243</v>
      </c>
      <c r="E326" s="6">
        <f>B326-MAX($B$2:B326)</f>
        <v>-55.759999999999991</v>
      </c>
      <c r="F326" s="80">
        <f t="shared" si="11"/>
        <v>64</v>
      </c>
      <c r="G326" s="6">
        <f>IFERROR(Comp3[[#This Row],[Comparable '#3 Drawdown]]/MAX($B$2:B326),"-")</f>
        <v>-0.2965326526271006</v>
      </c>
      <c r="H326" s="1" t="str">
        <f>IF(SUM(COUNTIF(Benchmark1[Benchmark '#1 Dates],Comp3[[#This Row],[Comparable '#3 Dates]]),COUNTIF(Benchmark2[Benchmark '#2 Dates],Comp3[[#This Row],[Comparable '#3 Dates]]))=2,"Pass","Fail")</f>
        <v>Pass</v>
      </c>
      <c r="I326" s="1">
        <f>IFERROR(Comp3[[#This Row],[Comparable '#3 Return]]-INDEX(Benchmark1[Benchmark '#1 Return],MATCH(Comp3[[#This Row],[Comparable '#3 Dates]],Benchmark1[Benchmark '#1 Dates],0)),"-")</f>
        <v>-2.9854826317507028E-3</v>
      </c>
      <c r="L326" s="72">
        <f>Comp3[[#This Row],[Comparable '#3 Price]]/$B$2*100</f>
        <v>112.85726473850355</v>
      </c>
    </row>
    <row r="327" spans="1:12">
      <c r="A327" s="96">
        <v>43756</v>
      </c>
      <c r="B327" s="101">
        <v>129.84</v>
      </c>
      <c r="C327" s="1">
        <f t="shared" si="10"/>
        <v>-1.8617964907256233E-2</v>
      </c>
      <c r="D327" s="1">
        <f>IFERROR(Comp3[[#This Row],[Comparable '#3 Return]]+1,"-")</f>
        <v>0.9813820350927438</v>
      </c>
      <c r="E327" s="6">
        <f>B327-MAX($B$2:B327)</f>
        <v>-58.199999999999989</v>
      </c>
      <c r="F327" s="80">
        <f t="shared" si="11"/>
        <v>65</v>
      </c>
      <c r="G327" s="6">
        <f>IFERROR(Comp3[[#This Row],[Comparable '#3 Drawdown]]/MAX($B$2:B327),"-")</f>
        <v>-0.30950861518825779</v>
      </c>
      <c r="H327" s="1" t="str">
        <f>IF(SUM(COUNTIF(Benchmark1[Benchmark '#1 Dates],Comp3[[#This Row],[Comparable '#3 Dates]]),COUNTIF(Benchmark2[Benchmark '#2 Dates],Comp3[[#This Row],[Comparable '#3 Dates]]))=2,"Pass","Fail")</f>
        <v>Pass</v>
      </c>
      <c r="I327" s="1">
        <f>IFERROR(Comp3[[#This Row],[Comparable '#3 Return]]-INDEX(Benchmark1[Benchmark '#1 Return],MATCH(Comp3[[#This Row],[Comparable '#3 Dates]],Benchmark1[Benchmark '#1 Dates],0)),"-")</f>
        <v>-1.4691123105123402E-2</v>
      </c>
      <c r="L327" s="72">
        <f>Comp3[[#This Row],[Comparable '#3 Price]]/$B$2*100</f>
        <v>110.77553109802918</v>
      </c>
    </row>
    <row r="328" spans="1:12">
      <c r="A328" s="96">
        <v>43759</v>
      </c>
      <c r="B328" s="101">
        <v>129.29</v>
      </c>
      <c r="C328" s="1">
        <f t="shared" si="10"/>
        <v>-4.2449799398739749E-3</v>
      </c>
      <c r="D328" s="1">
        <f>IFERROR(Comp3[[#This Row],[Comparable '#3 Return]]+1,"-")</f>
        <v>0.99575502006012606</v>
      </c>
      <c r="E328" s="6">
        <f>B328-MAX($B$2:B328)</f>
        <v>-58.75</v>
      </c>
      <c r="F328" s="80">
        <f t="shared" si="11"/>
        <v>66</v>
      </c>
      <c r="G328" s="6">
        <f>IFERROR(Comp3[[#This Row],[Comparable '#3 Drawdown]]/MAX($B$2:B328),"-")</f>
        <v>-0.31243352478196129</v>
      </c>
      <c r="H328" s="1" t="str">
        <f>IF(SUM(COUNTIF(Benchmark1[Benchmark '#1 Dates],Comp3[[#This Row],[Comparable '#3 Dates]]),COUNTIF(Benchmark2[Benchmark '#2 Dates],Comp3[[#This Row],[Comparable '#3 Dates]]))=2,"Pass","Fail")</f>
        <v>Pass</v>
      </c>
      <c r="I328" s="1">
        <f>IFERROR(Comp3[[#This Row],[Comparable '#3 Return]]-INDEX(Benchmark1[Benchmark '#1 Return],MATCH(Comp3[[#This Row],[Comparable '#3 Dates]],Benchmark1[Benchmark '#1 Dates],0)),"-")</f>
        <v>-1.1093345109074466E-2</v>
      </c>
      <c r="L328" s="72">
        <f>Comp3[[#This Row],[Comparable '#3 Price]]/$B$2*100</f>
        <v>110.30628785939767</v>
      </c>
    </row>
    <row r="329" spans="1:12">
      <c r="A329" s="96">
        <v>43760</v>
      </c>
      <c r="B329" s="101">
        <v>127.94</v>
      </c>
      <c r="C329" s="1">
        <f t="shared" si="10"/>
        <v>-1.0496539244470268E-2</v>
      </c>
      <c r="D329" s="1">
        <f>IFERROR(Comp3[[#This Row],[Comparable '#3 Return]]+1,"-")</f>
        <v>0.98950346075552975</v>
      </c>
      <c r="E329" s="6">
        <f>B329-MAX($B$2:B329)</f>
        <v>-60.099999999999994</v>
      </c>
      <c r="F329" s="80">
        <f t="shared" si="11"/>
        <v>67</v>
      </c>
      <c r="G329" s="6">
        <f>IFERROR(Comp3[[#This Row],[Comparable '#3 Drawdown]]/MAX($B$2:B329),"-")</f>
        <v>-0.31961284833014253</v>
      </c>
      <c r="H329" s="1" t="str">
        <f>IF(SUM(COUNTIF(Benchmark1[Benchmark '#1 Dates],Comp3[[#This Row],[Comparable '#3 Dates]]),COUNTIF(Benchmark2[Benchmark '#2 Dates],Comp3[[#This Row],[Comparable '#3 Dates]]))=2,"Pass","Fail")</f>
        <v>Pass</v>
      </c>
      <c r="I329" s="1">
        <f>IFERROR(Comp3[[#This Row],[Comparable '#3 Return]]-INDEX(Benchmark1[Benchmark '#1 Return],MATCH(Comp3[[#This Row],[Comparable '#3 Dates]],Benchmark1[Benchmark '#1 Dates],0)),"-")</f>
        <v>-6.9210484523033727E-3</v>
      </c>
      <c r="L329" s="72">
        <f>Comp3[[#This Row],[Comparable '#3 Price]]/$B$2*100</f>
        <v>109.15450900093848</v>
      </c>
    </row>
    <row r="330" spans="1:12">
      <c r="A330" s="96">
        <v>43761</v>
      </c>
      <c r="B330" s="101">
        <v>126.01</v>
      </c>
      <c r="C330" s="1">
        <f t="shared" si="10"/>
        <v>-1.5200135140389747E-2</v>
      </c>
      <c r="D330" s="1">
        <f>IFERROR(Comp3[[#This Row],[Comparable '#3 Return]]+1,"-")</f>
        <v>0.98479986485961024</v>
      </c>
      <c r="E330" s="6">
        <f>B330-MAX($B$2:B330)</f>
        <v>-62.029999999999987</v>
      </c>
      <c r="F330" s="80">
        <f t="shared" si="11"/>
        <v>68</v>
      </c>
      <c r="G330" s="6">
        <f>IFERROR(Comp3[[#This Row],[Comparable '#3 Drawdown]]/MAX($B$2:B330),"-")</f>
        <v>-0.32987662199532009</v>
      </c>
      <c r="H330" s="1" t="str">
        <f>IF(SUM(COUNTIF(Benchmark1[Benchmark '#1 Dates],Comp3[[#This Row],[Comparable '#3 Dates]]),COUNTIF(Benchmark2[Benchmark '#2 Dates],Comp3[[#This Row],[Comparable '#3 Dates]]))=2,"Pass","Fail")</f>
        <v>Pass</v>
      </c>
      <c r="I330" s="1">
        <f>IFERROR(Comp3[[#This Row],[Comparable '#3 Return]]-INDEX(Benchmark1[Benchmark '#1 Return],MATCH(Comp3[[#This Row],[Comparable '#3 Dates]],Benchmark1[Benchmark '#1 Dates],0)),"-")</f>
        <v>-1.8043680862871704E-2</v>
      </c>
      <c r="L330" s="72">
        <f>Comp3[[#This Row],[Comparable '#3 Price]]/$B$2*100</f>
        <v>107.50789181810427</v>
      </c>
    </row>
    <row r="331" spans="1:12">
      <c r="A331" s="96">
        <v>43762</v>
      </c>
      <c r="B331" s="101">
        <v>128.82</v>
      </c>
      <c r="C331" s="1">
        <f t="shared" si="10"/>
        <v>2.205481223714276E-2</v>
      </c>
      <c r="D331" s="1">
        <f>IFERROR(Comp3[[#This Row],[Comparable '#3 Return]]+1,"-")</f>
        <v>1.0220548122371427</v>
      </c>
      <c r="E331" s="6">
        <f>B331-MAX($B$2:B331)</f>
        <v>-59.22</v>
      </c>
      <c r="F331" s="80">
        <f t="shared" si="11"/>
        <v>69</v>
      </c>
      <c r="G331" s="6">
        <f>IFERROR(Comp3[[#This Row],[Comparable '#3 Drawdown]]/MAX($B$2:B331),"-")</f>
        <v>-0.31493299298021699</v>
      </c>
      <c r="H331" s="1" t="str">
        <f>IF(SUM(COUNTIF(Benchmark1[Benchmark '#1 Dates],Comp3[[#This Row],[Comparable '#3 Dates]]),COUNTIF(Benchmark2[Benchmark '#2 Dates],Comp3[[#This Row],[Comparable '#3 Dates]]))=2,"Pass","Fail")</f>
        <v>Pass</v>
      </c>
      <c r="I331" s="1">
        <f>IFERROR(Comp3[[#This Row],[Comparable '#3 Return]]-INDEX(Benchmark1[Benchmark '#1 Return],MATCH(Comp3[[#This Row],[Comparable '#3 Dates]],Benchmark1[Benchmark '#1 Dates],0)),"-")</f>
        <v>2.0139215831445467E-2</v>
      </c>
      <c r="L331" s="72">
        <f>Comp3[[#This Row],[Comparable '#3 Price]]/$B$2*100</f>
        <v>109.90529818274892</v>
      </c>
    </row>
    <row r="332" spans="1:12">
      <c r="A332" s="96">
        <v>43763</v>
      </c>
      <c r="B332" s="101">
        <v>131.22</v>
      </c>
      <c r="C332" s="1">
        <f t="shared" si="10"/>
        <v>1.8459222797986896E-2</v>
      </c>
      <c r="D332" s="1">
        <f>IFERROR(Comp3[[#This Row],[Comparable '#3 Return]]+1,"-")</f>
        <v>1.018459222797987</v>
      </c>
      <c r="E332" s="6">
        <f>B332-MAX($B$2:B332)</f>
        <v>-56.819999999999993</v>
      </c>
      <c r="F332" s="80">
        <f t="shared" si="11"/>
        <v>70</v>
      </c>
      <c r="G332" s="6">
        <f>IFERROR(Comp3[[#This Row],[Comparable '#3 Drawdown]]/MAX($B$2:B332),"-")</f>
        <v>-0.30216975111678362</v>
      </c>
      <c r="H332" s="1" t="str">
        <f>IF(SUM(COUNTIF(Benchmark1[Benchmark '#1 Dates],Comp3[[#This Row],[Comparable '#3 Dates]]),COUNTIF(Benchmark2[Benchmark '#2 Dates],Comp3[[#This Row],[Comparable '#3 Dates]]))=2,"Pass","Fail")</f>
        <v>Pass</v>
      </c>
      <c r="I332" s="1">
        <f>IFERROR(Comp3[[#This Row],[Comparable '#3 Return]]-INDEX(Benchmark1[Benchmark '#1 Return],MATCH(Comp3[[#This Row],[Comparable '#3 Dates]],Benchmark1[Benchmark '#1 Dates],0)),"-")</f>
        <v>1.4393353900000159E-2</v>
      </c>
      <c r="L332" s="72">
        <f>Comp3[[#This Row],[Comparable '#3 Price]]/$B$2*100</f>
        <v>111.9529050422319</v>
      </c>
    </row>
    <row r="333" spans="1:12">
      <c r="A333" s="96">
        <v>43766</v>
      </c>
      <c r="B333" s="101">
        <v>128.66999999999999</v>
      </c>
      <c r="C333" s="1">
        <f t="shared" si="10"/>
        <v>-1.9624316719832821E-2</v>
      </c>
      <c r="D333" s="1">
        <f>IFERROR(Comp3[[#This Row],[Comparable '#3 Return]]+1,"-")</f>
        <v>0.98037568328016722</v>
      </c>
      <c r="E333" s="6">
        <f>B333-MAX($B$2:B333)</f>
        <v>-59.370000000000005</v>
      </c>
      <c r="F333" s="80">
        <f t="shared" si="11"/>
        <v>71</v>
      </c>
      <c r="G333" s="6">
        <f>IFERROR(Comp3[[#This Row],[Comparable '#3 Drawdown]]/MAX($B$2:B333),"-")</f>
        <v>-0.3157306955966816</v>
      </c>
      <c r="H333" s="1" t="str">
        <f>IF(SUM(COUNTIF(Benchmark1[Benchmark '#1 Dates],Comp3[[#This Row],[Comparable '#3 Dates]]),COUNTIF(Benchmark2[Benchmark '#2 Dates],Comp3[[#This Row],[Comparable '#3 Dates]]))=2,"Pass","Fail")</f>
        <v>Pass</v>
      </c>
      <c r="I333" s="1">
        <f>IFERROR(Comp3[[#This Row],[Comparable '#3 Return]]-INDEX(Benchmark1[Benchmark '#1 Return],MATCH(Comp3[[#This Row],[Comparable '#3 Dates]],Benchmark1[Benchmark '#1 Dates],0)),"-")</f>
        <v>-2.5190270723015731E-2</v>
      </c>
      <c r="L333" s="72">
        <f>Comp3[[#This Row],[Comparable '#3 Price]]/$B$2*100</f>
        <v>109.77732275403123</v>
      </c>
    </row>
    <row r="334" spans="1:12">
      <c r="A334" s="96">
        <v>43767</v>
      </c>
      <c r="B334" s="101">
        <v>128.63</v>
      </c>
      <c r="C334" s="1">
        <f t="shared" si="10"/>
        <v>-3.1092110627460172E-4</v>
      </c>
      <c r="D334" s="1">
        <f>IFERROR(Comp3[[#This Row],[Comparable '#3 Return]]+1,"-")</f>
        <v>0.99968907889372538</v>
      </c>
      <c r="E334" s="6">
        <f>B334-MAX($B$2:B334)</f>
        <v>-59.41</v>
      </c>
      <c r="F334" s="80">
        <f t="shared" si="11"/>
        <v>72</v>
      </c>
      <c r="G334" s="6">
        <f>IFERROR(Comp3[[#This Row],[Comparable '#3 Drawdown]]/MAX($B$2:B334),"-")</f>
        <v>-0.31594341629440542</v>
      </c>
      <c r="H334" s="1" t="str">
        <f>IF(SUM(COUNTIF(Benchmark1[Benchmark '#1 Dates],Comp3[[#This Row],[Comparable '#3 Dates]]),COUNTIF(Benchmark2[Benchmark '#2 Dates],Comp3[[#This Row],[Comparable '#3 Dates]]))=2,"Pass","Fail")</f>
        <v>Pass</v>
      </c>
      <c r="I334" s="1">
        <f>IFERROR(Comp3[[#This Row],[Comparable '#3 Return]]-INDEX(Benchmark1[Benchmark '#1 Return],MATCH(Comp3[[#This Row],[Comparable '#3 Dates]],Benchmark1[Benchmark '#1 Dates],0)),"-")</f>
        <v>5.2105543491402198E-4</v>
      </c>
      <c r="L334" s="72">
        <f>Comp3[[#This Row],[Comparable '#3 Price]]/$B$2*100</f>
        <v>109.74319597303986</v>
      </c>
    </row>
    <row r="335" spans="1:12">
      <c r="A335" s="96">
        <v>43768</v>
      </c>
      <c r="B335" s="101">
        <v>127.11</v>
      </c>
      <c r="C335" s="1">
        <f t="shared" si="10"/>
        <v>-1.188721278404648E-2</v>
      </c>
      <c r="D335" s="1">
        <f>IFERROR(Comp3[[#This Row],[Comparable '#3 Return]]+1,"-")</f>
        <v>0.98811278721595353</v>
      </c>
      <c r="E335" s="6">
        <f>B335-MAX($B$2:B335)</f>
        <v>-60.929999999999993</v>
      </c>
      <c r="F335" s="80">
        <f t="shared" si="11"/>
        <v>73</v>
      </c>
      <c r="G335" s="6">
        <f>IFERROR(Comp3[[#This Row],[Comparable '#3 Drawdown]]/MAX($B$2:B335),"-")</f>
        <v>-0.32402680280791318</v>
      </c>
      <c r="H335" s="1" t="str">
        <f>IF(SUM(COUNTIF(Benchmark1[Benchmark '#1 Dates],Comp3[[#This Row],[Comparable '#3 Dates]]),COUNTIF(Benchmark2[Benchmark '#2 Dates],Comp3[[#This Row],[Comparable '#3 Dates]]))=2,"Pass","Fail")</f>
        <v>Pass</v>
      </c>
      <c r="I335" s="1">
        <f>IFERROR(Comp3[[#This Row],[Comparable '#3 Return]]-INDEX(Benchmark1[Benchmark '#1 Return],MATCH(Comp3[[#This Row],[Comparable '#3 Dates]],Benchmark1[Benchmark '#1 Dates],0)),"-")</f>
        <v>-1.513327320927813E-2</v>
      </c>
      <c r="L335" s="72">
        <f>Comp3[[#This Row],[Comparable '#3 Price]]/$B$2*100</f>
        <v>108.4463782953673</v>
      </c>
    </row>
    <row r="336" spans="1:12">
      <c r="A336" s="96">
        <v>43769</v>
      </c>
      <c r="B336" s="101">
        <v>123.03</v>
      </c>
      <c r="C336" s="1">
        <f t="shared" si="10"/>
        <v>-3.2624625234499917E-2</v>
      </c>
      <c r="D336" s="1">
        <f>IFERROR(Comp3[[#This Row],[Comparable '#3 Return]]+1,"-")</f>
        <v>0.96737537476550006</v>
      </c>
      <c r="E336" s="6">
        <f>B336-MAX($B$2:B336)</f>
        <v>-65.009999999999991</v>
      </c>
      <c r="F336" s="80">
        <f t="shared" si="11"/>
        <v>74</v>
      </c>
      <c r="G336" s="6">
        <f>IFERROR(Comp3[[#This Row],[Comparable '#3 Drawdown]]/MAX($B$2:B336),"-")</f>
        <v>-0.34572431397574982</v>
      </c>
      <c r="H336" s="1" t="str">
        <f>IF(SUM(COUNTIF(Benchmark1[Benchmark '#1 Dates],Comp3[[#This Row],[Comparable '#3 Dates]]),COUNTIF(Benchmark2[Benchmark '#2 Dates],Comp3[[#This Row],[Comparable '#3 Dates]]))=2,"Pass","Fail")</f>
        <v>Pass</v>
      </c>
      <c r="I336" s="1">
        <f>IFERROR(Comp3[[#This Row],[Comparable '#3 Return]]-INDEX(Benchmark1[Benchmark '#1 Return],MATCH(Comp3[[#This Row],[Comparable '#3 Dates]],Benchmark1[Benchmark '#1 Dates],0)),"-")</f>
        <v>-2.9599880959954195E-2</v>
      </c>
      <c r="L336" s="72">
        <f>Comp3[[#This Row],[Comparable '#3 Price]]/$B$2*100</f>
        <v>104.96544663424623</v>
      </c>
    </row>
    <row r="337" spans="1:12">
      <c r="A337" s="96">
        <v>43770</v>
      </c>
      <c r="B337" s="101">
        <v>123.52</v>
      </c>
      <c r="C337" s="1">
        <f t="shared" si="10"/>
        <v>3.9748582043884293E-3</v>
      </c>
      <c r="D337" s="1">
        <f>IFERROR(Comp3[[#This Row],[Comparable '#3 Return]]+1,"-")</f>
        <v>1.0039748582043884</v>
      </c>
      <c r="E337" s="6">
        <f>B337-MAX($B$2:B337)</f>
        <v>-64.52</v>
      </c>
      <c r="F337" s="80">
        <f t="shared" si="11"/>
        <v>75</v>
      </c>
      <c r="G337" s="6">
        <f>IFERROR(Comp3[[#This Row],[Comparable '#3 Drawdown]]/MAX($B$2:B337),"-")</f>
        <v>-0.34311848542863221</v>
      </c>
      <c r="H337" s="1" t="str">
        <f>IF(SUM(COUNTIF(Benchmark1[Benchmark '#1 Dates],Comp3[[#This Row],[Comparable '#3 Dates]]),COUNTIF(Benchmark2[Benchmark '#2 Dates],Comp3[[#This Row],[Comparable '#3 Dates]]))=2,"Pass","Fail")</f>
        <v>Pass</v>
      </c>
      <c r="I337" s="1">
        <f>IFERROR(Comp3[[#This Row],[Comparable '#3 Return]]-INDEX(Benchmark1[Benchmark '#1 Return],MATCH(Comp3[[#This Row],[Comparable '#3 Dates]],Benchmark1[Benchmark '#1 Dates],0)),"-")</f>
        <v>-5.6412040730755928E-3</v>
      </c>
      <c r="L337" s="72">
        <f>Comp3[[#This Row],[Comparable '#3 Price]]/$B$2*100</f>
        <v>105.38349970139068</v>
      </c>
    </row>
    <row r="338" spans="1:12">
      <c r="A338" s="96">
        <v>43773</v>
      </c>
      <c r="B338" s="101">
        <v>122.95</v>
      </c>
      <c r="C338" s="1">
        <f t="shared" si="10"/>
        <v>-4.6253176142644287E-3</v>
      </c>
      <c r="D338" s="1">
        <f>IFERROR(Comp3[[#This Row],[Comparable '#3 Return]]+1,"-")</f>
        <v>0.99537468238573557</v>
      </c>
      <c r="E338" s="6">
        <f>B338-MAX($B$2:B338)</f>
        <v>-65.089999999999989</v>
      </c>
      <c r="F338" s="80">
        <f t="shared" si="11"/>
        <v>76</v>
      </c>
      <c r="G338" s="6">
        <f>IFERROR(Comp3[[#This Row],[Comparable '#3 Drawdown]]/MAX($B$2:B338),"-")</f>
        <v>-0.34614975537119758</v>
      </c>
      <c r="H338" s="1" t="str">
        <f>IF(SUM(COUNTIF(Benchmark1[Benchmark '#1 Dates],Comp3[[#This Row],[Comparable '#3 Dates]]),COUNTIF(Benchmark2[Benchmark '#2 Dates],Comp3[[#This Row],[Comparable '#3 Dates]]))=2,"Pass","Fail")</f>
        <v>Pass</v>
      </c>
      <c r="I338" s="1">
        <f>IFERROR(Comp3[[#This Row],[Comparable '#3 Return]]-INDEX(Benchmark1[Benchmark '#1 Return],MATCH(Comp3[[#This Row],[Comparable '#3 Dates]],Benchmark1[Benchmark '#1 Dates],0)),"-")</f>
        <v>-8.3208966823743943E-3</v>
      </c>
      <c r="L338" s="72">
        <f>Comp3[[#This Row],[Comparable '#3 Price]]/$B$2*100</f>
        <v>104.89719307226346</v>
      </c>
    </row>
    <row r="339" spans="1:12">
      <c r="A339" s="96">
        <v>43774</v>
      </c>
      <c r="B339" s="101">
        <v>123.39</v>
      </c>
      <c r="C339" s="1">
        <f t="shared" si="10"/>
        <v>3.5723022482409138E-3</v>
      </c>
      <c r="D339" s="1">
        <f>IFERROR(Comp3[[#This Row],[Comparable '#3 Return]]+1,"-")</f>
        <v>1.003572302248241</v>
      </c>
      <c r="E339" s="6">
        <f>B339-MAX($B$2:B339)</f>
        <v>-64.649999999999991</v>
      </c>
      <c r="F339" s="80">
        <f t="shared" si="11"/>
        <v>77</v>
      </c>
      <c r="G339" s="6">
        <f>IFERROR(Comp3[[#This Row],[Comparable '#3 Drawdown]]/MAX($B$2:B339),"-")</f>
        <v>-0.3438098276962348</v>
      </c>
      <c r="H339" s="1" t="str">
        <f>IF(SUM(COUNTIF(Benchmark1[Benchmark '#1 Dates],Comp3[[#This Row],[Comparable '#3 Dates]]),COUNTIF(Benchmark2[Benchmark '#2 Dates],Comp3[[#This Row],[Comparable '#3 Dates]]))=2,"Pass","Fail")</f>
        <v>Pass</v>
      </c>
      <c r="I339" s="1">
        <f>IFERROR(Comp3[[#This Row],[Comparable '#3 Return]]-INDEX(Benchmark1[Benchmark '#1 Return],MATCH(Comp3[[#This Row],[Comparable '#3 Dates]],Benchmark1[Benchmark '#1 Dates],0)),"-")</f>
        <v>4.7599767244720205E-3</v>
      </c>
      <c r="L339" s="72">
        <f>Comp3[[#This Row],[Comparable '#3 Price]]/$B$2*100</f>
        <v>105.27258766316866</v>
      </c>
    </row>
    <row r="340" spans="1:12">
      <c r="A340" s="96">
        <v>43775</v>
      </c>
      <c r="B340" s="101">
        <v>122.09</v>
      </c>
      <c r="C340" s="1">
        <f t="shared" si="10"/>
        <v>-1.0591593229678313E-2</v>
      </c>
      <c r="D340" s="1">
        <f>IFERROR(Comp3[[#This Row],[Comparable '#3 Return]]+1,"-")</f>
        <v>0.98940840677032171</v>
      </c>
      <c r="E340" s="6">
        <f>B340-MAX($B$2:B340)</f>
        <v>-65.949999999999989</v>
      </c>
      <c r="F340" s="80">
        <f t="shared" si="11"/>
        <v>78</v>
      </c>
      <c r="G340" s="6">
        <f>IFERROR(Comp3[[#This Row],[Comparable '#3 Drawdown]]/MAX($B$2:B340),"-")</f>
        <v>-0.35072325037226115</v>
      </c>
      <c r="H340" s="1" t="str">
        <f>IF(SUM(COUNTIF(Benchmark1[Benchmark '#1 Dates],Comp3[[#This Row],[Comparable '#3 Dates]]),COUNTIF(Benchmark2[Benchmark '#2 Dates],Comp3[[#This Row],[Comparable '#3 Dates]]))=2,"Pass","Fail")</f>
        <v>Pass</v>
      </c>
      <c r="I340" s="1">
        <f>IFERROR(Comp3[[#This Row],[Comparable '#3 Return]]-INDEX(Benchmark1[Benchmark '#1 Return],MATCH(Comp3[[#This Row],[Comparable '#3 Dates]],Benchmark1[Benchmark '#1 Dates],0)),"-")</f>
        <v>-1.1293686570952779E-2</v>
      </c>
      <c r="L340" s="72">
        <f>Comp3[[#This Row],[Comparable '#3 Price]]/$B$2*100</f>
        <v>104.16346728094874</v>
      </c>
    </row>
    <row r="341" spans="1:12">
      <c r="A341" s="96">
        <v>43776</v>
      </c>
      <c r="B341" s="101">
        <v>132.12</v>
      </c>
      <c r="C341" s="1">
        <f t="shared" si="10"/>
        <v>7.8952122841824873E-2</v>
      </c>
      <c r="D341" s="1">
        <f>IFERROR(Comp3[[#This Row],[Comparable '#3 Return]]+1,"-")</f>
        <v>1.0789521228418248</v>
      </c>
      <c r="E341" s="6">
        <f>B341-MAX($B$2:B341)</f>
        <v>-55.919999999999987</v>
      </c>
      <c r="F341" s="80">
        <f t="shared" si="11"/>
        <v>79</v>
      </c>
      <c r="G341" s="6">
        <f>IFERROR(Comp3[[#This Row],[Comparable '#3 Drawdown]]/MAX($B$2:B341),"-")</f>
        <v>-0.29738353541799611</v>
      </c>
      <c r="H341" s="1" t="str">
        <f>IF(SUM(COUNTIF(Benchmark1[Benchmark '#1 Dates],Comp3[[#This Row],[Comparable '#3 Dates]]),COUNTIF(Benchmark2[Benchmark '#2 Dates],Comp3[[#This Row],[Comparable '#3 Dates]]))=2,"Pass","Fail")</f>
        <v>Pass</v>
      </c>
      <c r="I341" s="1">
        <f>IFERROR(Comp3[[#This Row],[Comparable '#3 Return]]-INDEX(Benchmark1[Benchmark '#1 Return],MATCH(Comp3[[#This Row],[Comparable '#3 Dates]],Benchmark1[Benchmark '#1 Dates],0)),"-")</f>
        <v>7.6223599068715869E-2</v>
      </c>
      <c r="L341" s="72">
        <f>Comp3[[#This Row],[Comparable '#3 Price]]/$B$2*100</f>
        <v>112.72075761453802</v>
      </c>
    </row>
    <row r="342" spans="1:12">
      <c r="A342" s="96">
        <v>43777</v>
      </c>
      <c r="B342" s="101">
        <v>133.88</v>
      </c>
      <c r="C342" s="1">
        <f t="shared" si="10"/>
        <v>1.3233275820536858E-2</v>
      </c>
      <c r="D342" s="1">
        <f>IFERROR(Comp3[[#This Row],[Comparable '#3 Return]]+1,"-")</f>
        <v>1.0132332758205369</v>
      </c>
      <c r="E342" s="6">
        <f>B342-MAX($B$2:B342)</f>
        <v>-54.16</v>
      </c>
      <c r="F342" s="80">
        <f t="shared" si="11"/>
        <v>80</v>
      </c>
      <c r="G342" s="6">
        <f>IFERROR(Comp3[[#This Row],[Comparable '#3 Drawdown]]/MAX($B$2:B342),"-")</f>
        <v>-0.28802382471814508</v>
      </c>
      <c r="H342" s="1" t="str">
        <f>IF(SUM(COUNTIF(Benchmark1[Benchmark '#1 Dates],Comp3[[#This Row],[Comparable '#3 Dates]]),COUNTIF(Benchmark2[Benchmark '#2 Dates],Comp3[[#This Row],[Comparable '#3 Dates]]))=2,"Pass","Fail")</f>
        <v>Pass</v>
      </c>
      <c r="I342" s="1">
        <f>IFERROR(Comp3[[#This Row],[Comparable '#3 Return]]-INDEX(Benchmark1[Benchmark '#1 Return],MATCH(Comp3[[#This Row],[Comparable '#3 Dates]],Benchmark1[Benchmark '#1 Dates],0)),"-")</f>
        <v>1.0674970369243777E-2</v>
      </c>
      <c r="L342" s="72">
        <f>Comp3[[#This Row],[Comparable '#3 Price]]/$B$2*100</f>
        <v>114.22233597815887</v>
      </c>
    </row>
    <row r="343" spans="1:12">
      <c r="A343" s="96">
        <v>43780</v>
      </c>
      <c r="B343" s="101">
        <v>138.54</v>
      </c>
      <c r="C343" s="1">
        <f t="shared" si="10"/>
        <v>3.42152162513331E-2</v>
      </c>
      <c r="D343" s="1">
        <f>IFERROR(Comp3[[#This Row],[Comparable '#3 Return]]+1,"-")</f>
        <v>1.0342152162513332</v>
      </c>
      <c r="E343" s="6">
        <f>B343-MAX($B$2:B343)</f>
        <v>-49.5</v>
      </c>
      <c r="F343" s="80">
        <f t="shared" si="11"/>
        <v>81</v>
      </c>
      <c r="G343" s="6">
        <f>IFERROR(Comp3[[#This Row],[Comparable '#3 Drawdown]]/MAX($B$2:B343),"-")</f>
        <v>-0.26324186343331207</v>
      </c>
      <c r="H343" s="1" t="str">
        <f>IF(SUM(COUNTIF(Benchmark1[Benchmark '#1 Dates],Comp3[[#This Row],[Comparable '#3 Dates]]),COUNTIF(Benchmark2[Benchmark '#2 Dates],Comp3[[#This Row],[Comparable '#3 Dates]]))=2,"Pass","Fail")</f>
        <v>Pass</v>
      </c>
      <c r="I343" s="1">
        <f>IFERROR(Comp3[[#This Row],[Comparable '#3 Return]]-INDEX(Benchmark1[Benchmark '#1 Return],MATCH(Comp3[[#This Row],[Comparable '#3 Dates]],Benchmark1[Benchmark '#1 Dates],0)),"-")</f>
        <v>3.6182756411884072E-2</v>
      </c>
      <c r="L343" s="72">
        <f>Comp3[[#This Row],[Comparable '#3 Price]]/$B$2*100</f>
        <v>118.19810596365498</v>
      </c>
    </row>
    <row r="344" spans="1:12">
      <c r="A344" s="96">
        <v>43781</v>
      </c>
      <c r="B344" s="101">
        <v>138.27000000000001</v>
      </c>
      <c r="C344" s="1">
        <f t="shared" si="10"/>
        <v>-1.9507971939322596E-3</v>
      </c>
      <c r="D344" s="1">
        <f>IFERROR(Comp3[[#This Row],[Comparable '#3 Return]]+1,"-")</f>
        <v>0.99804920280606779</v>
      </c>
      <c r="E344" s="6">
        <f>B344-MAX($B$2:B344)</f>
        <v>-49.769999999999982</v>
      </c>
      <c r="F344" s="80">
        <f t="shared" si="11"/>
        <v>82</v>
      </c>
      <c r="G344" s="6">
        <f>IFERROR(Comp3[[#This Row],[Comparable '#3 Drawdown]]/MAX($B$2:B344),"-")</f>
        <v>-0.26467772814294821</v>
      </c>
      <c r="H344" s="1" t="str">
        <f>IF(SUM(COUNTIF(Benchmark1[Benchmark '#1 Dates],Comp3[[#This Row],[Comparable '#3 Dates]]),COUNTIF(Benchmark2[Benchmark '#2 Dates],Comp3[[#This Row],[Comparable '#3 Dates]]))=2,"Pass","Fail")</f>
        <v>Pass</v>
      </c>
      <c r="I344" s="1">
        <f>IFERROR(Comp3[[#This Row],[Comparable '#3 Return]]-INDEX(Benchmark1[Benchmark '#1 Return],MATCH(Comp3[[#This Row],[Comparable '#3 Dates]],Benchmark1[Benchmark '#1 Dates],0)),"-")</f>
        <v>-3.5154909179216471E-3</v>
      </c>
      <c r="L344" s="72">
        <f>Comp3[[#This Row],[Comparable '#3 Price]]/$B$2*100</f>
        <v>117.96775019196315</v>
      </c>
    </row>
    <row r="345" spans="1:12">
      <c r="A345" s="96">
        <v>43782</v>
      </c>
      <c r="B345" s="101">
        <v>135.43</v>
      </c>
      <c r="C345" s="1">
        <f t="shared" si="10"/>
        <v>-2.0753393733246701E-2</v>
      </c>
      <c r="D345" s="1">
        <f>IFERROR(Comp3[[#This Row],[Comparable '#3 Return]]+1,"-")</f>
        <v>0.97924660626675331</v>
      </c>
      <c r="E345" s="6">
        <f>B345-MAX($B$2:B345)</f>
        <v>-52.609999999999985</v>
      </c>
      <c r="F345" s="80">
        <f t="shared" si="11"/>
        <v>83</v>
      </c>
      <c r="G345" s="6">
        <f>IFERROR(Comp3[[#This Row],[Comparable '#3 Drawdown]]/MAX($B$2:B345),"-")</f>
        <v>-0.27978089768134434</v>
      </c>
      <c r="H345" s="1" t="str">
        <f>IF(SUM(COUNTIF(Benchmark1[Benchmark '#1 Dates],Comp3[[#This Row],[Comparable '#3 Dates]]),COUNTIF(Benchmark2[Benchmark '#2 Dates],Comp3[[#This Row],[Comparable '#3 Dates]]))=2,"Pass","Fail")</f>
        <v>Pass</v>
      </c>
      <c r="I345" s="1">
        <f>IFERROR(Comp3[[#This Row],[Comparable '#3 Return]]-INDEX(Benchmark1[Benchmark '#1 Return],MATCH(Comp3[[#This Row],[Comparable '#3 Dates]],Benchmark1[Benchmark '#1 Dates],0)),"-")</f>
        <v>-2.1463503283638191E-2</v>
      </c>
      <c r="L345" s="72">
        <f>Comp3[[#This Row],[Comparable '#3 Price]]/$B$2*100</f>
        <v>115.54474874157496</v>
      </c>
    </row>
    <row r="346" spans="1:12">
      <c r="A346" s="96">
        <v>43783</v>
      </c>
      <c r="B346" s="101">
        <v>136.38</v>
      </c>
      <c r="C346" s="1">
        <f t="shared" si="10"/>
        <v>6.9902054252267073E-3</v>
      </c>
      <c r="D346" s="1">
        <f>IFERROR(Comp3[[#This Row],[Comparable '#3 Return]]+1,"-")</f>
        <v>1.0069902054252267</v>
      </c>
      <c r="E346" s="6">
        <f>B346-MAX($B$2:B346)</f>
        <v>-51.66</v>
      </c>
      <c r="F346" s="80">
        <f t="shared" si="11"/>
        <v>84</v>
      </c>
      <c r="G346" s="6">
        <f>IFERROR(Comp3[[#This Row],[Comparable '#3 Drawdown]]/MAX($B$2:B346),"-")</f>
        <v>-0.27472878111040205</v>
      </c>
      <c r="H346" s="1" t="str">
        <f>IF(SUM(COUNTIF(Benchmark1[Benchmark '#1 Dates],Comp3[[#This Row],[Comparable '#3 Dates]]),COUNTIF(Benchmark2[Benchmark '#2 Dates],Comp3[[#This Row],[Comparable '#3 Dates]]))=2,"Pass","Fail")</f>
        <v>Pass</v>
      </c>
      <c r="I346" s="1">
        <f>IFERROR(Comp3[[#This Row],[Comparable '#3 Return]]-INDEX(Benchmark1[Benchmark '#1 Return],MATCH(Comp3[[#This Row],[Comparable '#3 Dates]],Benchmark1[Benchmark '#1 Dates],0)),"-")</f>
        <v>6.1509464992395612E-3</v>
      </c>
      <c r="L346" s="72">
        <f>Comp3[[#This Row],[Comparable '#3 Price]]/$B$2*100</f>
        <v>116.35525979012029</v>
      </c>
    </row>
    <row r="347" spans="1:12">
      <c r="A347" s="96">
        <v>43784</v>
      </c>
      <c r="B347" s="101">
        <v>138.54</v>
      </c>
      <c r="C347" s="1">
        <f t="shared" si="10"/>
        <v>1.5713985501952205E-2</v>
      </c>
      <c r="D347" s="1">
        <f>IFERROR(Comp3[[#This Row],[Comparable '#3 Return]]+1,"-")</f>
        <v>1.0157139855019521</v>
      </c>
      <c r="E347" s="6">
        <f>B347-MAX($B$2:B347)</f>
        <v>-49.5</v>
      </c>
      <c r="F347" s="80">
        <f t="shared" si="11"/>
        <v>85</v>
      </c>
      <c r="G347" s="6">
        <f>IFERROR(Comp3[[#This Row],[Comparable '#3 Drawdown]]/MAX($B$2:B347),"-")</f>
        <v>-0.26324186343331207</v>
      </c>
      <c r="H347" s="1" t="str">
        <f>IF(SUM(COUNTIF(Benchmark1[Benchmark '#1 Dates],Comp3[[#This Row],[Comparable '#3 Dates]]),COUNTIF(Benchmark2[Benchmark '#2 Dates],Comp3[[#This Row],[Comparable '#3 Dates]]))=2,"Pass","Fail")</f>
        <v>Pass</v>
      </c>
      <c r="I347" s="1">
        <f>IFERROR(Comp3[[#This Row],[Comparable '#3 Return]]-INDEX(Benchmark1[Benchmark '#1 Return],MATCH(Comp3[[#This Row],[Comparable '#3 Dates]],Benchmark1[Benchmark '#1 Dates],0)),"-")</f>
        <v>8.0488625990956311E-3</v>
      </c>
      <c r="L347" s="72">
        <f>Comp3[[#This Row],[Comparable '#3 Price]]/$B$2*100</f>
        <v>118.19810596365498</v>
      </c>
    </row>
    <row r="348" spans="1:12">
      <c r="A348" s="96">
        <v>43787</v>
      </c>
      <c r="B348" s="101">
        <v>137.81</v>
      </c>
      <c r="C348" s="1">
        <f t="shared" si="10"/>
        <v>-5.2831677074054381E-3</v>
      </c>
      <c r="D348" s="1">
        <f>IFERROR(Comp3[[#This Row],[Comparable '#3 Return]]+1,"-")</f>
        <v>0.99471683229259455</v>
      </c>
      <c r="E348" s="6">
        <f>B348-MAX($B$2:B348)</f>
        <v>-50.22999999999999</v>
      </c>
      <c r="F348" s="80">
        <f t="shared" si="11"/>
        <v>86</v>
      </c>
      <c r="G348" s="6">
        <f>IFERROR(Comp3[[#This Row],[Comparable '#3 Drawdown]]/MAX($B$2:B348),"-")</f>
        <v>-0.267124016166773</v>
      </c>
      <c r="H348" s="1" t="str">
        <f>IF(SUM(COUNTIF(Benchmark1[Benchmark '#1 Dates],Comp3[[#This Row],[Comparable '#3 Dates]]),COUNTIF(Benchmark2[Benchmark '#2 Dates],Comp3[[#This Row],[Comparable '#3 Dates]]))=2,"Pass","Fail")</f>
        <v>Pass</v>
      </c>
      <c r="I348" s="1">
        <f>IFERROR(Comp3[[#This Row],[Comparable '#3 Return]]-INDEX(Benchmark1[Benchmark '#1 Return],MATCH(Comp3[[#This Row],[Comparable '#3 Dates]],Benchmark1[Benchmark '#1 Dates],0)),"-")</f>
        <v>-5.7854044350303538E-3</v>
      </c>
      <c r="L348" s="72">
        <f>Comp3[[#This Row],[Comparable '#3 Price]]/$B$2*100</f>
        <v>117.57529221056224</v>
      </c>
    </row>
    <row r="349" spans="1:12">
      <c r="A349" s="96">
        <v>43788</v>
      </c>
      <c r="B349" s="101">
        <v>138.62</v>
      </c>
      <c r="C349" s="1">
        <f t="shared" si="10"/>
        <v>5.8604516027851751E-3</v>
      </c>
      <c r="D349" s="1">
        <f>IFERROR(Comp3[[#This Row],[Comparable '#3 Return]]+1,"-")</f>
        <v>1.0058604516027851</v>
      </c>
      <c r="E349" s="6">
        <f>B349-MAX($B$2:B349)</f>
        <v>-49.419999999999987</v>
      </c>
      <c r="F349" s="80">
        <f t="shared" si="11"/>
        <v>87</v>
      </c>
      <c r="G349" s="6">
        <f>IFERROR(Comp3[[#This Row],[Comparable '#3 Drawdown]]/MAX($B$2:B349),"-")</f>
        <v>-0.26281642203786421</v>
      </c>
      <c r="H349" s="1" t="str">
        <f>IF(SUM(COUNTIF(Benchmark1[Benchmark '#1 Dates],Comp3[[#This Row],[Comparable '#3 Dates]]),COUNTIF(Benchmark2[Benchmark '#2 Dates],Comp3[[#This Row],[Comparable '#3 Dates]]))=2,"Pass","Fail")</f>
        <v>Pass</v>
      </c>
      <c r="I349" s="1">
        <f>IFERROR(Comp3[[#This Row],[Comparable '#3 Return]]-INDEX(Benchmark1[Benchmark '#1 Return],MATCH(Comp3[[#This Row],[Comparable '#3 Dates]],Benchmark1[Benchmark '#1 Dates],0)),"-")</f>
        <v>6.4521403388064103E-3</v>
      </c>
      <c r="L349" s="72">
        <f>Comp3[[#This Row],[Comparable '#3 Price]]/$B$2*100</f>
        <v>118.26635952563775</v>
      </c>
    </row>
    <row r="350" spans="1:12">
      <c r="A350" s="96">
        <v>43789</v>
      </c>
      <c r="B350" s="101">
        <v>138.44999999999999</v>
      </c>
      <c r="C350" s="1">
        <f t="shared" si="10"/>
        <v>-1.2271268728679167E-3</v>
      </c>
      <c r="D350" s="1">
        <f>IFERROR(Comp3[[#This Row],[Comparable '#3 Return]]+1,"-")</f>
        <v>0.99877287312713203</v>
      </c>
      <c r="E350" s="6">
        <f>B350-MAX($B$2:B350)</f>
        <v>-49.59</v>
      </c>
      <c r="F350" s="80">
        <f t="shared" si="11"/>
        <v>88</v>
      </c>
      <c r="G350" s="6">
        <f>IFERROR(Comp3[[#This Row],[Comparable '#3 Drawdown]]/MAX($B$2:B350),"-")</f>
        <v>-0.26372048500319084</v>
      </c>
      <c r="H350" s="1" t="str">
        <f>IF(SUM(COUNTIF(Benchmark1[Benchmark '#1 Dates],Comp3[[#This Row],[Comparable '#3 Dates]]),COUNTIF(Benchmark2[Benchmark '#2 Dates],Comp3[[#This Row],[Comparable '#3 Dates]]))=2,"Pass","Fail")</f>
        <v>Pass</v>
      </c>
      <c r="I350" s="1">
        <f>IFERROR(Comp3[[#This Row],[Comparable '#3 Return]]-INDEX(Benchmark1[Benchmark '#1 Return],MATCH(Comp3[[#This Row],[Comparable '#3 Dates]],Benchmark1[Benchmark '#1 Dates],0)),"-")</f>
        <v>2.5371455832973941E-3</v>
      </c>
      <c r="L350" s="72">
        <f>Comp3[[#This Row],[Comparable '#3 Price]]/$B$2*100</f>
        <v>118.12132070642436</v>
      </c>
    </row>
    <row r="351" spans="1:12">
      <c r="A351" s="96">
        <v>43790</v>
      </c>
      <c r="B351" s="101">
        <v>137.47</v>
      </c>
      <c r="C351" s="1">
        <f t="shared" si="10"/>
        <v>-7.1035381336421351E-3</v>
      </c>
      <c r="D351" s="1">
        <f>IFERROR(Comp3[[#This Row],[Comparable '#3 Return]]+1,"-")</f>
        <v>0.99289646186635783</v>
      </c>
      <c r="E351" s="6">
        <f>B351-MAX($B$2:B351)</f>
        <v>-50.569999999999993</v>
      </c>
      <c r="F351" s="80">
        <f t="shared" si="11"/>
        <v>89</v>
      </c>
      <c r="G351" s="6">
        <f>IFERROR(Comp3[[#This Row],[Comparable '#3 Drawdown]]/MAX($B$2:B351),"-")</f>
        <v>-0.26893214209742605</v>
      </c>
      <c r="H351" s="1" t="str">
        <f>IF(SUM(COUNTIF(Benchmark1[Benchmark '#1 Dates],Comp3[[#This Row],[Comparable '#3 Dates]]),COUNTIF(Benchmark2[Benchmark '#2 Dates],Comp3[[#This Row],[Comparable '#3 Dates]]))=2,"Pass","Fail")</f>
        <v>Pass</v>
      </c>
      <c r="I351" s="1">
        <f>IFERROR(Comp3[[#This Row],[Comparable '#3 Return]]-INDEX(Benchmark1[Benchmark '#1 Return],MATCH(Comp3[[#This Row],[Comparable '#3 Dates]],Benchmark1[Benchmark '#1 Dates],0)),"-")</f>
        <v>-5.519107128553382E-3</v>
      </c>
      <c r="L351" s="72">
        <f>Comp3[[#This Row],[Comparable '#3 Price]]/$B$2*100</f>
        <v>117.2852145721355</v>
      </c>
    </row>
    <row r="352" spans="1:12">
      <c r="A352" s="96">
        <v>43791</v>
      </c>
      <c r="B352" s="101">
        <v>137.84</v>
      </c>
      <c r="C352" s="1">
        <f t="shared" si="10"/>
        <v>2.687880736345558E-3</v>
      </c>
      <c r="D352" s="1">
        <f>IFERROR(Comp3[[#This Row],[Comparable '#3 Return]]+1,"-")</f>
        <v>1.0026878807363455</v>
      </c>
      <c r="E352" s="6">
        <f>B352-MAX($B$2:B352)</f>
        <v>-50.199999999999989</v>
      </c>
      <c r="F352" s="80">
        <f t="shared" si="11"/>
        <v>90</v>
      </c>
      <c r="G352" s="6">
        <f>IFERROR(Comp3[[#This Row],[Comparable '#3 Drawdown]]/MAX($B$2:B352),"-")</f>
        <v>-0.26696447564348008</v>
      </c>
      <c r="H352" s="1" t="str">
        <f>IF(SUM(COUNTIF(Benchmark1[Benchmark '#1 Dates],Comp3[[#This Row],[Comparable '#3 Dates]]),COUNTIF(Benchmark2[Benchmark '#2 Dates],Comp3[[#This Row],[Comparable '#3 Dates]]))=2,"Pass","Fail")</f>
        <v>Pass</v>
      </c>
      <c r="I352" s="1">
        <f>IFERROR(Comp3[[#This Row],[Comparable '#3 Return]]-INDEX(Benchmark1[Benchmark '#1 Return],MATCH(Comp3[[#This Row],[Comparable '#3 Dates]],Benchmark1[Benchmark '#1 Dates],0)),"-")</f>
        <v>5.1484278629808583E-4</v>
      </c>
      <c r="L352" s="72">
        <f>Comp3[[#This Row],[Comparable '#3 Price]]/$B$2*100</f>
        <v>117.60088729630579</v>
      </c>
    </row>
    <row r="353" spans="1:12">
      <c r="A353" s="96">
        <v>43794</v>
      </c>
      <c r="B353" s="101">
        <v>142.35</v>
      </c>
      <c r="C353" s="1">
        <f t="shared" si="10"/>
        <v>3.2195221504372373E-2</v>
      </c>
      <c r="D353" s="1">
        <f>IFERROR(Comp3[[#This Row],[Comparable '#3 Return]]+1,"-")</f>
        <v>1.0321952215043724</v>
      </c>
      <c r="E353" s="6">
        <f>B353-MAX($B$2:B353)</f>
        <v>-45.69</v>
      </c>
      <c r="F353" s="80">
        <f t="shared" si="11"/>
        <v>91</v>
      </c>
      <c r="G353" s="6">
        <f>IFERROR(Comp3[[#This Row],[Comparable '#3 Drawdown]]/MAX($B$2:B353),"-")</f>
        <v>-0.24298021697511168</v>
      </c>
      <c r="H353" s="1" t="str">
        <f>IF(SUM(COUNTIF(Benchmark1[Benchmark '#1 Dates],Comp3[[#This Row],[Comparable '#3 Dates]]),COUNTIF(Benchmark2[Benchmark '#2 Dates],Comp3[[#This Row],[Comparable '#3 Dates]]))=2,"Pass","Fail")</f>
        <v>Pass</v>
      </c>
      <c r="I353" s="1">
        <f>IFERROR(Comp3[[#This Row],[Comparable '#3 Return]]-INDEX(Benchmark1[Benchmark '#1 Return],MATCH(Comp3[[#This Row],[Comparable '#3 Dates]],Benchmark1[Benchmark '#1 Dates],0)),"-")</f>
        <v>2.4714491052777201E-2</v>
      </c>
      <c r="L353" s="72">
        <f>Comp3[[#This Row],[Comparable '#3 Price]]/$B$2*100</f>
        <v>121.44868185308422</v>
      </c>
    </row>
    <row r="354" spans="1:12">
      <c r="A354" s="96">
        <v>43795</v>
      </c>
      <c r="B354" s="101">
        <v>144.19999999999999</v>
      </c>
      <c r="C354" s="1">
        <f t="shared" si="10"/>
        <v>1.2912411126802201E-2</v>
      </c>
      <c r="D354" s="1">
        <f>IFERROR(Comp3[[#This Row],[Comparable '#3 Return]]+1,"-")</f>
        <v>1.0129124111268022</v>
      </c>
      <c r="E354" s="6">
        <f>B354-MAX($B$2:B354)</f>
        <v>-43.84</v>
      </c>
      <c r="F354" s="80">
        <f t="shared" si="11"/>
        <v>92</v>
      </c>
      <c r="G354" s="6">
        <f>IFERROR(Comp3[[#This Row],[Comparable '#3 Drawdown]]/MAX($B$2:B354),"-")</f>
        <v>-0.23314188470538186</v>
      </c>
      <c r="H354" s="1" t="str">
        <f>IF(SUM(COUNTIF(Benchmark1[Benchmark '#1 Dates],Comp3[[#This Row],[Comparable '#3 Dates]]),COUNTIF(Benchmark2[Benchmark '#2 Dates],Comp3[[#This Row],[Comparable '#3 Dates]]))=2,"Pass","Fail")</f>
        <v>Pass</v>
      </c>
      <c r="I354" s="1">
        <f>IFERROR(Comp3[[#This Row],[Comparable '#3 Return]]-INDEX(Benchmark1[Benchmark '#1 Return],MATCH(Comp3[[#This Row],[Comparable '#3 Dates]],Benchmark1[Benchmark '#1 Dates],0)),"-")</f>
        <v>1.0720232128582082E-2</v>
      </c>
      <c r="L354" s="72">
        <f>Comp3[[#This Row],[Comparable '#3 Price]]/$B$2*100</f>
        <v>123.02704547393566</v>
      </c>
    </row>
    <row r="355" spans="1:12">
      <c r="A355" s="96">
        <v>43796</v>
      </c>
      <c r="B355" s="101">
        <v>142.47</v>
      </c>
      <c r="C355" s="1">
        <f t="shared" si="10"/>
        <v>-1.206977362170851E-2</v>
      </c>
      <c r="D355" s="1">
        <f>IFERROR(Comp3[[#This Row],[Comparable '#3 Return]]+1,"-")</f>
        <v>0.98793022637829153</v>
      </c>
      <c r="E355" s="6">
        <f>B355-MAX($B$2:B355)</f>
        <v>-45.569999999999993</v>
      </c>
      <c r="F355" s="80">
        <f t="shared" si="11"/>
        <v>93</v>
      </c>
      <c r="G355" s="6">
        <f>IFERROR(Comp3[[#This Row],[Comparable '#3 Drawdown]]/MAX($B$2:B355),"-")</f>
        <v>-0.24234205488193999</v>
      </c>
      <c r="H355" s="1" t="str">
        <f>IF(SUM(COUNTIF(Benchmark1[Benchmark '#1 Dates],Comp3[[#This Row],[Comparable '#3 Dates]]),COUNTIF(Benchmark2[Benchmark '#2 Dates],Comp3[[#This Row],[Comparable '#3 Dates]]))=2,"Pass","Fail")</f>
        <v>Pass</v>
      </c>
      <c r="I355" s="1">
        <f>IFERROR(Comp3[[#This Row],[Comparable '#3 Return]]-INDEX(Benchmark1[Benchmark '#1 Return],MATCH(Comp3[[#This Row],[Comparable '#3 Dates]],Benchmark1[Benchmark '#1 Dates],0)),"-")</f>
        <v>-1.6234984296567487E-2</v>
      </c>
      <c r="L355" s="72">
        <f>Comp3[[#This Row],[Comparable '#3 Price]]/$B$2*100</f>
        <v>121.55106219605835</v>
      </c>
    </row>
    <row r="356" spans="1:12">
      <c r="A356" s="96">
        <v>43798</v>
      </c>
      <c r="B356" s="101">
        <v>141.74</v>
      </c>
      <c r="C356" s="1">
        <f t="shared" si="10"/>
        <v>-5.1370578470300975E-3</v>
      </c>
      <c r="D356" s="1">
        <f>IFERROR(Comp3[[#This Row],[Comparable '#3 Return]]+1,"-")</f>
        <v>0.99486294215296989</v>
      </c>
      <c r="E356" s="6">
        <f>B356-MAX($B$2:B356)</f>
        <v>-46.299999999999983</v>
      </c>
      <c r="F356" s="80">
        <f t="shared" si="11"/>
        <v>94</v>
      </c>
      <c r="G356" s="6">
        <f>IFERROR(Comp3[[#This Row],[Comparable '#3 Drawdown]]/MAX($B$2:B356),"-")</f>
        <v>-0.2462242076154009</v>
      </c>
      <c r="H356" s="1" t="str">
        <f>IF(SUM(COUNTIF(Benchmark1[Benchmark '#1 Dates],Comp3[[#This Row],[Comparable '#3 Dates]]),COUNTIF(Benchmark2[Benchmark '#2 Dates],Comp3[[#This Row],[Comparable '#3 Dates]]))=2,"Pass","Fail")</f>
        <v>Pass</v>
      </c>
      <c r="I356" s="1">
        <f>IFERROR(Comp3[[#This Row],[Comparable '#3 Return]]-INDEX(Benchmark1[Benchmark '#1 Return],MATCH(Comp3[[#This Row],[Comparable '#3 Dates]],Benchmark1[Benchmark '#1 Dates],0)),"-")</f>
        <v>-1.118552148483218E-3</v>
      </c>
      <c r="L356" s="72">
        <f>Comp3[[#This Row],[Comparable '#3 Price]]/$B$2*100</f>
        <v>120.92824844296564</v>
      </c>
    </row>
    <row r="357" spans="1:12">
      <c r="A357" s="96">
        <v>43801</v>
      </c>
      <c r="B357" s="101">
        <v>142.51</v>
      </c>
      <c r="C357" s="1">
        <f t="shared" si="10"/>
        <v>5.4177793030108258E-3</v>
      </c>
      <c r="D357" s="1">
        <f>IFERROR(Comp3[[#This Row],[Comparable '#3 Return]]+1,"-")</f>
        <v>1.0054177793030108</v>
      </c>
      <c r="E357" s="6">
        <f>B357-MAX($B$2:B357)</f>
        <v>-45.53</v>
      </c>
      <c r="F357" s="80">
        <f t="shared" si="11"/>
        <v>95</v>
      </c>
      <c r="G357" s="6">
        <f>IFERROR(Comp3[[#This Row],[Comparable '#3 Drawdown]]/MAX($B$2:B357),"-")</f>
        <v>-0.24212933418421614</v>
      </c>
      <c r="H357" s="1" t="str">
        <f>IF(SUM(COUNTIF(Benchmark1[Benchmark '#1 Dates],Comp3[[#This Row],[Comparable '#3 Dates]]),COUNTIF(Benchmark2[Benchmark '#2 Dates],Comp3[[#This Row],[Comparable '#3 Dates]]))=2,"Pass","Fail")</f>
        <v>Pass</v>
      </c>
      <c r="I357" s="1">
        <f>IFERROR(Comp3[[#This Row],[Comparable '#3 Return]]-INDEX(Benchmark1[Benchmark '#1 Return],MATCH(Comp3[[#This Row],[Comparable '#3 Dates]],Benchmark1[Benchmark '#1 Dates],0)),"-")</f>
        <v>1.4085340688750196E-2</v>
      </c>
      <c r="L357" s="72">
        <f>Comp3[[#This Row],[Comparable '#3 Price]]/$B$2*100</f>
        <v>121.58518897704973</v>
      </c>
    </row>
    <row r="358" spans="1:12">
      <c r="A358" s="96">
        <v>43802</v>
      </c>
      <c r="B358" s="101">
        <v>142.78</v>
      </c>
      <c r="C358" s="1">
        <f t="shared" si="10"/>
        <v>1.8928113891937346E-3</v>
      </c>
      <c r="D358" s="1">
        <f>IFERROR(Comp3[[#This Row],[Comparable '#3 Return]]+1,"-")</f>
        <v>1.0018928113891938</v>
      </c>
      <c r="E358" s="6">
        <f>B358-MAX($B$2:B358)</f>
        <v>-45.259999999999991</v>
      </c>
      <c r="F358" s="80">
        <f t="shared" si="11"/>
        <v>96</v>
      </c>
      <c r="G358" s="6">
        <f>IFERROR(Comp3[[#This Row],[Comparable '#3 Drawdown]]/MAX($B$2:B358),"-")</f>
        <v>-0.24069346947457984</v>
      </c>
      <c r="H358" s="1" t="str">
        <f>IF(SUM(COUNTIF(Benchmark1[Benchmark '#1 Dates],Comp3[[#This Row],[Comparable '#3 Dates]]),COUNTIF(Benchmark2[Benchmark '#2 Dates],Comp3[[#This Row],[Comparable '#3 Dates]]))=2,"Pass","Fail")</f>
        <v>Pass</v>
      </c>
      <c r="I358" s="1">
        <f>IFERROR(Comp3[[#This Row],[Comparable '#3 Return]]-INDEX(Benchmark1[Benchmark '#1 Return],MATCH(Comp3[[#This Row],[Comparable '#3 Dates]],Benchmark1[Benchmark '#1 Dates],0)),"-")</f>
        <v>8.5538541600608912E-3</v>
      </c>
      <c r="L358" s="72">
        <f>Comp3[[#This Row],[Comparable '#3 Price]]/$B$2*100</f>
        <v>121.81554474874159</v>
      </c>
    </row>
    <row r="359" spans="1:12">
      <c r="A359" s="96">
        <v>43803</v>
      </c>
      <c r="B359" s="101">
        <v>145.02000000000001</v>
      </c>
      <c r="C359" s="1">
        <f t="shared" si="10"/>
        <v>1.5566679869132309E-2</v>
      </c>
      <c r="D359" s="1">
        <f>IFERROR(Comp3[[#This Row],[Comparable '#3 Return]]+1,"-")</f>
        <v>1.0155666798691323</v>
      </c>
      <c r="E359" s="6">
        <f>B359-MAX($B$2:B359)</f>
        <v>-43.019999999999982</v>
      </c>
      <c r="F359" s="80">
        <f t="shared" si="11"/>
        <v>97</v>
      </c>
      <c r="G359" s="6">
        <f>IFERROR(Comp3[[#This Row],[Comparable '#3 Drawdown]]/MAX($B$2:B359),"-")</f>
        <v>-0.22878111040204202</v>
      </c>
      <c r="H359" s="1" t="str">
        <f>IF(SUM(COUNTIF(Benchmark1[Benchmark '#1 Dates],Comp3[[#This Row],[Comparable '#3 Dates]]),COUNTIF(Benchmark2[Benchmark '#2 Dates],Comp3[[#This Row],[Comparable '#3 Dates]]))=2,"Pass","Fail")</f>
        <v>Pass</v>
      </c>
      <c r="I359" s="1">
        <f>IFERROR(Comp3[[#This Row],[Comparable '#3 Return]]-INDEX(Benchmark1[Benchmark '#1 Return],MATCH(Comp3[[#This Row],[Comparable '#3 Dates]],Benchmark1[Benchmark '#1 Dates],0)),"-")</f>
        <v>9.2645103372290261E-3</v>
      </c>
      <c r="L359" s="72">
        <f>Comp3[[#This Row],[Comparable '#3 Price]]/$B$2*100</f>
        <v>123.72664448425903</v>
      </c>
    </row>
    <row r="360" spans="1:12">
      <c r="A360" s="96">
        <v>43804</v>
      </c>
      <c r="B360" s="101">
        <v>143.02000000000001</v>
      </c>
      <c r="C360" s="1">
        <f t="shared" si="10"/>
        <v>-1.3887183323196805E-2</v>
      </c>
      <c r="D360" s="1">
        <f>IFERROR(Comp3[[#This Row],[Comparable '#3 Return]]+1,"-")</f>
        <v>0.98611281667680317</v>
      </c>
      <c r="E360" s="6">
        <f>B360-MAX($B$2:B360)</f>
        <v>-45.019999999999982</v>
      </c>
      <c r="F360" s="80">
        <f t="shared" si="11"/>
        <v>98</v>
      </c>
      <c r="G360" s="6">
        <f>IFERROR(Comp3[[#This Row],[Comparable '#3 Drawdown]]/MAX($B$2:B360),"-")</f>
        <v>-0.23941714528823646</v>
      </c>
      <c r="H360" s="1" t="str">
        <f>IF(SUM(COUNTIF(Benchmark1[Benchmark '#1 Dates],Comp3[[#This Row],[Comparable '#3 Dates]]),COUNTIF(Benchmark2[Benchmark '#2 Dates],Comp3[[#This Row],[Comparable '#3 Dates]]))=2,"Pass","Fail")</f>
        <v>Pass</v>
      </c>
      <c r="I360" s="1">
        <f>IFERROR(Comp3[[#This Row],[Comparable '#3 Return]]-INDEX(Benchmark1[Benchmark '#1 Return],MATCH(Comp3[[#This Row],[Comparable '#3 Dates]],Benchmark1[Benchmark '#1 Dates],0)),"-")</f>
        <v>-1.538705655942769E-2</v>
      </c>
      <c r="L360" s="72">
        <f>Comp3[[#This Row],[Comparable '#3 Price]]/$B$2*100</f>
        <v>122.02030543468989</v>
      </c>
    </row>
    <row r="361" spans="1:12">
      <c r="A361" s="96">
        <v>43805</v>
      </c>
      <c r="B361" s="101">
        <v>145.72999999999999</v>
      </c>
      <c r="C361" s="1">
        <f t="shared" si="10"/>
        <v>1.8771113925355219E-2</v>
      </c>
      <c r="D361" s="1">
        <f>IFERROR(Comp3[[#This Row],[Comparable '#3 Return]]+1,"-")</f>
        <v>1.0187711139253552</v>
      </c>
      <c r="E361" s="6">
        <f>B361-MAX($B$2:B361)</f>
        <v>-42.31</v>
      </c>
      <c r="F361" s="80">
        <f t="shared" si="11"/>
        <v>99</v>
      </c>
      <c r="G361" s="6">
        <f>IFERROR(Comp3[[#This Row],[Comparable '#3 Drawdown]]/MAX($B$2:B361),"-")</f>
        <v>-0.22500531801744311</v>
      </c>
      <c r="H361" s="1" t="str">
        <f>IF(SUM(COUNTIF(Benchmark1[Benchmark '#1 Dates],Comp3[[#This Row],[Comparable '#3 Dates]]),COUNTIF(Benchmark2[Benchmark '#2 Dates],Comp3[[#This Row],[Comparable '#3 Dates]]))=2,"Pass","Fail")</f>
        <v>Pass</v>
      </c>
      <c r="I361" s="1">
        <f>IFERROR(Comp3[[#This Row],[Comparable '#3 Return]]-INDEX(Benchmark1[Benchmark '#1 Return],MATCH(Comp3[[#This Row],[Comparable '#3 Dates]],Benchmark1[Benchmark '#1 Dates],0)),"-")</f>
        <v>9.6760828562460523E-3</v>
      </c>
      <c r="L361" s="72">
        <f>Comp3[[#This Row],[Comparable '#3 Price]]/$B$2*100</f>
        <v>124.33239484685608</v>
      </c>
    </row>
    <row r="362" spans="1:12">
      <c r="A362" s="96">
        <v>43808</v>
      </c>
      <c r="B362" s="101">
        <v>146.43</v>
      </c>
      <c r="C362" s="1">
        <f t="shared" si="10"/>
        <v>4.7919040215607068E-3</v>
      </c>
      <c r="D362" s="1">
        <f>IFERROR(Comp3[[#This Row],[Comparable '#3 Return]]+1,"-")</f>
        <v>1.0047919040215607</v>
      </c>
      <c r="E362" s="6">
        <f>B362-MAX($B$2:B362)</f>
        <v>-41.609999999999985</v>
      </c>
      <c r="F362" s="80">
        <f t="shared" si="11"/>
        <v>100</v>
      </c>
      <c r="G362" s="6">
        <f>IFERROR(Comp3[[#This Row],[Comparable '#3 Drawdown]]/MAX($B$2:B362),"-")</f>
        <v>-0.22128270580727497</v>
      </c>
      <c r="H362" s="1" t="str">
        <f>IF(SUM(COUNTIF(Benchmark1[Benchmark '#1 Dates],Comp3[[#This Row],[Comparable '#3 Dates]]),COUNTIF(Benchmark2[Benchmark '#2 Dates],Comp3[[#This Row],[Comparable '#3 Dates]]))=2,"Pass","Fail")</f>
        <v>Pass</v>
      </c>
      <c r="I362" s="1">
        <f>IFERROR(Comp3[[#This Row],[Comparable '#3 Return]]-INDEX(Benchmark1[Benchmark '#1 Return],MATCH(Comp3[[#This Row],[Comparable '#3 Dates]],Benchmark1[Benchmark '#1 Dates],0)),"-")</f>
        <v>7.9596381787807348E-3</v>
      </c>
      <c r="L362" s="72">
        <f>Comp3[[#This Row],[Comparable '#3 Price]]/$B$2*100</f>
        <v>124.92961351420529</v>
      </c>
    </row>
    <row r="363" spans="1:12">
      <c r="A363" s="96">
        <v>43809</v>
      </c>
      <c r="B363" s="101">
        <v>148.04</v>
      </c>
      <c r="C363" s="1">
        <f t="shared" si="10"/>
        <v>1.0935008950789353E-2</v>
      </c>
      <c r="D363" s="1">
        <f>IFERROR(Comp3[[#This Row],[Comparable '#3 Return]]+1,"-")</f>
        <v>1.0109350089507894</v>
      </c>
      <c r="E363" s="6">
        <f>B363-MAX($B$2:B363)</f>
        <v>-40</v>
      </c>
      <c r="F363" s="80">
        <f t="shared" si="11"/>
        <v>101</v>
      </c>
      <c r="G363" s="6">
        <f>IFERROR(Comp3[[#This Row],[Comparable '#3 Drawdown]]/MAX($B$2:B363),"-")</f>
        <v>-0.21272069772388855</v>
      </c>
      <c r="H363" s="1" t="str">
        <f>IF(SUM(COUNTIF(Benchmark1[Benchmark '#1 Dates],Comp3[[#This Row],[Comparable '#3 Dates]]),COUNTIF(Benchmark2[Benchmark '#2 Dates],Comp3[[#This Row],[Comparable '#3 Dates]]))=2,"Pass","Fail")</f>
        <v>Pass</v>
      </c>
      <c r="I363" s="1">
        <f>IFERROR(Comp3[[#This Row],[Comparable '#3 Return]]-INDEX(Benchmark1[Benchmark '#1 Return],MATCH(Comp3[[#This Row],[Comparable '#3 Dates]],Benchmark1[Benchmark '#1 Dates],0)),"-")</f>
        <v>1.2033449854674723E-2</v>
      </c>
      <c r="L363" s="72">
        <f>Comp3[[#This Row],[Comparable '#3 Price]]/$B$2*100</f>
        <v>126.30321644910845</v>
      </c>
    </row>
    <row r="364" spans="1:12">
      <c r="A364" s="96">
        <v>43810</v>
      </c>
      <c r="B364" s="101">
        <v>145.75</v>
      </c>
      <c r="C364" s="1">
        <f t="shared" si="10"/>
        <v>-1.5589682287353409E-2</v>
      </c>
      <c r="D364" s="1">
        <f>IFERROR(Comp3[[#This Row],[Comparable '#3 Return]]+1,"-")</f>
        <v>0.98441031771264664</v>
      </c>
      <c r="E364" s="6">
        <f>B364-MAX($B$2:B364)</f>
        <v>-42.289999999999992</v>
      </c>
      <c r="F364" s="80">
        <f t="shared" si="11"/>
        <v>102</v>
      </c>
      <c r="G364" s="6">
        <f>IFERROR(Comp3[[#This Row],[Comparable '#3 Drawdown]]/MAX($B$2:B364),"-")</f>
        <v>-0.22489895766858112</v>
      </c>
      <c r="H364" s="1" t="str">
        <f>IF(SUM(COUNTIF(Benchmark1[Benchmark '#1 Dates],Comp3[[#This Row],[Comparable '#3 Dates]]),COUNTIF(Benchmark2[Benchmark '#2 Dates],Comp3[[#This Row],[Comparable '#3 Dates]]))=2,"Pass","Fail")</f>
        <v>Pass</v>
      </c>
      <c r="I364" s="1">
        <f>IFERROR(Comp3[[#This Row],[Comparable '#3 Return]]-INDEX(Benchmark1[Benchmark '#1 Return],MATCH(Comp3[[#This Row],[Comparable '#3 Dates]],Benchmark1[Benchmark '#1 Dates],0)),"-")</f>
        <v>-1.8493050454516484E-2</v>
      </c>
      <c r="L364" s="72">
        <f>Comp3[[#This Row],[Comparable '#3 Price]]/$B$2*100</f>
        <v>124.34945823735177</v>
      </c>
    </row>
    <row r="365" spans="1:12">
      <c r="A365" s="96">
        <v>43811</v>
      </c>
      <c r="B365" s="101">
        <v>148.46</v>
      </c>
      <c r="C365" s="1">
        <f t="shared" si="10"/>
        <v>1.8422736458799178E-2</v>
      </c>
      <c r="D365" s="1">
        <f>IFERROR(Comp3[[#This Row],[Comparable '#3 Return]]+1,"-")</f>
        <v>1.0184227364587992</v>
      </c>
      <c r="E365" s="6">
        <f>B365-MAX($B$2:B365)</f>
        <v>-39.579999999999984</v>
      </c>
      <c r="F365" s="80">
        <f t="shared" si="11"/>
        <v>103</v>
      </c>
      <c r="G365" s="6">
        <f>IFERROR(Comp3[[#This Row],[Comparable '#3 Drawdown]]/MAX($B$2:B365),"-")</f>
        <v>-0.21048713039778763</v>
      </c>
      <c r="H365" s="1" t="str">
        <f>IF(SUM(COUNTIF(Benchmark1[Benchmark '#1 Dates],Comp3[[#This Row],[Comparable '#3 Dates]]),COUNTIF(Benchmark2[Benchmark '#2 Dates],Comp3[[#This Row],[Comparable '#3 Dates]]))=2,"Pass","Fail")</f>
        <v>Pass</v>
      </c>
      <c r="I365" s="1">
        <f>IFERROR(Comp3[[#This Row],[Comparable '#3 Return]]-INDEX(Benchmark1[Benchmark '#1 Return],MATCH(Comp3[[#This Row],[Comparable '#3 Dates]],Benchmark1[Benchmark '#1 Dates],0)),"-")</f>
        <v>9.8833319315720404E-3</v>
      </c>
      <c r="L365" s="72">
        <f>Comp3[[#This Row],[Comparable '#3 Price]]/$B$2*100</f>
        <v>126.66154764951798</v>
      </c>
    </row>
    <row r="366" spans="1:12">
      <c r="A366" s="96">
        <v>43812</v>
      </c>
      <c r="B366" s="101">
        <v>147.72999999999999</v>
      </c>
      <c r="C366" s="1">
        <f t="shared" si="10"/>
        <v>-4.9292783558842436E-3</v>
      </c>
      <c r="D366" s="1">
        <f>IFERROR(Comp3[[#This Row],[Comparable '#3 Return]]+1,"-")</f>
        <v>0.99507072164411581</v>
      </c>
      <c r="E366" s="6">
        <f>B366-MAX($B$2:B366)</f>
        <v>-40.31</v>
      </c>
      <c r="F366" s="80">
        <f t="shared" si="11"/>
        <v>104</v>
      </c>
      <c r="G366" s="6">
        <f>IFERROR(Comp3[[#This Row],[Comparable '#3 Drawdown]]/MAX($B$2:B366),"-")</f>
        <v>-0.2143692831312487</v>
      </c>
      <c r="H366" s="1" t="str">
        <f>IF(SUM(COUNTIF(Benchmark1[Benchmark '#1 Dates],Comp3[[#This Row],[Comparable '#3 Dates]]),COUNTIF(Benchmark2[Benchmark '#2 Dates],Comp3[[#This Row],[Comparable '#3 Dates]]))=2,"Pass","Fail")</f>
        <v>Pass</v>
      </c>
      <c r="I366" s="1">
        <f>IFERROR(Comp3[[#This Row],[Comparable '#3 Return]]-INDEX(Benchmark1[Benchmark '#1 Return],MATCH(Comp3[[#This Row],[Comparable '#3 Dates]],Benchmark1[Benchmark '#1 Dates],0)),"-")</f>
        <v>-5.0020096204042765E-3</v>
      </c>
      <c r="L366" s="72">
        <f>Comp3[[#This Row],[Comparable '#3 Price]]/$B$2*100</f>
        <v>126.03873389642521</v>
      </c>
    </row>
    <row r="367" spans="1:12">
      <c r="A367" s="96">
        <v>43815</v>
      </c>
      <c r="B367" s="101">
        <v>148.44</v>
      </c>
      <c r="C367" s="1">
        <f t="shared" si="10"/>
        <v>4.7945528588800596E-3</v>
      </c>
      <c r="D367" s="1">
        <f>IFERROR(Comp3[[#This Row],[Comparable '#3 Return]]+1,"-")</f>
        <v>1.00479455285888</v>
      </c>
      <c r="E367" s="6">
        <f>B367-MAX($B$2:B367)</f>
        <v>-39.599999999999994</v>
      </c>
      <c r="F367" s="80">
        <f t="shared" si="11"/>
        <v>105</v>
      </c>
      <c r="G367" s="6">
        <f>IFERROR(Comp3[[#This Row],[Comparable '#3 Drawdown]]/MAX($B$2:B367),"-")</f>
        <v>-0.21059349074664963</v>
      </c>
      <c r="H367" s="1" t="str">
        <f>IF(SUM(COUNTIF(Benchmark1[Benchmark '#1 Dates],Comp3[[#This Row],[Comparable '#3 Dates]]),COUNTIF(Benchmark2[Benchmark '#2 Dates],Comp3[[#This Row],[Comparable '#3 Dates]]))=2,"Pass","Fail")</f>
        <v>Pass</v>
      </c>
      <c r="I367" s="1">
        <f>IFERROR(Comp3[[#This Row],[Comparable '#3 Return]]-INDEX(Benchmark1[Benchmark '#1 Return],MATCH(Comp3[[#This Row],[Comparable '#3 Dates]],Benchmark1[Benchmark '#1 Dates],0)),"-")</f>
        <v>-2.3276471643503497E-3</v>
      </c>
      <c r="L367" s="72">
        <f>Comp3[[#This Row],[Comparable '#3 Price]]/$B$2*100</f>
        <v>126.64448425902228</v>
      </c>
    </row>
    <row r="368" spans="1:12">
      <c r="A368" s="96">
        <v>43816</v>
      </c>
      <c r="B368" s="101">
        <v>150.69</v>
      </c>
      <c r="C368" s="1">
        <f t="shared" si="10"/>
        <v>1.5043910237666285E-2</v>
      </c>
      <c r="D368" s="1">
        <f>IFERROR(Comp3[[#This Row],[Comparable '#3 Return]]+1,"-")</f>
        <v>1.0150439102376663</v>
      </c>
      <c r="E368" s="6">
        <f>B368-MAX($B$2:B368)</f>
        <v>-37.349999999999994</v>
      </c>
      <c r="F368" s="80">
        <f t="shared" si="11"/>
        <v>106</v>
      </c>
      <c r="G368" s="6">
        <f>IFERROR(Comp3[[#This Row],[Comparable '#3 Drawdown]]/MAX($B$2:B368),"-")</f>
        <v>-0.1986279514996809</v>
      </c>
      <c r="H368" s="1" t="str">
        <f>IF(SUM(COUNTIF(Benchmark1[Benchmark '#1 Dates],Comp3[[#This Row],[Comparable '#3 Dates]]),COUNTIF(Benchmark2[Benchmark '#2 Dates],Comp3[[#This Row],[Comparable '#3 Dates]]))=2,"Pass","Fail")</f>
        <v>Pass</v>
      </c>
      <c r="I368" s="1">
        <f>IFERROR(Comp3[[#This Row],[Comparable '#3 Return]]-INDEX(Benchmark1[Benchmark '#1 Return],MATCH(Comp3[[#This Row],[Comparable '#3 Dates]],Benchmark1[Benchmark '#1 Dates],0)),"-")</f>
        <v>1.4708833039242256E-2</v>
      </c>
      <c r="L368" s="72">
        <f>Comp3[[#This Row],[Comparable '#3 Price]]/$B$2*100</f>
        <v>128.56411568978757</v>
      </c>
    </row>
    <row r="369" spans="1:12">
      <c r="A369" s="96">
        <v>43817</v>
      </c>
      <c r="B369" s="101">
        <v>153.68</v>
      </c>
      <c r="C369" s="1">
        <f t="shared" si="10"/>
        <v>1.9647772030238281E-2</v>
      </c>
      <c r="D369" s="1">
        <f>IFERROR(Comp3[[#This Row],[Comparable '#3 Return]]+1,"-")</f>
        <v>1.0196477720302384</v>
      </c>
      <c r="E369" s="6">
        <f>B369-MAX($B$2:B369)</f>
        <v>-34.359999999999985</v>
      </c>
      <c r="F369" s="80">
        <f t="shared" si="11"/>
        <v>107</v>
      </c>
      <c r="G369" s="6">
        <f>IFERROR(Comp3[[#This Row],[Comparable '#3 Drawdown]]/MAX($B$2:B369),"-")</f>
        <v>-0.18272707934482019</v>
      </c>
      <c r="H369" s="1" t="str">
        <f>IF(SUM(COUNTIF(Benchmark1[Benchmark '#1 Dates],Comp3[[#This Row],[Comparable '#3 Dates]]),COUNTIF(Benchmark2[Benchmark '#2 Dates],Comp3[[#This Row],[Comparable '#3 Dates]]))=2,"Pass","Fail")</f>
        <v>Pass</v>
      </c>
      <c r="I369" s="1">
        <f>IFERROR(Comp3[[#This Row],[Comparable '#3 Return]]-INDEX(Benchmark1[Benchmark '#1 Return],MATCH(Comp3[[#This Row],[Comparable '#3 Dates]],Benchmark1[Benchmark '#1 Dates],0)),"-")</f>
        <v>2.0079040583232545E-2</v>
      </c>
      <c r="L369" s="72">
        <f>Comp3[[#This Row],[Comparable '#3 Price]]/$B$2*100</f>
        <v>131.11509256889343</v>
      </c>
    </row>
    <row r="370" spans="1:12">
      <c r="A370" s="96">
        <v>43818</v>
      </c>
      <c r="B370" s="101">
        <v>152.88999999999999</v>
      </c>
      <c r="C370" s="1">
        <f t="shared" si="10"/>
        <v>-5.1538098877790218E-3</v>
      </c>
      <c r="D370" s="1">
        <f>IFERROR(Comp3[[#This Row],[Comparable '#3 Return]]+1,"-")</f>
        <v>0.99484619011222097</v>
      </c>
      <c r="E370" s="6">
        <f>B370-MAX($B$2:B370)</f>
        <v>-35.150000000000006</v>
      </c>
      <c r="F370" s="80">
        <f t="shared" si="11"/>
        <v>108</v>
      </c>
      <c r="G370" s="6">
        <f>IFERROR(Comp3[[#This Row],[Comparable '#3 Drawdown]]/MAX($B$2:B370),"-")</f>
        <v>-0.1869283131248671</v>
      </c>
      <c r="H370" s="1" t="str">
        <f>IF(SUM(COUNTIF(Benchmark1[Benchmark '#1 Dates],Comp3[[#This Row],[Comparable '#3 Dates]]),COUNTIF(Benchmark2[Benchmark '#2 Dates],Comp3[[#This Row],[Comparable '#3 Dates]]))=2,"Pass","Fail")</f>
        <v>Pass</v>
      </c>
      <c r="I370" s="1">
        <f>IFERROR(Comp3[[#This Row],[Comparable '#3 Return]]-INDEX(Benchmark1[Benchmark '#1 Return],MATCH(Comp3[[#This Row],[Comparable '#3 Dates]],Benchmark1[Benchmark '#1 Dates],0)),"-")</f>
        <v>-9.6019719047876727E-3</v>
      </c>
      <c r="L370" s="72">
        <f>Comp3[[#This Row],[Comparable '#3 Price]]/$B$2*100</f>
        <v>130.44108864431362</v>
      </c>
    </row>
    <row r="371" spans="1:12">
      <c r="A371" s="96">
        <v>43819</v>
      </c>
      <c r="B371" s="101">
        <v>153.07</v>
      </c>
      <c r="C371" s="1">
        <f t="shared" si="10"/>
        <v>1.1766245310935823E-3</v>
      </c>
      <c r="D371" s="1">
        <f>IFERROR(Comp3[[#This Row],[Comparable '#3 Return]]+1,"-")</f>
        <v>1.0011766245310936</v>
      </c>
      <c r="E371" s="6">
        <f>B371-MAX($B$2:B371)</f>
        <v>-34.97</v>
      </c>
      <c r="F371" s="80">
        <f t="shared" si="11"/>
        <v>109</v>
      </c>
      <c r="G371" s="6">
        <f>IFERROR(Comp3[[#This Row],[Comparable '#3 Drawdown]]/MAX($B$2:B371),"-")</f>
        <v>-0.18597106998510957</v>
      </c>
      <c r="H371" s="1" t="str">
        <f>IF(SUM(COUNTIF(Benchmark1[Benchmark '#1 Dates],Comp3[[#This Row],[Comparable '#3 Dates]]),COUNTIF(Benchmark2[Benchmark '#2 Dates],Comp3[[#This Row],[Comparable '#3 Dates]]))=2,"Pass","Fail")</f>
        <v>Pass</v>
      </c>
      <c r="I371" s="1">
        <f>IFERROR(Comp3[[#This Row],[Comparable '#3 Return]]-INDEX(Benchmark1[Benchmark '#1 Return],MATCH(Comp3[[#This Row],[Comparable '#3 Dates]],Benchmark1[Benchmark '#1 Dates],0)),"-")</f>
        <v>-3.7579457966705337E-3</v>
      </c>
      <c r="L371" s="72">
        <f>Comp3[[#This Row],[Comparable '#3 Price]]/$B$2*100</f>
        <v>130.59465915877485</v>
      </c>
    </row>
    <row r="372" spans="1:12">
      <c r="A372" s="96">
        <v>43822</v>
      </c>
      <c r="B372" s="101">
        <v>153.91999999999999</v>
      </c>
      <c r="C372" s="1">
        <f t="shared" si="10"/>
        <v>5.5376538137806323E-3</v>
      </c>
      <c r="D372" s="1">
        <f>IFERROR(Comp3[[#This Row],[Comparable '#3 Return]]+1,"-")</f>
        <v>1.0055376538137806</v>
      </c>
      <c r="E372" s="6">
        <f>B372-MAX($B$2:B372)</f>
        <v>-34.120000000000005</v>
      </c>
      <c r="F372" s="80">
        <f t="shared" si="11"/>
        <v>110</v>
      </c>
      <c r="G372" s="6">
        <f>IFERROR(Comp3[[#This Row],[Comparable '#3 Drawdown]]/MAX($B$2:B372),"-")</f>
        <v>-0.18145075515847695</v>
      </c>
      <c r="H372" s="1" t="str">
        <f>IF(SUM(COUNTIF(Benchmark1[Benchmark '#1 Dates],Comp3[[#This Row],[Comparable '#3 Dates]]),COUNTIF(Benchmark2[Benchmark '#2 Dates],Comp3[[#This Row],[Comparable '#3 Dates]]))=2,"Pass","Fail")</f>
        <v>Pass</v>
      </c>
      <c r="I372" s="1">
        <f>IFERROR(Comp3[[#This Row],[Comparable '#3 Return]]-INDEX(Benchmark1[Benchmark '#1 Return],MATCH(Comp3[[#This Row],[Comparable '#3 Dates]],Benchmark1[Benchmark '#1 Dates],0)),"-")</f>
        <v>4.6733553984207084E-3</v>
      </c>
      <c r="L372" s="72">
        <f>Comp3[[#This Row],[Comparable '#3 Price]]/$B$2*100</f>
        <v>131.31985325484172</v>
      </c>
    </row>
    <row r="373" spans="1:12">
      <c r="A373" s="96">
        <v>43823</v>
      </c>
      <c r="B373" s="101">
        <v>154.5</v>
      </c>
      <c r="C373" s="1">
        <f t="shared" si="10"/>
        <v>3.7611094204038037E-3</v>
      </c>
      <c r="D373" s="1">
        <f>IFERROR(Comp3[[#This Row],[Comparable '#3 Return]]+1,"-")</f>
        <v>1.0037611094204038</v>
      </c>
      <c r="E373" s="6">
        <f>B373-MAX($B$2:B373)</f>
        <v>-33.539999999999992</v>
      </c>
      <c r="F373" s="80">
        <f t="shared" si="11"/>
        <v>111</v>
      </c>
      <c r="G373" s="6">
        <f>IFERROR(Comp3[[#This Row],[Comparable '#3 Drawdown]]/MAX($B$2:B373),"-")</f>
        <v>-0.17836630504148049</v>
      </c>
      <c r="H373" s="1" t="str">
        <f>IF(SUM(COUNTIF(Benchmark1[Benchmark '#1 Dates],Comp3[[#This Row],[Comparable '#3 Dates]]),COUNTIF(Benchmark2[Benchmark '#2 Dates],Comp3[[#This Row],[Comparable '#3 Dates]]))=2,"Pass","Fail")</f>
        <v>Pass</v>
      </c>
      <c r="I373" s="1">
        <f>IFERROR(Comp3[[#This Row],[Comparable '#3 Return]]-INDEX(Benchmark1[Benchmark '#1 Return],MATCH(Comp3[[#This Row],[Comparable '#3 Dates]],Benchmark1[Benchmark '#1 Dates],0)),"-")</f>
        <v>3.957835894832634E-3</v>
      </c>
      <c r="L373" s="72">
        <f>Comp3[[#This Row],[Comparable '#3 Price]]/$B$2*100</f>
        <v>131.8146915792168</v>
      </c>
    </row>
    <row r="374" spans="1:12">
      <c r="A374" s="96">
        <v>43825</v>
      </c>
      <c r="B374" s="101">
        <v>156.26</v>
      </c>
      <c r="C374" s="1">
        <f t="shared" si="10"/>
        <v>1.1327190230798102E-2</v>
      </c>
      <c r="D374" s="1">
        <f>IFERROR(Comp3[[#This Row],[Comparable '#3 Return]]+1,"-")</f>
        <v>1.0113271902307981</v>
      </c>
      <c r="E374" s="6">
        <f>B374-MAX($B$2:B374)</f>
        <v>-31.78</v>
      </c>
      <c r="F374" s="80">
        <f t="shared" si="11"/>
        <v>112</v>
      </c>
      <c r="G374" s="6">
        <f>IFERROR(Comp3[[#This Row],[Comparable '#3 Drawdown]]/MAX($B$2:B374),"-")</f>
        <v>-0.16900659434162946</v>
      </c>
      <c r="H374" s="1" t="str">
        <f>IF(SUM(COUNTIF(Benchmark1[Benchmark '#1 Dates],Comp3[[#This Row],[Comparable '#3 Dates]]),COUNTIF(Benchmark2[Benchmark '#2 Dates],Comp3[[#This Row],[Comparable '#3 Dates]]))=2,"Pass","Fail")</f>
        <v>Pass</v>
      </c>
      <c r="I374" s="1">
        <f>IFERROR(Comp3[[#This Row],[Comparable '#3 Return]]-INDEX(Benchmark1[Benchmark '#1 Return],MATCH(Comp3[[#This Row],[Comparable '#3 Dates]],Benchmark1[Benchmark '#1 Dates],0)),"-")</f>
        <v>6.2116865397682042E-3</v>
      </c>
      <c r="L374" s="72">
        <f>Comp3[[#This Row],[Comparable '#3 Price]]/$B$2*100</f>
        <v>133.31626994283766</v>
      </c>
    </row>
    <row r="375" spans="1:12">
      <c r="A375" s="96">
        <v>43826</v>
      </c>
      <c r="B375" s="101">
        <v>156.37</v>
      </c>
      <c r="C375" s="1">
        <f t="shared" si="10"/>
        <v>7.0370728682071478E-4</v>
      </c>
      <c r="D375" s="1">
        <f>IFERROR(Comp3[[#This Row],[Comparable '#3 Return]]+1,"-")</f>
        <v>1.0007037072868208</v>
      </c>
      <c r="E375" s="6">
        <f>B375-MAX($B$2:B375)</f>
        <v>-31.669999999999987</v>
      </c>
      <c r="F375" s="80">
        <f t="shared" si="11"/>
        <v>113</v>
      </c>
      <c r="G375" s="6">
        <f>IFERROR(Comp3[[#This Row],[Comparable '#3 Drawdown]]/MAX($B$2:B375),"-")</f>
        <v>-0.16842161242288869</v>
      </c>
      <c r="H375" s="1" t="str">
        <f>IF(SUM(COUNTIF(Benchmark1[Benchmark '#1 Dates],Comp3[[#This Row],[Comparable '#3 Dates]]),COUNTIF(Benchmark2[Benchmark '#2 Dates],Comp3[[#This Row],[Comparable '#3 Dates]]))=2,"Pass","Fail")</f>
        <v>Pass</v>
      </c>
      <c r="I375" s="1">
        <f>IFERROR(Comp3[[#This Row],[Comparable '#3 Return]]-INDEX(Benchmark1[Benchmark '#1 Return],MATCH(Comp3[[#This Row],[Comparable '#3 Dates]],Benchmark1[Benchmark '#1 Dates],0)),"-")</f>
        <v>6.6876224258534585E-4</v>
      </c>
      <c r="L375" s="72">
        <f>Comp3[[#This Row],[Comparable '#3 Price]]/$B$2*100</f>
        <v>133.41011859056394</v>
      </c>
    </row>
    <row r="376" spans="1:12">
      <c r="A376" s="96">
        <v>43829</v>
      </c>
      <c r="B376" s="101">
        <v>157.62</v>
      </c>
      <c r="C376" s="1">
        <f t="shared" si="10"/>
        <v>7.9620790700846815E-3</v>
      </c>
      <c r="D376" s="1">
        <f>IFERROR(Comp3[[#This Row],[Comparable '#3 Return]]+1,"-")</f>
        <v>1.0079620790700847</v>
      </c>
      <c r="E376" s="6">
        <f>B376-MAX($B$2:B376)</f>
        <v>-30.419999999999987</v>
      </c>
      <c r="F376" s="80">
        <f t="shared" si="11"/>
        <v>114</v>
      </c>
      <c r="G376" s="6">
        <f>IFERROR(Comp3[[#This Row],[Comparable '#3 Drawdown]]/MAX($B$2:B376),"-")</f>
        <v>-0.16177409061901718</v>
      </c>
      <c r="H376" s="1" t="str">
        <f>IF(SUM(COUNTIF(Benchmark1[Benchmark '#1 Dates],Comp3[[#This Row],[Comparable '#3 Dates]]),COUNTIF(Benchmark2[Benchmark '#2 Dates],Comp3[[#This Row],[Comparable '#3 Dates]]))=2,"Pass","Fail")</f>
        <v>Pass</v>
      </c>
      <c r="I376" s="1">
        <f>IFERROR(Comp3[[#This Row],[Comparable '#3 Return]]-INDEX(Benchmark1[Benchmark '#1 Return],MATCH(Comp3[[#This Row],[Comparable '#3 Dates]],Benchmark1[Benchmark '#1 Dates],0)),"-")</f>
        <v>1.3759230532960303E-2</v>
      </c>
      <c r="L376" s="72">
        <f>Comp3[[#This Row],[Comparable '#3 Price]]/$B$2*100</f>
        <v>134.47658049654467</v>
      </c>
    </row>
    <row r="377" spans="1:12">
      <c r="A377" s="96">
        <v>43830</v>
      </c>
      <c r="B377" s="101">
        <v>158.9</v>
      </c>
      <c r="C377" s="1">
        <f t="shared" si="10"/>
        <v>8.0880006171669145E-3</v>
      </c>
      <c r="D377" s="1">
        <f>IFERROR(Comp3[[#This Row],[Comparable '#3 Return]]+1,"-")</f>
        <v>1.0080880006171669</v>
      </c>
      <c r="E377" s="6">
        <f>B377-MAX($B$2:B377)</f>
        <v>-29.139999999999986</v>
      </c>
      <c r="F377" s="80">
        <f t="shared" si="11"/>
        <v>115</v>
      </c>
      <c r="G377" s="6">
        <f>IFERROR(Comp3[[#This Row],[Comparable '#3 Drawdown]]/MAX($B$2:B377),"-")</f>
        <v>-0.15496702829185274</v>
      </c>
      <c r="H377" s="1" t="str">
        <f>IF(SUM(COUNTIF(Benchmark1[Benchmark '#1 Dates],Comp3[[#This Row],[Comparable '#3 Dates]]),COUNTIF(Benchmark2[Benchmark '#2 Dates],Comp3[[#This Row],[Comparable '#3 Dates]]))=2,"Pass","Fail")</f>
        <v>Pass</v>
      </c>
      <c r="I377" s="1">
        <f>IFERROR(Comp3[[#This Row],[Comparable '#3 Return]]-INDEX(Benchmark1[Benchmark '#1 Return],MATCH(Comp3[[#This Row],[Comparable '#3 Dates]],Benchmark1[Benchmark '#1 Dates],0)),"-")</f>
        <v>5.1462646557230126E-3</v>
      </c>
      <c r="L377" s="72">
        <f>Comp3[[#This Row],[Comparable '#3 Price]]/$B$2*100</f>
        <v>135.56863748826893</v>
      </c>
    </row>
    <row r="378" spans="1:12">
      <c r="A378" s="96">
        <v>43832</v>
      </c>
      <c r="B378" s="101">
        <v>160.04</v>
      </c>
      <c r="C378" s="1">
        <f t="shared" si="10"/>
        <v>7.1487104463638425E-3</v>
      </c>
      <c r="D378" s="1">
        <f>IFERROR(Comp3[[#This Row],[Comparable '#3 Return]]+1,"-")</f>
        <v>1.0071487104463639</v>
      </c>
      <c r="E378" s="6">
        <f>B378-MAX($B$2:B378)</f>
        <v>-28</v>
      </c>
      <c r="F378" s="80">
        <f t="shared" si="11"/>
        <v>116</v>
      </c>
      <c r="G378" s="6">
        <f>IFERROR(Comp3[[#This Row],[Comparable '#3 Drawdown]]/MAX($B$2:B378),"-")</f>
        <v>-0.14890448840672199</v>
      </c>
      <c r="H378" s="1" t="str">
        <f>IF(SUM(COUNTIF(Benchmark1[Benchmark '#1 Dates],Comp3[[#This Row],[Comparable '#3 Dates]]),COUNTIF(Benchmark2[Benchmark '#2 Dates],Comp3[[#This Row],[Comparable '#3 Dates]]))=2,"Pass","Fail")</f>
        <v>Pass</v>
      </c>
      <c r="I378" s="1">
        <f>IFERROR(Comp3[[#This Row],[Comparable '#3 Return]]-INDEX(Benchmark1[Benchmark '#1 Return],MATCH(Comp3[[#This Row],[Comparable '#3 Dates]],Benchmark1[Benchmark '#1 Dates],0)),"-")</f>
        <v>-1.1938810093045128E-3</v>
      </c>
      <c r="L378" s="72">
        <f>Comp3[[#This Row],[Comparable '#3 Price]]/$B$2*100</f>
        <v>136.54125074652333</v>
      </c>
    </row>
    <row r="379" spans="1:12">
      <c r="A379" s="96">
        <v>43833</v>
      </c>
      <c r="B379" s="101">
        <v>159.58000000000001</v>
      </c>
      <c r="C379" s="1">
        <f t="shared" si="10"/>
        <v>-2.8784201088992135E-3</v>
      </c>
      <c r="D379" s="1">
        <f>IFERROR(Comp3[[#This Row],[Comparable '#3 Return]]+1,"-")</f>
        <v>0.99712157989110084</v>
      </c>
      <c r="E379" s="6">
        <f>B379-MAX($B$2:B379)</f>
        <v>-28.45999999999998</v>
      </c>
      <c r="F379" s="80">
        <f t="shared" si="11"/>
        <v>117</v>
      </c>
      <c r="G379" s="6">
        <f>IFERROR(Comp3[[#This Row],[Comparable '#3 Drawdown]]/MAX($B$2:B379),"-")</f>
        <v>-0.15135077643054659</v>
      </c>
      <c r="H379" s="1" t="str">
        <f>IF(SUM(COUNTIF(Benchmark1[Benchmark '#1 Dates],Comp3[[#This Row],[Comparable '#3 Dates]]),COUNTIF(Benchmark2[Benchmark '#2 Dates],Comp3[[#This Row],[Comparable '#3 Dates]]))=2,"Pass","Fail")</f>
        <v>Pass</v>
      </c>
      <c r="I379" s="1">
        <f>IFERROR(Comp3[[#This Row],[Comparable '#3 Return]]-INDEX(Benchmark1[Benchmark '#1 Return],MATCH(Comp3[[#This Row],[Comparable '#3 Dates]],Benchmark1[Benchmark '#1 Dates],0)),"-")</f>
        <v>4.2062542185014404E-3</v>
      </c>
      <c r="L379" s="72">
        <f>Comp3[[#This Row],[Comparable '#3 Price]]/$B$2*100</f>
        <v>136.14879276512244</v>
      </c>
    </row>
    <row r="380" spans="1:12">
      <c r="A380" s="96">
        <v>43836</v>
      </c>
      <c r="B380" s="101">
        <v>159.31</v>
      </c>
      <c r="C380" s="1">
        <f t="shared" si="10"/>
        <v>-1.6933742953315369E-3</v>
      </c>
      <c r="D380" s="1">
        <f>IFERROR(Comp3[[#This Row],[Comparable '#3 Return]]+1,"-")</f>
        <v>0.99830662570466844</v>
      </c>
      <c r="E380" s="6">
        <f>B380-MAX($B$2:B380)</f>
        <v>-28.72999999999999</v>
      </c>
      <c r="F380" s="80">
        <f t="shared" si="11"/>
        <v>118</v>
      </c>
      <c r="G380" s="6">
        <f>IFERROR(Comp3[[#This Row],[Comparable '#3 Drawdown]]/MAX($B$2:B380),"-")</f>
        <v>-0.15278664114018289</v>
      </c>
      <c r="H380" s="1" t="str">
        <f>IF(SUM(COUNTIF(Benchmark1[Benchmark '#1 Dates],Comp3[[#This Row],[Comparable '#3 Dates]]),COUNTIF(Benchmark2[Benchmark '#2 Dates],Comp3[[#This Row],[Comparable '#3 Dates]]))=2,"Pass","Fail")</f>
        <v>Pass</v>
      </c>
      <c r="I380" s="1">
        <f>IFERROR(Comp3[[#This Row],[Comparable '#3 Return]]-INDEX(Benchmark1[Benchmark '#1 Return],MATCH(Comp3[[#This Row],[Comparable '#3 Dates]],Benchmark1[Benchmark '#1 Dates],0)),"-")</f>
        <v>-5.2217723762755016E-3</v>
      </c>
      <c r="L380" s="72">
        <f>Comp3[[#This Row],[Comparable '#3 Price]]/$B$2*100</f>
        <v>135.91843699343059</v>
      </c>
    </row>
    <row r="381" spans="1:12">
      <c r="A381" s="96">
        <v>43837</v>
      </c>
      <c r="B381" s="101">
        <v>159.69999999999999</v>
      </c>
      <c r="C381" s="1">
        <f t="shared" si="10"/>
        <v>2.4450656361631484E-3</v>
      </c>
      <c r="D381" s="1">
        <f>IFERROR(Comp3[[#This Row],[Comparable '#3 Return]]+1,"-")</f>
        <v>1.0024450656361632</v>
      </c>
      <c r="E381" s="6">
        <f>B381-MAX($B$2:B381)</f>
        <v>-28.340000000000003</v>
      </c>
      <c r="F381" s="80">
        <f t="shared" si="11"/>
        <v>119</v>
      </c>
      <c r="G381" s="6">
        <f>IFERROR(Comp3[[#This Row],[Comparable '#3 Drawdown]]/MAX($B$2:B381),"-")</f>
        <v>-0.15071261433737504</v>
      </c>
      <c r="H381" s="1" t="str">
        <f>IF(SUM(COUNTIF(Benchmark1[Benchmark '#1 Dates],Comp3[[#This Row],[Comparable '#3 Dates]]),COUNTIF(Benchmark2[Benchmark '#2 Dates],Comp3[[#This Row],[Comparable '#3 Dates]]))=2,"Pass","Fail")</f>
        <v>Pass</v>
      </c>
      <c r="I381" s="1">
        <f>IFERROR(Comp3[[#This Row],[Comparable '#3 Return]]-INDEX(Benchmark1[Benchmark '#1 Return],MATCH(Comp3[[#This Row],[Comparable '#3 Dates]],Benchmark1[Benchmark '#1 Dates],0)),"-")</f>
        <v>5.2522407110437283E-3</v>
      </c>
      <c r="L381" s="72">
        <f>Comp3[[#This Row],[Comparable '#3 Price]]/$B$2*100</f>
        <v>136.25117310809657</v>
      </c>
    </row>
    <row r="382" spans="1:12">
      <c r="A382" s="96">
        <v>43838</v>
      </c>
      <c r="B382" s="101">
        <v>158.31</v>
      </c>
      <c r="C382" s="1">
        <f t="shared" si="10"/>
        <v>-8.7419191352805185E-3</v>
      </c>
      <c r="D382" s="1">
        <f>IFERROR(Comp3[[#This Row],[Comparable '#3 Return]]+1,"-")</f>
        <v>0.99125808086471945</v>
      </c>
      <c r="E382" s="6">
        <f>B382-MAX($B$2:B382)</f>
        <v>-29.72999999999999</v>
      </c>
      <c r="F382" s="80">
        <f t="shared" si="11"/>
        <v>120</v>
      </c>
      <c r="G382" s="6">
        <f>IFERROR(Comp3[[#This Row],[Comparable '#3 Drawdown]]/MAX($B$2:B382),"-")</f>
        <v>-0.1581046585832801</v>
      </c>
      <c r="H382" s="1" t="str">
        <f>IF(SUM(COUNTIF(Benchmark1[Benchmark '#1 Dates],Comp3[[#This Row],[Comparable '#3 Dates]]),COUNTIF(Benchmark2[Benchmark '#2 Dates],Comp3[[#This Row],[Comparable '#3 Dates]]))=2,"Pass","Fail")</f>
        <v>Pass</v>
      </c>
      <c r="I382" s="1">
        <f>IFERROR(Comp3[[#This Row],[Comparable '#3 Return]]-INDEX(Benchmark1[Benchmark '#1 Return],MATCH(Comp3[[#This Row],[Comparable '#3 Dates]],Benchmark1[Benchmark '#1 Dates],0)),"-")</f>
        <v>-1.3630352088623614E-2</v>
      </c>
      <c r="L382" s="72">
        <f>Comp3[[#This Row],[Comparable '#3 Price]]/$B$2*100</f>
        <v>135.06526746864603</v>
      </c>
    </row>
    <row r="383" spans="1:12">
      <c r="A383" s="96">
        <v>43839</v>
      </c>
      <c r="B383" s="101">
        <v>159.52000000000001</v>
      </c>
      <c r="C383" s="1">
        <f t="shared" si="10"/>
        <v>7.6141701278421743E-3</v>
      </c>
      <c r="D383" s="1">
        <f>IFERROR(Comp3[[#This Row],[Comparable '#3 Return]]+1,"-")</f>
        <v>1.0076141701278423</v>
      </c>
      <c r="E383" s="6">
        <f>B383-MAX($B$2:B383)</f>
        <v>-28.519999999999982</v>
      </c>
      <c r="F383" s="80">
        <f t="shared" si="11"/>
        <v>121</v>
      </c>
      <c r="G383" s="6">
        <f>IFERROR(Comp3[[#This Row],[Comparable '#3 Drawdown]]/MAX($B$2:B383),"-")</f>
        <v>-0.15166985747713244</v>
      </c>
      <c r="H383" s="1" t="str">
        <f>IF(SUM(COUNTIF(Benchmark1[Benchmark '#1 Dates],Comp3[[#This Row],[Comparable '#3 Dates]]),COUNTIF(Benchmark2[Benchmark '#2 Dates],Comp3[[#This Row],[Comparable '#3 Dates]]))=2,"Pass","Fail")</f>
        <v>Pass</v>
      </c>
      <c r="I383" s="1">
        <f>IFERROR(Comp3[[#This Row],[Comparable '#3 Return]]-INDEX(Benchmark1[Benchmark '#1 Return],MATCH(Comp3[[#This Row],[Comparable '#3 Dates]],Benchmark1[Benchmark '#1 Dates],0)),"-")</f>
        <v>9.7839857000501986E-4</v>
      </c>
      <c r="L383" s="72">
        <f>Comp3[[#This Row],[Comparable '#3 Price]]/$B$2*100</f>
        <v>136.09760259363537</v>
      </c>
    </row>
    <row r="384" spans="1:12">
      <c r="A384" s="96">
        <v>43840</v>
      </c>
      <c r="B384" s="101">
        <v>158.74</v>
      </c>
      <c r="C384" s="1">
        <f t="shared" si="10"/>
        <v>-4.9016625507986855E-3</v>
      </c>
      <c r="D384" s="1">
        <f>IFERROR(Comp3[[#This Row],[Comparable '#3 Return]]+1,"-")</f>
        <v>0.99509833744920129</v>
      </c>
      <c r="E384" s="6">
        <f>B384-MAX($B$2:B384)</f>
        <v>-29.299999999999983</v>
      </c>
      <c r="F384" s="80">
        <f t="shared" si="11"/>
        <v>122</v>
      </c>
      <c r="G384" s="6">
        <f>IFERROR(Comp3[[#This Row],[Comparable '#3 Drawdown]]/MAX($B$2:B384),"-")</f>
        <v>-0.15581791108274826</v>
      </c>
      <c r="H384" s="1" t="str">
        <f>IF(SUM(COUNTIF(Benchmark1[Benchmark '#1 Dates],Comp3[[#This Row],[Comparable '#3 Dates]]),COUNTIF(Benchmark2[Benchmark '#2 Dates],Comp3[[#This Row],[Comparable '#3 Dates]]))=2,"Pass","Fail")</f>
        <v>Pass</v>
      </c>
      <c r="I384" s="1">
        <f>IFERROR(Comp3[[#This Row],[Comparable '#3 Return]]-INDEX(Benchmark1[Benchmark '#1 Return],MATCH(Comp3[[#This Row],[Comparable '#3 Dates]],Benchmark1[Benchmark '#1 Dates],0)),"-")</f>
        <v>-2.0414223838919696E-3</v>
      </c>
      <c r="L384" s="72">
        <f>Comp3[[#This Row],[Comparable '#3 Price]]/$B$2*100</f>
        <v>135.43213036430339</v>
      </c>
    </row>
    <row r="385" spans="1:12">
      <c r="A385" s="96">
        <v>43843</v>
      </c>
      <c r="B385" s="101">
        <v>160.1</v>
      </c>
      <c r="C385" s="1">
        <f t="shared" si="10"/>
        <v>8.5309763399394316E-3</v>
      </c>
      <c r="D385" s="1">
        <f>IFERROR(Comp3[[#This Row],[Comparable '#3 Return]]+1,"-")</f>
        <v>1.0085309763399395</v>
      </c>
      <c r="E385" s="6">
        <f>B385-MAX($B$2:B385)</f>
        <v>-27.939999999999998</v>
      </c>
      <c r="F385" s="80">
        <f t="shared" si="11"/>
        <v>123</v>
      </c>
      <c r="G385" s="6">
        <f>IFERROR(Comp3[[#This Row],[Comparable '#3 Drawdown]]/MAX($B$2:B385),"-")</f>
        <v>-0.14858540736013615</v>
      </c>
      <c r="H385" s="1" t="str">
        <f>IF(SUM(COUNTIF(Benchmark1[Benchmark '#1 Dates],Comp3[[#This Row],[Comparable '#3 Dates]]),COUNTIF(Benchmark2[Benchmark '#2 Dates],Comp3[[#This Row],[Comparable '#3 Dates]]))=2,"Pass","Fail")</f>
        <v>Pass</v>
      </c>
      <c r="I385" s="1">
        <f>IFERROR(Comp3[[#This Row],[Comparable '#3 Return]]-INDEX(Benchmark1[Benchmark '#1 Return],MATCH(Comp3[[#This Row],[Comparable '#3 Dates]],Benchmark1[Benchmark '#1 Dates],0)),"-")</f>
        <v>1.5781878963494998E-3</v>
      </c>
      <c r="L385" s="72">
        <f>Comp3[[#This Row],[Comparable '#3 Price]]/$B$2*100</f>
        <v>136.59244091801042</v>
      </c>
    </row>
    <row r="386" spans="1:12">
      <c r="A386" s="96">
        <v>43844</v>
      </c>
      <c r="B386" s="101">
        <v>160.87</v>
      </c>
      <c r="C386" s="1">
        <f t="shared" ref="C386:C449" si="12">IFERROR(IF(B386="","-",LN(B386/B385)),"-")</f>
        <v>4.7979653995475829E-3</v>
      </c>
      <c r="D386" s="1">
        <f>IFERROR(Comp3[[#This Row],[Comparable '#3 Return]]+1,"-")</f>
        <v>1.0047979653995476</v>
      </c>
      <c r="E386" s="6">
        <f>B386-MAX($B$2:B386)</f>
        <v>-27.169999999999987</v>
      </c>
      <c r="F386" s="80">
        <f t="shared" ref="F386:F449" si="13">IF(E386=0,0,F385+1)</f>
        <v>124</v>
      </c>
      <c r="G386" s="6">
        <f>IFERROR(Comp3[[#This Row],[Comparable '#3 Drawdown]]/MAX($B$2:B386),"-")</f>
        <v>-0.14449053392895123</v>
      </c>
      <c r="H386" s="1" t="str">
        <f>IF(SUM(COUNTIF(Benchmark1[Benchmark '#1 Dates],Comp3[[#This Row],[Comparable '#3 Dates]]),COUNTIF(Benchmark2[Benchmark '#2 Dates],Comp3[[#This Row],[Comparable '#3 Dates]]))=2,"Pass","Fail")</f>
        <v>Pass</v>
      </c>
      <c r="I386" s="1">
        <f>IFERROR(Comp3[[#This Row],[Comparable '#3 Return]]-INDEX(Benchmark1[Benchmark '#1 Return],MATCH(Comp3[[#This Row],[Comparable '#3 Dates]],Benchmark1[Benchmark '#1 Dates],0)),"-")</f>
        <v>6.3139829300622435E-3</v>
      </c>
      <c r="L386" s="72">
        <f>Comp3[[#This Row],[Comparable '#3 Price]]/$B$2*100</f>
        <v>137.24938145209453</v>
      </c>
    </row>
    <row r="387" spans="1:12">
      <c r="A387" s="96">
        <v>43845</v>
      </c>
      <c r="B387" s="101">
        <v>160.80000000000001</v>
      </c>
      <c r="C387" s="1">
        <f t="shared" si="12"/>
        <v>-4.3522865735046032E-4</v>
      </c>
      <c r="D387" s="1">
        <f>IFERROR(Comp3[[#This Row],[Comparable '#3 Return]]+1,"-")</f>
        <v>0.99956477134264954</v>
      </c>
      <c r="E387" s="6">
        <f>B387-MAX($B$2:B387)</f>
        <v>-27.239999999999981</v>
      </c>
      <c r="F387" s="80">
        <f t="shared" si="13"/>
        <v>125</v>
      </c>
      <c r="G387" s="6">
        <f>IFERROR(Comp3[[#This Row],[Comparable '#3 Drawdown]]/MAX($B$2:B387),"-")</f>
        <v>-0.144862795149968</v>
      </c>
      <c r="H387" s="1" t="str">
        <f>IF(SUM(COUNTIF(Benchmark1[Benchmark '#1 Dates],Comp3[[#This Row],[Comparable '#3 Dates]]),COUNTIF(Benchmark2[Benchmark '#2 Dates],Comp3[[#This Row],[Comparable '#3 Dates]]))=2,"Pass","Fail")</f>
        <v>Pass</v>
      </c>
      <c r="I387" s="1">
        <f>IFERROR(Comp3[[#This Row],[Comparable '#3 Return]]-INDEX(Benchmark1[Benchmark '#1 Return],MATCH(Comp3[[#This Row],[Comparable '#3 Dates]],Benchmark1[Benchmark '#1 Dates],0)),"-")</f>
        <v>-2.3036781770433218E-3</v>
      </c>
      <c r="L387" s="72">
        <f>Comp3[[#This Row],[Comparable '#3 Price]]/$B$2*100</f>
        <v>137.18965958535964</v>
      </c>
    </row>
    <row r="388" spans="1:12">
      <c r="A388" s="96">
        <v>43846</v>
      </c>
      <c r="B388" s="101">
        <v>162</v>
      </c>
      <c r="C388" s="1">
        <f t="shared" si="12"/>
        <v>7.4349784875179905E-3</v>
      </c>
      <c r="D388" s="1">
        <f>IFERROR(Comp3[[#This Row],[Comparable '#3 Return]]+1,"-")</f>
        <v>1.0074349784875181</v>
      </c>
      <c r="E388" s="6">
        <f>B388-MAX($B$2:B388)</f>
        <v>-26.039999999999992</v>
      </c>
      <c r="F388" s="80">
        <f t="shared" si="13"/>
        <v>126</v>
      </c>
      <c r="G388" s="6">
        <f>IFERROR(Comp3[[#This Row],[Comparable '#3 Drawdown]]/MAX($B$2:B388),"-")</f>
        <v>-0.1384811742182514</v>
      </c>
      <c r="H388" s="1" t="str">
        <f>IF(SUM(COUNTIF(Benchmark1[Benchmark '#1 Dates],Comp3[[#This Row],[Comparable '#3 Dates]]),COUNTIF(Benchmark2[Benchmark '#2 Dates],Comp3[[#This Row],[Comparable '#3 Dates]]))=2,"Pass","Fail")</f>
        <v>Pass</v>
      </c>
      <c r="I388" s="1">
        <f>IFERROR(Comp3[[#This Row],[Comparable '#3 Return]]-INDEX(Benchmark1[Benchmark '#1 Return],MATCH(Comp3[[#This Row],[Comparable '#3 Dates]],Benchmark1[Benchmark '#1 Dates],0)),"-")</f>
        <v>-8.947378319200611E-4</v>
      </c>
      <c r="L388" s="72">
        <f>Comp3[[#This Row],[Comparable '#3 Price]]/$B$2*100</f>
        <v>138.21346301510113</v>
      </c>
    </row>
    <row r="389" spans="1:12">
      <c r="A389" s="96">
        <v>43847</v>
      </c>
      <c r="B389" s="101">
        <v>162.85</v>
      </c>
      <c r="C389" s="1">
        <f t="shared" si="12"/>
        <v>5.2331964898583794E-3</v>
      </c>
      <c r="D389" s="1">
        <f>IFERROR(Comp3[[#This Row],[Comparable '#3 Return]]+1,"-")</f>
        <v>1.0052331964898584</v>
      </c>
      <c r="E389" s="6">
        <f>B389-MAX($B$2:B389)</f>
        <v>-25.189999999999998</v>
      </c>
      <c r="F389" s="80">
        <f t="shared" si="13"/>
        <v>127</v>
      </c>
      <c r="G389" s="6">
        <f>IFERROR(Comp3[[#This Row],[Comparable '#3 Drawdown]]/MAX($B$2:B389),"-")</f>
        <v>-0.13396085939161881</v>
      </c>
      <c r="H389" s="1" t="str">
        <f>IF(SUM(COUNTIF(Benchmark1[Benchmark '#1 Dates],Comp3[[#This Row],[Comparable '#3 Dates]]),COUNTIF(Benchmark2[Benchmark '#2 Dates],Comp3[[#This Row],[Comparable '#3 Dates]]))=2,"Pass","Fail")</f>
        <v>Pass</v>
      </c>
      <c r="I389" s="1">
        <f>IFERROR(Comp3[[#This Row],[Comparable '#3 Return]]-INDEX(Benchmark1[Benchmark '#1 Return],MATCH(Comp3[[#This Row],[Comparable '#3 Dates]],Benchmark1[Benchmark '#1 Dates],0)),"-")</f>
        <v>1.3764537510868795E-3</v>
      </c>
      <c r="L389" s="72">
        <f>Comp3[[#This Row],[Comparable '#3 Price]]/$B$2*100</f>
        <v>138.938657111168</v>
      </c>
    </row>
    <row r="390" spans="1:12">
      <c r="A390" s="96">
        <v>43851</v>
      </c>
      <c r="B390" s="101">
        <v>163.08000000000001</v>
      </c>
      <c r="C390" s="1">
        <f t="shared" si="12"/>
        <v>1.4113462288103493E-3</v>
      </c>
      <c r="D390" s="1">
        <f>IFERROR(Comp3[[#This Row],[Comparable '#3 Return]]+1,"-")</f>
        <v>1.0014113462288103</v>
      </c>
      <c r="E390" s="6">
        <f>B390-MAX($B$2:B390)</f>
        <v>-24.95999999999998</v>
      </c>
      <c r="F390" s="80">
        <f t="shared" si="13"/>
        <v>128</v>
      </c>
      <c r="G390" s="6">
        <f>IFERROR(Comp3[[#This Row],[Comparable '#3 Drawdown]]/MAX($B$2:B390),"-")</f>
        <v>-0.13273771537970636</v>
      </c>
      <c r="H390" s="1" t="str">
        <f>IF(SUM(COUNTIF(Benchmark1[Benchmark '#1 Dates],Comp3[[#This Row],[Comparable '#3 Dates]]),COUNTIF(Benchmark2[Benchmark '#2 Dates],Comp3[[#This Row],[Comparable '#3 Dates]]))=2,"Pass","Fail")</f>
        <v>Pass</v>
      </c>
      <c r="I390" s="1">
        <f>IFERROR(Comp3[[#This Row],[Comparable '#3 Return]]-INDEX(Benchmark1[Benchmark '#1 Return],MATCH(Comp3[[#This Row],[Comparable '#3 Dates]],Benchmark1[Benchmark '#1 Dates],0)),"-")</f>
        <v>4.0673661369683058E-3</v>
      </c>
      <c r="L390" s="72">
        <f>Comp3[[#This Row],[Comparable '#3 Price]]/$B$2*100</f>
        <v>139.13488610186846</v>
      </c>
    </row>
    <row r="391" spans="1:12">
      <c r="A391" s="96">
        <v>43852</v>
      </c>
      <c r="B391" s="101">
        <v>163.9</v>
      </c>
      <c r="C391" s="1">
        <f t="shared" si="12"/>
        <v>5.0156077987312375E-3</v>
      </c>
      <c r="D391" s="1">
        <f>IFERROR(Comp3[[#This Row],[Comparable '#3 Return]]+1,"-")</f>
        <v>1.0050156077987313</v>
      </c>
      <c r="E391" s="6">
        <f>B391-MAX($B$2:B391)</f>
        <v>-24.139999999999986</v>
      </c>
      <c r="F391" s="80">
        <f t="shared" si="13"/>
        <v>129</v>
      </c>
      <c r="G391" s="6">
        <f>IFERROR(Comp3[[#This Row],[Comparable '#3 Drawdown]]/MAX($B$2:B391),"-")</f>
        <v>-0.12837694107636666</v>
      </c>
      <c r="H391" s="1" t="str">
        <f>IF(SUM(COUNTIF(Benchmark1[Benchmark '#1 Dates],Comp3[[#This Row],[Comparable '#3 Dates]]),COUNTIF(Benchmark2[Benchmark '#2 Dates],Comp3[[#This Row],[Comparable '#3 Dates]]))=2,"Pass","Fail")</f>
        <v>Pass</v>
      </c>
      <c r="I391" s="1">
        <f>IFERROR(Comp3[[#This Row],[Comparable '#3 Return]]-INDEX(Benchmark1[Benchmark '#1 Return],MATCH(Comp3[[#This Row],[Comparable '#3 Dates]],Benchmark1[Benchmark '#1 Dates],0)),"-")</f>
        <v>4.7277644285817298E-3</v>
      </c>
      <c r="L391" s="72">
        <f>Comp3[[#This Row],[Comparable '#3 Price]]/$B$2*100</f>
        <v>139.8344851121918</v>
      </c>
    </row>
    <row r="392" spans="1:12">
      <c r="A392" s="96">
        <v>43853</v>
      </c>
      <c r="B392" s="101">
        <v>164.97</v>
      </c>
      <c r="C392" s="1">
        <f t="shared" si="12"/>
        <v>6.5071534380490214E-3</v>
      </c>
      <c r="D392" s="1">
        <f>IFERROR(Comp3[[#This Row],[Comparable '#3 Return]]+1,"-")</f>
        <v>1.006507153438049</v>
      </c>
      <c r="E392" s="6">
        <f>B392-MAX($B$2:B392)</f>
        <v>-23.069999999999993</v>
      </c>
      <c r="F392" s="80">
        <f t="shared" si="13"/>
        <v>130</v>
      </c>
      <c r="G392" s="6">
        <f>IFERROR(Comp3[[#This Row],[Comparable '#3 Drawdown]]/MAX($B$2:B392),"-")</f>
        <v>-0.12268666241225268</v>
      </c>
      <c r="H392" s="1" t="str">
        <f>IF(SUM(COUNTIF(Benchmark1[Benchmark '#1 Dates],Comp3[[#This Row],[Comparable '#3 Dates]]),COUNTIF(Benchmark2[Benchmark '#2 Dates],Comp3[[#This Row],[Comparable '#3 Dates]]))=2,"Pass","Fail")</f>
        <v>Pass</v>
      </c>
      <c r="I392" s="1">
        <f>IFERROR(Comp3[[#This Row],[Comparable '#3 Return]]-INDEX(Benchmark1[Benchmark '#1 Return],MATCH(Comp3[[#This Row],[Comparable '#3 Dates]],Benchmark1[Benchmark '#1 Dates],0)),"-")</f>
        <v>5.3650530134135999E-3</v>
      </c>
      <c r="L392" s="72">
        <f>Comp3[[#This Row],[Comparable '#3 Price]]/$B$2*100</f>
        <v>140.74737650371131</v>
      </c>
    </row>
    <row r="393" spans="1:12">
      <c r="A393" s="96">
        <v>43854</v>
      </c>
      <c r="B393" s="101">
        <v>161.37</v>
      </c>
      <c r="C393" s="1">
        <f t="shared" si="12"/>
        <v>-2.2063774234572082E-2</v>
      </c>
      <c r="D393" s="1">
        <f>IFERROR(Comp3[[#This Row],[Comparable '#3 Return]]+1,"-")</f>
        <v>0.97793622576542794</v>
      </c>
      <c r="E393" s="6">
        <f>B393-MAX($B$2:B393)</f>
        <v>-26.669999999999987</v>
      </c>
      <c r="F393" s="80">
        <f t="shared" si="13"/>
        <v>131</v>
      </c>
      <c r="G393" s="6">
        <f>IFERROR(Comp3[[#This Row],[Comparable '#3 Drawdown]]/MAX($B$2:B393),"-")</f>
        <v>-0.14183152520740261</v>
      </c>
      <c r="H393" s="1" t="str">
        <f>IF(SUM(COUNTIF(Benchmark1[Benchmark '#1 Dates],Comp3[[#This Row],[Comparable '#3 Dates]]),COUNTIF(Benchmark2[Benchmark '#2 Dates],Comp3[[#This Row],[Comparable '#3 Dates]]))=2,"Pass","Fail")</f>
        <v>Pass</v>
      </c>
      <c r="I393" s="1">
        <f>IFERROR(Comp3[[#This Row],[Comparable '#3 Return]]-INDEX(Benchmark1[Benchmark '#1 Return],MATCH(Comp3[[#This Row],[Comparable '#3 Dates]],Benchmark1[Benchmark '#1 Dates],0)),"-")</f>
        <v>-1.2980713460830124E-2</v>
      </c>
      <c r="L393" s="72">
        <f>Comp3[[#This Row],[Comparable '#3 Price]]/$B$2*100</f>
        <v>137.67596621448683</v>
      </c>
    </row>
    <row r="394" spans="1:12">
      <c r="A394" s="96">
        <v>43857</v>
      </c>
      <c r="B394" s="101">
        <v>164.04</v>
      </c>
      <c r="C394" s="1">
        <f t="shared" si="12"/>
        <v>1.6410435570597588E-2</v>
      </c>
      <c r="D394" s="1">
        <f>IFERROR(Comp3[[#This Row],[Comparable '#3 Return]]+1,"-")</f>
        <v>1.0164104355705976</v>
      </c>
      <c r="E394" s="6">
        <f>B394-MAX($B$2:B394)</f>
        <v>-24</v>
      </c>
      <c r="F394" s="80">
        <f t="shared" si="13"/>
        <v>132</v>
      </c>
      <c r="G394" s="6">
        <f>IFERROR(Comp3[[#This Row],[Comparable '#3 Drawdown]]/MAX($B$2:B394),"-")</f>
        <v>-0.12763241863433314</v>
      </c>
      <c r="H394" s="1" t="str">
        <f>IF(SUM(COUNTIF(Benchmark1[Benchmark '#1 Dates],Comp3[[#This Row],[Comparable '#3 Dates]]),COUNTIF(Benchmark2[Benchmark '#2 Dates],Comp3[[#This Row],[Comparable '#3 Dates]]))=2,"Pass","Fail")</f>
        <v>Pass</v>
      </c>
      <c r="I394" s="1">
        <f>IFERROR(Comp3[[#This Row],[Comparable '#3 Return]]-INDEX(Benchmark1[Benchmark '#1 Return],MATCH(Comp3[[#This Row],[Comparable '#3 Dates]],Benchmark1[Benchmark '#1 Dates],0)),"-")</f>
        <v>3.2267761124636536E-2</v>
      </c>
      <c r="L394" s="72">
        <f>Comp3[[#This Row],[Comparable '#3 Price]]/$B$2*100</f>
        <v>139.95392884566164</v>
      </c>
    </row>
    <row r="395" spans="1:12">
      <c r="A395" s="96">
        <v>43858</v>
      </c>
      <c r="B395" s="101">
        <v>165.4</v>
      </c>
      <c r="C395" s="1">
        <f t="shared" si="12"/>
        <v>8.2564820657324584E-3</v>
      </c>
      <c r="D395" s="1">
        <f>IFERROR(Comp3[[#This Row],[Comparable '#3 Return]]+1,"-")</f>
        <v>1.0082564820657325</v>
      </c>
      <c r="E395" s="6">
        <f>B395-MAX($B$2:B395)</f>
        <v>-22.639999999999986</v>
      </c>
      <c r="F395" s="80">
        <f t="shared" si="13"/>
        <v>133</v>
      </c>
      <c r="G395" s="6">
        <f>IFERROR(Comp3[[#This Row],[Comparable '#3 Drawdown]]/MAX($B$2:B395),"-")</f>
        <v>-0.12039991491172085</v>
      </c>
      <c r="H395" s="1" t="str">
        <f>IF(SUM(COUNTIF(Benchmark1[Benchmark '#1 Dates],Comp3[[#This Row],[Comparable '#3 Dates]]),COUNTIF(Benchmark2[Benchmark '#2 Dates],Comp3[[#This Row],[Comparable '#3 Dates]]))=2,"Pass","Fail")</f>
        <v>Pass</v>
      </c>
      <c r="I395" s="1">
        <f>IFERROR(Comp3[[#This Row],[Comparable '#3 Return]]-INDEX(Benchmark1[Benchmark '#1 Return],MATCH(Comp3[[#This Row],[Comparable '#3 Dates]],Benchmark1[Benchmark '#1 Dates],0)),"-")</f>
        <v>-1.748471969011036E-3</v>
      </c>
      <c r="L395" s="72">
        <f>Comp3[[#This Row],[Comparable '#3 Price]]/$B$2*100</f>
        <v>141.11423939936867</v>
      </c>
    </row>
    <row r="396" spans="1:12">
      <c r="A396" s="96">
        <v>43859</v>
      </c>
      <c r="B396" s="101">
        <v>167.29</v>
      </c>
      <c r="C396" s="1">
        <f t="shared" si="12"/>
        <v>1.1362050753598373E-2</v>
      </c>
      <c r="D396" s="1">
        <f>IFERROR(Comp3[[#This Row],[Comparable '#3 Return]]+1,"-")</f>
        <v>1.0113620507535983</v>
      </c>
      <c r="E396" s="6">
        <f>B396-MAX($B$2:B396)</f>
        <v>-20.75</v>
      </c>
      <c r="F396" s="80">
        <f t="shared" si="13"/>
        <v>134</v>
      </c>
      <c r="G396" s="6">
        <f>IFERROR(Comp3[[#This Row],[Comparable '#3 Drawdown]]/MAX($B$2:B396),"-")</f>
        <v>-0.11034886194426718</v>
      </c>
      <c r="H396" s="1" t="str">
        <f>IF(SUM(COUNTIF(Benchmark1[Benchmark '#1 Dates],Comp3[[#This Row],[Comparable '#3 Dates]]),COUNTIF(Benchmark2[Benchmark '#2 Dates],Comp3[[#This Row],[Comparable '#3 Dates]]))=2,"Pass","Fail")</f>
        <v>Pass</v>
      </c>
      <c r="I396" s="1">
        <f>IFERROR(Comp3[[#This Row],[Comparable '#3 Return]]-INDEX(Benchmark1[Benchmark '#1 Return],MATCH(Comp3[[#This Row],[Comparable '#3 Dates]],Benchmark1[Benchmark '#1 Dates],0)),"-")</f>
        <v>1.2229528865079001E-2</v>
      </c>
      <c r="L396" s="72">
        <f>Comp3[[#This Row],[Comparable '#3 Price]]/$B$2*100</f>
        <v>142.72672980121149</v>
      </c>
    </row>
    <row r="397" spans="1:12">
      <c r="A397" s="96">
        <v>43860</v>
      </c>
      <c r="B397" s="101">
        <v>166.9</v>
      </c>
      <c r="C397" s="1">
        <f t="shared" si="12"/>
        <v>-2.3340026753998705E-3</v>
      </c>
      <c r="D397" s="1">
        <f>IFERROR(Comp3[[#This Row],[Comparable '#3 Return]]+1,"-")</f>
        <v>0.99766599732460015</v>
      </c>
      <c r="E397" s="6">
        <f>B397-MAX($B$2:B397)</f>
        <v>-21.139999999999986</v>
      </c>
      <c r="F397" s="80">
        <f t="shared" si="13"/>
        <v>135</v>
      </c>
      <c r="G397" s="6">
        <f>IFERROR(Comp3[[#This Row],[Comparable '#3 Drawdown]]/MAX($B$2:B397),"-")</f>
        <v>-0.11242288874707503</v>
      </c>
      <c r="H397" s="1" t="str">
        <f>IF(SUM(COUNTIF(Benchmark1[Benchmark '#1 Dates],Comp3[[#This Row],[Comparable '#3 Dates]]),COUNTIF(Benchmark2[Benchmark '#2 Dates],Comp3[[#This Row],[Comparable '#3 Dates]]))=2,"Pass","Fail")</f>
        <v>Pass</v>
      </c>
      <c r="I397" s="1">
        <f>IFERROR(Comp3[[#This Row],[Comparable '#3 Return]]-INDEX(Benchmark1[Benchmark '#1 Return],MATCH(Comp3[[#This Row],[Comparable '#3 Dates]],Benchmark1[Benchmark '#1 Dates],0)),"-")</f>
        <v>-5.4623701353252313E-3</v>
      </c>
      <c r="L397" s="72">
        <f>Comp3[[#This Row],[Comparable '#3 Price]]/$B$2*100</f>
        <v>142.39399368654551</v>
      </c>
    </row>
    <row r="398" spans="1:12">
      <c r="A398" s="96">
        <v>43861</v>
      </c>
      <c r="B398" s="101">
        <v>162.29</v>
      </c>
      <c r="C398" s="1">
        <f t="shared" si="12"/>
        <v>-2.8009972339998839E-2</v>
      </c>
      <c r="D398" s="1">
        <f>IFERROR(Comp3[[#This Row],[Comparable '#3 Return]]+1,"-")</f>
        <v>0.9719900276600012</v>
      </c>
      <c r="E398" s="6">
        <f>B398-MAX($B$2:B398)</f>
        <v>-25.75</v>
      </c>
      <c r="F398" s="80">
        <f t="shared" si="13"/>
        <v>136</v>
      </c>
      <c r="G398" s="6">
        <f>IFERROR(Comp3[[#This Row],[Comparable '#3 Drawdown]]/MAX($B$2:B398),"-")</f>
        <v>-0.13693894915975324</v>
      </c>
      <c r="H398" s="1" t="str">
        <f>IF(SUM(COUNTIF(Benchmark1[Benchmark '#1 Dates],Comp3[[#This Row],[Comparable '#3 Dates]]),COUNTIF(Benchmark2[Benchmark '#2 Dates],Comp3[[#This Row],[Comparable '#3 Dates]]))=2,"Pass","Fail")</f>
        <v>Pass</v>
      </c>
      <c r="I398" s="1">
        <f>IFERROR(Comp3[[#This Row],[Comparable '#3 Return]]-INDEX(Benchmark1[Benchmark '#1 Return],MATCH(Comp3[[#This Row],[Comparable '#3 Dates]],Benchmark1[Benchmark '#1 Dates],0)),"-")</f>
        <v>-1.0144645243345064E-2</v>
      </c>
      <c r="L398" s="72">
        <f>Comp3[[#This Row],[Comparable '#3 Price]]/$B$2*100</f>
        <v>138.46088217728862</v>
      </c>
    </row>
    <row r="399" spans="1:12">
      <c r="A399" s="96">
        <v>43864</v>
      </c>
      <c r="B399" s="101">
        <v>160.38</v>
      </c>
      <c r="C399" s="1">
        <f t="shared" si="12"/>
        <v>-1.1838858948907962E-2</v>
      </c>
      <c r="D399" s="1">
        <f>IFERROR(Comp3[[#This Row],[Comparable '#3 Return]]+1,"-")</f>
        <v>0.98816114105109198</v>
      </c>
      <c r="E399" s="6">
        <f>B399-MAX($B$2:B399)</f>
        <v>-27.659999999999997</v>
      </c>
      <c r="F399" s="80">
        <f t="shared" si="13"/>
        <v>137</v>
      </c>
      <c r="G399" s="6">
        <f>IFERROR(Comp3[[#This Row],[Comparable '#3 Drawdown]]/MAX($B$2:B399),"-")</f>
        <v>-0.14709636247606891</v>
      </c>
      <c r="H399" s="1" t="str">
        <f>IF(SUM(COUNTIF(Benchmark1[Benchmark '#1 Dates],Comp3[[#This Row],[Comparable '#3 Dates]]),COUNTIF(Benchmark2[Benchmark '#2 Dates],Comp3[[#This Row],[Comparable '#3 Dates]]))=2,"Pass","Fail")</f>
        <v>Pass</v>
      </c>
      <c r="I399" s="1">
        <f>IFERROR(Comp3[[#This Row],[Comparable '#3 Return]]-INDEX(Benchmark1[Benchmark '#1 Return],MATCH(Comp3[[#This Row],[Comparable '#3 Dates]],Benchmark1[Benchmark '#1 Dates],0)),"-")</f>
        <v>-1.9069994969501586E-2</v>
      </c>
      <c r="L399" s="72">
        <f>Comp3[[#This Row],[Comparable '#3 Price]]/$B$2*100</f>
        <v>136.8313283849501</v>
      </c>
    </row>
    <row r="400" spans="1:12">
      <c r="A400" s="96">
        <v>43865</v>
      </c>
      <c r="B400" s="101">
        <v>158.38</v>
      </c>
      <c r="C400" s="1">
        <f t="shared" si="12"/>
        <v>-1.2548790596616189E-2</v>
      </c>
      <c r="D400" s="1">
        <f>IFERROR(Comp3[[#This Row],[Comparable '#3 Return]]+1,"-")</f>
        <v>0.98745120940338382</v>
      </c>
      <c r="E400" s="6">
        <f>B400-MAX($B$2:B400)</f>
        <v>-29.659999999999997</v>
      </c>
      <c r="F400" s="80">
        <f t="shared" si="13"/>
        <v>138</v>
      </c>
      <c r="G400" s="6">
        <f>IFERROR(Comp3[[#This Row],[Comparable '#3 Drawdown]]/MAX($B$2:B400),"-")</f>
        <v>-0.15773239736226333</v>
      </c>
      <c r="H400" s="1" t="str">
        <f>IF(SUM(COUNTIF(Benchmark1[Benchmark '#1 Dates],Comp3[[#This Row],[Comparable '#3 Dates]]),COUNTIF(Benchmark2[Benchmark '#2 Dates],Comp3[[#This Row],[Comparable '#3 Dates]]))=2,"Pass","Fail")</f>
        <v>Pass</v>
      </c>
      <c r="I400" s="1">
        <f>IFERROR(Comp3[[#This Row],[Comparable '#3 Return]]-INDEX(Benchmark1[Benchmark '#1 Return],MATCH(Comp3[[#This Row],[Comparable '#3 Dates]],Benchmark1[Benchmark '#1 Dates],0)),"-")</f>
        <v>-2.7415976741713387E-2</v>
      </c>
      <c r="L400" s="72">
        <f>Comp3[[#This Row],[Comparable '#3 Price]]/$B$2*100</f>
        <v>135.12498933538095</v>
      </c>
    </row>
    <row r="401" spans="1:12">
      <c r="A401" s="96">
        <v>43866</v>
      </c>
      <c r="B401" s="101">
        <v>160.32</v>
      </c>
      <c r="C401" s="1">
        <f t="shared" si="12"/>
        <v>1.2174609114233547E-2</v>
      </c>
      <c r="D401" s="1">
        <f>IFERROR(Comp3[[#This Row],[Comparable '#3 Return]]+1,"-")</f>
        <v>1.0121746091142336</v>
      </c>
      <c r="E401" s="6">
        <f>B401-MAX($B$2:B401)</f>
        <v>-27.72</v>
      </c>
      <c r="F401" s="80">
        <f t="shared" si="13"/>
        <v>139</v>
      </c>
      <c r="G401" s="6">
        <f>IFERROR(Comp3[[#This Row],[Comparable '#3 Drawdown]]/MAX($B$2:B401),"-")</f>
        <v>-0.14741544352265476</v>
      </c>
      <c r="H401" s="1" t="str">
        <f>IF(SUM(COUNTIF(Benchmark1[Benchmark '#1 Dates],Comp3[[#This Row],[Comparable '#3 Dates]]),COUNTIF(Benchmark2[Benchmark '#2 Dates],Comp3[[#This Row],[Comparable '#3 Dates]]))=2,"Pass","Fail")</f>
        <v>Pass</v>
      </c>
      <c r="I401" s="1">
        <f>IFERROR(Comp3[[#This Row],[Comparable '#3 Return]]-INDEX(Benchmark1[Benchmark '#1 Return],MATCH(Comp3[[#This Row],[Comparable '#3 Dates]],Benchmark1[Benchmark '#1 Dates],0)),"-")</f>
        <v>9.8495974433421632E-4</v>
      </c>
      <c r="L401" s="72">
        <f>Comp3[[#This Row],[Comparable '#3 Price]]/$B$2*100</f>
        <v>136.78013821346303</v>
      </c>
    </row>
    <row r="402" spans="1:12">
      <c r="A402" s="96">
        <v>43867</v>
      </c>
      <c r="B402" s="101">
        <v>162.30000000000001</v>
      </c>
      <c r="C402" s="1">
        <f t="shared" si="12"/>
        <v>1.227465662404564E-2</v>
      </c>
      <c r="D402" s="1">
        <f>IFERROR(Comp3[[#This Row],[Comparable '#3 Return]]+1,"-")</f>
        <v>1.0122746566240457</v>
      </c>
      <c r="E402" s="6">
        <f>B402-MAX($B$2:B402)</f>
        <v>-25.739999999999981</v>
      </c>
      <c r="F402" s="80">
        <f t="shared" si="13"/>
        <v>140</v>
      </c>
      <c r="G402" s="6">
        <f>IFERROR(Comp3[[#This Row],[Comparable '#3 Drawdown]]/MAX($B$2:B402),"-")</f>
        <v>-0.13688576898532218</v>
      </c>
      <c r="H402" s="1" t="str">
        <f>IF(SUM(COUNTIF(Benchmark1[Benchmark '#1 Dates],Comp3[[#This Row],[Comparable '#3 Dates]]),COUNTIF(Benchmark2[Benchmark '#2 Dates],Comp3[[#This Row],[Comparable '#3 Dates]]))=2,"Pass","Fail")</f>
        <v>Pass</v>
      </c>
      <c r="I402" s="1">
        <f>IFERROR(Comp3[[#This Row],[Comparable '#3 Return]]-INDEX(Benchmark1[Benchmark '#1 Return],MATCH(Comp3[[#This Row],[Comparable '#3 Dates]],Benchmark1[Benchmark '#1 Dates],0)),"-")</f>
        <v>8.955555718752152E-3</v>
      </c>
      <c r="L402" s="72">
        <f>Comp3[[#This Row],[Comparable '#3 Price]]/$B$2*100</f>
        <v>138.46941387253648</v>
      </c>
    </row>
    <row r="403" spans="1:12">
      <c r="A403" s="96">
        <v>43868</v>
      </c>
      <c r="B403" s="101">
        <v>159.85</v>
      </c>
      <c r="C403" s="1">
        <f t="shared" si="12"/>
        <v>-1.5210599014695231E-2</v>
      </c>
      <c r="D403" s="1">
        <f>IFERROR(Comp3[[#This Row],[Comparable '#3 Return]]+1,"-")</f>
        <v>0.98478940098530476</v>
      </c>
      <c r="E403" s="6">
        <f>B403-MAX($B$2:B403)</f>
        <v>-28.189999999999998</v>
      </c>
      <c r="F403" s="80">
        <f t="shared" si="13"/>
        <v>141</v>
      </c>
      <c r="G403" s="6">
        <f>IFERROR(Comp3[[#This Row],[Comparable '#3 Drawdown]]/MAX($B$2:B403),"-")</f>
        <v>-0.14991491172091043</v>
      </c>
      <c r="H403" s="1" t="str">
        <f>IF(SUM(COUNTIF(Benchmark1[Benchmark '#1 Dates],Comp3[[#This Row],[Comparable '#3 Dates]]),COUNTIF(Benchmark2[Benchmark '#2 Dates],Comp3[[#This Row],[Comparable '#3 Dates]]))=2,"Pass","Fail")</f>
        <v>Pass</v>
      </c>
      <c r="I403" s="1">
        <f>IFERROR(Comp3[[#This Row],[Comparable '#3 Return]]-INDEX(Benchmark1[Benchmark '#1 Return],MATCH(Comp3[[#This Row],[Comparable '#3 Dates]],Benchmark1[Benchmark '#1 Dates],0)),"-")</f>
        <v>-9.7939295248651338E-3</v>
      </c>
      <c r="L403" s="72">
        <f>Comp3[[#This Row],[Comparable '#3 Price]]/$B$2*100</f>
        <v>136.37914853681428</v>
      </c>
    </row>
    <row r="404" spans="1:12">
      <c r="A404" s="96">
        <v>43871</v>
      </c>
      <c r="B404" s="101">
        <v>163.26</v>
      </c>
      <c r="C404" s="1">
        <f t="shared" si="12"/>
        <v>2.1108146517359413E-2</v>
      </c>
      <c r="D404" s="1">
        <f>IFERROR(Comp3[[#This Row],[Comparable '#3 Return]]+1,"-")</f>
        <v>1.0211081465173595</v>
      </c>
      <c r="E404" s="6">
        <f>B404-MAX($B$2:B404)</f>
        <v>-24.78</v>
      </c>
      <c r="F404" s="80">
        <f t="shared" si="13"/>
        <v>142</v>
      </c>
      <c r="G404" s="6">
        <f>IFERROR(Comp3[[#This Row],[Comparable '#3 Drawdown]]/MAX($B$2:B404),"-")</f>
        <v>-0.13178047223994896</v>
      </c>
      <c r="H404" s="1" t="str">
        <f>IF(SUM(COUNTIF(Benchmark1[Benchmark '#1 Dates],Comp3[[#This Row],[Comparable '#3 Dates]]),COUNTIF(Benchmark2[Benchmark '#2 Dates],Comp3[[#This Row],[Comparable '#3 Dates]]))=2,"Pass","Fail")</f>
        <v>Pass</v>
      </c>
      <c r="I404" s="1">
        <f>IFERROR(Comp3[[#This Row],[Comparable '#3 Return]]-INDEX(Benchmark1[Benchmark '#1 Return],MATCH(Comp3[[#This Row],[Comparable '#3 Dates]],Benchmark1[Benchmark '#1 Dates],0)),"-")</f>
        <v>1.3806374479597001E-2</v>
      </c>
      <c r="L404" s="72">
        <f>Comp3[[#This Row],[Comparable '#3 Price]]/$B$2*100</f>
        <v>139.28845661632968</v>
      </c>
    </row>
    <row r="405" spans="1:12">
      <c r="A405" s="96">
        <v>43872</v>
      </c>
      <c r="B405" s="101">
        <v>164.45</v>
      </c>
      <c r="C405" s="1">
        <f t="shared" si="12"/>
        <v>7.262550611856081E-3</v>
      </c>
      <c r="D405" s="1">
        <f>IFERROR(Comp3[[#This Row],[Comparable '#3 Return]]+1,"-")</f>
        <v>1.007262550611856</v>
      </c>
      <c r="E405" s="6">
        <f>B405-MAX($B$2:B405)</f>
        <v>-23.590000000000003</v>
      </c>
      <c r="F405" s="80">
        <f t="shared" si="13"/>
        <v>143</v>
      </c>
      <c r="G405" s="6">
        <f>IFERROR(Comp3[[#This Row],[Comparable '#3 Drawdown]]/MAX($B$2:B405),"-")</f>
        <v>-0.12545203148266329</v>
      </c>
      <c r="H405" s="1" t="str">
        <f>IF(SUM(COUNTIF(Benchmark1[Benchmark '#1 Dates],Comp3[[#This Row],[Comparable '#3 Dates]]),COUNTIF(Benchmark2[Benchmark '#2 Dates],Comp3[[#This Row],[Comparable '#3 Dates]]))=2,"Pass","Fail")</f>
        <v>Pass</v>
      </c>
      <c r="I405" s="1">
        <f>IFERROR(Comp3[[#This Row],[Comparable '#3 Return]]-INDEX(Benchmark1[Benchmark '#1 Return],MATCH(Comp3[[#This Row],[Comparable '#3 Dates]],Benchmark1[Benchmark '#1 Dates],0)),"-")</f>
        <v>5.5774702192359074E-3</v>
      </c>
      <c r="L405" s="72">
        <f>Comp3[[#This Row],[Comparable '#3 Price]]/$B$2*100</f>
        <v>140.30372835082329</v>
      </c>
    </row>
    <row r="406" spans="1:12">
      <c r="A406" s="96">
        <v>43873</v>
      </c>
      <c r="B406" s="101">
        <v>167.13</v>
      </c>
      <c r="C406" s="1">
        <f t="shared" si="12"/>
        <v>1.6165380065767856E-2</v>
      </c>
      <c r="D406" s="1">
        <f>IFERROR(Comp3[[#This Row],[Comparable '#3 Return]]+1,"-")</f>
        <v>1.016165380065768</v>
      </c>
      <c r="E406" s="6">
        <f>B406-MAX($B$2:B406)</f>
        <v>-20.909999999999997</v>
      </c>
      <c r="F406" s="80">
        <f t="shared" si="13"/>
        <v>144</v>
      </c>
      <c r="G406" s="6">
        <f>IFERROR(Comp3[[#This Row],[Comparable '#3 Drawdown]]/MAX($B$2:B406),"-")</f>
        <v>-0.11119974473516271</v>
      </c>
      <c r="H406" s="1" t="str">
        <f>IF(SUM(COUNTIF(Benchmark1[Benchmark '#1 Dates],Comp3[[#This Row],[Comparable '#3 Dates]]),COUNTIF(Benchmark2[Benchmark '#2 Dates],Comp3[[#This Row],[Comparable '#3 Dates]]))=2,"Pass","Fail")</f>
        <v>Pass</v>
      </c>
      <c r="I406" s="1">
        <f>IFERROR(Comp3[[#This Row],[Comparable '#3 Return]]-INDEX(Benchmark1[Benchmark '#1 Return],MATCH(Comp3[[#This Row],[Comparable '#3 Dates]],Benchmark1[Benchmark '#1 Dates],0)),"-")</f>
        <v>9.7220485634127995E-3</v>
      </c>
      <c r="L406" s="72">
        <f>Comp3[[#This Row],[Comparable '#3 Price]]/$B$2*100</f>
        <v>142.59022267724598</v>
      </c>
    </row>
    <row r="407" spans="1:12">
      <c r="A407" s="96">
        <v>43874</v>
      </c>
      <c r="B407" s="101">
        <v>168.57</v>
      </c>
      <c r="C407" s="1">
        <f t="shared" si="12"/>
        <v>8.5791410913826898E-3</v>
      </c>
      <c r="D407" s="1">
        <f>IFERROR(Comp3[[#This Row],[Comparable '#3 Return]]+1,"-")</f>
        <v>1.0085791410913827</v>
      </c>
      <c r="E407" s="6">
        <f>B407-MAX($B$2:B407)</f>
        <v>-19.47</v>
      </c>
      <c r="F407" s="80">
        <f t="shared" si="13"/>
        <v>145</v>
      </c>
      <c r="G407" s="6">
        <f>IFERROR(Comp3[[#This Row],[Comparable '#3 Drawdown]]/MAX($B$2:B407),"-")</f>
        <v>-0.10354179961710275</v>
      </c>
      <c r="H407" s="1" t="str">
        <f>IF(SUM(COUNTIF(Benchmark1[Benchmark '#1 Dates],Comp3[[#This Row],[Comparable '#3 Dates]]),COUNTIF(Benchmark2[Benchmark '#2 Dates],Comp3[[#This Row],[Comparable '#3 Dates]]))=2,"Pass","Fail")</f>
        <v>Pass</v>
      </c>
      <c r="I407" s="1">
        <f>IFERROR(Comp3[[#This Row],[Comparable '#3 Return]]-INDEX(Benchmark1[Benchmark '#1 Return],MATCH(Comp3[[#This Row],[Comparable '#3 Dates]],Benchmark1[Benchmark '#1 Dates],0)),"-")</f>
        <v>1.021234185093063E-2</v>
      </c>
      <c r="L407" s="72">
        <f>Comp3[[#This Row],[Comparable '#3 Price]]/$B$2*100</f>
        <v>143.81878679293575</v>
      </c>
    </row>
    <row r="408" spans="1:12">
      <c r="A408" s="96">
        <v>43875</v>
      </c>
      <c r="B408" s="101">
        <v>167.93</v>
      </c>
      <c r="C408" s="1">
        <f t="shared" si="12"/>
        <v>-3.8038678852999291E-3</v>
      </c>
      <c r="D408" s="1">
        <f>IFERROR(Comp3[[#This Row],[Comparable '#3 Return]]+1,"-")</f>
        <v>0.99619613211470004</v>
      </c>
      <c r="E408" s="6">
        <f>B408-MAX($B$2:B408)</f>
        <v>-20.109999999999985</v>
      </c>
      <c r="F408" s="80">
        <f t="shared" si="13"/>
        <v>146</v>
      </c>
      <c r="G408" s="6">
        <f>IFERROR(Comp3[[#This Row],[Comparable '#3 Drawdown]]/MAX($B$2:B408),"-")</f>
        <v>-0.10694533078068488</v>
      </c>
      <c r="H408" s="1" t="str">
        <f>IF(SUM(COUNTIF(Benchmark1[Benchmark '#1 Dates],Comp3[[#This Row],[Comparable '#3 Dates]]),COUNTIF(Benchmark2[Benchmark '#2 Dates],Comp3[[#This Row],[Comparable '#3 Dates]]))=2,"Pass","Fail")</f>
        <v>Pass</v>
      </c>
      <c r="I408" s="1">
        <f>IFERROR(Comp3[[#This Row],[Comparable '#3 Return]]-INDEX(Benchmark1[Benchmark '#1 Return],MATCH(Comp3[[#This Row],[Comparable '#3 Dates]],Benchmark1[Benchmark '#1 Dates],0)),"-")</f>
        <v>-5.6457154185875266E-3</v>
      </c>
      <c r="L408" s="72">
        <f>Comp3[[#This Row],[Comparable '#3 Price]]/$B$2*100</f>
        <v>143.27275829707364</v>
      </c>
    </row>
    <row r="409" spans="1:12">
      <c r="A409" s="96">
        <v>43879</v>
      </c>
      <c r="B409" s="101">
        <v>168.33</v>
      </c>
      <c r="C409" s="1">
        <f t="shared" si="12"/>
        <v>2.3791125240737602E-3</v>
      </c>
      <c r="D409" s="1">
        <f>IFERROR(Comp3[[#This Row],[Comparable '#3 Return]]+1,"-")</f>
        <v>1.0023791125240737</v>
      </c>
      <c r="E409" s="6">
        <f>B409-MAX($B$2:B409)</f>
        <v>-19.70999999999998</v>
      </c>
      <c r="F409" s="80">
        <f t="shared" si="13"/>
        <v>147</v>
      </c>
      <c r="G409" s="6">
        <f>IFERROR(Comp3[[#This Row],[Comparable '#3 Drawdown]]/MAX($B$2:B409),"-")</f>
        <v>-0.10481812380344598</v>
      </c>
      <c r="H409" s="1" t="str">
        <f>IF(SUM(COUNTIF(Benchmark1[Benchmark '#1 Dates],Comp3[[#This Row],[Comparable '#3 Dates]]),COUNTIF(Benchmark2[Benchmark '#2 Dates],Comp3[[#This Row],[Comparable '#3 Dates]]))=2,"Pass","Fail")</f>
        <v>Pass</v>
      </c>
      <c r="I409" s="1">
        <f>IFERROR(Comp3[[#This Row],[Comparable '#3 Return]]-INDEX(Benchmark1[Benchmark '#1 Return],MATCH(Comp3[[#This Row],[Comparable '#3 Dates]],Benchmark1[Benchmark '#1 Dates],0)),"-")</f>
        <v>5.3036316535714344E-3</v>
      </c>
      <c r="L409" s="72">
        <f>Comp3[[#This Row],[Comparable '#3 Price]]/$B$2*100</f>
        <v>143.61402610698747</v>
      </c>
    </row>
    <row r="410" spans="1:12">
      <c r="A410" s="96">
        <v>43880</v>
      </c>
      <c r="B410" s="101">
        <v>174.25</v>
      </c>
      <c r="C410" s="1">
        <f t="shared" si="12"/>
        <v>3.4564711209642961E-2</v>
      </c>
      <c r="D410" s="1">
        <f>IFERROR(Comp3[[#This Row],[Comparable '#3 Return]]+1,"-")</f>
        <v>1.034564711209643</v>
      </c>
      <c r="E410" s="6">
        <f>B410-MAX($B$2:B410)</f>
        <v>-13.789999999999992</v>
      </c>
      <c r="F410" s="80">
        <f t="shared" si="13"/>
        <v>148</v>
      </c>
      <c r="G410" s="6">
        <f>IFERROR(Comp3[[#This Row],[Comparable '#3 Drawdown]]/MAX($B$2:B410),"-")</f>
        <v>-7.3335460540310538E-2</v>
      </c>
      <c r="H410" s="1" t="str">
        <f>IF(SUM(COUNTIF(Benchmark1[Benchmark '#1 Dates],Comp3[[#This Row],[Comparable '#3 Dates]]),COUNTIF(Benchmark2[Benchmark '#2 Dates],Comp3[[#This Row],[Comparable '#3 Dates]]))=2,"Pass","Fail")</f>
        <v>Pass</v>
      </c>
      <c r="I410" s="1">
        <f>IFERROR(Comp3[[#This Row],[Comparable '#3 Return]]-INDEX(Benchmark1[Benchmark '#1 Return],MATCH(Comp3[[#This Row],[Comparable '#3 Dates]],Benchmark1[Benchmark '#1 Dates],0)),"-")</f>
        <v>2.9868075725473578E-2</v>
      </c>
      <c r="L410" s="72">
        <f>Comp3[[#This Row],[Comparable '#3 Price]]/$B$2*100</f>
        <v>148.66478969371215</v>
      </c>
    </row>
    <row r="411" spans="1:12">
      <c r="A411" s="96">
        <v>43881</v>
      </c>
      <c r="B411" s="101">
        <v>167.92</v>
      </c>
      <c r="C411" s="1">
        <f t="shared" si="12"/>
        <v>-3.7003374128255766E-2</v>
      </c>
      <c r="D411" s="1">
        <f>IFERROR(Comp3[[#This Row],[Comparable '#3 Return]]+1,"-")</f>
        <v>0.96299662587174428</v>
      </c>
      <c r="E411" s="6">
        <f>B411-MAX($B$2:B411)</f>
        <v>-20.120000000000005</v>
      </c>
      <c r="F411" s="80">
        <f t="shared" si="13"/>
        <v>149</v>
      </c>
      <c r="G411" s="6">
        <f>IFERROR(Comp3[[#This Row],[Comparable '#3 Drawdown]]/MAX($B$2:B411),"-")</f>
        <v>-0.10699851095511596</v>
      </c>
      <c r="H411" s="1" t="str">
        <f>IF(SUM(COUNTIF(Benchmark1[Benchmark '#1 Dates],Comp3[[#This Row],[Comparable '#3 Dates]]),COUNTIF(Benchmark2[Benchmark '#2 Dates],Comp3[[#This Row],[Comparable '#3 Dates]]))=2,"Pass","Fail")</f>
        <v>Pass</v>
      </c>
      <c r="I411" s="1">
        <f>IFERROR(Comp3[[#This Row],[Comparable '#3 Return]]-INDEX(Benchmark1[Benchmark '#1 Return],MATCH(Comp3[[#This Row],[Comparable '#3 Dates]],Benchmark1[Benchmark '#1 Dates],0)),"-")</f>
        <v>-3.3180177342581677E-2</v>
      </c>
      <c r="L411" s="72">
        <f>Comp3[[#This Row],[Comparable '#3 Price]]/$B$2*100</f>
        <v>143.26422660182578</v>
      </c>
    </row>
    <row r="412" spans="1:12">
      <c r="A412" s="96">
        <v>43882</v>
      </c>
      <c r="B412" s="101">
        <v>165.72</v>
      </c>
      <c r="C412" s="1">
        <f t="shared" si="12"/>
        <v>-1.31880583031764E-2</v>
      </c>
      <c r="D412" s="1">
        <f>IFERROR(Comp3[[#This Row],[Comparable '#3 Return]]+1,"-")</f>
        <v>0.98681194169682362</v>
      </c>
      <c r="E412" s="6">
        <f>B412-MAX($B$2:B412)</f>
        <v>-22.319999999999993</v>
      </c>
      <c r="F412" s="80">
        <f t="shared" si="13"/>
        <v>150</v>
      </c>
      <c r="G412" s="6">
        <f>IFERROR(Comp3[[#This Row],[Comparable '#3 Drawdown]]/MAX($B$2:B412),"-")</f>
        <v>-0.11869814932992977</v>
      </c>
      <c r="H412" s="1" t="str">
        <f>IF(SUM(COUNTIF(Benchmark1[Benchmark '#1 Dates],Comp3[[#This Row],[Comparable '#3 Dates]]),COUNTIF(Benchmark2[Benchmark '#2 Dates],Comp3[[#This Row],[Comparable '#3 Dates]]))=2,"Pass","Fail")</f>
        <v>Pass</v>
      </c>
      <c r="I412" s="1">
        <f>IFERROR(Comp3[[#This Row],[Comparable '#3 Return]]-INDEX(Benchmark1[Benchmark '#1 Return],MATCH(Comp3[[#This Row],[Comparable '#3 Dates]],Benchmark1[Benchmark '#1 Dates],0)),"-")</f>
        <v>-2.6129033495838026E-3</v>
      </c>
      <c r="L412" s="72">
        <f>Comp3[[#This Row],[Comparable '#3 Price]]/$B$2*100</f>
        <v>141.3872536472997</v>
      </c>
    </row>
    <row r="413" spans="1:12">
      <c r="A413" s="96">
        <v>43885</v>
      </c>
      <c r="B413" s="101">
        <v>158.31</v>
      </c>
      <c r="C413" s="1">
        <f t="shared" si="12"/>
        <v>-4.5744481123514882E-2</v>
      </c>
      <c r="D413" s="1">
        <f>IFERROR(Comp3[[#This Row],[Comparable '#3 Return]]+1,"-")</f>
        <v>0.95425551887648508</v>
      </c>
      <c r="E413" s="6">
        <f>B413-MAX($B$2:B413)</f>
        <v>-29.72999999999999</v>
      </c>
      <c r="F413" s="80">
        <f t="shared" si="13"/>
        <v>151</v>
      </c>
      <c r="G413" s="6">
        <f>IFERROR(Comp3[[#This Row],[Comparable '#3 Drawdown]]/MAX($B$2:B413),"-")</f>
        <v>-0.1581046585832801</v>
      </c>
      <c r="H413" s="1" t="str">
        <f>IF(SUM(COUNTIF(Benchmark1[Benchmark '#1 Dates],Comp3[[#This Row],[Comparable '#3 Dates]]),COUNTIF(Benchmark2[Benchmark '#2 Dates],Comp3[[#This Row],[Comparable '#3 Dates]]))=2,"Pass","Fail")</f>
        <v>Pass</v>
      </c>
      <c r="I413" s="1">
        <f>IFERROR(Comp3[[#This Row],[Comparable '#3 Return]]-INDEX(Benchmark1[Benchmark '#1 Return],MATCH(Comp3[[#This Row],[Comparable '#3 Dates]],Benchmark1[Benchmark '#1 Dates],0)),"-")</f>
        <v>-1.1656213178111427E-2</v>
      </c>
      <c r="L413" s="72">
        <f>Comp3[[#This Row],[Comparable '#3 Price]]/$B$2*100</f>
        <v>135.06526746864603</v>
      </c>
    </row>
    <row r="414" spans="1:12">
      <c r="A414" s="96">
        <v>43886</v>
      </c>
      <c r="B414" s="101">
        <v>154.24</v>
      </c>
      <c r="C414" s="1">
        <f t="shared" si="12"/>
        <v>-2.604530522345061E-2</v>
      </c>
      <c r="D414" s="1">
        <f>IFERROR(Comp3[[#This Row],[Comparable '#3 Return]]+1,"-")</f>
        <v>0.97395469477654939</v>
      </c>
      <c r="E414" s="6">
        <f>B414-MAX($B$2:B414)</f>
        <v>-33.799999999999983</v>
      </c>
      <c r="F414" s="80">
        <f t="shared" si="13"/>
        <v>152</v>
      </c>
      <c r="G414" s="6">
        <f>IFERROR(Comp3[[#This Row],[Comparable '#3 Drawdown]]/MAX($B$2:B414),"-")</f>
        <v>-0.17974898957668572</v>
      </c>
      <c r="H414" s="1" t="str">
        <f>IF(SUM(COUNTIF(Benchmark1[Benchmark '#1 Dates],Comp3[[#This Row],[Comparable '#3 Dates]]),COUNTIF(Benchmark2[Benchmark '#2 Dates],Comp3[[#This Row],[Comparable '#3 Dates]]))=2,"Pass","Fail")</f>
        <v>Pass</v>
      </c>
      <c r="I414" s="1">
        <f>IFERROR(Comp3[[#This Row],[Comparable '#3 Return]]-INDEX(Benchmark1[Benchmark '#1 Return],MATCH(Comp3[[#This Row],[Comparable '#3 Dates]],Benchmark1[Benchmark '#1 Dates],0)),"-")</f>
        <v>4.7025976101152563E-3</v>
      </c>
      <c r="L414" s="72">
        <f>Comp3[[#This Row],[Comparable '#3 Price]]/$B$2*100</f>
        <v>131.5928675027728</v>
      </c>
    </row>
    <row r="415" spans="1:12">
      <c r="A415" s="96">
        <v>43887</v>
      </c>
      <c r="B415" s="101">
        <v>150.46</v>
      </c>
      <c r="C415" s="1">
        <f t="shared" si="12"/>
        <v>-2.4812562730160002E-2</v>
      </c>
      <c r="D415" s="1">
        <f>IFERROR(Comp3[[#This Row],[Comparable '#3 Return]]+1,"-")</f>
        <v>0.97518743726984003</v>
      </c>
      <c r="E415" s="6">
        <f>B415-MAX($B$2:B415)</f>
        <v>-37.579999999999984</v>
      </c>
      <c r="F415" s="80">
        <f t="shared" si="13"/>
        <v>153</v>
      </c>
      <c r="G415" s="6">
        <f>IFERROR(Comp3[[#This Row],[Comparable '#3 Drawdown]]/MAX($B$2:B415),"-")</f>
        <v>-0.19985109551159319</v>
      </c>
      <c r="H415" s="1" t="str">
        <f>IF(SUM(COUNTIF(Benchmark1[Benchmark '#1 Dates],Comp3[[#This Row],[Comparable '#3 Dates]]),COUNTIF(Benchmark2[Benchmark '#2 Dates],Comp3[[#This Row],[Comparable '#3 Dates]]))=2,"Pass","Fail")</f>
        <v>Pass</v>
      </c>
      <c r="I415" s="1">
        <f>IFERROR(Comp3[[#This Row],[Comparable '#3 Return]]-INDEX(Benchmark1[Benchmark '#1 Return],MATCH(Comp3[[#This Row],[Comparable '#3 Dates]],Benchmark1[Benchmark '#1 Dates],0)),"-")</f>
        <v>-2.1027931957715497E-2</v>
      </c>
      <c r="L415" s="72">
        <f>Comp3[[#This Row],[Comparable '#3 Price]]/$B$2*100</f>
        <v>128.36788669908711</v>
      </c>
    </row>
    <row r="416" spans="1:12">
      <c r="A416" s="96">
        <v>43888</v>
      </c>
      <c r="B416" s="101">
        <v>146.22</v>
      </c>
      <c r="C416" s="1">
        <f t="shared" si="12"/>
        <v>-2.8584931266905724E-2</v>
      </c>
      <c r="D416" s="1">
        <f>IFERROR(Comp3[[#This Row],[Comparable '#3 Return]]+1,"-")</f>
        <v>0.97141506873309424</v>
      </c>
      <c r="E416" s="6">
        <f>B416-MAX($B$2:B416)</f>
        <v>-41.819999999999993</v>
      </c>
      <c r="F416" s="80">
        <f t="shared" si="13"/>
        <v>154</v>
      </c>
      <c r="G416" s="6">
        <f>IFERROR(Comp3[[#This Row],[Comparable '#3 Drawdown]]/MAX($B$2:B416),"-")</f>
        <v>-0.22239948947032542</v>
      </c>
      <c r="H416" s="1" t="str">
        <f>IF(SUM(COUNTIF(Benchmark1[Benchmark '#1 Dates],Comp3[[#This Row],[Comparable '#3 Dates]]),COUNTIF(Benchmark2[Benchmark '#2 Dates],Comp3[[#This Row],[Comparable '#3 Dates]]))=2,"Pass","Fail")</f>
        <v>Pass</v>
      </c>
      <c r="I416" s="1">
        <f>IFERROR(Comp3[[#This Row],[Comparable '#3 Return]]-INDEX(Benchmark1[Benchmark '#1 Return],MATCH(Comp3[[#This Row],[Comparable '#3 Dates]],Benchmark1[Benchmark '#1 Dates],0)),"-")</f>
        <v>1.6583922412857523E-2</v>
      </c>
      <c r="L416" s="72">
        <f>Comp3[[#This Row],[Comparable '#3 Price]]/$B$2*100</f>
        <v>124.75044791400052</v>
      </c>
    </row>
    <row r="417" spans="1:12">
      <c r="A417" s="96">
        <v>43889</v>
      </c>
      <c r="B417" s="101">
        <v>147.38</v>
      </c>
      <c r="C417" s="1">
        <f t="shared" si="12"/>
        <v>7.9019484736834126E-3</v>
      </c>
      <c r="D417" s="1">
        <f>IFERROR(Comp3[[#This Row],[Comparable '#3 Return]]+1,"-")</f>
        <v>1.0079019484736833</v>
      </c>
      <c r="E417" s="6">
        <f>B417-MAX($B$2:B417)</f>
        <v>-40.659999999999997</v>
      </c>
      <c r="F417" s="80">
        <f t="shared" si="13"/>
        <v>155</v>
      </c>
      <c r="G417" s="6">
        <f>IFERROR(Comp3[[#This Row],[Comparable '#3 Drawdown]]/MAX($B$2:B417),"-")</f>
        <v>-0.21623058923633268</v>
      </c>
      <c r="H417" s="1" t="str">
        <f>IF(SUM(COUNTIF(Benchmark1[Benchmark '#1 Dates],Comp3[[#This Row],[Comparable '#3 Dates]]),COUNTIF(Benchmark2[Benchmark '#2 Dates],Comp3[[#This Row],[Comparable '#3 Dates]]))=2,"Pass","Fail")</f>
        <v>Pass</v>
      </c>
      <c r="I417" s="1">
        <f>IFERROR(Comp3[[#This Row],[Comparable '#3 Return]]-INDEX(Benchmark1[Benchmark '#1 Return],MATCH(Comp3[[#This Row],[Comparable '#3 Dates]],Benchmark1[Benchmark '#1 Dates],0)),"-")</f>
        <v>1.6172423299777767E-2</v>
      </c>
      <c r="L417" s="72">
        <f>Comp3[[#This Row],[Comparable '#3 Price]]/$B$2*100</f>
        <v>125.74012456275061</v>
      </c>
    </row>
    <row r="418" spans="1:12">
      <c r="A418" s="96">
        <v>43892</v>
      </c>
      <c r="B418" s="101">
        <v>149.18</v>
      </c>
      <c r="C418" s="1">
        <f t="shared" si="12"/>
        <v>1.2139345188164017E-2</v>
      </c>
      <c r="D418" s="1">
        <f>IFERROR(Comp3[[#This Row],[Comparable '#3 Return]]+1,"-")</f>
        <v>1.012139345188164</v>
      </c>
      <c r="E418" s="6">
        <f>B418-MAX($B$2:B418)</f>
        <v>-38.859999999999985</v>
      </c>
      <c r="F418" s="80">
        <f t="shared" si="13"/>
        <v>156</v>
      </c>
      <c r="G418" s="6">
        <f>IFERROR(Comp3[[#This Row],[Comparable '#3 Drawdown]]/MAX($B$2:B418),"-")</f>
        <v>-0.20665815783875763</v>
      </c>
      <c r="H418" s="1" t="str">
        <f>IF(SUM(COUNTIF(Benchmark1[Benchmark '#1 Dates],Comp3[[#This Row],[Comparable '#3 Dates]]),COUNTIF(Benchmark2[Benchmark '#2 Dates],Comp3[[#This Row],[Comparable '#3 Dates]]))=2,"Pass","Fail")</f>
        <v>Pass</v>
      </c>
      <c r="I418" s="1">
        <f>IFERROR(Comp3[[#This Row],[Comparable '#3 Return]]-INDEX(Benchmark1[Benchmark '#1 Return],MATCH(Comp3[[#This Row],[Comparable '#3 Dates]],Benchmark1[Benchmark '#1 Dates],0)),"-")</f>
        <v>-3.2871192003127638E-2</v>
      </c>
      <c r="L418" s="72">
        <f>Comp3[[#This Row],[Comparable '#3 Price]]/$B$2*100</f>
        <v>127.27582970736286</v>
      </c>
    </row>
    <row r="419" spans="1:12">
      <c r="A419" s="96">
        <v>43893</v>
      </c>
      <c r="B419" s="101">
        <v>144.05000000000001</v>
      </c>
      <c r="C419" s="1">
        <f t="shared" si="12"/>
        <v>-3.4993168996479633E-2</v>
      </c>
      <c r="D419" s="1">
        <f>IFERROR(Comp3[[#This Row],[Comparable '#3 Return]]+1,"-")</f>
        <v>0.96500683100352036</v>
      </c>
      <c r="E419" s="6">
        <f>B419-MAX($B$2:B419)</f>
        <v>-43.989999999999981</v>
      </c>
      <c r="F419" s="80">
        <f t="shared" si="13"/>
        <v>157</v>
      </c>
      <c r="G419" s="6">
        <f>IFERROR(Comp3[[#This Row],[Comparable '#3 Drawdown]]/MAX($B$2:B419),"-")</f>
        <v>-0.23393958732184633</v>
      </c>
      <c r="H419" s="1" t="str">
        <f>IF(SUM(COUNTIF(Benchmark1[Benchmark '#1 Dates],Comp3[[#This Row],[Comparable '#3 Dates]]),COUNTIF(Benchmark2[Benchmark '#2 Dates],Comp3[[#This Row],[Comparable '#3 Dates]]))=2,"Pass","Fail")</f>
        <v>Pass</v>
      </c>
      <c r="I419" s="1">
        <f>IFERROR(Comp3[[#This Row],[Comparable '#3 Return]]-INDEX(Benchmark1[Benchmark '#1 Return],MATCH(Comp3[[#This Row],[Comparable '#3 Dates]],Benchmark1[Benchmark '#1 Dates],0)),"-")</f>
        <v>-6.4801120444745522E-3</v>
      </c>
      <c r="L419" s="72">
        <f>Comp3[[#This Row],[Comparable '#3 Price]]/$B$2*100</f>
        <v>122.89907004521801</v>
      </c>
    </row>
    <row r="420" spans="1:12">
      <c r="A420" s="96">
        <v>43894</v>
      </c>
      <c r="B420" s="101">
        <v>155.26</v>
      </c>
      <c r="C420" s="1">
        <f t="shared" si="12"/>
        <v>7.4940669446996705E-2</v>
      </c>
      <c r="D420" s="1">
        <f>IFERROR(Comp3[[#This Row],[Comparable '#3 Return]]+1,"-")</f>
        <v>1.0749406694469967</v>
      </c>
      <c r="E420" s="6">
        <f>B420-MAX($B$2:B420)</f>
        <v>-32.78</v>
      </c>
      <c r="F420" s="80">
        <f t="shared" si="13"/>
        <v>158</v>
      </c>
      <c r="G420" s="6">
        <f>IFERROR(Comp3[[#This Row],[Comparable '#3 Drawdown]]/MAX($B$2:B420),"-")</f>
        <v>-0.17432461178472666</v>
      </c>
      <c r="H420" s="1" t="str">
        <f>IF(SUM(COUNTIF(Benchmark1[Benchmark '#1 Dates],Comp3[[#This Row],[Comparable '#3 Dates]]),COUNTIF(Benchmark2[Benchmark '#2 Dates],Comp3[[#This Row],[Comparable '#3 Dates]]))=2,"Pass","Fail")</f>
        <v>Pass</v>
      </c>
      <c r="I420" s="1">
        <f>IFERROR(Comp3[[#This Row],[Comparable '#3 Return]]-INDEX(Benchmark1[Benchmark '#1 Return],MATCH(Comp3[[#This Row],[Comparable '#3 Dates]],Benchmark1[Benchmark '#1 Dates],0)),"-")</f>
        <v>3.3603708160341784E-2</v>
      </c>
      <c r="L420" s="72">
        <f>Comp3[[#This Row],[Comparable '#3 Price]]/$B$2*100</f>
        <v>132.46310041805307</v>
      </c>
    </row>
    <row r="421" spans="1:12">
      <c r="A421" s="96">
        <v>43895</v>
      </c>
      <c r="B421" s="101">
        <v>151.41</v>
      </c>
      <c r="C421" s="1">
        <f t="shared" si="12"/>
        <v>-2.5109741957253542E-2</v>
      </c>
      <c r="D421" s="1">
        <f>IFERROR(Comp3[[#This Row],[Comparable '#3 Return]]+1,"-")</f>
        <v>0.97489025804274643</v>
      </c>
      <c r="E421" s="6">
        <f>B421-MAX($B$2:B421)</f>
        <v>-36.629999999999995</v>
      </c>
      <c r="F421" s="80">
        <f t="shared" si="13"/>
        <v>159</v>
      </c>
      <c r="G421" s="6">
        <f>IFERROR(Comp3[[#This Row],[Comparable '#3 Drawdown]]/MAX($B$2:B421),"-")</f>
        <v>-0.1947989789406509</v>
      </c>
      <c r="H421" s="1" t="str">
        <f>IF(SUM(COUNTIF(Benchmark1[Benchmark '#1 Dates],Comp3[[#This Row],[Comparable '#3 Dates]]),COUNTIF(Benchmark2[Benchmark '#2 Dates],Comp3[[#This Row],[Comparable '#3 Dates]]))=2,"Pass","Fail")</f>
        <v>Pass</v>
      </c>
      <c r="I421" s="1">
        <f>IFERROR(Comp3[[#This Row],[Comparable '#3 Return]]-INDEX(Benchmark1[Benchmark '#1 Return],MATCH(Comp3[[#This Row],[Comparable '#3 Dates]],Benchmark1[Benchmark '#1 Dates],0)),"-")</f>
        <v>9.3998837205523135E-3</v>
      </c>
      <c r="L421" s="72">
        <f>Comp3[[#This Row],[Comparable '#3 Price]]/$B$2*100</f>
        <v>129.17839774763246</v>
      </c>
    </row>
    <row r="422" spans="1:12">
      <c r="A422" s="96">
        <v>43896</v>
      </c>
      <c r="B422" s="101">
        <v>150.37</v>
      </c>
      <c r="C422" s="1">
        <f t="shared" si="12"/>
        <v>-6.8924654860519699E-3</v>
      </c>
      <c r="D422" s="1">
        <f>IFERROR(Comp3[[#This Row],[Comparable '#3 Return]]+1,"-")</f>
        <v>0.99310753451394806</v>
      </c>
      <c r="E422" s="6">
        <f>B422-MAX($B$2:B422)</f>
        <v>-37.669999999999987</v>
      </c>
      <c r="F422" s="80">
        <f t="shared" si="13"/>
        <v>160</v>
      </c>
      <c r="G422" s="6">
        <f>IFERROR(Comp3[[#This Row],[Comparable '#3 Drawdown]]/MAX($B$2:B422),"-")</f>
        <v>-0.20032971708147196</v>
      </c>
      <c r="H422" s="1" t="str">
        <f>IF(SUM(COUNTIF(Benchmark1[Benchmark '#1 Dates],Comp3[[#This Row],[Comparable '#3 Dates]]),COUNTIF(Benchmark2[Benchmark '#2 Dates],Comp3[[#This Row],[Comparable '#3 Dates]]))=2,"Pass","Fail")</f>
        <v>Pass</v>
      </c>
      <c r="I422" s="1">
        <f>IFERROR(Comp3[[#This Row],[Comparable '#3 Return]]-INDEX(Benchmark1[Benchmark '#1 Return],MATCH(Comp3[[#This Row],[Comparable '#3 Dates]],Benchmark1[Benchmark '#1 Dates],0)),"-")</f>
        <v>1.0307998127257825E-2</v>
      </c>
      <c r="L422" s="72">
        <f>Comp3[[#This Row],[Comparable '#3 Price]]/$B$2*100</f>
        <v>128.29110144185651</v>
      </c>
    </row>
    <row r="423" spans="1:12">
      <c r="A423" s="96">
        <v>43899</v>
      </c>
      <c r="B423" s="101">
        <v>142.47999999999999</v>
      </c>
      <c r="C423" s="1">
        <f t="shared" si="12"/>
        <v>-5.3897284552822659E-2</v>
      </c>
      <c r="D423" s="1">
        <f>IFERROR(Comp3[[#This Row],[Comparable '#3 Return]]+1,"-")</f>
        <v>0.94610271544717739</v>
      </c>
      <c r="E423" s="6">
        <f>B423-MAX($B$2:B423)</f>
        <v>-45.56</v>
      </c>
      <c r="F423" s="80">
        <f t="shared" si="13"/>
        <v>161</v>
      </c>
      <c r="G423" s="6">
        <f>IFERROR(Comp3[[#This Row],[Comparable '#3 Drawdown]]/MAX($B$2:B423),"-")</f>
        <v>-0.24228887470750907</v>
      </c>
      <c r="H423" s="1" t="str">
        <f>IF(SUM(COUNTIF(Benchmark1[Benchmark '#1 Dates],Comp3[[#This Row],[Comparable '#3 Dates]]),COUNTIF(Benchmark2[Benchmark '#2 Dates],Comp3[[#This Row],[Comparable '#3 Dates]]))=2,"Pass","Fail")</f>
        <v>Pass</v>
      </c>
      <c r="I423" s="1">
        <f>IFERROR(Comp3[[#This Row],[Comparable '#3 Return]]-INDEX(Benchmark1[Benchmark '#1 Return],MATCH(Comp3[[#This Row],[Comparable '#3 Dates]],Benchmark1[Benchmark '#1 Dates],0)),"-")</f>
        <v>2.5113906545022817E-2</v>
      </c>
      <c r="L423" s="72">
        <f>Comp3[[#This Row],[Comparable '#3 Price]]/$B$2*100</f>
        <v>121.55959389130619</v>
      </c>
    </row>
    <row r="424" spans="1:12">
      <c r="A424" s="96">
        <v>43900</v>
      </c>
      <c r="B424" s="101">
        <v>143.5</v>
      </c>
      <c r="C424" s="1">
        <f t="shared" si="12"/>
        <v>7.1333962182697514E-3</v>
      </c>
      <c r="D424" s="1">
        <f>IFERROR(Comp3[[#This Row],[Comparable '#3 Return]]+1,"-")</f>
        <v>1.0071333962182698</v>
      </c>
      <c r="E424" s="6">
        <f>B424-MAX($B$2:B424)</f>
        <v>-44.539999999999992</v>
      </c>
      <c r="F424" s="80">
        <f t="shared" si="13"/>
        <v>162</v>
      </c>
      <c r="G424" s="6">
        <f>IFERROR(Comp3[[#This Row],[Comparable '#3 Drawdown]]/MAX($B$2:B424),"-")</f>
        <v>-0.23686449691554984</v>
      </c>
      <c r="H424" s="1" t="str">
        <f>IF(SUM(COUNTIF(Benchmark1[Benchmark '#1 Dates],Comp3[[#This Row],[Comparable '#3 Dates]]),COUNTIF(Benchmark2[Benchmark '#2 Dates],Comp3[[#This Row],[Comparable '#3 Dates]]))=2,"Pass","Fail")</f>
        <v>Pass</v>
      </c>
      <c r="I424" s="1">
        <f>IFERROR(Comp3[[#This Row],[Comparable '#3 Return]]-INDEX(Benchmark1[Benchmark '#1 Return],MATCH(Comp3[[#This Row],[Comparable '#3 Dates]],Benchmark1[Benchmark '#1 Dates],0)),"-")</f>
        <v>-4.1080277470608294E-2</v>
      </c>
      <c r="L424" s="72">
        <f>Comp3[[#This Row],[Comparable '#3 Price]]/$B$2*100</f>
        <v>122.42982680658648</v>
      </c>
    </row>
    <row r="425" spans="1:12">
      <c r="A425" s="96">
        <v>43901</v>
      </c>
      <c r="B425" s="101">
        <v>146.96</v>
      </c>
      <c r="C425" s="1">
        <f t="shared" si="12"/>
        <v>2.3825405707194557E-2</v>
      </c>
      <c r="D425" s="1">
        <f>IFERROR(Comp3[[#This Row],[Comparable '#3 Return]]+1,"-")</f>
        <v>1.0238254057071945</v>
      </c>
      <c r="E425" s="6">
        <f>B425-MAX($B$2:B425)</f>
        <v>-41.079999999999984</v>
      </c>
      <c r="F425" s="80">
        <f t="shared" si="13"/>
        <v>163</v>
      </c>
      <c r="G425" s="6">
        <f>IFERROR(Comp3[[#This Row],[Comparable '#3 Drawdown]]/MAX($B$2:B425),"-")</f>
        <v>-0.21846415656243345</v>
      </c>
      <c r="H425" s="1" t="str">
        <f>IF(SUM(COUNTIF(Benchmark1[Benchmark '#1 Dates],Comp3[[#This Row],[Comparable '#3 Dates]]),COUNTIF(Benchmark2[Benchmark '#2 Dates],Comp3[[#This Row],[Comparable '#3 Dates]]))=2,"Pass","Fail")</f>
        <v>Pass</v>
      </c>
      <c r="I425" s="1">
        <f>IFERROR(Comp3[[#This Row],[Comparable '#3 Return]]-INDEX(Benchmark1[Benchmark '#1 Return],MATCH(Comp3[[#This Row],[Comparable '#3 Dates]],Benchmark1[Benchmark '#1 Dates],0)),"-")</f>
        <v>7.3925392054123823E-2</v>
      </c>
      <c r="L425" s="72">
        <f>Comp3[[#This Row],[Comparable '#3 Price]]/$B$2*100</f>
        <v>125.38179336234111</v>
      </c>
    </row>
    <row r="426" spans="1:12">
      <c r="A426" s="96">
        <v>43902</v>
      </c>
      <c r="B426" s="101">
        <v>141.80000000000001</v>
      </c>
      <c r="C426" s="1">
        <f t="shared" si="12"/>
        <v>-3.5742826808843046E-2</v>
      </c>
      <c r="D426" s="1">
        <f>IFERROR(Comp3[[#This Row],[Comparable '#3 Return]]+1,"-")</f>
        <v>0.964257173191157</v>
      </c>
      <c r="E426" s="6">
        <f>B426-MAX($B$2:B426)</f>
        <v>-46.239999999999981</v>
      </c>
      <c r="F426" s="80">
        <f t="shared" si="13"/>
        <v>164</v>
      </c>
      <c r="G426" s="6">
        <f>IFERROR(Comp3[[#This Row],[Comparable '#3 Drawdown]]/MAX($B$2:B426),"-")</f>
        <v>-0.24590512656881505</v>
      </c>
      <c r="H426" s="1" t="str">
        <f>IF(SUM(COUNTIF(Benchmark1[Benchmark '#1 Dates],Comp3[[#This Row],[Comparable '#3 Dates]]),COUNTIF(Benchmark2[Benchmark '#2 Dates],Comp3[[#This Row],[Comparable '#3 Dates]]))=2,"Pass","Fail")</f>
        <v>Pass</v>
      </c>
      <c r="I426" s="1">
        <f>IFERROR(Comp3[[#This Row],[Comparable '#3 Return]]-INDEX(Benchmark1[Benchmark '#1 Return],MATCH(Comp3[[#This Row],[Comparable '#3 Dates]],Benchmark1[Benchmark '#1 Dates],0)),"-")</f>
        <v>6.4202905854537834E-2</v>
      </c>
      <c r="L426" s="72">
        <f>Comp3[[#This Row],[Comparable '#3 Price]]/$B$2*100</f>
        <v>120.9794386144527</v>
      </c>
    </row>
    <row r="427" spans="1:12">
      <c r="A427" s="96">
        <v>43903</v>
      </c>
      <c r="B427" s="101">
        <v>158.09</v>
      </c>
      <c r="C427" s="1">
        <f t="shared" si="12"/>
        <v>0.10874687701006917</v>
      </c>
      <c r="D427" s="1">
        <f>IFERROR(Comp3[[#This Row],[Comparable '#3 Return]]+1,"-")</f>
        <v>1.1087468770100692</v>
      </c>
      <c r="E427" s="6">
        <f>B427-MAX($B$2:B427)</f>
        <v>-29.949999999999989</v>
      </c>
      <c r="F427" s="80">
        <f t="shared" si="13"/>
        <v>165</v>
      </c>
      <c r="G427" s="6">
        <f>IFERROR(Comp3[[#This Row],[Comparable '#3 Drawdown]]/MAX($B$2:B427),"-")</f>
        <v>-0.15927462242076149</v>
      </c>
      <c r="H427" s="1" t="str">
        <f>IF(SUM(COUNTIF(Benchmark1[Benchmark '#1 Dates],Comp3[[#This Row],[Comparable '#3 Dates]]),COUNTIF(Benchmark2[Benchmark '#2 Dates],Comp3[[#This Row],[Comparable '#3 Dates]]))=2,"Pass","Fail")</f>
        <v>Pass</v>
      </c>
      <c r="I427" s="1">
        <f>IFERROR(Comp3[[#This Row],[Comparable '#3 Return]]-INDEX(Benchmark1[Benchmark '#1 Return],MATCH(Comp3[[#This Row],[Comparable '#3 Dates]],Benchmark1[Benchmark '#1 Dates],0)),"-")</f>
        <v>1.9938324137885113E-2</v>
      </c>
      <c r="L427" s="72">
        <f>Comp3[[#This Row],[Comparable '#3 Price]]/$B$2*100</f>
        <v>134.87757017319342</v>
      </c>
    </row>
    <row r="428" spans="1:12">
      <c r="A428" s="96">
        <v>43906</v>
      </c>
      <c r="B428" s="101">
        <v>129</v>
      </c>
      <c r="C428" s="1">
        <f t="shared" si="12"/>
        <v>-0.2033520867464243</v>
      </c>
      <c r="D428" s="1">
        <f>IFERROR(Comp3[[#This Row],[Comparable '#3 Return]]+1,"-")</f>
        <v>0.79664791325357576</v>
      </c>
      <c r="E428" s="6">
        <f>B428-MAX($B$2:B428)</f>
        <v>-59.039999999999992</v>
      </c>
      <c r="F428" s="80">
        <f t="shared" si="13"/>
        <v>166</v>
      </c>
      <c r="G428" s="6">
        <f>IFERROR(Comp3[[#This Row],[Comparable '#3 Drawdown]]/MAX($B$2:B428),"-")</f>
        <v>-0.31397574984045945</v>
      </c>
      <c r="H428" s="1" t="str">
        <f>IF(SUM(COUNTIF(Benchmark1[Benchmark '#1 Dates],Comp3[[#This Row],[Comparable '#3 Dates]]),COUNTIF(Benchmark2[Benchmark '#2 Dates],Comp3[[#This Row],[Comparable '#3 Dates]]))=2,"Pass","Fail")</f>
        <v>Pass</v>
      </c>
      <c r="I428" s="1">
        <f>IFERROR(Comp3[[#This Row],[Comparable '#3 Return]]-INDEX(Benchmark1[Benchmark '#1 Return],MATCH(Comp3[[#This Row],[Comparable '#3 Dates]],Benchmark1[Benchmark '#1 Dates],0)),"-")</f>
        <v>-7.5700969224318598E-2</v>
      </c>
      <c r="L428" s="72">
        <f>Comp3[[#This Row],[Comparable '#3 Price]]/$B$2*100</f>
        <v>110.05886869721013</v>
      </c>
    </row>
    <row r="429" spans="1:12">
      <c r="A429" s="96">
        <v>43907</v>
      </c>
      <c r="B429" s="101">
        <v>124.36</v>
      </c>
      <c r="C429" s="1">
        <f t="shared" si="12"/>
        <v>-3.6631819171119087E-2</v>
      </c>
      <c r="D429" s="1">
        <f>IFERROR(Comp3[[#This Row],[Comparable '#3 Return]]+1,"-")</f>
        <v>0.96336818082888087</v>
      </c>
      <c r="E429" s="6">
        <f>B429-MAX($B$2:B429)</f>
        <v>-63.679999999999993</v>
      </c>
      <c r="F429" s="80">
        <f t="shared" si="13"/>
        <v>167</v>
      </c>
      <c r="G429" s="6">
        <f>IFERROR(Comp3[[#This Row],[Comparable '#3 Drawdown]]/MAX($B$2:B429),"-")</f>
        <v>-0.33865135077643055</v>
      </c>
      <c r="H429" s="1" t="str">
        <f>IF(SUM(COUNTIF(Benchmark1[Benchmark '#1 Dates],Comp3[[#This Row],[Comparable '#3 Dates]]),COUNTIF(Benchmark2[Benchmark '#2 Dates],Comp3[[#This Row],[Comparable '#3 Dates]]))=2,"Pass","Fail")</f>
        <v>Pass</v>
      </c>
      <c r="I429" s="1">
        <f>IFERROR(Comp3[[#This Row],[Comparable '#3 Return]]-INDEX(Benchmark1[Benchmark '#1 Return],MATCH(Comp3[[#This Row],[Comparable '#3 Dates]],Benchmark1[Benchmark '#1 Dates],0)),"-")</f>
        <v>-9.4858117725564628E-2</v>
      </c>
      <c r="L429" s="72">
        <f>Comp3[[#This Row],[Comparable '#3 Price]]/$B$2*100</f>
        <v>106.10016210220972</v>
      </c>
    </row>
    <row r="430" spans="1:12">
      <c r="A430" s="96">
        <v>43908</v>
      </c>
      <c r="B430" s="101">
        <v>117.28</v>
      </c>
      <c r="C430" s="1">
        <f t="shared" si="12"/>
        <v>-5.861634705221172E-2</v>
      </c>
      <c r="D430" s="1">
        <f>IFERROR(Comp3[[#This Row],[Comparable '#3 Return]]+1,"-")</f>
        <v>0.94138365294778825</v>
      </c>
      <c r="E430" s="6">
        <f>B430-MAX($B$2:B430)</f>
        <v>-70.759999999999991</v>
      </c>
      <c r="F430" s="80">
        <f t="shared" si="13"/>
        <v>168</v>
      </c>
      <c r="G430" s="6">
        <f>IFERROR(Comp3[[#This Row],[Comparable '#3 Drawdown]]/MAX($B$2:B430),"-")</f>
        <v>-0.37630291427355878</v>
      </c>
      <c r="H430" s="1" t="str">
        <f>IF(SUM(COUNTIF(Benchmark1[Benchmark '#1 Dates],Comp3[[#This Row],[Comparable '#3 Dates]]),COUNTIF(Benchmark2[Benchmark '#2 Dates],Comp3[[#This Row],[Comparable '#3 Dates]]))=2,"Pass","Fail")</f>
        <v>Pass</v>
      </c>
      <c r="I430" s="1">
        <f>IFERROR(Comp3[[#This Row],[Comparable '#3 Return]]-INDEX(Benchmark1[Benchmark '#1 Return],MATCH(Comp3[[#This Row],[Comparable '#3 Dates]],Benchmark1[Benchmark '#1 Dates],0)),"-")</f>
        <v>-5.3903577014879286E-3</v>
      </c>
      <c r="L430" s="72">
        <f>Comp3[[#This Row],[Comparable '#3 Price]]/$B$2*100</f>
        <v>100.05972186673493</v>
      </c>
    </row>
    <row r="431" spans="1:12">
      <c r="A431" s="96">
        <v>43909</v>
      </c>
      <c r="B431" s="101">
        <v>132.80000000000001</v>
      </c>
      <c r="C431" s="1">
        <f t="shared" si="12"/>
        <v>0.12427999890399212</v>
      </c>
      <c r="D431" s="1">
        <f>IFERROR(Comp3[[#This Row],[Comparable '#3 Return]]+1,"-")</f>
        <v>1.1242799989039922</v>
      </c>
      <c r="E431" s="6">
        <f>B431-MAX($B$2:B431)</f>
        <v>-55.239999999999981</v>
      </c>
      <c r="F431" s="80">
        <f t="shared" si="13"/>
        <v>169</v>
      </c>
      <c r="G431" s="6">
        <f>IFERROR(Comp3[[#This Row],[Comparable '#3 Drawdown]]/MAX($B$2:B431),"-")</f>
        <v>-0.29376728355668996</v>
      </c>
      <c r="H431" s="1" t="str">
        <f>IF(SUM(COUNTIF(Benchmark1[Benchmark '#1 Dates],Comp3[[#This Row],[Comparable '#3 Dates]]),COUNTIF(Benchmark2[Benchmark '#2 Dates],Comp3[[#This Row],[Comparable '#3 Dates]]))=2,"Pass","Fail")</f>
        <v>Pass</v>
      </c>
      <c r="I431" s="1">
        <f>IFERROR(Comp3[[#This Row],[Comparable '#3 Return]]-INDEX(Benchmark1[Benchmark '#1 Return],MATCH(Comp3[[#This Row],[Comparable '#3 Dates]],Benchmark1[Benchmark '#1 Dates],0)),"-")</f>
        <v>0.11958257375779097</v>
      </c>
      <c r="L431" s="72">
        <f>Comp3[[#This Row],[Comparable '#3 Price]]/$B$2*100</f>
        <v>113.30091289139152</v>
      </c>
    </row>
    <row r="432" spans="1:12">
      <c r="A432" s="96">
        <v>43910</v>
      </c>
      <c r="B432" s="101">
        <v>115.13</v>
      </c>
      <c r="C432" s="1">
        <f t="shared" si="12"/>
        <v>-0.1427823123567605</v>
      </c>
      <c r="D432" s="1">
        <f>IFERROR(Comp3[[#This Row],[Comparable '#3 Return]]+1,"-")</f>
        <v>0.85721768764323947</v>
      </c>
      <c r="E432" s="6">
        <f>B432-MAX($B$2:B432)</f>
        <v>-72.91</v>
      </c>
      <c r="F432" s="80">
        <f t="shared" si="13"/>
        <v>170</v>
      </c>
      <c r="G432" s="6">
        <f>IFERROR(Comp3[[#This Row],[Comparable '#3 Drawdown]]/MAX($B$2:B432),"-")</f>
        <v>-0.3877366517762178</v>
      </c>
      <c r="H432" s="1" t="str">
        <f>IF(SUM(COUNTIF(Benchmark1[Benchmark '#1 Dates],Comp3[[#This Row],[Comparable '#3 Dates]]),COUNTIF(Benchmark2[Benchmark '#2 Dates],Comp3[[#This Row],[Comparable '#3 Dates]]))=2,"Pass","Fail")</f>
        <v>Pass</v>
      </c>
      <c r="I432" s="1">
        <f>IFERROR(Comp3[[#This Row],[Comparable '#3 Return]]-INDEX(Benchmark1[Benchmark '#1 Return],MATCH(Comp3[[#This Row],[Comparable '#3 Dates]],Benchmark1[Benchmark '#1 Dates],0)),"-")</f>
        <v>-9.8454486663390781E-2</v>
      </c>
      <c r="L432" s="72">
        <f>Comp3[[#This Row],[Comparable '#3 Price]]/$B$2*100</f>
        <v>98.225407388448076</v>
      </c>
    </row>
    <row r="433" spans="1:12">
      <c r="A433" s="96">
        <v>43913</v>
      </c>
      <c r="B433" s="101">
        <v>120.02</v>
      </c>
      <c r="C433" s="1">
        <f t="shared" si="12"/>
        <v>4.1596470875793781E-2</v>
      </c>
      <c r="D433" s="1">
        <f>IFERROR(Comp3[[#This Row],[Comparable '#3 Return]]+1,"-")</f>
        <v>1.0415964708757939</v>
      </c>
      <c r="E433" s="6">
        <f>B433-MAX($B$2:B433)</f>
        <v>-68.02</v>
      </c>
      <c r="F433" s="80">
        <f t="shared" si="13"/>
        <v>171</v>
      </c>
      <c r="G433" s="6">
        <f>IFERROR(Comp3[[#This Row],[Comparable '#3 Drawdown]]/MAX($B$2:B433),"-")</f>
        <v>-0.36173154647947242</v>
      </c>
      <c r="H433" s="1" t="str">
        <f>IF(SUM(COUNTIF(Benchmark1[Benchmark '#1 Dates],Comp3[[#This Row],[Comparable '#3 Dates]]),COUNTIF(Benchmark2[Benchmark '#2 Dates],Comp3[[#This Row],[Comparable '#3 Dates]]))=2,"Pass","Fail")</f>
        <v>Pass</v>
      </c>
      <c r="I433" s="1">
        <f>IFERROR(Comp3[[#This Row],[Comparable '#3 Return]]-INDEX(Benchmark1[Benchmark '#1 Return],MATCH(Comp3[[#This Row],[Comparable '#3 Dates]],Benchmark1[Benchmark '#1 Dates],0)),"-")</f>
        <v>7.1328413847986549E-2</v>
      </c>
      <c r="L433" s="72">
        <f>Comp3[[#This Row],[Comparable '#3 Price]]/$B$2*100</f>
        <v>102.39740636464465</v>
      </c>
    </row>
    <row r="434" spans="1:12">
      <c r="A434" s="96">
        <v>43914</v>
      </c>
      <c r="B434" s="101">
        <v>128.22999999999999</v>
      </c>
      <c r="C434" s="1">
        <f t="shared" si="12"/>
        <v>6.6167130909657548E-2</v>
      </c>
      <c r="D434" s="1">
        <f>IFERROR(Comp3[[#This Row],[Comparable '#3 Return]]+1,"-")</f>
        <v>1.0661671309096576</v>
      </c>
      <c r="E434" s="6">
        <f>B434-MAX($B$2:B434)</f>
        <v>-59.81</v>
      </c>
      <c r="F434" s="80">
        <f t="shared" si="13"/>
        <v>172</v>
      </c>
      <c r="G434" s="6">
        <f>IFERROR(Comp3[[#This Row],[Comparable '#3 Drawdown]]/MAX($B$2:B434),"-")</f>
        <v>-0.31807062327164437</v>
      </c>
      <c r="H434" s="1" t="str">
        <f>IF(SUM(COUNTIF(Benchmark1[Benchmark '#1 Dates],Comp3[[#This Row],[Comparable '#3 Dates]]),COUNTIF(Benchmark2[Benchmark '#2 Dates],Comp3[[#This Row],[Comparable '#3 Dates]]))=2,"Pass","Fail")</f>
        <v>Pass</v>
      </c>
      <c r="I434" s="1">
        <f>IFERROR(Comp3[[#This Row],[Comparable '#3 Return]]-INDEX(Benchmark1[Benchmark '#1 Return],MATCH(Comp3[[#This Row],[Comparable '#3 Dates]],Benchmark1[Benchmark '#1 Dates],0)),"-")</f>
        <v>-2.3518233031656469E-2</v>
      </c>
      <c r="L434" s="72">
        <f>Comp3[[#This Row],[Comparable '#3 Price]]/$B$2*100</f>
        <v>109.40192816312602</v>
      </c>
    </row>
    <row r="435" spans="1:12">
      <c r="A435" s="96">
        <v>43915</v>
      </c>
      <c r="B435" s="101">
        <v>117.12</v>
      </c>
      <c r="C435" s="1">
        <f t="shared" si="12"/>
        <v>-9.0626476258022878E-2</v>
      </c>
      <c r="D435" s="1">
        <f>IFERROR(Comp3[[#This Row],[Comparable '#3 Return]]+1,"-")</f>
        <v>0.90937352374197711</v>
      </c>
      <c r="E435" s="6">
        <f>B435-MAX($B$2:B435)</f>
        <v>-70.919999999999987</v>
      </c>
      <c r="F435" s="80">
        <f t="shared" si="13"/>
        <v>173</v>
      </c>
      <c r="G435" s="6">
        <f>IFERROR(Comp3[[#This Row],[Comparable '#3 Drawdown]]/MAX($B$2:B435),"-")</f>
        <v>-0.37715379706445434</v>
      </c>
      <c r="H435" s="1" t="str">
        <f>IF(SUM(COUNTIF(Benchmark1[Benchmark '#1 Dates],Comp3[[#This Row],[Comparable '#3 Dates]]),COUNTIF(Benchmark2[Benchmark '#2 Dates],Comp3[[#This Row],[Comparable '#3 Dates]]))=2,"Pass","Fail")</f>
        <v>Pass</v>
      </c>
      <c r="I435" s="1">
        <f>IFERROR(Comp3[[#This Row],[Comparable '#3 Return]]-INDEX(Benchmark1[Benchmark '#1 Return],MATCH(Comp3[[#This Row],[Comparable '#3 Dates]],Benchmark1[Benchmark '#1 Dates],0)),"-")</f>
        <v>-0.10209465202632539</v>
      </c>
      <c r="L435" s="72">
        <f>Comp3[[#This Row],[Comparable '#3 Price]]/$B$2*100</f>
        <v>99.923214742769389</v>
      </c>
    </row>
    <row r="436" spans="1:12">
      <c r="A436" s="96">
        <v>43916</v>
      </c>
      <c r="B436" s="101">
        <v>130.35</v>
      </c>
      <c r="C436" s="1">
        <f t="shared" si="12"/>
        <v>0.10702409016650932</v>
      </c>
      <c r="D436" s="1">
        <f>IFERROR(Comp3[[#This Row],[Comparable '#3 Return]]+1,"-")</f>
        <v>1.1070240901665094</v>
      </c>
      <c r="E436" s="6">
        <f>B436-MAX($B$2:B436)</f>
        <v>-57.69</v>
      </c>
      <c r="F436" s="80">
        <f t="shared" si="13"/>
        <v>174</v>
      </c>
      <c r="G436" s="6">
        <f>IFERROR(Comp3[[#This Row],[Comparable '#3 Drawdown]]/MAX($B$2:B436),"-")</f>
        <v>-0.30679642629227821</v>
      </c>
      <c r="H436" s="1" t="str">
        <f>IF(SUM(COUNTIF(Benchmark1[Benchmark '#1 Dates],Comp3[[#This Row],[Comparable '#3 Dates]]),COUNTIF(Benchmark2[Benchmark '#2 Dates],Comp3[[#This Row],[Comparable '#3 Dates]]))=2,"Pass","Fail")</f>
        <v>Pass</v>
      </c>
      <c r="I436" s="1">
        <f>IFERROR(Comp3[[#This Row],[Comparable '#3 Return]]-INDEX(Benchmark1[Benchmark '#1 Return],MATCH(Comp3[[#This Row],[Comparable '#3 Dates]],Benchmark1[Benchmark '#1 Dates],0)),"-")</f>
        <v>4.6480669973286884E-2</v>
      </c>
      <c r="L436" s="72">
        <f>Comp3[[#This Row],[Comparable '#3 Price]]/$B$2*100</f>
        <v>111.21064755566931</v>
      </c>
    </row>
    <row r="437" spans="1:12">
      <c r="A437" s="96">
        <v>43917</v>
      </c>
      <c r="B437" s="101">
        <v>126.36</v>
      </c>
      <c r="C437" s="1">
        <f t="shared" si="12"/>
        <v>-3.1088164445626242E-2</v>
      </c>
      <c r="D437" s="1">
        <f>IFERROR(Comp3[[#This Row],[Comparable '#3 Return]]+1,"-")</f>
        <v>0.96891183555437377</v>
      </c>
      <c r="E437" s="6">
        <f>B437-MAX($B$2:B437)</f>
        <v>-61.679999999999993</v>
      </c>
      <c r="F437" s="80">
        <f t="shared" si="13"/>
        <v>175</v>
      </c>
      <c r="G437" s="6">
        <f>IFERROR(Comp3[[#This Row],[Comparable '#3 Drawdown]]/MAX($B$2:B437),"-")</f>
        <v>-0.32801531589023608</v>
      </c>
      <c r="H437" s="1" t="str">
        <f>IF(SUM(COUNTIF(Benchmark1[Benchmark '#1 Dates],Comp3[[#This Row],[Comparable '#3 Dates]]),COUNTIF(Benchmark2[Benchmark '#2 Dates],Comp3[[#This Row],[Comparable '#3 Dates]]))=2,"Pass","Fail")</f>
        <v>Pass</v>
      </c>
      <c r="I437" s="1">
        <f>IFERROR(Comp3[[#This Row],[Comparable '#3 Return]]-INDEX(Benchmark1[Benchmark '#1 Return],MATCH(Comp3[[#This Row],[Comparable '#3 Dates]],Benchmark1[Benchmark '#1 Dates],0)),"-")</f>
        <v>3.1786997105291391E-3</v>
      </c>
      <c r="L437" s="72">
        <f>Comp3[[#This Row],[Comparable '#3 Price]]/$B$2*100</f>
        <v>107.80650115177886</v>
      </c>
    </row>
    <row r="438" spans="1:12">
      <c r="A438" s="96">
        <v>43920</v>
      </c>
      <c r="B438" s="101">
        <v>140.11000000000001</v>
      </c>
      <c r="C438" s="1">
        <f t="shared" si="12"/>
        <v>0.10329285244925579</v>
      </c>
      <c r="D438" s="1">
        <f>IFERROR(Comp3[[#This Row],[Comparable '#3 Return]]+1,"-")</f>
        <v>1.1032928524492558</v>
      </c>
      <c r="E438" s="6">
        <f>B438-MAX($B$2:B438)</f>
        <v>-47.929999999999978</v>
      </c>
      <c r="F438" s="80">
        <f t="shared" si="13"/>
        <v>176</v>
      </c>
      <c r="G438" s="6">
        <f>IFERROR(Comp3[[#This Row],[Comparable '#3 Drawdown]]/MAX($B$2:B438),"-")</f>
        <v>-0.25489257604764931</v>
      </c>
      <c r="H438" s="1" t="str">
        <f>IF(SUM(COUNTIF(Benchmark1[Benchmark '#1 Dates],Comp3[[#This Row],[Comparable '#3 Dates]]),COUNTIF(Benchmark2[Benchmark '#2 Dates],Comp3[[#This Row],[Comparable '#3 Dates]]))=2,"Pass","Fail")</f>
        <v>Pass</v>
      </c>
      <c r="I438" s="1">
        <f>IFERROR(Comp3[[#This Row],[Comparable '#3 Return]]-INDEX(Benchmark1[Benchmark '#1 Return],MATCH(Comp3[[#This Row],[Comparable '#3 Dates]],Benchmark1[Benchmark '#1 Dates],0)),"-")</f>
        <v>7.0327712479980903E-2</v>
      </c>
      <c r="L438" s="72">
        <f>Comp3[[#This Row],[Comparable '#3 Price]]/$B$2*100</f>
        <v>119.53758211756677</v>
      </c>
    </row>
    <row r="439" spans="1:12">
      <c r="A439" s="96">
        <v>43921</v>
      </c>
      <c r="B439" s="101">
        <v>139.76</v>
      </c>
      <c r="C439" s="1">
        <f t="shared" si="12"/>
        <v>-2.5011625573390754E-3</v>
      </c>
      <c r="D439" s="1">
        <f>IFERROR(Comp3[[#This Row],[Comparable '#3 Return]]+1,"-")</f>
        <v>0.99749883744266088</v>
      </c>
      <c r="E439" s="6">
        <f>B439-MAX($B$2:B439)</f>
        <v>-48.28</v>
      </c>
      <c r="F439" s="80">
        <f t="shared" si="13"/>
        <v>177</v>
      </c>
      <c r="G439" s="6">
        <f>IFERROR(Comp3[[#This Row],[Comparable '#3 Drawdown]]/MAX($B$2:B439),"-")</f>
        <v>-0.25675388215273348</v>
      </c>
      <c r="H439" s="1" t="str">
        <f>IF(SUM(COUNTIF(Benchmark1[Benchmark '#1 Dates],Comp3[[#This Row],[Comparable '#3 Dates]]),COUNTIF(Benchmark2[Benchmark '#2 Dates],Comp3[[#This Row],[Comparable '#3 Dates]]))=2,"Pass","Fail")</f>
        <v>Pass</v>
      </c>
      <c r="I439" s="1">
        <f>IFERROR(Comp3[[#This Row],[Comparable '#3 Return]]-INDEX(Benchmark1[Benchmark '#1 Return],MATCH(Comp3[[#This Row],[Comparable '#3 Dates]],Benchmark1[Benchmark '#1 Dates],0)),"-")</f>
        <v>1.3639311730201248E-2</v>
      </c>
      <c r="L439" s="72">
        <f>Comp3[[#This Row],[Comparable '#3 Price]]/$B$2*100</f>
        <v>119.23897278389215</v>
      </c>
    </row>
    <row r="440" spans="1:12">
      <c r="A440" s="96">
        <v>43922</v>
      </c>
      <c r="B440" s="101">
        <v>123.28</v>
      </c>
      <c r="C440" s="1">
        <f t="shared" si="12"/>
        <v>-0.12546847481394072</v>
      </c>
      <c r="D440" s="1">
        <f>IFERROR(Comp3[[#This Row],[Comparable '#3 Return]]+1,"-")</f>
        <v>0.87453152518605926</v>
      </c>
      <c r="E440" s="6">
        <f>B440-MAX($B$2:B440)</f>
        <v>-64.759999999999991</v>
      </c>
      <c r="F440" s="80">
        <f t="shared" si="13"/>
        <v>178</v>
      </c>
      <c r="G440" s="6">
        <f>IFERROR(Comp3[[#This Row],[Comparable '#3 Drawdown]]/MAX($B$2:B440),"-")</f>
        <v>-0.34439480961497548</v>
      </c>
      <c r="H440" s="1" t="str">
        <f>IF(SUM(COUNTIF(Benchmark1[Benchmark '#1 Dates],Comp3[[#This Row],[Comparable '#3 Dates]]),COUNTIF(Benchmark2[Benchmark '#2 Dates],Comp3[[#This Row],[Comparable '#3 Dates]]))=2,"Pass","Fail")</f>
        <v>Pass</v>
      </c>
      <c r="I440" s="1">
        <f>IFERROR(Comp3[[#This Row],[Comparable '#3 Return]]-INDEX(Benchmark1[Benchmark '#1 Return],MATCH(Comp3[[#This Row],[Comparable '#3 Dates]],Benchmark1[Benchmark '#1 Dates],0)),"-")</f>
        <v>-8.0323637038982237E-2</v>
      </c>
      <c r="L440" s="72">
        <f>Comp3[[#This Row],[Comparable '#3 Price]]/$B$2*100</f>
        <v>105.17873901544237</v>
      </c>
    </row>
    <row r="441" spans="1:12">
      <c r="A441" s="96">
        <v>43923</v>
      </c>
      <c r="B441" s="101">
        <v>119.42</v>
      </c>
      <c r="C441" s="1">
        <f t="shared" si="12"/>
        <v>-3.1811499893013934E-2</v>
      </c>
      <c r="D441" s="1">
        <f>IFERROR(Comp3[[#This Row],[Comparable '#3 Return]]+1,"-")</f>
        <v>0.96818850010698609</v>
      </c>
      <c r="E441" s="6">
        <f>B441-MAX($B$2:B441)</f>
        <v>-68.61999999999999</v>
      </c>
      <c r="F441" s="80">
        <f t="shared" si="13"/>
        <v>179</v>
      </c>
      <c r="G441" s="6">
        <f>IFERROR(Comp3[[#This Row],[Comparable '#3 Drawdown]]/MAX($B$2:B441),"-")</f>
        <v>-0.36492235694533076</v>
      </c>
      <c r="H441" s="1" t="str">
        <f>IF(SUM(COUNTIF(Benchmark1[Benchmark '#1 Dates],Comp3[[#This Row],[Comparable '#3 Dates]]),COUNTIF(Benchmark2[Benchmark '#2 Dates],Comp3[[#This Row],[Comparable '#3 Dates]]))=2,"Pass","Fail")</f>
        <v>Pass</v>
      </c>
      <c r="I441" s="1">
        <f>IFERROR(Comp3[[#This Row],[Comparable '#3 Return]]-INDEX(Benchmark1[Benchmark '#1 Return],MATCH(Comp3[[#This Row],[Comparable '#3 Dates]],Benchmark1[Benchmark '#1 Dates],0)),"-")</f>
        <v>-5.4383506865513638E-2</v>
      </c>
      <c r="L441" s="72">
        <f>Comp3[[#This Row],[Comparable '#3 Price]]/$B$2*100</f>
        <v>101.88550464977394</v>
      </c>
    </row>
    <row r="442" spans="1:12">
      <c r="A442" s="96">
        <v>43924</v>
      </c>
      <c r="B442" s="101">
        <v>116.66</v>
      </c>
      <c r="C442" s="1">
        <f t="shared" si="12"/>
        <v>-2.3382969793354882E-2</v>
      </c>
      <c r="D442" s="1">
        <f>IFERROR(Comp3[[#This Row],[Comparable '#3 Return]]+1,"-")</f>
        <v>0.97661703020664514</v>
      </c>
      <c r="E442" s="6">
        <f>B442-MAX($B$2:B442)</f>
        <v>-71.38</v>
      </c>
      <c r="F442" s="80">
        <f t="shared" si="13"/>
        <v>180</v>
      </c>
      <c r="G442" s="6">
        <f>IFERROR(Comp3[[#This Row],[Comparable '#3 Drawdown]]/MAX($B$2:B442),"-")</f>
        <v>-0.37960008508827908</v>
      </c>
      <c r="H442" s="1" t="str">
        <f>IF(SUM(COUNTIF(Benchmark1[Benchmark '#1 Dates],Comp3[[#This Row],[Comparable '#3 Dates]]),COUNTIF(Benchmark2[Benchmark '#2 Dates],Comp3[[#This Row],[Comparable '#3 Dates]]))=2,"Pass","Fail")</f>
        <v>Pass</v>
      </c>
      <c r="I442" s="1">
        <f>IFERROR(Comp3[[#This Row],[Comparable '#3 Return]]-INDEX(Benchmark1[Benchmark '#1 Return],MATCH(Comp3[[#This Row],[Comparable '#3 Dates]],Benchmark1[Benchmark '#1 Dates],0)),"-")</f>
        <v>-8.128389870209517E-3</v>
      </c>
      <c r="L442" s="72">
        <f>Comp3[[#This Row],[Comparable '#3 Price]]/$B$2*100</f>
        <v>99.530756761368494</v>
      </c>
    </row>
    <row r="443" spans="1:12">
      <c r="A443" s="96">
        <v>43927</v>
      </c>
      <c r="B443" s="101">
        <v>126.93</v>
      </c>
      <c r="C443" s="1">
        <f t="shared" si="12"/>
        <v>8.4372032074594303E-2</v>
      </c>
      <c r="D443" s="1">
        <f>IFERROR(Comp3[[#This Row],[Comparable '#3 Return]]+1,"-")</f>
        <v>1.0843720320745942</v>
      </c>
      <c r="E443" s="6">
        <f>B443-MAX($B$2:B443)</f>
        <v>-61.109999999999985</v>
      </c>
      <c r="F443" s="80">
        <f t="shared" si="13"/>
        <v>181</v>
      </c>
      <c r="G443" s="6">
        <f>IFERROR(Comp3[[#This Row],[Comparable '#3 Drawdown]]/MAX($B$2:B443),"-")</f>
        <v>-0.32498404594767066</v>
      </c>
      <c r="H443" s="1" t="str">
        <f>IF(SUM(COUNTIF(Benchmark1[Benchmark '#1 Dates],Comp3[[#This Row],[Comparable '#3 Dates]]),COUNTIF(Benchmark2[Benchmark '#2 Dates],Comp3[[#This Row],[Comparable '#3 Dates]]))=2,"Pass","Fail")</f>
        <v>Pass</v>
      </c>
      <c r="I443" s="1">
        <f>IFERROR(Comp3[[#This Row],[Comparable '#3 Return]]-INDEX(Benchmark1[Benchmark '#1 Return],MATCH(Comp3[[#This Row],[Comparable '#3 Dates]],Benchmark1[Benchmark '#1 Dates],0)),"-")</f>
        <v>1.640176492625034E-2</v>
      </c>
      <c r="L443" s="72">
        <f>Comp3[[#This Row],[Comparable '#3 Price]]/$B$2*100</f>
        <v>108.29280778090609</v>
      </c>
    </row>
    <row r="444" spans="1:12">
      <c r="A444" s="96">
        <v>43928</v>
      </c>
      <c r="B444" s="101">
        <v>127.24</v>
      </c>
      <c r="C444" s="1">
        <f t="shared" si="12"/>
        <v>2.439313480857519E-3</v>
      </c>
      <c r="D444" s="1">
        <f>IFERROR(Comp3[[#This Row],[Comparable '#3 Return]]+1,"-")</f>
        <v>1.0024393134808576</v>
      </c>
      <c r="E444" s="6">
        <f>B444-MAX($B$2:B444)</f>
        <v>-60.8</v>
      </c>
      <c r="F444" s="80">
        <f t="shared" si="13"/>
        <v>182</v>
      </c>
      <c r="G444" s="6">
        <f>IFERROR(Comp3[[#This Row],[Comparable '#3 Drawdown]]/MAX($B$2:B444),"-")</f>
        <v>-0.32333546054031059</v>
      </c>
      <c r="H444" s="1" t="str">
        <f>IF(SUM(COUNTIF(Benchmark1[Benchmark '#1 Dates],Comp3[[#This Row],[Comparable '#3 Dates]]),COUNTIF(Benchmark2[Benchmark '#2 Dates],Comp3[[#This Row],[Comparable '#3 Dates]]))=2,"Pass","Fail")</f>
        <v>Pass</v>
      </c>
      <c r="I444" s="1">
        <f>IFERROR(Comp3[[#This Row],[Comparable '#3 Return]]-INDEX(Benchmark1[Benchmark '#1 Return],MATCH(Comp3[[#This Row],[Comparable '#3 Dates]],Benchmark1[Benchmark '#1 Dates],0)),"-")</f>
        <v>4.0448206066592551E-3</v>
      </c>
      <c r="L444" s="72">
        <f>Comp3[[#This Row],[Comparable '#3 Price]]/$B$2*100</f>
        <v>108.55729033358929</v>
      </c>
    </row>
    <row r="445" spans="1:12">
      <c r="A445" s="96">
        <v>43929</v>
      </c>
      <c r="B445" s="101">
        <v>131.11000000000001</v>
      </c>
      <c r="C445" s="1">
        <f t="shared" si="12"/>
        <v>2.9961598630367306E-2</v>
      </c>
      <c r="D445" s="1">
        <f>IFERROR(Comp3[[#This Row],[Comparable '#3 Return]]+1,"-")</f>
        <v>1.0299615986303674</v>
      </c>
      <c r="E445" s="6">
        <f>B445-MAX($B$2:B445)</f>
        <v>-56.929999999999978</v>
      </c>
      <c r="F445" s="80">
        <f t="shared" si="13"/>
        <v>183</v>
      </c>
      <c r="G445" s="6">
        <f>IFERROR(Comp3[[#This Row],[Comparable '#3 Drawdown]]/MAX($B$2:B445),"-")</f>
        <v>-0.30275473303552425</v>
      </c>
      <c r="H445" s="1" t="str">
        <f>IF(SUM(COUNTIF(Benchmark1[Benchmark '#1 Dates],Comp3[[#This Row],[Comparable '#3 Dates]]),COUNTIF(Benchmark2[Benchmark '#2 Dates],Comp3[[#This Row],[Comparable '#3 Dates]]))=2,"Pass","Fail")</f>
        <v>Pass</v>
      </c>
      <c r="I445" s="1">
        <f>IFERROR(Comp3[[#This Row],[Comparable '#3 Return]]-INDEX(Benchmark1[Benchmark '#1 Return],MATCH(Comp3[[#This Row],[Comparable '#3 Dates]],Benchmark1[Benchmark '#1 Dates],0)),"-")</f>
        <v>-3.5266710343637847E-3</v>
      </c>
      <c r="L445" s="72">
        <f>Comp3[[#This Row],[Comparable '#3 Price]]/$B$2*100</f>
        <v>111.8590563945056</v>
      </c>
    </row>
    <row r="446" spans="1:12">
      <c r="A446" s="96">
        <v>43930</v>
      </c>
      <c r="B446" s="101">
        <v>134.86000000000001</v>
      </c>
      <c r="C446" s="1">
        <f t="shared" si="12"/>
        <v>2.8200537795125411E-2</v>
      </c>
      <c r="D446" s="1">
        <f>IFERROR(Comp3[[#This Row],[Comparable '#3 Return]]+1,"-")</f>
        <v>1.0282005377951253</v>
      </c>
      <c r="E446" s="6">
        <f>B446-MAX($B$2:B446)</f>
        <v>-53.179999999999978</v>
      </c>
      <c r="F446" s="80">
        <f t="shared" si="13"/>
        <v>184</v>
      </c>
      <c r="G446" s="6">
        <f>IFERROR(Comp3[[#This Row],[Comparable '#3 Drawdown]]/MAX($B$2:B446),"-")</f>
        <v>-0.2828121676239097</v>
      </c>
      <c r="H446" s="1" t="str">
        <f>IF(SUM(COUNTIF(Benchmark1[Benchmark '#1 Dates],Comp3[[#This Row],[Comparable '#3 Dates]]),COUNTIF(Benchmark2[Benchmark '#2 Dates],Comp3[[#This Row],[Comparable '#3 Dates]]))=2,"Pass","Fail")</f>
        <v>Pass</v>
      </c>
      <c r="I446" s="1">
        <f>IFERROR(Comp3[[#This Row],[Comparable '#3 Return]]-INDEX(Benchmark1[Benchmark '#1 Return],MATCH(Comp3[[#This Row],[Comparable '#3 Dates]],Benchmark1[Benchmark '#1 Dates],0)),"-")</f>
        <v>1.3817217100697743E-2</v>
      </c>
      <c r="L446" s="72">
        <f>Comp3[[#This Row],[Comparable '#3 Price]]/$B$2*100</f>
        <v>115.05844211244775</v>
      </c>
    </row>
    <row r="447" spans="1:12">
      <c r="A447" s="96">
        <v>43934</v>
      </c>
      <c r="B447" s="101">
        <v>138.9</v>
      </c>
      <c r="C447" s="1">
        <f t="shared" si="12"/>
        <v>2.9517046453862054E-2</v>
      </c>
      <c r="D447" s="1">
        <f>IFERROR(Comp3[[#This Row],[Comparable '#3 Return]]+1,"-")</f>
        <v>1.0295170464538621</v>
      </c>
      <c r="E447" s="6">
        <f>B447-MAX($B$2:B447)</f>
        <v>-49.139999999999986</v>
      </c>
      <c r="F447" s="80">
        <f t="shared" si="13"/>
        <v>185</v>
      </c>
      <c r="G447" s="6">
        <f>IFERROR(Comp3[[#This Row],[Comparable '#3 Drawdown]]/MAX($B$2:B447),"-")</f>
        <v>-0.261327377153797</v>
      </c>
      <c r="H447" s="1" t="str">
        <f>IF(SUM(COUNTIF(Benchmark1[Benchmark '#1 Dates],Comp3[[#This Row],[Comparable '#3 Dates]]),COUNTIF(Benchmark2[Benchmark '#2 Dates],Comp3[[#This Row],[Comparable '#3 Dates]]))=2,"Pass","Fail")</f>
        <v>Pass</v>
      </c>
      <c r="I447" s="1">
        <f>IFERROR(Comp3[[#This Row],[Comparable '#3 Return]]-INDEX(Benchmark1[Benchmark '#1 Return],MATCH(Comp3[[#This Row],[Comparable '#3 Dates]],Benchmark1[Benchmark '#1 Dates],0)),"-")</f>
        <v>3.9673093370158494E-2</v>
      </c>
      <c r="L447" s="72">
        <f>Comp3[[#This Row],[Comparable '#3 Price]]/$B$2*100</f>
        <v>118.50524699257743</v>
      </c>
    </row>
    <row r="448" spans="1:12">
      <c r="A448" s="96">
        <v>43935</v>
      </c>
      <c r="B448" s="101">
        <v>150.55000000000001</v>
      </c>
      <c r="C448" s="1">
        <f t="shared" si="12"/>
        <v>8.0541005167444821E-2</v>
      </c>
      <c r="D448" s="1">
        <f>IFERROR(Comp3[[#This Row],[Comparable '#3 Return]]+1,"-")</f>
        <v>1.0805410051674449</v>
      </c>
      <c r="E448" s="6">
        <f>B448-MAX($B$2:B448)</f>
        <v>-37.489999999999981</v>
      </c>
      <c r="F448" s="80">
        <f t="shared" si="13"/>
        <v>186</v>
      </c>
      <c r="G448" s="6">
        <f>IFERROR(Comp3[[#This Row],[Comparable '#3 Drawdown]]/MAX($B$2:B448),"-")</f>
        <v>-0.19937247394171442</v>
      </c>
      <c r="H448" s="1" t="str">
        <f>IF(SUM(COUNTIF(Benchmark1[Benchmark '#1 Dates],Comp3[[#This Row],[Comparable '#3 Dates]]),COUNTIF(Benchmark2[Benchmark '#2 Dates],Comp3[[#This Row],[Comparable '#3 Dates]]))=2,"Pass","Fail")</f>
        <v>Pass</v>
      </c>
      <c r="I448" s="1">
        <f>IFERROR(Comp3[[#This Row],[Comparable '#3 Return]]-INDEX(Benchmark1[Benchmark '#1 Return],MATCH(Comp3[[#This Row],[Comparable '#3 Dates]],Benchmark1[Benchmark '#1 Dates],0)),"-")</f>
        <v>5.042511413656528E-2</v>
      </c>
      <c r="L448" s="72">
        <f>Comp3[[#This Row],[Comparable '#3 Price]]/$B$2*100</f>
        <v>128.44467195631773</v>
      </c>
    </row>
    <row r="449" spans="1:12">
      <c r="A449" s="96">
        <v>43936</v>
      </c>
      <c r="B449" s="101">
        <v>144.72</v>
      </c>
      <c r="C449" s="1">
        <f t="shared" si="12"/>
        <v>-3.9494413840703194E-2</v>
      </c>
      <c r="D449" s="1">
        <f>IFERROR(Comp3[[#This Row],[Comparable '#3 Return]]+1,"-")</f>
        <v>0.96050558615929682</v>
      </c>
      <c r="E449" s="6">
        <f>B449-MAX($B$2:B449)</f>
        <v>-43.319999999999993</v>
      </c>
      <c r="F449" s="80">
        <f t="shared" si="13"/>
        <v>187</v>
      </c>
      <c r="G449" s="6">
        <f>IFERROR(Comp3[[#This Row],[Comparable '#3 Drawdown]]/MAX($B$2:B449),"-")</f>
        <v>-0.23037651563497125</v>
      </c>
      <c r="H449" s="1" t="str">
        <f>IF(SUM(COUNTIF(Benchmark1[Benchmark '#1 Dates],Comp3[[#This Row],[Comparable '#3 Dates]]),COUNTIF(Benchmark2[Benchmark '#2 Dates],Comp3[[#This Row],[Comparable '#3 Dates]]))=2,"Pass","Fail")</f>
        <v>Pass</v>
      </c>
      <c r="I449" s="1">
        <f>IFERROR(Comp3[[#This Row],[Comparable '#3 Return]]-INDEX(Benchmark1[Benchmark '#1 Return],MATCH(Comp3[[#This Row],[Comparable '#3 Dates]],Benchmark1[Benchmark '#1 Dates],0)),"-")</f>
        <v>-1.7218032429768049E-2</v>
      </c>
      <c r="L449" s="72">
        <f>Comp3[[#This Row],[Comparable '#3 Price]]/$B$2*100</f>
        <v>123.47069362682366</v>
      </c>
    </row>
    <row r="450" spans="1:12">
      <c r="A450" s="96">
        <v>43937</v>
      </c>
      <c r="B450" s="101">
        <v>146.75</v>
      </c>
      <c r="C450" s="1">
        <f t="shared" ref="C450:C513" si="14">IFERROR(IF(B450="","-",LN(B450/B449)),"-")</f>
        <v>1.3929617621166113E-2</v>
      </c>
      <c r="D450" s="1">
        <f>IFERROR(Comp3[[#This Row],[Comparable '#3 Return]]+1,"-")</f>
        <v>1.0139296176211661</v>
      </c>
      <c r="E450" s="6">
        <f>B450-MAX($B$2:B450)</f>
        <v>-41.289999999999992</v>
      </c>
      <c r="F450" s="80">
        <f t="shared" ref="F450:F513" si="15">IF(E450=0,0,F449+1)</f>
        <v>188</v>
      </c>
      <c r="G450" s="6">
        <f>IFERROR(Comp3[[#This Row],[Comparable '#3 Drawdown]]/MAX($B$2:B450),"-")</f>
        <v>-0.21958094022548391</v>
      </c>
      <c r="H450" s="1" t="str">
        <f>IF(SUM(COUNTIF(Benchmark1[Benchmark '#1 Dates],Comp3[[#This Row],[Comparable '#3 Dates]]),COUNTIF(Benchmark2[Benchmark '#2 Dates],Comp3[[#This Row],[Comparable '#3 Dates]]))=2,"Pass","Fail")</f>
        <v>Pass</v>
      </c>
      <c r="I450" s="1">
        <f>IFERROR(Comp3[[#This Row],[Comparable '#3 Return]]-INDEX(Benchmark1[Benchmark '#1 Return],MATCH(Comp3[[#This Row],[Comparable '#3 Dates]],Benchmark1[Benchmark '#1 Dates],0)),"-")</f>
        <v>8.1296835566871048E-3</v>
      </c>
      <c r="L450" s="72">
        <f>Comp3[[#This Row],[Comparable '#3 Price]]/$B$2*100</f>
        <v>125.20262776213636</v>
      </c>
    </row>
    <row r="451" spans="1:12">
      <c r="A451" s="96">
        <v>43938</v>
      </c>
      <c r="B451" s="101">
        <v>148.86000000000001</v>
      </c>
      <c r="C451" s="1">
        <f t="shared" si="14"/>
        <v>1.4275808223558834E-2</v>
      </c>
      <c r="D451" s="1">
        <f>IFERROR(Comp3[[#This Row],[Comparable '#3 Return]]+1,"-")</f>
        <v>1.0142758082235588</v>
      </c>
      <c r="E451" s="6">
        <f>B451-MAX($B$2:B451)</f>
        <v>-39.179999999999978</v>
      </c>
      <c r="F451" s="80">
        <f t="shared" si="15"/>
        <v>189</v>
      </c>
      <c r="G451" s="6">
        <f>IFERROR(Comp3[[#This Row],[Comparable '#3 Drawdown]]/MAX($B$2:B451),"-")</f>
        <v>-0.20835992342054871</v>
      </c>
      <c r="H451" s="1" t="str">
        <f>IF(SUM(COUNTIF(Benchmark1[Benchmark '#1 Dates],Comp3[[#This Row],[Comparable '#3 Dates]]),COUNTIF(Benchmark2[Benchmark '#2 Dates],Comp3[[#This Row],[Comparable '#3 Dates]]))=2,"Pass","Fail")</f>
        <v>Pass</v>
      </c>
      <c r="I451" s="1">
        <f>IFERROR(Comp3[[#This Row],[Comparable '#3 Return]]-INDEX(Benchmark1[Benchmark '#1 Return],MATCH(Comp3[[#This Row],[Comparable '#3 Dates]],Benchmark1[Benchmark '#1 Dates],0)),"-")</f>
        <v>-1.2165876055373092E-2</v>
      </c>
      <c r="L451" s="72">
        <f>Comp3[[#This Row],[Comparable '#3 Price]]/$B$2*100</f>
        <v>127.00281545943182</v>
      </c>
    </row>
    <row r="452" spans="1:12">
      <c r="A452" s="96">
        <v>43941</v>
      </c>
      <c r="B452" s="101">
        <v>146.58000000000001</v>
      </c>
      <c r="C452" s="1">
        <f t="shared" si="14"/>
        <v>-1.5434912434060559E-2</v>
      </c>
      <c r="D452" s="1">
        <f>IFERROR(Comp3[[#This Row],[Comparable '#3 Return]]+1,"-")</f>
        <v>0.98456508756593941</v>
      </c>
      <c r="E452" s="6">
        <f>B452-MAX($B$2:B452)</f>
        <v>-41.45999999999998</v>
      </c>
      <c r="F452" s="80">
        <f t="shared" si="15"/>
        <v>190</v>
      </c>
      <c r="G452" s="6">
        <f>IFERROR(Comp3[[#This Row],[Comparable '#3 Drawdown]]/MAX($B$2:B452),"-")</f>
        <v>-0.22048500319081038</v>
      </c>
      <c r="H452" s="1" t="str">
        <f>IF(SUM(COUNTIF(Benchmark1[Benchmark '#1 Dates],Comp3[[#This Row],[Comparable '#3 Dates]]),COUNTIF(Benchmark2[Benchmark '#2 Dates],Comp3[[#This Row],[Comparable '#3 Dates]]))=2,"Pass","Fail")</f>
        <v>Pass</v>
      </c>
      <c r="I452" s="1">
        <f>IFERROR(Comp3[[#This Row],[Comparable '#3 Return]]-INDEX(Benchmark1[Benchmark '#1 Return],MATCH(Comp3[[#This Row],[Comparable '#3 Dates]],Benchmark1[Benchmark '#1 Dates],0)),"-")</f>
        <v>2.6107503263672043E-3</v>
      </c>
      <c r="L452" s="72">
        <f>Comp3[[#This Row],[Comparable '#3 Price]]/$B$2*100</f>
        <v>125.05758894292298</v>
      </c>
    </row>
    <row r="453" spans="1:12">
      <c r="A453" s="96">
        <v>43942</v>
      </c>
      <c r="B453" s="101">
        <v>146.37</v>
      </c>
      <c r="C453" s="1">
        <f t="shared" si="14"/>
        <v>-1.4336920018486968E-3</v>
      </c>
      <c r="D453" s="1">
        <f>IFERROR(Comp3[[#This Row],[Comparable '#3 Return]]+1,"-")</f>
        <v>0.99856630799815127</v>
      </c>
      <c r="E453" s="6">
        <f>B453-MAX($B$2:B453)</f>
        <v>-41.669999999999987</v>
      </c>
      <c r="F453" s="80">
        <f t="shared" si="15"/>
        <v>191</v>
      </c>
      <c r="G453" s="6">
        <f>IFERROR(Comp3[[#This Row],[Comparable '#3 Drawdown]]/MAX($B$2:B453),"-")</f>
        <v>-0.22160178685386081</v>
      </c>
      <c r="H453" s="1" t="str">
        <f>IF(SUM(COUNTIF(Benchmark1[Benchmark '#1 Dates],Comp3[[#This Row],[Comparable '#3 Dates]]),COUNTIF(Benchmark2[Benchmark '#2 Dates],Comp3[[#This Row],[Comparable '#3 Dates]]))=2,"Pass","Fail")</f>
        <v>Pass</v>
      </c>
      <c r="I453" s="1">
        <f>IFERROR(Comp3[[#This Row],[Comparable '#3 Return]]-INDEX(Benchmark1[Benchmark '#1 Return],MATCH(Comp3[[#This Row],[Comparable '#3 Dates]],Benchmark1[Benchmark '#1 Dates],0)),"-")</f>
        <v>2.9719004327336769E-2</v>
      </c>
      <c r="L453" s="72">
        <f>Comp3[[#This Row],[Comparable '#3 Price]]/$B$2*100</f>
        <v>124.87842334271821</v>
      </c>
    </row>
    <row r="454" spans="1:12">
      <c r="A454" s="96">
        <v>43943</v>
      </c>
      <c r="B454" s="101">
        <v>146.06</v>
      </c>
      <c r="C454" s="1">
        <f t="shared" si="14"/>
        <v>-2.1201663038918198E-3</v>
      </c>
      <c r="D454" s="1">
        <f>IFERROR(Comp3[[#This Row],[Comparable '#3 Return]]+1,"-")</f>
        <v>0.99787983369610822</v>
      </c>
      <c r="E454" s="6">
        <f>B454-MAX($B$2:B454)</f>
        <v>-41.97999999999999</v>
      </c>
      <c r="F454" s="80">
        <f t="shared" si="15"/>
        <v>192</v>
      </c>
      <c r="G454" s="6">
        <f>IFERROR(Comp3[[#This Row],[Comparable '#3 Drawdown]]/MAX($B$2:B454),"-")</f>
        <v>-0.22325037226122096</v>
      </c>
      <c r="H454" s="1" t="str">
        <f>IF(SUM(COUNTIF(Benchmark1[Benchmark '#1 Dates],Comp3[[#This Row],[Comparable '#3 Dates]]),COUNTIF(Benchmark2[Benchmark '#2 Dates],Comp3[[#This Row],[Comparable '#3 Dates]]))=2,"Pass","Fail")</f>
        <v>Pass</v>
      </c>
      <c r="I454" s="1">
        <f>IFERROR(Comp3[[#This Row],[Comparable '#3 Return]]-INDEX(Benchmark1[Benchmark '#1 Return],MATCH(Comp3[[#This Row],[Comparable '#3 Dates]],Benchmark1[Benchmark '#1 Dates],0)),"-")</f>
        <v>-2.4791977984186791E-2</v>
      </c>
      <c r="L454" s="72">
        <f>Comp3[[#This Row],[Comparable '#3 Price]]/$B$2*100</f>
        <v>124.61394079003499</v>
      </c>
    </row>
    <row r="455" spans="1:12">
      <c r="A455" s="96">
        <v>43944</v>
      </c>
      <c r="B455" s="101">
        <v>143.41999999999999</v>
      </c>
      <c r="C455" s="1">
        <f t="shared" si="14"/>
        <v>-1.8240107737534993E-2</v>
      </c>
      <c r="D455" s="1">
        <f>IFERROR(Comp3[[#This Row],[Comparable '#3 Return]]+1,"-")</f>
        <v>0.98175989226246496</v>
      </c>
      <c r="E455" s="6">
        <f>B455-MAX($B$2:B455)</f>
        <v>-44.620000000000005</v>
      </c>
      <c r="F455" s="80">
        <f t="shared" si="15"/>
        <v>193</v>
      </c>
      <c r="G455" s="6">
        <f>IFERROR(Comp3[[#This Row],[Comparable '#3 Drawdown]]/MAX($B$2:B455),"-")</f>
        <v>-0.23728993831099771</v>
      </c>
      <c r="H455" s="1" t="str">
        <f>IF(SUM(COUNTIF(Benchmark1[Benchmark '#1 Dates],Comp3[[#This Row],[Comparable '#3 Dates]]),COUNTIF(Benchmark2[Benchmark '#2 Dates],Comp3[[#This Row],[Comparable '#3 Dates]]))=2,"Pass","Fail")</f>
        <v>Pass</v>
      </c>
      <c r="I455" s="1">
        <f>IFERROR(Comp3[[#This Row],[Comparable '#3 Return]]-INDEX(Benchmark1[Benchmark '#1 Return],MATCH(Comp3[[#This Row],[Comparable '#3 Dates]],Benchmark1[Benchmark '#1 Dates],0)),"-")</f>
        <v>-1.7697633644431641E-2</v>
      </c>
      <c r="L455" s="72">
        <f>Comp3[[#This Row],[Comparable '#3 Price]]/$B$2*100</f>
        <v>122.3615732446037</v>
      </c>
    </row>
    <row r="456" spans="1:12">
      <c r="A456" s="96">
        <v>43945</v>
      </c>
      <c r="B456" s="101">
        <v>143.05000000000001</v>
      </c>
      <c r="C456" s="1">
        <f t="shared" si="14"/>
        <v>-2.5831689583093818E-3</v>
      </c>
      <c r="D456" s="1">
        <f>IFERROR(Comp3[[#This Row],[Comparable '#3 Return]]+1,"-")</f>
        <v>0.99741683104169065</v>
      </c>
      <c r="E456" s="6">
        <f>B456-MAX($B$2:B456)</f>
        <v>-44.989999999999981</v>
      </c>
      <c r="F456" s="80">
        <f t="shared" si="15"/>
        <v>194</v>
      </c>
      <c r="G456" s="6">
        <f>IFERROR(Comp3[[#This Row],[Comparable '#3 Drawdown]]/MAX($B$2:B456),"-")</f>
        <v>-0.23925760476494354</v>
      </c>
      <c r="H456" s="1" t="str">
        <f>IF(SUM(COUNTIF(Benchmark1[Benchmark '#1 Dates],Comp3[[#This Row],[Comparable '#3 Dates]]),COUNTIF(Benchmark2[Benchmark '#2 Dates],Comp3[[#This Row],[Comparable '#3 Dates]]))=2,"Pass","Fail")</f>
        <v>Pass</v>
      </c>
      <c r="I456" s="1">
        <f>IFERROR(Comp3[[#This Row],[Comparable '#3 Return]]-INDEX(Benchmark1[Benchmark '#1 Return],MATCH(Comp3[[#This Row],[Comparable '#3 Dates]],Benchmark1[Benchmark '#1 Dates],0)),"-")</f>
        <v>-1.640639129238225E-2</v>
      </c>
      <c r="L456" s="72">
        <f>Comp3[[#This Row],[Comparable '#3 Price]]/$B$2*100</f>
        <v>122.04590052043342</v>
      </c>
    </row>
    <row r="457" spans="1:12">
      <c r="A457" s="96">
        <v>43948</v>
      </c>
      <c r="B457" s="101">
        <v>147</v>
      </c>
      <c r="C457" s="1">
        <f t="shared" si="14"/>
        <v>2.7238367282617051E-2</v>
      </c>
      <c r="D457" s="1">
        <f>IFERROR(Comp3[[#This Row],[Comparable '#3 Return]]+1,"-")</f>
        <v>1.0272383672826171</v>
      </c>
      <c r="E457" s="6">
        <f>B457-MAX($B$2:B457)</f>
        <v>-41.039999999999992</v>
      </c>
      <c r="F457" s="80">
        <f t="shared" si="15"/>
        <v>195</v>
      </c>
      <c r="G457" s="6">
        <f>IFERROR(Comp3[[#This Row],[Comparable '#3 Drawdown]]/MAX($B$2:B457),"-")</f>
        <v>-0.2182514358647096</v>
      </c>
      <c r="H457" s="1" t="str">
        <f>IF(SUM(COUNTIF(Benchmark1[Benchmark '#1 Dates],Comp3[[#This Row],[Comparable '#3 Dates]]),COUNTIF(Benchmark2[Benchmark '#2 Dates],Comp3[[#This Row],[Comparable '#3 Dates]]))=2,"Pass","Fail")</f>
        <v>Pass</v>
      </c>
      <c r="I457" s="1">
        <f>IFERROR(Comp3[[#This Row],[Comparable '#3 Return]]-INDEX(Benchmark1[Benchmark '#1 Return],MATCH(Comp3[[#This Row],[Comparable '#3 Dates]],Benchmark1[Benchmark '#1 Dates],0)),"-")</f>
        <v>1.2631423166056288E-2</v>
      </c>
      <c r="L457" s="72">
        <f>Comp3[[#This Row],[Comparable '#3 Price]]/$B$2*100</f>
        <v>125.4159201433325</v>
      </c>
    </row>
    <row r="458" spans="1:12">
      <c r="A458" s="96">
        <v>43949</v>
      </c>
      <c r="B458" s="101">
        <v>150.15</v>
      </c>
      <c r="C458" s="1">
        <f t="shared" si="14"/>
        <v>2.1202207650603124E-2</v>
      </c>
      <c r="D458" s="1">
        <f>IFERROR(Comp3[[#This Row],[Comparable '#3 Return]]+1,"-")</f>
        <v>1.0212022076506031</v>
      </c>
      <c r="E458" s="6">
        <f>B458-MAX($B$2:B458)</f>
        <v>-37.889999999999986</v>
      </c>
      <c r="F458" s="80">
        <f t="shared" si="15"/>
        <v>196</v>
      </c>
      <c r="G458" s="6">
        <f>IFERROR(Comp3[[#This Row],[Comparable '#3 Drawdown]]/MAX($B$2:B458),"-")</f>
        <v>-0.20149968091895334</v>
      </c>
      <c r="H458" s="1" t="str">
        <f>IF(SUM(COUNTIF(Benchmark1[Benchmark '#1 Dates],Comp3[[#This Row],[Comparable '#3 Dates]]),COUNTIF(Benchmark2[Benchmark '#2 Dates],Comp3[[#This Row],[Comparable '#3 Dates]]))=2,"Pass","Fail")</f>
        <v>Pass</v>
      </c>
      <c r="I458" s="1">
        <f>IFERROR(Comp3[[#This Row],[Comparable '#3 Return]]-INDEX(Benchmark1[Benchmark '#1 Return],MATCH(Comp3[[#This Row],[Comparable '#3 Dates]],Benchmark1[Benchmark '#1 Dates],0)),"-")</f>
        <v>2.6457695987295835E-2</v>
      </c>
      <c r="L458" s="72">
        <f>Comp3[[#This Row],[Comparable '#3 Price]]/$B$2*100</f>
        <v>128.1034041464039</v>
      </c>
    </row>
    <row r="459" spans="1:12">
      <c r="A459" s="96">
        <v>43950</v>
      </c>
      <c r="B459" s="101">
        <v>168.18</v>
      </c>
      <c r="C459" s="1">
        <f t="shared" si="14"/>
        <v>0.11340003997541262</v>
      </c>
      <c r="D459" s="1">
        <f>IFERROR(Comp3[[#This Row],[Comparable '#3 Return]]+1,"-")</f>
        <v>1.1134000399754127</v>
      </c>
      <c r="E459" s="6">
        <f>B459-MAX($B$2:B459)</f>
        <v>-19.859999999999985</v>
      </c>
      <c r="F459" s="80">
        <f t="shared" si="15"/>
        <v>197</v>
      </c>
      <c r="G459" s="6">
        <f>IFERROR(Comp3[[#This Row],[Comparable '#3 Drawdown]]/MAX($B$2:B459),"-")</f>
        <v>-0.10561582641991059</v>
      </c>
      <c r="H459" s="1" t="str">
        <f>IF(SUM(COUNTIF(Benchmark1[Benchmark '#1 Dates],Comp3[[#This Row],[Comparable '#3 Dates]]),COUNTIF(Benchmark2[Benchmark '#2 Dates],Comp3[[#This Row],[Comparable '#3 Dates]]))=2,"Pass","Fail")</f>
        <v>Pass</v>
      </c>
      <c r="I459" s="1">
        <f>IFERROR(Comp3[[#This Row],[Comparable '#3 Return]]-INDEX(Benchmark1[Benchmark '#1 Return],MATCH(Comp3[[#This Row],[Comparable '#3 Dates]],Benchmark1[Benchmark '#1 Dates],0)),"-")</f>
        <v>8.716556737723416E-2</v>
      </c>
      <c r="L459" s="72">
        <f>Comp3[[#This Row],[Comparable '#3 Price]]/$B$2*100</f>
        <v>143.48605067826978</v>
      </c>
    </row>
    <row r="460" spans="1:12">
      <c r="A460" s="96">
        <v>43951</v>
      </c>
      <c r="B460" s="101">
        <v>159.30000000000001</v>
      </c>
      <c r="C460" s="1">
        <f t="shared" si="14"/>
        <v>-5.4245617488749016E-2</v>
      </c>
      <c r="D460" s="1">
        <f>IFERROR(Comp3[[#This Row],[Comparable '#3 Return]]+1,"-")</f>
        <v>0.94575438251125099</v>
      </c>
      <c r="E460" s="6">
        <f>B460-MAX($B$2:B460)</f>
        <v>-28.739999999999981</v>
      </c>
      <c r="F460" s="80">
        <f t="shared" si="15"/>
        <v>198</v>
      </c>
      <c r="G460" s="6">
        <f>IFERROR(Comp3[[#This Row],[Comparable '#3 Drawdown]]/MAX($B$2:B460),"-")</f>
        <v>-0.15283982131461382</v>
      </c>
      <c r="H460" s="1" t="str">
        <f>IF(SUM(COUNTIF(Benchmark1[Benchmark '#1 Dates],Comp3[[#This Row],[Comparable '#3 Dates]]),COUNTIF(Benchmark2[Benchmark '#2 Dates],Comp3[[#This Row],[Comparable '#3 Dates]]))=2,"Pass","Fail")</f>
        <v>Pass</v>
      </c>
      <c r="I460" s="1">
        <f>IFERROR(Comp3[[#This Row],[Comparable '#3 Return]]-INDEX(Benchmark1[Benchmark '#1 Return],MATCH(Comp3[[#This Row],[Comparable '#3 Dates]],Benchmark1[Benchmark '#1 Dates],0)),"-")</f>
        <v>-4.4992249933579219E-2</v>
      </c>
      <c r="L460" s="72">
        <f>Comp3[[#This Row],[Comparable '#3 Price]]/$B$2*100</f>
        <v>135.90990529818276</v>
      </c>
    </row>
    <row r="461" spans="1:12">
      <c r="A461" s="96">
        <v>43952</v>
      </c>
      <c r="B461" s="101">
        <v>150.22</v>
      </c>
      <c r="C461" s="1">
        <f t="shared" si="14"/>
        <v>-5.8688330658137215E-2</v>
      </c>
      <c r="D461" s="1">
        <f>IFERROR(Comp3[[#This Row],[Comparable '#3 Return]]+1,"-")</f>
        <v>0.94131166934186283</v>
      </c>
      <c r="E461" s="6">
        <f>B461-MAX($B$2:B461)</f>
        <v>-37.819999999999993</v>
      </c>
      <c r="F461" s="80">
        <f t="shared" si="15"/>
        <v>199</v>
      </c>
      <c r="G461" s="6">
        <f>IFERROR(Comp3[[#This Row],[Comparable '#3 Drawdown]]/MAX($B$2:B461),"-")</f>
        <v>-0.20112741969793657</v>
      </c>
      <c r="H461" s="1" t="str">
        <f>IF(SUM(COUNTIF(Benchmark1[Benchmark '#1 Dates],Comp3[[#This Row],[Comparable '#3 Dates]]),COUNTIF(Benchmark2[Benchmark '#2 Dates],Comp3[[#This Row],[Comparable '#3 Dates]]))=2,"Pass","Fail")</f>
        <v>Pass</v>
      </c>
      <c r="I461" s="1">
        <f>IFERROR(Comp3[[#This Row],[Comparable '#3 Return]]-INDEX(Benchmark1[Benchmark '#1 Return],MATCH(Comp3[[#This Row],[Comparable '#3 Dates]],Benchmark1[Benchmark '#1 Dates],0)),"-")</f>
        <v>-3.0226180944961635E-2</v>
      </c>
      <c r="L461" s="72">
        <f>Comp3[[#This Row],[Comparable '#3 Price]]/$B$2*100</f>
        <v>128.16312601313882</v>
      </c>
    </row>
    <row r="462" spans="1:12">
      <c r="A462" s="96">
        <v>43955</v>
      </c>
      <c r="B462" s="101">
        <v>149.4</v>
      </c>
      <c r="C462" s="1">
        <f t="shared" si="14"/>
        <v>-5.4736135591487252E-3</v>
      </c>
      <c r="D462" s="1">
        <f>IFERROR(Comp3[[#This Row],[Comparable '#3 Return]]+1,"-")</f>
        <v>0.99452638644085123</v>
      </c>
      <c r="E462" s="6">
        <f>B462-MAX($B$2:B462)</f>
        <v>-38.639999999999986</v>
      </c>
      <c r="F462" s="80">
        <f t="shared" si="15"/>
        <v>200</v>
      </c>
      <c r="G462" s="6">
        <f>IFERROR(Comp3[[#This Row],[Comparable '#3 Drawdown]]/MAX($B$2:B462),"-")</f>
        <v>-0.20548819400127627</v>
      </c>
      <c r="H462" s="1" t="str">
        <f>IF(SUM(COUNTIF(Benchmark1[Benchmark '#1 Dates],Comp3[[#This Row],[Comparable '#3 Dates]]),COUNTIF(Benchmark2[Benchmark '#2 Dates],Comp3[[#This Row],[Comparable '#3 Dates]]))=2,"Pass","Fail")</f>
        <v>Pass</v>
      </c>
      <c r="I462" s="1">
        <f>IFERROR(Comp3[[#This Row],[Comparable '#3 Return]]-INDEX(Benchmark1[Benchmark '#1 Return],MATCH(Comp3[[#This Row],[Comparable '#3 Dates]],Benchmark1[Benchmark '#1 Dates],0)),"-")</f>
        <v>-9.7158455714114432E-3</v>
      </c>
      <c r="L462" s="72">
        <f>Comp3[[#This Row],[Comparable '#3 Price]]/$B$2*100</f>
        <v>127.46352700281547</v>
      </c>
    </row>
    <row r="463" spans="1:12">
      <c r="A463" s="96">
        <v>43956</v>
      </c>
      <c r="B463" s="101">
        <v>157.30000000000001</v>
      </c>
      <c r="C463" s="1">
        <f t="shared" si="14"/>
        <v>5.15275373655152E-2</v>
      </c>
      <c r="D463" s="1">
        <f>IFERROR(Comp3[[#This Row],[Comparable '#3 Return]]+1,"-")</f>
        <v>1.0515275373655153</v>
      </c>
      <c r="E463" s="6">
        <f>B463-MAX($B$2:B463)</f>
        <v>-30.739999999999981</v>
      </c>
      <c r="F463" s="80">
        <f t="shared" si="15"/>
        <v>201</v>
      </c>
      <c r="G463" s="6">
        <f>IFERROR(Comp3[[#This Row],[Comparable '#3 Drawdown]]/MAX($B$2:B463),"-")</f>
        <v>-0.16347585620080823</v>
      </c>
      <c r="H463" s="1" t="str">
        <f>IF(SUM(COUNTIF(Benchmark1[Benchmark '#1 Dates],Comp3[[#This Row],[Comparable '#3 Dates]]),COUNTIF(Benchmark2[Benchmark '#2 Dates],Comp3[[#This Row],[Comparable '#3 Dates]]))=2,"Pass","Fail")</f>
        <v>Pass</v>
      </c>
      <c r="I463" s="1">
        <f>IFERROR(Comp3[[#This Row],[Comparable '#3 Return]]-INDEX(Benchmark1[Benchmark '#1 Return],MATCH(Comp3[[#This Row],[Comparable '#3 Dates]],Benchmark1[Benchmark '#1 Dates],0)),"-")</f>
        <v>4.2528863198071233E-2</v>
      </c>
      <c r="L463" s="72">
        <f>Comp3[[#This Row],[Comparable '#3 Price]]/$B$2*100</f>
        <v>134.20356624861364</v>
      </c>
    </row>
    <row r="464" spans="1:12">
      <c r="A464" s="96">
        <v>43957</v>
      </c>
      <c r="B464" s="101">
        <v>161.86000000000001</v>
      </c>
      <c r="C464" s="1">
        <f t="shared" si="14"/>
        <v>2.8576954003323749E-2</v>
      </c>
      <c r="D464" s="1">
        <f>IFERROR(Comp3[[#This Row],[Comparable '#3 Return]]+1,"-")</f>
        <v>1.0285769540033238</v>
      </c>
      <c r="E464" s="6">
        <f>B464-MAX($B$2:B464)</f>
        <v>-26.179999999999978</v>
      </c>
      <c r="F464" s="80">
        <f t="shared" si="15"/>
        <v>202</v>
      </c>
      <c r="G464" s="6">
        <f>IFERROR(Comp3[[#This Row],[Comparable '#3 Drawdown]]/MAX($B$2:B464),"-")</f>
        <v>-0.13922569666028495</v>
      </c>
      <c r="H464" s="1" t="str">
        <f>IF(SUM(COUNTIF(Benchmark1[Benchmark '#1 Dates],Comp3[[#This Row],[Comparable '#3 Dates]]),COUNTIF(Benchmark2[Benchmark '#2 Dates],Comp3[[#This Row],[Comparable '#3 Dates]]))=2,"Pass","Fail")</f>
        <v>Pass</v>
      </c>
      <c r="I464" s="1">
        <f>IFERROR(Comp3[[#This Row],[Comparable '#3 Return]]-INDEX(Benchmark1[Benchmark '#1 Return],MATCH(Comp3[[#This Row],[Comparable '#3 Dates]],Benchmark1[Benchmark '#1 Dates],0)),"-")</f>
        <v>3.5578986993377304E-2</v>
      </c>
      <c r="L464" s="72">
        <f>Comp3[[#This Row],[Comparable '#3 Price]]/$B$2*100</f>
        <v>138.09401928163126</v>
      </c>
    </row>
    <row r="465" spans="1:12">
      <c r="A465" s="96">
        <v>43958</v>
      </c>
      <c r="B465" s="101">
        <v>166.5</v>
      </c>
      <c r="C465" s="1">
        <f t="shared" si="14"/>
        <v>2.8263545352942589E-2</v>
      </c>
      <c r="D465" s="1">
        <f>IFERROR(Comp3[[#This Row],[Comparable '#3 Return]]+1,"-")</f>
        <v>1.0282635453529425</v>
      </c>
      <c r="E465" s="6">
        <f>B465-MAX($B$2:B465)</f>
        <v>-21.539999999999992</v>
      </c>
      <c r="F465" s="80">
        <f t="shared" si="15"/>
        <v>203</v>
      </c>
      <c r="G465" s="6">
        <f>IFERROR(Comp3[[#This Row],[Comparable '#3 Drawdown]]/MAX($B$2:B465),"-")</f>
        <v>-0.11455009572431393</v>
      </c>
      <c r="H465" s="1" t="str">
        <f>IF(SUM(COUNTIF(Benchmark1[Benchmark '#1 Dates],Comp3[[#This Row],[Comparable '#3 Dates]]),COUNTIF(Benchmark2[Benchmark '#2 Dates],Comp3[[#This Row],[Comparable '#3 Dates]]))=2,"Pass","Fail")</f>
        <v>Pass</v>
      </c>
      <c r="I465" s="1">
        <f>IFERROR(Comp3[[#This Row],[Comparable '#3 Return]]-INDEX(Benchmark1[Benchmark '#1 Return],MATCH(Comp3[[#This Row],[Comparable '#3 Dates]],Benchmark1[Benchmark '#1 Dates],0)),"-")</f>
        <v>1.682432722818927E-2</v>
      </c>
      <c r="L465" s="72">
        <f>Comp3[[#This Row],[Comparable '#3 Price]]/$B$2*100</f>
        <v>142.05272587663168</v>
      </c>
    </row>
    <row r="466" spans="1:12">
      <c r="A466" s="96">
        <v>43959</v>
      </c>
      <c r="B466" s="101">
        <v>170.57</v>
      </c>
      <c r="C466" s="1">
        <f t="shared" si="14"/>
        <v>2.4150460232283122E-2</v>
      </c>
      <c r="D466" s="1">
        <f>IFERROR(Comp3[[#This Row],[Comparable '#3 Return]]+1,"-")</f>
        <v>1.0241504602322831</v>
      </c>
      <c r="E466" s="6">
        <f>B466-MAX($B$2:B466)</f>
        <v>-17.47</v>
      </c>
      <c r="F466" s="80">
        <f t="shared" si="15"/>
        <v>204</v>
      </c>
      <c r="G466" s="6">
        <f>IFERROR(Comp3[[#This Row],[Comparable '#3 Drawdown]]/MAX($B$2:B466),"-")</f>
        <v>-9.2905764730908322E-2</v>
      </c>
      <c r="H466" s="1" t="str">
        <f>IF(SUM(COUNTIF(Benchmark1[Benchmark '#1 Dates],Comp3[[#This Row],[Comparable '#3 Dates]]),COUNTIF(Benchmark2[Benchmark '#2 Dates],Comp3[[#This Row],[Comparable '#3 Dates]]))=2,"Pass","Fail")</f>
        <v>Pass</v>
      </c>
      <c r="I466" s="1">
        <f>IFERROR(Comp3[[#This Row],[Comparable '#3 Return]]-INDEX(Benchmark1[Benchmark '#1 Return],MATCH(Comp3[[#This Row],[Comparable '#3 Dates]],Benchmark1[Benchmark '#1 Dates],0)),"-")</f>
        <v>7.4186132777990244E-3</v>
      </c>
      <c r="L466" s="72">
        <f>Comp3[[#This Row],[Comparable '#3 Price]]/$B$2*100</f>
        <v>145.52512584250491</v>
      </c>
    </row>
    <row r="467" spans="1:12">
      <c r="A467" s="96">
        <v>43962</v>
      </c>
      <c r="B467" s="101">
        <v>168.18</v>
      </c>
      <c r="C467" s="1">
        <f t="shared" si="14"/>
        <v>-1.4110935248029638E-2</v>
      </c>
      <c r="D467" s="1">
        <f>IFERROR(Comp3[[#This Row],[Comparable '#3 Return]]+1,"-")</f>
        <v>0.98588906475197036</v>
      </c>
      <c r="E467" s="6">
        <f>B467-MAX($B$2:B467)</f>
        <v>-19.859999999999985</v>
      </c>
      <c r="F467" s="80">
        <f t="shared" si="15"/>
        <v>205</v>
      </c>
      <c r="G467" s="6">
        <f>IFERROR(Comp3[[#This Row],[Comparable '#3 Drawdown]]/MAX($B$2:B467),"-")</f>
        <v>-0.10561582641991059</v>
      </c>
      <c r="H467" s="1" t="str">
        <f>IF(SUM(COUNTIF(Benchmark1[Benchmark '#1 Dates],Comp3[[#This Row],[Comparable '#3 Dates]]),COUNTIF(Benchmark2[Benchmark '#2 Dates],Comp3[[#This Row],[Comparable '#3 Dates]]))=2,"Pass","Fail")</f>
        <v>Pass</v>
      </c>
      <c r="I467" s="1">
        <f>IFERROR(Comp3[[#This Row],[Comparable '#3 Return]]-INDEX(Benchmark1[Benchmark '#1 Return],MATCH(Comp3[[#This Row],[Comparable '#3 Dates]],Benchmark1[Benchmark '#1 Dates],0)),"-")</f>
        <v>-1.4287781311947375E-2</v>
      </c>
      <c r="L467" s="72">
        <f>Comp3[[#This Row],[Comparable '#3 Price]]/$B$2*100</f>
        <v>143.48605067826978</v>
      </c>
    </row>
    <row r="468" spans="1:12">
      <c r="A468" s="96">
        <v>43963</v>
      </c>
      <c r="B468" s="101">
        <v>164.19</v>
      </c>
      <c r="C468" s="1">
        <f t="shared" si="14"/>
        <v>-2.4010540580815486E-2</v>
      </c>
      <c r="D468" s="1">
        <f>IFERROR(Comp3[[#This Row],[Comparable '#3 Return]]+1,"-")</f>
        <v>0.97598945941918447</v>
      </c>
      <c r="E468" s="6">
        <f>B468-MAX($B$2:B468)</f>
        <v>-23.849999999999994</v>
      </c>
      <c r="F468" s="80">
        <f t="shared" si="15"/>
        <v>206</v>
      </c>
      <c r="G468" s="6">
        <f>IFERROR(Comp3[[#This Row],[Comparable '#3 Drawdown]]/MAX($B$2:B468),"-")</f>
        <v>-0.12683471601786853</v>
      </c>
      <c r="H468" s="1" t="str">
        <f>IF(SUM(COUNTIF(Benchmark1[Benchmark '#1 Dates],Comp3[[#This Row],[Comparable '#3 Dates]]),COUNTIF(Benchmark2[Benchmark '#2 Dates],Comp3[[#This Row],[Comparable '#3 Dates]]))=2,"Pass","Fail")</f>
        <v>Pass</v>
      </c>
      <c r="I468" s="1">
        <f>IFERROR(Comp3[[#This Row],[Comparable '#3 Return]]-INDEX(Benchmark1[Benchmark '#1 Return],MATCH(Comp3[[#This Row],[Comparable '#3 Dates]],Benchmark1[Benchmark '#1 Dates],0)),"-")</f>
        <v>-3.2508829504010739E-3</v>
      </c>
      <c r="L468" s="72">
        <f>Comp3[[#This Row],[Comparable '#3 Price]]/$B$2*100</f>
        <v>140.08190427437933</v>
      </c>
    </row>
    <row r="469" spans="1:12">
      <c r="A469" s="96">
        <v>43964</v>
      </c>
      <c r="B469" s="101">
        <v>163.88</v>
      </c>
      <c r="C469" s="1">
        <f t="shared" si="14"/>
        <v>-1.8898411452662025E-3</v>
      </c>
      <c r="D469" s="1">
        <f>IFERROR(Comp3[[#This Row],[Comparable '#3 Return]]+1,"-")</f>
        <v>0.99811015885473375</v>
      </c>
      <c r="E469" s="6">
        <f>B469-MAX($B$2:B469)</f>
        <v>-24.159999999999997</v>
      </c>
      <c r="F469" s="80">
        <f t="shared" si="15"/>
        <v>207</v>
      </c>
      <c r="G469" s="6">
        <f>IFERROR(Comp3[[#This Row],[Comparable '#3 Drawdown]]/MAX($B$2:B469),"-")</f>
        <v>-0.12848330142522865</v>
      </c>
      <c r="H469" s="1" t="str">
        <f>IF(SUM(COUNTIF(Benchmark1[Benchmark '#1 Dates],Comp3[[#This Row],[Comparable '#3 Dates]]),COUNTIF(Benchmark2[Benchmark '#2 Dates],Comp3[[#This Row],[Comparable '#3 Dates]]))=2,"Pass","Fail")</f>
        <v>Pass</v>
      </c>
      <c r="I469" s="1">
        <f>IFERROR(Comp3[[#This Row],[Comparable '#3 Return]]-INDEX(Benchmark1[Benchmark '#1 Return],MATCH(Comp3[[#This Row],[Comparable '#3 Dates]],Benchmark1[Benchmark '#1 Dates],0)),"-")</f>
        <v>1.5727688082839756E-2</v>
      </c>
      <c r="L469" s="72">
        <f>Comp3[[#This Row],[Comparable '#3 Price]]/$B$2*100</f>
        <v>139.81742172169612</v>
      </c>
    </row>
    <row r="470" spans="1:12">
      <c r="A470" s="96">
        <v>43965</v>
      </c>
      <c r="B470" s="101">
        <v>162.91999999999999</v>
      </c>
      <c r="C470" s="1">
        <f t="shared" si="14"/>
        <v>-5.8751698984585866E-3</v>
      </c>
      <c r="D470" s="1">
        <f>IFERROR(Comp3[[#This Row],[Comparable '#3 Return]]+1,"-")</f>
        <v>0.9941248301015414</v>
      </c>
      <c r="E470" s="6">
        <f>B470-MAX($B$2:B470)</f>
        <v>-25.120000000000005</v>
      </c>
      <c r="F470" s="80">
        <f t="shared" si="15"/>
        <v>208</v>
      </c>
      <c r="G470" s="6">
        <f>IFERROR(Comp3[[#This Row],[Comparable '#3 Drawdown]]/MAX($B$2:B470),"-")</f>
        <v>-0.13358859817060204</v>
      </c>
      <c r="H470" s="1" t="str">
        <f>IF(SUM(COUNTIF(Benchmark1[Benchmark '#1 Dates],Comp3[[#This Row],[Comparable '#3 Dates]]),COUNTIF(Benchmark2[Benchmark '#2 Dates],Comp3[[#This Row],[Comparable '#3 Dates]]))=2,"Pass","Fail")</f>
        <v>Pass</v>
      </c>
      <c r="I470" s="1">
        <f>IFERROR(Comp3[[#This Row],[Comparable '#3 Return]]-INDEX(Benchmark1[Benchmark '#1 Return],MATCH(Comp3[[#This Row],[Comparable '#3 Dates]],Benchmark1[Benchmark '#1 Dates],0)),"-")</f>
        <v>-1.7337027817406012E-2</v>
      </c>
      <c r="L470" s="72">
        <f>Comp3[[#This Row],[Comparable '#3 Price]]/$B$2*100</f>
        <v>138.99837897790292</v>
      </c>
    </row>
    <row r="471" spans="1:12">
      <c r="A471" s="96">
        <v>43966</v>
      </c>
      <c r="B471" s="101">
        <v>164.64</v>
      </c>
      <c r="C471" s="1">
        <f t="shared" si="14"/>
        <v>1.0501989305527652E-2</v>
      </c>
      <c r="D471" s="1">
        <f>IFERROR(Comp3[[#This Row],[Comparable '#3 Return]]+1,"-")</f>
        <v>1.0105019893055276</v>
      </c>
      <c r="E471" s="6">
        <f>B471-MAX($B$2:B471)</f>
        <v>-23.400000000000006</v>
      </c>
      <c r="F471" s="80">
        <f t="shared" si="15"/>
        <v>209</v>
      </c>
      <c r="G471" s="6">
        <f>IFERROR(Comp3[[#This Row],[Comparable '#3 Drawdown]]/MAX($B$2:B471),"-")</f>
        <v>-0.12444160816847483</v>
      </c>
      <c r="H471" s="1" t="str">
        <f>IF(SUM(COUNTIF(Benchmark1[Benchmark '#1 Dates],Comp3[[#This Row],[Comparable '#3 Dates]]),COUNTIF(Benchmark2[Benchmark '#2 Dates],Comp3[[#This Row],[Comparable '#3 Dates]]))=2,"Pass","Fail")</f>
        <v>Pass</v>
      </c>
      <c r="I471" s="1">
        <f>IFERROR(Comp3[[#This Row],[Comparable '#3 Return]]-INDEX(Benchmark1[Benchmark '#1 Return],MATCH(Comp3[[#This Row],[Comparable '#3 Dates]],Benchmark1[Benchmark '#1 Dates],0)),"-")</f>
        <v>6.5856376360145978E-3</v>
      </c>
      <c r="L471" s="72">
        <f>Comp3[[#This Row],[Comparable '#3 Price]]/$B$2*100</f>
        <v>140.46583056053237</v>
      </c>
    </row>
    <row r="472" spans="1:12">
      <c r="A472" s="96">
        <v>43969</v>
      </c>
      <c r="B472" s="101">
        <v>169.46</v>
      </c>
      <c r="C472" s="1">
        <f t="shared" si="14"/>
        <v>2.8855638684578654E-2</v>
      </c>
      <c r="D472" s="1">
        <f>IFERROR(Comp3[[#This Row],[Comparable '#3 Return]]+1,"-")</f>
        <v>1.0288556386845786</v>
      </c>
      <c r="E472" s="6">
        <f>B472-MAX($B$2:B472)</f>
        <v>-18.579999999999984</v>
      </c>
      <c r="F472" s="80">
        <f t="shared" si="15"/>
        <v>210</v>
      </c>
      <c r="G472" s="6">
        <f>IFERROR(Comp3[[#This Row],[Comparable '#3 Drawdown]]/MAX($B$2:B472),"-")</f>
        <v>-9.8808764092746137E-2</v>
      </c>
      <c r="H472" s="1" t="str">
        <f>IF(SUM(COUNTIF(Benchmark1[Benchmark '#1 Dates],Comp3[[#This Row],[Comparable '#3 Dates]]),COUNTIF(Benchmark2[Benchmark '#2 Dates],Comp3[[#This Row],[Comparable '#3 Dates]]))=2,"Pass","Fail")</f>
        <v>Pass</v>
      </c>
      <c r="I472" s="1">
        <f>IFERROR(Comp3[[#This Row],[Comparable '#3 Return]]-INDEX(Benchmark1[Benchmark '#1 Return],MATCH(Comp3[[#This Row],[Comparable '#3 Dates]],Benchmark1[Benchmark '#1 Dates],0)),"-")</f>
        <v>-2.1598960592919374E-3</v>
      </c>
      <c r="L472" s="72">
        <f>Comp3[[#This Row],[Comparable '#3 Price]]/$B$2*100</f>
        <v>144.57810766999404</v>
      </c>
    </row>
    <row r="473" spans="1:12">
      <c r="A473" s="96">
        <v>43970</v>
      </c>
      <c r="B473" s="101">
        <v>166.77</v>
      </c>
      <c r="C473" s="1">
        <f t="shared" si="14"/>
        <v>-1.6001293136830182E-2</v>
      </c>
      <c r="D473" s="1">
        <f>IFERROR(Comp3[[#This Row],[Comparable '#3 Return]]+1,"-")</f>
        <v>0.98399870686316981</v>
      </c>
      <c r="E473" s="6">
        <f>B473-MAX($B$2:B473)</f>
        <v>-21.269999999999982</v>
      </c>
      <c r="F473" s="80">
        <f t="shared" si="15"/>
        <v>211</v>
      </c>
      <c r="G473" s="6">
        <f>IFERROR(Comp3[[#This Row],[Comparable '#3 Drawdown]]/MAX($B$2:B473),"-")</f>
        <v>-0.11311423101467763</v>
      </c>
      <c r="H473" s="1" t="str">
        <f>IF(SUM(COUNTIF(Benchmark1[Benchmark '#1 Dates],Comp3[[#This Row],[Comparable '#3 Dates]]),COUNTIF(Benchmark2[Benchmark '#2 Dates],Comp3[[#This Row],[Comparable '#3 Dates]]))=2,"Pass","Fail")</f>
        <v>Pass</v>
      </c>
      <c r="I473" s="1">
        <f>IFERROR(Comp3[[#This Row],[Comparable '#3 Return]]-INDEX(Benchmark1[Benchmark '#1 Return],MATCH(Comp3[[#This Row],[Comparable '#3 Dates]],Benchmark1[Benchmark '#1 Dates],0)),"-")</f>
        <v>-5.4619880044511609E-3</v>
      </c>
      <c r="L473" s="72">
        <f>Comp3[[#This Row],[Comparable '#3 Price]]/$B$2*100</f>
        <v>142.28308164832353</v>
      </c>
    </row>
    <row r="474" spans="1:12">
      <c r="A474" s="96">
        <v>43971</v>
      </c>
      <c r="B474" s="101">
        <v>168.14</v>
      </c>
      <c r="C474" s="1">
        <f t="shared" si="14"/>
        <v>8.1813480736629487E-3</v>
      </c>
      <c r="D474" s="1">
        <f>IFERROR(Comp3[[#This Row],[Comparable '#3 Return]]+1,"-")</f>
        <v>1.008181348073663</v>
      </c>
      <c r="E474" s="6">
        <f>B474-MAX($B$2:B474)</f>
        <v>-19.900000000000006</v>
      </c>
      <c r="F474" s="80">
        <f t="shared" si="15"/>
        <v>212</v>
      </c>
      <c r="G474" s="6">
        <f>IFERROR(Comp3[[#This Row],[Comparable '#3 Drawdown]]/MAX($B$2:B474),"-")</f>
        <v>-0.10582854711763458</v>
      </c>
      <c r="H474" s="1" t="str">
        <f>IF(SUM(COUNTIF(Benchmark1[Benchmark '#1 Dates],Comp3[[#This Row],[Comparable '#3 Dates]]),COUNTIF(Benchmark2[Benchmark '#2 Dates],Comp3[[#This Row],[Comparable '#3 Dates]]))=2,"Pass","Fail")</f>
        <v>Pass</v>
      </c>
      <c r="I474" s="1">
        <f>IFERROR(Comp3[[#This Row],[Comparable '#3 Return]]-INDEX(Benchmark1[Benchmark '#1 Return],MATCH(Comp3[[#This Row],[Comparable '#3 Dates]],Benchmark1[Benchmark '#1 Dates],0)),"-")</f>
        <v>-8.3334269120267333E-3</v>
      </c>
      <c r="L474" s="72">
        <f>Comp3[[#This Row],[Comparable '#3 Price]]/$B$2*100</f>
        <v>143.45192389727839</v>
      </c>
    </row>
    <row r="475" spans="1:12">
      <c r="A475" s="96">
        <v>43972</v>
      </c>
      <c r="B475" s="101">
        <v>169.2</v>
      </c>
      <c r="C475" s="1">
        <f t="shared" si="14"/>
        <v>6.2844814649720285E-3</v>
      </c>
      <c r="D475" s="1">
        <f>IFERROR(Comp3[[#This Row],[Comparable '#3 Return]]+1,"-")</f>
        <v>1.0062844814649721</v>
      </c>
      <c r="E475" s="6">
        <f>B475-MAX($B$2:B475)</f>
        <v>-18.840000000000003</v>
      </c>
      <c r="F475" s="80">
        <f t="shared" si="15"/>
        <v>213</v>
      </c>
      <c r="G475" s="6">
        <f>IFERROR(Comp3[[#This Row],[Comparable '#3 Drawdown]]/MAX($B$2:B475),"-")</f>
        <v>-0.10019144862795153</v>
      </c>
      <c r="H475" s="1" t="str">
        <f>IF(SUM(COUNTIF(Benchmark1[Benchmark '#1 Dates],Comp3[[#This Row],[Comparable '#3 Dates]]),COUNTIF(Benchmark2[Benchmark '#2 Dates],Comp3[[#This Row],[Comparable '#3 Dates]]))=2,"Pass","Fail")</f>
        <v>Pass</v>
      </c>
      <c r="I475" s="1">
        <f>IFERROR(Comp3[[#This Row],[Comparable '#3 Return]]-INDEX(Benchmark1[Benchmark '#1 Return],MATCH(Comp3[[#This Row],[Comparable '#3 Dates]],Benchmark1[Benchmark '#1 Dates],0)),"-")</f>
        <v>1.4090653079298391E-2</v>
      </c>
      <c r="L475" s="72">
        <f>Comp3[[#This Row],[Comparable '#3 Price]]/$B$2*100</f>
        <v>144.35628359355005</v>
      </c>
    </row>
    <row r="476" spans="1:12">
      <c r="A476" s="96">
        <v>43973</v>
      </c>
      <c r="B476" s="101">
        <v>169.61</v>
      </c>
      <c r="C476" s="1">
        <f t="shared" si="14"/>
        <v>2.4202367116248928E-3</v>
      </c>
      <c r="D476" s="1">
        <f>IFERROR(Comp3[[#This Row],[Comparable '#3 Return]]+1,"-")</f>
        <v>1.0024202367116248</v>
      </c>
      <c r="E476" s="6">
        <f>B476-MAX($B$2:B476)</f>
        <v>-18.429999999999978</v>
      </c>
      <c r="F476" s="80">
        <f t="shared" si="15"/>
        <v>214</v>
      </c>
      <c r="G476" s="6">
        <f>IFERROR(Comp3[[#This Row],[Comparable '#3 Drawdown]]/MAX($B$2:B476),"-")</f>
        <v>-9.8011061476281525E-2</v>
      </c>
      <c r="H476" s="1" t="str">
        <f>IF(SUM(COUNTIF(Benchmark1[Benchmark '#1 Dates],Comp3[[#This Row],[Comparable '#3 Dates]]),COUNTIF(Benchmark2[Benchmark '#2 Dates],Comp3[[#This Row],[Comparable '#3 Dates]]))=2,"Pass","Fail")</f>
        <v>Pass</v>
      </c>
      <c r="I476" s="1">
        <f>IFERROR(Comp3[[#This Row],[Comparable '#3 Return]]-INDEX(Benchmark1[Benchmark '#1 Return],MATCH(Comp3[[#This Row],[Comparable '#3 Dates]],Benchmark1[Benchmark '#1 Dates],0)),"-")</f>
        <v>6.6858248572191411E-5</v>
      </c>
      <c r="L476" s="72">
        <f>Comp3[[#This Row],[Comparable '#3 Price]]/$B$2*100</f>
        <v>144.70608309871173</v>
      </c>
    </row>
    <row r="477" spans="1:12">
      <c r="A477" s="96">
        <v>43977</v>
      </c>
      <c r="B477" s="101">
        <v>170.98</v>
      </c>
      <c r="C477" s="1">
        <f t="shared" si="14"/>
        <v>8.0449067143398313E-3</v>
      </c>
      <c r="D477" s="1">
        <f>IFERROR(Comp3[[#This Row],[Comparable '#3 Return]]+1,"-")</f>
        <v>1.0080449067143398</v>
      </c>
      <c r="E477" s="6">
        <f>B477-MAX($B$2:B477)</f>
        <v>-17.060000000000002</v>
      </c>
      <c r="F477" s="80">
        <f t="shared" si="15"/>
        <v>215</v>
      </c>
      <c r="G477" s="6">
        <f>IFERROR(Comp3[[#This Row],[Comparable '#3 Drawdown]]/MAX($B$2:B477),"-")</f>
        <v>-9.0725377579238473E-2</v>
      </c>
      <c r="H477" s="1" t="str">
        <f>IF(SUM(COUNTIF(Benchmark1[Benchmark '#1 Dates],Comp3[[#This Row],[Comparable '#3 Dates]]),COUNTIF(Benchmark2[Benchmark '#2 Dates],Comp3[[#This Row],[Comparable '#3 Dates]]))=2,"Pass","Fail")</f>
        <v>Pass</v>
      </c>
      <c r="I477" s="1">
        <f>IFERROR(Comp3[[#This Row],[Comparable '#3 Return]]-INDEX(Benchmark1[Benchmark '#1 Return],MATCH(Comp3[[#This Row],[Comparable '#3 Dates]],Benchmark1[Benchmark '#1 Dates],0)),"-")</f>
        <v>-4.1667925223407287E-3</v>
      </c>
      <c r="L477" s="72">
        <f>Comp3[[#This Row],[Comparable '#3 Price]]/$B$2*100</f>
        <v>145.87492534766656</v>
      </c>
    </row>
    <row r="478" spans="1:12">
      <c r="A478" s="96">
        <v>43978</v>
      </c>
      <c r="B478" s="101">
        <v>176.22</v>
      </c>
      <c r="C478" s="1">
        <f t="shared" si="14"/>
        <v>3.0186623840496179E-2</v>
      </c>
      <c r="D478" s="1">
        <f>IFERROR(Comp3[[#This Row],[Comparable '#3 Return]]+1,"-")</f>
        <v>1.0301866238404962</v>
      </c>
      <c r="E478" s="6">
        <f>B478-MAX($B$2:B478)</f>
        <v>-11.819999999999993</v>
      </c>
      <c r="F478" s="80">
        <f t="shared" si="15"/>
        <v>216</v>
      </c>
      <c r="G478" s="6">
        <f>IFERROR(Comp3[[#This Row],[Comparable '#3 Drawdown]]/MAX($B$2:B478),"-")</f>
        <v>-6.2858966177409034E-2</v>
      </c>
      <c r="H478" s="1" t="str">
        <f>IF(SUM(COUNTIF(Benchmark1[Benchmark '#1 Dates],Comp3[[#This Row],[Comparable '#3 Dates]]),COUNTIF(Benchmark2[Benchmark '#2 Dates],Comp3[[#This Row],[Comparable '#3 Dates]]))=2,"Pass","Fail")</f>
        <v>Pass</v>
      </c>
      <c r="I478" s="1">
        <f>IFERROR(Comp3[[#This Row],[Comparable '#3 Return]]-INDEX(Benchmark1[Benchmark '#1 Return],MATCH(Comp3[[#This Row],[Comparable '#3 Dates]],Benchmark1[Benchmark '#1 Dates],0)),"-")</f>
        <v>1.5465432074598854E-2</v>
      </c>
      <c r="L478" s="72">
        <f>Comp3[[#This Row],[Comparable '#3 Price]]/$B$2*100</f>
        <v>150.34553365753774</v>
      </c>
    </row>
    <row r="479" spans="1:12">
      <c r="A479" s="96">
        <v>43979</v>
      </c>
      <c r="B479" s="101">
        <v>170.48</v>
      </c>
      <c r="C479" s="1">
        <f t="shared" si="14"/>
        <v>-3.3115226648222015E-2</v>
      </c>
      <c r="D479" s="1">
        <f>IFERROR(Comp3[[#This Row],[Comparable '#3 Return]]+1,"-")</f>
        <v>0.96688477335177803</v>
      </c>
      <c r="E479" s="6">
        <f>B479-MAX($B$2:B479)</f>
        <v>-17.560000000000002</v>
      </c>
      <c r="F479" s="80">
        <f t="shared" si="15"/>
        <v>217</v>
      </c>
      <c r="G479" s="6">
        <f>IFERROR(Comp3[[#This Row],[Comparable '#3 Drawdown]]/MAX($B$2:B479),"-")</f>
        <v>-9.3384386300787089E-2</v>
      </c>
      <c r="H479" s="1" t="str">
        <f>IF(SUM(COUNTIF(Benchmark1[Benchmark '#1 Dates],Comp3[[#This Row],[Comparable '#3 Dates]]),COUNTIF(Benchmark2[Benchmark '#2 Dates],Comp3[[#This Row],[Comparable '#3 Dates]]))=2,"Pass","Fail")</f>
        <v>Pass</v>
      </c>
      <c r="I479" s="1">
        <f>IFERROR(Comp3[[#This Row],[Comparable '#3 Return]]-INDEX(Benchmark1[Benchmark '#1 Return],MATCH(Comp3[[#This Row],[Comparable '#3 Dates]],Benchmark1[Benchmark '#1 Dates],0)),"-")</f>
        <v>-3.1005029701312348E-2</v>
      </c>
      <c r="L479" s="72">
        <f>Comp3[[#This Row],[Comparable '#3 Price]]/$B$2*100</f>
        <v>145.44834058527428</v>
      </c>
    </row>
    <row r="480" spans="1:12">
      <c r="A480" s="96">
        <v>43980</v>
      </c>
      <c r="B480" s="101">
        <v>169.63</v>
      </c>
      <c r="C480" s="1">
        <f t="shared" si="14"/>
        <v>-4.9983932827301434E-3</v>
      </c>
      <c r="D480" s="1">
        <f>IFERROR(Comp3[[#This Row],[Comparable '#3 Return]]+1,"-")</f>
        <v>0.99500160671726989</v>
      </c>
      <c r="E480" s="6">
        <f>B480-MAX($B$2:B480)</f>
        <v>-18.409999999999997</v>
      </c>
      <c r="F480" s="80">
        <f t="shared" si="15"/>
        <v>218</v>
      </c>
      <c r="G480" s="6">
        <f>IFERROR(Comp3[[#This Row],[Comparable '#3 Drawdown]]/MAX($B$2:B480),"-")</f>
        <v>-9.7904701127419683E-2</v>
      </c>
      <c r="H480" s="1" t="str">
        <f>IF(SUM(COUNTIF(Benchmark1[Benchmark '#1 Dates],Comp3[[#This Row],[Comparable '#3 Dates]]),COUNTIF(Benchmark2[Benchmark '#2 Dates],Comp3[[#This Row],[Comparable '#3 Dates]]))=2,"Pass","Fail")</f>
        <v>Pass</v>
      </c>
      <c r="I480" s="1">
        <f>IFERROR(Comp3[[#This Row],[Comparable '#3 Return]]-INDEX(Benchmark1[Benchmark '#1 Return],MATCH(Comp3[[#This Row],[Comparable '#3 Dates]],Benchmark1[Benchmark '#1 Dates],0)),"-")</f>
        <v>-9.796548979099165E-3</v>
      </c>
      <c r="L480" s="72">
        <f>Comp3[[#This Row],[Comparable '#3 Price]]/$B$2*100</f>
        <v>144.72314648920741</v>
      </c>
    </row>
    <row r="481" spans="1:12">
      <c r="A481" s="96">
        <v>43983</v>
      </c>
      <c r="B481" s="101">
        <v>172.54</v>
      </c>
      <c r="C481" s="1">
        <f t="shared" si="14"/>
        <v>1.7009499140801292E-2</v>
      </c>
      <c r="D481" s="1">
        <f>IFERROR(Comp3[[#This Row],[Comparable '#3 Return]]+1,"-")</f>
        <v>1.0170094991408012</v>
      </c>
      <c r="E481" s="6">
        <f>B481-MAX($B$2:B481)</f>
        <v>-15.5</v>
      </c>
      <c r="F481" s="80">
        <f t="shared" si="15"/>
        <v>219</v>
      </c>
      <c r="G481" s="6">
        <f>IFERROR(Comp3[[#This Row],[Comparable '#3 Drawdown]]/MAX($B$2:B481),"-")</f>
        <v>-8.2429270368006805E-2</v>
      </c>
      <c r="H481" s="1" t="str">
        <f>IF(SUM(COUNTIF(Benchmark1[Benchmark '#1 Dates],Comp3[[#This Row],[Comparable '#3 Dates]]),COUNTIF(Benchmark2[Benchmark '#2 Dates],Comp3[[#This Row],[Comparable '#3 Dates]]))=2,"Pass","Fail")</f>
        <v>Pass</v>
      </c>
      <c r="I481" s="1">
        <f>IFERROR(Comp3[[#This Row],[Comparable '#3 Return]]-INDEX(Benchmark1[Benchmark '#1 Return],MATCH(Comp3[[#This Row],[Comparable '#3 Dates]],Benchmark1[Benchmark '#1 Dates],0)),"-")</f>
        <v>1.3262725955894127E-2</v>
      </c>
      <c r="L481" s="72">
        <f>Comp3[[#This Row],[Comparable '#3 Price]]/$B$2*100</f>
        <v>147.20586980633053</v>
      </c>
    </row>
    <row r="482" spans="1:12">
      <c r="A482" s="96">
        <v>43984</v>
      </c>
      <c r="B482" s="101">
        <v>171.84</v>
      </c>
      <c r="C482" s="1">
        <f t="shared" si="14"/>
        <v>-4.0652823279327408E-3</v>
      </c>
      <c r="D482" s="1">
        <f>IFERROR(Comp3[[#This Row],[Comparable '#3 Return]]+1,"-")</f>
        <v>0.9959347176720672</v>
      </c>
      <c r="E482" s="6">
        <f>B482-MAX($B$2:B482)</f>
        <v>-16.199999999999989</v>
      </c>
      <c r="F482" s="80">
        <f t="shared" si="15"/>
        <v>220</v>
      </c>
      <c r="G482" s="6">
        <f>IFERROR(Comp3[[#This Row],[Comparable '#3 Drawdown]]/MAX($B$2:B482),"-")</f>
        <v>-8.6151882578174799E-2</v>
      </c>
      <c r="H482" s="1" t="str">
        <f>IF(SUM(COUNTIF(Benchmark1[Benchmark '#1 Dates],Comp3[[#This Row],[Comparable '#3 Dates]]),COUNTIF(Benchmark2[Benchmark '#2 Dates],Comp3[[#This Row],[Comparable '#3 Dates]]))=2,"Pass","Fail")</f>
        <v>Pass</v>
      </c>
      <c r="I482" s="1">
        <f>IFERROR(Comp3[[#This Row],[Comparable '#3 Return]]-INDEX(Benchmark1[Benchmark '#1 Return],MATCH(Comp3[[#This Row],[Comparable '#3 Dates]],Benchmark1[Benchmark '#1 Dates],0)),"-")</f>
        <v>-1.2242325124548727E-2</v>
      </c>
      <c r="L482" s="72">
        <f>Comp3[[#This Row],[Comparable '#3 Price]]/$B$2*100</f>
        <v>146.60865113898132</v>
      </c>
    </row>
    <row r="483" spans="1:12">
      <c r="A483" s="96">
        <v>43985</v>
      </c>
      <c r="B483" s="101">
        <v>175.28</v>
      </c>
      <c r="C483" s="1">
        <f t="shared" si="14"/>
        <v>1.9820883966711101E-2</v>
      </c>
      <c r="D483" s="1">
        <f>IFERROR(Comp3[[#This Row],[Comparable '#3 Return]]+1,"-")</f>
        <v>1.0198208839667111</v>
      </c>
      <c r="E483" s="6">
        <f>B483-MAX($B$2:B483)</f>
        <v>-12.759999999999991</v>
      </c>
      <c r="F483" s="80">
        <f t="shared" si="15"/>
        <v>221</v>
      </c>
      <c r="G483" s="6">
        <f>IFERROR(Comp3[[#This Row],[Comparable '#3 Drawdown]]/MAX($B$2:B483),"-")</f>
        <v>-6.7857902573920395E-2</v>
      </c>
      <c r="H483" s="1" t="str">
        <f>IF(SUM(COUNTIF(Benchmark1[Benchmark '#1 Dates],Comp3[[#This Row],[Comparable '#3 Dates]]),COUNTIF(Benchmark2[Benchmark '#2 Dates],Comp3[[#This Row],[Comparable '#3 Dates]]))=2,"Pass","Fail")</f>
        <v>Pass</v>
      </c>
      <c r="I483" s="1">
        <f>IFERROR(Comp3[[#This Row],[Comparable '#3 Return]]-INDEX(Benchmark1[Benchmark '#1 Return],MATCH(Comp3[[#This Row],[Comparable '#3 Dates]],Benchmark1[Benchmark '#1 Dates],0)),"-")</f>
        <v>6.2648683635814668E-3</v>
      </c>
      <c r="L483" s="72">
        <f>Comp3[[#This Row],[Comparable '#3 Price]]/$B$2*100</f>
        <v>149.54355430424027</v>
      </c>
    </row>
    <row r="484" spans="1:12">
      <c r="A484" s="96">
        <v>43986</v>
      </c>
      <c r="B484" s="101">
        <v>179.07</v>
      </c>
      <c r="C484" s="1">
        <f t="shared" si="14"/>
        <v>2.1392095561457162E-2</v>
      </c>
      <c r="D484" s="1">
        <f>IFERROR(Comp3[[#This Row],[Comparable '#3 Return]]+1,"-")</f>
        <v>1.0213920955614573</v>
      </c>
      <c r="E484" s="6">
        <f>B484-MAX($B$2:B484)</f>
        <v>-8.9699999999999989</v>
      </c>
      <c r="F484" s="80">
        <f t="shared" si="15"/>
        <v>222</v>
      </c>
      <c r="G484" s="6">
        <f>IFERROR(Comp3[[#This Row],[Comparable '#3 Drawdown]]/MAX($B$2:B484),"-")</f>
        <v>-4.7702616464582001E-2</v>
      </c>
      <c r="H484" s="1" t="str">
        <f>IF(SUM(COUNTIF(Benchmark1[Benchmark '#1 Dates],Comp3[[#This Row],[Comparable '#3 Dates]]),COUNTIF(Benchmark2[Benchmark '#2 Dates],Comp3[[#This Row],[Comparable '#3 Dates]]))=2,"Pass","Fail")</f>
        <v>Pass</v>
      </c>
      <c r="I484" s="1">
        <f>IFERROR(Comp3[[#This Row],[Comparable '#3 Return]]-INDEX(Benchmark1[Benchmark '#1 Return],MATCH(Comp3[[#This Row],[Comparable '#3 Dates]],Benchmark1[Benchmark '#1 Dates],0)),"-")</f>
        <v>2.4767687472384437E-2</v>
      </c>
      <c r="L484" s="72">
        <f>Comp3[[#This Row],[Comparable '#3 Price]]/$B$2*100</f>
        <v>152.7770668031738</v>
      </c>
    </row>
    <row r="485" spans="1:12">
      <c r="A485" s="96">
        <v>43987</v>
      </c>
      <c r="B485" s="101">
        <v>183.6</v>
      </c>
      <c r="C485" s="1">
        <f t="shared" si="14"/>
        <v>2.498268733772183E-2</v>
      </c>
      <c r="D485" s="1">
        <f>IFERROR(Comp3[[#This Row],[Comparable '#3 Return]]+1,"-")</f>
        <v>1.0249826873377219</v>
      </c>
      <c r="E485" s="6">
        <f>B485-MAX($B$2:B485)</f>
        <v>-4.4399999999999977</v>
      </c>
      <c r="F485" s="80">
        <f t="shared" si="15"/>
        <v>223</v>
      </c>
      <c r="G485" s="6">
        <f>IFERROR(Comp3[[#This Row],[Comparable '#3 Drawdown]]/MAX($B$2:B485),"-")</f>
        <v>-2.3611997447351617E-2</v>
      </c>
      <c r="H485" s="1" t="str">
        <f>IF(SUM(COUNTIF(Benchmark1[Benchmark '#1 Dates],Comp3[[#This Row],[Comparable '#3 Dates]]),COUNTIF(Benchmark2[Benchmark '#2 Dates],Comp3[[#This Row],[Comparable '#3 Dates]]))=2,"Pass","Fail")</f>
        <v>Pass</v>
      </c>
      <c r="I485" s="1">
        <f>IFERROR(Comp3[[#This Row],[Comparable '#3 Return]]-INDEX(Benchmark1[Benchmark '#1 Return],MATCH(Comp3[[#This Row],[Comparable '#3 Dates]],Benchmark1[Benchmark '#1 Dates],0)),"-")</f>
        <v>-8.9182276194340465E-4</v>
      </c>
      <c r="L485" s="72">
        <f>Comp3[[#This Row],[Comparable '#3 Price]]/$B$2*100</f>
        <v>156.64192475044791</v>
      </c>
    </row>
    <row r="486" spans="1:12">
      <c r="A486" s="96">
        <v>43990</v>
      </c>
      <c r="B486" s="101">
        <v>184.48</v>
      </c>
      <c r="C486" s="1">
        <f t="shared" si="14"/>
        <v>4.7815783343587159E-3</v>
      </c>
      <c r="D486" s="1">
        <f>IFERROR(Comp3[[#This Row],[Comparable '#3 Return]]+1,"-")</f>
        <v>1.0047815783343588</v>
      </c>
      <c r="E486" s="6">
        <f>B486-MAX($B$2:B486)</f>
        <v>-3.5600000000000023</v>
      </c>
      <c r="F486" s="80">
        <f t="shared" si="15"/>
        <v>224</v>
      </c>
      <c r="G486" s="6">
        <f>IFERROR(Comp3[[#This Row],[Comparable '#3 Drawdown]]/MAX($B$2:B486),"-")</f>
        <v>-1.8932142097426094E-2</v>
      </c>
      <c r="H486" s="1" t="str">
        <f>IF(SUM(COUNTIF(Benchmark1[Benchmark '#1 Dates],Comp3[[#This Row],[Comparable '#3 Dates]]),COUNTIF(Benchmark2[Benchmark '#2 Dates],Comp3[[#This Row],[Comparable '#3 Dates]]))=2,"Pass","Fail")</f>
        <v>Pass</v>
      </c>
      <c r="I486" s="1">
        <f>IFERROR(Comp3[[#This Row],[Comparable '#3 Return]]-INDEX(Benchmark1[Benchmark '#1 Return],MATCH(Comp3[[#This Row],[Comparable '#3 Dates]],Benchmark1[Benchmark '#1 Dates],0)),"-")</f>
        <v>-7.1874746621515238E-3</v>
      </c>
      <c r="L486" s="72">
        <f>Comp3[[#This Row],[Comparable '#3 Price]]/$B$2*100</f>
        <v>157.39271393225835</v>
      </c>
    </row>
    <row r="487" spans="1:12">
      <c r="A487" s="96">
        <v>43991</v>
      </c>
      <c r="B487" s="101">
        <v>179.93</v>
      </c>
      <c r="C487" s="1">
        <f t="shared" si="14"/>
        <v>-2.4973170156321469E-2</v>
      </c>
      <c r="D487" s="1">
        <f>IFERROR(Comp3[[#This Row],[Comparable '#3 Return]]+1,"-")</f>
        <v>0.9750268298436785</v>
      </c>
      <c r="E487" s="6">
        <f>B487-MAX($B$2:B487)</f>
        <v>-8.1099999999999852</v>
      </c>
      <c r="F487" s="80">
        <f t="shared" si="15"/>
        <v>225</v>
      </c>
      <c r="G487" s="6">
        <f>IFERROR(Comp3[[#This Row],[Comparable '#3 Drawdown]]/MAX($B$2:B487),"-")</f>
        <v>-4.312912146351832E-2</v>
      </c>
      <c r="H487" s="1" t="str">
        <f>IF(SUM(COUNTIF(Benchmark1[Benchmark '#1 Dates],Comp3[[#This Row],[Comparable '#3 Dates]]),COUNTIF(Benchmark2[Benchmark '#2 Dates],Comp3[[#This Row],[Comparable '#3 Dates]]))=2,"Pass","Fail")</f>
        <v>Pass</v>
      </c>
      <c r="I487" s="1">
        <f>IFERROR(Comp3[[#This Row],[Comparable '#3 Return]]-INDEX(Benchmark1[Benchmark '#1 Return],MATCH(Comp3[[#This Row],[Comparable '#3 Dates]],Benchmark1[Benchmark '#1 Dates],0)),"-")</f>
        <v>-1.7144124775689835E-2</v>
      </c>
      <c r="L487" s="72">
        <f>Comp3[[#This Row],[Comparable '#3 Price]]/$B$2*100</f>
        <v>153.51079259448855</v>
      </c>
    </row>
    <row r="488" spans="1:12">
      <c r="A488" s="96">
        <v>43992</v>
      </c>
      <c r="B488" s="101">
        <v>175.88</v>
      </c>
      <c r="C488" s="1">
        <f t="shared" si="14"/>
        <v>-2.2765942051818006E-2</v>
      </c>
      <c r="D488" s="1">
        <f>IFERROR(Comp3[[#This Row],[Comparable '#3 Return]]+1,"-")</f>
        <v>0.97723405794818197</v>
      </c>
      <c r="E488" s="6">
        <f>B488-MAX($B$2:B488)</f>
        <v>-12.159999999999997</v>
      </c>
      <c r="F488" s="80">
        <f t="shared" si="15"/>
        <v>226</v>
      </c>
      <c r="G488" s="6">
        <f>IFERROR(Comp3[[#This Row],[Comparable '#3 Drawdown]]/MAX($B$2:B488),"-")</f>
        <v>-6.4667092108062096E-2</v>
      </c>
      <c r="H488" s="1" t="str">
        <f>IF(SUM(COUNTIF(Benchmark1[Benchmark '#1 Dates],Comp3[[#This Row],[Comparable '#3 Dates]]),COUNTIF(Benchmark2[Benchmark '#2 Dates],Comp3[[#This Row],[Comparable '#3 Dates]]))=2,"Pass","Fail")</f>
        <v>Pass</v>
      </c>
      <c r="I488" s="1">
        <f>IFERROR(Comp3[[#This Row],[Comparable '#3 Return]]-INDEX(Benchmark1[Benchmark '#1 Return],MATCH(Comp3[[#This Row],[Comparable '#3 Dates]],Benchmark1[Benchmark '#1 Dates],0)),"-")</f>
        <v>-1.7438061379283377E-2</v>
      </c>
      <c r="L488" s="72">
        <f>Comp3[[#This Row],[Comparable '#3 Price]]/$B$2*100</f>
        <v>150.05545601911101</v>
      </c>
    </row>
    <row r="489" spans="1:12">
      <c r="A489" s="96">
        <v>43993</v>
      </c>
      <c r="B489" s="101">
        <v>164.61</v>
      </c>
      <c r="C489" s="1">
        <f t="shared" si="14"/>
        <v>-6.6222904573615488E-2</v>
      </c>
      <c r="D489" s="1">
        <f>IFERROR(Comp3[[#This Row],[Comparable '#3 Return]]+1,"-")</f>
        <v>0.93377709542638454</v>
      </c>
      <c r="E489" s="6">
        <f>B489-MAX($B$2:B489)</f>
        <v>-23.429999999999978</v>
      </c>
      <c r="F489" s="80">
        <f t="shared" si="15"/>
        <v>227</v>
      </c>
      <c r="G489" s="6">
        <f>IFERROR(Comp3[[#This Row],[Comparable '#3 Drawdown]]/MAX($B$2:B489),"-")</f>
        <v>-0.1246011486917676</v>
      </c>
      <c r="H489" s="1" t="str">
        <f>IF(SUM(COUNTIF(Benchmark1[Benchmark '#1 Dates],Comp3[[#This Row],[Comparable '#3 Dates]]),COUNTIF(Benchmark2[Benchmark '#2 Dates],Comp3[[#This Row],[Comparable '#3 Dates]]))=2,"Pass","Fail")</f>
        <v>Pass</v>
      </c>
      <c r="I489" s="1">
        <f>IFERROR(Comp3[[#This Row],[Comparable '#3 Return]]-INDEX(Benchmark1[Benchmark '#1 Return],MATCH(Comp3[[#This Row],[Comparable '#3 Dates]],Benchmark1[Benchmark '#1 Dates],0)),"-")</f>
        <v>-5.4698404884906196E-3</v>
      </c>
      <c r="L489" s="72">
        <f>Comp3[[#This Row],[Comparable '#3 Price]]/$B$2*100</f>
        <v>140.44023547478886</v>
      </c>
    </row>
    <row r="490" spans="1:12">
      <c r="A490" s="96">
        <v>43994</v>
      </c>
      <c r="B490" s="101">
        <v>161.61000000000001</v>
      </c>
      <c r="C490" s="1">
        <f t="shared" si="14"/>
        <v>-1.8393014378441628E-2</v>
      </c>
      <c r="D490" s="1">
        <f>IFERROR(Comp3[[#This Row],[Comparable '#3 Return]]+1,"-")</f>
        <v>0.98160698562155835</v>
      </c>
      <c r="E490" s="6">
        <f>B490-MAX($B$2:B490)</f>
        <v>-26.429999999999978</v>
      </c>
      <c r="F490" s="80">
        <f t="shared" si="15"/>
        <v>228</v>
      </c>
      <c r="G490" s="6">
        <f>IFERROR(Comp3[[#This Row],[Comparable '#3 Drawdown]]/MAX($B$2:B490),"-")</f>
        <v>-0.14055520102105923</v>
      </c>
      <c r="H490" s="1" t="str">
        <f>IF(SUM(COUNTIF(Benchmark1[Benchmark '#1 Dates],Comp3[[#This Row],[Comparable '#3 Dates]]),COUNTIF(Benchmark2[Benchmark '#2 Dates],Comp3[[#This Row],[Comparable '#3 Dates]]))=2,"Pass","Fail")</f>
        <v>Pass</v>
      </c>
      <c r="I490" s="1">
        <f>IFERROR(Comp3[[#This Row],[Comparable '#3 Return]]-INDEX(Benchmark1[Benchmark '#1 Return],MATCH(Comp3[[#This Row],[Comparable '#3 Dates]],Benchmark1[Benchmark '#1 Dates],0)),"-")</f>
        <v>-3.1371626526134344E-2</v>
      </c>
      <c r="L490" s="72">
        <f>Comp3[[#This Row],[Comparable '#3 Price]]/$B$2*100</f>
        <v>137.88072690043515</v>
      </c>
    </row>
    <row r="491" spans="1:12">
      <c r="A491" s="96">
        <v>43997</v>
      </c>
      <c r="B491" s="101">
        <v>148.13</v>
      </c>
      <c r="C491" s="1">
        <f t="shared" si="14"/>
        <v>-8.7095758766591411E-2</v>
      </c>
      <c r="D491" s="1">
        <f>IFERROR(Comp3[[#This Row],[Comparable '#3 Return]]+1,"-")</f>
        <v>0.91290424123340863</v>
      </c>
      <c r="E491" s="6">
        <f>B491-MAX($B$2:B491)</f>
        <v>-39.909999999999997</v>
      </c>
      <c r="F491" s="80">
        <f t="shared" si="15"/>
        <v>229</v>
      </c>
      <c r="G491" s="6">
        <f>IFERROR(Comp3[[#This Row],[Comparable '#3 Drawdown]]/MAX($B$2:B491),"-")</f>
        <v>-0.21224207615400978</v>
      </c>
      <c r="H491" s="1" t="str">
        <f>IF(SUM(COUNTIF(Benchmark1[Benchmark '#1 Dates],Comp3[[#This Row],[Comparable '#3 Dates]]),COUNTIF(Benchmark2[Benchmark '#2 Dates],Comp3[[#This Row],[Comparable '#3 Dates]]))=2,"Pass","Fail")</f>
        <v>Pass</v>
      </c>
      <c r="I491" s="1">
        <f>IFERROR(Comp3[[#This Row],[Comparable '#3 Return]]-INDEX(Benchmark1[Benchmark '#1 Return],MATCH(Comp3[[#This Row],[Comparable '#3 Dates]],Benchmark1[Benchmark '#1 Dates],0)),"-")</f>
        <v>-9.5372468554774617E-2</v>
      </c>
      <c r="L491" s="72">
        <f>Comp3[[#This Row],[Comparable '#3 Price]]/$B$2*100</f>
        <v>126.38000170633904</v>
      </c>
    </row>
    <row r="492" spans="1:12">
      <c r="A492" s="96">
        <v>43998</v>
      </c>
      <c r="B492" s="101">
        <v>155.37</v>
      </c>
      <c r="C492" s="1">
        <f t="shared" si="14"/>
        <v>4.7719102509949152E-2</v>
      </c>
      <c r="D492" s="1">
        <f>IFERROR(Comp3[[#This Row],[Comparable '#3 Return]]+1,"-")</f>
        <v>1.0477191025099493</v>
      </c>
      <c r="E492" s="6">
        <f>B492-MAX($B$2:B492)</f>
        <v>-32.669999999999987</v>
      </c>
      <c r="F492" s="80">
        <f t="shared" si="15"/>
        <v>230</v>
      </c>
      <c r="G492" s="6">
        <f>IFERROR(Comp3[[#This Row],[Comparable '#3 Drawdown]]/MAX($B$2:B492),"-")</f>
        <v>-0.1737396298659859</v>
      </c>
      <c r="H492" s="1" t="str">
        <f>IF(SUM(COUNTIF(Benchmark1[Benchmark '#1 Dates],Comp3[[#This Row],[Comparable '#3 Dates]]),COUNTIF(Benchmark2[Benchmark '#2 Dates],Comp3[[#This Row],[Comparable '#3 Dates]]))=2,"Pass","Fail")</f>
        <v>Pass</v>
      </c>
      <c r="I492" s="1">
        <f>IFERROR(Comp3[[#This Row],[Comparable '#3 Return]]-INDEX(Benchmark1[Benchmark '#1 Return],MATCH(Comp3[[#This Row],[Comparable '#3 Dates]],Benchmark1[Benchmark '#1 Dates],0)),"-")</f>
        <v>2.8933863832553079E-2</v>
      </c>
      <c r="L492" s="72">
        <f>Comp3[[#This Row],[Comparable '#3 Price]]/$B$2*100</f>
        <v>132.55694906577938</v>
      </c>
    </row>
    <row r="493" spans="1:12">
      <c r="A493" s="96">
        <v>43999</v>
      </c>
      <c r="B493" s="101">
        <v>150.24</v>
      </c>
      <c r="C493" s="1">
        <f t="shared" si="14"/>
        <v>-3.3575353643956925E-2</v>
      </c>
      <c r="D493" s="1">
        <f>IFERROR(Comp3[[#This Row],[Comparable '#3 Return]]+1,"-")</f>
        <v>0.96642464635604308</v>
      </c>
      <c r="E493" s="6">
        <f>B493-MAX($B$2:B493)</f>
        <v>-37.799999999999983</v>
      </c>
      <c r="F493" s="80">
        <f t="shared" si="15"/>
        <v>231</v>
      </c>
      <c r="G493" s="6">
        <f>IFERROR(Comp3[[#This Row],[Comparable '#3 Drawdown]]/MAX($B$2:B493),"-")</f>
        <v>-0.20102105934907458</v>
      </c>
      <c r="H493" s="1" t="str">
        <f>IF(SUM(COUNTIF(Benchmark1[Benchmark '#1 Dates],Comp3[[#This Row],[Comparable '#3 Dates]]),COUNTIF(Benchmark2[Benchmark '#2 Dates],Comp3[[#This Row],[Comparable '#3 Dates]]))=2,"Pass","Fail")</f>
        <v>Pass</v>
      </c>
      <c r="I493" s="1">
        <f>IFERROR(Comp3[[#This Row],[Comparable '#3 Return]]-INDEX(Benchmark1[Benchmark '#1 Return],MATCH(Comp3[[#This Row],[Comparable '#3 Dates]],Benchmark1[Benchmark '#1 Dates],0)),"-")</f>
        <v>-2.9968279550119499E-2</v>
      </c>
      <c r="L493" s="72">
        <f>Comp3[[#This Row],[Comparable '#3 Price]]/$B$2*100</f>
        <v>128.18018940363453</v>
      </c>
    </row>
    <row r="494" spans="1:12">
      <c r="A494" s="96">
        <v>44000</v>
      </c>
      <c r="B494" s="101">
        <v>148.51499999999999</v>
      </c>
      <c r="C494" s="1">
        <f t="shared" si="14"/>
        <v>-1.1548052217365237E-2</v>
      </c>
      <c r="D494" s="1">
        <f>IFERROR(Comp3[[#This Row],[Comparable '#3 Return]]+1,"-")</f>
        <v>0.98845194778263479</v>
      </c>
      <c r="E494" s="6">
        <f>B494-MAX($B$2:B494)</f>
        <v>-39.525000000000006</v>
      </c>
      <c r="F494" s="80">
        <f t="shared" si="15"/>
        <v>232</v>
      </c>
      <c r="G494" s="6">
        <f>IFERROR(Comp3[[#This Row],[Comparable '#3 Drawdown]]/MAX($B$2:B494),"-")</f>
        <v>-0.2101946394384174</v>
      </c>
      <c r="H494" s="1" t="str">
        <f>IF(SUM(COUNTIF(Benchmark1[Benchmark '#1 Dates],Comp3[[#This Row],[Comparable '#3 Dates]]),COUNTIF(Benchmark2[Benchmark '#2 Dates],Comp3[[#This Row],[Comparable '#3 Dates]]))=2,"Pass","Fail")</f>
        <v>Pass</v>
      </c>
      <c r="I494" s="1">
        <f>IFERROR(Comp3[[#This Row],[Comparable '#3 Return]]-INDEX(Benchmark1[Benchmark '#1 Return],MATCH(Comp3[[#This Row],[Comparable '#3 Dates]],Benchmark1[Benchmark '#1 Dates],0)),"-")</f>
        <v>-1.2143896209237663E-2</v>
      </c>
      <c r="L494" s="72">
        <f>Comp3[[#This Row],[Comparable '#3 Price]]/$B$2*100</f>
        <v>126.70847197338111</v>
      </c>
    </row>
    <row r="495" spans="1:12">
      <c r="A495" s="96">
        <v>44001</v>
      </c>
      <c r="B495" s="101">
        <v>145.93</v>
      </c>
      <c r="C495" s="1">
        <f t="shared" si="14"/>
        <v>-1.7558908562933163E-2</v>
      </c>
      <c r="D495" s="1">
        <f>IFERROR(Comp3[[#This Row],[Comparable '#3 Return]]+1,"-")</f>
        <v>0.98244109143706682</v>
      </c>
      <c r="E495" s="6">
        <f>B495-MAX($B$2:B495)</f>
        <v>-42.109999999999985</v>
      </c>
      <c r="F495" s="80">
        <f t="shared" si="15"/>
        <v>233</v>
      </c>
      <c r="G495" s="6">
        <f>IFERROR(Comp3[[#This Row],[Comparable '#3 Drawdown]]/MAX($B$2:B495),"-")</f>
        <v>-0.22394171452882358</v>
      </c>
      <c r="H495" s="1" t="str">
        <f>IF(SUM(COUNTIF(Benchmark1[Benchmark '#1 Dates],Comp3[[#This Row],[Comparable '#3 Dates]]),COUNTIF(Benchmark2[Benchmark '#2 Dates],Comp3[[#This Row],[Comparable '#3 Dates]]))=2,"Pass","Fail")</f>
        <v>Pass</v>
      </c>
      <c r="I495" s="1">
        <f>IFERROR(Comp3[[#This Row],[Comparable '#3 Return]]-INDEX(Benchmark1[Benchmark '#1 Return],MATCH(Comp3[[#This Row],[Comparable '#3 Dates]],Benchmark1[Benchmark '#1 Dates],0)),"-")</f>
        <v>-1.1892699773228457E-2</v>
      </c>
      <c r="L495" s="72">
        <f>Comp3[[#This Row],[Comparable '#3 Price]]/$B$2*100</f>
        <v>124.50302875181301</v>
      </c>
    </row>
    <row r="496" spans="1:12">
      <c r="A496" s="96">
        <v>44004</v>
      </c>
      <c r="B496" s="101">
        <v>153.29</v>
      </c>
      <c r="C496" s="1">
        <f t="shared" si="14"/>
        <v>4.9204497498361456E-2</v>
      </c>
      <c r="D496" s="1">
        <f>IFERROR(Comp3[[#This Row],[Comparable '#3 Return]]+1,"-")</f>
        <v>1.0492044974983614</v>
      </c>
      <c r="E496" s="6">
        <f>B496-MAX($B$2:B496)</f>
        <v>-34.75</v>
      </c>
      <c r="F496" s="80">
        <f t="shared" si="15"/>
        <v>234</v>
      </c>
      <c r="G496" s="6">
        <f>IFERROR(Comp3[[#This Row],[Comparable '#3 Drawdown]]/MAX($B$2:B496),"-")</f>
        <v>-0.18480110614762818</v>
      </c>
      <c r="H496" s="1" t="str">
        <f>IF(SUM(COUNTIF(Benchmark1[Benchmark '#1 Dates],Comp3[[#This Row],[Comparable '#3 Dates]]),COUNTIF(Benchmark2[Benchmark '#2 Dates],Comp3[[#This Row],[Comparable '#3 Dates]]))=2,"Pass","Fail")</f>
        <v>Pass</v>
      </c>
      <c r="I496" s="1">
        <f>IFERROR(Comp3[[#This Row],[Comparable '#3 Return]]-INDEX(Benchmark1[Benchmark '#1 Return],MATCH(Comp3[[#This Row],[Comparable '#3 Dates]],Benchmark1[Benchmark '#1 Dates],0)),"-")</f>
        <v>4.2730978748459457E-2</v>
      </c>
      <c r="L496" s="72">
        <f>Comp3[[#This Row],[Comparable '#3 Price]]/$B$2*100</f>
        <v>130.78235645422745</v>
      </c>
    </row>
    <row r="497" spans="1:12">
      <c r="A497" s="96">
        <v>44005</v>
      </c>
      <c r="B497" s="101">
        <v>151.94999999999999</v>
      </c>
      <c r="C497" s="1">
        <f t="shared" si="14"/>
        <v>-8.7800328152140197E-3</v>
      </c>
      <c r="D497" s="1">
        <f>IFERROR(Comp3[[#This Row],[Comparable '#3 Return]]+1,"-")</f>
        <v>0.991219967184786</v>
      </c>
      <c r="E497" s="6">
        <f>B497-MAX($B$2:B497)</f>
        <v>-36.090000000000003</v>
      </c>
      <c r="F497" s="80">
        <f t="shared" si="15"/>
        <v>235</v>
      </c>
      <c r="G497" s="6">
        <f>IFERROR(Comp3[[#This Row],[Comparable '#3 Drawdown]]/MAX($B$2:B497),"-")</f>
        <v>-0.19192724952137846</v>
      </c>
      <c r="H497" s="1" t="str">
        <f>IF(SUM(COUNTIF(Benchmark1[Benchmark '#1 Dates],Comp3[[#This Row],[Comparable '#3 Dates]]),COUNTIF(Benchmark2[Benchmark '#2 Dates],Comp3[[#This Row],[Comparable '#3 Dates]]))=2,"Pass","Fail")</f>
        <v>Pass</v>
      </c>
      <c r="I497" s="1">
        <f>IFERROR(Comp3[[#This Row],[Comparable '#3 Return]]-INDEX(Benchmark1[Benchmark '#1 Return],MATCH(Comp3[[#This Row],[Comparable '#3 Dates]],Benchmark1[Benchmark '#1 Dates],0)),"-")</f>
        <v>-1.3076560908516818E-2</v>
      </c>
      <c r="L497" s="72">
        <f>Comp3[[#This Row],[Comparable '#3 Price]]/$B$2*100</f>
        <v>129.63910929101613</v>
      </c>
    </row>
    <row r="498" spans="1:12">
      <c r="A498" s="96">
        <v>44006</v>
      </c>
      <c r="B498" s="101">
        <v>148.28</v>
      </c>
      <c r="C498" s="1">
        <f t="shared" si="14"/>
        <v>-2.444914108027053E-2</v>
      </c>
      <c r="D498" s="1">
        <f>IFERROR(Comp3[[#This Row],[Comparable '#3 Return]]+1,"-")</f>
        <v>0.97555085891972948</v>
      </c>
      <c r="E498" s="6">
        <f>B498-MAX($B$2:B498)</f>
        <v>-39.759999999999991</v>
      </c>
      <c r="F498" s="80">
        <f t="shared" si="15"/>
        <v>236</v>
      </c>
      <c r="G498" s="6">
        <f>IFERROR(Comp3[[#This Row],[Comparable '#3 Drawdown]]/MAX($B$2:B498),"-")</f>
        <v>-0.21144437353754517</v>
      </c>
      <c r="H498" s="1" t="str">
        <f>IF(SUM(COUNTIF(Benchmark1[Benchmark '#1 Dates],Comp3[[#This Row],[Comparable '#3 Dates]]),COUNTIF(Benchmark2[Benchmark '#2 Dates],Comp3[[#This Row],[Comparable '#3 Dates]]))=2,"Pass","Fail")</f>
        <v>Pass</v>
      </c>
      <c r="I498" s="1">
        <f>IFERROR(Comp3[[#This Row],[Comparable '#3 Return]]-INDEX(Benchmark1[Benchmark '#1 Return],MATCH(Comp3[[#This Row],[Comparable '#3 Dates]],Benchmark1[Benchmark '#1 Dates],0)),"-")</f>
        <v>1.7431852491121731E-3</v>
      </c>
      <c r="L498" s="72">
        <f>Comp3[[#This Row],[Comparable '#3 Price]]/$B$2*100</f>
        <v>126.50797713505675</v>
      </c>
    </row>
    <row r="499" spans="1:12">
      <c r="A499" s="96">
        <v>44007</v>
      </c>
      <c r="B499" s="101">
        <v>148.04</v>
      </c>
      <c r="C499" s="1">
        <f t="shared" si="14"/>
        <v>-1.6198707645763491E-3</v>
      </c>
      <c r="D499" s="1">
        <f>IFERROR(Comp3[[#This Row],[Comparable '#3 Return]]+1,"-")</f>
        <v>0.99838012923542363</v>
      </c>
      <c r="E499" s="6">
        <f>B499-MAX($B$2:B499)</f>
        <v>-40</v>
      </c>
      <c r="F499" s="80">
        <f t="shared" si="15"/>
        <v>237</v>
      </c>
      <c r="G499" s="6">
        <f>IFERROR(Comp3[[#This Row],[Comparable '#3 Drawdown]]/MAX($B$2:B499),"-")</f>
        <v>-0.21272069772388855</v>
      </c>
      <c r="H499" s="1" t="str">
        <f>IF(SUM(COUNTIF(Benchmark1[Benchmark '#1 Dates],Comp3[[#This Row],[Comparable '#3 Dates]]),COUNTIF(Benchmark2[Benchmark '#2 Dates],Comp3[[#This Row],[Comparable '#3 Dates]]))=2,"Pass","Fail")</f>
        <v>Pass</v>
      </c>
      <c r="I499" s="1">
        <f>IFERROR(Comp3[[#This Row],[Comparable '#3 Return]]-INDEX(Benchmark1[Benchmark '#1 Return],MATCH(Comp3[[#This Row],[Comparable '#3 Dates]],Benchmark1[Benchmark '#1 Dates],0)),"-")</f>
        <v>-1.2517413597699804E-2</v>
      </c>
      <c r="L499" s="72">
        <f>Comp3[[#This Row],[Comparable '#3 Price]]/$B$2*100</f>
        <v>126.30321644910845</v>
      </c>
    </row>
    <row r="500" spans="1:12">
      <c r="A500" s="96">
        <v>44008</v>
      </c>
      <c r="B500" s="101">
        <v>147.78</v>
      </c>
      <c r="C500" s="1">
        <f t="shared" si="14"/>
        <v>-1.7578261574536683E-3</v>
      </c>
      <c r="D500" s="1">
        <f>IFERROR(Comp3[[#This Row],[Comparable '#3 Return]]+1,"-")</f>
        <v>0.99824217384254632</v>
      </c>
      <c r="E500" s="6">
        <f>B500-MAX($B$2:B500)</f>
        <v>-40.259999999999991</v>
      </c>
      <c r="F500" s="80">
        <f t="shared" si="15"/>
        <v>238</v>
      </c>
      <c r="G500" s="6">
        <f>IFERROR(Comp3[[#This Row],[Comparable '#3 Drawdown]]/MAX($B$2:B500),"-")</f>
        <v>-0.21410338225909378</v>
      </c>
      <c r="H500" s="1" t="str">
        <f>IF(SUM(COUNTIF(Benchmark1[Benchmark '#1 Dates],Comp3[[#This Row],[Comparable '#3 Dates]]),COUNTIF(Benchmark2[Benchmark '#2 Dates],Comp3[[#This Row],[Comparable '#3 Dates]]))=2,"Pass","Fail")</f>
        <v>Pass</v>
      </c>
      <c r="I500" s="1">
        <f>IFERROR(Comp3[[#This Row],[Comparable '#3 Return]]-INDEX(Benchmark1[Benchmark '#1 Return],MATCH(Comp3[[#This Row],[Comparable '#3 Dates]],Benchmark1[Benchmark '#1 Dates],0)),"-")</f>
        <v>2.276584319596317E-2</v>
      </c>
      <c r="L500" s="72">
        <f>Comp3[[#This Row],[Comparable '#3 Price]]/$B$2*100</f>
        <v>126.08139237266445</v>
      </c>
    </row>
    <row r="501" spans="1:12">
      <c r="A501" s="96">
        <v>44011</v>
      </c>
      <c r="B501" s="101">
        <v>153.66999999999999</v>
      </c>
      <c r="C501" s="1">
        <f t="shared" si="14"/>
        <v>3.9082764706739284E-2</v>
      </c>
      <c r="D501" s="1">
        <f>IFERROR(Comp3[[#This Row],[Comparable '#3 Return]]+1,"-")</f>
        <v>1.0390827647067393</v>
      </c>
      <c r="E501" s="6">
        <f>B501-MAX($B$2:B501)</f>
        <v>-34.370000000000005</v>
      </c>
      <c r="F501" s="80">
        <f t="shared" si="15"/>
        <v>239</v>
      </c>
      <c r="G501" s="6">
        <f>IFERROR(Comp3[[#This Row],[Comparable '#3 Drawdown]]/MAX($B$2:B501),"-")</f>
        <v>-0.18278025951925125</v>
      </c>
      <c r="H501" s="1" t="str">
        <f>IF(SUM(COUNTIF(Benchmark1[Benchmark '#1 Dates],Comp3[[#This Row],[Comparable '#3 Dates]]),COUNTIF(Benchmark2[Benchmark '#2 Dates],Comp3[[#This Row],[Comparable '#3 Dates]]))=2,"Pass","Fail")</f>
        <v>Pass</v>
      </c>
      <c r="I501" s="1">
        <f>IFERROR(Comp3[[#This Row],[Comparable '#3 Return]]-INDEX(Benchmark1[Benchmark '#1 Return],MATCH(Comp3[[#This Row],[Comparable '#3 Dates]],Benchmark1[Benchmark '#1 Dates],0)),"-")</f>
        <v>2.4505016890765348E-2</v>
      </c>
      <c r="L501" s="72">
        <f>Comp3[[#This Row],[Comparable '#3 Price]]/$B$2*100</f>
        <v>131.10656087364558</v>
      </c>
    </row>
    <row r="502" spans="1:12">
      <c r="A502" s="96">
        <v>44012</v>
      </c>
      <c r="B502" s="101">
        <v>153.65</v>
      </c>
      <c r="C502" s="1">
        <f t="shared" si="14"/>
        <v>-1.3015749074717892E-4</v>
      </c>
      <c r="D502" s="1">
        <f>IFERROR(Comp3[[#This Row],[Comparable '#3 Return]]+1,"-")</f>
        <v>0.99986984250925282</v>
      </c>
      <c r="E502" s="6">
        <f>B502-MAX($B$2:B502)</f>
        <v>-34.389999999999986</v>
      </c>
      <c r="F502" s="80">
        <f t="shared" si="15"/>
        <v>240</v>
      </c>
      <c r="G502" s="6">
        <f>IFERROR(Comp3[[#This Row],[Comparable '#3 Drawdown]]/MAX($B$2:B502),"-")</f>
        <v>-0.18288661986811311</v>
      </c>
      <c r="H502" s="1" t="str">
        <f>IF(SUM(COUNTIF(Benchmark1[Benchmark '#1 Dates],Comp3[[#This Row],[Comparable '#3 Dates]]),COUNTIF(Benchmark2[Benchmark '#2 Dates],Comp3[[#This Row],[Comparable '#3 Dates]]))=2,"Pass","Fail")</f>
        <v>Pass</v>
      </c>
      <c r="I502" s="1">
        <f>IFERROR(Comp3[[#This Row],[Comparable '#3 Return]]-INDEX(Benchmark1[Benchmark '#1 Return],MATCH(Comp3[[#This Row],[Comparable '#3 Dates]],Benchmark1[Benchmark '#1 Dates],0)),"-")</f>
        <v>-1.5421282615389035E-2</v>
      </c>
      <c r="L502" s="72">
        <f>Comp3[[#This Row],[Comparable '#3 Price]]/$B$2*100</f>
        <v>131.0894974831499</v>
      </c>
    </row>
    <row r="503" spans="1:12">
      <c r="A503" s="96">
        <v>44013</v>
      </c>
      <c r="B503" s="101">
        <v>158.59</v>
      </c>
      <c r="C503" s="1">
        <f t="shared" si="14"/>
        <v>3.1644966934015903E-2</v>
      </c>
      <c r="D503" s="1">
        <f>IFERROR(Comp3[[#This Row],[Comparable '#3 Return]]+1,"-")</f>
        <v>1.031644966934016</v>
      </c>
      <c r="E503" s="6">
        <f>B503-MAX($B$2:B503)</f>
        <v>-29.449999999999989</v>
      </c>
      <c r="F503" s="80">
        <f t="shared" si="15"/>
        <v>241</v>
      </c>
      <c r="G503" s="6">
        <f>IFERROR(Comp3[[#This Row],[Comparable '#3 Drawdown]]/MAX($B$2:B503),"-")</f>
        <v>-0.15661561369921287</v>
      </c>
      <c r="H503" s="1" t="str">
        <f>IF(SUM(COUNTIF(Benchmark1[Benchmark '#1 Dates],Comp3[[#This Row],[Comparable '#3 Dates]]),COUNTIF(Benchmark2[Benchmark '#2 Dates],Comp3[[#This Row],[Comparable '#3 Dates]]))=2,"Pass","Fail")</f>
        <v>Pass</v>
      </c>
      <c r="I503" s="1">
        <f>IFERROR(Comp3[[#This Row],[Comparable '#3 Return]]-INDEX(Benchmark1[Benchmark '#1 Return],MATCH(Comp3[[#This Row],[Comparable '#3 Dates]],Benchmark1[Benchmark '#1 Dates],0)),"-")</f>
        <v>2.6634360351223012E-2</v>
      </c>
      <c r="L503" s="72">
        <f>Comp3[[#This Row],[Comparable '#3 Price]]/$B$2*100</f>
        <v>135.30415493558573</v>
      </c>
    </row>
    <row r="504" spans="1:12">
      <c r="A504" s="96">
        <v>44014</v>
      </c>
      <c r="B504" s="101">
        <v>158.52000000000001</v>
      </c>
      <c r="C504" s="1">
        <f t="shared" si="14"/>
        <v>-4.4148718827520018E-4</v>
      </c>
      <c r="D504" s="1">
        <f>IFERROR(Comp3[[#This Row],[Comparable '#3 Return]]+1,"-")</f>
        <v>0.99955851281172481</v>
      </c>
      <c r="E504" s="6">
        <f>B504-MAX($B$2:B504)</f>
        <v>-29.519999999999982</v>
      </c>
      <c r="F504" s="80">
        <f t="shared" si="15"/>
        <v>242</v>
      </c>
      <c r="G504" s="6">
        <f>IFERROR(Comp3[[#This Row],[Comparable '#3 Drawdown]]/MAX($B$2:B504),"-")</f>
        <v>-0.15698787492022964</v>
      </c>
      <c r="H504" s="1" t="str">
        <f>IF(SUM(COUNTIF(Benchmark1[Benchmark '#1 Dates],Comp3[[#This Row],[Comparable '#3 Dates]]),COUNTIF(Benchmark2[Benchmark '#2 Dates],Comp3[[#This Row],[Comparable '#3 Dates]]))=2,"Pass","Fail")</f>
        <v>Pass</v>
      </c>
      <c r="I504" s="1">
        <f>IFERROR(Comp3[[#This Row],[Comparable '#3 Return]]-INDEX(Benchmark1[Benchmark '#1 Return],MATCH(Comp3[[#This Row],[Comparable '#3 Dates]],Benchmark1[Benchmark '#1 Dates],0)),"-")</f>
        <v>-4.9738538048520325E-3</v>
      </c>
      <c r="L504" s="72">
        <f>Comp3[[#This Row],[Comparable '#3 Price]]/$B$2*100</f>
        <v>135.24443306885078</v>
      </c>
    </row>
    <row r="505" spans="1:12">
      <c r="A505" s="96">
        <v>44018</v>
      </c>
      <c r="B505" s="101">
        <v>161.07</v>
      </c>
      <c r="C505" s="1">
        <f t="shared" si="14"/>
        <v>1.5958284780353518E-2</v>
      </c>
      <c r="D505" s="1">
        <f>IFERROR(Comp3[[#This Row],[Comparable '#3 Return]]+1,"-")</f>
        <v>1.0159582847803534</v>
      </c>
      <c r="E505" s="6">
        <f>B505-MAX($B$2:B505)</f>
        <v>-26.97</v>
      </c>
      <c r="F505" s="80">
        <f t="shared" si="15"/>
        <v>243</v>
      </c>
      <c r="G505" s="6">
        <f>IFERROR(Comp3[[#This Row],[Comparable '#3 Drawdown]]/MAX($B$2:B505),"-")</f>
        <v>-0.14342693044033183</v>
      </c>
      <c r="H505" s="1" t="str">
        <f>IF(SUM(COUNTIF(Benchmark1[Benchmark '#1 Dates],Comp3[[#This Row],[Comparable '#3 Dates]]),COUNTIF(Benchmark2[Benchmark '#2 Dates],Comp3[[#This Row],[Comparable '#3 Dates]]))=2,"Pass","Fail")</f>
        <v>Pass</v>
      </c>
      <c r="I505" s="1">
        <f>IFERROR(Comp3[[#This Row],[Comparable '#3 Return]]-INDEX(Benchmark1[Benchmark '#1 Return],MATCH(Comp3[[#This Row],[Comparable '#3 Dates]],Benchmark1[Benchmark '#1 Dates],0)),"-")</f>
        <v>2.0259163025383373E-4</v>
      </c>
      <c r="L505" s="72">
        <f>Comp3[[#This Row],[Comparable '#3 Price]]/$B$2*100</f>
        <v>137.42001535705143</v>
      </c>
    </row>
    <row r="506" spans="1:12">
      <c r="A506" s="96">
        <v>44019</v>
      </c>
      <c r="B506" s="101">
        <v>157.93</v>
      </c>
      <c r="C506" s="1">
        <f t="shared" si="14"/>
        <v>-1.9687156220624471E-2</v>
      </c>
      <c r="D506" s="1">
        <f>IFERROR(Comp3[[#This Row],[Comparable '#3 Return]]+1,"-")</f>
        <v>0.98031284377937555</v>
      </c>
      <c r="E506" s="6">
        <f>B506-MAX($B$2:B506)</f>
        <v>-30.109999999999985</v>
      </c>
      <c r="F506" s="80">
        <f t="shared" si="15"/>
        <v>244</v>
      </c>
      <c r="G506" s="6">
        <f>IFERROR(Comp3[[#This Row],[Comparable '#3 Drawdown]]/MAX($B$2:B506),"-")</f>
        <v>-0.16012550521165703</v>
      </c>
      <c r="H506" s="1" t="str">
        <f>IF(SUM(COUNTIF(Benchmark1[Benchmark '#1 Dates],Comp3[[#This Row],[Comparable '#3 Dates]]),COUNTIF(Benchmark2[Benchmark '#2 Dates],Comp3[[#This Row],[Comparable '#3 Dates]]))=2,"Pass","Fail")</f>
        <v>Pass</v>
      </c>
      <c r="I506" s="1">
        <f>IFERROR(Comp3[[#This Row],[Comparable '#3 Return]]-INDEX(Benchmark1[Benchmark '#1 Return],MATCH(Comp3[[#This Row],[Comparable '#3 Dates]],Benchmark1[Benchmark '#1 Dates],0)),"-")</f>
        <v>-8.8094035836346167E-3</v>
      </c>
      <c r="L506" s="72">
        <f>Comp3[[#This Row],[Comparable '#3 Price]]/$B$2*100</f>
        <v>134.7410630492279</v>
      </c>
    </row>
    <row r="507" spans="1:12">
      <c r="A507" s="96">
        <v>44020</v>
      </c>
      <c r="B507" s="101">
        <v>156.85</v>
      </c>
      <c r="C507" s="1">
        <f t="shared" si="14"/>
        <v>-6.861962245276204E-3</v>
      </c>
      <c r="D507" s="1">
        <f>IFERROR(Comp3[[#This Row],[Comparable '#3 Return]]+1,"-")</f>
        <v>0.99313803775472376</v>
      </c>
      <c r="E507" s="6">
        <f>B507-MAX($B$2:B507)</f>
        <v>-31.189999999999998</v>
      </c>
      <c r="F507" s="80">
        <f t="shared" si="15"/>
        <v>245</v>
      </c>
      <c r="G507" s="6">
        <f>IFERROR(Comp3[[#This Row],[Comparable '#3 Drawdown]]/MAX($B$2:B507),"-")</f>
        <v>-0.16586896405020207</v>
      </c>
      <c r="H507" s="1" t="str">
        <f>IF(SUM(COUNTIF(Benchmark1[Benchmark '#1 Dates],Comp3[[#This Row],[Comparable '#3 Dates]]),COUNTIF(Benchmark2[Benchmark '#2 Dates],Comp3[[#This Row],[Comparable '#3 Dates]]))=2,"Pass","Fail")</f>
        <v>Pass</v>
      </c>
      <c r="I507" s="1">
        <f>IFERROR(Comp3[[#This Row],[Comparable '#3 Return]]-INDEX(Benchmark1[Benchmark '#1 Return],MATCH(Comp3[[#This Row],[Comparable '#3 Dates]],Benchmark1[Benchmark '#1 Dates],0)),"-")</f>
        <v>-1.4660620181419597E-2</v>
      </c>
      <c r="L507" s="72">
        <f>Comp3[[#This Row],[Comparable '#3 Price]]/$B$2*100</f>
        <v>133.81963996246054</v>
      </c>
    </row>
    <row r="508" spans="1:12">
      <c r="A508" s="96">
        <v>44021</v>
      </c>
      <c r="B508" s="101">
        <v>151.13</v>
      </c>
      <c r="C508" s="1">
        <f t="shared" si="14"/>
        <v>-3.7149541054657835E-2</v>
      </c>
      <c r="D508" s="1">
        <f>IFERROR(Comp3[[#This Row],[Comparable '#3 Return]]+1,"-")</f>
        <v>0.96285045894534216</v>
      </c>
      <c r="E508" s="6">
        <f>B508-MAX($B$2:B508)</f>
        <v>-36.909999999999997</v>
      </c>
      <c r="F508" s="80">
        <f t="shared" si="15"/>
        <v>246</v>
      </c>
      <c r="G508" s="6">
        <f>IFERROR(Comp3[[#This Row],[Comparable '#3 Drawdown]]/MAX($B$2:B508),"-")</f>
        <v>-0.19628802382471813</v>
      </c>
      <c r="H508" s="1" t="str">
        <f>IF(SUM(COUNTIF(Benchmark1[Benchmark '#1 Dates],Comp3[[#This Row],[Comparable '#3 Dates]]),COUNTIF(Benchmark2[Benchmark '#2 Dates],Comp3[[#This Row],[Comparable '#3 Dates]]))=2,"Pass","Fail")</f>
        <v>Pass</v>
      </c>
      <c r="I508" s="1">
        <f>IFERROR(Comp3[[#This Row],[Comparable '#3 Return]]-INDEX(Benchmark1[Benchmark '#1 Return],MATCH(Comp3[[#This Row],[Comparable '#3 Dates]],Benchmark1[Benchmark '#1 Dates],0)),"-")</f>
        <v>-3.1488486209085648E-2</v>
      </c>
      <c r="L508" s="72">
        <f>Comp3[[#This Row],[Comparable '#3 Price]]/$B$2*100</f>
        <v>128.93951028069276</v>
      </c>
    </row>
    <row r="509" spans="1:12">
      <c r="A509" s="96">
        <v>44022</v>
      </c>
      <c r="B509" s="101">
        <v>152.94999999999999</v>
      </c>
      <c r="C509" s="1">
        <f t="shared" si="14"/>
        <v>1.1970677014883035E-2</v>
      </c>
      <c r="D509" s="1">
        <f>IFERROR(Comp3[[#This Row],[Comparable '#3 Return]]+1,"-")</f>
        <v>1.0119706770148831</v>
      </c>
      <c r="E509" s="6">
        <f>B509-MAX($B$2:B509)</f>
        <v>-35.090000000000003</v>
      </c>
      <c r="F509" s="80">
        <f t="shared" si="15"/>
        <v>247</v>
      </c>
      <c r="G509" s="6">
        <f>IFERROR(Comp3[[#This Row],[Comparable '#3 Drawdown]]/MAX($B$2:B509),"-")</f>
        <v>-0.18660923207828126</v>
      </c>
      <c r="H509" s="1" t="str">
        <f>IF(SUM(COUNTIF(Benchmark1[Benchmark '#1 Dates],Comp3[[#This Row],[Comparable '#3 Dates]]),COUNTIF(Benchmark2[Benchmark '#2 Dates],Comp3[[#This Row],[Comparable '#3 Dates]]))=2,"Pass","Fail")</f>
        <v>Pass</v>
      </c>
      <c r="I509" s="1">
        <f>IFERROR(Comp3[[#This Row],[Comparable '#3 Return]]-INDEX(Benchmark1[Benchmark '#1 Return],MATCH(Comp3[[#This Row],[Comparable '#3 Dates]],Benchmark1[Benchmark '#1 Dates],0)),"-")</f>
        <v>1.5577034310304289E-3</v>
      </c>
      <c r="L509" s="72">
        <f>Comp3[[#This Row],[Comparable '#3 Price]]/$B$2*100</f>
        <v>130.49227881580069</v>
      </c>
    </row>
    <row r="510" spans="1:12">
      <c r="A510" s="96">
        <v>44025</v>
      </c>
      <c r="B510" s="101">
        <v>152.4</v>
      </c>
      <c r="C510" s="1">
        <f t="shared" si="14"/>
        <v>-3.6024273443664881E-3</v>
      </c>
      <c r="D510" s="1">
        <f>IFERROR(Comp3[[#This Row],[Comparable '#3 Return]]+1,"-")</f>
        <v>0.99639757265563356</v>
      </c>
      <c r="E510" s="6">
        <f>B510-MAX($B$2:B510)</f>
        <v>-35.639999999999986</v>
      </c>
      <c r="F510" s="80">
        <f t="shared" si="15"/>
        <v>248</v>
      </c>
      <c r="G510" s="6">
        <f>IFERROR(Comp3[[#This Row],[Comparable '#3 Drawdown]]/MAX($B$2:B510),"-")</f>
        <v>-0.18953414167198462</v>
      </c>
      <c r="H510" s="1" t="str">
        <f>IF(SUM(COUNTIF(Benchmark1[Benchmark '#1 Dates],Comp3[[#This Row],[Comparable '#3 Dates]]),COUNTIF(Benchmark2[Benchmark '#2 Dates],Comp3[[#This Row],[Comparable '#3 Dates]]))=2,"Pass","Fail")</f>
        <v>Pass</v>
      </c>
      <c r="I510" s="1">
        <f>IFERROR(Comp3[[#This Row],[Comparable '#3 Return]]-INDEX(Benchmark1[Benchmark '#1 Return],MATCH(Comp3[[#This Row],[Comparable '#3 Dates]],Benchmark1[Benchmark '#1 Dates],0)),"-")</f>
        <v>5.8037798898289989E-3</v>
      </c>
      <c r="L510" s="72">
        <f>Comp3[[#This Row],[Comparable '#3 Price]]/$B$2*100</f>
        <v>130.0230355771692</v>
      </c>
    </row>
    <row r="511" spans="1:12">
      <c r="A511" s="96">
        <v>44026</v>
      </c>
      <c r="B511" s="101">
        <v>153.31</v>
      </c>
      <c r="C511" s="1">
        <f t="shared" si="14"/>
        <v>5.9533720698169692E-3</v>
      </c>
      <c r="D511" s="1">
        <f>IFERROR(Comp3[[#This Row],[Comparable '#3 Return]]+1,"-")</f>
        <v>1.0059533720698171</v>
      </c>
      <c r="E511" s="6">
        <f>B511-MAX($B$2:B511)</f>
        <v>-34.72999999999999</v>
      </c>
      <c r="F511" s="80">
        <f t="shared" si="15"/>
        <v>249</v>
      </c>
      <c r="G511" s="6">
        <f>IFERROR(Comp3[[#This Row],[Comparable '#3 Drawdown]]/MAX($B$2:B511),"-")</f>
        <v>-0.18469474579876619</v>
      </c>
      <c r="H511" s="1" t="str">
        <f>IF(SUM(COUNTIF(Benchmark1[Benchmark '#1 Dates],Comp3[[#This Row],[Comparable '#3 Dates]]),COUNTIF(Benchmark2[Benchmark '#2 Dates],Comp3[[#This Row],[Comparable '#3 Dates]]))=2,"Pass","Fail")</f>
        <v>Pass</v>
      </c>
      <c r="I511" s="1">
        <f>IFERROR(Comp3[[#This Row],[Comparable '#3 Return]]-INDEX(Benchmark1[Benchmark '#1 Return],MATCH(Comp3[[#This Row],[Comparable '#3 Dates]],Benchmark1[Benchmark '#1 Dates],0)),"-")</f>
        <v>-7.3635101463649143E-3</v>
      </c>
      <c r="L511" s="72">
        <f>Comp3[[#This Row],[Comparable '#3 Price]]/$B$2*100</f>
        <v>130.79941984472316</v>
      </c>
    </row>
    <row r="512" spans="1:12">
      <c r="A512" s="96">
        <v>44027</v>
      </c>
      <c r="B512" s="101">
        <v>163.16</v>
      </c>
      <c r="C512" s="1">
        <f t="shared" si="14"/>
        <v>6.2269299126994797E-2</v>
      </c>
      <c r="D512" s="1">
        <f>IFERROR(Comp3[[#This Row],[Comparable '#3 Return]]+1,"-")</f>
        <v>1.0622692991269949</v>
      </c>
      <c r="E512" s="6">
        <f>B512-MAX($B$2:B512)</f>
        <v>-24.879999999999995</v>
      </c>
      <c r="F512" s="80">
        <f t="shared" si="15"/>
        <v>250</v>
      </c>
      <c r="G512" s="6">
        <f>IFERROR(Comp3[[#This Row],[Comparable '#3 Drawdown]]/MAX($B$2:B512),"-")</f>
        <v>-0.13231227398425865</v>
      </c>
      <c r="H512" s="1" t="str">
        <f>IF(SUM(COUNTIF(Benchmark1[Benchmark '#1 Dates],Comp3[[#This Row],[Comparable '#3 Dates]]),COUNTIF(Benchmark2[Benchmark '#2 Dates],Comp3[[#This Row],[Comparable '#3 Dates]]))=2,"Pass","Fail")</f>
        <v>Pass</v>
      </c>
      <c r="I512" s="1">
        <f>IFERROR(Comp3[[#This Row],[Comparable '#3 Return]]-INDEX(Benchmark1[Benchmark '#1 Return],MATCH(Comp3[[#This Row],[Comparable '#3 Dates]],Benchmark1[Benchmark '#1 Dates],0)),"-")</f>
        <v>5.3229204438269118E-2</v>
      </c>
      <c r="L512" s="72">
        <f>Comp3[[#This Row],[Comparable '#3 Price]]/$B$2*100</f>
        <v>139.2031396638512</v>
      </c>
    </row>
    <row r="513" spans="1:12">
      <c r="A513" s="96">
        <v>44028</v>
      </c>
      <c r="B513" s="101">
        <v>163.27000000000001</v>
      </c>
      <c r="C513" s="1">
        <f t="shared" si="14"/>
        <v>6.7395768871535144E-4</v>
      </c>
      <c r="D513" s="1">
        <f>IFERROR(Comp3[[#This Row],[Comparable '#3 Return]]+1,"-")</f>
        <v>1.0006739576887154</v>
      </c>
      <c r="E513" s="6">
        <f>B513-MAX($B$2:B513)</f>
        <v>-24.769999999999982</v>
      </c>
      <c r="F513" s="80">
        <f t="shared" si="15"/>
        <v>251</v>
      </c>
      <c r="G513" s="6">
        <f>IFERROR(Comp3[[#This Row],[Comparable '#3 Drawdown]]/MAX($B$2:B513),"-")</f>
        <v>-0.13172729206551789</v>
      </c>
      <c r="H513" s="1" t="str">
        <f>IF(SUM(COUNTIF(Benchmark1[Benchmark '#1 Dates],Comp3[[#This Row],[Comparable '#3 Dates]]),COUNTIF(Benchmark2[Benchmark '#2 Dates],Comp3[[#This Row],[Comparable '#3 Dates]]))=2,"Pass","Fail")</f>
        <v>Pass</v>
      </c>
      <c r="I513" s="1">
        <f>IFERROR(Comp3[[#This Row],[Comparable '#3 Return]]-INDEX(Benchmark1[Benchmark '#1 Return],MATCH(Comp3[[#This Row],[Comparable '#3 Dates]],Benchmark1[Benchmark '#1 Dates],0)),"-")</f>
        <v>4.0844134629648352E-3</v>
      </c>
      <c r="L513" s="72">
        <f>Comp3[[#This Row],[Comparable '#3 Price]]/$B$2*100</f>
        <v>139.29698831157754</v>
      </c>
    </row>
    <row r="514" spans="1:12">
      <c r="A514" s="96">
        <v>44029</v>
      </c>
      <c r="B514" s="101">
        <v>164.46</v>
      </c>
      <c r="C514" s="1">
        <f t="shared" ref="C514:C577" si="16">IFERROR(IF(B514="","-",LN(B514/B513)),"-")</f>
        <v>7.2621074046762615E-3</v>
      </c>
      <c r="D514" s="1">
        <f>IFERROR(Comp3[[#This Row],[Comparable '#3 Return]]+1,"-")</f>
        <v>1.0072621074046764</v>
      </c>
      <c r="E514" s="6">
        <f>B514-MAX($B$2:B514)</f>
        <v>-23.579999999999984</v>
      </c>
      <c r="F514" s="80">
        <f t="shared" ref="F514:F577" si="17">IF(E514=0,0,F513+1)</f>
        <v>252</v>
      </c>
      <c r="G514" s="6">
        <f>IFERROR(Comp3[[#This Row],[Comparable '#3 Drawdown]]/MAX($B$2:B514),"-")</f>
        <v>-0.12539885130823222</v>
      </c>
      <c r="H514" s="1" t="str">
        <f>IF(SUM(COUNTIF(Benchmark1[Benchmark '#1 Dates],Comp3[[#This Row],[Comparable '#3 Dates]]),COUNTIF(Benchmark2[Benchmark '#2 Dates],Comp3[[#This Row],[Comparable '#3 Dates]]))=2,"Pass","Fail")</f>
        <v>Pass</v>
      </c>
      <c r="I514" s="1">
        <f>IFERROR(Comp3[[#This Row],[Comparable '#3 Return]]-INDEX(Benchmark1[Benchmark '#1 Return],MATCH(Comp3[[#This Row],[Comparable '#3 Dates]],Benchmark1[Benchmark '#1 Dates],0)),"-")</f>
        <v>4.418552392559099E-3</v>
      </c>
      <c r="L514" s="72">
        <f>Comp3[[#This Row],[Comparable '#3 Price]]/$B$2*100</f>
        <v>140.31226004607115</v>
      </c>
    </row>
    <row r="515" spans="1:12">
      <c r="A515" s="96">
        <v>44032</v>
      </c>
      <c r="B515" s="101">
        <v>165.58</v>
      </c>
      <c r="C515" s="1">
        <f t="shared" si="16"/>
        <v>6.7870821679103148E-3</v>
      </c>
      <c r="D515" s="1">
        <f>IFERROR(Comp3[[#This Row],[Comparable '#3 Return]]+1,"-")</f>
        <v>1.0067870821679104</v>
      </c>
      <c r="E515" s="6">
        <f>B515-MAX($B$2:B515)</f>
        <v>-22.45999999999998</v>
      </c>
      <c r="F515" s="80">
        <f t="shared" si="17"/>
        <v>253</v>
      </c>
      <c r="G515" s="6">
        <f>IFERROR(Comp3[[#This Row],[Comparable '#3 Drawdown]]/MAX($B$2:B515),"-")</f>
        <v>-0.11944267177196331</v>
      </c>
      <c r="H515" s="1" t="str">
        <f>IF(SUM(COUNTIF(Benchmark1[Benchmark '#1 Dates],Comp3[[#This Row],[Comparable '#3 Dates]]),COUNTIF(Benchmark2[Benchmark '#2 Dates],Comp3[[#This Row],[Comparable '#3 Dates]]))=2,"Pass","Fail")</f>
        <v>Pass</v>
      </c>
      <c r="I515" s="1">
        <f>IFERROR(Comp3[[#This Row],[Comparable '#3 Return]]-INDEX(Benchmark1[Benchmark '#1 Return],MATCH(Comp3[[#This Row],[Comparable '#3 Dates]],Benchmark1[Benchmark '#1 Dates],0)),"-")</f>
        <v>-1.5851161945019112E-3</v>
      </c>
      <c r="L515" s="72">
        <f>Comp3[[#This Row],[Comparable '#3 Price]]/$B$2*100</f>
        <v>141.26780991382989</v>
      </c>
    </row>
    <row r="516" spans="1:12">
      <c r="A516" s="96">
        <v>44033</v>
      </c>
      <c r="B516" s="101">
        <v>168.63</v>
      </c>
      <c r="C516" s="1">
        <f t="shared" si="16"/>
        <v>1.8252503971433364E-2</v>
      </c>
      <c r="D516" s="1">
        <f>IFERROR(Comp3[[#This Row],[Comparable '#3 Return]]+1,"-")</f>
        <v>1.0182525039714334</v>
      </c>
      <c r="E516" s="6">
        <f>B516-MAX($B$2:B516)</f>
        <v>-19.409999999999997</v>
      </c>
      <c r="F516" s="80">
        <f t="shared" si="17"/>
        <v>254</v>
      </c>
      <c r="G516" s="6">
        <f>IFERROR(Comp3[[#This Row],[Comparable '#3 Drawdown]]/MAX($B$2:B516),"-")</f>
        <v>-0.1032227185705169</v>
      </c>
      <c r="H516" s="1" t="str">
        <f>IF(SUM(COUNTIF(Benchmark1[Benchmark '#1 Dates],Comp3[[#This Row],[Comparable '#3 Dates]]),COUNTIF(Benchmark2[Benchmark '#2 Dates],Comp3[[#This Row],[Comparable '#3 Dates]]))=2,"Pass","Fail")</f>
        <v>Pass</v>
      </c>
      <c r="I516" s="1">
        <f>IFERROR(Comp3[[#This Row],[Comparable '#3 Return]]-INDEX(Benchmark1[Benchmark '#1 Return],MATCH(Comp3[[#This Row],[Comparable '#3 Dates]],Benchmark1[Benchmark '#1 Dates],0)),"-")</f>
        <v>1.6576125244486595E-2</v>
      </c>
      <c r="L516" s="72">
        <f>Comp3[[#This Row],[Comparable '#3 Price]]/$B$2*100</f>
        <v>143.86997696442282</v>
      </c>
    </row>
    <row r="517" spans="1:12">
      <c r="A517" s="96">
        <v>44034</v>
      </c>
      <c r="B517" s="101">
        <v>167.7</v>
      </c>
      <c r="C517" s="1">
        <f t="shared" si="16"/>
        <v>-5.5302968529302209E-3</v>
      </c>
      <c r="D517" s="1">
        <f>IFERROR(Comp3[[#This Row],[Comparable '#3 Return]]+1,"-")</f>
        <v>0.99446970314706973</v>
      </c>
      <c r="E517" s="6">
        <f>B517-MAX($B$2:B517)</f>
        <v>-20.340000000000003</v>
      </c>
      <c r="F517" s="80">
        <f t="shared" si="17"/>
        <v>255</v>
      </c>
      <c r="G517" s="6">
        <f>IFERROR(Comp3[[#This Row],[Comparable '#3 Drawdown]]/MAX($B$2:B517),"-")</f>
        <v>-0.10816847479259734</v>
      </c>
      <c r="H517" s="1" t="str">
        <f>IF(SUM(COUNTIF(Benchmark1[Benchmark '#1 Dates],Comp3[[#This Row],[Comparable '#3 Dates]]),COUNTIF(Benchmark2[Benchmark '#2 Dates],Comp3[[#This Row],[Comparable '#3 Dates]]))=2,"Pass","Fail")</f>
        <v>Pass</v>
      </c>
      <c r="I517" s="1">
        <f>IFERROR(Comp3[[#This Row],[Comparable '#3 Return]]-INDEX(Benchmark1[Benchmark '#1 Return],MATCH(Comp3[[#This Row],[Comparable '#3 Dates]],Benchmark1[Benchmark '#1 Dates],0)),"-")</f>
        <v>-1.1260333440624989E-2</v>
      </c>
      <c r="L517" s="72">
        <f>Comp3[[#This Row],[Comparable '#3 Price]]/$B$2*100</f>
        <v>143.07652930637317</v>
      </c>
    </row>
    <row r="518" spans="1:12">
      <c r="A518" s="96">
        <v>44035</v>
      </c>
      <c r="B518" s="101">
        <v>166.92</v>
      </c>
      <c r="C518" s="1">
        <f t="shared" si="16"/>
        <v>-4.6620131058113011E-3</v>
      </c>
      <c r="D518" s="1">
        <f>IFERROR(Comp3[[#This Row],[Comparable '#3 Return]]+1,"-")</f>
        <v>0.99533798689418873</v>
      </c>
      <c r="E518" s="6">
        <f>B518-MAX($B$2:B518)</f>
        <v>-21.120000000000005</v>
      </c>
      <c r="F518" s="80">
        <f t="shared" si="17"/>
        <v>256</v>
      </c>
      <c r="G518" s="6">
        <f>IFERROR(Comp3[[#This Row],[Comparable '#3 Drawdown]]/MAX($B$2:B518),"-")</f>
        <v>-0.11231652839821317</v>
      </c>
      <c r="H518" s="1" t="str">
        <f>IF(SUM(COUNTIF(Benchmark1[Benchmark '#1 Dates],Comp3[[#This Row],[Comparable '#3 Dates]]),COUNTIF(Benchmark2[Benchmark '#2 Dates],Comp3[[#This Row],[Comparable '#3 Dates]]))=2,"Pass","Fail")</f>
        <v>Pass</v>
      </c>
      <c r="I518" s="1">
        <f>IFERROR(Comp3[[#This Row],[Comparable '#3 Return]]-INDEX(Benchmark1[Benchmark '#1 Return],MATCH(Comp3[[#This Row],[Comparable '#3 Dates]],Benchmark1[Benchmark '#1 Dates],0)),"-")</f>
        <v>7.7321145299413694E-3</v>
      </c>
      <c r="L518" s="72">
        <f>Comp3[[#This Row],[Comparable '#3 Price]]/$B$2*100</f>
        <v>142.41105707704119</v>
      </c>
    </row>
    <row r="519" spans="1:12">
      <c r="A519" s="96">
        <v>44036</v>
      </c>
      <c r="B519" s="101">
        <v>163.83000000000001</v>
      </c>
      <c r="C519" s="1">
        <f t="shared" si="16"/>
        <v>-1.868535089117963E-2</v>
      </c>
      <c r="D519" s="1">
        <f>IFERROR(Comp3[[#This Row],[Comparable '#3 Return]]+1,"-")</f>
        <v>0.98131464910882038</v>
      </c>
      <c r="E519" s="6">
        <f>B519-MAX($B$2:B519)</f>
        <v>-24.20999999999998</v>
      </c>
      <c r="F519" s="80">
        <f t="shared" si="17"/>
        <v>257</v>
      </c>
      <c r="G519" s="6">
        <f>IFERROR(Comp3[[#This Row],[Comparable '#3 Drawdown]]/MAX($B$2:B519),"-")</f>
        <v>-0.12874920229738343</v>
      </c>
      <c r="H519" s="1" t="str">
        <f>IF(SUM(COUNTIF(Benchmark1[Benchmark '#1 Dates],Comp3[[#This Row],[Comparable '#3 Dates]]),COUNTIF(Benchmark2[Benchmark '#2 Dates],Comp3[[#This Row],[Comparable '#3 Dates]]))=2,"Pass","Fail")</f>
        <v>Pass</v>
      </c>
      <c r="I519" s="1">
        <f>IFERROR(Comp3[[#This Row],[Comparable '#3 Return]]-INDEX(Benchmark1[Benchmark '#1 Return],MATCH(Comp3[[#This Row],[Comparable '#3 Dates]],Benchmark1[Benchmark '#1 Dates],0)),"-")</f>
        <v>-1.2474654275249854E-2</v>
      </c>
      <c r="L519" s="72">
        <f>Comp3[[#This Row],[Comparable '#3 Price]]/$B$2*100</f>
        <v>139.77476324545691</v>
      </c>
    </row>
    <row r="520" spans="1:12">
      <c r="A520" s="96">
        <v>44039</v>
      </c>
      <c r="B520" s="101">
        <v>165.34</v>
      </c>
      <c r="C520" s="1">
        <f t="shared" si="16"/>
        <v>9.1746549923574349E-3</v>
      </c>
      <c r="D520" s="1">
        <f>IFERROR(Comp3[[#This Row],[Comparable '#3 Return]]+1,"-")</f>
        <v>1.0091746549923575</v>
      </c>
      <c r="E520" s="6">
        <f>B520-MAX($B$2:B520)</f>
        <v>-22.699999999999989</v>
      </c>
      <c r="F520" s="80">
        <f t="shared" si="17"/>
        <v>258</v>
      </c>
      <c r="G520" s="6">
        <f>IFERROR(Comp3[[#This Row],[Comparable '#3 Drawdown]]/MAX($B$2:B520),"-")</f>
        <v>-0.12071899595830669</v>
      </c>
      <c r="H520" s="1" t="str">
        <f>IF(SUM(COUNTIF(Benchmark1[Benchmark '#1 Dates],Comp3[[#This Row],[Comparable '#3 Dates]]),COUNTIF(Benchmark2[Benchmark '#2 Dates],Comp3[[#This Row],[Comparable '#3 Dates]]))=2,"Pass","Fail")</f>
        <v>Pass</v>
      </c>
      <c r="I520" s="1">
        <f>IFERROR(Comp3[[#This Row],[Comparable '#3 Return]]-INDEX(Benchmark1[Benchmark '#1 Return],MATCH(Comp3[[#This Row],[Comparable '#3 Dates]],Benchmark1[Benchmark '#1 Dates],0)),"-")</f>
        <v>1.8078149305581701E-3</v>
      </c>
      <c r="L520" s="72">
        <f>Comp3[[#This Row],[Comparable '#3 Price]]/$B$2*100</f>
        <v>141.06304922788161</v>
      </c>
    </row>
    <row r="521" spans="1:12">
      <c r="A521" s="96">
        <v>44040</v>
      </c>
      <c r="B521" s="101">
        <v>163.66</v>
      </c>
      <c r="C521" s="1">
        <f t="shared" si="16"/>
        <v>-1.021285472529398E-2</v>
      </c>
      <c r="D521" s="1">
        <f>IFERROR(Comp3[[#This Row],[Comparable '#3 Return]]+1,"-")</f>
        <v>0.98978714527470602</v>
      </c>
      <c r="E521" s="6">
        <f>B521-MAX($B$2:B521)</f>
        <v>-24.379999999999995</v>
      </c>
      <c r="F521" s="80">
        <f t="shared" si="17"/>
        <v>259</v>
      </c>
      <c r="G521" s="6">
        <f>IFERROR(Comp3[[#This Row],[Comparable '#3 Drawdown]]/MAX($B$2:B521),"-")</f>
        <v>-0.12965326526271004</v>
      </c>
      <c r="H521" s="1" t="str">
        <f>IF(SUM(COUNTIF(Benchmark1[Benchmark '#1 Dates],Comp3[[#This Row],[Comparable '#3 Dates]]),COUNTIF(Benchmark2[Benchmark '#2 Dates],Comp3[[#This Row],[Comparable '#3 Dates]]))=2,"Pass","Fail")</f>
        <v>Pass</v>
      </c>
      <c r="I521" s="1">
        <f>IFERROR(Comp3[[#This Row],[Comparable '#3 Return]]-INDEX(Benchmark1[Benchmark '#1 Return],MATCH(Comp3[[#This Row],[Comparable '#3 Dates]],Benchmark1[Benchmark '#1 Dates],0)),"-")</f>
        <v>-3.71807114089397E-3</v>
      </c>
      <c r="L521" s="72">
        <f>Comp3[[#This Row],[Comparable '#3 Price]]/$B$2*100</f>
        <v>139.62972442624351</v>
      </c>
    </row>
    <row r="522" spans="1:12">
      <c r="A522" s="96">
        <v>44041</v>
      </c>
      <c r="B522" s="101">
        <v>139.51</v>
      </c>
      <c r="C522" s="1">
        <f t="shared" si="16"/>
        <v>-0.15965482181921908</v>
      </c>
      <c r="D522" s="1">
        <f>IFERROR(Comp3[[#This Row],[Comparable '#3 Return]]+1,"-")</f>
        <v>0.84034517818078092</v>
      </c>
      <c r="E522" s="6">
        <f>B522-MAX($B$2:B522)</f>
        <v>-48.53</v>
      </c>
      <c r="F522" s="80">
        <f t="shared" si="17"/>
        <v>260</v>
      </c>
      <c r="G522" s="6">
        <f>IFERROR(Comp3[[#This Row],[Comparable '#3 Drawdown]]/MAX($B$2:B522),"-")</f>
        <v>-0.25808338651350776</v>
      </c>
      <c r="H522" s="1" t="str">
        <f>IF(SUM(COUNTIF(Benchmark1[Benchmark '#1 Dates],Comp3[[#This Row],[Comparable '#3 Dates]]),COUNTIF(Benchmark2[Benchmark '#2 Dates],Comp3[[#This Row],[Comparable '#3 Dates]]))=2,"Pass","Fail")</f>
        <v>Pass</v>
      </c>
      <c r="I522" s="1">
        <f>IFERROR(Comp3[[#This Row],[Comparable '#3 Return]]-INDEX(Benchmark1[Benchmark '#1 Return],MATCH(Comp3[[#This Row],[Comparable '#3 Dates]],Benchmark1[Benchmark '#1 Dates],0)),"-")</f>
        <v>-0.1720077741295491</v>
      </c>
      <c r="L522" s="72">
        <f>Comp3[[#This Row],[Comparable '#3 Price]]/$B$2*100</f>
        <v>119.02568040269601</v>
      </c>
    </row>
    <row r="523" spans="1:12">
      <c r="A523" s="96">
        <v>44042</v>
      </c>
      <c r="B523" s="101">
        <v>134.4</v>
      </c>
      <c r="C523" s="1">
        <f t="shared" si="16"/>
        <v>-3.7315855190967341E-2</v>
      </c>
      <c r="D523" s="1">
        <f>IFERROR(Comp3[[#This Row],[Comparable '#3 Return]]+1,"-")</f>
        <v>0.96268414480903264</v>
      </c>
      <c r="E523" s="6">
        <f>B523-MAX($B$2:B523)</f>
        <v>-53.639999999999986</v>
      </c>
      <c r="F523" s="80">
        <f t="shared" si="17"/>
        <v>261</v>
      </c>
      <c r="G523" s="6">
        <f>IFERROR(Comp3[[#This Row],[Comparable '#3 Drawdown]]/MAX($B$2:B523),"-")</f>
        <v>-0.28525845564773444</v>
      </c>
      <c r="H523" s="1" t="str">
        <f>IF(SUM(COUNTIF(Benchmark1[Benchmark '#1 Dates],Comp3[[#This Row],[Comparable '#3 Dates]]),COUNTIF(Benchmark2[Benchmark '#2 Dates],Comp3[[#This Row],[Comparable '#3 Dates]]))=2,"Pass","Fail")</f>
        <v>Pass</v>
      </c>
      <c r="I523" s="1">
        <f>IFERROR(Comp3[[#This Row],[Comparable '#3 Return]]-INDEX(Benchmark1[Benchmark '#1 Return],MATCH(Comp3[[#This Row],[Comparable '#3 Dates]],Benchmark1[Benchmark '#1 Dates],0)),"-")</f>
        <v>-3.3560263590310946E-2</v>
      </c>
      <c r="L523" s="72">
        <f>Comp3[[#This Row],[Comparable '#3 Price]]/$B$2*100</f>
        <v>114.66598413104686</v>
      </c>
    </row>
    <row r="524" spans="1:12">
      <c r="A524" s="96">
        <v>44043</v>
      </c>
      <c r="B524" s="101">
        <v>126.21</v>
      </c>
      <c r="C524" s="1">
        <f t="shared" si="16"/>
        <v>-6.2873241818510062E-2</v>
      </c>
      <c r="D524" s="1">
        <f>IFERROR(Comp3[[#This Row],[Comparable '#3 Return]]+1,"-")</f>
        <v>0.93712675818148994</v>
      </c>
      <c r="E524" s="6">
        <f>B524-MAX($B$2:B524)</f>
        <v>-61.83</v>
      </c>
      <c r="F524" s="80">
        <f t="shared" si="17"/>
        <v>262</v>
      </c>
      <c r="G524" s="6">
        <f>IFERROR(Comp3[[#This Row],[Comparable '#3 Drawdown]]/MAX($B$2:B524),"-")</f>
        <v>-0.32881301850670069</v>
      </c>
      <c r="H524" s="1" t="str">
        <f>IF(SUM(COUNTIF(Benchmark1[Benchmark '#1 Dates],Comp3[[#This Row],[Comparable '#3 Dates]]),COUNTIF(Benchmark2[Benchmark '#2 Dates],Comp3[[#This Row],[Comparable '#3 Dates]]))=2,"Pass","Fail")</f>
        <v>Pass</v>
      </c>
      <c r="I524" s="1">
        <f>IFERROR(Comp3[[#This Row],[Comparable '#3 Return]]-INDEX(Benchmark1[Benchmark '#1 Return],MATCH(Comp3[[#This Row],[Comparable '#3 Dates]],Benchmark1[Benchmark '#1 Dates],0)),"-")</f>
        <v>-7.0514517497363816E-2</v>
      </c>
      <c r="L524" s="72">
        <f>Comp3[[#This Row],[Comparable '#3 Price]]/$B$2*100</f>
        <v>107.67852572306118</v>
      </c>
    </row>
    <row r="525" spans="1:12">
      <c r="A525" s="96">
        <v>44046</v>
      </c>
      <c r="B525" s="101">
        <v>120.49</v>
      </c>
      <c r="C525" s="1">
        <f t="shared" si="16"/>
        <v>-4.6380424335354185E-2</v>
      </c>
      <c r="D525" s="1">
        <f>IFERROR(Comp3[[#This Row],[Comparable '#3 Return]]+1,"-")</f>
        <v>0.95361957566464584</v>
      </c>
      <c r="E525" s="6">
        <f>B525-MAX($B$2:B525)</f>
        <v>-67.55</v>
      </c>
      <c r="F525" s="80">
        <f t="shared" si="17"/>
        <v>263</v>
      </c>
      <c r="G525" s="6">
        <f>IFERROR(Comp3[[#This Row],[Comparable '#3 Drawdown]]/MAX($B$2:B525),"-")</f>
        <v>-0.35923207828121678</v>
      </c>
      <c r="H525" s="1" t="str">
        <f>IF(SUM(COUNTIF(Benchmark1[Benchmark '#1 Dates],Comp3[[#This Row],[Comparable '#3 Dates]]),COUNTIF(Benchmark2[Benchmark '#2 Dates],Comp3[[#This Row],[Comparable '#3 Dates]]))=2,"Pass","Fail")</f>
        <v>Pass</v>
      </c>
      <c r="I525" s="1">
        <f>IFERROR(Comp3[[#This Row],[Comparable '#3 Return]]-INDEX(Benchmark1[Benchmark '#1 Return],MATCH(Comp3[[#This Row],[Comparable '#3 Dates]],Benchmark1[Benchmark '#1 Dates],0)),"-")</f>
        <v>-5.3535320010796035E-2</v>
      </c>
      <c r="L525" s="72">
        <f>Comp3[[#This Row],[Comparable '#3 Price]]/$B$2*100</f>
        <v>102.79839604129342</v>
      </c>
    </row>
    <row r="526" spans="1:12">
      <c r="A526" s="96">
        <v>44047</v>
      </c>
      <c r="B526" s="101">
        <v>117.84</v>
      </c>
      <c r="C526" s="1">
        <f t="shared" si="16"/>
        <v>-2.223898978081016E-2</v>
      </c>
      <c r="D526" s="1">
        <f>IFERROR(Comp3[[#This Row],[Comparable '#3 Return]]+1,"-")</f>
        <v>0.97776101021918982</v>
      </c>
      <c r="E526" s="6">
        <f>B526-MAX($B$2:B526)</f>
        <v>-70.199999999999989</v>
      </c>
      <c r="F526" s="80">
        <f t="shared" si="17"/>
        <v>264</v>
      </c>
      <c r="G526" s="6">
        <f>IFERROR(Comp3[[#This Row],[Comparable '#3 Drawdown]]/MAX($B$2:B526),"-")</f>
        <v>-0.37332482450542431</v>
      </c>
      <c r="H526" s="1" t="str">
        <f>IF(SUM(COUNTIF(Benchmark1[Benchmark '#1 Dates],Comp3[[#This Row],[Comparable '#3 Dates]]),COUNTIF(Benchmark2[Benchmark '#2 Dates],Comp3[[#This Row],[Comparable '#3 Dates]]))=2,"Pass","Fail")</f>
        <v>Pass</v>
      </c>
      <c r="I526" s="1">
        <f>IFERROR(Comp3[[#This Row],[Comparable '#3 Return]]-INDEX(Benchmark1[Benchmark '#1 Return],MATCH(Comp3[[#This Row],[Comparable '#3 Dates]],Benchmark1[Benchmark '#1 Dates],0)),"-")</f>
        <v>-2.5842680421264249E-2</v>
      </c>
      <c r="L526" s="72">
        <f>Comp3[[#This Row],[Comparable '#3 Price]]/$B$2*100</f>
        <v>100.53749680061431</v>
      </c>
    </row>
    <row r="527" spans="1:12">
      <c r="A527" s="96">
        <v>44048</v>
      </c>
      <c r="B527" s="101">
        <v>114.35</v>
      </c>
      <c r="C527" s="1">
        <f t="shared" si="16"/>
        <v>-3.0063851685584744E-2</v>
      </c>
      <c r="D527" s="1">
        <f>IFERROR(Comp3[[#This Row],[Comparable '#3 Return]]+1,"-")</f>
        <v>0.96993614831441521</v>
      </c>
      <c r="E527" s="6">
        <f>B527-MAX($B$2:B527)</f>
        <v>-73.69</v>
      </c>
      <c r="F527" s="80">
        <f t="shared" si="17"/>
        <v>265</v>
      </c>
      <c r="G527" s="6">
        <f>IFERROR(Comp3[[#This Row],[Comparable '#3 Drawdown]]/MAX($B$2:B527),"-")</f>
        <v>-0.39188470538183368</v>
      </c>
      <c r="H527" s="1" t="str">
        <f>IF(SUM(COUNTIF(Benchmark1[Benchmark '#1 Dates],Comp3[[#This Row],[Comparable '#3 Dates]]),COUNTIF(Benchmark2[Benchmark '#2 Dates],Comp3[[#This Row],[Comparable '#3 Dates]]))=2,"Pass","Fail")</f>
        <v>Pass</v>
      </c>
      <c r="I527" s="1">
        <f>IFERROR(Comp3[[#This Row],[Comparable '#3 Return]]-INDEX(Benchmark1[Benchmark '#1 Return],MATCH(Comp3[[#This Row],[Comparable '#3 Dates]],Benchmark1[Benchmark '#1 Dates],0)),"-")</f>
        <v>-3.6474071546674015E-2</v>
      </c>
      <c r="L527" s="72">
        <f>Comp3[[#This Row],[Comparable '#3 Price]]/$B$2*100</f>
        <v>97.559935159116122</v>
      </c>
    </row>
    <row r="528" spans="1:12">
      <c r="A528" s="96">
        <v>44049</v>
      </c>
      <c r="B528" s="101">
        <v>120.37</v>
      </c>
      <c r="C528" s="1">
        <f t="shared" si="16"/>
        <v>5.130641192285338E-2</v>
      </c>
      <c r="D528" s="1">
        <f>IFERROR(Comp3[[#This Row],[Comparable '#3 Return]]+1,"-")</f>
        <v>1.0513064119228535</v>
      </c>
      <c r="E528" s="6">
        <f>B528-MAX($B$2:B528)</f>
        <v>-67.669999999999987</v>
      </c>
      <c r="F528" s="80">
        <f t="shared" si="17"/>
        <v>266</v>
      </c>
      <c r="G528" s="6">
        <f>IFERROR(Comp3[[#This Row],[Comparable '#3 Drawdown]]/MAX($B$2:B528),"-")</f>
        <v>-0.35987024037438836</v>
      </c>
      <c r="H528" s="1" t="str">
        <f>IF(SUM(COUNTIF(Benchmark1[Benchmark '#1 Dates],Comp3[[#This Row],[Comparable '#3 Dates]]),COUNTIF(Benchmark2[Benchmark '#2 Dates],Comp3[[#This Row],[Comparable '#3 Dates]]))=2,"Pass","Fail")</f>
        <v>Pass</v>
      </c>
      <c r="I528" s="1">
        <f>IFERROR(Comp3[[#This Row],[Comparable '#3 Return]]-INDEX(Benchmark1[Benchmark '#1 Return],MATCH(Comp3[[#This Row],[Comparable '#3 Dates]],Benchmark1[Benchmark '#1 Dates],0)),"-")</f>
        <v>4.4900768078032012E-2</v>
      </c>
      <c r="L528" s="72">
        <f>Comp3[[#This Row],[Comparable '#3 Price]]/$B$2*100</f>
        <v>102.69601569831927</v>
      </c>
    </row>
    <row r="529" spans="1:12">
      <c r="A529" s="96">
        <v>44050</v>
      </c>
      <c r="B529" s="101">
        <v>116.36</v>
      </c>
      <c r="C529" s="1">
        <f t="shared" si="16"/>
        <v>-3.3881498764642602E-2</v>
      </c>
      <c r="D529" s="1">
        <f>IFERROR(Comp3[[#This Row],[Comparable '#3 Return]]+1,"-")</f>
        <v>0.96611850123535736</v>
      </c>
      <c r="E529" s="6">
        <f>B529-MAX($B$2:B529)</f>
        <v>-71.679999999999993</v>
      </c>
      <c r="F529" s="80">
        <f t="shared" si="17"/>
        <v>267</v>
      </c>
      <c r="G529" s="6">
        <f>IFERROR(Comp3[[#This Row],[Comparable '#3 Drawdown]]/MAX($B$2:B529),"-")</f>
        <v>-0.38119549032120825</v>
      </c>
      <c r="H529" s="1" t="str">
        <f>IF(SUM(COUNTIF(Benchmark1[Benchmark '#1 Dates],Comp3[[#This Row],[Comparable '#3 Dates]]),COUNTIF(Benchmark2[Benchmark '#2 Dates],Comp3[[#This Row],[Comparable '#3 Dates]]))=2,"Pass","Fail")</f>
        <v>Pass</v>
      </c>
      <c r="I529" s="1">
        <f>IFERROR(Comp3[[#This Row],[Comparable '#3 Return]]-INDEX(Benchmark1[Benchmark '#1 Return],MATCH(Comp3[[#This Row],[Comparable '#3 Dates]],Benchmark1[Benchmark '#1 Dates],0)),"-")</f>
        <v>-3.4516450172433225E-2</v>
      </c>
      <c r="L529" s="72">
        <f>Comp3[[#This Row],[Comparable '#3 Price]]/$B$2*100</f>
        <v>99.274805903933114</v>
      </c>
    </row>
    <row r="530" spans="1:12">
      <c r="A530" s="96">
        <v>44053</v>
      </c>
      <c r="B530" s="101">
        <v>121.19</v>
      </c>
      <c r="C530" s="1">
        <f t="shared" si="16"/>
        <v>4.0670728353395191E-2</v>
      </c>
      <c r="D530" s="1">
        <f>IFERROR(Comp3[[#This Row],[Comparable '#3 Return]]+1,"-")</f>
        <v>1.0406707283533951</v>
      </c>
      <c r="E530" s="6">
        <f>B530-MAX($B$2:B530)</f>
        <v>-66.849999999999994</v>
      </c>
      <c r="F530" s="80">
        <f t="shared" si="17"/>
        <v>268</v>
      </c>
      <c r="G530" s="6">
        <f>IFERROR(Comp3[[#This Row],[Comparable '#3 Drawdown]]/MAX($B$2:B530),"-")</f>
        <v>-0.35550946607104872</v>
      </c>
      <c r="H530" s="1" t="str">
        <f>IF(SUM(COUNTIF(Benchmark1[Benchmark '#1 Dates],Comp3[[#This Row],[Comparable '#3 Dates]]),COUNTIF(Benchmark2[Benchmark '#2 Dates],Comp3[[#This Row],[Comparable '#3 Dates]]))=2,"Pass","Fail")</f>
        <v>Pass</v>
      </c>
      <c r="I530" s="1">
        <f>IFERROR(Comp3[[#This Row],[Comparable '#3 Return]]-INDEX(Benchmark1[Benchmark '#1 Return],MATCH(Comp3[[#This Row],[Comparable '#3 Dates]],Benchmark1[Benchmark '#1 Dates],0)),"-")</f>
        <v>3.793239406102316E-2</v>
      </c>
      <c r="L530" s="72">
        <f>Comp3[[#This Row],[Comparable '#3 Price]]/$B$2*100</f>
        <v>103.3956147086426</v>
      </c>
    </row>
    <row r="531" spans="1:12">
      <c r="A531" s="96">
        <v>44054</v>
      </c>
      <c r="B531" s="101">
        <v>121.52</v>
      </c>
      <c r="C531" s="1">
        <f t="shared" si="16"/>
        <v>2.7192963071214619E-3</v>
      </c>
      <c r="D531" s="1">
        <f>IFERROR(Comp3[[#This Row],[Comparable '#3 Return]]+1,"-")</f>
        <v>1.0027192963071214</v>
      </c>
      <c r="E531" s="6">
        <f>B531-MAX($B$2:B531)</f>
        <v>-66.52</v>
      </c>
      <c r="F531" s="80">
        <f t="shared" si="17"/>
        <v>269</v>
      </c>
      <c r="G531" s="6">
        <f>IFERROR(Comp3[[#This Row],[Comparable '#3 Drawdown]]/MAX($B$2:B531),"-")</f>
        <v>-0.35375452031482663</v>
      </c>
      <c r="H531" s="1" t="str">
        <f>IF(SUM(COUNTIF(Benchmark1[Benchmark '#1 Dates],Comp3[[#This Row],[Comparable '#3 Dates]]),COUNTIF(Benchmark2[Benchmark '#2 Dates],Comp3[[#This Row],[Comparable '#3 Dates]]))=2,"Pass","Fail")</f>
        <v>Pass</v>
      </c>
      <c r="I531" s="1">
        <f>IFERROR(Comp3[[#This Row],[Comparable '#3 Return]]-INDEX(Benchmark1[Benchmark '#1 Return],MATCH(Comp3[[#This Row],[Comparable '#3 Dates]],Benchmark1[Benchmark '#1 Dates],0)),"-")</f>
        <v>1.0721416741409813E-2</v>
      </c>
      <c r="L531" s="72">
        <f>Comp3[[#This Row],[Comparable '#3 Price]]/$B$2*100</f>
        <v>103.67716065182151</v>
      </c>
    </row>
    <row r="532" spans="1:12">
      <c r="A532" s="96">
        <v>44055</v>
      </c>
      <c r="B532" s="101">
        <v>117.14</v>
      </c>
      <c r="C532" s="1">
        <f t="shared" si="16"/>
        <v>-3.6709057625881121E-2</v>
      </c>
      <c r="D532" s="1">
        <f>IFERROR(Comp3[[#This Row],[Comparable '#3 Return]]+1,"-")</f>
        <v>0.96329094237411883</v>
      </c>
      <c r="E532" s="6">
        <f>B532-MAX($B$2:B532)</f>
        <v>-70.899999999999991</v>
      </c>
      <c r="F532" s="80">
        <f t="shared" si="17"/>
        <v>270</v>
      </c>
      <c r="G532" s="6">
        <f>IFERROR(Comp3[[#This Row],[Comparable '#3 Drawdown]]/MAX($B$2:B532),"-")</f>
        <v>-0.37704743671559238</v>
      </c>
      <c r="H532" s="1" t="str">
        <f>IF(SUM(COUNTIF(Benchmark1[Benchmark '#1 Dates],Comp3[[#This Row],[Comparable '#3 Dates]]),COUNTIF(Benchmark2[Benchmark '#2 Dates],Comp3[[#This Row],[Comparable '#3 Dates]]))=2,"Pass","Fail")</f>
        <v>Pass</v>
      </c>
      <c r="I532" s="1">
        <f>IFERROR(Comp3[[#This Row],[Comparable '#3 Return]]-INDEX(Benchmark1[Benchmark '#1 Return],MATCH(Comp3[[#This Row],[Comparable '#3 Dates]],Benchmark1[Benchmark '#1 Dates],0)),"-")</f>
        <v>-5.0608701308695353E-2</v>
      </c>
      <c r="L532" s="72">
        <f>Comp3[[#This Row],[Comparable '#3 Price]]/$B$2*100</f>
        <v>99.940278133265082</v>
      </c>
    </row>
    <row r="533" spans="1:12">
      <c r="A533" s="96">
        <v>44056</v>
      </c>
      <c r="B533" s="101">
        <v>117.07</v>
      </c>
      <c r="C533" s="1">
        <f t="shared" si="16"/>
        <v>-5.9775417005519685E-4</v>
      </c>
      <c r="D533" s="1">
        <f>IFERROR(Comp3[[#This Row],[Comparable '#3 Return]]+1,"-")</f>
        <v>0.99940224582994486</v>
      </c>
      <c r="E533" s="6">
        <f>B533-MAX($B$2:B533)</f>
        <v>-70.97</v>
      </c>
      <c r="F533" s="80">
        <f t="shared" si="17"/>
        <v>271</v>
      </c>
      <c r="G533" s="6">
        <f>IFERROR(Comp3[[#This Row],[Comparable '#3 Drawdown]]/MAX($B$2:B533),"-")</f>
        <v>-0.37741969793660923</v>
      </c>
      <c r="H533" s="1" t="str">
        <f>IF(SUM(COUNTIF(Benchmark1[Benchmark '#1 Dates],Comp3[[#This Row],[Comparable '#3 Dates]]),COUNTIF(Benchmark2[Benchmark '#2 Dates],Comp3[[#This Row],[Comparable '#3 Dates]]))=2,"Pass","Fail")</f>
        <v>Pass</v>
      </c>
      <c r="I533" s="1">
        <f>IFERROR(Comp3[[#This Row],[Comparable '#3 Return]]-INDEX(Benchmark1[Benchmark '#1 Return],MATCH(Comp3[[#This Row],[Comparable '#3 Dates]],Benchmark1[Benchmark '#1 Dates],0)),"-")</f>
        <v>1.4526663839983479E-3</v>
      </c>
      <c r="L533" s="72">
        <f>Comp3[[#This Row],[Comparable '#3 Price]]/$B$2*100</f>
        <v>99.880556266530164</v>
      </c>
    </row>
    <row r="534" spans="1:12">
      <c r="A534" s="96">
        <v>44057</v>
      </c>
      <c r="B534" s="101">
        <v>117.66</v>
      </c>
      <c r="C534" s="1">
        <f t="shared" si="16"/>
        <v>5.0270629447288131E-3</v>
      </c>
      <c r="D534" s="1">
        <f>IFERROR(Comp3[[#This Row],[Comparable '#3 Return]]+1,"-")</f>
        <v>1.0050270629447289</v>
      </c>
      <c r="E534" s="6">
        <f>B534-MAX($B$2:B534)</f>
        <v>-70.38</v>
      </c>
      <c r="F534" s="80">
        <f t="shared" si="17"/>
        <v>272</v>
      </c>
      <c r="G534" s="6">
        <f>IFERROR(Comp3[[#This Row],[Comparable '#3 Drawdown]]/MAX($B$2:B534),"-")</f>
        <v>-0.37428206764518185</v>
      </c>
      <c r="H534" s="1" t="str">
        <f>IF(SUM(COUNTIF(Benchmark1[Benchmark '#1 Dates],Comp3[[#This Row],[Comparable '#3 Dates]]),COUNTIF(Benchmark2[Benchmark '#2 Dates],Comp3[[#This Row],[Comparable '#3 Dates]]))=2,"Pass","Fail")</f>
        <v>Pass</v>
      </c>
      <c r="I534" s="1">
        <f>IFERROR(Comp3[[#This Row],[Comparable '#3 Return]]-INDEX(Benchmark1[Benchmark '#1 Return],MATCH(Comp3[[#This Row],[Comparable '#3 Dates]],Benchmark1[Benchmark '#1 Dates],0)),"-")</f>
        <v>5.1986833918179149E-3</v>
      </c>
      <c r="L534" s="72">
        <f>Comp3[[#This Row],[Comparable '#3 Price]]/$B$2*100</f>
        <v>100.38392628615307</v>
      </c>
    </row>
    <row r="535" spans="1:12">
      <c r="A535" s="96">
        <v>44060</v>
      </c>
      <c r="B535" s="101">
        <v>116.07</v>
      </c>
      <c r="C535" s="1">
        <f t="shared" si="16"/>
        <v>-1.3605652055778709E-2</v>
      </c>
      <c r="D535" s="1">
        <f>IFERROR(Comp3[[#This Row],[Comparable '#3 Return]]+1,"-")</f>
        <v>0.98639434794422132</v>
      </c>
      <c r="E535" s="6">
        <f>B535-MAX($B$2:B535)</f>
        <v>-71.97</v>
      </c>
      <c r="F535" s="80">
        <f t="shared" si="17"/>
        <v>273</v>
      </c>
      <c r="G535" s="6">
        <f>IFERROR(Comp3[[#This Row],[Comparable '#3 Drawdown]]/MAX($B$2:B535),"-")</f>
        <v>-0.38273771537970647</v>
      </c>
      <c r="H535" s="1" t="str">
        <f>IF(SUM(COUNTIF(Benchmark1[Benchmark '#1 Dates],Comp3[[#This Row],[Comparable '#3 Dates]]),COUNTIF(Benchmark2[Benchmark '#2 Dates],Comp3[[#This Row],[Comparable '#3 Dates]]))=2,"Pass","Fail")</f>
        <v>Pass</v>
      </c>
      <c r="I535" s="1">
        <f>IFERROR(Comp3[[#This Row],[Comparable '#3 Return]]-INDEX(Benchmark1[Benchmark '#1 Return],MATCH(Comp3[[#This Row],[Comparable '#3 Dates]],Benchmark1[Benchmark '#1 Dates],0)),"-")</f>
        <v>-1.631427238886151E-2</v>
      </c>
      <c r="L535" s="72">
        <f>Comp3[[#This Row],[Comparable '#3 Price]]/$B$2*100</f>
        <v>99.027386741745588</v>
      </c>
    </row>
    <row r="536" spans="1:12">
      <c r="A536" s="96">
        <v>44061</v>
      </c>
      <c r="B536" s="101">
        <v>113.56</v>
      </c>
      <c r="C536" s="1">
        <f t="shared" si="16"/>
        <v>-2.1862125775760795E-2</v>
      </c>
      <c r="D536" s="1">
        <f>IFERROR(Comp3[[#This Row],[Comparable '#3 Return]]+1,"-")</f>
        <v>0.97813787422423926</v>
      </c>
      <c r="E536" s="6">
        <f>B536-MAX($B$2:B536)</f>
        <v>-74.47999999999999</v>
      </c>
      <c r="F536" s="80">
        <f t="shared" si="17"/>
        <v>274</v>
      </c>
      <c r="G536" s="6">
        <f>IFERROR(Comp3[[#This Row],[Comparable '#3 Drawdown]]/MAX($B$2:B536),"-")</f>
        <v>-0.3960859391618804</v>
      </c>
      <c r="H536" s="1" t="str">
        <f>IF(SUM(COUNTIF(Benchmark1[Benchmark '#1 Dates],Comp3[[#This Row],[Comparable '#3 Dates]]),COUNTIF(Benchmark2[Benchmark '#2 Dates],Comp3[[#This Row],[Comparable '#3 Dates]]))=2,"Pass","Fail")</f>
        <v>Pass</v>
      </c>
      <c r="I536" s="1">
        <f>IFERROR(Comp3[[#This Row],[Comparable '#3 Return]]-INDEX(Benchmark1[Benchmark '#1 Return],MATCH(Comp3[[#This Row],[Comparable '#3 Dates]],Benchmark1[Benchmark '#1 Dates],0)),"-")</f>
        <v>-2.4159914645279144E-2</v>
      </c>
      <c r="L536" s="72">
        <f>Comp3[[#This Row],[Comparable '#3 Price]]/$B$2*100</f>
        <v>96.885931234536301</v>
      </c>
    </row>
    <row r="537" spans="1:12">
      <c r="A537" s="96">
        <v>44062</v>
      </c>
      <c r="B537" s="101">
        <v>108.34</v>
      </c>
      <c r="C537" s="1">
        <f t="shared" si="16"/>
        <v>-4.7056901375017605E-2</v>
      </c>
      <c r="D537" s="1">
        <f>IFERROR(Comp3[[#This Row],[Comparable '#3 Return]]+1,"-")</f>
        <v>0.95294309862498239</v>
      </c>
      <c r="E537" s="6">
        <f>B537-MAX($B$2:B537)</f>
        <v>-79.699999999999989</v>
      </c>
      <c r="F537" s="80">
        <f t="shared" si="17"/>
        <v>275</v>
      </c>
      <c r="G537" s="6">
        <f>IFERROR(Comp3[[#This Row],[Comparable '#3 Drawdown]]/MAX($B$2:B537),"-")</f>
        <v>-0.42384599021484787</v>
      </c>
      <c r="H537" s="1" t="str">
        <f>IF(SUM(COUNTIF(Benchmark1[Benchmark '#1 Dates],Comp3[[#This Row],[Comparable '#3 Dates]]),COUNTIF(Benchmark2[Benchmark '#2 Dates],Comp3[[#This Row],[Comparable '#3 Dates]]))=2,"Pass","Fail")</f>
        <v>Pass</v>
      </c>
      <c r="I537" s="1">
        <f>IFERROR(Comp3[[#This Row],[Comparable '#3 Return]]-INDEX(Benchmark1[Benchmark '#1 Return],MATCH(Comp3[[#This Row],[Comparable '#3 Dates]],Benchmark1[Benchmark '#1 Dates],0)),"-")</f>
        <v>-4.2644306129364574E-2</v>
      </c>
      <c r="L537" s="72">
        <f>Comp3[[#This Row],[Comparable '#3 Price]]/$B$2*100</f>
        <v>92.432386315160826</v>
      </c>
    </row>
    <row r="538" spans="1:12">
      <c r="A538" s="96">
        <v>44063</v>
      </c>
      <c r="B538" s="101">
        <v>105.35</v>
      </c>
      <c r="C538" s="1">
        <f t="shared" si="16"/>
        <v>-2.7986289979554897E-2</v>
      </c>
      <c r="D538" s="1">
        <f>IFERROR(Comp3[[#This Row],[Comparable '#3 Return]]+1,"-")</f>
        <v>0.97201371002044512</v>
      </c>
      <c r="E538" s="6">
        <f>B538-MAX($B$2:B538)</f>
        <v>-82.69</v>
      </c>
      <c r="F538" s="80">
        <f t="shared" si="17"/>
        <v>276</v>
      </c>
      <c r="G538" s="6">
        <f>IFERROR(Comp3[[#This Row],[Comparable '#3 Drawdown]]/MAX($B$2:B538),"-")</f>
        <v>-0.43974686236970856</v>
      </c>
      <c r="H538" s="1" t="str">
        <f>IF(SUM(COUNTIF(Benchmark1[Benchmark '#1 Dates],Comp3[[#This Row],[Comparable '#3 Dates]]),COUNTIF(Benchmark2[Benchmark '#2 Dates],Comp3[[#This Row],[Comparable '#3 Dates]]))=2,"Pass","Fail")</f>
        <v>Pass</v>
      </c>
      <c r="I538" s="1">
        <f>IFERROR(Comp3[[#This Row],[Comparable '#3 Return]]-INDEX(Benchmark1[Benchmark '#1 Return],MATCH(Comp3[[#This Row],[Comparable '#3 Dates]],Benchmark1[Benchmark '#1 Dates],0)),"-")</f>
        <v>-3.1140931758801772E-2</v>
      </c>
      <c r="L538" s="72">
        <f>Comp3[[#This Row],[Comparable '#3 Price]]/$B$2*100</f>
        <v>89.881409436054952</v>
      </c>
    </row>
    <row r="539" spans="1:12">
      <c r="A539" s="96">
        <v>44064</v>
      </c>
      <c r="B539" s="101">
        <v>105.27</v>
      </c>
      <c r="C539" s="1">
        <f t="shared" si="16"/>
        <v>-7.5966198696462875E-4</v>
      </c>
      <c r="D539" s="1">
        <f>IFERROR(Comp3[[#This Row],[Comparable '#3 Return]]+1,"-")</f>
        <v>0.99924033801303536</v>
      </c>
      <c r="E539" s="6">
        <f>B539-MAX($B$2:B539)</f>
        <v>-82.77</v>
      </c>
      <c r="F539" s="80">
        <f t="shared" si="17"/>
        <v>277</v>
      </c>
      <c r="G539" s="6">
        <f>IFERROR(Comp3[[#This Row],[Comparable '#3 Drawdown]]/MAX($B$2:B539),"-")</f>
        <v>-0.44017230376515637</v>
      </c>
      <c r="H539" s="1" t="str">
        <f>IF(SUM(COUNTIF(Benchmark1[Benchmark '#1 Dates],Comp3[[#This Row],[Comparable '#3 Dates]]),COUNTIF(Benchmark2[Benchmark '#2 Dates],Comp3[[#This Row],[Comparable '#3 Dates]]))=2,"Pass","Fail")</f>
        <v>Pass</v>
      </c>
      <c r="I539" s="1">
        <f>IFERROR(Comp3[[#This Row],[Comparable '#3 Return]]-INDEX(Benchmark1[Benchmark '#1 Return],MATCH(Comp3[[#This Row],[Comparable '#3 Dates]],Benchmark1[Benchmark '#1 Dates],0)),"-")</f>
        <v>-4.1931828414185383E-3</v>
      </c>
      <c r="L539" s="72">
        <f>Comp3[[#This Row],[Comparable '#3 Price]]/$B$2*100</f>
        <v>89.81315587407218</v>
      </c>
    </row>
    <row r="540" spans="1:12">
      <c r="A540" s="96">
        <v>44067</v>
      </c>
      <c r="B540" s="101">
        <v>102.1</v>
      </c>
      <c r="C540" s="1">
        <f t="shared" si="16"/>
        <v>-3.0575753092613546E-2</v>
      </c>
      <c r="D540" s="1">
        <f>IFERROR(Comp3[[#This Row],[Comparable '#3 Return]]+1,"-")</f>
        <v>0.96942424690738649</v>
      </c>
      <c r="E540" s="6">
        <f>B540-MAX($B$2:B540)</f>
        <v>-85.94</v>
      </c>
      <c r="F540" s="80">
        <f t="shared" si="17"/>
        <v>278</v>
      </c>
      <c r="G540" s="6">
        <f>IFERROR(Comp3[[#This Row],[Comparable '#3 Drawdown]]/MAX($B$2:B540),"-")</f>
        <v>-0.45703041905977454</v>
      </c>
      <c r="H540" s="1" t="str">
        <f>IF(SUM(COUNTIF(Benchmark1[Benchmark '#1 Dates],Comp3[[#This Row],[Comparable '#3 Dates]]),COUNTIF(Benchmark2[Benchmark '#2 Dates],Comp3[[#This Row],[Comparable '#3 Dates]]))=2,"Pass","Fail")</f>
        <v>Pass</v>
      </c>
      <c r="I540" s="1">
        <f>IFERROR(Comp3[[#This Row],[Comparable '#3 Return]]-INDEX(Benchmark1[Benchmark '#1 Return],MATCH(Comp3[[#This Row],[Comparable '#3 Dates]],Benchmark1[Benchmark '#1 Dates],0)),"-")</f>
        <v>-4.0570611575243769E-2</v>
      </c>
      <c r="L540" s="72">
        <f>Comp3[[#This Row],[Comparable '#3 Price]]/$B$2*100</f>
        <v>87.108608480505083</v>
      </c>
    </row>
    <row r="541" spans="1:12">
      <c r="A541" s="96">
        <v>44068</v>
      </c>
      <c r="B541" s="101">
        <v>102.75</v>
      </c>
      <c r="C541" s="1">
        <f t="shared" si="16"/>
        <v>6.3461282057240744E-3</v>
      </c>
      <c r="D541" s="1">
        <f>IFERROR(Comp3[[#This Row],[Comparable '#3 Return]]+1,"-")</f>
        <v>1.006346128205724</v>
      </c>
      <c r="E541" s="6">
        <f>B541-MAX($B$2:B541)</f>
        <v>-85.289999999999992</v>
      </c>
      <c r="F541" s="80">
        <f t="shared" si="17"/>
        <v>279</v>
      </c>
      <c r="G541" s="6">
        <f>IFERROR(Comp3[[#This Row],[Comparable '#3 Drawdown]]/MAX($B$2:B541),"-")</f>
        <v>-0.45357370772176131</v>
      </c>
      <c r="H541" s="1" t="str">
        <f>IF(SUM(COUNTIF(Benchmark1[Benchmark '#1 Dates],Comp3[[#This Row],[Comparable '#3 Dates]]),COUNTIF(Benchmark2[Benchmark '#2 Dates],Comp3[[#This Row],[Comparable '#3 Dates]]))=2,"Pass","Fail")</f>
        <v>Pass</v>
      </c>
      <c r="I541" s="1">
        <f>IFERROR(Comp3[[#This Row],[Comparable '#3 Return]]-INDEX(Benchmark1[Benchmark '#1 Return],MATCH(Comp3[[#This Row],[Comparable '#3 Dates]],Benchmark1[Benchmark '#1 Dates],0)),"-")</f>
        <v>2.7562500434150919E-3</v>
      </c>
      <c r="L541" s="72">
        <f>Comp3[[#This Row],[Comparable '#3 Price]]/$B$2*100</f>
        <v>87.663168671615054</v>
      </c>
    </row>
    <row r="542" spans="1:12">
      <c r="A542" s="96">
        <v>44069</v>
      </c>
      <c r="B542" s="101">
        <v>102.47</v>
      </c>
      <c r="C542" s="1">
        <f t="shared" si="16"/>
        <v>-2.7287805647174955E-3</v>
      </c>
      <c r="D542" s="1">
        <f>IFERROR(Comp3[[#This Row],[Comparable '#3 Return]]+1,"-")</f>
        <v>0.99727121943528252</v>
      </c>
      <c r="E542" s="6">
        <f>B542-MAX($B$2:B542)</f>
        <v>-85.57</v>
      </c>
      <c r="F542" s="80">
        <f t="shared" si="17"/>
        <v>280</v>
      </c>
      <c r="G542" s="6">
        <f>IFERROR(Comp3[[#This Row],[Comparable '#3 Drawdown]]/MAX($B$2:B542),"-")</f>
        <v>-0.45506275260582851</v>
      </c>
      <c r="H542" s="1" t="str">
        <f>IF(SUM(COUNTIF(Benchmark1[Benchmark '#1 Dates],Comp3[[#This Row],[Comparable '#3 Dates]]),COUNTIF(Benchmark2[Benchmark '#2 Dates],Comp3[[#This Row],[Comparable '#3 Dates]]))=2,"Pass","Fail")</f>
        <v>Pass</v>
      </c>
      <c r="I542" s="1">
        <f>IFERROR(Comp3[[#This Row],[Comparable '#3 Return]]-INDEX(Benchmark1[Benchmark '#1 Return],MATCH(Comp3[[#This Row],[Comparable '#3 Dates]],Benchmark1[Benchmark '#1 Dates],0)),"-")</f>
        <v>-1.2872881980726922E-2</v>
      </c>
      <c r="L542" s="72">
        <f>Comp3[[#This Row],[Comparable '#3 Price]]/$B$2*100</f>
        <v>87.424281204675367</v>
      </c>
    </row>
    <row r="543" spans="1:12">
      <c r="A543" s="96">
        <v>44070</v>
      </c>
      <c r="B543" s="101">
        <v>103.47</v>
      </c>
      <c r="C543" s="1">
        <f t="shared" si="16"/>
        <v>9.7116428052327064E-3</v>
      </c>
      <c r="D543" s="1">
        <f>IFERROR(Comp3[[#This Row],[Comparable '#3 Return]]+1,"-")</f>
        <v>1.0097116428052326</v>
      </c>
      <c r="E543" s="6">
        <f>B543-MAX($B$2:B543)</f>
        <v>-84.57</v>
      </c>
      <c r="F543" s="80">
        <f t="shared" si="17"/>
        <v>281</v>
      </c>
      <c r="G543" s="6">
        <f>IFERROR(Comp3[[#This Row],[Comparable '#3 Drawdown]]/MAX($B$2:B543),"-")</f>
        <v>-0.44974473516273133</v>
      </c>
      <c r="H543" s="1" t="str">
        <f>IF(SUM(COUNTIF(Benchmark1[Benchmark '#1 Dates],Comp3[[#This Row],[Comparable '#3 Dates]]),COUNTIF(Benchmark2[Benchmark '#2 Dates],Comp3[[#This Row],[Comparable '#3 Dates]]))=2,"Pass","Fail")</f>
        <v>Pass</v>
      </c>
      <c r="I543" s="1">
        <f>IFERROR(Comp3[[#This Row],[Comparable '#3 Return]]-INDEX(Benchmark1[Benchmark '#1 Return],MATCH(Comp3[[#This Row],[Comparable '#3 Dates]],Benchmark1[Benchmark '#1 Dates],0)),"-")</f>
        <v>8.0406067929227037E-3</v>
      </c>
      <c r="L543" s="72">
        <f>Comp3[[#This Row],[Comparable '#3 Price]]/$B$2*100</f>
        <v>88.277450729459943</v>
      </c>
    </row>
    <row r="544" spans="1:12">
      <c r="A544" s="96">
        <v>44071</v>
      </c>
      <c r="B544" s="101">
        <v>103.69</v>
      </c>
      <c r="C544" s="1">
        <f t="shared" si="16"/>
        <v>2.1239629533276513E-3</v>
      </c>
      <c r="D544" s="1">
        <f>IFERROR(Comp3[[#This Row],[Comparable '#3 Return]]+1,"-")</f>
        <v>1.0021239629533276</v>
      </c>
      <c r="E544" s="6">
        <f>B544-MAX($B$2:B544)</f>
        <v>-84.35</v>
      </c>
      <c r="F544" s="80">
        <f t="shared" si="17"/>
        <v>282</v>
      </c>
      <c r="G544" s="6">
        <f>IFERROR(Comp3[[#This Row],[Comparable '#3 Drawdown]]/MAX($B$2:B544),"-")</f>
        <v>-0.44857477132524992</v>
      </c>
      <c r="H544" s="1" t="str">
        <f>IF(SUM(COUNTIF(Benchmark1[Benchmark '#1 Dates],Comp3[[#This Row],[Comparable '#3 Dates]]),COUNTIF(Benchmark2[Benchmark '#2 Dates],Comp3[[#This Row],[Comparable '#3 Dates]]))=2,"Pass","Fail")</f>
        <v>Pass</v>
      </c>
      <c r="I544" s="1">
        <f>IFERROR(Comp3[[#This Row],[Comparable '#3 Return]]-INDEX(Benchmark1[Benchmark '#1 Return],MATCH(Comp3[[#This Row],[Comparable '#3 Dates]],Benchmark1[Benchmark '#1 Dates],0)),"-")</f>
        <v>-4.5873215137684593E-3</v>
      </c>
      <c r="L544" s="72">
        <f>Comp3[[#This Row],[Comparable '#3 Price]]/$B$2*100</f>
        <v>88.465148024912551</v>
      </c>
    </row>
    <row r="545" spans="1:12">
      <c r="A545" s="96">
        <v>44074</v>
      </c>
      <c r="B545" s="101">
        <v>102.57</v>
      </c>
      <c r="C545" s="1">
        <f t="shared" si="16"/>
        <v>-1.0860186250867205E-2</v>
      </c>
      <c r="D545" s="1">
        <f>IFERROR(Comp3[[#This Row],[Comparable '#3 Return]]+1,"-")</f>
        <v>0.98913981374913285</v>
      </c>
      <c r="E545" s="6">
        <f>B545-MAX($B$2:B545)</f>
        <v>-85.47</v>
      </c>
      <c r="F545" s="80">
        <f t="shared" si="17"/>
        <v>283</v>
      </c>
      <c r="G545" s="6">
        <f>IFERROR(Comp3[[#This Row],[Comparable '#3 Drawdown]]/MAX($B$2:B545),"-")</f>
        <v>-0.45453095086151885</v>
      </c>
      <c r="H545" s="1" t="str">
        <f>IF(SUM(COUNTIF(Benchmark1[Benchmark '#1 Dates],Comp3[[#This Row],[Comparable '#3 Dates]]),COUNTIF(Benchmark2[Benchmark '#2 Dates],Comp3[[#This Row],[Comparable '#3 Dates]]))=2,"Pass","Fail")</f>
        <v>Pass</v>
      </c>
      <c r="I545" s="1">
        <f>IFERROR(Comp3[[#This Row],[Comparable '#3 Return]]-INDEX(Benchmark1[Benchmark '#1 Return],MATCH(Comp3[[#This Row],[Comparable '#3 Dates]],Benchmark1[Benchmark '#1 Dates],0)),"-")</f>
        <v>-8.6610205793214226E-3</v>
      </c>
      <c r="L545" s="72">
        <f>Comp3[[#This Row],[Comparable '#3 Price]]/$B$2*100</f>
        <v>87.509598157153818</v>
      </c>
    </row>
    <row r="546" spans="1:12">
      <c r="A546" s="96">
        <v>44075</v>
      </c>
      <c r="B546" s="101">
        <v>102.6</v>
      </c>
      <c r="C546" s="1">
        <f t="shared" si="16"/>
        <v>2.9244041734961134E-4</v>
      </c>
      <c r="D546" s="1">
        <f>IFERROR(Comp3[[#This Row],[Comparable '#3 Return]]+1,"-")</f>
        <v>1.0002924404173497</v>
      </c>
      <c r="E546" s="6">
        <f>B546-MAX($B$2:B546)</f>
        <v>-85.44</v>
      </c>
      <c r="F546" s="80">
        <f t="shared" si="17"/>
        <v>284</v>
      </c>
      <c r="G546" s="6">
        <f>IFERROR(Comp3[[#This Row],[Comparable '#3 Drawdown]]/MAX($B$2:B546),"-")</f>
        <v>-0.45437141033822592</v>
      </c>
      <c r="H546" s="1" t="str">
        <f>IF(SUM(COUNTIF(Benchmark1[Benchmark '#1 Dates],Comp3[[#This Row],[Comparable '#3 Dates]]),COUNTIF(Benchmark2[Benchmark '#2 Dates],Comp3[[#This Row],[Comparable '#3 Dates]]))=2,"Pass","Fail")</f>
        <v>Pass</v>
      </c>
      <c r="I546" s="1">
        <f>IFERROR(Comp3[[#This Row],[Comparable '#3 Return]]-INDEX(Benchmark1[Benchmark '#1 Return],MATCH(Comp3[[#This Row],[Comparable '#3 Dates]],Benchmark1[Benchmark '#1 Dates],0)),"-")</f>
        <v>-7.2052276053917799E-3</v>
      </c>
      <c r="L546" s="72">
        <f>Comp3[[#This Row],[Comparable '#3 Price]]/$B$2*100</f>
        <v>87.535193242897364</v>
      </c>
    </row>
    <row r="547" spans="1:12">
      <c r="A547" s="96">
        <v>44076</v>
      </c>
      <c r="B547" s="101">
        <v>102.01</v>
      </c>
      <c r="C547" s="1">
        <f t="shared" si="16"/>
        <v>-5.7670850422415444E-3</v>
      </c>
      <c r="D547" s="1">
        <f>IFERROR(Comp3[[#This Row],[Comparable '#3 Return]]+1,"-")</f>
        <v>0.99423291495775845</v>
      </c>
      <c r="E547" s="6">
        <f>B547-MAX($B$2:B547)</f>
        <v>-86.029999999999987</v>
      </c>
      <c r="F547" s="80">
        <f t="shared" si="17"/>
        <v>285</v>
      </c>
      <c r="G547" s="6">
        <f>IFERROR(Comp3[[#This Row],[Comparable '#3 Drawdown]]/MAX($B$2:B547),"-")</f>
        <v>-0.4575090406296532</v>
      </c>
      <c r="H547" s="1" t="str">
        <f>IF(SUM(COUNTIF(Benchmark1[Benchmark '#1 Dates],Comp3[[#This Row],[Comparable '#3 Dates]]),COUNTIF(Benchmark2[Benchmark '#2 Dates],Comp3[[#This Row],[Comparable '#3 Dates]]))=2,"Pass","Fail")</f>
        <v>Pass</v>
      </c>
      <c r="I547" s="1">
        <f>IFERROR(Comp3[[#This Row],[Comparable '#3 Return]]-INDEX(Benchmark1[Benchmark '#1 Return],MATCH(Comp3[[#This Row],[Comparable '#3 Dates]],Benchmark1[Benchmark '#1 Dates],0)),"-")</f>
        <v>-2.1016923740142315E-2</v>
      </c>
      <c r="L547" s="72">
        <f>Comp3[[#This Row],[Comparable '#3 Price]]/$B$2*100</f>
        <v>87.031823223274472</v>
      </c>
    </row>
    <row r="548" spans="1:12">
      <c r="A548" s="96">
        <v>44077</v>
      </c>
      <c r="B548" s="101">
        <v>96.13</v>
      </c>
      <c r="C548" s="1">
        <f t="shared" si="16"/>
        <v>-5.9369405616702842E-2</v>
      </c>
      <c r="D548" s="1">
        <f>IFERROR(Comp3[[#This Row],[Comparable '#3 Return]]+1,"-")</f>
        <v>0.9406305943832971</v>
      </c>
      <c r="E548" s="6">
        <f>B548-MAX($B$2:B548)</f>
        <v>-91.91</v>
      </c>
      <c r="F548" s="80">
        <f t="shared" si="17"/>
        <v>286</v>
      </c>
      <c r="G548" s="6">
        <f>IFERROR(Comp3[[#This Row],[Comparable '#3 Drawdown]]/MAX($B$2:B548),"-")</f>
        <v>-0.48877898319506491</v>
      </c>
      <c r="H548" s="1" t="str">
        <f>IF(SUM(COUNTIF(Benchmark1[Benchmark '#1 Dates],Comp3[[#This Row],[Comparable '#3 Dates]]),COUNTIF(Benchmark2[Benchmark '#2 Dates],Comp3[[#This Row],[Comparable '#3 Dates]]))=2,"Pass","Fail")</f>
        <v>Pass</v>
      </c>
      <c r="I548" s="1">
        <f>IFERROR(Comp3[[#This Row],[Comparable '#3 Return]]-INDEX(Benchmark1[Benchmark '#1 Return],MATCH(Comp3[[#This Row],[Comparable '#3 Dates]],Benchmark1[Benchmark '#1 Dates],0)),"-")</f>
        <v>-2.3612029091323955E-2</v>
      </c>
      <c r="L548" s="72">
        <f>Comp3[[#This Row],[Comparable '#3 Price]]/$B$2*100</f>
        <v>82.015186417541159</v>
      </c>
    </row>
    <row r="549" spans="1:12">
      <c r="A549" s="96">
        <v>44078</v>
      </c>
      <c r="B549" s="101">
        <v>94.89</v>
      </c>
      <c r="C549" s="1">
        <f t="shared" si="16"/>
        <v>-1.2983116092057575E-2</v>
      </c>
      <c r="D549" s="1">
        <f>IFERROR(Comp3[[#This Row],[Comparable '#3 Return]]+1,"-")</f>
        <v>0.9870168839079424</v>
      </c>
      <c r="E549" s="6">
        <f>B549-MAX($B$2:B549)</f>
        <v>-93.149999999999991</v>
      </c>
      <c r="F549" s="80">
        <f t="shared" si="17"/>
        <v>287</v>
      </c>
      <c r="G549" s="6">
        <f>IFERROR(Comp3[[#This Row],[Comparable '#3 Drawdown]]/MAX($B$2:B549),"-")</f>
        <v>-0.49537332482450541</v>
      </c>
      <c r="H549" s="1" t="str">
        <f>IF(SUM(COUNTIF(Benchmark1[Benchmark '#1 Dates],Comp3[[#This Row],[Comparable '#3 Dates]]),COUNTIF(Benchmark2[Benchmark '#2 Dates],Comp3[[#This Row],[Comparable '#3 Dates]]))=2,"Pass","Fail")</f>
        <v>Pass</v>
      </c>
      <c r="I549" s="1">
        <f>IFERROR(Comp3[[#This Row],[Comparable '#3 Return]]-INDEX(Benchmark1[Benchmark '#1 Return],MATCH(Comp3[[#This Row],[Comparable '#3 Dates]],Benchmark1[Benchmark '#1 Dates],0)),"-")</f>
        <v>-4.8165837484798971E-3</v>
      </c>
      <c r="L549" s="72">
        <f>Comp3[[#This Row],[Comparable '#3 Price]]/$B$2*100</f>
        <v>80.957256206808296</v>
      </c>
    </row>
    <row r="550" spans="1:12">
      <c r="A550" s="96">
        <v>44082</v>
      </c>
      <c r="B550" s="101">
        <v>94.63</v>
      </c>
      <c r="C550" s="1">
        <f t="shared" si="16"/>
        <v>-2.7437754655258439E-3</v>
      </c>
      <c r="D550" s="1">
        <f>IFERROR(Comp3[[#This Row],[Comparable '#3 Return]]+1,"-")</f>
        <v>0.99725622453447416</v>
      </c>
      <c r="E550" s="6">
        <f>B550-MAX($B$2:B550)</f>
        <v>-93.41</v>
      </c>
      <c r="F550" s="80">
        <f t="shared" si="17"/>
        <v>288</v>
      </c>
      <c r="G550" s="6">
        <f>IFERROR(Comp3[[#This Row],[Comparable '#3 Drawdown]]/MAX($B$2:B550),"-")</f>
        <v>-0.4967560093597107</v>
      </c>
      <c r="H550" s="1" t="str">
        <f>IF(SUM(COUNTIF(Benchmark1[Benchmark '#1 Dates],Comp3[[#This Row],[Comparable '#3 Dates]]),COUNTIF(Benchmark2[Benchmark '#2 Dates],Comp3[[#This Row],[Comparable '#3 Dates]]))=2,"Pass","Fail")</f>
        <v>Pass</v>
      </c>
      <c r="I550" s="1">
        <f>IFERROR(Comp3[[#This Row],[Comparable '#3 Return]]-INDEX(Benchmark1[Benchmark '#1 Return],MATCH(Comp3[[#This Row],[Comparable '#3 Dates]],Benchmark1[Benchmark '#1 Dates],0)),"-")</f>
        <v>2.5405381264104084E-2</v>
      </c>
      <c r="L550" s="72">
        <f>Comp3[[#This Row],[Comparable '#3 Price]]/$B$2*100</f>
        <v>80.735432130364302</v>
      </c>
    </row>
    <row r="551" spans="1:12">
      <c r="A551" s="96">
        <v>44083</v>
      </c>
      <c r="B551" s="101">
        <v>92.69</v>
      </c>
      <c r="C551" s="1">
        <f t="shared" si="16"/>
        <v>-2.0713958632399998E-2</v>
      </c>
      <c r="D551" s="1">
        <f>IFERROR(Comp3[[#This Row],[Comparable '#3 Return]]+1,"-")</f>
        <v>0.9792860413676</v>
      </c>
      <c r="E551" s="6">
        <f>B551-MAX($B$2:B551)</f>
        <v>-95.35</v>
      </c>
      <c r="F551" s="80">
        <f t="shared" si="17"/>
        <v>289</v>
      </c>
      <c r="G551" s="6">
        <f>IFERROR(Comp3[[#This Row],[Comparable '#3 Drawdown]]/MAX($B$2:B551),"-")</f>
        <v>-0.50707296319931927</v>
      </c>
      <c r="H551" s="1" t="str">
        <f>IF(SUM(COUNTIF(Benchmark1[Benchmark '#1 Dates],Comp3[[#This Row],[Comparable '#3 Dates]]),COUNTIF(Benchmark2[Benchmark '#2 Dates],Comp3[[#This Row],[Comparable '#3 Dates]]))=2,"Pass","Fail")</f>
        <v>Pass</v>
      </c>
      <c r="I551" s="1">
        <f>IFERROR(Comp3[[#This Row],[Comparable '#3 Return]]-INDEX(Benchmark1[Benchmark '#1 Return],MATCH(Comp3[[#This Row],[Comparable '#3 Dates]],Benchmark1[Benchmark '#1 Dates],0)),"-")</f>
        <v>-4.0657712373686747E-2</v>
      </c>
      <c r="L551" s="72">
        <f>Comp3[[#This Row],[Comparable '#3 Price]]/$B$2*100</f>
        <v>79.080283252282229</v>
      </c>
    </row>
    <row r="552" spans="1:12">
      <c r="A552" s="96">
        <v>44084</v>
      </c>
      <c r="B552" s="101">
        <v>90.24</v>
      </c>
      <c r="C552" s="1">
        <f t="shared" si="16"/>
        <v>-2.6787804137992602E-2</v>
      </c>
      <c r="D552" s="1">
        <f>IFERROR(Comp3[[#This Row],[Comparable '#3 Return]]+1,"-")</f>
        <v>0.97321219586200736</v>
      </c>
      <c r="E552" s="6">
        <f>B552-MAX($B$2:B552)</f>
        <v>-97.8</v>
      </c>
      <c r="F552" s="80">
        <f t="shared" si="17"/>
        <v>290</v>
      </c>
      <c r="G552" s="6">
        <f>IFERROR(Comp3[[#This Row],[Comparable '#3 Drawdown]]/MAX($B$2:B552),"-")</f>
        <v>-0.52010210593490747</v>
      </c>
      <c r="H552" s="1" t="str">
        <f>IF(SUM(COUNTIF(Benchmark1[Benchmark '#1 Dates],Comp3[[#This Row],[Comparable '#3 Dates]]),COUNTIF(Benchmark2[Benchmark '#2 Dates],Comp3[[#This Row],[Comparable '#3 Dates]]))=2,"Pass","Fail")</f>
        <v>Pass</v>
      </c>
      <c r="I552" s="1">
        <f>IFERROR(Comp3[[#This Row],[Comparable '#3 Return]]-INDEX(Benchmark1[Benchmark '#1 Return],MATCH(Comp3[[#This Row],[Comparable '#3 Dates]],Benchmark1[Benchmark '#1 Dates],0)),"-")</f>
        <v>-9.0452809670965792E-3</v>
      </c>
      <c r="L552" s="72">
        <f>Comp3[[#This Row],[Comparable '#3 Price]]/$B$2*100</f>
        <v>76.990017916560021</v>
      </c>
    </row>
    <row r="553" spans="1:12">
      <c r="A553" s="96">
        <v>44085</v>
      </c>
      <c r="B553" s="101">
        <v>88.53</v>
      </c>
      <c r="C553" s="1">
        <f t="shared" si="16"/>
        <v>-1.9131310126790983E-2</v>
      </c>
      <c r="D553" s="1">
        <f>IFERROR(Comp3[[#This Row],[Comparable '#3 Return]]+1,"-")</f>
        <v>0.98086868987320897</v>
      </c>
      <c r="E553" s="6">
        <f>B553-MAX($B$2:B553)</f>
        <v>-99.509999999999991</v>
      </c>
      <c r="F553" s="80">
        <f t="shared" si="17"/>
        <v>291</v>
      </c>
      <c r="G553" s="6">
        <f>IFERROR(Comp3[[#This Row],[Comparable '#3 Drawdown]]/MAX($B$2:B553),"-")</f>
        <v>-0.52919591576260372</v>
      </c>
      <c r="H553" s="1" t="str">
        <f>IF(SUM(COUNTIF(Benchmark1[Benchmark '#1 Dates],Comp3[[#This Row],[Comparable '#3 Dates]]),COUNTIF(Benchmark2[Benchmark '#2 Dates],Comp3[[#This Row],[Comparable '#3 Dates]]))=2,"Pass","Fail")</f>
        <v>Pass</v>
      </c>
      <c r="I553" s="1">
        <f>IFERROR(Comp3[[#This Row],[Comparable '#3 Return]]-INDEX(Benchmark1[Benchmark '#1 Return],MATCH(Comp3[[#This Row],[Comparable '#3 Dates]],Benchmark1[Benchmark '#1 Dates],0)),"-")</f>
        <v>-1.9664564200005587E-2</v>
      </c>
      <c r="L553" s="72">
        <f>Comp3[[#This Row],[Comparable '#3 Price]]/$B$2*100</f>
        <v>75.531098029178395</v>
      </c>
    </row>
    <row r="554" spans="1:12">
      <c r="A554" s="96">
        <v>44088</v>
      </c>
      <c r="B554" s="101">
        <v>89.7</v>
      </c>
      <c r="C554" s="1">
        <f t="shared" si="16"/>
        <v>1.3129291441792802E-2</v>
      </c>
      <c r="D554" s="1">
        <f>IFERROR(Comp3[[#This Row],[Comparable '#3 Return]]+1,"-")</f>
        <v>1.0131292914417929</v>
      </c>
      <c r="E554" s="6">
        <f>B554-MAX($B$2:B554)</f>
        <v>-98.339999999999989</v>
      </c>
      <c r="F554" s="80">
        <f t="shared" si="17"/>
        <v>292</v>
      </c>
      <c r="G554" s="6">
        <f>IFERROR(Comp3[[#This Row],[Comparable '#3 Drawdown]]/MAX($B$2:B554),"-")</f>
        <v>-0.52297383535417996</v>
      </c>
      <c r="H554" s="1" t="str">
        <f>IF(SUM(COUNTIF(Benchmark1[Benchmark '#1 Dates],Comp3[[#This Row],[Comparable '#3 Dates]]),COUNTIF(Benchmark2[Benchmark '#2 Dates],Comp3[[#This Row],[Comparable '#3 Dates]]))=2,"Pass","Fail")</f>
        <v>Pass</v>
      </c>
      <c r="I554" s="1">
        <f>IFERROR(Comp3[[#This Row],[Comparable '#3 Return]]-INDEX(Benchmark1[Benchmark '#1 Return],MATCH(Comp3[[#This Row],[Comparable '#3 Dates]],Benchmark1[Benchmark '#1 Dates],0)),"-")</f>
        <v>4.6634649047705423E-4</v>
      </c>
      <c r="L554" s="72">
        <f>Comp3[[#This Row],[Comparable '#3 Price]]/$B$2*100</f>
        <v>76.529306373176354</v>
      </c>
    </row>
    <row r="555" spans="1:12">
      <c r="A555" s="96">
        <v>44089</v>
      </c>
      <c r="B555" s="101">
        <v>90.01</v>
      </c>
      <c r="C555" s="1">
        <f t="shared" si="16"/>
        <v>3.4500062042435403E-3</v>
      </c>
      <c r="D555" s="1">
        <f>IFERROR(Comp3[[#This Row],[Comparable '#3 Return]]+1,"-")</f>
        <v>1.0034500062042435</v>
      </c>
      <c r="E555" s="6">
        <f>B555-MAX($B$2:B555)</f>
        <v>-98.029999999999987</v>
      </c>
      <c r="F555" s="80">
        <f t="shared" si="17"/>
        <v>293</v>
      </c>
      <c r="G555" s="6">
        <f>IFERROR(Comp3[[#This Row],[Comparable '#3 Drawdown]]/MAX($B$2:B555),"-")</f>
        <v>-0.52132524994681972</v>
      </c>
      <c r="H555" s="1" t="str">
        <f>IF(SUM(COUNTIF(Benchmark1[Benchmark '#1 Dates],Comp3[[#This Row],[Comparable '#3 Dates]]),COUNTIF(Benchmark2[Benchmark '#2 Dates],Comp3[[#This Row],[Comparable '#3 Dates]]))=2,"Pass","Fail")</f>
        <v>Pass</v>
      </c>
      <c r="I555" s="1">
        <f>IFERROR(Comp3[[#This Row],[Comparable '#3 Return]]-INDEX(Benchmark1[Benchmark '#1 Return],MATCH(Comp3[[#This Row],[Comparable '#3 Dates]],Benchmark1[Benchmark '#1 Dates],0)),"-")</f>
        <v>-1.7556045576180893E-3</v>
      </c>
      <c r="L555" s="72">
        <f>Comp3[[#This Row],[Comparable '#3 Price]]/$B$2*100</f>
        <v>76.793788925859573</v>
      </c>
    </row>
    <row r="556" spans="1:12">
      <c r="A556" s="96">
        <v>44090</v>
      </c>
      <c r="B556" s="101">
        <v>93</v>
      </c>
      <c r="C556" s="1">
        <f t="shared" si="16"/>
        <v>3.2678717884261944E-2</v>
      </c>
      <c r="D556" s="1">
        <f>IFERROR(Comp3[[#This Row],[Comparable '#3 Return]]+1,"-")</f>
        <v>1.032678717884262</v>
      </c>
      <c r="E556" s="6">
        <f>B556-MAX($B$2:B556)</f>
        <v>-95.039999999999992</v>
      </c>
      <c r="F556" s="80">
        <f t="shared" si="17"/>
        <v>294</v>
      </c>
      <c r="G556" s="6">
        <f>IFERROR(Comp3[[#This Row],[Comparable '#3 Drawdown]]/MAX($B$2:B556),"-")</f>
        <v>-0.50542437779195915</v>
      </c>
      <c r="H556" s="1" t="str">
        <f>IF(SUM(COUNTIF(Benchmark1[Benchmark '#1 Dates],Comp3[[#This Row],[Comparable '#3 Dates]]),COUNTIF(Benchmark2[Benchmark '#2 Dates],Comp3[[#This Row],[Comparable '#3 Dates]]))=2,"Pass","Fail")</f>
        <v>Pass</v>
      </c>
      <c r="I556" s="1">
        <f>IFERROR(Comp3[[#This Row],[Comparable '#3 Return]]-INDEX(Benchmark1[Benchmark '#1 Return],MATCH(Comp3[[#This Row],[Comparable '#3 Dates]],Benchmark1[Benchmark '#1 Dates],0)),"-")</f>
        <v>3.7308366253896899E-2</v>
      </c>
      <c r="L556" s="72">
        <f>Comp3[[#This Row],[Comparable '#3 Price]]/$B$2*100</f>
        <v>79.344765804965462</v>
      </c>
    </row>
    <row r="557" spans="1:12">
      <c r="A557" s="96">
        <v>44091</v>
      </c>
      <c r="B557" s="101">
        <v>93.8</v>
      </c>
      <c r="C557" s="1">
        <f t="shared" si="16"/>
        <v>8.5653628589230004E-3</v>
      </c>
      <c r="D557" s="1">
        <f>IFERROR(Comp3[[#This Row],[Comparable '#3 Return]]+1,"-")</f>
        <v>1.0085653628589231</v>
      </c>
      <c r="E557" s="6">
        <f>B557-MAX($B$2:B557)</f>
        <v>-94.24</v>
      </c>
      <c r="F557" s="80">
        <f t="shared" si="17"/>
        <v>295</v>
      </c>
      <c r="G557" s="6">
        <f>IFERROR(Comp3[[#This Row],[Comparable '#3 Drawdown]]/MAX($B$2:B557),"-")</f>
        <v>-0.50116996383748136</v>
      </c>
      <c r="H557" s="1" t="str">
        <f>IF(SUM(COUNTIF(Benchmark1[Benchmark '#1 Dates],Comp3[[#This Row],[Comparable '#3 Dates]]),COUNTIF(Benchmark2[Benchmark '#2 Dates],Comp3[[#This Row],[Comparable '#3 Dates]]))=2,"Pass","Fail")</f>
        <v>Pass</v>
      </c>
      <c r="I557" s="1">
        <f>IFERROR(Comp3[[#This Row],[Comparable '#3 Return]]-INDEX(Benchmark1[Benchmark '#1 Return],MATCH(Comp3[[#This Row],[Comparable '#3 Dates]],Benchmark1[Benchmark '#1 Dates],0)),"-")</f>
        <v>1.7013621435248698E-2</v>
      </c>
      <c r="L557" s="72">
        <f>Comp3[[#This Row],[Comparable '#3 Price]]/$B$2*100</f>
        <v>80.027301424793109</v>
      </c>
    </row>
    <row r="558" spans="1:12">
      <c r="A558" s="96">
        <v>44092</v>
      </c>
      <c r="B558" s="101">
        <v>91.31</v>
      </c>
      <c r="C558" s="1">
        <f t="shared" si="16"/>
        <v>-2.690454538393015E-2</v>
      </c>
      <c r="D558" s="1">
        <f>IFERROR(Comp3[[#This Row],[Comparable '#3 Return]]+1,"-")</f>
        <v>0.97309545461606983</v>
      </c>
      <c r="E558" s="6">
        <f>B558-MAX($B$2:B558)</f>
        <v>-96.72999999999999</v>
      </c>
      <c r="F558" s="80">
        <f t="shared" si="17"/>
        <v>296</v>
      </c>
      <c r="G558" s="6">
        <f>IFERROR(Comp3[[#This Row],[Comparable '#3 Drawdown]]/MAX($B$2:B558),"-")</f>
        <v>-0.51441182727079338</v>
      </c>
      <c r="H558" s="1" t="str">
        <f>IF(SUM(COUNTIF(Benchmark1[Benchmark '#1 Dates],Comp3[[#This Row],[Comparable '#3 Dates]]),COUNTIF(Benchmark2[Benchmark '#2 Dates],Comp3[[#This Row],[Comparable '#3 Dates]]))=2,"Pass","Fail")</f>
        <v>Pass</v>
      </c>
      <c r="I558" s="1">
        <f>IFERROR(Comp3[[#This Row],[Comparable '#3 Return]]-INDEX(Benchmark1[Benchmark '#1 Return],MATCH(Comp3[[#This Row],[Comparable '#3 Dates]],Benchmark1[Benchmark '#1 Dates],0)),"-")</f>
        <v>-1.5657734451472827E-2</v>
      </c>
      <c r="L558" s="72">
        <f>Comp3[[#This Row],[Comparable '#3 Price]]/$B$2*100</f>
        <v>77.902909308079529</v>
      </c>
    </row>
    <row r="559" spans="1:12">
      <c r="A559" s="96">
        <v>44095</v>
      </c>
      <c r="B559" s="101">
        <v>90.43</v>
      </c>
      <c r="C559" s="1">
        <f t="shared" si="16"/>
        <v>-9.6842398758598559E-3</v>
      </c>
      <c r="D559" s="1">
        <f>IFERROR(Comp3[[#This Row],[Comparable '#3 Return]]+1,"-")</f>
        <v>0.99031576012414013</v>
      </c>
      <c r="E559" s="6">
        <f>B559-MAX($B$2:B559)</f>
        <v>-97.609999999999985</v>
      </c>
      <c r="F559" s="80">
        <f t="shared" si="17"/>
        <v>297</v>
      </c>
      <c r="G559" s="6">
        <f>IFERROR(Comp3[[#This Row],[Comparable '#3 Drawdown]]/MAX($B$2:B559),"-")</f>
        <v>-0.51909168262071892</v>
      </c>
      <c r="H559" s="1" t="str">
        <f>IF(SUM(COUNTIF(Benchmark1[Benchmark '#1 Dates],Comp3[[#This Row],[Comparable '#3 Dates]]),COUNTIF(Benchmark2[Benchmark '#2 Dates],Comp3[[#This Row],[Comparable '#3 Dates]]))=2,"Pass","Fail")</f>
        <v>Pass</v>
      </c>
      <c r="I559" s="1">
        <f>IFERROR(Comp3[[#This Row],[Comparable '#3 Return]]-INDEX(Benchmark1[Benchmark '#1 Return],MATCH(Comp3[[#This Row],[Comparable '#3 Dates]],Benchmark1[Benchmark '#1 Dates],0)),"-")</f>
        <v>1.9533943267729201E-3</v>
      </c>
      <c r="L559" s="72">
        <f>Comp3[[#This Row],[Comparable '#3 Price]]/$B$2*100</f>
        <v>77.152120126269097</v>
      </c>
    </row>
    <row r="560" spans="1:12">
      <c r="A560" s="96">
        <v>44096</v>
      </c>
      <c r="B560" s="101">
        <v>94.18</v>
      </c>
      <c r="C560" s="1">
        <f t="shared" si="16"/>
        <v>4.0631774063019682E-2</v>
      </c>
      <c r="D560" s="1">
        <f>IFERROR(Comp3[[#This Row],[Comparable '#3 Return]]+1,"-")</f>
        <v>1.0406317740630198</v>
      </c>
      <c r="E560" s="6">
        <f>B560-MAX($B$2:B560)</f>
        <v>-93.859999999999985</v>
      </c>
      <c r="F560" s="80">
        <f t="shared" si="17"/>
        <v>298</v>
      </c>
      <c r="G560" s="6">
        <f>IFERROR(Comp3[[#This Row],[Comparable '#3 Drawdown]]/MAX($B$2:B560),"-")</f>
        <v>-0.49914911720910438</v>
      </c>
      <c r="H560" s="1" t="str">
        <f>IF(SUM(COUNTIF(Benchmark1[Benchmark '#1 Dates],Comp3[[#This Row],[Comparable '#3 Dates]]),COUNTIF(Benchmark2[Benchmark '#2 Dates],Comp3[[#This Row],[Comparable '#3 Dates]]))=2,"Pass","Fail")</f>
        <v>Pass</v>
      </c>
      <c r="I560" s="1">
        <f>IFERROR(Comp3[[#This Row],[Comparable '#3 Return]]-INDEX(Benchmark1[Benchmark '#1 Return],MATCH(Comp3[[#This Row],[Comparable '#3 Dates]],Benchmark1[Benchmark '#1 Dates],0)),"-")</f>
        <v>3.0169565106757543E-2</v>
      </c>
      <c r="L560" s="72">
        <f>Comp3[[#This Row],[Comparable '#3 Price]]/$B$2*100</f>
        <v>80.35150584421126</v>
      </c>
    </row>
    <row r="561" spans="1:12">
      <c r="A561" s="96">
        <v>44097</v>
      </c>
      <c r="B561" s="101">
        <v>94.41</v>
      </c>
      <c r="C561" s="1">
        <f t="shared" si="16"/>
        <v>2.4391549290165206E-3</v>
      </c>
      <c r="D561" s="1">
        <f>IFERROR(Comp3[[#This Row],[Comparable '#3 Return]]+1,"-")</f>
        <v>1.0024391549290166</v>
      </c>
      <c r="E561" s="6">
        <f>B561-MAX($B$2:B561)</f>
        <v>-93.63</v>
      </c>
      <c r="F561" s="80">
        <f t="shared" si="17"/>
        <v>299</v>
      </c>
      <c r="G561" s="6">
        <f>IFERROR(Comp3[[#This Row],[Comparable '#3 Drawdown]]/MAX($B$2:B561),"-")</f>
        <v>-0.49792597319719206</v>
      </c>
      <c r="H561" s="1" t="str">
        <f>IF(SUM(COUNTIF(Benchmark1[Benchmark '#1 Dates],Comp3[[#This Row],[Comparable '#3 Dates]]),COUNTIF(Benchmark2[Benchmark '#2 Dates],Comp3[[#This Row],[Comparable '#3 Dates]]))=2,"Pass","Fail")</f>
        <v>Pass</v>
      </c>
      <c r="I561" s="1">
        <f>IFERROR(Comp3[[#This Row],[Comparable '#3 Return]]-INDEX(Benchmark1[Benchmark '#1 Return],MATCH(Comp3[[#This Row],[Comparable '#3 Dates]],Benchmark1[Benchmark '#1 Dates],0)),"-")</f>
        <v>2.6445210854445317E-2</v>
      </c>
      <c r="L561" s="72">
        <f>Comp3[[#This Row],[Comparable '#3 Price]]/$B$2*100</f>
        <v>80.547734834911694</v>
      </c>
    </row>
    <row r="562" spans="1:12">
      <c r="A562" s="96">
        <v>44098</v>
      </c>
      <c r="B562" s="101">
        <v>93.79</v>
      </c>
      <c r="C562" s="1">
        <f t="shared" si="16"/>
        <v>-6.5887592235779526E-3</v>
      </c>
      <c r="D562" s="1">
        <f>IFERROR(Comp3[[#This Row],[Comparable '#3 Return]]+1,"-")</f>
        <v>0.99341124077642207</v>
      </c>
      <c r="E562" s="6">
        <f>B562-MAX($B$2:B562)</f>
        <v>-94.249999999999986</v>
      </c>
      <c r="F562" s="80">
        <f t="shared" si="17"/>
        <v>300</v>
      </c>
      <c r="G562" s="6">
        <f>IFERROR(Comp3[[#This Row],[Comparable '#3 Drawdown]]/MAX($B$2:B562),"-")</f>
        <v>-0.50122314401191226</v>
      </c>
      <c r="H562" s="1" t="str">
        <f>IF(SUM(COUNTIF(Benchmark1[Benchmark '#1 Dates],Comp3[[#This Row],[Comparable '#3 Dates]]),COUNTIF(Benchmark2[Benchmark '#2 Dates],Comp3[[#This Row],[Comparable '#3 Dates]]))=2,"Pass","Fail")</f>
        <v>Pass</v>
      </c>
      <c r="I562" s="1">
        <f>IFERROR(Comp3[[#This Row],[Comparable '#3 Return]]-INDEX(Benchmark1[Benchmark '#1 Return],MATCH(Comp3[[#This Row],[Comparable '#3 Dates]],Benchmark1[Benchmark '#1 Dates],0)),"-")</f>
        <v>-9.5708449214768117E-3</v>
      </c>
      <c r="L562" s="72">
        <f>Comp3[[#This Row],[Comparable '#3 Price]]/$B$2*100</f>
        <v>80.018769729545269</v>
      </c>
    </row>
    <row r="563" spans="1:12">
      <c r="A563" s="96">
        <v>44099</v>
      </c>
      <c r="B563" s="101">
        <v>94.97</v>
      </c>
      <c r="C563" s="1">
        <f t="shared" si="16"/>
        <v>1.2502811734014E-2</v>
      </c>
      <c r="D563" s="1">
        <f>IFERROR(Comp3[[#This Row],[Comparable '#3 Return]]+1,"-")</f>
        <v>1.012502811734014</v>
      </c>
      <c r="E563" s="6">
        <f>B563-MAX($B$2:B563)</f>
        <v>-93.07</v>
      </c>
      <c r="F563" s="80">
        <f t="shared" si="17"/>
        <v>301</v>
      </c>
      <c r="G563" s="6">
        <f>IFERROR(Comp3[[#This Row],[Comparable '#3 Drawdown]]/MAX($B$2:B563),"-")</f>
        <v>-0.49494788342905766</v>
      </c>
      <c r="H563" s="1" t="str">
        <f>IF(SUM(COUNTIF(Benchmark1[Benchmark '#1 Dates],Comp3[[#This Row],[Comparable '#3 Dates]]),COUNTIF(Benchmark2[Benchmark '#2 Dates],Comp3[[#This Row],[Comparable '#3 Dates]]))=2,"Pass","Fail")</f>
        <v>Pass</v>
      </c>
      <c r="I563" s="1">
        <f>IFERROR(Comp3[[#This Row],[Comparable '#3 Return]]-INDEX(Benchmark1[Benchmark '#1 Return],MATCH(Comp3[[#This Row],[Comparable '#3 Dates]],Benchmark1[Benchmark '#1 Dates],0)),"-")</f>
        <v>-3.3474477233791464E-3</v>
      </c>
      <c r="L563" s="72">
        <f>Comp3[[#This Row],[Comparable '#3 Price]]/$B$2*100</f>
        <v>81.025509768791053</v>
      </c>
    </row>
    <row r="564" spans="1:12">
      <c r="A564" s="96">
        <v>44102</v>
      </c>
      <c r="B564" s="101">
        <v>94.88</v>
      </c>
      <c r="C564" s="1">
        <f t="shared" si="16"/>
        <v>-9.4811700544588338E-4</v>
      </c>
      <c r="D564" s="1">
        <f>IFERROR(Comp3[[#This Row],[Comparable '#3 Return]]+1,"-")</f>
        <v>0.99905188299455416</v>
      </c>
      <c r="E564" s="6">
        <f>B564-MAX($B$2:B564)</f>
        <v>-93.16</v>
      </c>
      <c r="F564" s="80">
        <f t="shared" si="17"/>
        <v>302</v>
      </c>
      <c r="G564" s="6">
        <f>IFERROR(Comp3[[#This Row],[Comparable '#3 Drawdown]]/MAX($B$2:B564),"-")</f>
        <v>-0.49542650499893642</v>
      </c>
      <c r="H564" s="1" t="str">
        <f>IF(SUM(COUNTIF(Benchmark1[Benchmark '#1 Dates],Comp3[[#This Row],[Comparable '#3 Dates]]),COUNTIF(Benchmark2[Benchmark '#2 Dates],Comp3[[#This Row],[Comparable '#3 Dates]]))=2,"Pass","Fail")</f>
        <v>Pass</v>
      </c>
      <c r="I564" s="1">
        <f>IFERROR(Comp3[[#This Row],[Comparable '#3 Return]]-INDEX(Benchmark1[Benchmark '#1 Return],MATCH(Comp3[[#This Row],[Comparable '#3 Dates]],Benchmark1[Benchmark '#1 Dates],0)),"-")</f>
        <v>-1.6931089483456965E-2</v>
      </c>
      <c r="L564" s="72">
        <f>Comp3[[#This Row],[Comparable '#3 Price]]/$B$2*100</f>
        <v>80.948724511560442</v>
      </c>
    </row>
    <row r="565" spans="1:12">
      <c r="A565" s="96">
        <v>44103</v>
      </c>
      <c r="B565" s="101">
        <v>94.14</v>
      </c>
      <c r="C565" s="1">
        <f t="shared" si="16"/>
        <v>-7.8298992764190434E-3</v>
      </c>
      <c r="D565" s="1">
        <f>IFERROR(Comp3[[#This Row],[Comparable '#3 Return]]+1,"-")</f>
        <v>0.99217010072358092</v>
      </c>
      <c r="E565" s="6">
        <f>B565-MAX($B$2:B565)</f>
        <v>-93.899999999999991</v>
      </c>
      <c r="F565" s="80">
        <f t="shared" si="17"/>
        <v>303</v>
      </c>
      <c r="G565" s="6">
        <f>IFERROR(Comp3[[#This Row],[Comparable '#3 Drawdown]]/MAX($B$2:B565),"-")</f>
        <v>-0.49936183790682831</v>
      </c>
      <c r="H565" s="1" t="str">
        <f>IF(SUM(COUNTIF(Benchmark1[Benchmark '#1 Dates],Comp3[[#This Row],[Comparable '#3 Dates]]),COUNTIF(Benchmark2[Benchmark '#2 Dates],Comp3[[#This Row],[Comparable '#3 Dates]]))=2,"Pass","Fail")</f>
        <v>Pass</v>
      </c>
      <c r="I565" s="1">
        <f>IFERROR(Comp3[[#This Row],[Comparable '#3 Return]]-INDEX(Benchmark1[Benchmark '#1 Return],MATCH(Comp3[[#This Row],[Comparable '#3 Dates]],Benchmark1[Benchmark '#1 Dates],0)),"-")</f>
        <v>-3.0072653346264406E-3</v>
      </c>
      <c r="L565" s="72">
        <f>Comp3[[#This Row],[Comparable '#3 Price]]/$B$2*100</f>
        <v>80.31737906321986</v>
      </c>
    </row>
    <row r="566" spans="1:12">
      <c r="A566" s="96">
        <v>44104</v>
      </c>
      <c r="B566" s="101">
        <v>91.47</v>
      </c>
      <c r="C566" s="1">
        <f t="shared" si="16"/>
        <v>-2.877198630472309E-2</v>
      </c>
      <c r="D566" s="1">
        <f>IFERROR(Comp3[[#This Row],[Comparable '#3 Return]]+1,"-")</f>
        <v>0.97122801369527689</v>
      </c>
      <c r="E566" s="6">
        <f>B566-MAX($B$2:B566)</f>
        <v>-96.57</v>
      </c>
      <c r="F566" s="80">
        <f t="shared" si="17"/>
        <v>304</v>
      </c>
      <c r="G566" s="6">
        <f>IFERROR(Comp3[[#This Row],[Comparable '#3 Drawdown]]/MAX($B$2:B566),"-")</f>
        <v>-0.51356094447989786</v>
      </c>
      <c r="H566" s="1" t="str">
        <f>IF(SUM(COUNTIF(Benchmark1[Benchmark '#1 Dates],Comp3[[#This Row],[Comparable '#3 Dates]]),COUNTIF(Benchmark2[Benchmark '#2 Dates],Comp3[[#This Row],[Comparable '#3 Dates]]))=2,"Pass","Fail")</f>
        <v>Pass</v>
      </c>
      <c r="I566" s="1">
        <f>IFERROR(Comp3[[#This Row],[Comparable '#3 Return]]-INDEX(Benchmark1[Benchmark '#1 Return],MATCH(Comp3[[#This Row],[Comparable '#3 Dates]],Benchmark1[Benchmark '#1 Dates],0)),"-")</f>
        <v>-3.6990038652690016E-2</v>
      </c>
      <c r="L566" s="72">
        <f>Comp3[[#This Row],[Comparable '#3 Price]]/$B$2*100</f>
        <v>78.039416432045044</v>
      </c>
    </row>
    <row r="567" spans="1:12">
      <c r="A567" s="96">
        <v>44105</v>
      </c>
      <c r="B567" s="101">
        <v>91.49</v>
      </c>
      <c r="C567" s="1">
        <f t="shared" si="16"/>
        <v>2.186270231706504E-4</v>
      </c>
      <c r="D567" s="1">
        <f>IFERROR(Comp3[[#This Row],[Comparable '#3 Return]]+1,"-")</f>
        <v>1.0002186270231705</v>
      </c>
      <c r="E567" s="6">
        <f>B567-MAX($B$2:B567)</f>
        <v>-96.55</v>
      </c>
      <c r="F567" s="80">
        <f t="shared" si="17"/>
        <v>305</v>
      </c>
      <c r="G567" s="6">
        <f>IFERROR(Comp3[[#This Row],[Comparable '#3 Drawdown]]/MAX($B$2:B567),"-")</f>
        <v>-0.51345458413103595</v>
      </c>
      <c r="H567" s="1" t="str">
        <f>IF(SUM(COUNTIF(Benchmark1[Benchmark '#1 Dates],Comp3[[#This Row],[Comparable '#3 Dates]]),COUNTIF(Benchmark2[Benchmark '#2 Dates],Comp3[[#This Row],[Comparable '#3 Dates]]))=2,"Pass","Fail")</f>
        <v>Pass</v>
      </c>
      <c r="I567" s="1">
        <f>IFERROR(Comp3[[#This Row],[Comparable '#3 Return]]-INDEX(Benchmark1[Benchmark '#1 Return],MATCH(Comp3[[#This Row],[Comparable '#3 Dates]],Benchmark1[Benchmark '#1 Dates],0)),"-")</f>
        <v>-5.0601840486013969E-3</v>
      </c>
      <c r="L567" s="72">
        <f>Comp3[[#This Row],[Comparable '#3 Price]]/$B$2*100</f>
        <v>78.056479822540737</v>
      </c>
    </row>
    <row r="568" spans="1:12">
      <c r="A568" s="96">
        <v>44106</v>
      </c>
      <c r="B568" s="101">
        <v>91.11</v>
      </c>
      <c r="C568" s="1">
        <f t="shared" si="16"/>
        <v>-4.1621089656767698E-3</v>
      </c>
      <c r="D568" s="1">
        <f>IFERROR(Comp3[[#This Row],[Comparable '#3 Return]]+1,"-")</f>
        <v>0.99583789103432319</v>
      </c>
      <c r="E568" s="6">
        <f>B568-MAX($B$2:B568)</f>
        <v>-96.929999999999993</v>
      </c>
      <c r="F568" s="80">
        <f t="shared" si="17"/>
        <v>306</v>
      </c>
      <c r="G568" s="6">
        <f>IFERROR(Comp3[[#This Row],[Comparable '#3 Drawdown]]/MAX($B$2:B568),"-")</f>
        <v>-0.51547543075941282</v>
      </c>
      <c r="H568" s="1" t="str">
        <f>IF(SUM(COUNTIF(Benchmark1[Benchmark '#1 Dates],Comp3[[#This Row],[Comparable '#3 Dates]]),COUNTIF(Benchmark2[Benchmark '#2 Dates],Comp3[[#This Row],[Comparable '#3 Dates]]))=2,"Pass","Fail")</f>
        <v>Pass</v>
      </c>
      <c r="I568" s="1">
        <f>IFERROR(Comp3[[#This Row],[Comparable '#3 Return]]-INDEX(Benchmark1[Benchmark '#1 Return],MATCH(Comp3[[#This Row],[Comparable '#3 Dates]],Benchmark1[Benchmark '#1 Dates],0)),"-")</f>
        <v>5.454148513437551E-3</v>
      </c>
      <c r="L568" s="72">
        <f>Comp3[[#This Row],[Comparable '#3 Price]]/$B$2*100</f>
        <v>77.732275403122614</v>
      </c>
    </row>
    <row r="569" spans="1:12">
      <c r="A569" s="96">
        <v>44109</v>
      </c>
      <c r="B569" s="101">
        <v>91.96</v>
      </c>
      <c r="C569" s="1">
        <f t="shared" si="16"/>
        <v>9.2861321692135901E-3</v>
      </c>
      <c r="D569" s="1">
        <f>IFERROR(Comp3[[#This Row],[Comparable '#3 Return]]+1,"-")</f>
        <v>1.0092861321692137</v>
      </c>
      <c r="E569" s="6">
        <f>B569-MAX($B$2:B569)</f>
        <v>-96.08</v>
      </c>
      <c r="F569" s="80">
        <f t="shared" si="17"/>
        <v>307</v>
      </c>
      <c r="G569" s="6">
        <f>IFERROR(Comp3[[#This Row],[Comparable '#3 Drawdown]]/MAX($B$2:B569),"-")</f>
        <v>-0.51095511593278031</v>
      </c>
      <c r="H569" s="1" t="str">
        <f>IF(SUM(COUNTIF(Benchmark1[Benchmark '#1 Dates],Comp3[[#This Row],[Comparable '#3 Dates]]),COUNTIF(Benchmark2[Benchmark '#2 Dates],Comp3[[#This Row],[Comparable '#3 Dates]]))=2,"Pass","Fail")</f>
        <v>Pass</v>
      </c>
      <c r="I569" s="1">
        <f>IFERROR(Comp3[[#This Row],[Comparable '#3 Return]]-INDEX(Benchmark1[Benchmark '#1 Return],MATCH(Comp3[[#This Row],[Comparable '#3 Dates]],Benchmark1[Benchmark '#1 Dates],0)),"-")</f>
        <v>-8.5277017607933714E-3</v>
      </c>
      <c r="L569" s="72">
        <f>Comp3[[#This Row],[Comparable '#3 Price]]/$B$2*100</f>
        <v>78.457469499189486</v>
      </c>
    </row>
    <row r="570" spans="1:12">
      <c r="A570" s="96">
        <v>44110</v>
      </c>
      <c r="B570" s="101">
        <v>93.65</v>
      </c>
      <c r="C570" s="1">
        <f t="shared" si="16"/>
        <v>1.8210728995116957E-2</v>
      </c>
      <c r="D570" s="1">
        <f>IFERROR(Comp3[[#This Row],[Comparable '#3 Return]]+1,"-")</f>
        <v>1.018210728995117</v>
      </c>
      <c r="E570" s="6">
        <f>B570-MAX($B$2:B570)</f>
        <v>-94.389999999999986</v>
      </c>
      <c r="F570" s="80">
        <f t="shared" si="17"/>
        <v>308</v>
      </c>
      <c r="G570" s="6">
        <f>IFERROR(Comp3[[#This Row],[Comparable '#3 Drawdown]]/MAX($B$2:B570),"-")</f>
        <v>-0.50196766645394597</v>
      </c>
      <c r="H570" s="1" t="str">
        <f>IF(SUM(COUNTIF(Benchmark1[Benchmark '#1 Dates],Comp3[[#This Row],[Comparable '#3 Dates]]),COUNTIF(Benchmark2[Benchmark '#2 Dates],Comp3[[#This Row],[Comparable '#3 Dates]]))=2,"Pass","Fail")</f>
        <v>Pass</v>
      </c>
      <c r="I570" s="1">
        <f>IFERROR(Comp3[[#This Row],[Comparable '#3 Return]]-INDEX(Benchmark1[Benchmark '#1 Return],MATCH(Comp3[[#This Row],[Comparable '#3 Dates]],Benchmark1[Benchmark '#1 Dates],0)),"-")</f>
        <v>3.2295963428150713E-2</v>
      </c>
      <c r="L570" s="72">
        <f>Comp3[[#This Row],[Comparable '#3 Price]]/$B$2*100</f>
        <v>79.899325996075433</v>
      </c>
    </row>
    <row r="571" spans="1:12">
      <c r="A571" s="96">
        <v>44111</v>
      </c>
      <c r="B571" s="101">
        <v>93.99</v>
      </c>
      <c r="C571" s="1">
        <f t="shared" si="16"/>
        <v>3.6239647421124088E-3</v>
      </c>
      <c r="D571" s="1">
        <f>IFERROR(Comp3[[#This Row],[Comparable '#3 Return]]+1,"-")</f>
        <v>1.0036239647421124</v>
      </c>
      <c r="E571" s="6">
        <f>B571-MAX($B$2:B571)</f>
        <v>-94.05</v>
      </c>
      <c r="F571" s="80">
        <f t="shared" si="17"/>
        <v>309</v>
      </c>
      <c r="G571" s="6">
        <f>IFERROR(Comp3[[#This Row],[Comparable '#3 Drawdown]]/MAX($B$2:B571),"-")</f>
        <v>-0.50015954052329292</v>
      </c>
      <c r="H571" s="1" t="str">
        <f>IF(SUM(COUNTIF(Benchmark1[Benchmark '#1 Dates],Comp3[[#This Row],[Comparable '#3 Dates]]),COUNTIF(Benchmark2[Benchmark '#2 Dates],Comp3[[#This Row],[Comparable '#3 Dates]]))=2,"Pass","Fail")</f>
        <v>Pass</v>
      </c>
      <c r="I571" s="1">
        <f>IFERROR(Comp3[[#This Row],[Comparable '#3 Return]]-INDEX(Benchmark1[Benchmark '#1 Return],MATCH(Comp3[[#This Row],[Comparable '#3 Dates]],Benchmark1[Benchmark '#1 Dates],0)),"-")</f>
        <v>-1.3631266251744231E-2</v>
      </c>
      <c r="L571" s="72">
        <f>Comp3[[#This Row],[Comparable '#3 Price]]/$B$2*100</f>
        <v>80.18940363450217</v>
      </c>
    </row>
    <row r="572" spans="1:12">
      <c r="A572" s="96">
        <v>44112</v>
      </c>
      <c r="B572" s="101">
        <v>95.51</v>
      </c>
      <c r="C572" s="1">
        <f t="shared" si="16"/>
        <v>1.6042560414436309E-2</v>
      </c>
      <c r="D572" s="1">
        <f>IFERROR(Comp3[[#This Row],[Comparable '#3 Return]]+1,"-")</f>
        <v>1.0160425604144363</v>
      </c>
      <c r="E572" s="6">
        <f>B572-MAX($B$2:B572)</f>
        <v>-92.529999999999987</v>
      </c>
      <c r="F572" s="80">
        <f t="shared" si="17"/>
        <v>310</v>
      </c>
      <c r="G572" s="6">
        <f>IFERROR(Comp3[[#This Row],[Comparable '#3 Drawdown]]/MAX($B$2:B572),"-")</f>
        <v>-0.49207615400978511</v>
      </c>
      <c r="H572" s="1" t="str">
        <f>IF(SUM(COUNTIF(Benchmark1[Benchmark '#1 Dates],Comp3[[#This Row],[Comparable '#3 Dates]]),COUNTIF(Benchmark2[Benchmark '#2 Dates],Comp3[[#This Row],[Comparable '#3 Dates]]))=2,"Pass","Fail")</f>
        <v>Pass</v>
      </c>
      <c r="I572" s="1">
        <f>IFERROR(Comp3[[#This Row],[Comparable '#3 Return]]-INDEX(Benchmark1[Benchmark '#1 Return],MATCH(Comp3[[#This Row],[Comparable '#3 Dates]],Benchmark1[Benchmark '#1 Dates],0)),"-")</f>
        <v>8.0675815334757643E-3</v>
      </c>
      <c r="L572" s="72">
        <f>Comp3[[#This Row],[Comparable '#3 Price]]/$B$2*100</f>
        <v>81.486221312174735</v>
      </c>
    </row>
    <row r="573" spans="1:12">
      <c r="A573" s="96">
        <v>44113</v>
      </c>
      <c r="B573" s="101">
        <v>96.43</v>
      </c>
      <c r="C573" s="1">
        <f t="shared" si="16"/>
        <v>9.5864024756467867E-3</v>
      </c>
      <c r="D573" s="1">
        <f>IFERROR(Comp3[[#This Row],[Comparable '#3 Return]]+1,"-")</f>
        <v>1.0095864024756467</v>
      </c>
      <c r="E573" s="6">
        <f>B573-MAX($B$2:B573)</f>
        <v>-91.609999999999985</v>
      </c>
      <c r="F573" s="80">
        <f t="shared" si="17"/>
        <v>311</v>
      </c>
      <c r="G573" s="6">
        <f>IFERROR(Comp3[[#This Row],[Comparable '#3 Drawdown]]/MAX($B$2:B573),"-")</f>
        <v>-0.48718357796213568</v>
      </c>
      <c r="H573" s="1" t="str">
        <f>IF(SUM(COUNTIF(Benchmark1[Benchmark '#1 Dates],Comp3[[#This Row],[Comparable '#3 Dates]]),COUNTIF(Benchmark2[Benchmark '#2 Dates],Comp3[[#This Row],[Comparable '#3 Dates]]))=2,"Pass","Fail")</f>
        <v>Pass</v>
      </c>
      <c r="I573" s="1">
        <f>IFERROR(Comp3[[#This Row],[Comparable '#3 Return]]-INDEX(Benchmark1[Benchmark '#1 Return],MATCH(Comp3[[#This Row],[Comparable '#3 Dates]],Benchmark1[Benchmark '#1 Dates],0)),"-")</f>
        <v>8.3242997580513199E-4</v>
      </c>
      <c r="L573" s="72">
        <f>Comp3[[#This Row],[Comparable '#3 Price]]/$B$2*100</f>
        <v>82.271137274976553</v>
      </c>
    </row>
    <row r="574" spans="1:12">
      <c r="A574" s="96">
        <v>44116</v>
      </c>
      <c r="B574" s="101">
        <v>97.53</v>
      </c>
      <c r="C574" s="1">
        <f t="shared" si="16"/>
        <v>1.1342666461630483E-2</v>
      </c>
      <c r="D574" s="1">
        <f>IFERROR(Comp3[[#This Row],[Comparable '#3 Return]]+1,"-")</f>
        <v>1.0113426664616305</v>
      </c>
      <c r="E574" s="6">
        <f>B574-MAX($B$2:B574)</f>
        <v>-90.509999999999991</v>
      </c>
      <c r="F574" s="80">
        <f t="shared" si="17"/>
        <v>312</v>
      </c>
      <c r="G574" s="6">
        <f>IFERROR(Comp3[[#This Row],[Comparable '#3 Drawdown]]/MAX($B$2:B574),"-")</f>
        <v>-0.48133375877472873</v>
      </c>
      <c r="H574" s="1" t="str">
        <f>IF(SUM(COUNTIF(Benchmark1[Benchmark '#1 Dates],Comp3[[#This Row],[Comparable '#3 Dates]]),COUNTIF(Benchmark2[Benchmark '#2 Dates],Comp3[[#This Row],[Comparable '#3 Dates]]))=2,"Pass","Fail")</f>
        <v>Pass</v>
      </c>
      <c r="I574" s="1">
        <f>IFERROR(Comp3[[#This Row],[Comparable '#3 Return]]-INDEX(Benchmark1[Benchmark '#1 Return],MATCH(Comp3[[#This Row],[Comparable '#3 Dates]],Benchmark1[Benchmark '#1 Dates],0)),"-")</f>
        <v>-4.940348234539144E-3</v>
      </c>
      <c r="L574" s="72">
        <f>Comp3[[#This Row],[Comparable '#3 Price]]/$B$2*100</f>
        <v>83.209623752239565</v>
      </c>
    </row>
    <row r="575" spans="1:12">
      <c r="A575" s="96">
        <v>44117</v>
      </c>
      <c r="B575" s="101">
        <v>95.9</v>
      </c>
      <c r="C575" s="1">
        <f t="shared" si="16"/>
        <v>-1.6854041094531043E-2</v>
      </c>
      <c r="D575" s="1">
        <f>IFERROR(Comp3[[#This Row],[Comparable '#3 Return]]+1,"-")</f>
        <v>0.98314595890546896</v>
      </c>
      <c r="E575" s="6">
        <f>B575-MAX($B$2:B575)</f>
        <v>-92.139999999999986</v>
      </c>
      <c r="F575" s="80">
        <f t="shared" si="17"/>
        <v>313</v>
      </c>
      <c r="G575" s="6">
        <f>IFERROR(Comp3[[#This Row],[Comparable '#3 Drawdown]]/MAX($B$2:B575),"-")</f>
        <v>-0.49000212720697717</v>
      </c>
      <c r="H575" s="1" t="str">
        <f>IF(SUM(COUNTIF(Benchmark1[Benchmark '#1 Dates],Comp3[[#This Row],[Comparable '#3 Dates]]),COUNTIF(Benchmark2[Benchmark '#2 Dates],Comp3[[#This Row],[Comparable '#3 Dates]]))=2,"Pass","Fail")</f>
        <v>Pass</v>
      </c>
      <c r="I575" s="1">
        <f>IFERROR(Comp3[[#This Row],[Comparable '#3 Return]]-INDEX(Benchmark1[Benchmark '#1 Return],MATCH(Comp3[[#This Row],[Comparable '#3 Dates]],Benchmark1[Benchmark '#1 Dates],0)),"-")</f>
        <v>-1.0528280419449056E-2</v>
      </c>
      <c r="L575" s="72">
        <f>Comp3[[#This Row],[Comparable '#3 Price]]/$B$2*100</f>
        <v>81.818957426840726</v>
      </c>
    </row>
    <row r="576" spans="1:12">
      <c r="A576" s="96">
        <v>44118</v>
      </c>
      <c r="B576" s="101">
        <v>96.15</v>
      </c>
      <c r="C576" s="1">
        <f t="shared" si="16"/>
        <v>2.6034901453962536E-3</v>
      </c>
      <c r="D576" s="1">
        <f>IFERROR(Comp3[[#This Row],[Comparable '#3 Return]]+1,"-")</f>
        <v>1.0026034901453962</v>
      </c>
      <c r="E576" s="6">
        <f>B576-MAX($B$2:B576)</f>
        <v>-91.889999999999986</v>
      </c>
      <c r="F576" s="80">
        <f t="shared" si="17"/>
        <v>314</v>
      </c>
      <c r="G576" s="6">
        <f>IFERROR(Comp3[[#This Row],[Comparable '#3 Drawdown]]/MAX($B$2:B576),"-")</f>
        <v>-0.48867262284620289</v>
      </c>
      <c r="H576" s="1" t="str">
        <f>IF(SUM(COUNTIF(Benchmark1[Benchmark '#1 Dates],Comp3[[#This Row],[Comparable '#3 Dates]]),COUNTIF(Benchmark2[Benchmark '#2 Dates],Comp3[[#This Row],[Comparable '#3 Dates]]))=2,"Pass","Fail")</f>
        <v>Pass</v>
      </c>
      <c r="I576" s="1">
        <f>IFERROR(Comp3[[#This Row],[Comparable '#3 Return]]-INDEX(Benchmark1[Benchmark '#1 Return],MATCH(Comp3[[#This Row],[Comparable '#3 Dates]],Benchmark1[Benchmark '#1 Dates],0)),"-")</f>
        <v>9.249770187505094E-3</v>
      </c>
      <c r="L576" s="72">
        <f>Comp3[[#This Row],[Comparable '#3 Price]]/$B$2*100</f>
        <v>82.032249808036866</v>
      </c>
    </row>
    <row r="577" spans="1:12">
      <c r="A577" s="96">
        <v>44119</v>
      </c>
      <c r="B577" s="101">
        <v>96.64</v>
      </c>
      <c r="C577" s="1">
        <f t="shared" si="16"/>
        <v>5.0832621517160554E-3</v>
      </c>
      <c r="D577" s="1">
        <f>IFERROR(Comp3[[#This Row],[Comparable '#3 Return]]+1,"-")</f>
        <v>1.0050832621517161</v>
      </c>
      <c r="E577" s="6">
        <f>B577-MAX($B$2:B577)</f>
        <v>-91.399999999999991</v>
      </c>
      <c r="F577" s="80">
        <f t="shared" si="17"/>
        <v>315</v>
      </c>
      <c r="G577" s="6">
        <f>IFERROR(Comp3[[#This Row],[Comparable '#3 Drawdown]]/MAX($B$2:B577),"-")</f>
        <v>-0.48606679429908528</v>
      </c>
      <c r="H577" s="1" t="str">
        <f>IF(SUM(COUNTIF(Benchmark1[Benchmark '#1 Dates],Comp3[[#This Row],[Comparable '#3 Dates]]),COUNTIF(Benchmark2[Benchmark '#2 Dates],Comp3[[#This Row],[Comparable '#3 Dates]]))=2,"Pass","Fail")</f>
        <v>Pass</v>
      </c>
      <c r="I577" s="1">
        <f>IFERROR(Comp3[[#This Row],[Comparable '#3 Return]]-INDEX(Benchmark1[Benchmark '#1 Return],MATCH(Comp3[[#This Row],[Comparable '#3 Dates]],Benchmark1[Benchmark '#1 Dates],0)),"-")</f>
        <v>6.6107040142305987E-3</v>
      </c>
      <c r="L577" s="72">
        <f>Comp3[[#This Row],[Comparable '#3 Price]]/$B$2*100</f>
        <v>82.450302875181308</v>
      </c>
    </row>
    <row r="578" spans="1:12">
      <c r="A578" s="96">
        <v>44120</v>
      </c>
      <c r="B578" s="101">
        <v>96.73</v>
      </c>
      <c r="C578" s="1">
        <f t="shared" ref="C578:C641" si="18">IFERROR(IF(B578="","-",LN(B578/B577)),"-")</f>
        <v>9.3085800795078945E-4</v>
      </c>
      <c r="D578" s="1">
        <f>IFERROR(Comp3[[#This Row],[Comparable '#3 Return]]+1,"-")</f>
        <v>1.0009308580079508</v>
      </c>
      <c r="E578" s="6">
        <f>B578-MAX($B$2:B578)</f>
        <v>-91.309999999999988</v>
      </c>
      <c r="F578" s="80">
        <f t="shared" ref="F578:F641" si="19">IF(E578=0,0,F577+1)</f>
        <v>316</v>
      </c>
      <c r="G578" s="6">
        <f>IFERROR(Comp3[[#This Row],[Comparable '#3 Drawdown]]/MAX($B$2:B578),"-")</f>
        <v>-0.48558817272920651</v>
      </c>
      <c r="H578" s="1" t="str">
        <f>IF(SUM(COUNTIF(Benchmark1[Benchmark '#1 Dates],Comp3[[#This Row],[Comparable '#3 Dates]]),COUNTIF(Benchmark2[Benchmark '#2 Dates],Comp3[[#This Row],[Comparable '#3 Dates]]))=2,"Pass","Fail")</f>
        <v>Pass</v>
      </c>
      <c r="I578" s="1">
        <f>IFERROR(Comp3[[#This Row],[Comparable '#3 Return]]-INDEX(Benchmark1[Benchmark '#1 Return],MATCH(Comp3[[#This Row],[Comparable '#3 Dates]],Benchmark1[Benchmark '#1 Dates],0)),"-")</f>
        <v>7.9695407769066196E-4</v>
      </c>
      <c r="L578" s="72">
        <f>Comp3[[#This Row],[Comparable '#3 Price]]/$B$2*100</f>
        <v>82.527088132411919</v>
      </c>
    </row>
    <row r="579" spans="1:12">
      <c r="A579" s="96">
        <v>44123</v>
      </c>
      <c r="B579" s="101">
        <v>97.89</v>
      </c>
      <c r="C579" s="1">
        <f t="shared" si="18"/>
        <v>1.1920807078883188E-2</v>
      </c>
      <c r="D579" s="1">
        <f>IFERROR(Comp3[[#This Row],[Comparable '#3 Return]]+1,"-")</f>
        <v>1.0119208070788832</v>
      </c>
      <c r="E579" s="6">
        <f>B579-MAX($B$2:B579)</f>
        <v>-90.149999999999991</v>
      </c>
      <c r="F579" s="80">
        <f t="shared" si="19"/>
        <v>317</v>
      </c>
      <c r="G579" s="6">
        <f>IFERROR(Comp3[[#This Row],[Comparable '#3 Drawdown]]/MAX($B$2:B579),"-")</f>
        <v>-0.47941927249521377</v>
      </c>
      <c r="H579" s="1" t="str">
        <f>IF(SUM(COUNTIF(Benchmark1[Benchmark '#1 Dates],Comp3[[#This Row],[Comparable '#3 Dates]]),COUNTIF(Benchmark2[Benchmark '#2 Dates],Comp3[[#This Row],[Comparable '#3 Dates]]))=2,"Pass","Fail")</f>
        <v>Pass</v>
      </c>
      <c r="I579" s="1">
        <f>IFERROR(Comp3[[#This Row],[Comparable '#3 Return]]-INDEX(Benchmark1[Benchmark '#1 Return],MATCH(Comp3[[#This Row],[Comparable '#3 Dates]],Benchmark1[Benchmark '#1 Dates],0)),"-")</f>
        <v>2.8383619877036477E-2</v>
      </c>
      <c r="L579" s="72">
        <f>Comp3[[#This Row],[Comparable '#3 Price]]/$B$2*100</f>
        <v>83.516764781162024</v>
      </c>
    </row>
    <row r="580" spans="1:12">
      <c r="A580" s="96">
        <v>44124</v>
      </c>
      <c r="B580" s="101">
        <v>97.15</v>
      </c>
      <c r="C580" s="1">
        <f t="shared" si="18"/>
        <v>-7.5882234498898023E-3</v>
      </c>
      <c r="D580" s="1">
        <f>IFERROR(Comp3[[#This Row],[Comparable '#3 Return]]+1,"-")</f>
        <v>0.99241177655011015</v>
      </c>
      <c r="E580" s="6">
        <f>B580-MAX($B$2:B580)</f>
        <v>-90.889999999999986</v>
      </c>
      <c r="F580" s="80">
        <f t="shared" si="19"/>
        <v>318</v>
      </c>
      <c r="G580" s="6">
        <f>IFERROR(Comp3[[#This Row],[Comparable '#3 Drawdown]]/MAX($B$2:B580),"-")</f>
        <v>-0.48335460540310565</v>
      </c>
      <c r="H580" s="1" t="str">
        <f>IF(SUM(COUNTIF(Benchmark1[Benchmark '#1 Dates],Comp3[[#This Row],[Comparable '#3 Dates]]),COUNTIF(Benchmark2[Benchmark '#2 Dates],Comp3[[#This Row],[Comparable '#3 Dates]]))=2,"Pass","Fail")</f>
        <v>Pass</v>
      </c>
      <c r="I580" s="1">
        <f>IFERROR(Comp3[[#This Row],[Comparable '#3 Return]]-INDEX(Benchmark1[Benchmark '#1 Return],MATCH(Comp3[[#This Row],[Comparable '#3 Dates]],Benchmark1[Benchmark '#1 Dates],0)),"-")</f>
        <v>-1.2302229138827316E-2</v>
      </c>
      <c r="L580" s="72">
        <f>Comp3[[#This Row],[Comparable '#3 Price]]/$B$2*100</f>
        <v>82.885419332821442</v>
      </c>
    </row>
    <row r="581" spans="1:12">
      <c r="A581" s="96">
        <v>44125</v>
      </c>
      <c r="B581" s="101">
        <v>96.05</v>
      </c>
      <c r="C581" s="1">
        <f t="shared" si="18"/>
        <v>-1.1387286608883483E-2</v>
      </c>
      <c r="D581" s="1">
        <f>IFERROR(Comp3[[#This Row],[Comparable '#3 Return]]+1,"-")</f>
        <v>0.98861271339111656</v>
      </c>
      <c r="E581" s="6">
        <f>B581-MAX($B$2:B581)</f>
        <v>-91.99</v>
      </c>
      <c r="F581" s="80">
        <f t="shared" si="19"/>
        <v>319</v>
      </c>
      <c r="G581" s="6">
        <f>IFERROR(Comp3[[#This Row],[Comparable '#3 Drawdown]]/MAX($B$2:B581),"-")</f>
        <v>-0.48920442459051267</v>
      </c>
      <c r="H581" s="1" t="str">
        <f>IF(SUM(COUNTIF(Benchmark1[Benchmark '#1 Dates],Comp3[[#This Row],[Comparable '#3 Dates]]),COUNTIF(Benchmark2[Benchmark '#2 Dates],Comp3[[#This Row],[Comparable '#3 Dates]]))=2,"Pass","Fail")</f>
        <v>Pass</v>
      </c>
      <c r="I581" s="1">
        <f>IFERROR(Comp3[[#This Row],[Comparable '#3 Return]]-INDEX(Benchmark1[Benchmark '#1 Return],MATCH(Comp3[[#This Row],[Comparable '#3 Dates]],Benchmark1[Benchmark '#1 Dates],0)),"-")</f>
        <v>-9.1888095016811437E-3</v>
      </c>
      <c r="L581" s="72">
        <f>Comp3[[#This Row],[Comparable '#3 Price]]/$B$2*100</f>
        <v>81.946932855558401</v>
      </c>
    </row>
    <row r="582" spans="1:12">
      <c r="A582" s="96">
        <v>44126</v>
      </c>
      <c r="B582" s="101">
        <v>95.79</v>
      </c>
      <c r="C582" s="1">
        <f t="shared" si="18"/>
        <v>-2.7105938197652317E-3</v>
      </c>
      <c r="D582" s="1">
        <f>IFERROR(Comp3[[#This Row],[Comparable '#3 Return]]+1,"-")</f>
        <v>0.99728940618023476</v>
      </c>
      <c r="E582" s="6">
        <f>B582-MAX($B$2:B582)</f>
        <v>-92.249999999999986</v>
      </c>
      <c r="F582" s="80">
        <f t="shared" si="19"/>
        <v>320</v>
      </c>
      <c r="G582" s="6">
        <f>IFERROR(Comp3[[#This Row],[Comparable '#3 Drawdown]]/MAX($B$2:B582),"-")</f>
        <v>-0.4905871091257179</v>
      </c>
      <c r="H582" s="1" t="str">
        <f>IF(SUM(COUNTIF(Benchmark1[Benchmark '#1 Dates],Comp3[[#This Row],[Comparable '#3 Dates]]),COUNTIF(Benchmark2[Benchmark '#2 Dates],Comp3[[#This Row],[Comparable '#3 Dates]]))=2,"Pass","Fail")</f>
        <v>Pass</v>
      </c>
      <c r="I582" s="1">
        <f>IFERROR(Comp3[[#This Row],[Comparable '#3 Return]]-INDEX(Benchmark1[Benchmark '#1 Return],MATCH(Comp3[[#This Row],[Comparable '#3 Dates]],Benchmark1[Benchmark '#1 Dates],0)),"-")</f>
        <v>-7.917341052214073E-3</v>
      </c>
      <c r="L582" s="72">
        <f>Comp3[[#This Row],[Comparable '#3 Price]]/$B$2*100</f>
        <v>81.725108779114422</v>
      </c>
    </row>
    <row r="583" spans="1:12">
      <c r="A583" s="96">
        <v>44127</v>
      </c>
      <c r="B583" s="101">
        <v>96.16</v>
      </c>
      <c r="C583" s="1">
        <f t="shared" si="18"/>
        <v>3.8551753920970451E-3</v>
      </c>
      <c r="D583" s="1">
        <f>IFERROR(Comp3[[#This Row],[Comparable '#3 Return]]+1,"-")</f>
        <v>1.003855175392097</v>
      </c>
      <c r="E583" s="6">
        <f>B583-MAX($B$2:B583)</f>
        <v>-91.88</v>
      </c>
      <c r="F583" s="80">
        <f t="shared" si="19"/>
        <v>321</v>
      </c>
      <c r="G583" s="6">
        <f>IFERROR(Comp3[[#This Row],[Comparable '#3 Drawdown]]/MAX($B$2:B583),"-")</f>
        <v>-0.48861944267177199</v>
      </c>
      <c r="H583" s="1" t="str">
        <f>IF(SUM(COUNTIF(Benchmark1[Benchmark '#1 Dates],Comp3[[#This Row],[Comparable '#3 Dates]]),COUNTIF(Benchmark2[Benchmark '#2 Dates],Comp3[[#This Row],[Comparable '#3 Dates]]))=2,"Pass","Fail")</f>
        <v>Pass</v>
      </c>
      <c r="I583" s="1">
        <f>IFERROR(Comp3[[#This Row],[Comparable '#3 Return]]-INDEX(Benchmark1[Benchmark '#1 Return],MATCH(Comp3[[#This Row],[Comparable '#3 Dates]],Benchmark1[Benchmark '#1 Dates],0)),"-")</f>
        <v>4.1616466334607654E-4</v>
      </c>
      <c r="L583" s="72">
        <f>Comp3[[#This Row],[Comparable '#3 Price]]/$B$2*100</f>
        <v>82.040781503284705</v>
      </c>
    </row>
    <row r="584" spans="1:12">
      <c r="A584" s="96">
        <v>44130</v>
      </c>
      <c r="B584" s="101">
        <v>93.86</v>
      </c>
      <c r="C584" s="1">
        <f t="shared" si="18"/>
        <v>-2.420916042062583E-2</v>
      </c>
      <c r="D584" s="1">
        <f>IFERROR(Comp3[[#This Row],[Comparable '#3 Return]]+1,"-")</f>
        <v>0.97579083957937418</v>
      </c>
      <c r="E584" s="6">
        <f>B584-MAX($B$2:B584)</f>
        <v>-94.179999999999993</v>
      </c>
      <c r="F584" s="80">
        <f t="shared" si="19"/>
        <v>322</v>
      </c>
      <c r="G584" s="6">
        <f>IFERROR(Comp3[[#This Row],[Comparable '#3 Drawdown]]/MAX($B$2:B584),"-")</f>
        <v>-0.50085088279089551</v>
      </c>
      <c r="H584" s="1" t="str">
        <f>IF(SUM(COUNTIF(Benchmark1[Benchmark '#1 Dates],Comp3[[#This Row],[Comparable '#3 Dates]]),COUNTIF(Benchmark2[Benchmark '#2 Dates],Comp3[[#This Row],[Comparable '#3 Dates]]))=2,"Pass","Fail")</f>
        <v>Pass</v>
      </c>
      <c r="I584" s="1">
        <f>IFERROR(Comp3[[#This Row],[Comparable '#3 Return]]-INDEX(Benchmark1[Benchmark '#1 Return],MATCH(Comp3[[#This Row],[Comparable '#3 Dates]],Benchmark1[Benchmark '#1 Dates],0)),"-")</f>
        <v>-5.4449385775531683E-3</v>
      </c>
      <c r="L584" s="72">
        <f>Comp3[[#This Row],[Comparable '#3 Price]]/$B$2*100</f>
        <v>80.078491596280188</v>
      </c>
    </row>
    <row r="585" spans="1:12">
      <c r="A585" s="96">
        <v>44131</v>
      </c>
      <c r="B585" s="101">
        <v>89.99</v>
      </c>
      <c r="C585" s="1">
        <f t="shared" si="18"/>
        <v>-4.2105757320414494E-2</v>
      </c>
      <c r="D585" s="1">
        <f>IFERROR(Comp3[[#This Row],[Comparable '#3 Return]]+1,"-")</f>
        <v>0.95789424267958556</v>
      </c>
      <c r="E585" s="6">
        <f>B585-MAX($B$2:B585)</f>
        <v>-98.05</v>
      </c>
      <c r="F585" s="80">
        <f t="shared" si="19"/>
        <v>323</v>
      </c>
      <c r="G585" s="6">
        <f>IFERROR(Comp3[[#This Row],[Comparable '#3 Drawdown]]/MAX($B$2:B585),"-")</f>
        <v>-0.52143161029568175</v>
      </c>
      <c r="H585" s="1" t="str">
        <f>IF(SUM(COUNTIF(Benchmark1[Benchmark '#1 Dates],Comp3[[#This Row],[Comparable '#3 Dates]]),COUNTIF(Benchmark2[Benchmark '#2 Dates],Comp3[[#This Row],[Comparable '#3 Dates]]))=2,"Pass","Fail")</f>
        <v>Pass</v>
      </c>
      <c r="I585" s="1">
        <f>IFERROR(Comp3[[#This Row],[Comparable '#3 Return]]-INDEX(Benchmark1[Benchmark '#1 Return],MATCH(Comp3[[#This Row],[Comparable '#3 Dates]],Benchmark1[Benchmark '#1 Dates],0)),"-")</f>
        <v>-3.907739933371715E-2</v>
      </c>
      <c r="L585" s="72">
        <f>Comp3[[#This Row],[Comparable '#3 Price]]/$B$2*100</f>
        <v>76.77672553536388</v>
      </c>
    </row>
    <row r="586" spans="1:12">
      <c r="A586" s="96">
        <v>44132</v>
      </c>
      <c r="B586" s="101">
        <v>83.37</v>
      </c>
      <c r="C586" s="1">
        <f t="shared" si="18"/>
        <v>-7.6410020623335032E-2</v>
      </c>
      <c r="D586" s="1">
        <f>IFERROR(Comp3[[#This Row],[Comparable '#3 Return]]+1,"-")</f>
        <v>0.92358997937666498</v>
      </c>
      <c r="E586" s="6">
        <f>B586-MAX($B$2:B586)</f>
        <v>-104.66999999999999</v>
      </c>
      <c r="F586" s="80">
        <f t="shared" si="19"/>
        <v>324</v>
      </c>
      <c r="G586" s="6">
        <f>IFERROR(Comp3[[#This Row],[Comparable '#3 Drawdown]]/MAX($B$2:B586),"-")</f>
        <v>-0.55663688576898529</v>
      </c>
      <c r="H586" s="1" t="str">
        <f>IF(SUM(COUNTIF(Benchmark1[Benchmark '#1 Dates],Comp3[[#This Row],[Comparable '#3 Dates]]),COUNTIF(Benchmark2[Benchmark '#2 Dates],Comp3[[#This Row],[Comparable '#3 Dates]]))=2,"Pass","Fail")</f>
        <v>Pass</v>
      </c>
      <c r="I586" s="1">
        <f>IFERROR(Comp3[[#This Row],[Comparable '#3 Return]]-INDEX(Benchmark1[Benchmark '#1 Return],MATCH(Comp3[[#This Row],[Comparable '#3 Dates]],Benchmark1[Benchmark '#1 Dates],0)),"-")</f>
        <v>-4.048234411499E-2</v>
      </c>
      <c r="L586" s="72">
        <f>Comp3[[#This Row],[Comparable '#3 Price]]/$B$2*100</f>
        <v>71.128743281289999</v>
      </c>
    </row>
    <row r="587" spans="1:12">
      <c r="A587" s="96">
        <v>44133</v>
      </c>
      <c r="B587" s="101">
        <v>84.31</v>
      </c>
      <c r="C587" s="1">
        <f t="shared" si="18"/>
        <v>1.1211949512062233E-2</v>
      </c>
      <c r="D587" s="1">
        <f>IFERROR(Comp3[[#This Row],[Comparable '#3 Return]]+1,"-")</f>
        <v>1.0112119495120622</v>
      </c>
      <c r="E587" s="6">
        <f>B587-MAX($B$2:B587)</f>
        <v>-103.72999999999999</v>
      </c>
      <c r="F587" s="80">
        <f t="shared" si="19"/>
        <v>325</v>
      </c>
      <c r="G587" s="6">
        <f>IFERROR(Comp3[[#This Row],[Comparable '#3 Drawdown]]/MAX($B$2:B587),"-")</f>
        <v>-0.5516379493724739</v>
      </c>
      <c r="H587" s="1" t="str">
        <f>IF(SUM(COUNTIF(Benchmark1[Benchmark '#1 Dates],Comp3[[#This Row],[Comparable '#3 Dates]]),COUNTIF(Benchmark2[Benchmark '#2 Dates],Comp3[[#This Row],[Comparable '#3 Dates]]))=2,"Pass","Fail")</f>
        <v>Pass</v>
      </c>
      <c r="I587" s="1">
        <f>IFERROR(Comp3[[#This Row],[Comparable '#3 Return]]-INDEX(Benchmark1[Benchmark '#1 Return],MATCH(Comp3[[#This Row],[Comparable '#3 Dates]],Benchmark1[Benchmark '#1 Dates],0)),"-")</f>
        <v>-6.6619766531539858E-4</v>
      </c>
      <c r="L587" s="72">
        <f>Comp3[[#This Row],[Comparable '#3 Price]]/$B$2*100</f>
        <v>71.930722634587497</v>
      </c>
    </row>
    <row r="588" spans="1:12">
      <c r="A588" s="96">
        <v>44134</v>
      </c>
      <c r="B588" s="101">
        <v>83.06</v>
      </c>
      <c r="C588" s="1">
        <f t="shared" si="18"/>
        <v>-1.4937243731976781E-2</v>
      </c>
      <c r="D588" s="1">
        <f>IFERROR(Comp3[[#This Row],[Comparable '#3 Return]]+1,"-")</f>
        <v>0.9850627562680232</v>
      </c>
      <c r="E588" s="6">
        <f>B588-MAX($B$2:B588)</f>
        <v>-104.97999999999999</v>
      </c>
      <c r="F588" s="80">
        <f t="shared" si="19"/>
        <v>326</v>
      </c>
      <c r="G588" s="6">
        <f>IFERROR(Comp3[[#This Row],[Comparable '#3 Drawdown]]/MAX($B$2:B588),"-")</f>
        <v>-0.55828547117634542</v>
      </c>
      <c r="H588" s="1" t="str">
        <f>IF(SUM(COUNTIF(Benchmark1[Benchmark '#1 Dates],Comp3[[#This Row],[Comparable '#3 Dates]]),COUNTIF(Benchmark2[Benchmark '#2 Dates],Comp3[[#This Row],[Comparable '#3 Dates]]))=2,"Pass","Fail")</f>
        <v>Pass</v>
      </c>
      <c r="I588" s="1">
        <f>IFERROR(Comp3[[#This Row],[Comparable '#3 Return]]-INDEX(Benchmark1[Benchmark '#1 Return],MATCH(Comp3[[#This Row],[Comparable '#3 Dates]],Benchmark1[Benchmark '#1 Dates],0)),"-")</f>
        <v>-2.732448790964714E-3</v>
      </c>
      <c r="L588" s="72">
        <f>Comp3[[#This Row],[Comparable '#3 Price]]/$B$2*100</f>
        <v>70.86426072860678</v>
      </c>
    </row>
    <row r="589" spans="1:12">
      <c r="A589" s="96">
        <v>44137</v>
      </c>
      <c r="B589" s="101">
        <v>84.24</v>
      </c>
      <c r="C589" s="1">
        <f t="shared" si="18"/>
        <v>1.4106629623112418E-2</v>
      </c>
      <c r="D589" s="1">
        <f>IFERROR(Comp3[[#This Row],[Comparable '#3 Return]]+1,"-")</f>
        <v>1.0141066296231125</v>
      </c>
      <c r="E589" s="6">
        <f>B589-MAX($B$2:B589)</f>
        <v>-103.8</v>
      </c>
      <c r="F589" s="80">
        <f t="shared" si="19"/>
        <v>327</v>
      </c>
      <c r="G589" s="6">
        <f>IFERROR(Comp3[[#This Row],[Comparable '#3 Drawdown]]/MAX($B$2:B589),"-")</f>
        <v>-0.55201021059349076</v>
      </c>
      <c r="H589" s="1" t="str">
        <f>IF(SUM(COUNTIF(Benchmark1[Benchmark '#1 Dates],Comp3[[#This Row],[Comparable '#3 Dates]]),COUNTIF(Benchmark2[Benchmark '#2 Dates],Comp3[[#This Row],[Comparable '#3 Dates]]))=2,"Pass","Fail")</f>
        <v>Pass</v>
      </c>
      <c r="I589" s="1">
        <f>IFERROR(Comp3[[#This Row],[Comparable '#3 Return]]-INDEX(Benchmark1[Benchmark '#1 Return],MATCH(Comp3[[#This Row],[Comparable '#3 Dates]],Benchmark1[Benchmark '#1 Dates],0)),"-")</f>
        <v>1.8629748008532586E-3</v>
      </c>
      <c r="L589" s="72">
        <f>Comp3[[#This Row],[Comparable '#3 Price]]/$B$2*100</f>
        <v>71.871000767852564</v>
      </c>
    </row>
    <row r="590" spans="1:12">
      <c r="A590" s="96">
        <v>44138</v>
      </c>
      <c r="B590" s="101">
        <v>86.8</v>
      </c>
      <c r="C590" s="1">
        <f t="shared" si="18"/>
        <v>2.9936753840584439E-2</v>
      </c>
      <c r="D590" s="1">
        <f>IFERROR(Comp3[[#This Row],[Comparable '#3 Return]]+1,"-")</f>
        <v>1.0299367538405844</v>
      </c>
      <c r="E590" s="6">
        <f>B590-MAX($B$2:B590)</f>
        <v>-101.24</v>
      </c>
      <c r="F590" s="80">
        <f t="shared" si="19"/>
        <v>328</v>
      </c>
      <c r="G590" s="6">
        <f>IFERROR(Comp3[[#This Row],[Comparable '#3 Drawdown]]/MAX($B$2:B590),"-")</f>
        <v>-0.53839608593916188</v>
      </c>
      <c r="H590" s="1" t="str">
        <f>IF(SUM(COUNTIF(Benchmark1[Benchmark '#1 Dates],Comp3[[#This Row],[Comparable '#3 Dates]]),COUNTIF(Benchmark2[Benchmark '#2 Dates],Comp3[[#This Row],[Comparable '#3 Dates]]))=2,"Pass","Fail")</f>
        <v>Pass</v>
      </c>
      <c r="I590" s="1">
        <f>IFERROR(Comp3[[#This Row],[Comparable '#3 Return]]-INDEX(Benchmark1[Benchmark '#1 Return],MATCH(Comp3[[#This Row],[Comparable '#3 Dates]],Benchmark1[Benchmark '#1 Dates],0)),"-")</f>
        <v>1.2295429632872765E-2</v>
      </c>
      <c r="L590" s="72">
        <f>Comp3[[#This Row],[Comparable '#3 Price]]/$B$2*100</f>
        <v>74.05511475130109</v>
      </c>
    </row>
    <row r="591" spans="1:12">
      <c r="A591" s="96">
        <v>44139</v>
      </c>
      <c r="B591" s="101">
        <v>100</v>
      </c>
      <c r="C591" s="1">
        <f t="shared" si="18"/>
        <v>0.14156356432178699</v>
      </c>
      <c r="D591" s="1">
        <f>IFERROR(Comp3[[#This Row],[Comparable '#3 Return]]+1,"-")</f>
        <v>1.141563564321787</v>
      </c>
      <c r="E591" s="6">
        <f>B591-MAX($B$2:B591)</f>
        <v>-88.039999999999992</v>
      </c>
      <c r="F591" s="80">
        <f t="shared" si="19"/>
        <v>329</v>
      </c>
      <c r="G591" s="6">
        <f>IFERROR(Comp3[[#This Row],[Comparable '#3 Drawdown]]/MAX($B$2:B591),"-")</f>
        <v>-0.46819825569027862</v>
      </c>
      <c r="H591" s="1" t="str">
        <f>IF(SUM(COUNTIF(Benchmark1[Benchmark '#1 Dates],Comp3[[#This Row],[Comparable '#3 Dates]]),COUNTIF(Benchmark2[Benchmark '#2 Dates],Comp3[[#This Row],[Comparable '#3 Dates]]))=2,"Pass","Fail")</f>
        <v>Pass</v>
      </c>
      <c r="I591" s="1">
        <f>IFERROR(Comp3[[#This Row],[Comparable '#3 Return]]-INDEX(Benchmark1[Benchmark '#1 Return],MATCH(Comp3[[#This Row],[Comparable '#3 Dates]],Benchmark1[Benchmark '#1 Dates],0)),"-")</f>
        <v>0.1197558946158581</v>
      </c>
      <c r="L591" s="72">
        <f>Comp3[[#This Row],[Comparable '#3 Price]]/$B$2*100</f>
        <v>85.31695247845748</v>
      </c>
    </row>
    <row r="592" spans="1:12">
      <c r="A592" s="96">
        <v>44140</v>
      </c>
      <c r="B592" s="101">
        <v>89.96</v>
      </c>
      <c r="C592" s="1">
        <f t="shared" si="18"/>
        <v>-0.10580505889697649</v>
      </c>
      <c r="D592" s="1">
        <f>IFERROR(Comp3[[#This Row],[Comparable '#3 Return]]+1,"-")</f>
        <v>0.89419494110302356</v>
      </c>
      <c r="E592" s="6">
        <f>B592-MAX($B$2:B592)</f>
        <v>-98.08</v>
      </c>
      <c r="F592" s="80">
        <f t="shared" si="19"/>
        <v>330</v>
      </c>
      <c r="G592" s="6">
        <f>IFERROR(Comp3[[#This Row],[Comparable '#3 Drawdown]]/MAX($B$2:B592),"-")</f>
        <v>-0.52159115081897467</v>
      </c>
      <c r="H592" s="1" t="str">
        <f>IF(SUM(COUNTIF(Benchmark1[Benchmark '#1 Dates],Comp3[[#This Row],[Comparable '#3 Dates]]),COUNTIF(Benchmark2[Benchmark '#2 Dates],Comp3[[#This Row],[Comparable '#3 Dates]]))=2,"Pass","Fail")</f>
        <v>Pass</v>
      </c>
      <c r="I592" s="1">
        <f>IFERROR(Comp3[[#This Row],[Comparable '#3 Return]]-INDEX(Benchmark1[Benchmark '#1 Return],MATCH(Comp3[[#This Row],[Comparable '#3 Dates]],Benchmark1[Benchmark '#1 Dates],0)),"-")</f>
        <v>-0.1250784747130296</v>
      </c>
      <c r="L592" s="72">
        <f>Comp3[[#This Row],[Comparable '#3 Price]]/$B$2*100</f>
        <v>76.751130449620348</v>
      </c>
    </row>
    <row r="593" spans="1:12">
      <c r="A593" s="96">
        <v>44141</v>
      </c>
      <c r="B593" s="101">
        <v>87.55</v>
      </c>
      <c r="C593" s="1">
        <f t="shared" si="18"/>
        <v>-2.7155068359253989E-2</v>
      </c>
      <c r="D593" s="1">
        <f>IFERROR(Comp3[[#This Row],[Comparable '#3 Return]]+1,"-")</f>
        <v>0.97284493164074604</v>
      </c>
      <c r="E593" s="6">
        <f>B593-MAX($B$2:B593)</f>
        <v>-100.49</v>
      </c>
      <c r="F593" s="80">
        <f t="shared" si="19"/>
        <v>331</v>
      </c>
      <c r="G593" s="6">
        <f>IFERROR(Comp3[[#This Row],[Comparable '#3 Drawdown]]/MAX($B$2:B593),"-")</f>
        <v>-0.53440757285683893</v>
      </c>
      <c r="H593" s="1" t="str">
        <f>IF(SUM(COUNTIF(Benchmark1[Benchmark '#1 Dates],Comp3[[#This Row],[Comparable '#3 Dates]]),COUNTIF(Benchmark2[Benchmark '#2 Dates],Comp3[[#This Row],[Comparable '#3 Dates]]))=2,"Pass","Fail")</f>
        <v>Pass</v>
      </c>
      <c r="I593" s="1">
        <f>IFERROR(Comp3[[#This Row],[Comparable '#3 Return]]-INDEX(Benchmark1[Benchmark '#1 Return],MATCH(Comp3[[#This Row],[Comparable '#3 Dates]],Benchmark1[Benchmark '#1 Dates],0)),"-")</f>
        <v>-2.6867009424398087E-2</v>
      </c>
      <c r="L593" s="72">
        <f>Comp3[[#This Row],[Comparable '#3 Price]]/$B$2*100</f>
        <v>74.694991894889512</v>
      </c>
    </row>
    <row r="594" spans="1:12">
      <c r="A594" s="96">
        <v>44144</v>
      </c>
      <c r="B594" s="101">
        <v>90</v>
      </c>
      <c r="C594" s="1">
        <f t="shared" si="18"/>
        <v>2.7599611598404336E-2</v>
      </c>
      <c r="D594" s="1">
        <f>IFERROR(Comp3[[#This Row],[Comparable '#3 Return]]+1,"-")</f>
        <v>1.0275996115984043</v>
      </c>
      <c r="E594" s="6">
        <f>B594-MAX($B$2:B594)</f>
        <v>-98.039999999999992</v>
      </c>
      <c r="F594" s="80">
        <f t="shared" si="19"/>
        <v>332</v>
      </c>
      <c r="G594" s="6">
        <f>IFERROR(Comp3[[#This Row],[Comparable '#3 Drawdown]]/MAX($B$2:B594),"-")</f>
        <v>-0.52137843012125074</v>
      </c>
      <c r="H594" s="1" t="str">
        <f>IF(SUM(COUNTIF(Benchmark1[Benchmark '#1 Dates],Comp3[[#This Row],[Comparable '#3 Dates]]),COUNTIF(Benchmark2[Benchmark '#2 Dates],Comp3[[#This Row],[Comparable '#3 Dates]]))=2,"Pass","Fail")</f>
        <v>Pass</v>
      </c>
      <c r="I594" s="1">
        <f>IFERROR(Comp3[[#This Row],[Comparable '#3 Return]]-INDEX(Benchmark1[Benchmark '#1 Return],MATCH(Comp3[[#This Row],[Comparable '#3 Dates]],Benchmark1[Benchmark '#1 Dates],0)),"-")</f>
        <v>1.5966815160745204E-2</v>
      </c>
      <c r="L594" s="72">
        <f>Comp3[[#This Row],[Comparable '#3 Price]]/$B$2*100</f>
        <v>76.78525723061172</v>
      </c>
    </row>
    <row r="595" spans="1:12">
      <c r="A595" s="96">
        <v>44145</v>
      </c>
      <c r="B595" s="101">
        <v>90</v>
      </c>
      <c r="C595" s="1">
        <f t="shared" si="18"/>
        <v>0</v>
      </c>
      <c r="D595" s="1">
        <f>IFERROR(Comp3[[#This Row],[Comparable '#3 Return]]+1,"-")</f>
        <v>1</v>
      </c>
      <c r="E595" s="6">
        <f>B595-MAX($B$2:B595)</f>
        <v>-98.039999999999992</v>
      </c>
      <c r="F595" s="80">
        <f t="shared" si="19"/>
        <v>333</v>
      </c>
      <c r="G595" s="6">
        <f>IFERROR(Comp3[[#This Row],[Comparable '#3 Drawdown]]/MAX($B$2:B595),"-")</f>
        <v>-0.52137843012125074</v>
      </c>
      <c r="H595" s="1" t="str">
        <f>IF(SUM(COUNTIF(Benchmark1[Benchmark '#1 Dates],Comp3[[#This Row],[Comparable '#3 Dates]]),COUNTIF(Benchmark2[Benchmark '#2 Dates],Comp3[[#This Row],[Comparable '#3 Dates]]))=2,"Pass","Fail")</f>
        <v>Pass</v>
      </c>
      <c r="I595" s="1">
        <f>IFERROR(Comp3[[#This Row],[Comparable '#3 Return]]-INDEX(Benchmark1[Benchmark '#1 Return],MATCH(Comp3[[#This Row],[Comparable '#3 Dates]],Benchmark1[Benchmark '#1 Dates],0)),"-")</f>
        <v>1.3997384488972679E-3</v>
      </c>
      <c r="L595" s="72">
        <f>Comp3[[#This Row],[Comparable '#3 Price]]/$B$2*100</f>
        <v>76.78525723061172</v>
      </c>
    </row>
    <row r="596" spans="1:12">
      <c r="A596" s="96">
        <v>44146</v>
      </c>
      <c r="B596" s="101">
        <v>86.95</v>
      </c>
      <c r="C596" s="1">
        <f t="shared" si="18"/>
        <v>-3.4476429529972999E-2</v>
      </c>
      <c r="D596" s="1">
        <f>IFERROR(Comp3[[#This Row],[Comparable '#3 Return]]+1,"-")</f>
        <v>0.96552357047002701</v>
      </c>
      <c r="E596" s="6">
        <f>B596-MAX($B$2:B596)</f>
        <v>-101.08999999999999</v>
      </c>
      <c r="F596" s="80">
        <f t="shared" si="19"/>
        <v>334</v>
      </c>
      <c r="G596" s="6">
        <f>IFERROR(Comp3[[#This Row],[Comparable '#3 Drawdown]]/MAX($B$2:B596),"-")</f>
        <v>-0.53759838332269727</v>
      </c>
      <c r="H596" s="1" t="str">
        <f>IF(SUM(COUNTIF(Benchmark1[Benchmark '#1 Dates],Comp3[[#This Row],[Comparable '#3 Dates]]),COUNTIF(Benchmark2[Benchmark '#2 Dates],Comp3[[#This Row],[Comparable '#3 Dates]]))=2,"Pass","Fail")</f>
        <v>Pass</v>
      </c>
      <c r="I596" s="1">
        <f>IFERROR(Comp3[[#This Row],[Comparable '#3 Return]]-INDEX(Benchmark1[Benchmark '#1 Return],MATCH(Comp3[[#This Row],[Comparable '#3 Dates]],Benchmark1[Benchmark '#1 Dates],0)),"-")</f>
        <v>-4.2098416338059053E-2</v>
      </c>
      <c r="L596" s="72">
        <f>Comp3[[#This Row],[Comparable '#3 Price]]/$B$2*100</f>
        <v>74.18309018001878</v>
      </c>
    </row>
    <row r="597" spans="1:12">
      <c r="A597" s="96">
        <v>44147</v>
      </c>
      <c r="B597" s="101">
        <v>86.16</v>
      </c>
      <c r="C597" s="1">
        <f t="shared" si="18"/>
        <v>-9.1272079521589507E-3</v>
      </c>
      <c r="D597" s="1">
        <f>IFERROR(Comp3[[#This Row],[Comparable '#3 Return]]+1,"-")</f>
        <v>0.99087279204784107</v>
      </c>
      <c r="E597" s="6">
        <f>B597-MAX($B$2:B597)</f>
        <v>-101.88</v>
      </c>
      <c r="F597" s="80">
        <f t="shared" si="19"/>
        <v>335</v>
      </c>
      <c r="G597" s="6">
        <f>IFERROR(Comp3[[#This Row],[Comparable '#3 Drawdown]]/MAX($B$2:B597),"-")</f>
        <v>-0.54179961710274405</v>
      </c>
      <c r="H597" s="1" t="str">
        <f>IF(SUM(COUNTIF(Benchmark1[Benchmark '#1 Dates],Comp3[[#This Row],[Comparable '#3 Dates]]),COUNTIF(Benchmark2[Benchmark '#2 Dates],Comp3[[#This Row],[Comparable '#3 Dates]]))=2,"Pass","Fail")</f>
        <v>Pass</v>
      </c>
      <c r="I597" s="1">
        <f>IFERROR(Comp3[[#This Row],[Comparable '#3 Return]]-INDEX(Benchmark1[Benchmark '#1 Return],MATCH(Comp3[[#This Row],[Comparable '#3 Dates]],Benchmark1[Benchmark '#1 Dates],0)),"-")</f>
        <v>9.0172502409786165E-4</v>
      </c>
      <c r="L597" s="72">
        <f>Comp3[[#This Row],[Comparable '#3 Price]]/$B$2*100</f>
        <v>73.509086255438959</v>
      </c>
    </row>
    <row r="598" spans="1:12">
      <c r="A598" s="96">
        <v>44148</v>
      </c>
      <c r="B598" s="101">
        <v>87.92</v>
      </c>
      <c r="C598" s="1">
        <f t="shared" si="18"/>
        <v>2.0221277247232858E-2</v>
      </c>
      <c r="D598" s="1">
        <f>IFERROR(Comp3[[#This Row],[Comparable '#3 Return]]+1,"-")</f>
        <v>1.0202212772472328</v>
      </c>
      <c r="E598" s="6">
        <f>B598-MAX($B$2:B598)</f>
        <v>-100.11999999999999</v>
      </c>
      <c r="F598" s="80">
        <f t="shared" si="19"/>
        <v>336</v>
      </c>
      <c r="G598" s="6">
        <f>IFERROR(Comp3[[#This Row],[Comparable '#3 Drawdown]]/MAX($B$2:B598),"-")</f>
        <v>-0.53243990640289296</v>
      </c>
      <c r="H598" s="1" t="str">
        <f>IF(SUM(COUNTIF(Benchmark1[Benchmark '#1 Dates],Comp3[[#This Row],[Comparable '#3 Dates]]),COUNTIF(Benchmark2[Benchmark '#2 Dates],Comp3[[#This Row],[Comparable '#3 Dates]]))=2,"Pass","Fail")</f>
        <v>Pass</v>
      </c>
      <c r="I598" s="1">
        <f>IFERROR(Comp3[[#This Row],[Comparable '#3 Return]]-INDEX(Benchmark1[Benchmark '#1 Return],MATCH(Comp3[[#This Row],[Comparable '#3 Dates]],Benchmark1[Benchmark '#1 Dates],0)),"-")</f>
        <v>6.7015674174417481E-3</v>
      </c>
      <c r="L598" s="72">
        <f>Comp3[[#This Row],[Comparable '#3 Price]]/$B$2*100</f>
        <v>75.01066461905981</v>
      </c>
    </row>
    <row r="599" spans="1:12">
      <c r="A599" s="96">
        <v>44151</v>
      </c>
      <c r="B599" s="101">
        <v>89.99</v>
      </c>
      <c r="C599" s="1">
        <f t="shared" si="18"/>
        <v>2.3271242950491187E-2</v>
      </c>
      <c r="D599" s="1">
        <f>IFERROR(Comp3[[#This Row],[Comparable '#3 Return]]+1,"-")</f>
        <v>1.0232712429504911</v>
      </c>
      <c r="E599" s="6">
        <f>B599-MAX($B$2:B599)</f>
        <v>-98.05</v>
      </c>
      <c r="F599" s="80">
        <f t="shared" si="19"/>
        <v>337</v>
      </c>
      <c r="G599" s="6">
        <f>IFERROR(Comp3[[#This Row],[Comparable '#3 Drawdown]]/MAX($B$2:B599),"-")</f>
        <v>-0.52143161029568175</v>
      </c>
      <c r="H599" s="1" t="str">
        <f>IF(SUM(COUNTIF(Benchmark1[Benchmark '#1 Dates],Comp3[[#This Row],[Comparable '#3 Dates]]),COUNTIF(Benchmark2[Benchmark '#2 Dates],Comp3[[#This Row],[Comparable '#3 Dates]]))=2,"Pass","Fail")</f>
        <v>Pass</v>
      </c>
      <c r="I599" s="1">
        <f>IFERROR(Comp3[[#This Row],[Comparable '#3 Return]]-INDEX(Benchmark1[Benchmark '#1 Return],MATCH(Comp3[[#This Row],[Comparable '#3 Dates]],Benchmark1[Benchmark '#1 Dates],0)),"-")</f>
        <v>1.1692162823588351E-2</v>
      </c>
      <c r="L599" s="72">
        <f>Comp3[[#This Row],[Comparable '#3 Price]]/$B$2*100</f>
        <v>76.77672553536388</v>
      </c>
    </row>
    <row r="600" spans="1:12">
      <c r="A600" s="96">
        <v>44152</v>
      </c>
      <c r="B600" s="101">
        <v>90.5</v>
      </c>
      <c r="C600" s="1">
        <f t="shared" si="18"/>
        <v>5.6512976600233081E-3</v>
      </c>
      <c r="D600" s="1">
        <f>IFERROR(Comp3[[#This Row],[Comparable '#3 Return]]+1,"-")</f>
        <v>1.0056512976600234</v>
      </c>
      <c r="E600" s="6">
        <f>B600-MAX($B$2:B600)</f>
        <v>-97.539999999999992</v>
      </c>
      <c r="F600" s="80">
        <f t="shared" si="19"/>
        <v>338</v>
      </c>
      <c r="G600" s="6">
        <f>IFERROR(Comp3[[#This Row],[Comparable '#3 Drawdown]]/MAX($B$2:B600),"-")</f>
        <v>-0.51871942139970217</v>
      </c>
      <c r="H600" s="1" t="str">
        <f>IF(SUM(COUNTIF(Benchmark1[Benchmark '#1 Dates],Comp3[[#This Row],[Comparable '#3 Dates]]),COUNTIF(Benchmark2[Benchmark '#2 Dates],Comp3[[#This Row],[Comparable '#3 Dates]]))=2,"Pass","Fail")</f>
        <v>Pass</v>
      </c>
      <c r="I600" s="1">
        <f>IFERROR(Comp3[[#This Row],[Comparable '#3 Return]]-INDEX(Benchmark1[Benchmark '#1 Return],MATCH(Comp3[[#This Row],[Comparable '#3 Dates]],Benchmark1[Benchmark '#1 Dates],0)),"-")</f>
        <v>1.0453635535265944E-2</v>
      </c>
      <c r="L600" s="72">
        <f>Comp3[[#This Row],[Comparable '#3 Price]]/$B$2*100</f>
        <v>77.211841993004015</v>
      </c>
    </row>
    <row r="601" spans="1:12">
      <c r="A601" s="96">
        <v>44153</v>
      </c>
      <c r="B601" s="101">
        <v>88.58</v>
      </c>
      <c r="C601" s="1">
        <f t="shared" si="18"/>
        <v>-2.1443752210828341E-2</v>
      </c>
      <c r="D601" s="1">
        <f>IFERROR(Comp3[[#This Row],[Comparable '#3 Return]]+1,"-")</f>
        <v>0.97855624778917161</v>
      </c>
      <c r="E601" s="6">
        <f>B601-MAX($B$2:B601)</f>
        <v>-99.46</v>
      </c>
      <c r="F601" s="80">
        <f t="shared" si="19"/>
        <v>339</v>
      </c>
      <c r="G601" s="6">
        <f>IFERROR(Comp3[[#This Row],[Comparable '#3 Drawdown]]/MAX($B$2:B601),"-")</f>
        <v>-0.52893001489044889</v>
      </c>
      <c r="H601" s="1" t="str">
        <f>IF(SUM(COUNTIF(Benchmark1[Benchmark '#1 Dates],Comp3[[#This Row],[Comparable '#3 Dates]]),COUNTIF(Benchmark2[Benchmark '#2 Dates],Comp3[[#This Row],[Comparable '#3 Dates]]))=2,"Pass","Fail")</f>
        <v>Pass</v>
      </c>
      <c r="I601" s="1">
        <f>IFERROR(Comp3[[#This Row],[Comparable '#3 Return]]-INDEX(Benchmark1[Benchmark '#1 Return],MATCH(Comp3[[#This Row],[Comparable '#3 Dates]],Benchmark1[Benchmark '#1 Dates],0)),"-")</f>
        <v>-9.8118039011786812E-3</v>
      </c>
      <c r="L601" s="72">
        <f>Comp3[[#This Row],[Comparable '#3 Price]]/$B$2*100</f>
        <v>75.573756505417634</v>
      </c>
    </row>
    <row r="602" spans="1:12">
      <c r="A602" s="96">
        <v>44154</v>
      </c>
      <c r="B602" s="101">
        <v>88.42</v>
      </c>
      <c r="C602" s="1">
        <f t="shared" si="18"/>
        <v>-1.8079100969549211E-3</v>
      </c>
      <c r="D602" s="1">
        <f>IFERROR(Comp3[[#This Row],[Comparable '#3 Return]]+1,"-")</f>
        <v>0.99819208990304509</v>
      </c>
      <c r="E602" s="6">
        <f>B602-MAX($B$2:B602)</f>
        <v>-99.61999999999999</v>
      </c>
      <c r="F602" s="80">
        <f t="shared" si="19"/>
        <v>340</v>
      </c>
      <c r="G602" s="6">
        <f>IFERROR(Comp3[[#This Row],[Comparable '#3 Drawdown]]/MAX($B$2:B602),"-")</f>
        <v>-0.5297808976813444</v>
      </c>
      <c r="H602" s="1" t="str">
        <f>IF(SUM(COUNTIF(Benchmark1[Benchmark '#1 Dates],Comp3[[#This Row],[Comparable '#3 Dates]]),COUNTIF(Benchmark2[Benchmark '#2 Dates],Comp3[[#This Row],[Comparable '#3 Dates]]))=2,"Pass","Fail")</f>
        <v>Pass</v>
      </c>
      <c r="I602" s="1">
        <f>IFERROR(Comp3[[#This Row],[Comparable '#3 Return]]-INDEX(Benchmark1[Benchmark '#1 Return],MATCH(Comp3[[#This Row],[Comparable '#3 Dates]],Benchmark1[Benchmark '#1 Dates],0)),"-")</f>
        <v>-5.7459475769623281E-3</v>
      </c>
      <c r="L602" s="72">
        <f>Comp3[[#This Row],[Comparable '#3 Price]]/$B$2*100</f>
        <v>75.437249381452105</v>
      </c>
    </row>
    <row r="603" spans="1:12">
      <c r="A603" s="96">
        <v>44155</v>
      </c>
      <c r="B603" s="101">
        <v>89.12</v>
      </c>
      <c r="C603" s="1">
        <f t="shared" si="18"/>
        <v>7.8855877808767724E-3</v>
      </c>
      <c r="D603" s="1">
        <f>IFERROR(Comp3[[#This Row],[Comparable '#3 Return]]+1,"-")</f>
        <v>1.0078855877808768</v>
      </c>
      <c r="E603" s="6">
        <f>B603-MAX($B$2:B603)</f>
        <v>-98.919999999999987</v>
      </c>
      <c r="F603" s="80">
        <f t="shared" si="19"/>
        <v>341</v>
      </c>
      <c r="G603" s="6">
        <f>IFERROR(Comp3[[#This Row],[Comparable '#3 Drawdown]]/MAX($B$2:B603),"-")</f>
        <v>-0.52605828547117628</v>
      </c>
      <c r="H603" s="1" t="str">
        <f>IF(SUM(COUNTIF(Benchmark1[Benchmark '#1 Dates],Comp3[[#This Row],[Comparable '#3 Dates]]),COUNTIF(Benchmark2[Benchmark '#2 Dates],Comp3[[#This Row],[Comparable '#3 Dates]]))=2,"Pass","Fail")</f>
        <v>Pass</v>
      </c>
      <c r="I603" s="1">
        <f>IFERROR(Comp3[[#This Row],[Comparable '#3 Return]]-INDEX(Benchmark1[Benchmark '#1 Return],MATCH(Comp3[[#This Row],[Comparable '#3 Dates]],Benchmark1[Benchmark '#1 Dates],0)),"-")</f>
        <v>1.4699344782385385E-2</v>
      </c>
      <c r="L603" s="72">
        <f>Comp3[[#This Row],[Comparable '#3 Price]]/$B$2*100</f>
        <v>76.034468048801301</v>
      </c>
    </row>
    <row r="604" spans="1:12">
      <c r="A604" s="96">
        <v>44158</v>
      </c>
      <c r="B604" s="101">
        <v>90.15</v>
      </c>
      <c r="C604" s="1">
        <f t="shared" si="18"/>
        <v>1.1491173470352355E-2</v>
      </c>
      <c r="D604" s="1">
        <f>IFERROR(Comp3[[#This Row],[Comparable '#3 Return]]+1,"-")</f>
        <v>1.0114911734703524</v>
      </c>
      <c r="E604" s="6">
        <f>B604-MAX($B$2:B604)</f>
        <v>-97.889999999999986</v>
      </c>
      <c r="F604" s="80">
        <f t="shared" si="19"/>
        <v>342</v>
      </c>
      <c r="G604" s="6">
        <f>IFERROR(Comp3[[#This Row],[Comparable '#3 Drawdown]]/MAX($B$2:B604),"-")</f>
        <v>-0.52058072750478612</v>
      </c>
      <c r="H604" s="1" t="str">
        <f>IF(SUM(COUNTIF(Benchmark1[Benchmark '#1 Dates],Comp3[[#This Row],[Comparable '#3 Dates]]),COUNTIF(Benchmark2[Benchmark '#2 Dates],Comp3[[#This Row],[Comparable '#3 Dates]]))=2,"Pass","Fail")</f>
        <v>Pass</v>
      </c>
      <c r="I604" s="1">
        <f>IFERROR(Comp3[[#This Row],[Comparable '#3 Return]]-INDEX(Benchmark1[Benchmark '#1 Return],MATCH(Comp3[[#This Row],[Comparable '#3 Dates]],Benchmark1[Benchmark '#1 Dates],0)),"-")</f>
        <v>5.8720355229371236E-3</v>
      </c>
      <c r="L604" s="72">
        <f>Comp3[[#This Row],[Comparable '#3 Price]]/$B$2*100</f>
        <v>76.913232659329424</v>
      </c>
    </row>
    <row r="605" spans="1:12">
      <c r="A605" s="96">
        <v>44159</v>
      </c>
      <c r="B605" s="101">
        <v>92.66</v>
      </c>
      <c r="C605" s="1">
        <f t="shared" si="18"/>
        <v>2.7461930339175839E-2</v>
      </c>
      <c r="D605" s="1">
        <f>IFERROR(Comp3[[#This Row],[Comparable '#3 Return]]+1,"-")</f>
        <v>1.0274619303391759</v>
      </c>
      <c r="E605" s="6">
        <f>B605-MAX($B$2:B605)</f>
        <v>-95.38</v>
      </c>
      <c r="F605" s="80">
        <f t="shared" si="19"/>
        <v>343</v>
      </c>
      <c r="G605" s="6">
        <f>IFERROR(Comp3[[#This Row],[Comparable '#3 Drawdown]]/MAX($B$2:B605),"-")</f>
        <v>-0.50723250372261219</v>
      </c>
      <c r="H605" s="1" t="str">
        <f>IF(SUM(COUNTIF(Benchmark1[Benchmark '#1 Dates],Comp3[[#This Row],[Comparable '#3 Dates]]),COUNTIF(Benchmark2[Benchmark '#2 Dates],Comp3[[#This Row],[Comparable '#3 Dates]]))=2,"Pass","Fail")</f>
        <v>Pass</v>
      </c>
      <c r="I605" s="1">
        <f>IFERROR(Comp3[[#This Row],[Comparable '#3 Return]]-INDEX(Benchmark1[Benchmark '#1 Return],MATCH(Comp3[[#This Row],[Comparable '#3 Dates]],Benchmark1[Benchmark '#1 Dates],0)),"-")</f>
        <v>1.1430576866631365E-2</v>
      </c>
      <c r="L605" s="72">
        <f>Comp3[[#This Row],[Comparable '#3 Price]]/$B$2*100</f>
        <v>79.054688166538682</v>
      </c>
    </row>
    <row r="606" spans="1:12">
      <c r="A606" s="96">
        <v>44160</v>
      </c>
      <c r="B606" s="101">
        <v>91.39</v>
      </c>
      <c r="C606" s="1">
        <f t="shared" si="18"/>
        <v>-1.3800816704392043E-2</v>
      </c>
      <c r="D606" s="1">
        <f>IFERROR(Comp3[[#This Row],[Comparable '#3 Return]]+1,"-")</f>
        <v>0.98619918329560796</v>
      </c>
      <c r="E606" s="6">
        <f>B606-MAX($B$2:B606)</f>
        <v>-96.649999999999991</v>
      </c>
      <c r="F606" s="80">
        <f t="shared" si="19"/>
        <v>344</v>
      </c>
      <c r="G606" s="6">
        <f>IFERROR(Comp3[[#This Row],[Comparable '#3 Drawdown]]/MAX($B$2:B606),"-")</f>
        <v>-0.51398638587534562</v>
      </c>
      <c r="H606" s="1" t="str">
        <f>IF(SUM(COUNTIF(Benchmark1[Benchmark '#1 Dates],Comp3[[#This Row],[Comparable '#3 Dates]]),COUNTIF(Benchmark2[Benchmark '#2 Dates],Comp3[[#This Row],[Comparable '#3 Dates]]))=2,"Pass","Fail")</f>
        <v>Pass</v>
      </c>
      <c r="I606" s="1">
        <f>IFERROR(Comp3[[#This Row],[Comparable '#3 Return]]-INDEX(Benchmark1[Benchmark '#1 Return],MATCH(Comp3[[#This Row],[Comparable '#3 Dates]],Benchmark1[Benchmark '#1 Dates],0)),"-")</f>
        <v>-1.2215066231214329E-2</v>
      </c>
      <c r="L606" s="72">
        <f>Comp3[[#This Row],[Comparable '#3 Price]]/$B$2*100</f>
        <v>77.971162870062287</v>
      </c>
    </row>
    <row r="607" spans="1:12">
      <c r="A607" s="96">
        <v>44162</v>
      </c>
      <c r="B607" s="101">
        <v>93.18</v>
      </c>
      <c r="C607" s="1">
        <f t="shared" si="18"/>
        <v>1.9397043104540514E-2</v>
      </c>
      <c r="D607" s="1">
        <f>IFERROR(Comp3[[#This Row],[Comparable '#3 Return]]+1,"-")</f>
        <v>1.0193970431045405</v>
      </c>
      <c r="E607" s="6">
        <f>B607-MAX($B$2:B607)</f>
        <v>-94.859999999999985</v>
      </c>
      <c r="F607" s="80">
        <f t="shared" si="19"/>
        <v>345</v>
      </c>
      <c r="G607" s="6">
        <f>IFERROR(Comp3[[#This Row],[Comparable '#3 Drawdown]]/MAX($B$2:B607),"-")</f>
        <v>-0.50446713465220161</v>
      </c>
      <c r="H607" s="1" t="str">
        <f>IF(SUM(COUNTIF(Benchmark1[Benchmark '#1 Dates],Comp3[[#This Row],[Comparable '#3 Dates]]),COUNTIF(Benchmark2[Benchmark '#2 Dates],Comp3[[#This Row],[Comparable '#3 Dates]]))=2,"Pass","Fail")</f>
        <v>Pass</v>
      </c>
      <c r="I607" s="1">
        <f>IFERROR(Comp3[[#This Row],[Comparable '#3 Return]]-INDEX(Benchmark1[Benchmark '#1 Return],MATCH(Comp3[[#This Row],[Comparable '#3 Dates]],Benchmark1[Benchmark '#1 Dates],0)),"-")</f>
        <v>1.7000890770089868E-2</v>
      </c>
      <c r="L607" s="72">
        <f>Comp3[[#This Row],[Comparable '#3 Price]]/$B$2*100</f>
        <v>79.49833631942667</v>
      </c>
    </row>
    <row r="608" spans="1:12">
      <c r="A608" s="96">
        <v>44165</v>
      </c>
      <c r="B608" s="101">
        <v>93.89</v>
      </c>
      <c r="C608" s="1">
        <f t="shared" si="18"/>
        <v>7.5907778818053665E-3</v>
      </c>
      <c r="D608" s="1">
        <f>IFERROR(Comp3[[#This Row],[Comparable '#3 Return]]+1,"-")</f>
        <v>1.0075907778818054</v>
      </c>
      <c r="E608" s="6">
        <f>B608-MAX($B$2:B608)</f>
        <v>-94.149999999999991</v>
      </c>
      <c r="F608" s="80">
        <f t="shared" si="19"/>
        <v>346</v>
      </c>
      <c r="G608" s="6">
        <f>IFERROR(Comp3[[#This Row],[Comparable '#3 Drawdown]]/MAX($B$2:B608),"-")</f>
        <v>-0.50069134226760259</v>
      </c>
      <c r="H608" s="1" t="str">
        <f>IF(SUM(COUNTIF(Benchmark1[Benchmark '#1 Dates],Comp3[[#This Row],[Comparable '#3 Dates]]),COUNTIF(Benchmark2[Benchmark '#2 Dates],Comp3[[#This Row],[Comparable '#3 Dates]]))=2,"Pass","Fail")</f>
        <v>Pass</v>
      </c>
      <c r="I608" s="1">
        <f>IFERROR(Comp3[[#This Row],[Comparable '#3 Return]]-INDEX(Benchmark1[Benchmark '#1 Return],MATCH(Comp3[[#This Row],[Comparable '#3 Dates]],Benchmark1[Benchmark '#1 Dates],0)),"-")</f>
        <v>1.2196897721621464E-2</v>
      </c>
      <c r="L608" s="72">
        <f>Comp3[[#This Row],[Comparable '#3 Price]]/$B$2*100</f>
        <v>80.10408668202372</v>
      </c>
    </row>
    <row r="609" spans="1:12">
      <c r="A609" s="96">
        <v>44166</v>
      </c>
      <c r="B609" s="101">
        <v>94.25</v>
      </c>
      <c r="C609" s="1">
        <f t="shared" si="18"/>
        <v>3.8269420576639611E-3</v>
      </c>
      <c r="D609" s="1">
        <f>IFERROR(Comp3[[#This Row],[Comparable '#3 Return]]+1,"-")</f>
        <v>1.003826942057664</v>
      </c>
      <c r="E609" s="6">
        <f>B609-MAX($B$2:B609)</f>
        <v>-93.789999999999992</v>
      </c>
      <c r="F609" s="80">
        <f t="shared" si="19"/>
        <v>347</v>
      </c>
      <c r="G609" s="6">
        <f>IFERROR(Comp3[[#This Row],[Comparable '#3 Drawdown]]/MAX($B$2:B609),"-")</f>
        <v>-0.49877685598808763</v>
      </c>
      <c r="H609" s="1" t="str">
        <f>IF(SUM(COUNTIF(Benchmark1[Benchmark '#1 Dates],Comp3[[#This Row],[Comparable '#3 Dates]]),COUNTIF(Benchmark2[Benchmark '#2 Dates],Comp3[[#This Row],[Comparable '#3 Dates]]))=2,"Pass","Fail")</f>
        <v>Pass</v>
      </c>
      <c r="I609" s="1">
        <f>IFERROR(Comp3[[#This Row],[Comparable '#3 Return]]-INDEX(Benchmark1[Benchmark '#1 Return],MATCH(Comp3[[#This Row],[Comparable '#3 Dates]],Benchmark1[Benchmark '#1 Dates],0)),"-")</f>
        <v>-7.3811302321404775E-3</v>
      </c>
      <c r="L609" s="72">
        <f>Comp3[[#This Row],[Comparable '#3 Price]]/$B$2*100</f>
        <v>80.411227710946164</v>
      </c>
    </row>
    <row r="610" spans="1:12">
      <c r="A610" s="96">
        <v>44167</v>
      </c>
      <c r="B610" s="101">
        <v>90.665000000000006</v>
      </c>
      <c r="C610" s="1">
        <f t="shared" si="18"/>
        <v>-3.8779431222131108E-2</v>
      </c>
      <c r="D610" s="1">
        <f>IFERROR(Comp3[[#This Row],[Comparable '#3 Return]]+1,"-")</f>
        <v>0.96122056877786888</v>
      </c>
      <c r="E610" s="6">
        <f>B610-MAX($B$2:B610)</f>
        <v>-97.374999999999986</v>
      </c>
      <c r="F610" s="80">
        <f t="shared" si="19"/>
        <v>348</v>
      </c>
      <c r="G610" s="6">
        <f>IFERROR(Comp3[[#This Row],[Comparable '#3 Drawdown]]/MAX($B$2:B610),"-")</f>
        <v>-0.51784194852159104</v>
      </c>
      <c r="H610" s="1" t="str">
        <f>IF(SUM(COUNTIF(Benchmark1[Benchmark '#1 Dates],Comp3[[#This Row],[Comparable '#3 Dates]]),COUNTIF(Benchmark2[Benchmark '#2 Dates],Comp3[[#This Row],[Comparable '#3 Dates]]))=2,"Pass","Fail")</f>
        <v>Pass</v>
      </c>
      <c r="I610" s="1">
        <f>IFERROR(Comp3[[#This Row],[Comparable '#3 Return]]-INDEX(Benchmark1[Benchmark '#1 Return],MATCH(Comp3[[#This Row],[Comparable '#3 Dates]],Benchmark1[Benchmark '#1 Dates],0)),"-")</f>
        <v>-4.0566889713668286E-2</v>
      </c>
      <c r="L610" s="72">
        <f>Comp3[[#This Row],[Comparable '#3 Price]]/$B$2*100</f>
        <v>77.352614964593471</v>
      </c>
    </row>
    <row r="611" spans="1:12">
      <c r="A611" s="96">
        <v>44168</v>
      </c>
      <c r="B611" s="101">
        <v>93.17</v>
      </c>
      <c r="C611" s="1">
        <f t="shared" si="18"/>
        <v>2.7254386356344522E-2</v>
      </c>
      <c r="D611" s="1">
        <f>IFERROR(Comp3[[#This Row],[Comparable '#3 Return]]+1,"-")</f>
        <v>1.0272543863563446</v>
      </c>
      <c r="E611" s="6">
        <f>B611-MAX($B$2:B611)</f>
        <v>-94.86999999999999</v>
      </c>
      <c r="F611" s="80">
        <f t="shared" si="19"/>
        <v>349</v>
      </c>
      <c r="G611" s="6">
        <f>IFERROR(Comp3[[#This Row],[Comparable '#3 Drawdown]]/MAX($B$2:B611),"-")</f>
        <v>-0.50452031482663262</v>
      </c>
      <c r="H611" s="1" t="str">
        <f>IF(SUM(COUNTIF(Benchmark1[Benchmark '#1 Dates],Comp3[[#This Row],[Comparable '#3 Dates]]),COUNTIF(Benchmark2[Benchmark '#2 Dates],Comp3[[#This Row],[Comparable '#3 Dates]]))=2,"Pass","Fail")</f>
        <v>Pass</v>
      </c>
      <c r="I611" s="1">
        <f>IFERROR(Comp3[[#This Row],[Comparable '#3 Return]]-INDEX(Benchmark1[Benchmark '#1 Return],MATCH(Comp3[[#This Row],[Comparable '#3 Dates]],Benchmark1[Benchmark '#1 Dates],0)),"-")</f>
        <v>2.7878607146653012E-2</v>
      </c>
      <c r="L611" s="72">
        <f>Comp3[[#This Row],[Comparable '#3 Price]]/$B$2*100</f>
        <v>79.489804624178831</v>
      </c>
    </row>
    <row r="612" spans="1:12">
      <c r="A612" s="96">
        <v>44169</v>
      </c>
      <c r="B612" s="101">
        <v>93.2</v>
      </c>
      <c r="C612" s="1">
        <f t="shared" si="18"/>
        <v>3.2194022921193556E-4</v>
      </c>
      <c r="D612" s="1">
        <f>IFERROR(Comp3[[#This Row],[Comparable '#3 Return]]+1,"-")</f>
        <v>1.0003219402292118</v>
      </c>
      <c r="E612" s="6">
        <f>B612-MAX($B$2:B612)</f>
        <v>-94.839999999999989</v>
      </c>
      <c r="F612" s="80">
        <f t="shared" si="19"/>
        <v>350</v>
      </c>
      <c r="G612" s="6">
        <f>IFERROR(Comp3[[#This Row],[Comparable '#3 Drawdown]]/MAX($B$2:B612),"-")</f>
        <v>-0.5043607743033397</v>
      </c>
      <c r="H612" s="1" t="str">
        <f>IF(SUM(COUNTIF(Benchmark1[Benchmark '#1 Dates],Comp3[[#This Row],[Comparable '#3 Dates]]),COUNTIF(Benchmark2[Benchmark '#2 Dates],Comp3[[#This Row],[Comparable '#3 Dates]]))=2,"Pass","Fail")</f>
        <v>Pass</v>
      </c>
      <c r="I612" s="1">
        <f>IFERROR(Comp3[[#This Row],[Comparable '#3 Return]]-INDEX(Benchmark1[Benchmark '#1 Return],MATCH(Comp3[[#This Row],[Comparable '#3 Dates]],Benchmark1[Benchmark '#1 Dates],0)),"-")</f>
        <v>-8.4769289757149792E-3</v>
      </c>
      <c r="L612" s="72">
        <f>Comp3[[#This Row],[Comparable '#3 Price]]/$B$2*100</f>
        <v>79.515399709922363</v>
      </c>
    </row>
    <row r="613" spans="1:12">
      <c r="A613" s="96">
        <v>44172</v>
      </c>
      <c r="B613" s="101">
        <v>93.18</v>
      </c>
      <c r="C613" s="1">
        <f t="shared" si="18"/>
        <v>-2.1461530289470227E-4</v>
      </c>
      <c r="D613" s="1">
        <f>IFERROR(Comp3[[#This Row],[Comparable '#3 Return]]+1,"-")</f>
        <v>0.99978538469710532</v>
      </c>
      <c r="E613" s="6">
        <f>B613-MAX($B$2:B613)</f>
        <v>-94.859999999999985</v>
      </c>
      <c r="F613" s="80">
        <f t="shared" si="19"/>
        <v>351</v>
      </c>
      <c r="G613" s="6">
        <f>IFERROR(Comp3[[#This Row],[Comparable '#3 Drawdown]]/MAX($B$2:B613),"-")</f>
        <v>-0.50446713465220161</v>
      </c>
      <c r="H613" s="1" t="str">
        <f>IF(SUM(COUNTIF(Benchmark1[Benchmark '#1 Dates],Comp3[[#This Row],[Comparable '#3 Dates]]),COUNTIF(Benchmark2[Benchmark '#2 Dates],Comp3[[#This Row],[Comparable '#3 Dates]]))=2,"Pass","Fail")</f>
        <v>Pass</v>
      </c>
      <c r="I613" s="1">
        <f>IFERROR(Comp3[[#This Row],[Comparable '#3 Return]]-INDEX(Benchmark1[Benchmark '#1 Return],MATCH(Comp3[[#This Row],[Comparable '#3 Dates]],Benchmark1[Benchmark '#1 Dates],0)),"-")</f>
        <v>1.7222820844982909E-3</v>
      </c>
      <c r="L613" s="72">
        <f>Comp3[[#This Row],[Comparable '#3 Price]]/$B$2*100</f>
        <v>79.49833631942667</v>
      </c>
    </row>
    <row r="614" spans="1:12">
      <c r="A614" s="96">
        <v>44173</v>
      </c>
      <c r="B614" s="101">
        <v>93.3</v>
      </c>
      <c r="C614" s="1">
        <f t="shared" si="18"/>
        <v>1.2870014646472398E-3</v>
      </c>
      <c r="D614" s="1">
        <f>IFERROR(Comp3[[#This Row],[Comparable '#3 Return]]+1,"-")</f>
        <v>1.0012870014646473</v>
      </c>
      <c r="E614" s="6">
        <f>B614-MAX($B$2:B614)</f>
        <v>-94.74</v>
      </c>
      <c r="F614" s="80">
        <f t="shared" si="19"/>
        <v>352</v>
      </c>
      <c r="G614" s="6">
        <f>IFERROR(Comp3[[#This Row],[Comparable '#3 Drawdown]]/MAX($B$2:B614),"-")</f>
        <v>-0.50382897255903003</v>
      </c>
      <c r="H614" s="1" t="str">
        <f>IF(SUM(COUNTIF(Benchmark1[Benchmark '#1 Dates],Comp3[[#This Row],[Comparable '#3 Dates]]),COUNTIF(Benchmark2[Benchmark '#2 Dates],Comp3[[#This Row],[Comparable '#3 Dates]]))=2,"Pass","Fail")</f>
        <v>Pass</v>
      </c>
      <c r="I614" s="1">
        <f>IFERROR(Comp3[[#This Row],[Comparable '#3 Return]]-INDEX(Benchmark1[Benchmark '#1 Return],MATCH(Comp3[[#This Row],[Comparable '#3 Dates]],Benchmark1[Benchmark '#1 Dates],0)),"-")</f>
        <v>-1.4947680533380068E-3</v>
      </c>
      <c r="L614" s="72">
        <f>Comp3[[#This Row],[Comparable '#3 Price]]/$B$2*100</f>
        <v>79.600716662400814</v>
      </c>
    </row>
    <row r="615" spans="1:12">
      <c r="A615" s="96">
        <v>44174</v>
      </c>
      <c r="B615" s="101">
        <v>92.36</v>
      </c>
      <c r="C615" s="1">
        <f t="shared" si="18"/>
        <v>-1.0126123367003552E-2</v>
      </c>
      <c r="D615" s="1">
        <f>IFERROR(Comp3[[#This Row],[Comparable '#3 Return]]+1,"-")</f>
        <v>0.98987387663299642</v>
      </c>
      <c r="E615" s="6">
        <f>B615-MAX($B$2:B615)</f>
        <v>-95.679999999999993</v>
      </c>
      <c r="F615" s="80">
        <f t="shared" si="19"/>
        <v>353</v>
      </c>
      <c r="G615" s="6">
        <f>IFERROR(Comp3[[#This Row],[Comparable '#3 Drawdown]]/MAX($B$2:B615),"-")</f>
        <v>-0.50882790895554131</v>
      </c>
      <c r="H615" s="1" t="str">
        <f>IF(SUM(COUNTIF(Benchmark1[Benchmark '#1 Dates],Comp3[[#This Row],[Comparable '#3 Dates]]),COUNTIF(Benchmark2[Benchmark '#2 Dates],Comp3[[#This Row],[Comparable '#3 Dates]]))=2,"Pass","Fail")</f>
        <v>Pass</v>
      </c>
      <c r="I615" s="1">
        <f>IFERROR(Comp3[[#This Row],[Comparable '#3 Return]]-INDEX(Benchmark1[Benchmark '#1 Return],MATCH(Comp3[[#This Row],[Comparable '#3 Dates]],Benchmark1[Benchmark '#1 Dates],0)),"-")</f>
        <v>-2.1456037851540904E-3</v>
      </c>
      <c r="L615" s="72">
        <f>Comp3[[#This Row],[Comparable '#3 Price]]/$B$2*100</f>
        <v>78.798737309103316</v>
      </c>
    </row>
    <row r="616" spans="1:12">
      <c r="A616" s="96">
        <v>44175</v>
      </c>
      <c r="B616" s="101">
        <v>96.25</v>
      </c>
      <c r="C616" s="1">
        <f t="shared" si="18"/>
        <v>4.1254988681598964E-2</v>
      </c>
      <c r="D616" s="1">
        <f>IFERROR(Comp3[[#This Row],[Comparable '#3 Return]]+1,"-")</f>
        <v>1.0412549886815989</v>
      </c>
      <c r="E616" s="6">
        <f>B616-MAX($B$2:B616)</f>
        <v>-91.789999999999992</v>
      </c>
      <c r="F616" s="80">
        <f t="shared" si="19"/>
        <v>354</v>
      </c>
      <c r="G616" s="6">
        <f>IFERROR(Comp3[[#This Row],[Comparable '#3 Drawdown]]/MAX($B$2:B616),"-")</f>
        <v>-0.48814082110189322</v>
      </c>
      <c r="H616" s="1" t="str">
        <f>IF(SUM(COUNTIF(Benchmark1[Benchmark '#1 Dates],Comp3[[#This Row],[Comparable '#3 Dates]]),COUNTIF(Benchmark2[Benchmark '#2 Dates],Comp3[[#This Row],[Comparable '#3 Dates]]))=2,"Pass","Fail")</f>
        <v>Pass</v>
      </c>
      <c r="I616" s="1">
        <f>IFERROR(Comp3[[#This Row],[Comparable '#3 Return]]-INDEX(Benchmark1[Benchmark '#1 Return],MATCH(Comp3[[#This Row],[Comparable '#3 Dates]],Benchmark1[Benchmark '#1 Dates],0)),"-")</f>
        <v>4.253983948888207E-2</v>
      </c>
      <c r="L616" s="72">
        <f>Comp3[[#This Row],[Comparable '#3 Price]]/$B$2*100</f>
        <v>82.117566760515317</v>
      </c>
    </row>
    <row r="617" spans="1:12">
      <c r="A617" s="96">
        <v>44176</v>
      </c>
      <c r="B617" s="101">
        <v>94.78</v>
      </c>
      <c r="C617" s="1">
        <f t="shared" si="18"/>
        <v>-1.5390556628451308E-2</v>
      </c>
      <c r="D617" s="1">
        <f>IFERROR(Comp3[[#This Row],[Comparable '#3 Return]]+1,"-")</f>
        <v>0.98460944337154865</v>
      </c>
      <c r="E617" s="6">
        <f>B617-MAX($B$2:B617)</f>
        <v>-93.259999999999991</v>
      </c>
      <c r="F617" s="80">
        <f t="shared" si="19"/>
        <v>355</v>
      </c>
      <c r="G617" s="6">
        <f>IFERROR(Comp3[[#This Row],[Comparable '#3 Drawdown]]/MAX($B$2:B617),"-")</f>
        <v>-0.49595830674324609</v>
      </c>
      <c r="H617" s="1" t="str">
        <f>IF(SUM(COUNTIF(Benchmark1[Benchmark '#1 Dates],Comp3[[#This Row],[Comparable '#3 Dates]]),COUNTIF(Benchmark2[Benchmark '#2 Dates],Comp3[[#This Row],[Comparable '#3 Dates]]))=2,"Pass","Fail")</f>
        <v>Pass</v>
      </c>
      <c r="I617" s="1">
        <f>IFERROR(Comp3[[#This Row],[Comparable '#3 Return]]-INDEX(Benchmark1[Benchmark '#1 Return],MATCH(Comp3[[#This Row],[Comparable '#3 Dates]],Benchmark1[Benchmark '#1 Dates],0)),"-")</f>
        <v>-1.4123222251381904E-2</v>
      </c>
      <c r="L617" s="72">
        <f>Comp3[[#This Row],[Comparable '#3 Price]]/$B$2*100</f>
        <v>80.863407559081992</v>
      </c>
    </row>
    <row r="618" spans="1:12">
      <c r="A618" s="96">
        <v>44179</v>
      </c>
      <c r="B618" s="101">
        <v>93.77</v>
      </c>
      <c r="C618" s="1">
        <f t="shared" si="18"/>
        <v>-1.0713441107908454E-2</v>
      </c>
      <c r="D618" s="1">
        <f>IFERROR(Comp3[[#This Row],[Comparable '#3 Return]]+1,"-")</f>
        <v>0.98928655889209149</v>
      </c>
      <c r="E618" s="6">
        <f>B618-MAX($B$2:B618)</f>
        <v>-94.27</v>
      </c>
      <c r="F618" s="80">
        <f t="shared" si="19"/>
        <v>356</v>
      </c>
      <c r="G618" s="6">
        <f>IFERROR(Comp3[[#This Row],[Comparable '#3 Drawdown]]/MAX($B$2:B618),"-")</f>
        <v>-0.50132950436077428</v>
      </c>
      <c r="H618" s="1" t="str">
        <f>IF(SUM(COUNTIF(Benchmark1[Benchmark '#1 Dates],Comp3[[#This Row],[Comparable '#3 Dates]]),COUNTIF(Benchmark2[Benchmark '#2 Dates],Comp3[[#This Row],[Comparable '#3 Dates]]))=2,"Pass","Fail")</f>
        <v>Pass</v>
      </c>
      <c r="I618" s="1">
        <f>IFERROR(Comp3[[#This Row],[Comparable '#3 Return]]-INDEX(Benchmark1[Benchmark '#1 Return],MATCH(Comp3[[#This Row],[Comparable '#3 Dates]],Benchmark1[Benchmark '#1 Dates],0)),"-")</f>
        <v>-6.3460861377240326E-3</v>
      </c>
      <c r="L618" s="72">
        <f>Comp3[[#This Row],[Comparable '#3 Price]]/$B$2*100</f>
        <v>80.001706339049576</v>
      </c>
    </row>
    <row r="619" spans="1:12">
      <c r="A619" s="96">
        <v>44180</v>
      </c>
      <c r="B619" s="101">
        <v>98.59</v>
      </c>
      <c r="C619" s="1">
        <f t="shared" si="18"/>
        <v>5.012486115541618E-2</v>
      </c>
      <c r="D619" s="1">
        <f>IFERROR(Comp3[[#This Row],[Comparable '#3 Return]]+1,"-")</f>
        <v>1.0501248611554161</v>
      </c>
      <c r="E619" s="6">
        <f>B619-MAX($B$2:B619)</f>
        <v>-89.449999999999989</v>
      </c>
      <c r="F619" s="80">
        <f t="shared" si="19"/>
        <v>357</v>
      </c>
      <c r="G619" s="6">
        <f>IFERROR(Comp3[[#This Row],[Comparable '#3 Drawdown]]/MAX($B$2:B619),"-")</f>
        <v>-0.4756966602850457</v>
      </c>
      <c r="H619" s="1" t="str">
        <f>IF(SUM(COUNTIF(Benchmark1[Benchmark '#1 Dates],Comp3[[#This Row],[Comparable '#3 Dates]]),COUNTIF(Benchmark2[Benchmark '#2 Dates],Comp3[[#This Row],[Comparable '#3 Dates]]))=2,"Pass","Fail")</f>
        <v>Pass</v>
      </c>
      <c r="I619" s="1">
        <f>IFERROR(Comp3[[#This Row],[Comparable '#3 Return]]-INDEX(Benchmark1[Benchmark '#1 Return],MATCH(Comp3[[#This Row],[Comparable '#3 Dates]],Benchmark1[Benchmark '#1 Dates],0)),"-")</f>
        <v>3.7286731369926968E-2</v>
      </c>
      <c r="L619" s="72">
        <f>Comp3[[#This Row],[Comparable '#3 Price]]/$B$2*100</f>
        <v>84.113983448511235</v>
      </c>
    </row>
    <row r="620" spans="1:12">
      <c r="A620" s="96">
        <v>44181</v>
      </c>
      <c r="B620" s="101">
        <v>95.51</v>
      </c>
      <c r="C620" s="1">
        <f t="shared" si="18"/>
        <v>-3.173888254030377E-2</v>
      </c>
      <c r="D620" s="1">
        <f>IFERROR(Comp3[[#This Row],[Comparable '#3 Return]]+1,"-")</f>
        <v>0.96826111745969623</v>
      </c>
      <c r="E620" s="6">
        <f>B620-MAX($B$2:B620)</f>
        <v>-92.529999999999987</v>
      </c>
      <c r="F620" s="80">
        <f t="shared" si="19"/>
        <v>358</v>
      </c>
      <c r="G620" s="6">
        <f>IFERROR(Comp3[[#This Row],[Comparable '#3 Drawdown]]/MAX($B$2:B620),"-")</f>
        <v>-0.49207615400978511</v>
      </c>
      <c r="H620" s="1" t="str">
        <f>IF(SUM(COUNTIF(Benchmark1[Benchmark '#1 Dates],Comp3[[#This Row],[Comparable '#3 Dates]]),COUNTIF(Benchmark2[Benchmark '#2 Dates],Comp3[[#This Row],[Comparable '#3 Dates]]))=2,"Pass","Fail")</f>
        <v>Pass</v>
      </c>
      <c r="I620" s="1">
        <f>IFERROR(Comp3[[#This Row],[Comparable '#3 Return]]-INDEX(Benchmark1[Benchmark '#1 Return],MATCH(Comp3[[#This Row],[Comparable '#3 Dates]],Benchmark1[Benchmark '#1 Dates],0)),"-")</f>
        <v>-3.3510633166902691E-2</v>
      </c>
      <c r="L620" s="72">
        <f>Comp3[[#This Row],[Comparable '#3 Price]]/$B$2*100</f>
        <v>81.486221312174735</v>
      </c>
    </row>
    <row r="621" spans="1:12">
      <c r="A621" s="96">
        <v>44182</v>
      </c>
      <c r="B621" s="101">
        <v>96.15</v>
      </c>
      <c r="C621" s="1">
        <f t="shared" si="18"/>
        <v>6.6785179881425913E-3</v>
      </c>
      <c r="D621" s="1">
        <f>IFERROR(Comp3[[#This Row],[Comparable '#3 Return]]+1,"-")</f>
        <v>1.0066785179881426</v>
      </c>
      <c r="E621" s="6">
        <f>B621-MAX($B$2:B621)</f>
        <v>-91.889999999999986</v>
      </c>
      <c r="F621" s="80">
        <f t="shared" si="19"/>
        <v>359</v>
      </c>
      <c r="G621" s="6">
        <f>IFERROR(Comp3[[#This Row],[Comparable '#3 Drawdown]]/MAX($B$2:B621),"-")</f>
        <v>-0.48867262284620289</v>
      </c>
      <c r="H621" s="1" t="str">
        <f>IF(SUM(COUNTIF(Benchmark1[Benchmark '#1 Dates],Comp3[[#This Row],[Comparable '#3 Dates]]),COUNTIF(Benchmark2[Benchmark '#2 Dates],Comp3[[#This Row],[Comparable '#3 Dates]]))=2,"Pass","Fail")</f>
        <v>Pass</v>
      </c>
      <c r="I621" s="1">
        <f>IFERROR(Comp3[[#This Row],[Comparable '#3 Return]]-INDEX(Benchmark1[Benchmark '#1 Return],MATCH(Comp3[[#This Row],[Comparable '#3 Dates]],Benchmark1[Benchmark '#1 Dates],0)),"-")</f>
        <v>9.3783594526183033E-4</v>
      </c>
      <c r="L621" s="72">
        <f>Comp3[[#This Row],[Comparable '#3 Price]]/$B$2*100</f>
        <v>82.032249808036866</v>
      </c>
    </row>
    <row r="622" spans="1:12">
      <c r="A622" s="96">
        <v>44183</v>
      </c>
      <c r="B622" s="101">
        <v>97.58</v>
      </c>
      <c r="C622" s="1">
        <f t="shared" si="18"/>
        <v>1.4763082352902242E-2</v>
      </c>
      <c r="D622" s="1">
        <f>IFERROR(Comp3[[#This Row],[Comparable '#3 Return]]+1,"-")</f>
        <v>1.0147630823529021</v>
      </c>
      <c r="E622" s="6">
        <f>B622-MAX($B$2:B622)</f>
        <v>-90.46</v>
      </c>
      <c r="F622" s="80">
        <f t="shared" si="19"/>
        <v>360</v>
      </c>
      <c r="G622" s="6">
        <f>IFERROR(Comp3[[#This Row],[Comparable '#3 Drawdown]]/MAX($B$2:B622),"-")</f>
        <v>-0.48106785790257389</v>
      </c>
      <c r="H622" s="1" t="str">
        <f>IF(SUM(COUNTIF(Benchmark1[Benchmark '#1 Dates],Comp3[[#This Row],[Comparable '#3 Dates]]),COUNTIF(Benchmark2[Benchmark '#2 Dates],Comp3[[#This Row],[Comparable '#3 Dates]]))=2,"Pass","Fail")</f>
        <v>Pass</v>
      </c>
      <c r="I622" s="1">
        <f>IFERROR(Comp3[[#This Row],[Comparable '#3 Return]]-INDEX(Benchmark1[Benchmark '#1 Return],MATCH(Comp3[[#This Row],[Comparable '#3 Dates]],Benchmark1[Benchmark '#1 Dates],0)),"-")</f>
        <v>1.8281388039714443E-2</v>
      </c>
      <c r="L622" s="72">
        <f>Comp3[[#This Row],[Comparable '#3 Price]]/$B$2*100</f>
        <v>83.252282228478805</v>
      </c>
    </row>
    <row r="623" spans="1:12">
      <c r="A623" s="96">
        <v>44186</v>
      </c>
      <c r="B623" s="101">
        <v>96.19</v>
      </c>
      <c r="C623" s="1">
        <f t="shared" si="18"/>
        <v>-1.4347152223166883E-2</v>
      </c>
      <c r="D623" s="1">
        <f>IFERROR(Comp3[[#This Row],[Comparable '#3 Return]]+1,"-")</f>
        <v>0.98565284777683315</v>
      </c>
      <c r="E623" s="6">
        <f>B623-MAX($B$2:B623)</f>
        <v>-91.85</v>
      </c>
      <c r="F623" s="80">
        <f t="shared" si="19"/>
        <v>361</v>
      </c>
      <c r="G623" s="6">
        <f>IFERROR(Comp3[[#This Row],[Comparable '#3 Drawdown]]/MAX($B$2:B623),"-")</f>
        <v>-0.48845990214847906</v>
      </c>
      <c r="H623" s="1" t="str">
        <f>IF(SUM(COUNTIF(Benchmark1[Benchmark '#1 Dates],Comp3[[#This Row],[Comparable '#3 Dates]]),COUNTIF(Benchmark2[Benchmark '#2 Dates],Comp3[[#This Row],[Comparable '#3 Dates]]))=2,"Pass","Fail")</f>
        <v>Pass</v>
      </c>
      <c r="I623" s="1">
        <f>IFERROR(Comp3[[#This Row],[Comparable '#3 Return]]-INDEX(Benchmark1[Benchmark '#1 Return],MATCH(Comp3[[#This Row],[Comparable '#3 Dates]],Benchmark1[Benchmark '#1 Dates],0)),"-")</f>
        <v>-1.0433577834550784E-2</v>
      </c>
      <c r="L623" s="72">
        <f>Comp3[[#This Row],[Comparable '#3 Price]]/$B$2*100</f>
        <v>82.066376589028238</v>
      </c>
    </row>
    <row r="624" spans="1:12">
      <c r="A624" s="96">
        <v>44187</v>
      </c>
      <c r="B624" s="101">
        <v>93.12</v>
      </c>
      <c r="C624" s="1">
        <f t="shared" si="18"/>
        <v>-3.2436418181396399E-2</v>
      </c>
      <c r="D624" s="1">
        <f>IFERROR(Comp3[[#This Row],[Comparable '#3 Return]]+1,"-")</f>
        <v>0.96756358181860358</v>
      </c>
      <c r="E624" s="6">
        <f>B624-MAX($B$2:B624)</f>
        <v>-94.919999999999987</v>
      </c>
      <c r="F624" s="80">
        <f t="shared" si="19"/>
        <v>362</v>
      </c>
      <c r="G624" s="6">
        <f>IFERROR(Comp3[[#This Row],[Comparable '#3 Drawdown]]/MAX($B$2:B624),"-")</f>
        <v>-0.50478621569878745</v>
      </c>
      <c r="H624" s="1" t="str">
        <f>IF(SUM(COUNTIF(Benchmark1[Benchmark '#1 Dates],Comp3[[#This Row],[Comparable '#3 Dates]]),COUNTIF(Benchmark2[Benchmark '#2 Dates],Comp3[[#This Row],[Comparable '#3 Dates]]))=2,"Pass","Fail")</f>
        <v>Pass</v>
      </c>
      <c r="I624" s="1">
        <f>IFERROR(Comp3[[#This Row],[Comparable '#3 Return]]-INDEX(Benchmark1[Benchmark '#1 Return],MATCH(Comp3[[#This Row],[Comparable '#3 Dates]],Benchmark1[Benchmark '#1 Dates],0)),"-")</f>
        <v>-3.0361361049979226E-2</v>
      </c>
      <c r="L624" s="72">
        <f>Comp3[[#This Row],[Comparable '#3 Price]]/$B$2*100</f>
        <v>79.447146147939605</v>
      </c>
    </row>
    <row r="625" spans="1:12">
      <c r="A625" s="96">
        <v>44188</v>
      </c>
      <c r="B625" s="101">
        <v>98.01</v>
      </c>
      <c r="C625" s="1">
        <f t="shared" si="18"/>
        <v>5.118053029796072E-2</v>
      </c>
      <c r="D625" s="1">
        <f>IFERROR(Comp3[[#This Row],[Comparable '#3 Return]]+1,"-")</f>
        <v>1.0511805302979607</v>
      </c>
      <c r="E625" s="6">
        <f>B625-MAX($B$2:B625)</f>
        <v>-90.029999999999987</v>
      </c>
      <c r="F625" s="80">
        <f t="shared" si="19"/>
        <v>363</v>
      </c>
      <c r="G625" s="6">
        <f>IFERROR(Comp3[[#This Row],[Comparable '#3 Drawdown]]/MAX($B$2:B625),"-")</f>
        <v>-0.47878111040204208</v>
      </c>
      <c r="H625" s="1" t="str">
        <f>IF(SUM(COUNTIF(Benchmark1[Benchmark '#1 Dates],Comp3[[#This Row],[Comparable '#3 Dates]]),COUNTIF(Benchmark2[Benchmark '#2 Dates],Comp3[[#This Row],[Comparable '#3 Dates]]))=2,"Pass","Fail")</f>
        <v>Pass</v>
      </c>
      <c r="I625" s="1">
        <f>IFERROR(Comp3[[#This Row],[Comparable '#3 Return]]-INDEX(Benchmark1[Benchmark '#1 Return],MATCH(Comp3[[#This Row],[Comparable '#3 Dates]],Benchmark1[Benchmark '#1 Dates],0)),"-")</f>
        <v>5.0434098092214288E-2</v>
      </c>
      <c r="L625" s="72">
        <f>Comp3[[#This Row],[Comparable '#3 Price]]/$B$2*100</f>
        <v>83.619145124136168</v>
      </c>
    </row>
    <row r="626" spans="1:12">
      <c r="A626" s="96">
        <v>44189</v>
      </c>
      <c r="B626" s="101">
        <v>97.09</v>
      </c>
      <c r="C626" s="1">
        <f t="shared" si="18"/>
        <v>-9.4311308990349257E-3</v>
      </c>
      <c r="D626" s="1">
        <f>IFERROR(Comp3[[#This Row],[Comparable '#3 Return]]+1,"-")</f>
        <v>0.99056886910096509</v>
      </c>
      <c r="E626" s="6">
        <f>B626-MAX($B$2:B626)</f>
        <v>-90.949999999999989</v>
      </c>
      <c r="F626" s="80">
        <f t="shared" si="19"/>
        <v>364</v>
      </c>
      <c r="G626" s="6">
        <f>IFERROR(Comp3[[#This Row],[Comparable '#3 Drawdown]]/MAX($B$2:B626),"-")</f>
        <v>-0.4836736864496915</v>
      </c>
      <c r="H626" s="1" t="str">
        <f>IF(SUM(COUNTIF(Benchmark1[Benchmark '#1 Dates],Comp3[[#This Row],[Comparable '#3 Dates]]),COUNTIF(Benchmark2[Benchmark '#2 Dates],Comp3[[#This Row],[Comparable '#3 Dates]]))=2,"Pass","Fail")</f>
        <v>Pass</v>
      </c>
      <c r="I626" s="1">
        <f>IFERROR(Comp3[[#This Row],[Comparable '#3 Return]]-INDEX(Benchmark1[Benchmark '#1 Return],MATCH(Comp3[[#This Row],[Comparable '#3 Dates]],Benchmark1[Benchmark '#1 Dates],0)),"-")</f>
        <v>-1.2959853748224981E-2</v>
      </c>
      <c r="L626" s="72">
        <f>Comp3[[#This Row],[Comparable '#3 Price]]/$B$2*100</f>
        <v>82.834229161334363</v>
      </c>
    </row>
    <row r="627" spans="1:12">
      <c r="A627" s="96">
        <v>44193</v>
      </c>
      <c r="B627" s="101">
        <v>97.14</v>
      </c>
      <c r="C627" s="1">
        <f t="shared" si="18"/>
        <v>5.1485353554529226E-4</v>
      </c>
      <c r="D627" s="1">
        <f>IFERROR(Comp3[[#This Row],[Comparable '#3 Return]]+1,"-")</f>
        <v>1.0005148535355453</v>
      </c>
      <c r="E627" s="6">
        <f>B627-MAX($B$2:B627)</f>
        <v>-90.899999999999991</v>
      </c>
      <c r="F627" s="80">
        <f t="shared" si="19"/>
        <v>365</v>
      </c>
      <c r="G627" s="6">
        <f>IFERROR(Comp3[[#This Row],[Comparable '#3 Drawdown]]/MAX($B$2:B627),"-")</f>
        <v>-0.48340778557753666</v>
      </c>
      <c r="H627" s="1" t="str">
        <f>IF(SUM(COUNTIF(Benchmark1[Benchmark '#1 Dates],Comp3[[#This Row],[Comparable '#3 Dates]]),COUNTIF(Benchmark2[Benchmark '#2 Dates],Comp3[[#This Row],[Comparable '#3 Dates]]))=2,"Pass","Fail")</f>
        <v>Pass</v>
      </c>
      <c r="I627" s="1">
        <f>IFERROR(Comp3[[#This Row],[Comparable '#3 Return]]-INDEX(Benchmark1[Benchmark '#1 Return],MATCH(Comp3[[#This Row],[Comparable '#3 Dates]],Benchmark1[Benchmark '#1 Dates],0)),"-")</f>
        <v>-8.1692818829587743E-3</v>
      </c>
      <c r="L627" s="72">
        <f>Comp3[[#This Row],[Comparable '#3 Price]]/$B$2*100</f>
        <v>82.876887637573589</v>
      </c>
    </row>
    <row r="628" spans="1:12">
      <c r="A628" s="96">
        <v>44194</v>
      </c>
      <c r="B628" s="101">
        <v>93.81</v>
      </c>
      <c r="C628" s="1">
        <f t="shared" si="18"/>
        <v>-3.4881776779739172E-2</v>
      </c>
      <c r="D628" s="1">
        <f>IFERROR(Comp3[[#This Row],[Comparable '#3 Return]]+1,"-")</f>
        <v>0.96511822322026086</v>
      </c>
      <c r="E628" s="6">
        <f>B628-MAX($B$2:B628)</f>
        <v>-94.22999999999999</v>
      </c>
      <c r="F628" s="80">
        <f t="shared" si="19"/>
        <v>366</v>
      </c>
      <c r="G628" s="6">
        <f>IFERROR(Comp3[[#This Row],[Comparable '#3 Drawdown]]/MAX($B$2:B628),"-")</f>
        <v>-0.50111678366305035</v>
      </c>
      <c r="H628" s="1" t="str">
        <f>IF(SUM(COUNTIF(Benchmark1[Benchmark '#1 Dates],Comp3[[#This Row],[Comparable '#3 Dates]]),COUNTIF(Benchmark2[Benchmark '#2 Dates],Comp3[[#This Row],[Comparable '#3 Dates]]))=2,"Pass","Fail")</f>
        <v>Pass</v>
      </c>
      <c r="I628" s="1">
        <f>IFERROR(Comp3[[#This Row],[Comparable '#3 Return]]-INDEX(Benchmark1[Benchmark '#1 Return],MATCH(Comp3[[#This Row],[Comparable '#3 Dates]],Benchmark1[Benchmark '#1 Dates],0)),"-")</f>
        <v>-3.2653095371808591E-2</v>
      </c>
      <c r="L628" s="72">
        <f>Comp3[[#This Row],[Comparable '#3 Price]]/$B$2*100</f>
        <v>80.035833120040962</v>
      </c>
    </row>
    <row r="629" spans="1:12">
      <c r="A629" s="96">
        <v>44195</v>
      </c>
      <c r="B629" s="101">
        <v>96</v>
      </c>
      <c r="C629" s="1">
        <f t="shared" si="18"/>
        <v>2.3076731329976646E-2</v>
      </c>
      <c r="D629" s="1">
        <f>IFERROR(Comp3[[#This Row],[Comparable '#3 Return]]+1,"-")</f>
        <v>1.0230767313299767</v>
      </c>
      <c r="E629" s="6">
        <f>B629-MAX($B$2:B629)</f>
        <v>-92.039999999999992</v>
      </c>
      <c r="F629" s="80">
        <f t="shared" si="19"/>
        <v>367</v>
      </c>
      <c r="G629" s="6">
        <f>IFERROR(Comp3[[#This Row],[Comparable '#3 Drawdown]]/MAX($B$2:B629),"-")</f>
        <v>-0.4894703254626675</v>
      </c>
      <c r="H629" s="1" t="str">
        <f>IF(SUM(COUNTIF(Benchmark1[Benchmark '#1 Dates],Comp3[[#This Row],[Comparable '#3 Dates]]),COUNTIF(Benchmark2[Benchmark '#2 Dates],Comp3[[#This Row],[Comparable '#3 Dates]]))=2,"Pass","Fail")</f>
        <v>Pass</v>
      </c>
      <c r="I629" s="1">
        <f>IFERROR(Comp3[[#This Row],[Comparable '#3 Return]]-INDEX(Benchmark1[Benchmark '#1 Return],MATCH(Comp3[[#This Row],[Comparable '#3 Dates]],Benchmark1[Benchmark '#1 Dates],0)),"-")</f>
        <v>2.1735568964566524E-2</v>
      </c>
      <c r="L629" s="72">
        <f>Comp3[[#This Row],[Comparable '#3 Price]]/$B$2*100</f>
        <v>81.904274379319176</v>
      </c>
    </row>
    <row r="630" spans="1:12">
      <c r="A630" s="96">
        <v>44196</v>
      </c>
      <c r="B630" s="101">
        <v>95.33</v>
      </c>
      <c r="C630" s="1">
        <f t="shared" si="18"/>
        <v>-7.0036349623494405E-3</v>
      </c>
      <c r="D630" s="1">
        <f>IFERROR(Comp3[[#This Row],[Comparable '#3 Return]]+1,"-")</f>
        <v>0.99299636503765054</v>
      </c>
      <c r="E630" s="6">
        <f>B630-MAX($B$2:B630)</f>
        <v>-92.71</v>
      </c>
      <c r="F630" s="80">
        <f t="shared" si="19"/>
        <v>368</v>
      </c>
      <c r="G630" s="6">
        <f>IFERROR(Comp3[[#This Row],[Comparable '#3 Drawdown]]/MAX($B$2:B630),"-")</f>
        <v>-0.49303339714954264</v>
      </c>
      <c r="H630" s="1" t="str">
        <f>IF(SUM(COUNTIF(Benchmark1[Benchmark '#1 Dates],Comp3[[#This Row],[Comparable '#3 Dates]]),COUNTIF(Benchmark2[Benchmark '#2 Dates],Comp3[[#This Row],[Comparable '#3 Dates]]))=2,"Pass","Fail")</f>
        <v>Pass</v>
      </c>
      <c r="I630" s="1">
        <f>IFERROR(Comp3[[#This Row],[Comparable '#3 Return]]-INDEX(Benchmark1[Benchmark '#1 Return],MATCH(Comp3[[#This Row],[Comparable '#3 Dates]],Benchmark1[Benchmark '#1 Dates],0)),"-")</f>
        <v>-1.3421687786437882E-2</v>
      </c>
      <c r="L630" s="72">
        <f>Comp3[[#This Row],[Comparable '#3 Price]]/$B$2*100</f>
        <v>81.332650797713512</v>
      </c>
    </row>
    <row r="631" spans="1:12">
      <c r="A631" s="96">
        <v>44200</v>
      </c>
      <c r="B631" s="101">
        <v>91.84</v>
      </c>
      <c r="C631" s="1">
        <f t="shared" si="18"/>
        <v>-3.7296623934230472E-2</v>
      </c>
      <c r="D631" s="1">
        <f>IFERROR(Comp3[[#This Row],[Comparable '#3 Return]]+1,"-")</f>
        <v>0.9627033760657695</v>
      </c>
      <c r="E631" s="6">
        <f>B631-MAX($B$2:B631)</f>
        <v>-96.199999999999989</v>
      </c>
      <c r="F631" s="80">
        <f t="shared" si="19"/>
        <v>369</v>
      </c>
      <c r="G631" s="6">
        <f>IFERROR(Comp3[[#This Row],[Comparable '#3 Drawdown]]/MAX($B$2:B631),"-")</f>
        <v>-0.51159327802595189</v>
      </c>
      <c r="H631" s="1" t="str">
        <f>IF(SUM(COUNTIF(Benchmark1[Benchmark '#1 Dates],Comp3[[#This Row],[Comparable '#3 Dates]]),COUNTIF(Benchmark2[Benchmark '#2 Dates],Comp3[[#This Row],[Comparable '#3 Dates]]))=2,"Pass","Fail")</f>
        <v>Pass</v>
      </c>
      <c r="I631" s="1">
        <f>IFERROR(Comp3[[#This Row],[Comparable '#3 Return]]-INDEX(Benchmark1[Benchmark '#1 Return],MATCH(Comp3[[#This Row],[Comparable '#3 Dates]],Benchmark1[Benchmark '#1 Dates],0)),"-")</f>
        <v>-2.2430658164413038E-2</v>
      </c>
      <c r="L631" s="72">
        <f>Comp3[[#This Row],[Comparable '#3 Price]]/$B$2*100</f>
        <v>78.355089156215357</v>
      </c>
    </row>
    <row r="632" spans="1:12">
      <c r="A632" s="96">
        <v>44201</v>
      </c>
      <c r="B632" s="101">
        <v>94.81</v>
      </c>
      <c r="C632" s="1">
        <f t="shared" si="18"/>
        <v>3.1826956358611554E-2</v>
      </c>
      <c r="D632" s="1">
        <f>IFERROR(Comp3[[#This Row],[Comparable '#3 Return]]+1,"-")</f>
        <v>1.0318269563586115</v>
      </c>
      <c r="E632" s="6">
        <f>B632-MAX($B$2:B632)</f>
        <v>-93.22999999999999</v>
      </c>
      <c r="F632" s="80">
        <f t="shared" si="19"/>
        <v>370</v>
      </c>
      <c r="G632" s="6">
        <f>IFERROR(Comp3[[#This Row],[Comparable '#3 Drawdown]]/MAX($B$2:B632),"-")</f>
        <v>-0.49579876621995317</v>
      </c>
      <c r="H632" s="1" t="str">
        <f>IF(SUM(COUNTIF(Benchmark1[Benchmark '#1 Dates],Comp3[[#This Row],[Comparable '#3 Dates]]),COUNTIF(Benchmark2[Benchmark '#2 Dates],Comp3[[#This Row],[Comparable '#3 Dates]]))=2,"Pass","Fail")</f>
        <v>Pass</v>
      </c>
      <c r="I632" s="1">
        <f>IFERROR(Comp3[[#This Row],[Comparable '#3 Return]]-INDEX(Benchmark1[Benchmark '#1 Return],MATCH(Comp3[[#This Row],[Comparable '#3 Dates]],Benchmark1[Benchmark '#1 Dates],0)),"-")</f>
        <v>2.4769647997187394E-2</v>
      </c>
      <c r="L632" s="72">
        <f>Comp3[[#This Row],[Comparable '#3 Price]]/$B$2*100</f>
        <v>80.889002644825538</v>
      </c>
    </row>
    <row r="633" spans="1:12">
      <c r="A633" s="96">
        <v>44202</v>
      </c>
      <c r="B633" s="101">
        <v>91.7</v>
      </c>
      <c r="C633" s="1">
        <f t="shared" si="18"/>
        <v>-3.3352509667448627E-2</v>
      </c>
      <c r="D633" s="1">
        <f>IFERROR(Comp3[[#This Row],[Comparable '#3 Return]]+1,"-")</f>
        <v>0.96664749033255137</v>
      </c>
      <c r="E633" s="6">
        <f>B633-MAX($B$2:B633)</f>
        <v>-96.339999999999989</v>
      </c>
      <c r="F633" s="80">
        <f t="shared" si="19"/>
        <v>371</v>
      </c>
      <c r="G633" s="6">
        <f>IFERROR(Comp3[[#This Row],[Comparable '#3 Drawdown]]/MAX($B$2:B633),"-")</f>
        <v>-0.51233780046798549</v>
      </c>
      <c r="H633" s="1" t="str">
        <f>IF(SUM(COUNTIF(Benchmark1[Benchmark '#1 Dates],Comp3[[#This Row],[Comparable '#3 Dates]]),COUNTIF(Benchmark2[Benchmark '#2 Dates],Comp3[[#This Row],[Comparable '#3 Dates]]))=2,"Pass","Fail")</f>
        <v>Pass</v>
      </c>
      <c r="I633" s="1">
        <f>IFERROR(Comp3[[#This Row],[Comparable '#3 Return]]-INDEX(Benchmark1[Benchmark '#1 Return],MATCH(Comp3[[#This Row],[Comparable '#3 Dates]],Benchmark1[Benchmark '#1 Dates],0)),"-")</f>
        <v>-3.9046713995149938E-2</v>
      </c>
      <c r="L633" s="72">
        <f>Comp3[[#This Row],[Comparable '#3 Price]]/$B$2*100</f>
        <v>78.235645422745506</v>
      </c>
    </row>
    <row r="634" spans="1:12">
      <c r="A634" s="96">
        <v>44203</v>
      </c>
      <c r="B634" s="101">
        <v>89.59</v>
      </c>
      <c r="C634" s="1">
        <f t="shared" si="18"/>
        <v>-2.3278672652932073E-2</v>
      </c>
      <c r="D634" s="1">
        <f>IFERROR(Comp3[[#This Row],[Comparable '#3 Return]]+1,"-")</f>
        <v>0.97672132734706796</v>
      </c>
      <c r="E634" s="6">
        <f>B634-MAX($B$2:B634)</f>
        <v>-98.449999999999989</v>
      </c>
      <c r="F634" s="80">
        <f t="shared" si="19"/>
        <v>372</v>
      </c>
      <c r="G634" s="6">
        <f>IFERROR(Comp3[[#This Row],[Comparable '#3 Drawdown]]/MAX($B$2:B634),"-")</f>
        <v>-0.52355881727292064</v>
      </c>
      <c r="H634" s="1" t="str">
        <f>IF(SUM(COUNTIF(Benchmark1[Benchmark '#1 Dates],Comp3[[#This Row],[Comparable '#3 Dates]]),COUNTIF(Benchmark2[Benchmark '#2 Dates],Comp3[[#This Row],[Comparable '#3 Dates]]))=2,"Pass","Fail")</f>
        <v>Pass</v>
      </c>
      <c r="I634" s="1">
        <f>IFERROR(Comp3[[#This Row],[Comparable '#3 Return]]-INDEX(Benchmark1[Benchmark '#1 Return],MATCH(Comp3[[#This Row],[Comparable '#3 Dates]],Benchmark1[Benchmark '#1 Dates],0)),"-")</f>
        <v>-3.8017577756626814E-2</v>
      </c>
      <c r="L634" s="72">
        <f>Comp3[[#This Row],[Comparable '#3 Price]]/$B$2*100</f>
        <v>76.43545772545005</v>
      </c>
    </row>
    <row r="635" spans="1:12">
      <c r="A635" s="96">
        <v>44204</v>
      </c>
      <c r="B635" s="101">
        <v>90.75</v>
      </c>
      <c r="C635" s="1">
        <f t="shared" si="18"/>
        <v>1.2864766535472985E-2</v>
      </c>
      <c r="D635" s="1">
        <f>IFERROR(Comp3[[#This Row],[Comparable '#3 Return]]+1,"-")</f>
        <v>1.0128647665354731</v>
      </c>
      <c r="E635" s="6">
        <f>B635-MAX($B$2:B635)</f>
        <v>-97.289999999999992</v>
      </c>
      <c r="F635" s="80">
        <f t="shared" si="19"/>
        <v>373</v>
      </c>
      <c r="G635" s="6">
        <f>IFERROR(Comp3[[#This Row],[Comparable '#3 Drawdown]]/MAX($B$2:B635),"-")</f>
        <v>-0.51738991703892789</v>
      </c>
      <c r="H635" s="1" t="str">
        <f>IF(SUM(COUNTIF(Benchmark1[Benchmark '#1 Dates],Comp3[[#This Row],[Comparable '#3 Dates]]),COUNTIF(Benchmark2[Benchmark '#2 Dates],Comp3[[#This Row],[Comparable '#3 Dates]]))=2,"Pass","Fail")</f>
        <v>Pass</v>
      </c>
      <c r="I635" s="1">
        <f>IFERROR(Comp3[[#This Row],[Comparable '#3 Return]]-INDEX(Benchmark1[Benchmark '#1 Return],MATCH(Comp3[[#This Row],[Comparable '#3 Dates]],Benchmark1[Benchmark '#1 Dates],0)),"-")</f>
        <v>7.3877571224738071E-3</v>
      </c>
      <c r="L635" s="72">
        <f>Comp3[[#This Row],[Comparable '#3 Price]]/$B$2*100</f>
        <v>77.425134374200155</v>
      </c>
    </row>
    <row r="636" spans="1:12">
      <c r="A636" s="96">
        <v>44207</v>
      </c>
      <c r="B636" s="101">
        <v>93.25</v>
      </c>
      <c r="C636" s="1">
        <f t="shared" si="18"/>
        <v>2.7175585378964816E-2</v>
      </c>
      <c r="D636" s="1">
        <f>IFERROR(Comp3[[#This Row],[Comparable '#3 Return]]+1,"-")</f>
        <v>1.0271755853789648</v>
      </c>
      <c r="E636" s="6">
        <f>B636-MAX($B$2:B636)</f>
        <v>-94.789999999999992</v>
      </c>
      <c r="F636" s="80">
        <f t="shared" si="19"/>
        <v>374</v>
      </c>
      <c r="G636" s="6">
        <f>IFERROR(Comp3[[#This Row],[Comparable '#3 Drawdown]]/MAX($B$2:B636),"-")</f>
        <v>-0.50409487343118486</v>
      </c>
      <c r="H636" s="1" t="str">
        <f>IF(SUM(COUNTIF(Benchmark1[Benchmark '#1 Dates],Comp3[[#This Row],[Comparable '#3 Dates]]),COUNTIF(Benchmark2[Benchmark '#2 Dates],Comp3[[#This Row],[Comparable '#3 Dates]]))=2,"Pass","Fail")</f>
        <v>Pass</v>
      </c>
      <c r="I636" s="1">
        <f>IFERROR(Comp3[[#This Row],[Comparable '#3 Return]]-INDEX(Benchmark1[Benchmark '#1 Return],MATCH(Comp3[[#This Row],[Comparable '#3 Dates]],Benchmark1[Benchmark '#1 Dates],0)),"-")</f>
        <v>3.3753478207366003E-2</v>
      </c>
      <c r="L636" s="72">
        <f>Comp3[[#This Row],[Comparable '#3 Price]]/$B$2*100</f>
        <v>79.558058186161588</v>
      </c>
    </row>
    <row r="637" spans="1:12">
      <c r="A637" s="96">
        <v>44208</v>
      </c>
      <c r="B637" s="101">
        <v>91.05</v>
      </c>
      <c r="C637" s="1">
        <f t="shared" si="18"/>
        <v>-2.3875252350308001E-2</v>
      </c>
      <c r="D637" s="1">
        <f>IFERROR(Comp3[[#This Row],[Comparable '#3 Return]]+1,"-")</f>
        <v>0.97612474764969204</v>
      </c>
      <c r="E637" s="6">
        <f>B637-MAX($B$2:B637)</f>
        <v>-96.99</v>
      </c>
      <c r="F637" s="80">
        <f t="shared" si="19"/>
        <v>375</v>
      </c>
      <c r="G637" s="6">
        <f>IFERROR(Comp3[[#This Row],[Comparable '#3 Drawdown]]/MAX($B$2:B637),"-")</f>
        <v>-0.51579451180599867</v>
      </c>
      <c r="H637" s="1" t="str">
        <f>IF(SUM(COUNTIF(Benchmark1[Benchmark '#1 Dates],Comp3[[#This Row],[Comparable '#3 Dates]]),COUNTIF(Benchmark2[Benchmark '#2 Dates],Comp3[[#This Row],[Comparable '#3 Dates]]))=2,"Pass","Fail")</f>
        <v>Pass</v>
      </c>
      <c r="I637" s="1">
        <f>IFERROR(Comp3[[#This Row],[Comparable '#3 Return]]-INDEX(Benchmark1[Benchmark '#1 Return],MATCH(Comp3[[#This Row],[Comparable '#3 Dates]],Benchmark1[Benchmark '#1 Dates],0)),"-")</f>
        <v>-2.4292570749526905E-2</v>
      </c>
      <c r="L637" s="72">
        <f>Comp3[[#This Row],[Comparable '#3 Price]]/$B$2*100</f>
        <v>77.681085231635521</v>
      </c>
    </row>
    <row r="638" spans="1:12">
      <c r="A638" s="96">
        <v>44209</v>
      </c>
      <c r="B638" s="101">
        <v>89.42</v>
      </c>
      <c r="C638" s="1">
        <f t="shared" si="18"/>
        <v>-1.8064435367782364E-2</v>
      </c>
      <c r="D638" s="1">
        <f>IFERROR(Comp3[[#This Row],[Comparable '#3 Return]]+1,"-")</f>
        <v>0.98193556463221765</v>
      </c>
      <c r="E638" s="6">
        <f>B638-MAX($B$2:B638)</f>
        <v>-98.61999999999999</v>
      </c>
      <c r="F638" s="80">
        <f t="shared" si="19"/>
        <v>376</v>
      </c>
      <c r="G638" s="6">
        <f>IFERROR(Comp3[[#This Row],[Comparable '#3 Drawdown]]/MAX($B$2:B638),"-")</f>
        <v>-0.52446288023824716</v>
      </c>
      <c r="H638" s="1" t="str">
        <f>IF(SUM(COUNTIF(Benchmark1[Benchmark '#1 Dates],Comp3[[#This Row],[Comparable '#3 Dates]]),COUNTIF(Benchmark2[Benchmark '#2 Dates],Comp3[[#This Row],[Comparable '#3 Dates]]))=2,"Pass","Fail")</f>
        <v>Pass</v>
      </c>
      <c r="I638" s="1">
        <f>IFERROR(Comp3[[#This Row],[Comparable '#3 Return]]-INDEX(Benchmark1[Benchmark '#1 Return],MATCH(Comp3[[#This Row],[Comparable '#3 Dates]],Benchmark1[Benchmark '#1 Dates],0)),"-")</f>
        <v>-2.033801497498422E-2</v>
      </c>
      <c r="L638" s="72">
        <f>Comp3[[#This Row],[Comparable '#3 Price]]/$B$2*100</f>
        <v>76.290418906236681</v>
      </c>
    </row>
    <row r="639" spans="1:12">
      <c r="A639" s="96">
        <v>44210</v>
      </c>
      <c r="B639" s="101">
        <v>91.69</v>
      </c>
      <c r="C639" s="1">
        <f t="shared" si="18"/>
        <v>2.5068951255974831E-2</v>
      </c>
      <c r="D639" s="1">
        <f>IFERROR(Comp3[[#This Row],[Comparable '#3 Return]]+1,"-")</f>
        <v>1.0250689512559747</v>
      </c>
      <c r="E639" s="6">
        <f>B639-MAX($B$2:B639)</f>
        <v>-96.35</v>
      </c>
      <c r="F639" s="80">
        <f t="shared" si="19"/>
        <v>377</v>
      </c>
      <c r="G639" s="6">
        <f>IFERROR(Comp3[[#This Row],[Comparable '#3 Drawdown]]/MAX($B$2:B639),"-")</f>
        <v>-0.5123909806424165</v>
      </c>
      <c r="H639" s="1" t="str">
        <f>IF(SUM(COUNTIF(Benchmark1[Benchmark '#1 Dates],Comp3[[#This Row],[Comparable '#3 Dates]]),COUNTIF(Benchmark2[Benchmark '#2 Dates],Comp3[[#This Row],[Comparable '#3 Dates]]))=2,"Pass","Fail")</f>
        <v>Pass</v>
      </c>
      <c r="I639" s="1">
        <f>IFERROR(Comp3[[#This Row],[Comparable '#3 Return]]-INDEX(Benchmark1[Benchmark '#1 Return],MATCH(Comp3[[#This Row],[Comparable '#3 Dates]],Benchmark1[Benchmark '#1 Dates],0)),"-")</f>
        <v>2.8829953955744871E-2</v>
      </c>
      <c r="L639" s="72">
        <f>Comp3[[#This Row],[Comparable '#3 Price]]/$B$2*100</f>
        <v>78.227113727497652</v>
      </c>
    </row>
    <row r="640" spans="1:12">
      <c r="A640" s="96">
        <v>44211</v>
      </c>
      <c r="B640" s="101">
        <v>93.05</v>
      </c>
      <c r="C640" s="1">
        <f t="shared" si="18"/>
        <v>1.4723661026450331E-2</v>
      </c>
      <c r="D640" s="1">
        <f>IFERROR(Comp3[[#This Row],[Comparable '#3 Return]]+1,"-")</f>
        <v>1.0147236610264503</v>
      </c>
      <c r="E640" s="6">
        <f>B640-MAX($B$2:B640)</f>
        <v>-94.99</v>
      </c>
      <c r="F640" s="80">
        <f t="shared" si="19"/>
        <v>378</v>
      </c>
      <c r="G640" s="6">
        <f>IFERROR(Comp3[[#This Row],[Comparable '#3 Drawdown]]/MAX($B$2:B640),"-")</f>
        <v>-0.50515847691980431</v>
      </c>
      <c r="H640" s="1" t="str">
        <f>IF(SUM(COUNTIF(Benchmark1[Benchmark '#1 Dates],Comp3[[#This Row],[Comparable '#3 Dates]]),COUNTIF(Benchmark2[Benchmark '#2 Dates],Comp3[[#This Row],[Comparable '#3 Dates]]))=2,"Pass","Fail")</f>
        <v>Pass</v>
      </c>
      <c r="I640" s="1">
        <f>IFERROR(Comp3[[#This Row],[Comparable '#3 Return]]-INDEX(Benchmark1[Benchmark '#1 Return],MATCH(Comp3[[#This Row],[Comparable '#3 Dates]],Benchmark1[Benchmark '#1 Dates],0)),"-")</f>
        <v>2.19409957536532E-2</v>
      </c>
      <c r="L640" s="72">
        <f>Comp3[[#This Row],[Comparable '#3 Price]]/$B$2*100</f>
        <v>79.387424281204673</v>
      </c>
    </row>
    <row r="641" spans="1:12">
      <c r="A641" s="96">
        <v>44215</v>
      </c>
      <c r="B641" s="101">
        <v>92.13</v>
      </c>
      <c r="C641" s="1">
        <f t="shared" si="18"/>
        <v>-9.9363599674190551E-3</v>
      </c>
      <c r="D641" s="1">
        <f>IFERROR(Comp3[[#This Row],[Comparable '#3 Return]]+1,"-")</f>
        <v>0.99006364003258096</v>
      </c>
      <c r="E641" s="6">
        <f>B641-MAX($B$2:B641)</f>
        <v>-95.91</v>
      </c>
      <c r="F641" s="80">
        <f t="shared" si="19"/>
        <v>379</v>
      </c>
      <c r="G641" s="6">
        <f>IFERROR(Comp3[[#This Row],[Comparable '#3 Drawdown]]/MAX($B$2:B641),"-")</f>
        <v>-0.51005105296745379</v>
      </c>
      <c r="H641" s="1" t="str">
        <f>IF(SUM(COUNTIF(Benchmark1[Benchmark '#1 Dates],Comp3[[#This Row],[Comparable '#3 Dates]]),COUNTIF(Benchmark2[Benchmark '#2 Dates],Comp3[[#This Row],[Comparable '#3 Dates]]))=2,"Pass","Fail")</f>
        <v>Pass</v>
      </c>
      <c r="I641" s="1">
        <f>IFERROR(Comp3[[#This Row],[Comparable '#3 Return]]-INDEX(Benchmark1[Benchmark '#1 Return],MATCH(Comp3[[#This Row],[Comparable '#3 Dates]],Benchmark1[Benchmark '#1 Dates],0)),"-")</f>
        <v>-1.8040175129188804E-2</v>
      </c>
      <c r="L641" s="72">
        <f>Comp3[[#This Row],[Comparable '#3 Price]]/$B$2*100</f>
        <v>78.602508318402869</v>
      </c>
    </row>
    <row r="642" spans="1:12">
      <c r="A642" s="96">
        <v>44216</v>
      </c>
      <c r="B642" s="101">
        <v>89.7</v>
      </c>
      <c r="C642" s="1">
        <f t="shared" ref="C642:C705" si="20">IFERROR(IF(B642="","-",LN(B642/B641)),"-")</f>
        <v>-2.6729854056090182E-2</v>
      </c>
      <c r="D642" s="1">
        <f>IFERROR(Comp3[[#This Row],[Comparable '#3 Return]]+1,"-")</f>
        <v>0.97327014594390981</v>
      </c>
      <c r="E642" s="6">
        <f>B642-MAX($B$2:B642)</f>
        <v>-98.339999999999989</v>
      </c>
      <c r="F642" s="80">
        <f t="shared" ref="F642:F705" si="21">IF(E642=0,0,F641+1)</f>
        <v>380</v>
      </c>
      <c r="G642" s="6">
        <f>IFERROR(Comp3[[#This Row],[Comparable '#3 Drawdown]]/MAX($B$2:B642),"-")</f>
        <v>-0.52297383535417996</v>
      </c>
      <c r="H642" s="1" t="str">
        <f>IF(SUM(COUNTIF(Benchmark1[Benchmark '#1 Dates],Comp3[[#This Row],[Comparable '#3 Dates]]),COUNTIF(Benchmark2[Benchmark '#2 Dates],Comp3[[#This Row],[Comparable '#3 Dates]]))=2,"Pass","Fail")</f>
        <v>Pass</v>
      </c>
      <c r="I642" s="1">
        <f>IFERROR(Comp3[[#This Row],[Comparable '#3 Return]]-INDEX(Benchmark1[Benchmark '#1 Return],MATCH(Comp3[[#This Row],[Comparable '#3 Dates]],Benchmark1[Benchmark '#1 Dates],0)),"-")</f>
        <v>-4.0568818012956982E-2</v>
      </c>
      <c r="L642" s="72">
        <f>Comp3[[#This Row],[Comparable '#3 Price]]/$B$2*100</f>
        <v>76.529306373176354</v>
      </c>
    </row>
    <row r="643" spans="1:12">
      <c r="A643" s="96">
        <v>44217</v>
      </c>
      <c r="B643" s="101">
        <v>90.55</v>
      </c>
      <c r="C643" s="1">
        <f t="shared" si="20"/>
        <v>9.4314152646719114E-3</v>
      </c>
      <c r="D643" s="1">
        <f>IFERROR(Comp3[[#This Row],[Comparable '#3 Return]]+1,"-")</f>
        <v>1.0094314152646719</v>
      </c>
      <c r="E643" s="6">
        <f>B643-MAX($B$2:B643)</f>
        <v>-97.49</v>
      </c>
      <c r="F643" s="80">
        <f t="shared" si="21"/>
        <v>381</v>
      </c>
      <c r="G643" s="6">
        <f>IFERROR(Comp3[[#This Row],[Comparable '#3 Drawdown]]/MAX($B$2:B643),"-")</f>
        <v>-0.51845352052754734</v>
      </c>
      <c r="H643" s="1" t="str">
        <f>IF(SUM(COUNTIF(Benchmark1[Benchmark '#1 Dates],Comp3[[#This Row],[Comparable '#3 Dates]]),COUNTIF(Benchmark2[Benchmark '#2 Dates],Comp3[[#This Row],[Comparable '#3 Dates]]))=2,"Pass","Fail")</f>
        <v>Pass</v>
      </c>
      <c r="I643" s="1">
        <f>IFERROR(Comp3[[#This Row],[Comparable '#3 Return]]-INDEX(Benchmark1[Benchmark '#1 Return],MATCH(Comp3[[#This Row],[Comparable '#3 Dates]],Benchmark1[Benchmark '#1 Dates],0)),"-")</f>
        <v>9.1128236688505469E-3</v>
      </c>
      <c r="L643" s="72">
        <f>Comp3[[#This Row],[Comparable '#3 Price]]/$B$2*100</f>
        <v>77.25450046924324</v>
      </c>
    </row>
    <row r="644" spans="1:12">
      <c r="A644" s="96">
        <v>44218</v>
      </c>
      <c r="B644" s="101">
        <v>88.85</v>
      </c>
      <c r="C644" s="1">
        <f t="shared" si="20"/>
        <v>-1.8952629728762039E-2</v>
      </c>
      <c r="D644" s="1">
        <f>IFERROR(Comp3[[#This Row],[Comparable '#3 Return]]+1,"-")</f>
        <v>0.98104737027123801</v>
      </c>
      <c r="E644" s="6">
        <f>B644-MAX($B$2:B644)</f>
        <v>-99.19</v>
      </c>
      <c r="F644" s="80">
        <f t="shared" si="21"/>
        <v>382</v>
      </c>
      <c r="G644" s="6">
        <f>IFERROR(Comp3[[#This Row],[Comparable '#3 Drawdown]]/MAX($B$2:B644),"-")</f>
        <v>-0.52749415018081258</v>
      </c>
      <c r="H644" s="1" t="str">
        <f>IF(SUM(COUNTIF(Benchmark1[Benchmark '#1 Dates],Comp3[[#This Row],[Comparable '#3 Dates]]),COUNTIF(Benchmark2[Benchmark '#2 Dates],Comp3[[#This Row],[Comparable '#3 Dates]]))=2,"Pass","Fail")</f>
        <v>Pass</v>
      </c>
      <c r="I644" s="1">
        <f>IFERROR(Comp3[[#This Row],[Comparable '#3 Return]]-INDEX(Benchmark1[Benchmark '#1 Return],MATCH(Comp3[[#This Row],[Comparable '#3 Dates]],Benchmark1[Benchmark '#1 Dates],0)),"-")</f>
        <v>-1.593549354636245E-2</v>
      </c>
      <c r="L644" s="72">
        <f>Comp3[[#This Row],[Comparable '#3 Price]]/$B$2*100</f>
        <v>75.804112277109454</v>
      </c>
    </row>
    <row r="645" spans="1:12">
      <c r="A645" s="96">
        <v>44221</v>
      </c>
      <c r="B645" s="101">
        <v>90.99</v>
      </c>
      <c r="C645" s="1">
        <f t="shared" si="20"/>
        <v>2.3800055767939012E-2</v>
      </c>
      <c r="D645" s="1">
        <f>IFERROR(Comp3[[#This Row],[Comparable '#3 Return]]+1,"-")</f>
        <v>1.023800055767939</v>
      </c>
      <c r="E645" s="6">
        <f>B645-MAX($B$2:B645)</f>
        <v>-97.05</v>
      </c>
      <c r="F645" s="80">
        <f t="shared" si="21"/>
        <v>383</v>
      </c>
      <c r="G645" s="6">
        <f>IFERROR(Comp3[[#This Row],[Comparable '#3 Drawdown]]/MAX($B$2:B645),"-")</f>
        <v>-0.51611359285258451</v>
      </c>
      <c r="H645" s="1" t="str">
        <f>IF(SUM(COUNTIF(Benchmark1[Benchmark '#1 Dates],Comp3[[#This Row],[Comparable '#3 Dates]]),COUNTIF(Benchmark2[Benchmark '#2 Dates],Comp3[[#This Row],[Comparable '#3 Dates]]))=2,"Pass","Fail")</f>
        <v>Pass</v>
      </c>
      <c r="I645" s="1">
        <f>IFERROR(Comp3[[#This Row],[Comparable '#3 Return]]-INDEX(Benchmark1[Benchmark '#1 Return],MATCH(Comp3[[#This Row],[Comparable '#3 Dates]],Benchmark1[Benchmark '#1 Dates],0)),"-")</f>
        <v>2.0190727041664386E-2</v>
      </c>
      <c r="L645" s="72">
        <f>Comp3[[#This Row],[Comparable '#3 Price]]/$B$2*100</f>
        <v>77.629895060148442</v>
      </c>
    </row>
    <row r="646" spans="1:12">
      <c r="A646" s="96">
        <v>44222</v>
      </c>
      <c r="B646" s="101">
        <v>88.91</v>
      </c>
      <c r="C646" s="1">
        <f t="shared" si="20"/>
        <v>-2.3124988235551761E-2</v>
      </c>
      <c r="D646" s="1">
        <f>IFERROR(Comp3[[#This Row],[Comparable '#3 Return]]+1,"-")</f>
        <v>0.97687501176444824</v>
      </c>
      <c r="E646" s="6">
        <f>B646-MAX($B$2:B646)</f>
        <v>-99.13</v>
      </c>
      <c r="F646" s="80">
        <f t="shared" si="21"/>
        <v>384</v>
      </c>
      <c r="G646" s="6">
        <f>IFERROR(Comp3[[#This Row],[Comparable '#3 Drawdown]]/MAX($B$2:B646),"-")</f>
        <v>-0.52717506913422674</v>
      </c>
      <c r="H646" s="1" t="str">
        <f>IF(SUM(COUNTIF(Benchmark1[Benchmark '#1 Dates],Comp3[[#This Row],[Comparable '#3 Dates]]),COUNTIF(Benchmark2[Benchmark '#2 Dates],Comp3[[#This Row],[Comparable '#3 Dates]]))=2,"Pass","Fail")</f>
        <v>Pass</v>
      </c>
      <c r="I646" s="1">
        <f>IFERROR(Comp3[[#This Row],[Comparable '#3 Return]]-INDEX(Benchmark1[Benchmark '#1 Return],MATCH(Comp3[[#This Row],[Comparable '#3 Dates]],Benchmark1[Benchmark '#1 Dates],0)),"-")</f>
        <v>-2.1636477506421892E-2</v>
      </c>
      <c r="L646" s="72">
        <f>Comp3[[#This Row],[Comparable '#3 Price]]/$B$2*100</f>
        <v>75.855302448596547</v>
      </c>
    </row>
    <row r="647" spans="1:12">
      <c r="A647" s="96">
        <v>44223</v>
      </c>
      <c r="B647" s="101">
        <v>89.07</v>
      </c>
      <c r="C647" s="1">
        <f t="shared" si="20"/>
        <v>1.7979553107305751E-3</v>
      </c>
      <c r="D647" s="1">
        <f>IFERROR(Comp3[[#This Row],[Comparable '#3 Return]]+1,"-")</f>
        <v>1.0017979553107306</v>
      </c>
      <c r="E647" s="6">
        <f>B647-MAX($B$2:B647)</f>
        <v>-98.97</v>
      </c>
      <c r="F647" s="80">
        <f t="shared" si="21"/>
        <v>385</v>
      </c>
      <c r="G647" s="6">
        <f>IFERROR(Comp3[[#This Row],[Comparable '#3 Drawdown]]/MAX($B$2:B647),"-")</f>
        <v>-0.52632418634333122</v>
      </c>
      <c r="H647" s="1" t="str">
        <f>IF(SUM(COUNTIF(Benchmark1[Benchmark '#1 Dates],Comp3[[#This Row],[Comparable '#3 Dates]]),COUNTIF(Benchmark2[Benchmark '#2 Dates],Comp3[[#This Row],[Comparable '#3 Dates]]))=2,"Pass","Fail")</f>
        <v>Pass</v>
      </c>
      <c r="I647" s="1">
        <f>IFERROR(Comp3[[#This Row],[Comparable '#3 Return]]-INDEX(Benchmark1[Benchmark '#1 Return],MATCH(Comp3[[#This Row],[Comparable '#3 Dates]],Benchmark1[Benchmark '#1 Dates],0)),"-")</f>
        <v>2.7810719450329289E-2</v>
      </c>
      <c r="L647" s="72">
        <f>Comp3[[#This Row],[Comparable '#3 Price]]/$B$2*100</f>
        <v>75.991809572562062</v>
      </c>
    </row>
    <row r="648" spans="1:12">
      <c r="A648" s="96">
        <v>44224</v>
      </c>
      <c r="B648" s="101">
        <v>86.62</v>
      </c>
      <c r="C648" s="1">
        <f t="shared" si="20"/>
        <v>-2.7891841657297436E-2</v>
      </c>
      <c r="D648" s="1">
        <f>IFERROR(Comp3[[#This Row],[Comparable '#3 Return]]+1,"-")</f>
        <v>0.97210815834270259</v>
      </c>
      <c r="E648" s="6">
        <f>B648-MAX($B$2:B648)</f>
        <v>-101.41999999999999</v>
      </c>
      <c r="F648" s="80">
        <f t="shared" si="21"/>
        <v>386</v>
      </c>
      <c r="G648" s="6">
        <f>IFERROR(Comp3[[#This Row],[Comparable '#3 Drawdown]]/MAX($B$2:B648),"-")</f>
        <v>-0.53935332907891931</v>
      </c>
      <c r="H648" s="1" t="str">
        <f>IF(SUM(COUNTIF(Benchmark1[Benchmark '#1 Dates],Comp3[[#This Row],[Comparable '#3 Dates]]),COUNTIF(Benchmark2[Benchmark '#2 Dates],Comp3[[#This Row],[Comparable '#3 Dates]]))=2,"Pass","Fail")</f>
        <v>Pass</v>
      </c>
      <c r="I648" s="1">
        <f>IFERROR(Comp3[[#This Row],[Comparable '#3 Return]]-INDEX(Benchmark1[Benchmark '#1 Return],MATCH(Comp3[[#This Row],[Comparable '#3 Dates]],Benchmark1[Benchmark '#1 Dates],0)),"-")</f>
        <v>-3.7603491949400547E-2</v>
      </c>
      <c r="L648" s="72">
        <f>Comp3[[#This Row],[Comparable '#3 Price]]/$B$2*100</f>
        <v>73.901544236839868</v>
      </c>
    </row>
    <row r="649" spans="1:12">
      <c r="A649" s="96">
        <v>44225</v>
      </c>
      <c r="B649" s="101">
        <v>88.37</v>
      </c>
      <c r="C649" s="1">
        <f t="shared" si="20"/>
        <v>2.0001809743432488E-2</v>
      </c>
      <c r="D649" s="1">
        <f>IFERROR(Comp3[[#This Row],[Comparable '#3 Return]]+1,"-")</f>
        <v>1.0200018097434325</v>
      </c>
      <c r="E649" s="6">
        <f>B649-MAX($B$2:B649)</f>
        <v>-99.669999999999987</v>
      </c>
      <c r="F649" s="80">
        <f t="shared" si="21"/>
        <v>387</v>
      </c>
      <c r="G649" s="6">
        <f>IFERROR(Comp3[[#This Row],[Comparable '#3 Drawdown]]/MAX($B$2:B649),"-")</f>
        <v>-0.53004679855349923</v>
      </c>
      <c r="H649" s="1" t="str">
        <f>IF(SUM(COUNTIF(Benchmark1[Benchmark '#1 Dates],Comp3[[#This Row],[Comparable '#3 Dates]]),COUNTIF(Benchmark2[Benchmark '#2 Dates],Comp3[[#This Row],[Comparable '#3 Dates]]))=2,"Pass","Fail")</f>
        <v>Pass</v>
      </c>
      <c r="I649" s="1">
        <f>IFERROR(Comp3[[#This Row],[Comparable '#3 Return]]-INDEX(Benchmark1[Benchmark '#1 Return],MATCH(Comp3[[#This Row],[Comparable '#3 Dates]],Benchmark1[Benchmark '#1 Dates],0)),"-")</f>
        <v>3.9500661343647589E-2</v>
      </c>
      <c r="L649" s="72">
        <f>Comp3[[#This Row],[Comparable '#3 Price]]/$B$2*100</f>
        <v>75.39459090521288</v>
      </c>
    </row>
    <row r="650" spans="1:12">
      <c r="A650" s="96">
        <v>44228</v>
      </c>
      <c r="B650" s="101">
        <v>90.3</v>
      </c>
      <c r="C650" s="1">
        <f t="shared" si="20"/>
        <v>2.1604914893026503E-2</v>
      </c>
      <c r="D650" s="1">
        <f>IFERROR(Comp3[[#This Row],[Comparable '#3 Return]]+1,"-")</f>
        <v>1.0216049148930264</v>
      </c>
      <c r="E650" s="6">
        <f>B650-MAX($B$2:B650)</f>
        <v>-97.74</v>
      </c>
      <c r="F650" s="80">
        <f t="shared" si="21"/>
        <v>388</v>
      </c>
      <c r="G650" s="6">
        <f>IFERROR(Comp3[[#This Row],[Comparable '#3 Drawdown]]/MAX($B$2:B650),"-")</f>
        <v>-0.51978302488832162</v>
      </c>
      <c r="H650" s="1" t="str">
        <f>IF(SUM(COUNTIF(Benchmark1[Benchmark '#1 Dates],Comp3[[#This Row],[Comparable '#3 Dates]]),COUNTIF(Benchmark2[Benchmark '#2 Dates],Comp3[[#This Row],[Comparable '#3 Dates]]))=2,"Pass","Fail")</f>
        <v>Pass</v>
      </c>
      <c r="I650" s="1">
        <f>IFERROR(Comp3[[#This Row],[Comparable '#3 Return]]-INDEX(Benchmark1[Benchmark '#1 Return],MATCH(Comp3[[#This Row],[Comparable '#3 Dates]],Benchmark1[Benchmark '#1 Dates],0)),"-")</f>
        <v>5.6821373002436046E-3</v>
      </c>
      <c r="L650" s="72">
        <f>Comp3[[#This Row],[Comparable '#3 Price]]/$B$2*100</f>
        <v>77.0412080880471</v>
      </c>
    </row>
    <row r="651" spans="1:12">
      <c r="A651" s="96">
        <v>44229</v>
      </c>
      <c r="B651" s="101">
        <v>91.7</v>
      </c>
      <c r="C651" s="1">
        <f t="shared" si="20"/>
        <v>1.5384918839479456E-2</v>
      </c>
      <c r="D651" s="1">
        <f>IFERROR(Comp3[[#This Row],[Comparable '#3 Return]]+1,"-")</f>
        <v>1.0153849188394795</v>
      </c>
      <c r="E651" s="6">
        <f>B651-MAX($B$2:B651)</f>
        <v>-96.339999999999989</v>
      </c>
      <c r="F651" s="80">
        <f t="shared" si="21"/>
        <v>389</v>
      </c>
      <c r="G651" s="6">
        <f>IFERROR(Comp3[[#This Row],[Comparable '#3 Drawdown]]/MAX($B$2:B651),"-")</f>
        <v>-0.51233780046798549</v>
      </c>
      <c r="H651" s="1" t="str">
        <f>IF(SUM(COUNTIF(Benchmark1[Benchmark '#1 Dates],Comp3[[#This Row],[Comparable '#3 Dates]]),COUNTIF(Benchmark2[Benchmark '#2 Dates],Comp3[[#This Row],[Comparable '#3 Dates]]))=2,"Pass","Fail")</f>
        <v>Pass</v>
      </c>
      <c r="I651" s="1">
        <f>IFERROR(Comp3[[#This Row],[Comparable '#3 Return]]-INDEX(Benchmark1[Benchmark '#1 Return],MATCH(Comp3[[#This Row],[Comparable '#3 Dates]],Benchmark1[Benchmark '#1 Dates],0)),"-")</f>
        <v>1.5808528793686064E-3</v>
      </c>
      <c r="L651" s="72">
        <f>Comp3[[#This Row],[Comparable '#3 Price]]/$B$2*100</f>
        <v>78.235645422745506</v>
      </c>
    </row>
    <row r="652" spans="1:12">
      <c r="A652" s="96">
        <v>44230</v>
      </c>
      <c r="B652" s="101">
        <v>88.92</v>
      </c>
      <c r="C652" s="1">
        <f t="shared" si="20"/>
        <v>-3.0785290166423344E-2</v>
      </c>
      <c r="D652" s="1">
        <f>IFERROR(Comp3[[#This Row],[Comparable '#3 Return]]+1,"-")</f>
        <v>0.9692147098335766</v>
      </c>
      <c r="E652" s="6">
        <f>B652-MAX($B$2:B652)</f>
        <v>-99.11999999999999</v>
      </c>
      <c r="F652" s="80">
        <f t="shared" si="21"/>
        <v>390</v>
      </c>
      <c r="G652" s="6">
        <f>IFERROR(Comp3[[#This Row],[Comparable '#3 Drawdown]]/MAX($B$2:B652),"-")</f>
        <v>-0.52712188895979573</v>
      </c>
      <c r="H652" s="1" t="str">
        <f>IF(SUM(COUNTIF(Benchmark1[Benchmark '#1 Dates],Comp3[[#This Row],[Comparable '#3 Dates]]),COUNTIF(Benchmark2[Benchmark '#2 Dates],Comp3[[#This Row],[Comparable '#3 Dates]]))=2,"Pass","Fail")</f>
        <v>Pass</v>
      </c>
      <c r="I652" s="1">
        <f>IFERROR(Comp3[[#This Row],[Comparable '#3 Return]]-INDEX(Benchmark1[Benchmark '#1 Return],MATCH(Comp3[[#This Row],[Comparable '#3 Dates]],Benchmark1[Benchmark '#1 Dates],0)),"-")</f>
        <v>-3.1793491849269676E-2</v>
      </c>
      <c r="L652" s="72">
        <f>Comp3[[#This Row],[Comparable '#3 Price]]/$B$2*100</f>
        <v>75.863834143844386</v>
      </c>
    </row>
    <row r="653" spans="1:12">
      <c r="A653" s="96">
        <v>44231</v>
      </c>
      <c r="B653" s="101">
        <v>90.1</v>
      </c>
      <c r="C653" s="1">
        <f t="shared" si="20"/>
        <v>1.318307551829625E-2</v>
      </c>
      <c r="D653" s="1">
        <f>IFERROR(Comp3[[#This Row],[Comparable '#3 Return]]+1,"-")</f>
        <v>1.0131830755182962</v>
      </c>
      <c r="E653" s="6">
        <f>B653-MAX($B$2:B653)</f>
        <v>-97.94</v>
      </c>
      <c r="F653" s="80">
        <f t="shared" si="21"/>
        <v>391</v>
      </c>
      <c r="G653" s="6">
        <f>IFERROR(Comp3[[#This Row],[Comparable '#3 Drawdown]]/MAX($B$2:B653),"-")</f>
        <v>-0.52084662837694107</v>
      </c>
      <c r="H653" s="1" t="str">
        <f>IF(SUM(COUNTIF(Benchmark1[Benchmark '#1 Dates],Comp3[[#This Row],[Comparable '#3 Dates]]),COUNTIF(Benchmark2[Benchmark '#2 Dates],Comp3[[#This Row],[Comparable '#3 Dates]]))=2,"Pass","Fail")</f>
        <v>Pass</v>
      </c>
      <c r="I653" s="1">
        <f>IFERROR(Comp3[[#This Row],[Comparable '#3 Return]]-INDEX(Benchmark1[Benchmark '#1 Return],MATCH(Comp3[[#This Row],[Comparable '#3 Dates]],Benchmark1[Benchmark '#1 Dates],0)),"-")</f>
        <v>2.3887517123419855E-3</v>
      </c>
      <c r="L653" s="72">
        <f>Comp3[[#This Row],[Comparable '#3 Price]]/$B$2*100</f>
        <v>76.870574183090184</v>
      </c>
    </row>
    <row r="654" spans="1:12">
      <c r="A654" s="96">
        <v>44232</v>
      </c>
      <c r="B654" s="101">
        <v>90.41</v>
      </c>
      <c r="C654" s="1">
        <f t="shared" si="20"/>
        <v>3.4347161349829181E-3</v>
      </c>
      <c r="D654" s="1">
        <f>IFERROR(Comp3[[#This Row],[Comparable '#3 Return]]+1,"-")</f>
        <v>1.0034347161349828</v>
      </c>
      <c r="E654" s="6">
        <f>B654-MAX($B$2:B654)</f>
        <v>-97.63</v>
      </c>
      <c r="F654" s="80">
        <f t="shared" si="21"/>
        <v>392</v>
      </c>
      <c r="G654" s="6">
        <f>IFERROR(Comp3[[#This Row],[Comparable '#3 Drawdown]]/MAX($B$2:B654),"-")</f>
        <v>-0.51919804296958094</v>
      </c>
      <c r="H654" s="1" t="str">
        <f>IF(SUM(COUNTIF(Benchmark1[Benchmark '#1 Dates],Comp3[[#This Row],[Comparable '#3 Dates]]),COUNTIF(Benchmark2[Benchmark '#2 Dates],Comp3[[#This Row],[Comparable '#3 Dates]]))=2,"Pass","Fail")</f>
        <v>Pass</v>
      </c>
      <c r="I654" s="1">
        <f>IFERROR(Comp3[[#This Row],[Comparable '#3 Return]]-INDEX(Benchmark1[Benchmark '#1 Return],MATCH(Comp3[[#This Row],[Comparable '#3 Dates]],Benchmark1[Benchmark '#1 Dates],0)),"-")</f>
        <v>-4.5545728609941872E-4</v>
      </c>
      <c r="L654" s="72">
        <f>Comp3[[#This Row],[Comparable '#3 Price]]/$B$2*100</f>
        <v>77.135056735773404</v>
      </c>
    </row>
    <row r="655" spans="1:12">
      <c r="A655" s="96">
        <v>44235</v>
      </c>
      <c r="B655" s="101">
        <v>94.29</v>
      </c>
      <c r="C655" s="1">
        <f t="shared" si="20"/>
        <v>4.2020258728311E-2</v>
      </c>
      <c r="D655" s="1">
        <f>IFERROR(Comp3[[#This Row],[Comparable '#3 Return]]+1,"-")</f>
        <v>1.0420202587283109</v>
      </c>
      <c r="E655" s="6">
        <f>B655-MAX($B$2:B655)</f>
        <v>-93.749999999999986</v>
      </c>
      <c r="F655" s="80">
        <f t="shared" si="21"/>
        <v>393</v>
      </c>
      <c r="G655" s="6">
        <f>IFERROR(Comp3[[#This Row],[Comparable '#3 Drawdown]]/MAX($B$2:B655),"-")</f>
        <v>-0.4985641352903637</v>
      </c>
      <c r="H655" s="1" t="str">
        <f>IF(SUM(COUNTIF(Benchmark1[Benchmark '#1 Dates],Comp3[[#This Row],[Comparable '#3 Dates]]),COUNTIF(Benchmark2[Benchmark '#2 Dates],Comp3[[#This Row],[Comparable '#3 Dates]]))=2,"Pass","Fail")</f>
        <v>Pass</v>
      </c>
      <c r="I655" s="1">
        <f>IFERROR(Comp3[[#This Row],[Comparable '#3 Return]]-INDEX(Benchmark1[Benchmark '#1 Return],MATCH(Comp3[[#This Row],[Comparable '#3 Dates]],Benchmark1[Benchmark '#1 Dates],0)),"-")</f>
        <v>3.4648949962332816E-2</v>
      </c>
      <c r="L655" s="72">
        <f>Comp3[[#This Row],[Comparable '#3 Price]]/$B$2*100</f>
        <v>80.445354491937564</v>
      </c>
    </row>
    <row r="656" spans="1:12">
      <c r="A656" s="96">
        <v>44236</v>
      </c>
      <c r="B656" s="101">
        <v>94.15</v>
      </c>
      <c r="C656" s="1">
        <f t="shared" si="20"/>
        <v>-1.4858843744245515E-3</v>
      </c>
      <c r="D656" s="1">
        <f>IFERROR(Comp3[[#This Row],[Comparable '#3 Return]]+1,"-")</f>
        <v>0.99851411562557546</v>
      </c>
      <c r="E656" s="6">
        <f>B656-MAX($B$2:B656)</f>
        <v>-93.889999999999986</v>
      </c>
      <c r="F656" s="80">
        <f t="shared" si="21"/>
        <v>394</v>
      </c>
      <c r="G656" s="6">
        <f>IFERROR(Comp3[[#This Row],[Comparable '#3 Drawdown]]/MAX($B$2:B656),"-")</f>
        <v>-0.4993086577323973</v>
      </c>
      <c r="H656" s="1" t="str">
        <f>IF(SUM(COUNTIF(Benchmark1[Benchmark '#1 Dates],Comp3[[#This Row],[Comparable '#3 Dates]]),COUNTIF(Benchmark2[Benchmark '#2 Dates],Comp3[[#This Row],[Comparable '#3 Dates]]))=2,"Pass","Fail")</f>
        <v>Pass</v>
      </c>
      <c r="I656" s="1">
        <f>IFERROR(Comp3[[#This Row],[Comparable '#3 Return]]-INDEX(Benchmark1[Benchmark '#1 Return],MATCH(Comp3[[#This Row],[Comparable '#3 Dates]],Benchmark1[Benchmark '#1 Dates],0)),"-")</f>
        <v>-3.7153337327460205E-4</v>
      </c>
      <c r="L656" s="72">
        <f>Comp3[[#This Row],[Comparable '#3 Price]]/$B$2*100</f>
        <v>80.325910758467714</v>
      </c>
    </row>
    <row r="657" spans="1:12">
      <c r="A657" s="96">
        <v>44237</v>
      </c>
      <c r="B657" s="101">
        <v>95.24</v>
      </c>
      <c r="C657" s="1">
        <f t="shared" si="20"/>
        <v>1.151076651550049E-2</v>
      </c>
      <c r="D657" s="1">
        <f>IFERROR(Comp3[[#This Row],[Comparable '#3 Return]]+1,"-")</f>
        <v>1.0115107665155005</v>
      </c>
      <c r="E657" s="6">
        <f>B657-MAX($B$2:B657)</f>
        <v>-92.8</v>
      </c>
      <c r="F657" s="80">
        <f t="shared" si="21"/>
        <v>395</v>
      </c>
      <c r="G657" s="6">
        <f>IFERROR(Comp3[[#This Row],[Comparable '#3 Drawdown]]/MAX($B$2:B657),"-")</f>
        <v>-0.49351201871942141</v>
      </c>
      <c r="H657" s="1" t="str">
        <f>IF(SUM(COUNTIF(Benchmark1[Benchmark '#1 Dates],Comp3[[#This Row],[Comparable '#3 Dates]]),COUNTIF(Benchmark2[Benchmark '#2 Dates],Comp3[[#This Row],[Comparable '#3 Dates]]))=2,"Pass","Fail")</f>
        <v>Pass</v>
      </c>
      <c r="I657" s="1">
        <f>IFERROR(Comp3[[#This Row],[Comparable '#3 Return]]-INDEX(Benchmark1[Benchmark '#1 Return],MATCH(Comp3[[#This Row],[Comparable '#3 Dates]],Benchmark1[Benchmark '#1 Dates],0)),"-")</f>
        <v>1.1855453696402039E-2</v>
      </c>
      <c r="L657" s="72">
        <f>Comp3[[#This Row],[Comparable '#3 Price]]/$B$2*100</f>
        <v>81.255865540482901</v>
      </c>
    </row>
    <row r="658" spans="1:12">
      <c r="A658" s="96">
        <v>44238</v>
      </c>
      <c r="B658" s="101">
        <v>96.22</v>
      </c>
      <c r="C658" s="1">
        <f t="shared" si="20"/>
        <v>1.0237214652645717E-2</v>
      </c>
      <c r="D658" s="1">
        <f>IFERROR(Comp3[[#This Row],[Comparable '#3 Return]]+1,"-")</f>
        <v>1.0102372146526457</v>
      </c>
      <c r="E658" s="6">
        <f>B658-MAX($B$2:B658)</f>
        <v>-91.82</v>
      </c>
      <c r="F658" s="80">
        <f t="shared" si="21"/>
        <v>396</v>
      </c>
      <c r="G658" s="6">
        <f>IFERROR(Comp3[[#This Row],[Comparable '#3 Drawdown]]/MAX($B$2:B658),"-")</f>
        <v>-0.48830036162518614</v>
      </c>
      <c r="H658" s="1" t="str">
        <f>IF(SUM(COUNTIF(Benchmark1[Benchmark '#1 Dates],Comp3[[#This Row],[Comparable '#3 Dates]]),COUNTIF(Benchmark2[Benchmark '#2 Dates],Comp3[[#This Row],[Comparable '#3 Dates]]))=2,"Pass","Fail")</f>
        <v>Pass</v>
      </c>
      <c r="I658" s="1">
        <f>IFERROR(Comp3[[#This Row],[Comparable '#3 Return]]-INDEX(Benchmark1[Benchmark '#1 Return],MATCH(Comp3[[#This Row],[Comparable '#3 Dates]],Benchmark1[Benchmark '#1 Dates],0)),"-")</f>
        <v>8.5773495563206629E-3</v>
      </c>
      <c r="L658" s="72">
        <f>Comp3[[#This Row],[Comparable '#3 Price]]/$B$2*100</f>
        <v>82.091971674771784</v>
      </c>
    </row>
    <row r="659" spans="1:12">
      <c r="A659" s="96">
        <v>44239</v>
      </c>
      <c r="B659" s="101">
        <v>94.41</v>
      </c>
      <c r="C659" s="1">
        <f t="shared" si="20"/>
        <v>-1.89902365268825E-2</v>
      </c>
      <c r="D659" s="1">
        <f>IFERROR(Comp3[[#This Row],[Comparable '#3 Return]]+1,"-")</f>
        <v>0.98100976347311752</v>
      </c>
      <c r="E659" s="6">
        <f>B659-MAX($B$2:B659)</f>
        <v>-93.63</v>
      </c>
      <c r="F659" s="80">
        <f t="shared" si="21"/>
        <v>397</v>
      </c>
      <c r="G659" s="6">
        <f>IFERROR(Comp3[[#This Row],[Comparable '#3 Drawdown]]/MAX($B$2:B659),"-")</f>
        <v>-0.49792597319719206</v>
      </c>
      <c r="H659" s="1" t="str">
        <f>IF(SUM(COUNTIF(Benchmark1[Benchmark '#1 Dates],Comp3[[#This Row],[Comparable '#3 Dates]]),COUNTIF(Benchmark2[Benchmark '#2 Dates],Comp3[[#This Row],[Comparable '#3 Dates]]))=2,"Pass","Fail")</f>
        <v>Pass</v>
      </c>
      <c r="I659" s="1">
        <f>IFERROR(Comp3[[#This Row],[Comparable '#3 Return]]-INDEX(Benchmark1[Benchmark '#1 Return],MATCH(Comp3[[#This Row],[Comparable '#3 Dates]],Benchmark1[Benchmark '#1 Dates],0)),"-")</f>
        <v>-2.3692365314772239E-2</v>
      </c>
      <c r="L659" s="72">
        <f>Comp3[[#This Row],[Comparable '#3 Price]]/$B$2*100</f>
        <v>80.547734834911694</v>
      </c>
    </row>
    <row r="660" spans="1:12">
      <c r="A660" s="96">
        <v>44243</v>
      </c>
      <c r="B660" s="101">
        <v>93.12</v>
      </c>
      <c r="C660" s="1">
        <f t="shared" si="20"/>
        <v>-1.3758015761297412E-2</v>
      </c>
      <c r="D660" s="1">
        <f>IFERROR(Comp3[[#This Row],[Comparable '#3 Return]]+1,"-")</f>
        <v>0.98624198423870257</v>
      </c>
      <c r="E660" s="6">
        <f>B660-MAX($B$2:B660)</f>
        <v>-94.919999999999987</v>
      </c>
      <c r="F660" s="80">
        <f t="shared" si="21"/>
        <v>398</v>
      </c>
      <c r="G660" s="6">
        <f>IFERROR(Comp3[[#This Row],[Comparable '#3 Drawdown]]/MAX($B$2:B660),"-")</f>
        <v>-0.50478621569878745</v>
      </c>
      <c r="H660" s="1" t="str">
        <f>IF(SUM(COUNTIF(Benchmark1[Benchmark '#1 Dates],Comp3[[#This Row],[Comparable '#3 Dates]]),COUNTIF(Benchmark2[Benchmark '#2 Dates],Comp3[[#This Row],[Comparable '#3 Dates]]))=2,"Pass","Fail")</f>
        <v>Pass</v>
      </c>
      <c r="I660" s="1">
        <f>IFERROR(Comp3[[#This Row],[Comparable '#3 Return]]-INDEX(Benchmark1[Benchmark '#1 Return],MATCH(Comp3[[#This Row],[Comparable '#3 Dates]],Benchmark1[Benchmark '#1 Dates],0)),"-")</f>
        <v>-1.3187454966462024E-2</v>
      </c>
      <c r="L660" s="72">
        <f>Comp3[[#This Row],[Comparable '#3 Price]]/$B$2*100</f>
        <v>79.447146147939605</v>
      </c>
    </row>
    <row r="661" spans="1:12">
      <c r="A661" s="96">
        <v>44244</v>
      </c>
      <c r="B661" s="101">
        <v>92.42</v>
      </c>
      <c r="C661" s="1">
        <f t="shared" si="20"/>
        <v>-7.5455785410074539E-3</v>
      </c>
      <c r="D661" s="1">
        <f>IFERROR(Comp3[[#This Row],[Comparable '#3 Return]]+1,"-")</f>
        <v>0.99245442145899254</v>
      </c>
      <c r="E661" s="6">
        <f>B661-MAX($B$2:B661)</f>
        <v>-95.61999999999999</v>
      </c>
      <c r="F661" s="80">
        <f t="shared" si="21"/>
        <v>399</v>
      </c>
      <c r="G661" s="6">
        <f>IFERROR(Comp3[[#This Row],[Comparable '#3 Drawdown]]/MAX($B$2:B661),"-")</f>
        <v>-0.50850882790895546</v>
      </c>
      <c r="H661" s="1" t="str">
        <f>IF(SUM(COUNTIF(Benchmark1[Benchmark '#1 Dates],Comp3[[#This Row],[Comparable '#3 Dates]]),COUNTIF(Benchmark2[Benchmark '#2 Dates],Comp3[[#This Row],[Comparable '#3 Dates]]))=2,"Pass","Fail")</f>
        <v>Pass</v>
      </c>
      <c r="I661" s="1">
        <f>IFERROR(Comp3[[#This Row],[Comparable '#3 Return]]-INDEX(Benchmark1[Benchmark '#1 Return],MATCH(Comp3[[#This Row],[Comparable '#3 Dates]],Benchmark1[Benchmark '#1 Dates],0)),"-")</f>
        <v>-7.2254492415597194E-3</v>
      </c>
      <c r="L661" s="72">
        <f>Comp3[[#This Row],[Comparable '#3 Price]]/$B$2*100</f>
        <v>78.849927480590395</v>
      </c>
    </row>
    <row r="662" spans="1:12">
      <c r="A662" s="96">
        <v>44245</v>
      </c>
      <c r="B662" s="101">
        <v>94.74</v>
      </c>
      <c r="C662" s="1">
        <f t="shared" si="20"/>
        <v>2.4792892053485279E-2</v>
      </c>
      <c r="D662" s="1">
        <f>IFERROR(Comp3[[#This Row],[Comparable '#3 Return]]+1,"-")</f>
        <v>1.0247928920534852</v>
      </c>
      <c r="E662" s="6">
        <f>B662-MAX($B$2:B662)</f>
        <v>-93.3</v>
      </c>
      <c r="F662" s="80">
        <f t="shared" si="21"/>
        <v>400</v>
      </c>
      <c r="G662" s="6">
        <f>IFERROR(Comp3[[#This Row],[Comparable '#3 Drawdown]]/MAX($B$2:B662),"-")</f>
        <v>-0.49617102744097002</v>
      </c>
      <c r="H662" s="1" t="str">
        <f>IF(SUM(COUNTIF(Benchmark1[Benchmark '#1 Dates],Comp3[[#This Row],[Comparable '#3 Dates]]),COUNTIF(Benchmark2[Benchmark '#2 Dates],Comp3[[#This Row],[Comparable '#3 Dates]]))=2,"Pass","Fail")</f>
        <v>Pass</v>
      </c>
      <c r="I662" s="1">
        <f>IFERROR(Comp3[[#This Row],[Comparable '#3 Return]]-INDEX(Benchmark1[Benchmark '#1 Return],MATCH(Comp3[[#This Row],[Comparable '#3 Dates]],Benchmark1[Benchmark '#1 Dates],0)),"-")</f>
        <v>2.9218279935640433E-2</v>
      </c>
      <c r="L662" s="72">
        <f>Comp3[[#This Row],[Comparable '#3 Price]]/$B$2*100</f>
        <v>80.829280778090606</v>
      </c>
    </row>
    <row r="663" spans="1:12">
      <c r="A663" s="96">
        <v>44246</v>
      </c>
      <c r="B663" s="101">
        <v>94.22</v>
      </c>
      <c r="C663" s="1">
        <f t="shared" si="20"/>
        <v>-5.5038242237106239E-3</v>
      </c>
      <c r="D663" s="1">
        <f>IFERROR(Comp3[[#This Row],[Comparable '#3 Return]]+1,"-")</f>
        <v>0.99449617577628935</v>
      </c>
      <c r="E663" s="6">
        <f>B663-MAX($B$2:B663)</f>
        <v>-93.82</v>
      </c>
      <c r="F663" s="80">
        <f t="shared" si="21"/>
        <v>401</v>
      </c>
      <c r="G663" s="6">
        <f>IFERROR(Comp3[[#This Row],[Comparable '#3 Drawdown]]/MAX($B$2:B663),"-")</f>
        <v>-0.49893639651138055</v>
      </c>
      <c r="H663" s="1" t="str">
        <f>IF(SUM(COUNTIF(Benchmark1[Benchmark '#1 Dates],Comp3[[#This Row],[Comparable '#3 Dates]]),COUNTIF(Benchmark2[Benchmark '#2 Dates],Comp3[[#This Row],[Comparable '#3 Dates]]))=2,"Pass","Fail")</f>
        <v>Pass</v>
      </c>
      <c r="I663" s="1">
        <f>IFERROR(Comp3[[#This Row],[Comparable '#3 Return]]-INDEX(Benchmark1[Benchmark '#1 Return],MATCH(Comp3[[#This Row],[Comparable '#3 Dates]],Benchmark1[Benchmark '#1 Dates],0)),"-")</f>
        <v>-3.6463266187829416E-3</v>
      </c>
      <c r="L663" s="72">
        <f>Comp3[[#This Row],[Comparable '#3 Price]]/$B$2*100</f>
        <v>80.385632625202632</v>
      </c>
    </row>
    <row r="664" spans="1:12">
      <c r="A664" s="96">
        <v>44249</v>
      </c>
      <c r="B664" s="101">
        <v>90.67</v>
      </c>
      <c r="C664" s="1">
        <f t="shared" si="20"/>
        <v>-3.8405931613930286E-2</v>
      </c>
      <c r="D664" s="1">
        <f>IFERROR(Comp3[[#This Row],[Comparable '#3 Return]]+1,"-")</f>
        <v>0.96159406838606976</v>
      </c>
      <c r="E664" s="6">
        <f>B664-MAX($B$2:B664)</f>
        <v>-97.36999999999999</v>
      </c>
      <c r="F664" s="80">
        <f t="shared" si="21"/>
        <v>402</v>
      </c>
      <c r="G664" s="6">
        <f>IFERROR(Comp3[[#This Row],[Comparable '#3 Drawdown]]/MAX($B$2:B664),"-")</f>
        <v>-0.51781535843437565</v>
      </c>
      <c r="H664" s="1" t="str">
        <f>IF(SUM(COUNTIF(Benchmark1[Benchmark '#1 Dates],Comp3[[#This Row],[Comparable '#3 Dates]]),COUNTIF(Benchmark2[Benchmark '#2 Dates],Comp3[[#This Row],[Comparable '#3 Dates]]))=2,"Pass","Fail")</f>
        <v>Pass</v>
      </c>
      <c r="I664" s="1">
        <f>IFERROR(Comp3[[#This Row],[Comparable '#3 Return]]-INDEX(Benchmark1[Benchmark '#1 Return],MATCH(Comp3[[#This Row],[Comparable '#3 Dates]],Benchmark1[Benchmark '#1 Dates],0)),"-")</f>
        <v>-3.0643549610293058E-2</v>
      </c>
      <c r="L664" s="72">
        <f>Comp3[[#This Row],[Comparable '#3 Price]]/$B$2*100</f>
        <v>77.356880812217383</v>
      </c>
    </row>
    <row r="665" spans="1:12">
      <c r="A665" s="96">
        <v>44250</v>
      </c>
      <c r="B665" s="101">
        <v>92.87</v>
      </c>
      <c r="C665" s="1">
        <f t="shared" si="20"/>
        <v>2.3974124129952239E-2</v>
      </c>
      <c r="D665" s="1">
        <f>IFERROR(Comp3[[#This Row],[Comparable '#3 Return]]+1,"-")</f>
        <v>1.0239741241299523</v>
      </c>
      <c r="E665" s="6">
        <f>B665-MAX($B$2:B665)</f>
        <v>-95.169999999999987</v>
      </c>
      <c r="F665" s="80">
        <f t="shared" si="21"/>
        <v>403</v>
      </c>
      <c r="G665" s="6">
        <f>IFERROR(Comp3[[#This Row],[Comparable '#3 Drawdown]]/MAX($B$2:B665),"-")</f>
        <v>-0.50611572005956174</v>
      </c>
      <c r="H665" s="1" t="str">
        <f>IF(SUM(COUNTIF(Benchmark1[Benchmark '#1 Dates],Comp3[[#This Row],[Comparable '#3 Dates]]),COUNTIF(Benchmark2[Benchmark '#2 Dates],Comp3[[#This Row],[Comparable '#3 Dates]]))=2,"Pass","Fail")</f>
        <v>Pass</v>
      </c>
      <c r="I665" s="1">
        <f>IFERROR(Comp3[[#This Row],[Comparable '#3 Return]]-INDEX(Benchmark1[Benchmark '#1 Return],MATCH(Comp3[[#This Row],[Comparable '#3 Dates]],Benchmark1[Benchmark '#1 Dates],0)),"-")</f>
        <v>2.2718871979447625E-2</v>
      </c>
      <c r="L665" s="72">
        <f>Comp3[[#This Row],[Comparable '#3 Price]]/$B$2*100</f>
        <v>79.233853766743451</v>
      </c>
    </row>
    <row r="666" spans="1:12">
      <c r="A666" s="96">
        <v>44251</v>
      </c>
      <c r="B666" s="101">
        <v>93.93</v>
      </c>
      <c r="C666" s="1">
        <f t="shared" si="20"/>
        <v>1.1349158218507167E-2</v>
      </c>
      <c r="D666" s="1">
        <f>IFERROR(Comp3[[#This Row],[Comparable '#3 Return]]+1,"-")</f>
        <v>1.0113491582185072</v>
      </c>
      <c r="E666" s="6">
        <f>B666-MAX($B$2:B666)</f>
        <v>-94.109999999999985</v>
      </c>
      <c r="F666" s="80">
        <f t="shared" si="21"/>
        <v>404</v>
      </c>
      <c r="G666" s="6">
        <f>IFERROR(Comp3[[#This Row],[Comparable '#3 Drawdown]]/MAX($B$2:B666),"-")</f>
        <v>-0.50047862156987866</v>
      </c>
      <c r="H666" s="1" t="str">
        <f>IF(SUM(COUNTIF(Benchmark1[Benchmark '#1 Dates],Comp3[[#This Row],[Comparable '#3 Dates]]),COUNTIF(Benchmark2[Benchmark '#2 Dates],Comp3[[#This Row],[Comparable '#3 Dates]]))=2,"Pass","Fail")</f>
        <v>Pass</v>
      </c>
      <c r="I666" s="1">
        <f>IFERROR(Comp3[[#This Row],[Comparable '#3 Return]]-INDEX(Benchmark1[Benchmark '#1 Return],MATCH(Comp3[[#This Row],[Comparable '#3 Dates]],Benchmark1[Benchmark '#1 Dates],0)),"-")</f>
        <v>6.1764974265694772E-5</v>
      </c>
      <c r="L666" s="72">
        <f>Comp3[[#This Row],[Comparable '#3 Price]]/$B$2*100</f>
        <v>80.138213463015106</v>
      </c>
    </row>
    <row r="667" spans="1:12">
      <c r="A667" s="96">
        <v>44252</v>
      </c>
      <c r="B667" s="101">
        <v>90.47</v>
      </c>
      <c r="C667" s="1">
        <f t="shared" si="20"/>
        <v>-3.7531519968773866E-2</v>
      </c>
      <c r="D667" s="1">
        <f>IFERROR(Comp3[[#This Row],[Comparable '#3 Return]]+1,"-")</f>
        <v>0.96246848003122609</v>
      </c>
      <c r="E667" s="6">
        <f>B667-MAX($B$2:B667)</f>
        <v>-97.57</v>
      </c>
      <c r="F667" s="80">
        <f t="shared" si="21"/>
        <v>405</v>
      </c>
      <c r="G667" s="6">
        <f>IFERROR(Comp3[[#This Row],[Comparable '#3 Drawdown]]/MAX($B$2:B667),"-")</f>
        <v>-0.5188789619229951</v>
      </c>
      <c r="H667" s="1" t="str">
        <f>IF(SUM(COUNTIF(Benchmark1[Benchmark '#1 Dates],Comp3[[#This Row],[Comparable '#3 Dates]]),COUNTIF(Benchmark2[Benchmark '#2 Dates],Comp3[[#This Row],[Comparable '#3 Dates]]))=2,"Pass","Fail")</f>
        <v>Pass</v>
      </c>
      <c r="I667" s="1">
        <f>IFERROR(Comp3[[#This Row],[Comparable '#3 Return]]-INDEX(Benchmark1[Benchmark '#1 Return],MATCH(Comp3[[#This Row],[Comparable '#3 Dates]],Benchmark1[Benchmark '#1 Dates],0)),"-")</f>
        <v>-1.2747663659918491E-2</v>
      </c>
      <c r="L667" s="72">
        <f>Comp3[[#This Row],[Comparable '#3 Price]]/$B$2*100</f>
        <v>77.186246907260482</v>
      </c>
    </row>
    <row r="668" spans="1:12">
      <c r="A668" s="96">
        <v>44253</v>
      </c>
      <c r="B668" s="101">
        <v>90.92</v>
      </c>
      <c r="C668" s="1">
        <f t="shared" si="20"/>
        <v>4.9616949466921708E-3</v>
      </c>
      <c r="D668" s="1">
        <f>IFERROR(Comp3[[#This Row],[Comparable '#3 Return]]+1,"-")</f>
        <v>1.0049616949466922</v>
      </c>
      <c r="E668" s="6">
        <f>B668-MAX($B$2:B668)</f>
        <v>-97.11999999999999</v>
      </c>
      <c r="F668" s="80">
        <f t="shared" si="21"/>
        <v>406</v>
      </c>
      <c r="G668" s="6">
        <f>IFERROR(Comp3[[#This Row],[Comparable '#3 Drawdown]]/MAX($B$2:B668),"-")</f>
        <v>-0.51648585407360137</v>
      </c>
      <c r="H668" s="1" t="str">
        <f>IF(SUM(COUNTIF(Benchmark1[Benchmark '#1 Dates],Comp3[[#This Row],[Comparable '#3 Dates]]),COUNTIF(Benchmark2[Benchmark '#2 Dates],Comp3[[#This Row],[Comparable '#3 Dates]]))=2,"Pass","Fail")</f>
        <v>Pass</v>
      </c>
      <c r="I668" s="1">
        <f>IFERROR(Comp3[[#This Row],[Comparable '#3 Return]]-INDEX(Benchmark1[Benchmark '#1 Return],MATCH(Comp3[[#This Row],[Comparable '#3 Dates]],Benchmark1[Benchmark '#1 Dates],0)),"-")</f>
        <v>9.7222235930643566E-3</v>
      </c>
      <c r="L668" s="72">
        <f>Comp3[[#This Row],[Comparable '#3 Price]]/$B$2*100</f>
        <v>77.570173193413538</v>
      </c>
    </row>
    <row r="669" spans="1:12">
      <c r="A669" s="96">
        <v>44256</v>
      </c>
      <c r="B669" s="101">
        <v>86.49</v>
      </c>
      <c r="C669" s="1">
        <f t="shared" si="20"/>
        <v>-4.995119866592207E-2</v>
      </c>
      <c r="D669" s="1">
        <f>IFERROR(Comp3[[#This Row],[Comparable '#3 Return]]+1,"-")</f>
        <v>0.95004880133407799</v>
      </c>
      <c r="E669" s="6">
        <f>B669-MAX($B$2:B669)</f>
        <v>-101.55</v>
      </c>
      <c r="F669" s="80">
        <f t="shared" si="21"/>
        <v>407</v>
      </c>
      <c r="G669" s="6">
        <f>IFERROR(Comp3[[#This Row],[Comparable '#3 Drawdown]]/MAX($B$2:B669),"-")</f>
        <v>-0.54004467134652201</v>
      </c>
      <c r="H669" s="1" t="str">
        <f>IF(SUM(COUNTIF(Benchmark1[Benchmark '#1 Dates],Comp3[[#This Row],[Comparable '#3 Dates]]),COUNTIF(Benchmark2[Benchmark '#2 Dates],Comp3[[#This Row],[Comparable '#3 Dates]]))=2,"Pass","Fail")</f>
        <v>Pass</v>
      </c>
      <c r="I669" s="1">
        <f>IFERROR(Comp3[[#This Row],[Comparable '#3 Return]]-INDEX(Benchmark1[Benchmark '#1 Return],MATCH(Comp3[[#This Row],[Comparable '#3 Dates]],Benchmark1[Benchmark '#1 Dates],0)),"-")</f>
        <v>-7.3462263061099306E-2</v>
      </c>
      <c r="L669" s="72">
        <f>Comp3[[#This Row],[Comparable '#3 Price]]/$B$2*100</f>
        <v>73.790632198617871</v>
      </c>
    </row>
    <row r="670" spans="1:12">
      <c r="A670" s="96">
        <v>44257</v>
      </c>
      <c r="B670" s="101">
        <v>79.709999999999994</v>
      </c>
      <c r="C670" s="1">
        <f t="shared" si="20"/>
        <v>-8.1633751878588748E-2</v>
      </c>
      <c r="D670" s="1">
        <f>IFERROR(Comp3[[#This Row],[Comparable '#3 Return]]+1,"-")</f>
        <v>0.91836624812141121</v>
      </c>
      <c r="E670" s="6">
        <f>B670-MAX($B$2:B670)</f>
        <v>-108.33</v>
      </c>
      <c r="F670" s="80">
        <f t="shared" si="21"/>
        <v>408</v>
      </c>
      <c r="G670" s="6">
        <f>IFERROR(Comp3[[#This Row],[Comparable '#3 Drawdown]]/MAX($B$2:B670),"-")</f>
        <v>-0.57610082961072118</v>
      </c>
      <c r="H670" s="1" t="str">
        <f>IF(SUM(COUNTIF(Benchmark1[Benchmark '#1 Dates],Comp3[[#This Row],[Comparable '#3 Dates]]),COUNTIF(Benchmark2[Benchmark '#2 Dates],Comp3[[#This Row],[Comparable '#3 Dates]]))=2,"Pass","Fail")</f>
        <v>Pass</v>
      </c>
      <c r="I670" s="1">
        <f>IFERROR(Comp3[[#This Row],[Comparable '#3 Return]]-INDEX(Benchmark1[Benchmark '#1 Return],MATCH(Comp3[[#This Row],[Comparable '#3 Dates]],Benchmark1[Benchmark '#1 Dates],0)),"-")</f>
        <v>-7.3522201291212536E-2</v>
      </c>
      <c r="L670" s="72">
        <f>Comp3[[#This Row],[Comparable '#3 Price]]/$B$2*100</f>
        <v>68.006142820578447</v>
      </c>
    </row>
    <row r="671" spans="1:12">
      <c r="A671" s="96">
        <v>44258</v>
      </c>
      <c r="B671" s="101">
        <v>79.06</v>
      </c>
      <c r="C671" s="1">
        <f t="shared" si="20"/>
        <v>-8.1879905712922574E-3</v>
      </c>
      <c r="D671" s="1">
        <f>IFERROR(Comp3[[#This Row],[Comparable '#3 Return]]+1,"-")</f>
        <v>0.99181200942870773</v>
      </c>
      <c r="E671" s="6">
        <f>B671-MAX($B$2:B671)</f>
        <v>-108.97999999999999</v>
      </c>
      <c r="F671" s="80">
        <f t="shared" si="21"/>
        <v>409</v>
      </c>
      <c r="G671" s="6">
        <f>IFERROR(Comp3[[#This Row],[Comparable '#3 Drawdown]]/MAX($B$2:B671),"-")</f>
        <v>-0.57955754094873424</v>
      </c>
      <c r="H671" s="1" t="str">
        <f>IF(SUM(COUNTIF(Benchmark1[Benchmark '#1 Dates],Comp3[[#This Row],[Comparable '#3 Dates]]),COUNTIF(Benchmark2[Benchmark '#2 Dates],Comp3[[#This Row],[Comparable '#3 Dates]]))=2,"Pass","Fail")</f>
        <v>Pass</v>
      </c>
      <c r="I671" s="1">
        <f>IFERROR(Comp3[[#This Row],[Comparable '#3 Return]]-INDEX(Benchmark1[Benchmark '#1 Return],MATCH(Comp3[[#This Row],[Comparable '#3 Dates]],Benchmark1[Benchmark '#1 Dates],0)),"-")</f>
        <v>4.9662244222352624E-3</v>
      </c>
      <c r="L671" s="72">
        <f>Comp3[[#This Row],[Comparable '#3 Price]]/$B$2*100</f>
        <v>67.451582629468476</v>
      </c>
    </row>
    <row r="672" spans="1:12">
      <c r="A672" s="96">
        <v>44259</v>
      </c>
      <c r="B672" s="101">
        <v>80.680000000000007</v>
      </c>
      <c r="C672" s="1">
        <f t="shared" si="20"/>
        <v>2.0283655217471649E-2</v>
      </c>
      <c r="D672" s="1">
        <f>IFERROR(Comp3[[#This Row],[Comparable '#3 Return]]+1,"-")</f>
        <v>1.0202836552174717</v>
      </c>
      <c r="E672" s="6">
        <f>B672-MAX($B$2:B672)</f>
        <v>-107.35999999999999</v>
      </c>
      <c r="F672" s="80">
        <f t="shared" si="21"/>
        <v>410</v>
      </c>
      <c r="G672" s="6">
        <f>IFERROR(Comp3[[#This Row],[Comparable '#3 Drawdown]]/MAX($B$2:B672),"-")</f>
        <v>-0.57094235269091675</v>
      </c>
      <c r="H672" s="1" t="str">
        <f>IF(SUM(COUNTIF(Benchmark1[Benchmark '#1 Dates],Comp3[[#This Row],[Comparable '#3 Dates]]),COUNTIF(Benchmark2[Benchmark '#2 Dates],Comp3[[#This Row],[Comparable '#3 Dates]]))=2,"Pass","Fail")</f>
        <v>Pass</v>
      </c>
      <c r="I672" s="1">
        <f>IFERROR(Comp3[[#This Row],[Comparable '#3 Return]]-INDEX(Benchmark1[Benchmark '#1 Return],MATCH(Comp3[[#This Row],[Comparable '#3 Dates]],Benchmark1[Benchmark '#1 Dates],0)),"-")</f>
        <v>3.3789812884432613E-2</v>
      </c>
      <c r="L672" s="72">
        <f>Comp3[[#This Row],[Comparable '#3 Price]]/$B$2*100</f>
        <v>68.833717259619505</v>
      </c>
    </row>
    <row r="673" spans="1:12">
      <c r="A673" s="96">
        <v>44260</v>
      </c>
      <c r="B673" s="101">
        <v>80.599999999999994</v>
      </c>
      <c r="C673" s="1">
        <f t="shared" si="20"/>
        <v>-9.9206357342858657E-4</v>
      </c>
      <c r="D673" s="1">
        <f>IFERROR(Comp3[[#This Row],[Comparable '#3 Return]]+1,"-")</f>
        <v>0.99900793642657137</v>
      </c>
      <c r="E673" s="6">
        <f>B673-MAX($B$2:B673)</f>
        <v>-107.44</v>
      </c>
      <c r="F673" s="80">
        <f t="shared" si="21"/>
        <v>411</v>
      </c>
      <c r="G673" s="6">
        <f>IFERROR(Comp3[[#This Row],[Comparable '#3 Drawdown]]/MAX($B$2:B673),"-")</f>
        <v>-0.57136779408636462</v>
      </c>
      <c r="H673" s="1" t="str">
        <f>IF(SUM(COUNTIF(Benchmark1[Benchmark '#1 Dates],Comp3[[#This Row],[Comparable '#3 Dates]]),COUNTIF(Benchmark2[Benchmark '#2 Dates],Comp3[[#This Row],[Comparable '#3 Dates]]))=2,"Pass","Fail")</f>
        <v>Pass</v>
      </c>
      <c r="I673" s="1">
        <f>IFERROR(Comp3[[#This Row],[Comparable '#3 Return]]-INDEX(Benchmark1[Benchmark '#1 Return],MATCH(Comp3[[#This Row],[Comparable '#3 Dates]],Benchmark1[Benchmark '#1 Dates],0)),"-")</f>
        <v>-2.0299811508544686E-2</v>
      </c>
      <c r="L673" s="72">
        <f>Comp3[[#This Row],[Comparable '#3 Price]]/$B$2*100</f>
        <v>68.765463697636719</v>
      </c>
    </row>
    <row r="674" spans="1:12">
      <c r="A674" s="96">
        <v>44263</v>
      </c>
      <c r="B674" s="101">
        <v>83.51</v>
      </c>
      <c r="C674" s="1">
        <f t="shared" si="20"/>
        <v>3.5467735652555614E-2</v>
      </c>
      <c r="D674" s="1">
        <f>IFERROR(Comp3[[#This Row],[Comparable '#3 Return]]+1,"-")</f>
        <v>1.0354677356525557</v>
      </c>
      <c r="E674" s="6">
        <f>B674-MAX($B$2:B674)</f>
        <v>-104.52999999999999</v>
      </c>
      <c r="F674" s="80">
        <f t="shared" si="21"/>
        <v>412</v>
      </c>
      <c r="G674" s="6">
        <f>IFERROR(Comp3[[#This Row],[Comparable '#3 Drawdown]]/MAX($B$2:B674),"-")</f>
        <v>-0.55589236332695169</v>
      </c>
      <c r="H674" s="1" t="str">
        <f>IF(SUM(COUNTIF(Benchmark1[Benchmark '#1 Dates],Comp3[[#This Row],[Comparable '#3 Dates]]),COUNTIF(Benchmark2[Benchmark '#2 Dates],Comp3[[#This Row],[Comparable '#3 Dates]]))=2,"Pass","Fail")</f>
        <v>Pass</v>
      </c>
      <c r="I674" s="1">
        <f>IFERROR(Comp3[[#This Row],[Comparable '#3 Return]]-INDEX(Benchmark1[Benchmark '#1 Return],MATCH(Comp3[[#This Row],[Comparable '#3 Dates]],Benchmark1[Benchmark '#1 Dates],0)),"-")</f>
        <v>4.0842645563032014E-2</v>
      </c>
      <c r="L674" s="72">
        <f>Comp3[[#This Row],[Comparable '#3 Price]]/$B$2*100</f>
        <v>71.24818701475985</v>
      </c>
    </row>
    <row r="675" spans="1:12">
      <c r="A675" s="96">
        <v>44264</v>
      </c>
      <c r="B675" s="101">
        <v>82.91</v>
      </c>
      <c r="C675" s="1">
        <f t="shared" si="20"/>
        <v>-7.2107030370108282E-3</v>
      </c>
      <c r="D675" s="1">
        <f>IFERROR(Comp3[[#This Row],[Comparable '#3 Return]]+1,"-")</f>
        <v>0.99278929696298912</v>
      </c>
      <c r="E675" s="6">
        <f>B675-MAX($B$2:B675)</f>
        <v>-105.13</v>
      </c>
      <c r="F675" s="80">
        <f t="shared" si="21"/>
        <v>413</v>
      </c>
      <c r="G675" s="6">
        <f>IFERROR(Comp3[[#This Row],[Comparable '#3 Drawdown]]/MAX($B$2:B675),"-")</f>
        <v>-0.55908317379281003</v>
      </c>
      <c r="H675" s="1" t="str">
        <f>IF(SUM(COUNTIF(Benchmark1[Benchmark '#1 Dates],Comp3[[#This Row],[Comparable '#3 Dates]]),COUNTIF(Benchmark2[Benchmark '#2 Dates],Comp3[[#This Row],[Comparable '#3 Dates]]))=2,"Pass","Fail")</f>
        <v>Pass</v>
      </c>
      <c r="I675" s="1">
        <f>IFERROR(Comp3[[#This Row],[Comparable '#3 Return]]-INDEX(Benchmark1[Benchmark '#1 Return],MATCH(Comp3[[#This Row],[Comparable '#3 Dates]],Benchmark1[Benchmark '#1 Dates],0)),"-")</f>
        <v>-2.1267651601494447E-2</v>
      </c>
      <c r="L675" s="72">
        <f>Comp3[[#This Row],[Comparable '#3 Price]]/$B$2*100</f>
        <v>70.73628529988909</v>
      </c>
    </row>
    <row r="676" spans="1:12">
      <c r="A676" s="96">
        <v>44265</v>
      </c>
      <c r="B676" s="101">
        <v>83.82</v>
      </c>
      <c r="C676" s="1">
        <f t="shared" si="20"/>
        <v>1.0915960368798152E-2</v>
      </c>
      <c r="D676" s="1">
        <f>IFERROR(Comp3[[#This Row],[Comparable '#3 Return]]+1,"-")</f>
        <v>1.010915960368798</v>
      </c>
      <c r="E676" s="6">
        <f>B676-MAX($B$2:B676)</f>
        <v>-104.22</v>
      </c>
      <c r="F676" s="80">
        <f t="shared" si="21"/>
        <v>414</v>
      </c>
      <c r="G676" s="6">
        <f>IFERROR(Comp3[[#This Row],[Comparable '#3 Drawdown]]/MAX($B$2:B676),"-")</f>
        <v>-0.55424377791959156</v>
      </c>
      <c r="H676" s="1" t="str">
        <f>IF(SUM(COUNTIF(Benchmark1[Benchmark '#1 Dates],Comp3[[#This Row],[Comparable '#3 Dates]]),COUNTIF(Benchmark2[Benchmark '#2 Dates],Comp3[[#This Row],[Comparable '#3 Dates]]))=2,"Pass","Fail")</f>
        <v>Pass</v>
      </c>
      <c r="I676" s="1">
        <f>IFERROR(Comp3[[#This Row],[Comparable '#3 Return]]-INDEX(Benchmark1[Benchmark '#1 Return],MATCH(Comp3[[#This Row],[Comparable '#3 Dates]],Benchmark1[Benchmark '#1 Dates],0)),"-")</f>
        <v>4.9056812089556812E-3</v>
      </c>
      <c r="L676" s="72">
        <f>Comp3[[#This Row],[Comparable '#3 Price]]/$B$2*100</f>
        <v>71.512669567443041</v>
      </c>
    </row>
    <row r="677" spans="1:12">
      <c r="A677" s="96">
        <v>44266</v>
      </c>
      <c r="B677" s="101">
        <v>87.39</v>
      </c>
      <c r="C677" s="1">
        <f t="shared" si="20"/>
        <v>4.1709217142527462E-2</v>
      </c>
      <c r="D677" s="1">
        <f>IFERROR(Comp3[[#This Row],[Comparable '#3 Return]]+1,"-")</f>
        <v>1.0417092171425275</v>
      </c>
      <c r="E677" s="6">
        <f>B677-MAX($B$2:B677)</f>
        <v>-100.64999999999999</v>
      </c>
      <c r="F677" s="80">
        <f t="shared" si="21"/>
        <v>415</v>
      </c>
      <c r="G677" s="6">
        <f>IFERROR(Comp3[[#This Row],[Comparable '#3 Drawdown]]/MAX($B$2:B677),"-")</f>
        <v>-0.53525845564773455</v>
      </c>
      <c r="H677" s="1" t="str">
        <f>IF(SUM(COUNTIF(Benchmark1[Benchmark '#1 Dates],Comp3[[#This Row],[Comparable '#3 Dates]]),COUNTIF(Benchmark2[Benchmark '#2 Dates],Comp3[[#This Row],[Comparable '#3 Dates]]))=2,"Pass","Fail")</f>
        <v>Pass</v>
      </c>
      <c r="I677" s="1">
        <f>IFERROR(Comp3[[#This Row],[Comparable '#3 Return]]-INDEX(Benchmark1[Benchmark '#1 Return],MATCH(Comp3[[#This Row],[Comparable '#3 Dates]],Benchmark1[Benchmark '#1 Dates],0)),"-")</f>
        <v>3.1366550485811426E-2</v>
      </c>
      <c r="L677" s="72">
        <f>Comp3[[#This Row],[Comparable '#3 Price]]/$B$2*100</f>
        <v>74.558484770923982</v>
      </c>
    </row>
    <row r="678" spans="1:12">
      <c r="A678" s="96">
        <v>44267</v>
      </c>
      <c r="B678" s="101">
        <v>88.84</v>
      </c>
      <c r="C678" s="1">
        <f t="shared" si="20"/>
        <v>1.6456139386773747E-2</v>
      </c>
      <c r="D678" s="1">
        <f>IFERROR(Comp3[[#This Row],[Comparable '#3 Return]]+1,"-")</f>
        <v>1.0164561393867737</v>
      </c>
      <c r="E678" s="6">
        <f>B678-MAX($B$2:B678)</f>
        <v>-99.199999999999989</v>
      </c>
      <c r="F678" s="80">
        <f t="shared" si="21"/>
        <v>416</v>
      </c>
      <c r="G678" s="6">
        <f>IFERROR(Comp3[[#This Row],[Comparable '#3 Drawdown]]/MAX($B$2:B678),"-")</f>
        <v>-0.52754733035524348</v>
      </c>
      <c r="H678" s="1" t="str">
        <f>IF(SUM(COUNTIF(Benchmark1[Benchmark '#1 Dates],Comp3[[#This Row],[Comparable '#3 Dates]]),COUNTIF(Benchmark2[Benchmark '#2 Dates],Comp3[[#This Row],[Comparable '#3 Dates]]))=2,"Pass","Fail")</f>
        <v>Pass</v>
      </c>
      <c r="I678" s="1">
        <f>IFERROR(Comp3[[#This Row],[Comparable '#3 Return]]-INDEX(Benchmark1[Benchmark '#1 Return],MATCH(Comp3[[#This Row],[Comparable '#3 Dates]],Benchmark1[Benchmark '#1 Dates],0)),"-")</f>
        <v>1.5440139361910743E-2</v>
      </c>
      <c r="L678" s="72">
        <f>Comp3[[#This Row],[Comparable '#3 Price]]/$B$2*100</f>
        <v>75.795580581861628</v>
      </c>
    </row>
    <row r="679" spans="1:12">
      <c r="A679" s="96">
        <v>44270</v>
      </c>
      <c r="B679" s="101">
        <v>87.85</v>
      </c>
      <c r="C679" s="1">
        <f t="shared" si="20"/>
        <v>-1.1206184393120622E-2</v>
      </c>
      <c r="D679" s="1">
        <f>IFERROR(Comp3[[#This Row],[Comparable '#3 Return]]+1,"-")</f>
        <v>0.9887938156068794</v>
      </c>
      <c r="E679" s="6">
        <f>B679-MAX($B$2:B679)</f>
        <v>-100.19</v>
      </c>
      <c r="F679" s="80">
        <f t="shared" si="21"/>
        <v>417</v>
      </c>
      <c r="G679" s="6">
        <f>IFERROR(Comp3[[#This Row],[Comparable '#3 Drawdown]]/MAX($B$2:B679),"-")</f>
        <v>-0.53281216762390982</v>
      </c>
      <c r="H679" s="1" t="str">
        <f>IF(SUM(COUNTIF(Benchmark1[Benchmark '#1 Dates],Comp3[[#This Row],[Comparable '#3 Dates]]),COUNTIF(Benchmark2[Benchmark '#2 Dates],Comp3[[#This Row],[Comparable '#3 Dates]]))=2,"Pass","Fail")</f>
        <v>Pass</v>
      </c>
      <c r="I679" s="1">
        <f>IFERROR(Comp3[[#This Row],[Comparable '#3 Return]]-INDEX(Benchmark1[Benchmark '#1 Return],MATCH(Comp3[[#This Row],[Comparable '#3 Dates]],Benchmark1[Benchmark '#1 Dates],0)),"-")</f>
        <v>-1.7675749945153384E-2</v>
      </c>
      <c r="L679" s="72">
        <f>Comp3[[#This Row],[Comparable '#3 Price]]/$B$2*100</f>
        <v>74.950942752324892</v>
      </c>
    </row>
    <row r="680" spans="1:12">
      <c r="A680" s="96">
        <v>44271</v>
      </c>
      <c r="B680" s="101">
        <v>86.47</v>
      </c>
      <c r="C680" s="1">
        <f t="shared" si="20"/>
        <v>-1.5833281660767237E-2</v>
      </c>
      <c r="D680" s="1">
        <f>IFERROR(Comp3[[#This Row],[Comparable '#3 Return]]+1,"-")</f>
        <v>0.98416671833923275</v>
      </c>
      <c r="E680" s="6">
        <f>B680-MAX($B$2:B680)</f>
        <v>-101.57</v>
      </c>
      <c r="F680" s="80">
        <f t="shared" si="21"/>
        <v>418</v>
      </c>
      <c r="G680" s="6">
        <f>IFERROR(Comp3[[#This Row],[Comparable '#3 Drawdown]]/MAX($B$2:B680),"-")</f>
        <v>-0.54015103169538392</v>
      </c>
      <c r="H680" s="1" t="str">
        <f>IF(SUM(COUNTIF(Benchmark1[Benchmark '#1 Dates],Comp3[[#This Row],[Comparable '#3 Dates]]),COUNTIF(Benchmark2[Benchmark '#2 Dates],Comp3[[#This Row],[Comparable '#3 Dates]]))=2,"Pass","Fail")</f>
        <v>Pass</v>
      </c>
      <c r="I680" s="1">
        <f>IFERROR(Comp3[[#This Row],[Comparable '#3 Return]]-INDEX(Benchmark1[Benchmark '#1 Return],MATCH(Comp3[[#This Row],[Comparable '#3 Dates]],Benchmark1[Benchmark '#1 Dates],0)),"-")</f>
        <v>-1.4262439413305118E-2</v>
      </c>
      <c r="L680" s="72">
        <f>Comp3[[#This Row],[Comparable '#3 Price]]/$B$2*100</f>
        <v>73.773568808122178</v>
      </c>
    </row>
    <row r="681" spans="1:12">
      <c r="A681" s="96">
        <v>44272</v>
      </c>
      <c r="B681" s="101">
        <v>87.7</v>
      </c>
      <c r="C681" s="1">
        <f t="shared" si="20"/>
        <v>1.4124366405798509E-2</v>
      </c>
      <c r="D681" s="1">
        <f>IFERROR(Comp3[[#This Row],[Comparable '#3 Return]]+1,"-")</f>
        <v>1.0141243664057986</v>
      </c>
      <c r="E681" s="6">
        <f>B681-MAX($B$2:B681)</f>
        <v>-100.33999999999999</v>
      </c>
      <c r="F681" s="80">
        <f t="shared" si="21"/>
        <v>419</v>
      </c>
      <c r="G681" s="6">
        <f>IFERROR(Comp3[[#This Row],[Comparable '#3 Drawdown]]/MAX($B$2:B681),"-")</f>
        <v>-0.53360987024037432</v>
      </c>
      <c r="H681" s="1" t="str">
        <f>IF(SUM(COUNTIF(Benchmark1[Benchmark '#1 Dates],Comp3[[#This Row],[Comparable '#3 Dates]]),COUNTIF(Benchmark2[Benchmark '#2 Dates],Comp3[[#This Row],[Comparable '#3 Dates]]))=2,"Pass","Fail")</f>
        <v>Pass</v>
      </c>
      <c r="I681" s="1">
        <f>IFERROR(Comp3[[#This Row],[Comparable '#3 Return]]-INDEX(Benchmark1[Benchmark '#1 Return],MATCH(Comp3[[#This Row],[Comparable '#3 Dates]],Benchmark1[Benchmark '#1 Dates],0)),"-")</f>
        <v>1.1249467886598294E-2</v>
      </c>
      <c r="L681" s="72">
        <f>Comp3[[#This Row],[Comparable '#3 Price]]/$B$2*100</f>
        <v>74.822967323607202</v>
      </c>
    </row>
    <row r="682" spans="1:12">
      <c r="A682" s="96">
        <v>44273</v>
      </c>
      <c r="B682" s="101">
        <v>87.17</v>
      </c>
      <c r="C682" s="1">
        <f t="shared" si="20"/>
        <v>-6.0616643546527356E-3</v>
      </c>
      <c r="D682" s="1">
        <f>IFERROR(Comp3[[#This Row],[Comparable '#3 Return]]+1,"-")</f>
        <v>0.99393833564534728</v>
      </c>
      <c r="E682" s="6">
        <f>B682-MAX($B$2:B682)</f>
        <v>-100.86999999999999</v>
      </c>
      <c r="F682" s="80">
        <f t="shared" si="21"/>
        <v>420</v>
      </c>
      <c r="G682" s="6">
        <f>IFERROR(Comp3[[#This Row],[Comparable '#3 Drawdown]]/MAX($B$2:B682),"-")</f>
        <v>-0.53642841948521591</v>
      </c>
      <c r="H682" s="1" t="str">
        <f>IF(SUM(COUNTIF(Benchmark1[Benchmark '#1 Dates],Comp3[[#This Row],[Comparable '#3 Dates]]),COUNTIF(Benchmark2[Benchmark '#2 Dates],Comp3[[#This Row],[Comparable '#3 Dates]]))=2,"Pass","Fail")</f>
        <v>Pass</v>
      </c>
      <c r="I682" s="1">
        <f>IFERROR(Comp3[[#This Row],[Comparable '#3 Return]]-INDEX(Benchmark1[Benchmark '#1 Return],MATCH(Comp3[[#This Row],[Comparable '#3 Dates]],Benchmark1[Benchmark '#1 Dates],0)),"-")</f>
        <v>8.8076014873930755E-3</v>
      </c>
      <c r="L682" s="72">
        <f>Comp3[[#This Row],[Comparable '#3 Price]]/$B$2*100</f>
        <v>74.370787475471374</v>
      </c>
    </row>
    <row r="683" spans="1:12">
      <c r="A683" s="96">
        <v>44274</v>
      </c>
      <c r="B683" s="101">
        <v>87.52</v>
      </c>
      <c r="C683" s="1">
        <f t="shared" si="20"/>
        <v>4.0071036501864374E-3</v>
      </c>
      <c r="D683" s="1">
        <f>IFERROR(Comp3[[#This Row],[Comparable '#3 Return]]+1,"-")</f>
        <v>1.0040071036501865</v>
      </c>
      <c r="E683" s="6">
        <f>B683-MAX($B$2:B683)</f>
        <v>-100.52</v>
      </c>
      <c r="F683" s="80">
        <f t="shared" si="21"/>
        <v>421</v>
      </c>
      <c r="G683" s="6">
        <f>IFERROR(Comp3[[#This Row],[Comparable '#3 Drawdown]]/MAX($B$2:B683),"-")</f>
        <v>-0.53456711338013185</v>
      </c>
      <c r="H683" s="1" t="str">
        <f>IF(SUM(COUNTIF(Benchmark1[Benchmark '#1 Dates],Comp3[[#This Row],[Comparable '#3 Dates]]),COUNTIF(Benchmark2[Benchmark '#2 Dates],Comp3[[#This Row],[Comparable '#3 Dates]]))=2,"Pass","Fail")</f>
        <v>Pass</v>
      </c>
      <c r="I683" s="1">
        <f>IFERROR(Comp3[[#This Row],[Comparable '#3 Return]]-INDEX(Benchmark1[Benchmark '#1 Return],MATCH(Comp3[[#This Row],[Comparable '#3 Dates]],Benchmark1[Benchmark '#1 Dates],0)),"-")</f>
        <v>4.6105527722072066E-3</v>
      </c>
      <c r="L683" s="72">
        <f>Comp3[[#This Row],[Comparable '#3 Price]]/$B$2*100</f>
        <v>74.669396809145979</v>
      </c>
    </row>
    <row r="684" spans="1:12">
      <c r="A684" s="96">
        <v>44277</v>
      </c>
      <c r="B684" s="101">
        <v>85.6</v>
      </c>
      <c r="C684" s="1">
        <f t="shared" si="20"/>
        <v>-2.2182055525974641E-2</v>
      </c>
      <c r="D684" s="1">
        <f>IFERROR(Comp3[[#This Row],[Comparable '#3 Return]]+1,"-")</f>
        <v>0.97781794447402537</v>
      </c>
      <c r="E684" s="6">
        <f>B684-MAX($B$2:B684)</f>
        <v>-102.44</v>
      </c>
      <c r="F684" s="80">
        <f t="shared" si="21"/>
        <v>422</v>
      </c>
      <c r="G684" s="6">
        <f>IFERROR(Comp3[[#This Row],[Comparable '#3 Drawdown]]/MAX($B$2:B684),"-")</f>
        <v>-0.54477770687087856</v>
      </c>
      <c r="H684" s="1" t="str">
        <f>IF(SUM(COUNTIF(Benchmark1[Benchmark '#1 Dates],Comp3[[#This Row],[Comparable '#3 Dates]]),COUNTIF(Benchmark2[Benchmark '#2 Dates],Comp3[[#This Row],[Comparable '#3 Dates]]))=2,"Pass","Fail")</f>
        <v>Pass</v>
      </c>
      <c r="I684" s="1">
        <f>IFERROR(Comp3[[#This Row],[Comparable '#3 Return]]-INDEX(Benchmark1[Benchmark '#1 Return],MATCH(Comp3[[#This Row],[Comparable '#3 Dates]],Benchmark1[Benchmark '#1 Dates],0)),"-")</f>
        <v>-2.9181609481424734E-2</v>
      </c>
      <c r="L684" s="72">
        <f>Comp3[[#This Row],[Comparable '#3 Price]]/$B$2*100</f>
        <v>73.031311321559585</v>
      </c>
    </row>
    <row r="685" spans="1:12">
      <c r="A685" s="96">
        <v>44278</v>
      </c>
      <c r="B685" s="101">
        <v>87.6</v>
      </c>
      <c r="C685" s="1">
        <f t="shared" si="20"/>
        <v>2.3095714794649395E-2</v>
      </c>
      <c r="D685" s="1">
        <f>IFERROR(Comp3[[#This Row],[Comparable '#3 Return]]+1,"-")</f>
        <v>1.0230957147946493</v>
      </c>
      <c r="E685" s="6">
        <f>B685-MAX($B$2:B685)</f>
        <v>-100.44</v>
      </c>
      <c r="F685" s="80">
        <f t="shared" si="21"/>
        <v>423</v>
      </c>
      <c r="G685" s="6">
        <f>IFERROR(Comp3[[#This Row],[Comparable '#3 Drawdown]]/MAX($B$2:B685),"-")</f>
        <v>-0.5341416719846841</v>
      </c>
      <c r="H685" s="1" t="str">
        <f>IF(SUM(COUNTIF(Benchmark1[Benchmark '#1 Dates],Comp3[[#This Row],[Comparable '#3 Dates]]),COUNTIF(Benchmark2[Benchmark '#2 Dates],Comp3[[#This Row],[Comparable '#3 Dates]]))=2,"Pass","Fail")</f>
        <v>Pass</v>
      </c>
      <c r="I685" s="1">
        <f>IFERROR(Comp3[[#This Row],[Comparable '#3 Return]]-INDEX(Benchmark1[Benchmark '#1 Return],MATCH(Comp3[[#This Row],[Comparable '#3 Dates]],Benchmark1[Benchmark '#1 Dates],0)),"-")</f>
        <v>3.0755671746135464E-2</v>
      </c>
      <c r="L685" s="72">
        <f>Comp3[[#This Row],[Comparable '#3 Price]]/$B$2*100</f>
        <v>74.737650371128737</v>
      </c>
    </row>
    <row r="686" spans="1:12">
      <c r="A686" s="96">
        <v>44279</v>
      </c>
      <c r="B686" s="101">
        <v>89.2</v>
      </c>
      <c r="C686" s="1">
        <f t="shared" si="20"/>
        <v>1.8100041643617937E-2</v>
      </c>
      <c r="D686" s="1">
        <f>IFERROR(Comp3[[#This Row],[Comparable '#3 Return]]+1,"-")</f>
        <v>1.0181000416436179</v>
      </c>
      <c r="E686" s="6">
        <f>B686-MAX($B$2:B686)</f>
        <v>-98.839999999999989</v>
      </c>
      <c r="F686" s="80">
        <f t="shared" si="21"/>
        <v>424</v>
      </c>
      <c r="G686" s="6">
        <f>IFERROR(Comp3[[#This Row],[Comparable '#3 Drawdown]]/MAX($B$2:B686),"-")</f>
        <v>-0.52563284407572852</v>
      </c>
      <c r="H686" s="1" t="str">
        <f>IF(SUM(COUNTIF(Benchmark1[Benchmark '#1 Dates],Comp3[[#This Row],[Comparable '#3 Dates]]),COUNTIF(Benchmark2[Benchmark '#2 Dates],Comp3[[#This Row],[Comparable '#3 Dates]]))=2,"Pass","Fail")</f>
        <v>Pass</v>
      </c>
      <c r="I686" s="1">
        <f>IFERROR(Comp3[[#This Row],[Comparable '#3 Return]]-INDEX(Benchmark1[Benchmark '#1 Return],MATCH(Comp3[[#This Row],[Comparable '#3 Dates]],Benchmark1[Benchmark '#1 Dates],0)),"-")</f>
        <v>2.3580771030181968E-2</v>
      </c>
      <c r="L686" s="72">
        <f>Comp3[[#This Row],[Comparable '#3 Price]]/$B$2*100</f>
        <v>76.102721610784073</v>
      </c>
    </row>
    <row r="687" spans="1:12">
      <c r="A687" s="96">
        <v>44280</v>
      </c>
      <c r="B687" s="101">
        <v>92.22</v>
      </c>
      <c r="C687" s="1">
        <f t="shared" si="20"/>
        <v>3.3295987192595758E-2</v>
      </c>
      <c r="D687" s="1">
        <f>IFERROR(Comp3[[#This Row],[Comparable '#3 Return]]+1,"-")</f>
        <v>1.0332959871925957</v>
      </c>
      <c r="E687" s="6">
        <f>B687-MAX($B$2:B687)</f>
        <v>-95.82</v>
      </c>
      <c r="F687" s="80">
        <f t="shared" si="21"/>
        <v>425</v>
      </c>
      <c r="G687" s="6">
        <f>IFERROR(Comp3[[#This Row],[Comparable '#3 Drawdown]]/MAX($B$2:B687),"-")</f>
        <v>-0.50957243139757502</v>
      </c>
      <c r="H687" s="1" t="str">
        <f>IF(SUM(COUNTIF(Benchmark1[Benchmark '#1 Dates],Comp3[[#This Row],[Comparable '#3 Dates]]),COUNTIF(Benchmark2[Benchmark '#2 Dates],Comp3[[#This Row],[Comparable '#3 Dates]]))=2,"Pass","Fail")</f>
        <v>Pass</v>
      </c>
      <c r="I687" s="1">
        <f>IFERROR(Comp3[[#This Row],[Comparable '#3 Return]]-INDEX(Benchmark1[Benchmark '#1 Return],MATCH(Comp3[[#This Row],[Comparable '#3 Dates]],Benchmark1[Benchmark '#1 Dates],0)),"-")</f>
        <v>2.807109500272529E-2</v>
      </c>
      <c r="L687" s="72">
        <f>Comp3[[#This Row],[Comparable '#3 Price]]/$B$2*100</f>
        <v>78.67929357563348</v>
      </c>
    </row>
    <row r="688" spans="1:12">
      <c r="A688" s="96">
        <v>44281</v>
      </c>
      <c r="B688" s="101">
        <v>93.11</v>
      </c>
      <c r="C688" s="1">
        <f t="shared" si="20"/>
        <v>9.6045631218788854E-3</v>
      </c>
      <c r="D688" s="1">
        <f>IFERROR(Comp3[[#This Row],[Comparable '#3 Return]]+1,"-")</f>
        <v>1.0096045631218789</v>
      </c>
      <c r="E688" s="6">
        <f>B688-MAX($B$2:B688)</f>
        <v>-94.929999999999993</v>
      </c>
      <c r="F688" s="80">
        <f t="shared" si="21"/>
        <v>426</v>
      </c>
      <c r="G688" s="6">
        <f>IFERROR(Comp3[[#This Row],[Comparable '#3 Drawdown]]/MAX($B$2:B688),"-")</f>
        <v>-0.50483939587321847</v>
      </c>
      <c r="H688" s="1" t="str">
        <f>IF(SUM(COUNTIF(Benchmark1[Benchmark '#1 Dates],Comp3[[#This Row],[Comparable '#3 Dates]]),COUNTIF(Benchmark2[Benchmark '#2 Dates],Comp3[[#This Row],[Comparable '#3 Dates]]))=2,"Pass","Fail")</f>
        <v>Pass</v>
      </c>
      <c r="I688" s="1">
        <f>IFERROR(Comp3[[#This Row],[Comparable '#3 Return]]-INDEX(Benchmark1[Benchmark '#1 Return],MATCH(Comp3[[#This Row],[Comparable '#3 Dates]],Benchmark1[Benchmark '#1 Dates],0)),"-")</f>
        <v>-6.8902129000613481E-3</v>
      </c>
      <c r="L688" s="72">
        <f>Comp3[[#This Row],[Comparable '#3 Price]]/$B$2*100</f>
        <v>79.438614452691752</v>
      </c>
    </row>
    <row r="689" spans="1:12">
      <c r="A689" s="96">
        <v>44284</v>
      </c>
      <c r="B689" s="101">
        <v>90</v>
      </c>
      <c r="C689" s="1">
        <f t="shared" si="20"/>
        <v>-3.3971919570173335E-2</v>
      </c>
      <c r="D689" s="1">
        <f>IFERROR(Comp3[[#This Row],[Comparable '#3 Return]]+1,"-")</f>
        <v>0.96602808042982669</v>
      </c>
      <c r="E689" s="6">
        <f>B689-MAX($B$2:B689)</f>
        <v>-98.039999999999992</v>
      </c>
      <c r="F689" s="80">
        <f t="shared" si="21"/>
        <v>427</v>
      </c>
      <c r="G689" s="6">
        <f>IFERROR(Comp3[[#This Row],[Comparable '#3 Drawdown]]/MAX($B$2:B689),"-")</f>
        <v>-0.52137843012125074</v>
      </c>
      <c r="H689" s="1" t="str">
        <f>IF(SUM(COUNTIF(Benchmark1[Benchmark '#1 Dates],Comp3[[#This Row],[Comparable '#3 Dates]]),COUNTIF(Benchmark2[Benchmark '#2 Dates],Comp3[[#This Row],[Comparable '#3 Dates]]))=2,"Pass","Fail")</f>
        <v>Pass</v>
      </c>
      <c r="I689" s="1">
        <f>IFERROR(Comp3[[#This Row],[Comparable '#3 Return]]-INDEX(Benchmark1[Benchmark '#1 Return],MATCH(Comp3[[#This Row],[Comparable '#3 Dates]],Benchmark1[Benchmark '#1 Dates],0)),"-")</f>
        <v>-3.3105498106383136E-2</v>
      </c>
      <c r="L689" s="72">
        <f>Comp3[[#This Row],[Comparable '#3 Price]]/$B$2*100</f>
        <v>76.78525723061172</v>
      </c>
    </row>
    <row r="690" spans="1:12">
      <c r="A690" s="96">
        <v>44285</v>
      </c>
      <c r="B690" s="101">
        <v>91.01</v>
      </c>
      <c r="C690" s="1">
        <f t="shared" si="20"/>
        <v>1.1159720258999282E-2</v>
      </c>
      <c r="D690" s="1">
        <f>IFERROR(Comp3[[#This Row],[Comparable '#3 Return]]+1,"-")</f>
        <v>1.0111597202589993</v>
      </c>
      <c r="E690" s="6">
        <f>B690-MAX($B$2:B690)</f>
        <v>-97.029999999999987</v>
      </c>
      <c r="F690" s="80">
        <f t="shared" si="21"/>
        <v>428</v>
      </c>
      <c r="G690" s="6">
        <f>IFERROR(Comp3[[#This Row],[Comparable '#3 Drawdown]]/MAX($B$2:B690),"-")</f>
        <v>-0.5160072325037226</v>
      </c>
      <c r="H690" s="1" t="str">
        <f>IF(SUM(COUNTIF(Benchmark1[Benchmark '#1 Dates],Comp3[[#This Row],[Comparable '#3 Dates]]),COUNTIF(Benchmark2[Benchmark '#2 Dates],Comp3[[#This Row],[Comparable '#3 Dates]]))=2,"Pass","Fail")</f>
        <v>Pass</v>
      </c>
      <c r="I690" s="1">
        <f>IFERROR(Comp3[[#This Row],[Comparable '#3 Return]]-INDEX(Benchmark1[Benchmark '#1 Return],MATCH(Comp3[[#This Row],[Comparable '#3 Dates]],Benchmark1[Benchmark '#1 Dates],0)),"-")</f>
        <v>1.4323143811185353E-2</v>
      </c>
      <c r="L690" s="72">
        <f>Comp3[[#This Row],[Comparable '#3 Price]]/$B$2*100</f>
        <v>77.646958450644149</v>
      </c>
    </row>
    <row r="691" spans="1:12">
      <c r="A691" s="96">
        <v>44286</v>
      </c>
      <c r="B691" s="101">
        <v>91.91</v>
      </c>
      <c r="C691" s="1">
        <f t="shared" si="20"/>
        <v>9.8404467807537647E-3</v>
      </c>
      <c r="D691" s="1">
        <f>IFERROR(Comp3[[#This Row],[Comparable '#3 Return]]+1,"-")</f>
        <v>1.0098404467807538</v>
      </c>
      <c r="E691" s="6">
        <f>B691-MAX($B$2:B691)</f>
        <v>-96.13</v>
      </c>
      <c r="F691" s="80">
        <f t="shared" si="21"/>
        <v>429</v>
      </c>
      <c r="G691" s="6">
        <f>IFERROR(Comp3[[#This Row],[Comparable '#3 Drawdown]]/MAX($B$2:B691),"-")</f>
        <v>-0.51122101680493515</v>
      </c>
      <c r="H691" s="1" t="str">
        <f>IF(SUM(COUNTIF(Benchmark1[Benchmark '#1 Dates],Comp3[[#This Row],[Comparable '#3 Dates]]),COUNTIF(Benchmark2[Benchmark '#2 Dates],Comp3[[#This Row],[Comparable '#3 Dates]]))=2,"Pass","Fail")</f>
        <v>Pass</v>
      </c>
      <c r="I691" s="1">
        <f>IFERROR(Comp3[[#This Row],[Comparable '#3 Return]]-INDEX(Benchmark1[Benchmark '#1 Return],MATCH(Comp3[[#This Row],[Comparable '#3 Dates]],Benchmark1[Benchmark '#1 Dates],0)),"-")</f>
        <v>6.2244877568481457E-3</v>
      </c>
      <c r="L691" s="72">
        <f>Comp3[[#This Row],[Comparable '#3 Price]]/$B$2*100</f>
        <v>78.414811022950261</v>
      </c>
    </row>
    <row r="692" spans="1:12">
      <c r="A692" s="96">
        <v>44287</v>
      </c>
      <c r="B692" s="101">
        <v>92.89</v>
      </c>
      <c r="C692" s="1">
        <f t="shared" si="20"/>
        <v>1.0606160029411298E-2</v>
      </c>
      <c r="D692" s="1">
        <f>IFERROR(Comp3[[#This Row],[Comparable '#3 Return]]+1,"-")</f>
        <v>1.0106061600294114</v>
      </c>
      <c r="E692" s="6">
        <f>B692-MAX($B$2:B692)</f>
        <v>-95.149999999999991</v>
      </c>
      <c r="F692" s="80">
        <f t="shared" si="21"/>
        <v>430</v>
      </c>
      <c r="G692" s="6">
        <f>IFERROR(Comp3[[#This Row],[Comparable '#3 Drawdown]]/MAX($B$2:B692),"-")</f>
        <v>-0.50600935971069982</v>
      </c>
      <c r="H692" s="1" t="str">
        <f>IF(SUM(COUNTIF(Benchmark1[Benchmark '#1 Dates],Comp3[[#This Row],[Comparable '#3 Dates]]),COUNTIF(Benchmark2[Benchmark '#2 Dates],Comp3[[#This Row],[Comparable '#3 Dates]]))=2,"Pass","Fail")</f>
        <v>Pass</v>
      </c>
      <c r="I692" s="1">
        <f>IFERROR(Comp3[[#This Row],[Comparable '#3 Return]]-INDEX(Benchmark1[Benchmark '#1 Return],MATCH(Comp3[[#This Row],[Comparable '#3 Dates]],Benchmark1[Benchmark '#1 Dates],0)),"-")</f>
        <v>-1.1479252048076146E-3</v>
      </c>
      <c r="L692" s="72">
        <f>Comp3[[#This Row],[Comparable '#3 Price]]/$B$2*100</f>
        <v>79.250917157239158</v>
      </c>
    </row>
    <row r="693" spans="1:12">
      <c r="A693" s="96">
        <v>44291</v>
      </c>
      <c r="B693" s="101">
        <v>92.44</v>
      </c>
      <c r="C693" s="1">
        <f t="shared" si="20"/>
        <v>-4.8562119932495261E-3</v>
      </c>
      <c r="D693" s="1">
        <f>IFERROR(Comp3[[#This Row],[Comparable '#3 Return]]+1,"-")</f>
        <v>0.99514378800675052</v>
      </c>
      <c r="E693" s="6">
        <f>B693-MAX($B$2:B693)</f>
        <v>-95.6</v>
      </c>
      <c r="F693" s="80">
        <f t="shared" si="21"/>
        <v>431</v>
      </c>
      <c r="G693" s="6">
        <f>IFERROR(Comp3[[#This Row],[Comparable '#3 Drawdown]]/MAX($B$2:B693),"-")</f>
        <v>-0.50840246756009355</v>
      </c>
      <c r="H693" s="1" t="str">
        <f>IF(SUM(COUNTIF(Benchmark1[Benchmark '#1 Dates],Comp3[[#This Row],[Comparable '#3 Dates]]),COUNTIF(Benchmark2[Benchmark '#2 Dates],Comp3[[#This Row],[Comparable '#3 Dates]]))=2,"Pass","Fail")</f>
        <v>Pass</v>
      </c>
      <c r="I693" s="1">
        <f>IFERROR(Comp3[[#This Row],[Comparable '#3 Return]]-INDEX(Benchmark1[Benchmark '#1 Return],MATCH(Comp3[[#This Row],[Comparable '#3 Dates]],Benchmark1[Benchmark '#1 Dates],0)),"-")</f>
        <v>-1.9193291379969935E-2</v>
      </c>
      <c r="L693" s="72">
        <f>Comp3[[#This Row],[Comparable '#3 Price]]/$B$2*100</f>
        <v>78.866990871086088</v>
      </c>
    </row>
    <row r="694" spans="1:12">
      <c r="A694" s="96">
        <v>44292</v>
      </c>
      <c r="B694" s="101">
        <v>91.42</v>
      </c>
      <c r="C694" s="1">
        <f t="shared" si="20"/>
        <v>-1.1095512502581586E-2</v>
      </c>
      <c r="D694" s="1">
        <f>IFERROR(Comp3[[#This Row],[Comparable '#3 Return]]+1,"-")</f>
        <v>0.98890448749741844</v>
      </c>
      <c r="E694" s="6">
        <f>B694-MAX($B$2:B694)</f>
        <v>-96.61999999999999</v>
      </c>
      <c r="F694" s="80">
        <f t="shared" si="21"/>
        <v>432</v>
      </c>
      <c r="G694" s="6">
        <f>IFERROR(Comp3[[#This Row],[Comparable '#3 Drawdown]]/MAX($B$2:B694),"-")</f>
        <v>-0.5138268453520527</v>
      </c>
      <c r="H694" s="1" t="str">
        <f>IF(SUM(COUNTIF(Benchmark1[Benchmark '#1 Dates],Comp3[[#This Row],[Comparable '#3 Dates]]),COUNTIF(Benchmark2[Benchmark '#2 Dates],Comp3[[#This Row],[Comparable '#3 Dates]]))=2,"Pass","Fail")</f>
        <v>Pass</v>
      </c>
      <c r="I694" s="1">
        <f>IFERROR(Comp3[[#This Row],[Comparable '#3 Return]]-INDEX(Benchmark1[Benchmark '#1 Return],MATCH(Comp3[[#This Row],[Comparable '#3 Dates]],Benchmark1[Benchmark '#1 Dates],0)),"-")</f>
        <v>-1.0120756454687995E-2</v>
      </c>
      <c r="L694" s="72">
        <f>Comp3[[#This Row],[Comparable '#3 Price]]/$B$2*100</f>
        <v>77.996757955805833</v>
      </c>
    </row>
    <row r="695" spans="1:12">
      <c r="A695" s="96">
        <v>44293</v>
      </c>
      <c r="B695" s="101">
        <v>91.86</v>
      </c>
      <c r="C695" s="1">
        <f t="shared" si="20"/>
        <v>4.8014059940491034E-3</v>
      </c>
      <c r="D695" s="1">
        <f>IFERROR(Comp3[[#This Row],[Comparable '#3 Return]]+1,"-")</f>
        <v>1.0048014059940491</v>
      </c>
      <c r="E695" s="6">
        <f>B695-MAX($B$2:B695)</f>
        <v>-96.179999999999993</v>
      </c>
      <c r="F695" s="80">
        <f t="shared" si="21"/>
        <v>433</v>
      </c>
      <c r="G695" s="6">
        <f>IFERROR(Comp3[[#This Row],[Comparable '#3 Drawdown]]/MAX($B$2:B695),"-")</f>
        <v>-0.51148691767708998</v>
      </c>
      <c r="H695" s="1" t="str">
        <f>IF(SUM(COUNTIF(Benchmark1[Benchmark '#1 Dates],Comp3[[#This Row],[Comparable '#3 Dates]]),COUNTIF(Benchmark2[Benchmark '#2 Dates],Comp3[[#This Row],[Comparable '#3 Dates]]))=2,"Pass","Fail")</f>
        <v>Pass</v>
      </c>
      <c r="I695" s="1">
        <f>IFERROR(Comp3[[#This Row],[Comparable '#3 Return]]-INDEX(Benchmark1[Benchmark '#1 Return],MATCH(Comp3[[#This Row],[Comparable '#3 Dates]],Benchmark1[Benchmark '#1 Dates],0)),"-")</f>
        <v>3.3267095100177535E-3</v>
      </c>
      <c r="L695" s="72">
        <f>Comp3[[#This Row],[Comparable '#3 Price]]/$B$2*100</f>
        <v>78.372152546711035</v>
      </c>
    </row>
    <row r="696" spans="1:12">
      <c r="A696" s="96">
        <v>44294</v>
      </c>
      <c r="B696" s="101">
        <v>92.43</v>
      </c>
      <c r="C696" s="1">
        <f t="shared" si="20"/>
        <v>6.1859223790389434E-3</v>
      </c>
      <c r="D696" s="1">
        <f>IFERROR(Comp3[[#This Row],[Comparable '#3 Return]]+1,"-")</f>
        <v>1.006185922379039</v>
      </c>
      <c r="E696" s="6">
        <f>B696-MAX($B$2:B696)</f>
        <v>-95.609999999999985</v>
      </c>
      <c r="F696" s="80">
        <f t="shared" si="21"/>
        <v>434</v>
      </c>
      <c r="G696" s="6">
        <f>IFERROR(Comp3[[#This Row],[Comparable '#3 Drawdown]]/MAX($B$2:B696),"-")</f>
        <v>-0.50845564773452456</v>
      </c>
      <c r="H696" s="1" t="str">
        <f>IF(SUM(COUNTIF(Benchmark1[Benchmark '#1 Dates],Comp3[[#This Row],[Comparable '#3 Dates]]),COUNTIF(Benchmark2[Benchmark '#2 Dates],Comp3[[#This Row],[Comparable '#3 Dates]]))=2,"Pass","Fail")</f>
        <v>Pass</v>
      </c>
      <c r="I696" s="1">
        <f>IFERROR(Comp3[[#This Row],[Comparable '#3 Return]]-INDEX(Benchmark1[Benchmark '#1 Return],MATCH(Comp3[[#This Row],[Comparable '#3 Dates]],Benchmark1[Benchmark '#1 Dates],0)),"-")</f>
        <v>1.9753582023411594E-3</v>
      </c>
      <c r="L696" s="72">
        <f>Comp3[[#This Row],[Comparable '#3 Price]]/$B$2*100</f>
        <v>78.858459175838249</v>
      </c>
    </row>
    <row r="697" spans="1:12">
      <c r="A697" s="96">
        <v>44295</v>
      </c>
      <c r="B697" s="101">
        <v>90.5</v>
      </c>
      <c r="C697" s="1">
        <f t="shared" si="20"/>
        <v>-2.1101750570805849E-2</v>
      </c>
      <c r="D697" s="1">
        <f>IFERROR(Comp3[[#This Row],[Comparable '#3 Return]]+1,"-")</f>
        <v>0.97889824942919412</v>
      </c>
      <c r="E697" s="6">
        <f>B697-MAX($B$2:B697)</f>
        <v>-97.539999999999992</v>
      </c>
      <c r="F697" s="80">
        <f t="shared" si="21"/>
        <v>435</v>
      </c>
      <c r="G697" s="6">
        <f>IFERROR(Comp3[[#This Row],[Comparable '#3 Drawdown]]/MAX($B$2:B697),"-")</f>
        <v>-0.51871942139970217</v>
      </c>
      <c r="H697" s="1" t="str">
        <f>IF(SUM(COUNTIF(Benchmark1[Benchmark '#1 Dates],Comp3[[#This Row],[Comparable '#3 Dates]]),COUNTIF(Benchmark2[Benchmark '#2 Dates],Comp3[[#This Row],[Comparable '#3 Dates]]))=2,"Pass","Fail")</f>
        <v>Pass</v>
      </c>
      <c r="I697" s="1">
        <f>IFERROR(Comp3[[#This Row],[Comparable '#3 Return]]-INDEX(Benchmark1[Benchmark '#1 Return],MATCH(Comp3[[#This Row],[Comparable '#3 Dates]],Benchmark1[Benchmark '#1 Dates],0)),"-")</f>
        <v>-2.8793047493667429E-2</v>
      </c>
      <c r="L697" s="72">
        <f>Comp3[[#This Row],[Comparable '#3 Price]]/$B$2*100</f>
        <v>77.211841993004015</v>
      </c>
    </row>
    <row r="698" spans="1:12">
      <c r="A698" s="96">
        <v>44298</v>
      </c>
      <c r="B698" s="101">
        <v>86.8</v>
      </c>
      <c r="C698" s="1">
        <f t="shared" si="20"/>
        <v>-4.1743229039576002E-2</v>
      </c>
      <c r="D698" s="1">
        <f>IFERROR(Comp3[[#This Row],[Comparable '#3 Return]]+1,"-")</f>
        <v>0.95825677096042394</v>
      </c>
      <c r="E698" s="6">
        <f>B698-MAX($B$2:B698)</f>
        <v>-101.24</v>
      </c>
      <c r="F698" s="80">
        <f t="shared" si="21"/>
        <v>436</v>
      </c>
      <c r="G698" s="6">
        <f>IFERROR(Comp3[[#This Row],[Comparable '#3 Drawdown]]/MAX($B$2:B698),"-")</f>
        <v>-0.53839608593916188</v>
      </c>
      <c r="H698" s="1" t="str">
        <f>IF(SUM(COUNTIF(Benchmark1[Benchmark '#1 Dates],Comp3[[#This Row],[Comparable '#3 Dates]]),COUNTIF(Benchmark2[Benchmark '#2 Dates],Comp3[[#This Row],[Comparable '#3 Dates]]))=2,"Pass","Fail")</f>
        <v>Pass</v>
      </c>
      <c r="I698" s="1">
        <f>IFERROR(Comp3[[#This Row],[Comparable '#3 Return]]-INDEX(Benchmark1[Benchmark '#1 Return],MATCH(Comp3[[#This Row],[Comparable '#3 Dates]],Benchmark1[Benchmark '#1 Dates],0)),"-")</f>
        <v>-4.1547306616581105E-2</v>
      </c>
      <c r="L698" s="72">
        <f>Comp3[[#This Row],[Comparable '#3 Price]]/$B$2*100</f>
        <v>74.05511475130109</v>
      </c>
    </row>
    <row r="699" spans="1:12">
      <c r="A699" s="96">
        <v>44299</v>
      </c>
      <c r="B699" s="101">
        <v>87.2</v>
      </c>
      <c r="C699" s="1">
        <f t="shared" si="20"/>
        <v>4.5977092486295494E-3</v>
      </c>
      <c r="D699" s="1">
        <f>IFERROR(Comp3[[#This Row],[Comparable '#3 Return]]+1,"-")</f>
        <v>1.0045977092486296</v>
      </c>
      <c r="E699" s="6">
        <f>B699-MAX($B$2:B699)</f>
        <v>-100.83999999999999</v>
      </c>
      <c r="F699" s="80">
        <f t="shared" si="21"/>
        <v>437</v>
      </c>
      <c r="G699" s="6">
        <f>IFERROR(Comp3[[#This Row],[Comparable '#3 Drawdown]]/MAX($B$2:B699),"-")</f>
        <v>-0.53626887896192299</v>
      </c>
      <c r="H699" s="1" t="str">
        <f>IF(SUM(COUNTIF(Benchmark1[Benchmark '#1 Dates],Comp3[[#This Row],[Comparable '#3 Dates]]),COUNTIF(Benchmark2[Benchmark '#2 Dates],Comp3[[#This Row],[Comparable '#3 Dates]]))=2,"Pass","Fail")</f>
        <v>Pass</v>
      </c>
      <c r="I699" s="1">
        <f>IFERROR(Comp3[[#This Row],[Comparable '#3 Return]]-INDEX(Benchmark1[Benchmark '#1 Return],MATCH(Comp3[[#This Row],[Comparable '#3 Dates]],Benchmark1[Benchmark '#1 Dates],0)),"-")</f>
        <v>1.3084186025330096E-3</v>
      </c>
      <c r="L699" s="72">
        <f>Comp3[[#This Row],[Comparable '#3 Price]]/$B$2*100</f>
        <v>74.396382561214921</v>
      </c>
    </row>
    <row r="700" spans="1:12">
      <c r="A700" s="96">
        <v>44300</v>
      </c>
      <c r="B700" s="101">
        <v>85.57</v>
      </c>
      <c r="C700" s="1">
        <f t="shared" si="20"/>
        <v>-1.8869576484970597E-2</v>
      </c>
      <c r="D700" s="1">
        <f>IFERROR(Comp3[[#This Row],[Comparable '#3 Return]]+1,"-")</f>
        <v>0.98113042351502944</v>
      </c>
      <c r="E700" s="6">
        <f>B700-MAX($B$2:B700)</f>
        <v>-102.47</v>
      </c>
      <c r="F700" s="80">
        <f t="shared" si="21"/>
        <v>438</v>
      </c>
      <c r="G700" s="6">
        <f>IFERROR(Comp3[[#This Row],[Comparable '#3 Drawdown]]/MAX($B$2:B700),"-")</f>
        <v>-0.54493724739417149</v>
      </c>
      <c r="H700" s="1" t="str">
        <f>IF(SUM(COUNTIF(Benchmark1[Benchmark '#1 Dates],Comp3[[#This Row],[Comparable '#3 Dates]]),COUNTIF(Benchmark2[Benchmark '#2 Dates],Comp3[[#This Row],[Comparable '#3 Dates]]))=2,"Pass","Fail")</f>
        <v>Pass</v>
      </c>
      <c r="I700" s="1">
        <f>IFERROR(Comp3[[#This Row],[Comparable '#3 Return]]-INDEX(Benchmark1[Benchmark '#1 Return],MATCH(Comp3[[#This Row],[Comparable '#3 Dates]],Benchmark1[Benchmark '#1 Dates],0)),"-")</f>
        <v>-1.4772641480926618E-2</v>
      </c>
      <c r="L700" s="72">
        <f>Comp3[[#This Row],[Comparable '#3 Price]]/$B$2*100</f>
        <v>73.005716235816053</v>
      </c>
    </row>
    <row r="701" spans="1:12">
      <c r="A701" s="96">
        <v>44301</v>
      </c>
      <c r="B701" s="101">
        <v>86.89</v>
      </c>
      <c r="C701" s="1">
        <f t="shared" si="20"/>
        <v>1.5308196421151363E-2</v>
      </c>
      <c r="D701" s="1">
        <f>IFERROR(Comp3[[#This Row],[Comparable '#3 Return]]+1,"-")</f>
        <v>1.0153081964211514</v>
      </c>
      <c r="E701" s="6">
        <f>B701-MAX($B$2:B701)</f>
        <v>-101.14999999999999</v>
      </c>
      <c r="F701" s="80">
        <f t="shared" si="21"/>
        <v>439</v>
      </c>
      <c r="G701" s="6">
        <f>IFERROR(Comp3[[#This Row],[Comparable '#3 Drawdown]]/MAX($B$2:B701),"-")</f>
        <v>-0.53791746436928312</v>
      </c>
      <c r="H701" s="1" t="str">
        <f>IF(SUM(COUNTIF(Benchmark1[Benchmark '#1 Dates],Comp3[[#This Row],[Comparable '#3 Dates]]),COUNTIF(Benchmark2[Benchmark '#2 Dates],Comp3[[#This Row],[Comparable '#3 Dates]]))=2,"Pass","Fail")</f>
        <v>Pass</v>
      </c>
      <c r="I701" s="1">
        <f>IFERROR(Comp3[[#This Row],[Comparable '#3 Return]]-INDEX(Benchmark1[Benchmark '#1 Return],MATCH(Comp3[[#This Row],[Comparable '#3 Dates]],Benchmark1[Benchmark '#1 Dates],0)),"-")</f>
        <v>4.2745221168981676E-3</v>
      </c>
      <c r="L701" s="72">
        <f>Comp3[[#This Row],[Comparable '#3 Price]]/$B$2*100</f>
        <v>74.131900008531701</v>
      </c>
    </row>
    <row r="702" spans="1:12">
      <c r="A702" s="96">
        <v>44302</v>
      </c>
      <c r="B702" s="101">
        <v>89.26</v>
      </c>
      <c r="C702" s="1">
        <f t="shared" si="20"/>
        <v>2.6910508350009271E-2</v>
      </c>
      <c r="D702" s="1">
        <f>IFERROR(Comp3[[#This Row],[Comparable '#3 Return]]+1,"-")</f>
        <v>1.0269105083500092</v>
      </c>
      <c r="E702" s="6">
        <f>B702-MAX($B$2:B702)</f>
        <v>-98.779999999999987</v>
      </c>
      <c r="F702" s="80">
        <f t="shared" si="21"/>
        <v>440</v>
      </c>
      <c r="G702" s="6">
        <f>IFERROR(Comp3[[#This Row],[Comparable '#3 Drawdown]]/MAX($B$2:B702),"-")</f>
        <v>-0.52531376302914268</v>
      </c>
      <c r="H702" s="1" t="str">
        <f>IF(SUM(COUNTIF(Benchmark1[Benchmark '#1 Dates],Comp3[[#This Row],[Comparable '#3 Dates]]),COUNTIF(Benchmark2[Benchmark '#2 Dates],Comp3[[#This Row],[Comparable '#3 Dates]]))=2,"Pass","Fail")</f>
        <v>Pass</v>
      </c>
      <c r="I702" s="1">
        <f>IFERROR(Comp3[[#This Row],[Comparable '#3 Return]]-INDEX(Benchmark1[Benchmark '#1 Return],MATCH(Comp3[[#This Row],[Comparable '#3 Dates]],Benchmark1[Benchmark '#1 Dates],0)),"-")</f>
        <v>2.3309232005918799E-2</v>
      </c>
      <c r="L702" s="72">
        <f>Comp3[[#This Row],[Comparable '#3 Price]]/$B$2*100</f>
        <v>76.153911782271138</v>
      </c>
    </row>
    <row r="703" spans="1:12">
      <c r="A703" s="96">
        <v>44305</v>
      </c>
      <c r="B703" s="101">
        <v>85.92</v>
      </c>
      <c r="C703" s="1">
        <f t="shared" si="20"/>
        <v>-3.8136828440569301E-2</v>
      </c>
      <c r="D703" s="1">
        <f>IFERROR(Comp3[[#This Row],[Comparable '#3 Return]]+1,"-")</f>
        <v>0.96186317155943069</v>
      </c>
      <c r="E703" s="6">
        <f>B703-MAX($B$2:B703)</f>
        <v>-102.11999999999999</v>
      </c>
      <c r="F703" s="80">
        <f t="shared" si="21"/>
        <v>441</v>
      </c>
      <c r="G703" s="6">
        <f>IFERROR(Comp3[[#This Row],[Comparable '#3 Drawdown]]/MAX($B$2:B703),"-")</f>
        <v>-0.54307594128908743</v>
      </c>
      <c r="H703" s="1" t="str">
        <f>IF(SUM(COUNTIF(Benchmark1[Benchmark '#1 Dates],Comp3[[#This Row],[Comparable '#3 Dates]]),COUNTIF(Benchmark2[Benchmark '#2 Dates],Comp3[[#This Row],[Comparable '#3 Dates]]))=2,"Pass","Fail")</f>
        <v>Pass</v>
      </c>
      <c r="I703" s="1">
        <f>IFERROR(Comp3[[#This Row],[Comparable '#3 Return]]-INDEX(Benchmark1[Benchmark '#1 Return],MATCH(Comp3[[#This Row],[Comparable '#3 Dates]],Benchmark1[Benchmark '#1 Dates],0)),"-")</f>
        <v>-3.2816096730619228E-2</v>
      </c>
      <c r="L703" s="72">
        <f>Comp3[[#This Row],[Comparable '#3 Price]]/$B$2*100</f>
        <v>73.304325569490658</v>
      </c>
    </row>
    <row r="704" spans="1:12">
      <c r="A704" s="96">
        <v>44306</v>
      </c>
      <c r="B704" s="101">
        <v>86.24</v>
      </c>
      <c r="C704" s="1">
        <f t="shared" si="20"/>
        <v>3.7174764001323521E-3</v>
      </c>
      <c r="D704" s="1">
        <f>IFERROR(Comp3[[#This Row],[Comparable '#3 Return]]+1,"-")</f>
        <v>1.0037174764001324</v>
      </c>
      <c r="E704" s="6">
        <f>B704-MAX($B$2:B704)</f>
        <v>-101.8</v>
      </c>
      <c r="F704" s="80">
        <f t="shared" si="21"/>
        <v>442</v>
      </c>
      <c r="G704" s="6">
        <f>IFERROR(Comp3[[#This Row],[Comparable '#3 Drawdown]]/MAX($B$2:B704),"-")</f>
        <v>-0.54137417570729629</v>
      </c>
      <c r="H704" s="1" t="str">
        <f>IF(SUM(COUNTIF(Benchmark1[Benchmark '#1 Dates],Comp3[[#This Row],[Comparable '#3 Dates]]),COUNTIF(Benchmark2[Benchmark '#2 Dates],Comp3[[#This Row],[Comparable '#3 Dates]]))=2,"Pass","Fail")</f>
        <v>Pass</v>
      </c>
      <c r="I704" s="1">
        <f>IFERROR(Comp3[[#This Row],[Comparable '#3 Return]]-INDEX(Benchmark1[Benchmark '#1 Return],MATCH(Comp3[[#This Row],[Comparable '#3 Dates]],Benchmark1[Benchmark '#1 Dates],0)),"-")</f>
        <v>1.0542761151434307E-2</v>
      </c>
      <c r="L704" s="72">
        <f>Comp3[[#This Row],[Comparable '#3 Price]]/$B$2*100</f>
        <v>73.577339817421716</v>
      </c>
    </row>
    <row r="705" spans="1:12">
      <c r="A705" s="96">
        <v>44307</v>
      </c>
      <c r="B705" s="101">
        <v>84.35</v>
      </c>
      <c r="C705" s="1">
        <f t="shared" si="20"/>
        <v>-2.2159298168709689E-2</v>
      </c>
      <c r="D705" s="1">
        <f>IFERROR(Comp3[[#This Row],[Comparable '#3 Return]]+1,"-")</f>
        <v>0.97784070183129035</v>
      </c>
      <c r="E705" s="6">
        <f>B705-MAX($B$2:B705)</f>
        <v>-103.69</v>
      </c>
      <c r="F705" s="80">
        <f t="shared" si="21"/>
        <v>443</v>
      </c>
      <c r="G705" s="6">
        <f>IFERROR(Comp3[[#This Row],[Comparable '#3 Drawdown]]/MAX($B$2:B705),"-")</f>
        <v>-0.55142522867475008</v>
      </c>
      <c r="H705" s="1" t="str">
        <f>IF(SUM(COUNTIF(Benchmark1[Benchmark '#1 Dates],Comp3[[#This Row],[Comparable '#3 Dates]]),COUNTIF(Benchmark2[Benchmark '#2 Dates],Comp3[[#This Row],[Comparable '#3 Dates]]))=2,"Pass","Fail")</f>
        <v>Pass</v>
      </c>
      <c r="I705" s="1">
        <f>IFERROR(Comp3[[#This Row],[Comparable '#3 Return]]-INDEX(Benchmark1[Benchmark '#1 Return],MATCH(Comp3[[#This Row],[Comparable '#3 Dates]],Benchmark1[Benchmark '#1 Dates],0)),"-")</f>
        <v>-3.1422836275365719E-2</v>
      </c>
      <c r="L705" s="72">
        <f>Comp3[[#This Row],[Comparable '#3 Price]]/$B$2*100</f>
        <v>71.964849415578882</v>
      </c>
    </row>
    <row r="706" spans="1:12">
      <c r="A706" s="96">
        <v>44308</v>
      </c>
      <c r="B706" s="101">
        <v>84.86</v>
      </c>
      <c r="C706" s="1">
        <f t="shared" ref="C706:C769" si="22">IFERROR(IF(B706="","-",LN(B706/B705)),"-")</f>
        <v>6.028030782201467E-3</v>
      </c>
      <c r="D706" s="1">
        <f>IFERROR(Comp3[[#This Row],[Comparable '#3 Return]]+1,"-")</f>
        <v>1.0060280307822014</v>
      </c>
      <c r="E706" s="6">
        <f>B706-MAX($B$2:B706)</f>
        <v>-103.17999999999999</v>
      </c>
      <c r="F706" s="80">
        <f t="shared" ref="F706:F769" si="23">IF(E706=0,0,F705+1)</f>
        <v>444</v>
      </c>
      <c r="G706" s="6">
        <f>IFERROR(Comp3[[#This Row],[Comparable '#3 Drawdown]]/MAX($B$2:B706),"-")</f>
        <v>-0.54871303977877051</v>
      </c>
      <c r="H706" s="1" t="str">
        <f>IF(SUM(COUNTIF(Benchmark1[Benchmark '#1 Dates],Comp3[[#This Row],[Comparable '#3 Dates]]),COUNTIF(Benchmark2[Benchmark '#2 Dates],Comp3[[#This Row],[Comparable '#3 Dates]]))=2,"Pass","Fail")</f>
        <v>Pass</v>
      </c>
      <c r="I706" s="1">
        <f>IFERROR(Comp3[[#This Row],[Comparable '#3 Return]]-INDEX(Benchmark1[Benchmark '#1 Return],MATCH(Comp3[[#This Row],[Comparable '#3 Dates]],Benchmark1[Benchmark '#1 Dates],0)),"-")</f>
        <v>1.5281353600262681E-2</v>
      </c>
      <c r="L706" s="72">
        <f>Comp3[[#This Row],[Comparable '#3 Price]]/$B$2*100</f>
        <v>72.399965873219003</v>
      </c>
    </row>
    <row r="707" spans="1:12">
      <c r="A707" s="96">
        <v>44309</v>
      </c>
      <c r="B707" s="101">
        <v>85.43</v>
      </c>
      <c r="C707" s="1">
        <f t="shared" si="22"/>
        <v>6.69448738934862E-3</v>
      </c>
      <c r="D707" s="1">
        <f>IFERROR(Comp3[[#This Row],[Comparable '#3 Return]]+1,"-")</f>
        <v>1.0066944873893486</v>
      </c>
      <c r="E707" s="6">
        <f>B707-MAX($B$2:B707)</f>
        <v>-102.60999999999999</v>
      </c>
      <c r="F707" s="80">
        <f t="shared" si="23"/>
        <v>445</v>
      </c>
      <c r="G707" s="6">
        <f>IFERROR(Comp3[[#This Row],[Comparable '#3 Drawdown]]/MAX($B$2:B707),"-")</f>
        <v>-0.54568176983620498</v>
      </c>
      <c r="H707" s="1" t="str">
        <f>IF(SUM(COUNTIF(Benchmark1[Benchmark '#1 Dates],Comp3[[#This Row],[Comparable '#3 Dates]]),COUNTIF(Benchmark2[Benchmark '#2 Dates],Comp3[[#This Row],[Comparable '#3 Dates]]))=2,"Pass","Fail")</f>
        <v>Pass</v>
      </c>
      <c r="I707" s="1">
        <f>IFERROR(Comp3[[#This Row],[Comparable '#3 Return]]-INDEX(Benchmark1[Benchmark '#1 Return],MATCH(Comp3[[#This Row],[Comparable '#3 Dates]],Benchmark1[Benchmark '#1 Dates],0)),"-")</f>
        <v>-4.1739062326215642E-3</v>
      </c>
      <c r="L707" s="72">
        <f>Comp3[[#This Row],[Comparable '#3 Price]]/$B$2*100</f>
        <v>72.88627250234623</v>
      </c>
    </row>
    <row r="708" spans="1:12">
      <c r="A708" s="96">
        <v>44312</v>
      </c>
      <c r="B708" s="101">
        <v>85.92</v>
      </c>
      <c r="C708" s="1">
        <f t="shared" si="22"/>
        <v>5.7193035970272213E-3</v>
      </c>
      <c r="D708" s="1">
        <f>IFERROR(Comp3[[#This Row],[Comparable '#3 Return]]+1,"-")</f>
        <v>1.0057193035970273</v>
      </c>
      <c r="E708" s="6">
        <f>B708-MAX($B$2:B708)</f>
        <v>-102.11999999999999</v>
      </c>
      <c r="F708" s="80">
        <f t="shared" si="23"/>
        <v>446</v>
      </c>
      <c r="G708" s="6">
        <f>IFERROR(Comp3[[#This Row],[Comparable '#3 Drawdown]]/MAX($B$2:B708),"-")</f>
        <v>-0.54307594128908743</v>
      </c>
      <c r="H708" s="1" t="str">
        <f>IF(SUM(COUNTIF(Benchmark1[Benchmark '#1 Dates],Comp3[[#This Row],[Comparable '#3 Dates]]),COUNTIF(Benchmark2[Benchmark '#2 Dates],Comp3[[#This Row],[Comparable '#3 Dates]]))=2,"Pass","Fail")</f>
        <v>Pass</v>
      </c>
      <c r="I708" s="1">
        <f>IFERROR(Comp3[[#This Row],[Comparable '#3 Return]]-INDEX(Benchmark1[Benchmark '#1 Return],MATCH(Comp3[[#This Row],[Comparable '#3 Dates]],Benchmark1[Benchmark '#1 Dates],0)),"-")</f>
        <v>3.9386421562665076E-3</v>
      </c>
      <c r="L708" s="72">
        <f>Comp3[[#This Row],[Comparable '#3 Price]]/$B$2*100</f>
        <v>73.304325569490658</v>
      </c>
    </row>
    <row r="709" spans="1:12">
      <c r="A709" s="96">
        <v>44313</v>
      </c>
      <c r="B709" s="101">
        <v>81.78</v>
      </c>
      <c r="C709" s="1">
        <f t="shared" si="22"/>
        <v>-4.9383915824058294E-2</v>
      </c>
      <c r="D709" s="1">
        <f>IFERROR(Comp3[[#This Row],[Comparable '#3 Return]]+1,"-")</f>
        <v>0.95061608417594168</v>
      </c>
      <c r="E709" s="6">
        <f>B709-MAX($B$2:B709)</f>
        <v>-106.25999999999999</v>
      </c>
      <c r="F709" s="80">
        <f t="shared" si="23"/>
        <v>447</v>
      </c>
      <c r="G709" s="6">
        <f>IFERROR(Comp3[[#This Row],[Comparable '#3 Drawdown]]/MAX($B$2:B709),"-")</f>
        <v>-0.56509253350350985</v>
      </c>
      <c r="H709" s="1" t="str">
        <f>IF(SUM(COUNTIF(Benchmark1[Benchmark '#1 Dates],Comp3[[#This Row],[Comparable '#3 Dates]]),COUNTIF(Benchmark2[Benchmark '#2 Dates],Comp3[[#This Row],[Comparable '#3 Dates]]))=2,"Pass","Fail")</f>
        <v>Pass</v>
      </c>
      <c r="I709" s="1">
        <f>IFERROR(Comp3[[#This Row],[Comparable '#3 Return]]-INDEX(Benchmark1[Benchmark '#1 Return],MATCH(Comp3[[#This Row],[Comparable '#3 Dates]],Benchmark1[Benchmark '#1 Dates],0)),"-")</f>
        <v>-4.9169153024141182E-2</v>
      </c>
      <c r="L709" s="72">
        <f>Comp3[[#This Row],[Comparable '#3 Price]]/$B$2*100</f>
        <v>69.772203736882517</v>
      </c>
    </row>
    <row r="710" spans="1:12">
      <c r="A710" s="96">
        <v>44314</v>
      </c>
      <c r="B710" s="101">
        <v>82.75</v>
      </c>
      <c r="C710" s="1">
        <f t="shared" si="22"/>
        <v>1.1791299320676111E-2</v>
      </c>
      <c r="D710" s="1">
        <f>IFERROR(Comp3[[#This Row],[Comparable '#3 Return]]+1,"-")</f>
        <v>1.0117912993206761</v>
      </c>
      <c r="E710" s="6">
        <f>B710-MAX($B$2:B710)</f>
        <v>-105.28999999999999</v>
      </c>
      <c r="F710" s="80">
        <f t="shared" si="23"/>
        <v>448</v>
      </c>
      <c r="G710" s="6">
        <f>IFERROR(Comp3[[#This Row],[Comparable '#3 Drawdown]]/MAX($B$2:B710),"-")</f>
        <v>-0.55993405658370554</v>
      </c>
      <c r="H710" s="1" t="str">
        <f>IF(SUM(COUNTIF(Benchmark1[Benchmark '#1 Dates],Comp3[[#This Row],[Comparable '#3 Dates]]),COUNTIF(Benchmark2[Benchmark '#2 Dates],Comp3[[#This Row],[Comparable '#3 Dates]]))=2,"Pass","Fail")</f>
        <v>Pass</v>
      </c>
      <c r="I710" s="1">
        <f>IFERROR(Comp3[[#This Row],[Comparable '#3 Return]]-INDEX(Benchmark1[Benchmark '#1 Return],MATCH(Comp3[[#This Row],[Comparable '#3 Dates]],Benchmark1[Benchmark '#1 Dates],0)),"-")</f>
        <v>1.2636045395812265E-2</v>
      </c>
      <c r="L710" s="72">
        <f>Comp3[[#This Row],[Comparable '#3 Price]]/$B$2*100</f>
        <v>70.599778175923561</v>
      </c>
    </row>
    <row r="711" spans="1:12">
      <c r="A711" s="96">
        <v>44315</v>
      </c>
      <c r="B711" s="101">
        <v>78.099999999999994</v>
      </c>
      <c r="C711" s="1">
        <f t="shared" si="22"/>
        <v>-5.7833957411532071E-2</v>
      </c>
      <c r="D711" s="1">
        <f>IFERROR(Comp3[[#This Row],[Comparable '#3 Return]]+1,"-")</f>
        <v>0.94216604258846792</v>
      </c>
      <c r="E711" s="6">
        <f>B711-MAX($B$2:B711)</f>
        <v>-109.94</v>
      </c>
      <c r="F711" s="80">
        <f t="shared" si="23"/>
        <v>449</v>
      </c>
      <c r="G711" s="6">
        <f>IFERROR(Comp3[[#This Row],[Comparable '#3 Drawdown]]/MAX($B$2:B711),"-")</f>
        <v>-0.58466283769410765</v>
      </c>
      <c r="H711" s="1" t="str">
        <f>IF(SUM(COUNTIF(Benchmark1[Benchmark '#1 Dates],Comp3[[#This Row],[Comparable '#3 Dates]]),COUNTIF(Benchmark2[Benchmark '#2 Dates],Comp3[[#This Row],[Comparable '#3 Dates]]))=2,"Pass","Fail")</f>
        <v>Pass</v>
      </c>
      <c r="I711" s="1">
        <f>IFERROR(Comp3[[#This Row],[Comparable '#3 Return]]-INDEX(Benchmark1[Benchmark '#1 Return],MATCH(Comp3[[#This Row],[Comparable '#3 Dates]],Benchmark1[Benchmark '#1 Dates],0)),"-")</f>
        <v>-6.4574429731472996E-2</v>
      </c>
      <c r="L711" s="72">
        <f>Comp3[[#This Row],[Comparable '#3 Price]]/$B$2*100</f>
        <v>66.632539885675286</v>
      </c>
    </row>
    <row r="712" spans="1:12">
      <c r="A712" s="96">
        <v>44316</v>
      </c>
      <c r="B712" s="101">
        <v>75.06</v>
      </c>
      <c r="C712" s="1">
        <f t="shared" si="22"/>
        <v>-3.9702263138765348E-2</v>
      </c>
      <c r="D712" s="1">
        <f>IFERROR(Comp3[[#This Row],[Comparable '#3 Return]]+1,"-")</f>
        <v>0.96029773686123465</v>
      </c>
      <c r="E712" s="6">
        <f>B712-MAX($B$2:B712)</f>
        <v>-112.97999999999999</v>
      </c>
      <c r="F712" s="80">
        <f t="shared" si="23"/>
        <v>450</v>
      </c>
      <c r="G712" s="6">
        <f>IFERROR(Comp3[[#This Row],[Comparable '#3 Drawdown]]/MAX($B$2:B712),"-")</f>
        <v>-0.60082961072112318</v>
      </c>
      <c r="H712" s="1" t="str">
        <f>IF(SUM(COUNTIF(Benchmark1[Benchmark '#1 Dates],Comp3[[#This Row],[Comparable '#3 Dates]]),COUNTIF(Benchmark2[Benchmark '#2 Dates],Comp3[[#This Row],[Comparable '#3 Dates]]))=2,"Pass","Fail")</f>
        <v>Pass</v>
      </c>
      <c r="I712" s="1">
        <f>IFERROR(Comp3[[#This Row],[Comparable '#3 Return]]-INDEX(Benchmark1[Benchmark '#1 Return],MATCH(Comp3[[#This Row],[Comparable '#3 Dates]],Benchmark1[Benchmark '#1 Dates],0)),"-")</f>
        <v>-3.2481632848886152E-2</v>
      </c>
      <c r="L712" s="72">
        <f>Comp3[[#This Row],[Comparable '#3 Price]]/$B$2*100</f>
        <v>64.038904530330186</v>
      </c>
    </row>
    <row r="713" spans="1:12">
      <c r="A713" s="96">
        <v>44319</v>
      </c>
      <c r="B713" s="101">
        <v>76.959999999999994</v>
      </c>
      <c r="C713" s="1">
        <f t="shared" si="22"/>
        <v>2.4998012650576173E-2</v>
      </c>
      <c r="D713" s="1">
        <f>IFERROR(Comp3[[#This Row],[Comparable '#3 Return]]+1,"-")</f>
        <v>1.0249980126505762</v>
      </c>
      <c r="E713" s="6">
        <f>B713-MAX($B$2:B713)</f>
        <v>-111.08</v>
      </c>
      <c r="F713" s="80">
        <f t="shared" si="23"/>
        <v>451</v>
      </c>
      <c r="G713" s="6">
        <f>IFERROR(Comp3[[#This Row],[Comparable '#3 Drawdown]]/MAX($B$2:B713),"-")</f>
        <v>-0.59072537757923849</v>
      </c>
      <c r="H713" s="1" t="str">
        <f>IF(SUM(COUNTIF(Benchmark1[Benchmark '#1 Dates],Comp3[[#This Row],[Comparable '#3 Dates]]),COUNTIF(Benchmark2[Benchmark '#2 Dates],Comp3[[#This Row],[Comparable '#3 Dates]]))=2,"Pass","Fail")</f>
        <v>Pass</v>
      </c>
      <c r="I713" s="1">
        <f>IFERROR(Comp3[[#This Row],[Comparable '#3 Return]]-INDEX(Benchmark1[Benchmark '#1 Return],MATCH(Comp3[[#This Row],[Comparable '#3 Dates]],Benchmark1[Benchmark '#1 Dates],0)),"-")</f>
        <v>2.225548835725857E-2</v>
      </c>
      <c r="L713" s="72">
        <f>Comp3[[#This Row],[Comparable '#3 Price]]/$B$2*100</f>
        <v>65.659926627420859</v>
      </c>
    </row>
    <row r="714" spans="1:12">
      <c r="A714" s="96">
        <v>44320</v>
      </c>
      <c r="B714" s="101">
        <v>77.5</v>
      </c>
      <c r="C714" s="1">
        <f t="shared" si="22"/>
        <v>6.992130001850296E-3</v>
      </c>
      <c r="D714" s="1">
        <f>IFERROR(Comp3[[#This Row],[Comparable '#3 Return]]+1,"-")</f>
        <v>1.0069921300018503</v>
      </c>
      <c r="E714" s="6">
        <f>B714-MAX($B$2:B714)</f>
        <v>-110.53999999999999</v>
      </c>
      <c r="F714" s="80">
        <f t="shared" si="23"/>
        <v>452</v>
      </c>
      <c r="G714" s="6">
        <f>IFERROR(Comp3[[#This Row],[Comparable '#3 Drawdown]]/MAX($B$2:B714),"-")</f>
        <v>-0.58785364815996599</v>
      </c>
      <c r="H714" s="1" t="str">
        <f>IF(SUM(COUNTIF(Benchmark1[Benchmark '#1 Dates],Comp3[[#This Row],[Comparable '#3 Dates]]),COUNTIF(Benchmark2[Benchmark '#2 Dates],Comp3[[#This Row],[Comparable '#3 Dates]]))=2,"Pass","Fail")</f>
        <v>Pass</v>
      </c>
      <c r="I714" s="1">
        <f>IFERROR(Comp3[[#This Row],[Comparable '#3 Return]]-INDEX(Benchmark1[Benchmark '#1 Return],MATCH(Comp3[[#This Row],[Comparable '#3 Dates]],Benchmark1[Benchmark '#1 Dates],0)),"-")</f>
        <v>1.3692528514685397E-2</v>
      </c>
      <c r="L714" s="72">
        <f>Comp3[[#This Row],[Comparable '#3 Price]]/$B$2*100</f>
        <v>66.12063817080454</v>
      </c>
    </row>
    <row r="715" spans="1:12">
      <c r="A715" s="96">
        <v>44321</v>
      </c>
      <c r="B715" s="101">
        <v>76.180000000000007</v>
      </c>
      <c r="C715" s="1">
        <f t="shared" si="22"/>
        <v>-1.7178975308843224E-2</v>
      </c>
      <c r="D715" s="1">
        <f>IFERROR(Comp3[[#This Row],[Comparable '#3 Return]]+1,"-")</f>
        <v>0.98282102469115673</v>
      </c>
      <c r="E715" s="6">
        <f>B715-MAX($B$2:B715)</f>
        <v>-111.85999999999999</v>
      </c>
      <c r="F715" s="80">
        <f t="shared" si="23"/>
        <v>453</v>
      </c>
      <c r="G715" s="6">
        <f>IFERROR(Comp3[[#This Row],[Comparable '#3 Drawdown]]/MAX($B$2:B715),"-")</f>
        <v>-0.59487343118485425</v>
      </c>
      <c r="H715" s="1" t="str">
        <f>IF(SUM(COUNTIF(Benchmark1[Benchmark '#1 Dates],Comp3[[#This Row],[Comparable '#3 Dates]]),COUNTIF(Benchmark2[Benchmark '#2 Dates],Comp3[[#This Row],[Comparable '#3 Dates]]))=2,"Pass","Fail")</f>
        <v>Pass</v>
      </c>
      <c r="I715" s="1">
        <f>IFERROR(Comp3[[#This Row],[Comparable '#3 Return]]-INDEX(Benchmark1[Benchmark '#1 Return],MATCH(Comp3[[#This Row],[Comparable '#3 Dates]],Benchmark1[Benchmark '#1 Dates],0)),"-")</f>
        <v>-1.7881962419380584E-2</v>
      </c>
      <c r="L715" s="72">
        <f>Comp3[[#This Row],[Comparable '#3 Price]]/$B$2*100</f>
        <v>64.994454398088905</v>
      </c>
    </row>
    <row r="716" spans="1:12">
      <c r="A716" s="96">
        <v>44322</v>
      </c>
      <c r="B716" s="101">
        <v>75.77</v>
      </c>
      <c r="C716" s="1">
        <f t="shared" si="22"/>
        <v>-5.3965251071760997E-3</v>
      </c>
      <c r="D716" s="1">
        <f>IFERROR(Comp3[[#This Row],[Comparable '#3 Return]]+1,"-")</f>
        <v>0.99460347489282386</v>
      </c>
      <c r="E716" s="6">
        <f>B716-MAX($B$2:B716)</f>
        <v>-112.27</v>
      </c>
      <c r="F716" s="80">
        <f t="shared" si="23"/>
        <v>454</v>
      </c>
      <c r="G716" s="6">
        <f>IFERROR(Comp3[[#This Row],[Comparable '#3 Drawdown]]/MAX($B$2:B716),"-")</f>
        <v>-0.59705381833652416</v>
      </c>
      <c r="H716" s="1" t="str">
        <f>IF(SUM(COUNTIF(Benchmark1[Benchmark '#1 Dates],Comp3[[#This Row],[Comparable '#3 Dates]]),COUNTIF(Benchmark2[Benchmark '#2 Dates],Comp3[[#This Row],[Comparable '#3 Dates]]))=2,"Pass","Fail")</f>
        <v>Pass</v>
      </c>
      <c r="I716" s="1">
        <f>IFERROR(Comp3[[#This Row],[Comparable '#3 Return]]-INDEX(Benchmark1[Benchmark '#1 Return],MATCH(Comp3[[#This Row],[Comparable '#3 Dates]],Benchmark1[Benchmark '#1 Dates],0)),"-")</f>
        <v>-1.3529004483066539E-2</v>
      </c>
      <c r="L716" s="72">
        <f>Comp3[[#This Row],[Comparable '#3 Price]]/$B$2*100</f>
        <v>64.644654892927221</v>
      </c>
    </row>
    <row r="717" spans="1:12">
      <c r="A717" s="96">
        <v>44323</v>
      </c>
      <c r="B717" s="101">
        <v>77.31</v>
      </c>
      <c r="C717" s="1">
        <f t="shared" si="22"/>
        <v>2.0120877389101517E-2</v>
      </c>
      <c r="D717" s="1">
        <f>IFERROR(Comp3[[#This Row],[Comparable '#3 Return]]+1,"-")</f>
        <v>1.0201208773891015</v>
      </c>
      <c r="E717" s="6">
        <f>B717-MAX($B$2:B717)</f>
        <v>-110.72999999999999</v>
      </c>
      <c r="F717" s="80">
        <f t="shared" si="23"/>
        <v>455</v>
      </c>
      <c r="G717" s="6">
        <f>IFERROR(Comp3[[#This Row],[Comparable '#3 Drawdown]]/MAX($B$2:B717),"-")</f>
        <v>-0.58886407147415443</v>
      </c>
      <c r="H717" s="1" t="str">
        <f>IF(SUM(COUNTIF(Benchmark1[Benchmark '#1 Dates],Comp3[[#This Row],[Comparable '#3 Dates]]),COUNTIF(Benchmark2[Benchmark '#2 Dates],Comp3[[#This Row],[Comparable '#3 Dates]]))=2,"Pass","Fail")</f>
        <v>Pass</v>
      </c>
      <c r="I717" s="1">
        <f>IFERROR(Comp3[[#This Row],[Comparable '#3 Return]]-INDEX(Benchmark1[Benchmark '#1 Return],MATCH(Comp3[[#This Row],[Comparable '#3 Dates]],Benchmark1[Benchmark '#1 Dates],0)),"-")</f>
        <v>1.2773965089503774E-2</v>
      </c>
      <c r="L717" s="72">
        <f>Comp3[[#This Row],[Comparable '#3 Price]]/$B$2*100</f>
        <v>65.958535961095478</v>
      </c>
    </row>
    <row r="718" spans="1:12">
      <c r="A718" s="96">
        <v>44326</v>
      </c>
      <c r="B718" s="101">
        <v>79.19</v>
      </c>
      <c r="C718" s="1">
        <f t="shared" si="22"/>
        <v>2.4026714889937618E-2</v>
      </c>
      <c r="D718" s="1">
        <f>IFERROR(Comp3[[#This Row],[Comparable '#3 Return]]+1,"-")</f>
        <v>1.0240267148899376</v>
      </c>
      <c r="E718" s="6">
        <f>B718-MAX($B$2:B718)</f>
        <v>-108.85</v>
      </c>
      <c r="F718" s="80">
        <f t="shared" si="23"/>
        <v>456</v>
      </c>
      <c r="G718" s="6">
        <f>IFERROR(Comp3[[#This Row],[Comparable '#3 Drawdown]]/MAX($B$2:B718),"-")</f>
        <v>-0.57886619868113165</v>
      </c>
      <c r="H718" s="1" t="str">
        <f>IF(SUM(COUNTIF(Benchmark1[Benchmark '#1 Dates],Comp3[[#This Row],[Comparable '#3 Dates]]),COUNTIF(Benchmark2[Benchmark '#2 Dates],Comp3[[#This Row],[Comparable '#3 Dates]]))=2,"Pass","Fail")</f>
        <v>Pass</v>
      </c>
      <c r="I718" s="1">
        <f>IFERROR(Comp3[[#This Row],[Comparable '#3 Return]]-INDEX(Benchmark1[Benchmark '#1 Return],MATCH(Comp3[[#This Row],[Comparable '#3 Dates]],Benchmark1[Benchmark '#1 Dates],0)),"-")</f>
        <v>3.4518172672943527E-2</v>
      </c>
      <c r="L718" s="72">
        <f>Comp3[[#This Row],[Comparable '#3 Price]]/$B$2*100</f>
        <v>67.562494667690473</v>
      </c>
    </row>
    <row r="719" spans="1:12">
      <c r="A719" s="96">
        <v>44327</v>
      </c>
      <c r="B719" s="101">
        <v>78.05</v>
      </c>
      <c r="C719" s="1">
        <f t="shared" si="22"/>
        <v>-1.4500381260880003E-2</v>
      </c>
      <c r="D719" s="1">
        <f>IFERROR(Comp3[[#This Row],[Comparable '#3 Return]]+1,"-")</f>
        <v>0.98549961873911995</v>
      </c>
      <c r="E719" s="6">
        <f>B719-MAX($B$2:B719)</f>
        <v>-109.99</v>
      </c>
      <c r="F719" s="80">
        <f t="shared" si="23"/>
        <v>457</v>
      </c>
      <c r="G719" s="6">
        <f>IFERROR(Comp3[[#This Row],[Comparable '#3 Drawdown]]/MAX($B$2:B719),"-")</f>
        <v>-0.58492873856626248</v>
      </c>
      <c r="H719" s="1" t="str">
        <f>IF(SUM(COUNTIF(Benchmark1[Benchmark '#1 Dates],Comp3[[#This Row],[Comparable '#3 Dates]]),COUNTIF(Benchmark2[Benchmark '#2 Dates],Comp3[[#This Row],[Comparable '#3 Dates]]))=2,"Pass","Fail")</f>
        <v>Pass</v>
      </c>
      <c r="I719" s="1">
        <f>IFERROR(Comp3[[#This Row],[Comparable '#3 Return]]-INDEX(Benchmark1[Benchmark '#1 Return],MATCH(Comp3[[#This Row],[Comparable '#3 Dates]],Benchmark1[Benchmark '#1 Dates],0)),"-")</f>
        <v>-5.7881523728492736E-3</v>
      </c>
      <c r="L719" s="72">
        <f>Comp3[[#This Row],[Comparable '#3 Price]]/$B$2*100</f>
        <v>66.58988140943606</v>
      </c>
    </row>
    <row r="720" spans="1:12">
      <c r="A720" s="96">
        <v>44328</v>
      </c>
      <c r="B720" s="101">
        <v>78.33</v>
      </c>
      <c r="C720" s="1">
        <f t="shared" si="22"/>
        <v>3.5810244177060212E-3</v>
      </c>
      <c r="D720" s="1">
        <f>IFERROR(Comp3[[#This Row],[Comparable '#3 Return]]+1,"-")</f>
        <v>1.0035810244177059</v>
      </c>
      <c r="E720" s="6">
        <f>B720-MAX($B$2:B720)</f>
        <v>-109.71</v>
      </c>
      <c r="F720" s="80">
        <f t="shared" si="23"/>
        <v>458</v>
      </c>
      <c r="G720" s="6">
        <f>IFERROR(Comp3[[#This Row],[Comparable '#3 Drawdown]]/MAX($B$2:B720),"-")</f>
        <v>-0.58343969368219528</v>
      </c>
      <c r="H720" s="1" t="str">
        <f>IF(SUM(COUNTIF(Benchmark1[Benchmark '#1 Dates],Comp3[[#This Row],[Comparable '#3 Dates]]),COUNTIF(Benchmark2[Benchmark '#2 Dates],Comp3[[#This Row],[Comparable '#3 Dates]]))=2,"Pass","Fail")</f>
        <v>Pass</v>
      </c>
      <c r="I720" s="1">
        <f>IFERROR(Comp3[[#This Row],[Comparable '#3 Return]]-INDEX(Benchmark1[Benchmark '#1 Return],MATCH(Comp3[[#This Row],[Comparable '#3 Dates]],Benchmark1[Benchmark '#1 Dates],0)),"-")</f>
        <v>2.5263184651269404E-2</v>
      </c>
      <c r="L720" s="72">
        <f>Comp3[[#This Row],[Comparable '#3 Price]]/$B$2*100</f>
        <v>66.828768876375733</v>
      </c>
    </row>
    <row r="721" spans="1:12">
      <c r="A721" s="96">
        <v>44329</v>
      </c>
      <c r="B721" s="101">
        <v>78.069999999999993</v>
      </c>
      <c r="C721" s="1">
        <f t="shared" si="22"/>
        <v>-3.3248112469476902E-3</v>
      </c>
      <c r="D721" s="1">
        <f>IFERROR(Comp3[[#This Row],[Comparable '#3 Return]]+1,"-")</f>
        <v>0.99667518875305228</v>
      </c>
      <c r="E721" s="6">
        <f>B721-MAX($B$2:B721)</f>
        <v>-109.97</v>
      </c>
      <c r="F721" s="80">
        <f t="shared" si="23"/>
        <v>459</v>
      </c>
      <c r="G721" s="6">
        <f>IFERROR(Comp3[[#This Row],[Comparable '#3 Drawdown]]/MAX($B$2:B721),"-")</f>
        <v>-0.58482237821740057</v>
      </c>
      <c r="H721" s="1" t="str">
        <f>IF(SUM(COUNTIF(Benchmark1[Benchmark '#1 Dates],Comp3[[#This Row],[Comparable '#3 Dates]]),COUNTIF(Benchmark2[Benchmark '#2 Dates],Comp3[[#This Row],[Comparable '#3 Dates]]))=2,"Pass","Fail")</f>
        <v>Pass</v>
      </c>
      <c r="I721" s="1">
        <f>IFERROR(Comp3[[#This Row],[Comparable '#3 Return]]-INDEX(Benchmark1[Benchmark '#1 Return],MATCH(Comp3[[#This Row],[Comparable '#3 Dates]],Benchmark1[Benchmark '#1 Dates],0)),"-")</f>
        <v>-1.5424018015777299E-2</v>
      </c>
      <c r="L721" s="72">
        <f>Comp3[[#This Row],[Comparable '#3 Price]]/$B$2*100</f>
        <v>66.606944799931739</v>
      </c>
    </row>
    <row r="722" spans="1:12">
      <c r="A722" s="96">
        <v>44330</v>
      </c>
      <c r="B722" s="101">
        <v>76.61</v>
      </c>
      <c r="C722" s="1">
        <f t="shared" si="22"/>
        <v>-1.8878243603469989E-2</v>
      </c>
      <c r="D722" s="1">
        <f>IFERROR(Comp3[[#This Row],[Comparable '#3 Return]]+1,"-")</f>
        <v>0.98112175639652999</v>
      </c>
      <c r="E722" s="6">
        <f>B722-MAX($B$2:B722)</f>
        <v>-111.42999999999999</v>
      </c>
      <c r="F722" s="80">
        <f t="shared" si="23"/>
        <v>460</v>
      </c>
      <c r="G722" s="6">
        <f>IFERROR(Comp3[[#This Row],[Comparable '#3 Drawdown]]/MAX($B$2:B722),"-")</f>
        <v>-0.59258668368432244</v>
      </c>
      <c r="H722" s="1" t="str">
        <f>IF(SUM(COUNTIF(Benchmark1[Benchmark '#1 Dates],Comp3[[#This Row],[Comparable '#3 Dates]]),COUNTIF(Benchmark2[Benchmark '#2 Dates],Comp3[[#This Row],[Comparable '#3 Dates]]))=2,"Pass","Fail")</f>
        <v>Pass</v>
      </c>
      <c r="I722" s="1">
        <f>IFERROR(Comp3[[#This Row],[Comparable '#3 Return]]-INDEX(Benchmark1[Benchmark '#1 Return],MATCH(Comp3[[#This Row],[Comparable '#3 Dates]],Benchmark1[Benchmark '#1 Dates],0)),"-")</f>
        <v>-3.3687948850607274E-2</v>
      </c>
      <c r="L722" s="72">
        <f>Comp3[[#This Row],[Comparable '#3 Price]]/$B$2*100</f>
        <v>65.361317293746268</v>
      </c>
    </row>
    <row r="723" spans="1:12">
      <c r="A723" s="96">
        <v>44333</v>
      </c>
      <c r="B723" s="101">
        <v>76.95</v>
      </c>
      <c r="C723" s="1">
        <f t="shared" si="22"/>
        <v>4.4282437561587997E-3</v>
      </c>
      <c r="D723" s="1">
        <f>IFERROR(Comp3[[#This Row],[Comparable '#3 Return]]+1,"-")</f>
        <v>1.0044282437561587</v>
      </c>
      <c r="E723" s="6">
        <f>B723-MAX($B$2:B723)</f>
        <v>-111.08999999999999</v>
      </c>
      <c r="F723" s="80">
        <f t="shared" si="23"/>
        <v>461</v>
      </c>
      <c r="G723" s="6">
        <f>IFERROR(Comp3[[#This Row],[Comparable '#3 Drawdown]]/MAX($B$2:B723),"-")</f>
        <v>-0.59077855775366939</v>
      </c>
      <c r="H723" s="1" t="str">
        <f>IF(SUM(COUNTIF(Benchmark1[Benchmark '#1 Dates],Comp3[[#This Row],[Comparable '#3 Dates]]),COUNTIF(Benchmark2[Benchmark '#2 Dates],Comp3[[#This Row],[Comparable '#3 Dates]]))=2,"Pass","Fail")</f>
        <v>Pass</v>
      </c>
      <c r="I723" s="1">
        <f>IFERROR(Comp3[[#This Row],[Comparable '#3 Return]]-INDEX(Benchmark1[Benchmark '#1 Return],MATCH(Comp3[[#This Row],[Comparable '#3 Dates]],Benchmark1[Benchmark '#1 Dates],0)),"-")</f>
        <v>6.9623596599225155E-3</v>
      </c>
      <c r="L723" s="72">
        <f>Comp3[[#This Row],[Comparable '#3 Price]]/$B$2*100</f>
        <v>65.651394932173019</v>
      </c>
    </row>
    <row r="724" spans="1:12">
      <c r="A724" s="96">
        <v>44334</v>
      </c>
      <c r="B724" s="101">
        <v>76.430000000000007</v>
      </c>
      <c r="C724" s="1">
        <f t="shared" si="22"/>
        <v>-6.780571030095466E-3</v>
      </c>
      <c r="D724" s="1">
        <f>IFERROR(Comp3[[#This Row],[Comparable '#3 Return]]+1,"-")</f>
        <v>0.99321942896990456</v>
      </c>
      <c r="E724" s="6">
        <f>B724-MAX($B$2:B724)</f>
        <v>-111.60999999999999</v>
      </c>
      <c r="F724" s="80">
        <f t="shared" si="23"/>
        <v>462</v>
      </c>
      <c r="G724" s="6">
        <f>IFERROR(Comp3[[#This Row],[Comparable '#3 Drawdown]]/MAX($B$2:B724),"-")</f>
        <v>-0.59354392682407997</v>
      </c>
      <c r="H724" s="1" t="str">
        <f>IF(SUM(COUNTIF(Benchmark1[Benchmark '#1 Dates],Comp3[[#This Row],[Comparable '#3 Dates]]),COUNTIF(Benchmark2[Benchmark '#2 Dates],Comp3[[#This Row],[Comparable '#3 Dates]]))=2,"Pass","Fail")</f>
        <v>Pass</v>
      </c>
      <c r="I724" s="1">
        <f>IFERROR(Comp3[[#This Row],[Comparable '#3 Return]]-INDEX(Benchmark1[Benchmark '#1 Return],MATCH(Comp3[[#This Row],[Comparable '#3 Dates]],Benchmark1[Benchmark '#1 Dates],0)),"-")</f>
        <v>1.7733624334163181E-3</v>
      </c>
      <c r="L724" s="72">
        <f>Comp3[[#This Row],[Comparable '#3 Price]]/$B$2*100</f>
        <v>65.20774677928506</v>
      </c>
    </row>
    <row r="725" spans="1:12">
      <c r="A725" s="96">
        <v>44335</v>
      </c>
      <c r="B725" s="101">
        <v>76.14</v>
      </c>
      <c r="C725" s="1">
        <f t="shared" si="22"/>
        <v>-3.8015383004414561E-3</v>
      </c>
      <c r="D725" s="1">
        <f>IFERROR(Comp3[[#This Row],[Comparable '#3 Return]]+1,"-")</f>
        <v>0.9961984616995585</v>
      </c>
      <c r="E725" s="6">
        <f>B725-MAX($B$2:B725)</f>
        <v>-111.89999999999999</v>
      </c>
      <c r="F725" s="80">
        <f t="shared" si="23"/>
        <v>463</v>
      </c>
      <c r="G725" s="6">
        <f>IFERROR(Comp3[[#This Row],[Comparable '#3 Drawdown]]/MAX($B$2:B725),"-")</f>
        <v>-0.59508615188257818</v>
      </c>
      <c r="H725" s="1" t="str">
        <f>IF(SUM(COUNTIF(Benchmark1[Benchmark '#1 Dates],Comp3[[#This Row],[Comparable '#3 Dates]]),COUNTIF(Benchmark2[Benchmark '#2 Dates],Comp3[[#This Row],[Comparable '#3 Dates]]))=2,"Pass","Fail")</f>
        <v>Pass</v>
      </c>
      <c r="I725" s="1">
        <f>IFERROR(Comp3[[#This Row],[Comparable '#3 Return]]-INDEX(Benchmark1[Benchmark '#1 Return],MATCH(Comp3[[#This Row],[Comparable '#3 Dates]],Benchmark1[Benchmark '#1 Dates],0)),"-")</f>
        <v>-8.5302377117145575E-4</v>
      </c>
      <c r="L725" s="72">
        <f>Comp3[[#This Row],[Comparable '#3 Price]]/$B$2*100</f>
        <v>64.960327617097519</v>
      </c>
    </row>
    <row r="726" spans="1:12">
      <c r="A726" s="96">
        <v>44336</v>
      </c>
      <c r="B726" s="101">
        <v>76.47</v>
      </c>
      <c r="C726" s="1">
        <f t="shared" si="22"/>
        <v>4.3247561017825337E-3</v>
      </c>
      <c r="D726" s="1">
        <f>IFERROR(Comp3[[#This Row],[Comparable '#3 Return]]+1,"-")</f>
        <v>1.0043247561017825</v>
      </c>
      <c r="E726" s="6">
        <f>B726-MAX($B$2:B726)</f>
        <v>-111.57</v>
      </c>
      <c r="F726" s="80">
        <f t="shared" si="23"/>
        <v>464</v>
      </c>
      <c r="G726" s="6">
        <f>IFERROR(Comp3[[#This Row],[Comparable '#3 Drawdown]]/MAX($B$2:B726),"-")</f>
        <v>-0.59333120612635604</v>
      </c>
      <c r="H726" s="1" t="str">
        <f>IF(SUM(COUNTIF(Benchmark1[Benchmark '#1 Dates],Comp3[[#This Row],[Comparable '#3 Dates]]),COUNTIF(Benchmark2[Benchmark '#2 Dates],Comp3[[#This Row],[Comparable '#3 Dates]]))=2,"Pass","Fail")</f>
        <v>Pass</v>
      </c>
      <c r="I726" s="1">
        <f>IFERROR(Comp3[[#This Row],[Comparable '#3 Return]]-INDEX(Benchmark1[Benchmark '#1 Return],MATCH(Comp3[[#This Row],[Comparable '#3 Dates]],Benchmark1[Benchmark '#1 Dates],0)),"-")</f>
        <v>-6.1765313064106033E-3</v>
      </c>
      <c r="L726" s="72">
        <f>Comp3[[#This Row],[Comparable '#3 Price]]/$B$2*100</f>
        <v>65.241873560276431</v>
      </c>
    </row>
    <row r="727" spans="1:12">
      <c r="A727" s="96">
        <v>44337</v>
      </c>
      <c r="B727" s="101">
        <v>74.099999999999994</v>
      </c>
      <c r="C727" s="1">
        <f t="shared" si="22"/>
        <v>-3.1482974754092605E-2</v>
      </c>
      <c r="D727" s="1">
        <f>IFERROR(Comp3[[#This Row],[Comparable '#3 Return]]+1,"-")</f>
        <v>0.96851702524590744</v>
      </c>
      <c r="E727" s="6">
        <f>B727-MAX($B$2:B727)</f>
        <v>-113.94</v>
      </c>
      <c r="F727" s="80">
        <f t="shared" si="23"/>
        <v>465</v>
      </c>
      <c r="G727" s="6">
        <f>IFERROR(Comp3[[#This Row],[Comparable '#3 Drawdown]]/MAX($B$2:B727),"-")</f>
        <v>-0.60593490746649648</v>
      </c>
      <c r="H727" s="1" t="str">
        <f>IF(SUM(COUNTIF(Benchmark1[Benchmark '#1 Dates],Comp3[[#This Row],[Comparable '#3 Dates]]),COUNTIF(Benchmark2[Benchmark '#2 Dates],Comp3[[#This Row],[Comparable '#3 Dates]]))=2,"Pass","Fail")</f>
        <v>Pass</v>
      </c>
      <c r="I727" s="1">
        <f>IFERROR(Comp3[[#This Row],[Comparable '#3 Return]]-INDEX(Benchmark1[Benchmark '#1 Return],MATCH(Comp3[[#This Row],[Comparable '#3 Dates]],Benchmark1[Benchmark '#1 Dates],0)),"-")</f>
        <v>-3.0697258940383321E-2</v>
      </c>
      <c r="L727" s="72">
        <f>Comp3[[#This Row],[Comparable '#3 Price]]/$B$2*100</f>
        <v>63.219861786536981</v>
      </c>
    </row>
    <row r="728" spans="1:12">
      <c r="A728" s="96">
        <v>44340</v>
      </c>
      <c r="B728" s="101">
        <v>73.459999999999994</v>
      </c>
      <c r="C728" s="1">
        <f t="shared" si="22"/>
        <v>-8.6744919105199436E-3</v>
      </c>
      <c r="D728" s="1">
        <f>IFERROR(Comp3[[#This Row],[Comparable '#3 Return]]+1,"-")</f>
        <v>0.99132550808948006</v>
      </c>
      <c r="E728" s="6">
        <f>B728-MAX($B$2:B728)</f>
        <v>-114.58</v>
      </c>
      <c r="F728" s="80">
        <f t="shared" si="23"/>
        <v>466</v>
      </c>
      <c r="G728" s="6">
        <f>IFERROR(Comp3[[#This Row],[Comparable '#3 Drawdown]]/MAX($B$2:B728),"-")</f>
        <v>-0.60933843863007875</v>
      </c>
      <c r="H728" s="1" t="str">
        <f>IF(SUM(COUNTIF(Benchmark1[Benchmark '#1 Dates],Comp3[[#This Row],[Comparable '#3 Dates]]),COUNTIF(Benchmark2[Benchmark '#2 Dates],Comp3[[#This Row],[Comparable '#3 Dates]]))=2,"Pass","Fail")</f>
        <v>Pass</v>
      </c>
      <c r="I728" s="1">
        <f>IFERROR(Comp3[[#This Row],[Comparable '#3 Return]]-INDEX(Benchmark1[Benchmark '#1 Return],MATCH(Comp3[[#This Row],[Comparable '#3 Dates]],Benchmark1[Benchmark '#1 Dates],0)),"-")</f>
        <v>-1.8536874794277312E-2</v>
      </c>
      <c r="L728" s="72">
        <f>Comp3[[#This Row],[Comparable '#3 Price]]/$B$2*100</f>
        <v>62.67383329067485</v>
      </c>
    </row>
    <row r="729" spans="1:12">
      <c r="A729" s="96">
        <v>44341</v>
      </c>
      <c r="B729" s="101">
        <v>73.22</v>
      </c>
      <c r="C729" s="1">
        <f t="shared" si="22"/>
        <v>-3.2724326994309876E-3</v>
      </c>
      <c r="D729" s="1">
        <f>IFERROR(Comp3[[#This Row],[Comparable '#3 Return]]+1,"-")</f>
        <v>0.996727567300569</v>
      </c>
      <c r="E729" s="6">
        <f>B729-MAX($B$2:B729)</f>
        <v>-114.82</v>
      </c>
      <c r="F729" s="80">
        <f t="shared" si="23"/>
        <v>467</v>
      </c>
      <c r="G729" s="6">
        <f>IFERROR(Comp3[[#This Row],[Comparable '#3 Drawdown]]/MAX($B$2:B729),"-")</f>
        <v>-0.61061476281642202</v>
      </c>
      <c r="H729" s="1" t="str">
        <f>IF(SUM(COUNTIF(Benchmark1[Benchmark '#1 Dates],Comp3[[#This Row],[Comparable '#3 Dates]]),COUNTIF(Benchmark2[Benchmark '#2 Dates],Comp3[[#This Row],[Comparable '#3 Dates]]))=2,"Pass","Fail")</f>
        <v>Pass</v>
      </c>
      <c r="I729" s="1">
        <f>IFERROR(Comp3[[#This Row],[Comparable '#3 Return]]-INDEX(Benchmark1[Benchmark '#1 Return],MATCH(Comp3[[#This Row],[Comparable '#3 Dates]],Benchmark1[Benchmark '#1 Dates],0)),"-")</f>
        <v>-1.1465056340022057E-3</v>
      </c>
      <c r="L729" s="72">
        <f>Comp3[[#This Row],[Comparable '#3 Price]]/$B$2*100</f>
        <v>62.469072604726563</v>
      </c>
    </row>
    <row r="730" spans="1:12">
      <c r="A730" s="96">
        <v>44342</v>
      </c>
      <c r="B730" s="101">
        <v>73.739999999999995</v>
      </c>
      <c r="C730" s="1">
        <f t="shared" si="22"/>
        <v>7.076785113908338E-3</v>
      </c>
      <c r="D730" s="1">
        <f>IFERROR(Comp3[[#This Row],[Comparable '#3 Return]]+1,"-")</f>
        <v>1.0070767851139084</v>
      </c>
      <c r="E730" s="6">
        <f>B730-MAX($B$2:B730)</f>
        <v>-114.3</v>
      </c>
      <c r="F730" s="80">
        <f t="shared" si="23"/>
        <v>468</v>
      </c>
      <c r="G730" s="6">
        <f>IFERROR(Comp3[[#This Row],[Comparable '#3 Drawdown]]/MAX($B$2:B730),"-")</f>
        <v>-0.60784939374601155</v>
      </c>
      <c r="H730" s="1" t="str">
        <f>IF(SUM(COUNTIF(Benchmark1[Benchmark '#1 Dates],Comp3[[#This Row],[Comparable '#3 Dates]]),COUNTIF(Benchmark2[Benchmark '#2 Dates],Comp3[[#This Row],[Comparable '#3 Dates]]))=2,"Pass","Fail")</f>
        <v>Pass</v>
      </c>
      <c r="I730" s="1">
        <f>IFERROR(Comp3[[#This Row],[Comparable '#3 Return]]-INDEX(Benchmark1[Benchmark '#1 Return],MATCH(Comp3[[#This Row],[Comparable '#3 Dates]],Benchmark1[Benchmark '#1 Dates],0)),"-")</f>
        <v>5.2019274808765411E-3</v>
      </c>
      <c r="L730" s="72">
        <f>Comp3[[#This Row],[Comparable '#3 Price]]/$B$2*100</f>
        <v>62.912720757614537</v>
      </c>
    </row>
    <row r="731" spans="1:12">
      <c r="A731" s="96">
        <v>44343</v>
      </c>
      <c r="B731" s="101">
        <v>74.7</v>
      </c>
      <c r="C731" s="1">
        <f t="shared" si="22"/>
        <v>1.2934699332773263E-2</v>
      </c>
      <c r="D731" s="1">
        <f>IFERROR(Comp3[[#This Row],[Comparable '#3 Return]]+1,"-")</f>
        <v>1.0129346993327732</v>
      </c>
      <c r="E731" s="6">
        <f>B731-MAX($B$2:B731)</f>
        <v>-113.33999999999999</v>
      </c>
      <c r="F731" s="80">
        <f t="shared" si="23"/>
        <v>469</v>
      </c>
      <c r="G731" s="6">
        <f>IFERROR(Comp3[[#This Row],[Comparable '#3 Drawdown]]/MAX($B$2:B731),"-")</f>
        <v>-0.60274409700063813</v>
      </c>
      <c r="H731" s="1" t="str">
        <f>IF(SUM(COUNTIF(Benchmark1[Benchmark '#1 Dates],Comp3[[#This Row],[Comparable '#3 Dates]]),COUNTIF(Benchmark2[Benchmark '#2 Dates],Comp3[[#This Row],[Comparable '#3 Dates]]))=2,"Pass","Fail")</f>
        <v>Pass</v>
      </c>
      <c r="I731" s="1">
        <f>IFERROR(Comp3[[#This Row],[Comparable '#3 Return]]-INDEX(Benchmark1[Benchmark '#1 Return],MATCH(Comp3[[#This Row],[Comparable '#3 Dates]],Benchmark1[Benchmark '#1 Dates],0)),"-")</f>
        <v>1.1771844828370966E-2</v>
      </c>
      <c r="L731" s="72">
        <f>Comp3[[#This Row],[Comparable '#3 Price]]/$B$2*100</f>
        <v>63.731763501407734</v>
      </c>
    </row>
    <row r="732" spans="1:12">
      <c r="A732" s="96">
        <v>44344</v>
      </c>
      <c r="B732" s="101">
        <v>70.84</v>
      </c>
      <c r="C732" s="1">
        <f t="shared" si="22"/>
        <v>-5.3056279224138782E-2</v>
      </c>
      <c r="D732" s="1">
        <f>IFERROR(Comp3[[#This Row],[Comparable '#3 Return]]+1,"-")</f>
        <v>0.9469437207758612</v>
      </c>
      <c r="E732" s="6">
        <f>B732-MAX($B$2:B732)</f>
        <v>-117.19999999999999</v>
      </c>
      <c r="F732" s="80">
        <f t="shared" si="23"/>
        <v>470</v>
      </c>
      <c r="G732" s="6">
        <f>IFERROR(Comp3[[#This Row],[Comparable '#3 Drawdown]]/MAX($B$2:B732),"-")</f>
        <v>-0.62327164433099336</v>
      </c>
      <c r="H732" s="1" t="str">
        <f>IF(SUM(COUNTIF(Benchmark1[Benchmark '#1 Dates],Comp3[[#This Row],[Comparable '#3 Dates]]),COUNTIF(Benchmark2[Benchmark '#2 Dates],Comp3[[#This Row],[Comparable '#3 Dates]]))=2,"Pass","Fail")</f>
        <v>Pass</v>
      </c>
      <c r="I732" s="1">
        <f>IFERROR(Comp3[[#This Row],[Comparable '#3 Return]]-INDEX(Benchmark1[Benchmark '#1 Return],MATCH(Comp3[[#This Row],[Comparable '#3 Dates]],Benchmark1[Benchmark '#1 Dates],0)),"-")</f>
        <v>-5.3825999405424187E-2</v>
      </c>
      <c r="L732" s="72">
        <f>Comp3[[#This Row],[Comparable '#3 Price]]/$B$2*100</f>
        <v>60.43852913573928</v>
      </c>
    </row>
    <row r="733" spans="1:12">
      <c r="A733" s="96">
        <v>44348</v>
      </c>
      <c r="B733" s="101">
        <v>73.42</v>
      </c>
      <c r="C733" s="1">
        <f t="shared" si="22"/>
        <v>3.5772565154055483E-2</v>
      </c>
      <c r="D733" s="1">
        <f>IFERROR(Comp3[[#This Row],[Comparable '#3 Return]]+1,"-")</f>
        <v>1.0357725651540555</v>
      </c>
      <c r="E733" s="6">
        <f>B733-MAX($B$2:B733)</f>
        <v>-114.61999999999999</v>
      </c>
      <c r="F733" s="80">
        <f t="shared" si="23"/>
        <v>471</v>
      </c>
      <c r="G733" s="6">
        <f>IFERROR(Comp3[[#This Row],[Comparable '#3 Drawdown]]/MAX($B$2:B733),"-")</f>
        <v>-0.60955115932780257</v>
      </c>
      <c r="H733" s="1" t="str">
        <f>IF(SUM(COUNTIF(Benchmark1[Benchmark '#1 Dates],Comp3[[#This Row],[Comparable '#3 Dates]]),COUNTIF(Benchmark2[Benchmark '#2 Dates],Comp3[[#This Row],[Comparable '#3 Dates]]))=2,"Pass","Fail")</f>
        <v>Pass</v>
      </c>
      <c r="I733" s="1">
        <f>IFERROR(Comp3[[#This Row],[Comparable '#3 Return]]-INDEX(Benchmark1[Benchmark '#1 Return],MATCH(Comp3[[#This Row],[Comparable '#3 Dates]],Benchmark1[Benchmark '#1 Dates],0)),"-")</f>
        <v>3.626480857783513E-2</v>
      </c>
      <c r="L733" s="72">
        <f>Comp3[[#This Row],[Comparable '#3 Price]]/$B$2*100</f>
        <v>62.639706509683478</v>
      </c>
    </row>
    <row r="734" spans="1:12">
      <c r="A734" s="96">
        <v>44349</v>
      </c>
      <c r="B734" s="101">
        <v>72.05</v>
      </c>
      <c r="C734" s="1">
        <f t="shared" si="22"/>
        <v>-1.8836055623157179E-2</v>
      </c>
      <c r="D734" s="1">
        <f>IFERROR(Comp3[[#This Row],[Comparable '#3 Return]]+1,"-")</f>
        <v>0.98116394437684284</v>
      </c>
      <c r="E734" s="6">
        <f>B734-MAX($B$2:B734)</f>
        <v>-115.99</v>
      </c>
      <c r="F734" s="80">
        <f t="shared" si="23"/>
        <v>472</v>
      </c>
      <c r="G734" s="6">
        <f>IFERROR(Comp3[[#This Row],[Comparable '#3 Drawdown]]/MAX($B$2:B734),"-")</f>
        <v>-0.61683684322484578</v>
      </c>
      <c r="H734" s="1" t="str">
        <f>IF(SUM(COUNTIF(Benchmark1[Benchmark '#1 Dates],Comp3[[#This Row],[Comparable '#3 Dates]]),COUNTIF(Benchmark2[Benchmark '#2 Dates],Comp3[[#This Row],[Comparable '#3 Dates]]))=2,"Pass","Fail")</f>
        <v>Pass</v>
      </c>
      <c r="I734" s="1">
        <f>IFERROR(Comp3[[#This Row],[Comparable '#3 Return]]-INDEX(Benchmark1[Benchmark '#1 Return],MATCH(Comp3[[#This Row],[Comparable '#3 Dates]],Benchmark1[Benchmark '#1 Dates],0)),"-")</f>
        <v>-2.0281357697174714E-2</v>
      </c>
      <c r="L734" s="72">
        <f>Comp3[[#This Row],[Comparable '#3 Price]]/$B$2*100</f>
        <v>61.470864260728611</v>
      </c>
    </row>
    <row r="735" spans="1:12">
      <c r="A735" s="96">
        <v>44350</v>
      </c>
      <c r="B735" s="101">
        <v>72.599999999999994</v>
      </c>
      <c r="C735" s="1">
        <f t="shared" si="22"/>
        <v>7.6045993852192125E-3</v>
      </c>
      <c r="D735" s="1">
        <f>IFERROR(Comp3[[#This Row],[Comparable '#3 Return]]+1,"-")</f>
        <v>1.0076045993852192</v>
      </c>
      <c r="E735" s="6">
        <f>B735-MAX($B$2:B735)</f>
        <v>-115.44</v>
      </c>
      <c r="F735" s="80">
        <f t="shared" si="23"/>
        <v>473</v>
      </c>
      <c r="G735" s="6">
        <f>IFERROR(Comp3[[#This Row],[Comparable '#3 Drawdown]]/MAX($B$2:B735),"-")</f>
        <v>-0.61391193363114227</v>
      </c>
      <c r="H735" s="1" t="str">
        <f>IF(SUM(COUNTIF(Benchmark1[Benchmark '#1 Dates],Comp3[[#This Row],[Comparable '#3 Dates]]),COUNTIF(Benchmark2[Benchmark '#2 Dates],Comp3[[#This Row],[Comparable '#3 Dates]]))=2,"Pass","Fail")</f>
        <v>Pass</v>
      </c>
      <c r="I735" s="1">
        <f>IFERROR(Comp3[[#This Row],[Comparable '#3 Return]]-INDEX(Benchmark1[Benchmark '#1 Return],MATCH(Comp3[[#This Row],[Comparable '#3 Dates]],Benchmark1[Benchmark '#1 Dates],0)),"-")</f>
        <v>1.1238564261801091E-2</v>
      </c>
      <c r="L735" s="72">
        <f>Comp3[[#This Row],[Comparable '#3 Price]]/$B$2*100</f>
        <v>61.940107499360117</v>
      </c>
    </row>
    <row r="736" spans="1:12">
      <c r="A736" s="96">
        <v>44351</v>
      </c>
      <c r="B736" s="101">
        <v>72.930000000000007</v>
      </c>
      <c r="C736" s="1">
        <f t="shared" si="22"/>
        <v>4.5351551653913628E-3</v>
      </c>
      <c r="D736" s="1">
        <f>IFERROR(Comp3[[#This Row],[Comparable '#3 Return]]+1,"-")</f>
        <v>1.0045351551653914</v>
      </c>
      <c r="E736" s="6">
        <f>B736-MAX($B$2:B736)</f>
        <v>-115.10999999999999</v>
      </c>
      <c r="F736" s="80">
        <f t="shared" si="23"/>
        <v>474</v>
      </c>
      <c r="G736" s="6">
        <f>IFERROR(Comp3[[#This Row],[Comparable '#3 Drawdown]]/MAX($B$2:B736),"-")</f>
        <v>-0.61215698787492012</v>
      </c>
      <c r="H736" s="1" t="str">
        <f>IF(SUM(COUNTIF(Benchmark1[Benchmark '#1 Dates],Comp3[[#This Row],[Comparable '#3 Dates]]),COUNTIF(Benchmark2[Benchmark '#2 Dates],Comp3[[#This Row],[Comparable '#3 Dates]]))=2,"Pass","Fail")</f>
        <v>Pass</v>
      </c>
      <c r="I736" s="1">
        <f>IFERROR(Comp3[[#This Row],[Comparable '#3 Return]]-INDEX(Benchmark1[Benchmark '#1 Return],MATCH(Comp3[[#This Row],[Comparable '#3 Dates]],Benchmark1[Benchmark '#1 Dates],0)),"-")</f>
        <v>-4.2591338510386025E-3</v>
      </c>
      <c r="L736" s="72">
        <f>Comp3[[#This Row],[Comparable '#3 Price]]/$B$2*100</f>
        <v>62.221653442539036</v>
      </c>
    </row>
    <row r="737" spans="1:12">
      <c r="A737" s="96">
        <v>44354</v>
      </c>
      <c r="B737" s="101">
        <v>73.37</v>
      </c>
      <c r="C737" s="1">
        <f t="shared" si="22"/>
        <v>6.015055729761189E-3</v>
      </c>
      <c r="D737" s="1">
        <f>IFERROR(Comp3[[#This Row],[Comparable '#3 Return]]+1,"-")</f>
        <v>1.0060150557297611</v>
      </c>
      <c r="E737" s="6">
        <f>B737-MAX($B$2:B737)</f>
        <v>-114.66999999999999</v>
      </c>
      <c r="F737" s="80">
        <f t="shared" si="23"/>
        <v>475</v>
      </c>
      <c r="G737" s="6">
        <f>IFERROR(Comp3[[#This Row],[Comparable '#3 Drawdown]]/MAX($B$2:B737),"-")</f>
        <v>-0.60981706019995741</v>
      </c>
      <c r="H737" s="1" t="str">
        <f>IF(SUM(COUNTIF(Benchmark1[Benchmark '#1 Dates],Comp3[[#This Row],[Comparable '#3 Dates]]),COUNTIF(Benchmark2[Benchmark '#2 Dates],Comp3[[#This Row],[Comparable '#3 Dates]]))=2,"Pass","Fail")</f>
        <v>Pass</v>
      </c>
      <c r="I737" s="1">
        <f>IFERROR(Comp3[[#This Row],[Comparable '#3 Return]]-INDEX(Benchmark1[Benchmark '#1 Return],MATCH(Comp3[[#This Row],[Comparable '#3 Dates]],Benchmark1[Benchmark '#1 Dates],0)),"-")</f>
        <v>6.8121849384724506E-3</v>
      </c>
      <c r="L737" s="72">
        <f>Comp3[[#This Row],[Comparable '#3 Price]]/$B$2*100</f>
        <v>62.59704803344426</v>
      </c>
    </row>
    <row r="738" spans="1:12">
      <c r="A738" s="96">
        <v>44355</v>
      </c>
      <c r="B738" s="101">
        <v>73.7</v>
      </c>
      <c r="C738" s="1">
        <f t="shared" si="22"/>
        <v>4.4876664693879768E-3</v>
      </c>
      <c r="D738" s="1">
        <f>IFERROR(Comp3[[#This Row],[Comparable '#3 Return]]+1,"-")</f>
        <v>1.004487666469388</v>
      </c>
      <c r="E738" s="6">
        <f>B738-MAX($B$2:B738)</f>
        <v>-114.33999999999999</v>
      </c>
      <c r="F738" s="80">
        <f t="shared" si="23"/>
        <v>476</v>
      </c>
      <c r="G738" s="6">
        <f>IFERROR(Comp3[[#This Row],[Comparable '#3 Drawdown]]/MAX($B$2:B738),"-")</f>
        <v>-0.60806211444373537</v>
      </c>
      <c r="H738" s="1" t="str">
        <f>IF(SUM(COUNTIF(Benchmark1[Benchmark '#1 Dates],Comp3[[#This Row],[Comparable '#3 Dates]]),COUNTIF(Benchmark2[Benchmark '#2 Dates],Comp3[[#This Row],[Comparable '#3 Dates]]))=2,"Pass","Fail")</f>
        <v>Pass</v>
      </c>
      <c r="I738" s="1">
        <f>IFERROR(Comp3[[#This Row],[Comparable '#3 Return]]-INDEX(Benchmark1[Benchmark '#1 Return],MATCH(Comp3[[#This Row],[Comparable '#3 Dates]],Benchmark1[Benchmark '#1 Dates],0)),"-")</f>
        <v>4.3138208562043204E-3</v>
      </c>
      <c r="L738" s="72">
        <f>Comp3[[#This Row],[Comparable '#3 Price]]/$B$2*100</f>
        <v>62.878593976623165</v>
      </c>
    </row>
    <row r="739" spans="1:12">
      <c r="A739" s="96">
        <v>44356</v>
      </c>
      <c r="B739" s="101">
        <v>75.67</v>
      </c>
      <c r="C739" s="1">
        <f t="shared" si="22"/>
        <v>2.6378981511139273E-2</v>
      </c>
      <c r="D739" s="1">
        <f>IFERROR(Comp3[[#This Row],[Comparable '#3 Return]]+1,"-")</f>
        <v>1.0263789815111393</v>
      </c>
      <c r="E739" s="6">
        <f>B739-MAX($B$2:B739)</f>
        <v>-112.36999999999999</v>
      </c>
      <c r="F739" s="80">
        <f t="shared" si="23"/>
        <v>477</v>
      </c>
      <c r="G739" s="6">
        <f>IFERROR(Comp3[[#This Row],[Comparable '#3 Drawdown]]/MAX($B$2:B739),"-")</f>
        <v>-0.59758562008083382</v>
      </c>
      <c r="H739" s="1" t="str">
        <f>IF(SUM(COUNTIF(Benchmark1[Benchmark '#1 Dates],Comp3[[#This Row],[Comparable '#3 Dates]]),COUNTIF(Benchmark2[Benchmark '#2 Dates],Comp3[[#This Row],[Comparable '#3 Dates]]))=2,"Pass","Fail")</f>
        <v>Pass</v>
      </c>
      <c r="I739" s="1">
        <f>IFERROR(Comp3[[#This Row],[Comparable '#3 Return]]-INDEX(Benchmark1[Benchmark '#1 Return],MATCH(Comp3[[#This Row],[Comparable '#3 Dates]],Benchmark1[Benchmark '#1 Dates],0)),"-")</f>
        <v>2.8204092575915621E-2</v>
      </c>
      <c r="L739" s="72">
        <f>Comp3[[#This Row],[Comparable '#3 Price]]/$B$2*100</f>
        <v>64.559337940448771</v>
      </c>
    </row>
    <row r="740" spans="1:12">
      <c r="A740" s="96">
        <v>44357</v>
      </c>
      <c r="B740" s="101">
        <v>78.17</v>
      </c>
      <c r="C740" s="1">
        <f t="shared" si="22"/>
        <v>3.2504161525808789E-2</v>
      </c>
      <c r="D740" s="1">
        <f>IFERROR(Comp3[[#This Row],[Comparable '#3 Return]]+1,"-")</f>
        <v>1.0325041615258088</v>
      </c>
      <c r="E740" s="6">
        <f>B740-MAX($B$2:B740)</f>
        <v>-109.86999999999999</v>
      </c>
      <c r="F740" s="80">
        <f t="shared" si="23"/>
        <v>478</v>
      </c>
      <c r="G740" s="6">
        <f>IFERROR(Comp3[[#This Row],[Comparable '#3 Drawdown]]/MAX($B$2:B740),"-")</f>
        <v>-0.58429057647309079</v>
      </c>
      <c r="H740" s="1" t="str">
        <f>IF(SUM(COUNTIF(Benchmark1[Benchmark '#1 Dates],Comp3[[#This Row],[Comparable '#3 Dates]]),COUNTIF(Benchmark2[Benchmark '#2 Dates],Comp3[[#This Row],[Comparable '#3 Dates]]))=2,"Pass","Fail")</f>
        <v>Pass</v>
      </c>
      <c r="I740" s="1">
        <f>IFERROR(Comp3[[#This Row],[Comparable '#3 Return]]-INDEX(Benchmark1[Benchmark '#1 Return],MATCH(Comp3[[#This Row],[Comparable '#3 Dates]],Benchmark1[Benchmark '#1 Dates],0)),"-")</f>
        <v>2.7861063419707476E-2</v>
      </c>
      <c r="L740" s="72">
        <f>Comp3[[#This Row],[Comparable '#3 Price]]/$B$2*100</f>
        <v>66.692261752410204</v>
      </c>
    </row>
    <row r="741" spans="1:12">
      <c r="A741" s="96">
        <v>44358</v>
      </c>
      <c r="B741" s="101">
        <v>79.44</v>
      </c>
      <c r="C741" s="1">
        <f t="shared" si="22"/>
        <v>1.6116077504677966E-2</v>
      </c>
      <c r="D741" s="1">
        <f>IFERROR(Comp3[[#This Row],[Comparable '#3 Return]]+1,"-")</f>
        <v>1.016116077504678</v>
      </c>
      <c r="E741" s="6">
        <f>B741-MAX($B$2:B741)</f>
        <v>-108.6</v>
      </c>
      <c r="F741" s="80">
        <f t="shared" si="23"/>
        <v>479</v>
      </c>
      <c r="G741" s="6">
        <f>IFERROR(Comp3[[#This Row],[Comparable '#3 Drawdown]]/MAX($B$2:B741),"-")</f>
        <v>-0.57753669432035737</v>
      </c>
      <c r="H741" s="1" t="str">
        <f>IF(SUM(COUNTIF(Benchmark1[Benchmark '#1 Dates],Comp3[[#This Row],[Comparable '#3 Dates]]),COUNTIF(Benchmark2[Benchmark '#2 Dates],Comp3[[#This Row],[Comparable '#3 Dates]]))=2,"Pass","Fail")</f>
        <v>Pass</v>
      </c>
      <c r="I741" s="1">
        <f>IFERROR(Comp3[[#This Row],[Comparable '#3 Return]]-INDEX(Benchmark1[Benchmark '#1 Return],MATCH(Comp3[[#This Row],[Comparable '#3 Dates]],Benchmark1[Benchmark '#1 Dates],0)),"-")</f>
        <v>1.4170513929364362E-2</v>
      </c>
      <c r="L741" s="72">
        <f>Comp3[[#This Row],[Comparable '#3 Price]]/$B$2*100</f>
        <v>67.775787048886613</v>
      </c>
    </row>
    <row r="742" spans="1:12">
      <c r="A742" s="96">
        <v>44361</v>
      </c>
      <c r="B742" s="101">
        <v>78.34</v>
      </c>
      <c r="C742" s="1">
        <f t="shared" si="22"/>
        <v>-1.3943691499231855E-2</v>
      </c>
      <c r="D742" s="1">
        <f>IFERROR(Comp3[[#This Row],[Comparable '#3 Return]]+1,"-")</f>
        <v>0.9860563085007682</v>
      </c>
      <c r="E742" s="6">
        <f>B742-MAX($B$2:B742)</f>
        <v>-109.69999999999999</v>
      </c>
      <c r="F742" s="80">
        <f t="shared" si="23"/>
        <v>480</v>
      </c>
      <c r="G742" s="6">
        <f>IFERROR(Comp3[[#This Row],[Comparable '#3 Drawdown]]/MAX($B$2:B742),"-")</f>
        <v>-0.58338651350776427</v>
      </c>
      <c r="H742" s="1" t="str">
        <f>IF(SUM(COUNTIF(Benchmark1[Benchmark '#1 Dates],Comp3[[#This Row],[Comparable '#3 Dates]]),COUNTIF(Benchmark2[Benchmark '#2 Dates],Comp3[[#This Row],[Comparable '#3 Dates]]))=2,"Pass","Fail")</f>
        <v>Pass</v>
      </c>
      <c r="I742" s="1">
        <f>IFERROR(Comp3[[#This Row],[Comparable '#3 Return]]-INDEX(Benchmark1[Benchmark '#1 Return],MATCH(Comp3[[#This Row],[Comparable '#3 Dates]],Benchmark1[Benchmark '#1 Dates],0)),"-")</f>
        <v>-1.575738523477746E-2</v>
      </c>
      <c r="L742" s="72">
        <f>Comp3[[#This Row],[Comparable '#3 Price]]/$B$2*100</f>
        <v>66.837300571623587</v>
      </c>
    </row>
    <row r="743" spans="1:12">
      <c r="A743" s="96">
        <v>44362</v>
      </c>
      <c r="B743" s="101">
        <v>78.27</v>
      </c>
      <c r="C743" s="1">
        <f t="shared" si="22"/>
        <v>-8.939404209385366E-4</v>
      </c>
      <c r="D743" s="1">
        <f>IFERROR(Comp3[[#This Row],[Comparable '#3 Return]]+1,"-")</f>
        <v>0.99910605957906151</v>
      </c>
      <c r="E743" s="6">
        <f>B743-MAX($B$2:B743)</f>
        <v>-109.77</v>
      </c>
      <c r="F743" s="80">
        <f t="shared" si="23"/>
        <v>481</v>
      </c>
      <c r="G743" s="6">
        <f>IFERROR(Comp3[[#This Row],[Comparable '#3 Drawdown]]/MAX($B$2:B743),"-")</f>
        <v>-0.58375877472878113</v>
      </c>
      <c r="H743" s="1" t="str">
        <f>IF(SUM(COUNTIF(Benchmark1[Benchmark '#1 Dates],Comp3[[#This Row],[Comparable '#3 Dates]]),COUNTIF(Benchmark2[Benchmark '#2 Dates],Comp3[[#This Row],[Comparable '#3 Dates]]))=2,"Pass","Fail")</f>
        <v>Pass</v>
      </c>
      <c r="I743" s="1">
        <f>IFERROR(Comp3[[#This Row],[Comparable '#3 Return]]-INDEX(Benchmark1[Benchmark '#1 Return],MATCH(Comp3[[#This Row],[Comparable '#3 Dates]],Benchmark1[Benchmark '#1 Dates],0)),"-")</f>
        <v>1.1189064019371724E-3</v>
      </c>
      <c r="L743" s="72">
        <f>Comp3[[#This Row],[Comparable '#3 Price]]/$B$2*100</f>
        <v>66.777578704888668</v>
      </c>
    </row>
    <row r="744" spans="1:12">
      <c r="A744" s="96">
        <v>44363</v>
      </c>
      <c r="B744" s="101">
        <v>78.91</v>
      </c>
      <c r="C744" s="1">
        <f t="shared" si="22"/>
        <v>8.1435747161968039E-3</v>
      </c>
      <c r="D744" s="1">
        <f>IFERROR(Comp3[[#This Row],[Comparable '#3 Return]]+1,"-")</f>
        <v>1.0081435747161969</v>
      </c>
      <c r="E744" s="6">
        <f>B744-MAX($B$2:B744)</f>
        <v>-109.13</v>
      </c>
      <c r="F744" s="80">
        <f t="shared" si="23"/>
        <v>482</v>
      </c>
      <c r="G744" s="6">
        <f>IFERROR(Comp3[[#This Row],[Comparable '#3 Drawdown]]/MAX($B$2:B744),"-")</f>
        <v>-0.58035524356519885</v>
      </c>
      <c r="H744" s="1" t="str">
        <f>IF(SUM(COUNTIF(Benchmark1[Benchmark '#1 Dates],Comp3[[#This Row],[Comparable '#3 Dates]]),COUNTIF(Benchmark2[Benchmark '#2 Dates],Comp3[[#This Row],[Comparable '#3 Dates]]))=2,"Pass","Fail")</f>
        <v>Pass</v>
      </c>
      <c r="I744" s="1">
        <f>IFERROR(Comp3[[#This Row],[Comparable '#3 Return]]-INDEX(Benchmark1[Benchmark '#1 Return],MATCH(Comp3[[#This Row],[Comparable '#3 Dates]],Benchmark1[Benchmark '#1 Dates],0)),"-")</f>
        <v>1.3548305925640715E-2</v>
      </c>
      <c r="L744" s="72">
        <f>Comp3[[#This Row],[Comparable '#3 Price]]/$B$2*100</f>
        <v>67.323607200750786</v>
      </c>
    </row>
    <row r="745" spans="1:12">
      <c r="A745" s="96">
        <v>44364</v>
      </c>
      <c r="B745" s="101">
        <v>78.95</v>
      </c>
      <c r="C745" s="1">
        <f t="shared" si="22"/>
        <v>5.0677816870752662E-4</v>
      </c>
      <c r="D745" s="1">
        <f>IFERROR(Comp3[[#This Row],[Comparable '#3 Return]]+1,"-")</f>
        <v>1.0005067781687076</v>
      </c>
      <c r="E745" s="6">
        <f>B745-MAX($B$2:B745)</f>
        <v>-109.08999999999999</v>
      </c>
      <c r="F745" s="80">
        <f t="shared" si="23"/>
        <v>483</v>
      </c>
      <c r="G745" s="6">
        <f>IFERROR(Comp3[[#This Row],[Comparable '#3 Drawdown]]/MAX($B$2:B745),"-")</f>
        <v>-0.58014252286747492</v>
      </c>
      <c r="H745" s="1" t="str">
        <f>IF(SUM(COUNTIF(Benchmark1[Benchmark '#1 Dates],Comp3[[#This Row],[Comparable '#3 Dates]]),COUNTIF(Benchmark2[Benchmark '#2 Dates],Comp3[[#This Row],[Comparable '#3 Dates]]))=2,"Pass","Fail")</f>
        <v>Pass</v>
      </c>
      <c r="I745" s="1">
        <f>IFERROR(Comp3[[#This Row],[Comparable '#3 Return]]-INDEX(Benchmark1[Benchmark '#1 Return],MATCH(Comp3[[#This Row],[Comparable '#3 Dates]],Benchmark1[Benchmark '#1 Dates],0)),"-")</f>
        <v>9.4389760134159823E-4</v>
      </c>
      <c r="L745" s="72">
        <f>Comp3[[#This Row],[Comparable '#3 Price]]/$B$2*100</f>
        <v>67.357733981742172</v>
      </c>
    </row>
    <row r="746" spans="1:12">
      <c r="A746" s="96">
        <v>44365</v>
      </c>
      <c r="B746" s="101">
        <v>78.41</v>
      </c>
      <c r="C746" s="1">
        <f t="shared" si="22"/>
        <v>-6.8632704588205487E-3</v>
      </c>
      <c r="D746" s="1">
        <f>IFERROR(Comp3[[#This Row],[Comparable '#3 Return]]+1,"-")</f>
        <v>0.99313672954117949</v>
      </c>
      <c r="E746" s="6">
        <f>B746-MAX($B$2:B746)</f>
        <v>-109.63</v>
      </c>
      <c r="F746" s="80">
        <f t="shared" si="23"/>
        <v>484</v>
      </c>
      <c r="G746" s="6">
        <f>IFERROR(Comp3[[#This Row],[Comparable '#3 Drawdown]]/MAX($B$2:B746),"-")</f>
        <v>-0.58301425228674753</v>
      </c>
      <c r="H746" s="1" t="str">
        <f>IF(SUM(COUNTIF(Benchmark1[Benchmark '#1 Dates],Comp3[[#This Row],[Comparable '#3 Dates]]),COUNTIF(Benchmark2[Benchmark '#2 Dates],Comp3[[#This Row],[Comparable '#3 Dates]]))=2,"Pass","Fail")</f>
        <v>Pass</v>
      </c>
      <c r="I746" s="1">
        <f>IFERROR(Comp3[[#This Row],[Comparable '#3 Return]]-INDEX(Benchmark1[Benchmark '#1 Return],MATCH(Comp3[[#This Row],[Comparable '#3 Dates]],Benchmark1[Benchmark '#1 Dates],0)),"-")</f>
        <v>6.3469923539342735E-3</v>
      </c>
      <c r="L746" s="72">
        <f>Comp3[[#This Row],[Comparable '#3 Price]]/$B$2*100</f>
        <v>66.897022438358505</v>
      </c>
    </row>
    <row r="747" spans="1:12">
      <c r="A747" s="96">
        <v>44368</v>
      </c>
      <c r="B747" s="101">
        <v>81.010000000000005</v>
      </c>
      <c r="C747" s="1">
        <f t="shared" si="22"/>
        <v>3.2621133599569398E-2</v>
      </c>
      <c r="D747" s="1">
        <f>IFERROR(Comp3[[#This Row],[Comparable '#3 Return]]+1,"-")</f>
        <v>1.0326211335995694</v>
      </c>
      <c r="E747" s="6">
        <f>B747-MAX($B$2:B747)</f>
        <v>-107.02999999999999</v>
      </c>
      <c r="F747" s="80">
        <f t="shared" si="23"/>
        <v>485</v>
      </c>
      <c r="G747" s="6">
        <f>IFERROR(Comp3[[#This Row],[Comparable '#3 Drawdown]]/MAX($B$2:B747),"-")</f>
        <v>-0.56918740693469472</v>
      </c>
      <c r="H747" s="1" t="str">
        <f>IF(SUM(COUNTIF(Benchmark1[Benchmark '#1 Dates],Comp3[[#This Row],[Comparable '#3 Dates]]),COUNTIF(Benchmark2[Benchmark '#2 Dates],Comp3[[#This Row],[Comparable '#3 Dates]]))=2,"Pass","Fail")</f>
        <v>Pass</v>
      </c>
      <c r="I747" s="1">
        <f>IFERROR(Comp3[[#This Row],[Comparable '#3 Return]]-INDEX(Benchmark1[Benchmark '#1 Return],MATCH(Comp3[[#This Row],[Comparable '#3 Dates]],Benchmark1[Benchmark '#1 Dates],0)),"-")</f>
        <v>1.8717229336882437E-2</v>
      </c>
      <c r="L747" s="72">
        <f>Comp3[[#This Row],[Comparable '#3 Price]]/$B$2*100</f>
        <v>69.115263202798403</v>
      </c>
    </row>
    <row r="748" spans="1:12">
      <c r="A748" s="96">
        <v>44369</v>
      </c>
      <c r="B748" s="101">
        <v>77.02</v>
      </c>
      <c r="C748" s="1">
        <f t="shared" si="22"/>
        <v>-5.0507475455637205E-2</v>
      </c>
      <c r="D748" s="1">
        <f>IFERROR(Comp3[[#This Row],[Comparable '#3 Return]]+1,"-")</f>
        <v>0.94949252454436284</v>
      </c>
      <c r="E748" s="6">
        <f>B748-MAX($B$2:B748)</f>
        <v>-111.02</v>
      </c>
      <c r="F748" s="80">
        <f t="shared" si="23"/>
        <v>486</v>
      </c>
      <c r="G748" s="6">
        <f>IFERROR(Comp3[[#This Row],[Comparable '#3 Drawdown]]/MAX($B$2:B748),"-")</f>
        <v>-0.59040629653265264</v>
      </c>
      <c r="H748" s="1" t="str">
        <f>IF(SUM(COUNTIF(Benchmark1[Benchmark '#1 Dates],Comp3[[#This Row],[Comparable '#3 Dates]]),COUNTIF(Benchmark2[Benchmark '#2 Dates],Comp3[[#This Row],[Comparable '#3 Dates]]))=2,"Pass","Fail")</f>
        <v>Pass</v>
      </c>
      <c r="I748" s="1">
        <f>IFERROR(Comp3[[#This Row],[Comparable '#3 Return]]-INDEX(Benchmark1[Benchmark '#1 Return],MATCH(Comp3[[#This Row],[Comparable '#3 Dates]],Benchmark1[Benchmark '#1 Dates],0)),"-")</f>
        <v>-5.5618251628602136E-2</v>
      </c>
      <c r="L748" s="72">
        <f>Comp3[[#This Row],[Comparable '#3 Price]]/$B$2*100</f>
        <v>65.711116798907938</v>
      </c>
    </row>
    <row r="749" spans="1:12">
      <c r="A749" s="96">
        <v>44370</v>
      </c>
      <c r="B749" s="101">
        <v>77.569999999999993</v>
      </c>
      <c r="C749" s="1">
        <f t="shared" si="22"/>
        <v>7.1156261160173519E-3</v>
      </c>
      <c r="D749" s="1">
        <f>IFERROR(Comp3[[#This Row],[Comparable '#3 Return]]+1,"-")</f>
        <v>1.0071156261160175</v>
      </c>
      <c r="E749" s="6">
        <f>B749-MAX($B$2:B749)</f>
        <v>-110.47</v>
      </c>
      <c r="F749" s="80">
        <f t="shared" si="23"/>
        <v>487</v>
      </c>
      <c r="G749" s="6">
        <f>IFERROR(Comp3[[#This Row],[Comparable '#3 Drawdown]]/MAX($B$2:B749),"-")</f>
        <v>-0.58748138693894913</v>
      </c>
      <c r="H749" s="1" t="str">
        <f>IF(SUM(COUNTIF(Benchmark1[Benchmark '#1 Dates],Comp3[[#This Row],[Comparable '#3 Dates]]),COUNTIF(Benchmark2[Benchmark '#2 Dates],Comp3[[#This Row],[Comparable '#3 Dates]]))=2,"Pass","Fail")</f>
        <v>Pass</v>
      </c>
      <c r="I749" s="1">
        <f>IFERROR(Comp3[[#This Row],[Comparable '#3 Return]]-INDEX(Benchmark1[Benchmark '#1 Return],MATCH(Comp3[[#This Row],[Comparable '#3 Dates]],Benchmark1[Benchmark '#1 Dates],0)),"-")</f>
        <v>8.1992461136199263E-3</v>
      </c>
      <c r="L749" s="72">
        <f>Comp3[[#This Row],[Comparable '#3 Price]]/$B$2*100</f>
        <v>66.180360037539458</v>
      </c>
    </row>
    <row r="750" spans="1:12">
      <c r="A750" s="96">
        <v>44371</v>
      </c>
      <c r="B750" s="101">
        <v>80.680000000000007</v>
      </c>
      <c r="C750" s="1">
        <f t="shared" si="22"/>
        <v>3.9309958583230942E-2</v>
      </c>
      <c r="D750" s="1">
        <f>IFERROR(Comp3[[#This Row],[Comparable '#3 Return]]+1,"-")</f>
        <v>1.0393099585832308</v>
      </c>
      <c r="E750" s="6">
        <f>B750-MAX($B$2:B750)</f>
        <v>-107.35999999999999</v>
      </c>
      <c r="F750" s="80">
        <f t="shared" si="23"/>
        <v>488</v>
      </c>
      <c r="G750" s="6">
        <f>IFERROR(Comp3[[#This Row],[Comparable '#3 Drawdown]]/MAX($B$2:B750),"-")</f>
        <v>-0.57094235269091675</v>
      </c>
      <c r="H750" s="1" t="str">
        <f>IF(SUM(COUNTIF(Benchmark1[Benchmark '#1 Dates],Comp3[[#This Row],[Comparable '#3 Dates]]),COUNTIF(Benchmark2[Benchmark '#2 Dates],Comp3[[#This Row],[Comparable '#3 Dates]]))=2,"Pass","Fail")</f>
        <v>Pass</v>
      </c>
      <c r="I750" s="1">
        <f>IFERROR(Comp3[[#This Row],[Comparable '#3 Return]]-INDEX(Benchmark1[Benchmark '#1 Return],MATCH(Comp3[[#This Row],[Comparable '#3 Dates]],Benchmark1[Benchmark '#1 Dates],0)),"-")</f>
        <v>3.3515664098120748E-2</v>
      </c>
      <c r="L750" s="72">
        <f>Comp3[[#This Row],[Comparable '#3 Price]]/$B$2*100</f>
        <v>68.833717259619505</v>
      </c>
    </row>
    <row r="751" spans="1:12">
      <c r="A751" s="96">
        <v>44372</v>
      </c>
      <c r="B751" s="101">
        <v>79.010000000000005</v>
      </c>
      <c r="C751" s="1">
        <f t="shared" si="22"/>
        <v>-2.0916286351369166E-2</v>
      </c>
      <c r="D751" s="1">
        <f>IFERROR(Comp3[[#This Row],[Comparable '#3 Return]]+1,"-")</f>
        <v>0.97908371364863078</v>
      </c>
      <c r="E751" s="6">
        <f>B751-MAX($B$2:B751)</f>
        <v>-109.02999999999999</v>
      </c>
      <c r="F751" s="80">
        <f t="shared" si="23"/>
        <v>489</v>
      </c>
      <c r="G751" s="6">
        <f>IFERROR(Comp3[[#This Row],[Comparable '#3 Drawdown]]/MAX($B$2:B751),"-")</f>
        <v>-0.57982344182088907</v>
      </c>
      <c r="H751" s="1" t="str">
        <f>IF(SUM(COUNTIF(Benchmark1[Benchmark '#1 Dates],Comp3[[#This Row],[Comparable '#3 Dates]]),COUNTIF(Benchmark2[Benchmark '#2 Dates],Comp3[[#This Row],[Comparable '#3 Dates]]))=2,"Pass","Fail")</f>
        <v>Pass</v>
      </c>
      <c r="I751" s="1">
        <f>IFERROR(Comp3[[#This Row],[Comparable '#3 Return]]-INDEX(Benchmark1[Benchmark '#1 Return],MATCH(Comp3[[#This Row],[Comparable '#3 Dates]],Benchmark1[Benchmark '#1 Dates],0)),"-")</f>
        <v>-2.4242913488887897E-2</v>
      </c>
      <c r="L751" s="72">
        <f>Comp3[[#This Row],[Comparable '#3 Price]]/$B$2*100</f>
        <v>67.40892415322925</v>
      </c>
    </row>
    <row r="752" spans="1:12">
      <c r="A752" s="96">
        <v>44375</v>
      </c>
      <c r="B752" s="101">
        <v>75.739999999999995</v>
      </c>
      <c r="C752" s="1">
        <f t="shared" si="22"/>
        <v>-4.2268004260993315E-2</v>
      </c>
      <c r="D752" s="1">
        <f>IFERROR(Comp3[[#This Row],[Comparable '#3 Return]]+1,"-")</f>
        <v>0.95773199573900669</v>
      </c>
      <c r="E752" s="6">
        <f>B752-MAX($B$2:B752)</f>
        <v>-112.3</v>
      </c>
      <c r="F752" s="80">
        <f t="shared" si="23"/>
        <v>490</v>
      </c>
      <c r="G752" s="6">
        <f>IFERROR(Comp3[[#This Row],[Comparable '#3 Drawdown]]/MAX($B$2:B752),"-")</f>
        <v>-0.59721335885981708</v>
      </c>
      <c r="H752" s="1" t="str">
        <f>IF(SUM(COUNTIF(Benchmark1[Benchmark '#1 Dates],Comp3[[#This Row],[Comparable '#3 Dates]]),COUNTIF(Benchmark2[Benchmark '#2 Dates],Comp3[[#This Row],[Comparable '#3 Dates]]))=2,"Pass","Fail")</f>
        <v>Pass</v>
      </c>
      <c r="I752" s="1">
        <f>IFERROR(Comp3[[#This Row],[Comparable '#3 Return]]-INDEX(Benchmark1[Benchmark '#1 Return],MATCH(Comp3[[#This Row],[Comparable '#3 Dates]],Benchmark1[Benchmark '#1 Dates],0)),"-")</f>
        <v>-4.4579288561220558E-2</v>
      </c>
      <c r="L752" s="72">
        <f>Comp3[[#This Row],[Comparable '#3 Price]]/$B$2*100</f>
        <v>64.619059807183689</v>
      </c>
    </row>
    <row r="753" spans="1:12">
      <c r="A753" s="96">
        <v>44376</v>
      </c>
      <c r="B753" s="101">
        <v>75.849999999999994</v>
      </c>
      <c r="C753" s="1">
        <f t="shared" si="22"/>
        <v>1.4512833208925209E-3</v>
      </c>
      <c r="D753" s="1">
        <f>IFERROR(Comp3[[#This Row],[Comparable '#3 Return]]+1,"-")</f>
        <v>1.0014512833208926</v>
      </c>
      <c r="E753" s="6">
        <f>B753-MAX($B$2:B753)</f>
        <v>-112.19</v>
      </c>
      <c r="F753" s="80">
        <f t="shared" si="23"/>
        <v>491</v>
      </c>
      <c r="G753" s="6">
        <f>IFERROR(Comp3[[#This Row],[Comparable '#3 Drawdown]]/MAX($B$2:B753),"-")</f>
        <v>-0.5966283769410764</v>
      </c>
      <c r="H753" s="1" t="str">
        <f>IF(SUM(COUNTIF(Benchmark1[Benchmark '#1 Dates],Comp3[[#This Row],[Comparable '#3 Dates]]),COUNTIF(Benchmark2[Benchmark '#2 Dates],Comp3[[#This Row],[Comparable '#3 Dates]]))=2,"Pass","Fail")</f>
        <v>Pass</v>
      </c>
      <c r="I753" s="1">
        <f>IFERROR(Comp3[[#This Row],[Comparable '#3 Return]]-INDEX(Benchmark1[Benchmark '#1 Return],MATCH(Comp3[[#This Row],[Comparable '#3 Dates]],Benchmark1[Benchmark '#1 Dates],0)),"-")</f>
        <v>1.1730697474343918E-3</v>
      </c>
      <c r="L753" s="72">
        <f>Comp3[[#This Row],[Comparable '#3 Price]]/$B$2*100</f>
        <v>64.712908454909993</v>
      </c>
    </row>
    <row r="754" spans="1:12">
      <c r="A754" s="96">
        <v>44377</v>
      </c>
      <c r="B754" s="101">
        <v>76.06</v>
      </c>
      <c r="C754" s="1">
        <f t="shared" si="22"/>
        <v>2.7647967055723639E-3</v>
      </c>
      <c r="D754" s="1">
        <f>IFERROR(Comp3[[#This Row],[Comparable '#3 Return]]+1,"-")</f>
        <v>1.0027647967055724</v>
      </c>
      <c r="E754" s="6">
        <f>B754-MAX($B$2:B754)</f>
        <v>-111.97999999999999</v>
      </c>
      <c r="F754" s="80">
        <f t="shared" si="23"/>
        <v>492</v>
      </c>
      <c r="G754" s="6">
        <f>IFERROR(Comp3[[#This Row],[Comparable '#3 Drawdown]]/MAX($B$2:B754),"-")</f>
        <v>-0.59551159327802594</v>
      </c>
      <c r="H754" s="1" t="str">
        <f>IF(SUM(COUNTIF(Benchmark1[Benchmark '#1 Dates],Comp3[[#This Row],[Comparable '#3 Dates]]),COUNTIF(Benchmark2[Benchmark '#2 Dates],Comp3[[#This Row],[Comparable '#3 Dates]]))=2,"Pass","Fail")</f>
        <v>Pass</v>
      </c>
      <c r="I754" s="1">
        <f>IFERROR(Comp3[[#This Row],[Comparable '#3 Return]]-INDEX(Benchmark1[Benchmark '#1 Return],MATCH(Comp3[[#This Row],[Comparable '#3 Dates]],Benchmark1[Benchmark '#1 Dates],0)),"-")</f>
        <v>1.4387333928772459E-3</v>
      </c>
      <c r="L754" s="72">
        <f>Comp3[[#This Row],[Comparable '#3 Price]]/$B$2*100</f>
        <v>64.892074055114762</v>
      </c>
    </row>
    <row r="755" spans="1:12">
      <c r="A755" s="96">
        <v>44378</v>
      </c>
      <c r="B755" s="101">
        <v>77.16</v>
      </c>
      <c r="C755" s="1">
        <f t="shared" si="22"/>
        <v>1.4358685537414652E-2</v>
      </c>
      <c r="D755" s="1">
        <f>IFERROR(Comp3[[#This Row],[Comparable '#3 Return]]+1,"-")</f>
        <v>1.0143586855374147</v>
      </c>
      <c r="E755" s="6">
        <f>B755-MAX($B$2:B755)</f>
        <v>-110.88</v>
      </c>
      <c r="F755" s="80">
        <f t="shared" si="23"/>
        <v>493</v>
      </c>
      <c r="G755" s="6">
        <f>IFERROR(Comp3[[#This Row],[Comparable '#3 Drawdown]]/MAX($B$2:B755),"-")</f>
        <v>-0.58966177409061904</v>
      </c>
      <c r="H755" s="1" t="str">
        <f>IF(SUM(COUNTIF(Benchmark1[Benchmark '#1 Dates],Comp3[[#This Row],[Comparable '#3 Dates]]),COUNTIF(Benchmark2[Benchmark '#2 Dates],Comp3[[#This Row],[Comparable '#3 Dates]]))=2,"Pass","Fail")</f>
        <v>Pass</v>
      </c>
      <c r="I755" s="1">
        <f>IFERROR(Comp3[[#This Row],[Comparable '#3 Return]]-INDEX(Benchmark1[Benchmark '#1 Return],MATCH(Comp3[[#This Row],[Comparable '#3 Dates]],Benchmark1[Benchmark '#1 Dates],0)),"-")</f>
        <v>9.1498281258029258E-3</v>
      </c>
      <c r="L755" s="72">
        <f>Comp3[[#This Row],[Comparable '#3 Price]]/$B$2*100</f>
        <v>65.830560532377774</v>
      </c>
    </row>
    <row r="756" spans="1:12">
      <c r="A756" s="96">
        <v>44379</v>
      </c>
      <c r="B756" s="101">
        <v>76.150000000000006</v>
      </c>
      <c r="C756" s="1">
        <f t="shared" si="22"/>
        <v>-1.317610869635737E-2</v>
      </c>
      <c r="D756" s="1">
        <f>IFERROR(Comp3[[#This Row],[Comparable '#3 Return]]+1,"-")</f>
        <v>0.98682389130364268</v>
      </c>
      <c r="E756" s="6">
        <f>B756-MAX($B$2:B756)</f>
        <v>-111.88999999999999</v>
      </c>
      <c r="F756" s="80">
        <f t="shared" si="23"/>
        <v>494</v>
      </c>
      <c r="G756" s="6">
        <f>IFERROR(Comp3[[#This Row],[Comparable '#3 Drawdown]]/MAX($B$2:B756),"-")</f>
        <v>-0.59503297170814717</v>
      </c>
      <c r="H756" s="1" t="str">
        <f>IF(SUM(COUNTIF(Benchmark1[Benchmark '#1 Dates],Comp3[[#This Row],[Comparable '#3 Dates]]),COUNTIF(Benchmark2[Benchmark '#2 Dates],Comp3[[#This Row],[Comparable '#3 Dates]]))=2,"Pass","Fail")</f>
        <v>Pass</v>
      </c>
      <c r="I756" s="1">
        <f>IFERROR(Comp3[[#This Row],[Comparable '#3 Return]]-INDEX(Benchmark1[Benchmark '#1 Return],MATCH(Comp3[[#This Row],[Comparable '#3 Dates]],Benchmark1[Benchmark '#1 Dates],0)),"-")</f>
        <v>-2.0647950756414821E-2</v>
      </c>
      <c r="L756" s="72">
        <f>Comp3[[#This Row],[Comparable '#3 Price]]/$B$2*100</f>
        <v>64.968859312345373</v>
      </c>
    </row>
    <row r="757" spans="1:12">
      <c r="A757" s="96">
        <v>44383</v>
      </c>
      <c r="B757" s="101">
        <v>75.98</v>
      </c>
      <c r="C757" s="1">
        <f t="shared" si="22"/>
        <v>-2.2349315816913378E-3</v>
      </c>
      <c r="D757" s="1">
        <f>IFERROR(Comp3[[#This Row],[Comparable '#3 Return]]+1,"-")</f>
        <v>0.9977650684183087</v>
      </c>
      <c r="E757" s="6">
        <f>B757-MAX($B$2:B757)</f>
        <v>-112.05999999999999</v>
      </c>
      <c r="F757" s="80">
        <f t="shared" si="23"/>
        <v>495</v>
      </c>
      <c r="G757" s="6">
        <f>IFERROR(Comp3[[#This Row],[Comparable '#3 Drawdown]]/MAX($B$2:B757),"-")</f>
        <v>-0.5959370346734737</v>
      </c>
      <c r="H757" s="1" t="str">
        <f>IF(SUM(COUNTIF(Benchmark1[Benchmark '#1 Dates],Comp3[[#This Row],[Comparable '#3 Dates]]),COUNTIF(Benchmark2[Benchmark '#2 Dates],Comp3[[#This Row],[Comparable '#3 Dates]]))=2,"Pass","Fail")</f>
        <v>Pass</v>
      </c>
      <c r="I757" s="1">
        <f>IFERROR(Comp3[[#This Row],[Comparable '#3 Return]]-INDEX(Benchmark1[Benchmark '#1 Return],MATCH(Comp3[[#This Row],[Comparable '#3 Dates]],Benchmark1[Benchmark '#1 Dates],0)),"-")</f>
        <v>-2.1194808728601825E-4</v>
      </c>
      <c r="L757" s="72">
        <f>Comp3[[#This Row],[Comparable '#3 Price]]/$B$2*100</f>
        <v>64.82382049313199</v>
      </c>
    </row>
    <row r="758" spans="1:12">
      <c r="A758" s="96">
        <v>44384</v>
      </c>
      <c r="B758" s="101">
        <v>74.19</v>
      </c>
      <c r="C758" s="1">
        <f t="shared" si="22"/>
        <v>-2.3840777558045027E-2</v>
      </c>
      <c r="D758" s="1">
        <f>IFERROR(Comp3[[#This Row],[Comparable '#3 Return]]+1,"-")</f>
        <v>0.97615922244195497</v>
      </c>
      <c r="E758" s="6">
        <f>B758-MAX($B$2:B758)</f>
        <v>-113.85</v>
      </c>
      <c r="F758" s="80">
        <f t="shared" si="23"/>
        <v>496</v>
      </c>
      <c r="G758" s="6">
        <f>IFERROR(Comp3[[#This Row],[Comparable '#3 Drawdown]]/MAX($B$2:B758),"-")</f>
        <v>-0.60545628589661771</v>
      </c>
      <c r="H758" s="1" t="str">
        <f>IF(SUM(COUNTIF(Benchmark1[Benchmark '#1 Dates],Comp3[[#This Row],[Comparable '#3 Dates]]),COUNTIF(Benchmark2[Benchmark '#2 Dates],Comp3[[#This Row],[Comparable '#3 Dates]]))=2,"Pass","Fail")</f>
        <v>Pass</v>
      </c>
      <c r="I758" s="1">
        <f>IFERROR(Comp3[[#This Row],[Comparable '#3 Return]]-INDEX(Benchmark1[Benchmark '#1 Return],MATCH(Comp3[[#This Row],[Comparable '#3 Dates]],Benchmark1[Benchmark '#1 Dates],0)),"-")</f>
        <v>-2.7194193795956768E-2</v>
      </c>
      <c r="L758" s="72">
        <f>Comp3[[#This Row],[Comparable '#3 Price]]/$B$2*100</f>
        <v>63.296647043767592</v>
      </c>
    </row>
    <row r="759" spans="1:12">
      <c r="A759" s="96">
        <v>44385</v>
      </c>
      <c r="B759" s="101">
        <v>71.61</v>
      </c>
      <c r="C759" s="1">
        <f t="shared" si="22"/>
        <v>-3.5394641182586138E-2</v>
      </c>
      <c r="D759" s="1">
        <f>IFERROR(Comp3[[#This Row],[Comparable '#3 Return]]+1,"-")</f>
        <v>0.96460535881741383</v>
      </c>
      <c r="E759" s="6">
        <f>B759-MAX($B$2:B759)</f>
        <v>-116.42999999999999</v>
      </c>
      <c r="F759" s="80">
        <f t="shared" si="23"/>
        <v>497</v>
      </c>
      <c r="G759" s="6">
        <f>IFERROR(Comp3[[#This Row],[Comparable '#3 Drawdown]]/MAX($B$2:B759),"-")</f>
        <v>-0.61917677089980849</v>
      </c>
      <c r="H759" s="1" t="str">
        <f>IF(SUM(COUNTIF(Benchmark1[Benchmark '#1 Dates],Comp3[[#This Row],[Comparable '#3 Dates]]),COUNTIF(Benchmark2[Benchmark '#2 Dates],Comp3[[#This Row],[Comparable '#3 Dates]]))=2,"Pass","Fail")</f>
        <v>Pass</v>
      </c>
      <c r="I759" s="1">
        <f>IFERROR(Comp3[[#This Row],[Comparable '#3 Return]]-INDEX(Benchmark1[Benchmark '#1 Return],MATCH(Comp3[[#This Row],[Comparable '#3 Dates]],Benchmark1[Benchmark '#1 Dates],0)),"-")</f>
        <v>-2.6795488718015303E-2</v>
      </c>
      <c r="L759" s="72">
        <f>Comp3[[#This Row],[Comparable '#3 Price]]/$B$2*100</f>
        <v>61.095469669823402</v>
      </c>
    </row>
    <row r="760" spans="1:12">
      <c r="A760" s="96">
        <v>44386</v>
      </c>
      <c r="B760" s="101">
        <v>72.959999999999994</v>
      </c>
      <c r="C760" s="1">
        <f t="shared" si="22"/>
        <v>1.8676616747227422E-2</v>
      </c>
      <c r="D760" s="1">
        <f>IFERROR(Comp3[[#This Row],[Comparable '#3 Return]]+1,"-")</f>
        <v>1.0186766167472274</v>
      </c>
      <c r="E760" s="6">
        <f>B760-MAX($B$2:B760)</f>
        <v>-115.08</v>
      </c>
      <c r="F760" s="80">
        <f t="shared" si="23"/>
        <v>498</v>
      </c>
      <c r="G760" s="6">
        <f>IFERROR(Comp3[[#This Row],[Comparable '#3 Drawdown]]/MAX($B$2:B760),"-")</f>
        <v>-0.61199744735162731</v>
      </c>
      <c r="H760" s="1" t="str">
        <f>IF(SUM(COUNTIF(Benchmark1[Benchmark '#1 Dates],Comp3[[#This Row],[Comparable '#3 Dates]]),COUNTIF(Benchmark2[Benchmark '#2 Dates],Comp3[[#This Row],[Comparable '#3 Dates]]))=2,"Pass","Fail")</f>
        <v>Pass</v>
      </c>
      <c r="I760" s="1">
        <f>IFERROR(Comp3[[#This Row],[Comparable '#3 Return]]-INDEX(Benchmark1[Benchmark '#1 Return],MATCH(Comp3[[#This Row],[Comparable '#3 Dates]],Benchmark1[Benchmark '#1 Dates],0)),"-")</f>
        <v>7.4610136162399573E-3</v>
      </c>
      <c r="L760" s="72">
        <f>Comp3[[#This Row],[Comparable '#3 Price]]/$B$2*100</f>
        <v>62.247248528282576</v>
      </c>
    </row>
    <row r="761" spans="1:12">
      <c r="A761" s="96">
        <v>44389</v>
      </c>
      <c r="B761" s="101">
        <v>72.94</v>
      </c>
      <c r="C761" s="1">
        <f t="shared" si="22"/>
        <v>-2.7416038554168144E-4</v>
      </c>
      <c r="D761" s="1">
        <f>IFERROR(Comp3[[#This Row],[Comparable '#3 Return]]+1,"-")</f>
        <v>0.99972583961445827</v>
      </c>
      <c r="E761" s="6">
        <f>B761-MAX($B$2:B761)</f>
        <v>-115.1</v>
      </c>
      <c r="F761" s="80">
        <f t="shared" si="23"/>
        <v>499</v>
      </c>
      <c r="G761" s="6">
        <f>IFERROR(Comp3[[#This Row],[Comparable '#3 Drawdown]]/MAX($B$2:B761),"-")</f>
        <v>-0.61210380770048922</v>
      </c>
      <c r="H761" s="1" t="str">
        <f>IF(SUM(COUNTIF(Benchmark1[Benchmark '#1 Dates],Comp3[[#This Row],[Comparable '#3 Dates]]),COUNTIF(Benchmark2[Benchmark '#2 Dates],Comp3[[#This Row],[Comparable '#3 Dates]]))=2,"Pass","Fail")</f>
        <v>Pass</v>
      </c>
      <c r="I761" s="1">
        <f>IFERROR(Comp3[[#This Row],[Comparable '#3 Return]]-INDEX(Benchmark1[Benchmark '#1 Return],MATCH(Comp3[[#This Row],[Comparable '#3 Dates]],Benchmark1[Benchmark '#1 Dates],0)),"-")</f>
        <v>-3.7181717362486585E-3</v>
      </c>
      <c r="L761" s="72">
        <f>Comp3[[#This Row],[Comparable '#3 Price]]/$B$2*100</f>
        <v>62.230185137786876</v>
      </c>
    </row>
    <row r="762" spans="1:12">
      <c r="A762" s="96">
        <v>44390</v>
      </c>
      <c r="B762" s="101">
        <v>72.09</v>
      </c>
      <c r="C762" s="1">
        <f t="shared" si="22"/>
        <v>-1.1721846964046838E-2</v>
      </c>
      <c r="D762" s="1">
        <f>IFERROR(Comp3[[#This Row],[Comparable '#3 Return]]+1,"-")</f>
        <v>0.98827815303595312</v>
      </c>
      <c r="E762" s="6">
        <f>B762-MAX($B$2:B762)</f>
        <v>-115.94999999999999</v>
      </c>
      <c r="F762" s="80">
        <f t="shared" si="23"/>
        <v>500</v>
      </c>
      <c r="G762" s="6">
        <f>IFERROR(Comp3[[#This Row],[Comparable '#3 Drawdown]]/MAX($B$2:B762),"-")</f>
        <v>-0.61662412252712184</v>
      </c>
      <c r="H762" s="1" t="str">
        <f>IF(SUM(COUNTIF(Benchmark1[Benchmark '#1 Dates],Comp3[[#This Row],[Comparable '#3 Dates]]),COUNTIF(Benchmark2[Benchmark '#2 Dates],Comp3[[#This Row],[Comparable '#3 Dates]]))=2,"Pass","Fail")</f>
        <v>Pass</v>
      </c>
      <c r="I762" s="1">
        <f>IFERROR(Comp3[[#This Row],[Comparable '#3 Return]]-INDEX(Benchmark1[Benchmark '#1 Return],MATCH(Comp3[[#This Row],[Comparable '#3 Dates]],Benchmark1[Benchmark '#1 Dates],0)),"-")</f>
        <v>-8.1997393537270105E-3</v>
      </c>
      <c r="L762" s="72">
        <f>Comp3[[#This Row],[Comparable '#3 Price]]/$B$2*100</f>
        <v>61.50499104171999</v>
      </c>
    </row>
    <row r="763" spans="1:12">
      <c r="A763" s="96">
        <v>44391</v>
      </c>
      <c r="B763" s="101">
        <v>72.06</v>
      </c>
      <c r="C763" s="1">
        <f t="shared" si="22"/>
        <v>-4.1623309654010014E-4</v>
      </c>
      <c r="D763" s="1">
        <f>IFERROR(Comp3[[#This Row],[Comparable '#3 Return]]+1,"-")</f>
        <v>0.99958376690345985</v>
      </c>
      <c r="E763" s="6">
        <f>B763-MAX($B$2:B763)</f>
        <v>-115.97999999999999</v>
      </c>
      <c r="F763" s="80">
        <f t="shared" si="23"/>
        <v>501</v>
      </c>
      <c r="G763" s="6">
        <f>IFERROR(Comp3[[#This Row],[Comparable '#3 Drawdown]]/MAX($B$2:B763),"-")</f>
        <v>-0.61678366305041477</v>
      </c>
      <c r="H763" s="1" t="str">
        <f>IF(SUM(COUNTIF(Benchmark1[Benchmark '#1 Dates],Comp3[[#This Row],[Comparable '#3 Dates]]),COUNTIF(Benchmark2[Benchmark '#2 Dates],Comp3[[#This Row],[Comparable '#3 Dates]]))=2,"Pass","Fail")</f>
        <v>Pass</v>
      </c>
      <c r="I763" s="1">
        <f>IFERROR(Comp3[[#This Row],[Comparable '#3 Return]]-INDEX(Benchmark1[Benchmark '#1 Return],MATCH(Comp3[[#This Row],[Comparable '#3 Dates]],Benchmark1[Benchmark '#1 Dates],0)),"-")</f>
        <v>-1.5798092137803378E-3</v>
      </c>
      <c r="L763" s="72">
        <f>Comp3[[#This Row],[Comparable '#3 Price]]/$B$2*100</f>
        <v>61.479395955976457</v>
      </c>
    </row>
    <row r="764" spans="1:12">
      <c r="A764" s="96">
        <v>44392</v>
      </c>
      <c r="B764" s="101">
        <v>71.25</v>
      </c>
      <c r="C764" s="1">
        <f t="shared" si="22"/>
        <v>-1.1304286171187341E-2</v>
      </c>
      <c r="D764" s="1">
        <f>IFERROR(Comp3[[#This Row],[Comparable '#3 Return]]+1,"-")</f>
        <v>0.98869571382881261</v>
      </c>
      <c r="E764" s="6">
        <f>B764-MAX($B$2:B764)</f>
        <v>-116.78999999999999</v>
      </c>
      <c r="F764" s="80">
        <f t="shared" si="23"/>
        <v>502</v>
      </c>
      <c r="G764" s="6">
        <f>IFERROR(Comp3[[#This Row],[Comparable '#3 Drawdown]]/MAX($B$2:B764),"-")</f>
        <v>-0.62109125717932356</v>
      </c>
      <c r="H764" s="1" t="str">
        <f>IF(SUM(COUNTIF(Benchmark1[Benchmark '#1 Dates],Comp3[[#This Row],[Comparable '#3 Dates]]),COUNTIF(Benchmark2[Benchmark '#2 Dates],Comp3[[#This Row],[Comparable '#3 Dates]]))=2,"Pass","Fail")</f>
        <v>Pass</v>
      </c>
      <c r="I764" s="1">
        <f>IFERROR(Comp3[[#This Row],[Comparable '#3 Return]]-INDEX(Benchmark1[Benchmark '#1 Return],MATCH(Comp3[[#This Row],[Comparable '#3 Dates]],Benchmark1[Benchmark '#1 Dates],0)),"-")</f>
        <v>-8.0367402808665042E-3</v>
      </c>
      <c r="L764" s="72">
        <f>Comp3[[#This Row],[Comparable '#3 Price]]/$B$2*100</f>
        <v>60.788328640900943</v>
      </c>
    </row>
    <row r="765" spans="1:12">
      <c r="A765" s="96">
        <v>44393</v>
      </c>
      <c r="B765" s="101">
        <v>70.69</v>
      </c>
      <c r="C765" s="1">
        <f t="shared" si="22"/>
        <v>-7.8906989658972179E-3</v>
      </c>
      <c r="D765" s="1">
        <f>IFERROR(Comp3[[#This Row],[Comparable '#3 Return]]+1,"-")</f>
        <v>0.99210930103410278</v>
      </c>
      <c r="E765" s="6">
        <f>B765-MAX($B$2:B765)</f>
        <v>-117.35</v>
      </c>
      <c r="F765" s="80">
        <f t="shared" si="23"/>
        <v>503</v>
      </c>
      <c r="G765" s="6">
        <f>IFERROR(Comp3[[#This Row],[Comparable '#3 Drawdown]]/MAX($B$2:B765),"-")</f>
        <v>-0.62406934694745797</v>
      </c>
      <c r="H765" s="1" t="str">
        <f>IF(SUM(COUNTIF(Benchmark1[Benchmark '#1 Dates],Comp3[[#This Row],[Comparable '#3 Dates]]),COUNTIF(Benchmark2[Benchmark '#2 Dates],Comp3[[#This Row],[Comparable '#3 Dates]]))=2,"Pass","Fail")</f>
        <v>Pass</v>
      </c>
      <c r="I765" s="1">
        <f>IFERROR(Comp3[[#This Row],[Comparable '#3 Return]]-INDEX(Benchmark1[Benchmark '#1 Return],MATCH(Comp3[[#This Row],[Comparable '#3 Dates]],Benchmark1[Benchmark '#1 Dates],0)),"-")</f>
        <v>-3.235186152726827E-4</v>
      </c>
      <c r="L765" s="72">
        <f>Comp3[[#This Row],[Comparable '#3 Price]]/$B$2*100</f>
        <v>60.310553707021583</v>
      </c>
    </row>
    <row r="766" spans="1:12">
      <c r="A766" s="96">
        <v>44396</v>
      </c>
      <c r="B766" s="101">
        <v>70.72</v>
      </c>
      <c r="C766" s="1">
        <f t="shared" si="22"/>
        <v>4.2429814652534907E-4</v>
      </c>
      <c r="D766" s="1">
        <f>IFERROR(Comp3[[#This Row],[Comparable '#3 Return]]+1,"-")</f>
        <v>1.0004242981465254</v>
      </c>
      <c r="E766" s="6">
        <f>B766-MAX($B$2:B766)</f>
        <v>-117.32</v>
      </c>
      <c r="F766" s="80">
        <f t="shared" si="23"/>
        <v>504</v>
      </c>
      <c r="G766" s="6">
        <f>IFERROR(Comp3[[#This Row],[Comparable '#3 Drawdown]]/MAX($B$2:B766),"-")</f>
        <v>-0.62390980642416505</v>
      </c>
      <c r="H766" s="1" t="str">
        <f>IF(SUM(COUNTIF(Benchmark1[Benchmark '#1 Dates],Comp3[[#This Row],[Comparable '#3 Dates]]),COUNTIF(Benchmark2[Benchmark '#2 Dates],Comp3[[#This Row],[Comparable '#3 Dates]]))=2,"Pass","Fail")</f>
        <v>Pass</v>
      </c>
      <c r="I766" s="1">
        <f>IFERROR(Comp3[[#This Row],[Comparable '#3 Return]]-INDEX(Benchmark1[Benchmark '#1 Return],MATCH(Comp3[[#This Row],[Comparable '#3 Dates]],Benchmark1[Benchmark '#1 Dates],0)),"-")</f>
        <v>1.6420053969336441E-2</v>
      </c>
      <c r="L766" s="72">
        <f>Comp3[[#This Row],[Comparable '#3 Price]]/$B$2*100</f>
        <v>60.336148792765123</v>
      </c>
    </row>
    <row r="767" spans="1:12">
      <c r="A767" s="96">
        <v>44397</v>
      </c>
      <c r="B767" s="101">
        <v>71.349999999999994</v>
      </c>
      <c r="C767" s="1">
        <f t="shared" si="22"/>
        <v>8.8689255934572865E-3</v>
      </c>
      <c r="D767" s="1">
        <f>IFERROR(Comp3[[#This Row],[Comparable '#3 Return]]+1,"-")</f>
        <v>1.0088689255934573</v>
      </c>
      <c r="E767" s="6">
        <f>B767-MAX($B$2:B767)</f>
        <v>-116.69</v>
      </c>
      <c r="F767" s="80">
        <f t="shared" si="23"/>
        <v>505</v>
      </c>
      <c r="G767" s="6">
        <f>IFERROR(Comp3[[#This Row],[Comparable '#3 Drawdown]]/MAX($B$2:B767),"-")</f>
        <v>-0.6205594554350139</v>
      </c>
      <c r="H767" s="1" t="str">
        <f>IF(SUM(COUNTIF(Benchmark1[Benchmark '#1 Dates],Comp3[[#This Row],[Comparable '#3 Dates]]),COUNTIF(Benchmark2[Benchmark '#2 Dates],Comp3[[#This Row],[Comparable '#3 Dates]]))=2,"Pass","Fail")</f>
        <v>Pass</v>
      </c>
      <c r="I767" s="1">
        <f>IFERROR(Comp3[[#This Row],[Comparable '#3 Return]]-INDEX(Benchmark1[Benchmark '#1 Return],MATCH(Comp3[[#This Row],[Comparable '#3 Dates]],Benchmark1[Benchmark '#1 Dates],0)),"-")</f>
        <v>-6.1789811533278904E-3</v>
      </c>
      <c r="L767" s="72">
        <f>Comp3[[#This Row],[Comparable '#3 Price]]/$B$2*100</f>
        <v>60.873645593379401</v>
      </c>
    </row>
    <row r="768" spans="1:12">
      <c r="A768" s="96">
        <v>44398</v>
      </c>
      <c r="B768" s="101">
        <v>71.36</v>
      </c>
      <c r="C768" s="1">
        <f t="shared" si="22"/>
        <v>1.4014434890865048E-4</v>
      </c>
      <c r="D768" s="1">
        <f>IFERROR(Comp3[[#This Row],[Comparable '#3 Return]]+1,"-")</f>
        <v>1.0001401443489086</v>
      </c>
      <c r="E768" s="6">
        <f>B768-MAX($B$2:B768)</f>
        <v>-116.67999999999999</v>
      </c>
      <c r="F768" s="80">
        <f t="shared" si="23"/>
        <v>506</v>
      </c>
      <c r="G768" s="6">
        <f>IFERROR(Comp3[[#This Row],[Comparable '#3 Drawdown]]/MAX($B$2:B768),"-")</f>
        <v>-0.62050627526058288</v>
      </c>
      <c r="H768" s="1" t="str">
        <f>IF(SUM(COUNTIF(Benchmark1[Benchmark '#1 Dates],Comp3[[#This Row],[Comparable '#3 Dates]]),COUNTIF(Benchmark2[Benchmark '#2 Dates],Comp3[[#This Row],[Comparable '#3 Dates]]))=2,"Pass","Fail")</f>
        <v>Pass</v>
      </c>
      <c r="I768" s="1">
        <f>IFERROR(Comp3[[#This Row],[Comparable '#3 Return]]-INDEX(Benchmark1[Benchmark '#1 Return],MATCH(Comp3[[#This Row],[Comparable '#3 Dates]],Benchmark1[Benchmark '#1 Dates],0)),"-")</f>
        <v>-8.0690028827903743E-3</v>
      </c>
      <c r="L768" s="72">
        <f>Comp3[[#This Row],[Comparable '#3 Price]]/$B$2*100</f>
        <v>60.882177288627247</v>
      </c>
    </row>
    <row r="769" spans="1:12">
      <c r="A769" s="96">
        <v>44399</v>
      </c>
      <c r="B769" s="101">
        <v>70.91</v>
      </c>
      <c r="C769" s="1">
        <f t="shared" si="22"/>
        <v>-6.3260209558487013E-3</v>
      </c>
      <c r="D769" s="1">
        <f>IFERROR(Comp3[[#This Row],[Comparable '#3 Return]]+1,"-")</f>
        <v>0.99367397904415133</v>
      </c>
      <c r="E769" s="6">
        <f>B769-MAX($B$2:B769)</f>
        <v>-117.13</v>
      </c>
      <c r="F769" s="80">
        <f t="shared" si="23"/>
        <v>507</v>
      </c>
      <c r="G769" s="6">
        <f>IFERROR(Comp3[[#This Row],[Comparable '#3 Drawdown]]/MAX($B$2:B769),"-")</f>
        <v>-0.62289938310997661</v>
      </c>
      <c r="H769" s="1" t="str">
        <f>IF(SUM(COUNTIF(Benchmark1[Benchmark '#1 Dates],Comp3[[#This Row],[Comparable '#3 Dates]]),COUNTIF(Benchmark2[Benchmark '#2 Dates],Comp3[[#This Row],[Comparable '#3 Dates]]))=2,"Pass","Fail")</f>
        <v>Pass</v>
      </c>
      <c r="I769" s="1">
        <f>IFERROR(Comp3[[#This Row],[Comparable '#3 Return]]-INDEX(Benchmark1[Benchmark '#1 Return],MATCH(Comp3[[#This Row],[Comparable '#3 Dates]],Benchmark1[Benchmark '#1 Dates],0)),"-")</f>
        <v>-8.3387645033862739E-3</v>
      </c>
      <c r="L769" s="72">
        <f>Comp3[[#This Row],[Comparable '#3 Price]]/$B$2*100</f>
        <v>60.498251002474191</v>
      </c>
    </row>
    <row r="770" spans="1:12">
      <c r="A770" s="96">
        <v>44400</v>
      </c>
      <c r="B770" s="101">
        <v>70.81</v>
      </c>
      <c r="C770" s="1">
        <f t="shared" ref="C770:C833" si="24">IFERROR(IF(B770="","-",LN(B770/B769)),"-")</f>
        <v>-1.411233652222675E-3</v>
      </c>
      <c r="D770" s="1">
        <f>IFERROR(Comp3[[#This Row],[Comparable '#3 Return]]+1,"-")</f>
        <v>0.99858876634777738</v>
      </c>
      <c r="E770" s="6">
        <f>B770-MAX($B$2:B770)</f>
        <v>-117.22999999999999</v>
      </c>
      <c r="F770" s="80">
        <f t="shared" ref="F770:F833" si="25">IF(E770=0,0,F769+1)</f>
        <v>508</v>
      </c>
      <c r="G770" s="6">
        <f>IFERROR(Comp3[[#This Row],[Comparable '#3 Drawdown]]/MAX($B$2:B770),"-")</f>
        <v>-0.62343118485428628</v>
      </c>
      <c r="H770" s="1" t="str">
        <f>IF(SUM(COUNTIF(Benchmark1[Benchmark '#1 Dates],Comp3[[#This Row],[Comparable '#3 Dates]]),COUNTIF(Benchmark2[Benchmark '#2 Dates],Comp3[[#This Row],[Comparable '#3 Dates]]))=2,"Pass","Fail")</f>
        <v>Pass</v>
      </c>
      <c r="I770" s="1">
        <f>IFERROR(Comp3[[#This Row],[Comparable '#3 Return]]-INDEX(Benchmark1[Benchmark '#1 Return],MATCH(Comp3[[#This Row],[Comparable '#3 Dates]],Benchmark1[Benchmark '#1 Dates],0)),"-")</f>
        <v>-1.1507232605370789E-2</v>
      </c>
      <c r="L770" s="72">
        <f>Comp3[[#This Row],[Comparable '#3 Price]]/$B$2*100</f>
        <v>60.412934049995734</v>
      </c>
    </row>
    <row r="771" spans="1:12">
      <c r="A771" s="96">
        <v>44403</v>
      </c>
      <c r="B771" s="101">
        <v>70.86</v>
      </c>
      <c r="C771" s="1">
        <f t="shared" si="24"/>
        <v>7.0586577364335518E-4</v>
      </c>
      <c r="D771" s="1">
        <f>IFERROR(Comp3[[#This Row],[Comparable '#3 Return]]+1,"-")</f>
        <v>1.0007058657736434</v>
      </c>
      <c r="E771" s="6">
        <f>B771-MAX($B$2:B771)</f>
        <v>-117.17999999999999</v>
      </c>
      <c r="F771" s="80">
        <f t="shared" si="25"/>
        <v>509</v>
      </c>
      <c r="G771" s="6">
        <f>IFERROR(Comp3[[#This Row],[Comparable '#3 Drawdown]]/MAX($B$2:B771),"-")</f>
        <v>-0.62316528398213145</v>
      </c>
      <c r="H771" s="1" t="str">
        <f>IF(SUM(COUNTIF(Benchmark1[Benchmark '#1 Dates],Comp3[[#This Row],[Comparable '#3 Dates]]),COUNTIF(Benchmark2[Benchmark '#2 Dates],Comp3[[#This Row],[Comparable '#3 Dates]]))=2,"Pass","Fail")</f>
        <v>Pass</v>
      </c>
      <c r="I771" s="1">
        <f>IFERROR(Comp3[[#This Row],[Comparable '#3 Return]]-INDEX(Benchmark1[Benchmark '#1 Return],MATCH(Comp3[[#This Row],[Comparable '#3 Dates]],Benchmark1[Benchmark '#1 Dates],0)),"-")</f>
        <v>-1.673806164059443E-3</v>
      </c>
      <c r="L771" s="72">
        <f>Comp3[[#This Row],[Comparable '#3 Price]]/$B$2*100</f>
        <v>60.455592526234966</v>
      </c>
    </row>
    <row r="772" spans="1:12">
      <c r="A772" s="96">
        <v>44404</v>
      </c>
      <c r="B772" s="101">
        <v>72.27</v>
      </c>
      <c r="C772" s="1">
        <f t="shared" si="24"/>
        <v>1.9703005857563741E-2</v>
      </c>
      <c r="D772" s="1">
        <f>IFERROR(Comp3[[#This Row],[Comparable '#3 Return]]+1,"-")</f>
        <v>1.0197030058575638</v>
      </c>
      <c r="E772" s="6">
        <f>B772-MAX($B$2:B772)</f>
        <v>-115.77</v>
      </c>
      <c r="F772" s="80">
        <f t="shared" si="25"/>
        <v>510</v>
      </c>
      <c r="G772" s="6">
        <f>IFERROR(Comp3[[#This Row],[Comparable '#3 Drawdown]]/MAX($B$2:B772),"-")</f>
        <v>-0.61566687938736442</v>
      </c>
      <c r="H772" s="1" t="str">
        <f>IF(SUM(COUNTIF(Benchmark1[Benchmark '#1 Dates],Comp3[[#This Row],[Comparable '#3 Dates]]),COUNTIF(Benchmark2[Benchmark '#2 Dates],Comp3[[#This Row],[Comparable '#3 Dates]]))=2,"Pass","Fail")</f>
        <v>Pass</v>
      </c>
      <c r="I772" s="1">
        <f>IFERROR(Comp3[[#This Row],[Comparable '#3 Return]]-INDEX(Benchmark1[Benchmark '#1 Return],MATCH(Comp3[[#This Row],[Comparable '#3 Dates]],Benchmark1[Benchmark '#1 Dates],0)),"-")</f>
        <v>2.4426730604059709E-2</v>
      </c>
      <c r="L772" s="72">
        <f>Comp3[[#This Row],[Comparable '#3 Price]]/$B$2*100</f>
        <v>61.658561556181212</v>
      </c>
    </row>
    <row r="773" spans="1:12">
      <c r="A773" s="96">
        <v>44405</v>
      </c>
      <c r="B773" s="101">
        <v>78.03</v>
      </c>
      <c r="C773" s="1">
        <f t="shared" si="24"/>
        <v>7.668426283378027E-2</v>
      </c>
      <c r="D773" s="1">
        <f>IFERROR(Comp3[[#This Row],[Comparable '#3 Return]]+1,"-")</f>
        <v>1.0766842628337803</v>
      </c>
      <c r="E773" s="6">
        <f>B773-MAX($B$2:B773)</f>
        <v>-110.00999999999999</v>
      </c>
      <c r="F773" s="80">
        <f t="shared" si="25"/>
        <v>511</v>
      </c>
      <c r="G773" s="6">
        <f>IFERROR(Comp3[[#This Row],[Comparable '#3 Drawdown]]/MAX($B$2:B773),"-")</f>
        <v>-0.5850350989151244</v>
      </c>
      <c r="H773" s="1" t="str">
        <f>IF(SUM(COUNTIF(Benchmark1[Benchmark '#1 Dates],Comp3[[#This Row],[Comparable '#3 Dates]]),COUNTIF(Benchmark2[Benchmark '#2 Dates],Comp3[[#This Row],[Comparable '#3 Dates]]))=2,"Pass","Fail")</f>
        <v>Pass</v>
      </c>
      <c r="I773" s="1">
        <f>IFERROR(Comp3[[#This Row],[Comparable '#3 Return]]-INDEX(Benchmark1[Benchmark '#1 Return],MATCH(Comp3[[#This Row],[Comparable '#3 Dates]],Benchmark1[Benchmark '#1 Dates],0)),"-")</f>
        <v>7.687229787561832E-2</v>
      </c>
      <c r="L773" s="72">
        <f>Comp3[[#This Row],[Comparable '#3 Price]]/$B$2*100</f>
        <v>66.572818018940367</v>
      </c>
    </row>
    <row r="774" spans="1:12">
      <c r="A774" s="96">
        <v>44406</v>
      </c>
      <c r="B774" s="101">
        <v>80.31</v>
      </c>
      <c r="C774" s="1">
        <f t="shared" si="24"/>
        <v>2.8800778071701016E-2</v>
      </c>
      <c r="D774" s="1">
        <f>IFERROR(Comp3[[#This Row],[Comparable '#3 Return]]+1,"-")</f>
        <v>1.028800778071701</v>
      </c>
      <c r="E774" s="6">
        <f>B774-MAX($B$2:B774)</f>
        <v>-107.72999999999999</v>
      </c>
      <c r="F774" s="80">
        <f t="shared" si="25"/>
        <v>512</v>
      </c>
      <c r="G774" s="6">
        <f>IFERROR(Comp3[[#This Row],[Comparable '#3 Drawdown]]/MAX($B$2:B774),"-")</f>
        <v>-0.57291001914486273</v>
      </c>
      <c r="H774" s="1" t="str">
        <f>IF(SUM(COUNTIF(Benchmark1[Benchmark '#1 Dates],Comp3[[#This Row],[Comparable '#3 Dates]]),COUNTIF(Benchmark2[Benchmark '#2 Dates],Comp3[[#This Row],[Comparable '#3 Dates]]))=2,"Pass","Fail")</f>
        <v>Pass</v>
      </c>
      <c r="I774" s="1">
        <f>IFERROR(Comp3[[#This Row],[Comparable '#3 Return]]-INDEX(Benchmark1[Benchmark '#1 Return],MATCH(Comp3[[#This Row],[Comparable '#3 Dates]],Benchmark1[Benchmark '#1 Dates],0)),"-")</f>
        <v>2.4602651553318134E-2</v>
      </c>
      <c r="L774" s="72">
        <f>Comp3[[#This Row],[Comparable '#3 Price]]/$B$2*100</f>
        <v>68.518044535449192</v>
      </c>
    </row>
    <row r="775" spans="1:12">
      <c r="A775" s="96">
        <v>44407</v>
      </c>
      <c r="B775" s="101">
        <v>79.290000000000006</v>
      </c>
      <c r="C775" s="1">
        <f t="shared" si="24"/>
        <v>-1.2782128916063255E-2</v>
      </c>
      <c r="D775" s="1">
        <f>IFERROR(Comp3[[#This Row],[Comparable '#3 Return]]+1,"-")</f>
        <v>0.98721787108393677</v>
      </c>
      <c r="E775" s="6">
        <f>B775-MAX($B$2:B775)</f>
        <v>-108.74999999999999</v>
      </c>
      <c r="F775" s="80">
        <f t="shared" si="25"/>
        <v>513</v>
      </c>
      <c r="G775" s="6">
        <f>IFERROR(Comp3[[#This Row],[Comparable '#3 Drawdown]]/MAX($B$2:B775),"-")</f>
        <v>-0.57833439693682187</v>
      </c>
      <c r="H775" s="1" t="str">
        <f>IF(SUM(COUNTIF(Benchmark1[Benchmark '#1 Dates],Comp3[[#This Row],[Comparable '#3 Dates]]),COUNTIF(Benchmark2[Benchmark '#2 Dates],Comp3[[#This Row],[Comparable '#3 Dates]]))=2,"Pass","Fail")</f>
        <v>Pass</v>
      </c>
      <c r="I775" s="1">
        <f>IFERROR(Comp3[[#This Row],[Comparable '#3 Return]]-INDEX(Benchmark1[Benchmark '#1 Return],MATCH(Comp3[[#This Row],[Comparable '#3 Dates]],Benchmark1[Benchmark '#1 Dates],0)),"-")</f>
        <v>-7.3626298171967416E-3</v>
      </c>
      <c r="L775" s="72">
        <f>Comp3[[#This Row],[Comparable '#3 Price]]/$B$2*100</f>
        <v>67.647811620168937</v>
      </c>
    </row>
    <row r="776" spans="1:12">
      <c r="A776" s="96">
        <v>44410</v>
      </c>
      <c r="B776" s="101">
        <v>78.959999999999994</v>
      </c>
      <c r="C776" s="1">
        <f t="shared" si="24"/>
        <v>-4.1706221590815931E-3</v>
      </c>
      <c r="D776" s="1">
        <f>IFERROR(Comp3[[#This Row],[Comparable '#3 Return]]+1,"-")</f>
        <v>0.99582937784091841</v>
      </c>
      <c r="E776" s="6">
        <f>B776-MAX($B$2:B776)</f>
        <v>-109.08</v>
      </c>
      <c r="F776" s="80">
        <f t="shared" si="25"/>
        <v>514</v>
      </c>
      <c r="G776" s="6">
        <f>IFERROR(Comp3[[#This Row],[Comparable '#3 Drawdown]]/MAX($B$2:B776),"-")</f>
        <v>-0.58008934269304402</v>
      </c>
      <c r="H776" s="1" t="str">
        <f>IF(SUM(COUNTIF(Benchmark1[Benchmark '#1 Dates],Comp3[[#This Row],[Comparable '#3 Dates]]),COUNTIF(Benchmark2[Benchmark '#2 Dates],Comp3[[#This Row],[Comparable '#3 Dates]]))=2,"Pass","Fail")</f>
        <v>Pass</v>
      </c>
      <c r="I776" s="1">
        <f>IFERROR(Comp3[[#This Row],[Comparable '#3 Return]]-INDEX(Benchmark1[Benchmark '#1 Return],MATCH(Comp3[[#This Row],[Comparable '#3 Dates]],Benchmark1[Benchmark '#1 Dates],0)),"-")</f>
        <v>-2.3241996719187983E-3</v>
      </c>
      <c r="L776" s="72">
        <f>Comp3[[#This Row],[Comparable '#3 Price]]/$B$2*100</f>
        <v>67.366265676990011</v>
      </c>
    </row>
    <row r="777" spans="1:12">
      <c r="A777" s="96">
        <v>44411</v>
      </c>
      <c r="B777" s="101">
        <v>79</v>
      </c>
      <c r="C777" s="1">
        <f t="shared" si="24"/>
        <v>5.064573417954385E-4</v>
      </c>
      <c r="D777" s="1">
        <f>IFERROR(Comp3[[#This Row],[Comparable '#3 Return]]+1,"-")</f>
        <v>1.0005064573417954</v>
      </c>
      <c r="E777" s="6">
        <f>B777-MAX($B$2:B777)</f>
        <v>-109.03999999999999</v>
      </c>
      <c r="F777" s="80">
        <f t="shared" si="25"/>
        <v>515</v>
      </c>
      <c r="G777" s="6">
        <f>IFERROR(Comp3[[#This Row],[Comparable '#3 Drawdown]]/MAX($B$2:B777),"-")</f>
        <v>-0.57987662199532009</v>
      </c>
      <c r="H777" s="1" t="str">
        <f>IF(SUM(COUNTIF(Benchmark1[Benchmark '#1 Dates],Comp3[[#This Row],[Comparable '#3 Dates]]),COUNTIF(Benchmark2[Benchmark '#2 Dates],Comp3[[#This Row],[Comparable '#3 Dates]]))=2,"Pass","Fail")</f>
        <v>Pass</v>
      </c>
      <c r="I777" s="1">
        <f>IFERROR(Comp3[[#This Row],[Comparable '#3 Return]]-INDEX(Benchmark1[Benchmark '#1 Return],MATCH(Comp3[[#This Row],[Comparable '#3 Dates]],Benchmark1[Benchmark '#1 Dates],0)),"-")</f>
        <v>-7.6653051082195721E-3</v>
      </c>
      <c r="L777" s="72">
        <f>Comp3[[#This Row],[Comparable '#3 Price]]/$B$2*100</f>
        <v>67.400392457981411</v>
      </c>
    </row>
    <row r="778" spans="1:12">
      <c r="A778" s="96">
        <v>44412</v>
      </c>
      <c r="B778" s="101">
        <v>78.489999999999995</v>
      </c>
      <c r="C778" s="1">
        <f t="shared" si="24"/>
        <v>-6.4766243282992474E-3</v>
      </c>
      <c r="D778" s="1">
        <f>IFERROR(Comp3[[#This Row],[Comparable '#3 Return]]+1,"-")</f>
        <v>0.99352337567170079</v>
      </c>
      <c r="E778" s="6">
        <f>B778-MAX($B$2:B778)</f>
        <v>-109.55</v>
      </c>
      <c r="F778" s="80">
        <f t="shared" si="25"/>
        <v>516</v>
      </c>
      <c r="G778" s="6">
        <f>IFERROR(Comp3[[#This Row],[Comparable '#3 Drawdown]]/MAX($B$2:B778),"-")</f>
        <v>-0.58258881089129977</v>
      </c>
      <c r="H778" s="1" t="str">
        <f>IF(SUM(COUNTIF(Benchmark1[Benchmark '#1 Dates],Comp3[[#This Row],[Comparable '#3 Dates]]),COUNTIF(Benchmark2[Benchmark '#2 Dates],Comp3[[#This Row],[Comparable '#3 Dates]]))=2,"Pass","Fail")</f>
        <v>Pass</v>
      </c>
      <c r="I778" s="1">
        <f>IFERROR(Comp3[[#This Row],[Comparable '#3 Return]]-INDEX(Benchmark1[Benchmark '#1 Return],MATCH(Comp3[[#This Row],[Comparable '#3 Dates]],Benchmark1[Benchmark '#1 Dates],0)),"-")</f>
        <v>-1.83283496481645E-3</v>
      </c>
      <c r="L778" s="72">
        <f>Comp3[[#This Row],[Comparable '#3 Price]]/$B$2*100</f>
        <v>66.965276000341262</v>
      </c>
    </row>
    <row r="779" spans="1:12">
      <c r="A779" s="96">
        <v>44413</v>
      </c>
      <c r="B779" s="101">
        <v>78.97</v>
      </c>
      <c r="C779" s="1">
        <f t="shared" si="24"/>
        <v>6.0968053707672306E-3</v>
      </c>
      <c r="D779" s="1">
        <f>IFERROR(Comp3[[#This Row],[Comparable '#3 Return]]+1,"-")</f>
        <v>1.0060968053707673</v>
      </c>
      <c r="E779" s="6">
        <f>B779-MAX($B$2:B779)</f>
        <v>-109.07</v>
      </c>
      <c r="F779" s="80">
        <f t="shared" si="25"/>
        <v>517</v>
      </c>
      <c r="G779" s="6">
        <f>IFERROR(Comp3[[#This Row],[Comparable '#3 Drawdown]]/MAX($B$2:B779),"-")</f>
        <v>-0.58003616251861301</v>
      </c>
      <c r="H779" s="1" t="str">
        <f>IF(SUM(COUNTIF(Benchmark1[Benchmark '#1 Dates],Comp3[[#This Row],[Comparable '#3 Dates]]),COUNTIF(Benchmark2[Benchmark '#2 Dates],Comp3[[#This Row],[Comparable '#3 Dates]]))=2,"Pass","Fail")</f>
        <v>Pass</v>
      </c>
      <c r="I779" s="1">
        <f>IFERROR(Comp3[[#This Row],[Comparable '#3 Return]]-INDEX(Benchmark1[Benchmark '#1 Return],MATCH(Comp3[[#This Row],[Comparable '#3 Dates]],Benchmark1[Benchmark '#1 Dates],0)),"-")</f>
        <v>1.0886928673758782E-4</v>
      </c>
      <c r="L779" s="72">
        <f>Comp3[[#This Row],[Comparable '#3 Price]]/$B$2*100</f>
        <v>67.374797372237865</v>
      </c>
    </row>
    <row r="780" spans="1:12">
      <c r="A780" s="96">
        <v>44414</v>
      </c>
      <c r="B780" s="101">
        <v>76.14</v>
      </c>
      <c r="C780" s="1">
        <f t="shared" si="24"/>
        <v>-3.6494282555138285E-2</v>
      </c>
      <c r="D780" s="1">
        <f>IFERROR(Comp3[[#This Row],[Comparable '#3 Return]]+1,"-")</f>
        <v>0.96350571744486169</v>
      </c>
      <c r="E780" s="6">
        <f>B780-MAX($B$2:B780)</f>
        <v>-111.89999999999999</v>
      </c>
      <c r="F780" s="80">
        <f t="shared" si="25"/>
        <v>518</v>
      </c>
      <c r="G780" s="6">
        <f>IFERROR(Comp3[[#This Row],[Comparable '#3 Drawdown]]/MAX($B$2:B780),"-")</f>
        <v>-0.59508615188257818</v>
      </c>
      <c r="H780" s="1" t="str">
        <f>IF(SUM(COUNTIF(Benchmark1[Benchmark '#1 Dates],Comp3[[#This Row],[Comparable '#3 Dates]]),COUNTIF(Benchmark2[Benchmark '#2 Dates],Comp3[[#This Row],[Comparable '#3 Dates]]))=2,"Pass","Fail")</f>
        <v>Pass</v>
      </c>
      <c r="I780" s="1">
        <f>IFERROR(Comp3[[#This Row],[Comparable '#3 Return]]-INDEX(Benchmark1[Benchmark '#1 Return],MATCH(Comp3[[#This Row],[Comparable '#3 Dates]],Benchmark1[Benchmark '#1 Dates],0)),"-")</f>
        <v>-3.816698431960442E-2</v>
      </c>
      <c r="L780" s="72">
        <f>Comp3[[#This Row],[Comparable '#3 Price]]/$B$2*100</f>
        <v>64.960327617097519</v>
      </c>
    </row>
    <row r="781" spans="1:12">
      <c r="A781" s="96">
        <v>44417</v>
      </c>
      <c r="B781" s="101">
        <v>76.239999999999995</v>
      </c>
      <c r="C781" s="1">
        <f t="shared" si="24"/>
        <v>1.3125083915951957E-3</v>
      </c>
      <c r="D781" s="1">
        <f>IFERROR(Comp3[[#This Row],[Comparable '#3 Return]]+1,"-")</f>
        <v>1.0013125083915952</v>
      </c>
      <c r="E781" s="6">
        <f>B781-MAX($B$2:B781)</f>
        <v>-111.8</v>
      </c>
      <c r="F781" s="80">
        <f t="shared" si="25"/>
        <v>519</v>
      </c>
      <c r="G781" s="6">
        <f>IFERROR(Comp3[[#This Row],[Comparable '#3 Drawdown]]/MAX($B$2:B781),"-")</f>
        <v>-0.59455435013826852</v>
      </c>
      <c r="H781" s="1" t="str">
        <f>IF(SUM(COUNTIF(Benchmark1[Benchmark '#1 Dates],Comp3[[#This Row],[Comparable '#3 Dates]]),COUNTIF(Benchmark2[Benchmark '#2 Dates],Comp3[[#This Row],[Comparable '#3 Dates]]))=2,"Pass","Fail")</f>
        <v>Pass</v>
      </c>
      <c r="I781" s="1">
        <f>IFERROR(Comp3[[#This Row],[Comparable '#3 Return]]-INDEX(Benchmark1[Benchmark '#1 Return],MATCH(Comp3[[#This Row],[Comparable '#3 Dates]],Benchmark1[Benchmark '#1 Dates],0)),"-")</f>
        <v>2.2516948318316229E-3</v>
      </c>
      <c r="L781" s="72">
        <f>Comp3[[#This Row],[Comparable '#3 Price]]/$B$2*100</f>
        <v>65.045644569575984</v>
      </c>
    </row>
    <row r="782" spans="1:12">
      <c r="A782" s="96">
        <v>44418</v>
      </c>
      <c r="B782" s="101">
        <v>75.17</v>
      </c>
      <c r="C782" s="1">
        <f t="shared" si="24"/>
        <v>-1.4134044156569065E-2</v>
      </c>
      <c r="D782" s="1">
        <f>IFERROR(Comp3[[#This Row],[Comparable '#3 Return]]+1,"-")</f>
        <v>0.98586595584343095</v>
      </c>
      <c r="E782" s="6">
        <f>B782-MAX($B$2:B782)</f>
        <v>-112.86999999999999</v>
      </c>
      <c r="F782" s="80">
        <f t="shared" si="25"/>
        <v>520</v>
      </c>
      <c r="G782" s="6">
        <f>IFERROR(Comp3[[#This Row],[Comparable '#3 Drawdown]]/MAX($B$2:B782),"-")</f>
        <v>-0.6002446288023825</v>
      </c>
      <c r="H782" s="1" t="str">
        <f>IF(SUM(COUNTIF(Benchmark1[Benchmark '#1 Dates],Comp3[[#This Row],[Comparable '#3 Dates]]),COUNTIF(Benchmark2[Benchmark '#2 Dates],Comp3[[#This Row],[Comparable '#3 Dates]]))=2,"Pass","Fail")</f>
        <v>Pass</v>
      </c>
      <c r="I782" s="1">
        <f>IFERROR(Comp3[[#This Row],[Comparable '#3 Return]]-INDEX(Benchmark1[Benchmark '#1 Return],MATCH(Comp3[[#This Row],[Comparable '#3 Dates]],Benchmark1[Benchmark '#1 Dates],0)),"-")</f>
        <v>-1.5126226260707733E-2</v>
      </c>
      <c r="L782" s="72">
        <f>Comp3[[#This Row],[Comparable '#3 Price]]/$B$2*100</f>
        <v>64.13275317805649</v>
      </c>
    </row>
    <row r="783" spans="1:12">
      <c r="A783" s="96">
        <v>44419</v>
      </c>
      <c r="B783" s="101">
        <v>75.52</v>
      </c>
      <c r="C783" s="1">
        <f t="shared" si="24"/>
        <v>4.6453066478675904E-3</v>
      </c>
      <c r="D783" s="1">
        <f>IFERROR(Comp3[[#This Row],[Comparable '#3 Return]]+1,"-")</f>
        <v>1.0046453066478676</v>
      </c>
      <c r="E783" s="6">
        <f>B783-MAX($B$2:B783)</f>
        <v>-112.52</v>
      </c>
      <c r="F783" s="80">
        <f t="shared" si="25"/>
        <v>521</v>
      </c>
      <c r="G783" s="6">
        <f>IFERROR(Comp3[[#This Row],[Comparable '#3 Drawdown]]/MAX($B$2:B783),"-")</f>
        <v>-0.59838332269729844</v>
      </c>
      <c r="H783" s="1" t="str">
        <f>IF(SUM(COUNTIF(Benchmark1[Benchmark '#1 Dates],Comp3[[#This Row],[Comparable '#3 Dates]]),COUNTIF(Benchmark2[Benchmark '#2 Dates],Comp3[[#This Row],[Comparable '#3 Dates]]))=2,"Pass","Fail")</f>
        <v>Pass</v>
      </c>
      <c r="I783" s="1">
        <f>IFERROR(Comp3[[#This Row],[Comparable '#3 Return]]-INDEX(Benchmark1[Benchmark '#1 Return],MATCH(Comp3[[#This Row],[Comparable '#3 Dates]],Benchmark1[Benchmark '#1 Dates],0)),"-")</f>
        <v>2.1801691865370567E-3</v>
      </c>
      <c r="L783" s="72">
        <f>Comp3[[#This Row],[Comparable '#3 Price]]/$B$2*100</f>
        <v>64.431362511731081</v>
      </c>
    </row>
    <row r="784" spans="1:12">
      <c r="A784" s="96">
        <v>44420</v>
      </c>
      <c r="B784" s="101">
        <v>75.38</v>
      </c>
      <c r="C784" s="1">
        <f t="shared" si="24"/>
        <v>-1.8555339982558581E-3</v>
      </c>
      <c r="D784" s="1">
        <f>IFERROR(Comp3[[#This Row],[Comparable '#3 Return]]+1,"-")</f>
        <v>0.99814446600174411</v>
      </c>
      <c r="E784" s="6">
        <f>B784-MAX($B$2:B784)</f>
        <v>-112.66</v>
      </c>
      <c r="F784" s="80">
        <f t="shared" si="25"/>
        <v>522</v>
      </c>
      <c r="G784" s="6">
        <f>IFERROR(Comp3[[#This Row],[Comparable '#3 Drawdown]]/MAX($B$2:B784),"-")</f>
        <v>-0.59912784513933204</v>
      </c>
      <c r="H784" s="1" t="str">
        <f>IF(SUM(COUNTIF(Benchmark1[Benchmark '#1 Dates],Comp3[[#This Row],[Comparable '#3 Dates]]),COUNTIF(Benchmark2[Benchmark '#2 Dates],Comp3[[#This Row],[Comparable '#3 Dates]]))=2,"Pass","Fail")</f>
        <v>Pass</v>
      </c>
      <c r="I784" s="1">
        <f>IFERROR(Comp3[[#This Row],[Comparable '#3 Return]]-INDEX(Benchmark1[Benchmark '#1 Return],MATCH(Comp3[[#This Row],[Comparable '#3 Dates]],Benchmark1[Benchmark '#1 Dates],0)),"-")</f>
        <v>-4.8028987710522462E-3</v>
      </c>
      <c r="L784" s="72">
        <f>Comp3[[#This Row],[Comparable '#3 Price]]/$B$2*100</f>
        <v>64.311918778261244</v>
      </c>
    </row>
    <row r="785" spans="1:12">
      <c r="A785" s="96">
        <v>44421</v>
      </c>
      <c r="B785" s="101">
        <v>76.260000000000005</v>
      </c>
      <c r="C785" s="1">
        <f t="shared" si="24"/>
        <v>1.1606566590428512E-2</v>
      </c>
      <c r="D785" s="1">
        <f>IFERROR(Comp3[[#This Row],[Comparable '#3 Return]]+1,"-")</f>
        <v>1.0116065665904286</v>
      </c>
      <c r="E785" s="6">
        <f>B785-MAX($B$2:B785)</f>
        <v>-111.77999999999999</v>
      </c>
      <c r="F785" s="80">
        <f t="shared" si="25"/>
        <v>523</v>
      </c>
      <c r="G785" s="6">
        <f>IFERROR(Comp3[[#This Row],[Comparable '#3 Drawdown]]/MAX($B$2:B785),"-")</f>
        <v>-0.59444798978940649</v>
      </c>
      <c r="H785" s="1" t="str">
        <f>IF(SUM(COUNTIF(Benchmark1[Benchmark '#1 Dates],Comp3[[#This Row],[Comparable '#3 Dates]]),COUNTIF(Benchmark2[Benchmark '#2 Dates],Comp3[[#This Row],[Comparable '#3 Dates]]))=2,"Pass","Fail")</f>
        <v>Pass</v>
      </c>
      <c r="I785" s="1">
        <f>IFERROR(Comp3[[#This Row],[Comparable '#3 Return]]-INDEX(Benchmark1[Benchmark '#1 Return],MATCH(Comp3[[#This Row],[Comparable '#3 Dates]],Benchmark1[Benchmark '#1 Dates],0)),"-")</f>
        <v>1.0000236938961153E-2</v>
      </c>
      <c r="L785" s="72">
        <f>Comp3[[#This Row],[Comparable '#3 Price]]/$B$2*100</f>
        <v>65.062707960071677</v>
      </c>
    </row>
    <row r="786" spans="1:12">
      <c r="A786" s="96">
        <v>44424</v>
      </c>
      <c r="B786" s="101">
        <v>75.11</v>
      </c>
      <c r="C786" s="1">
        <f t="shared" si="24"/>
        <v>-1.5194848731497327E-2</v>
      </c>
      <c r="D786" s="1">
        <f>IFERROR(Comp3[[#This Row],[Comparable '#3 Return]]+1,"-")</f>
        <v>0.98480515126850265</v>
      </c>
      <c r="E786" s="6">
        <f>B786-MAX($B$2:B786)</f>
        <v>-112.92999999999999</v>
      </c>
      <c r="F786" s="80">
        <f t="shared" si="25"/>
        <v>524</v>
      </c>
      <c r="G786" s="6">
        <f>IFERROR(Comp3[[#This Row],[Comparable '#3 Drawdown]]/MAX($B$2:B786),"-")</f>
        <v>-0.60056370984896834</v>
      </c>
      <c r="H786" s="1" t="str">
        <f>IF(SUM(COUNTIF(Benchmark1[Benchmark '#1 Dates],Comp3[[#This Row],[Comparable '#3 Dates]]),COUNTIF(Benchmark2[Benchmark '#2 Dates],Comp3[[#This Row],[Comparable '#3 Dates]]))=2,"Pass","Fail")</f>
        <v>Pass</v>
      </c>
      <c r="I786" s="1">
        <f>IFERROR(Comp3[[#This Row],[Comparable '#3 Return]]-INDEX(Benchmark1[Benchmark '#1 Return],MATCH(Comp3[[#This Row],[Comparable '#3 Dates]],Benchmark1[Benchmark '#1 Dates],0)),"-")</f>
        <v>-1.78112679733794E-2</v>
      </c>
      <c r="L786" s="72">
        <f>Comp3[[#This Row],[Comparable '#3 Price]]/$B$2*100</f>
        <v>64.081563006569411</v>
      </c>
    </row>
    <row r="787" spans="1:12">
      <c r="A787" s="96">
        <v>44425</v>
      </c>
      <c r="B787" s="101">
        <v>74.94</v>
      </c>
      <c r="C787" s="1">
        <f t="shared" si="24"/>
        <v>-2.2659123323791456E-3</v>
      </c>
      <c r="D787" s="1">
        <f>IFERROR(Comp3[[#This Row],[Comparable '#3 Return]]+1,"-")</f>
        <v>0.99773408766762084</v>
      </c>
      <c r="E787" s="6">
        <f>B787-MAX($B$2:B787)</f>
        <v>-113.1</v>
      </c>
      <c r="F787" s="80">
        <f t="shared" si="25"/>
        <v>525</v>
      </c>
      <c r="G787" s="6">
        <f>IFERROR(Comp3[[#This Row],[Comparable '#3 Drawdown]]/MAX($B$2:B787),"-")</f>
        <v>-0.60146777281429487</v>
      </c>
      <c r="H787" s="1" t="str">
        <f>IF(SUM(COUNTIF(Benchmark1[Benchmark '#1 Dates],Comp3[[#This Row],[Comparable '#3 Dates]]),COUNTIF(Benchmark2[Benchmark '#2 Dates],Comp3[[#This Row],[Comparable '#3 Dates]]))=2,"Pass","Fail")</f>
        <v>Pass</v>
      </c>
      <c r="I787" s="1">
        <f>IFERROR(Comp3[[#This Row],[Comparable '#3 Return]]-INDEX(Benchmark1[Benchmark '#1 Return],MATCH(Comp3[[#This Row],[Comparable '#3 Dates]],Benchmark1[Benchmark '#1 Dates],0)),"-")</f>
        <v>4.8206047419440314E-3</v>
      </c>
      <c r="L787" s="72">
        <f>Comp3[[#This Row],[Comparable '#3 Price]]/$B$2*100</f>
        <v>63.936524187356028</v>
      </c>
    </row>
    <row r="788" spans="1:12">
      <c r="A788" s="96">
        <v>44426</v>
      </c>
      <c r="B788" s="101">
        <v>73.180000000000007</v>
      </c>
      <c r="C788" s="1">
        <f t="shared" si="24"/>
        <v>-2.3765633774480439E-2</v>
      </c>
      <c r="D788" s="1">
        <f>IFERROR(Comp3[[#This Row],[Comparable '#3 Return]]+1,"-")</f>
        <v>0.97623436622551951</v>
      </c>
      <c r="E788" s="6">
        <f>B788-MAX($B$2:B788)</f>
        <v>-114.85999999999999</v>
      </c>
      <c r="F788" s="80">
        <f t="shared" si="25"/>
        <v>526</v>
      </c>
      <c r="G788" s="6">
        <f>IFERROR(Comp3[[#This Row],[Comparable '#3 Drawdown]]/MAX($B$2:B788),"-")</f>
        <v>-0.61082748351414584</v>
      </c>
      <c r="H788" s="1" t="str">
        <f>IF(SUM(COUNTIF(Benchmark1[Benchmark '#1 Dates],Comp3[[#This Row],[Comparable '#3 Dates]]),COUNTIF(Benchmark2[Benchmark '#2 Dates],Comp3[[#This Row],[Comparable '#3 Dates]]))=2,"Pass","Fail")</f>
        <v>Pass</v>
      </c>
      <c r="I788" s="1">
        <f>IFERROR(Comp3[[#This Row],[Comparable '#3 Return]]-INDEX(Benchmark1[Benchmark '#1 Return],MATCH(Comp3[[#This Row],[Comparable '#3 Dates]],Benchmark1[Benchmark '#1 Dates],0)),"-")</f>
        <v>-1.2959194246903333E-2</v>
      </c>
      <c r="L788" s="72">
        <f>Comp3[[#This Row],[Comparable '#3 Price]]/$B$2*100</f>
        <v>62.434945823735191</v>
      </c>
    </row>
    <row r="789" spans="1:12">
      <c r="A789" s="96">
        <v>44427</v>
      </c>
      <c r="B789" s="101">
        <v>73.38</v>
      </c>
      <c r="C789" s="1">
        <f t="shared" si="24"/>
        <v>2.729259336075041E-3</v>
      </c>
      <c r="D789" s="1">
        <f>IFERROR(Comp3[[#This Row],[Comparable '#3 Return]]+1,"-")</f>
        <v>1.002729259336075</v>
      </c>
      <c r="E789" s="6">
        <f>B789-MAX($B$2:B789)</f>
        <v>-114.66</v>
      </c>
      <c r="F789" s="80">
        <f t="shared" si="25"/>
        <v>527</v>
      </c>
      <c r="G789" s="6">
        <f>IFERROR(Comp3[[#This Row],[Comparable '#3 Drawdown]]/MAX($B$2:B789),"-")</f>
        <v>-0.60976388002552651</v>
      </c>
      <c r="H789" s="1" t="str">
        <f>IF(SUM(COUNTIF(Benchmark1[Benchmark '#1 Dates],Comp3[[#This Row],[Comparable '#3 Dates]]),COUNTIF(Benchmark2[Benchmark '#2 Dates],Comp3[[#This Row],[Comparable '#3 Dates]]))=2,"Pass","Fail")</f>
        <v>Pass</v>
      </c>
      <c r="I789" s="1">
        <f>IFERROR(Comp3[[#This Row],[Comparable '#3 Return]]-INDEX(Benchmark1[Benchmark '#1 Return],MATCH(Comp3[[#This Row],[Comparable '#3 Dates]],Benchmark1[Benchmark '#1 Dates],0)),"-")</f>
        <v>1.4718179849388946E-3</v>
      </c>
      <c r="L789" s="72">
        <f>Comp3[[#This Row],[Comparable '#3 Price]]/$B$2*100</f>
        <v>62.605579728692092</v>
      </c>
    </row>
    <row r="790" spans="1:12">
      <c r="A790" s="96">
        <v>44428</v>
      </c>
      <c r="B790" s="101">
        <v>76.239999999999995</v>
      </c>
      <c r="C790" s="1">
        <f t="shared" si="24"/>
        <v>3.8234840418810617E-2</v>
      </c>
      <c r="D790" s="1">
        <f>IFERROR(Comp3[[#This Row],[Comparable '#3 Return]]+1,"-")</f>
        <v>1.0382348404188106</v>
      </c>
      <c r="E790" s="6">
        <f>B790-MAX($B$2:B790)</f>
        <v>-111.8</v>
      </c>
      <c r="F790" s="80">
        <f t="shared" si="25"/>
        <v>528</v>
      </c>
      <c r="G790" s="6">
        <f>IFERROR(Comp3[[#This Row],[Comparable '#3 Drawdown]]/MAX($B$2:B790),"-")</f>
        <v>-0.59455435013826852</v>
      </c>
      <c r="H790" s="1" t="str">
        <f>IF(SUM(COUNTIF(Benchmark1[Benchmark '#1 Dates],Comp3[[#This Row],[Comparable '#3 Dates]]),COUNTIF(Benchmark2[Benchmark '#2 Dates],Comp3[[#This Row],[Comparable '#3 Dates]]))=2,"Pass","Fail")</f>
        <v>Pass</v>
      </c>
      <c r="I790" s="1">
        <f>IFERROR(Comp3[[#This Row],[Comparable '#3 Return]]-INDEX(Benchmark1[Benchmark '#1 Return],MATCH(Comp3[[#This Row],[Comparable '#3 Dates]],Benchmark1[Benchmark '#1 Dates],0)),"-")</f>
        <v>3.0128004520848888E-2</v>
      </c>
      <c r="L790" s="72">
        <f>Comp3[[#This Row],[Comparable '#3 Price]]/$B$2*100</f>
        <v>65.045644569575984</v>
      </c>
    </row>
    <row r="791" spans="1:12">
      <c r="A791" s="96">
        <v>44431</v>
      </c>
      <c r="B791" s="101">
        <v>77.239999999999995</v>
      </c>
      <c r="C791" s="1">
        <f t="shared" si="24"/>
        <v>1.3031198214367108E-2</v>
      </c>
      <c r="D791" s="1">
        <f>IFERROR(Comp3[[#This Row],[Comparable '#3 Return]]+1,"-")</f>
        <v>1.0130311982143672</v>
      </c>
      <c r="E791" s="6">
        <f>B791-MAX($B$2:B791)</f>
        <v>-110.8</v>
      </c>
      <c r="F791" s="80">
        <f t="shared" si="25"/>
        <v>529</v>
      </c>
      <c r="G791" s="6">
        <f>IFERROR(Comp3[[#This Row],[Comparable '#3 Drawdown]]/MAX($B$2:B791),"-")</f>
        <v>-0.58923633269517128</v>
      </c>
      <c r="H791" s="1" t="str">
        <f>IF(SUM(COUNTIF(Benchmark1[Benchmark '#1 Dates],Comp3[[#This Row],[Comparable '#3 Dates]]),COUNTIF(Benchmark2[Benchmark '#2 Dates],Comp3[[#This Row],[Comparable '#3 Dates]]))=2,"Pass","Fail")</f>
        <v>Pass</v>
      </c>
      <c r="I791" s="1">
        <f>IFERROR(Comp3[[#This Row],[Comparable '#3 Return]]-INDEX(Benchmark1[Benchmark '#1 Return],MATCH(Comp3[[#This Row],[Comparable '#3 Dates]],Benchmark1[Benchmark '#1 Dates],0)),"-")</f>
        <v>4.5423115399753026E-3</v>
      </c>
      <c r="L791" s="72">
        <f>Comp3[[#This Row],[Comparable '#3 Price]]/$B$2*100</f>
        <v>65.898814094360546</v>
      </c>
    </row>
    <row r="792" spans="1:12">
      <c r="A792" s="96">
        <v>44432</v>
      </c>
      <c r="B792" s="101">
        <v>77.81</v>
      </c>
      <c r="C792" s="1">
        <f t="shared" si="24"/>
        <v>7.3525000685252034E-3</v>
      </c>
      <c r="D792" s="1">
        <f>IFERROR(Comp3[[#This Row],[Comparable '#3 Return]]+1,"-")</f>
        <v>1.0073525000685253</v>
      </c>
      <c r="E792" s="6">
        <f>B792-MAX($B$2:B792)</f>
        <v>-110.22999999999999</v>
      </c>
      <c r="F792" s="80">
        <f t="shared" si="25"/>
        <v>530</v>
      </c>
      <c r="G792" s="6">
        <f>IFERROR(Comp3[[#This Row],[Comparable '#3 Drawdown]]/MAX($B$2:B792),"-")</f>
        <v>-0.58620506275260575</v>
      </c>
      <c r="H792" s="1" t="str">
        <f>IF(SUM(COUNTIF(Benchmark1[Benchmark '#1 Dates],Comp3[[#This Row],[Comparable '#3 Dates]]),COUNTIF(Benchmark2[Benchmark '#2 Dates],Comp3[[#This Row],[Comparable '#3 Dates]]))=2,"Pass","Fail")</f>
        <v>Pass</v>
      </c>
      <c r="I792" s="1">
        <f>IFERROR(Comp3[[#This Row],[Comparable '#3 Return]]-INDEX(Benchmark1[Benchmark '#1 Return],MATCH(Comp3[[#This Row],[Comparable '#3 Dates]],Benchmark1[Benchmark '#1 Dates],0)),"-")</f>
        <v>5.8571063056060352E-3</v>
      </c>
      <c r="L792" s="72">
        <f>Comp3[[#This Row],[Comparable '#3 Price]]/$B$2*100</f>
        <v>66.385120723487773</v>
      </c>
    </row>
    <row r="793" spans="1:12">
      <c r="A793" s="96">
        <v>44433</v>
      </c>
      <c r="B793" s="101">
        <v>77.180000000000007</v>
      </c>
      <c r="C793" s="1">
        <f t="shared" si="24"/>
        <v>-8.1296015193660608E-3</v>
      </c>
      <c r="D793" s="1">
        <f>IFERROR(Comp3[[#This Row],[Comparable '#3 Return]]+1,"-")</f>
        <v>0.99187039848063396</v>
      </c>
      <c r="E793" s="6">
        <f>B793-MAX($B$2:B793)</f>
        <v>-110.85999999999999</v>
      </c>
      <c r="F793" s="80">
        <f t="shared" si="25"/>
        <v>531</v>
      </c>
      <c r="G793" s="6">
        <f>IFERROR(Comp3[[#This Row],[Comparable '#3 Drawdown]]/MAX($B$2:B793),"-")</f>
        <v>-0.58955541374175702</v>
      </c>
      <c r="H793" s="1" t="str">
        <f>IF(SUM(COUNTIF(Benchmark1[Benchmark '#1 Dates],Comp3[[#This Row],[Comparable '#3 Dates]]),COUNTIF(Benchmark2[Benchmark '#2 Dates],Comp3[[#This Row],[Comparable '#3 Dates]]))=2,"Pass","Fail")</f>
        <v>Pass</v>
      </c>
      <c r="I793" s="1">
        <f>IFERROR(Comp3[[#This Row],[Comparable '#3 Return]]-INDEX(Benchmark1[Benchmark '#1 Return],MATCH(Comp3[[#This Row],[Comparable '#3 Dates]],Benchmark1[Benchmark '#1 Dates],0)),"-")</f>
        <v>-1.0346544309314074E-2</v>
      </c>
      <c r="L793" s="72">
        <f>Comp3[[#This Row],[Comparable '#3 Price]]/$B$2*100</f>
        <v>65.847623922873481</v>
      </c>
    </row>
    <row r="794" spans="1:12">
      <c r="A794" s="96">
        <v>44434</v>
      </c>
      <c r="B794" s="101">
        <v>75.64</v>
      </c>
      <c r="C794" s="1">
        <f t="shared" si="24"/>
        <v>-2.0155112319215997E-2</v>
      </c>
      <c r="D794" s="1">
        <f>IFERROR(Comp3[[#This Row],[Comparable '#3 Return]]+1,"-")</f>
        <v>0.97984488768078404</v>
      </c>
      <c r="E794" s="6">
        <f>B794-MAX($B$2:B794)</f>
        <v>-112.39999999999999</v>
      </c>
      <c r="F794" s="80">
        <f t="shared" si="25"/>
        <v>532</v>
      </c>
      <c r="G794" s="6">
        <f>IFERROR(Comp3[[#This Row],[Comparable '#3 Drawdown]]/MAX($B$2:B794),"-")</f>
        <v>-0.59774516060412675</v>
      </c>
      <c r="H794" s="1" t="str">
        <f>IF(SUM(COUNTIF(Benchmark1[Benchmark '#1 Dates],Comp3[[#This Row],[Comparable '#3 Dates]]),COUNTIF(Benchmark2[Benchmark '#2 Dates],Comp3[[#This Row],[Comparable '#3 Dates]]))=2,"Pass","Fail")</f>
        <v>Pass</v>
      </c>
      <c r="I794" s="1">
        <f>IFERROR(Comp3[[#This Row],[Comparable '#3 Return]]-INDEX(Benchmark1[Benchmark '#1 Return],MATCH(Comp3[[#This Row],[Comparable '#3 Dates]],Benchmark1[Benchmark '#1 Dates],0)),"-")</f>
        <v>-1.4312134818220072E-2</v>
      </c>
      <c r="L794" s="72">
        <f>Comp3[[#This Row],[Comparable '#3 Price]]/$B$2*100</f>
        <v>64.533742854705238</v>
      </c>
    </row>
    <row r="795" spans="1:12">
      <c r="A795" s="96">
        <v>44435</v>
      </c>
      <c r="B795" s="101">
        <v>76.91</v>
      </c>
      <c r="C795" s="1">
        <f t="shared" si="24"/>
        <v>1.6650663278705652E-2</v>
      </c>
      <c r="D795" s="1">
        <f>IFERROR(Comp3[[#This Row],[Comparable '#3 Return]]+1,"-")</f>
        <v>1.0166506632787056</v>
      </c>
      <c r="E795" s="6">
        <f>B795-MAX($B$2:B795)</f>
        <v>-111.13</v>
      </c>
      <c r="F795" s="80">
        <f t="shared" si="25"/>
        <v>533</v>
      </c>
      <c r="G795" s="6">
        <f>IFERROR(Comp3[[#This Row],[Comparable '#3 Drawdown]]/MAX($B$2:B795),"-")</f>
        <v>-0.59099127845139332</v>
      </c>
      <c r="H795" s="1" t="str">
        <f>IF(SUM(COUNTIF(Benchmark1[Benchmark '#1 Dates],Comp3[[#This Row],[Comparable '#3 Dates]]),COUNTIF(Benchmark2[Benchmark '#2 Dates],Comp3[[#This Row],[Comparable '#3 Dates]]))=2,"Pass","Fail")</f>
        <v>Pass</v>
      </c>
      <c r="I795" s="1">
        <f>IFERROR(Comp3[[#This Row],[Comparable '#3 Return]]-INDEX(Benchmark1[Benchmark '#1 Return],MATCH(Comp3[[#This Row],[Comparable '#3 Dates]],Benchmark1[Benchmark '#1 Dates],0)),"-")</f>
        <v>7.8810039118108501E-3</v>
      </c>
      <c r="L795" s="72">
        <f>Comp3[[#This Row],[Comparable '#3 Price]]/$B$2*100</f>
        <v>65.617268151181634</v>
      </c>
    </row>
    <row r="796" spans="1:12">
      <c r="A796" s="96">
        <v>44438</v>
      </c>
      <c r="B796" s="101">
        <v>77.94</v>
      </c>
      <c r="C796" s="1">
        <f t="shared" si="24"/>
        <v>1.330339284160084E-2</v>
      </c>
      <c r="D796" s="1">
        <f>IFERROR(Comp3[[#This Row],[Comparable '#3 Return]]+1,"-")</f>
        <v>1.0133033928416009</v>
      </c>
      <c r="E796" s="6">
        <f>B796-MAX($B$2:B796)</f>
        <v>-110.1</v>
      </c>
      <c r="F796" s="80">
        <f t="shared" si="25"/>
        <v>534</v>
      </c>
      <c r="G796" s="6">
        <f>IFERROR(Comp3[[#This Row],[Comparable '#3 Drawdown]]/MAX($B$2:B796),"-")</f>
        <v>-0.58551372048500316</v>
      </c>
      <c r="H796" s="1" t="str">
        <f>IF(SUM(COUNTIF(Benchmark1[Benchmark '#1 Dates],Comp3[[#This Row],[Comparable '#3 Dates]]),COUNTIF(Benchmark2[Benchmark '#2 Dates],Comp3[[#This Row],[Comparable '#3 Dates]]))=2,"Pass","Fail")</f>
        <v>Pass</v>
      </c>
      <c r="I796" s="1">
        <f>IFERROR(Comp3[[#This Row],[Comparable '#3 Return]]-INDEX(Benchmark1[Benchmark '#1 Return],MATCH(Comp3[[#This Row],[Comparable '#3 Dates]],Benchmark1[Benchmark '#1 Dates],0)),"-")</f>
        <v>9.0050404656865576E-3</v>
      </c>
      <c r="L796" s="72">
        <f>Comp3[[#This Row],[Comparable '#3 Price]]/$B$2*100</f>
        <v>66.496032761709756</v>
      </c>
    </row>
    <row r="797" spans="1:12">
      <c r="A797" s="96">
        <v>44439</v>
      </c>
      <c r="B797" s="101">
        <v>78.28</v>
      </c>
      <c r="C797" s="1">
        <f t="shared" si="24"/>
        <v>4.3528426173124095E-3</v>
      </c>
      <c r="D797" s="1">
        <f>IFERROR(Comp3[[#This Row],[Comparable '#3 Return]]+1,"-")</f>
        <v>1.0043528426173125</v>
      </c>
      <c r="E797" s="6">
        <f>B797-MAX($B$2:B797)</f>
        <v>-109.75999999999999</v>
      </c>
      <c r="F797" s="80">
        <f t="shared" si="25"/>
        <v>535</v>
      </c>
      <c r="G797" s="6">
        <f>IFERROR(Comp3[[#This Row],[Comparable '#3 Drawdown]]/MAX($B$2:B797),"-")</f>
        <v>-0.58370559455435012</v>
      </c>
      <c r="H797" s="1" t="str">
        <f>IF(SUM(COUNTIF(Benchmark1[Benchmark '#1 Dates],Comp3[[#This Row],[Comparable '#3 Dates]]),COUNTIF(Benchmark2[Benchmark '#2 Dates],Comp3[[#This Row],[Comparable '#3 Dates]]))=2,"Pass","Fail")</f>
        <v>Pass</v>
      </c>
      <c r="I797" s="1">
        <f>IFERROR(Comp3[[#This Row],[Comparable '#3 Return]]-INDEX(Benchmark1[Benchmark '#1 Return],MATCH(Comp3[[#This Row],[Comparable '#3 Dates]],Benchmark1[Benchmark '#1 Dates],0)),"-")</f>
        <v>5.7036823492207876E-3</v>
      </c>
      <c r="L797" s="72">
        <f>Comp3[[#This Row],[Comparable '#3 Price]]/$B$2*100</f>
        <v>66.786110400136508</v>
      </c>
    </row>
    <row r="798" spans="1:12">
      <c r="A798" s="96">
        <v>44440</v>
      </c>
      <c r="B798" s="101">
        <v>77.84</v>
      </c>
      <c r="C798" s="1">
        <f t="shared" si="24"/>
        <v>-5.6367046501257798E-3</v>
      </c>
      <c r="D798" s="1">
        <f>IFERROR(Comp3[[#This Row],[Comparable '#3 Return]]+1,"-")</f>
        <v>0.99436329534987422</v>
      </c>
      <c r="E798" s="6">
        <f>B798-MAX($B$2:B798)</f>
        <v>-110.19999999999999</v>
      </c>
      <c r="F798" s="80">
        <f t="shared" si="25"/>
        <v>536</v>
      </c>
      <c r="G798" s="6">
        <f>IFERROR(Comp3[[#This Row],[Comparable '#3 Drawdown]]/MAX($B$2:B798),"-")</f>
        <v>-0.58604552222931283</v>
      </c>
      <c r="H798" s="1" t="str">
        <f>IF(SUM(COUNTIF(Benchmark1[Benchmark '#1 Dates],Comp3[[#This Row],[Comparable '#3 Dates]]),COUNTIF(Benchmark2[Benchmark '#2 Dates],Comp3[[#This Row],[Comparable '#3 Dates]]))=2,"Pass","Fail")</f>
        <v>Pass</v>
      </c>
      <c r="I798" s="1">
        <f>IFERROR(Comp3[[#This Row],[Comparable '#3 Return]]-INDEX(Benchmark1[Benchmark '#1 Return],MATCH(Comp3[[#This Row],[Comparable '#3 Dates]],Benchmark1[Benchmark '#1 Dates],0)),"-")</f>
        <v>-5.9488937580082415E-3</v>
      </c>
      <c r="L798" s="72">
        <f>Comp3[[#This Row],[Comparable '#3 Price]]/$B$2*100</f>
        <v>66.410715809231306</v>
      </c>
    </row>
    <row r="799" spans="1:12">
      <c r="A799" s="96">
        <v>44441</v>
      </c>
      <c r="B799" s="101">
        <v>77.400000000000006</v>
      </c>
      <c r="C799" s="1">
        <f t="shared" si="24"/>
        <v>-5.6686572820681715E-3</v>
      </c>
      <c r="D799" s="1">
        <f>IFERROR(Comp3[[#This Row],[Comparable '#3 Return]]+1,"-")</f>
        <v>0.99433134271793178</v>
      </c>
      <c r="E799" s="6">
        <f>B799-MAX($B$2:B799)</f>
        <v>-110.63999999999999</v>
      </c>
      <c r="F799" s="80">
        <f t="shared" si="25"/>
        <v>537</v>
      </c>
      <c r="G799" s="6">
        <f>IFERROR(Comp3[[#This Row],[Comparable '#3 Drawdown]]/MAX($B$2:B799),"-")</f>
        <v>-0.58838544990427566</v>
      </c>
      <c r="H799" s="1" t="str">
        <f>IF(SUM(COUNTIF(Benchmark1[Benchmark '#1 Dates],Comp3[[#This Row],[Comparable '#3 Dates]]),COUNTIF(Benchmark2[Benchmark '#2 Dates],Comp3[[#This Row],[Comparable '#3 Dates]]))=2,"Pass","Fail")</f>
        <v>Pass</v>
      </c>
      <c r="I799" s="1">
        <f>IFERROR(Comp3[[#This Row],[Comparable '#3 Return]]-INDEX(Benchmark1[Benchmark '#1 Return],MATCH(Comp3[[#This Row],[Comparable '#3 Dates]],Benchmark1[Benchmark '#1 Dates],0)),"-")</f>
        <v>-8.5058378669293586E-3</v>
      </c>
      <c r="L799" s="72">
        <f>Comp3[[#This Row],[Comparable '#3 Price]]/$B$2*100</f>
        <v>66.035321218326089</v>
      </c>
    </row>
    <row r="800" spans="1:12">
      <c r="A800" s="96">
        <v>44442</v>
      </c>
      <c r="B800" s="101">
        <v>77.25</v>
      </c>
      <c r="C800" s="1">
        <f t="shared" si="24"/>
        <v>-1.939864817826703E-3</v>
      </c>
      <c r="D800" s="1">
        <f>IFERROR(Comp3[[#This Row],[Comparable '#3 Return]]+1,"-")</f>
        <v>0.99806013518217329</v>
      </c>
      <c r="E800" s="6">
        <f>B800-MAX($B$2:B800)</f>
        <v>-110.78999999999999</v>
      </c>
      <c r="F800" s="80">
        <f t="shared" si="25"/>
        <v>538</v>
      </c>
      <c r="G800" s="6">
        <f>IFERROR(Comp3[[#This Row],[Comparable '#3 Drawdown]]/MAX($B$2:B800),"-")</f>
        <v>-0.58918315252074027</v>
      </c>
      <c r="H800" s="1" t="str">
        <f>IF(SUM(COUNTIF(Benchmark1[Benchmark '#1 Dates],Comp3[[#This Row],[Comparable '#3 Dates]]),COUNTIF(Benchmark2[Benchmark '#2 Dates],Comp3[[#This Row],[Comparable '#3 Dates]]))=2,"Pass","Fail")</f>
        <v>Pass</v>
      </c>
      <c r="I800" s="1">
        <f>IFERROR(Comp3[[#This Row],[Comparable '#3 Return]]-INDEX(Benchmark1[Benchmark '#1 Return],MATCH(Comp3[[#This Row],[Comparable '#3 Dates]],Benchmark1[Benchmark '#1 Dates],0)),"-")</f>
        <v>-1.6062105780154789E-3</v>
      </c>
      <c r="L800" s="72">
        <f>Comp3[[#This Row],[Comparable '#3 Price]]/$B$2*100</f>
        <v>65.907345789608399</v>
      </c>
    </row>
    <row r="801" spans="1:12">
      <c r="A801" s="96">
        <v>44446</v>
      </c>
      <c r="B801" s="101">
        <v>77.180000000000007</v>
      </c>
      <c r="C801" s="1">
        <f t="shared" si="24"/>
        <v>-9.0655966838211369E-4</v>
      </c>
      <c r="D801" s="1">
        <f>IFERROR(Comp3[[#This Row],[Comparable '#3 Return]]+1,"-")</f>
        <v>0.99909344033161784</v>
      </c>
      <c r="E801" s="6">
        <f>B801-MAX($B$2:B801)</f>
        <v>-110.85999999999999</v>
      </c>
      <c r="F801" s="80">
        <f t="shared" si="25"/>
        <v>539</v>
      </c>
      <c r="G801" s="6">
        <f>IFERROR(Comp3[[#This Row],[Comparable '#3 Drawdown]]/MAX($B$2:B801),"-")</f>
        <v>-0.58955541374175702</v>
      </c>
      <c r="H801" s="1" t="str">
        <f>IF(SUM(COUNTIF(Benchmark1[Benchmark '#1 Dates],Comp3[[#This Row],[Comparable '#3 Dates]]),COUNTIF(Benchmark2[Benchmark '#2 Dates],Comp3[[#This Row],[Comparable '#3 Dates]]))=2,"Pass","Fail")</f>
        <v>Pass</v>
      </c>
      <c r="I801" s="1">
        <f>IFERROR(Comp3[[#This Row],[Comparable '#3 Return]]-INDEX(Benchmark1[Benchmark '#1 Return],MATCH(Comp3[[#This Row],[Comparable '#3 Dates]],Benchmark1[Benchmark '#1 Dates],0)),"-")</f>
        <v>2.4957864273294945E-3</v>
      </c>
      <c r="L801" s="72">
        <f>Comp3[[#This Row],[Comparable '#3 Price]]/$B$2*100</f>
        <v>65.847623922873481</v>
      </c>
    </row>
    <row r="802" spans="1:12">
      <c r="A802" s="96">
        <v>44447</v>
      </c>
      <c r="B802" s="101">
        <v>78.849999999999994</v>
      </c>
      <c r="C802" s="1">
        <f t="shared" si="24"/>
        <v>2.1406957299574533E-2</v>
      </c>
      <c r="D802" s="1">
        <f>IFERROR(Comp3[[#This Row],[Comparable '#3 Return]]+1,"-")</f>
        <v>1.0214069572995745</v>
      </c>
      <c r="E802" s="6">
        <f>B802-MAX($B$2:B802)</f>
        <v>-109.19</v>
      </c>
      <c r="F802" s="80">
        <f t="shared" si="25"/>
        <v>540</v>
      </c>
      <c r="G802" s="6">
        <f>IFERROR(Comp3[[#This Row],[Comparable '#3 Drawdown]]/MAX($B$2:B802),"-")</f>
        <v>-0.5806743246117847</v>
      </c>
      <c r="H802" s="1" t="str">
        <f>IF(SUM(COUNTIF(Benchmark1[Benchmark '#1 Dates],Comp3[[#This Row],[Comparable '#3 Dates]]),COUNTIF(Benchmark2[Benchmark '#2 Dates],Comp3[[#This Row],[Comparable '#3 Dates]]))=2,"Pass","Fail")</f>
        <v>Pass</v>
      </c>
      <c r="I802" s="1">
        <f>IFERROR(Comp3[[#This Row],[Comparable '#3 Return]]-INDEX(Benchmark1[Benchmark '#1 Return],MATCH(Comp3[[#This Row],[Comparable '#3 Dates]],Benchmark1[Benchmark '#1 Dates],0)),"-")</f>
        <v>2.2726232616937611E-2</v>
      </c>
      <c r="L802" s="72">
        <f>Comp3[[#This Row],[Comparable '#3 Price]]/$B$2*100</f>
        <v>67.272417029263707</v>
      </c>
    </row>
    <row r="803" spans="1:12">
      <c r="A803" s="96">
        <v>44448</v>
      </c>
      <c r="B803" s="101">
        <v>77.8</v>
      </c>
      <c r="C803" s="1">
        <f t="shared" si="24"/>
        <v>-1.3405882224701385E-2</v>
      </c>
      <c r="D803" s="1">
        <f>IFERROR(Comp3[[#This Row],[Comparable '#3 Return]]+1,"-")</f>
        <v>0.9865941177752986</v>
      </c>
      <c r="E803" s="6">
        <f>B803-MAX($B$2:B803)</f>
        <v>-110.24</v>
      </c>
      <c r="F803" s="80">
        <f t="shared" si="25"/>
        <v>541</v>
      </c>
      <c r="G803" s="6">
        <f>IFERROR(Comp3[[#This Row],[Comparable '#3 Drawdown]]/MAX($B$2:B803),"-")</f>
        <v>-0.58625824292703677</v>
      </c>
      <c r="H803" s="1" t="str">
        <f>IF(SUM(COUNTIF(Benchmark1[Benchmark '#1 Dates],Comp3[[#This Row],[Comparable '#3 Dates]]),COUNTIF(Benchmark2[Benchmark '#2 Dates],Comp3[[#This Row],[Comparable '#3 Dates]]))=2,"Pass","Fail")</f>
        <v>Pass</v>
      </c>
      <c r="I803" s="1">
        <f>IFERROR(Comp3[[#This Row],[Comparable '#3 Return]]-INDEX(Benchmark1[Benchmark '#1 Return],MATCH(Comp3[[#This Row],[Comparable '#3 Dates]],Benchmark1[Benchmark '#1 Dates],0)),"-")</f>
        <v>-8.7909269376257697E-3</v>
      </c>
      <c r="L803" s="72">
        <f>Comp3[[#This Row],[Comparable '#3 Price]]/$B$2*100</f>
        <v>66.376589028239906</v>
      </c>
    </row>
    <row r="804" spans="1:12">
      <c r="A804" s="96">
        <v>44449</v>
      </c>
      <c r="B804" s="101">
        <v>75.45</v>
      </c>
      <c r="C804" s="1">
        <f t="shared" si="24"/>
        <v>-3.0671245970487891E-2</v>
      </c>
      <c r="D804" s="1">
        <f>IFERROR(Comp3[[#This Row],[Comparable '#3 Return]]+1,"-")</f>
        <v>0.96932875402951213</v>
      </c>
      <c r="E804" s="6">
        <f>B804-MAX($B$2:B804)</f>
        <v>-112.58999999999999</v>
      </c>
      <c r="F804" s="80">
        <f t="shared" si="25"/>
        <v>542</v>
      </c>
      <c r="G804" s="6">
        <f>IFERROR(Comp3[[#This Row],[Comparable '#3 Drawdown]]/MAX($B$2:B804),"-")</f>
        <v>-0.59875558391831518</v>
      </c>
      <c r="H804" s="1" t="str">
        <f>IF(SUM(COUNTIF(Benchmark1[Benchmark '#1 Dates],Comp3[[#This Row],[Comparable '#3 Dates]]),COUNTIF(Benchmark2[Benchmark '#2 Dates],Comp3[[#This Row],[Comparable '#3 Dates]]))=2,"Pass","Fail")</f>
        <v>Pass</v>
      </c>
      <c r="I804" s="1">
        <f>IFERROR(Comp3[[#This Row],[Comparable '#3 Return]]-INDEX(Benchmark1[Benchmark '#1 Return],MATCH(Comp3[[#This Row],[Comparable '#3 Dates]],Benchmark1[Benchmark '#1 Dates],0)),"-")</f>
        <v>-2.291763939530099E-2</v>
      </c>
      <c r="L804" s="72">
        <f>Comp3[[#This Row],[Comparable '#3 Price]]/$B$2*100</f>
        <v>64.371640644996162</v>
      </c>
    </row>
    <row r="805" spans="1:12">
      <c r="A805" s="96">
        <v>44452</v>
      </c>
      <c r="B805" s="101">
        <v>73.459999999999994</v>
      </c>
      <c r="C805" s="1">
        <f t="shared" si="24"/>
        <v>-2.6729144822336723E-2</v>
      </c>
      <c r="D805" s="1">
        <f>IFERROR(Comp3[[#This Row],[Comparable '#3 Return]]+1,"-")</f>
        <v>0.97327085517766332</v>
      </c>
      <c r="E805" s="6">
        <f>B805-MAX($B$2:B805)</f>
        <v>-114.58</v>
      </c>
      <c r="F805" s="80">
        <f t="shared" si="25"/>
        <v>543</v>
      </c>
      <c r="G805" s="6">
        <f>IFERROR(Comp3[[#This Row],[Comparable '#3 Drawdown]]/MAX($B$2:B805),"-")</f>
        <v>-0.60933843863007875</v>
      </c>
      <c r="H805" s="1" t="str">
        <f>IF(SUM(COUNTIF(Benchmark1[Benchmark '#1 Dates],Comp3[[#This Row],[Comparable '#3 Dates]]),COUNTIF(Benchmark2[Benchmark '#2 Dates],Comp3[[#This Row],[Comparable '#3 Dates]]))=2,"Pass","Fail")</f>
        <v>Pass</v>
      </c>
      <c r="I805" s="1">
        <f>IFERROR(Comp3[[#This Row],[Comparable '#3 Return]]-INDEX(Benchmark1[Benchmark '#1 Return],MATCH(Comp3[[#This Row],[Comparable '#3 Dates]],Benchmark1[Benchmark '#1 Dates],0)),"-")</f>
        <v>-2.9002271345858623E-2</v>
      </c>
      <c r="L805" s="72">
        <f>Comp3[[#This Row],[Comparable '#3 Price]]/$B$2*100</f>
        <v>62.67383329067485</v>
      </c>
    </row>
    <row r="806" spans="1:12">
      <c r="A806" s="96">
        <v>44453</v>
      </c>
      <c r="B806" s="101">
        <v>73.64</v>
      </c>
      <c r="C806" s="1">
        <f t="shared" si="24"/>
        <v>2.4473159733558506E-3</v>
      </c>
      <c r="D806" s="1">
        <f>IFERROR(Comp3[[#This Row],[Comparable '#3 Return]]+1,"-")</f>
        <v>1.0024473159733558</v>
      </c>
      <c r="E806" s="6">
        <f>B806-MAX($B$2:B806)</f>
        <v>-114.39999999999999</v>
      </c>
      <c r="F806" s="80">
        <f t="shared" si="25"/>
        <v>544</v>
      </c>
      <c r="G806" s="6">
        <f>IFERROR(Comp3[[#This Row],[Comparable '#3 Drawdown]]/MAX($B$2:B806),"-")</f>
        <v>-0.60838119549032121</v>
      </c>
      <c r="H806" s="1" t="str">
        <f>IF(SUM(COUNTIF(Benchmark1[Benchmark '#1 Dates],Comp3[[#This Row],[Comparable '#3 Dates]]),COUNTIF(Benchmark2[Benchmark '#2 Dates],Comp3[[#This Row],[Comparable '#3 Dates]]))=2,"Pass","Fail")</f>
        <v>Pass</v>
      </c>
      <c r="I806" s="1">
        <f>IFERROR(Comp3[[#This Row],[Comparable '#3 Return]]-INDEX(Benchmark1[Benchmark '#1 Return],MATCH(Comp3[[#This Row],[Comparable '#3 Dates]],Benchmark1[Benchmark '#1 Dates],0)),"-")</f>
        <v>8.2096923950535413E-3</v>
      </c>
      <c r="L806" s="72">
        <f>Comp3[[#This Row],[Comparable '#3 Price]]/$B$2*100</f>
        <v>62.827403805136086</v>
      </c>
    </row>
    <row r="807" spans="1:12">
      <c r="A807" s="96">
        <v>44454</v>
      </c>
      <c r="B807" s="101">
        <v>71.55</v>
      </c>
      <c r="C807" s="1">
        <f t="shared" si="24"/>
        <v>-2.8791850362417219E-2</v>
      </c>
      <c r="D807" s="1">
        <f>IFERROR(Comp3[[#This Row],[Comparable '#3 Return]]+1,"-")</f>
        <v>0.97120814963758273</v>
      </c>
      <c r="E807" s="6">
        <f>B807-MAX($B$2:B807)</f>
        <v>-116.49</v>
      </c>
      <c r="F807" s="80">
        <f t="shared" si="25"/>
        <v>545</v>
      </c>
      <c r="G807" s="6">
        <f>IFERROR(Comp3[[#This Row],[Comparable '#3 Drawdown]]/MAX($B$2:B807),"-")</f>
        <v>-0.61949585194639434</v>
      </c>
      <c r="H807" s="1" t="str">
        <f>IF(SUM(COUNTIF(Benchmark1[Benchmark '#1 Dates],Comp3[[#This Row],[Comparable '#3 Dates]]),COUNTIF(Benchmark2[Benchmark '#2 Dates],Comp3[[#This Row],[Comparable '#3 Dates]]))=2,"Pass","Fail")</f>
        <v>Pass</v>
      </c>
      <c r="I807" s="1">
        <f>IFERROR(Comp3[[#This Row],[Comparable '#3 Return]]-INDEX(Benchmark1[Benchmark '#1 Return],MATCH(Comp3[[#This Row],[Comparable '#3 Dates]],Benchmark1[Benchmark '#1 Dates],0)),"-")</f>
        <v>-3.7230420819110113E-2</v>
      </c>
      <c r="L807" s="72">
        <f>Comp3[[#This Row],[Comparable '#3 Price]]/$B$2*100</f>
        <v>61.044279498336316</v>
      </c>
    </row>
    <row r="808" spans="1:12">
      <c r="A808" s="96">
        <v>44455</v>
      </c>
      <c r="B808" s="101">
        <v>71.33</v>
      </c>
      <c r="C808" s="1">
        <f t="shared" si="24"/>
        <v>-3.0795097125131143E-3</v>
      </c>
      <c r="D808" s="1">
        <f>IFERROR(Comp3[[#This Row],[Comparable '#3 Return]]+1,"-")</f>
        <v>0.99692049028748686</v>
      </c>
      <c r="E808" s="6">
        <f>B808-MAX($B$2:B808)</f>
        <v>-116.71</v>
      </c>
      <c r="F808" s="80">
        <f t="shared" si="25"/>
        <v>546</v>
      </c>
      <c r="G808" s="6">
        <f>IFERROR(Comp3[[#This Row],[Comparable '#3 Drawdown]]/MAX($B$2:B808),"-")</f>
        <v>-0.62066581578387581</v>
      </c>
      <c r="H808" s="1" t="str">
        <f>IF(SUM(COUNTIF(Benchmark1[Benchmark '#1 Dates],Comp3[[#This Row],[Comparable '#3 Dates]]),COUNTIF(Benchmark2[Benchmark '#2 Dates],Comp3[[#This Row],[Comparable '#3 Dates]]))=2,"Pass","Fail")</f>
        <v>Pass</v>
      </c>
      <c r="I808" s="1">
        <f>IFERROR(Comp3[[#This Row],[Comparable '#3 Return]]-INDEX(Benchmark1[Benchmark '#1 Return],MATCH(Comp3[[#This Row],[Comparable '#3 Dates]],Benchmark1[Benchmark '#1 Dates],0)),"-")</f>
        <v>-1.5274902610196129E-3</v>
      </c>
      <c r="L808" s="72">
        <f>Comp3[[#This Row],[Comparable '#3 Price]]/$B$2*100</f>
        <v>60.856582202883715</v>
      </c>
    </row>
    <row r="809" spans="1:12">
      <c r="A809" s="96">
        <v>44456</v>
      </c>
      <c r="B809" s="101">
        <v>70.89</v>
      </c>
      <c r="C809" s="1">
        <f t="shared" si="24"/>
        <v>-6.1876164230205023E-3</v>
      </c>
      <c r="D809" s="1">
        <f>IFERROR(Comp3[[#This Row],[Comparable '#3 Return]]+1,"-")</f>
        <v>0.99381238357697954</v>
      </c>
      <c r="E809" s="6">
        <f>B809-MAX($B$2:B809)</f>
        <v>-117.14999999999999</v>
      </c>
      <c r="F809" s="80">
        <f t="shared" si="25"/>
        <v>547</v>
      </c>
      <c r="G809" s="6">
        <f>IFERROR(Comp3[[#This Row],[Comparable '#3 Drawdown]]/MAX($B$2:B809),"-")</f>
        <v>-0.62300574345883852</v>
      </c>
      <c r="H809" s="1" t="str">
        <f>IF(SUM(COUNTIF(Benchmark1[Benchmark '#1 Dates],Comp3[[#This Row],[Comparable '#3 Dates]]),COUNTIF(Benchmark2[Benchmark '#2 Dates],Comp3[[#This Row],[Comparable '#3 Dates]]))=2,"Pass","Fail")</f>
        <v>Pass</v>
      </c>
      <c r="I809" s="1">
        <f>IFERROR(Comp3[[#This Row],[Comparable '#3 Return]]-INDEX(Benchmark1[Benchmark '#1 Return],MATCH(Comp3[[#This Row],[Comparable '#3 Dates]],Benchmark1[Benchmark '#1 Dates],0)),"-")</f>
        <v>2.9662502512493964E-3</v>
      </c>
      <c r="L809" s="72">
        <f>Comp3[[#This Row],[Comparable '#3 Price]]/$B$2*100</f>
        <v>60.481187611978505</v>
      </c>
    </row>
    <row r="810" spans="1:12">
      <c r="A810" s="96">
        <v>44459</v>
      </c>
      <c r="B810" s="101">
        <v>70.72</v>
      </c>
      <c r="C810" s="1">
        <f t="shared" si="24"/>
        <v>-2.4009615375381503E-3</v>
      </c>
      <c r="D810" s="1">
        <f>IFERROR(Comp3[[#This Row],[Comparable '#3 Return]]+1,"-")</f>
        <v>0.9975990384624619</v>
      </c>
      <c r="E810" s="6">
        <f>B810-MAX($B$2:B810)</f>
        <v>-117.32</v>
      </c>
      <c r="F810" s="80">
        <f t="shared" si="25"/>
        <v>548</v>
      </c>
      <c r="G810" s="6">
        <f>IFERROR(Comp3[[#This Row],[Comparable '#3 Drawdown]]/MAX($B$2:B810),"-")</f>
        <v>-0.62390980642416505</v>
      </c>
      <c r="H810" s="1" t="str">
        <f>IF(SUM(COUNTIF(Benchmark1[Benchmark '#1 Dates],Comp3[[#This Row],[Comparable '#3 Dates]]),COUNTIF(Benchmark2[Benchmark '#2 Dates],Comp3[[#This Row],[Comparable '#3 Dates]]))=2,"Pass","Fail")</f>
        <v>Pass</v>
      </c>
      <c r="I810" s="1">
        <f>IFERROR(Comp3[[#This Row],[Comparable '#3 Return]]-INDEX(Benchmark1[Benchmark '#1 Return],MATCH(Comp3[[#This Row],[Comparable '#3 Dates]],Benchmark1[Benchmark '#1 Dates],0)),"-")</f>
        <v>1.472198000529109E-2</v>
      </c>
      <c r="L810" s="72">
        <f>Comp3[[#This Row],[Comparable '#3 Price]]/$B$2*100</f>
        <v>60.336148792765123</v>
      </c>
    </row>
    <row r="811" spans="1:12">
      <c r="A811" s="96">
        <v>44460</v>
      </c>
      <c r="B811" s="101">
        <v>69.78</v>
      </c>
      <c r="C811" s="1">
        <f t="shared" si="24"/>
        <v>-1.338098257075989E-2</v>
      </c>
      <c r="D811" s="1">
        <f>IFERROR(Comp3[[#This Row],[Comparable '#3 Return]]+1,"-")</f>
        <v>0.98661901742924007</v>
      </c>
      <c r="E811" s="6">
        <f>B811-MAX($B$2:B811)</f>
        <v>-118.25999999999999</v>
      </c>
      <c r="F811" s="80">
        <f t="shared" si="25"/>
        <v>549</v>
      </c>
      <c r="G811" s="6">
        <f>IFERROR(Comp3[[#This Row],[Comparable '#3 Drawdown]]/MAX($B$2:B811),"-")</f>
        <v>-0.62890874282067644</v>
      </c>
      <c r="H811" s="1" t="str">
        <f>IF(SUM(COUNTIF(Benchmark1[Benchmark '#1 Dates],Comp3[[#This Row],[Comparable '#3 Dates]]),COUNTIF(Benchmark2[Benchmark '#2 Dates],Comp3[[#This Row],[Comparable '#3 Dates]]))=2,"Pass","Fail")</f>
        <v>Pass</v>
      </c>
      <c r="I811" s="1">
        <f>IFERROR(Comp3[[#This Row],[Comparable '#3 Return]]-INDEX(Benchmark1[Benchmark '#1 Return],MATCH(Comp3[[#This Row],[Comparable '#3 Dates]],Benchmark1[Benchmark '#1 Dates],0)),"-")</f>
        <v>-1.2568529708248418E-2</v>
      </c>
      <c r="L811" s="72">
        <f>Comp3[[#This Row],[Comparable '#3 Price]]/$B$2*100</f>
        <v>59.534169439467618</v>
      </c>
    </row>
    <row r="812" spans="1:12">
      <c r="A812" s="96">
        <v>44461</v>
      </c>
      <c r="B812" s="101">
        <v>69.83</v>
      </c>
      <c r="C812" s="1">
        <f t="shared" si="24"/>
        <v>7.1628109931593778E-4</v>
      </c>
      <c r="D812" s="1">
        <f>IFERROR(Comp3[[#This Row],[Comparable '#3 Return]]+1,"-")</f>
        <v>1.000716281099316</v>
      </c>
      <c r="E812" s="6">
        <f>B812-MAX($B$2:B812)</f>
        <v>-118.21</v>
      </c>
      <c r="F812" s="80">
        <f t="shared" si="25"/>
        <v>550</v>
      </c>
      <c r="G812" s="6">
        <f>IFERROR(Comp3[[#This Row],[Comparable '#3 Drawdown]]/MAX($B$2:B812),"-")</f>
        <v>-0.6286428419485216</v>
      </c>
      <c r="H812" s="1" t="str">
        <f>IF(SUM(COUNTIF(Benchmark1[Benchmark '#1 Dates],Comp3[[#This Row],[Comparable '#3 Dates]]),COUNTIF(Benchmark2[Benchmark '#2 Dates],Comp3[[#This Row],[Comparable '#3 Dates]]))=2,"Pass","Fail")</f>
        <v>Pass</v>
      </c>
      <c r="I812" s="1">
        <f>IFERROR(Comp3[[#This Row],[Comparable '#3 Return]]-INDEX(Benchmark1[Benchmark '#1 Return],MATCH(Comp3[[#This Row],[Comparable '#3 Dates]],Benchmark1[Benchmark '#1 Dates],0)),"-")</f>
        <v>-8.7578714645147517E-3</v>
      </c>
      <c r="L812" s="72">
        <f>Comp3[[#This Row],[Comparable '#3 Price]]/$B$2*100</f>
        <v>59.576827915706851</v>
      </c>
    </row>
    <row r="813" spans="1:12">
      <c r="A813" s="96">
        <v>44462</v>
      </c>
      <c r="B813" s="101">
        <v>71.349999999999994</v>
      </c>
      <c r="C813" s="1">
        <f t="shared" si="24"/>
        <v>2.1533627064901383E-2</v>
      </c>
      <c r="D813" s="1">
        <f>IFERROR(Comp3[[#This Row],[Comparable '#3 Return]]+1,"-")</f>
        <v>1.0215336270649014</v>
      </c>
      <c r="E813" s="6">
        <f>B813-MAX($B$2:B813)</f>
        <v>-116.69</v>
      </c>
      <c r="F813" s="80">
        <f t="shared" si="25"/>
        <v>551</v>
      </c>
      <c r="G813" s="6">
        <f>IFERROR(Comp3[[#This Row],[Comparable '#3 Drawdown]]/MAX($B$2:B813),"-")</f>
        <v>-0.6205594554350139</v>
      </c>
      <c r="H813" s="1" t="str">
        <f>IF(SUM(COUNTIF(Benchmark1[Benchmark '#1 Dates],Comp3[[#This Row],[Comparable '#3 Dates]]),COUNTIF(Benchmark2[Benchmark '#2 Dates],Comp3[[#This Row],[Comparable '#3 Dates]]))=2,"Pass","Fail")</f>
        <v>Pass</v>
      </c>
      <c r="I813" s="1">
        <f>IFERROR(Comp3[[#This Row],[Comparable '#3 Return]]-INDEX(Benchmark1[Benchmark '#1 Return],MATCH(Comp3[[#This Row],[Comparable '#3 Dates]],Benchmark1[Benchmark '#1 Dates],0)),"-")</f>
        <v>9.4703492087405677E-3</v>
      </c>
      <c r="L813" s="72">
        <f>Comp3[[#This Row],[Comparable '#3 Price]]/$B$2*100</f>
        <v>60.873645593379401</v>
      </c>
    </row>
    <row r="814" spans="1:12">
      <c r="A814" s="96">
        <v>44463</v>
      </c>
      <c r="B814" s="101">
        <v>71.88</v>
      </c>
      <c r="C814" s="1">
        <f t="shared" si="24"/>
        <v>7.4007179925129835E-3</v>
      </c>
      <c r="D814" s="1">
        <f>IFERROR(Comp3[[#This Row],[Comparable '#3 Return]]+1,"-")</f>
        <v>1.0074007179925131</v>
      </c>
      <c r="E814" s="6">
        <f>B814-MAX($B$2:B814)</f>
        <v>-116.16</v>
      </c>
      <c r="F814" s="80">
        <f t="shared" si="25"/>
        <v>552</v>
      </c>
      <c r="G814" s="6">
        <f>IFERROR(Comp3[[#This Row],[Comparable '#3 Drawdown]]/MAX($B$2:B814),"-")</f>
        <v>-0.6177409061901723</v>
      </c>
      <c r="H814" s="1" t="str">
        <f>IF(SUM(COUNTIF(Benchmark1[Benchmark '#1 Dates],Comp3[[#This Row],[Comparable '#3 Dates]]),COUNTIF(Benchmark2[Benchmark '#2 Dates],Comp3[[#This Row],[Comparable '#3 Dates]]))=2,"Pass","Fail")</f>
        <v>Pass</v>
      </c>
      <c r="I814" s="1">
        <f>IFERROR(Comp3[[#This Row],[Comparable '#3 Return]]-INDEX(Benchmark1[Benchmark '#1 Return],MATCH(Comp3[[#This Row],[Comparable '#3 Dates]],Benchmark1[Benchmark '#1 Dates],0)),"-")</f>
        <v>5.9421540386192274E-3</v>
      </c>
      <c r="L814" s="72">
        <f>Comp3[[#This Row],[Comparable '#3 Price]]/$B$2*100</f>
        <v>61.325825441515228</v>
      </c>
    </row>
    <row r="815" spans="1:12">
      <c r="A815" s="96">
        <v>44466</v>
      </c>
      <c r="B815" s="101">
        <v>72.75</v>
      </c>
      <c r="C815" s="1">
        <f t="shared" si="24"/>
        <v>1.2030844136243666E-2</v>
      </c>
      <c r="D815" s="1">
        <f>IFERROR(Comp3[[#This Row],[Comparable '#3 Return]]+1,"-")</f>
        <v>1.0120308441362436</v>
      </c>
      <c r="E815" s="6">
        <f>B815-MAX($B$2:B815)</f>
        <v>-115.28999999999999</v>
      </c>
      <c r="F815" s="80">
        <f t="shared" si="25"/>
        <v>553</v>
      </c>
      <c r="G815" s="6">
        <f>IFERROR(Comp3[[#This Row],[Comparable '#3 Drawdown]]/MAX($B$2:B815),"-")</f>
        <v>-0.61311423101467766</v>
      </c>
      <c r="H815" s="1" t="str">
        <f>IF(SUM(COUNTIF(Benchmark1[Benchmark '#1 Dates],Comp3[[#This Row],[Comparable '#3 Dates]]),COUNTIF(Benchmark2[Benchmark '#2 Dates],Comp3[[#This Row],[Comparable '#3 Dates]]))=2,"Pass","Fail")</f>
        <v>Pass</v>
      </c>
      <c r="I815" s="1">
        <f>IFERROR(Comp3[[#This Row],[Comparable '#3 Return]]-INDEX(Benchmark1[Benchmark '#1 Return],MATCH(Comp3[[#This Row],[Comparable '#3 Dates]],Benchmark1[Benchmark '#1 Dates],0)),"-")</f>
        <v>1.4810503748920553E-2</v>
      </c>
      <c r="L815" s="72">
        <f>Comp3[[#This Row],[Comparable '#3 Price]]/$B$2*100</f>
        <v>62.068082928077814</v>
      </c>
    </row>
    <row r="816" spans="1:12">
      <c r="A816" s="96">
        <v>44467</v>
      </c>
      <c r="B816" s="101">
        <v>71.510000000000005</v>
      </c>
      <c r="C816" s="1">
        <f t="shared" si="24"/>
        <v>-1.7191605991297296E-2</v>
      </c>
      <c r="D816" s="1">
        <f>IFERROR(Comp3[[#This Row],[Comparable '#3 Return]]+1,"-")</f>
        <v>0.98280839400870268</v>
      </c>
      <c r="E816" s="6">
        <f>B816-MAX($B$2:B816)</f>
        <v>-116.52999999999999</v>
      </c>
      <c r="F816" s="80">
        <f t="shared" si="25"/>
        <v>554</v>
      </c>
      <c r="G816" s="6">
        <f>IFERROR(Comp3[[#This Row],[Comparable '#3 Drawdown]]/MAX($B$2:B816),"-")</f>
        <v>-0.61970857264411827</v>
      </c>
      <c r="H816" s="1" t="str">
        <f>IF(SUM(COUNTIF(Benchmark1[Benchmark '#1 Dates],Comp3[[#This Row],[Comparable '#3 Dates]]),COUNTIF(Benchmark2[Benchmark '#2 Dates],Comp3[[#This Row],[Comparable '#3 Dates]]))=2,"Pass","Fail")</f>
        <v>Pass</v>
      </c>
      <c r="I816" s="1">
        <f>IFERROR(Comp3[[#This Row],[Comparable '#3 Return]]-INDEX(Benchmark1[Benchmark '#1 Return],MATCH(Comp3[[#This Row],[Comparable '#3 Dates]],Benchmark1[Benchmark '#1 Dates],0)),"-")</f>
        <v>3.3818071288175197E-3</v>
      </c>
      <c r="L816" s="72">
        <f>Comp3[[#This Row],[Comparable '#3 Price]]/$B$2*100</f>
        <v>61.010152717344944</v>
      </c>
    </row>
    <row r="817" spans="1:12">
      <c r="A817" s="96">
        <v>44468</v>
      </c>
      <c r="B817" s="101">
        <v>71.680000000000007</v>
      </c>
      <c r="C817" s="1">
        <f t="shared" si="24"/>
        <v>2.3744686063705213E-3</v>
      </c>
      <c r="D817" s="1">
        <f>IFERROR(Comp3[[#This Row],[Comparable '#3 Return]]+1,"-")</f>
        <v>1.0023744686063705</v>
      </c>
      <c r="E817" s="6">
        <f>B817-MAX($B$2:B817)</f>
        <v>-116.35999999999999</v>
      </c>
      <c r="F817" s="80">
        <f t="shared" si="25"/>
        <v>555</v>
      </c>
      <c r="G817" s="6">
        <f>IFERROR(Comp3[[#This Row],[Comparable '#3 Drawdown]]/MAX($B$2:B817),"-")</f>
        <v>-0.61880450967879175</v>
      </c>
      <c r="H817" s="1" t="str">
        <f>IF(SUM(COUNTIF(Benchmark1[Benchmark '#1 Dates],Comp3[[#This Row],[Comparable '#3 Dates]]),COUNTIF(Benchmark2[Benchmark '#2 Dates],Comp3[[#This Row],[Comparable '#3 Dates]]))=2,"Pass","Fail")</f>
        <v>Pass</v>
      </c>
      <c r="I817" s="1">
        <f>IFERROR(Comp3[[#This Row],[Comparable '#3 Return]]-INDEX(Benchmark1[Benchmark '#1 Return],MATCH(Comp3[[#This Row],[Comparable '#3 Dates]],Benchmark1[Benchmark '#1 Dates],0)),"-")</f>
        <v>8.0728827476606426E-4</v>
      </c>
      <c r="L817" s="72">
        <f>Comp3[[#This Row],[Comparable '#3 Price]]/$B$2*100</f>
        <v>61.155191536558327</v>
      </c>
    </row>
    <row r="818" spans="1:12">
      <c r="A818" s="96">
        <v>44469</v>
      </c>
      <c r="B818" s="101">
        <v>70.5</v>
      </c>
      <c r="C818" s="1">
        <f t="shared" si="24"/>
        <v>-1.6599058848452208E-2</v>
      </c>
      <c r="D818" s="1">
        <f>IFERROR(Comp3[[#This Row],[Comparable '#3 Return]]+1,"-")</f>
        <v>0.98340094115154775</v>
      </c>
      <c r="E818" s="6">
        <f>B818-MAX($B$2:B818)</f>
        <v>-117.53999999999999</v>
      </c>
      <c r="F818" s="80">
        <f t="shared" si="25"/>
        <v>556</v>
      </c>
      <c r="G818" s="6">
        <f>IFERROR(Comp3[[#This Row],[Comparable '#3 Drawdown]]/MAX($B$2:B818),"-")</f>
        <v>-0.62507977026164641</v>
      </c>
      <c r="H818" s="1" t="str">
        <f>IF(SUM(COUNTIF(Benchmark1[Benchmark '#1 Dates],Comp3[[#This Row],[Comparable '#3 Dates]]),COUNTIF(Benchmark2[Benchmark '#2 Dates],Comp3[[#This Row],[Comparable '#3 Dates]]))=2,"Pass","Fail")</f>
        <v>Pass</v>
      </c>
      <c r="I818" s="1">
        <f>IFERROR(Comp3[[#This Row],[Comparable '#3 Return]]-INDEX(Benchmark1[Benchmark '#1 Return],MATCH(Comp3[[#This Row],[Comparable '#3 Dates]],Benchmark1[Benchmark '#1 Dates],0)),"-")</f>
        <v>-4.6173052881448347E-3</v>
      </c>
      <c r="L818" s="72">
        <f>Comp3[[#This Row],[Comparable '#3 Price]]/$B$2*100</f>
        <v>60.148451497312514</v>
      </c>
    </row>
    <row r="819" spans="1:12">
      <c r="A819" s="96">
        <v>44470</v>
      </c>
      <c r="B819" s="101">
        <v>71.95</v>
      </c>
      <c r="C819" s="1">
        <f t="shared" si="24"/>
        <v>2.0358723515153828E-2</v>
      </c>
      <c r="D819" s="1">
        <f>IFERROR(Comp3[[#This Row],[Comparable '#3 Return]]+1,"-")</f>
        <v>1.0203587235151539</v>
      </c>
      <c r="E819" s="6">
        <f>B819-MAX($B$2:B819)</f>
        <v>-116.08999999999999</v>
      </c>
      <c r="F819" s="80">
        <f t="shared" si="25"/>
        <v>557</v>
      </c>
      <c r="G819" s="6">
        <f>IFERROR(Comp3[[#This Row],[Comparable '#3 Drawdown]]/MAX($B$2:B819),"-")</f>
        <v>-0.61736864496915544</v>
      </c>
      <c r="H819" s="1" t="str">
        <f>IF(SUM(COUNTIF(Benchmark1[Benchmark '#1 Dates],Comp3[[#This Row],[Comparable '#3 Dates]]),COUNTIF(Benchmark2[Benchmark '#2 Dates],Comp3[[#This Row],[Comparable '#3 Dates]]))=2,"Pass","Fail")</f>
        <v>Pass</v>
      </c>
      <c r="I819" s="1">
        <f>IFERROR(Comp3[[#This Row],[Comparable '#3 Return]]-INDEX(Benchmark1[Benchmark '#1 Return],MATCH(Comp3[[#This Row],[Comparable '#3 Dates]],Benchmark1[Benchmark '#1 Dates],0)),"-")</f>
        <v>8.9327394184495253E-3</v>
      </c>
      <c r="L819" s="72">
        <f>Comp3[[#This Row],[Comparable '#3 Price]]/$B$2*100</f>
        <v>61.385547308250153</v>
      </c>
    </row>
    <row r="820" spans="1:12">
      <c r="A820" s="96">
        <v>44473</v>
      </c>
      <c r="B820" s="101">
        <v>72.92</v>
      </c>
      <c r="C820" s="1">
        <f t="shared" si="24"/>
        <v>1.339151647708545E-2</v>
      </c>
      <c r="D820" s="1">
        <f>IFERROR(Comp3[[#This Row],[Comparable '#3 Return]]+1,"-")</f>
        <v>1.0133915164770855</v>
      </c>
      <c r="E820" s="6">
        <f>B820-MAX($B$2:B820)</f>
        <v>-115.11999999999999</v>
      </c>
      <c r="F820" s="80">
        <f t="shared" si="25"/>
        <v>558</v>
      </c>
      <c r="G820" s="6">
        <f>IFERROR(Comp3[[#This Row],[Comparable '#3 Drawdown]]/MAX($B$2:B820),"-")</f>
        <v>-0.61221016804935113</v>
      </c>
      <c r="H820" s="1" t="str">
        <f>IF(SUM(COUNTIF(Benchmark1[Benchmark '#1 Dates],Comp3[[#This Row],[Comparable '#3 Dates]]),COUNTIF(Benchmark2[Benchmark '#2 Dates],Comp3[[#This Row],[Comparable '#3 Dates]]))=2,"Pass","Fail")</f>
        <v>Pass</v>
      </c>
      <c r="I820" s="1">
        <f>IFERROR(Comp3[[#This Row],[Comparable '#3 Return]]-INDEX(Benchmark1[Benchmark '#1 Return],MATCH(Comp3[[#This Row],[Comparable '#3 Dates]],Benchmark1[Benchmark '#1 Dates],0)),"-")</f>
        <v>2.6462422090696332E-2</v>
      </c>
      <c r="L820" s="72">
        <f>Comp3[[#This Row],[Comparable '#3 Price]]/$B$2*100</f>
        <v>62.21312174729119</v>
      </c>
    </row>
    <row r="821" spans="1:12">
      <c r="A821" s="96">
        <v>44474</v>
      </c>
      <c r="B821" s="101">
        <v>72.290000000000006</v>
      </c>
      <c r="C821" s="1">
        <f t="shared" si="24"/>
        <v>-8.6771427982564979E-3</v>
      </c>
      <c r="D821" s="1">
        <f>IFERROR(Comp3[[#This Row],[Comparable '#3 Return]]+1,"-")</f>
        <v>0.99132285720174351</v>
      </c>
      <c r="E821" s="6">
        <f>B821-MAX($B$2:B821)</f>
        <v>-115.74999999999999</v>
      </c>
      <c r="F821" s="80">
        <f t="shared" si="25"/>
        <v>559</v>
      </c>
      <c r="G821" s="6">
        <f>IFERROR(Comp3[[#This Row],[Comparable '#3 Drawdown]]/MAX($B$2:B821),"-")</f>
        <v>-0.6155605190385024</v>
      </c>
      <c r="H821" s="1" t="str">
        <f>IF(SUM(COUNTIF(Benchmark1[Benchmark '#1 Dates],Comp3[[#This Row],[Comparable '#3 Dates]]),COUNTIF(Benchmark2[Benchmark '#2 Dates],Comp3[[#This Row],[Comparable '#3 Dates]]))=2,"Pass","Fail")</f>
        <v>Pass</v>
      </c>
      <c r="I821" s="1">
        <f>IFERROR(Comp3[[#This Row],[Comparable '#3 Return]]-INDEX(Benchmark1[Benchmark '#1 Return],MATCH(Comp3[[#This Row],[Comparable '#3 Dates]],Benchmark1[Benchmark '#1 Dates],0)),"-")</f>
        <v>-1.9145961702158813E-2</v>
      </c>
      <c r="L821" s="72">
        <f>Comp3[[#This Row],[Comparable '#3 Price]]/$B$2*100</f>
        <v>61.675624946676912</v>
      </c>
    </row>
    <row r="822" spans="1:12">
      <c r="A822" s="96">
        <v>44475</v>
      </c>
      <c r="B822" s="101">
        <v>71.959999999999994</v>
      </c>
      <c r="C822" s="1">
        <f t="shared" si="24"/>
        <v>-4.5753979298735438E-3</v>
      </c>
      <c r="D822" s="1">
        <f>IFERROR(Comp3[[#This Row],[Comparable '#3 Return]]+1,"-")</f>
        <v>0.99542460207012651</v>
      </c>
      <c r="E822" s="6">
        <f>B822-MAX($B$2:B822)</f>
        <v>-116.08</v>
      </c>
      <c r="F822" s="80">
        <f t="shared" si="25"/>
        <v>560</v>
      </c>
      <c r="G822" s="6">
        <f>IFERROR(Comp3[[#This Row],[Comparable '#3 Drawdown]]/MAX($B$2:B822),"-")</f>
        <v>-0.61731546479472454</v>
      </c>
      <c r="H822" s="1" t="str">
        <f>IF(SUM(COUNTIF(Benchmark1[Benchmark '#1 Dates],Comp3[[#This Row],[Comparable '#3 Dates]]),COUNTIF(Benchmark2[Benchmark '#2 Dates],Comp3[[#This Row],[Comparable '#3 Dates]]))=2,"Pass","Fail")</f>
        <v>Pass</v>
      </c>
      <c r="I822" s="1">
        <f>IFERROR(Comp3[[#This Row],[Comparable '#3 Return]]-INDEX(Benchmark1[Benchmark '#1 Return],MATCH(Comp3[[#This Row],[Comparable '#3 Dates]],Benchmark1[Benchmark '#1 Dates],0)),"-")</f>
        <v>-8.6696525751075344E-3</v>
      </c>
      <c r="L822" s="72">
        <f>Comp3[[#This Row],[Comparable '#3 Price]]/$B$2*100</f>
        <v>61.394079003497993</v>
      </c>
    </row>
    <row r="823" spans="1:12">
      <c r="A823" s="96">
        <v>44476</v>
      </c>
      <c r="B823" s="101">
        <v>72.22</v>
      </c>
      <c r="C823" s="1">
        <f t="shared" si="24"/>
        <v>3.6066067669793225E-3</v>
      </c>
      <c r="D823" s="1">
        <f>IFERROR(Comp3[[#This Row],[Comparable '#3 Return]]+1,"-")</f>
        <v>1.0036066067669793</v>
      </c>
      <c r="E823" s="6">
        <f>B823-MAX($B$2:B823)</f>
        <v>-115.82</v>
      </c>
      <c r="F823" s="80">
        <f t="shared" si="25"/>
        <v>561</v>
      </c>
      <c r="G823" s="6">
        <f>IFERROR(Comp3[[#This Row],[Comparable '#3 Drawdown]]/MAX($B$2:B823),"-")</f>
        <v>-0.61593278025951925</v>
      </c>
      <c r="H823" s="1" t="str">
        <f>IF(SUM(COUNTIF(Benchmark1[Benchmark '#1 Dates],Comp3[[#This Row],[Comparable '#3 Dates]]),COUNTIF(Benchmark2[Benchmark '#2 Dates],Comp3[[#This Row],[Comparable '#3 Dates]]))=2,"Pass","Fail")</f>
        <v>Pass</v>
      </c>
      <c r="I823" s="1">
        <f>IFERROR(Comp3[[#This Row],[Comparable '#3 Return]]-INDEX(Benchmark1[Benchmark '#1 Return],MATCH(Comp3[[#This Row],[Comparable '#3 Dates]],Benchmark1[Benchmark '#1 Dates],0)),"-")</f>
        <v>-4.6593015224733782E-3</v>
      </c>
      <c r="L823" s="72">
        <f>Comp3[[#This Row],[Comparable '#3 Price]]/$B$2*100</f>
        <v>61.615903079941994</v>
      </c>
    </row>
    <row r="824" spans="1:12">
      <c r="A824" s="96">
        <v>44477</v>
      </c>
      <c r="B824" s="101">
        <v>71.81</v>
      </c>
      <c r="C824" s="1">
        <f t="shared" si="24"/>
        <v>-5.6932737270854574E-3</v>
      </c>
      <c r="D824" s="1">
        <f>IFERROR(Comp3[[#This Row],[Comparable '#3 Return]]+1,"-")</f>
        <v>0.9943067262729145</v>
      </c>
      <c r="E824" s="6">
        <f>B824-MAX($B$2:B824)</f>
        <v>-116.22999999999999</v>
      </c>
      <c r="F824" s="80">
        <f t="shared" si="25"/>
        <v>562</v>
      </c>
      <c r="G824" s="6">
        <f>IFERROR(Comp3[[#This Row],[Comparable '#3 Drawdown]]/MAX($B$2:B824),"-")</f>
        <v>-0.61811316741118905</v>
      </c>
      <c r="H824" s="1" t="str">
        <f>IF(SUM(COUNTIF(Benchmark1[Benchmark '#1 Dates],Comp3[[#This Row],[Comparable '#3 Dates]]),COUNTIF(Benchmark2[Benchmark '#2 Dates],Comp3[[#This Row],[Comparable '#3 Dates]]))=2,"Pass","Fail")</f>
        <v>Pass</v>
      </c>
      <c r="I824" s="1">
        <f>IFERROR(Comp3[[#This Row],[Comparable '#3 Return]]-INDEX(Benchmark1[Benchmark '#1 Return],MATCH(Comp3[[#This Row],[Comparable '#3 Dates]],Benchmark1[Benchmark '#1 Dates],0)),"-")</f>
        <v>-3.7765040337551944E-3</v>
      </c>
      <c r="L824" s="72">
        <f>Comp3[[#This Row],[Comparable '#3 Price]]/$B$2*100</f>
        <v>61.266103574780317</v>
      </c>
    </row>
    <row r="825" spans="1:12">
      <c r="A825" s="96">
        <v>44480</v>
      </c>
      <c r="B825" s="101">
        <v>69.180000000000007</v>
      </c>
      <c r="C825" s="1">
        <f t="shared" si="24"/>
        <v>-3.7311938613203491E-2</v>
      </c>
      <c r="D825" s="1">
        <f>IFERROR(Comp3[[#This Row],[Comparable '#3 Return]]+1,"-")</f>
        <v>0.96268806138679652</v>
      </c>
      <c r="E825" s="6">
        <f>B825-MAX($B$2:B825)</f>
        <v>-118.85999999999999</v>
      </c>
      <c r="F825" s="80">
        <f t="shared" si="25"/>
        <v>563</v>
      </c>
      <c r="G825" s="6">
        <f>IFERROR(Comp3[[#This Row],[Comparable '#3 Drawdown]]/MAX($B$2:B825),"-")</f>
        <v>-0.63209955328653478</v>
      </c>
      <c r="H825" s="1" t="str">
        <f>IF(SUM(COUNTIF(Benchmark1[Benchmark '#1 Dates],Comp3[[#This Row],[Comparable '#3 Dates]]),COUNTIF(Benchmark2[Benchmark '#2 Dates],Comp3[[#This Row],[Comparable '#3 Dates]]))=2,"Pass","Fail")</f>
        <v>Pass</v>
      </c>
      <c r="I825" s="1">
        <f>IFERROR(Comp3[[#This Row],[Comparable '#3 Return]]-INDEX(Benchmark1[Benchmark '#1 Return],MATCH(Comp3[[#This Row],[Comparable '#3 Dates]],Benchmark1[Benchmark '#1 Dates],0)),"-")</f>
        <v>-3.0423029872655272E-2</v>
      </c>
      <c r="L825" s="72">
        <f>Comp3[[#This Row],[Comparable '#3 Price]]/$B$2*100</f>
        <v>59.022267724596887</v>
      </c>
    </row>
    <row r="826" spans="1:12">
      <c r="A826" s="96">
        <v>44481</v>
      </c>
      <c r="B826" s="101">
        <v>69.38</v>
      </c>
      <c r="C826" s="1">
        <f t="shared" si="24"/>
        <v>2.8868380325808934E-3</v>
      </c>
      <c r="D826" s="1">
        <f>IFERROR(Comp3[[#This Row],[Comparable '#3 Return]]+1,"-")</f>
        <v>1.0028868380325808</v>
      </c>
      <c r="E826" s="6">
        <f>B826-MAX($B$2:B826)</f>
        <v>-118.66</v>
      </c>
      <c r="F826" s="80">
        <f t="shared" si="25"/>
        <v>564</v>
      </c>
      <c r="G826" s="6">
        <f>IFERROR(Comp3[[#This Row],[Comparable '#3 Drawdown]]/MAX($B$2:B826),"-")</f>
        <v>-0.63103594979791533</v>
      </c>
      <c r="H826" s="1" t="str">
        <f>IF(SUM(COUNTIF(Benchmark1[Benchmark '#1 Dates],Comp3[[#This Row],[Comparable '#3 Dates]]),COUNTIF(Benchmark2[Benchmark '#2 Dates],Comp3[[#This Row],[Comparable '#3 Dates]]))=2,"Pass","Fail")</f>
        <v>Pass</v>
      </c>
      <c r="I826" s="1">
        <f>IFERROR(Comp3[[#This Row],[Comparable '#3 Return]]-INDEX(Benchmark1[Benchmark '#1 Return],MATCH(Comp3[[#This Row],[Comparable '#3 Dates]],Benchmark1[Benchmark '#1 Dates],0)),"-")</f>
        <v>5.307572983287507E-3</v>
      </c>
      <c r="L826" s="72">
        <f>Comp3[[#This Row],[Comparable '#3 Price]]/$B$2*100</f>
        <v>59.192901629553795</v>
      </c>
    </row>
    <row r="827" spans="1:12">
      <c r="A827" s="96">
        <v>44482</v>
      </c>
      <c r="B827" s="101">
        <v>68.95</v>
      </c>
      <c r="C827" s="1">
        <f t="shared" si="24"/>
        <v>-6.2170373022926847E-3</v>
      </c>
      <c r="D827" s="1">
        <f>IFERROR(Comp3[[#This Row],[Comparable '#3 Return]]+1,"-")</f>
        <v>0.99378296269770727</v>
      </c>
      <c r="E827" s="6">
        <f>B827-MAX($B$2:B827)</f>
        <v>-119.08999999999999</v>
      </c>
      <c r="F827" s="80">
        <f t="shared" si="25"/>
        <v>565</v>
      </c>
      <c r="G827" s="6">
        <f>IFERROR(Comp3[[#This Row],[Comparable '#3 Drawdown]]/MAX($B$2:B827),"-")</f>
        <v>-0.63332269729844715</v>
      </c>
      <c r="H827" s="1" t="str">
        <f>IF(SUM(COUNTIF(Benchmark1[Benchmark '#1 Dates],Comp3[[#This Row],[Comparable '#3 Dates]]),COUNTIF(Benchmark2[Benchmark '#2 Dates],Comp3[[#This Row],[Comparable '#3 Dates]]))=2,"Pass","Fail")</f>
        <v>Pass</v>
      </c>
      <c r="I827" s="1">
        <f>IFERROR(Comp3[[#This Row],[Comparable '#3 Return]]-INDEX(Benchmark1[Benchmark '#1 Return],MATCH(Comp3[[#This Row],[Comparable '#3 Dates]],Benchmark1[Benchmark '#1 Dates],0)),"-")</f>
        <v>-9.2369752381758815E-3</v>
      </c>
      <c r="L827" s="72">
        <f>Comp3[[#This Row],[Comparable '#3 Price]]/$B$2*100</f>
        <v>58.826038733896432</v>
      </c>
    </row>
    <row r="828" spans="1:12">
      <c r="A828" s="96">
        <v>44483</v>
      </c>
      <c r="B828" s="101">
        <v>70.25</v>
      </c>
      <c r="C828" s="1">
        <f t="shared" si="24"/>
        <v>1.8678703974544259E-2</v>
      </c>
      <c r="D828" s="1">
        <f>IFERROR(Comp3[[#This Row],[Comparable '#3 Return]]+1,"-")</f>
        <v>1.0186787039745442</v>
      </c>
      <c r="E828" s="6">
        <f>B828-MAX($B$2:B828)</f>
        <v>-117.78999999999999</v>
      </c>
      <c r="F828" s="80">
        <f t="shared" si="25"/>
        <v>566</v>
      </c>
      <c r="G828" s="6">
        <f>IFERROR(Comp3[[#This Row],[Comparable '#3 Drawdown]]/MAX($B$2:B828),"-")</f>
        <v>-0.6264092746224208</v>
      </c>
      <c r="H828" s="1" t="str">
        <f>IF(SUM(COUNTIF(Benchmark1[Benchmark '#1 Dates],Comp3[[#This Row],[Comparable '#3 Dates]]),COUNTIF(Benchmark2[Benchmark '#2 Dates],Comp3[[#This Row],[Comparable '#3 Dates]]))=2,"Pass","Fail")</f>
        <v>Pass</v>
      </c>
      <c r="I828" s="1">
        <f>IFERROR(Comp3[[#This Row],[Comparable '#3 Return]]-INDEX(Benchmark1[Benchmark '#1 Return],MATCH(Comp3[[#This Row],[Comparable '#3 Dates]],Benchmark1[Benchmark '#1 Dates],0)),"-")</f>
        <v>1.7595797092931596E-3</v>
      </c>
      <c r="L828" s="72">
        <f>Comp3[[#This Row],[Comparable '#3 Price]]/$B$2*100</f>
        <v>59.935159116116374</v>
      </c>
    </row>
    <row r="829" spans="1:12">
      <c r="A829" s="96">
        <v>44484</v>
      </c>
      <c r="B829" s="101">
        <v>71.25</v>
      </c>
      <c r="C829" s="1">
        <f t="shared" si="24"/>
        <v>1.4134510934904716E-2</v>
      </c>
      <c r="D829" s="1">
        <f>IFERROR(Comp3[[#This Row],[Comparable '#3 Return]]+1,"-")</f>
        <v>1.0141345109349047</v>
      </c>
      <c r="E829" s="6">
        <f>B829-MAX($B$2:B829)</f>
        <v>-116.78999999999999</v>
      </c>
      <c r="F829" s="80">
        <f t="shared" si="25"/>
        <v>567</v>
      </c>
      <c r="G829" s="6">
        <f>IFERROR(Comp3[[#This Row],[Comparable '#3 Drawdown]]/MAX($B$2:B829),"-")</f>
        <v>-0.62109125717932356</v>
      </c>
      <c r="H829" s="1" t="str">
        <f>IF(SUM(COUNTIF(Benchmark1[Benchmark '#1 Dates],Comp3[[#This Row],[Comparable '#3 Dates]]),COUNTIF(Benchmark2[Benchmark '#2 Dates],Comp3[[#This Row],[Comparable '#3 Dates]]))=2,"Pass","Fail")</f>
        <v>Pass</v>
      </c>
      <c r="I829" s="1">
        <f>IFERROR(Comp3[[#This Row],[Comparable '#3 Return]]-INDEX(Benchmark1[Benchmark '#1 Return],MATCH(Comp3[[#This Row],[Comparable '#3 Dates]],Benchmark1[Benchmark '#1 Dates],0)),"-")</f>
        <v>6.7034019164879258E-3</v>
      </c>
      <c r="L829" s="72">
        <f>Comp3[[#This Row],[Comparable '#3 Price]]/$B$2*100</f>
        <v>60.788328640900943</v>
      </c>
    </row>
    <row r="830" spans="1:12">
      <c r="A830" s="96">
        <v>44487</v>
      </c>
      <c r="B830" s="101">
        <v>69.78</v>
      </c>
      <c r="C830" s="1">
        <f t="shared" si="24"/>
        <v>-2.0847383390131875E-2</v>
      </c>
      <c r="D830" s="1">
        <f>IFERROR(Comp3[[#This Row],[Comparable '#3 Return]]+1,"-")</f>
        <v>0.97915261660986808</v>
      </c>
      <c r="E830" s="6">
        <f>B830-MAX($B$2:B830)</f>
        <v>-118.25999999999999</v>
      </c>
      <c r="F830" s="80">
        <f t="shared" si="25"/>
        <v>568</v>
      </c>
      <c r="G830" s="6">
        <f>IFERROR(Comp3[[#This Row],[Comparable '#3 Drawdown]]/MAX($B$2:B830),"-")</f>
        <v>-0.62890874282067644</v>
      </c>
      <c r="H830" s="1" t="str">
        <f>IF(SUM(COUNTIF(Benchmark1[Benchmark '#1 Dates],Comp3[[#This Row],[Comparable '#3 Dates]]),COUNTIF(Benchmark2[Benchmark '#2 Dates],Comp3[[#This Row],[Comparable '#3 Dates]]))=2,"Pass","Fail")</f>
        <v>Pass</v>
      </c>
      <c r="I830" s="1">
        <f>IFERROR(Comp3[[#This Row],[Comparable '#3 Return]]-INDEX(Benchmark1[Benchmark '#1 Return],MATCH(Comp3[[#This Row],[Comparable '#3 Dates]],Benchmark1[Benchmark '#1 Dates],0)),"-")</f>
        <v>-2.4216961552494389E-2</v>
      </c>
      <c r="L830" s="72">
        <f>Comp3[[#This Row],[Comparable '#3 Price]]/$B$2*100</f>
        <v>59.534169439467618</v>
      </c>
    </row>
    <row r="831" spans="1:12">
      <c r="A831" s="96">
        <v>44488</v>
      </c>
      <c r="B831" s="101">
        <v>71.03</v>
      </c>
      <c r="C831" s="1">
        <f t="shared" si="24"/>
        <v>1.7754887251090496E-2</v>
      </c>
      <c r="D831" s="1">
        <f>IFERROR(Comp3[[#This Row],[Comparable '#3 Return]]+1,"-")</f>
        <v>1.0177548872510904</v>
      </c>
      <c r="E831" s="6">
        <f>B831-MAX($B$2:B831)</f>
        <v>-117.00999999999999</v>
      </c>
      <c r="F831" s="80">
        <f t="shared" si="25"/>
        <v>569</v>
      </c>
      <c r="G831" s="6">
        <f>IFERROR(Comp3[[#This Row],[Comparable '#3 Drawdown]]/MAX($B$2:B831),"-")</f>
        <v>-0.62226122101680492</v>
      </c>
      <c r="H831" s="1" t="str">
        <f>IF(SUM(COUNTIF(Benchmark1[Benchmark '#1 Dates],Comp3[[#This Row],[Comparable '#3 Dates]]),COUNTIF(Benchmark2[Benchmark '#2 Dates],Comp3[[#This Row],[Comparable '#3 Dates]]))=2,"Pass","Fail")</f>
        <v>Pass</v>
      </c>
      <c r="I831" s="1">
        <f>IFERROR(Comp3[[#This Row],[Comparable '#3 Return]]-INDEX(Benchmark1[Benchmark '#1 Return],MATCH(Comp3[[#This Row],[Comparable '#3 Dates]],Benchmark1[Benchmark '#1 Dates],0)),"-")</f>
        <v>1.038870158724205E-2</v>
      </c>
      <c r="L831" s="72">
        <f>Comp3[[#This Row],[Comparable '#3 Price]]/$B$2*100</f>
        <v>60.600631345448342</v>
      </c>
    </row>
    <row r="832" spans="1:12">
      <c r="A832" s="96">
        <v>44489</v>
      </c>
      <c r="B832" s="101">
        <v>70.67</v>
      </c>
      <c r="C832" s="1">
        <f t="shared" si="24"/>
        <v>-5.0811683069556801E-3</v>
      </c>
      <c r="D832" s="1">
        <f>IFERROR(Comp3[[#This Row],[Comparable '#3 Return]]+1,"-")</f>
        <v>0.99491883169304429</v>
      </c>
      <c r="E832" s="6">
        <f>B832-MAX($B$2:B832)</f>
        <v>-117.36999999999999</v>
      </c>
      <c r="F832" s="80">
        <f t="shared" si="25"/>
        <v>570</v>
      </c>
      <c r="G832" s="6">
        <f>IFERROR(Comp3[[#This Row],[Comparable '#3 Drawdown]]/MAX($B$2:B832),"-")</f>
        <v>-0.62417570729631988</v>
      </c>
      <c r="H832" s="1" t="str">
        <f>IF(SUM(COUNTIF(Benchmark1[Benchmark '#1 Dates],Comp3[[#This Row],[Comparable '#3 Dates]]),COUNTIF(Benchmark2[Benchmark '#2 Dates],Comp3[[#This Row],[Comparable '#3 Dates]]))=2,"Pass","Fail")</f>
        <v>Pass</v>
      </c>
      <c r="I832" s="1">
        <f>IFERROR(Comp3[[#This Row],[Comparable '#3 Return]]-INDEX(Benchmark1[Benchmark '#1 Return],MATCH(Comp3[[#This Row],[Comparable '#3 Dates]],Benchmark1[Benchmark '#1 Dates],0)),"-")</f>
        <v>-8.7388251987838735E-3</v>
      </c>
      <c r="L832" s="72">
        <f>Comp3[[#This Row],[Comparable '#3 Price]]/$B$2*100</f>
        <v>60.293490316525897</v>
      </c>
    </row>
    <row r="833" spans="1:12">
      <c r="A833" s="96">
        <v>44490</v>
      </c>
      <c r="B833" s="101">
        <v>71.849999999999994</v>
      </c>
      <c r="C833" s="1">
        <f t="shared" si="24"/>
        <v>1.6559457822270914E-2</v>
      </c>
      <c r="D833" s="1">
        <f>IFERROR(Comp3[[#This Row],[Comparable '#3 Return]]+1,"-")</f>
        <v>1.016559457822271</v>
      </c>
      <c r="E833" s="6">
        <f>B833-MAX($B$2:B833)</f>
        <v>-116.19</v>
      </c>
      <c r="F833" s="80">
        <f t="shared" si="25"/>
        <v>571</v>
      </c>
      <c r="G833" s="6">
        <f>IFERROR(Comp3[[#This Row],[Comparable '#3 Drawdown]]/MAX($B$2:B833),"-")</f>
        <v>-0.61790044671346522</v>
      </c>
      <c r="H833" s="1" t="str">
        <f>IF(SUM(COUNTIF(Benchmark1[Benchmark '#1 Dates],Comp3[[#This Row],[Comparable '#3 Dates]]),COUNTIF(Benchmark2[Benchmark '#2 Dates],Comp3[[#This Row],[Comparable '#3 Dates]]))=2,"Pass","Fail")</f>
        <v>Pass</v>
      </c>
      <c r="I833" s="1">
        <f>IFERROR(Comp3[[#This Row],[Comparable '#3 Return]]-INDEX(Benchmark1[Benchmark '#1 Return],MATCH(Comp3[[#This Row],[Comparable '#3 Dates]],Benchmark1[Benchmark '#1 Dates],0)),"-")</f>
        <v>1.3568206015707707E-2</v>
      </c>
      <c r="L833" s="72">
        <f>Comp3[[#This Row],[Comparable '#3 Price]]/$B$2*100</f>
        <v>61.300230355771689</v>
      </c>
    </row>
    <row r="834" spans="1:12">
      <c r="A834" s="96">
        <v>44491</v>
      </c>
      <c r="B834" s="101">
        <v>71.09</v>
      </c>
      <c r="C834" s="1">
        <f t="shared" ref="C834:C897" si="26">IFERROR(IF(B834="","-",LN(B834/B833)),"-")</f>
        <v>-1.063393258364204E-2</v>
      </c>
      <c r="D834" s="1">
        <f>IFERROR(Comp3[[#This Row],[Comparable '#3 Return]]+1,"-")</f>
        <v>0.98936606741635791</v>
      </c>
      <c r="E834" s="6">
        <f>B834-MAX($B$2:B834)</f>
        <v>-116.94999999999999</v>
      </c>
      <c r="F834" s="80">
        <f t="shared" ref="F834:F897" si="27">IF(E834=0,0,F833+1)</f>
        <v>572</v>
      </c>
      <c r="G834" s="6">
        <f>IFERROR(Comp3[[#This Row],[Comparable '#3 Drawdown]]/MAX($B$2:B834),"-")</f>
        <v>-0.62194213997021908</v>
      </c>
      <c r="H834" s="1" t="str">
        <f>IF(SUM(COUNTIF(Benchmark1[Benchmark '#1 Dates],Comp3[[#This Row],[Comparable '#3 Dates]]),COUNTIF(Benchmark2[Benchmark '#2 Dates],Comp3[[#This Row],[Comparable '#3 Dates]]))=2,"Pass","Fail")</f>
        <v>Pass</v>
      </c>
      <c r="I834" s="1">
        <f>IFERROR(Comp3[[#This Row],[Comparable '#3 Return]]-INDEX(Benchmark1[Benchmark '#1 Return],MATCH(Comp3[[#This Row],[Comparable '#3 Dates]],Benchmark1[Benchmark '#1 Dates],0)),"-")</f>
        <v>-9.5600971324254855E-3</v>
      </c>
      <c r="L834" s="72">
        <f>Comp3[[#This Row],[Comparable '#3 Price]]/$B$2*100</f>
        <v>60.651821516935421</v>
      </c>
    </row>
    <row r="835" spans="1:12">
      <c r="A835" s="96">
        <v>44494</v>
      </c>
      <c r="B835" s="101">
        <v>71.739999999999995</v>
      </c>
      <c r="C835" s="1">
        <f t="shared" si="26"/>
        <v>9.1017921627447266E-3</v>
      </c>
      <c r="D835" s="1">
        <f>IFERROR(Comp3[[#This Row],[Comparable '#3 Return]]+1,"-")</f>
        <v>1.0091017921627448</v>
      </c>
      <c r="E835" s="6">
        <f>B835-MAX($B$2:B835)</f>
        <v>-116.3</v>
      </c>
      <c r="F835" s="80">
        <f t="shared" si="27"/>
        <v>573</v>
      </c>
      <c r="G835" s="6">
        <f>IFERROR(Comp3[[#This Row],[Comparable '#3 Drawdown]]/MAX($B$2:B835),"-")</f>
        <v>-0.6184854286322059</v>
      </c>
      <c r="H835" s="1" t="str">
        <f>IF(SUM(COUNTIF(Benchmark1[Benchmark '#1 Dates],Comp3[[#This Row],[Comparable '#3 Dates]]),COUNTIF(Benchmark2[Benchmark '#2 Dates],Comp3[[#This Row],[Comparable '#3 Dates]]))=2,"Pass","Fail")</f>
        <v>Pass</v>
      </c>
      <c r="I835" s="1">
        <f>IFERROR(Comp3[[#This Row],[Comparable '#3 Return]]-INDEX(Benchmark1[Benchmark '#1 Return],MATCH(Comp3[[#This Row],[Comparable '#3 Dates]],Benchmark1[Benchmark '#1 Dates],0)),"-")</f>
        <v>4.3649029959496512E-3</v>
      </c>
      <c r="L835" s="72">
        <f>Comp3[[#This Row],[Comparable '#3 Price]]/$B$2*100</f>
        <v>61.206381708045384</v>
      </c>
    </row>
    <row r="836" spans="1:12">
      <c r="A836" s="96">
        <v>44495</v>
      </c>
      <c r="B836" s="101">
        <v>70.430000000000007</v>
      </c>
      <c r="C836" s="1">
        <f t="shared" si="26"/>
        <v>-1.8429163346817382E-2</v>
      </c>
      <c r="D836" s="1">
        <f>IFERROR(Comp3[[#This Row],[Comparable '#3 Return]]+1,"-")</f>
        <v>0.98157083665318257</v>
      </c>
      <c r="E836" s="6">
        <f>B836-MAX($B$2:B836)</f>
        <v>-117.60999999999999</v>
      </c>
      <c r="F836" s="80">
        <f t="shared" si="27"/>
        <v>574</v>
      </c>
      <c r="G836" s="6">
        <f>IFERROR(Comp3[[#This Row],[Comparable '#3 Drawdown]]/MAX($B$2:B836),"-")</f>
        <v>-0.62545203148266326</v>
      </c>
      <c r="H836" s="1" t="str">
        <f>IF(SUM(COUNTIF(Benchmark1[Benchmark '#1 Dates],Comp3[[#This Row],[Comparable '#3 Dates]]),COUNTIF(Benchmark2[Benchmark '#2 Dates],Comp3[[#This Row],[Comparable '#3 Dates]]))=2,"Pass","Fail")</f>
        <v>Pass</v>
      </c>
      <c r="I836" s="1">
        <f>IFERROR(Comp3[[#This Row],[Comparable '#3 Return]]-INDEX(Benchmark1[Benchmark '#1 Return],MATCH(Comp3[[#This Row],[Comparable '#3 Dates]],Benchmark1[Benchmark '#1 Dates],0)),"-")</f>
        <v>-2.0247475205652853E-2</v>
      </c>
      <c r="L836" s="72">
        <f>Comp3[[#This Row],[Comparable '#3 Price]]/$B$2*100</f>
        <v>60.08872963057761</v>
      </c>
    </row>
    <row r="837" spans="1:12">
      <c r="A837" s="96">
        <v>44496</v>
      </c>
      <c r="B837" s="101">
        <v>69.239999999999995</v>
      </c>
      <c r="C837" s="1">
        <f t="shared" si="26"/>
        <v>-1.7040578449310638E-2</v>
      </c>
      <c r="D837" s="1">
        <f>IFERROR(Comp3[[#This Row],[Comparable '#3 Return]]+1,"-")</f>
        <v>0.98295942155068938</v>
      </c>
      <c r="E837" s="6">
        <f>B837-MAX($B$2:B837)</f>
        <v>-118.8</v>
      </c>
      <c r="F837" s="80">
        <f t="shared" si="27"/>
        <v>575</v>
      </c>
      <c r="G837" s="6">
        <f>IFERROR(Comp3[[#This Row],[Comparable '#3 Drawdown]]/MAX($B$2:B837),"-")</f>
        <v>-0.63178047223994893</v>
      </c>
      <c r="H837" s="1" t="str">
        <f>IF(SUM(COUNTIF(Benchmark1[Benchmark '#1 Dates],Comp3[[#This Row],[Comparable '#3 Dates]]),COUNTIF(Benchmark2[Benchmark '#2 Dates],Comp3[[#This Row],[Comparable '#3 Dates]]))=2,"Pass","Fail")</f>
        <v>Pass</v>
      </c>
      <c r="I837" s="1">
        <f>IFERROR(Comp3[[#This Row],[Comparable '#3 Return]]-INDEX(Benchmark1[Benchmark '#1 Return],MATCH(Comp3[[#This Row],[Comparable '#3 Dates]],Benchmark1[Benchmark '#1 Dates],0)),"-")</f>
        <v>-1.1976681712243094E-2</v>
      </c>
      <c r="L837" s="72">
        <f>Comp3[[#This Row],[Comparable '#3 Price]]/$B$2*100</f>
        <v>59.073457896083944</v>
      </c>
    </row>
    <row r="838" spans="1:12">
      <c r="A838" s="96">
        <v>44497</v>
      </c>
      <c r="B838" s="101">
        <v>69.75</v>
      </c>
      <c r="C838" s="1">
        <f t="shared" si="26"/>
        <v>7.3386903934665546E-3</v>
      </c>
      <c r="D838" s="1">
        <f>IFERROR(Comp3[[#This Row],[Comparable '#3 Return]]+1,"-")</f>
        <v>1.0073386903934665</v>
      </c>
      <c r="E838" s="6">
        <f>B838-MAX($B$2:B838)</f>
        <v>-118.28999999999999</v>
      </c>
      <c r="F838" s="80">
        <f t="shared" si="27"/>
        <v>576</v>
      </c>
      <c r="G838" s="6">
        <f>IFERROR(Comp3[[#This Row],[Comparable '#3 Drawdown]]/MAX($B$2:B838),"-")</f>
        <v>-0.62906828334396936</v>
      </c>
      <c r="H838" s="1" t="str">
        <f>IF(SUM(COUNTIF(Benchmark1[Benchmark '#1 Dates],Comp3[[#This Row],[Comparable '#3 Dates]]),COUNTIF(Benchmark2[Benchmark '#2 Dates],Comp3[[#This Row],[Comparable '#3 Dates]]))=2,"Pass","Fail")</f>
        <v>Pass</v>
      </c>
      <c r="I838" s="1">
        <f>IFERROR(Comp3[[#This Row],[Comparable '#3 Return]]-INDEX(Benchmark1[Benchmark '#1 Return],MATCH(Comp3[[#This Row],[Comparable '#3 Dates]],Benchmark1[Benchmark '#1 Dates],0)),"-")</f>
        <v>-2.44133363902874E-3</v>
      </c>
      <c r="L838" s="72">
        <f>Comp3[[#This Row],[Comparable '#3 Price]]/$B$2*100</f>
        <v>59.508574353724086</v>
      </c>
    </row>
    <row r="839" spans="1:12">
      <c r="A839" s="96">
        <v>44498</v>
      </c>
      <c r="B839" s="101">
        <v>68.209999999999994</v>
      </c>
      <c r="C839" s="1">
        <f t="shared" si="26"/>
        <v>-2.2326239034847137E-2</v>
      </c>
      <c r="D839" s="1">
        <f>IFERROR(Comp3[[#This Row],[Comparable '#3 Return]]+1,"-")</f>
        <v>0.9776737609651529</v>
      </c>
      <c r="E839" s="6">
        <f>B839-MAX($B$2:B839)</f>
        <v>-119.83</v>
      </c>
      <c r="F839" s="80">
        <f t="shared" si="27"/>
        <v>577</v>
      </c>
      <c r="G839" s="6">
        <f>IFERROR(Comp3[[#This Row],[Comparable '#3 Drawdown]]/MAX($B$2:B839),"-")</f>
        <v>-0.63725803020633909</v>
      </c>
      <c r="H839" s="1" t="str">
        <f>IF(SUM(COUNTIF(Benchmark1[Benchmark '#1 Dates],Comp3[[#This Row],[Comparable '#3 Dates]]),COUNTIF(Benchmark2[Benchmark '#2 Dates],Comp3[[#This Row],[Comparable '#3 Dates]]))=2,"Pass","Fail")</f>
        <v>Pass</v>
      </c>
      <c r="I839" s="1">
        <f>IFERROR(Comp3[[#This Row],[Comparable '#3 Return]]-INDEX(Benchmark1[Benchmark '#1 Return],MATCH(Comp3[[#This Row],[Comparable '#3 Dates]],Benchmark1[Benchmark '#1 Dates],0)),"-")</f>
        <v>-2.427402748137698E-2</v>
      </c>
      <c r="L839" s="72">
        <f>Comp3[[#This Row],[Comparable '#3 Price]]/$B$2*100</f>
        <v>58.194693285555843</v>
      </c>
    </row>
    <row r="840" spans="1:12">
      <c r="A840" s="96">
        <v>44501</v>
      </c>
      <c r="B840" s="101">
        <v>71.48</v>
      </c>
      <c r="C840" s="1">
        <f t="shared" si="26"/>
        <v>4.6826508624599562E-2</v>
      </c>
      <c r="D840" s="1">
        <f>IFERROR(Comp3[[#This Row],[Comparable '#3 Return]]+1,"-")</f>
        <v>1.0468265086245996</v>
      </c>
      <c r="E840" s="6">
        <f>B840-MAX($B$2:B840)</f>
        <v>-116.55999999999999</v>
      </c>
      <c r="F840" s="80">
        <f t="shared" si="27"/>
        <v>578</v>
      </c>
      <c r="G840" s="6">
        <f>IFERROR(Comp3[[#This Row],[Comparable '#3 Drawdown]]/MAX($B$2:B840),"-")</f>
        <v>-0.61986811316741119</v>
      </c>
      <c r="H840" s="1" t="str">
        <f>IF(SUM(COUNTIF(Benchmark1[Benchmark '#1 Dates],Comp3[[#This Row],[Comparable '#3 Dates]]),COUNTIF(Benchmark2[Benchmark '#2 Dates],Comp3[[#This Row],[Comparable '#3 Dates]]))=2,"Pass","Fail")</f>
        <v>Pass</v>
      </c>
      <c r="I840" s="1">
        <f>IFERROR(Comp3[[#This Row],[Comparable '#3 Return]]-INDEX(Benchmark1[Benchmark '#1 Return],MATCH(Comp3[[#This Row],[Comparable '#3 Dates]],Benchmark1[Benchmark '#1 Dates],0)),"-")</f>
        <v>4.5026678488097667E-2</v>
      </c>
      <c r="L840" s="72">
        <f>Comp3[[#This Row],[Comparable '#3 Price]]/$B$2*100</f>
        <v>60.984557631601412</v>
      </c>
    </row>
    <row r="841" spans="1:12">
      <c r="A841" s="96">
        <v>44502</v>
      </c>
      <c r="B841" s="101">
        <v>67.45</v>
      </c>
      <c r="C841" s="1">
        <f t="shared" si="26"/>
        <v>-5.8031107637462442E-2</v>
      </c>
      <c r="D841" s="1">
        <f>IFERROR(Comp3[[#This Row],[Comparable '#3 Return]]+1,"-")</f>
        <v>0.94196889236253756</v>
      </c>
      <c r="E841" s="6">
        <f>B841-MAX($B$2:B841)</f>
        <v>-120.58999999999999</v>
      </c>
      <c r="F841" s="80">
        <f t="shared" si="27"/>
        <v>579</v>
      </c>
      <c r="G841" s="6">
        <f>IFERROR(Comp3[[#This Row],[Comparable '#3 Drawdown]]/MAX($B$2:B841),"-")</f>
        <v>-0.64129972346309294</v>
      </c>
      <c r="H841" s="1" t="str">
        <f>IF(SUM(COUNTIF(Benchmark1[Benchmark '#1 Dates],Comp3[[#This Row],[Comparable '#3 Dates]]),COUNTIF(Benchmark2[Benchmark '#2 Dates],Comp3[[#This Row],[Comparable '#3 Dates]]))=2,"Pass","Fail")</f>
        <v>Pass</v>
      </c>
      <c r="I841" s="1">
        <f>IFERROR(Comp3[[#This Row],[Comparable '#3 Return]]-INDEX(Benchmark1[Benchmark '#1 Return],MATCH(Comp3[[#This Row],[Comparable '#3 Dates]],Benchmark1[Benchmark '#1 Dates],0)),"-")</f>
        <v>-6.170479282765283E-2</v>
      </c>
      <c r="L841" s="72">
        <f>Comp3[[#This Row],[Comparable '#3 Price]]/$B$2*100</f>
        <v>57.546284446719568</v>
      </c>
    </row>
    <row r="842" spans="1:12">
      <c r="A842" s="96">
        <v>44503</v>
      </c>
      <c r="B842" s="101">
        <v>70</v>
      </c>
      <c r="C842" s="1">
        <f t="shared" si="26"/>
        <v>3.7108659395594108E-2</v>
      </c>
      <c r="D842" s="1">
        <f>IFERROR(Comp3[[#This Row],[Comparable '#3 Return]]+1,"-")</f>
        <v>1.037108659395594</v>
      </c>
      <c r="E842" s="6">
        <f>B842-MAX($B$2:B842)</f>
        <v>-118.03999999999999</v>
      </c>
      <c r="F842" s="80">
        <f t="shared" si="27"/>
        <v>580</v>
      </c>
      <c r="G842" s="6">
        <f>IFERROR(Comp3[[#This Row],[Comparable '#3 Drawdown]]/MAX($B$2:B842),"-")</f>
        <v>-0.62773877898319508</v>
      </c>
      <c r="H842" s="1" t="str">
        <f>IF(SUM(COUNTIF(Benchmark1[Benchmark '#1 Dates],Comp3[[#This Row],[Comparable '#3 Dates]]),COUNTIF(Benchmark2[Benchmark '#2 Dates],Comp3[[#This Row],[Comparable '#3 Dates]]))=2,"Pass","Fail")</f>
        <v>Pass</v>
      </c>
      <c r="I842" s="1">
        <f>IFERROR(Comp3[[#This Row],[Comparable '#3 Return]]-INDEX(Benchmark1[Benchmark '#1 Return],MATCH(Comp3[[#This Row],[Comparable '#3 Dates]],Benchmark1[Benchmark '#1 Dates],0)),"-")</f>
        <v>3.0668963533860946E-2</v>
      </c>
      <c r="L842" s="72">
        <f>Comp3[[#This Row],[Comparable '#3 Price]]/$B$2*100</f>
        <v>59.721866734920241</v>
      </c>
    </row>
    <row r="843" spans="1:12">
      <c r="A843" s="96">
        <v>44504</v>
      </c>
      <c r="B843" s="101">
        <v>64.63</v>
      </c>
      <c r="C843" s="1">
        <f t="shared" si="26"/>
        <v>-7.9816542774554924E-2</v>
      </c>
      <c r="D843" s="1">
        <f>IFERROR(Comp3[[#This Row],[Comparable '#3 Return]]+1,"-")</f>
        <v>0.92018345722544503</v>
      </c>
      <c r="E843" s="6">
        <f>B843-MAX($B$2:B843)</f>
        <v>-123.41</v>
      </c>
      <c r="F843" s="80">
        <f t="shared" si="27"/>
        <v>581</v>
      </c>
      <c r="G843" s="6">
        <f>IFERROR(Comp3[[#This Row],[Comparable '#3 Drawdown]]/MAX($B$2:B843),"-")</f>
        <v>-0.65629653265262711</v>
      </c>
      <c r="H843" s="1" t="str">
        <f>IF(SUM(COUNTIF(Benchmark1[Benchmark '#1 Dates],Comp3[[#This Row],[Comparable '#3 Dates]]),COUNTIF(Benchmark2[Benchmark '#2 Dates],Comp3[[#This Row],[Comparable '#3 Dates]]))=2,"Pass","Fail")</f>
        <v>Pass</v>
      </c>
      <c r="I843" s="1">
        <f>IFERROR(Comp3[[#This Row],[Comparable '#3 Return]]-INDEX(Benchmark1[Benchmark '#1 Return],MATCH(Comp3[[#This Row],[Comparable '#3 Dates]],Benchmark1[Benchmark '#1 Dates],0)),"-")</f>
        <v>-8.3988916117970075E-2</v>
      </c>
      <c r="L843" s="72">
        <f>Comp3[[#This Row],[Comparable '#3 Price]]/$B$2*100</f>
        <v>55.140346386827069</v>
      </c>
    </row>
    <row r="844" spans="1:12">
      <c r="A844" s="96">
        <v>44505</v>
      </c>
      <c r="B844" s="101">
        <v>64.239999999999995</v>
      </c>
      <c r="C844" s="1">
        <f t="shared" si="26"/>
        <v>-6.0526296362978351E-3</v>
      </c>
      <c r="D844" s="1">
        <f>IFERROR(Comp3[[#This Row],[Comparable '#3 Return]]+1,"-")</f>
        <v>0.99394737036370218</v>
      </c>
      <c r="E844" s="6">
        <f>B844-MAX($B$2:B844)</f>
        <v>-123.8</v>
      </c>
      <c r="F844" s="80">
        <f t="shared" si="27"/>
        <v>582</v>
      </c>
      <c r="G844" s="6">
        <f>IFERROR(Comp3[[#This Row],[Comparable '#3 Drawdown]]/MAX($B$2:B844),"-")</f>
        <v>-0.65837055945543499</v>
      </c>
      <c r="H844" s="1" t="str">
        <f>IF(SUM(COUNTIF(Benchmark1[Benchmark '#1 Dates],Comp3[[#This Row],[Comparable '#3 Dates]]),COUNTIF(Benchmark2[Benchmark '#2 Dates],Comp3[[#This Row],[Comparable '#3 Dates]]))=2,"Pass","Fail")</f>
        <v>Pass</v>
      </c>
      <c r="I844" s="1">
        <f>IFERROR(Comp3[[#This Row],[Comparable '#3 Return]]-INDEX(Benchmark1[Benchmark '#1 Return],MATCH(Comp3[[#This Row],[Comparable '#3 Dates]],Benchmark1[Benchmark '#1 Dates],0)),"-")</f>
        <v>-9.7787462259140631E-3</v>
      </c>
      <c r="L844" s="72">
        <f>Comp3[[#This Row],[Comparable '#3 Price]]/$B$2*100</f>
        <v>54.807610272161078</v>
      </c>
    </row>
    <row r="845" spans="1:12">
      <c r="A845" s="96">
        <v>44508</v>
      </c>
      <c r="B845" s="101">
        <v>61.85</v>
      </c>
      <c r="C845" s="1">
        <f t="shared" si="26"/>
        <v>-3.7913970800009196E-2</v>
      </c>
      <c r="D845" s="1">
        <f>IFERROR(Comp3[[#This Row],[Comparable '#3 Return]]+1,"-")</f>
        <v>0.96208602919999076</v>
      </c>
      <c r="E845" s="6">
        <f>B845-MAX($B$2:B845)</f>
        <v>-126.19</v>
      </c>
      <c r="F845" s="80">
        <f t="shared" si="27"/>
        <v>583</v>
      </c>
      <c r="G845" s="6">
        <f>IFERROR(Comp3[[#This Row],[Comparable '#3 Drawdown]]/MAX($B$2:B845),"-")</f>
        <v>-0.67108062114443734</v>
      </c>
      <c r="H845" s="1" t="str">
        <f>IF(SUM(COUNTIF(Benchmark1[Benchmark '#1 Dates],Comp3[[#This Row],[Comparable '#3 Dates]]),COUNTIF(Benchmark2[Benchmark '#2 Dates],Comp3[[#This Row],[Comparable '#3 Dates]]))=2,"Pass","Fail")</f>
        <v>Pass</v>
      </c>
      <c r="I845" s="1">
        <f>IFERROR(Comp3[[#This Row],[Comparable '#3 Return]]-INDEX(Benchmark1[Benchmark '#1 Return],MATCH(Comp3[[#This Row],[Comparable '#3 Dates]],Benchmark1[Benchmark '#1 Dates],0)),"-")</f>
        <v>-3.8802392226751692E-2</v>
      </c>
      <c r="L845" s="72">
        <f>Comp3[[#This Row],[Comparable '#3 Price]]/$B$2*100</f>
        <v>52.768535107925949</v>
      </c>
    </row>
    <row r="846" spans="1:12">
      <c r="A846" s="96">
        <v>44509</v>
      </c>
      <c r="B846" s="101">
        <v>61.65</v>
      </c>
      <c r="C846" s="1">
        <f t="shared" si="26"/>
        <v>-3.238869228143692E-3</v>
      </c>
      <c r="D846" s="1">
        <f>IFERROR(Comp3[[#This Row],[Comparable '#3 Return]]+1,"-")</f>
        <v>0.99676113077185635</v>
      </c>
      <c r="E846" s="6">
        <f>B846-MAX($B$2:B846)</f>
        <v>-126.38999999999999</v>
      </c>
      <c r="F846" s="80">
        <f t="shared" si="27"/>
        <v>584</v>
      </c>
      <c r="G846" s="6">
        <f>IFERROR(Comp3[[#This Row],[Comparable '#3 Drawdown]]/MAX($B$2:B846),"-")</f>
        <v>-0.67214422463305679</v>
      </c>
      <c r="H846" s="1" t="str">
        <f>IF(SUM(COUNTIF(Benchmark1[Benchmark '#1 Dates],Comp3[[#This Row],[Comparable '#3 Dates]]),COUNTIF(Benchmark2[Benchmark '#2 Dates],Comp3[[#This Row],[Comparable '#3 Dates]]))=2,"Pass","Fail")</f>
        <v>Pass</v>
      </c>
      <c r="I846" s="1">
        <f>IFERROR(Comp3[[#This Row],[Comparable '#3 Return]]-INDEX(Benchmark1[Benchmark '#1 Return],MATCH(Comp3[[#This Row],[Comparable '#3 Dates]],Benchmark1[Benchmark '#1 Dates],0)),"-")</f>
        <v>2.6618346790771227E-4</v>
      </c>
      <c r="L846" s="72">
        <f>Comp3[[#This Row],[Comparable '#3 Price]]/$B$2*100</f>
        <v>52.597901202969034</v>
      </c>
    </row>
    <row r="847" spans="1:12">
      <c r="A847" s="96">
        <v>44510</v>
      </c>
      <c r="B847" s="101">
        <v>60.9</v>
      </c>
      <c r="C847" s="1">
        <f t="shared" si="26"/>
        <v>-1.224005489450195E-2</v>
      </c>
      <c r="D847" s="1">
        <f>IFERROR(Comp3[[#This Row],[Comparable '#3 Return]]+1,"-")</f>
        <v>0.98775994510549803</v>
      </c>
      <c r="E847" s="6">
        <f>B847-MAX($B$2:B847)</f>
        <v>-127.13999999999999</v>
      </c>
      <c r="F847" s="80">
        <f t="shared" si="27"/>
        <v>585</v>
      </c>
      <c r="G847" s="6">
        <f>IFERROR(Comp3[[#This Row],[Comparable '#3 Drawdown]]/MAX($B$2:B847),"-")</f>
        <v>-0.67613273771537963</v>
      </c>
      <c r="H847" s="1" t="str">
        <f>IF(SUM(COUNTIF(Benchmark1[Benchmark '#1 Dates],Comp3[[#This Row],[Comparable '#3 Dates]]),COUNTIF(Benchmark2[Benchmark '#2 Dates],Comp3[[#This Row],[Comparable '#3 Dates]]))=2,"Pass","Fail")</f>
        <v>Pass</v>
      </c>
      <c r="I847" s="1">
        <f>IFERROR(Comp3[[#This Row],[Comparable '#3 Return]]-INDEX(Benchmark1[Benchmark '#1 Return],MATCH(Comp3[[#This Row],[Comparable '#3 Dates]],Benchmark1[Benchmark '#1 Dates],0)),"-")</f>
        <v>-3.9794678926848587E-3</v>
      </c>
      <c r="L847" s="72">
        <f>Comp3[[#This Row],[Comparable '#3 Price]]/$B$2*100</f>
        <v>51.958024059380605</v>
      </c>
    </row>
    <row r="848" spans="1:12">
      <c r="A848" s="96">
        <v>44511</v>
      </c>
      <c r="B848" s="101">
        <v>60.38</v>
      </c>
      <c r="C848" s="1">
        <f t="shared" si="26"/>
        <v>-8.5752504371584964E-3</v>
      </c>
      <c r="D848" s="1">
        <f>IFERROR(Comp3[[#This Row],[Comparable '#3 Return]]+1,"-")</f>
        <v>0.99142474956284155</v>
      </c>
      <c r="E848" s="6">
        <f>B848-MAX($B$2:B848)</f>
        <v>-127.66</v>
      </c>
      <c r="F848" s="80">
        <f t="shared" si="27"/>
        <v>586</v>
      </c>
      <c r="G848" s="6">
        <f>IFERROR(Comp3[[#This Row],[Comparable '#3 Drawdown]]/MAX($B$2:B848),"-")</f>
        <v>-0.67889810678579032</v>
      </c>
      <c r="H848" s="1" t="str">
        <f>IF(SUM(COUNTIF(Benchmark1[Benchmark '#1 Dates],Comp3[[#This Row],[Comparable '#3 Dates]]),COUNTIF(Benchmark2[Benchmark '#2 Dates],Comp3[[#This Row],[Comparable '#3 Dates]]))=2,"Pass","Fail")</f>
        <v>Pass</v>
      </c>
      <c r="I848" s="1">
        <f>IFERROR(Comp3[[#This Row],[Comparable '#3 Return]]-INDEX(Benchmark1[Benchmark '#1 Return],MATCH(Comp3[[#This Row],[Comparable '#3 Dates]],Benchmark1[Benchmark '#1 Dates],0)),"-")</f>
        <v>-9.1263567426201446E-3</v>
      </c>
      <c r="L848" s="72">
        <f>Comp3[[#This Row],[Comparable '#3 Price]]/$B$2*100</f>
        <v>51.514375906492624</v>
      </c>
    </row>
    <row r="849" spans="1:12">
      <c r="A849" s="96">
        <v>44512</v>
      </c>
      <c r="B849" s="101">
        <v>61.3</v>
      </c>
      <c r="C849" s="1">
        <f t="shared" si="26"/>
        <v>1.5121918663472818E-2</v>
      </c>
      <c r="D849" s="1">
        <f>IFERROR(Comp3[[#This Row],[Comparable '#3 Return]]+1,"-")</f>
        <v>1.0151219186634728</v>
      </c>
      <c r="E849" s="6">
        <f>B849-MAX($B$2:B849)</f>
        <v>-126.74</v>
      </c>
      <c r="F849" s="80">
        <f t="shared" si="27"/>
        <v>587</v>
      </c>
      <c r="G849" s="6">
        <f>IFERROR(Comp3[[#This Row],[Comparable '#3 Drawdown]]/MAX($B$2:B849),"-")</f>
        <v>-0.67400553073814085</v>
      </c>
      <c r="H849" s="1" t="str">
        <f>IF(SUM(COUNTIF(Benchmark1[Benchmark '#1 Dates],Comp3[[#This Row],[Comparable '#3 Dates]]),COUNTIF(Benchmark2[Benchmark '#2 Dates],Comp3[[#This Row],[Comparable '#3 Dates]]))=2,"Pass","Fail")</f>
        <v>Pass</v>
      </c>
      <c r="I849" s="1">
        <f>IFERROR(Comp3[[#This Row],[Comparable '#3 Return]]-INDEX(Benchmark1[Benchmark '#1 Return],MATCH(Comp3[[#This Row],[Comparable '#3 Dates]],Benchmark1[Benchmark '#1 Dates],0)),"-")</f>
        <v>7.9256224604234028E-3</v>
      </c>
      <c r="L849" s="72">
        <f>Comp3[[#This Row],[Comparable '#3 Price]]/$B$2*100</f>
        <v>52.299291869294429</v>
      </c>
    </row>
    <row r="850" spans="1:12">
      <c r="A850" s="96">
        <v>44515</v>
      </c>
      <c r="B850" s="101">
        <v>60.53</v>
      </c>
      <c r="C850" s="1">
        <f t="shared" si="26"/>
        <v>-1.2640733038569834E-2</v>
      </c>
      <c r="D850" s="1">
        <f>IFERROR(Comp3[[#This Row],[Comparable '#3 Return]]+1,"-")</f>
        <v>0.98735926696143017</v>
      </c>
      <c r="E850" s="6">
        <f>B850-MAX($B$2:B850)</f>
        <v>-127.50999999999999</v>
      </c>
      <c r="F850" s="80">
        <f t="shared" si="27"/>
        <v>588</v>
      </c>
      <c r="G850" s="6">
        <f>IFERROR(Comp3[[#This Row],[Comparable '#3 Drawdown]]/MAX($B$2:B850),"-")</f>
        <v>-0.67810040416932571</v>
      </c>
      <c r="H850" s="1" t="str">
        <f>IF(SUM(COUNTIF(Benchmark1[Benchmark '#1 Dates],Comp3[[#This Row],[Comparable '#3 Dates]]),COUNTIF(Benchmark2[Benchmark '#2 Dates],Comp3[[#This Row],[Comparable '#3 Dates]]))=2,"Pass","Fail")</f>
        <v>Pass</v>
      </c>
      <c r="I850" s="1">
        <f>IFERROR(Comp3[[#This Row],[Comparable '#3 Return]]-INDEX(Benchmark1[Benchmark '#1 Return],MATCH(Comp3[[#This Row],[Comparable '#3 Dates]],Benchmark1[Benchmark '#1 Dates],0)),"-")</f>
        <v>-1.263136855611743E-2</v>
      </c>
      <c r="L850" s="72">
        <f>Comp3[[#This Row],[Comparable '#3 Price]]/$B$2*100</f>
        <v>51.642351335210314</v>
      </c>
    </row>
    <row r="851" spans="1:12">
      <c r="A851" s="96">
        <v>44516</v>
      </c>
      <c r="B851" s="101">
        <v>60.56</v>
      </c>
      <c r="C851" s="1">
        <f t="shared" si="26"/>
        <v>4.9549922559756542E-4</v>
      </c>
      <c r="D851" s="1">
        <f>IFERROR(Comp3[[#This Row],[Comparable '#3 Return]]+1,"-")</f>
        <v>1.0004954992255977</v>
      </c>
      <c r="E851" s="6">
        <f>B851-MAX($B$2:B851)</f>
        <v>-127.47999999999999</v>
      </c>
      <c r="F851" s="80">
        <f t="shared" si="27"/>
        <v>589</v>
      </c>
      <c r="G851" s="6">
        <f>IFERROR(Comp3[[#This Row],[Comparable '#3 Drawdown]]/MAX($B$2:B851),"-")</f>
        <v>-0.67794086364603279</v>
      </c>
      <c r="H851" s="1" t="str">
        <f>IF(SUM(COUNTIF(Benchmark1[Benchmark '#1 Dates],Comp3[[#This Row],[Comparable '#3 Dates]]),COUNTIF(Benchmark2[Benchmark '#2 Dates],Comp3[[#This Row],[Comparable '#3 Dates]]))=2,"Pass","Fail")</f>
        <v>Pass</v>
      </c>
      <c r="I851" s="1">
        <f>IFERROR(Comp3[[#This Row],[Comparable '#3 Return]]-INDEX(Benchmark1[Benchmark '#1 Return],MATCH(Comp3[[#This Row],[Comparable '#3 Dates]],Benchmark1[Benchmark '#1 Dates],0)),"-")</f>
        <v>-3.36089152273115E-3</v>
      </c>
      <c r="L851" s="72">
        <f>Comp3[[#This Row],[Comparable '#3 Price]]/$B$2*100</f>
        <v>51.667946420953847</v>
      </c>
    </row>
    <row r="852" spans="1:12">
      <c r="A852" s="96">
        <v>44517</v>
      </c>
      <c r="B852" s="101">
        <v>59.24</v>
      </c>
      <c r="C852" s="1">
        <f t="shared" si="26"/>
        <v>-2.2037619729595344E-2</v>
      </c>
      <c r="D852" s="1">
        <f>IFERROR(Comp3[[#This Row],[Comparable '#3 Return]]+1,"-")</f>
        <v>0.97796238027040461</v>
      </c>
      <c r="E852" s="6">
        <f>B852-MAX($B$2:B852)</f>
        <v>-128.79999999999998</v>
      </c>
      <c r="F852" s="80">
        <f t="shared" si="27"/>
        <v>590</v>
      </c>
      <c r="G852" s="6">
        <f>IFERROR(Comp3[[#This Row],[Comparable '#3 Drawdown]]/MAX($B$2:B852),"-")</f>
        <v>-0.68496064667092105</v>
      </c>
      <c r="H852" s="1" t="str">
        <f>IF(SUM(COUNTIF(Benchmark1[Benchmark '#1 Dates],Comp3[[#This Row],[Comparable '#3 Dates]]),COUNTIF(Benchmark2[Benchmark '#2 Dates],Comp3[[#This Row],[Comparable '#3 Dates]]))=2,"Pass","Fail")</f>
        <v>Pass</v>
      </c>
      <c r="I852" s="1">
        <f>IFERROR(Comp3[[#This Row],[Comparable '#3 Return]]-INDEX(Benchmark1[Benchmark '#1 Return],MATCH(Comp3[[#This Row],[Comparable '#3 Dates]],Benchmark1[Benchmark '#1 Dates],0)),"-")</f>
        <v>-1.943336009918125E-2</v>
      </c>
      <c r="L852" s="72">
        <f>Comp3[[#This Row],[Comparable '#3 Price]]/$B$2*100</f>
        <v>50.541762648238212</v>
      </c>
    </row>
    <row r="853" spans="1:12">
      <c r="A853" s="96">
        <v>44518</v>
      </c>
      <c r="B853" s="101">
        <v>57.8</v>
      </c>
      <c r="C853" s="1">
        <f t="shared" si="26"/>
        <v>-2.4608213721266342E-2</v>
      </c>
      <c r="D853" s="1">
        <f>IFERROR(Comp3[[#This Row],[Comparable '#3 Return]]+1,"-")</f>
        <v>0.97539178627873369</v>
      </c>
      <c r="E853" s="6">
        <f>B853-MAX($B$2:B853)</f>
        <v>-130.24</v>
      </c>
      <c r="F853" s="80">
        <f t="shared" si="27"/>
        <v>591</v>
      </c>
      <c r="G853" s="6">
        <f>IFERROR(Comp3[[#This Row],[Comparable '#3 Drawdown]]/MAX($B$2:B853),"-")</f>
        <v>-0.69261859178898111</v>
      </c>
      <c r="H853" s="1" t="str">
        <f>IF(SUM(COUNTIF(Benchmark1[Benchmark '#1 Dates],Comp3[[#This Row],[Comparable '#3 Dates]]),COUNTIF(Benchmark2[Benchmark '#2 Dates],Comp3[[#This Row],[Comparable '#3 Dates]]))=2,"Pass","Fail")</f>
        <v>Pass</v>
      </c>
      <c r="I853" s="1">
        <f>IFERROR(Comp3[[#This Row],[Comparable '#3 Return]]-INDEX(Benchmark1[Benchmark '#1 Return],MATCH(Comp3[[#This Row],[Comparable '#3 Dates]],Benchmark1[Benchmark '#1 Dates],0)),"-")</f>
        <v>-2.7987517140912927E-2</v>
      </c>
      <c r="L853" s="72">
        <f>Comp3[[#This Row],[Comparable '#3 Price]]/$B$2*100</f>
        <v>49.313198532548419</v>
      </c>
    </row>
    <row r="854" spans="1:12">
      <c r="A854" s="96">
        <v>44519</v>
      </c>
      <c r="B854" s="101">
        <v>57.65</v>
      </c>
      <c r="C854" s="1">
        <f t="shared" si="26"/>
        <v>-2.5985289632637376E-3</v>
      </c>
      <c r="D854" s="1">
        <f>IFERROR(Comp3[[#This Row],[Comparable '#3 Return]]+1,"-")</f>
        <v>0.99740147103673626</v>
      </c>
      <c r="E854" s="6">
        <f>B854-MAX($B$2:B854)</f>
        <v>-130.38999999999999</v>
      </c>
      <c r="F854" s="80">
        <f t="shared" si="27"/>
        <v>592</v>
      </c>
      <c r="G854" s="6">
        <f>IFERROR(Comp3[[#This Row],[Comparable '#3 Drawdown]]/MAX($B$2:B854),"-")</f>
        <v>-0.69341629440544561</v>
      </c>
      <c r="H854" s="1" t="str">
        <f>IF(SUM(COUNTIF(Benchmark1[Benchmark '#1 Dates],Comp3[[#This Row],[Comparable '#3 Dates]]),COUNTIF(Benchmark2[Benchmark '#2 Dates],Comp3[[#This Row],[Comparable '#3 Dates]]))=2,"Pass","Fail")</f>
        <v>Pass</v>
      </c>
      <c r="I854" s="1">
        <f>IFERROR(Comp3[[#This Row],[Comparable '#3 Return]]-INDEX(Benchmark1[Benchmark '#1 Return],MATCH(Comp3[[#This Row],[Comparable '#3 Dates]],Benchmark1[Benchmark '#1 Dates],0)),"-")</f>
        <v>-1.197446355637856E-3</v>
      </c>
      <c r="L854" s="72">
        <f>Comp3[[#This Row],[Comparable '#3 Price]]/$B$2*100</f>
        <v>49.185223103830737</v>
      </c>
    </row>
    <row r="855" spans="1:12">
      <c r="A855" s="96">
        <v>44522</v>
      </c>
      <c r="B855" s="101">
        <v>59.39</v>
      </c>
      <c r="C855" s="1">
        <f t="shared" si="26"/>
        <v>2.9735615312700938E-2</v>
      </c>
      <c r="D855" s="1">
        <f>IFERROR(Comp3[[#This Row],[Comparable '#3 Return]]+1,"-")</f>
        <v>1.0297356153127009</v>
      </c>
      <c r="E855" s="6">
        <f>B855-MAX($B$2:B855)</f>
        <v>-128.64999999999998</v>
      </c>
      <c r="F855" s="80">
        <f t="shared" si="27"/>
        <v>593</v>
      </c>
      <c r="G855" s="6">
        <f>IFERROR(Comp3[[#This Row],[Comparable '#3 Drawdown]]/MAX($B$2:B855),"-")</f>
        <v>-0.68416294405445643</v>
      </c>
      <c r="H855" s="1" t="str">
        <f>IF(SUM(COUNTIF(Benchmark1[Benchmark '#1 Dates],Comp3[[#This Row],[Comparable '#3 Dates]]),COUNTIF(Benchmark2[Benchmark '#2 Dates],Comp3[[#This Row],[Comparable '#3 Dates]]))=2,"Pass","Fail")</f>
        <v>Pass</v>
      </c>
      <c r="I855" s="1">
        <f>IFERROR(Comp3[[#This Row],[Comparable '#3 Return]]-INDEX(Benchmark1[Benchmark '#1 Return],MATCH(Comp3[[#This Row],[Comparable '#3 Dates]],Benchmark1[Benchmark '#1 Dates],0)),"-")</f>
        <v>3.2935984657925146E-2</v>
      </c>
      <c r="L855" s="72">
        <f>Comp3[[#This Row],[Comparable '#3 Price]]/$B$2*100</f>
        <v>50.669738076955895</v>
      </c>
    </row>
    <row r="856" spans="1:12">
      <c r="A856" s="96">
        <v>44523</v>
      </c>
      <c r="B856" s="101">
        <v>59.05</v>
      </c>
      <c r="C856" s="1">
        <f t="shared" si="26"/>
        <v>-5.7413193843975372E-3</v>
      </c>
      <c r="D856" s="1">
        <f>IFERROR(Comp3[[#This Row],[Comparable '#3 Return]]+1,"-")</f>
        <v>0.99425868061560241</v>
      </c>
      <c r="E856" s="6">
        <f>B856-MAX($B$2:B856)</f>
        <v>-128.99</v>
      </c>
      <c r="F856" s="80">
        <f t="shared" si="27"/>
        <v>594</v>
      </c>
      <c r="G856" s="6">
        <f>IFERROR(Comp3[[#This Row],[Comparable '#3 Drawdown]]/MAX($B$2:B856),"-")</f>
        <v>-0.68597106998510959</v>
      </c>
      <c r="H856" s="1" t="str">
        <f>IF(SUM(COUNTIF(Benchmark1[Benchmark '#1 Dates],Comp3[[#This Row],[Comparable '#3 Dates]]),COUNTIF(Benchmark2[Benchmark '#2 Dates],Comp3[[#This Row],[Comparable '#3 Dates]]))=2,"Pass","Fail")</f>
        <v>Pass</v>
      </c>
      <c r="I856" s="1">
        <f>IFERROR(Comp3[[#This Row],[Comparable '#3 Return]]-INDEX(Benchmark1[Benchmark '#1 Return],MATCH(Comp3[[#This Row],[Comparable '#3 Dates]],Benchmark1[Benchmark '#1 Dates],0)),"-")</f>
        <v>-7.3957679872860976E-3</v>
      </c>
      <c r="L856" s="72">
        <f>Comp3[[#This Row],[Comparable '#3 Price]]/$B$2*100</f>
        <v>50.379660438529136</v>
      </c>
    </row>
    <row r="857" spans="1:12">
      <c r="A857" s="96">
        <v>44524</v>
      </c>
      <c r="B857" s="101">
        <v>59.61</v>
      </c>
      <c r="C857" s="1">
        <f t="shared" si="26"/>
        <v>9.4388025884639248E-3</v>
      </c>
      <c r="D857" s="1">
        <f>IFERROR(Comp3[[#This Row],[Comparable '#3 Return]]+1,"-")</f>
        <v>1.009438802588464</v>
      </c>
      <c r="E857" s="6">
        <f>B857-MAX($B$2:B857)</f>
        <v>-128.43</v>
      </c>
      <c r="F857" s="80">
        <f t="shared" si="27"/>
        <v>595</v>
      </c>
      <c r="G857" s="6">
        <f>IFERROR(Comp3[[#This Row],[Comparable '#3 Drawdown]]/MAX($B$2:B857),"-")</f>
        <v>-0.68299298021697519</v>
      </c>
      <c r="H857" s="1" t="str">
        <f>IF(SUM(COUNTIF(Benchmark1[Benchmark '#1 Dates],Comp3[[#This Row],[Comparable '#3 Dates]]),COUNTIF(Benchmark2[Benchmark '#2 Dates],Comp3[[#This Row],[Comparable '#3 Dates]]))=2,"Pass","Fail")</f>
        <v>Pass</v>
      </c>
      <c r="I857" s="1">
        <f>IFERROR(Comp3[[#This Row],[Comparable '#3 Return]]-INDEX(Benchmark1[Benchmark '#1 Return],MATCH(Comp3[[#This Row],[Comparable '#3 Dates]],Benchmark1[Benchmark '#1 Dates],0)),"-")</f>
        <v>7.1460808276718277E-3</v>
      </c>
      <c r="L857" s="72">
        <f>Comp3[[#This Row],[Comparable '#3 Price]]/$B$2*100</f>
        <v>50.857435372408503</v>
      </c>
    </row>
    <row r="858" spans="1:12">
      <c r="A858" s="96">
        <v>44526</v>
      </c>
      <c r="B858" s="101">
        <v>57.76</v>
      </c>
      <c r="C858" s="1">
        <f t="shared" si="26"/>
        <v>-3.1526850647264397E-2</v>
      </c>
      <c r="D858" s="1">
        <f>IFERROR(Comp3[[#This Row],[Comparable '#3 Return]]+1,"-")</f>
        <v>0.96847314935273565</v>
      </c>
      <c r="E858" s="6">
        <f>B858-MAX($B$2:B858)</f>
        <v>-130.28</v>
      </c>
      <c r="F858" s="80">
        <f t="shared" si="27"/>
        <v>596</v>
      </c>
      <c r="G858" s="6">
        <f>IFERROR(Comp3[[#This Row],[Comparable '#3 Drawdown]]/MAX($B$2:B858),"-")</f>
        <v>-0.69283131248670504</v>
      </c>
      <c r="H858" s="1" t="str">
        <f>IF(SUM(COUNTIF(Benchmark1[Benchmark '#1 Dates],Comp3[[#This Row],[Comparable '#3 Dates]]),COUNTIF(Benchmark2[Benchmark '#2 Dates],Comp3[[#This Row],[Comparable '#3 Dates]]))=2,"Pass","Fail")</f>
        <v>Pass</v>
      </c>
      <c r="I858" s="1">
        <f>IFERROR(Comp3[[#This Row],[Comparable '#3 Return]]-INDEX(Benchmark1[Benchmark '#1 Return],MATCH(Comp3[[#This Row],[Comparable '#3 Dates]],Benchmark1[Benchmark '#1 Dates],0)),"-")</f>
        <v>-8.5383982352809119E-3</v>
      </c>
      <c r="L858" s="72">
        <f>Comp3[[#This Row],[Comparable '#3 Price]]/$B$2*100</f>
        <v>49.279071751557034</v>
      </c>
    </row>
    <row r="859" spans="1:12">
      <c r="A859" s="96">
        <v>44529</v>
      </c>
      <c r="B859" s="101">
        <v>55.58</v>
      </c>
      <c r="C859" s="1">
        <f t="shared" si="26"/>
        <v>-3.8473070270213072E-2</v>
      </c>
      <c r="D859" s="1">
        <f>IFERROR(Comp3[[#This Row],[Comparable '#3 Return]]+1,"-")</f>
        <v>0.96152692972978693</v>
      </c>
      <c r="E859" s="6">
        <f>B859-MAX($B$2:B859)</f>
        <v>-132.45999999999998</v>
      </c>
      <c r="F859" s="80">
        <f t="shared" si="27"/>
        <v>597</v>
      </c>
      <c r="G859" s="6">
        <f>IFERROR(Comp3[[#This Row],[Comparable '#3 Drawdown]]/MAX($B$2:B859),"-")</f>
        <v>-0.70442459051265682</v>
      </c>
      <c r="H859" s="1" t="str">
        <f>IF(SUM(COUNTIF(Benchmark1[Benchmark '#1 Dates],Comp3[[#This Row],[Comparable '#3 Dates]]),COUNTIF(Benchmark2[Benchmark '#2 Dates],Comp3[[#This Row],[Comparable '#3 Dates]]))=2,"Pass","Fail")</f>
        <v>Pass</v>
      </c>
      <c r="I859" s="1">
        <f>IFERROR(Comp3[[#This Row],[Comparable '#3 Return]]-INDEX(Benchmark1[Benchmark '#1 Return],MATCH(Comp3[[#This Row],[Comparable '#3 Dates]],Benchmark1[Benchmark '#1 Dates],0)),"-")</f>
        <v>-5.1587343206660502E-2</v>
      </c>
      <c r="L859" s="72">
        <f>Comp3[[#This Row],[Comparable '#3 Price]]/$B$2*100</f>
        <v>47.419162187526666</v>
      </c>
    </row>
    <row r="860" spans="1:12">
      <c r="A860" s="96">
        <v>44530</v>
      </c>
      <c r="B860" s="101">
        <v>53.5</v>
      </c>
      <c r="C860" s="1">
        <f t="shared" si="26"/>
        <v>-3.814177041239681E-2</v>
      </c>
      <c r="D860" s="1">
        <f>IFERROR(Comp3[[#This Row],[Comparable '#3 Return]]+1,"-")</f>
        <v>0.96185822958760314</v>
      </c>
      <c r="E860" s="6">
        <f>B860-MAX($B$2:B860)</f>
        <v>-134.54</v>
      </c>
      <c r="F860" s="80">
        <f t="shared" si="27"/>
        <v>598</v>
      </c>
      <c r="G860" s="6">
        <f>IFERROR(Comp3[[#This Row],[Comparable '#3 Drawdown]]/MAX($B$2:B860),"-")</f>
        <v>-0.71548606679429905</v>
      </c>
      <c r="H860" s="1" t="str">
        <f>IF(SUM(COUNTIF(Benchmark1[Benchmark '#1 Dates],Comp3[[#This Row],[Comparable '#3 Dates]]),COUNTIF(Benchmark2[Benchmark '#2 Dates],Comp3[[#This Row],[Comparable '#3 Dates]]))=2,"Pass","Fail")</f>
        <v>Pass</v>
      </c>
      <c r="I860" s="1">
        <f>IFERROR(Comp3[[#This Row],[Comparable '#3 Return]]-INDEX(Benchmark1[Benchmark '#1 Return],MATCH(Comp3[[#This Row],[Comparable '#3 Dates]],Benchmark1[Benchmark '#1 Dates],0)),"-")</f>
        <v>-1.8998679899631749E-2</v>
      </c>
      <c r="L860" s="72">
        <f>Comp3[[#This Row],[Comparable '#3 Price]]/$B$2*100</f>
        <v>45.644569575974749</v>
      </c>
    </row>
    <row r="861" spans="1:12">
      <c r="A861" s="96">
        <v>44531</v>
      </c>
      <c r="B861" s="101">
        <v>52.85</v>
      </c>
      <c r="C861" s="1">
        <f t="shared" si="26"/>
        <v>-1.2223941585714146E-2</v>
      </c>
      <c r="D861" s="1">
        <f>IFERROR(Comp3[[#This Row],[Comparable '#3 Return]]+1,"-")</f>
        <v>0.98777605841428584</v>
      </c>
      <c r="E861" s="6">
        <f>B861-MAX($B$2:B861)</f>
        <v>-135.19</v>
      </c>
      <c r="F861" s="80">
        <f t="shared" si="27"/>
        <v>599</v>
      </c>
      <c r="G861" s="6">
        <f>IFERROR(Comp3[[#This Row],[Comparable '#3 Drawdown]]/MAX($B$2:B861),"-")</f>
        <v>-0.71894277813231233</v>
      </c>
      <c r="H861" s="1" t="str">
        <f>IF(SUM(COUNTIF(Benchmark1[Benchmark '#1 Dates],Comp3[[#This Row],[Comparable '#3 Dates]]),COUNTIF(Benchmark2[Benchmark '#2 Dates],Comp3[[#This Row],[Comparable '#3 Dates]]))=2,"Pass","Fail")</f>
        <v>Pass</v>
      </c>
      <c r="I861" s="1">
        <f>IFERROR(Comp3[[#This Row],[Comparable '#3 Return]]-INDEX(Benchmark1[Benchmark '#1 Return],MATCH(Comp3[[#This Row],[Comparable '#3 Dates]],Benchmark1[Benchmark '#1 Dates],0)),"-")</f>
        <v>-3.3721244924476458E-4</v>
      </c>
      <c r="L861" s="72">
        <f>Comp3[[#This Row],[Comparable '#3 Price]]/$B$2*100</f>
        <v>45.090009384864778</v>
      </c>
    </row>
    <row r="862" spans="1:12">
      <c r="A862" s="96">
        <v>44532</v>
      </c>
      <c r="B862" s="101">
        <v>54</v>
      </c>
      <c r="C862" s="1">
        <f t="shared" si="26"/>
        <v>2.152633424802779E-2</v>
      </c>
      <c r="D862" s="1">
        <f>IFERROR(Comp3[[#This Row],[Comparable '#3 Return]]+1,"-")</f>
        <v>1.0215263342480279</v>
      </c>
      <c r="E862" s="6">
        <f>B862-MAX($B$2:B862)</f>
        <v>-134.04</v>
      </c>
      <c r="F862" s="80">
        <f t="shared" si="27"/>
        <v>600</v>
      </c>
      <c r="G862" s="6">
        <f>IFERROR(Comp3[[#This Row],[Comparable '#3 Drawdown]]/MAX($B$2:B862),"-")</f>
        <v>-0.71282705807275049</v>
      </c>
      <c r="H862" s="1" t="str">
        <f>IF(SUM(COUNTIF(Benchmark1[Benchmark '#1 Dates],Comp3[[#This Row],[Comparable '#3 Dates]]),COUNTIF(Benchmark2[Benchmark '#2 Dates],Comp3[[#This Row],[Comparable '#3 Dates]]))=2,"Pass","Fail")</f>
        <v>Pass</v>
      </c>
      <c r="I862" s="1">
        <f>IFERROR(Comp3[[#This Row],[Comparable '#3 Return]]-INDEX(Benchmark1[Benchmark '#1 Return],MATCH(Comp3[[#This Row],[Comparable '#3 Dates]],Benchmark1[Benchmark '#1 Dates],0)),"-")</f>
        <v>7.4307403907815251E-3</v>
      </c>
      <c r="L862" s="72">
        <f>Comp3[[#This Row],[Comparable '#3 Price]]/$B$2*100</f>
        <v>46.071154338367037</v>
      </c>
    </row>
    <row r="863" spans="1:12">
      <c r="A863" s="96">
        <v>44533</v>
      </c>
      <c r="B863" s="101">
        <v>53.9</v>
      </c>
      <c r="C863" s="1">
        <f t="shared" si="26"/>
        <v>-1.8535686493229438E-3</v>
      </c>
      <c r="D863" s="1">
        <f>IFERROR(Comp3[[#This Row],[Comparable '#3 Return]]+1,"-")</f>
        <v>0.99814643135067704</v>
      </c>
      <c r="E863" s="6">
        <f>B863-MAX($B$2:B863)</f>
        <v>-134.13999999999999</v>
      </c>
      <c r="F863" s="80">
        <f t="shared" si="27"/>
        <v>601</v>
      </c>
      <c r="G863" s="6">
        <f>IFERROR(Comp3[[#This Row],[Comparable '#3 Drawdown]]/MAX($B$2:B863),"-")</f>
        <v>-0.71335885981706015</v>
      </c>
      <c r="H863" s="1" t="str">
        <f>IF(SUM(COUNTIF(Benchmark1[Benchmark '#1 Dates],Comp3[[#This Row],[Comparable '#3 Dates]]),COUNTIF(Benchmark2[Benchmark '#2 Dates],Comp3[[#This Row],[Comparable '#3 Dates]]))=2,"Pass","Fail")</f>
        <v>Pass</v>
      </c>
      <c r="I863" s="1">
        <f>IFERROR(Comp3[[#This Row],[Comparable '#3 Return]]-INDEX(Benchmark1[Benchmark '#1 Return],MATCH(Comp3[[#This Row],[Comparable '#3 Dates]],Benchmark1[Benchmark '#1 Dates],0)),"-")</f>
        <v>6.6314905792916046E-3</v>
      </c>
      <c r="L863" s="72">
        <f>Comp3[[#This Row],[Comparable '#3 Price]]/$B$2*100</f>
        <v>45.98583738588858</v>
      </c>
    </row>
    <row r="864" spans="1:12">
      <c r="A864" s="96">
        <v>44536</v>
      </c>
      <c r="B864" s="101">
        <v>55</v>
      </c>
      <c r="C864" s="1">
        <f t="shared" si="26"/>
        <v>2.0202707317519469E-2</v>
      </c>
      <c r="D864" s="1">
        <f>IFERROR(Comp3[[#This Row],[Comparable '#3 Return]]+1,"-")</f>
        <v>1.0202027073175195</v>
      </c>
      <c r="E864" s="6">
        <f>B864-MAX($B$2:B864)</f>
        <v>-133.04</v>
      </c>
      <c r="F864" s="80">
        <f t="shared" si="27"/>
        <v>602</v>
      </c>
      <c r="G864" s="6">
        <f>IFERROR(Comp3[[#This Row],[Comparable '#3 Drawdown]]/MAX($B$2:B864),"-")</f>
        <v>-0.70750904062965325</v>
      </c>
      <c r="H864" s="1" t="str">
        <f>IF(SUM(COUNTIF(Benchmark1[Benchmark '#1 Dates],Comp3[[#This Row],[Comparable '#3 Dates]]),COUNTIF(Benchmark2[Benchmark '#2 Dates],Comp3[[#This Row],[Comparable '#3 Dates]]))=2,"Pass","Fail")</f>
        <v>Pass</v>
      </c>
      <c r="I864" s="1">
        <f>IFERROR(Comp3[[#This Row],[Comparable '#3 Return]]-INDEX(Benchmark1[Benchmark '#1 Return],MATCH(Comp3[[#This Row],[Comparable '#3 Dates]],Benchmark1[Benchmark '#1 Dates],0)),"-")</f>
        <v>8.5391908856091939E-3</v>
      </c>
      <c r="L864" s="72">
        <f>Comp3[[#This Row],[Comparable '#3 Price]]/$B$2*100</f>
        <v>46.924323863151614</v>
      </c>
    </row>
    <row r="865" spans="1:12">
      <c r="A865" s="96">
        <v>44537</v>
      </c>
      <c r="B865" s="101">
        <v>54.35</v>
      </c>
      <c r="C865" s="1">
        <f t="shared" si="26"/>
        <v>-1.1888571665252489E-2</v>
      </c>
      <c r="D865" s="1">
        <f>IFERROR(Comp3[[#This Row],[Comparable '#3 Return]]+1,"-")</f>
        <v>0.98811142833474752</v>
      </c>
      <c r="E865" s="6">
        <f>B865-MAX($B$2:B865)</f>
        <v>-133.69</v>
      </c>
      <c r="F865" s="80">
        <f t="shared" si="27"/>
        <v>603</v>
      </c>
      <c r="G865" s="6">
        <f>IFERROR(Comp3[[#This Row],[Comparable '#3 Drawdown]]/MAX($B$2:B865),"-")</f>
        <v>-0.71096575196766643</v>
      </c>
      <c r="H865" s="1" t="str">
        <f>IF(SUM(COUNTIF(Benchmark1[Benchmark '#1 Dates],Comp3[[#This Row],[Comparable '#3 Dates]]),COUNTIF(Benchmark2[Benchmark '#2 Dates],Comp3[[#This Row],[Comparable '#3 Dates]]))=2,"Pass","Fail")</f>
        <v>Pass</v>
      </c>
      <c r="I865" s="1">
        <f>IFERROR(Comp3[[#This Row],[Comparable '#3 Return]]-INDEX(Benchmark1[Benchmark '#1 Return],MATCH(Comp3[[#This Row],[Comparable '#3 Dates]],Benchmark1[Benchmark '#1 Dates],0)),"-")</f>
        <v>-3.2382798399404569E-2</v>
      </c>
      <c r="L865" s="72">
        <f>Comp3[[#This Row],[Comparable '#3 Price]]/$B$2*100</f>
        <v>46.369763672041636</v>
      </c>
    </row>
    <row r="866" spans="1:12">
      <c r="A866" s="96">
        <v>44538</v>
      </c>
      <c r="B866" s="101">
        <v>56</v>
      </c>
      <c r="C866" s="1">
        <f t="shared" si="26"/>
        <v>2.9907077167930809E-2</v>
      </c>
      <c r="D866" s="1">
        <f>IFERROR(Comp3[[#This Row],[Comparable '#3 Return]]+1,"-")</f>
        <v>1.0299070771679308</v>
      </c>
      <c r="E866" s="6">
        <f>B866-MAX($B$2:B866)</f>
        <v>-132.04</v>
      </c>
      <c r="F866" s="80">
        <f t="shared" si="27"/>
        <v>604</v>
      </c>
      <c r="G866" s="6">
        <f>IFERROR(Comp3[[#This Row],[Comparable '#3 Drawdown]]/MAX($B$2:B866),"-")</f>
        <v>-0.70219102318655602</v>
      </c>
      <c r="H866" s="1" t="str">
        <f>IF(SUM(COUNTIF(Benchmark1[Benchmark '#1 Dates],Comp3[[#This Row],[Comparable '#3 Dates]]),COUNTIF(Benchmark2[Benchmark '#2 Dates],Comp3[[#This Row],[Comparable '#3 Dates]]))=2,"Pass","Fail")</f>
        <v>Pass</v>
      </c>
      <c r="I866" s="1">
        <f>IFERROR(Comp3[[#This Row],[Comparable '#3 Return]]-INDEX(Benchmark1[Benchmark '#1 Return],MATCH(Comp3[[#This Row],[Comparable '#3 Dates]],Benchmark1[Benchmark '#1 Dates],0)),"-")</f>
        <v>2.6826019085502806E-2</v>
      </c>
      <c r="L866" s="72">
        <f>Comp3[[#This Row],[Comparable '#3 Price]]/$B$2*100</f>
        <v>47.77749338793619</v>
      </c>
    </row>
    <row r="867" spans="1:12">
      <c r="A867" s="96">
        <v>44539</v>
      </c>
      <c r="B867" s="101">
        <v>54.99</v>
      </c>
      <c r="C867" s="1">
        <f t="shared" si="26"/>
        <v>-1.8200340215425877E-2</v>
      </c>
      <c r="D867" s="1">
        <f>IFERROR(Comp3[[#This Row],[Comparable '#3 Return]]+1,"-")</f>
        <v>0.98179965978457417</v>
      </c>
      <c r="E867" s="6">
        <f>B867-MAX($B$2:B867)</f>
        <v>-133.04999999999998</v>
      </c>
      <c r="F867" s="80">
        <f t="shared" si="27"/>
        <v>605</v>
      </c>
      <c r="G867" s="6">
        <f>IFERROR(Comp3[[#This Row],[Comparable '#3 Drawdown]]/MAX($B$2:B867),"-")</f>
        <v>-0.70756222080408415</v>
      </c>
      <c r="H867" s="1" t="str">
        <f>IF(SUM(COUNTIF(Benchmark1[Benchmark '#1 Dates],Comp3[[#This Row],[Comparable '#3 Dates]]),COUNTIF(Benchmark2[Benchmark '#2 Dates],Comp3[[#This Row],[Comparable '#3 Dates]]))=2,"Pass","Fail")</f>
        <v>Pass</v>
      </c>
      <c r="I867" s="1">
        <f>IFERROR(Comp3[[#This Row],[Comparable '#3 Return]]-INDEX(Benchmark1[Benchmark '#1 Return],MATCH(Comp3[[#This Row],[Comparable '#3 Dates]],Benchmark1[Benchmark '#1 Dates],0)),"-")</f>
        <v>-1.0994603122759766E-2</v>
      </c>
      <c r="L867" s="72">
        <f>Comp3[[#This Row],[Comparable '#3 Price]]/$B$2*100</f>
        <v>46.915792167903767</v>
      </c>
    </row>
    <row r="868" spans="1:12">
      <c r="A868" s="96">
        <v>44540</v>
      </c>
      <c r="B868" s="101">
        <v>55.35</v>
      </c>
      <c r="C868" s="1">
        <f t="shared" si="26"/>
        <v>6.525308634922641E-3</v>
      </c>
      <c r="D868" s="1">
        <f>IFERROR(Comp3[[#This Row],[Comparable '#3 Return]]+1,"-")</f>
        <v>1.0065253086349226</v>
      </c>
      <c r="E868" s="6">
        <f>B868-MAX($B$2:B868)</f>
        <v>-132.69</v>
      </c>
      <c r="F868" s="80">
        <f t="shared" si="27"/>
        <v>606</v>
      </c>
      <c r="G868" s="6">
        <f>IFERROR(Comp3[[#This Row],[Comparable '#3 Drawdown]]/MAX($B$2:B868),"-")</f>
        <v>-0.7056477345245693</v>
      </c>
      <c r="H868" s="1" t="str">
        <f>IF(SUM(COUNTIF(Benchmark1[Benchmark '#1 Dates],Comp3[[#This Row],[Comparable '#3 Dates]]),COUNTIF(Benchmark2[Benchmark '#2 Dates],Comp3[[#This Row],[Comparable '#3 Dates]]))=2,"Pass","Fail")</f>
        <v>Pass</v>
      </c>
      <c r="I868" s="1">
        <f>IFERROR(Comp3[[#This Row],[Comparable '#3 Return]]-INDEX(Benchmark1[Benchmark '#1 Return],MATCH(Comp3[[#This Row],[Comparable '#3 Dates]],Benchmark1[Benchmark '#1 Dates],0)),"-")</f>
        <v>-2.978528992305338E-3</v>
      </c>
      <c r="L868" s="72">
        <f>Comp3[[#This Row],[Comparable '#3 Price]]/$B$2*100</f>
        <v>47.222933196826212</v>
      </c>
    </row>
    <row r="869" spans="1:12">
      <c r="A869" s="96">
        <v>44543</v>
      </c>
      <c r="B869" s="101">
        <v>55.63</v>
      </c>
      <c r="C869" s="1">
        <f t="shared" si="26"/>
        <v>5.0459649325559726E-3</v>
      </c>
      <c r="D869" s="1">
        <f>IFERROR(Comp3[[#This Row],[Comparable '#3 Return]]+1,"-")</f>
        <v>1.005045964932556</v>
      </c>
      <c r="E869" s="6">
        <f>B869-MAX($B$2:B869)</f>
        <v>-132.41</v>
      </c>
      <c r="F869" s="80">
        <f t="shared" si="27"/>
        <v>607</v>
      </c>
      <c r="G869" s="6">
        <f>IFERROR(Comp3[[#This Row],[Comparable '#3 Drawdown]]/MAX($B$2:B869),"-")</f>
        <v>-0.70415868964050199</v>
      </c>
      <c r="H869" s="1" t="str">
        <f>IF(SUM(COUNTIF(Benchmark1[Benchmark '#1 Dates],Comp3[[#This Row],[Comparable '#3 Dates]]),COUNTIF(Benchmark2[Benchmark '#2 Dates],Comp3[[#This Row],[Comparable '#3 Dates]]))=2,"Pass","Fail")</f>
        <v>Pass</v>
      </c>
      <c r="I869" s="1">
        <f>IFERROR(Comp3[[#This Row],[Comparable '#3 Return]]-INDEX(Benchmark1[Benchmark '#1 Return],MATCH(Comp3[[#This Row],[Comparable '#3 Dates]],Benchmark1[Benchmark '#1 Dates],0)),"-")</f>
        <v>1.4224596128720905E-2</v>
      </c>
      <c r="L869" s="72">
        <f>Comp3[[#This Row],[Comparable '#3 Price]]/$B$2*100</f>
        <v>47.461820663765899</v>
      </c>
    </row>
    <row r="870" spans="1:12">
      <c r="A870" s="96">
        <v>44544</v>
      </c>
      <c r="B870" s="101">
        <v>56.2</v>
      </c>
      <c r="C870" s="1">
        <f t="shared" si="26"/>
        <v>1.0194132812443576E-2</v>
      </c>
      <c r="D870" s="1">
        <f>IFERROR(Comp3[[#This Row],[Comparable '#3 Return]]+1,"-")</f>
        <v>1.0101941328124435</v>
      </c>
      <c r="E870" s="6">
        <f>B870-MAX($B$2:B870)</f>
        <v>-131.83999999999997</v>
      </c>
      <c r="F870" s="80">
        <f t="shared" si="27"/>
        <v>608</v>
      </c>
      <c r="G870" s="6">
        <f>IFERROR(Comp3[[#This Row],[Comparable '#3 Drawdown]]/MAX($B$2:B870),"-")</f>
        <v>-0.70112741969793646</v>
      </c>
      <c r="H870" s="1" t="str">
        <f>IF(SUM(COUNTIF(Benchmark1[Benchmark '#1 Dates],Comp3[[#This Row],[Comparable '#3 Dates]]),COUNTIF(Benchmark2[Benchmark '#2 Dates],Comp3[[#This Row],[Comparable '#3 Dates]]))=2,"Pass","Fail")</f>
        <v>Pass</v>
      </c>
      <c r="I870" s="1">
        <f>IFERROR(Comp3[[#This Row],[Comparable '#3 Return]]-INDEX(Benchmark1[Benchmark '#1 Return],MATCH(Comp3[[#This Row],[Comparable '#3 Dates]],Benchmark1[Benchmark '#1 Dates],0)),"-")</f>
        <v>1.7693737361736937E-2</v>
      </c>
      <c r="L870" s="72">
        <f>Comp3[[#This Row],[Comparable '#3 Price]]/$B$2*100</f>
        <v>47.948127292893098</v>
      </c>
    </row>
    <row r="871" spans="1:12">
      <c r="A871" s="96">
        <v>44545</v>
      </c>
      <c r="B871" s="101">
        <v>57.33</v>
      </c>
      <c r="C871" s="1">
        <f t="shared" si="26"/>
        <v>1.9907290020645802E-2</v>
      </c>
      <c r="D871" s="1">
        <f>IFERROR(Comp3[[#This Row],[Comparable '#3 Return]]+1,"-")</f>
        <v>1.0199072900206458</v>
      </c>
      <c r="E871" s="6">
        <f>B871-MAX($B$2:B871)</f>
        <v>-130.70999999999998</v>
      </c>
      <c r="F871" s="80">
        <f t="shared" si="27"/>
        <v>609</v>
      </c>
      <c r="G871" s="6">
        <f>IFERROR(Comp3[[#This Row],[Comparable '#3 Drawdown]]/MAX($B$2:B871),"-")</f>
        <v>-0.69511805998723664</v>
      </c>
      <c r="H871" s="1" t="str">
        <f>IF(SUM(COUNTIF(Benchmark1[Benchmark '#1 Dates],Comp3[[#This Row],[Comparable '#3 Dates]]),COUNTIF(Benchmark2[Benchmark '#2 Dates],Comp3[[#This Row],[Comparable '#3 Dates]]))=2,"Pass","Fail")</f>
        <v>Pass</v>
      </c>
      <c r="I871" s="1">
        <f>IFERROR(Comp3[[#This Row],[Comparable '#3 Return]]-INDEX(Benchmark1[Benchmark '#1 Return],MATCH(Comp3[[#This Row],[Comparable '#3 Dates]],Benchmark1[Benchmark '#1 Dates],0)),"-")</f>
        <v>3.6897333027016178E-3</v>
      </c>
      <c r="L871" s="72">
        <f>Comp3[[#This Row],[Comparable '#3 Price]]/$B$2*100</f>
        <v>48.912208855899671</v>
      </c>
    </row>
    <row r="872" spans="1:12">
      <c r="A872" s="96">
        <v>44546</v>
      </c>
      <c r="B872" s="101">
        <v>57.03</v>
      </c>
      <c r="C872" s="1">
        <f t="shared" si="26"/>
        <v>-5.2466017518438737E-3</v>
      </c>
      <c r="D872" s="1">
        <f>IFERROR(Comp3[[#This Row],[Comparable '#3 Return]]+1,"-")</f>
        <v>0.99475339824815612</v>
      </c>
      <c r="E872" s="6">
        <f>B872-MAX($B$2:B872)</f>
        <v>-131.01</v>
      </c>
      <c r="F872" s="80">
        <f t="shared" si="27"/>
        <v>610</v>
      </c>
      <c r="G872" s="6">
        <f>IFERROR(Comp3[[#This Row],[Comparable '#3 Drawdown]]/MAX($B$2:B872),"-")</f>
        <v>-0.69671346522016586</v>
      </c>
      <c r="H872" s="1" t="str">
        <f>IF(SUM(COUNTIF(Benchmark1[Benchmark '#1 Dates],Comp3[[#This Row],[Comparable '#3 Dates]]),COUNTIF(Benchmark2[Benchmark '#2 Dates],Comp3[[#This Row],[Comparable '#3 Dates]]))=2,"Pass","Fail")</f>
        <v>Pass</v>
      </c>
      <c r="I872" s="1">
        <f>IFERROR(Comp3[[#This Row],[Comparable '#3 Return]]-INDEX(Benchmark1[Benchmark '#1 Return],MATCH(Comp3[[#This Row],[Comparable '#3 Dates]],Benchmark1[Benchmark '#1 Dates],0)),"-")</f>
        <v>3.5357967995391561E-3</v>
      </c>
      <c r="L872" s="72">
        <f>Comp3[[#This Row],[Comparable '#3 Price]]/$B$2*100</f>
        <v>48.656257998464298</v>
      </c>
    </row>
    <row r="873" spans="1:12">
      <c r="A873" s="96">
        <v>44547</v>
      </c>
      <c r="B873" s="101">
        <v>58.3</v>
      </c>
      <c r="C873" s="1">
        <f t="shared" si="26"/>
        <v>2.2024648187999121E-2</v>
      </c>
      <c r="D873" s="1">
        <f>IFERROR(Comp3[[#This Row],[Comparable '#3 Return]]+1,"-")</f>
        <v>1.0220246481879991</v>
      </c>
      <c r="E873" s="6">
        <f>B873-MAX($B$2:B873)</f>
        <v>-129.74</v>
      </c>
      <c r="F873" s="80">
        <f t="shared" si="27"/>
        <v>611</v>
      </c>
      <c r="G873" s="6">
        <f>IFERROR(Comp3[[#This Row],[Comparable '#3 Drawdown]]/MAX($B$2:B873),"-")</f>
        <v>-0.68995958306743255</v>
      </c>
      <c r="H873" s="1" t="str">
        <f>IF(SUM(COUNTIF(Benchmark1[Benchmark '#1 Dates],Comp3[[#This Row],[Comparable '#3 Dates]]),COUNTIF(Benchmark2[Benchmark '#2 Dates],Comp3[[#This Row],[Comparable '#3 Dates]]))=2,"Pass","Fail")</f>
        <v>Pass</v>
      </c>
      <c r="I873" s="1">
        <f>IFERROR(Comp3[[#This Row],[Comparable '#3 Return]]-INDEX(Benchmark1[Benchmark '#1 Return],MATCH(Comp3[[#This Row],[Comparable '#3 Dates]],Benchmark1[Benchmark '#1 Dates],0)),"-")</f>
        <v>3.2366135192161527E-2</v>
      </c>
      <c r="L873" s="72">
        <f>Comp3[[#This Row],[Comparable '#3 Price]]/$B$2*100</f>
        <v>49.7397832949407</v>
      </c>
    </row>
    <row r="874" spans="1:12">
      <c r="A874" s="96">
        <v>44550</v>
      </c>
      <c r="B874" s="101">
        <v>57</v>
      </c>
      <c r="C874" s="1">
        <f t="shared" si="26"/>
        <v>-2.2550825521896484E-2</v>
      </c>
      <c r="D874" s="1">
        <f>IFERROR(Comp3[[#This Row],[Comparable '#3 Return]]+1,"-")</f>
        <v>0.97744917447810353</v>
      </c>
      <c r="E874" s="6">
        <f>B874-MAX($B$2:B874)</f>
        <v>-131.04</v>
      </c>
      <c r="F874" s="80">
        <f t="shared" si="27"/>
        <v>612</v>
      </c>
      <c r="G874" s="6">
        <f>IFERROR(Comp3[[#This Row],[Comparable '#3 Drawdown]]/MAX($B$2:B874),"-")</f>
        <v>-0.69687300574345878</v>
      </c>
      <c r="H874" s="1" t="str">
        <f>IF(SUM(COUNTIF(Benchmark1[Benchmark '#1 Dates],Comp3[[#This Row],[Comparable '#3 Dates]]),COUNTIF(Benchmark2[Benchmark '#2 Dates],Comp3[[#This Row],[Comparable '#3 Dates]]))=2,"Pass","Fail")</f>
        <v>Pass</v>
      </c>
      <c r="I874" s="1">
        <f>IFERROR(Comp3[[#This Row],[Comparable '#3 Return]]-INDEX(Benchmark1[Benchmark '#1 Return],MATCH(Comp3[[#This Row],[Comparable '#3 Dates]],Benchmark1[Benchmark '#1 Dates],0)),"-")</f>
        <v>-1.1097068552990374E-2</v>
      </c>
      <c r="L874" s="72">
        <f>Comp3[[#This Row],[Comparable '#3 Price]]/$B$2*100</f>
        <v>48.630662912720766</v>
      </c>
    </row>
    <row r="875" spans="1:12">
      <c r="A875" s="96">
        <v>44551</v>
      </c>
      <c r="B875" s="101">
        <v>58.76</v>
      </c>
      <c r="C875" s="1">
        <f t="shared" si="26"/>
        <v>3.0410083471126326E-2</v>
      </c>
      <c r="D875" s="1">
        <f>IFERROR(Comp3[[#This Row],[Comparable '#3 Return]]+1,"-")</f>
        <v>1.0304100834711263</v>
      </c>
      <c r="E875" s="6">
        <f>B875-MAX($B$2:B875)</f>
        <v>-129.28</v>
      </c>
      <c r="F875" s="80">
        <f t="shared" si="27"/>
        <v>613</v>
      </c>
      <c r="G875" s="6">
        <f>IFERROR(Comp3[[#This Row],[Comparable '#3 Drawdown]]/MAX($B$2:B875),"-")</f>
        <v>-0.68751329504360781</v>
      </c>
      <c r="H875" s="1" t="str">
        <f>IF(SUM(COUNTIF(Benchmark1[Benchmark '#1 Dates],Comp3[[#This Row],[Comparable '#3 Dates]]),COUNTIF(Benchmark2[Benchmark '#2 Dates],Comp3[[#This Row],[Comparable '#3 Dates]]))=2,"Pass","Fail")</f>
        <v>Pass</v>
      </c>
      <c r="I875" s="1">
        <f>IFERROR(Comp3[[#This Row],[Comparable '#3 Return]]-INDEX(Benchmark1[Benchmark '#1 Return],MATCH(Comp3[[#This Row],[Comparable '#3 Dates]],Benchmark1[Benchmark '#1 Dates],0)),"-")</f>
        <v>1.2788438470942669E-2</v>
      </c>
      <c r="L875" s="72">
        <f>Comp3[[#This Row],[Comparable '#3 Price]]/$B$2*100</f>
        <v>50.132241276341603</v>
      </c>
    </row>
    <row r="876" spans="1:12">
      <c r="A876" s="96">
        <v>44552</v>
      </c>
      <c r="B876" s="101">
        <v>58.37</v>
      </c>
      <c r="C876" s="1">
        <f t="shared" si="26"/>
        <v>-6.6592920899768487E-3</v>
      </c>
      <c r="D876" s="1">
        <f>IFERROR(Comp3[[#This Row],[Comparable '#3 Return]]+1,"-")</f>
        <v>0.99334070791002316</v>
      </c>
      <c r="E876" s="6">
        <f>B876-MAX($B$2:B876)</f>
        <v>-129.66999999999999</v>
      </c>
      <c r="F876" s="80">
        <f t="shared" si="27"/>
        <v>614</v>
      </c>
      <c r="G876" s="6">
        <f>IFERROR(Comp3[[#This Row],[Comparable '#3 Drawdown]]/MAX($B$2:B876),"-")</f>
        <v>-0.68958732184641558</v>
      </c>
      <c r="H876" s="1" t="str">
        <f>IF(SUM(COUNTIF(Benchmark1[Benchmark '#1 Dates],Comp3[[#This Row],[Comparable '#3 Dates]]),COUNTIF(Benchmark2[Benchmark '#2 Dates],Comp3[[#This Row],[Comparable '#3 Dates]]))=2,"Pass","Fail")</f>
        <v>Pass</v>
      </c>
      <c r="I876" s="1">
        <f>IFERROR(Comp3[[#This Row],[Comparable '#3 Return]]-INDEX(Benchmark1[Benchmark '#1 Return],MATCH(Comp3[[#This Row],[Comparable '#3 Dates]],Benchmark1[Benchmark '#1 Dates],0)),"-")</f>
        <v>-1.6789060484488565E-2</v>
      </c>
      <c r="L876" s="72">
        <f>Comp3[[#This Row],[Comparable '#3 Price]]/$B$2*100</f>
        <v>49.799505161675626</v>
      </c>
    </row>
    <row r="877" spans="1:12">
      <c r="A877" s="96">
        <v>44553</v>
      </c>
      <c r="B877" s="101">
        <v>58.56</v>
      </c>
      <c r="C877" s="1">
        <f t="shared" si="26"/>
        <v>3.2498104373566384E-3</v>
      </c>
      <c r="D877" s="1">
        <f>IFERROR(Comp3[[#This Row],[Comparable '#3 Return]]+1,"-")</f>
        <v>1.0032498104373566</v>
      </c>
      <c r="E877" s="6">
        <f>B877-MAX($B$2:B877)</f>
        <v>-129.47999999999999</v>
      </c>
      <c r="F877" s="80">
        <f t="shared" si="27"/>
        <v>615</v>
      </c>
      <c r="G877" s="6">
        <f>IFERROR(Comp3[[#This Row],[Comparable '#3 Drawdown]]/MAX($B$2:B877),"-")</f>
        <v>-0.68857689853222714</v>
      </c>
      <c r="H877" s="1" t="str">
        <f>IF(SUM(COUNTIF(Benchmark1[Benchmark '#1 Dates],Comp3[[#This Row],[Comparable '#3 Dates]]),COUNTIF(Benchmark2[Benchmark '#2 Dates],Comp3[[#This Row],[Comparable '#3 Dates]]))=2,"Pass","Fail")</f>
        <v>Pass</v>
      </c>
      <c r="I877" s="1">
        <f>IFERROR(Comp3[[#This Row],[Comparable '#3 Return]]-INDEX(Benchmark1[Benchmark '#1 Return],MATCH(Comp3[[#This Row],[Comparable '#3 Dates]],Benchmark1[Benchmark '#1 Dates],0)),"-")</f>
        <v>-2.953899905100723E-3</v>
      </c>
      <c r="L877" s="72">
        <f>Comp3[[#This Row],[Comparable '#3 Price]]/$B$2*100</f>
        <v>49.961607371384694</v>
      </c>
    </row>
    <row r="878" spans="1:12">
      <c r="A878" s="96">
        <v>44557</v>
      </c>
      <c r="B878" s="101">
        <v>58.15</v>
      </c>
      <c r="C878" s="1">
        <f t="shared" si="26"/>
        <v>-7.0259906883827303E-3</v>
      </c>
      <c r="D878" s="1">
        <f>IFERROR(Comp3[[#This Row],[Comparable '#3 Return]]+1,"-")</f>
        <v>0.99297400931161728</v>
      </c>
      <c r="E878" s="6">
        <f>B878-MAX($B$2:B878)</f>
        <v>-129.88999999999999</v>
      </c>
      <c r="F878" s="80">
        <f t="shared" si="27"/>
        <v>616</v>
      </c>
      <c r="G878" s="6">
        <f>IFERROR(Comp3[[#This Row],[Comparable '#3 Drawdown]]/MAX($B$2:B878),"-")</f>
        <v>-0.69075728568389705</v>
      </c>
      <c r="H878" s="1" t="str">
        <f>IF(SUM(COUNTIF(Benchmark1[Benchmark '#1 Dates],Comp3[[#This Row],[Comparable '#3 Dates]]),COUNTIF(Benchmark2[Benchmark '#2 Dates],Comp3[[#This Row],[Comparable '#3 Dates]]))=2,"Pass","Fail")</f>
        <v>Pass</v>
      </c>
      <c r="I878" s="1">
        <f>IFERROR(Comp3[[#This Row],[Comparable '#3 Return]]-INDEX(Benchmark1[Benchmark '#1 Return],MATCH(Comp3[[#This Row],[Comparable '#3 Dates]],Benchmark1[Benchmark '#1 Dates],0)),"-")</f>
        <v>-2.0770842698688206E-2</v>
      </c>
      <c r="L878" s="72">
        <f>Comp3[[#This Row],[Comparable '#3 Price]]/$B$2*100</f>
        <v>49.611807866223018</v>
      </c>
    </row>
    <row r="879" spans="1:12">
      <c r="A879" s="96">
        <v>44558</v>
      </c>
      <c r="B879" s="101">
        <v>58.13</v>
      </c>
      <c r="C879" s="1">
        <f t="shared" si="26"/>
        <v>-3.4399725141416419E-4</v>
      </c>
      <c r="D879" s="1">
        <f>IFERROR(Comp3[[#This Row],[Comparable '#3 Return]]+1,"-")</f>
        <v>0.99965600274858579</v>
      </c>
      <c r="E879" s="6">
        <f>B879-MAX($B$2:B879)</f>
        <v>-129.91</v>
      </c>
      <c r="F879" s="80">
        <f t="shared" si="27"/>
        <v>617</v>
      </c>
      <c r="G879" s="6">
        <f>IFERROR(Comp3[[#This Row],[Comparable '#3 Drawdown]]/MAX($B$2:B879),"-")</f>
        <v>-0.69086364603275896</v>
      </c>
      <c r="H879" s="1" t="str">
        <f>IF(SUM(COUNTIF(Benchmark1[Benchmark '#1 Dates],Comp3[[#This Row],[Comparable '#3 Dates]]),COUNTIF(Benchmark2[Benchmark '#2 Dates],Comp3[[#This Row],[Comparable '#3 Dates]]))=2,"Pass","Fail")</f>
        <v>Pass</v>
      </c>
      <c r="I879" s="1">
        <f>IFERROR(Comp3[[#This Row],[Comparable '#3 Return]]-INDEX(Benchmark1[Benchmark '#1 Return],MATCH(Comp3[[#This Row],[Comparable '#3 Dates]],Benchmark1[Benchmark '#1 Dates],0)),"-")</f>
        <v>6.6624859007131032E-4</v>
      </c>
      <c r="L879" s="72">
        <f>Comp3[[#This Row],[Comparable '#3 Price]]/$B$2*100</f>
        <v>49.594744475727332</v>
      </c>
    </row>
    <row r="880" spans="1:12">
      <c r="A880" s="96">
        <v>44559</v>
      </c>
      <c r="B880" s="101">
        <v>57.83</v>
      </c>
      <c r="C880" s="1">
        <f t="shared" si="26"/>
        <v>-5.1742095431323906E-3</v>
      </c>
      <c r="D880" s="1">
        <f>IFERROR(Comp3[[#This Row],[Comparable '#3 Return]]+1,"-")</f>
        <v>0.99482579045686759</v>
      </c>
      <c r="E880" s="6">
        <f>B880-MAX($B$2:B880)</f>
        <v>-130.20999999999998</v>
      </c>
      <c r="F880" s="80">
        <f t="shared" si="27"/>
        <v>618</v>
      </c>
      <c r="G880" s="6">
        <f>IFERROR(Comp3[[#This Row],[Comparable '#3 Drawdown]]/MAX($B$2:B880),"-")</f>
        <v>-0.69245905126568807</v>
      </c>
      <c r="H880" s="1" t="str">
        <f>IF(SUM(COUNTIF(Benchmark1[Benchmark '#1 Dates],Comp3[[#This Row],[Comparable '#3 Dates]]),COUNTIF(Benchmark2[Benchmark '#2 Dates],Comp3[[#This Row],[Comparable '#3 Dates]]))=2,"Pass","Fail")</f>
        <v>Pass</v>
      </c>
      <c r="I880" s="1">
        <f>IFERROR(Comp3[[#This Row],[Comparable '#3 Return]]-INDEX(Benchmark1[Benchmark '#1 Return],MATCH(Comp3[[#This Row],[Comparable '#3 Dates]],Benchmark1[Benchmark '#1 Dates],0)),"-")</f>
        <v>-6.5738789818399175E-3</v>
      </c>
      <c r="L880" s="72">
        <f>Comp3[[#This Row],[Comparable '#3 Price]]/$B$2*100</f>
        <v>49.338793618291952</v>
      </c>
    </row>
    <row r="881" spans="1:12">
      <c r="A881" s="96">
        <v>44560</v>
      </c>
      <c r="B881" s="101">
        <v>58.32</v>
      </c>
      <c r="C881" s="1">
        <f t="shared" si="26"/>
        <v>8.437415530275787E-3</v>
      </c>
      <c r="D881" s="1">
        <f>IFERROR(Comp3[[#This Row],[Comparable '#3 Return]]+1,"-")</f>
        <v>1.0084374155302758</v>
      </c>
      <c r="E881" s="6">
        <f>B881-MAX($B$2:B881)</f>
        <v>-129.72</v>
      </c>
      <c r="F881" s="80">
        <f t="shared" si="27"/>
        <v>619</v>
      </c>
      <c r="G881" s="6">
        <f>IFERROR(Comp3[[#This Row],[Comparable '#3 Drawdown]]/MAX($B$2:B881),"-")</f>
        <v>-0.68985322271857052</v>
      </c>
      <c r="H881" s="1" t="str">
        <f>IF(SUM(COUNTIF(Benchmark1[Benchmark '#1 Dates],Comp3[[#This Row],[Comparable '#3 Dates]]),COUNTIF(Benchmark2[Benchmark '#2 Dates],Comp3[[#This Row],[Comparable '#3 Dates]]))=2,"Pass","Fail")</f>
        <v>Pass</v>
      </c>
      <c r="I881" s="1">
        <f>IFERROR(Comp3[[#This Row],[Comparable '#3 Return]]-INDEX(Benchmark1[Benchmark '#1 Return],MATCH(Comp3[[#This Row],[Comparable '#3 Dates]],Benchmark1[Benchmark '#1 Dates],0)),"-")</f>
        <v>1.1431888482270924E-2</v>
      </c>
      <c r="L881" s="72">
        <f>Comp3[[#This Row],[Comparable '#3 Price]]/$B$2*100</f>
        <v>49.7568466854364</v>
      </c>
    </row>
    <row r="882" spans="1:12">
      <c r="A882" s="96">
        <v>44561</v>
      </c>
      <c r="B882" s="101">
        <v>57.84</v>
      </c>
      <c r="C882" s="1">
        <f t="shared" si="26"/>
        <v>-8.2645098498934245E-3</v>
      </c>
      <c r="D882" s="1">
        <f>IFERROR(Comp3[[#This Row],[Comparable '#3 Return]]+1,"-")</f>
        <v>0.99173549015010654</v>
      </c>
      <c r="E882" s="6">
        <f>B882-MAX($B$2:B882)</f>
        <v>-130.19999999999999</v>
      </c>
      <c r="F882" s="80">
        <f t="shared" si="27"/>
        <v>620</v>
      </c>
      <c r="G882" s="6">
        <f>IFERROR(Comp3[[#This Row],[Comparable '#3 Drawdown]]/MAX($B$2:B882),"-")</f>
        <v>-0.69240587109125717</v>
      </c>
      <c r="H882" s="1" t="str">
        <f>IF(SUM(COUNTIF(Benchmark1[Benchmark '#1 Dates],Comp3[[#This Row],[Comparable '#3 Dates]]),COUNTIF(Benchmark2[Benchmark '#2 Dates],Comp3[[#This Row],[Comparable '#3 Dates]]))=2,"Pass","Fail")</f>
        <v>Pass</v>
      </c>
      <c r="I882" s="1">
        <f>IFERROR(Comp3[[#This Row],[Comparable '#3 Return]]-INDEX(Benchmark1[Benchmark '#1 Return],MATCH(Comp3[[#This Row],[Comparable '#3 Dates]],Benchmark1[Benchmark '#1 Dates],0)),"-")</f>
        <v>-5.6361055328663159E-3</v>
      </c>
      <c r="L882" s="72">
        <f>Comp3[[#This Row],[Comparable '#3 Price]]/$B$2*100</f>
        <v>49.347325313539805</v>
      </c>
    </row>
    <row r="883" spans="1:12">
      <c r="A883" s="96">
        <v>44564</v>
      </c>
      <c r="B883" s="101">
        <v>58.63</v>
      </c>
      <c r="C883" s="1">
        <f t="shared" si="26"/>
        <v>1.356593312561442E-2</v>
      </c>
      <c r="D883" s="1">
        <f>IFERROR(Comp3[[#This Row],[Comparable '#3 Return]]+1,"-")</f>
        <v>1.0135659331256144</v>
      </c>
      <c r="E883" s="6">
        <f>B883-MAX($B$2:B883)</f>
        <v>-129.41</v>
      </c>
      <c r="F883" s="80">
        <f t="shared" si="27"/>
        <v>621</v>
      </c>
      <c r="G883" s="6">
        <f>IFERROR(Comp3[[#This Row],[Comparable '#3 Drawdown]]/MAX($B$2:B883),"-")</f>
        <v>-0.6882046373112104</v>
      </c>
      <c r="H883" s="1" t="str">
        <f>IF(SUM(COUNTIF(Benchmark1[Benchmark '#1 Dates],Comp3[[#This Row],[Comparable '#3 Dates]]),COUNTIF(Benchmark2[Benchmark '#2 Dates],Comp3[[#This Row],[Comparable '#3 Dates]]))=2,"Pass","Fail")</f>
        <v>Pass</v>
      </c>
      <c r="I883" s="1">
        <f>IFERROR(Comp3[[#This Row],[Comparable '#3 Return]]-INDEX(Benchmark1[Benchmark '#1 Return],MATCH(Comp3[[#This Row],[Comparable '#3 Dates]],Benchmark1[Benchmark '#1 Dates],0)),"-")</f>
        <v>7.2124477740200792E-3</v>
      </c>
      <c r="L883" s="72">
        <f>Comp3[[#This Row],[Comparable '#3 Price]]/$B$2*100</f>
        <v>50.02132923811962</v>
      </c>
    </row>
    <row r="884" spans="1:12">
      <c r="A884" s="96">
        <v>44565</v>
      </c>
      <c r="B884" s="101">
        <v>59.89</v>
      </c>
      <c r="C884" s="1">
        <f t="shared" si="26"/>
        <v>2.1263035300247278E-2</v>
      </c>
      <c r="D884" s="1">
        <f>IFERROR(Comp3[[#This Row],[Comparable '#3 Return]]+1,"-")</f>
        <v>1.0212630353002472</v>
      </c>
      <c r="E884" s="6">
        <f>B884-MAX($B$2:B884)</f>
        <v>-128.14999999999998</v>
      </c>
      <c r="F884" s="80">
        <f t="shared" si="27"/>
        <v>622</v>
      </c>
      <c r="G884" s="6">
        <f>IFERROR(Comp3[[#This Row],[Comparable '#3 Drawdown]]/MAX($B$2:B884),"-")</f>
        <v>-0.68150393533290776</v>
      </c>
      <c r="H884" s="1" t="str">
        <f>IF(SUM(COUNTIF(Benchmark1[Benchmark '#1 Dates],Comp3[[#This Row],[Comparable '#3 Dates]]),COUNTIF(Benchmark2[Benchmark '#2 Dates],Comp3[[#This Row],[Comparable '#3 Dates]]))=2,"Pass","Fail")</f>
        <v>Pass</v>
      </c>
      <c r="I884" s="1">
        <f>IFERROR(Comp3[[#This Row],[Comparable '#3 Return]]-INDEX(Benchmark1[Benchmark '#1 Return],MATCH(Comp3[[#This Row],[Comparable '#3 Dates]],Benchmark1[Benchmark '#1 Dates],0)),"-")</f>
        <v>2.1893691012337096E-2</v>
      </c>
      <c r="L884" s="72">
        <f>Comp3[[#This Row],[Comparable '#3 Price]]/$B$2*100</f>
        <v>51.096322839348183</v>
      </c>
    </row>
    <row r="885" spans="1:12">
      <c r="A885" s="96">
        <v>44566</v>
      </c>
      <c r="B885" s="101">
        <v>58.18</v>
      </c>
      <c r="C885" s="1">
        <f t="shared" si="26"/>
        <v>-2.8967893209315431E-2</v>
      </c>
      <c r="D885" s="1">
        <f>IFERROR(Comp3[[#This Row],[Comparable '#3 Return]]+1,"-")</f>
        <v>0.97103210679068452</v>
      </c>
      <c r="E885" s="6">
        <f>B885-MAX($B$2:B885)</f>
        <v>-129.85999999999999</v>
      </c>
      <c r="F885" s="80">
        <f t="shared" si="27"/>
        <v>623</v>
      </c>
      <c r="G885" s="6">
        <f>IFERROR(Comp3[[#This Row],[Comparable '#3 Drawdown]]/MAX($B$2:B885),"-")</f>
        <v>-0.69059774516060413</v>
      </c>
      <c r="H885" s="1" t="str">
        <f>IF(SUM(COUNTIF(Benchmark1[Benchmark '#1 Dates],Comp3[[#This Row],[Comparable '#3 Dates]]),COUNTIF(Benchmark2[Benchmark '#2 Dates],Comp3[[#This Row],[Comparable '#3 Dates]]))=2,"Pass","Fail")</f>
        <v>Pass</v>
      </c>
      <c r="I885" s="1">
        <f>IFERROR(Comp3[[#This Row],[Comparable '#3 Return]]-INDEX(Benchmark1[Benchmark '#1 Return],MATCH(Comp3[[#This Row],[Comparable '#3 Dates]],Benchmark1[Benchmark '#1 Dates],0)),"-")</f>
        <v>-9.384852698313819E-3</v>
      </c>
      <c r="L885" s="72">
        <f>Comp3[[#This Row],[Comparable '#3 Price]]/$B$2*100</f>
        <v>49.637402951966557</v>
      </c>
    </row>
    <row r="886" spans="1:12">
      <c r="A886" s="96">
        <v>44567</v>
      </c>
      <c r="B886" s="101">
        <v>58.43</v>
      </c>
      <c r="C886" s="1">
        <f t="shared" si="26"/>
        <v>4.2878034992900179E-3</v>
      </c>
      <c r="D886" s="1">
        <f>IFERROR(Comp3[[#This Row],[Comparable '#3 Return]]+1,"-")</f>
        <v>1.0042878034992899</v>
      </c>
      <c r="E886" s="6">
        <f>B886-MAX($B$2:B886)</f>
        <v>-129.60999999999999</v>
      </c>
      <c r="F886" s="80">
        <f t="shared" si="27"/>
        <v>624</v>
      </c>
      <c r="G886" s="6">
        <f>IFERROR(Comp3[[#This Row],[Comparable '#3 Drawdown]]/MAX($B$2:B886),"-")</f>
        <v>-0.68926824079982973</v>
      </c>
      <c r="H886" s="1" t="str">
        <f>IF(SUM(COUNTIF(Benchmark1[Benchmark '#1 Dates],Comp3[[#This Row],[Comparable '#3 Dates]]),COUNTIF(Benchmark2[Benchmark '#2 Dates],Comp3[[#This Row],[Comparable '#3 Dates]]))=2,"Pass","Fail")</f>
        <v>Pass</v>
      </c>
      <c r="I886" s="1">
        <f>IFERROR(Comp3[[#This Row],[Comparable '#3 Return]]-INDEX(Benchmark1[Benchmark '#1 Return],MATCH(Comp3[[#This Row],[Comparable '#3 Dates]],Benchmark1[Benchmark '#1 Dates],0)),"-")</f>
        <v>5.250816774319423E-3</v>
      </c>
      <c r="L886" s="72">
        <f>Comp3[[#This Row],[Comparable '#3 Price]]/$B$2*100</f>
        <v>49.850695333162705</v>
      </c>
    </row>
    <row r="887" spans="1:12">
      <c r="A887" s="96">
        <v>44568</v>
      </c>
      <c r="B887" s="101">
        <v>58.61</v>
      </c>
      <c r="C887" s="1">
        <f t="shared" si="26"/>
        <v>3.0758739219922883E-3</v>
      </c>
      <c r="D887" s="1">
        <f>IFERROR(Comp3[[#This Row],[Comparable '#3 Return]]+1,"-")</f>
        <v>1.0030758739219923</v>
      </c>
      <c r="E887" s="6">
        <f>B887-MAX($B$2:B887)</f>
        <v>-129.43</v>
      </c>
      <c r="F887" s="80">
        <f t="shared" si="27"/>
        <v>625</v>
      </c>
      <c r="G887" s="6">
        <f>IFERROR(Comp3[[#This Row],[Comparable '#3 Drawdown]]/MAX($B$2:B887),"-")</f>
        <v>-0.68831099766007242</v>
      </c>
      <c r="H887" s="1" t="str">
        <f>IF(SUM(COUNTIF(Benchmark1[Benchmark '#1 Dates],Comp3[[#This Row],[Comparable '#3 Dates]]),COUNTIF(Benchmark2[Benchmark '#2 Dates],Comp3[[#This Row],[Comparable '#3 Dates]]))=2,"Pass","Fail")</f>
        <v>Pass</v>
      </c>
      <c r="I887" s="1">
        <f>IFERROR(Comp3[[#This Row],[Comparable '#3 Return]]-INDEX(Benchmark1[Benchmark '#1 Return],MATCH(Comp3[[#This Row],[Comparable '#3 Dates]],Benchmark1[Benchmark '#1 Dates],0)),"-")</f>
        <v>7.1356268332043605E-3</v>
      </c>
      <c r="L887" s="72">
        <f>Comp3[[#This Row],[Comparable '#3 Price]]/$B$2*100</f>
        <v>50.004265847623927</v>
      </c>
    </row>
    <row r="888" spans="1:12">
      <c r="A888" s="96">
        <v>44571</v>
      </c>
      <c r="B888" s="101">
        <v>60.33</v>
      </c>
      <c r="C888" s="1">
        <f t="shared" si="26"/>
        <v>2.8924161964332538E-2</v>
      </c>
      <c r="D888" s="1">
        <f>IFERROR(Comp3[[#This Row],[Comparable '#3 Return]]+1,"-")</f>
        <v>1.0289241619643326</v>
      </c>
      <c r="E888" s="6">
        <f>B888-MAX($B$2:B888)</f>
        <v>-127.71</v>
      </c>
      <c r="F888" s="80">
        <f t="shared" si="27"/>
        <v>626</v>
      </c>
      <c r="G888" s="6">
        <f>IFERROR(Comp3[[#This Row],[Comparable '#3 Drawdown]]/MAX($B$2:B888),"-")</f>
        <v>-0.67916400765794516</v>
      </c>
      <c r="H888" s="1" t="str">
        <f>IF(SUM(COUNTIF(Benchmark1[Benchmark '#1 Dates],Comp3[[#This Row],[Comparable '#3 Dates]]),COUNTIF(Benchmark2[Benchmark '#2 Dates],Comp3[[#This Row],[Comparable '#3 Dates]]))=2,"Pass","Fail")</f>
        <v>Pass</v>
      </c>
      <c r="I888" s="1">
        <f>IFERROR(Comp3[[#This Row],[Comparable '#3 Return]]-INDEX(Benchmark1[Benchmark '#1 Return],MATCH(Comp3[[#This Row],[Comparable '#3 Dates]],Benchmark1[Benchmark '#1 Dates],0)),"-")</f>
        <v>3.0365704714609965E-2</v>
      </c>
      <c r="L888" s="72">
        <f>Comp3[[#This Row],[Comparable '#3 Price]]/$B$2*100</f>
        <v>51.471717430253392</v>
      </c>
    </row>
    <row r="889" spans="1:12">
      <c r="A889" s="96">
        <v>44572</v>
      </c>
      <c r="B889" s="101">
        <v>60.17</v>
      </c>
      <c r="C889" s="1">
        <f t="shared" si="26"/>
        <v>-2.6556032204099029E-3</v>
      </c>
      <c r="D889" s="1">
        <f>IFERROR(Comp3[[#This Row],[Comparable '#3 Return]]+1,"-")</f>
        <v>0.99734439677959008</v>
      </c>
      <c r="E889" s="6">
        <f>B889-MAX($B$2:B889)</f>
        <v>-127.86999999999999</v>
      </c>
      <c r="F889" s="80">
        <f t="shared" si="27"/>
        <v>627</v>
      </c>
      <c r="G889" s="6">
        <f>IFERROR(Comp3[[#This Row],[Comparable '#3 Drawdown]]/MAX($B$2:B889),"-")</f>
        <v>-0.68001489044884067</v>
      </c>
      <c r="H889" s="1" t="str">
        <f>IF(SUM(COUNTIF(Benchmark1[Benchmark '#1 Dates],Comp3[[#This Row],[Comparable '#3 Dates]]),COUNTIF(Benchmark2[Benchmark '#2 Dates],Comp3[[#This Row],[Comparable '#3 Dates]]))=2,"Pass","Fail")</f>
        <v>Pass</v>
      </c>
      <c r="I889" s="1">
        <f>IFERROR(Comp3[[#This Row],[Comparable '#3 Return]]-INDEX(Benchmark1[Benchmark '#1 Return],MATCH(Comp3[[#This Row],[Comparable '#3 Dates]],Benchmark1[Benchmark '#1 Dates],0)),"-")</f>
        <v>-1.1773286047923028E-2</v>
      </c>
      <c r="L889" s="72">
        <f>Comp3[[#This Row],[Comparable '#3 Price]]/$B$2*100</f>
        <v>51.335210306287863</v>
      </c>
    </row>
    <row r="890" spans="1:12">
      <c r="A890" s="96">
        <v>44573</v>
      </c>
      <c r="B890" s="101">
        <v>58.46</v>
      </c>
      <c r="C890" s="1">
        <f t="shared" si="26"/>
        <v>-2.883112954916053E-2</v>
      </c>
      <c r="D890" s="1">
        <f>IFERROR(Comp3[[#This Row],[Comparable '#3 Return]]+1,"-")</f>
        <v>0.97116887045083944</v>
      </c>
      <c r="E890" s="6">
        <f>B890-MAX($B$2:B890)</f>
        <v>-129.57999999999998</v>
      </c>
      <c r="F890" s="80">
        <f t="shared" si="27"/>
        <v>628</v>
      </c>
      <c r="G890" s="6">
        <f>IFERROR(Comp3[[#This Row],[Comparable '#3 Drawdown]]/MAX($B$2:B890),"-")</f>
        <v>-0.68910870027653681</v>
      </c>
      <c r="H890" s="1" t="str">
        <f>IF(SUM(COUNTIF(Benchmark1[Benchmark '#1 Dates],Comp3[[#This Row],[Comparable '#3 Dates]]),COUNTIF(Benchmark2[Benchmark '#2 Dates],Comp3[[#This Row],[Comparable '#3 Dates]]))=2,"Pass","Fail")</f>
        <v>Pass</v>
      </c>
      <c r="I890" s="1">
        <f>IFERROR(Comp3[[#This Row],[Comparable '#3 Return]]-INDEX(Benchmark1[Benchmark '#1 Return],MATCH(Comp3[[#This Row],[Comparable '#3 Dates]],Benchmark1[Benchmark '#1 Dates],0)),"-")</f>
        <v>-3.1644526855403664E-2</v>
      </c>
      <c r="L890" s="72">
        <f>Comp3[[#This Row],[Comparable '#3 Price]]/$B$2*100</f>
        <v>49.876290418906237</v>
      </c>
    </row>
    <row r="891" spans="1:12">
      <c r="A891" s="96">
        <v>44574</v>
      </c>
      <c r="B891" s="101">
        <v>56.72</v>
      </c>
      <c r="C891" s="1">
        <f t="shared" si="26"/>
        <v>-3.0215877459227887E-2</v>
      </c>
      <c r="D891" s="1">
        <f>IFERROR(Comp3[[#This Row],[Comparable '#3 Return]]+1,"-")</f>
        <v>0.96978412254077206</v>
      </c>
      <c r="E891" s="6">
        <f>B891-MAX($B$2:B891)</f>
        <v>-131.32</v>
      </c>
      <c r="F891" s="80">
        <f t="shared" si="27"/>
        <v>629</v>
      </c>
      <c r="G891" s="6">
        <f>IFERROR(Comp3[[#This Row],[Comparable '#3 Drawdown]]/MAX($B$2:B891),"-")</f>
        <v>-0.6983620506275261</v>
      </c>
      <c r="H891" s="1" t="str">
        <f>IF(SUM(COUNTIF(Benchmark1[Benchmark '#1 Dates],Comp3[[#This Row],[Comparable '#3 Dates]]),COUNTIF(Benchmark2[Benchmark '#2 Dates],Comp3[[#This Row],[Comparable '#3 Dates]]))=2,"Pass","Fail")</f>
        <v>Pass</v>
      </c>
      <c r="I891" s="1">
        <f>IFERROR(Comp3[[#This Row],[Comparable '#3 Return]]-INDEX(Benchmark1[Benchmark '#1 Return],MATCH(Comp3[[#This Row],[Comparable '#3 Dates]],Benchmark1[Benchmark '#1 Dates],0)),"-")</f>
        <v>-1.5869851993548387E-2</v>
      </c>
      <c r="L891" s="72">
        <f>Comp3[[#This Row],[Comparable '#3 Price]]/$B$2*100</f>
        <v>48.391775445781079</v>
      </c>
    </row>
    <row r="892" spans="1:12">
      <c r="A892" s="96">
        <v>44575</v>
      </c>
      <c r="B892" s="101">
        <v>58.02</v>
      </c>
      <c r="C892" s="1">
        <f t="shared" si="26"/>
        <v>2.2660896469386026E-2</v>
      </c>
      <c r="D892" s="1">
        <f>IFERROR(Comp3[[#This Row],[Comparable '#3 Return]]+1,"-")</f>
        <v>1.022660896469386</v>
      </c>
      <c r="E892" s="6">
        <f>B892-MAX($B$2:B892)</f>
        <v>-130.01999999999998</v>
      </c>
      <c r="F892" s="80">
        <f t="shared" si="27"/>
        <v>630</v>
      </c>
      <c r="G892" s="6">
        <f>IFERROR(Comp3[[#This Row],[Comparable '#3 Drawdown]]/MAX($B$2:B892),"-")</f>
        <v>-0.69144862795149964</v>
      </c>
      <c r="H892" s="1" t="str">
        <f>IF(SUM(COUNTIF(Benchmark1[Benchmark '#1 Dates],Comp3[[#This Row],[Comparable '#3 Dates]]),COUNTIF(Benchmark2[Benchmark '#2 Dates],Comp3[[#This Row],[Comparable '#3 Dates]]))=2,"Pass","Fail")</f>
        <v>Pass</v>
      </c>
      <c r="I892" s="1">
        <f>IFERROR(Comp3[[#This Row],[Comparable '#3 Return]]-INDEX(Benchmark1[Benchmark '#1 Return],MATCH(Comp3[[#This Row],[Comparable '#3 Dates]],Benchmark1[Benchmark '#1 Dates],0)),"-")</f>
        <v>2.183946795988892E-2</v>
      </c>
      <c r="L892" s="72">
        <f>Comp3[[#This Row],[Comparable '#3 Price]]/$B$2*100</f>
        <v>49.500895828001028</v>
      </c>
    </row>
    <row r="893" spans="1:12">
      <c r="A893" s="96">
        <v>44579</v>
      </c>
      <c r="B893" s="101">
        <v>57.96</v>
      </c>
      <c r="C893" s="1">
        <f t="shared" si="26"/>
        <v>-1.0346612407763304E-3</v>
      </c>
      <c r="D893" s="1">
        <f>IFERROR(Comp3[[#This Row],[Comparable '#3 Return]]+1,"-")</f>
        <v>0.99896533875922366</v>
      </c>
      <c r="E893" s="6">
        <f>B893-MAX($B$2:B893)</f>
        <v>-130.07999999999998</v>
      </c>
      <c r="F893" s="80">
        <f t="shared" si="27"/>
        <v>631</v>
      </c>
      <c r="G893" s="6">
        <f>IFERROR(Comp3[[#This Row],[Comparable '#3 Drawdown]]/MAX($B$2:B893),"-")</f>
        <v>-0.69176770899808548</v>
      </c>
      <c r="H893" s="1" t="str">
        <f>IF(SUM(COUNTIF(Benchmark1[Benchmark '#1 Dates],Comp3[[#This Row],[Comparable '#3 Dates]]),COUNTIF(Benchmark2[Benchmark '#2 Dates],Comp3[[#This Row],[Comparable '#3 Dates]]))=2,"Pass","Fail")</f>
        <v>Pass</v>
      </c>
      <c r="I893" s="1">
        <f>IFERROR(Comp3[[#This Row],[Comparable '#3 Return]]-INDEX(Benchmark1[Benchmark '#1 Return],MATCH(Comp3[[#This Row],[Comparable '#3 Dates]],Benchmark1[Benchmark '#1 Dates],0)),"-")</f>
        <v>1.7525626075753739E-2</v>
      </c>
      <c r="L893" s="72">
        <f>Comp3[[#This Row],[Comparable '#3 Price]]/$B$2*100</f>
        <v>49.449705656513956</v>
      </c>
    </row>
    <row r="894" spans="1:12">
      <c r="A894" s="96">
        <v>44580</v>
      </c>
      <c r="B894" s="101">
        <v>55.27</v>
      </c>
      <c r="C894" s="1">
        <f t="shared" si="26"/>
        <v>-4.7522851607309978E-2</v>
      </c>
      <c r="D894" s="1">
        <f>IFERROR(Comp3[[#This Row],[Comparable '#3 Return]]+1,"-")</f>
        <v>0.95247714839269004</v>
      </c>
      <c r="E894" s="6">
        <f>B894-MAX($B$2:B894)</f>
        <v>-132.76999999999998</v>
      </c>
      <c r="F894" s="80">
        <f t="shared" si="27"/>
        <v>632</v>
      </c>
      <c r="G894" s="6">
        <f>IFERROR(Comp3[[#This Row],[Comparable '#3 Drawdown]]/MAX($B$2:B894),"-")</f>
        <v>-0.70607317592001695</v>
      </c>
      <c r="H894" s="1" t="str">
        <f>IF(SUM(COUNTIF(Benchmark1[Benchmark '#1 Dates],Comp3[[#This Row],[Comparable '#3 Dates]]),COUNTIF(Benchmark2[Benchmark '#2 Dates],Comp3[[#This Row],[Comparable '#3 Dates]]))=2,"Pass","Fail")</f>
        <v>Pass</v>
      </c>
      <c r="I894" s="1">
        <f>IFERROR(Comp3[[#This Row],[Comparable '#3 Return]]-INDEX(Benchmark1[Benchmark '#1 Return],MATCH(Comp3[[#This Row],[Comparable '#3 Dates]],Benchmark1[Benchmark '#1 Dates],0)),"-")</f>
        <v>-3.7786348829720574E-2</v>
      </c>
      <c r="L894" s="72">
        <f>Comp3[[#This Row],[Comparable '#3 Price]]/$B$2*100</f>
        <v>47.154679634843447</v>
      </c>
    </row>
    <row r="895" spans="1:12">
      <c r="A895" s="96">
        <v>44581</v>
      </c>
      <c r="B895" s="101">
        <v>54.83</v>
      </c>
      <c r="C895" s="1">
        <f t="shared" si="26"/>
        <v>-7.992776429214565E-3</v>
      </c>
      <c r="D895" s="1">
        <f>IFERROR(Comp3[[#This Row],[Comparable '#3 Return]]+1,"-")</f>
        <v>0.99200722357078541</v>
      </c>
      <c r="E895" s="6">
        <f>B895-MAX($B$2:B895)</f>
        <v>-133.20999999999998</v>
      </c>
      <c r="F895" s="80">
        <f t="shared" si="27"/>
        <v>633</v>
      </c>
      <c r="G895" s="6">
        <f>IFERROR(Comp3[[#This Row],[Comparable '#3 Drawdown]]/MAX($B$2:B895),"-")</f>
        <v>-0.70841310359497967</v>
      </c>
      <c r="H895" s="1" t="str">
        <f>IF(SUM(COUNTIF(Benchmark1[Benchmark '#1 Dates],Comp3[[#This Row],[Comparable '#3 Dates]]),COUNTIF(Benchmark2[Benchmark '#2 Dates],Comp3[[#This Row],[Comparable '#3 Dates]]))=2,"Pass","Fail")</f>
        <v>Pass</v>
      </c>
      <c r="I895" s="1">
        <f>IFERROR(Comp3[[#This Row],[Comparable '#3 Return]]-INDEX(Benchmark1[Benchmark '#1 Return],MATCH(Comp3[[#This Row],[Comparable '#3 Dates]],Benchmark1[Benchmark '#1 Dates],0)),"-")</f>
        <v>3.1064647680343373E-3</v>
      </c>
      <c r="L895" s="72">
        <f>Comp3[[#This Row],[Comparable '#3 Price]]/$B$2*100</f>
        <v>46.779285043938231</v>
      </c>
    </row>
    <row r="896" spans="1:12">
      <c r="A896" s="96">
        <v>44582</v>
      </c>
      <c r="B896" s="101">
        <v>54.93</v>
      </c>
      <c r="C896" s="1">
        <f t="shared" si="26"/>
        <v>1.8221579385719637E-3</v>
      </c>
      <c r="D896" s="1">
        <f>IFERROR(Comp3[[#This Row],[Comparable '#3 Return]]+1,"-")</f>
        <v>1.001822157938572</v>
      </c>
      <c r="E896" s="6">
        <f>B896-MAX($B$2:B896)</f>
        <v>-133.10999999999999</v>
      </c>
      <c r="F896" s="80">
        <f t="shared" si="27"/>
        <v>634</v>
      </c>
      <c r="G896" s="6">
        <f>IFERROR(Comp3[[#This Row],[Comparable '#3 Drawdown]]/MAX($B$2:B896),"-")</f>
        <v>-0.70788130185067</v>
      </c>
      <c r="H896" s="1" t="str">
        <f>IF(SUM(COUNTIF(Benchmark1[Benchmark '#1 Dates],Comp3[[#This Row],[Comparable '#3 Dates]]),COUNTIF(Benchmark2[Benchmark '#2 Dates],Comp3[[#This Row],[Comparable '#3 Dates]]))=2,"Pass","Fail")</f>
        <v>Pass</v>
      </c>
      <c r="I896" s="1">
        <f>IFERROR(Comp3[[#This Row],[Comparable '#3 Return]]-INDEX(Benchmark1[Benchmark '#1 Return],MATCH(Comp3[[#This Row],[Comparable '#3 Dates]],Benchmark1[Benchmark '#1 Dates],0)),"-")</f>
        <v>2.0917797370349052E-2</v>
      </c>
      <c r="L896" s="72">
        <f>Comp3[[#This Row],[Comparable '#3 Price]]/$B$2*100</f>
        <v>46.864601996416688</v>
      </c>
    </row>
    <row r="897" spans="1:12">
      <c r="A897" s="96">
        <v>44585</v>
      </c>
      <c r="B897" s="101">
        <v>56.68</v>
      </c>
      <c r="C897" s="1">
        <f t="shared" si="26"/>
        <v>3.1361767467950677E-2</v>
      </c>
      <c r="D897" s="1">
        <f>IFERROR(Comp3[[#This Row],[Comparable '#3 Return]]+1,"-")</f>
        <v>1.0313617674679507</v>
      </c>
      <c r="E897" s="6">
        <f>B897-MAX($B$2:B897)</f>
        <v>-131.35999999999999</v>
      </c>
      <c r="F897" s="80">
        <f t="shared" si="27"/>
        <v>635</v>
      </c>
      <c r="G897" s="6">
        <f>IFERROR(Comp3[[#This Row],[Comparable '#3 Drawdown]]/MAX($B$2:B897),"-")</f>
        <v>-0.69857477132524992</v>
      </c>
      <c r="H897" s="1" t="str">
        <f>IF(SUM(COUNTIF(Benchmark1[Benchmark '#1 Dates],Comp3[[#This Row],[Comparable '#3 Dates]]),COUNTIF(Benchmark2[Benchmark '#2 Dates],Comp3[[#This Row],[Comparable '#3 Dates]]))=2,"Pass","Fail")</f>
        <v>Pass</v>
      </c>
      <c r="I897" s="1">
        <f>IFERROR(Comp3[[#This Row],[Comparable '#3 Return]]-INDEX(Benchmark1[Benchmark '#1 Return],MATCH(Comp3[[#This Row],[Comparable '#3 Dates]],Benchmark1[Benchmark '#1 Dates],0)),"-")</f>
        <v>2.8594245430633578E-2</v>
      </c>
      <c r="L897" s="72">
        <f>Comp3[[#This Row],[Comparable '#3 Price]]/$B$2*100</f>
        <v>48.3576486647897</v>
      </c>
    </row>
    <row r="898" spans="1:12">
      <c r="A898" s="96">
        <v>44586</v>
      </c>
      <c r="B898" s="101">
        <v>56.79</v>
      </c>
      <c r="C898" s="1">
        <f t="shared" ref="C898:C961" si="28">IFERROR(IF(B898="","-",LN(B898/B897)),"-")</f>
        <v>1.9388390668614434E-3</v>
      </c>
      <c r="D898" s="1">
        <f>IFERROR(Comp3[[#This Row],[Comparable '#3 Return]]+1,"-")</f>
        <v>1.0019388390668615</v>
      </c>
      <c r="E898" s="6">
        <f>B898-MAX($B$2:B898)</f>
        <v>-131.25</v>
      </c>
      <c r="F898" s="80">
        <f t="shared" ref="F898:F961" si="29">IF(E898=0,0,F897+1)</f>
        <v>636</v>
      </c>
      <c r="G898" s="6">
        <f>IFERROR(Comp3[[#This Row],[Comparable '#3 Drawdown]]/MAX($B$2:B898),"-")</f>
        <v>-0.69798978940650924</v>
      </c>
      <c r="H898" s="1" t="str">
        <f>IF(SUM(COUNTIF(Benchmark1[Benchmark '#1 Dates],Comp3[[#This Row],[Comparable '#3 Dates]]),COUNTIF(Benchmark2[Benchmark '#2 Dates],Comp3[[#This Row],[Comparable '#3 Dates]]))=2,"Pass","Fail")</f>
        <v>Pass</v>
      </c>
      <c r="I898" s="1">
        <f>IFERROR(Comp3[[#This Row],[Comparable '#3 Return]]-INDEX(Benchmark1[Benchmark '#1 Return],MATCH(Comp3[[#This Row],[Comparable '#3 Dates]],Benchmark1[Benchmark '#1 Dates],0)),"-")</f>
        <v>1.4184027878264111E-2</v>
      </c>
      <c r="L898" s="72">
        <f>Comp3[[#This Row],[Comparable '#3 Price]]/$B$2*100</f>
        <v>48.451497312516004</v>
      </c>
    </row>
    <row r="899" spans="1:12">
      <c r="A899" s="96">
        <v>44587</v>
      </c>
      <c r="B899" s="101">
        <v>56.78</v>
      </c>
      <c r="C899" s="1">
        <f t="shared" si="28"/>
        <v>-1.761028445160258E-4</v>
      </c>
      <c r="D899" s="1">
        <f>IFERROR(Comp3[[#This Row],[Comparable '#3 Return]]+1,"-")</f>
        <v>0.99982389715548392</v>
      </c>
      <c r="E899" s="6">
        <f>B899-MAX($B$2:B899)</f>
        <v>-131.26</v>
      </c>
      <c r="F899" s="80">
        <f t="shared" si="29"/>
        <v>637</v>
      </c>
      <c r="G899" s="6">
        <f>IFERROR(Comp3[[#This Row],[Comparable '#3 Drawdown]]/MAX($B$2:B899),"-")</f>
        <v>-0.69804296958094025</v>
      </c>
      <c r="H899" s="1" t="str">
        <f>IF(SUM(COUNTIF(Benchmark1[Benchmark '#1 Dates],Comp3[[#This Row],[Comparable '#3 Dates]]),COUNTIF(Benchmark2[Benchmark '#2 Dates],Comp3[[#This Row],[Comparable '#3 Dates]]))=2,"Pass","Fail")</f>
        <v>Pass</v>
      </c>
      <c r="I899" s="1">
        <f>IFERROR(Comp3[[#This Row],[Comparable '#3 Return]]-INDEX(Benchmark1[Benchmark '#1 Return],MATCH(Comp3[[#This Row],[Comparable '#3 Dates]],Benchmark1[Benchmark '#1 Dates],0)),"-")</f>
        <v>1.3228527121770261E-3</v>
      </c>
      <c r="L899" s="72">
        <f>Comp3[[#This Row],[Comparable '#3 Price]]/$B$2*100</f>
        <v>48.44296561726815</v>
      </c>
    </row>
    <row r="900" spans="1:12">
      <c r="A900" s="96">
        <v>44588</v>
      </c>
      <c r="B900" s="101">
        <v>57.3</v>
      </c>
      <c r="C900" s="1">
        <f t="shared" si="28"/>
        <v>9.116472675868733E-3</v>
      </c>
      <c r="D900" s="1">
        <f>IFERROR(Comp3[[#This Row],[Comparable '#3 Return]]+1,"-")</f>
        <v>1.0091164726758688</v>
      </c>
      <c r="E900" s="6">
        <f>B900-MAX($B$2:B900)</f>
        <v>-130.74</v>
      </c>
      <c r="F900" s="80">
        <f t="shared" si="29"/>
        <v>638</v>
      </c>
      <c r="G900" s="6">
        <f>IFERROR(Comp3[[#This Row],[Comparable '#3 Drawdown]]/MAX($B$2:B900),"-")</f>
        <v>-0.69527760051052978</v>
      </c>
      <c r="H900" s="1" t="str">
        <f>IF(SUM(COUNTIF(Benchmark1[Benchmark '#1 Dates],Comp3[[#This Row],[Comparable '#3 Dates]]),COUNTIF(Benchmark2[Benchmark '#2 Dates],Comp3[[#This Row],[Comparable '#3 Dates]]))=2,"Pass","Fail")</f>
        <v>Pass</v>
      </c>
      <c r="I900" s="1">
        <f>IFERROR(Comp3[[#This Row],[Comparable '#3 Return]]-INDEX(Benchmark1[Benchmark '#1 Return],MATCH(Comp3[[#This Row],[Comparable '#3 Dates]],Benchmark1[Benchmark '#1 Dates],0)),"-")</f>
        <v>1.4513848693559999E-2</v>
      </c>
      <c r="L900" s="72">
        <f>Comp3[[#This Row],[Comparable '#3 Price]]/$B$2*100</f>
        <v>48.886613770156131</v>
      </c>
    </row>
    <row r="901" spans="1:12">
      <c r="A901" s="96">
        <v>44589</v>
      </c>
      <c r="B901" s="101">
        <v>60.08</v>
      </c>
      <c r="C901" s="1">
        <f t="shared" si="28"/>
        <v>4.7376383735185448E-2</v>
      </c>
      <c r="D901" s="1">
        <f>IFERROR(Comp3[[#This Row],[Comparable '#3 Return]]+1,"-")</f>
        <v>1.0473763837351855</v>
      </c>
      <c r="E901" s="6">
        <f>B901-MAX($B$2:B901)</f>
        <v>-127.96</v>
      </c>
      <c r="F901" s="80">
        <f t="shared" si="29"/>
        <v>639</v>
      </c>
      <c r="G901" s="6">
        <f>IFERROR(Comp3[[#This Row],[Comparable '#3 Drawdown]]/MAX($B$2:B901),"-")</f>
        <v>-0.68049351201871944</v>
      </c>
      <c r="H901" s="1" t="str">
        <f>IF(SUM(COUNTIF(Benchmark1[Benchmark '#1 Dates],Comp3[[#This Row],[Comparable '#3 Dates]]),COUNTIF(Benchmark2[Benchmark '#2 Dates],Comp3[[#This Row],[Comparable '#3 Dates]]))=2,"Pass","Fail")</f>
        <v>Pass</v>
      </c>
      <c r="I901" s="1">
        <f>IFERROR(Comp3[[#This Row],[Comparable '#3 Return]]-INDEX(Benchmark1[Benchmark '#1 Return],MATCH(Comp3[[#This Row],[Comparable '#3 Dates]],Benchmark1[Benchmark '#1 Dates],0)),"-")</f>
        <v>2.3321541847716731E-2</v>
      </c>
      <c r="L901" s="72">
        <f>Comp3[[#This Row],[Comparable '#3 Price]]/$B$2*100</f>
        <v>51.258425049057244</v>
      </c>
    </row>
    <row r="902" spans="1:12">
      <c r="A902" s="96">
        <v>44592</v>
      </c>
      <c r="B902" s="101">
        <v>59.66</v>
      </c>
      <c r="C902" s="1">
        <f t="shared" si="28"/>
        <v>-7.0152283692768861E-3</v>
      </c>
      <c r="D902" s="1">
        <f>IFERROR(Comp3[[#This Row],[Comparable '#3 Return]]+1,"-")</f>
        <v>0.99298477163072307</v>
      </c>
      <c r="E902" s="6">
        <f>B902-MAX($B$2:B902)</f>
        <v>-128.38</v>
      </c>
      <c r="F902" s="80">
        <f t="shared" si="29"/>
        <v>640</v>
      </c>
      <c r="G902" s="6">
        <f>IFERROR(Comp3[[#This Row],[Comparable '#3 Drawdown]]/MAX($B$2:B902),"-")</f>
        <v>-0.68272707934482024</v>
      </c>
      <c r="H902" s="1" t="str">
        <f>IF(SUM(COUNTIF(Benchmark1[Benchmark '#1 Dates],Comp3[[#This Row],[Comparable '#3 Dates]]),COUNTIF(Benchmark2[Benchmark '#2 Dates],Comp3[[#This Row],[Comparable '#3 Dates]]))=2,"Pass","Fail")</f>
        <v>Pass</v>
      </c>
      <c r="I902" s="1">
        <f>IFERROR(Comp3[[#This Row],[Comparable '#3 Return]]-INDEX(Benchmark1[Benchmark '#1 Return],MATCH(Comp3[[#This Row],[Comparable '#3 Dates]],Benchmark1[Benchmark '#1 Dates],0)),"-")</f>
        <v>-2.5724782521553007E-2</v>
      </c>
      <c r="L902" s="72">
        <f>Comp3[[#This Row],[Comparable '#3 Price]]/$B$2*100</f>
        <v>50.900093848647721</v>
      </c>
    </row>
    <row r="903" spans="1:12">
      <c r="A903" s="96">
        <v>44593</v>
      </c>
      <c r="B903" s="101">
        <v>60.28</v>
      </c>
      <c r="C903" s="1">
        <f t="shared" si="28"/>
        <v>1.0338594671692226E-2</v>
      </c>
      <c r="D903" s="1">
        <f>IFERROR(Comp3[[#This Row],[Comparable '#3 Return]]+1,"-")</f>
        <v>1.0103385946716923</v>
      </c>
      <c r="E903" s="6">
        <f>B903-MAX($B$2:B903)</f>
        <v>-127.75999999999999</v>
      </c>
      <c r="F903" s="80">
        <f t="shared" si="29"/>
        <v>641</v>
      </c>
      <c r="G903" s="6">
        <f>IFERROR(Comp3[[#This Row],[Comparable '#3 Drawdown]]/MAX($B$2:B903),"-")</f>
        <v>-0.67942990853009999</v>
      </c>
      <c r="H903" s="1" t="str">
        <f>IF(SUM(COUNTIF(Benchmark1[Benchmark '#1 Dates],Comp3[[#This Row],[Comparable '#3 Dates]]),COUNTIF(Benchmark2[Benchmark '#2 Dates],Comp3[[#This Row],[Comparable '#3 Dates]]))=2,"Pass","Fail")</f>
        <v>Pass</v>
      </c>
      <c r="I903" s="1">
        <f>IFERROR(Comp3[[#This Row],[Comparable '#3 Return]]-INDEX(Benchmark1[Benchmark '#1 Return],MATCH(Comp3[[#This Row],[Comparable '#3 Dates]],Benchmark1[Benchmark '#1 Dates],0)),"-")</f>
        <v>3.4987642497961123E-3</v>
      </c>
      <c r="L903" s="72">
        <f>Comp3[[#This Row],[Comparable '#3 Price]]/$B$2*100</f>
        <v>51.42905895401416</v>
      </c>
    </row>
    <row r="904" spans="1:12">
      <c r="A904" s="96">
        <v>44594</v>
      </c>
      <c r="B904" s="101">
        <v>58.94</v>
      </c>
      <c r="C904" s="1">
        <f t="shared" si="28"/>
        <v>-2.2480396448746158E-2</v>
      </c>
      <c r="D904" s="1">
        <f>IFERROR(Comp3[[#This Row],[Comparable '#3 Return]]+1,"-")</f>
        <v>0.97751960355125389</v>
      </c>
      <c r="E904" s="6">
        <f>B904-MAX($B$2:B904)</f>
        <v>-129.1</v>
      </c>
      <c r="F904" s="80">
        <f t="shared" si="29"/>
        <v>642</v>
      </c>
      <c r="G904" s="6">
        <f>IFERROR(Comp3[[#This Row],[Comparable '#3 Drawdown]]/MAX($B$2:B904),"-")</f>
        <v>-0.68655605190385027</v>
      </c>
      <c r="H904" s="1" t="str">
        <f>IF(SUM(COUNTIF(Benchmark1[Benchmark '#1 Dates],Comp3[[#This Row],[Comparable '#3 Dates]]),COUNTIF(Benchmark2[Benchmark '#2 Dates],Comp3[[#This Row],[Comparable '#3 Dates]]))=2,"Pass","Fail")</f>
        <v>Pass</v>
      </c>
      <c r="I904" s="1">
        <f>IFERROR(Comp3[[#This Row],[Comparable '#3 Return]]-INDEX(Benchmark1[Benchmark '#1 Return],MATCH(Comp3[[#This Row],[Comparable '#3 Dates]],Benchmark1[Benchmark '#1 Dates],0)),"-")</f>
        <v>-3.185829569526312E-2</v>
      </c>
      <c r="L904" s="72">
        <f>Comp3[[#This Row],[Comparable '#3 Price]]/$B$2*100</f>
        <v>50.285811790802839</v>
      </c>
    </row>
    <row r="905" spans="1:12">
      <c r="A905" s="96">
        <v>44595</v>
      </c>
      <c r="B905" s="101">
        <v>57.91</v>
      </c>
      <c r="C905" s="1">
        <f t="shared" si="28"/>
        <v>-1.7629896071850275E-2</v>
      </c>
      <c r="D905" s="1">
        <f>IFERROR(Comp3[[#This Row],[Comparable '#3 Return]]+1,"-")</f>
        <v>0.98237010392814972</v>
      </c>
      <c r="E905" s="6">
        <f>B905-MAX($B$2:B905)</f>
        <v>-130.13</v>
      </c>
      <c r="F905" s="80">
        <f t="shared" si="29"/>
        <v>643</v>
      </c>
      <c r="G905" s="6">
        <f>IFERROR(Comp3[[#This Row],[Comparable '#3 Drawdown]]/MAX($B$2:B905),"-")</f>
        <v>-0.69203360987024043</v>
      </c>
      <c r="H905" s="1" t="str">
        <f>IF(SUM(COUNTIF(Benchmark1[Benchmark '#1 Dates],Comp3[[#This Row],[Comparable '#3 Dates]]),COUNTIF(Benchmark2[Benchmark '#2 Dates],Comp3[[#This Row],[Comparable '#3 Dates]]))=2,"Pass","Fail")</f>
        <v>Pass</v>
      </c>
      <c r="I905" s="1">
        <f>IFERROR(Comp3[[#This Row],[Comparable '#3 Return]]-INDEX(Benchmark1[Benchmark '#1 Return],MATCH(Comp3[[#This Row],[Comparable '#3 Dates]],Benchmark1[Benchmark '#1 Dates],0)),"-")</f>
        <v>7.0624021294632341E-3</v>
      </c>
      <c r="L905" s="72">
        <f>Comp3[[#This Row],[Comparable '#3 Price]]/$B$2*100</f>
        <v>49.407047180274724</v>
      </c>
    </row>
    <row r="906" spans="1:12">
      <c r="A906" s="96">
        <v>44596</v>
      </c>
      <c r="B906" s="101">
        <v>59.6</v>
      </c>
      <c r="C906" s="1">
        <f t="shared" si="28"/>
        <v>2.8765492833605823E-2</v>
      </c>
      <c r="D906" s="1">
        <f>IFERROR(Comp3[[#This Row],[Comparable '#3 Return]]+1,"-")</f>
        <v>1.0287654928336059</v>
      </c>
      <c r="E906" s="6">
        <f>B906-MAX($B$2:B906)</f>
        <v>-128.44</v>
      </c>
      <c r="F906" s="80">
        <f t="shared" si="29"/>
        <v>644</v>
      </c>
      <c r="G906" s="6">
        <f>IFERROR(Comp3[[#This Row],[Comparable '#3 Drawdown]]/MAX($B$2:B906),"-")</f>
        <v>-0.68304616039140609</v>
      </c>
      <c r="H906" s="1" t="str">
        <f>IF(SUM(COUNTIF(Benchmark1[Benchmark '#1 Dates],Comp3[[#This Row],[Comparable '#3 Dates]]),COUNTIF(Benchmark2[Benchmark '#2 Dates],Comp3[[#This Row],[Comparable '#3 Dates]]))=2,"Pass","Fail")</f>
        <v>Pass</v>
      </c>
      <c r="I906" s="1">
        <f>IFERROR(Comp3[[#This Row],[Comparable '#3 Return]]-INDEX(Benchmark1[Benchmark '#1 Return],MATCH(Comp3[[#This Row],[Comparable '#3 Dates]],Benchmark1[Benchmark '#1 Dates],0)),"-")</f>
        <v>2.3621892413148195E-2</v>
      </c>
      <c r="L906" s="72">
        <f>Comp3[[#This Row],[Comparable '#3 Price]]/$B$2*100</f>
        <v>50.848903677160649</v>
      </c>
    </row>
    <row r="907" spans="1:12">
      <c r="A907" s="96">
        <v>44599</v>
      </c>
      <c r="B907" s="101">
        <v>59.75</v>
      </c>
      <c r="C907" s="1">
        <f t="shared" si="28"/>
        <v>2.5136167403158995E-3</v>
      </c>
      <c r="D907" s="1">
        <f>IFERROR(Comp3[[#This Row],[Comparable '#3 Return]]+1,"-")</f>
        <v>1.0025136167403159</v>
      </c>
      <c r="E907" s="6">
        <f>B907-MAX($B$2:B907)</f>
        <v>-128.29</v>
      </c>
      <c r="F907" s="80">
        <f t="shared" si="29"/>
        <v>645</v>
      </c>
      <c r="G907" s="6">
        <f>IFERROR(Comp3[[#This Row],[Comparable '#3 Drawdown]]/MAX($B$2:B907),"-")</f>
        <v>-0.68224845777494147</v>
      </c>
      <c r="H907" s="1" t="str">
        <f>IF(SUM(COUNTIF(Benchmark1[Benchmark '#1 Dates],Comp3[[#This Row],[Comparable '#3 Dates]]),COUNTIF(Benchmark2[Benchmark '#2 Dates],Comp3[[#This Row],[Comparable '#3 Dates]]))=2,"Pass","Fail")</f>
        <v>Pass</v>
      </c>
      <c r="I907" s="1">
        <f>IFERROR(Comp3[[#This Row],[Comparable '#3 Return]]-INDEX(Benchmark1[Benchmark '#1 Return],MATCH(Comp3[[#This Row],[Comparable '#3 Dates]],Benchmark1[Benchmark '#1 Dates],0)),"-")</f>
        <v>6.2236450438893469E-3</v>
      </c>
      <c r="L907" s="72">
        <f>Comp3[[#This Row],[Comparable '#3 Price]]/$B$2*100</f>
        <v>50.976879105878339</v>
      </c>
    </row>
    <row r="908" spans="1:12">
      <c r="A908" s="96">
        <v>44600</v>
      </c>
      <c r="B908" s="101">
        <v>59.96</v>
      </c>
      <c r="C908" s="1">
        <f t="shared" si="28"/>
        <v>3.5084824227768958E-3</v>
      </c>
      <c r="D908" s="1">
        <f>IFERROR(Comp3[[#This Row],[Comparable '#3 Return]]+1,"-")</f>
        <v>1.0035084824227769</v>
      </c>
      <c r="E908" s="6">
        <f>B908-MAX($B$2:B908)</f>
        <v>-128.07999999999998</v>
      </c>
      <c r="F908" s="80">
        <f t="shared" si="29"/>
        <v>646</v>
      </c>
      <c r="G908" s="6">
        <f>IFERROR(Comp3[[#This Row],[Comparable '#3 Drawdown]]/MAX($B$2:B908),"-")</f>
        <v>-0.68113167411189102</v>
      </c>
      <c r="H908" s="1" t="str">
        <f>IF(SUM(COUNTIF(Benchmark1[Benchmark '#1 Dates],Comp3[[#This Row],[Comparable '#3 Dates]]),COUNTIF(Benchmark2[Benchmark '#2 Dates],Comp3[[#This Row],[Comparable '#3 Dates]]))=2,"Pass","Fail")</f>
        <v>Pass</v>
      </c>
      <c r="I908" s="1">
        <f>IFERROR(Comp3[[#This Row],[Comparable '#3 Return]]-INDEX(Benchmark1[Benchmark '#1 Return],MATCH(Comp3[[#This Row],[Comparable '#3 Dates]],Benchmark1[Benchmark '#1 Dates],0)),"-")</f>
        <v>-4.8584475038317837E-3</v>
      </c>
      <c r="L908" s="72">
        <f>Comp3[[#This Row],[Comparable '#3 Price]]/$B$2*100</f>
        <v>51.156044706083101</v>
      </c>
    </row>
    <row r="909" spans="1:12">
      <c r="A909" s="96">
        <v>44601</v>
      </c>
      <c r="B909" s="101">
        <v>56.86</v>
      </c>
      <c r="C909" s="1">
        <f t="shared" si="28"/>
        <v>-5.3085567011543218E-2</v>
      </c>
      <c r="D909" s="1">
        <f>IFERROR(Comp3[[#This Row],[Comparable '#3 Return]]+1,"-")</f>
        <v>0.94691443298845679</v>
      </c>
      <c r="E909" s="6">
        <f>B909-MAX($B$2:B909)</f>
        <v>-131.18</v>
      </c>
      <c r="F909" s="80">
        <f t="shared" si="29"/>
        <v>647</v>
      </c>
      <c r="G909" s="6">
        <f>IFERROR(Comp3[[#This Row],[Comparable '#3 Drawdown]]/MAX($B$2:B909),"-")</f>
        <v>-0.6976175281854925</v>
      </c>
      <c r="H909" s="1" t="str">
        <f>IF(SUM(COUNTIF(Benchmark1[Benchmark '#1 Dates],Comp3[[#This Row],[Comparable '#3 Dates]]),COUNTIF(Benchmark2[Benchmark '#2 Dates],Comp3[[#This Row],[Comparable '#3 Dates]]))=2,"Pass","Fail")</f>
        <v>Pass</v>
      </c>
      <c r="I909" s="1">
        <f>IFERROR(Comp3[[#This Row],[Comparable '#3 Return]]-INDEX(Benchmark1[Benchmark '#1 Return],MATCH(Comp3[[#This Row],[Comparable '#3 Dates]],Benchmark1[Benchmark '#1 Dates],0)),"-")</f>
        <v>-6.7498388012677143E-2</v>
      </c>
      <c r="L909" s="72">
        <f>Comp3[[#This Row],[Comparable '#3 Price]]/$B$2*100</f>
        <v>48.511219179250922</v>
      </c>
    </row>
    <row r="910" spans="1:12">
      <c r="A910" s="96">
        <v>44602</v>
      </c>
      <c r="B910" s="101">
        <v>52.85</v>
      </c>
      <c r="C910" s="1">
        <f t="shared" si="28"/>
        <v>-7.3134393906607073E-2</v>
      </c>
      <c r="D910" s="1">
        <f>IFERROR(Comp3[[#This Row],[Comparable '#3 Return]]+1,"-")</f>
        <v>0.92686560609339297</v>
      </c>
      <c r="E910" s="6">
        <f>B910-MAX($B$2:B910)</f>
        <v>-135.19</v>
      </c>
      <c r="F910" s="80">
        <f t="shared" si="29"/>
        <v>648</v>
      </c>
      <c r="G910" s="6">
        <f>IFERROR(Comp3[[#This Row],[Comparable '#3 Drawdown]]/MAX($B$2:B910),"-")</f>
        <v>-0.71894277813231233</v>
      </c>
      <c r="H910" s="1" t="str">
        <f>IF(SUM(COUNTIF(Benchmark1[Benchmark '#1 Dates],Comp3[[#This Row],[Comparable '#3 Dates]]),COUNTIF(Benchmark2[Benchmark '#2 Dates],Comp3[[#This Row],[Comparable '#3 Dates]]))=2,"Pass","Fail")</f>
        <v>Pass</v>
      </c>
      <c r="I910" s="1">
        <f>IFERROR(Comp3[[#This Row],[Comparable '#3 Return]]-INDEX(Benchmark1[Benchmark '#1 Return],MATCH(Comp3[[#This Row],[Comparable '#3 Dates]],Benchmark1[Benchmark '#1 Dates],0)),"-")</f>
        <v>-5.485389540663263E-2</v>
      </c>
      <c r="L910" s="72">
        <f>Comp3[[#This Row],[Comparable '#3 Price]]/$B$2*100</f>
        <v>45.090009384864778</v>
      </c>
    </row>
    <row r="911" spans="1:12">
      <c r="A911" s="96">
        <v>44603</v>
      </c>
      <c r="B911" s="101">
        <v>54.17</v>
      </c>
      <c r="C911" s="1">
        <f t="shared" si="28"/>
        <v>2.4669537353560905E-2</v>
      </c>
      <c r="D911" s="1">
        <f>IFERROR(Comp3[[#This Row],[Comparable '#3 Return]]+1,"-")</f>
        <v>1.0246695373535608</v>
      </c>
      <c r="E911" s="6">
        <f>B911-MAX($B$2:B911)</f>
        <v>-133.87</v>
      </c>
      <c r="F911" s="80">
        <f t="shared" si="29"/>
        <v>649</v>
      </c>
      <c r="G911" s="6">
        <f>IFERROR(Comp3[[#This Row],[Comparable '#3 Drawdown]]/MAX($B$2:B911),"-")</f>
        <v>-0.71192299510742396</v>
      </c>
      <c r="H911" s="1" t="str">
        <f>IF(SUM(COUNTIF(Benchmark1[Benchmark '#1 Dates],Comp3[[#This Row],[Comparable '#3 Dates]]),COUNTIF(Benchmark2[Benchmark '#2 Dates],Comp3[[#This Row],[Comparable '#3 Dates]]))=2,"Pass","Fail")</f>
        <v>Pass</v>
      </c>
      <c r="I911" s="1">
        <f>IFERROR(Comp3[[#This Row],[Comparable '#3 Return]]-INDEX(Benchmark1[Benchmark '#1 Return],MATCH(Comp3[[#This Row],[Comparable '#3 Dates]],Benchmark1[Benchmark '#1 Dates],0)),"-")</f>
        <v>4.3823084653121021E-2</v>
      </c>
      <c r="L911" s="72">
        <f>Comp3[[#This Row],[Comparable '#3 Price]]/$B$2*100</f>
        <v>46.216193157580413</v>
      </c>
    </row>
    <row r="912" spans="1:12">
      <c r="A912" s="96">
        <v>44606</v>
      </c>
      <c r="B912" s="101">
        <v>53.68</v>
      </c>
      <c r="C912" s="1">
        <f t="shared" si="28"/>
        <v>-9.0867570063811898E-3</v>
      </c>
      <c r="D912" s="1">
        <f>IFERROR(Comp3[[#This Row],[Comparable '#3 Return]]+1,"-")</f>
        <v>0.99091324299361883</v>
      </c>
      <c r="E912" s="6">
        <f>B912-MAX($B$2:B912)</f>
        <v>-134.35999999999999</v>
      </c>
      <c r="F912" s="80">
        <f t="shared" si="29"/>
        <v>650</v>
      </c>
      <c r="G912" s="6">
        <f>IFERROR(Comp3[[#This Row],[Comparable '#3 Drawdown]]/MAX($B$2:B912),"-")</f>
        <v>-0.71452882365454151</v>
      </c>
      <c r="H912" s="1" t="str">
        <f>IF(SUM(COUNTIF(Benchmark1[Benchmark '#1 Dates],Comp3[[#This Row],[Comparable '#3 Dates]]),COUNTIF(Benchmark2[Benchmark '#2 Dates],Comp3[[#This Row],[Comparable '#3 Dates]]))=2,"Pass","Fail")</f>
        <v>Pass</v>
      </c>
      <c r="I912" s="1">
        <f>IFERROR(Comp3[[#This Row],[Comparable '#3 Return]]-INDEX(Benchmark1[Benchmark '#1 Return],MATCH(Comp3[[#This Row],[Comparable '#3 Dates]],Benchmark1[Benchmark '#1 Dates],0)),"-")</f>
        <v>-5.2389175438703698E-3</v>
      </c>
      <c r="L912" s="72">
        <f>Comp3[[#This Row],[Comparable '#3 Price]]/$B$2*100</f>
        <v>45.798140090435972</v>
      </c>
    </row>
    <row r="913" spans="1:12">
      <c r="A913" s="96">
        <v>44607</v>
      </c>
      <c r="B913" s="101">
        <v>54.56</v>
      </c>
      <c r="C913" s="1">
        <f t="shared" si="28"/>
        <v>1.6260520871780326E-2</v>
      </c>
      <c r="D913" s="1">
        <f>IFERROR(Comp3[[#This Row],[Comparable '#3 Return]]+1,"-")</f>
        <v>1.0162605208717803</v>
      </c>
      <c r="E913" s="6">
        <f>B913-MAX($B$2:B913)</f>
        <v>-133.47999999999999</v>
      </c>
      <c r="F913" s="80">
        <f t="shared" si="29"/>
        <v>651</v>
      </c>
      <c r="G913" s="6">
        <f>IFERROR(Comp3[[#This Row],[Comparable '#3 Drawdown]]/MAX($B$2:B913),"-")</f>
        <v>-0.70984896830461597</v>
      </c>
      <c r="H913" s="1" t="str">
        <f>IF(SUM(COUNTIF(Benchmark1[Benchmark '#1 Dates],Comp3[[#This Row],[Comparable '#3 Dates]]),COUNTIF(Benchmark2[Benchmark '#2 Dates],Comp3[[#This Row],[Comparable '#3 Dates]]))=2,"Pass","Fail")</f>
        <v>Pass</v>
      </c>
      <c r="I913" s="1">
        <f>IFERROR(Comp3[[#This Row],[Comparable '#3 Return]]-INDEX(Benchmark1[Benchmark '#1 Return],MATCH(Comp3[[#This Row],[Comparable '#3 Dates]],Benchmark1[Benchmark '#1 Dates],0)),"-")</f>
        <v>6.1514609148887942E-4</v>
      </c>
      <c r="L913" s="72">
        <f>Comp3[[#This Row],[Comparable '#3 Price]]/$B$2*100</f>
        <v>46.548929272246397</v>
      </c>
    </row>
    <row r="914" spans="1:12">
      <c r="A914" s="96">
        <v>44608</v>
      </c>
      <c r="B914" s="101">
        <v>54.58</v>
      </c>
      <c r="C914" s="1">
        <f t="shared" si="28"/>
        <v>3.6650174498564184E-4</v>
      </c>
      <c r="D914" s="1">
        <f>IFERROR(Comp3[[#This Row],[Comparable '#3 Return]]+1,"-")</f>
        <v>1.0003665017449856</v>
      </c>
      <c r="E914" s="6">
        <f>B914-MAX($B$2:B914)</f>
        <v>-133.45999999999998</v>
      </c>
      <c r="F914" s="80">
        <f t="shared" si="29"/>
        <v>652</v>
      </c>
      <c r="G914" s="6">
        <f>IFERROR(Comp3[[#This Row],[Comparable '#3 Drawdown]]/MAX($B$2:B914),"-")</f>
        <v>-0.70974260795575406</v>
      </c>
      <c r="H914" s="1" t="str">
        <f>IF(SUM(COUNTIF(Benchmark1[Benchmark '#1 Dates],Comp3[[#This Row],[Comparable '#3 Dates]]),COUNTIF(Benchmark2[Benchmark '#2 Dates],Comp3[[#This Row],[Comparable '#3 Dates]]))=2,"Pass","Fail")</f>
        <v>Pass</v>
      </c>
      <c r="I914" s="1">
        <f>IFERROR(Comp3[[#This Row],[Comparable '#3 Return]]-INDEX(Benchmark1[Benchmark '#1 Return],MATCH(Comp3[[#This Row],[Comparable '#3 Dates]],Benchmark1[Benchmark '#1 Dates],0)),"-")</f>
        <v>-5.1362683931559857E-4</v>
      </c>
      <c r="L914" s="72">
        <f>Comp3[[#This Row],[Comparable '#3 Price]]/$B$2*100</f>
        <v>46.56599266274209</v>
      </c>
    </row>
    <row r="915" spans="1:12">
      <c r="A915" s="96">
        <v>44609</v>
      </c>
      <c r="B915" s="101">
        <v>51.24</v>
      </c>
      <c r="C915" s="1">
        <f t="shared" si="28"/>
        <v>-6.3147038251658863E-2</v>
      </c>
      <c r="D915" s="1">
        <f>IFERROR(Comp3[[#This Row],[Comparable '#3 Return]]+1,"-")</f>
        <v>0.9368529617483411</v>
      </c>
      <c r="E915" s="6">
        <f>B915-MAX($B$2:B915)</f>
        <v>-136.79999999999998</v>
      </c>
      <c r="F915" s="80">
        <f t="shared" si="29"/>
        <v>653</v>
      </c>
      <c r="G915" s="6">
        <f>IFERROR(Comp3[[#This Row],[Comparable '#3 Drawdown]]/MAX($B$2:B915),"-")</f>
        <v>-0.7275047862156987</v>
      </c>
      <c r="H915" s="1" t="str">
        <f>IF(SUM(COUNTIF(Benchmark1[Benchmark '#1 Dates],Comp3[[#This Row],[Comparable '#3 Dates]]),COUNTIF(Benchmark2[Benchmark '#2 Dates],Comp3[[#This Row],[Comparable '#3 Dates]]))=2,"Pass","Fail")</f>
        <v>Pass</v>
      </c>
      <c r="I915" s="1">
        <f>IFERROR(Comp3[[#This Row],[Comparable '#3 Return]]-INDEX(Benchmark1[Benchmark '#1 Return],MATCH(Comp3[[#This Row],[Comparable '#3 Dates]],Benchmark1[Benchmark '#1 Dates],0)),"-")</f>
        <v>-4.1745961367253656E-2</v>
      </c>
      <c r="L915" s="72">
        <f>Comp3[[#This Row],[Comparable '#3 Price]]/$B$2*100</f>
        <v>43.71640644996161</v>
      </c>
    </row>
    <row r="916" spans="1:12">
      <c r="A916" s="96">
        <v>44610</v>
      </c>
      <c r="B916" s="101">
        <v>51.75</v>
      </c>
      <c r="C916" s="1">
        <f t="shared" si="28"/>
        <v>9.9039551169450239E-3</v>
      </c>
      <c r="D916" s="1">
        <f>IFERROR(Comp3[[#This Row],[Comparable '#3 Return]]+1,"-")</f>
        <v>1.0099039551169451</v>
      </c>
      <c r="E916" s="6">
        <f>B916-MAX($B$2:B916)</f>
        <v>-136.29</v>
      </c>
      <c r="F916" s="80">
        <f t="shared" si="29"/>
        <v>654</v>
      </c>
      <c r="G916" s="6">
        <f>IFERROR(Comp3[[#This Row],[Comparable '#3 Drawdown]]/MAX($B$2:B916),"-")</f>
        <v>-0.72479259731971923</v>
      </c>
      <c r="H916" s="1" t="str">
        <f>IF(SUM(COUNTIF(Benchmark1[Benchmark '#1 Dates],Comp3[[#This Row],[Comparable '#3 Dates]]),COUNTIF(Benchmark2[Benchmark '#2 Dates],Comp3[[#This Row],[Comparable '#3 Dates]]))=2,"Pass","Fail")</f>
        <v>Pass</v>
      </c>
      <c r="I916" s="1">
        <f>IFERROR(Comp3[[#This Row],[Comparable '#3 Return]]-INDEX(Benchmark1[Benchmark '#1 Return],MATCH(Comp3[[#This Row],[Comparable '#3 Dates]],Benchmark1[Benchmark '#1 Dates],0)),"-")</f>
        <v>1.7095853819511633E-2</v>
      </c>
      <c r="L916" s="72">
        <f>Comp3[[#This Row],[Comparable '#3 Price]]/$B$2*100</f>
        <v>44.151522907601745</v>
      </c>
    </row>
    <row r="917" spans="1:12">
      <c r="A917" s="96">
        <v>44614</v>
      </c>
      <c r="B917" s="101">
        <v>51.67</v>
      </c>
      <c r="C917" s="1">
        <f t="shared" si="28"/>
        <v>-1.5470898463851833E-3</v>
      </c>
      <c r="D917" s="1">
        <f>IFERROR(Comp3[[#This Row],[Comparable '#3 Return]]+1,"-")</f>
        <v>0.99845291015361481</v>
      </c>
      <c r="E917" s="6">
        <f>B917-MAX($B$2:B917)</f>
        <v>-136.37</v>
      </c>
      <c r="F917" s="80">
        <f t="shared" si="29"/>
        <v>655</v>
      </c>
      <c r="G917" s="6">
        <f>IFERROR(Comp3[[#This Row],[Comparable '#3 Drawdown]]/MAX($B$2:B917),"-")</f>
        <v>-0.72521803871516699</v>
      </c>
      <c r="H917" s="1" t="str">
        <f>IF(SUM(COUNTIF(Benchmark1[Benchmark '#1 Dates],Comp3[[#This Row],[Comparable '#3 Dates]]),COUNTIF(Benchmark2[Benchmark '#2 Dates],Comp3[[#This Row],[Comparable '#3 Dates]]))=2,"Pass","Fail")</f>
        <v>Pass</v>
      </c>
      <c r="I917" s="1">
        <f>IFERROR(Comp3[[#This Row],[Comparable '#3 Return]]-INDEX(Benchmark1[Benchmark '#1 Return],MATCH(Comp3[[#This Row],[Comparable '#3 Dates]],Benchmark1[Benchmark '#1 Dates],0)),"-")</f>
        <v>8.6479364418299582E-3</v>
      </c>
      <c r="L917" s="72">
        <f>Comp3[[#This Row],[Comparable '#3 Price]]/$B$2*100</f>
        <v>44.08326934561898</v>
      </c>
    </row>
    <row r="918" spans="1:12">
      <c r="A918" s="96">
        <v>44615</v>
      </c>
      <c r="B918" s="101">
        <v>49.8</v>
      </c>
      <c r="C918" s="1">
        <f t="shared" si="28"/>
        <v>-3.6862358268486092E-2</v>
      </c>
      <c r="D918" s="1">
        <f>IFERROR(Comp3[[#This Row],[Comparable '#3 Return]]+1,"-")</f>
        <v>0.96313764173151395</v>
      </c>
      <c r="E918" s="6">
        <f>B918-MAX($B$2:B918)</f>
        <v>-138.24</v>
      </c>
      <c r="F918" s="80">
        <f t="shared" si="29"/>
        <v>656</v>
      </c>
      <c r="G918" s="6">
        <f>IFERROR(Comp3[[#This Row],[Comparable '#3 Drawdown]]/MAX($B$2:B918),"-")</f>
        <v>-0.73516273133375887</v>
      </c>
      <c r="H918" s="1" t="str">
        <f>IF(SUM(COUNTIF(Benchmark1[Benchmark '#1 Dates],Comp3[[#This Row],[Comparable '#3 Dates]]),COUNTIF(Benchmark2[Benchmark '#2 Dates],Comp3[[#This Row],[Comparable '#3 Dates]]))=2,"Pass","Fail")</f>
        <v>Pass</v>
      </c>
      <c r="I918" s="1">
        <f>IFERROR(Comp3[[#This Row],[Comparable '#3 Return]]-INDEX(Benchmark1[Benchmark '#1 Return],MATCH(Comp3[[#This Row],[Comparable '#3 Dates]],Benchmark1[Benchmark '#1 Dates],0)),"-")</f>
        <v>-1.8280280208269897E-2</v>
      </c>
      <c r="L918" s="72">
        <f>Comp3[[#This Row],[Comparable '#3 Price]]/$B$2*100</f>
        <v>42.487842334271818</v>
      </c>
    </row>
    <row r="919" spans="1:12">
      <c r="A919" s="96">
        <v>44616</v>
      </c>
      <c r="B919" s="101">
        <v>50.05</v>
      </c>
      <c r="C919" s="1">
        <f t="shared" si="28"/>
        <v>5.0075217306224133E-3</v>
      </c>
      <c r="D919" s="1">
        <f>IFERROR(Comp3[[#This Row],[Comparable '#3 Return]]+1,"-")</f>
        <v>1.0050075217306225</v>
      </c>
      <c r="E919" s="6">
        <f>B919-MAX($B$2:B919)</f>
        <v>-137.99</v>
      </c>
      <c r="F919" s="80">
        <f t="shared" si="29"/>
        <v>657</v>
      </c>
      <c r="G919" s="6">
        <f>IFERROR(Comp3[[#This Row],[Comparable '#3 Drawdown]]/MAX($B$2:B919),"-")</f>
        <v>-0.73383322697298459</v>
      </c>
      <c r="H919" s="1" t="str">
        <f>IF(SUM(COUNTIF(Benchmark1[Benchmark '#1 Dates],Comp3[[#This Row],[Comparable '#3 Dates]]),COUNTIF(Benchmark2[Benchmark '#2 Dates],Comp3[[#This Row],[Comparable '#3 Dates]]))=2,"Pass","Fail")</f>
        <v>Pass</v>
      </c>
      <c r="I919" s="1">
        <f>IFERROR(Comp3[[#This Row],[Comparable '#3 Return]]-INDEX(Benchmark1[Benchmark '#1 Return],MATCH(Comp3[[#This Row],[Comparable '#3 Dates]],Benchmark1[Benchmark '#1 Dates],0)),"-")</f>
        <v>-9.8364531808355221E-3</v>
      </c>
      <c r="L919" s="72">
        <f>Comp3[[#This Row],[Comparable '#3 Price]]/$B$2*100</f>
        <v>42.701134715467965</v>
      </c>
    </row>
    <row r="920" spans="1:12">
      <c r="A920" s="96">
        <v>44617</v>
      </c>
      <c r="B920" s="101">
        <v>60.74</v>
      </c>
      <c r="C920" s="1">
        <f t="shared" si="28"/>
        <v>0.19357995385637314</v>
      </c>
      <c r="D920" s="1">
        <f>IFERROR(Comp3[[#This Row],[Comparable '#3 Return]]+1,"-")</f>
        <v>1.1935799538563732</v>
      </c>
      <c r="E920" s="6">
        <f>B920-MAX($B$2:B920)</f>
        <v>-127.29999999999998</v>
      </c>
      <c r="F920" s="80">
        <f t="shared" si="29"/>
        <v>658</v>
      </c>
      <c r="G920" s="6">
        <f>IFERROR(Comp3[[#This Row],[Comparable '#3 Drawdown]]/MAX($B$2:B920),"-")</f>
        <v>-0.67698362050627525</v>
      </c>
      <c r="H920" s="1" t="str">
        <f>IF(SUM(COUNTIF(Benchmark1[Benchmark '#1 Dates],Comp3[[#This Row],[Comparable '#3 Dates]]),COUNTIF(Benchmark2[Benchmark '#2 Dates],Comp3[[#This Row],[Comparable '#3 Dates]]))=2,"Pass","Fail")</f>
        <v>Pass</v>
      </c>
      <c r="I920" s="1">
        <f>IFERROR(Comp3[[#This Row],[Comparable '#3 Return]]-INDEX(Benchmark1[Benchmark '#1 Return],MATCH(Comp3[[#This Row],[Comparable '#3 Dates]],Benchmark1[Benchmark '#1 Dates],0)),"-")</f>
        <v>0.1714518515842948</v>
      </c>
      <c r="L920" s="72">
        <f>Comp3[[#This Row],[Comparable '#3 Price]]/$B$2*100</f>
        <v>51.821516935415069</v>
      </c>
    </row>
    <row r="921" spans="1:12">
      <c r="A921" s="96">
        <v>44620</v>
      </c>
      <c r="B921" s="101">
        <v>59.02</v>
      </c>
      <c r="C921" s="1">
        <f t="shared" si="28"/>
        <v>-2.8726090102809354E-2</v>
      </c>
      <c r="D921" s="1">
        <f>IFERROR(Comp3[[#This Row],[Comparable '#3 Return]]+1,"-")</f>
        <v>0.97127390989719065</v>
      </c>
      <c r="E921" s="6">
        <f>B921-MAX($B$2:B921)</f>
        <v>-129.01999999999998</v>
      </c>
      <c r="F921" s="80">
        <f t="shared" si="29"/>
        <v>659</v>
      </c>
      <c r="G921" s="6">
        <f>IFERROR(Comp3[[#This Row],[Comparable '#3 Drawdown]]/MAX($B$2:B921),"-")</f>
        <v>-0.68613061050840241</v>
      </c>
      <c r="H921" s="1" t="str">
        <f>IF(SUM(COUNTIF(Benchmark1[Benchmark '#1 Dates],Comp3[[#This Row],[Comparable '#3 Dates]]),COUNTIF(Benchmark2[Benchmark '#2 Dates],Comp3[[#This Row],[Comparable '#3 Dates]]))=2,"Pass","Fail")</f>
        <v>Pass</v>
      </c>
      <c r="I921" s="1">
        <f>IFERROR(Comp3[[#This Row],[Comparable '#3 Return]]-INDEX(Benchmark1[Benchmark '#1 Return],MATCH(Comp3[[#This Row],[Comparable '#3 Dates]],Benchmark1[Benchmark '#1 Dates],0)),"-")</f>
        <v>-2.6279270902782884E-2</v>
      </c>
      <c r="L921" s="72">
        <f>Comp3[[#This Row],[Comparable '#3 Price]]/$B$2*100</f>
        <v>50.354065352785604</v>
      </c>
    </row>
    <row r="922" spans="1:12">
      <c r="A922" s="96">
        <v>44621</v>
      </c>
      <c r="B922" s="101">
        <v>58.9</v>
      </c>
      <c r="C922" s="1">
        <f t="shared" si="28"/>
        <v>-2.0352788572523635E-3</v>
      </c>
      <c r="D922" s="1">
        <f>IFERROR(Comp3[[#This Row],[Comparable '#3 Return]]+1,"-")</f>
        <v>0.99796472114274759</v>
      </c>
      <c r="E922" s="6">
        <f>B922-MAX($B$2:B922)</f>
        <v>-129.13999999999999</v>
      </c>
      <c r="F922" s="80">
        <f t="shared" si="29"/>
        <v>660</v>
      </c>
      <c r="G922" s="6">
        <f>IFERROR(Comp3[[#This Row],[Comparable '#3 Drawdown]]/MAX($B$2:B922),"-")</f>
        <v>-0.6867687726015741</v>
      </c>
      <c r="H922" s="1" t="str">
        <f>IF(SUM(COUNTIF(Benchmark1[Benchmark '#1 Dates],Comp3[[#This Row],[Comparable '#3 Dates]]),COUNTIF(Benchmark2[Benchmark '#2 Dates],Comp3[[#This Row],[Comparable '#3 Dates]]))=2,"Pass","Fail")</f>
        <v>Pass</v>
      </c>
      <c r="I922" s="1">
        <f>IFERROR(Comp3[[#This Row],[Comparable '#3 Return]]-INDEX(Benchmark1[Benchmark '#1 Return],MATCH(Comp3[[#This Row],[Comparable '#3 Dates]],Benchmark1[Benchmark '#1 Dates],0)),"-")</f>
        <v>1.35592102708029E-2</v>
      </c>
      <c r="L922" s="72">
        <f>Comp3[[#This Row],[Comparable '#3 Price]]/$B$2*100</f>
        <v>50.251685009811453</v>
      </c>
    </row>
    <row r="923" spans="1:12">
      <c r="A923" s="96">
        <v>44622</v>
      </c>
      <c r="B923" s="101">
        <v>60.45</v>
      </c>
      <c r="C923" s="1">
        <f t="shared" si="28"/>
        <v>2.5975486403260736E-2</v>
      </c>
      <c r="D923" s="1">
        <f>IFERROR(Comp3[[#This Row],[Comparable '#3 Return]]+1,"-")</f>
        <v>1.0259754864032606</v>
      </c>
      <c r="E923" s="6">
        <f>B923-MAX($B$2:B923)</f>
        <v>-127.58999999999999</v>
      </c>
      <c r="F923" s="80">
        <f t="shared" si="29"/>
        <v>661</v>
      </c>
      <c r="G923" s="6">
        <f>IFERROR(Comp3[[#This Row],[Comparable '#3 Drawdown]]/MAX($B$2:B923),"-")</f>
        <v>-0.67852584556477347</v>
      </c>
      <c r="H923" s="1" t="str">
        <f>IF(SUM(COUNTIF(Benchmark1[Benchmark '#1 Dates],Comp3[[#This Row],[Comparable '#3 Dates]]),COUNTIF(Benchmark2[Benchmark '#2 Dates],Comp3[[#This Row],[Comparable '#3 Dates]]))=2,"Pass","Fail")</f>
        <v>Pass</v>
      </c>
      <c r="I923" s="1">
        <f>IFERROR(Comp3[[#This Row],[Comparable '#3 Return]]-INDEX(Benchmark1[Benchmark '#1 Return],MATCH(Comp3[[#This Row],[Comparable '#3 Dates]],Benchmark1[Benchmark '#1 Dates],0)),"-")</f>
        <v>7.5033133462956737E-3</v>
      </c>
      <c r="L923" s="72">
        <f>Comp3[[#This Row],[Comparable '#3 Price]]/$B$2*100</f>
        <v>51.574097773227543</v>
      </c>
    </row>
    <row r="924" spans="1:12">
      <c r="A924" s="96">
        <v>44623</v>
      </c>
      <c r="B924" s="101">
        <v>58.8</v>
      </c>
      <c r="C924" s="1">
        <f t="shared" si="28"/>
        <v>-2.7674722156220594E-2</v>
      </c>
      <c r="D924" s="1">
        <f>IFERROR(Comp3[[#This Row],[Comparable '#3 Return]]+1,"-")</f>
        <v>0.97232527784377942</v>
      </c>
      <c r="E924" s="6">
        <f>B924-MAX($B$2:B924)</f>
        <v>-129.24</v>
      </c>
      <c r="F924" s="80">
        <f t="shared" si="29"/>
        <v>662</v>
      </c>
      <c r="G924" s="6">
        <f>IFERROR(Comp3[[#This Row],[Comparable '#3 Drawdown]]/MAX($B$2:B924),"-")</f>
        <v>-0.68730057434588399</v>
      </c>
      <c r="H924" s="1" t="str">
        <f>IF(SUM(COUNTIF(Benchmark1[Benchmark '#1 Dates],Comp3[[#This Row],[Comparable '#3 Dates]]),COUNTIF(Benchmark2[Benchmark '#2 Dates],Comp3[[#This Row],[Comparable '#3 Dates]]))=2,"Pass","Fail")</f>
        <v>Pass</v>
      </c>
      <c r="I924" s="1">
        <f>IFERROR(Comp3[[#This Row],[Comparable '#3 Return]]-INDEX(Benchmark1[Benchmark '#1 Return],MATCH(Comp3[[#This Row],[Comparable '#3 Dates]],Benchmark1[Benchmark '#1 Dates],0)),"-")</f>
        <v>-2.2404479024527819E-2</v>
      </c>
      <c r="L924" s="72">
        <f>Comp3[[#This Row],[Comparable '#3 Price]]/$B$2*100</f>
        <v>50.166368057332988</v>
      </c>
    </row>
    <row r="925" spans="1:12">
      <c r="A925" s="96">
        <v>44624</v>
      </c>
      <c r="B925" s="101">
        <v>58.28</v>
      </c>
      <c r="C925" s="1">
        <f t="shared" si="28"/>
        <v>-8.8828735775770724E-3</v>
      </c>
      <c r="D925" s="1">
        <f>IFERROR(Comp3[[#This Row],[Comparable '#3 Return]]+1,"-")</f>
        <v>0.99111712642242289</v>
      </c>
      <c r="E925" s="6">
        <f>B925-MAX($B$2:B925)</f>
        <v>-129.76</v>
      </c>
      <c r="F925" s="80">
        <f t="shared" si="29"/>
        <v>663</v>
      </c>
      <c r="G925" s="6">
        <f>IFERROR(Comp3[[#This Row],[Comparable '#3 Drawdown]]/MAX($B$2:B925),"-")</f>
        <v>-0.69006594341629435</v>
      </c>
      <c r="H925" s="1" t="str">
        <f>IF(SUM(COUNTIF(Benchmark1[Benchmark '#1 Dates],Comp3[[#This Row],[Comparable '#3 Dates]]),COUNTIF(Benchmark2[Benchmark '#2 Dates],Comp3[[#This Row],[Comparable '#3 Dates]]))=2,"Pass","Fail")</f>
        <v>Pass</v>
      </c>
      <c r="I925" s="1">
        <f>IFERROR(Comp3[[#This Row],[Comparable '#3 Return]]-INDEX(Benchmark1[Benchmark '#1 Return],MATCH(Comp3[[#This Row],[Comparable '#3 Dates]],Benchmark1[Benchmark '#1 Dates],0)),"-")</f>
        <v>-9.1862741829891285E-4</v>
      </c>
      <c r="L925" s="72">
        <f>Comp3[[#This Row],[Comparable '#3 Price]]/$B$2*100</f>
        <v>49.722719904445015</v>
      </c>
    </row>
    <row r="926" spans="1:12">
      <c r="A926" s="96">
        <v>44627</v>
      </c>
      <c r="B926" s="101">
        <v>57.29</v>
      </c>
      <c r="C926" s="1">
        <f t="shared" si="28"/>
        <v>-1.7132892906517698E-2</v>
      </c>
      <c r="D926" s="1">
        <f>IFERROR(Comp3[[#This Row],[Comparable '#3 Return]]+1,"-")</f>
        <v>0.98286710709348235</v>
      </c>
      <c r="E926" s="6">
        <f>B926-MAX($B$2:B926)</f>
        <v>-130.75</v>
      </c>
      <c r="F926" s="80">
        <f t="shared" si="29"/>
        <v>664</v>
      </c>
      <c r="G926" s="6">
        <f>IFERROR(Comp3[[#This Row],[Comparable '#3 Drawdown]]/MAX($B$2:B926),"-")</f>
        <v>-0.69533078068496068</v>
      </c>
      <c r="H926" s="1" t="str">
        <f>IF(SUM(COUNTIF(Benchmark1[Benchmark '#1 Dates],Comp3[[#This Row],[Comparable '#3 Dates]]),COUNTIF(Benchmark2[Benchmark '#2 Dates],Comp3[[#This Row],[Comparable '#3 Dates]]))=2,"Pass","Fail")</f>
        <v>Pass</v>
      </c>
      <c r="I926" s="1">
        <f>IFERROR(Comp3[[#This Row],[Comparable '#3 Return]]-INDEX(Benchmark1[Benchmark '#1 Return],MATCH(Comp3[[#This Row],[Comparable '#3 Dates]],Benchmark1[Benchmark '#1 Dates],0)),"-")</f>
        <v>1.2830821667040242E-2</v>
      </c>
      <c r="L926" s="72">
        <f>Comp3[[#This Row],[Comparable '#3 Price]]/$B$2*100</f>
        <v>48.878082074908285</v>
      </c>
    </row>
    <row r="927" spans="1:12">
      <c r="A927" s="96">
        <v>44628</v>
      </c>
      <c r="B927" s="101">
        <v>56.56</v>
      </c>
      <c r="C927" s="1">
        <f t="shared" si="28"/>
        <v>-1.2824066832169037E-2</v>
      </c>
      <c r="D927" s="1">
        <f>IFERROR(Comp3[[#This Row],[Comparable '#3 Return]]+1,"-")</f>
        <v>0.98717593316783092</v>
      </c>
      <c r="E927" s="6">
        <f>B927-MAX($B$2:B927)</f>
        <v>-131.47999999999999</v>
      </c>
      <c r="F927" s="80">
        <f t="shared" si="29"/>
        <v>665</v>
      </c>
      <c r="G927" s="6">
        <f>IFERROR(Comp3[[#This Row],[Comparable '#3 Drawdown]]/MAX($B$2:B927),"-")</f>
        <v>-0.69921293341842161</v>
      </c>
      <c r="H927" s="1" t="str">
        <f>IF(SUM(COUNTIF(Benchmark1[Benchmark '#1 Dates],Comp3[[#This Row],[Comparable '#3 Dates]]),COUNTIF(Benchmark2[Benchmark '#2 Dates],Comp3[[#This Row],[Comparable '#3 Dates]]))=2,"Pass","Fail")</f>
        <v>Pass</v>
      </c>
      <c r="I927" s="1">
        <f>IFERROR(Comp3[[#This Row],[Comparable '#3 Return]]-INDEX(Benchmark1[Benchmark '#1 Return],MATCH(Comp3[[#This Row],[Comparable '#3 Dates]],Benchmark1[Benchmark '#1 Dates],0)),"-")</f>
        <v>-5.5654480928619332E-3</v>
      </c>
      <c r="L927" s="72">
        <f>Comp3[[#This Row],[Comparable '#3 Price]]/$B$2*100</f>
        <v>48.255268321815549</v>
      </c>
    </row>
    <row r="928" spans="1:12">
      <c r="A928" s="96">
        <v>44629</v>
      </c>
      <c r="B928" s="101">
        <v>57.12</v>
      </c>
      <c r="C928" s="1">
        <f t="shared" si="28"/>
        <v>9.8522964430116395E-3</v>
      </c>
      <c r="D928" s="1">
        <f>IFERROR(Comp3[[#This Row],[Comparable '#3 Return]]+1,"-")</f>
        <v>1.0098522964430117</v>
      </c>
      <c r="E928" s="6">
        <f>B928-MAX($B$2:B928)</f>
        <v>-130.91999999999999</v>
      </c>
      <c r="F928" s="80">
        <f t="shared" si="29"/>
        <v>666</v>
      </c>
      <c r="G928" s="6">
        <f>IFERROR(Comp3[[#This Row],[Comparable '#3 Drawdown]]/MAX($B$2:B928),"-")</f>
        <v>-0.69623484365028709</v>
      </c>
      <c r="H928" s="1" t="str">
        <f>IF(SUM(COUNTIF(Benchmark1[Benchmark '#1 Dates],Comp3[[#This Row],[Comparable '#3 Dates]]),COUNTIF(Benchmark2[Benchmark '#2 Dates],Comp3[[#This Row],[Comparable '#3 Dates]]))=2,"Pass","Fail")</f>
        <v>Pass</v>
      </c>
      <c r="I928" s="1">
        <f>IFERROR(Comp3[[#This Row],[Comparable '#3 Return]]-INDEX(Benchmark1[Benchmark '#1 Return],MATCH(Comp3[[#This Row],[Comparable '#3 Dates]],Benchmark1[Benchmark '#1 Dates],0)),"-")</f>
        <v>-1.5520415834543085E-2</v>
      </c>
      <c r="L928" s="72">
        <f>Comp3[[#This Row],[Comparable '#3 Price]]/$B$2*100</f>
        <v>48.733043255694909</v>
      </c>
    </row>
    <row r="929" spans="1:12">
      <c r="A929" s="96">
        <v>44630</v>
      </c>
      <c r="B929" s="101">
        <v>58.53</v>
      </c>
      <c r="C929" s="1">
        <f t="shared" si="28"/>
        <v>2.4385125271800718E-2</v>
      </c>
      <c r="D929" s="1">
        <f>IFERROR(Comp3[[#This Row],[Comparable '#3 Return]]+1,"-")</f>
        <v>1.0243851252718008</v>
      </c>
      <c r="E929" s="6">
        <f>B929-MAX($B$2:B929)</f>
        <v>-129.51</v>
      </c>
      <c r="F929" s="80">
        <f t="shared" si="29"/>
        <v>667</v>
      </c>
      <c r="G929" s="6">
        <f>IFERROR(Comp3[[#This Row],[Comparable '#3 Drawdown]]/MAX($B$2:B929),"-")</f>
        <v>-0.68873643905552007</v>
      </c>
      <c r="H929" s="1" t="str">
        <f>IF(SUM(COUNTIF(Benchmark1[Benchmark '#1 Dates],Comp3[[#This Row],[Comparable '#3 Dates]]),COUNTIF(Benchmark2[Benchmark '#2 Dates],Comp3[[#This Row],[Comparable '#3 Dates]]))=2,"Pass","Fail")</f>
        <v>Pass</v>
      </c>
      <c r="I929" s="1">
        <f>IFERROR(Comp3[[#This Row],[Comparable '#3 Return]]-INDEX(Benchmark1[Benchmark '#1 Return],MATCH(Comp3[[#This Row],[Comparable '#3 Dates]],Benchmark1[Benchmark '#1 Dates],0)),"-")</f>
        <v>2.8685057609697511E-2</v>
      </c>
      <c r="L929" s="72">
        <f>Comp3[[#This Row],[Comparable '#3 Price]]/$B$2*100</f>
        <v>49.936012285641162</v>
      </c>
    </row>
    <row r="930" spans="1:12">
      <c r="A930" s="96">
        <v>44631</v>
      </c>
      <c r="B930" s="101">
        <v>59.29</v>
      </c>
      <c r="C930" s="1">
        <f t="shared" si="28"/>
        <v>1.2901214416146833E-2</v>
      </c>
      <c r="D930" s="1">
        <f>IFERROR(Comp3[[#This Row],[Comparable '#3 Return]]+1,"-")</f>
        <v>1.0129012144161469</v>
      </c>
      <c r="E930" s="6">
        <f>B930-MAX($B$2:B930)</f>
        <v>-128.75</v>
      </c>
      <c r="F930" s="80">
        <f t="shared" si="29"/>
        <v>668</v>
      </c>
      <c r="G930" s="6">
        <f>IFERROR(Comp3[[#This Row],[Comparable '#3 Drawdown]]/MAX($B$2:B930),"-")</f>
        <v>-0.68469474579876621</v>
      </c>
      <c r="H930" s="1" t="str">
        <f>IF(SUM(COUNTIF(Benchmark1[Benchmark '#1 Dates],Comp3[[#This Row],[Comparable '#3 Dates]]),COUNTIF(Benchmark2[Benchmark '#2 Dates],Comp3[[#This Row],[Comparable '#3 Dates]]))=2,"Pass","Fail")</f>
        <v>Pass</v>
      </c>
      <c r="I930" s="1">
        <f>IFERROR(Comp3[[#This Row],[Comparable '#3 Return]]-INDEX(Benchmark1[Benchmark '#1 Return],MATCH(Comp3[[#This Row],[Comparable '#3 Dates]],Benchmark1[Benchmark '#1 Dates],0)),"-")</f>
        <v>2.5948236050736033E-2</v>
      </c>
      <c r="L930" s="72">
        <f>Comp3[[#This Row],[Comparable '#3 Price]]/$B$2*100</f>
        <v>50.584421124477444</v>
      </c>
    </row>
    <row r="931" spans="1:12">
      <c r="A931" s="96">
        <v>44634</v>
      </c>
      <c r="B931" s="101">
        <v>58.41</v>
      </c>
      <c r="C931" s="1">
        <f t="shared" si="28"/>
        <v>-1.4953549667058358E-2</v>
      </c>
      <c r="D931" s="1">
        <f>IFERROR(Comp3[[#This Row],[Comparable '#3 Return]]+1,"-")</f>
        <v>0.98504645033294169</v>
      </c>
      <c r="E931" s="6">
        <f>B931-MAX($B$2:B931)</f>
        <v>-129.63</v>
      </c>
      <c r="F931" s="80">
        <f t="shared" si="29"/>
        <v>669</v>
      </c>
      <c r="G931" s="6">
        <f>IFERROR(Comp3[[#This Row],[Comparable '#3 Drawdown]]/MAX($B$2:B931),"-")</f>
        <v>-0.68937460114869176</v>
      </c>
      <c r="H931" s="1" t="str">
        <f>IF(SUM(COUNTIF(Benchmark1[Benchmark '#1 Dates],Comp3[[#This Row],[Comparable '#3 Dates]]),COUNTIF(Benchmark2[Benchmark '#2 Dates],Comp3[[#This Row],[Comparable '#3 Dates]]))=2,"Pass","Fail")</f>
        <v>Pass</v>
      </c>
      <c r="I931" s="1">
        <f>IFERROR(Comp3[[#This Row],[Comparable '#3 Return]]-INDEX(Benchmark1[Benchmark '#1 Return],MATCH(Comp3[[#This Row],[Comparable '#3 Dates]],Benchmark1[Benchmark '#1 Dates],0)),"-")</f>
        <v>-7.5048943727269507E-3</v>
      </c>
      <c r="L931" s="72">
        <f>Comp3[[#This Row],[Comparable '#3 Price]]/$B$2*100</f>
        <v>49.833631942667004</v>
      </c>
    </row>
    <row r="932" spans="1:12">
      <c r="A932" s="96">
        <v>44635</v>
      </c>
      <c r="B932" s="101">
        <v>61.47</v>
      </c>
      <c r="C932" s="1">
        <f t="shared" si="28"/>
        <v>5.1062142866700189E-2</v>
      </c>
      <c r="D932" s="1">
        <f>IFERROR(Comp3[[#This Row],[Comparable '#3 Return]]+1,"-")</f>
        <v>1.0510621428667002</v>
      </c>
      <c r="E932" s="6">
        <f>B932-MAX($B$2:B932)</f>
        <v>-126.57</v>
      </c>
      <c r="F932" s="80">
        <f t="shared" si="29"/>
        <v>670</v>
      </c>
      <c r="G932" s="6">
        <f>IFERROR(Comp3[[#This Row],[Comparable '#3 Drawdown]]/MAX($B$2:B932),"-")</f>
        <v>-0.67310146777281432</v>
      </c>
      <c r="H932" s="1" t="str">
        <f>IF(SUM(COUNTIF(Benchmark1[Benchmark '#1 Dates],Comp3[[#This Row],[Comparable '#3 Dates]]),COUNTIF(Benchmark2[Benchmark '#2 Dates],Comp3[[#This Row],[Comparable '#3 Dates]]))=2,"Pass","Fail")</f>
        <v>Pass</v>
      </c>
      <c r="I932" s="1">
        <f>IFERROR(Comp3[[#This Row],[Comparable '#3 Return]]-INDEX(Benchmark1[Benchmark '#1 Return],MATCH(Comp3[[#This Row],[Comparable '#3 Dates]],Benchmark1[Benchmark '#1 Dates],0)),"-")</f>
        <v>2.9881035810743122E-2</v>
      </c>
      <c r="L932" s="72">
        <f>Comp3[[#This Row],[Comparable '#3 Price]]/$B$2*100</f>
        <v>52.444330688507812</v>
      </c>
    </row>
    <row r="933" spans="1:12">
      <c r="A933" s="96">
        <v>44636</v>
      </c>
      <c r="B933" s="101">
        <v>60.83</v>
      </c>
      <c r="C933" s="1">
        <f t="shared" si="28"/>
        <v>-1.046616258630414E-2</v>
      </c>
      <c r="D933" s="1">
        <f>IFERROR(Comp3[[#This Row],[Comparable '#3 Return]]+1,"-")</f>
        <v>0.98953383741369583</v>
      </c>
      <c r="E933" s="6">
        <f>B933-MAX($B$2:B933)</f>
        <v>-127.21</v>
      </c>
      <c r="F933" s="80">
        <f t="shared" si="29"/>
        <v>671</v>
      </c>
      <c r="G933" s="6">
        <f>IFERROR(Comp3[[#This Row],[Comparable '#3 Drawdown]]/MAX($B$2:B933),"-")</f>
        <v>-0.67650499893639648</v>
      </c>
      <c r="H933" s="1" t="str">
        <f>IF(SUM(COUNTIF(Benchmark1[Benchmark '#1 Dates],Comp3[[#This Row],[Comparable '#3 Dates]]),COUNTIF(Benchmark2[Benchmark '#2 Dates],Comp3[[#This Row],[Comparable '#3 Dates]]))=2,"Pass","Fail")</f>
        <v>Pass</v>
      </c>
      <c r="I933" s="1">
        <f>IFERROR(Comp3[[#This Row],[Comparable '#3 Return]]-INDEX(Benchmark1[Benchmark '#1 Return],MATCH(Comp3[[#This Row],[Comparable '#3 Dates]],Benchmark1[Benchmark '#1 Dates],0)),"-")</f>
        <v>-3.260352595193497E-2</v>
      </c>
      <c r="L933" s="72">
        <f>Comp3[[#This Row],[Comparable '#3 Price]]/$B$2*100</f>
        <v>51.898302192645687</v>
      </c>
    </row>
    <row r="934" spans="1:12">
      <c r="A934" s="96">
        <v>44637</v>
      </c>
      <c r="B934" s="101">
        <v>61.54</v>
      </c>
      <c r="C934" s="1">
        <f t="shared" si="28"/>
        <v>1.1604281561281718E-2</v>
      </c>
      <c r="D934" s="1">
        <f>IFERROR(Comp3[[#This Row],[Comparable '#3 Return]]+1,"-")</f>
        <v>1.0116042815612818</v>
      </c>
      <c r="E934" s="6">
        <f>B934-MAX($B$2:B934)</f>
        <v>-126.5</v>
      </c>
      <c r="F934" s="80">
        <f t="shared" si="29"/>
        <v>672</v>
      </c>
      <c r="G934" s="6">
        <f>IFERROR(Comp3[[#This Row],[Comparable '#3 Drawdown]]/MAX($B$2:B934),"-")</f>
        <v>-0.67272920655179747</v>
      </c>
      <c r="H934" s="1" t="str">
        <f>IF(SUM(COUNTIF(Benchmark1[Benchmark '#1 Dates],Comp3[[#This Row],[Comparable '#3 Dates]]),COUNTIF(Benchmark2[Benchmark '#2 Dates],Comp3[[#This Row],[Comparable '#3 Dates]]))=2,"Pass","Fail")</f>
        <v>Pass</v>
      </c>
      <c r="I934" s="1">
        <f>IFERROR(Comp3[[#This Row],[Comparable '#3 Return]]-INDEX(Benchmark1[Benchmark '#1 Return],MATCH(Comp3[[#This Row],[Comparable '#3 Dates]],Benchmark1[Benchmark '#1 Dates],0)),"-")</f>
        <v>-6.6803573428680235E-4</v>
      </c>
      <c r="L934" s="72">
        <f>Comp3[[#This Row],[Comparable '#3 Price]]/$B$2*100</f>
        <v>52.50405255524273</v>
      </c>
    </row>
    <row r="935" spans="1:12">
      <c r="A935" s="96">
        <v>44638</v>
      </c>
      <c r="B935" s="101">
        <v>63.5</v>
      </c>
      <c r="C935" s="1">
        <f t="shared" si="28"/>
        <v>3.1352536004750291E-2</v>
      </c>
      <c r="D935" s="1">
        <f>IFERROR(Comp3[[#This Row],[Comparable '#3 Return]]+1,"-")</f>
        <v>1.0313525360047502</v>
      </c>
      <c r="E935" s="6">
        <f>B935-MAX($B$2:B935)</f>
        <v>-124.53999999999999</v>
      </c>
      <c r="F935" s="80">
        <f t="shared" si="29"/>
        <v>673</v>
      </c>
      <c r="G935" s="6">
        <f>IFERROR(Comp3[[#This Row],[Comparable '#3 Drawdown]]/MAX($B$2:B935),"-")</f>
        <v>-0.66230589236332693</v>
      </c>
      <c r="H935" s="1" t="str">
        <f>IF(SUM(COUNTIF(Benchmark1[Benchmark '#1 Dates],Comp3[[#This Row],[Comparable '#3 Dates]]),COUNTIF(Benchmark2[Benchmark '#2 Dates],Comp3[[#This Row],[Comparable '#3 Dates]]))=2,"Pass","Fail")</f>
        <v>Pass</v>
      </c>
      <c r="I935" s="1">
        <f>IFERROR(Comp3[[#This Row],[Comparable '#3 Return]]-INDEX(Benchmark1[Benchmark '#1 Return],MATCH(Comp3[[#This Row],[Comparable '#3 Dates]],Benchmark1[Benchmark '#1 Dates],0)),"-")</f>
        <v>1.9757765034521153E-2</v>
      </c>
      <c r="L935" s="72">
        <f>Comp3[[#This Row],[Comparable '#3 Price]]/$B$2*100</f>
        <v>54.176264823820496</v>
      </c>
    </row>
    <row r="936" spans="1:12">
      <c r="A936" s="96">
        <v>44641</v>
      </c>
      <c r="B936" s="101">
        <v>65.08</v>
      </c>
      <c r="C936" s="1">
        <f t="shared" si="28"/>
        <v>2.4577376452191033E-2</v>
      </c>
      <c r="D936" s="1">
        <f>IFERROR(Comp3[[#This Row],[Comparable '#3 Return]]+1,"-")</f>
        <v>1.024577376452191</v>
      </c>
      <c r="E936" s="6">
        <f>B936-MAX($B$2:B936)</f>
        <v>-122.96</v>
      </c>
      <c r="F936" s="80">
        <f t="shared" si="29"/>
        <v>674</v>
      </c>
      <c r="G936" s="6">
        <f>IFERROR(Comp3[[#This Row],[Comparable '#3 Drawdown]]/MAX($B$2:B936),"-")</f>
        <v>-0.65390342480323338</v>
      </c>
      <c r="H936" s="1" t="str">
        <f>IF(SUM(COUNTIF(Benchmark1[Benchmark '#1 Dates],Comp3[[#This Row],[Comparable '#3 Dates]]),COUNTIF(Benchmark2[Benchmark '#2 Dates],Comp3[[#This Row],[Comparable '#3 Dates]]))=2,"Pass","Fail")</f>
        <v>Pass</v>
      </c>
      <c r="I936" s="1">
        <f>IFERROR(Comp3[[#This Row],[Comparable '#3 Return]]-INDEX(Benchmark1[Benchmark '#1 Return],MATCH(Comp3[[#This Row],[Comparable '#3 Dates]],Benchmark1[Benchmark '#1 Dates],0)),"-")</f>
        <v>2.5011573937684183E-2</v>
      </c>
      <c r="L936" s="72">
        <f>Comp3[[#This Row],[Comparable '#3 Price]]/$B$2*100</f>
        <v>55.524272672980125</v>
      </c>
    </row>
    <row r="937" spans="1:12">
      <c r="A937" s="96">
        <v>44642</v>
      </c>
      <c r="B937" s="101">
        <v>64.22</v>
      </c>
      <c r="C937" s="1">
        <f t="shared" si="28"/>
        <v>-1.3302593689469214E-2</v>
      </c>
      <c r="D937" s="1">
        <f>IFERROR(Comp3[[#This Row],[Comparable '#3 Return]]+1,"-")</f>
        <v>0.98669740631053082</v>
      </c>
      <c r="E937" s="6">
        <f>B937-MAX($B$2:B937)</f>
        <v>-123.82</v>
      </c>
      <c r="F937" s="80">
        <f t="shared" si="29"/>
        <v>675</v>
      </c>
      <c r="G937" s="6">
        <f>IFERROR(Comp3[[#This Row],[Comparable '#3 Drawdown]]/MAX($B$2:B937),"-")</f>
        <v>-0.6584769198042969</v>
      </c>
      <c r="H937" s="1" t="str">
        <f>IF(SUM(COUNTIF(Benchmark1[Benchmark '#1 Dates],Comp3[[#This Row],[Comparable '#3 Dates]]),COUNTIF(Benchmark2[Benchmark '#2 Dates],Comp3[[#This Row],[Comparable '#3 Dates]]))=2,"Pass","Fail")</f>
        <v>Pass</v>
      </c>
      <c r="I937" s="1">
        <f>IFERROR(Comp3[[#This Row],[Comparable '#3 Return]]-INDEX(Benchmark1[Benchmark '#1 Return],MATCH(Comp3[[#This Row],[Comparable '#3 Dates]],Benchmark1[Benchmark '#1 Dates],0)),"-")</f>
        <v>-2.4542480964969096E-2</v>
      </c>
      <c r="L937" s="72">
        <f>Comp3[[#This Row],[Comparable '#3 Price]]/$B$2*100</f>
        <v>54.790546881665392</v>
      </c>
    </row>
    <row r="938" spans="1:12">
      <c r="A938" s="96">
        <v>44643</v>
      </c>
      <c r="B938" s="101">
        <v>62.96</v>
      </c>
      <c r="C938" s="1">
        <f t="shared" si="28"/>
        <v>-1.9815084552220058E-2</v>
      </c>
      <c r="D938" s="1">
        <f>IFERROR(Comp3[[#This Row],[Comparable '#3 Return]]+1,"-")</f>
        <v>0.98018491544777997</v>
      </c>
      <c r="E938" s="6">
        <f>B938-MAX($B$2:B938)</f>
        <v>-125.07999999999998</v>
      </c>
      <c r="F938" s="80">
        <f t="shared" si="29"/>
        <v>676</v>
      </c>
      <c r="G938" s="6">
        <f>IFERROR(Comp3[[#This Row],[Comparable '#3 Drawdown]]/MAX($B$2:B938),"-")</f>
        <v>-0.66517762178259943</v>
      </c>
      <c r="H938" s="1" t="str">
        <f>IF(SUM(COUNTIF(Benchmark1[Benchmark '#1 Dates],Comp3[[#This Row],[Comparable '#3 Dates]]),COUNTIF(Benchmark2[Benchmark '#2 Dates],Comp3[[#This Row],[Comparable '#3 Dates]]))=2,"Pass","Fail")</f>
        <v>Pass</v>
      </c>
      <c r="I938" s="1">
        <f>IFERROR(Comp3[[#This Row],[Comparable '#3 Return]]-INDEX(Benchmark1[Benchmark '#1 Return],MATCH(Comp3[[#This Row],[Comparable '#3 Dates]],Benchmark1[Benchmark '#1 Dates],0)),"-")</f>
        <v>-7.4663357423741961E-3</v>
      </c>
      <c r="L938" s="72">
        <f>Comp3[[#This Row],[Comparable '#3 Price]]/$B$2*100</f>
        <v>53.715553280436822</v>
      </c>
    </row>
    <row r="939" spans="1:12">
      <c r="A939" s="96">
        <v>44644</v>
      </c>
      <c r="B939" s="101">
        <v>65.540000000000006</v>
      </c>
      <c r="C939" s="1">
        <f t="shared" si="28"/>
        <v>4.0161039161520931E-2</v>
      </c>
      <c r="D939" s="1">
        <f>IFERROR(Comp3[[#This Row],[Comparable '#3 Return]]+1,"-")</f>
        <v>1.040161039161521</v>
      </c>
      <c r="E939" s="6">
        <f>B939-MAX($B$2:B939)</f>
        <v>-122.49999999999999</v>
      </c>
      <c r="F939" s="80">
        <f t="shared" si="29"/>
        <v>677</v>
      </c>
      <c r="G939" s="6">
        <f>IFERROR(Comp3[[#This Row],[Comparable '#3 Drawdown]]/MAX($B$2:B939),"-")</f>
        <v>-0.65145713677940864</v>
      </c>
      <c r="H939" s="1" t="str">
        <f>IF(SUM(COUNTIF(Benchmark1[Benchmark '#1 Dates],Comp3[[#This Row],[Comparable '#3 Dates]]),COUNTIF(Benchmark2[Benchmark '#2 Dates],Comp3[[#This Row],[Comparable '#3 Dates]]))=2,"Pass","Fail")</f>
        <v>Pass</v>
      </c>
      <c r="I939" s="1">
        <f>IFERROR(Comp3[[#This Row],[Comparable '#3 Return]]-INDEX(Benchmark1[Benchmark '#1 Return],MATCH(Comp3[[#This Row],[Comparable '#3 Dates]],Benchmark1[Benchmark '#1 Dates],0)),"-")</f>
        <v>2.5917784218449105E-2</v>
      </c>
      <c r="L939" s="72">
        <f>Comp3[[#This Row],[Comparable '#3 Price]]/$B$2*100</f>
        <v>55.916730654381027</v>
      </c>
    </row>
    <row r="940" spans="1:12">
      <c r="A940" s="96">
        <v>44645</v>
      </c>
      <c r="B940" s="101">
        <v>67.489999999999995</v>
      </c>
      <c r="C940" s="1">
        <f t="shared" si="28"/>
        <v>2.9318795484646474E-2</v>
      </c>
      <c r="D940" s="1">
        <f>IFERROR(Comp3[[#This Row],[Comparable '#3 Return]]+1,"-")</f>
        <v>1.0293187954846466</v>
      </c>
      <c r="E940" s="6">
        <f>B940-MAX($B$2:B940)</f>
        <v>-120.55</v>
      </c>
      <c r="F940" s="80">
        <f t="shared" si="29"/>
        <v>678</v>
      </c>
      <c r="G940" s="6">
        <f>IFERROR(Comp3[[#This Row],[Comparable '#3 Drawdown]]/MAX($B$2:B940),"-")</f>
        <v>-0.64108700276536912</v>
      </c>
      <c r="H940" s="1" t="str">
        <f>IF(SUM(COUNTIF(Benchmark1[Benchmark '#1 Dates],Comp3[[#This Row],[Comparable '#3 Dates]]),COUNTIF(Benchmark2[Benchmark '#2 Dates],Comp3[[#This Row],[Comparable '#3 Dates]]))=2,"Pass","Fail")</f>
        <v>Pass</v>
      </c>
      <c r="I940" s="1">
        <f>IFERROR(Comp3[[#This Row],[Comparable '#3 Return]]-INDEX(Benchmark1[Benchmark '#1 Return],MATCH(Comp3[[#This Row],[Comparable '#3 Dates]],Benchmark1[Benchmark '#1 Dates],0)),"-")</f>
        <v>2.426652782927181E-2</v>
      </c>
      <c r="L940" s="72">
        <f>Comp3[[#This Row],[Comparable '#3 Price]]/$B$2*100</f>
        <v>57.580411227710947</v>
      </c>
    </row>
    <row r="941" spans="1:12">
      <c r="A941" s="96">
        <v>44648</v>
      </c>
      <c r="B941" s="101">
        <v>66.66</v>
      </c>
      <c r="C941" s="1">
        <f t="shared" si="28"/>
        <v>-1.2374365875721417E-2</v>
      </c>
      <c r="D941" s="1">
        <f>IFERROR(Comp3[[#This Row],[Comparable '#3 Return]]+1,"-")</f>
        <v>0.98762563412427862</v>
      </c>
      <c r="E941" s="6">
        <f>B941-MAX($B$2:B941)</f>
        <v>-121.38</v>
      </c>
      <c r="F941" s="80">
        <f t="shared" si="29"/>
        <v>679</v>
      </c>
      <c r="G941" s="6">
        <f>IFERROR(Comp3[[#This Row],[Comparable '#3 Drawdown]]/MAX($B$2:B941),"-")</f>
        <v>-0.64550095724313972</v>
      </c>
      <c r="H941" s="1" t="str">
        <f>IF(SUM(COUNTIF(Benchmark1[Benchmark '#1 Dates],Comp3[[#This Row],[Comparable '#3 Dates]]),COUNTIF(Benchmark2[Benchmark '#2 Dates],Comp3[[#This Row],[Comparable '#3 Dates]]))=2,"Pass","Fail")</f>
        <v>Pass</v>
      </c>
      <c r="I941" s="1">
        <f>IFERROR(Comp3[[#This Row],[Comparable '#3 Return]]-INDEX(Benchmark1[Benchmark '#1 Return],MATCH(Comp3[[#This Row],[Comparable '#3 Dates]],Benchmark1[Benchmark '#1 Dates],0)),"-")</f>
        <v>-1.9493919382230666E-2</v>
      </c>
      <c r="L941" s="72">
        <f>Comp3[[#This Row],[Comparable '#3 Price]]/$B$2*100</f>
        <v>56.872280522139754</v>
      </c>
    </row>
    <row r="942" spans="1:12">
      <c r="A942" s="96">
        <v>44649</v>
      </c>
      <c r="B942" s="101">
        <v>68.400000000000006</v>
      </c>
      <c r="C942" s="1">
        <f t="shared" si="28"/>
        <v>2.5767751748911272E-2</v>
      </c>
      <c r="D942" s="1">
        <f>IFERROR(Comp3[[#This Row],[Comparable '#3 Return]]+1,"-")</f>
        <v>1.0257677517489112</v>
      </c>
      <c r="E942" s="6">
        <f>B942-MAX($B$2:B942)</f>
        <v>-119.63999999999999</v>
      </c>
      <c r="F942" s="80">
        <f t="shared" si="29"/>
        <v>680</v>
      </c>
      <c r="G942" s="6">
        <f>IFERROR(Comp3[[#This Row],[Comparable '#3 Drawdown]]/MAX($B$2:B942),"-")</f>
        <v>-0.63624760689215054</v>
      </c>
      <c r="H942" s="1" t="str">
        <f>IF(SUM(COUNTIF(Benchmark1[Benchmark '#1 Dates],Comp3[[#This Row],[Comparable '#3 Dates]]),COUNTIF(Benchmark2[Benchmark '#2 Dates],Comp3[[#This Row],[Comparable '#3 Dates]]))=2,"Pass","Fail")</f>
        <v>Pass</v>
      </c>
      <c r="I942" s="1">
        <f>IFERROR(Comp3[[#This Row],[Comparable '#3 Return]]-INDEX(Benchmark1[Benchmark '#1 Return],MATCH(Comp3[[#This Row],[Comparable '#3 Dates]],Benchmark1[Benchmark '#1 Dates],0)),"-")</f>
        <v>1.3583873552949963E-2</v>
      </c>
      <c r="L942" s="72">
        <f>Comp3[[#This Row],[Comparable '#3 Price]]/$B$2*100</f>
        <v>58.356795495264912</v>
      </c>
    </row>
    <row r="943" spans="1:12">
      <c r="A943" s="96">
        <v>44650</v>
      </c>
      <c r="B943" s="101">
        <v>67.33</v>
      </c>
      <c r="C943" s="1">
        <f t="shared" si="28"/>
        <v>-1.5766922071315331E-2</v>
      </c>
      <c r="D943" s="1">
        <f>IFERROR(Comp3[[#This Row],[Comparable '#3 Return]]+1,"-")</f>
        <v>0.98423307792868464</v>
      </c>
      <c r="E943" s="6">
        <f>B943-MAX($B$2:B943)</f>
        <v>-120.71</v>
      </c>
      <c r="F943" s="80">
        <f t="shared" si="29"/>
        <v>681</v>
      </c>
      <c r="G943" s="6">
        <f>IFERROR(Comp3[[#This Row],[Comparable '#3 Drawdown]]/MAX($B$2:B943),"-")</f>
        <v>-0.64193788555626463</v>
      </c>
      <c r="H943" s="1" t="str">
        <f>IF(SUM(COUNTIF(Benchmark1[Benchmark '#1 Dates],Comp3[[#This Row],[Comparable '#3 Dates]]),COUNTIF(Benchmark2[Benchmark '#2 Dates],Comp3[[#This Row],[Comparable '#3 Dates]]))=2,"Pass","Fail")</f>
        <v>Pass</v>
      </c>
      <c r="I943" s="1">
        <f>IFERROR(Comp3[[#This Row],[Comparable '#3 Return]]-INDEX(Benchmark1[Benchmark '#1 Return],MATCH(Comp3[[#This Row],[Comparable '#3 Dates]],Benchmark1[Benchmark '#1 Dates],0)),"-")</f>
        <v>-9.4519624903638272E-3</v>
      </c>
      <c r="L943" s="72">
        <f>Comp3[[#This Row],[Comparable '#3 Price]]/$B$2*100</f>
        <v>57.44390410374541</v>
      </c>
    </row>
    <row r="944" spans="1:12">
      <c r="A944" s="96">
        <v>44651</v>
      </c>
      <c r="B944" s="101">
        <v>66.38</v>
      </c>
      <c r="C944" s="1">
        <f t="shared" si="28"/>
        <v>-1.4210096265360992E-2</v>
      </c>
      <c r="D944" s="1">
        <f>IFERROR(Comp3[[#This Row],[Comparable '#3 Return]]+1,"-")</f>
        <v>0.98578990373463904</v>
      </c>
      <c r="E944" s="6">
        <f>B944-MAX($B$2:B944)</f>
        <v>-121.66</v>
      </c>
      <c r="F944" s="80">
        <f t="shared" si="29"/>
        <v>682</v>
      </c>
      <c r="G944" s="6">
        <f>IFERROR(Comp3[[#This Row],[Comparable '#3 Drawdown]]/MAX($B$2:B944),"-")</f>
        <v>-0.64699000212720703</v>
      </c>
      <c r="H944" s="1" t="str">
        <f>IF(SUM(COUNTIF(Benchmark1[Benchmark '#1 Dates],Comp3[[#This Row],[Comparable '#3 Dates]]),COUNTIF(Benchmark2[Benchmark '#2 Dates],Comp3[[#This Row],[Comparable '#3 Dates]]))=2,"Pass","Fail")</f>
        <v>Pass</v>
      </c>
      <c r="I944" s="1">
        <f>IFERROR(Comp3[[#This Row],[Comparable '#3 Return]]-INDEX(Benchmark1[Benchmark '#1 Return],MATCH(Comp3[[#This Row],[Comparable '#3 Dates]],Benchmark1[Benchmark '#1 Dates],0)),"-")</f>
        <v>1.5651675737561634E-3</v>
      </c>
      <c r="L944" s="72">
        <f>Comp3[[#This Row],[Comparable '#3 Price]]/$B$2*100</f>
        <v>56.633393055200067</v>
      </c>
    </row>
    <row r="945" spans="1:12">
      <c r="A945" s="96">
        <v>44652</v>
      </c>
      <c r="B945" s="101">
        <v>67.81</v>
      </c>
      <c r="C945" s="1">
        <f t="shared" si="28"/>
        <v>2.1313870403922255E-2</v>
      </c>
      <c r="D945" s="1">
        <f>IFERROR(Comp3[[#This Row],[Comparable '#3 Return]]+1,"-")</f>
        <v>1.0213138704039222</v>
      </c>
      <c r="E945" s="6">
        <f>B945-MAX($B$2:B945)</f>
        <v>-120.22999999999999</v>
      </c>
      <c r="F945" s="80">
        <f t="shared" si="29"/>
        <v>683</v>
      </c>
      <c r="G945" s="6">
        <f>IFERROR(Comp3[[#This Row],[Comparable '#3 Drawdown]]/MAX($B$2:B945),"-")</f>
        <v>-0.63938523718357798</v>
      </c>
      <c r="H945" s="1" t="str">
        <f>IF(SUM(COUNTIF(Benchmark1[Benchmark '#1 Dates],Comp3[[#This Row],[Comparable '#3 Dates]]),COUNTIF(Benchmark2[Benchmark '#2 Dates],Comp3[[#This Row],[Comparable '#3 Dates]]))=2,"Pass","Fail")</f>
        <v>Pass</v>
      </c>
      <c r="I945" s="1">
        <f>IFERROR(Comp3[[#This Row],[Comparable '#3 Return]]-INDEX(Benchmark1[Benchmark '#1 Return],MATCH(Comp3[[#This Row],[Comparable '#3 Dates]],Benchmark1[Benchmark '#1 Dates],0)),"-")</f>
        <v>1.7911128455196667E-2</v>
      </c>
      <c r="L945" s="72">
        <f>Comp3[[#This Row],[Comparable '#3 Price]]/$B$2*100</f>
        <v>57.85342547564202</v>
      </c>
    </row>
    <row r="946" spans="1:12">
      <c r="A946" s="96">
        <v>44655</v>
      </c>
      <c r="B946" s="101">
        <v>68.709999999999994</v>
      </c>
      <c r="C946" s="1">
        <f t="shared" si="28"/>
        <v>1.3185072347233713E-2</v>
      </c>
      <c r="D946" s="1">
        <f>IFERROR(Comp3[[#This Row],[Comparable '#3 Return]]+1,"-")</f>
        <v>1.0131850723472338</v>
      </c>
      <c r="E946" s="6">
        <f>B946-MAX($B$2:B946)</f>
        <v>-119.33</v>
      </c>
      <c r="F946" s="80">
        <f t="shared" si="29"/>
        <v>684</v>
      </c>
      <c r="G946" s="6">
        <f>IFERROR(Comp3[[#This Row],[Comparable '#3 Drawdown]]/MAX($B$2:B946),"-")</f>
        <v>-0.63459902148479053</v>
      </c>
      <c r="H946" s="1" t="str">
        <f>IF(SUM(COUNTIF(Benchmark1[Benchmark '#1 Dates],Comp3[[#This Row],[Comparable '#3 Dates]]),COUNTIF(Benchmark2[Benchmark '#2 Dates],Comp3[[#This Row],[Comparable '#3 Dates]]))=2,"Pass","Fail")</f>
        <v>Pass</v>
      </c>
      <c r="I946" s="1">
        <f>IFERROR(Comp3[[#This Row],[Comparable '#3 Return]]-INDEX(Benchmark1[Benchmark '#1 Return],MATCH(Comp3[[#This Row],[Comparable '#3 Dates]],Benchmark1[Benchmark '#1 Dates],0)),"-")</f>
        <v>5.1266204438829635E-3</v>
      </c>
      <c r="L946" s="72">
        <f>Comp3[[#This Row],[Comparable '#3 Price]]/$B$2*100</f>
        <v>58.621278047948124</v>
      </c>
    </row>
    <row r="947" spans="1:12">
      <c r="A947" s="96">
        <v>44656</v>
      </c>
      <c r="B947" s="101">
        <v>68.430000000000007</v>
      </c>
      <c r="C947" s="1">
        <f t="shared" si="28"/>
        <v>-4.0834240785780646E-3</v>
      </c>
      <c r="D947" s="1">
        <f>IFERROR(Comp3[[#This Row],[Comparable '#3 Return]]+1,"-")</f>
        <v>0.99591657592142191</v>
      </c>
      <c r="E947" s="6">
        <f>B947-MAX($B$2:B947)</f>
        <v>-119.60999999999999</v>
      </c>
      <c r="F947" s="80">
        <f t="shared" si="29"/>
        <v>685</v>
      </c>
      <c r="G947" s="6">
        <f>IFERROR(Comp3[[#This Row],[Comparable '#3 Drawdown]]/MAX($B$2:B947),"-")</f>
        <v>-0.63608806636885762</v>
      </c>
      <c r="H947" s="1" t="str">
        <f>IF(SUM(COUNTIF(Benchmark1[Benchmark '#1 Dates],Comp3[[#This Row],[Comparable '#3 Dates]]),COUNTIF(Benchmark2[Benchmark '#2 Dates],Comp3[[#This Row],[Comparable '#3 Dates]]))=2,"Pass","Fail")</f>
        <v>Pass</v>
      </c>
      <c r="I947" s="1">
        <f>IFERROR(Comp3[[#This Row],[Comparable '#3 Return]]-INDEX(Benchmark1[Benchmark '#1 Return],MATCH(Comp3[[#This Row],[Comparable '#3 Dates]],Benchmark1[Benchmark '#1 Dates],0)),"-")</f>
        <v>8.5464122770574254E-3</v>
      </c>
      <c r="L947" s="72">
        <f>Comp3[[#This Row],[Comparable '#3 Price]]/$B$2*100</f>
        <v>58.382390581008458</v>
      </c>
    </row>
    <row r="948" spans="1:12">
      <c r="A948" s="96">
        <v>44657</v>
      </c>
      <c r="B948" s="101">
        <v>68.59</v>
      </c>
      <c r="C948" s="1">
        <f t="shared" si="28"/>
        <v>2.3354265468235437E-3</v>
      </c>
      <c r="D948" s="1">
        <f>IFERROR(Comp3[[#This Row],[Comparable '#3 Return]]+1,"-")</f>
        <v>1.0023354265468236</v>
      </c>
      <c r="E948" s="6">
        <f>B948-MAX($B$2:B948)</f>
        <v>-119.44999999999999</v>
      </c>
      <c r="F948" s="80">
        <f t="shared" si="29"/>
        <v>686</v>
      </c>
      <c r="G948" s="6">
        <f>IFERROR(Comp3[[#This Row],[Comparable '#3 Drawdown]]/MAX($B$2:B948),"-")</f>
        <v>-0.63523718357796211</v>
      </c>
      <c r="H948" s="1" t="str">
        <f>IF(SUM(COUNTIF(Benchmark1[Benchmark '#1 Dates],Comp3[[#This Row],[Comparable '#3 Dates]]),COUNTIF(Benchmark2[Benchmark '#2 Dates],Comp3[[#This Row],[Comparable '#3 Dates]]))=2,"Pass","Fail")</f>
        <v>Pass</v>
      </c>
      <c r="I948" s="1">
        <f>IFERROR(Comp3[[#This Row],[Comparable '#3 Return]]-INDEX(Benchmark1[Benchmark '#1 Return],MATCH(Comp3[[#This Row],[Comparable '#3 Dates]],Benchmark1[Benchmark '#1 Dates],0)),"-")</f>
        <v>1.2099534754629947E-2</v>
      </c>
      <c r="L948" s="72">
        <f>Comp3[[#This Row],[Comparable '#3 Price]]/$B$2*100</f>
        <v>58.51889770497398</v>
      </c>
    </row>
    <row r="949" spans="1:12">
      <c r="A949" s="96">
        <v>44658</v>
      </c>
      <c r="B949" s="101">
        <v>69.650000000000006</v>
      </c>
      <c r="C949" s="1">
        <f t="shared" si="28"/>
        <v>1.5335948714584791E-2</v>
      </c>
      <c r="D949" s="1">
        <f>IFERROR(Comp3[[#This Row],[Comparable '#3 Return]]+1,"-")</f>
        <v>1.0153359487145848</v>
      </c>
      <c r="E949" s="6">
        <f>B949-MAX($B$2:B949)</f>
        <v>-118.38999999999999</v>
      </c>
      <c r="F949" s="80">
        <f t="shared" si="29"/>
        <v>687</v>
      </c>
      <c r="G949" s="6">
        <f>IFERROR(Comp3[[#This Row],[Comparable '#3 Drawdown]]/MAX($B$2:B949),"-")</f>
        <v>-0.62960008508827903</v>
      </c>
      <c r="H949" s="1" t="str">
        <f>IF(SUM(COUNTIF(Benchmark1[Benchmark '#1 Dates],Comp3[[#This Row],[Comparable '#3 Dates]]),COUNTIF(Benchmark2[Benchmark '#2 Dates],Comp3[[#This Row],[Comparable '#3 Dates]]))=2,"Pass","Fail")</f>
        <v>Pass</v>
      </c>
      <c r="I949" s="1">
        <f>IFERROR(Comp3[[#This Row],[Comparable '#3 Return]]-INDEX(Benchmark1[Benchmark '#1 Return],MATCH(Comp3[[#This Row],[Comparable '#3 Dates]],Benchmark1[Benchmark '#1 Dates],0)),"-")</f>
        <v>1.1092468928789505E-2</v>
      </c>
      <c r="L949" s="72">
        <f>Comp3[[#This Row],[Comparable '#3 Price]]/$B$2*100</f>
        <v>59.423257401245635</v>
      </c>
    </row>
    <row r="950" spans="1:12">
      <c r="A950" s="96">
        <v>44659</v>
      </c>
      <c r="B950" s="101">
        <v>69.790000000000006</v>
      </c>
      <c r="C950" s="1">
        <f t="shared" si="28"/>
        <v>2.0080328032456131E-3</v>
      </c>
      <c r="D950" s="1">
        <f>IFERROR(Comp3[[#This Row],[Comparable '#3 Return]]+1,"-")</f>
        <v>1.0020080328032457</v>
      </c>
      <c r="E950" s="6">
        <f>B950-MAX($B$2:B950)</f>
        <v>-118.24999999999999</v>
      </c>
      <c r="F950" s="80">
        <f t="shared" si="29"/>
        <v>688</v>
      </c>
      <c r="G950" s="6">
        <f>IFERROR(Comp3[[#This Row],[Comparable '#3 Drawdown]]/MAX($B$2:B950),"-")</f>
        <v>-0.62885556264624543</v>
      </c>
      <c r="H950" s="1" t="str">
        <f>IF(SUM(COUNTIF(Benchmark1[Benchmark '#1 Dates],Comp3[[#This Row],[Comparable '#3 Dates]]),COUNTIF(Benchmark2[Benchmark '#2 Dates],Comp3[[#This Row],[Comparable '#3 Dates]]))=2,"Pass","Fail")</f>
        <v>Pass</v>
      </c>
      <c r="I950" s="1">
        <f>IFERROR(Comp3[[#This Row],[Comparable '#3 Return]]-INDEX(Benchmark1[Benchmark '#1 Return],MATCH(Comp3[[#This Row],[Comparable '#3 Dates]],Benchmark1[Benchmark '#1 Dates],0)),"-")</f>
        <v>4.6620217968389045E-3</v>
      </c>
      <c r="L950" s="72">
        <f>Comp3[[#This Row],[Comparable '#3 Price]]/$B$2*100</f>
        <v>59.542701134715479</v>
      </c>
    </row>
    <row r="951" spans="1:12">
      <c r="A951" s="96">
        <v>44662</v>
      </c>
      <c r="B951" s="101">
        <v>69.11</v>
      </c>
      <c r="C951" s="1">
        <f t="shared" si="28"/>
        <v>-9.7912949257573777E-3</v>
      </c>
      <c r="D951" s="1">
        <f>IFERROR(Comp3[[#This Row],[Comparable '#3 Return]]+1,"-")</f>
        <v>0.99020870507424263</v>
      </c>
      <c r="E951" s="6">
        <f>B951-MAX($B$2:B951)</f>
        <v>-118.92999999999999</v>
      </c>
      <c r="F951" s="80">
        <f t="shared" si="29"/>
        <v>689</v>
      </c>
      <c r="G951" s="6">
        <f>IFERROR(Comp3[[#This Row],[Comparable '#3 Drawdown]]/MAX($B$2:B951),"-")</f>
        <v>-0.63247181450755152</v>
      </c>
      <c r="H951" s="1" t="str">
        <f>IF(SUM(COUNTIF(Benchmark1[Benchmark '#1 Dates],Comp3[[#This Row],[Comparable '#3 Dates]]),COUNTIF(Benchmark2[Benchmark '#2 Dates],Comp3[[#This Row],[Comparable '#3 Dates]]))=2,"Pass","Fail")</f>
        <v>Pass</v>
      </c>
      <c r="I951" s="1">
        <f>IFERROR(Comp3[[#This Row],[Comparable '#3 Return]]-INDEX(Benchmark1[Benchmark '#1 Return],MATCH(Comp3[[#This Row],[Comparable '#3 Dates]],Benchmark1[Benchmark '#1 Dates],0)),"-")</f>
        <v>7.2307058371763894E-3</v>
      </c>
      <c r="L951" s="72">
        <f>Comp3[[#This Row],[Comparable '#3 Price]]/$B$2*100</f>
        <v>58.962545857861961</v>
      </c>
    </row>
    <row r="952" spans="1:12">
      <c r="A952" s="96">
        <v>44663</v>
      </c>
      <c r="B952" s="101">
        <v>69.88</v>
      </c>
      <c r="C952" s="1">
        <f t="shared" si="28"/>
        <v>1.1080047162552783E-2</v>
      </c>
      <c r="D952" s="1">
        <f>IFERROR(Comp3[[#This Row],[Comparable '#3 Return]]+1,"-")</f>
        <v>1.0110800471625527</v>
      </c>
      <c r="E952" s="6">
        <f>B952-MAX($B$2:B952)</f>
        <v>-118.16</v>
      </c>
      <c r="F952" s="80">
        <f t="shared" si="29"/>
        <v>690</v>
      </c>
      <c r="G952" s="6">
        <f>IFERROR(Comp3[[#This Row],[Comparable '#3 Drawdown]]/MAX($B$2:B952),"-")</f>
        <v>-0.62837694107636677</v>
      </c>
      <c r="H952" s="1" t="str">
        <f>IF(SUM(COUNTIF(Benchmark1[Benchmark '#1 Dates],Comp3[[#This Row],[Comparable '#3 Dates]]),COUNTIF(Benchmark2[Benchmark '#2 Dates],Comp3[[#This Row],[Comparable '#3 Dates]]))=2,"Pass","Fail")</f>
        <v>Pass</v>
      </c>
      <c r="I952" s="1">
        <f>IFERROR(Comp3[[#This Row],[Comparable '#3 Return]]-INDEX(Benchmark1[Benchmark '#1 Return],MATCH(Comp3[[#This Row],[Comparable '#3 Dates]],Benchmark1[Benchmark '#1 Dates],0)),"-")</f>
        <v>1.4503792520138307E-2</v>
      </c>
      <c r="L952" s="72">
        <f>Comp3[[#This Row],[Comparable '#3 Price]]/$B$2*100</f>
        <v>59.619486391946076</v>
      </c>
    </row>
    <row r="953" spans="1:12">
      <c r="A953" s="96">
        <v>44664</v>
      </c>
      <c r="B953" s="101">
        <v>71.64</v>
      </c>
      <c r="C953" s="1">
        <f t="shared" si="28"/>
        <v>2.487409192665526E-2</v>
      </c>
      <c r="D953" s="1">
        <f>IFERROR(Comp3[[#This Row],[Comparable '#3 Return]]+1,"-")</f>
        <v>1.0248740919266552</v>
      </c>
      <c r="E953" s="6">
        <f>B953-MAX($B$2:B953)</f>
        <v>-116.39999999999999</v>
      </c>
      <c r="F953" s="80">
        <f t="shared" si="29"/>
        <v>691</v>
      </c>
      <c r="G953" s="6">
        <f>IFERROR(Comp3[[#This Row],[Comparable '#3 Drawdown]]/MAX($B$2:B953),"-")</f>
        <v>-0.61901723037651557</v>
      </c>
      <c r="H953" s="1" t="str">
        <f>IF(SUM(COUNTIF(Benchmark1[Benchmark '#1 Dates],Comp3[[#This Row],[Comparable '#3 Dates]]),COUNTIF(Benchmark2[Benchmark '#2 Dates],Comp3[[#This Row],[Comparable '#3 Dates]]))=2,"Pass","Fail")</f>
        <v>Pass</v>
      </c>
      <c r="I953" s="1">
        <f>IFERROR(Comp3[[#This Row],[Comparable '#3 Return]]-INDEX(Benchmark1[Benchmark '#1 Return],MATCH(Comp3[[#This Row],[Comparable '#3 Dates]],Benchmark1[Benchmark '#1 Dates],0)),"-")</f>
        <v>1.3760377326344104E-2</v>
      </c>
      <c r="L953" s="72">
        <f>Comp3[[#This Row],[Comparable '#3 Price]]/$B$2*100</f>
        <v>61.121064755566934</v>
      </c>
    </row>
    <row r="954" spans="1:12">
      <c r="A954" s="96">
        <v>44665</v>
      </c>
      <c r="B954" s="101">
        <v>72.3</v>
      </c>
      <c r="C954" s="1">
        <f t="shared" si="28"/>
        <v>9.1705519722078844E-3</v>
      </c>
      <c r="D954" s="1">
        <f>IFERROR(Comp3[[#This Row],[Comparable '#3 Return]]+1,"-")</f>
        <v>1.0091705519722078</v>
      </c>
      <c r="E954" s="6">
        <f>B954-MAX($B$2:B954)</f>
        <v>-115.74</v>
      </c>
      <c r="F954" s="80">
        <f t="shared" si="29"/>
        <v>692</v>
      </c>
      <c r="G954" s="6">
        <f>IFERROR(Comp3[[#This Row],[Comparable '#3 Drawdown]]/MAX($B$2:B954),"-")</f>
        <v>-0.6155073388640715</v>
      </c>
      <c r="H954" s="1" t="str">
        <f>IF(SUM(COUNTIF(Benchmark1[Benchmark '#1 Dates],Comp3[[#This Row],[Comparable '#3 Dates]]),COUNTIF(Benchmark2[Benchmark '#2 Dates],Comp3[[#This Row],[Comparable '#3 Dates]]))=2,"Pass","Fail")</f>
        <v>Pass</v>
      </c>
      <c r="I954" s="1">
        <f>IFERROR(Comp3[[#This Row],[Comparable '#3 Return]]-INDEX(Benchmark1[Benchmark '#1 Return],MATCH(Comp3[[#This Row],[Comparable '#3 Dates]],Benchmark1[Benchmark '#1 Dates],0)),"-")</f>
        <v>2.1389967363568546E-2</v>
      </c>
      <c r="L954" s="72">
        <f>Comp3[[#This Row],[Comparable '#3 Price]]/$B$2*100</f>
        <v>61.684156641924744</v>
      </c>
    </row>
    <row r="955" spans="1:12">
      <c r="A955" s="96">
        <v>44669</v>
      </c>
      <c r="B955" s="101">
        <v>71.78</v>
      </c>
      <c r="C955" s="1">
        <f t="shared" si="28"/>
        <v>-7.2182434452577691E-3</v>
      </c>
      <c r="D955" s="1">
        <f>IFERROR(Comp3[[#This Row],[Comparable '#3 Return]]+1,"-")</f>
        <v>0.99278175655474221</v>
      </c>
      <c r="E955" s="6">
        <f>B955-MAX($B$2:B955)</f>
        <v>-116.25999999999999</v>
      </c>
      <c r="F955" s="80">
        <f t="shared" si="29"/>
        <v>693</v>
      </c>
      <c r="G955" s="6">
        <f>IFERROR(Comp3[[#This Row],[Comparable '#3 Drawdown]]/MAX($B$2:B955),"-")</f>
        <v>-0.61827270793448197</v>
      </c>
      <c r="H955" s="1" t="str">
        <f>IF(SUM(COUNTIF(Benchmark1[Benchmark '#1 Dates],Comp3[[#This Row],[Comparable '#3 Dates]]),COUNTIF(Benchmark2[Benchmark '#2 Dates],Comp3[[#This Row],[Comparable '#3 Dates]]))=2,"Pass","Fail")</f>
        <v>Pass</v>
      </c>
      <c r="I955" s="1">
        <f>IFERROR(Comp3[[#This Row],[Comparable '#3 Return]]-INDEX(Benchmark1[Benchmark '#1 Return],MATCH(Comp3[[#This Row],[Comparable '#3 Dates]],Benchmark1[Benchmark '#1 Dates],0)),"-")</f>
        <v>-7.0139488719812683E-3</v>
      </c>
      <c r="L955" s="72">
        <f>Comp3[[#This Row],[Comparable '#3 Price]]/$B$2*100</f>
        <v>61.24050848903677</v>
      </c>
    </row>
    <row r="956" spans="1:12">
      <c r="A956" s="96">
        <v>44670</v>
      </c>
      <c r="B956" s="101">
        <v>72.180000000000007</v>
      </c>
      <c r="C956" s="1">
        <f t="shared" si="28"/>
        <v>5.5571134951814434E-3</v>
      </c>
      <c r="D956" s="1">
        <f>IFERROR(Comp3[[#This Row],[Comparable '#3 Return]]+1,"-")</f>
        <v>1.0055571134951815</v>
      </c>
      <c r="E956" s="6">
        <f>B956-MAX($B$2:B956)</f>
        <v>-115.85999999999999</v>
      </c>
      <c r="F956" s="80">
        <f t="shared" si="29"/>
        <v>694</v>
      </c>
      <c r="G956" s="6">
        <f>IFERROR(Comp3[[#This Row],[Comparable '#3 Drawdown]]/MAX($B$2:B956),"-")</f>
        <v>-0.61614550095724308</v>
      </c>
      <c r="H956" s="1" t="str">
        <f>IF(SUM(COUNTIF(Benchmark1[Benchmark '#1 Dates],Comp3[[#This Row],[Comparable '#3 Dates]]),COUNTIF(Benchmark2[Benchmark '#2 Dates],Comp3[[#This Row],[Comparable '#3 Dates]]))=2,"Pass","Fail")</f>
        <v>Pass</v>
      </c>
      <c r="I956" s="1">
        <f>IFERROR(Comp3[[#This Row],[Comparable '#3 Return]]-INDEX(Benchmark1[Benchmark '#1 Return],MATCH(Comp3[[#This Row],[Comparable '#3 Dates]],Benchmark1[Benchmark '#1 Dates],0)),"-")</f>
        <v>-1.0372859676426396E-2</v>
      </c>
      <c r="L956" s="72">
        <f>Comp3[[#This Row],[Comparable '#3 Price]]/$B$2*100</f>
        <v>61.581776298950608</v>
      </c>
    </row>
    <row r="957" spans="1:12">
      <c r="A957" s="96">
        <v>44671</v>
      </c>
      <c r="B957" s="101">
        <v>72.459999999999994</v>
      </c>
      <c r="C957" s="1">
        <f t="shared" si="28"/>
        <v>3.8716862522883981E-3</v>
      </c>
      <c r="D957" s="1">
        <f>IFERROR(Comp3[[#This Row],[Comparable '#3 Return]]+1,"-")</f>
        <v>1.0038716862522885</v>
      </c>
      <c r="E957" s="6">
        <f>B957-MAX($B$2:B957)</f>
        <v>-115.58</v>
      </c>
      <c r="F957" s="80">
        <f t="shared" si="29"/>
        <v>695</v>
      </c>
      <c r="G957" s="6">
        <f>IFERROR(Comp3[[#This Row],[Comparable '#3 Drawdown]]/MAX($B$2:B957),"-")</f>
        <v>-0.61465645607317598</v>
      </c>
      <c r="H957" s="1" t="str">
        <f>IF(SUM(COUNTIF(Benchmark1[Benchmark '#1 Dates],Comp3[[#This Row],[Comparable '#3 Dates]]),COUNTIF(Benchmark2[Benchmark '#2 Dates],Comp3[[#This Row],[Comparable '#3 Dates]]))=2,"Pass","Fail")</f>
        <v>Pass</v>
      </c>
      <c r="I957" s="1">
        <f>IFERROR(Comp3[[#This Row],[Comparable '#3 Return]]-INDEX(Benchmark1[Benchmark '#1 Return],MATCH(Comp3[[#This Row],[Comparable '#3 Dates]],Benchmark1[Benchmark '#1 Dates],0)),"-")</f>
        <v>4.4903479772990303E-3</v>
      </c>
      <c r="L957" s="72">
        <f>Comp3[[#This Row],[Comparable '#3 Price]]/$B$2*100</f>
        <v>61.820663765890281</v>
      </c>
    </row>
    <row r="958" spans="1:12">
      <c r="A958" s="96">
        <v>44672</v>
      </c>
      <c r="B958" s="101">
        <v>71.06</v>
      </c>
      <c r="C958" s="1">
        <f t="shared" si="28"/>
        <v>-1.9510094874049998E-2</v>
      </c>
      <c r="D958" s="1">
        <f>IFERROR(Comp3[[#This Row],[Comparable '#3 Return]]+1,"-")</f>
        <v>0.98048990512595002</v>
      </c>
      <c r="E958" s="6">
        <f>B958-MAX($B$2:B958)</f>
        <v>-116.97999999999999</v>
      </c>
      <c r="F958" s="80">
        <f t="shared" si="29"/>
        <v>696</v>
      </c>
      <c r="G958" s="6">
        <f>IFERROR(Comp3[[#This Row],[Comparable '#3 Drawdown]]/MAX($B$2:B958),"-")</f>
        <v>-0.622101680493512</v>
      </c>
      <c r="H958" s="1" t="str">
        <f>IF(SUM(COUNTIF(Benchmark1[Benchmark '#1 Dates],Comp3[[#This Row],[Comparable '#3 Dates]]),COUNTIF(Benchmark2[Benchmark '#2 Dates],Comp3[[#This Row],[Comparable '#3 Dates]]))=2,"Pass","Fail")</f>
        <v>Pass</v>
      </c>
      <c r="I958" s="1">
        <f>IFERROR(Comp3[[#This Row],[Comparable '#3 Return]]-INDEX(Benchmark1[Benchmark '#1 Return],MATCH(Comp3[[#This Row],[Comparable '#3 Dates]],Benchmark1[Benchmark '#1 Dates],0)),"-")</f>
        <v>-4.6479634785211079E-3</v>
      </c>
      <c r="L958" s="72">
        <f>Comp3[[#This Row],[Comparable '#3 Price]]/$B$2*100</f>
        <v>60.626226431191888</v>
      </c>
    </row>
    <row r="959" spans="1:12">
      <c r="A959" s="96">
        <v>44673</v>
      </c>
      <c r="B959" s="101">
        <v>69.849999999999994</v>
      </c>
      <c r="C959" s="1">
        <f t="shared" si="28"/>
        <v>-1.7174504889910288E-2</v>
      </c>
      <c r="D959" s="1">
        <f>IFERROR(Comp3[[#This Row],[Comparable '#3 Return]]+1,"-")</f>
        <v>0.98282549511008976</v>
      </c>
      <c r="E959" s="6">
        <f>B959-MAX($B$2:B959)</f>
        <v>-118.19</v>
      </c>
      <c r="F959" s="80">
        <f t="shared" si="29"/>
        <v>697</v>
      </c>
      <c r="G959" s="6">
        <f>IFERROR(Comp3[[#This Row],[Comparable '#3 Drawdown]]/MAX($B$2:B959),"-")</f>
        <v>-0.62853648159965969</v>
      </c>
      <c r="H959" s="1" t="str">
        <f>IF(SUM(COUNTIF(Benchmark1[Benchmark '#1 Dates],Comp3[[#This Row],[Comparable '#3 Dates]]),COUNTIF(Benchmark2[Benchmark '#2 Dates],Comp3[[#This Row],[Comparable '#3 Dates]]))=2,"Pass","Fail")</f>
        <v>Pass</v>
      </c>
      <c r="I959" s="1">
        <f>IFERROR(Comp3[[#This Row],[Comparable '#3 Return]]-INDEX(Benchmark1[Benchmark '#1 Return],MATCH(Comp3[[#This Row],[Comparable '#3 Dates]],Benchmark1[Benchmark '#1 Dates],0)),"-")</f>
        <v>1.0959302066475943E-2</v>
      </c>
      <c r="L959" s="72">
        <f>Comp3[[#This Row],[Comparable '#3 Price]]/$B$2*100</f>
        <v>59.593891306202536</v>
      </c>
    </row>
    <row r="960" spans="1:12">
      <c r="A960" s="96">
        <v>44676</v>
      </c>
      <c r="B960" s="101">
        <v>71.06</v>
      </c>
      <c r="C960" s="1">
        <f t="shared" si="28"/>
        <v>1.7174504889910215E-2</v>
      </c>
      <c r="D960" s="1">
        <f>IFERROR(Comp3[[#This Row],[Comparable '#3 Return]]+1,"-")</f>
        <v>1.0171745048899101</v>
      </c>
      <c r="E960" s="6">
        <f>B960-MAX($B$2:B960)</f>
        <v>-116.97999999999999</v>
      </c>
      <c r="F960" s="80">
        <f t="shared" si="29"/>
        <v>698</v>
      </c>
      <c r="G960" s="6">
        <f>IFERROR(Comp3[[#This Row],[Comparable '#3 Drawdown]]/MAX($B$2:B960),"-")</f>
        <v>-0.622101680493512</v>
      </c>
      <c r="H960" s="1" t="str">
        <f>IF(SUM(COUNTIF(Benchmark1[Benchmark '#1 Dates],Comp3[[#This Row],[Comparable '#3 Dates]]),COUNTIF(Benchmark2[Benchmark '#2 Dates],Comp3[[#This Row],[Comparable '#3 Dates]]))=2,"Pass","Fail")</f>
        <v>Pass</v>
      </c>
      <c r="I960" s="1">
        <f>IFERROR(Comp3[[#This Row],[Comparable '#3 Return]]-INDEX(Benchmark1[Benchmark '#1 Return],MATCH(Comp3[[#This Row],[Comparable '#3 Dates]],Benchmark1[Benchmark '#1 Dates],0)),"-")</f>
        <v>1.1492614547793092E-2</v>
      </c>
      <c r="L960" s="72">
        <f>Comp3[[#This Row],[Comparable '#3 Price]]/$B$2*100</f>
        <v>60.626226431191888</v>
      </c>
    </row>
    <row r="961" spans="1:12">
      <c r="A961" s="96">
        <v>44677</v>
      </c>
      <c r="B961" s="101">
        <v>69.98</v>
      </c>
      <c r="C961" s="1">
        <f t="shared" si="28"/>
        <v>-1.5315103653339072E-2</v>
      </c>
      <c r="D961" s="1">
        <f>IFERROR(Comp3[[#This Row],[Comparable '#3 Return]]+1,"-")</f>
        <v>0.9846848963466609</v>
      </c>
      <c r="E961" s="6">
        <f>B961-MAX($B$2:B961)</f>
        <v>-118.05999999999999</v>
      </c>
      <c r="F961" s="80">
        <f t="shared" si="29"/>
        <v>699</v>
      </c>
      <c r="G961" s="6">
        <f>IFERROR(Comp3[[#This Row],[Comparable '#3 Drawdown]]/MAX($B$2:B961),"-")</f>
        <v>-0.62784513933205699</v>
      </c>
      <c r="H961" s="1" t="str">
        <f>IF(SUM(COUNTIF(Benchmark1[Benchmark '#1 Dates],Comp3[[#This Row],[Comparable '#3 Dates]]),COUNTIF(Benchmark2[Benchmark '#2 Dates],Comp3[[#This Row],[Comparable '#3 Dates]]))=2,"Pass","Fail")</f>
        <v>Pass</v>
      </c>
      <c r="I961" s="1">
        <f>IFERROR(Comp3[[#This Row],[Comparable '#3 Return]]-INDEX(Benchmark1[Benchmark '#1 Return],MATCH(Comp3[[#This Row],[Comparable '#3 Dates]],Benchmark1[Benchmark '#1 Dates],0)),"-")</f>
        <v>1.323475458080472E-2</v>
      </c>
      <c r="L961" s="72">
        <f>Comp3[[#This Row],[Comparable '#3 Price]]/$B$2*100</f>
        <v>59.704803344424541</v>
      </c>
    </row>
    <row r="962" spans="1:12">
      <c r="A962" s="96">
        <v>44678</v>
      </c>
      <c r="B962" s="101">
        <v>69.89</v>
      </c>
      <c r="C962" s="1">
        <f t="shared" ref="C962:C1025" si="30">IFERROR(IF(B962="","-",LN(B962/B961)),"-")</f>
        <v>-1.2869094505043208E-3</v>
      </c>
      <c r="D962" s="1">
        <f>IFERROR(Comp3[[#This Row],[Comparable '#3 Return]]+1,"-")</f>
        <v>0.99871309054949564</v>
      </c>
      <c r="E962" s="6">
        <f>B962-MAX($B$2:B962)</f>
        <v>-118.14999999999999</v>
      </c>
      <c r="F962" s="80">
        <f t="shared" ref="F962:F1025" si="31">IF(E962=0,0,F961+1)</f>
        <v>700</v>
      </c>
      <c r="G962" s="6">
        <f>IFERROR(Comp3[[#This Row],[Comparable '#3 Drawdown]]/MAX($B$2:B962),"-")</f>
        <v>-0.62832376090193576</v>
      </c>
      <c r="H962" s="1" t="str">
        <f>IF(SUM(COUNTIF(Benchmark1[Benchmark '#1 Dates],Comp3[[#This Row],[Comparable '#3 Dates]]),COUNTIF(Benchmark2[Benchmark '#2 Dates],Comp3[[#This Row],[Comparable '#3 Dates]]))=2,"Pass","Fail")</f>
        <v>Pass</v>
      </c>
      <c r="I962" s="1">
        <f>IFERROR(Comp3[[#This Row],[Comparable '#3 Return]]-INDEX(Benchmark1[Benchmark '#1 Return],MATCH(Comp3[[#This Row],[Comparable '#3 Dates]],Benchmark1[Benchmark '#1 Dates],0)),"-")</f>
        <v>-3.3823431613913607E-3</v>
      </c>
      <c r="L962" s="72">
        <f>Comp3[[#This Row],[Comparable '#3 Price]]/$B$2*100</f>
        <v>59.628018087193922</v>
      </c>
    </row>
    <row r="963" spans="1:12">
      <c r="A963" s="96">
        <v>44679</v>
      </c>
      <c r="B963" s="101">
        <v>66.86</v>
      </c>
      <c r="C963" s="1">
        <f t="shared" si="30"/>
        <v>-4.4321696497085103E-2</v>
      </c>
      <c r="D963" s="1">
        <f>IFERROR(Comp3[[#This Row],[Comparable '#3 Return]]+1,"-")</f>
        <v>0.95567830350291494</v>
      </c>
      <c r="E963" s="6">
        <f>B963-MAX($B$2:B963)</f>
        <v>-121.17999999999999</v>
      </c>
      <c r="F963" s="80">
        <f t="shared" si="31"/>
        <v>701</v>
      </c>
      <c r="G963" s="6">
        <f>IFERROR(Comp3[[#This Row],[Comparable '#3 Drawdown]]/MAX($B$2:B963),"-")</f>
        <v>-0.64443735375452027</v>
      </c>
      <c r="H963" s="1" t="str">
        <f>IF(SUM(COUNTIF(Benchmark1[Benchmark '#1 Dates],Comp3[[#This Row],[Comparable '#3 Dates]]),COUNTIF(Benchmark2[Benchmark '#2 Dates],Comp3[[#This Row],[Comparable '#3 Dates]]))=2,"Pass","Fail")</f>
        <v>Pass</v>
      </c>
      <c r="I963" s="1">
        <f>IFERROR(Comp3[[#This Row],[Comparable '#3 Return]]-INDEX(Benchmark1[Benchmark '#1 Return],MATCH(Comp3[[#This Row],[Comparable '#3 Dates]],Benchmark1[Benchmark '#1 Dates],0)),"-")</f>
        <v>-6.876871443134408E-2</v>
      </c>
      <c r="L963" s="72">
        <f>Comp3[[#This Row],[Comparable '#3 Price]]/$B$2*100</f>
        <v>57.042914427096669</v>
      </c>
    </row>
    <row r="964" spans="1:12">
      <c r="A964" s="96">
        <v>44680</v>
      </c>
      <c r="B964" s="101">
        <v>64.599999999999994</v>
      </c>
      <c r="C964" s="1">
        <f t="shared" si="30"/>
        <v>-3.4386470203396483E-2</v>
      </c>
      <c r="D964" s="1">
        <f>IFERROR(Comp3[[#This Row],[Comparable '#3 Return]]+1,"-")</f>
        <v>0.96561352979660353</v>
      </c>
      <c r="E964" s="6">
        <f>B964-MAX($B$2:B964)</f>
        <v>-123.44</v>
      </c>
      <c r="F964" s="80">
        <f t="shared" si="31"/>
        <v>702</v>
      </c>
      <c r="G964" s="6">
        <f>IFERROR(Comp3[[#This Row],[Comparable '#3 Drawdown]]/MAX($B$2:B964),"-")</f>
        <v>-0.65645607317592003</v>
      </c>
      <c r="H964" s="1" t="str">
        <f>IF(SUM(COUNTIF(Benchmark1[Benchmark '#1 Dates],Comp3[[#This Row],[Comparable '#3 Dates]]),COUNTIF(Benchmark2[Benchmark '#2 Dates],Comp3[[#This Row],[Comparable '#3 Dates]]))=2,"Pass","Fail")</f>
        <v>Pass</v>
      </c>
      <c r="I964" s="1">
        <f>IFERROR(Comp3[[#This Row],[Comparable '#3 Return]]-INDEX(Benchmark1[Benchmark '#1 Return],MATCH(Comp3[[#This Row],[Comparable '#3 Dates]],Benchmark1[Benchmark '#1 Dates],0)),"-")</f>
        <v>2.5738488449814426E-3</v>
      </c>
      <c r="L964" s="72">
        <f>Comp3[[#This Row],[Comparable '#3 Price]]/$B$2*100</f>
        <v>55.114751301083523</v>
      </c>
    </row>
    <row r="965" spans="1:12">
      <c r="A965" s="96">
        <v>44683</v>
      </c>
      <c r="B965" s="101">
        <v>66.89</v>
      </c>
      <c r="C965" s="1">
        <f t="shared" si="30"/>
        <v>3.4835068341760644E-2</v>
      </c>
      <c r="D965" s="1">
        <f>IFERROR(Comp3[[#This Row],[Comparable '#3 Return]]+1,"-")</f>
        <v>1.0348350683417606</v>
      </c>
      <c r="E965" s="6">
        <f>B965-MAX($B$2:B965)</f>
        <v>-121.14999999999999</v>
      </c>
      <c r="F965" s="80">
        <f t="shared" si="31"/>
        <v>703</v>
      </c>
      <c r="G965" s="6">
        <f>IFERROR(Comp3[[#This Row],[Comparable '#3 Drawdown]]/MAX($B$2:B965),"-")</f>
        <v>-0.64427781323122735</v>
      </c>
      <c r="H965" s="1" t="str">
        <f>IF(SUM(COUNTIF(Benchmark1[Benchmark '#1 Dates],Comp3[[#This Row],[Comparable '#3 Dates]]),COUNTIF(Benchmark2[Benchmark '#2 Dates],Comp3[[#This Row],[Comparable '#3 Dates]]))=2,"Pass","Fail")</f>
        <v>Pass</v>
      </c>
      <c r="I965" s="1">
        <f>IFERROR(Comp3[[#This Row],[Comparable '#3 Return]]-INDEX(Benchmark1[Benchmark '#1 Return],MATCH(Comp3[[#This Row],[Comparable '#3 Dates]],Benchmark1[Benchmark '#1 Dates],0)),"-")</f>
        <v>2.9175514491544742E-2</v>
      </c>
      <c r="L965" s="72">
        <f>Comp3[[#This Row],[Comparable '#3 Price]]/$B$2*100</f>
        <v>57.068509512840201</v>
      </c>
    </row>
    <row r="966" spans="1:12">
      <c r="A966" s="96">
        <v>44684</v>
      </c>
      <c r="B966" s="101">
        <v>64.849999999999994</v>
      </c>
      <c r="C966" s="1">
        <f t="shared" si="30"/>
        <v>-3.0972568367863825E-2</v>
      </c>
      <c r="D966" s="1">
        <f>IFERROR(Comp3[[#This Row],[Comparable '#3 Return]]+1,"-")</f>
        <v>0.96902743163213623</v>
      </c>
      <c r="E966" s="6">
        <f>B966-MAX($B$2:B966)</f>
        <v>-123.19</v>
      </c>
      <c r="F966" s="80">
        <f t="shared" si="31"/>
        <v>704</v>
      </c>
      <c r="G966" s="6">
        <f>IFERROR(Comp3[[#This Row],[Comparable '#3 Drawdown]]/MAX($B$2:B966),"-")</f>
        <v>-0.65512656881514575</v>
      </c>
      <c r="H966" s="1" t="str">
        <f>IF(SUM(COUNTIF(Benchmark1[Benchmark '#1 Dates],Comp3[[#This Row],[Comparable '#3 Dates]]),COUNTIF(Benchmark2[Benchmark '#2 Dates],Comp3[[#This Row],[Comparable '#3 Dates]]))=2,"Pass","Fail")</f>
        <v>Pass</v>
      </c>
      <c r="I966" s="1">
        <f>IFERROR(Comp3[[#This Row],[Comparable '#3 Return]]-INDEX(Benchmark1[Benchmark '#1 Return],MATCH(Comp3[[#This Row],[Comparable '#3 Dates]],Benchmark1[Benchmark '#1 Dates],0)),"-")</f>
        <v>-3.5797565695696164E-2</v>
      </c>
      <c r="L966" s="72">
        <f>Comp3[[#This Row],[Comparable '#3 Price]]/$B$2*100</f>
        <v>55.32804368227967</v>
      </c>
    </row>
    <row r="967" spans="1:12">
      <c r="A967" s="96">
        <v>44685</v>
      </c>
      <c r="B967" s="101">
        <v>65.430000000000007</v>
      </c>
      <c r="C967" s="1">
        <f t="shared" si="30"/>
        <v>8.9039581191946993E-3</v>
      </c>
      <c r="D967" s="1">
        <f>IFERROR(Comp3[[#This Row],[Comparable '#3 Return]]+1,"-")</f>
        <v>1.0089039581191948</v>
      </c>
      <c r="E967" s="6">
        <f>B967-MAX($B$2:B967)</f>
        <v>-122.60999999999999</v>
      </c>
      <c r="F967" s="80">
        <f t="shared" si="31"/>
        <v>705</v>
      </c>
      <c r="G967" s="6">
        <f>IFERROR(Comp3[[#This Row],[Comparable '#3 Drawdown]]/MAX($B$2:B967),"-")</f>
        <v>-0.65204211869814932</v>
      </c>
      <c r="H967" s="1" t="str">
        <f>IF(SUM(COUNTIF(Benchmark1[Benchmark '#1 Dates],Comp3[[#This Row],[Comparable '#3 Dates]]),COUNTIF(Benchmark2[Benchmark '#2 Dates],Comp3[[#This Row],[Comparable '#3 Dates]]))=2,"Pass","Fail")</f>
        <v>Pass</v>
      </c>
      <c r="I967" s="1">
        <f>IFERROR(Comp3[[#This Row],[Comparable '#3 Return]]-INDEX(Benchmark1[Benchmark '#1 Return],MATCH(Comp3[[#This Row],[Comparable '#3 Dates]],Benchmark1[Benchmark '#1 Dates],0)),"-")</f>
        <v>-2.0523181861261466E-2</v>
      </c>
      <c r="L967" s="72">
        <f>Comp3[[#This Row],[Comparable '#3 Price]]/$B$2*100</f>
        <v>55.82288200665473</v>
      </c>
    </row>
    <row r="968" spans="1:12">
      <c r="A968" s="96">
        <v>44686</v>
      </c>
      <c r="B968" s="101">
        <v>64.48</v>
      </c>
      <c r="C968" s="1">
        <f t="shared" si="30"/>
        <v>-1.462577068327461E-2</v>
      </c>
      <c r="D968" s="1">
        <f>IFERROR(Comp3[[#This Row],[Comparable '#3 Return]]+1,"-")</f>
        <v>0.98537422931672536</v>
      </c>
      <c r="E968" s="6">
        <f>B968-MAX($B$2:B968)</f>
        <v>-123.55999999999999</v>
      </c>
      <c r="F968" s="80">
        <f t="shared" si="31"/>
        <v>706</v>
      </c>
      <c r="G968" s="6">
        <f>IFERROR(Comp3[[#This Row],[Comparable '#3 Drawdown]]/MAX($B$2:B968),"-")</f>
        <v>-0.65709423526909161</v>
      </c>
      <c r="H968" s="1" t="str">
        <f>IF(SUM(COUNTIF(Benchmark1[Benchmark '#1 Dates],Comp3[[#This Row],[Comparable '#3 Dates]]),COUNTIF(Benchmark2[Benchmark '#2 Dates],Comp3[[#This Row],[Comparable '#3 Dates]]))=2,"Pass","Fail")</f>
        <v>Pass</v>
      </c>
      <c r="I968" s="1">
        <f>IFERROR(Comp3[[#This Row],[Comparable '#3 Return]]-INDEX(Benchmark1[Benchmark '#1 Return],MATCH(Comp3[[#This Row],[Comparable '#3 Dates]],Benchmark1[Benchmark '#1 Dates],0)),"-")</f>
        <v>2.1676407239852136E-2</v>
      </c>
      <c r="L968" s="72">
        <f>Comp3[[#This Row],[Comparable '#3 Price]]/$B$2*100</f>
        <v>55.012370958109379</v>
      </c>
    </row>
    <row r="969" spans="1:12">
      <c r="A969" s="96">
        <v>44687</v>
      </c>
      <c r="B969" s="101">
        <v>63.51</v>
      </c>
      <c r="C969" s="1">
        <f t="shared" si="30"/>
        <v>-1.5157724383489467E-2</v>
      </c>
      <c r="D969" s="1">
        <f>IFERROR(Comp3[[#This Row],[Comparable '#3 Return]]+1,"-")</f>
        <v>0.9848422756165105</v>
      </c>
      <c r="E969" s="6">
        <f>B969-MAX($B$2:B969)</f>
        <v>-124.53</v>
      </c>
      <c r="F969" s="80">
        <f t="shared" si="31"/>
        <v>707</v>
      </c>
      <c r="G969" s="6">
        <f>IFERROR(Comp3[[#This Row],[Comparable '#3 Drawdown]]/MAX($B$2:B969),"-")</f>
        <v>-0.66225271218889603</v>
      </c>
      <c r="H969" s="1" t="str">
        <f>IF(SUM(COUNTIF(Benchmark1[Benchmark '#1 Dates],Comp3[[#This Row],[Comparable '#3 Dates]]),COUNTIF(Benchmark2[Benchmark '#2 Dates],Comp3[[#This Row],[Comparable '#3 Dates]]))=2,"Pass","Fail")</f>
        <v>Pass</v>
      </c>
      <c r="I969" s="1">
        <f>IFERROR(Comp3[[#This Row],[Comparable '#3 Return]]-INDEX(Benchmark1[Benchmark '#1 Return],MATCH(Comp3[[#This Row],[Comparable '#3 Dates]],Benchmark1[Benchmark '#1 Dates],0)),"-")</f>
        <v>-9.4669293429352867E-3</v>
      </c>
      <c r="L969" s="72">
        <f>Comp3[[#This Row],[Comparable '#3 Price]]/$B$2*100</f>
        <v>54.184796519068342</v>
      </c>
    </row>
    <row r="970" spans="1:12">
      <c r="A970" s="96">
        <v>44690</v>
      </c>
      <c r="B970" s="101">
        <v>63.14</v>
      </c>
      <c r="C970" s="1">
        <f t="shared" si="30"/>
        <v>-5.8428906850378371E-3</v>
      </c>
      <c r="D970" s="1">
        <f>IFERROR(Comp3[[#This Row],[Comparable '#3 Return]]+1,"-")</f>
        <v>0.99415710931496215</v>
      </c>
      <c r="E970" s="6">
        <f>B970-MAX($B$2:B970)</f>
        <v>-124.89999999999999</v>
      </c>
      <c r="F970" s="80">
        <f t="shared" si="31"/>
        <v>708</v>
      </c>
      <c r="G970" s="6">
        <f>IFERROR(Comp3[[#This Row],[Comparable '#3 Drawdown]]/MAX($B$2:B970),"-")</f>
        <v>-0.66422037864284189</v>
      </c>
      <c r="H970" s="1" t="str">
        <f>IF(SUM(COUNTIF(Benchmark1[Benchmark '#1 Dates],Comp3[[#This Row],[Comparable '#3 Dates]]),COUNTIF(Benchmark2[Benchmark '#2 Dates],Comp3[[#This Row],[Comparable '#3 Dates]]))=2,"Pass","Fail")</f>
        <v>Pass</v>
      </c>
      <c r="I970" s="1">
        <f>IFERROR(Comp3[[#This Row],[Comparable '#3 Return]]-INDEX(Benchmark1[Benchmark '#1 Return],MATCH(Comp3[[#This Row],[Comparable '#3 Dates]],Benchmark1[Benchmark '#1 Dates],0)),"-")</f>
        <v>2.6718265843053965E-2</v>
      </c>
      <c r="L970" s="72">
        <f>Comp3[[#This Row],[Comparable '#3 Price]]/$B$2*100</f>
        <v>53.869123794898059</v>
      </c>
    </row>
    <row r="971" spans="1:12">
      <c r="A971" s="96">
        <v>44691</v>
      </c>
      <c r="B971" s="101">
        <v>62.88</v>
      </c>
      <c r="C971" s="1">
        <f t="shared" si="30"/>
        <v>-4.1263350088944556E-3</v>
      </c>
      <c r="D971" s="1">
        <f>IFERROR(Comp3[[#This Row],[Comparable '#3 Return]]+1,"-")</f>
        <v>0.99587366499110552</v>
      </c>
      <c r="E971" s="6">
        <f>B971-MAX($B$2:B971)</f>
        <v>-125.16</v>
      </c>
      <c r="F971" s="80">
        <f t="shared" si="31"/>
        <v>709</v>
      </c>
      <c r="G971" s="6">
        <f>IFERROR(Comp3[[#This Row],[Comparable '#3 Drawdown]]/MAX($B$2:B971),"-")</f>
        <v>-0.66560306317804718</v>
      </c>
      <c r="H971" s="1" t="str">
        <f>IF(SUM(COUNTIF(Benchmark1[Benchmark '#1 Dates],Comp3[[#This Row],[Comparable '#3 Dates]]),COUNTIF(Benchmark2[Benchmark '#2 Dates],Comp3[[#This Row],[Comparable '#3 Dates]]))=2,"Pass","Fail")</f>
        <v>Pass</v>
      </c>
      <c r="I971" s="1">
        <f>IFERROR(Comp3[[#This Row],[Comparable '#3 Return]]-INDEX(Benchmark1[Benchmark '#1 Return],MATCH(Comp3[[#This Row],[Comparable '#3 Dates]],Benchmark1[Benchmark '#1 Dates],0)),"-")</f>
        <v>-6.5830321499246074E-3</v>
      </c>
      <c r="L971" s="72">
        <f>Comp3[[#This Row],[Comparable '#3 Price]]/$B$2*100</f>
        <v>53.647299718454065</v>
      </c>
    </row>
    <row r="972" spans="1:12">
      <c r="A972" s="96">
        <v>44692</v>
      </c>
      <c r="B972" s="101">
        <v>61.69</v>
      </c>
      <c r="C972" s="1">
        <f t="shared" si="30"/>
        <v>-1.9106304899403896E-2</v>
      </c>
      <c r="D972" s="1">
        <f>IFERROR(Comp3[[#This Row],[Comparable '#3 Return]]+1,"-")</f>
        <v>0.9808936951005961</v>
      </c>
      <c r="E972" s="6">
        <f>B972-MAX($B$2:B972)</f>
        <v>-126.35</v>
      </c>
      <c r="F972" s="80">
        <f t="shared" si="31"/>
        <v>710</v>
      </c>
      <c r="G972" s="6">
        <f>IFERROR(Comp3[[#This Row],[Comparable '#3 Drawdown]]/MAX($B$2:B972),"-")</f>
        <v>-0.67193150393533285</v>
      </c>
      <c r="H972" s="1" t="str">
        <f>IF(SUM(COUNTIF(Benchmark1[Benchmark '#1 Dates],Comp3[[#This Row],[Comparable '#3 Dates]]),COUNTIF(Benchmark2[Benchmark '#2 Dates],Comp3[[#This Row],[Comparable '#3 Dates]]))=2,"Pass","Fail")</f>
        <v>Pass</v>
      </c>
      <c r="I972" s="1">
        <f>IFERROR(Comp3[[#This Row],[Comparable '#3 Return]]-INDEX(Benchmark1[Benchmark '#1 Return],MATCH(Comp3[[#This Row],[Comparable '#3 Dates]],Benchmark1[Benchmark '#1 Dates],0)),"-")</f>
        <v>-2.5060985232234108E-3</v>
      </c>
      <c r="L972" s="72">
        <f>Comp3[[#This Row],[Comparable '#3 Price]]/$B$2*100</f>
        <v>52.63202798396042</v>
      </c>
    </row>
    <row r="973" spans="1:12">
      <c r="A973" s="96">
        <v>44693</v>
      </c>
      <c r="B973" s="101">
        <v>62.35</v>
      </c>
      <c r="C973" s="1">
        <f t="shared" si="30"/>
        <v>1.0641828904498146E-2</v>
      </c>
      <c r="D973" s="1">
        <f>IFERROR(Comp3[[#This Row],[Comparable '#3 Return]]+1,"-")</f>
        <v>1.0106418289044981</v>
      </c>
      <c r="E973" s="6">
        <f>B973-MAX($B$2:B973)</f>
        <v>-125.69</v>
      </c>
      <c r="F973" s="80">
        <f t="shared" si="31"/>
        <v>711</v>
      </c>
      <c r="G973" s="6">
        <f>IFERROR(Comp3[[#This Row],[Comparable '#3 Drawdown]]/MAX($B$2:B973),"-")</f>
        <v>-0.66842161242288878</v>
      </c>
      <c r="H973" s="1" t="str">
        <f>IF(SUM(COUNTIF(Benchmark1[Benchmark '#1 Dates],Comp3[[#This Row],[Comparable '#3 Dates]]),COUNTIF(Benchmark2[Benchmark '#2 Dates],Comp3[[#This Row],[Comparable '#3 Dates]]))=2,"Pass","Fail")</f>
        <v>Pass</v>
      </c>
      <c r="I973" s="1">
        <f>IFERROR(Comp3[[#This Row],[Comparable '#3 Return]]-INDEX(Benchmark1[Benchmark '#1 Return],MATCH(Comp3[[#This Row],[Comparable '#3 Dates]],Benchmark1[Benchmark '#1 Dates],0)),"-")</f>
        <v>1.193935658964184E-2</v>
      </c>
      <c r="L973" s="72">
        <f>Comp3[[#This Row],[Comparable '#3 Price]]/$B$2*100</f>
        <v>53.195119870318244</v>
      </c>
    </row>
    <row r="974" spans="1:12">
      <c r="A974" s="96">
        <v>44694</v>
      </c>
      <c r="B974" s="101">
        <v>62.5</v>
      </c>
      <c r="C974" s="1">
        <f t="shared" si="30"/>
        <v>2.4028846163103158E-3</v>
      </c>
      <c r="D974" s="1">
        <f>IFERROR(Comp3[[#This Row],[Comparable '#3 Return]]+1,"-")</f>
        <v>1.0024028846163102</v>
      </c>
      <c r="E974" s="6">
        <f>B974-MAX($B$2:B974)</f>
        <v>-125.53999999999999</v>
      </c>
      <c r="F974" s="80">
        <f t="shared" si="31"/>
        <v>712</v>
      </c>
      <c r="G974" s="6">
        <f>IFERROR(Comp3[[#This Row],[Comparable '#3 Drawdown]]/MAX($B$2:B974),"-")</f>
        <v>-0.66762390980642417</v>
      </c>
      <c r="H974" s="1" t="str">
        <f>IF(SUM(COUNTIF(Benchmark1[Benchmark '#1 Dates],Comp3[[#This Row],[Comparable '#3 Dates]]),COUNTIF(Benchmark2[Benchmark '#2 Dates],Comp3[[#This Row],[Comparable '#3 Dates]]))=2,"Pass","Fail")</f>
        <v>Pass</v>
      </c>
      <c r="I974" s="1">
        <f>IFERROR(Comp3[[#This Row],[Comparable '#3 Return]]-INDEX(Benchmark1[Benchmark '#1 Return],MATCH(Comp3[[#This Row],[Comparable '#3 Dates]],Benchmark1[Benchmark '#1 Dates],0)),"-")</f>
        <v>-2.1186261321432771E-2</v>
      </c>
      <c r="L974" s="72">
        <f>Comp3[[#This Row],[Comparable '#3 Price]]/$B$2*100</f>
        <v>53.323095299035913</v>
      </c>
    </row>
    <row r="975" spans="1:12">
      <c r="A975" s="96">
        <v>44697</v>
      </c>
      <c r="B975" s="101">
        <v>63.43</v>
      </c>
      <c r="C975" s="1">
        <f t="shared" si="30"/>
        <v>1.477037890344996E-2</v>
      </c>
      <c r="D975" s="1">
        <f>IFERROR(Comp3[[#This Row],[Comparable '#3 Return]]+1,"-")</f>
        <v>1.0147703789034499</v>
      </c>
      <c r="E975" s="6">
        <f>B975-MAX($B$2:B975)</f>
        <v>-124.60999999999999</v>
      </c>
      <c r="F975" s="80">
        <f t="shared" si="31"/>
        <v>713</v>
      </c>
      <c r="G975" s="6">
        <f>IFERROR(Comp3[[#This Row],[Comparable '#3 Drawdown]]/MAX($B$2:B975),"-")</f>
        <v>-0.66267815358434368</v>
      </c>
      <c r="H975" s="1" t="str">
        <f>IF(SUM(COUNTIF(Benchmark1[Benchmark '#1 Dates],Comp3[[#This Row],[Comparable '#3 Dates]]),COUNTIF(Benchmark2[Benchmark '#2 Dates],Comp3[[#This Row],[Comparable '#3 Dates]]))=2,"Pass","Fail")</f>
        <v>Pass</v>
      </c>
      <c r="I975" s="1">
        <f>IFERROR(Comp3[[#This Row],[Comparable '#3 Return]]-INDEX(Benchmark1[Benchmark '#1 Return],MATCH(Comp3[[#This Row],[Comparable '#3 Dates]],Benchmark1[Benchmark '#1 Dates],0)),"-")</f>
        <v>1.872481172009614E-2</v>
      </c>
      <c r="L975" s="72">
        <f>Comp3[[#This Row],[Comparable '#3 Price]]/$B$2*100</f>
        <v>54.116542957085578</v>
      </c>
    </row>
    <row r="976" spans="1:12">
      <c r="A976" s="96">
        <v>44698</v>
      </c>
      <c r="B976" s="101">
        <v>64.87</v>
      </c>
      <c r="C976" s="1">
        <f t="shared" si="30"/>
        <v>2.2448331579158237E-2</v>
      </c>
      <c r="D976" s="1">
        <f>IFERROR(Comp3[[#This Row],[Comparable '#3 Return]]+1,"-")</f>
        <v>1.0224483315791582</v>
      </c>
      <c r="E976" s="6">
        <f>B976-MAX($B$2:B976)</f>
        <v>-123.16999999999999</v>
      </c>
      <c r="F976" s="80">
        <f t="shared" si="31"/>
        <v>714</v>
      </c>
      <c r="G976" s="6">
        <f>IFERROR(Comp3[[#This Row],[Comparable '#3 Drawdown]]/MAX($B$2:B976),"-")</f>
        <v>-0.65502020846628373</v>
      </c>
      <c r="H976" s="1" t="str">
        <f>IF(SUM(COUNTIF(Benchmark1[Benchmark '#1 Dates],Comp3[[#This Row],[Comparable '#3 Dates]]),COUNTIF(Benchmark2[Benchmark '#2 Dates],Comp3[[#This Row],[Comparable '#3 Dates]]))=2,"Pass","Fail")</f>
        <v>Pass</v>
      </c>
      <c r="I976" s="1">
        <f>IFERROR(Comp3[[#This Row],[Comparable '#3 Return]]-INDEX(Benchmark1[Benchmark '#1 Return],MATCH(Comp3[[#This Row],[Comparable '#3 Dates]],Benchmark1[Benchmark '#1 Dates],0)),"-")</f>
        <v>2.4794532657514412E-3</v>
      </c>
      <c r="L976" s="72">
        <f>Comp3[[#This Row],[Comparable '#3 Price]]/$B$2*100</f>
        <v>55.34510707277537</v>
      </c>
    </row>
    <row r="977" spans="1:12">
      <c r="A977" s="96">
        <v>44699</v>
      </c>
      <c r="B977" s="101">
        <v>64.45</v>
      </c>
      <c r="C977" s="1">
        <f t="shared" si="30"/>
        <v>-6.4955378397676799E-3</v>
      </c>
      <c r="D977" s="1">
        <f>IFERROR(Comp3[[#This Row],[Comparable '#3 Return]]+1,"-")</f>
        <v>0.99350446216023236</v>
      </c>
      <c r="E977" s="6">
        <f>B977-MAX($B$2:B977)</f>
        <v>-123.58999999999999</v>
      </c>
      <c r="F977" s="80">
        <f t="shared" si="31"/>
        <v>715</v>
      </c>
      <c r="G977" s="6">
        <f>IFERROR(Comp3[[#This Row],[Comparable '#3 Drawdown]]/MAX($B$2:B977),"-")</f>
        <v>-0.65725377579238453</v>
      </c>
      <c r="H977" s="1" t="str">
        <f>IF(SUM(COUNTIF(Benchmark1[Benchmark '#1 Dates],Comp3[[#This Row],[Comparable '#3 Dates]]),COUNTIF(Benchmark2[Benchmark '#2 Dates],Comp3[[#This Row],[Comparable '#3 Dates]]))=2,"Pass","Fail")</f>
        <v>Pass</v>
      </c>
      <c r="I977" s="1">
        <f>IFERROR(Comp3[[#This Row],[Comparable '#3 Return]]-INDEX(Benchmark1[Benchmark '#1 Return],MATCH(Comp3[[#This Row],[Comparable '#3 Dates]],Benchmark1[Benchmark '#1 Dates],0)),"-")</f>
        <v>3.473839084926518E-2</v>
      </c>
      <c r="L977" s="72">
        <f>Comp3[[#This Row],[Comparable '#3 Price]]/$B$2*100</f>
        <v>54.986775872365847</v>
      </c>
    </row>
    <row r="978" spans="1:12">
      <c r="A978" s="96">
        <v>44700</v>
      </c>
      <c r="B978" s="101">
        <v>63.44</v>
      </c>
      <c r="C978" s="1">
        <f t="shared" si="30"/>
        <v>-1.5795152058603899E-2</v>
      </c>
      <c r="D978" s="1">
        <f>IFERROR(Comp3[[#This Row],[Comparable '#3 Return]]+1,"-")</f>
        <v>0.98420484794139607</v>
      </c>
      <c r="E978" s="6">
        <f>B978-MAX($B$2:B978)</f>
        <v>-124.6</v>
      </c>
      <c r="F978" s="80">
        <f t="shared" si="31"/>
        <v>716</v>
      </c>
      <c r="G978" s="6">
        <f>IFERROR(Comp3[[#This Row],[Comparable '#3 Drawdown]]/MAX($B$2:B978),"-")</f>
        <v>-0.66262497340991278</v>
      </c>
      <c r="H978" s="1" t="str">
        <f>IF(SUM(COUNTIF(Benchmark1[Benchmark '#1 Dates],Comp3[[#This Row],[Comparable '#3 Dates]]),COUNTIF(Benchmark2[Benchmark '#2 Dates],Comp3[[#This Row],[Comparable '#3 Dates]]))=2,"Pass","Fail")</f>
        <v>Pass</v>
      </c>
      <c r="I978" s="1">
        <f>IFERROR(Comp3[[#This Row],[Comparable '#3 Return]]-INDEX(Benchmark1[Benchmark '#1 Return],MATCH(Comp3[[#This Row],[Comparable '#3 Dates]],Benchmark1[Benchmark '#1 Dates],0)),"-")</f>
        <v>-9.9435351748452146E-3</v>
      </c>
      <c r="L978" s="72">
        <f>Comp3[[#This Row],[Comparable '#3 Price]]/$B$2*100</f>
        <v>54.125074652333417</v>
      </c>
    </row>
    <row r="979" spans="1:12">
      <c r="A979" s="96">
        <v>44701</v>
      </c>
      <c r="B979" s="101">
        <v>64.13</v>
      </c>
      <c r="C979" s="1">
        <f t="shared" si="30"/>
        <v>1.0817695834179011E-2</v>
      </c>
      <c r="D979" s="1">
        <f>IFERROR(Comp3[[#This Row],[Comparable '#3 Return]]+1,"-")</f>
        <v>1.010817695834179</v>
      </c>
      <c r="E979" s="6">
        <f>B979-MAX($B$2:B979)</f>
        <v>-123.91</v>
      </c>
      <c r="F979" s="80">
        <f t="shared" si="31"/>
        <v>717</v>
      </c>
      <c r="G979" s="6">
        <f>IFERROR(Comp3[[#This Row],[Comparable '#3 Drawdown]]/MAX($B$2:B979),"-")</f>
        <v>-0.65895554137417567</v>
      </c>
      <c r="H979" s="1" t="str">
        <f>IF(SUM(COUNTIF(Benchmark1[Benchmark '#1 Dates],Comp3[[#This Row],[Comparable '#3 Dates]]),COUNTIF(Benchmark2[Benchmark '#2 Dates],Comp3[[#This Row],[Comparable '#3 Dates]]))=2,"Pass","Fail")</f>
        <v>Pass</v>
      </c>
      <c r="I979" s="1">
        <f>IFERROR(Comp3[[#This Row],[Comparable '#3 Return]]-INDEX(Benchmark1[Benchmark '#1 Return],MATCH(Comp3[[#This Row],[Comparable '#3 Dates]],Benchmark1[Benchmark '#1 Dates],0)),"-")</f>
        <v>1.0670649909732172E-2</v>
      </c>
      <c r="L979" s="72">
        <f>Comp3[[#This Row],[Comparable '#3 Price]]/$B$2*100</f>
        <v>54.713761624434774</v>
      </c>
    </row>
    <row r="980" spans="1:12">
      <c r="A980" s="96">
        <v>44704</v>
      </c>
      <c r="B980" s="101">
        <v>63.04</v>
      </c>
      <c r="C980" s="1">
        <f t="shared" si="30"/>
        <v>-1.7142827611147802E-2</v>
      </c>
      <c r="D980" s="1">
        <f>IFERROR(Comp3[[#This Row],[Comparable '#3 Return]]+1,"-")</f>
        <v>0.98285717238885217</v>
      </c>
      <c r="E980" s="6">
        <f>B980-MAX($B$2:B980)</f>
        <v>-125</v>
      </c>
      <c r="F980" s="80">
        <f t="shared" si="31"/>
        <v>718</v>
      </c>
      <c r="G980" s="6">
        <f>IFERROR(Comp3[[#This Row],[Comparable '#3 Drawdown]]/MAX($B$2:B980),"-")</f>
        <v>-0.66475218038715167</v>
      </c>
      <c r="H980" s="1" t="str">
        <f>IF(SUM(COUNTIF(Benchmark1[Benchmark '#1 Dates],Comp3[[#This Row],[Comparable '#3 Dates]]),COUNTIF(Benchmark2[Benchmark '#2 Dates],Comp3[[#This Row],[Comparable '#3 Dates]]))=2,"Pass","Fail")</f>
        <v>Pass</v>
      </c>
      <c r="I980" s="1">
        <f>IFERROR(Comp3[[#This Row],[Comparable '#3 Return]]-INDEX(Benchmark1[Benchmark '#1 Return],MATCH(Comp3[[#This Row],[Comparable '#3 Dates]],Benchmark1[Benchmark '#1 Dates],0)),"-")</f>
        <v>-3.5528101378347797E-2</v>
      </c>
      <c r="L980" s="72">
        <f>Comp3[[#This Row],[Comparable '#3 Price]]/$B$2*100</f>
        <v>53.783806842419594</v>
      </c>
    </row>
    <row r="981" spans="1:12">
      <c r="A981" s="96">
        <v>44705</v>
      </c>
      <c r="B981" s="101">
        <v>64.349999999999994</v>
      </c>
      <c r="C981" s="1">
        <f t="shared" si="30"/>
        <v>2.0567488492511946E-2</v>
      </c>
      <c r="D981" s="1">
        <f>IFERROR(Comp3[[#This Row],[Comparable '#3 Return]]+1,"-")</f>
        <v>1.020567488492512</v>
      </c>
      <c r="E981" s="6">
        <f>B981-MAX($B$2:B981)</f>
        <v>-123.69</v>
      </c>
      <c r="F981" s="80">
        <f t="shared" si="31"/>
        <v>719</v>
      </c>
      <c r="G981" s="6">
        <f>IFERROR(Comp3[[#This Row],[Comparable '#3 Drawdown]]/MAX($B$2:B981),"-")</f>
        <v>-0.65778557753669431</v>
      </c>
      <c r="H981" s="1" t="str">
        <f>IF(SUM(COUNTIF(Benchmark1[Benchmark '#1 Dates],Comp3[[#This Row],[Comparable '#3 Dates]]),COUNTIF(Benchmark2[Benchmark '#2 Dates],Comp3[[#This Row],[Comparable '#3 Dates]]))=2,"Pass","Fail")</f>
        <v>Pass</v>
      </c>
      <c r="I981" s="1">
        <f>IFERROR(Comp3[[#This Row],[Comparable '#3 Return]]-INDEX(Benchmark1[Benchmark '#1 Return],MATCH(Comp3[[#This Row],[Comparable '#3 Dates]],Benchmark1[Benchmark '#1 Dates],0)),"-")</f>
        <v>2.8722608459876574E-2</v>
      </c>
      <c r="L981" s="72">
        <f>Comp3[[#This Row],[Comparable '#3 Price]]/$B$2*100</f>
        <v>54.901458919887382</v>
      </c>
    </row>
    <row r="982" spans="1:12">
      <c r="A982" s="96">
        <v>44706</v>
      </c>
      <c r="B982" s="101">
        <v>65.790000000000006</v>
      </c>
      <c r="C982" s="1">
        <f t="shared" si="30"/>
        <v>2.2130917055771106E-2</v>
      </c>
      <c r="D982" s="1">
        <f>IFERROR(Comp3[[#This Row],[Comparable '#3 Return]]+1,"-")</f>
        <v>1.0221309170557711</v>
      </c>
      <c r="E982" s="6">
        <f>B982-MAX($B$2:B982)</f>
        <v>-122.24999999999999</v>
      </c>
      <c r="F982" s="80">
        <f t="shared" si="31"/>
        <v>720</v>
      </c>
      <c r="G982" s="6">
        <f>IFERROR(Comp3[[#This Row],[Comparable '#3 Drawdown]]/MAX($B$2:B982),"-")</f>
        <v>-0.65012763241863425</v>
      </c>
      <c r="H982" s="1" t="str">
        <f>IF(SUM(COUNTIF(Benchmark1[Benchmark '#1 Dates],Comp3[[#This Row],[Comparable '#3 Dates]]),COUNTIF(Benchmark2[Benchmark '#2 Dates],Comp3[[#This Row],[Comparable '#3 Dates]]))=2,"Pass","Fail")</f>
        <v>Pass</v>
      </c>
      <c r="I982" s="1">
        <f>IFERROR(Comp3[[#This Row],[Comparable '#3 Return]]-INDEX(Benchmark1[Benchmark '#1 Return],MATCH(Comp3[[#This Row],[Comparable '#3 Dates]],Benchmark1[Benchmark '#1 Dates],0)),"-")</f>
        <v>1.2723081956787575E-2</v>
      </c>
      <c r="L982" s="72">
        <f>Comp3[[#This Row],[Comparable '#3 Price]]/$B$2*100</f>
        <v>56.130023035577182</v>
      </c>
    </row>
    <row r="983" spans="1:12">
      <c r="A983" s="96">
        <v>44707</v>
      </c>
      <c r="B983" s="101">
        <v>65.31</v>
      </c>
      <c r="C983" s="1">
        <f t="shared" si="30"/>
        <v>-7.3226871833408673E-3</v>
      </c>
      <c r="D983" s="1">
        <f>IFERROR(Comp3[[#This Row],[Comparable '#3 Return]]+1,"-")</f>
        <v>0.99267731281665916</v>
      </c>
      <c r="E983" s="6">
        <f>B983-MAX($B$2:B983)</f>
        <v>-122.72999999999999</v>
      </c>
      <c r="F983" s="80">
        <f t="shared" si="31"/>
        <v>721</v>
      </c>
      <c r="G983" s="6">
        <f>IFERROR(Comp3[[#This Row],[Comparable '#3 Drawdown]]/MAX($B$2:B983),"-")</f>
        <v>-0.65268028079132101</v>
      </c>
      <c r="H983" s="1" t="str">
        <f>IF(SUM(COUNTIF(Benchmark1[Benchmark '#1 Dates],Comp3[[#This Row],[Comparable '#3 Dates]]),COUNTIF(Benchmark2[Benchmark '#2 Dates],Comp3[[#This Row],[Comparable '#3 Dates]]))=2,"Pass","Fail")</f>
        <v>Pass</v>
      </c>
      <c r="I983" s="1">
        <f>IFERROR(Comp3[[#This Row],[Comparable '#3 Return]]-INDEX(Benchmark1[Benchmark '#1 Return],MATCH(Comp3[[#This Row],[Comparable '#3 Dates]],Benchmark1[Benchmark '#1 Dates],0)),"-")</f>
        <v>-2.701034495105081E-2</v>
      </c>
      <c r="L983" s="72">
        <f>Comp3[[#This Row],[Comparable '#3 Price]]/$B$2*100</f>
        <v>55.720501663680579</v>
      </c>
    </row>
    <row r="984" spans="1:12">
      <c r="A984" s="96">
        <v>44708</v>
      </c>
      <c r="B984" s="101">
        <v>66.959999999999994</v>
      </c>
      <c r="C984" s="1">
        <f t="shared" si="30"/>
        <v>2.4950262266653932E-2</v>
      </c>
      <c r="D984" s="1">
        <f>IFERROR(Comp3[[#This Row],[Comparable '#3 Return]]+1,"-")</f>
        <v>1.024950262266654</v>
      </c>
      <c r="E984" s="6">
        <f>B984-MAX($B$2:B984)</f>
        <v>-121.08</v>
      </c>
      <c r="F984" s="80">
        <f t="shared" si="31"/>
        <v>722</v>
      </c>
      <c r="G984" s="6">
        <f>IFERROR(Comp3[[#This Row],[Comparable '#3 Drawdown]]/MAX($B$2:B984),"-")</f>
        <v>-0.6439055520102106</v>
      </c>
      <c r="H984" s="1" t="str">
        <f>IF(SUM(COUNTIF(Benchmark1[Benchmark '#1 Dates],Comp3[[#This Row],[Comparable '#3 Dates]]),COUNTIF(Benchmark2[Benchmark '#2 Dates],Comp3[[#This Row],[Comparable '#3 Dates]]))=2,"Pass","Fail")</f>
        <v>Pass</v>
      </c>
      <c r="I984" s="1">
        <f>IFERROR(Comp3[[#This Row],[Comparable '#3 Return]]-INDEX(Benchmark1[Benchmark '#1 Return],MATCH(Comp3[[#This Row],[Comparable '#3 Dates]],Benchmark1[Benchmark '#1 Dates],0)),"-")</f>
        <v>5.0975314608379604E-4</v>
      </c>
      <c r="L984" s="72">
        <f>Comp3[[#This Row],[Comparable '#3 Price]]/$B$2*100</f>
        <v>57.128231379575126</v>
      </c>
    </row>
    <row r="985" spans="1:12">
      <c r="A985" s="96">
        <v>44712</v>
      </c>
      <c r="B985" s="101">
        <v>65.819999999999993</v>
      </c>
      <c r="C985" s="1">
        <f t="shared" si="30"/>
        <v>-1.7171682666026023E-2</v>
      </c>
      <c r="D985" s="1">
        <f>IFERROR(Comp3[[#This Row],[Comparable '#3 Return]]+1,"-")</f>
        <v>0.98282831733397402</v>
      </c>
      <c r="E985" s="6">
        <f>B985-MAX($B$2:B985)</f>
        <v>-122.22</v>
      </c>
      <c r="F985" s="80">
        <f t="shared" si="31"/>
        <v>723</v>
      </c>
      <c r="G985" s="6">
        <f>IFERROR(Comp3[[#This Row],[Comparable '#3 Drawdown]]/MAX($B$2:B985),"-")</f>
        <v>-0.64996809189534144</v>
      </c>
      <c r="H985" s="1" t="str">
        <f>IF(SUM(COUNTIF(Benchmark1[Benchmark '#1 Dates],Comp3[[#This Row],[Comparable '#3 Dates]]),COUNTIF(Benchmark2[Benchmark '#2 Dates],Comp3[[#This Row],[Comparable '#3 Dates]]))=2,"Pass","Fail")</f>
        <v>Pass</v>
      </c>
      <c r="I985" s="1">
        <f>IFERROR(Comp3[[#This Row],[Comparable '#3 Return]]-INDEX(Benchmark1[Benchmark '#1 Return],MATCH(Comp3[[#This Row],[Comparable '#3 Dates]],Benchmark1[Benchmark '#1 Dates],0)),"-")</f>
        <v>-1.0877484788959738E-2</v>
      </c>
      <c r="L985" s="72">
        <f>Comp3[[#This Row],[Comparable '#3 Price]]/$B$2*100</f>
        <v>56.155618121320707</v>
      </c>
    </row>
    <row r="986" spans="1:12">
      <c r="A986" s="96">
        <v>44713</v>
      </c>
      <c r="B986" s="101">
        <v>65.150000000000006</v>
      </c>
      <c r="C986" s="1">
        <f t="shared" si="30"/>
        <v>-1.0231439944339586E-2</v>
      </c>
      <c r="D986" s="1">
        <f>IFERROR(Comp3[[#This Row],[Comparable '#3 Return]]+1,"-")</f>
        <v>0.98976856005566038</v>
      </c>
      <c r="E986" s="6">
        <f>B986-MAX($B$2:B986)</f>
        <v>-122.88999999999999</v>
      </c>
      <c r="F986" s="80">
        <f t="shared" si="31"/>
        <v>724</v>
      </c>
      <c r="G986" s="6">
        <f>IFERROR(Comp3[[#This Row],[Comparable '#3 Drawdown]]/MAX($B$2:B986),"-")</f>
        <v>-0.65353116358221652</v>
      </c>
      <c r="H986" s="1" t="str">
        <f>IF(SUM(COUNTIF(Benchmark1[Benchmark '#1 Dates],Comp3[[#This Row],[Comparable '#3 Dates]]),COUNTIF(Benchmark2[Benchmark '#2 Dates],Comp3[[#This Row],[Comparable '#3 Dates]]))=2,"Pass","Fail")</f>
        <v>Pass</v>
      </c>
      <c r="I986" s="1">
        <f>IFERROR(Comp3[[#This Row],[Comparable '#3 Return]]-INDEX(Benchmark1[Benchmark '#1 Return],MATCH(Comp3[[#This Row],[Comparable '#3 Dates]],Benchmark1[Benchmark '#1 Dates],0)),"-")</f>
        <v>-2.7210068645163003E-3</v>
      </c>
      <c r="L986" s="72">
        <f>Comp3[[#This Row],[Comparable '#3 Price]]/$B$2*100</f>
        <v>55.58399453971505</v>
      </c>
    </row>
    <row r="987" spans="1:12">
      <c r="A987" s="96">
        <v>44714</v>
      </c>
      <c r="B987" s="101">
        <v>65.680000000000007</v>
      </c>
      <c r="C987" s="1">
        <f t="shared" si="30"/>
        <v>8.1021615733185767E-3</v>
      </c>
      <c r="D987" s="1">
        <f>IFERROR(Comp3[[#This Row],[Comparable '#3 Return]]+1,"-")</f>
        <v>1.0081021615733186</v>
      </c>
      <c r="E987" s="6">
        <f>B987-MAX($B$2:B987)</f>
        <v>-122.35999999999999</v>
      </c>
      <c r="F987" s="80">
        <f t="shared" si="31"/>
        <v>725</v>
      </c>
      <c r="G987" s="6">
        <f>IFERROR(Comp3[[#This Row],[Comparable '#3 Drawdown]]/MAX($B$2:B987),"-")</f>
        <v>-0.65071261433737493</v>
      </c>
      <c r="H987" s="1" t="str">
        <f>IF(SUM(COUNTIF(Benchmark1[Benchmark '#1 Dates],Comp3[[#This Row],[Comparable '#3 Dates]]),COUNTIF(Benchmark2[Benchmark '#2 Dates],Comp3[[#This Row],[Comparable '#3 Dates]]))=2,"Pass","Fail")</f>
        <v>Pass</v>
      </c>
      <c r="I987" s="1">
        <f>IFERROR(Comp3[[#This Row],[Comparable '#3 Return]]-INDEX(Benchmark1[Benchmark '#1 Return],MATCH(Comp3[[#This Row],[Comparable '#3 Dates]],Benchmark1[Benchmark '#1 Dates],0)),"-")</f>
        <v>-1.0160654608074773E-2</v>
      </c>
      <c r="L987" s="72">
        <f>Comp3[[#This Row],[Comparable '#3 Price]]/$B$2*100</f>
        <v>56.036174387850878</v>
      </c>
    </row>
    <row r="988" spans="1:12">
      <c r="A988" s="96">
        <v>44715</v>
      </c>
      <c r="B988" s="101">
        <v>65.5</v>
      </c>
      <c r="C988" s="1">
        <f t="shared" si="30"/>
        <v>-2.7443225029666154E-3</v>
      </c>
      <c r="D988" s="1">
        <f>IFERROR(Comp3[[#This Row],[Comparable '#3 Return]]+1,"-")</f>
        <v>0.99725567749703337</v>
      </c>
      <c r="E988" s="6">
        <f>B988-MAX($B$2:B988)</f>
        <v>-122.53999999999999</v>
      </c>
      <c r="F988" s="80">
        <f t="shared" si="31"/>
        <v>726</v>
      </c>
      <c r="G988" s="6">
        <f>IFERROR(Comp3[[#This Row],[Comparable '#3 Drawdown]]/MAX($B$2:B988),"-")</f>
        <v>-0.65166985747713246</v>
      </c>
      <c r="H988" s="1" t="str">
        <f>IF(SUM(COUNTIF(Benchmark1[Benchmark '#1 Dates],Comp3[[#This Row],[Comparable '#3 Dates]]),COUNTIF(Benchmark2[Benchmark '#2 Dates],Comp3[[#This Row],[Comparable '#3 Dates]]))=2,"Pass","Fail")</f>
        <v>Pass</v>
      </c>
      <c r="I988" s="1">
        <f>IFERROR(Comp3[[#This Row],[Comparable '#3 Return]]-INDEX(Benchmark1[Benchmark '#1 Return],MATCH(Comp3[[#This Row],[Comparable '#3 Dates]],Benchmark1[Benchmark '#1 Dates],0)),"-")</f>
        <v>1.3738759853080965E-2</v>
      </c>
      <c r="L988" s="72">
        <f>Comp3[[#This Row],[Comparable '#3 Price]]/$B$2*100</f>
        <v>55.882603873389648</v>
      </c>
    </row>
    <row r="989" spans="1:12">
      <c r="A989" s="96">
        <v>44718</v>
      </c>
      <c r="B989" s="101">
        <v>66.17</v>
      </c>
      <c r="C989" s="1">
        <f t="shared" si="30"/>
        <v>1.0177045382761896E-2</v>
      </c>
      <c r="D989" s="1">
        <f>IFERROR(Comp3[[#This Row],[Comparable '#3 Return]]+1,"-")</f>
        <v>1.0101770453827619</v>
      </c>
      <c r="E989" s="6">
        <f>B989-MAX($B$2:B989)</f>
        <v>-121.86999999999999</v>
      </c>
      <c r="F989" s="80">
        <f t="shared" si="31"/>
        <v>727</v>
      </c>
      <c r="G989" s="6">
        <f>IFERROR(Comp3[[#This Row],[Comparable '#3 Drawdown]]/MAX($B$2:B989),"-")</f>
        <v>-0.64810678579025738</v>
      </c>
      <c r="H989" s="1" t="str">
        <f>IF(SUM(COUNTIF(Benchmark1[Benchmark '#1 Dates],Comp3[[#This Row],[Comparable '#3 Dates]]),COUNTIF(Benchmark2[Benchmark '#2 Dates],Comp3[[#This Row],[Comparable '#3 Dates]]))=2,"Pass","Fail")</f>
        <v>Pass</v>
      </c>
      <c r="I989" s="1">
        <f>IFERROR(Comp3[[#This Row],[Comparable '#3 Return]]-INDEX(Benchmark1[Benchmark '#1 Return],MATCH(Comp3[[#This Row],[Comparable '#3 Dates]],Benchmark1[Benchmark '#1 Dates],0)),"-")</f>
        <v>7.0436095388968127E-3</v>
      </c>
      <c r="L989" s="72">
        <f>Comp3[[#This Row],[Comparable '#3 Price]]/$B$2*100</f>
        <v>56.454227454995312</v>
      </c>
    </row>
    <row r="990" spans="1:12">
      <c r="A990" s="96">
        <v>44719</v>
      </c>
      <c r="B990" s="101">
        <v>66.010000000000005</v>
      </c>
      <c r="C990" s="1">
        <f t="shared" si="30"/>
        <v>-2.4209423232886495E-3</v>
      </c>
      <c r="D990" s="1">
        <f>IFERROR(Comp3[[#This Row],[Comparable '#3 Return]]+1,"-")</f>
        <v>0.9975790576767114</v>
      </c>
      <c r="E990" s="6">
        <f>B990-MAX($B$2:B990)</f>
        <v>-122.02999999999999</v>
      </c>
      <c r="F990" s="80">
        <f t="shared" si="31"/>
        <v>728</v>
      </c>
      <c r="G990" s="6">
        <f>IFERROR(Comp3[[#This Row],[Comparable '#3 Drawdown]]/MAX($B$2:B990),"-")</f>
        <v>-0.64895766858115289</v>
      </c>
      <c r="H990" s="1" t="str">
        <f>IF(SUM(COUNTIF(Benchmark1[Benchmark '#1 Dates],Comp3[[#This Row],[Comparable '#3 Dates]]),COUNTIF(Benchmark2[Benchmark '#2 Dates],Comp3[[#This Row],[Comparable '#3 Dates]]))=2,"Pass","Fail")</f>
        <v>Pass</v>
      </c>
      <c r="I990" s="1">
        <f>IFERROR(Comp3[[#This Row],[Comparable '#3 Return]]-INDEX(Benchmark1[Benchmark '#1 Return],MATCH(Comp3[[#This Row],[Comparable '#3 Dates]],Benchmark1[Benchmark '#1 Dates],0)),"-")</f>
        <v>-1.1900211871725016E-2</v>
      </c>
      <c r="L990" s="72">
        <f>Comp3[[#This Row],[Comparable '#3 Price]]/$B$2*100</f>
        <v>56.317720331029783</v>
      </c>
    </row>
    <row r="991" spans="1:12">
      <c r="A991" s="96">
        <v>44720</v>
      </c>
      <c r="B991" s="101">
        <v>65.61</v>
      </c>
      <c r="C991" s="1">
        <f t="shared" si="30"/>
        <v>-6.0781223438933834E-3</v>
      </c>
      <c r="D991" s="1">
        <f>IFERROR(Comp3[[#This Row],[Comparable '#3 Return]]+1,"-")</f>
        <v>0.99392187765610662</v>
      </c>
      <c r="E991" s="6">
        <f>B991-MAX($B$2:B991)</f>
        <v>-122.42999999999999</v>
      </c>
      <c r="F991" s="80">
        <f t="shared" si="31"/>
        <v>729</v>
      </c>
      <c r="G991" s="6">
        <f>IFERROR(Comp3[[#This Row],[Comparable '#3 Drawdown]]/MAX($B$2:B991),"-")</f>
        <v>-0.65108487555839178</v>
      </c>
      <c r="H991" s="1" t="str">
        <f>IF(SUM(COUNTIF(Benchmark1[Benchmark '#1 Dates],Comp3[[#This Row],[Comparable '#3 Dates]]),COUNTIF(Benchmark2[Benchmark '#2 Dates],Comp3[[#This Row],[Comparable '#3 Dates]]))=2,"Pass","Fail")</f>
        <v>Pass</v>
      </c>
      <c r="I991" s="1">
        <f>IFERROR(Comp3[[#This Row],[Comparable '#3 Return]]-INDEX(Benchmark1[Benchmark '#1 Return],MATCH(Comp3[[#This Row],[Comparable '#3 Dates]],Benchmark1[Benchmark '#1 Dates],0)),"-")</f>
        <v>4.7746623959186952E-3</v>
      </c>
      <c r="L991" s="72">
        <f>Comp3[[#This Row],[Comparable '#3 Price]]/$B$2*100</f>
        <v>55.976452521115952</v>
      </c>
    </row>
    <row r="992" spans="1:12">
      <c r="A992" s="96">
        <v>44721</v>
      </c>
      <c r="B992" s="101">
        <v>64.56</v>
      </c>
      <c r="C992" s="1">
        <f t="shared" si="30"/>
        <v>-1.6133099395092707E-2</v>
      </c>
      <c r="D992" s="1">
        <f>IFERROR(Comp3[[#This Row],[Comparable '#3 Return]]+1,"-")</f>
        <v>0.98386690060490734</v>
      </c>
      <c r="E992" s="6">
        <f>B992-MAX($B$2:B992)</f>
        <v>-123.47999999999999</v>
      </c>
      <c r="F992" s="80">
        <f t="shared" si="31"/>
        <v>730</v>
      </c>
      <c r="G992" s="6">
        <f>IFERROR(Comp3[[#This Row],[Comparable '#3 Drawdown]]/MAX($B$2:B992),"-")</f>
        <v>-0.65666879387364385</v>
      </c>
      <c r="H992" s="1" t="str">
        <f>IF(SUM(COUNTIF(Benchmark1[Benchmark '#1 Dates],Comp3[[#This Row],[Comparable '#3 Dates]]),COUNTIF(Benchmark2[Benchmark '#2 Dates],Comp3[[#This Row],[Comparable '#3 Dates]]))=2,"Pass","Fail")</f>
        <v>Pass</v>
      </c>
      <c r="I992" s="1">
        <f>IFERROR(Comp3[[#This Row],[Comparable '#3 Return]]-INDEX(Benchmark1[Benchmark '#1 Return],MATCH(Comp3[[#This Row],[Comparable '#3 Dates]],Benchmark1[Benchmark '#1 Dates],0)),"-")</f>
        <v>7.9543455618442255E-3</v>
      </c>
      <c r="L992" s="72">
        <f>Comp3[[#This Row],[Comparable '#3 Price]]/$B$2*100</f>
        <v>55.080624520092144</v>
      </c>
    </row>
    <row r="993" spans="1:12">
      <c r="A993" s="96">
        <v>44722</v>
      </c>
      <c r="B993" s="101">
        <v>63.39</v>
      </c>
      <c r="C993" s="1">
        <f t="shared" si="30"/>
        <v>-1.828890366561841E-2</v>
      </c>
      <c r="D993" s="1">
        <f>IFERROR(Comp3[[#This Row],[Comparable '#3 Return]]+1,"-")</f>
        <v>0.98171109633438158</v>
      </c>
      <c r="E993" s="6">
        <f>B993-MAX($B$2:B993)</f>
        <v>-124.64999999999999</v>
      </c>
      <c r="F993" s="80">
        <f t="shared" si="31"/>
        <v>731</v>
      </c>
      <c r="G993" s="6">
        <f>IFERROR(Comp3[[#This Row],[Comparable '#3 Drawdown]]/MAX($B$2:B993),"-")</f>
        <v>-0.66289087428206761</v>
      </c>
      <c r="H993" s="1" t="str">
        <f>IF(SUM(COUNTIF(Benchmark1[Benchmark '#1 Dates],Comp3[[#This Row],[Comparable '#3 Dates]]),COUNTIF(Benchmark2[Benchmark '#2 Dates],Comp3[[#This Row],[Comparable '#3 Dates]]))=2,"Pass","Fail")</f>
        <v>Pass</v>
      </c>
      <c r="I993" s="1">
        <f>IFERROR(Comp3[[#This Row],[Comparable '#3 Return]]-INDEX(Benchmark1[Benchmark '#1 Return],MATCH(Comp3[[#This Row],[Comparable '#3 Dates]],Benchmark1[Benchmark '#1 Dates],0)),"-")</f>
        <v>1.1251999601653424E-2</v>
      </c>
      <c r="L993" s="72">
        <f>Comp3[[#This Row],[Comparable '#3 Price]]/$B$2*100</f>
        <v>54.082416176094192</v>
      </c>
    </row>
    <row r="994" spans="1:12">
      <c r="A994" s="96">
        <v>44725</v>
      </c>
      <c r="B994" s="101">
        <v>61.42</v>
      </c>
      <c r="C994" s="1">
        <f t="shared" si="30"/>
        <v>-3.1570605283398723E-2</v>
      </c>
      <c r="D994" s="1">
        <f>IFERROR(Comp3[[#This Row],[Comparable '#3 Return]]+1,"-")</f>
        <v>0.96842939471660128</v>
      </c>
      <c r="E994" s="6">
        <f>B994-MAX($B$2:B994)</f>
        <v>-126.61999999999999</v>
      </c>
      <c r="F994" s="80">
        <f t="shared" si="31"/>
        <v>732</v>
      </c>
      <c r="G994" s="6">
        <f>IFERROR(Comp3[[#This Row],[Comparable '#3 Drawdown]]/MAX($B$2:B994),"-")</f>
        <v>-0.67336736864496916</v>
      </c>
      <c r="H994" s="1" t="str">
        <f>IF(SUM(COUNTIF(Benchmark1[Benchmark '#1 Dates],Comp3[[#This Row],[Comparable '#3 Dates]]),COUNTIF(Benchmark2[Benchmark '#2 Dates],Comp3[[#This Row],[Comparable '#3 Dates]]))=2,"Pass","Fail")</f>
        <v>Pass</v>
      </c>
      <c r="I994" s="1">
        <f>IFERROR(Comp3[[#This Row],[Comparable '#3 Return]]-INDEX(Benchmark1[Benchmark '#1 Return],MATCH(Comp3[[#This Row],[Comparable '#3 Dates]],Benchmark1[Benchmark '#1 Dates],0)),"-")</f>
        <v>7.9711388646196285E-3</v>
      </c>
      <c r="L994" s="72">
        <f>Comp3[[#This Row],[Comparable '#3 Price]]/$B$2*100</f>
        <v>52.401672212268579</v>
      </c>
    </row>
    <row r="995" spans="1:12">
      <c r="A995" s="96">
        <v>44726</v>
      </c>
      <c r="B995" s="101">
        <v>61.53</v>
      </c>
      <c r="C995" s="1">
        <f t="shared" si="30"/>
        <v>1.7893457397225696E-3</v>
      </c>
      <c r="D995" s="1">
        <f>IFERROR(Comp3[[#This Row],[Comparable '#3 Return]]+1,"-")</f>
        <v>1.0017893457397227</v>
      </c>
      <c r="E995" s="6">
        <f>B995-MAX($B$2:B995)</f>
        <v>-126.50999999999999</v>
      </c>
      <c r="F995" s="80">
        <f t="shared" si="31"/>
        <v>733</v>
      </c>
      <c r="G995" s="6">
        <f>IFERROR(Comp3[[#This Row],[Comparable '#3 Drawdown]]/MAX($B$2:B995),"-")</f>
        <v>-0.67278238672622848</v>
      </c>
      <c r="H995" s="1" t="str">
        <f>IF(SUM(COUNTIF(Benchmark1[Benchmark '#1 Dates],Comp3[[#This Row],[Comparable '#3 Dates]]),COUNTIF(Benchmark2[Benchmark '#2 Dates],Comp3[[#This Row],[Comparable '#3 Dates]]))=2,"Pass","Fail")</f>
        <v>Pass</v>
      </c>
      <c r="I995" s="1">
        <f>IFERROR(Comp3[[#This Row],[Comparable '#3 Return]]-INDEX(Benchmark1[Benchmark '#1 Return],MATCH(Comp3[[#This Row],[Comparable '#3 Dates]],Benchmark1[Benchmark '#1 Dates],0)),"-")</f>
        <v>5.5686272772499787E-3</v>
      </c>
      <c r="L995" s="72">
        <f>Comp3[[#This Row],[Comparable '#3 Price]]/$B$2*100</f>
        <v>52.495520859994883</v>
      </c>
    </row>
    <row r="996" spans="1:12">
      <c r="A996" s="96">
        <v>44727</v>
      </c>
      <c r="B996" s="101">
        <v>61.71</v>
      </c>
      <c r="C996" s="1">
        <f t="shared" si="30"/>
        <v>2.9211315805766323E-3</v>
      </c>
      <c r="D996" s="1">
        <f>IFERROR(Comp3[[#This Row],[Comparable '#3 Return]]+1,"-")</f>
        <v>1.0029211315805766</v>
      </c>
      <c r="E996" s="6">
        <f>B996-MAX($B$2:B996)</f>
        <v>-126.32999999999998</v>
      </c>
      <c r="F996" s="80">
        <f t="shared" si="31"/>
        <v>734</v>
      </c>
      <c r="G996" s="6">
        <f>IFERROR(Comp3[[#This Row],[Comparable '#3 Drawdown]]/MAX($B$2:B996),"-")</f>
        <v>-0.67182514358647094</v>
      </c>
      <c r="H996" s="1" t="str">
        <f>IF(SUM(COUNTIF(Benchmark1[Benchmark '#1 Dates],Comp3[[#This Row],[Comparable '#3 Dates]]),COUNTIF(Benchmark2[Benchmark '#2 Dates],Comp3[[#This Row],[Comparable '#3 Dates]]))=2,"Pass","Fail")</f>
        <v>Pass</v>
      </c>
      <c r="I996" s="1">
        <f>IFERROR(Comp3[[#This Row],[Comparable '#3 Return]]-INDEX(Benchmark1[Benchmark '#1 Return],MATCH(Comp3[[#This Row],[Comparable '#3 Dates]],Benchmark1[Benchmark '#1 Dates],0)),"-")</f>
        <v>-1.1564115868972059E-2</v>
      </c>
      <c r="L996" s="72">
        <f>Comp3[[#This Row],[Comparable '#3 Price]]/$B$2*100</f>
        <v>52.649091374456106</v>
      </c>
    </row>
    <row r="997" spans="1:12">
      <c r="A997" s="96">
        <v>44728</v>
      </c>
      <c r="B997" s="101">
        <v>60</v>
      </c>
      <c r="C997" s="1">
        <f t="shared" si="30"/>
        <v>-2.8101430110874785E-2</v>
      </c>
      <c r="D997" s="1">
        <f>IFERROR(Comp3[[#This Row],[Comparable '#3 Return]]+1,"-")</f>
        <v>0.97189856988912526</v>
      </c>
      <c r="E997" s="6">
        <f>B997-MAX($B$2:B997)</f>
        <v>-128.04</v>
      </c>
      <c r="F997" s="80">
        <f t="shared" si="31"/>
        <v>735</v>
      </c>
      <c r="G997" s="6">
        <f>IFERROR(Comp3[[#This Row],[Comparable '#3 Drawdown]]/MAX($B$2:B997),"-")</f>
        <v>-0.68091895341416719</v>
      </c>
      <c r="H997" s="1" t="str">
        <f>IF(SUM(COUNTIF(Benchmark1[Benchmark '#1 Dates],Comp3[[#This Row],[Comparable '#3 Dates]]),COUNTIF(Benchmark2[Benchmark '#2 Dates],Comp3[[#This Row],[Comparable '#3 Dates]]))=2,"Pass","Fail")</f>
        <v>Pass</v>
      </c>
      <c r="I997" s="1">
        <f>IFERROR(Comp3[[#This Row],[Comparable '#3 Return]]-INDEX(Benchmark1[Benchmark '#1 Return],MATCH(Comp3[[#This Row],[Comparable '#3 Dates]],Benchmark1[Benchmark '#1 Dates],0)),"-")</f>
        <v>4.9504964058108281E-3</v>
      </c>
      <c r="L997" s="72">
        <f>Comp3[[#This Row],[Comparable '#3 Price]]/$B$2*100</f>
        <v>51.190171487074487</v>
      </c>
    </row>
    <row r="998" spans="1:12">
      <c r="A998" s="96">
        <v>44729</v>
      </c>
      <c r="B998" s="101">
        <v>60.35</v>
      </c>
      <c r="C998" s="1">
        <f t="shared" si="30"/>
        <v>5.8163853214398473E-3</v>
      </c>
      <c r="D998" s="1">
        <f>IFERROR(Comp3[[#This Row],[Comparable '#3 Return]]+1,"-")</f>
        <v>1.0058163853214399</v>
      </c>
      <c r="E998" s="6">
        <f>B998-MAX($B$2:B998)</f>
        <v>-127.69</v>
      </c>
      <c r="F998" s="80">
        <f t="shared" si="31"/>
        <v>736</v>
      </c>
      <c r="G998" s="6">
        <f>IFERROR(Comp3[[#This Row],[Comparable '#3 Drawdown]]/MAX($B$2:B998),"-")</f>
        <v>-0.67905764730908325</v>
      </c>
      <c r="H998" s="1" t="str">
        <f>IF(SUM(COUNTIF(Benchmark1[Benchmark '#1 Dates],Comp3[[#This Row],[Comparable '#3 Dates]]),COUNTIF(Benchmark2[Benchmark '#2 Dates],Comp3[[#This Row],[Comparable '#3 Dates]]))=2,"Pass","Fail")</f>
        <v>Pass</v>
      </c>
      <c r="I998" s="1">
        <f>IFERROR(Comp3[[#This Row],[Comparable '#3 Return]]-INDEX(Benchmark1[Benchmark '#1 Return],MATCH(Comp3[[#This Row],[Comparable '#3 Dates]],Benchmark1[Benchmark '#1 Dates],0)),"-")</f>
        <v>3.6169051996518134E-3</v>
      </c>
      <c r="L998" s="72">
        <f>Comp3[[#This Row],[Comparable '#3 Price]]/$B$2*100</f>
        <v>51.488780820749092</v>
      </c>
    </row>
    <row r="999" spans="1:12">
      <c r="A999" s="96">
        <v>44733</v>
      </c>
      <c r="B999" s="101">
        <v>60.73</v>
      </c>
      <c r="C999" s="1">
        <f t="shared" si="30"/>
        <v>6.276862365943498E-3</v>
      </c>
      <c r="D999" s="1">
        <f>IFERROR(Comp3[[#This Row],[Comparable '#3 Return]]+1,"-")</f>
        <v>1.0062768623659435</v>
      </c>
      <c r="E999" s="6">
        <f>B999-MAX($B$2:B999)</f>
        <v>-127.31</v>
      </c>
      <c r="F999" s="80">
        <f t="shared" si="31"/>
        <v>737</v>
      </c>
      <c r="G999" s="6">
        <f>IFERROR(Comp3[[#This Row],[Comparable '#3 Drawdown]]/MAX($B$2:B999),"-")</f>
        <v>-0.67703680068070626</v>
      </c>
      <c r="H999" s="1" t="str">
        <f>IF(SUM(COUNTIF(Benchmark1[Benchmark '#1 Dates],Comp3[[#This Row],[Comparable '#3 Dates]]),COUNTIF(Benchmark2[Benchmark '#2 Dates],Comp3[[#This Row],[Comparable '#3 Dates]]))=2,"Pass","Fail")</f>
        <v>Pass</v>
      </c>
      <c r="I999" s="1">
        <f>IFERROR(Comp3[[#This Row],[Comparable '#3 Return]]-INDEX(Benchmark1[Benchmark '#1 Return],MATCH(Comp3[[#This Row],[Comparable '#3 Dates]],Benchmark1[Benchmark '#1 Dates],0)),"-")</f>
        <v>-1.7904717034067406E-2</v>
      </c>
      <c r="L999" s="72">
        <f>Comp3[[#This Row],[Comparable '#3 Price]]/$B$2*100</f>
        <v>51.812985240167222</v>
      </c>
    </row>
    <row r="1000" spans="1:12">
      <c r="A1000" s="96">
        <v>44734</v>
      </c>
      <c r="B1000" s="101">
        <v>61.87</v>
      </c>
      <c r="C1000" s="1">
        <f t="shared" si="30"/>
        <v>1.8597599633413536E-2</v>
      </c>
      <c r="D1000" s="1">
        <f>IFERROR(Comp3[[#This Row],[Comparable '#3 Return]]+1,"-")</f>
        <v>1.0185975996334136</v>
      </c>
      <c r="E1000" s="6">
        <f>B1000-MAX($B$2:B1000)</f>
        <v>-126.16999999999999</v>
      </c>
      <c r="F1000" s="80">
        <f t="shared" si="31"/>
        <v>738</v>
      </c>
      <c r="G1000" s="6">
        <f>IFERROR(Comp3[[#This Row],[Comparable '#3 Drawdown]]/MAX($B$2:B1000),"-")</f>
        <v>-0.67097426079557532</v>
      </c>
      <c r="H1000" s="1" t="str">
        <f>IF(SUM(COUNTIF(Benchmark1[Benchmark '#1 Dates],Comp3[[#This Row],[Comparable '#3 Dates]]),COUNTIF(Benchmark2[Benchmark '#2 Dates],Comp3[[#This Row],[Comparable '#3 Dates]]))=2,"Pass","Fail")</f>
        <v>Pass</v>
      </c>
      <c r="I1000" s="1">
        <f>IFERROR(Comp3[[#This Row],[Comparable '#3 Return]]-INDEX(Benchmark1[Benchmark '#1 Return],MATCH(Comp3[[#This Row],[Comparable '#3 Dates]],Benchmark1[Benchmark '#1 Dates],0)),"-")</f>
        <v>1.9898613972632415E-2</v>
      </c>
      <c r="L1000" s="72">
        <f>Comp3[[#This Row],[Comparable '#3 Price]]/$B$2*100</f>
        <v>52.785598498421635</v>
      </c>
    </row>
    <row r="1001" spans="1:12">
      <c r="A1001" s="96">
        <v>44735</v>
      </c>
      <c r="B1001" s="101">
        <v>65.78</v>
      </c>
      <c r="C1001" s="1">
        <f t="shared" si="30"/>
        <v>6.1280431218013569E-2</v>
      </c>
      <c r="D1001" s="1">
        <f>IFERROR(Comp3[[#This Row],[Comparable '#3 Return]]+1,"-")</f>
        <v>1.0612804312180135</v>
      </c>
      <c r="E1001" s="6">
        <f>B1001-MAX($B$2:B1001)</f>
        <v>-122.25999999999999</v>
      </c>
      <c r="F1001" s="80">
        <f t="shared" si="31"/>
        <v>739</v>
      </c>
      <c r="G1001" s="6">
        <f>IFERROR(Comp3[[#This Row],[Comparable '#3 Drawdown]]/MAX($B$2:B1001),"-")</f>
        <v>-0.65018081259306526</v>
      </c>
      <c r="H1001" s="1" t="str">
        <f>IF(SUM(COUNTIF(Benchmark1[Benchmark '#1 Dates],Comp3[[#This Row],[Comparable '#3 Dates]]),COUNTIF(Benchmark2[Benchmark '#2 Dates],Comp3[[#This Row],[Comparable '#3 Dates]]))=2,"Pass","Fail")</f>
        <v>Pass</v>
      </c>
      <c r="I1001" s="1">
        <f>IFERROR(Comp3[[#This Row],[Comparable '#3 Return]]-INDEX(Benchmark1[Benchmark '#1 Return],MATCH(Comp3[[#This Row],[Comparable '#3 Dates]],Benchmark1[Benchmark '#1 Dates],0)),"-")</f>
        <v>5.1794893433719458E-2</v>
      </c>
      <c r="L1001" s="72">
        <f>Comp3[[#This Row],[Comparable '#3 Price]]/$B$2*100</f>
        <v>56.121491340329335</v>
      </c>
    </row>
    <row r="1002" spans="1:12">
      <c r="A1002" s="96">
        <v>44736</v>
      </c>
      <c r="B1002" s="101">
        <v>71.290000000000006</v>
      </c>
      <c r="C1002" s="1">
        <f t="shared" si="30"/>
        <v>8.0440224368626176E-2</v>
      </c>
      <c r="D1002" s="1">
        <f>IFERROR(Comp3[[#This Row],[Comparable '#3 Return]]+1,"-")</f>
        <v>1.0804402243686262</v>
      </c>
      <c r="E1002" s="6">
        <f>B1002-MAX($B$2:B1002)</f>
        <v>-116.74999999999999</v>
      </c>
      <c r="F1002" s="80">
        <f t="shared" si="31"/>
        <v>740</v>
      </c>
      <c r="G1002" s="6">
        <f>IFERROR(Comp3[[#This Row],[Comparable '#3 Drawdown]]/MAX($B$2:B1002),"-")</f>
        <v>-0.62087853648159963</v>
      </c>
      <c r="H1002" s="1" t="str">
        <f>IF(SUM(COUNTIF(Benchmark1[Benchmark '#1 Dates],Comp3[[#This Row],[Comparable '#3 Dates]]),COUNTIF(Benchmark2[Benchmark '#2 Dates],Comp3[[#This Row],[Comparable '#3 Dates]]))=2,"Pass","Fail")</f>
        <v>Pass</v>
      </c>
      <c r="I1002" s="1">
        <f>IFERROR(Comp3[[#This Row],[Comparable '#3 Return]]-INDEX(Benchmark1[Benchmark '#1 Return],MATCH(Comp3[[#This Row],[Comparable '#3 Dates]],Benchmark1[Benchmark '#1 Dates],0)),"-")</f>
        <v>5.033301925123973E-2</v>
      </c>
      <c r="L1002" s="72">
        <f>Comp3[[#This Row],[Comparable '#3 Price]]/$B$2*100</f>
        <v>60.822455421892343</v>
      </c>
    </row>
    <row r="1003" spans="1:12">
      <c r="A1003" s="96">
        <v>44739</v>
      </c>
      <c r="B1003" s="101">
        <v>72.62</v>
      </c>
      <c r="C1003" s="1">
        <f t="shared" si="30"/>
        <v>1.8484300856652588E-2</v>
      </c>
      <c r="D1003" s="1">
        <f>IFERROR(Comp3[[#This Row],[Comparable '#3 Return]]+1,"-")</f>
        <v>1.0184843008566526</v>
      </c>
      <c r="E1003" s="6">
        <f>B1003-MAX($B$2:B1003)</f>
        <v>-115.41999999999999</v>
      </c>
      <c r="F1003" s="80">
        <f t="shared" si="31"/>
        <v>741</v>
      </c>
      <c r="G1003" s="6">
        <f>IFERROR(Comp3[[#This Row],[Comparable '#3 Drawdown]]/MAX($B$2:B1003),"-")</f>
        <v>-0.61380557328228036</v>
      </c>
      <c r="H1003" s="1" t="str">
        <f>IF(SUM(COUNTIF(Benchmark1[Benchmark '#1 Dates],Comp3[[#This Row],[Comparable '#3 Dates]]),COUNTIF(Benchmark2[Benchmark '#2 Dates],Comp3[[#This Row],[Comparable '#3 Dates]]))=2,"Pass","Fail")</f>
        <v>Pass</v>
      </c>
      <c r="I1003" s="1">
        <f>IFERROR(Comp3[[#This Row],[Comparable '#3 Return]]-INDEX(Benchmark1[Benchmark '#1 Return],MATCH(Comp3[[#This Row],[Comparable '#3 Dates]],Benchmark1[Benchmark '#1 Dates],0)),"-")</f>
        <v>2.1461756153138202E-2</v>
      </c>
      <c r="L1003" s="72">
        <f>Comp3[[#This Row],[Comparable '#3 Price]]/$B$2*100</f>
        <v>61.957170889855817</v>
      </c>
    </row>
    <row r="1004" spans="1:12">
      <c r="A1004" s="96">
        <v>44740</v>
      </c>
      <c r="B1004" s="101">
        <v>70.52</v>
      </c>
      <c r="C1004" s="1">
        <f t="shared" si="30"/>
        <v>-2.9344008456520406E-2</v>
      </c>
      <c r="D1004" s="1">
        <f>IFERROR(Comp3[[#This Row],[Comparable '#3 Return]]+1,"-")</f>
        <v>0.97065599154347959</v>
      </c>
      <c r="E1004" s="6">
        <f>B1004-MAX($B$2:B1004)</f>
        <v>-117.52</v>
      </c>
      <c r="F1004" s="80">
        <f t="shared" si="31"/>
        <v>742</v>
      </c>
      <c r="G1004" s="6">
        <f>IFERROR(Comp3[[#This Row],[Comparable '#3 Drawdown]]/MAX($B$2:B1004),"-")</f>
        <v>-0.62497340991278449</v>
      </c>
      <c r="H1004" s="1" t="str">
        <f>IF(SUM(COUNTIF(Benchmark1[Benchmark '#1 Dates],Comp3[[#This Row],[Comparable '#3 Dates]]),COUNTIF(Benchmark2[Benchmark '#2 Dates],Comp3[[#This Row],[Comparable '#3 Dates]]))=2,"Pass","Fail")</f>
        <v>Pass</v>
      </c>
      <c r="I1004" s="1">
        <f>IFERROR(Comp3[[#This Row],[Comparable '#3 Return]]-INDEX(Benchmark1[Benchmark '#1 Return],MATCH(Comp3[[#This Row],[Comparable '#3 Dates]],Benchmark1[Benchmark '#1 Dates],0)),"-")</f>
        <v>-8.9932073770878189E-3</v>
      </c>
      <c r="L1004" s="72">
        <f>Comp3[[#This Row],[Comparable '#3 Price]]/$B$2*100</f>
        <v>60.1655148878082</v>
      </c>
    </row>
    <row r="1005" spans="1:12">
      <c r="A1005" s="96">
        <v>44741</v>
      </c>
      <c r="B1005" s="101">
        <v>68.03</v>
      </c>
      <c r="C1005" s="1">
        <f t="shared" si="30"/>
        <v>-3.5947573172700011E-2</v>
      </c>
      <c r="D1005" s="1">
        <f>IFERROR(Comp3[[#This Row],[Comparable '#3 Return]]+1,"-")</f>
        <v>0.96405242682729997</v>
      </c>
      <c r="E1005" s="6">
        <f>B1005-MAX($B$2:B1005)</f>
        <v>-120.00999999999999</v>
      </c>
      <c r="F1005" s="80">
        <f t="shared" si="31"/>
        <v>743</v>
      </c>
      <c r="G1005" s="6">
        <f>IFERROR(Comp3[[#This Row],[Comparable '#3 Drawdown]]/MAX($B$2:B1005),"-")</f>
        <v>-0.63821527334609651</v>
      </c>
      <c r="H1005" s="1" t="str">
        <f>IF(SUM(COUNTIF(Benchmark1[Benchmark '#1 Dates],Comp3[[#This Row],[Comparable '#3 Dates]]),COUNTIF(Benchmark2[Benchmark '#2 Dates],Comp3[[#This Row],[Comparable '#3 Dates]]))=2,"Pass","Fail")</f>
        <v>Pass</v>
      </c>
      <c r="I1005" s="1">
        <f>IFERROR(Comp3[[#This Row],[Comparable '#3 Return]]-INDEX(Benchmark1[Benchmark '#1 Return],MATCH(Comp3[[#This Row],[Comparable '#3 Dates]],Benchmark1[Benchmark '#1 Dates],0)),"-")</f>
        <v>-3.5237362261229796E-2</v>
      </c>
      <c r="L1005" s="72">
        <f>Comp3[[#This Row],[Comparable '#3 Price]]/$B$2*100</f>
        <v>58.041122771094621</v>
      </c>
    </row>
    <row r="1006" spans="1:12">
      <c r="A1006" s="96">
        <v>44742</v>
      </c>
      <c r="B1006" s="101">
        <v>70.58</v>
      </c>
      <c r="C1006" s="1">
        <f t="shared" si="30"/>
        <v>3.6798033890154555E-2</v>
      </c>
      <c r="D1006" s="1">
        <f>IFERROR(Comp3[[#This Row],[Comparable '#3 Return]]+1,"-")</f>
        <v>1.0367980338901546</v>
      </c>
      <c r="E1006" s="6">
        <f>B1006-MAX($B$2:B1006)</f>
        <v>-117.46</v>
      </c>
      <c r="F1006" s="80">
        <f t="shared" si="31"/>
        <v>744</v>
      </c>
      <c r="G1006" s="6">
        <f>IFERROR(Comp3[[#This Row],[Comparable '#3 Drawdown]]/MAX($B$2:B1006),"-")</f>
        <v>-0.62465432886619865</v>
      </c>
      <c r="H1006" s="1" t="str">
        <f>IF(SUM(COUNTIF(Benchmark1[Benchmark '#1 Dates],Comp3[[#This Row],[Comparable '#3 Dates]]),COUNTIF(Benchmark2[Benchmark '#2 Dates],Comp3[[#This Row],[Comparable '#3 Dates]]))=2,"Pass","Fail")</f>
        <v>Pass</v>
      </c>
      <c r="I1006" s="1">
        <f>IFERROR(Comp3[[#This Row],[Comparable '#3 Return]]-INDEX(Benchmark1[Benchmark '#1 Return],MATCH(Comp3[[#This Row],[Comparable '#3 Dates]],Benchmark1[Benchmark '#1 Dates],0)),"-")</f>
        <v>4.5595280642876573E-2</v>
      </c>
      <c r="L1006" s="72">
        <f>Comp3[[#This Row],[Comparable '#3 Price]]/$B$2*100</f>
        <v>60.216705059295286</v>
      </c>
    </row>
    <row r="1007" spans="1:12">
      <c r="A1007" s="96">
        <v>44743</v>
      </c>
      <c r="B1007" s="101">
        <v>69.709999999999994</v>
      </c>
      <c r="C1007" s="1">
        <f t="shared" si="30"/>
        <v>-1.2403038748816696E-2</v>
      </c>
      <c r="D1007" s="1">
        <f>IFERROR(Comp3[[#This Row],[Comparable '#3 Return]]+1,"-")</f>
        <v>0.98759696125118335</v>
      </c>
      <c r="E1007" s="6">
        <f>B1007-MAX($B$2:B1007)</f>
        <v>-118.33</v>
      </c>
      <c r="F1007" s="80">
        <f t="shared" si="31"/>
        <v>745</v>
      </c>
      <c r="G1007" s="6">
        <f>IFERROR(Comp3[[#This Row],[Comparable '#3 Drawdown]]/MAX($B$2:B1007),"-")</f>
        <v>-0.62928100404169329</v>
      </c>
      <c r="H1007" s="1" t="str">
        <f>IF(SUM(COUNTIF(Benchmark1[Benchmark '#1 Dates],Comp3[[#This Row],[Comparable '#3 Dates]]),COUNTIF(Benchmark2[Benchmark '#2 Dates],Comp3[[#This Row],[Comparable '#3 Dates]]))=2,"Pass","Fail")</f>
        <v>Pass</v>
      </c>
      <c r="I1007" s="1">
        <f>IFERROR(Comp3[[#This Row],[Comparable '#3 Return]]-INDEX(Benchmark1[Benchmark '#1 Return],MATCH(Comp3[[#This Row],[Comparable '#3 Dates]],Benchmark1[Benchmark '#1 Dates],0)),"-")</f>
        <v>-2.2899200377516374E-2</v>
      </c>
      <c r="L1007" s="72">
        <f>Comp3[[#This Row],[Comparable '#3 Price]]/$B$2*100</f>
        <v>59.4744475727327</v>
      </c>
    </row>
    <row r="1008" spans="1:12">
      <c r="A1008" s="96">
        <v>44747</v>
      </c>
      <c r="B1008" s="101">
        <v>68.900000000000006</v>
      </c>
      <c r="C1008" s="1">
        <f t="shared" si="30"/>
        <v>-1.1687601478694243E-2</v>
      </c>
      <c r="D1008" s="1">
        <f>IFERROR(Comp3[[#This Row],[Comparable '#3 Return]]+1,"-")</f>
        <v>0.98831239852130581</v>
      </c>
      <c r="E1008" s="6">
        <f>B1008-MAX($B$2:B1008)</f>
        <v>-119.13999999999999</v>
      </c>
      <c r="F1008" s="80">
        <f t="shared" si="31"/>
        <v>746</v>
      </c>
      <c r="G1008" s="6">
        <f>IFERROR(Comp3[[#This Row],[Comparable '#3 Drawdown]]/MAX($B$2:B1008),"-")</f>
        <v>-0.63358859817060198</v>
      </c>
      <c r="H1008" s="1" t="str">
        <f>IF(SUM(COUNTIF(Benchmark1[Benchmark '#1 Dates],Comp3[[#This Row],[Comparable '#3 Dates]]),COUNTIF(Benchmark2[Benchmark '#2 Dates],Comp3[[#This Row],[Comparable '#3 Dates]]))=2,"Pass","Fail")</f>
        <v>Pass</v>
      </c>
      <c r="I1008" s="1">
        <f>IFERROR(Comp3[[#This Row],[Comparable '#3 Return]]-INDEX(Benchmark1[Benchmark '#1 Return],MATCH(Comp3[[#This Row],[Comparable '#3 Dates]],Benchmark1[Benchmark '#1 Dates],0)),"-")</f>
        <v>-1.3271647972796469E-2</v>
      </c>
      <c r="L1008" s="72">
        <f>Comp3[[#This Row],[Comparable '#3 Price]]/$B$2*100</f>
        <v>58.7833802576572</v>
      </c>
    </row>
    <row r="1009" spans="1:12">
      <c r="A1009" s="96">
        <v>44748</v>
      </c>
      <c r="B1009" s="101">
        <v>67.599999999999994</v>
      </c>
      <c r="C1009" s="1">
        <f t="shared" si="30"/>
        <v>-1.9048194970694703E-2</v>
      </c>
      <c r="D1009" s="1">
        <f>IFERROR(Comp3[[#This Row],[Comparable '#3 Return]]+1,"-")</f>
        <v>0.98095180502930535</v>
      </c>
      <c r="E1009" s="6">
        <f>B1009-MAX($B$2:B1009)</f>
        <v>-120.44</v>
      </c>
      <c r="F1009" s="80">
        <f t="shared" si="31"/>
        <v>747</v>
      </c>
      <c r="G1009" s="6">
        <f>IFERROR(Comp3[[#This Row],[Comparable '#3 Drawdown]]/MAX($B$2:B1009),"-")</f>
        <v>-0.64050202084662844</v>
      </c>
      <c r="H1009" s="1" t="str">
        <f>IF(SUM(COUNTIF(Benchmark1[Benchmark '#1 Dates],Comp3[[#This Row],[Comparable '#3 Dates]]),COUNTIF(Benchmark2[Benchmark '#2 Dates],Comp3[[#This Row],[Comparable '#3 Dates]]))=2,"Pass","Fail")</f>
        <v>Pass</v>
      </c>
      <c r="I1009" s="1">
        <f>IFERROR(Comp3[[#This Row],[Comparable '#3 Return]]-INDEX(Benchmark1[Benchmark '#1 Return],MATCH(Comp3[[#This Row],[Comparable '#3 Dates]],Benchmark1[Benchmark '#1 Dates],0)),"-")</f>
        <v>-2.2615155651650221E-2</v>
      </c>
      <c r="L1009" s="72">
        <f>Comp3[[#This Row],[Comparable '#3 Price]]/$B$2*100</f>
        <v>57.674259875437251</v>
      </c>
    </row>
    <row r="1010" spans="1:12">
      <c r="A1010" s="96">
        <v>44749</v>
      </c>
      <c r="B1010" s="101">
        <v>66.67</v>
      </c>
      <c r="C1010" s="1">
        <f t="shared" si="30"/>
        <v>-1.3852906418949698E-2</v>
      </c>
      <c r="D1010" s="1">
        <f>IFERROR(Comp3[[#This Row],[Comparable '#3 Return]]+1,"-")</f>
        <v>0.98614709358105035</v>
      </c>
      <c r="E1010" s="6">
        <f>B1010-MAX($B$2:B1010)</f>
        <v>-121.36999999999999</v>
      </c>
      <c r="F1010" s="80">
        <f t="shared" si="31"/>
        <v>748</v>
      </c>
      <c r="G1010" s="6">
        <f>IFERROR(Comp3[[#This Row],[Comparable '#3 Drawdown]]/MAX($B$2:B1010),"-")</f>
        <v>-0.64544777706870882</v>
      </c>
      <c r="H1010" s="1" t="str">
        <f>IF(SUM(COUNTIF(Benchmark1[Benchmark '#1 Dates],Comp3[[#This Row],[Comparable '#3 Dates]]),COUNTIF(Benchmark2[Benchmark '#2 Dates],Comp3[[#This Row],[Comparable '#3 Dates]]))=2,"Pass","Fail")</f>
        <v>Pass</v>
      </c>
      <c r="I1010" s="1">
        <f>IFERROR(Comp3[[#This Row],[Comparable '#3 Return]]-INDEX(Benchmark1[Benchmark '#1 Return],MATCH(Comp3[[#This Row],[Comparable '#3 Dates]],Benchmark1[Benchmark '#1 Dates],0)),"-")</f>
        <v>-2.870694105106306E-2</v>
      </c>
      <c r="L1010" s="72">
        <f>Comp3[[#This Row],[Comparable '#3 Price]]/$B$2*100</f>
        <v>56.8808122173876</v>
      </c>
    </row>
    <row r="1011" spans="1:12">
      <c r="A1011" s="96">
        <v>44750</v>
      </c>
      <c r="B1011" s="101">
        <v>67.33</v>
      </c>
      <c r="C1011" s="1">
        <f t="shared" si="30"/>
        <v>9.8508259272208909E-3</v>
      </c>
      <c r="D1011" s="1">
        <f>IFERROR(Comp3[[#This Row],[Comparable '#3 Return]]+1,"-")</f>
        <v>1.009850825927221</v>
      </c>
      <c r="E1011" s="6">
        <f>B1011-MAX($B$2:B1011)</f>
        <v>-120.71</v>
      </c>
      <c r="F1011" s="80">
        <f t="shared" si="31"/>
        <v>749</v>
      </c>
      <c r="G1011" s="6">
        <f>IFERROR(Comp3[[#This Row],[Comparable '#3 Drawdown]]/MAX($B$2:B1011),"-")</f>
        <v>-0.64193788555626463</v>
      </c>
      <c r="H1011" s="1" t="str">
        <f>IF(SUM(COUNTIF(Benchmark1[Benchmark '#1 Dates],Comp3[[#This Row],[Comparable '#3 Dates]]),COUNTIF(Benchmark2[Benchmark '#2 Dates],Comp3[[#This Row],[Comparable '#3 Dates]]))=2,"Pass","Fail")</f>
        <v>Pass</v>
      </c>
      <c r="I1011" s="1">
        <f>IFERROR(Comp3[[#This Row],[Comparable '#3 Return]]-INDEX(Benchmark1[Benchmark '#1 Return],MATCH(Comp3[[#This Row],[Comparable '#3 Dates]],Benchmark1[Benchmark '#1 Dates],0)),"-")</f>
        <v>1.0682753047358553E-2</v>
      </c>
      <c r="L1011" s="72">
        <f>Comp3[[#This Row],[Comparable '#3 Price]]/$B$2*100</f>
        <v>57.44390410374541</v>
      </c>
    </row>
    <row r="1012" spans="1:12">
      <c r="A1012" s="96">
        <v>44753</v>
      </c>
      <c r="B1012" s="101">
        <v>66.459999999999994</v>
      </c>
      <c r="C1012" s="1">
        <f t="shared" si="30"/>
        <v>-1.3005639630741316E-2</v>
      </c>
      <c r="D1012" s="1">
        <f>IFERROR(Comp3[[#This Row],[Comparable '#3 Return]]+1,"-")</f>
        <v>0.98699436036925869</v>
      </c>
      <c r="E1012" s="6">
        <f>B1012-MAX($B$2:B1012)</f>
        <v>-121.58</v>
      </c>
      <c r="F1012" s="80">
        <f t="shared" si="31"/>
        <v>750</v>
      </c>
      <c r="G1012" s="6">
        <f>IFERROR(Comp3[[#This Row],[Comparable '#3 Drawdown]]/MAX($B$2:B1012),"-")</f>
        <v>-0.64656456073175916</v>
      </c>
      <c r="H1012" s="1" t="str">
        <f>IF(SUM(COUNTIF(Benchmark1[Benchmark '#1 Dates],Comp3[[#This Row],[Comparable '#3 Dates]]),COUNTIF(Benchmark2[Benchmark '#2 Dates],Comp3[[#This Row],[Comparable '#3 Dates]]))=2,"Pass","Fail")</f>
        <v>Pass</v>
      </c>
      <c r="I1012" s="1">
        <f>IFERROR(Comp3[[#This Row],[Comparable '#3 Return]]-INDEX(Benchmark1[Benchmark '#1 Return],MATCH(Comp3[[#This Row],[Comparable '#3 Dates]],Benchmark1[Benchmark '#1 Dates],0)),"-")</f>
        <v>-1.4127877785714543E-3</v>
      </c>
      <c r="L1012" s="72">
        <f>Comp3[[#This Row],[Comparable '#3 Price]]/$B$2*100</f>
        <v>56.701646617182831</v>
      </c>
    </row>
    <row r="1013" spans="1:12">
      <c r="A1013" s="96">
        <v>44754</v>
      </c>
      <c r="B1013" s="101">
        <v>66.66</v>
      </c>
      <c r="C1013" s="1">
        <f t="shared" si="30"/>
        <v>3.0048099531453775E-3</v>
      </c>
      <c r="D1013" s="1">
        <f>IFERROR(Comp3[[#This Row],[Comparable '#3 Return]]+1,"-")</f>
        <v>1.0030048099531454</v>
      </c>
      <c r="E1013" s="6">
        <f>B1013-MAX($B$2:B1013)</f>
        <v>-121.38</v>
      </c>
      <c r="F1013" s="80">
        <f t="shared" si="31"/>
        <v>751</v>
      </c>
      <c r="G1013" s="6">
        <f>IFERROR(Comp3[[#This Row],[Comparable '#3 Drawdown]]/MAX($B$2:B1013),"-")</f>
        <v>-0.64550095724313972</v>
      </c>
      <c r="H1013" s="1" t="str">
        <f>IF(SUM(COUNTIF(Benchmark1[Benchmark '#1 Dates],Comp3[[#This Row],[Comparable '#3 Dates]]),COUNTIF(Benchmark2[Benchmark '#2 Dates],Comp3[[#This Row],[Comparable '#3 Dates]]))=2,"Pass","Fail")</f>
        <v>Pass</v>
      </c>
      <c r="I1013" s="1">
        <f>IFERROR(Comp3[[#This Row],[Comparable '#3 Return]]-INDEX(Benchmark1[Benchmark '#1 Return],MATCH(Comp3[[#This Row],[Comparable '#3 Dates]],Benchmark1[Benchmark '#1 Dates],0)),"-")</f>
        <v>1.2293136059578946E-2</v>
      </c>
      <c r="L1013" s="72">
        <f>Comp3[[#This Row],[Comparable '#3 Price]]/$B$2*100</f>
        <v>56.872280522139754</v>
      </c>
    </row>
    <row r="1014" spans="1:12">
      <c r="A1014" s="96">
        <v>44755</v>
      </c>
      <c r="B1014" s="101">
        <v>66.709999999999994</v>
      </c>
      <c r="C1014" s="1">
        <f t="shared" si="30"/>
        <v>7.4979384183035511E-4</v>
      </c>
      <c r="D1014" s="1">
        <f>IFERROR(Comp3[[#This Row],[Comparable '#3 Return]]+1,"-")</f>
        <v>1.0007497938418304</v>
      </c>
      <c r="E1014" s="6">
        <f>B1014-MAX($B$2:B1014)</f>
        <v>-121.33</v>
      </c>
      <c r="F1014" s="80">
        <f t="shared" si="31"/>
        <v>752</v>
      </c>
      <c r="G1014" s="6">
        <f>IFERROR(Comp3[[#This Row],[Comparable '#3 Drawdown]]/MAX($B$2:B1014),"-")</f>
        <v>-0.64523505637098488</v>
      </c>
      <c r="H1014" s="1" t="str">
        <f>IF(SUM(COUNTIF(Benchmark1[Benchmark '#1 Dates],Comp3[[#This Row],[Comparable '#3 Dates]]),COUNTIF(Benchmark2[Benchmark '#2 Dates],Comp3[[#This Row],[Comparable '#3 Dates]]))=2,"Pass","Fail")</f>
        <v>Pass</v>
      </c>
      <c r="I1014" s="1">
        <f>IFERROR(Comp3[[#This Row],[Comparable '#3 Return]]-INDEX(Benchmark1[Benchmark '#1 Return],MATCH(Comp3[[#This Row],[Comparable '#3 Dates]],Benchmark1[Benchmark '#1 Dates],0)),"-")</f>
        <v>5.2159073571416432E-3</v>
      </c>
      <c r="L1014" s="72">
        <f>Comp3[[#This Row],[Comparable '#3 Price]]/$B$2*100</f>
        <v>56.914938998378972</v>
      </c>
    </row>
    <row r="1015" spans="1:12">
      <c r="A1015" s="96">
        <v>44756</v>
      </c>
      <c r="B1015" s="101">
        <v>66.62</v>
      </c>
      <c r="C1015" s="1">
        <f t="shared" si="30"/>
        <v>-1.3500339558903012E-3</v>
      </c>
      <c r="D1015" s="1">
        <f>IFERROR(Comp3[[#This Row],[Comparable '#3 Return]]+1,"-")</f>
        <v>0.99864996604410972</v>
      </c>
      <c r="E1015" s="6">
        <f>B1015-MAX($B$2:B1015)</f>
        <v>-121.41999999999999</v>
      </c>
      <c r="F1015" s="80">
        <f t="shared" si="31"/>
        <v>753</v>
      </c>
      <c r="G1015" s="6">
        <f>IFERROR(Comp3[[#This Row],[Comparable '#3 Drawdown]]/MAX($B$2:B1015),"-")</f>
        <v>-0.64571367794086365</v>
      </c>
      <c r="H1015" s="1" t="str">
        <f>IF(SUM(COUNTIF(Benchmark1[Benchmark '#1 Dates],Comp3[[#This Row],[Comparable '#3 Dates]]),COUNTIF(Benchmark2[Benchmark '#2 Dates],Comp3[[#This Row],[Comparable '#3 Dates]]))=2,"Pass","Fail")</f>
        <v>Pass</v>
      </c>
      <c r="I1015" s="1">
        <f>IFERROR(Comp3[[#This Row],[Comparable '#3 Return]]-INDEX(Benchmark1[Benchmark '#1 Return],MATCH(Comp3[[#This Row],[Comparable '#3 Dates]],Benchmark1[Benchmark '#1 Dates],0)),"-")</f>
        <v>1.6539219185592086E-3</v>
      </c>
      <c r="L1015" s="72">
        <f>Comp3[[#This Row],[Comparable '#3 Price]]/$B$2*100</f>
        <v>56.838153741148375</v>
      </c>
    </row>
    <row r="1016" spans="1:12">
      <c r="A1016" s="96">
        <v>44757</v>
      </c>
      <c r="B1016" s="101">
        <v>68.430000000000007</v>
      </c>
      <c r="C1016" s="1">
        <f t="shared" si="30"/>
        <v>2.6806492198872822E-2</v>
      </c>
      <c r="D1016" s="1">
        <f>IFERROR(Comp3[[#This Row],[Comparable '#3 Return]]+1,"-")</f>
        <v>1.0268064921988729</v>
      </c>
      <c r="E1016" s="6">
        <f>B1016-MAX($B$2:B1016)</f>
        <v>-119.60999999999999</v>
      </c>
      <c r="F1016" s="80">
        <f t="shared" si="31"/>
        <v>754</v>
      </c>
      <c r="G1016" s="6">
        <f>IFERROR(Comp3[[#This Row],[Comparable '#3 Drawdown]]/MAX($B$2:B1016),"-")</f>
        <v>-0.63608806636885762</v>
      </c>
      <c r="H1016" s="1" t="str">
        <f>IF(SUM(COUNTIF(Benchmark1[Benchmark '#1 Dates],Comp3[[#This Row],[Comparable '#3 Dates]]),COUNTIF(Benchmark2[Benchmark '#2 Dates],Comp3[[#This Row],[Comparable '#3 Dates]]))=2,"Pass","Fail")</f>
        <v>Pass</v>
      </c>
      <c r="I1016" s="1">
        <f>IFERROR(Comp3[[#This Row],[Comparable '#3 Return]]-INDEX(Benchmark1[Benchmark '#1 Return],MATCH(Comp3[[#This Row],[Comparable '#3 Dates]],Benchmark1[Benchmark '#1 Dates],0)),"-")</f>
        <v>7.7858462577997979E-3</v>
      </c>
      <c r="L1016" s="72">
        <f>Comp3[[#This Row],[Comparable '#3 Price]]/$B$2*100</f>
        <v>58.382390581008458</v>
      </c>
    </row>
    <row r="1017" spans="1:12">
      <c r="A1017" s="96">
        <v>44760</v>
      </c>
      <c r="B1017" s="101">
        <v>68.03</v>
      </c>
      <c r="C1017" s="1">
        <f t="shared" si="30"/>
        <v>-5.8625406074369942E-3</v>
      </c>
      <c r="D1017" s="1">
        <f>IFERROR(Comp3[[#This Row],[Comparable '#3 Return]]+1,"-")</f>
        <v>0.99413745939256304</v>
      </c>
      <c r="E1017" s="6">
        <f>B1017-MAX($B$2:B1017)</f>
        <v>-120.00999999999999</v>
      </c>
      <c r="F1017" s="80">
        <f t="shared" si="31"/>
        <v>755</v>
      </c>
      <c r="G1017" s="6">
        <f>IFERROR(Comp3[[#This Row],[Comparable '#3 Drawdown]]/MAX($B$2:B1017),"-")</f>
        <v>-0.63821527334609651</v>
      </c>
      <c r="H1017" s="1" t="str">
        <f>IF(SUM(COUNTIF(Benchmark1[Benchmark '#1 Dates],Comp3[[#This Row],[Comparable '#3 Dates]]),COUNTIF(Benchmark2[Benchmark '#2 Dates],Comp3[[#This Row],[Comparable '#3 Dates]]))=2,"Pass","Fail")</f>
        <v>Pass</v>
      </c>
      <c r="I1017" s="1">
        <f>IFERROR(Comp3[[#This Row],[Comparable '#3 Return]]-INDEX(Benchmark1[Benchmark '#1 Return],MATCH(Comp3[[#This Row],[Comparable '#3 Dates]],Benchmark1[Benchmark '#1 Dates],0)),"-")</f>
        <v>2.5362375958202042E-3</v>
      </c>
      <c r="L1017" s="72">
        <f>Comp3[[#This Row],[Comparable '#3 Price]]/$B$2*100</f>
        <v>58.041122771094621</v>
      </c>
    </row>
    <row r="1018" spans="1:12">
      <c r="A1018" s="96">
        <v>44761</v>
      </c>
      <c r="B1018" s="101">
        <v>69.099999999999994</v>
      </c>
      <c r="C1018" s="1">
        <f t="shared" si="30"/>
        <v>1.560594641665464E-2</v>
      </c>
      <c r="D1018" s="1">
        <f>IFERROR(Comp3[[#This Row],[Comparable '#3 Return]]+1,"-")</f>
        <v>1.0156059464166547</v>
      </c>
      <c r="E1018" s="6">
        <f>B1018-MAX($B$2:B1018)</f>
        <v>-118.94</v>
      </c>
      <c r="F1018" s="80">
        <f t="shared" si="31"/>
        <v>756</v>
      </c>
      <c r="G1018" s="6">
        <f>IFERROR(Comp3[[#This Row],[Comparable '#3 Drawdown]]/MAX($B$2:B1018),"-")</f>
        <v>-0.63252499468198253</v>
      </c>
      <c r="H1018" s="1" t="str">
        <f>IF(SUM(COUNTIF(Benchmark1[Benchmark '#1 Dates],Comp3[[#This Row],[Comparable '#3 Dates]]),COUNTIF(Benchmark2[Benchmark '#2 Dates],Comp3[[#This Row],[Comparable '#3 Dates]]))=2,"Pass","Fail")</f>
        <v>Pass</v>
      </c>
      <c r="I1018" s="1">
        <f>IFERROR(Comp3[[#This Row],[Comparable '#3 Return]]-INDEX(Benchmark1[Benchmark '#1 Return],MATCH(Comp3[[#This Row],[Comparable '#3 Dates]],Benchmark1[Benchmark '#1 Dates],0)),"-")</f>
        <v>-1.1646747834889396E-2</v>
      </c>
      <c r="L1018" s="72">
        <f>Comp3[[#This Row],[Comparable '#3 Price]]/$B$2*100</f>
        <v>58.954014162614108</v>
      </c>
    </row>
    <row r="1019" spans="1:12">
      <c r="A1019" s="96">
        <v>44762</v>
      </c>
      <c r="B1019" s="101">
        <v>71.040000000000006</v>
      </c>
      <c r="C1019" s="1">
        <f t="shared" si="30"/>
        <v>2.7688367910290689E-2</v>
      </c>
      <c r="D1019" s="1">
        <f>IFERROR(Comp3[[#This Row],[Comparable '#3 Return]]+1,"-")</f>
        <v>1.0276883679102906</v>
      </c>
      <c r="E1019" s="6">
        <f>B1019-MAX($B$2:B1019)</f>
        <v>-116.99999999999999</v>
      </c>
      <c r="F1019" s="80">
        <f t="shared" si="31"/>
        <v>757</v>
      </c>
      <c r="G1019" s="6">
        <f>IFERROR(Comp3[[#This Row],[Comparable '#3 Drawdown]]/MAX($B$2:B1019),"-")</f>
        <v>-0.62220804084237391</v>
      </c>
      <c r="H1019" s="1" t="str">
        <f>IF(SUM(COUNTIF(Benchmark1[Benchmark '#1 Dates],Comp3[[#This Row],[Comparable '#3 Dates]]),COUNTIF(Benchmark2[Benchmark '#2 Dates],Comp3[[#This Row],[Comparable '#3 Dates]]))=2,"Pass","Fail")</f>
        <v>Pass</v>
      </c>
      <c r="I1019" s="1">
        <f>IFERROR(Comp3[[#This Row],[Comparable '#3 Return]]-INDEX(Benchmark1[Benchmark '#1 Return],MATCH(Comp3[[#This Row],[Comparable '#3 Dates]],Benchmark1[Benchmark '#1 Dates],0)),"-")</f>
        <v>2.1810067948467883E-2</v>
      </c>
      <c r="L1019" s="72">
        <f>Comp3[[#This Row],[Comparable '#3 Price]]/$B$2*100</f>
        <v>60.609163040696188</v>
      </c>
    </row>
    <row r="1020" spans="1:12">
      <c r="A1020" s="96">
        <v>44763</v>
      </c>
      <c r="B1020" s="101">
        <v>70.36</v>
      </c>
      <c r="C1020" s="1">
        <f t="shared" si="30"/>
        <v>-9.6181788145572444E-3</v>
      </c>
      <c r="D1020" s="1">
        <f>IFERROR(Comp3[[#This Row],[Comparable '#3 Return]]+1,"-")</f>
        <v>0.99038182118544271</v>
      </c>
      <c r="E1020" s="6">
        <f>B1020-MAX($B$2:B1020)</f>
        <v>-117.67999999999999</v>
      </c>
      <c r="F1020" s="80">
        <f t="shared" si="31"/>
        <v>758</v>
      </c>
      <c r="G1020" s="6">
        <f>IFERROR(Comp3[[#This Row],[Comparable '#3 Drawdown]]/MAX($B$2:B1020),"-")</f>
        <v>-0.62582429270368001</v>
      </c>
      <c r="H1020" s="1" t="str">
        <f>IF(SUM(COUNTIF(Benchmark1[Benchmark '#1 Dates],Comp3[[#This Row],[Comparable '#3 Dates]]),COUNTIF(Benchmark2[Benchmark '#2 Dates],Comp3[[#This Row],[Comparable '#3 Dates]]))=2,"Pass","Fail")</f>
        <v>Pass</v>
      </c>
      <c r="I1020" s="1">
        <f>IFERROR(Comp3[[#This Row],[Comparable '#3 Return]]-INDEX(Benchmark1[Benchmark '#1 Return],MATCH(Comp3[[#This Row],[Comparable '#3 Dates]],Benchmark1[Benchmark '#1 Dates],0)),"-")</f>
        <v>-1.9431911289133685E-2</v>
      </c>
      <c r="L1020" s="72">
        <f>Comp3[[#This Row],[Comparable '#3 Price]]/$B$2*100</f>
        <v>60.029007763842678</v>
      </c>
    </row>
    <row r="1021" spans="1:12">
      <c r="A1021" s="96">
        <v>44764</v>
      </c>
      <c r="B1021" s="101">
        <v>69.709999999999994</v>
      </c>
      <c r="C1021" s="1">
        <f t="shared" si="30"/>
        <v>-9.2811403710501457E-3</v>
      </c>
      <c r="D1021" s="1">
        <f>IFERROR(Comp3[[#This Row],[Comparable '#3 Return]]+1,"-")</f>
        <v>0.9907188596289499</v>
      </c>
      <c r="E1021" s="6">
        <f>B1021-MAX($B$2:B1021)</f>
        <v>-118.33</v>
      </c>
      <c r="F1021" s="80">
        <f t="shared" si="31"/>
        <v>759</v>
      </c>
      <c r="G1021" s="6">
        <f>IFERROR(Comp3[[#This Row],[Comparable '#3 Drawdown]]/MAX($B$2:B1021),"-")</f>
        <v>-0.62928100404169329</v>
      </c>
      <c r="H1021" s="1" t="str">
        <f>IF(SUM(COUNTIF(Benchmark1[Benchmark '#1 Dates],Comp3[[#This Row],[Comparable '#3 Dates]]),COUNTIF(Benchmark2[Benchmark '#2 Dates],Comp3[[#This Row],[Comparable '#3 Dates]]))=2,"Pass","Fail")</f>
        <v>Pass</v>
      </c>
      <c r="I1021" s="1">
        <f>IFERROR(Comp3[[#This Row],[Comparable '#3 Return]]-INDEX(Benchmark1[Benchmark '#1 Return],MATCH(Comp3[[#This Row],[Comparable '#3 Dates]],Benchmark1[Benchmark '#1 Dates],0)),"-")</f>
        <v>9.4252476243061878E-5</v>
      </c>
      <c r="L1021" s="72">
        <f>Comp3[[#This Row],[Comparable '#3 Price]]/$B$2*100</f>
        <v>59.4744475727327</v>
      </c>
    </row>
    <row r="1022" spans="1:12">
      <c r="A1022" s="96">
        <v>44767</v>
      </c>
      <c r="B1022" s="101">
        <v>69.260000000000005</v>
      </c>
      <c r="C1022" s="1">
        <f t="shared" si="30"/>
        <v>-6.4762405240312761E-3</v>
      </c>
      <c r="D1022" s="1">
        <f>IFERROR(Comp3[[#This Row],[Comparable '#3 Return]]+1,"-")</f>
        <v>0.99352375947596872</v>
      </c>
      <c r="E1022" s="6">
        <f>B1022-MAX($B$2:B1022)</f>
        <v>-118.77999999999999</v>
      </c>
      <c r="F1022" s="80">
        <f t="shared" si="31"/>
        <v>760</v>
      </c>
      <c r="G1022" s="6">
        <f>IFERROR(Comp3[[#This Row],[Comparable '#3 Drawdown]]/MAX($B$2:B1022),"-")</f>
        <v>-0.63167411189108691</v>
      </c>
      <c r="H1022" s="1" t="str">
        <f>IF(SUM(COUNTIF(Benchmark1[Benchmark '#1 Dates],Comp3[[#This Row],[Comparable '#3 Dates]]),COUNTIF(Benchmark2[Benchmark '#2 Dates],Comp3[[#This Row],[Comparable '#3 Dates]]))=2,"Pass","Fail")</f>
        <v>Pass</v>
      </c>
      <c r="I1022" s="1">
        <f>IFERROR(Comp3[[#This Row],[Comparable '#3 Return]]-INDEX(Benchmark1[Benchmark '#1 Return],MATCH(Comp3[[#This Row],[Comparable '#3 Dates]],Benchmark1[Benchmark '#1 Dates],0)),"-")</f>
        <v>-7.790516006126358E-3</v>
      </c>
      <c r="L1022" s="72">
        <f>Comp3[[#This Row],[Comparable '#3 Price]]/$B$2*100</f>
        <v>59.090521286579659</v>
      </c>
    </row>
    <row r="1023" spans="1:12">
      <c r="A1023" s="96">
        <v>44768</v>
      </c>
      <c r="B1023" s="101">
        <v>69.97</v>
      </c>
      <c r="C1023" s="1">
        <f t="shared" si="30"/>
        <v>1.019903978352933E-2</v>
      </c>
      <c r="D1023" s="1">
        <f>IFERROR(Comp3[[#This Row],[Comparable '#3 Return]]+1,"-")</f>
        <v>1.0101990397835294</v>
      </c>
      <c r="E1023" s="6">
        <f>B1023-MAX($B$2:B1023)</f>
        <v>-118.07</v>
      </c>
      <c r="F1023" s="80">
        <f t="shared" si="31"/>
        <v>761</v>
      </c>
      <c r="G1023" s="6">
        <f>IFERROR(Comp3[[#This Row],[Comparable '#3 Drawdown]]/MAX($B$2:B1023),"-")</f>
        <v>-0.627898319506488</v>
      </c>
      <c r="H1023" s="1" t="str">
        <f>IF(SUM(COUNTIF(Benchmark1[Benchmark '#1 Dates],Comp3[[#This Row],[Comparable '#3 Dates]]),COUNTIF(Benchmark2[Benchmark '#2 Dates],Comp3[[#This Row],[Comparable '#3 Dates]]))=2,"Pass","Fail")</f>
        <v>Pass</v>
      </c>
      <c r="I1023" s="1">
        <f>IFERROR(Comp3[[#This Row],[Comparable '#3 Return]]-INDEX(Benchmark1[Benchmark '#1 Return],MATCH(Comp3[[#This Row],[Comparable '#3 Dates]],Benchmark1[Benchmark '#1 Dates],0)),"-")</f>
        <v>2.1810728135473963E-2</v>
      </c>
      <c r="L1023" s="72">
        <f>Comp3[[#This Row],[Comparable '#3 Price]]/$B$2*100</f>
        <v>59.696271649176694</v>
      </c>
    </row>
    <row r="1024" spans="1:12">
      <c r="A1024" s="96">
        <v>44769</v>
      </c>
      <c r="B1024" s="101">
        <v>72.31</v>
      </c>
      <c r="C1024" s="1">
        <f t="shared" si="30"/>
        <v>3.28958534290551E-2</v>
      </c>
      <c r="D1024" s="1">
        <f>IFERROR(Comp3[[#This Row],[Comparable '#3 Return]]+1,"-")</f>
        <v>1.0328958534290551</v>
      </c>
      <c r="E1024" s="6">
        <f>B1024-MAX($B$2:B1024)</f>
        <v>-115.72999999999999</v>
      </c>
      <c r="F1024" s="80">
        <f t="shared" si="31"/>
        <v>762</v>
      </c>
      <c r="G1024" s="6">
        <f>IFERROR(Comp3[[#This Row],[Comparable '#3 Drawdown]]/MAX($B$2:B1024),"-")</f>
        <v>-0.61545415868964048</v>
      </c>
      <c r="H1024" s="1" t="str">
        <f>IF(SUM(COUNTIF(Benchmark1[Benchmark '#1 Dates],Comp3[[#This Row],[Comparable '#3 Dates]]),COUNTIF(Benchmark2[Benchmark '#2 Dates],Comp3[[#This Row],[Comparable '#3 Dates]]))=2,"Pass","Fail")</f>
        <v>Pass</v>
      </c>
      <c r="I1024" s="1">
        <f>IFERROR(Comp3[[#This Row],[Comparable '#3 Return]]-INDEX(Benchmark1[Benchmark '#1 Return],MATCH(Comp3[[#This Row],[Comparable '#3 Dates]],Benchmark1[Benchmark '#1 Dates],0)),"-")</f>
        <v>7.0751175641764127E-3</v>
      </c>
      <c r="L1024" s="72">
        <f>Comp3[[#This Row],[Comparable '#3 Price]]/$B$2*100</f>
        <v>61.692688337172598</v>
      </c>
    </row>
    <row r="1025" spans="1:12">
      <c r="A1025" s="96">
        <v>44770</v>
      </c>
      <c r="B1025" s="101">
        <v>73.319999999999993</v>
      </c>
      <c r="C1025" s="1">
        <f t="shared" si="30"/>
        <v>1.3870990784643709E-2</v>
      </c>
      <c r="D1025" s="1">
        <f>IFERROR(Comp3[[#This Row],[Comparable '#3 Return]]+1,"-")</f>
        <v>1.0138709907846437</v>
      </c>
      <c r="E1025" s="6">
        <f>B1025-MAX($B$2:B1025)</f>
        <v>-114.72</v>
      </c>
      <c r="F1025" s="80">
        <f t="shared" si="31"/>
        <v>763</v>
      </c>
      <c r="G1025" s="6">
        <f>IFERROR(Comp3[[#This Row],[Comparable '#3 Drawdown]]/MAX($B$2:B1025),"-")</f>
        <v>-0.61008296107211235</v>
      </c>
      <c r="H1025" s="1" t="str">
        <f>IF(SUM(COUNTIF(Benchmark1[Benchmark '#1 Dates],Comp3[[#This Row],[Comparable '#3 Dates]]),COUNTIF(Benchmark2[Benchmark '#2 Dates],Comp3[[#This Row],[Comparable '#3 Dates]]))=2,"Pass","Fail")</f>
        <v>Pass</v>
      </c>
      <c r="I1025" s="1">
        <f>IFERROR(Comp3[[#This Row],[Comparable '#3 Return]]-INDEX(Benchmark1[Benchmark '#1 Return],MATCH(Comp3[[#This Row],[Comparable '#3 Dates]],Benchmark1[Benchmark '#1 Dates],0)),"-")</f>
        <v>1.8101738164445439E-3</v>
      </c>
      <c r="L1025" s="72">
        <f>Comp3[[#This Row],[Comparable '#3 Price]]/$B$2*100</f>
        <v>62.554389557205013</v>
      </c>
    </row>
    <row r="1026" spans="1:12">
      <c r="A1026" s="96">
        <v>44771</v>
      </c>
      <c r="B1026" s="101">
        <v>71.83</v>
      </c>
      <c r="C1026" s="1">
        <f t="shared" ref="C1026:C1089" si="32">IFERROR(IF(B1026="","-",LN(B1026/B1025)),"-")</f>
        <v>-2.0531206884794012E-2</v>
      </c>
      <c r="D1026" s="1">
        <f>IFERROR(Comp3[[#This Row],[Comparable '#3 Return]]+1,"-")</f>
        <v>0.97946879311520596</v>
      </c>
      <c r="E1026" s="6">
        <f>B1026-MAX($B$2:B1026)</f>
        <v>-116.21</v>
      </c>
      <c r="F1026" s="80">
        <f t="shared" ref="F1026:F1089" si="33">IF(E1026=0,0,F1025+1)</f>
        <v>764</v>
      </c>
      <c r="G1026" s="6">
        <f>IFERROR(Comp3[[#This Row],[Comparable '#3 Drawdown]]/MAX($B$2:B1026),"-")</f>
        <v>-0.61800680706232713</v>
      </c>
      <c r="H1026" s="1" t="str">
        <f>IF(SUM(COUNTIF(Benchmark1[Benchmark '#1 Dates],Comp3[[#This Row],[Comparable '#3 Dates]]),COUNTIF(Benchmark2[Benchmark '#2 Dates],Comp3[[#This Row],[Comparable '#3 Dates]]))=2,"Pass","Fail")</f>
        <v>Pass</v>
      </c>
      <c r="I1026" s="1">
        <f>IFERROR(Comp3[[#This Row],[Comparable '#3 Return]]-INDEX(Benchmark1[Benchmark '#1 Return],MATCH(Comp3[[#This Row],[Comparable '#3 Dates]],Benchmark1[Benchmark '#1 Dates],0)),"-")</f>
        <v>-3.4636877263437199E-2</v>
      </c>
      <c r="L1026" s="72">
        <f>Comp3[[#This Row],[Comparable '#3 Price]]/$B$2*100</f>
        <v>61.283166965276003</v>
      </c>
    </row>
    <row r="1027" spans="1:12">
      <c r="A1027" s="96">
        <v>44774</v>
      </c>
      <c r="B1027" s="101">
        <v>72.17</v>
      </c>
      <c r="C1027" s="1">
        <f t="shared" si="32"/>
        <v>4.7222309974717085E-3</v>
      </c>
      <c r="D1027" s="1">
        <f>IFERROR(Comp3[[#This Row],[Comparable '#3 Return]]+1,"-")</f>
        <v>1.0047222309974717</v>
      </c>
      <c r="E1027" s="6">
        <f>B1027-MAX($B$2:B1027)</f>
        <v>-115.86999999999999</v>
      </c>
      <c r="F1027" s="80">
        <f t="shared" si="33"/>
        <v>765</v>
      </c>
      <c r="G1027" s="6">
        <f>IFERROR(Comp3[[#This Row],[Comparable '#3 Drawdown]]/MAX($B$2:B1027),"-")</f>
        <v>-0.61619868113167409</v>
      </c>
      <c r="H1027" s="1" t="str">
        <f>IF(SUM(COUNTIF(Benchmark1[Benchmark '#1 Dates],Comp3[[#This Row],[Comparable '#3 Dates]]),COUNTIF(Benchmark2[Benchmark '#2 Dates],Comp3[[#This Row],[Comparable '#3 Dates]]))=2,"Pass","Fail")</f>
        <v>Pass</v>
      </c>
      <c r="I1027" s="1">
        <f>IFERROR(Comp3[[#This Row],[Comparable '#3 Return]]-INDEX(Benchmark1[Benchmark '#1 Return],MATCH(Comp3[[#This Row],[Comparable '#3 Dates]],Benchmark1[Benchmark '#1 Dates],0)),"-")</f>
        <v>7.5483518658026509E-3</v>
      </c>
      <c r="L1027" s="72">
        <f>Comp3[[#This Row],[Comparable '#3 Price]]/$B$2*100</f>
        <v>61.573244603702761</v>
      </c>
    </row>
    <row r="1028" spans="1:12">
      <c r="A1028" s="96">
        <v>44775</v>
      </c>
      <c r="B1028" s="101">
        <v>71.239999999999995</v>
      </c>
      <c r="C1028" s="1">
        <f t="shared" si="32"/>
        <v>-1.2969988662721079E-2</v>
      </c>
      <c r="D1028" s="1">
        <f>IFERROR(Comp3[[#This Row],[Comparable '#3 Return]]+1,"-")</f>
        <v>0.98703001133727897</v>
      </c>
      <c r="E1028" s="6">
        <f>B1028-MAX($B$2:B1028)</f>
        <v>-116.8</v>
      </c>
      <c r="F1028" s="80">
        <f t="shared" si="33"/>
        <v>766</v>
      </c>
      <c r="G1028" s="6">
        <f>IFERROR(Comp3[[#This Row],[Comparable '#3 Drawdown]]/MAX($B$2:B1028),"-")</f>
        <v>-0.62114443735375457</v>
      </c>
      <c r="H1028" s="1" t="str">
        <f>IF(SUM(COUNTIF(Benchmark1[Benchmark '#1 Dates],Comp3[[#This Row],[Comparable '#3 Dates]]),COUNTIF(Benchmark2[Benchmark '#2 Dates],Comp3[[#This Row],[Comparable '#3 Dates]]))=2,"Pass","Fail")</f>
        <v>Pass</v>
      </c>
      <c r="I1028" s="1">
        <f>IFERROR(Comp3[[#This Row],[Comparable '#3 Return]]-INDEX(Benchmark1[Benchmark '#1 Return],MATCH(Comp3[[#This Row],[Comparable '#3 Dates]],Benchmark1[Benchmark '#1 Dates],0)),"-")</f>
        <v>-6.2841946895273899E-3</v>
      </c>
      <c r="L1028" s="72">
        <f>Comp3[[#This Row],[Comparable '#3 Price]]/$B$2*100</f>
        <v>60.779796945653096</v>
      </c>
    </row>
    <row r="1029" spans="1:12">
      <c r="A1029" s="96">
        <v>44776</v>
      </c>
      <c r="B1029" s="101">
        <v>71.569999999999993</v>
      </c>
      <c r="C1029" s="1">
        <f t="shared" si="32"/>
        <v>4.6215333290451771E-3</v>
      </c>
      <c r="D1029" s="1">
        <f>IFERROR(Comp3[[#This Row],[Comparable '#3 Return]]+1,"-")</f>
        <v>1.0046215333290451</v>
      </c>
      <c r="E1029" s="6">
        <f>B1029-MAX($B$2:B1029)</f>
        <v>-116.47</v>
      </c>
      <c r="F1029" s="80">
        <f t="shared" si="33"/>
        <v>767</v>
      </c>
      <c r="G1029" s="6">
        <f>IFERROR(Comp3[[#This Row],[Comparable '#3 Drawdown]]/MAX($B$2:B1029),"-")</f>
        <v>-0.61938949159753243</v>
      </c>
      <c r="H1029" s="1" t="str">
        <f>IF(SUM(COUNTIF(Benchmark1[Benchmark '#1 Dates],Comp3[[#This Row],[Comparable '#3 Dates]]),COUNTIF(Benchmark2[Benchmark '#2 Dates],Comp3[[#This Row],[Comparable '#3 Dates]]))=2,"Pass","Fail")</f>
        <v>Pass</v>
      </c>
      <c r="I1029" s="1">
        <f>IFERROR(Comp3[[#This Row],[Comparable '#3 Return]]-INDEX(Benchmark1[Benchmark '#1 Return],MATCH(Comp3[[#This Row],[Comparable '#3 Dates]],Benchmark1[Benchmark '#1 Dates],0)),"-")</f>
        <v>-1.0897782793604387E-2</v>
      </c>
      <c r="L1029" s="72">
        <f>Comp3[[#This Row],[Comparable '#3 Price]]/$B$2*100</f>
        <v>61.061342888832002</v>
      </c>
    </row>
    <row r="1030" spans="1:12">
      <c r="A1030" s="96">
        <v>44777</v>
      </c>
      <c r="B1030" s="101">
        <v>70.900000000000006</v>
      </c>
      <c r="C1030" s="1">
        <f t="shared" si="32"/>
        <v>-9.4055582124241872E-3</v>
      </c>
      <c r="D1030" s="1">
        <f>IFERROR(Comp3[[#This Row],[Comparable '#3 Return]]+1,"-")</f>
        <v>0.99059444178757583</v>
      </c>
      <c r="E1030" s="6">
        <f>B1030-MAX($B$2:B1030)</f>
        <v>-117.13999999999999</v>
      </c>
      <c r="F1030" s="80">
        <f t="shared" si="33"/>
        <v>768</v>
      </c>
      <c r="G1030" s="6">
        <f>IFERROR(Comp3[[#This Row],[Comparable '#3 Drawdown]]/MAX($B$2:B1030),"-")</f>
        <v>-0.62295256328440751</v>
      </c>
      <c r="H1030" s="1" t="str">
        <f>IF(SUM(COUNTIF(Benchmark1[Benchmark '#1 Dates],Comp3[[#This Row],[Comparable '#3 Dates]]),COUNTIF(Benchmark2[Benchmark '#2 Dates],Comp3[[#This Row],[Comparable '#3 Dates]]))=2,"Pass","Fail")</f>
        <v>Pass</v>
      </c>
      <c r="I1030" s="1">
        <f>IFERROR(Comp3[[#This Row],[Comparable '#3 Return]]-INDEX(Benchmark1[Benchmark '#1 Return],MATCH(Comp3[[#This Row],[Comparable '#3 Dates]],Benchmark1[Benchmark '#1 Dates],0)),"-")</f>
        <v>-8.6282603331690414E-3</v>
      </c>
      <c r="L1030" s="72">
        <f>Comp3[[#This Row],[Comparable '#3 Price]]/$B$2*100</f>
        <v>60.489719307226352</v>
      </c>
    </row>
    <row r="1031" spans="1:12">
      <c r="A1031" s="96">
        <v>44778</v>
      </c>
      <c r="B1031" s="101">
        <v>69.900000000000006</v>
      </c>
      <c r="C1031" s="1">
        <f t="shared" si="32"/>
        <v>-1.420478429831722E-2</v>
      </c>
      <c r="D1031" s="1">
        <f>IFERROR(Comp3[[#This Row],[Comparable '#3 Return]]+1,"-")</f>
        <v>0.98579521570168283</v>
      </c>
      <c r="E1031" s="6">
        <f>B1031-MAX($B$2:B1031)</f>
        <v>-118.13999999999999</v>
      </c>
      <c r="F1031" s="80">
        <f t="shared" si="33"/>
        <v>769</v>
      </c>
      <c r="G1031" s="6">
        <f>IFERROR(Comp3[[#This Row],[Comparable '#3 Drawdown]]/MAX($B$2:B1031),"-")</f>
        <v>-0.62827058072750475</v>
      </c>
      <c r="H1031" s="1" t="str">
        <f>IF(SUM(COUNTIF(Benchmark1[Benchmark '#1 Dates],Comp3[[#This Row],[Comparable '#3 Dates]]),COUNTIF(Benchmark2[Benchmark '#2 Dates],Comp3[[#This Row],[Comparable '#3 Dates]]))=2,"Pass","Fail")</f>
        <v>Pass</v>
      </c>
      <c r="I1031" s="1">
        <f>IFERROR(Comp3[[#This Row],[Comparable '#3 Return]]-INDEX(Benchmark1[Benchmark '#1 Return],MATCH(Comp3[[#This Row],[Comparable '#3 Dates]],Benchmark1[Benchmark '#1 Dates],0)),"-")</f>
        <v>-1.2576485019834412E-2</v>
      </c>
      <c r="L1031" s="72">
        <f>Comp3[[#This Row],[Comparable '#3 Price]]/$B$2*100</f>
        <v>59.636549782441783</v>
      </c>
    </row>
    <row r="1032" spans="1:12">
      <c r="A1032" s="96">
        <v>44781</v>
      </c>
      <c r="B1032" s="101">
        <v>70.260000000000005</v>
      </c>
      <c r="C1032" s="1">
        <f t="shared" si="32"/>
        <v>5.1369975979163283E-3</v>
      </c>
      <c r="D1032" s="1">
        <f>IFERROR(Comp3[[#This Row],[Comparable '#3 Return]]+1,"-")</f>
        <v>1.0051369975979163</v>
      </c>
      <c r="E1032" s="6">
        <f>B1032-MAX($B$2:B1032)</f>
        <v>-117.77999999999999</v>
      </c>
      <c r="F1032" s="80">
        <f t="shared" si="33"/>
        <v>770</v>
      </c>
      <c r="G1032" s="6">
        <f>IFERROR(Comp3[[#This Row],[Comparable '#3 Drawdown]]/MAX($B$2:B1032),"-")</f>
        <v>-0.62635609444798979</v>
      </c>
      <c r="H1032" s="1" t="str">
        <f>IF(SUM(COUNTIF(Benchmark1[Benchmark '#1 Dates],Comp3[[#This Row],[Comparable '#3 Dates]]),COUNTIF(Benchmark2[Benchmark '#2 Dates],Comp3[[#This Row],[Comparable '#3 Dates]]))=2,"Pass","Fail")</f>
        <v>Pass</v>
      </c>
      <c r="I1032" s="1">
        <f>IFERROR(Comp3[[#This Row],[Comparable '#3 Return]]-INDEX(Benchmark1[Benchmark '#1 Return],MATCH(Comp3[[#This Row],[Comparable '#3 Dates]],Benchmark1[Benchmark '#1 Dates],0)),"-")</f>
        <v>6.3755188371159392E-3</v>
      </c>
      <c r="L1032" s="72">
        <f>Comp3[[#This Row],[Comparable '#3 Price]]/$B$2*100</f>
        <v>59.943690811364227</v>
      </c>
    </row>
    <row r="1033" spans="1:12">
      <c r="A1033" s="96">
        <v>44782</v>
      </c>
      <c r="B1033" s="101">
        <v>69.83</v>
      </c>
      <c r="C1033" s="1">
        <f t="shared" si="32"/>
        <v>-6.1389299797371989E-3</v>
      </c>
      <c r="D1033" s="1">
        <f>IFERROR(Comp3[[#This Row],[Comparable '#3 Return]]+1,"-")</f>
        <v>0.9938610700202628</v>
      </c>
      <c r="E1033" s="6">
        <f>B1033-MAX($B$2:B1033)</f>
        <v>-118.21</v>
      </c>
      <c r="F1033" s="80">
        <f t="shared" si="33"/>
        <v>771</v>
      </c>
      <c r="G1033" s="6">
        <f>IFERROR(Comp3[[#This Row],[Comparable '#3 Drawdown]]/MAX($B$2:B1033),"-")</f>
        <v>-0.6286428419485216</v>
      </c>
      <c r="H1033" s="1" t="str">
        <f>IF(SUM(COUNTIF(Benchmark1[Benchmark '#1 Dates],Comp3[[#This Row],[Comparable '#3 Dates]]),COUNTIF(Benchmark2[Benchmark '#2 Dates],Comp3[[#This Row],[Comparable '#3 Dates]]))=2,"Pass","Fail")</f>
        <v>Pass</v>
      </c>
      <c r="I1033" s="1">
        <f>IFERROR(Comp3[[#This Row],[Comparable '#3 Return]]-INDEX(Benchmark1[Benchmark '#1 Return],MATCH(Comp3[[#This Row],[Comparable '#3 Dates]],Benchmark1[Benchmark '#1 Dates],0)),"-")</f>
        <v>-1.8805435841819269E-3</v>
      </c>
      <c r="L1033" s="72">
        <f>Comp3[[#This Row],[Comparable '#3 Price]]/$B$2*100</f>
        <v>59.576827915706851</v>
      </c>
    </row>
    <row r="1034" spans="1:12">
      <c r="A1034" s="96">
        <v>44783</v>
      </c>
      <c r="B1034" s="101">
        <v>69.63</v>
      </c>
      <c r="C1034" s="1">
        <f t="shared" si="32"/>
        <v>-2.8682079034885594E-3</v>
      </c>
      <c r="D1034" s="1">
        <f>IFERROR(Comp3[[#This Row],[Comparable '#3 Return]]+1,"-")</f>
        <v>0.99713179209651148</v>
      </c>
      <c r="E1034" s="6">
        <f>B1034-MAX($B$2:B1034)</f>
        <v>-118.41</v>
      </c>
      <c r="F1034" s="80">
        <f t="shared" si="33"/>
        <v>772</v>
      </c>
      <c r="G1034" s="6">
        <f>IFERROR(Comp3[[#This Row],[Comparable '#3 Drawdown]]/MAX($B$2:B1034),"-")</f>
        <v>-0.62970644543714105</v>
      </c>
      <c r="H1034" s="1" t="str">
        <f>IF(SUM(COUNTIF(Benchmark1[Benchmark '#1 Dates],Comp3[[#This Row],[Comparable '#3 Dates]]),COUNTIF(Benchmark2[Benchmark '#2 Dates],Comp3[[#This Row],[Comparable '#3 Dates]]))=2,"Pass","Fail")</f>
        <v>Pass</v>
      </c>
      <c r="I1034" s="1">
        <f>IFERROR(Comp3[[#This Row],[Comparable '#3 Return]]-INDEX(Benchmark1[Benchmark '#1 Return],MATCH(Comp3[[#This Row],[Comparable '#3 Dates]],Benchmark1[Benchmark '#1 Dates],0)),"-")</f>
        <v>-2.3936487338228549E-2</v>
      </c>
      <c r="L1034" s="72">
        <f>Comp3[[#This Row],[Comparable '#3 Price]]/$B$2*100</f>
        <v>59.406194010749935</v>
      </c>
    </row>
    <row r="1035" spans="1:12">
      <c r="A1035" s="96">
        <v>44784</v>
      </c>
      <c r="B1035" s="101">
        <v>67.81</v>
      </c>
      <c r="C1035" s="1">
        <f t="shared" si="32"/>
        <v>-2.6485832258704566E-2</v>
      </c>
      <c r="D1035" s="1">
        <f>IFERROR(Comp3[[#This Row],[Comparable '#3 Return]]+1,"-")</f>
        <v>0.9735141677412954</v>
      </c>
      <c r="E1035" s="6">
        <f>B1035-MAX($B$2:B1035)</f>
        <v>-120.22999999999999</v>
      </c>
      <c r="F1035" s="80">
        <f t="shared" si="33"/>
        <v>773</v>
      </c>
      <c r="G1035" s="6">
        <f>IFERROR(Comp3[[#This Row],[Comparable '#3 Drawdown]]/MAX($B$2:B1035),"-")</f>
        <v>-0.63938523718357798</v>
      </c>
      <c r="H1035" s="1" t="str">
        <f>IF(SUM(COUNTIF(Benchmark1[Benchmark '#1 Dates],Comp3[[#This Row],[Comparable '#3 Dates]]),COUNTIF(Benchmark2[Benchmark '#2 Dates],Comp3[[#This Row],[Comparable '#3 Dates]]))=2,"Pass","Fail")</f>
        <v>Pass</v>
      </c>
      <c r="I1035" s="1">
        <f>IFERROR(Comp3[[#This Row],[Comparable '#3 Return]]-INDEX(Benchmark1[Benchmark '#1 Return],MATCH(Comp3[[#This Row],[Comparable '#3 Dates]],Benchmark1[Benchmark '#1 Dates],0)),"-")</f>
        <v>-2.578109186547738E-2</v>
      </c>
      <c r="L1035" s="72">
        <f>Comp3[[#This Row],[Comparable '#3 Price]]/$B$2*100</f>
        <v>57.85342547564202</v>
      </c>
    </row>
    <row r="1036" spans="1:12">
      <c r="A1036" s="96">
        <v>44785</v>
      </c>
      <c r="B1036" s="101">
        <v>69.55</v>
      </c>
      <c r="C1036" s="1">
        <f t="shared" si="32"/>
        <v>2.5336241673701118E-2</v>
      </c>
      <c r="D1036" s="1">
        <f>IFERROR(Comp3[[#This Row],[Comparable '#3 Return]]+1,"-")</f>
        <v>1.0253362416737011</v>
      </c>
      <c r="E1036" s="6">
        <f>B1036-MAX($B$2:B1036)</f>
        <v>-118.49</v>
      </c>
      <c r="F1036" s="80">
        <f t="shared" si="33"/>
        <v>774</v>
      </c>
      <c r="G1036" s="6">
        <f>IFERROR(Comp3[[#This Row],[Comparable '#3 Drawdown]]/MAX($B$2:B1036),"-")</f>
        <v>-0.63013188683258881</v>
      </c>
      <c r="H1036" s="1" t="str">
        <f>IF(SUM(COUNTIF(Benchmark1[Benchmark '#1 Dates],Comp3[[#This Row],[Comparable '#3 Dates]]),COUNTIF(Benchmark2[Benchmark '#2 Dates],Comp3[[#This Row],[Comparable '#3 Dates]]))=2,"Pass","Fail")</f>
        <v>Pass</v>
      </c>
      <c r="I1036" s="1">
        <f>IFERROR(Comp3[[#This Row],[Comparable '#3 Return]]-INDEX(Benchmark1[Benchmark '#1 Return],MATCH(Comp3[[#This Row],[Comparable '#3 Dates]],Benchmark1[Benchmark '#1 Dates],0)),"-")</f>
        <v>8.163097340488621E-3</v>
      </c>
      <c r="L1036" s="72">
        <f>Comp3[[#This Row],[Comparable '#3 Price]]/$B$2*100</f>
        <v>59.337940448767171</v>
      </c>
    </row>
    <row r="1037" spans="1:12">
      <c r="A1037" s="96">
        <v>44788</v>
      </c>
      <c r="B1037" s="101">
        <v>70.900000000000006</v>
      </c>
      <c r="C1037" s="1">
        <f t="shared" si="32"/>
        <v>1.9224515168630028E-2</v>
      </c>
      <c r="D1037" s="1">
        <f>IFERROR(Comp3[[#This Row],[Comparable '#3 Return]]+1,"-")</f>
        <v>1.0192245151686301</v>
      </c>
      <c r="E1037" s="6">
        <f>B1037-MAX($B$2:B1037)</f>
        <v>-117.13999999999999</v>
      </c>
      <c r="F1037" s="80">
        <f t="shared" si="33"/>
        <v>775</v>
      </c>
      <c r="G1037" s="6">
        <f>IFERROR(Comp3[[#This Row],[Comparable '#3 Drawdown]]/MAX($B$2:B1037),"-")</f>
        <v>-0.62295256328440751</v>
      </c>
      <c r="H1037" s="1" t="str">
        <f>IF(SUM(COUNTIF(Benchmark1[Benchmark '#1 Dates],Comp3[[#This Row],[Comparable '#3 Dates]]),COUNTIF(Benchmark2[Benchmark '#2 Dates],Comp3[[#This Row],[Comparable '#3 Dates]]))=2,"Pass","Fail")</f>
        <v>Pass</v>
      </c>
      <c r="I1037" s="1">
        <f>IFERROR(Comp3[[#This Row],[Comparable '#3 Return]]-INDEX(Benchmark1[Benchmark '#1 Return],MATCH(Comp3[[#This Row],[Comparable '#3 Dates]],Benchmark1[Benchmark '#1 Dates],0)),"-")</f>
        <v>1.5262199137398021E-2</v>
      </c>
      <c r="L1037" s="72">
        <f>Comp3[[#This Row],[Comparable '#3 Price]]/$B$2*100</f>
        <v>60.489719307226352</v>
      </c>
    </row>
    <row r="1038" spans="1:12">
      <c r="A1038" s="96">
        <v>44789</v>
      </c>
      <c r="B1038" s="101">
        <v>70.87</v>
      </c>
      <c r="C1038" s="1">
        <f t="shared" si="32"/>
        <v>-4.232207159172256E-4</v>
      </c>
      <c r="D1038" s="1">
        <f>IFERROR(Comp3[[#This Row],[Comparable '#3 Return]]+1,"-")</f>
        <v>0.99957677928408273</v>
      </c>
      <c r="E1038" s="6">
        <f>B1038-MAX($B$2:B1038)</f>
        <v>-117.16999999999999</v>
      </c>
      <c r="F1038" s="80">
        <f t="shared" si="33"/>
        <v>776</v>
      </c>
      <c r="G1038" s="6">
        <f>IFERROR(Comp3[[#This Row],[Comparable '#3 Drawdown]]/MAX($B$2:B1038),"-")</f>
        <v>-0.62311210380770043</v>
      </c>
      <c r="H1038" s="1" t="str">
        <f>IF(SUM(COUNTIF(Benchmark1[Benchmark '#1 Dates],Comp3[[#This Row],[Comparable '#3 Dates]]),COUNTIF(Benchmark2[Benchmark '#2 Dates],Comp3[[#This Row],[Comparable '#3 Dates]]))=2,"Pass","Fail")</f>
        <v>Pass</v>
      </c>
      <c r="I1038" s="1">
        <f>IFERROR(Comp3[[#This Row],[Comparable '#3 Return]]-INDEX(Benchmark1[Benchmark '#1 Return],MATCH(Comp3[[#This Row],[Comparable '#3 Dates]],Benchmark1[Benchmark '#1 Dates],0)),"-")</f>
        <v>-2.2961629840942805E-3</v>
      </c>
      <c r="L1038" s="72">
        <f>Comp3[[#This Row],[Comparable '#3 Price]]/$B$2*100</f>
        <v>60.46412422148282</v>
      </c>
    </row>
    <row r="1039" spans="1:12">
      <c r="A1039" s="96">
        <v>44790</v>
      </c>
      <c r="B1039" s="101">
        <v>70.27</v>
      </c>
      <c r="C1039" s="1">
        <f t="shared" si="32"/>
        <v>-8.5022476180583815E-3</v>
      </c>
      <c r="D1039" s="1">
        <f>IFERROR(Comp3[[#This Row],[Comparable '#3 Return]]+1,"-")</f>
        <v>0.9914977523819416</v>
      </c>
      <c r="E1039" s="6">
        <f>B1039-MAX($B$2:B1039)</f>
        <v>-117.77</v>
      </c>
      <c r="F1039" s="80">
        <f t="shared" si="33"/>
        <v>777</v>
      </c>
      <c r="G1039" s="6">
        <f>IFERROR(Comp3[[#This Row],[Comparable '#3 Drawdown]]/MAX($B$2:B1039),"-")</f>
        <v>-0.62630291427355878</v>
      </c>
      <c r="H1039" s="1" t="str">
        <f>IF(SUM(COUNTIF(Benchmark1[Benchmark '#1 Dates],Comp3[[#This Row],[Comparable '#3 Dates]]),COUNTIF(Benchmark2[Benchmark '#2 Dates],Comp3[[#This Row],[Comparable '#3 Dates]]))=2,"Pass","Fail")</f>
        <v>Pass</v>
      </c>
      <c r="I1039" s="1">
        <f>IFERROR(Comp3[[#This Row],[Comparable '#3 Return]]-INDEX(Benchmark1[Benchmark '#1 Return],MATCH(Comp3[[#This Row],[Comparable '#3 Dates]],Benchmark1[Benchmark '#1 Dates],0)),"-")</f>
        <v>-1.2380108154874427E-3</v>
      </c>
      <c r="L1039" s="72">
        <f>Comp3[[#This Row],[Comparable '#3 Price]]/$B$2*100</f>
        <v>59.95222250661206</v>
      </c>
    </row>
    <row r="1040" spans="1:12">
      <c r="A1040" s="96">
        <v>44791</v>
      </c>
      <c r="B1040" s="101">
        <v>70.88</v>
      </c>
      <c r="C1040" s="1">
        <f t="shared" si="32"/>
        <v>8.6433410927192564E-3</v>
      </c>
      <c r="D1040" s="1">
        <f>IFERROR(Comp3[[#This Row],[Comparable '#3 Return]]+1,"-")</f>
        <v>1.0086433410927194</v>
      </c>
      <c r="E1040" s="6">
        <f>B1040-MAX($B$2:B1040)</f>
        <v>-117.16</v>
      </c>
      <c r="F1040" s="80">
        <f t="shared" si="33"/>
        <v>778</v>
      </c>
      <c r="G1040" s="6">
        <f>IFERROR(Comp3[[#This Row],[Comparable '#3 Drawdown]]/MAX($B$2:B1040),"-")</f>
        <v>-0.62305892363326953</v>
      </c>
      <c r="H1040" s="1" t="str">
        <f>IF(SUM(COUNTIF(Benchmark1[Benchmark '#1 Dates],Comp3[[#This Row],[Comparable '#3 Dates]]),COUNTIF(Benchmark2[Benchmark '#2 Dates],Comp3[[#This Row],[Comparable '#3 Dates]]))=2,"Pass","Fail")</f>
        <v>Pass</v>
      </c>
      <c r="I1040" s="1">
        <f>IFERROR(Comp3[[#This Row],[Comparable '#3 Return]]-INDEX(Benchmark1[Benchmark '#1 Return],MATCH(Comp3[[#This Row],[Comparable '#3 Dates]],Benchmark1[Benchmark '#1 Dates],0)),"-")</f>
        <v>6.3754230997843889E-3</v>
      </c>
      <c r="L1040" s="72">
        <f>Comp3[[#This Row],[Comparable '#3 Price]]/$B$2*100</f>
        <v>60.472655916730659</v>
      </c>
    </row>
    <row r="1041" spans="1:12">
      <c r="A1041" s="96">
        <v>44792</v>
      </c>
      <c r="B1041" s="101">
        <v>71.02</v>
      </c>
      <c r="C1041" s="1">
        <f t="shared" si="32"/>
        <v>1.9732212181162705E-3</v>
      </c>
      <c r="D1041" s="1">
        <f>IFERROR(Comp3[[#This Row],[Comparable '#3 Return]]+1,"-")</f>
        <v>1.0019732212181163</v>
      </c>
      <c r="E1041" s="6">
        <f>B1041-MAX($B$2:B1041)</f>
        <v>-117.02</v>
      </c>
      <c r="F1041" s="80">
        <f t="shared" si="33"/>
        <v>779</v>
      </c>
      <c r="G1041" s="6">
        <f>IFERROR(Comp3[[#This Row],[Comparable '#3 Drawdown]]/MAX($B$2:B1041),"-")</f>
        <v>-0.62231440119123593</v>
      </c>
      <c r="H1041" s="1" t="str">
        <f>IF(SUM(COUNTIF(Benchmark1[Benchmark '#1 Dates],Comp3[[#This Row],[Comparable '#3 Dates]]),COUNTIF(Benchmark2[Benchmark '#2 Dates],Comp3[[#This Row],[Comparable '#3 Dates]]))=2,"Pass","Fail")</f>
        <v>Pass</v>
      </c>
      <c r="I1041" s="1">
        <f>IFERROR(Comp3[[#This Row],[Comparable '#3 Return]]-INDEX(Benchmark1[Benchmark '#1 Return],MATCH(Comp3[[#This Row],[Comparable '#3 Dates]],Benchmark1[Benchmark '#1 Dates],0)),"-")</f>
        <v>1.4958106889527799E-2</v>
      </c>
      <c r="L1041" s="72">
        <f>Comp3[[#This Row],[Comparable '#3 Price]]/$B$2*100</f>
        <v>60.592099650200495</v>
      </c>
    </row>
    <row r="1042" spans="1:12">
      <c r="A1042" s="96">
        <v>44795</v>
      </c>
      <c r="B1042" s="101">
        <v>69</v>
      </c>
      <c r="C1042" s="1">
        <f t="shared" si="32"/>
        <v>-2.8855022917682445E-2</v>
      </c>
      <c r="D1042" s="1">
        <f>IFERROR(Comp3[[#This Row],[Comparable '#3 Return]]+1,"-")</f>
        <v>0.97114497708231751</v>
      </c>
      <c r="E1042" s="6">
        <f>B1042-MAX($B$2:B1042)</f>
        <v>-119.03999999999999</v>
      </c>
      <c r="F1042" s="80">
        <f t="shared" si="33"/>
        <v>780</v>
      </c>
      <c r="G1042" s="6">
        <f>IFERROR(Comp3[[#This Row],[Comparable '#3 Drawdown]]/MAX($B$2:B1042),"-")</f>
        <v>-0.63305679642629231</v>
      </c>
      <c r="H1042" s="1" t="str">
        <f>IF(SUM(COUNTIF(Benchmark1[Benchmark '#1 Dates],Comp3[[#This Row],[Comparable '#3 Dates]]),COUNTIF(Benchmark2[Benchmark '#2 Dates],Comp3[[#This Row],[Comparable '#3 Dates]]))=2,"Pass","Fail")</f>
        <v>Pass</v>
      </c>
      <c r="I1042" s="1">
        <f>IFERROR(Comp3[[#This Row],[Comparable '#3 Return]]-INDEX(Benchmark1[Benchmark '#1 Return],MATCH(Comp3[[#This Row],[Comparable '#3 Dates]],Benchmark1[Benchmark '#1 Dates],0)),"-")</f>
        <v>-7.221834724138166E-3</v>
      </c>
      <c r="L1042" s="72">
        <f>Comp3[[#This Row],[Comparable '#3 Price]]/$B$2*100</f>
        <v>58.868697210135657</v>
      </c>
    </row>
    <row r="1043" spans="1:12">
      <c r="A1043" s="96">
        <v>44796</v>
      </c>
      <c r="B1043" s="101">
        <v>68.58</v>
      </c>
      <c r="C1043" s="1">
        <f t="shared" si="32"/>
        <v>-6.1055575624851472E-3</v>
      </c>
      <c r="D1043" s="1">
        <f>IFERROR(Comp3[[#This Row],[Comparable '#3 Return]]+1,"-")</f>
        <v>0.9938944424375149</v>
      </c>
      <c r="E1043" s="6">
        <f>B1043-MAX($B$2:B1043)</f>
        <v>-119.46</v>
      </c>
      <c r="F1043" s="80">
        <f t="shared" si="33"/>
        <v>781</v>
      </c>
      <c r="G1043" s="6">
        <f>IFERROR(Comp3[[#This Row],[Comparable '#3 Drawdown]]/MAX($B$2:B1043),"-")</f>
        <v>-0.63529036375239312</v>
      </c>
      <c r="H1043" s="1" t="str">
        <f>IF(SUM(COUNTIF(Benchmark1[Benchmark '#1 Dates],Comp3[[#This Row],[Comparable '#3 Dates]]),COUNTIF(Benchmark2[Benchmark '#2 Dates],Comp3[[#This Row],[Comparable '#3 Dates]]))=2,"Pass","Fail")</f>
        <v>Pass</v>
      </c>
      <c r="I1043" s="1">
        <f>IFERROR(Comp3[[#This Row],[Comparable '#3 Return]]-INDEX(Benchmark1[Benchmark '#1 Return],MATCH(Comp3[[#This Row],[Comparable '#3 Dates]],Benchmark1[Benchmark '#1 Dates],0)),"-")</f>
        <v>-3.866030169372211E-3</v>
      </c>
      <c r="L1043" s="72">
        <f>Comp3[[#This Row],[Comparable '#3 Price]]/$B$2*100</f>
        <v>58.510366009726134</v>
      </c>
    </row>
    <row r="1044" spans="1:12">
      <c r="A1044" s="96">
        <v>44797</v>
      </c>
      <c r="B1044" s="101">
        <v>67.8</v>
      </c>
      <c r="C1044" s="1">
        <f t="shared" si="32"/>
        <v>-1.143875208842437E-2</v>
      </c>
      <c r="D1044" s="1">
        <f>IFERROR(Comp3[[#This Row],[Comparable '#3 Return]]+1,"-")</f>
        <v>0.98856124791157562</v>
      </c>
      <c r="E1044" s="6">
        <f>B1044-MAX($B$2:B1044)</f>
        <v>-120.24</v>
      </c>
      <c r="F1044" s="80">
        <f t="shared" si="33"/>
        <v>782</v>
      </c>
      <c r="G1044" s="6">
        <f>IFERROR(Comp3[[#This Row],[Comparable '#3 Drawdown]]/MAX($B$2:B1044),"-")</f>
        <v>-0.63943841735800888</v>
      </c>
      <c r="H1044" s="1" t="str">
        <f>IF(SUM(COUNTIF(Benchmark1[Benchmark '#1 Dates],Comp3[[#This Row],[Comparable '#3 Dates]]),COUNTIF(Benchmark2[Benchmark '#2 Dates],Comp3[[#This Row],[Comparable '#3 Dates]]))=2,"Pass","Fail")</f>
        <v>Pass</v>
      </c>
      <c r="I1044" s="1">
        <f>IFERROR(Comp3[[#This Row],[Comparable '#3 Return]]-INDEX(Benchmark1[Benchmark '#1 Return],MATCH(Comp3[[#This Row],[Comparable '#3 Dates]],Benchmark1[Benchmark '#1 Dates],0)),"-")</f>
        <v>-1.4350616691511903E-2</v>
      </c>
      <c r="L1044" s="72">
        <f>Comp3[[#This Row],[Comparable '#3 Price]]/$B$2*100</f>
        <v>57.844893780394166</v>
      </c>
    </row>
    <row r="1045" spans="1:12">
      <c r="A1045" s="96">
        <v>44798</v>
      </c>
      <c r="B1045" s="101">
        <v>69.38</v>
      </c>
      <c r="C1045" s="1">
        <f t="shared" si="32"/>
        <v>2.3036446595253664E-2</v>
      </c>
      <c r="D1045" s="1">
        <f>IFERROR(Comp3[[#This Row],[Comparable '#3 Return]]+1,"-")</f>
        <v>1.0230364465952537</v>
      </c>
      <c r="E1045" s="6">
        <f>B1045-MAX($B$2:B1045)</f>
        <v>-118.66</v>
      </c>
      <c r="F1045" s="80">
        <f t="shared" si="33"/>
        <v>783</v>
      </c>
      <c r="G1045" s="6">
        <f>IFERROR(Comp3[[#This Row],[Comparable '#3 Drawdown]]/MAX($B$2:B1045),"-")</f>
        <v>-0.63103594979791533</v>
      </c>
      <c r="H1045" s="1" t="str">
        <f>IF(SUM(COUNTIF(Benchmark1[Benchmark '#1 Dates],Comp3[[#This Row],[Comparable '#3 Dates]]),COUNTIF(Benchmark2[Benchmark '#2 Dates],Comp3[[#This Row],[Comparable '#3 Dates]]))=2,"Pass","Fail")</f>
        <v>Pass</v>
      </c>
      <c r="I1045" s="1">
        <f>IFERROR(Comp3[[#This Row],[Comparable '#3 Return]]-INDEX(Benchmark1[Benchmark '#1 Return],MATCH(Comp3[[#This Row],[Comparable '#3 Dates]],Benchmark1[Benchmark '#1 Dates],0)),"-")</f>
        <v>9.0429473264158587E-3</v>
      </c>
      <c r="L1045" s="72">
        <f>Comp3[[#This Row],[Comparable '#3 Price]]/$B$2*100</f>
        <v>59.192901629553795</v>
      </c>
    </row>
    <row r="1046" spans="1:12">
      <c r="A1046" s="96">
        <v>44799</v>
      </c>
      <c r="B1046" s="101">
        <v>67.709999999999994</v>
      </c>
      <c r="C1046" s="1">
        <f t="shared" si="32"/>
        <v>-2.4364762044049651E-2</v>
      </c>
      <c r="D1046" s="1">
        <f>IFERROR(Comp3[[#This Row],[Comparable '#3 Return]]+1,"-")</f>
        <v>0.97563523795595031</v>
      </c>
      <c r="E1046" s="6">
        <f>B1046-MAX($B$2:B1046)</f>
        <v>-120.33</v>
      </c>
      <c r="F1046" s="80">
        <f t="shared" si="33"/>
        <v>784</v>
      </c>
      <c r="G1046" s="6">
        <f>IFERROR(Comp3[[#This Row],[Comparable '#3 Drawdown]]/MAX($B$2:B1046),"-")</f>
        <v>-0.63991703892788765</v>
      </c>
      <c r="H1046" s="1" t="str">
        <f>IF(SUM(COUNTIF(Benchmark1[Benchmark '#1 Dates],Comp3[[#This Row],[Comparable '#3 Dates]]),COUNTIF(Benchmark2[Benchmark '#2 Dates],Comp3[[#This Row],[Comparable '#3 Dates]]))=2,"Pass","Fail")</f>
        <v>Pass</v>
      </c>
      <c r="I1046" s="1">
        <f>IFERROR(Comp3[[#This Row],[Comparable '#3 Return]]-INDEX(Benchmark1[Benchmark '#1 Return],MATCH(Comp3[[#This Row],[Comparable '#3 Dates]],Benchmark1[Benchmark '#1 Dates],0)),"-")</f>
        <v>9.902909492633595E-3</v>
      </c>
      <c r="L1046" s="72">
        <f>Comp3[[#This Row],[Comparable '#3 Price]]/$B$2*100</f>
        <v>57.768108523163555</v>
      </c>
    </row>
    <row r="1047" spans="1:12">
      <c r="A1047" s="96">
        <v>44802</v>
      </c>
      <c r="B1047" s="101">
        <v>66.569999999999993</v>
      </c>
      <c r="C1047" s="1">
        <f t="shared" si="32"/>
        <v>-1.6979853884941807E-2</v>
      </c>
      <c r="D1047" s="1">
        <f>IFERROR(Comp3[[#This Row],[Comparable '#3 Return]]+1,"-")</f>
        <v>0.98302014611505817</v>
      </c>
      <c r="E1047" s="6">
        <f>B1047-MAX($B$2:B1047)</f>
        <v>-121.47</v>
      </c>
      <c r="F1047" s="80">
        <f t="shared" si="33"/>
        <v>785</v>
      </c>
      <c r="G1047" s="6">
        <f>IFERROR(Comp3[[#This Row],[Comparable '#3 Drawdown]]/MAX($B$2:B1047),"-")</f>
        <v>-0.64597957881301848</v>
      </c>
      <c r="H1047" s="1" t="str">
        <f>IF(SUM(COUNTIF(Benchmark1[Benchmark '#1 Dates],Comp3[[#This Row],[Comparable '#3 Dates]]),COUNTIF(Benchmark2[Benchmark '#2 Dates],Comp3[[#This Row],[Comparable '#3 Dates]]))=2,"Pass","Fail")</f>
        <v>Pass</v>
      </c>
      <c r="I1047" s="1">
        <f>IFERROR(Comp3[[#This Row],[Comparable '#3 Return]]-INDEX(Benchmark1[Benchmark '#1 Return],MATCH(Comp3[[#This Row],[Comparable '#3 Dates]],Benchmark1[Benchmark '#1 Dates],0)),"-")</f>
        <v>-1.029111681989477E-2</v>
      </c>
      <c r="L1047" s="72">
        <f>Comp3[[#This Row],[Comparable '#3 Price]]/$B$2*100</f>
        <v>56.795495264909135</v>
      </c>
    </row>
    <row r="1048" spans="1:12">
      <c r="A1048" s="96">
        <v>44803</v>
      </c>
      <c r="B1048" s="101">
        <v>65.400000000000006</v>
      </c>
      <c r="C1048" s="1">
        <f t="shared" si="32"/>
        <v>-1.7731767149458986E-2</v>
      </c>
      <c r="D1048" s="1">
        <f>IFERROR(Comp3[[#This Row],[Comparable '#3 Return]]+1,"-")</f>
        <v>0.98226823285054099</v>
      </c>
      <c r="E1048" s="6">
        <f>B1048-MAX($B$2:B1048)</f>
        <v>-122.63999999999999</v>
      </c>
      <c r="F1048" s="80">
        <f t="shared" si="33"/>
        <v>786</v>
      </c>
      <c r="G1048" s="6">
        <f>IFERROR(Comp3[[#This Row],[Comparable '#3 Drawdown]]/MAX($B$2:B1048),"-")</f>
        <v>-0.65220165922144224</v>
      </c>
      <c r="H1048" s="1" t="str">
        <f>IF(SUM(COUNTIF(Benchmark1[Benchmark '#1 Dates],Comp3[[#This Row],[Comparable '#3 Dates]]),COUNTIF(Benchmark2[Benchmark '#2 Dates],Comp3[[#This Row],[Comparable '#3 Dates]]))=2,"Pass","Fail")</f>
        <v>Pass</v>
      </c>
      <c r="I1048" s="1">
        <f>IFERROR(Comp3[[#This Row],[Comparable '#3 Return]]-INDEX(Benchmark1[Benchmark '#1 Return],MATCH(Comp3[[#This Row],[Comparable '#3 Dates]],Benchmark1[Benchmark '#1 Dates],0)),"-")</f>
        <v>-6.6421285593004815E-3</v>
      </c>
      <c r="L1048" s="72">
        <f>Comp3[[#This Row],[Comparable '#3 Price]]/$B$2*100</f>
        <v>55.797286920911191</v>
      </c>
    </row>
    <row r="1049" spans="1:12">
      <c r="A1049" s="96">
        <v>44804</v>
      </c>
      <c r="B1049" s="101">
        <v>64.7</v>
      </c>
      <c r="C1049" s="1">
        <f t="shared" si="32"/>
        <v>-1.0761056956298146E-2</v>
      </c>
      <c r="D1049" s="1">
        <f>IFERROR(Comp3[[#This Row],[Comparable '#3 Return]]+1,"-")</f>
        <v>0.98923894304370186</v>
      </c>
      <c r="E1049" s="6">
        <f>B1049-MAX($B$2:B1049)</f>
        <v>-123.33999999999999</v>
      </c>
      <c r="F1049" s="80">
        <f t="shared" si="33"/>
        <v>787</v>
      </c>
      <c r="G1049" s="6">
        <f>IFERROR(Comp3[[#This Row],[Comparable '#3 Drawdown]]/MAX($B$2:B1049),"-")</f>
        <v>-0.65592427143161025</v>
      </c>
      <c r="H1049" s="1" t="str">
        <f>IF(SUM(COUNTIF(Benchmark1[Benchmark '#1 Dates],Comp3[[#This Row],[Comparable '#3 Dates]]),COUNTIF(Benchmark2[Benchmark '#2 Dates],Comp3[[#This Row],[Comparable '#3 Dates]]))=2,"Pass","Fail")</f>
        <v>Pass</v>
      </c>
      <c r="I1049" s="1">
        <f>IFERROR(Comp3[[#This Row],[Comparable '#3 Return]]-INDEX(Benchmark1[Benchmark '#1 Return],MATCH(Comp3[[#This Row],[Comparable '#3 Dates]],Benchmark1[Benchmark '#1 Dates],0)),"-")</f>
        <v>-2.9125716077099493E-3</v>
      </c>
      <c r="L1049" s="72">
        <f>Comp3[[#This Row],[Comparable '#3 Price]]/$B$2*100</f>
        <v>55.200068253561987</v>
      </c>
    </row>
    <row r="1050" spans="1:12">
      <c r="A1050" s="96">
        <v>44805</v>
      </c>
      <c r="B1050" s="101">
        <v>62.98</v>
      </c>
      <c r="C1050" s="1">
        <f t="shared" si="32"/>
        <v>-2.6943985833976329E-2</v>
      </c>
      <c r="D1050" s="1">
        <f>IFERROR(Comp3[[#This Row],[Comparable '#3 Return]]+1,"-")</f>
        <v>0.97305601416602372</v>
      </c>
      <c r="E1050" s="6">
        <f>B1050-MAX($B$2:B1050)</f>
        <v>-125.06</v>
      </c>
      <c r="F1050" s="80">
        <f t="shared" si="33"/>
        <v>788</v>
      </c>
      <c r="G1050" s="6">
        <f>IFERROR(Comp3[[#This Row],[Comparable '#3 Drawdown]]/MAX($B$2:B1050),"-")</f>
        <v>-0.66507126143373752</v>
      </c>
      <c r="H1050" s="1" t="str">
        <f>IF(SUM(COUNTIF(Benchmark1[Benchmark '#1 Dates],Comp3[[#This Row],[Comparable '#3 Dates]]),COUNTIF(Benchmark2[Benchmark '#2 Dates],Comp3[[#This Row],[Comparable '#3 Dates]]))=2,"Pass","Fail")</f>
        <v>Pass</v>
      </c>
      <c r="I1050" s="1">
        <f>IFERROR(Comp3[[#This Row],[Comparable '#3 Return]]-INDEX(Benchmark1[Benchmark '#1 Return],MATCH(Comp3[[#This Row],[Comparable '#3 Dates]],Benchmark1[Benchmark '#1 Dates],0)),"-")</f>
        <v>-2.9936032006701075E-2</v>
      </c>
      <c r="L1050" s="72">
        <f>Comp3[[#This Row],[Comparable '#3 Price]]/$B$2*100</f>
        <v>53.732616670932508</v>
      </c>
    </row>
    <row r="1051" spans="1:12">
      <c r="A1051" s="96">
        <v>44806</v>
      </c>
      <c r="B1051" s="101">
        <v>62.59</v>
      </c>
      <c r="C1051" s="1">
        <f t="shared" si="32"/>
        <v>-6.2116947362684258E-3</v>
      </c>
      <c r="D1051" s="1">
        <f>IFERROR(Comp3[[#This Row],[Comparable '#3 Return]]+1,"-")</f>
        <v>0.99378830526373152</v>
      </c>
      <c r="E1051" s="6">
        <f>B1051-MAX($B$2:B1051)</f>
        <v>-125.44999999999999</v>
      </c>
      <c r="F1051" s="80">
        <f t="shared" si="33"/>
        <v>789</v>
      </c>
      <c r="G1051" s="6">
        <f>IFERROR(Comp3[[#This Row],[Comparable '#3 Drawdown]]/MAX($B$2:B1051),"-")</f>
        <v>-0.6671452882365454</v>
      </c>
      <c r="H1051" s="1" t="str">
        <f>IF(SUM(COUNTIF(Benchmark1[Benchmark '#1 Dates],Comp3[[#This Row],[Comparable '#3 Dates]]),COUNTIF(Benchmark2[Benchmark '#2 Dates],Comp3[[#This Row],[Comparable '#3 Dates]]))=2,"Pass","Fail")</f>
        <v>Pass</v>
      </c>
      <c r="I1051" s="1">
        <f>IFERROR(Comp3[[#This Row],[Comparable '#3 Return]]-INDEX(Benchmark1[Benchmark '#1 Return],MATCH(Comp3[[#This Row],[Comparable '#3 Dates]],Benchmark1[Benchmark '#1 Dates],0)),"-")</f>
        <v>4.5830085858069277E-3</v>
      </c>
      <c r="L1051" s="72">
        <f>Comp3[[#This Row],[Comparable '#3 Price]]/$B$2*100</f>
        <v>53.399880556266531</v>
      </c>
    </row>
    <row r="1052" spans="1:12">
      <c r="A1052" s="96">
        <v>44810</v>
      </c>
      <c r="B1052" s="101">
        <v>62.38</v>
      </c>
      <c r="C1052" s="1">
        <f t="shared" si="32"/>
        <v>-3.3608097569529523E-3</v>
      </c>
      <c r="D1052" s="1">
        <f>IFERROR(Comp3[[#This Row],[Comparable '#3 Return]]+1,"-")</f>
        <v>0.99663919024304704</v>
      </c>
      <c r="E1052" s="6">
        <f>B1052-MAX($B$2:B1052)</f>
        <v>-125.66</v>
      </c>
      <c r="F1052" s="80">
        <f t="shared" si="33"/>
        <v>790</v>
      </c>
      <c r="G1052" s="6">
        <f>IFERROR(Comp3[[#This Row],[Comparable '#3 Drawdown]]/MAX($B$2:B1052),"-")</f>
        <v>-0.66826207189959586</v>
      </c>
      <c r="H1052" s="1" t="str">
        <f>IF(SUM(COUNTIF(Benchmark1[Benchmark '#1 Dates],Comp3[[#This Row],[Comparable '#3 Dates]]),COUNTIF(Benchmark2[Benchmark '#2 Dates],Comp3[[#This Row],[Comparable '#3 Dates]]))=2,"Pass","Fail")</f>
        <v>Pass</v>
      </c>
      <c r="I1052" s="1">
        <f>IFERROR(Comp3[[#This Row],[Comparable '#3 Return]]-INDEX(Benchmark1[Benchmark '#1 Return],MATCH(Comp3[[#This Row],[Comparable '#3 Dates]],Benchmark1[Benchmark '#1 Dates],0)),"-")</f>
        <v>7.4253361867302912E-4</v>
      </c>
      <c r="L1052" s="72">
        <f>Comp3[[#This Row],[Comparable '#3 Price]]/$B$2*100</f>
        <v>53.220714956061776</v>
      </c>
    </row>
    <row r="1053" spans="1:12">
      <c r="A1053" s="96">
        <v>44811</v>
      </c>
      <c r="B1053" s="101">
        <v>63.22</v>
      </c>
      <c r="C1053" s="1">
        <f t="shared" si="32"/>
        <v>1.3375995607814386E-2</v>
      </c>
      <c r="D1053" s="1">
        <f>IFERROR(Comp3[[#This Row],[Comparable '#3 Return]]+1,"-")</f>
        <v>1.0133759956078143</v>
      </c>
      <c r="E1053" s="6">
        <f>B1053-MAX($B$2:B1053)</f>
        <v>-124.82</v>
      </c>
      <c r="F1053" s="80">
        <f t="shared" si="33"/>
        <v>791</v>
      </c>
      <c r="G1053" s="6">
        <f>IFERROR(Comp3[[#This Row],[Comparable '#3 Drawdown]]/MAX($B$2:B1053),"-")</f>
        <v>-0.66379493724739413</v>
      </c>
      <c r="H1053" s="1" t="str">
        <f>IF(SUM(COUNTIF(Benchmark1[Benchmark '#1 Dates],Comp3[[#This Row],[Comparable '#3 Dates]]),COUNTIF(Benchmark2[Benchmark '#2 Dates],Comp3[[#This Row],[Comparable '#3 Dates]]))=2,"Pass","Fail")</f>
        <v>Pass</v>
      </c>
      <c r="I1053" s="1">
        <f>IFERROR(Comp3[[#This Row],[Comparable '#3 Return]]-INDEX(Benchmark1[Benchmark '#1 Return],MATCH(Comp3[[#This Row],[Comparable '#3 Dates]],Benchmark1[Benchmark '#1 Dates],0)),"-")</f>
        <v>-4.8000420349649745E-3</v>
      </c>
      <c r="L1053" s="72">
        <f>Comp3[[#This Row],[Comparable '#3 Price]]/$B$2*100</f>
        <v>53.937377356880809</v>
      </c>
    </row>
    <row r="1054" spans="1:12">
      <c r="A1054" s="96">
        <v>44812</v>
      </c>
      <c r="B1054" s="101">
        <v>63.31</v>
      </c>
      <c r="C1054" s="1">
        <f t="shared" si="32"/>
        <v>1.4225877685634469E-3</v>
      </c>
      <c r="D1054" s="1">
        <f>IFERROR(Comp3[[#This Row],[Comparable '#3 Return]]+1,"-")</f>
        <v>1.0014225877685634</v>
      </c>
      <c r="E1054" s="6">
        <f>B1054-MAX($B$2:B1054)</f>
        <v>-124.72999999999999</v>
      </c>
      <c r="F1054" s="80">
        <f t="shared" si="33"/>
        <v>792</v>
      </c>
      <c r="G1054" s="6">
        <f>IFERROR(Comp3[[#This Row],[Comparable '#3 Drawdown]]/MAX($B$2:B1054),"-")</f>
        <v>-0.66331631567751537</v>
      </c>
      <c r="H1054" s="1" t="str">
        <f>IF(SUM(COUNTIF(Benchmark1[Benchmark '#1 Dates],Comp3[[#This Row],[Comparable '#3 Dates]]),COUNTIF(Benchmark2[Benchmark '#2 Dates],Comp3[[#This Row],[Comparable '#3 Dates]]))=2,"Pass","Fail")</f>
        <v>Pass</v>
      </c>
      <c r="I1054" s="1">
        <f>IFERROR(Comp3[[#This Row],[Comparable '#3 Return]]-INDEX(Benchmark1[Benchmark '#1 Return],MATCH(Comp3[[#This Row],[Comparable '#3 Dates]],Benchmark1[Benchmark '#1 Dates],0)),"-")</f>
        <v>-5.1649749436916501E-3</v>
      </c>
      <c r="L1054" s="72">
        <f>Comp3[[#This Row],[Comparable '#3 Price]]/$B$2*100</f>
        <v>54.014162614111427</v>
      </c>
    </row>
    <row r="1055" spans="1:12">
      <c r="A1055" s="96">
        <v>44813</v>
      </c>
      <c r="B1055" s="101">
        <v>64.39</v>
      </c>
      <c r="C1055" s="1">
        <f t="shared" si="32"/>
        <v>1.6915046994056989E-2</v>
      </c>
      <c r="D1055" s="1">
        <f>IFERROR(Comp3[[#This Row],[Comparable '#3 Return]]+1,"-")</f>
        <v>1.0169150469940569</v>
      </c>
      <c r="E1055" s="6">
        <f>B1055-MAX($B$2:B1055)</f>
        <v>-123.64999999999999</v>
      </c>
      <c r="F1055" s="80">
        <f t="shared" si="33"/>
        <v>793</v>
      </c>
      <c r="G1055" s="6">
        <f>IFERROR(Comp3[[#This Row],[Comparable '#3 Drawdown]]/MAX($B$2:B1055),"-")</f>
        <v>-0.65757285683897038</v>
      </c>
      <c r="H1055" s="1" t="str">
        <f>IF(SUM(COUNTIF(Benchmark1[Benchmark '#1 Dates],Comp3[[#This Row],[Comparable '#3 Dates]]),COUNTIF(Benchmark2[Benchmark '#2 Dates],Comp3[[#This Row],[Comparable '#3 Dates]]))=2,"Pass","Fail")</f>
        <v>Pass</v>
      </c>
      <c r="I1055" s="1">
        <f>IFERROR(Comp3[[#This Row],[Comparable '#3 Return]]-INDEX(Benchmark1[Benchmark '#1 Return],MATCH(Comp3[[#This Row],[Comparable '#3 Dates]],Benchmark1[Benchmark '#1 Dates],0)),"-")</f>
        <v>1.7582835924578617E-3</v>
      </c>
      <c r="L1055" s="72">
        <f>Comp3[[#This Row],[Comparable '#3 Price]]/$B$2*100</f>
        <v>54.935585700878761</v>
      </c>
    </row>
    <row r="1056" spans="1:12">
      <c r="A1056" s="96">
        <v>44816</v>
      </c>
      <c r="B1056" s="101">
        <v>65.930000000000007</v>
      </c>
      <c r="C1056" s="1">
        <f t="shared" si="32"/>
        <v>2.3635231575116159E-2</v>
      </c>
      <c r="D1056" s="1">
        <f>IFERROR(Comp3[[#This Row],[Comparable '#3 Return]]+1,"-")</f>
        <v>1.0236352315751163</v>
      </c>
      <c r="E1056" s="6">
        <f>B1056-MAX($B$2:B1056)</f>
        <v>-122.10999999999999</v>
      </c>
      <c r="F1056" s="80">
        <f t="shared" si="33"/>
        <v>794</v>
      </c>
      <c r="G1056" s="6">
        <f>IFERROR(Comp3[[#This Row],[Comparable '#3 Drawdown]]/MAX($B$2:B1056),"-")</f>
        <v>-0.64938310997660065</v>
      </c>
      <c r="H1056" s="1" t="str">
        <f>IF(SUM(COUNTIF(Benchmark1[Benchmark '#1 Dates],Comp3[[#This Row],[Comparable '#3 Dates]]),COUNTIF(Benchmark2[Benchmark '#2 Dates],Comp3[[#This Row],[Comparable '#3 Dates]]))=2,"Pass","Fail")</f>
        <v>Pass</v>
      </c>
      <c r="I1056" s="1">
        <f>IFERROR(Comp3[[#This Row],[Comparable '#3 Return]]-INDEX(Benchmark1[Benchmark '#1 Return],MATCH(Comp3[[#This Row],[Comparable '#3 Dates]],Benchmark1[Benchmark '#1 Dates],0)),"-")</f>
        <v>1.3107635235276817E-2</v>
      </c>
      <c r="L1056" s="72">
        <f>Comp3[[#This Row],[Comparable '#3 Price]]/$B$2*100</f>
        <v>56.249466769047018</v>
      </c>
    </row>
    <row r="1057" spans="1:12">
      <c r="A1057" s="96">
        <v>44817</v>
      </c>
      <c r="B1057" s="101">
        <v>64.02</v>
      </c>
      <c r="C1057" s="1">
        <f t="shared" si="32"/>
        <v>-2.9398038583491423E-2</v>
      </c>
      <c r="D1057" s="1">
        <f>IFERROR(Comp3[[#This Row],[Comparable '#3 Return]]+1,"-")</f>
        <v>0.97060196141650856</v>
      </c>
      <c r="E1057" s="6">
        <f>B1057-MAX($B$2:B1057)</f>
        <v>-124.02</v>
      </c>
      <c r="F1057" s="80">
        <f t="shared" si="33"/>
        <v>795</v>
      </c>
      <c r="G1057" s="6">
        <f>IFERROR(Comp3[[#This Row],[Comparable '#3 Drawdown]]/MAX($B$2:B1057),"-")</f>
        <v>-0.65954052329291646</v>
      </c>
      <c r="H1057" s="1" t="str">
        <f>IF(SUM(COUNTIF(Benchmark1[Benchmark '#1 Dates],Comp3[[#This Row],[Comparable '#3 Dates]]),COUNTIF(Benchmark2[Benchmark '#2 Dates],Comp3[[#This Row],[Comparable '#3 Dates]]))=2,"Pass","Fail")</f>
        <v>Pass</v>
      </c>
      <c r="I1057" s="1">
        <f>IFERROR(Comp3[[#This Row],[Comparable '#3 Return]]-INDEX(Benchmark1[Benchmark '#1 Return],MATCH(Comp3[[#This Row],[Comparable '#3 Dates]],Benchmark1[Benchmark '#1 Dates],0)),"-")</f>
        <v>1.4799760414379366E-2</v>
      </c>
      <c r="L1057" s="72">
        <f>Comp3[[#This Row],[Comparable '#3 Price]]/$B$2*100</f>
        <v>54.619912976708477</v>
      </c>
    </row>
    <row r="1058" spans="1:12">
      <c r="A1058" s="96">
        <v>44818</v>
      </c>
      <c r="B1058" s="101">
        <v>64.11</v>
      </c>
      <c r="C1058" s="1">
        <f t="shared" si="32"/>
        <v>1.4048234574489797E-3</v>
      </c>
      <c r="D1058" s="1">
        <f>IFERROR(Comp3[[#This Row],[Comparable '#3 Return]]+1,"-")</f>
        <v>1.0014048234574491</v>
      </c>
      <c r="E1058" s="6">
        <f>B1058-MAX($B$2:B1058)</f>
        <v>-123.92999999999999</v>
      </c>
      <c r="F1058" s="80">
        <f t="shared" si="33"/>
        <v>796</v>
      </c>
      <c r="G1058" s="6">
        <f>IFERROR(Comp3[[#This Row],[Comparable '#3 Drawdown]]/MAX($B$2:B1058),"-")</f>
        <v>-0.65906190172303769</v>
      </c>
      <c r="H1058" s="1" t="str">
        <f>IF(SUM(COUNTIF(Benchmark1[Benchmark '#1 Dates],Comp3[[#This Row],[Comparable '#3 Dates]]),COUNTIF(Benchmark2[Benchmark '#2 Dates],Comp3[[#This Row],[Comparable '#3 Dates]]))=2,"Pass","Fail")</f>
        <v>Pass</v>
      </c>
      <c r="I1058" s="1">
        <f>IFERROR(Comp3[[#This Row],[Comparable '#3 Return]]-INDEX(Benchmark1[Benchmark '#1 Return],MATCH(Comp3[[#This Row],[Comparable '#3 Dates]],Benchmark1[Benchmark '#1 Dates],0)),"-")</f>
        <v>-1.9762126678508794E-3</v>
      </c>
      <c r="L1058" s="72">
        <f>Comp3[[#This Row],[Comparable '#3 Price]]/$B$2*100</f>
        <v>54.696698233939088</v>
      </c>
    </row>
    <row r="1059" spans="1:12">
      <c r="A1059" s="96">
        <v>44819</v>
      </c>
      <c r="B1059" s="101">
        <v>65.180000000000007</v>
      </c>
      <c r="C1059" s="1">
        <f t="shared" si="32"/>
        <v>1.6552315410249586E-2</v>
      </c>
      <c r="D1059" s="1">
        <f>IFERROR(Comp3[[#This Row],[Comparable '#3 Return]]+1,"-")</f>
        <v>1.0165523154102496</v>
      </c>
      <c r="E1059" s="6">
        <f>B1059-MAX($B$2:B1059)</f>
        <v>-122.85999999999999</v>
      </c>
      <c r="F1059" s="80">
        <f t="shared" si="33"/>
        <v>797</v>
      </c>
      <c r="G1059" s="6">
        <f>IFERROR(Comp3[[#This Row],[Comparable '#3 Drawdown]]/MAX($B$2:B1059),"-")</f>
        <v>-0.6533716230589236</v>
      </c>
      <c r="H1059" s="1" t="str">
        <f>IF(SUM(COUNTIF(Benchmark1[Benchmark '#1 Dates],Comp3[[#This Row],[Comparable '#3 Dates]]),COUNTIF(Benchmark2[Benchmark '#2 Dates],Comp3[[#This Row],[Comparable '#3 Dates]]))=2,"Pass","Fail")</f>
        <v>Pass</v>
      </c>
      <c r="I1059" s="1">
        <f>IFERROR(Comp3[[#This Row],[Comparable '#3 Return]]-INDEX(Benchmark1[Benchmark '#1 Return],MATCH(Comp3[[#This Row],[Comparable '#3 Dates]],Benchmark1[Benchmark '#1 Dates],0)),"-")</f>
        <v>2.7934487010947754E-2</v>
      </c>
      <c r="L1059" s="72">
        <f>Comp3[[#This Row],[Comparable '#3 Price]]/$B$2*100</f>
        <v>55.60958962545859</v>
      </c>
    </row>
    <row r="1060" spans="1:12">
      <c r="A1060" s="96">
        <v>44820</v>
      </c>
      <c r="B1060" s="101">
        <v>63.54</v>
      </c>
      <c r="C1060" s="1">
        <f t="shared" si="32"/>
        <v>-2.5483044568045485E-2</v>
      </c>
      <c r="D1060" s="1">
        <f>IFERROR(Comp3[[#This Row],[Comparable '#3 Return]]+1,"-")</f>
        <v>0.97451695543195449</v>
      </c>
      <c r="E1060" s="6">
        <f>B1060-MAX($B$2:B1060)</f>
        <v>-124.5</v>
      </c>
      <c r="F1060" s="80">
        <f t="shared" si="33"/>
        <v>798</v>
      </c>
      <c r="G1060" s="6">
        <f>IFERROR(Comp3[[#This Row],[Comparable '#3 Drawdown]]/MAX($B$2:B1060),"-")</f>
        <v>-0.66209317166560311</v>
      </c>
      <c r="H1060" s="1" t="str">
        <f>IF(SUM(COUNTIF(Benchmark1[Benchmark '#1 Dates],Comp3[[#This Row],[Comparable '#3 Dates]]),COUNTIF(Benchmark2[Benchmark '#2 Dates],Comp3[[#This Row],[Comparable '#3 Dates]]))=2,"Pass","Fail")</f>
        <v>Pass</v>
      </c>
      <c r="I1060" s="1">
        <f>IFERROR(Comp3[[#This Row],[Comparable '#3 Return]]-INDEX(Benchmark1[Benchmark '#1 Return],MATCH(Comp3[[#This Row],[Comparable '#3 Dates]],Benchmark1[Benchmark '#1 Dates],0)),"-")</f>
        <v>-1.827537612230043E-2</v>
      </c>
      <c r="L1060" s="72">
        <f>Comp3[[#This Row],[Comparable '#3 Price]]/$B$2*100</f>
        <v>54.210391604811882</v>
      </c>
    </row>
    <row r="1061" spans="1:12">
      <c r="A1061" s="96">
        <v>44823</v>
      </c>
      <c r="B1061" s="101">
        <v>63.67</v>
      </c>
      <c r="C1061" s="1">
        <f t="shared" si="32"/>
        <v>2.0438651875639372E-3</v>
      </c>
      <c r="D1061" s="1">
        <f>IFERROR(Comp3[[#This Row],[Comparable '#3 Return]]+1,"-")</f>
        <v>1.0020438651875638</v>
      </c>
      <c r="E1061" s="6">
        <f>B1061-MAX($B$2:B1061)</f>
        <v>-124.36999999999999</v>
      </c>
      <c r="F1061" s="80">
        <f t="shared" si="33"/>
        <v>799</v>
      </c>
      <c r="G1061" s="6">
        <f>IFERROR(Comp3[[#This Row],[Comparable '#3 Drawdown]]/MAX($B$2:B1061),"-")</f>
        <v>-0.66140182939800041</v>
      </c>
      <c r="H1061" s="1" t="str">
        <f>IF(SUM(COUNTIF(Benchmark1[Benchmark '#1 Dates],Comp3[[#This Row],[Comparable '#3 Dates]]),COUNTIF(Benchmark2[Benchmark '#2 Dates],Comp3[[#This Row],[Comparable '#3 Dates]]))=2,"Pass","Fail")</f>
        <v>Pass</v>
      </c>
      <c r="I1061" s="1">
        <f>IFERROR(Comp3[[#This Row],[Comparable '#3 Return]]-INDEX(Benchmark1[Benchmark '#1 Return],MATCH(Comp3[[#This Row],[Comparable '#3 Dates]],Benchmark1[Benchmark '#1 Dates],0)),"-")</f>
        <v>-4.787736498636141E-3</v>
      </c>
      <c r="L1061" s="72">
        <f>Comp3[[#This Row],[Comparable '#3 Price]]/$B$2*100</f>
        <v>54.321303643033879</v>
      </c>
    </row>
    <row r="1062" spans="1:12">
      <c r="A1062" s="96">
        <v>44824</v>
      </c>
      <c r="B1062" s="101">
        <v>63.5</v>
      </c>
      <c r="C1062" s="1">
        <f t="shared" si="32"/>
        <v>-2.6735881302880687E-3</v>
      </c>
      <c r="D1062" s="1">
        <f>IFERROR(Comp3[[#This Row],[Comparable '#3 Return]]+1,"-")</f>
        <v>0.99732641186971194</v>
      </c>
      <c r="E1062" s="6">
        <f>B1062-MAX($B$2:B1062)</f>
        <v>-124.53999999999999</v>
      </c>
      <c r="F1062" s="80">
        <f t="shared" si="33"/>
        <v>800</v>
      </c>
      <c r="G1062" s="6">
        <f>IFERROR(Comp3[[#This Row],[Comparable '#3 Drawdown]]/MAX($B$2:B1062),"-")</f>
        <v>-0.66230589236332693</v>
      </c>
      <c r="H1062" s="1" t="str">
        <f>IF(SUM(COUNTIF(Benchmark1[Benchmark '#1 Dates],Comp3[[#This Row],[Comparable '#3 Dates]]),COUNTIF(Benchmark2[Benchmark '#2 Dates],Comp3[[#This Row],[Comparable '#3 Dates]]))=2,"Pass","Fail")</f>
        <v>Pass</v>
      </c>
      <c r="I1062" s="1">
        <f>IFERROR(Comp3[[#This Row],[Comparable '#3 Return]]-INDEX(Benchmark1[Benchmark '#1 Return],MATCH(Comp3[[#This Row],[Comparable '#3 Dates]],Benchmark1[Benchmark '#1 Dates],0)),"-")</f>
        <v>8.6603751331187293E-3</v>
      </c>
      <c r="L1062" s="72">
        <f>Comp3[[#This Row],[Comparable '#3 Price]]/$B$2*100</f>
        <v>54.176264823820496</v>
      </c>
    </row>
    <row r="1063" spans="1:12">
      <c r="A1063" s="96">
        <v>44825</v>
      </c>
      <c r="B1063" s="101">
        <v>63.1</v>
      </c>
      <c r="C1063" s="1">
        <f t="shared" si="32"/>
        <v>-6.3191363514784344E-3</v>
      </c>
      <c r="D1063" s="1">
        <f>IFERROR(Comp3[[#This Row],[Comparable '#3 Return]]+1,"-")</f>
        <v>0.9936808636485216</v>
      </c>
      <c r="E1063" s="6">
        <f>B1063-MAX($B$2:B1063)</f>
        <v>-124.94</v>
      </c>
      <c r="F1063" s="80">
        <f t="shared" si="33"/>
        <v>801</v>
      </c>
      <c r="G1063" s="6">
        <f>IFERROR(Comp3[[#This Row],[Comparable '#3 Drawdown]]/MAX($B$2:B1063),"-")</f>
        <v>-0.66443309934056582</v>
      </c>
      <c r="H1063" s="1" t="str">
        <f>IF(SUM(COUNTIF(Benchmark1[Benchmark '#1 Dates],Comp3[[#This Row],[Comparable '#3 Dates]]),COUNTIF(Benchmark2[Benchmark '#2 Dates],Comp3[[#This Row],[Comparable '#3 Dates]]))=2,"Pass","Fail")</f>
        <v>Pass</v>
      </c>
      <c r="I1063" s="1">
        <f>IFERROR(Comp3[[#This Row],[Comparable '#3 Return]]-INDEX(Benchmark1[Benchmark '#1 Return],MATCH(Comp3[[#This Row],[Comparable '#3 Dates]],Benchmark1[Benchmark '#1 Dates],0)),"-")</f>
        <v>1.0945934838898318E-2</v>
      </c>
      <c r="L1063" s="72">
        <f>Comp3[[#This Row],[Comparable '#3 Price]]/$B$2*100</f>
        <v>53.834997013906673</v>
      </c>
    </row>
    <row r="1064" spans="1:12">
      <c r="A1064" s="96">
        <v>44826</v>
      </c>
      <c r="B1064" s="101">
        <v>62.21</v>
      </c>
      <c r="C1064" s="1">
        <f t="shared" si="32"/>
        <v>-1.4205011020239064E-2</v>
      </c>
      <c r="D1064" s="1">
        <f>IFERROR(Comp3[[#This Row],[Comparable '#3 Return]]+1,"-")</f>
        <v>0.98579498897976092</v>
      </c>
      <c r="E1064" s="6">
        <f>B1064-MAX($B$2:B1064)</f>
        <v>-125.82999999999998</v>
      </c>
      <c r="F1064" s="80">
        <f t="shared" si="33"/>
        <v>802</v>
      </c>
      <c r="G1064" s="6">
        <f>IFERROR(Comp3[[#This Row],[Comparable '#3 Drawdown]]/MAX($B$2:B1064),"-")</f>
        <v>-0.66916613486492227</v>
      </c>
      <c r="H1064" s="1" t="str">
        <f>IF(SUM(COUNTIF(Benchmark1[Benchmark '#1 Dates],Comp3[[#This Row],[Comparable '#3 Dates]]),COUNTIF(Benchmark2[Benchmark '#2 Dates],Comp3[[#This Row],[Comparable '#3 Dates]]))=2,"Pass","Fail")</f>
        <v>Pass</v>
      </c>
      <c r="I1064" s="1">
        <f>IFERROR(Comp3[[#This Row],[Comparable '#3 Return]]-INDEX(Benchmark1[Benchmark '#1 Return],MATCH(Comp3[[#This Row],[Comparable '#3 Dates]],Benchmark1[Benchmark '#1 Dates],0)),"-")</f>
        <v>-5.7412919880208291E-3</v>
      </c>
      <c r="L1064" s="72">
        <f>Comp3[[#This Row],[Comparable '#3 Price]]/$B$2*100</f>
        <v>53.075676136848394</v>
      </c>
    </row>
    <row r="1065" spans="1:12">
      <c r="A1065" s="96">
        <v>44827</v>
      </c>
      <c r="B1065" s="101">
        <v>62.29</v>
      </c>
      <c r="C1065" s="1">
        <f t="shared" si="32"/>
        <v>1.2851407391258124E-3</v>
      </c>
      <c r="D1065" s="1">
        <f>IFERROR(Comp3[[#This Row],[Comparable '#3 Return]]+1,"-")</f>
        <v>1.0012851407391259</v>
      </c>
      <c r="E1065" s="6">
        <f>B1065-MAX($B$2:B1065)</f>
        <v>-125.75</v>
      </c>
      <c r="F1065" s="80">
        <f t="shared" si="33"/>
        <v>803</v>
      </c>
      <c r="G1065" s="6">
        <f>IFERROR(Comp3[[#This Row],[Comparable '#3 Drawdown]]/MAX($B$2:B1065),"-")</f>
        <v>-0.66874069346947462</v>
      </c>
      <c r="H1065" s="1" t="str">
        <f>IF(SUM(COUNTIF(Benchmark1[Benchmark '#1 Dates],Comp3[[#This Row],[Comparable '#3 Dates]]),COUNTIF(Benchmark2[Benchmark '#2 Dates],Comp3[[#This Row],[Comparable '#3 Dates]]))=2,"Pass","Fail")</f>
        <v>Pass</v>
      </c>
      <c r="I1065" s="1">
        <f>IFERROR(Comp3[[#This Row],[Comparable '#3 Return]]-INDEX(Benchmark1[Benchmark '#1 Return],MATCH(Comp3[[#This Row],[Comparable '#3 Dates]],Benchmark1[Benchmark '#1 Dates],0)),"-")</f>
        <v>1.8667324708366871E-2</v>
      </c>
      <c r="L1065" s="72">
        <f>Comp3[[#This Row],[Comparable '#3 Price]]/$B$2*100</f>
        <v>53.143929698831158</v>
      </c>
    </row>
    <row r="1066" spans="1:12">
      <c r="A1066" s="96">
        <v>44830</v>
      </c>
      <c r="B1066" s="101">
        <v>61.37</v>
      </c>
      <c r="C1066" s="1">
        <f t="shared" si="32"/>
        <v>-1.4879782865048584E-2</v>
      </c>
      <c r="D1066" s="1">
        <f>IFERROR(Comp3[[#This Row],[Comparable '#3 Return]]+1,"-")</f>
        <v>0.98512021713495146</v>
      </c>
      <c r="E1066" s="6">
        <f>B1066-MAX($B$2:B1066)</f>
        <v>-126.66999999999999</v>
      </c>
      <c r="F1066" s="80">
        <f t="shared" si="33"/>
        <v>804</v>
      </c>
      <c r="G1066" s="6">
        <f>IFERROR(Comp3[[#This Row],[Comparable '#3 Drawdown]]/MAX($B$2:B1066),"-")</f>
        <v>-0.67363326951712399</v>
      </c>
      <c r="H1066" s="1" t="str">
        <f>IF(SUM(COUNTIF(Benchmark1[Benchmark '#1 Dates],Comp3[[#This Row],[Comparable '#3 Dates]]),COUNTIF(Benchmark2[Benchmark '#2 Dates],Comp3[[#This Row],[Comparable '#3 Dates]]))=2,"Pass","Fail")</f>
        <v>Pass</v>
      </c>
      <c r="I1066" s="1">
        <f>IFERROR(Comp3[[#This Row],[Comparable '#3 Return]]-INDEX(Benchmark1[Benchmark '#1 Return],MATCH(Comp3[[#This Row],[Comparable '#3 Dates]],Benchmark1[Benchmark '#1 Dates],0)),"-")</f>
        <v>-4.4850563927522173E-3</v>
      </c>
      <c r="L1066" s="72">
        <f>Comp3[[#This Row],[Comparable '#3 Price]]/$B$2*100</f>
        <v>52.359013736029347</v>
      </c>
    </row>
    <row r="1067" spans="1:12">
      <c r="A1067" s="96">
        <v>44831</v>
      </c>
      <c r="B1067" s="101">
        <v>61.88</v>
      </c>
      <c r="C1067" s="1">
        <f t="shared" si="32"/>
        <v>8.2759093038598814E-3</v>
      </c>
      <c r="D1067" s="1">
        <f>IFERROR(Comp3[[#This Row],[Comparable '#3 Return]]+1,"-")</f>
        <v>1.0082759093038598</v>
      </c>
      <c r="E1067" s="6">
        <f>B1067-MAX($B$2:B1067)</f>
        <v>-126.16</v>
      </c>
      <c r="F1067" s="80">
        <f t="shared" si="33"/>
        <v>805</v>
      </c>
      <c r="G1067" s="6">
        <f>IFERROR(Comp3[[#This Row],[Comparable '#3 Drawdown]]/MAX($B$2:B1067),"-")</f>
        <v>-0.67092108062114442</v>
      </c>
      <c r="H1067" s="1" t="str">
        <f>IF(SUM(COUNTIF(Benchmark1[Benchmark '#1 Dates],Comp3[[#This Row],[Comparable '#3 Dates]]),COUNTIF(Benchmark2[Benchmark '#2 Dates],Comp3[[#This Row],[Comparable '#3 Dates]]))=2,"Pass","Fail")</f>
        <v>Pass</v>
      </c>
      <c r="I1067" s="1">
        <f>IFERROR(Comp3[[#This Row],[Comparable '#3 Return]]-INDEX(Benchmark1[Benchmark '#1 Return],MATCH(Comp3[[#This Row],[Comparable '#3 Dates]],Benchmark1[Benchmark '#1 Dates],0)),"-")</f>
        <v>1.0399145824122422E-2</v>
      </c>
      <c r="L1067" s="72">
        <f>Comp3[[#This Row],[Comparable '#3 Price]]/$B$2*100</f>
        <v>52.794130193669488</v>
      </c>
    </row>
    <row r="1068" spans="1:12">
      <c r="A1068" s="96">
        <v>44832</v>
      </c>
      <c r="B1068" s="101">
        <v>63.71</v>
      </c>
      <c r="C1068" s="1">
        <f t="shared" si="32"/>
        <v>2.9144510423531347E-2</v>
      </c>
      <c r="D1068" s="1">
        <f>IFERROR(Comp3[[#This Row],[Comparable '#3 Return]]+1,"-")</f>
        <v>1.0291445104235313</v>
      </c>
      <c r="E1068" s="6">
        <f>B1068-MAX($B$2:B1068)</f>
        <v>-124.32999999999998</v>
      </c>
      <c r="F1068" s="80">
        <f t="shared" si="33"/>
        <v>806</v>
      </c>
      <c r="G1068" s="6">
        <f>IFERROR(Comp3[[#This Row],[Comparable '#3 Drawdown]]/MAX($B$2:B1068),"-")</f>
        <v>-0.66118910870027647</v>
      </c>
      <c r="H1068" s="1" t="str">
        <f>IF(SUM(COUNTIF(Benchmark1[Benchmark '#1 Dates],Comp3[[#This Row],[Comparable '#3 Dates]]),COUNTIF(Benchmark2[Benchmark '#2 Dates],Comp3[[#This Row],[Comparable '#3 Dates]]))=2,"Pass","Fail")</f>
        <v>Pass</v>
      </c>
      <c r="I1068" s="1">
        <f>IFERROR(Comp3[[#This Row],[Comparable '#3 Return]]-INDEX(Benchmark1[Benchmark '#1 Return],MATCH(Comp3[[#This Row],[Comparable '#3 Dates]],Benchmark1[Benchmark '#1 Dates],0)),"-")</f>
        <v>9.6636880464011296E-3</v>
      </c>
      <c r="L1068" s="72">
        <f>Comp3[[#This Row],[Comparable '#3 Price]]/$B$2*100</f>
        <v>54.355430424025251</v>
      </c>
    </row>
    <row r="1069" spans="1:12">
      <c r="A1069" s="96">
        <v>44833</v>
      </c>
      <c r="B1069" s="101">
        <v>62.88</v>
      </c>
      <c r="C1069" s="1">
        <f t="shared" si="32"/>
        <v>-1.3113388007445728E-2</v>
      </c>
      <c r="D1069" s="1">
        <f>IFERROR(Comp3[[#This Row],[Comparable '#3 Return]]+1,"-")</f>
        <v>0.98688661199255423</v>
      </c>
      <c r="E1069" s="6">
        <f>B1069-MAX($B$2:B1069)</f>
        <v>-125.16</v>
      </c>
      <c r="F1069" s="80">
        <f t="shared" si="33"/>
        <v>807</v>
      </c>
      <c r="G1069" s="6">
        <f>IFERROR(Comp3[[#This Row],[Comparable '#3 Drawdown]]/MAX($B$2:B1069),"-")</f>
        <v>-0.66560306317804718</v>
      </c>
      <c r="H1069" s="1" t="str">
        <f>IF(SUM(COUNTIF(Benchmark1[Benchmark '#1 Dates],Comp3[[#This Row],[Comparable '#3 Dates]]),COUNTIF(Benchmark2[Benchmark '#2 Dates],Comp3[[#This Row],[Comparable '#3 Dates]]))=2,"Pass","Fail")</f>
        <v>Pass</v>
      </c>
      <c r="I1069" s="1">
        <f>IFERROR(Comp3[[#This Row],[Comparable '#3 Return]]-INDEX(Benchmark1[Benchmark '#1 Return],MATCH(Comp3[[#This Row],[Comparable '#3 Dates]],Benchmark1[Benchmark '#1 Dates],0)),"-")</f>
        <v>8.2395577173011263E-3</v>
      </c>
      <c r="L1069" s="72">
        <f>Comp3[[#This Row],[Comparable '#3 Price]]/$B$2*100</f>
        <v>53.647299718454065</v>
      </c>
    </row>
    <row r="1070" spans="1:12">
      <c r="A1070" s="96">
        <v>44834</v>
      </c>
      <c r="B1070" s="101">
        <v>61.41</v>
      </c>
      <c r="C1070" s="1">
        <f t="shared" si="32"/>
        <v>-2.3655459779643371E-2</v>
      </c>
      <c r="D1070" s="1">
        <f>IFERROR(Comp3[[#This Row],[Comparable '#3 Return]]+1,"-")</f>
        <v>0.97634454022035666</v>
      </c>
      <c r="E1070" s="6">
        <f>B1070-MAX($B$2:B1070)</f>
        <v>-126.63</v>
      </c>
      <c r="F1070" s="80">
        <f t="shared" si="33"/>
        <v>808</v>
      </c>
      <c r="G1070" s="6">
        <f>IFERROR(Comp3[[#This Row],[Comparable '#3 Drawdown]]/MAX($B$2:B1070),"-")</f>
        <v>-0.67342054881940017</v>
      </c>
      <c r="H1070" s="1" t="str">
        <f>IF(SUM(COUNTIF(Benchmark1[Benchmark '#1 Dates],Comp3[[#This Row],[Comparable '#3 Dates]]),COUNTIF(Benchmark2[Benchmark '#2 Dates],Comp3[[#This Row],[Comparable '#3 Dates]]))=2,"Pass","Fail")</f>
        <v>Pass</v>
      </c>
      <c r="I1070" s="1">
        <f>IFERROR(Comp3[[#This Row],[Comparable '#3 Return]]-INDEX(Benchmark1[Benchmark '#1 Return],MATCH(Comp3[[#This Row],[Comparable '#3 Dates]],Benchmark1[Benchmark '#1 Dates],0)),"-")</f>
        <v>-8.4757229628262751E-3</v>
      </c>
      <c r="L1070" s="72">
        <f>Comp3[[#This Row],[Comparable '#3 Price]]/$B$2*100</f>
        <v>52.393140517020733</v>
      </c>
    </row>
    <row r="1071" spans="1:12">
      <c r="A1071" s="96">
        <v>44837</v>
      </c>
      <c r="B1071" s="101">
        <v>61.86</v>
      </c>
      <c r="C1071" s="1">
        <f t="shared" si="32"/>
        <v>7.3010789156157333E-3</v>
      </c>
      <c r="D1071" s="1">
        <f>IFERROR(Comp3[[#This Row],[Comparable '#3 Return]]+1,"-")</f>
        <v>1.0073010789156158</v>
      </c>
      <c r="E1071" s="6">
        <f>B1071-MAX($B$2:B1071)</f>
        <v>-126.17999999999999</v>
      </c>
      <c r="F1071" s="80">
        <f t="shared" si="33"/>
        <v>809</v>
      </c>
      <c r="G1071" s="6">
        <f>IFERROR(Comp3[[#This Row],[Comparable '#3 Drawdown]]/MAX($B$2:B1071),"-")</f>
        <v>-0.67102744097000633</v>
      </c>
      <c r="H1071" s="1" t="str">
        <f>IF(SUM(COUNTIF(Benchmark1[Benchmark '#1 Dates],Comp3[[#This Row],[Comparable '#3 Dates]]),COUNTIF(Benchmark2[Benchmark '#2 Dates],Comp3[[#This Row],[Comparable '#3 Dates]]))=2,"Pass","Fail")</f>
        <v>Pass</v>
      </c>
      <c r="I1071" s="1">
        <f>IFERROR(Comp3[[#This Row],[Comparable '#3 Return]]-INDEX(Benchmark1[Benchmark '#1 Return],MATCH(Comp3[[#This Row],[Comparable '#3 Dates]],Benchmark1[Benchmark '#1 Dates],0)),"-")</f>
        <v>-1.8252082859926376E-2</v>
      </c>
      <c r="L1071" s="72">
        <f>Comp3[[#This Row],[Comparable '#3 Price]]/$B$2*100</f>
        <v>52.777066803173788</v>
      </c>
    </row>
    <row r="1072" spans="1:12">
      <c r="A1072" s="96">
        <v>44838</v>
      </c>
      <c r="B1072" s="101">
        <v>63.02</v>
      </c>
      <c r="C1072" s="1">
        <f t="shared" si="32"/>
        <v>1.8578369072205062E-2</v>
      </c>
      <c r="D1072" s="1">
        <f>IFERROR(Comp3[[#This Row],[Comparable '#3 Return]]+1,"-")</f>
        <v>1.018578369072205</v>
      </c>
      <c r="E1072" s="6">
        <f>B1072-MAX($B$2:B1072)</f>
        <v>-125.01999999999998</v>
      </c>
      <c r="F1072" s="80">
        <f t="shared" si="33"/>
        <v>810</v>
      </c>
      <c r="G1072" s="6">
        <f>IFERROR(Comp3[[#This Row],[Comparable '#3 Drawdown]]/MAX($B$2:B1072),"-")</f>
        <v>-0.66485854073601358</v>
      </c>
      <c r="H1072" s="1" t="str">
        <f>IF(SUM(COUNTIF(Benchmark1[Benchmark '#1 Dates],Comp3[[#This Row],[Comparable '#3 Dates]]),COUNTIF(Benchmark2[Benchmark '#2 Dates],Comp3[[#This Row],[Comparable '#3 Dates]]))=2,"Pass","Fail")</f>
        <v>Pass</v>
      </c>
      <c r="I1072" s="1">
        <f>IFERROR(Comp3[[#This Row],[Comparable '#3 Return]]-INDEX(Benchmark1[Benchmark '#1 Return],MATCH(Comp3[[#This Row],[Comparable '#3 Dates]],Benchmark1[Benchmark '#1 Dates],0)),"-")</f>
        <v>-1.1546992801275444E-2</v>
      </c>
      <c r="L1072" s="72">
        <f>Comp3[[#This Row],[Comparable '#3 Price]]/$B$2*100</f>
        <v>53.766743451923901</v>
      </c>
    </row>
    <row r="1073" spans="1:12">
      <c r="A1073" s="96">
        <v>44839</v>
      </c>
      <c r="B1073" s="101">
        <v>62.22</v>
      </c>
      <c r="C1073" s="1">
        <f t="shared" si="32"/>
        <v>-1.2775644859637605E-2</v>
      </c>
      <c r="D1073" s="1">
        <f>IFERROR(Comp3[[#This Row],[Comparable '#3 Return]]+1,"-")</f>
        <v>0.98722435514036244</v>
      </c>
      <c r="E1073" s="6">
        <f>B1073-MAX($B$2:B1073)</f>
        <v>-125.82</v>
      </c>
      <c r="F1073" s="80">
        <f t="shared" si="33"/>
        <v>811</v>
      </c>
      <c r="G1073" s="6">
        <f>IFERROR(Comp3[[#This Row],[Comparable '#3 Drawdown]]/MAX($B$2:B1073),"-")</f>
        <v>-0.66911295469049137</v>
      </c>
      <c r="H1073" s="1" t="str">
        <f>IF(SUM(COUNTIF(Benchmark1[Benchmark '#1 Dates],Comp3[[#This Row],[Comparable '#3 Dates]]),COUNTIF(Benchmark2[Benchmark '#2 Dates],Comp3[[#This Row],[Comparable '#3 Dates]]))=2,"Pass","Fail")</f>
        <v>Pass</v>
      </c>
      <c r="I1073" s="1">
        <f>IFERROR(Comp3[[#This Row],[Comparable '#3 Return]]-INDEX(Benchmark1[Benchmark '#1 Return],MATCH(Comp3[[#This Row],[Comparable '#3 Dates]],Benchmark1[Benchmark '#1 Dates],0)),"-")</f>
        <v>-1.0756298205882088E-2</v>
      </c>
      <c r="L1073" s="72">
        <f>Comp3[[#This Row],[Comparable '#3 Price]]/$B$2*100</f>
        <v>53.08420783209624</v>
      </c>
    </row>
    <row r="1074" spans="1:12">
      <c r="A1074" s="96">
        <v>44840</v>
      </c>
      <c r="B1074" s="101">
        <v>62.65</v>
      </c>
      <c r="C1074" s="1">
        <f t="shared" si="32"/>
        <v>6.8871898725864121E-3</v>
      </c>
      <c r="D1074" s="1">
        <f>IFERROR(Comp3[[#This Row],[Comparable '#3 Return]]+1,"-")</f>
        <v>1.0068871898725864</v>
      </c>
      <c r="E1074" s="6">
        <f>B1074-MAX($B$2:B1074)</f>
        <v>-125.38999999999999</v>
      </c>
      <c r="F1074" s="80">
        <f t="shared" si="33"/>
        <v>812</v>
      </c>
      <c r="G1074" s="6">
        <f>IFERROR(Comp3[[#This Row],[Comparable '#3 Drawdown]]/MAX($B$2:B1074),"-")</f>
        <v>-0.66682620718995955</v>
      </c>
      <c r="H1074" s="1" t="str">
        <f>IF(SUM(COUNTIF(Benchmark1[Benchmark '#1 Dates],Comp3[[#This Row],[Comparable '#3 Dates]]),COUNTIF(Benchmark2[Benchmark '#2 Dates],Comp3[[#This Row],[Comparable '#3 Dates]]))=2,"Pass","Fail")</f>
        <v>Pass</v>
      </c>
      <c r="I1074" s="1">
        <f>IFERROR(Comp3[[#This Row],[Comparable '#3 Return]]-INDEX(Benchmark1[Benchmark '#1 Return],MATCH(Comp3[[#This Row],[Comparable '#3 Dates]],Benchmark1[Benchmark '#1 Dates],0)),"-")</f>
        <v>1.718552016325393E-2</v>
      </c>
      <c r="L1074" s="72">
        <f>Comp3[[#This Row],[Comparable '#3 Price]]/$B$2*100</f>
        <v>53.451070727753603</v>
      </c>
    </row>
    <row r="1075" spans="1:12">
      <c r="A1075" s="96">
        <v>44841</v>
      </c>
      <c r="B1075" s="101">
        <v>61.3</v>
      </c>
      <c r="C1075" s="1">
        <f t="shared" si="32"/>
        <v>-2.1783838399911562E-2</v>
      </c>
      <c r="D1075" s="1">
        <f>IFERROR(Comp3[[#This Row],[Comparable '#3 Return]]+1,"-")</f>
        <v>0.9782161616000884</v>
      </c>
      <c r="E1075" s="6">
        <f>B1075-MAX($B$2:B1075)</f>
        <v>-126.74</v>
      </c>
      <c r="F1075" s="80">
        <f t="shared" si="33"/>
        <v>813</v>
      </c>
      <c r="G1075" s="6">
        <f>IFERROR(Comp3[[#This Row],[Comparable '#3 Drawdown]]/MAX($B$2:B1075),"-")</f>
        <v>-0.67400553073814085</v>
      </c>
      <c r="H1075" s="1" t="str">
        <f>IF(SUM(COUNTIF(Benchmark1[Benchmark '#1 Dates],Comp3[[#This Row],[Comparable '#3 Dates]]),COUNTIF(Benchmark2[Benchmark '#2 Dates],Comp3[[#This Row],[Comparable '#3 Dates]]))=2,"Pass","Fail")</f>
        <v>Pass</v>
      </c>
      <c r="I1075" s="1">
        <f>IFERROR(Comp3[[#This Row],[Comparable '#3 Return]]-INDEX(Benchmark1[Benchmark '#1 Return],MATCH(Comp3[[#This Row],[Comparable '#3 Dates]],Benchmark1[Benchmark '#1 Dates],0)),"-")</f>
        <v>6.6192768954233643E-3</v>
      </c>
      <c r="L1075" s="72">
        <f>Comp3[[#This Row],[Comparable '#3 Price]]/$B$2*100</f>
        <v>52.299291869294429</v>
      </c>
    </row>
    <row r="1076" spans="1:12">
      <c r="A1076" s="96">
        <v>44844</v>
      </c>
      <c r="B1076" s="101">
        <v>61.25</v>
      </c>
      <c r="C1076" s="1">
        <f t="shared" si="32"/>
        <v>-8.1599351732930254E-4</v>
      </c>
      <c r="D1076" s="1">
        <f>IFERROR(Comp3[[#This Row],[Comparable '#3 Return]]+1,"-")</f>
        <v>0.99918400648267069</v>
      </c>
      <c r="E1076" s="6">
        <f>B1076-MAX($B$2:B1076)</f>
        <v>-126.78999999999999</v>
      </c>
      <c r="F1076" s="80">
        <f t="shared" si="33"/>
        <v>814</v>
      </c>
      <c r="G1076" s="6">
        <f>IFERROR(Comp3[[#This Row],[Comparable '#3 Drawdown]]/MAX($B$2:B1076),"-")</f>
        <v>-0.67427143161029568</v>
      </c>
      <c r="H1076" s="1" t="str">
        <f>IF(SUM(COUNTIF(Benchmark1[Benchmark '#1 Dates],Comp3[[#This Row],[Comparable '#3 Dates]]),COUNTIF(Benchmark2[Benchmark '#2 Dates],Comp3[[#This Row],[Comparable '#3 Dates]]))=2,"Pass","Fail")</f>
        <v>Pass</v>
      </c>
      <c r="I1076" s="1">
        <f>IFERROR(Comp3[[#This Row],[Comparable '#3 Return]]-INDEX(Benchmark1[Benchmark '#1 Return],MATCH(Comp3[[#This Row],[Comparable '#3 Dates]],Benchmark1[Benchmark '#1 Dates],0)),"-")</f>
        <v>6.7053764022466092E-3</v>
      </c>
      <c r="L1076" s="72">
        <f>Comp3[[#This Row],[Comparable '#3 Price]]/$B$2*100</f>
        <v>52.25663339305521</v>
      </c>
    </row>
    <row r="1077" spans="1:12">
      <c r="A1077" s="96">
        <v>44845</v>
      </c>
      <c r="B1077" s="101">
        <v>62.26</v>
      </c>
      <c r="C1077" s="1">
        <f t="shared" si="32"/>
        <v>1.6355315588625807E-2</v>
      </c>
      <c r="D1077" s="1">
        <f>IFERROR(Comp3[[#This Row],[Comparable '#3 Return]]+1,"-")</f>
        <v>1.0163553155886258</v>
      </c>
      <c r="E1077" s="6">
        <f>B1077-MAX($B$2:B1077)</f>
        <v>-125.78</v>
      </c>
      <c r="F1077" s="80">
        <f t="shared" si="33"/>
        <v>815</v>
      </c>
      <c r="G1077" s="6">
        <f>IFERROR(Comp3[[#This Row],[Comparable '#3 Drawdown]]/MAX($B$2:B1077),"-")</f>
        <v>-0.66890023399276755</v>
      </c>
      <c r="H1077" s="1" t="str">
        <f>IF(SUM(COUNTIF(Benchmark1[Benchmark '#1 Dates],Comp3[[#This Row],[Comparable '#3 Dates]]),COUNTIF(Benchmark2[Benchmark '#2 Dates],Comp3[[#This Row],[Comparable '#3 Dates]]))=2,"Pass","Fail")</f>
        <v>Pass</v>
      </c>
      <c r="I1077" s="1">
        <f>IFERROR(Comp3[[#This Row],[Comparable '#3 Return]]-INDEX(Benchmark1[Benchmark '#1 Return],MATCH(Comp3[[#This Row],[Comparable '#3 Dates]],Benchmark1[Benchmark '#1 Dates],0)),"-")</f>
        <v>2.2894661350422698E-2</v>
      </c>
      <c r="L1077" s="72">
        <f>Comp3[[#This Row],[Comparable '#3 Price]]/$B$2*100</f>
        <v>53.118334613087626</v>
      </c>
    </row>
    <row r="1078" spans="1:12">
      <c r="A1078" s="96">
        <v>44846</v>
      </c>
      <c r="B1078" s="101">
        <v>63.32</v>
      </c>
      <c r="C1078" s="1">
        <f t="shared" si="32"/>
        <v>1.6882069999349367E-2</v>
      </c>
      <c r="D1078" s="1">
        <f>IFERROR(Comp3[[#This Row],[Comparable '#3 Return]]+1,"-")</f>
        <v>1.0168820699993493</v>
      </c>
      <c r="E1078" s="6">
        <f>B1078-MAX($B$2:B1078)</f>
        <v>-124.72</v>
      </c>
      <c r="F1078" s="80">
        <f t="shared" si="33"/>
        <v>816</v>
      </c>
      <c r="G1078" s="6">
        <f>IFERROR(Comp3[[#This Row],[Comparable '#3 Drawdown]]/MAX($B$2:B1078),"-")</f>
        <v>-0.66326313550308447</v>
      </c>
      <c r="H1078" s="1" t="str">
        <f>IF(SUM(COUNTIF(Benchmark1[Benchmark '#1 Dates],Comp3[[#This Row],[Comparable '#3 Dates]]),COUNTIF(Benchmark2[Benchmark '#2 Dates],Comp3[[#This Row],[Comparable '#3 Dates]]))=2,"Pass","Fail")</f>
        <v>Pass</v>
      </c>
      <c r="I1078" s="1">
        <f>IFERROR(Comp3[[#This Row],[Comparable '#3 Return]]-INDEX(Benchmark1[Benchmark '#1 Return],MATCH(Comp3[[#This Row],[Comparable '#3 Dates]],Benchmark1[Benchmark '#1 Dates],0)),"-")</f>
        <v>2.0178322399367187E-2</v>
      </c>
      <c r="L1078" s="72">
        <f>Comp3[[#This Row],[Comparable '#3 Price]]/$B$2*100</f>
        <v>54.022694309359274</v>
      </c>
    </row>
    <row r="1079" spans="1:12">
      <c r="A1079" s="96">
        <v>44847</v>
      </c>
      <c r="B1079" s="101">
        <v>63.86</v>
      </c>
      <c r="C1079" s="1">
        <f t="shared" si="32"/>
        <v>8.4919522738245989E-3</v>
      </c>
      <c r="D1079" s="1">
        <f>IFERROR(Comp3[[#This Row],[Comparable '#3 Return]]+1,"-")</f>
        <v>1.0084919522738245</v>
      </c>
      <c r="E1079" s="6">
        <f>B1079-MAX($B$2:B1079)</f>
        <v>-124.17999999999999</v>
      </c>
      <c r="F1079" s="80">
        <f t="shared" si="33"/>
        <v>817</v>
      </c>
      <c r="G1079" s="6">
        <f>IFERROR(Comp3[[#This Row],[Comparable '#3 Drawdown]]/MAX($B$2:B1079),"-")</f>
        <v>-0.66039140608381197</v>
      </c>
      <c r="H1079" s="1" t="str">
        <f>IF(SUM(COUNTIF(Benchmark1[Benchmark '#1 Dates],Comp3[[#This Row],[Comparable '#3 Dates]]),COUNTIF(Benchmark2[Benchmark '#2 Dates],Comp3[[#This Row],[Comparable '#3 Dates]]))=2,"Pass","Fail")</f>
        <v>Pass</v>
      </c>
      <c r="I1079" s="1">
        <f>IFERROR(Comp3[[#This Row],[Comparable '#3 Return]]-INDEX(Benchmark1[Benchmark '#1 Return],MATCH(Comp3[[#This Row],[Comparable '#3 Dates]],Benchmark1[Benchmark '#1 Dates],0)),"-")</f>
        <v>-1.7140695457121213E-2</v>
      </c>
      <c r="L1079" s="72">
        <f>Comp3[[#This Row],[Comparable '#3 Price]]/$B$2*100</f>
        <v>54.483405852742941</v>
      </c>
    </row>
    <row r="1080" spans="1:12">
      <c r="A1080" s="96">
        <v>44848</v>
      </c>
      <c r="B1080" s="101">
        <v>62.85</v>
      </c>
      <c r="C1080" s="1">
        <f t="shared" si="32"/>
        <v>-1.5942252250379471E-2</v>
      </c>
      <c r="D1080" s="1">
        <f>IFERROR(Comp3[[#This Row],[Comparable '#3 Return]]+1,"-")</f>
        <v>0.98405774774962051</v>
      </c>
      <c r="E1080" s="6">
        <f>B1080-MAX($B$2:B1080)</f>
        <v>-125.19</v>
      </c>
      <c r="F1080" s="80">
        <f t="shared" si="33"/>
        <v>818</v>
      </c>
      <c r="G1080" s="6">
        <f>IFERROR(Comp3[[#This Row],[Comparable '#3 Drawdown]]/MAX($B$2:B1080),"-")</f>
        <v>-0.66576260370134011</v>
      </c>
      <c r="H1080" s="1" t="str">
        <f>IF(SUM(COUNTIF(Benchmark1[Benchmark '#1 Dates],Comp3[[#This Row],[Comparable '#3 Dates]]),COUNTIF(Benchmark2[Benchmark '#2 Dates],Comp3[[#This Row],[Comparable '#3 Dates]]))=2,"Pass","Fail")</f>
        <v>Pass</v>
      </c>
      <c r="I1080" s="1">
        <f>IFERROR(Comp3[[#This Row],[Comparable '#3 Return]]-INDEX(Benchmark1[Benchmark '#1 Return],MATCH(Comp3[[#This Row],[Comparable '#3 Dates]],Benchmark1[Benchmark '#1 Dates],0)),"-")</f>
        <v>8.0039773415445867E-3</v>
      </c>
      <c r="L1080" s="72">
        <f>Comp3[[#This Row],[Comparable '#3 Price]]/$B$2*100</f>
        <v>53.621704632710518</v>
      </c>
    </row>
    <row r="1081" spans="1:12">
      <c r="A1081" s="96">
        <v>44851</v>
      </c>
      <c r="B1081" s="101">
        <v>64.08</v>
      </c>
      <c r="C1081" s="1">
        <f t="shared" si="32"/>
        <v>1.9381367723847295E-2</v>
      </c>
      <c r="D1081" s="1">
        <f>IFERROR(Comp3[[#This Row],[Comparable '#3 Return]]+1,"-")</f>
        <v>1.0193813677238472</v>
      </c>
      <c r="E1081" s="6">
        <f>B1081-MAX($B$2:B1081)</f>
        <v>-123.96</v>
      </c>
      <c r="F1081" s="80">
        <f t="shared" si="33"/>
        <v>819</v>
      </c>
      <c r="G1081" s="6">
        <f>IFERROR(Comp3[[#This Row],[Comparable '#3 Drawdown]]/MAX($B$2:B1081),"-")</f>
        <v>-0.65922144224633061</v>
      </c>
      <c r="H1081" s="1" t="str">
        <f>IF(SUM(COUNTIF(Benchmark1[Benchmark '#1 Dates],Comp3[[#This Row],[Comparable '#3 Dates]]),COUNTIF(Benchmark2[Benchmark '#2 Dates],Comp3[[#This Row],[Comparable '#3 Dates]]))=2,"Pass","Fail")</f>
        <v>Pass</v>
      </c>
      <c r="I1081" s="1">
        <f>IFERROR(Comp3[[#This Row],[Comparable '#3 Return]]-INDEX(Benchmark1[Benchmark '#1 Return],MATCH(Comp3[[#This Row],[Comparable '#3 Dates]],Benchmark1[Benchmark '#1 Dates],0)),"-")</f>
        <v>-6.7554685123630727E-3</v>
      </c>
      <c r="L1081" s="72">
        <f>Comp3[[#This Row],[Comparable '#3 Price]]/$B$2*100</f>
        <v>54.671103148195542</v>
      </c>
    </row>
    <row r="1082" spans="1:12">
      <c r="A1082" s="96">
        <v>44852</v>
      </c>
      <c r="B1082" s="101">
        <v>65.25</v>
      </c>
      <c r="C1082" s="1">
        <f t="shared" si="32"/>
        <v>1.8093743442699081E-2</v>
      </c>
      <c r="D1082" s="1">
        <f>IFERROR(Comp3[[#This Row],[Comparable '#3 Return]]+1,"-")</f>
        <v>1.0180937434426991</v>
      </c>
      <c r="E1082" s="6">
        <f>B1082-MAX($B$2:B1082)</f>
        <v>-122.78999999999999</v>
      </c>
      <c r="F1082" s="80">
        <f t="shared" si="33"/>
        <v>820</v>
      </c>
      <c r="G1082" s="6">
        <f>IFERROR(Comp3[[#This Row],[Comparable '#3 Drawdown]]/MAX($B$2:B1082),"-")</f>
        <v>-0.65299936183790686</v>
      </c>
      <c r="H1082" s="1" t="str">
        <f>IF(SUM(COUNTIF(Benchmark1[Benchmark '#1 Dates],Comp3[[#This Row],[Comparable '#3 Dates]]),COUNTIF(Benchmark2[Benchmark '#2 Dates],Comp3[[#This Row],[Comparable '#3 Dates]]))=2,"Pass","Fail")</f>
        <v>Pass</v>
      </c>
      <c r="I1082" s="1">
        <f>IFERROR(Comp3[[#This Row],[Comparable '#3 Return]]-INDEX(Benchmark1[Benchmark '#1 Return],MATCH(Comp3[[#This Row],[Comparable '#3 Dates]],Benchmark1[Benchmark '#1 Dates],0)),"-")</f>
        <v>6.73128552273119E-3</v>
      </c>
      <c r="L1082" s="72">
        <f>Comp3[[#This Row],[Comparable '#3 Price]]/$B$2*100</f>
        <v>55.669311492193508</v>
      </c>
    </row>
    <row r="1083" spans="1:12">
      <c r="A1083" s="96">
        <v>44853</v>
      </c>
      <c r="B1083" s="101">
        <v>64.42</v>
      </c>
      <c r="C1083" s="1">
        <f t="shared" si="32"/>
        <v>-1.2801902299750003E-2</v>
      </c>
      <c r="D1083" s="1">
        <f>IFERROR(Comp3[[#This Row],[Comparable '#3 Return]]+1,"-")</f>
        <v>0.98719809770025002</v>
      </c>
      <c r="E1083" s="6">
        <f>B1083-MAX($B$2:B1083)</f>
        <v>-123.61999999999999</v>
      </c>
      <c r="F1083" s="80">
        <f t="shared" si="33"/>
        <v>821</v>
      </c>
      <c r="G1083" s="6">
        <f>IFERROR(Comp3[[#This Row],[Comparable '#3 Drawdown]]/MAX($B$2:B1083),"-")</f>
        <v>-0.65741331631567745</v>
      </c>
      <c r="H1083" s="1" t="str">
        <f>IF(SUM(COUNTIF(Benchmark1[Benchmark '#1 Dates],Comp3[[#This Row],[Comparable '#3 Dates]]),COUNTIF(Benchmark2[Benchmark '#2 Dates],Comp3[[#This Row],[Comparable '#3 Dates]]))=2,"Pass","Fail")</f>
        <v>Pass</v>
      </c>
      <c r="I1083" s="1">
        <f>IFERROR(Comp3[[#This Row],[Comparable '#3 Return]]-INDEX(Benchmark1[Benchmark '#1 Return],MATCH(Comp3[[#This Row],[Comparable '#3 Dates]],Benchmark1[Benchmark '#1 Dates],0)),"-")</f>
        <v>-6.1054193737913962E-3</v>
      </c>
      <c r="L1083" s="72">
        <f>Comp3[[#This Row],[Comparable '#3 Price]]/$B$2*100</f>
        <v>54.961180786622307</v>
      </c>
    </row>
    <row r="1084" spans="1:12">
      <c r="A1084" s="96">
        <v>44854</v>
      </c>
      <c r="B1084" s="101">
        <v>63.94</v>
      </c>
      <c r="C1084" s="1">
        <f t="shared" si="32"/>
        <v>-7.4790002713574248E-3</v>
      </c>
      <c r="D1084" s="1">
        <f>IFERROR(Comp3[[#This Row],[Comparable '#3 Return]]+1,"-")</f>
        <v>0.99252099972864261</v>
      </c>
      <c r="E1084" s="6">
        <f>B1084-MAX($B$2:B1084)</f>
        <v>-124.1</v>
      </c>
      <c r="F1084" s="80">
        <f t="shared" si="33"/>
        <v>822</v>
      </c>
      <c r="G1084" s="6">
        <f>IFERROR(Comp3[[#This Row],[Comparable '#3 Drawdown]]/MAX($B$2:B1084),"-")</f>
        <v>-0.65996596468836422</v>
      </c>
      <c r="H1084" s="1" t="str">
        <f>IF(SUM(COUNTIF(Benchmark1[Benchmark '#1 Dates],Comp3[[#This Row],[Comparable '#3 Dates]]),COUNTIF(Benchmark2[Benchmark '#2 Dates],Comp3[[#This Row],[Comparable '#3 Dates]]))=2,"Pass","Fail")</f>
        <v>Pass</v>
      </c>
      <c r="I1084" s="1">
        <f>IFERROR(Comp3[[#This Row],[Comparable '#3 Return]]-INDEX(Benchmark1[Benchmark '#1 Return],MATCH(Comp3[[#This Row],[Comparable '#3 Dates]],Benchmark1[Benchmark '#1 Dates],0)),"-")</f>
        <v>5.0232028891228787E-4</v>
      </c>
      <c r="L1084" s="72">
        <f>Comp3[[#This Row],[Comparable '#3 Price]]/$B$2*100</f>
        <v>54.551659414725705</v>
      </c>
    </row>
    <row r="1085" spans="1:12">
      <c r="A1085" s="96">
        <v>44855</v>
      </c>
      <c r="B1085" s="101">
        <v>64.34</v>
      </c>
      <c r="C1085" s="1">
        <f t="shared" si="32"/>
        <v>6.2363781791850235E-3</v>
      </c>
      <c r="D1085" s="1">
        <f>IFERROR(Comp3[[#This Row],[Comparable '#3 Return]]+1,"-")</f>
        <v>1.006236378179185</v>
      </c>
      <c r="E1085" s="6">
        <f>B1085-MAX($B$2:B1085)</f>
        <v>-123.69999999999999</v>
      </c>
      <c r="F1085" s="80">
        <f t="shared" si="33"/>
        <v>823</v>
      </c>
      <c r="G1085" s="6">
        <f>IFERROR(Comp3[[#This Row],[Comparable '#3 Drawdown]]/MAX($B$2:B1085),"-")</f>
        <v>-0.65783875771112521</v>
      </c>
      <c r="H1085" s="1" t="str">
        <f>IF(SUM(COUNTIF(Benchmark1[Benchmark '#1 Dates],Comp3[[#This Row],[Comparable '#3 Dates]]),COUNTIF(Benchmark2[Benchmark '#2 Dates],Comp3[[#This Row],[Comparable '#3 Dates]]))=2,"Pass","Fail")</f>
        <v>Pass</v>
      </c>
      <c r="I1085" s="1">
        <f>IFERROR(Comp3[[#This Row],[Comparable '#3 Return]]-INDEX(Benchmark1[Benchmark '#1 Return],MATCH(Comp3[[#This Row],[Comparable '#3 Dates]],Benchmark1[Benchmark '#1 Dates],0)),"-")</f>
        <v>-1.7210735773508942E-2</v>
      </c>
      <c r="L1085" s="72">
        <f>Comp3[[#This Row],[Comparable '#3 Price]]/$B$2*100</f>
        <v>54.892927224639543</v>
      </c>
    </row>
    <row r="1086" spans="1:12">
      <c r="A1086" s="96">
        <v>44858</v>
      </c>
      <c r="B1086" s="101">
        <v>64.88</v>
      </c>
      <c r="C1086" s="1">
        <f t="shared" si="32"/>
        <v>8.3578879962770136E-3</v>
      </c>
      <c r="D1086" s="1">
        <f>IFERROR(Comp3[[#This Row],[Comparable '#3 Return]]+1,"-")</f>
        <v>1.0083578879962771</v>
      </c>
      <c r="E1086" s="6">
        <f>B1086-MAX($B$2:B1086)</f>
        <v>-123.16</v>
      </c>
      <c r="F1086" s="80">
        <f t="shared" si="33"/>
        <v>824</v>
      </c>
      <c r="G1086" s="6">
        <f>IFERROR(Comp3[[#This Row],[Comparable '#3 Drawdown]]/MAX($B$2:B1086),"-")</f>
        <v>-0.65496702829185283</v>
      </c>
      <c r="H1086" s="1" t="str">
        <f>IF(SUM(COUNTIF(Benchmark1[Benchmark '#1 Dates],Comp3[[#This Row],[Comparable '#3 Dates]]),COUNTIF(Benchmark2[Benchmark '#2 Dates],Comp3[[#This Row],[Comparable '#3 Dates]]))=2,"Pass","Fail")</f>
        <v>Pass</v>
      </c>
      <c r="I1086" s="1">
        <f>IFERROR(Comp3[[#This Row],[Comparable '#3 Return]]-INDEX(Benchmark1[Benchmark '#1 Return],MATCH(Comp3[[#This Row],[Comparable '#3 Dates]],Benchmark1[Benchmark '#1 Dates],0)),"-")</f>
        <v>-3.4540141826931037E-3</v>
      </c>
      <c r="L1086" s="72">
        <f>Comp3[[#This Row],[Comparable '#3 Price]]/$B$2*100</f>
        <v>55.353638768023202</v>
      </c>
    </row>
    <row r="1087" spans="1:12">
      <c r="A1087" s="96">
        <v>44859</v>
      </c>
      <c r="B1087" s="101">
        <v>66.78</v>
      </c>
      <c r="C1087" s="1">
        <f t="shared" si="32"/>
        <v>2.8864224708350972E-2</v>
      </c>
      <c r="D1087" s="1">
        <f>IFERROR(Comp3[[#This Row],[Comparable '#3 Return]]+1,"-")</f>
        <v>1.028864224708351</v>
      </c>
      <c r="E1087" s="6">
        <f>B1087-MAX($B$2:B1087)</f>
        <v>-121.25999999999999</v>
      </c>
      <c r="F1087" s="80">
        <f t="shared" si="33"/>
        <v>825</v>
      </c>
      <c r="G1087" s="6">
        <f>IFERROR(Comp3[[#This Row],[Comparable '#3 Drawdown]]/MAX($B$2:B1087),"-")</f>
        <v>-0.64486279514996803</v>
      </c>
      <c r="H1087" s="1" t="str">
        <f>IF(SUM(COUNTIF(Benchmark1[Benchmark '#1 Dates],Comp3[[#This Row],[Comparable '#3 Dates]]),COUNTIF(Benchmark2[Benchmark '#2 Dates],Comp3[[#This Row],[Comparable '#3 Dates]]))=2,"Pass","Fail")</f>
        <v>Pass</v>
      </c>
      <c r="I1087" s="1">
        <f>IFERROR(Comp3[[#This Row],[Comparable '#3 Return]]-INDEX(Benchmark1[Benchmark '#1 Return],MATCH(Comp3[[#This Row],[Comparable '#3 Dates]],Benchmark1[Benchmark '#1 Dates],0)),"-")</f>
        <v>1.2726961560680657E-2</v>
      </c>
      <c r="L1087" s="72">
        <f>Comp3[[#This Row],[Comparable '#3 Price]]/$B$2*100</f>
        <v>56.974660865113904</v>
      </c>
    </row>
    <row r="1088" spans="1:12">
      <c r="A1088" s="96">
        <v>44860</v>
      </c>
      <c r="B1088" s="101">
        <v>66.42</v>
      </c>
      <c r="C1088" s="1">
        <f t="shared" si="32"/>
        <v>-5.405418566907935E-3</v>
      </c>
      <c r="D1088" s="1">
        <f>IFERROR(Comp3[[#This Row],[Comparable '#3 Return]]+1,"-")</f>
        <v>0.9945945814330921</v>
      </c>
      <c r="E1088" s="6">
        <f>B1088-MAX($B$2:B1088)</f>
        <v>-121.61999999999999</v>
      </c>
      <c r="F1088" s="80">
        <f t="shared" si="33"/>
        <v>826</v>
      </c>
      <c r="G1088" s="6">
        <f>IFERROR(Comp3[[#This Row],[Comparable '#3 Drawdown]]/MAX($B$2:B1088),"-")</f>
        <v>-0.6467772814294831</v>
      </c>
      <c r="H1088" s="1" t="str">
        <f>IF(SUM(COUNTIF(Benchmark1[Benchmark '#1 Dates],Comp3[[#This Row],[Comparable '#3 Dates]]),COUNTIF(Benchmark2[Benchmark '#2 Dates],Comp3[[#This Row],[Comparable '#3 Dates]]))=2,"Pass","Fail")</f>
        <v>Pass</v>
      </c>
      <c r="I1088" s="1">
        <f>IFERROR(Comp3[[#This Row],[Comparable '#3 Return]]-INDEX(Benchmark1[Benchmark '#1 Return],MATCH(Comp3[[#This Row],[Comparable '#3 Dates]],Benchmark1[Benchmark '#1 Dates],0)),"-")</f>
        <v>2.0117109953231857E-3</v>
      </c>
      <c r="L1088" s="72">
        <f>Comp3[[#This Row],[Comparable '#3 Price]]/$B$2*100</f>
        <v>56.66751983619146</v>
      </c>
    </row>
    <row r="1089" spans="1:12">
      <c r="A1089" s="96">
        <v>44861</v>
      </c>
      <c r="B1089" s="101">
        <v>66.41</v>
      </c>
      <c r="C1089" s="1">
        <f t="shared" si="32"/>
        <v>-1.5056839597824725E-4</v>
      </c>
      <c r="D1089" s="1">
        <f>IFERROR(Comp3[[#This Row],[Comparable '#3 Return]]+1,"-")</f>
        <v>0.99984943160402173</v>
      </c>
      <c r="E1089" s="6">
        <f>B1089-MAX($B$2:B1089)</f>
        <v>-121.63</v>
      </c>
      <c r="F1089" s="80">
        <f t="shared" si="33"/>
        <v>827</v>
      </c>
      <c r="G1089" s="6">
        <f>IFERROR(Comp3[[#This Row],[Comparable '#3 Drawdown]]/MAX($B$2:B1089),"-")</f>
        <v>-0.64683046160391411</v>
      </c>
      <c r="H1089" s="1" t="str">
        <f>IF(SUM(COUNTIF(Benchmark1[Benchmark '#1 Dates],Comp3[[#This Row],[Comparable '#3 Dates]]),COUNTIF(Benchmark2[Benchmark '#2 Dates],Comp3[[#This Row],[Comparable '#3 Dates]]))=2,"Pass","Fail")</f>
        <v>Pass</v>
      </c>
      <c r="I1089" s="1">
        <f>IFERROR(Comp3[[#This Row],[Comparable '#3 Return]]-INDEX(Benchmark1[Benchmark '#1 Return],MATCH(Comp3[[#This Row],[Comparable '#3 Dates]],Benchmark1[Benchmark '#1 Dates],0)),"-")</f>
        <v>5.9500178287367981E-3</v>
      </c>
      <c r="L1089" s="72">
        <f>Comp3[[#This Row],[Comparable '#3 Price]]/$B$2*100</f>
        <v>56.658988140943599</v>
      </c>
    </row>
    <row r="1090" spans="1:12">
      <c r="A1090" s="96">
        <v>44862</v>
      </c>
      <c r="B1090" s="101">
        <v>69.900000000000006</v>
      </c>
      <c r="C1090" s="1">
        <f t="shared" ref="C1090:C1153" si="34">IFERROR(IF(B1090="","-",LN(B1090/B1089)),"-")</f>
        <v>5.1218001687142384E-2</v>
      </c>
      <c r="D1090" s="1">
        <f>IFERROR(Comp3[[#This Row],[Comparable '#3 Return]]+1,"-")</f>
        <v>1.0512180016871424</v>
      </c>
      <c r="E1090" s="6">
        <f>B1090-MAX($B$2:B1090)</f>
        <v>-118.13999999999999</v>
      </c>
      <c r="F1090" s="80">
        <f t="shared" ref="F1090:F1153" si="35">IF(E1090=0,0,F1089+1)</f>
        <v>828</v>
      </c>
      <c r="G1090" s="6">
        <f>IFERROR(Comp3[[#This Row],[Comparable '#3 Drawdown]]/MAX($B$2:B1090),"-")</f>
        <v>-0.62827058072750475</v>
      </c>
      <c r="H1090" s="1" t="str">
        <f>IF(SUM(COUNTIF(Benchmark1[Benchmark '#1 Dates],Comp3[[#This Row],[Comparable '#3 Dates]]),COUNTIF(Benchmark2[Benchmark '#2 Dates],Comp3[[#This Row],[Comparable '#3 Dates]]))=2,"Pass","Fail")</f>
        <v>Pass</v>
      </c>
      <c r="I1090" s="1">
        <f>IFERROR(Comp3[[#This Row],[Comparable '#3 Return]]-INDEX(Benchmark1[Benchmark '#1 Return],MATCH(Comp3[[#This Row],[Comparable '#3 Dates]],Benchmark1[Benchmark '#1 Dates],0)),"-")</f>
        <v>2.6888499311976722E-2</v>
      </c>
      <c r="L1090" s="72">
        <f>Comp3[[#This Row],[Comparable '#3 Price]]/$B$2*100</f>
        <v>59.636549782441783</v>
      </c>
    </row>
    <row r="1091" spans="1:12">
      <c r="A1091" s="96">
        <v>44865</v>
      </c>
      <c r="B1091" s="101">
        <v>69</v>
      </c>
      <c r="C1091" s="1">
        <f t="shared" si="34"/>
        <v>-1.2959144642505228E-2</v>
      </c>
      <c r="D1091" s="1">
        <f>IFERROR(Comp3[[#This Row],[Comparable '#3 Return]]+1,"-")</f>
        <v>0.98704085535749475</v>
      </c>
      <c r="E1091" s="6">
        <f>B1091-MAX($B$2:B1091)</f>
        <v>-119.03999999999999</v>
      </c>
      <c r="F1091" s="80">
        <f t="shared" si="35"/>
        <v>829</v>
      </c>
      <c r="G1091" s="6">
        <f>IFERROR(Comp3[[#This Row],[Comparable '#3 Drawdown]]/MAX($B$2:B1091),"-")</f>
        <v>-0.63305679642629231</v>
      </c>
      <c r="H1091" s="1" t="str">
        <f>IF(SUM(COUNTIF(Benchmark1[Benchmark '#1 Dates],Comp3[[#This Row],[Comparable '#3 Dates]]),COUNTIF(Benchmark2[Benchmark '#2 Dates],Comp3[[#This Row],[Comparable '#3 Dates]]))=2,"Pass","Fail")</f>
        <v>Pass</v>
      </c>
      <c r="I1091" s="1">
        <f>IFERROR(Comp3[[#This Row],[Comparable '#3 Return]]-INDEX(Benchmark1[Benchmark '#1 Return],MATCH(Comp3[[#This Row],[Comparable '#3 Dates]],Benchmark1[Benchmark '#1 Dates],0)),"-")</f>
        <v>-5.475146775164687E-3</v>
      </c>
      <c r="L1091" s="72">
        <f>Comp3[[#This Row],[Comparable '#3 Price]]/$B$2*100</f>
        <v>58.868697210135657</v>
      </c>
    </row>
    <row r="1092" spans="1:12">
      <c r="A1092" s="96">
        <v>44866</v>
      </c>
      <c r="B1092" s="101">
        <v>68.739999999999995</v>
      </c>
      <c r="C1092" s="1">
        <f t="shared" si="34"/>
        <v>-3.7752331755716538E-3</v>
      </c>
      <c r="D1092" s="1">
        <f>IFERROR(Comp3[[#This Row],[Comparable '#3 Return]]+1,"-")</f>
        <v>0.9962247668244284</v>
      </c>
      <c r="E1092" s="6">
        <f>B1092-MAX($B$2:B1092)</f>
        <v>-119.3</v>
      </c>
      <c r="F1092" s="80">
        <f t="shared" si="35"/>
        <v>830</v>
      </c>
      <c r="G1092" s="6">
        <f>IFERROR(Comp3[[#This Row],[Comparable '#3 Drawdown]]/MAX($B$2:B1092),"-")</f>
        <v>-0.6344394809614976</v>
      </c>
      <c r="H1092" s="1" t="str">
        <f>IF(SUM(COUNTIF(Benchmark1[Benchmark '#1 Dates],Comp3[[#This Row],[Comparable '#3 Dates]]),COUNTIF(Benchmark2[Benchmark '#2 Dates],Comp3[[#This Row],[Comparable '#3 Dates]]))=2,"Pass","Fail")</f>
        <v>Pass</v>
      </c>
      <c r="I1092" s="1">
        <f>IFERROR(Comp3[[#This Row],[Comparable '#3 Return]]-INDEX(Benchmark1[Benchmark '#1 Return],MATCH(Comp3[[#This Row],[Comparable '#3 Dates]],Benchmark1[Benchmark '#1 Dates],0)),"-")</f>
        <v>3.3328026557789391E-4</v>
      </c>
      <c r="L1092" s="72">
        <f>Comp3[[#This Row],[Comparable '#3 Price]]/$B$2*100</f>
        <v>58.64687313369167</v>
      </c>
    </row>
    <row r="1093" spans="1:12">
      <c r="A1093" s="96">
        <v>44867</v>
      </c>
      <c r="B1093" s="101">
        <v>67.34</v>
      </c>
      <c r="C1093" s="1">
        <f t="shared" si="34"/>
        <v>-2.0576857688759276E-2</v>
      </c>
      <c r="D1093" s="1">
        <f>IFERROR(Comp3[[#This Row],[Comparable '#3 Return]]+1,"-")</f>
        <v>0.97942314231124072</v>
      </c>
      <c r="E1093" s="6">
        <f>B1093-MAX($B$2:B1093)</f>
        <v>-120.69999999999999</v>
      </c>
      <c r="F1093" s="80">
        <f t="shared" si="35"/>
        <v>831</v>
      </c>
      <c r="G1093" s="6">
        <f>IFERROR(Comp3[[#This Row],[Comparable '#3 Drawdown]]/MAX($B$2:B1093),"-")</f>
        <v>-0.64188470538183362</v>
      </c>
      <c r="H1093" s="1" t="str">
        <f>IF(SUM(COUNTIF(Benchmark1[Benchmark '#1 Dates],Comp3[[#This Row],[Comparable '#3 Dates]]),COUNTIF(Benchmark2[Benchmark '#2 Dates],Comp3[[#This Row],[Comparable '#3 Dates]]))=2,"Pass","Fail")</f>
        <v>Pass</v>
      </c>
      <c r="I1093" s="1">
        <f>IFERROR(Comp3[[#This Row],[Comparable '#3 Return]]-INDEX(Benchmark1[Benchmark '#1 Return],MATCH(Comp3[[#This Row],[Comparable '#3 Dates]],Benchmark1[Benchmark '#1 Dates],0)),"-")</f>
        <v>4.7432844869806819E-3</v>
      </c>
      <c r="L1093" s="72">
        <f>Comp3[[#This Row],[Comparable '#3 Price]]/$B$2*100</f>
        <v>57.452435798993264</v>
      </c>
    </row>
    <row r="1094" spans="1:12">
      <c r="A1094" s="96">
        <v>44868</v>
      </c>
      <c r="B1094" s="101">
        <v>73.319999999999993</v>
      </c>
      <c r="C1094" s="1">
        <f t="shared" si="34"/>
        <v>8.507900923857567E-2</v>
      </c>
      <c r="D1094" s="1">
        <f>IFERROR(Comp3[[#This Row],[Comparable '#3 Return]]+1,"-")</f>
        <v>1.0850790092385756</v>
      </c>
      <c r="E1094" s="6">
        <f>B1094-MAX($B$2:B1094)</f>
        <v>-114.72</v>
      </c>
      <c r="F1094" s="80">
        <f t="shared" si="35"/>
        <v>832</v>
      </c>
      <c r="G1094" s="6">
        <f>IFERROR(Comp3[[#This Row],[Comparable '#3 Drawdown]]/MAX($B$2:B1094),"-")</f>
        <v>-0.61008296107211235</v>
      </c>
      <c r="H1094" s="1" t="str">
        <f>IF(SUM(COUNTIF(Benchmark1[Benchmark '#1 Dates],Comp3[[#This Row],[Comparable '#3 Dates]]),COUNTIF(Benchmark2[Benchmark '#2 Dates],Comp3[[#This Row],[Comparable '#3 Dates]]))=2,"Pass","Fail")</f>
        <v>Pass</v>
      </c>
      <c r="I1094" s="1">
        <f>IFERROR(Comp3[[#This Row],[Comparable '#3 Return]]-INDEX(Benchmark1[Benchmark '#1 Return],MATCH(Comp3[[#This Row],[Comparable '#3 Dates]],Benchmark1[Benchmark '#1 Dates],0)),"-")</f>
        <v>9.5720659169802699E-2</v>
      </c>
      <c r="L1094" s="72">
        <f>Comp3[[#This Row],[Comparable '#3 Price]]/$B$2*100</f>
        <v>62.554389557205013</v>
      </c>
    </row>
    <row r="1095" spans="1:12">
      <c r="A1095" s="96">
        <v>44869</v>
      </c>
      <c r="B1095" s="101">
        <v>75.34</v>
      </c>
      <c r="C1095" s="1">
        <f t="shared" si="34"/>
        <v>2.7177779292390961E-2</v>
      </c>
      <c r="D1095" s="1">
        <f>IFERROR(Comp3[[#This Row],[Comparable '#3 Return]]+1,"-")</f>
        <v>1.0271777792923911</v>
      </c>
      <c r="E1095" s="6">
        <f>B1095-MAX($B$2:B1095)</f>
        <v>-112.69999999999999</v>
      </c>
      <c r="F1095" s="80">
        <f t="shared" si="35"/>
        <v>833</v>
      </c>
      <c r="G1095" s="6">
        <f>IFERROR(Comp3[[#This Row],[Comparable '#3 Drawdown]]/MAX($B$2:B1095),"-")</f>
        <v>-0.59934056583705586</v>
      </c>
      <c r="H1095" s="1" t="str">
        <f>IF(SUM(COUNTIF(Benchmark1[Benchmark '#1 Dates],Comp3[[#This Row],[Comparable '#3 Dates]]),COUNTIF(Benchmark2[Benchmark '#2 Dates],Comp3[[#This Row],[Comparable '#3 Dates]]))=2,"Pass","Fail")</f>
        <v>Pass</v>
      </c>
      <c r="I1095" s="1">
        <f>IFERROR(Comp3[[#This Row],[Comparable '#3 Return]]-INDEX(Benchmark1[Benchmark '#1 Return],MATCH(Comp3[[#This Row],[Comparable '#3 Dates]],Benchmark1[Benchmark '#1 Dates],0)),"-")</f>
        <v>1.3652825539303713E-2</v>
      </c>
      <c r="L1095" s="72">
        <f>Comp3[[#This Row],[Comparable '#3 Price]]/$B$2*100</f>
        <v>64.277791997269858</v>
      </c>
    </row>
    <row r="1096" spans="1:12">
      <c r="A1096" s="96">
        <v>44872</v>
      </c>
      <c r="B1096" s="101">
        <v>78.05</v>
      </c>
      <c r="C1096" s="1">
        <f t="shared" si="34"/>
        <v>3.5338444697545913E-2</v>
      </c>
      <c r="D1096" s="1">
        <f>IFERROR(Comp3[[#This Row],[Comparable '#3 Return]]+1,"-")</f>
        <v>1.035338444697546</v>
      </c>
      <c r="E1096" s="6">
        <f>B1096-MAX($B$2:B1096)</f>
        <v>-109.99</v>
      </c>
      <c r="F1096" s="80">
        <f t="shared" si="35"/>
        <v>834</v>
      </c>
      <c r="G1096" s="6">
        <f>IFERROR(Comp3[[#This Row],[Comparable '#3 Drawdown]]/MAX($B$2:B1096),"-")</f>
        <v>-0.58492873856626248</v>
      </c>
      <c r="H1096" s="1" t="str">
        <f>IF(SUM(COUNTIF(Benchmark1[Benchmark '#1 Dates],Comp3[[#This Row],[Comparable '#3 Dates]]),COUNTIF(Benchmark2[Benchmark '#2 Dates],Comp3[[#This Row],[Comparable '#3 Dates]]))=2,"Pass","Fail")</f>
        <v>Pass</v>
      </c>
      <c r="I1096" s="1">
        <f>IFERROR(Comp3[[#This Row],[Comparable '#3 Return]]-INDEX(Benchmark1[Benchmark '#1 Return],MATCH(Comp3[[#This Row],[Comparable '#3 Dates]],Benchmark1[Benchmark '#1 Dates],0)),"-")</f>
        <v>2.5768129248907687E-2</v>
      </c>
      <c r="L1096" s="72">
        <f>Comp3[[#This Row],[Comparable '#3 Price]]/$B$2*100</f>
        <v>66.58988140943606</v>
      </c>
    </row>
    <row r="1097" spans="1:12">
      <c r="A1097" s="96">
        <v>44873</v>
      </c>
      <c r="B1097" s="101">
        <v>78.84</v>
      </c>
      <c r="C1097" s="1">
        <f t="shared" si="34"/>
        <v>1.0070835323078557E-2</v>
      </c>
      <c r="D1097" s="1">
        <f>IFERROR(Comp3[[#This Row],[Comparable '#3 Return]]+1,"-")</f>
        <v>1.0100708353230785</v>
      </c>
      <c r="E1097" s="6">
        <f>B1097-MAX($B$2:B1097)</f>
        <v>-109.19999999999999</v>
      </c>
      <c r="F1097" s="80">
        <f t="shared" si="35"/>
        <v>835</v>
      </c>
      <c r="G1097" s="6">
        <f>IFERROR(Comp3[[#This Row],[Comparable '#3 Drawdown]]/MAX($B$2:B1097),"-")</f>
        <v>-0.58072750478621571</v>
      </c>
      <c r="H1097" s="1" t="str">
        <f>IF(SUM(COUNTIF(Benchmark1[Benchmark '#1 Dates],Comp3[[#This Row],[Comparable '#3 Dates]]),COUNTIF(Benchmark2[Benchmark '#2 Dates],Comp3[[#This Row],[Comparable '#3 Dates]]))=2,"Pass","Fail")</f>
        <v>Pass</v>
      </c>
      <c r="I1097" s="1">
        <f>IFERROR(Comp3[[#This Row],[Comparable '#3 Return]]-INDEX(Benchmark1[Benchmark '#1 Return],MATCH(Comp3[[#This Row],[Comparable '#3 Dates]],Benchmark1[Benchmark '#1 Dates],0)),"-")</f>
        <v>4.4903813453951568E-3</v>
      </c>
      <c r="L1097" s="72">
        <f>Comp3[[#This Row],[Comparable '#3 Price]]/$B$2*100</f>
        <v>67.263885334015868</v>
      </c>
    </row>
    <row r="1098" spans="1:12">
      <c r="A1098" s="96">
        <v>44874</v>
      </c>
      <c r="B1098" s="101">
        <v>78.56</v>
      </c>
      <c r="C1098" s="1">
        <f t="shared" si="34"/>
        <v>-3.5578182383090612E-3</v>
      </c>
      <c r="D1098" s="1">
        <f>IFERROR(Comp3[[#This Row],[Comparable '#3 Return]]+1,"-")</f>
        <v>0.99644218176169097</v>
      </c>
      <c r="E1098" s="6">
        <f>B1098-MAX($B$2:B1098)</f>
        <v>-109.47999999999999</v>
      </c>
      <c r="F1098" s="80">
        <f t="shared" si="35"/>
        <v>836</v>
      </c>
      <c r="G1098" s="6">
        <f>IFERROR(Comp3[[#This Row],[Comparable '#3 Drawdown]]/MAX($B$2:B1098),"-")</f>
        <v>-0.58221654967028291</v>
      </c>
      <c r="H1098" s="1" t="str">
        <f>IF(SUM(COUNTIF(Benchmark1[Benchmark '#1 Dates],Comp3[[#This Row],[Comparable '#3 Dates]]),COUNTIF(Benchmark2[Benchmark '#2 Dates],Comp3[[#This Row],[Comparable '#3 Dates]]))=2,"Pass","Fail")</f>
        <v>Pass</v>
      </c>
      <c r="I1098" s="1">
        <f>IFERROR(Comp3[[#This Row],[Comparable '#3 Return]]-INDEX(Benchmark1[Benchmark '#1 Return],MATCH(Comp3[[#This Row],[Comparable '#3 Dates]],Benchmark1[Benchmark '#1 Dates],0)),"-")</f>
        <v>1.743777133699977E-2</v>
      </c>
      <c r="L1098" s="72">
        <f>Comp3[[#This Row],[Comparable '#3 Price]]/$B$2*100</f>
        <v>67.024997867076195</v>
      </c>
    </row>
    <row r="1099" spans="1:12">
      <c r="A1099" s="96">
        <v>44875</v>
      </c>
      <c r="B1099" s="101">
        <v>79.14</v>
      </c>
      <c r="C1099" s="1">
        <f t="shared" si="34"/>
        <v>7.3557719110677756E-3</v>
      </c>
      <c r="D1099" s="1">
        <f>IFERROR(Comp3[[#This Row],[Comparable '#3 Return]]+1,"-")</f>
        <v>1.0073557719110677</v>
      </c>
      <c r="E1099" s="6">
        <f>B1099-MAX($B$2:B1099)</f>
        <v>-108.89999999999999</v>
      </c>
      <c r="F1099" s="80">
        <f t="shared" si="35"/>
        <v>837</v>
      </c>
      <c r="G1099" s="6">
        <f>IFERROR(Comp3[[#This Row],[Comparable '#3 Drawdown]]/MAX($B$2:B1099),"-")</f>
        <v>-0.57913209955328648</v>
      </c>
      <c r="H1099" s="1" t="str">
        <f>IF(SUM(COUNTIF(Benchmark1[Benchmark '#1 Dates],Comp3[[#This Row],[Comparable '#3 Dates]]),COUNTIF(Benchmark2[Benchmark '#2 Dates],Comp3[[#This Row],[Comparable '#3 Dates]]))=2,"Pass","Fail")</f>
        <v>Pass</v>
      </c>
      <c r="I1099" s="1">
        <f>IFERROR(Comp3[[#This Row],[Comparable '#3 Return]]-INDEX(Benchmark1[Benchmark '#1 Return],MATCH(Comp3[[#This Row],[Comparable '#3 Dates]],Benchmark1[Benchmark '#1 Dates],0)),"-")</f>
        <v>-4.6596119262598365E-2</v>
      </c>
      <c r="L1099" s="72">
        <f>Comp3[[#This Row],[Comparable '#3 Price]]/$B$2*100</f>
        <v>67.519836191451247</v>
      </c>
    </row>
    <row r="1100" spans="1:12">
      <c r="A1100" s="96">
        <v>44876</v>
      </c>
      <c r="B1100" s="101">
        <v>78.349999999999994</v>
      </c>
      <c r="C1100" s="1">
        <f t="shared" si="34"/>
        <v>-1.0032467155248526E-2</v>
      </c>
      <c r="D1100" s="1">
        <f>IFERROR(Comp3[[#This Row],[Comparable '#3 Return]]+1,"-")</f>
        <v>0.98996753284475147</v>
      </c>
      <c r="E1100" s="6">
        <f>B1100-MAX($B$2:B1100)</f>
        <v>-109.69</v>
      </c>
      <c r="F1100" s="80">
        <f t="shared" si="35"/>
        <v>838</v>
      </c>
      <c r="G1100" s="6">
        <f>IFERROR(Comp3[[#This Row],[Comparable '#3 Drawdown]]/MAX($B$2:B1100),"-")</f>
        <v>-0.58333333333333337</v>
      </c>
      <c r="H1100" s="1" t="str">
        <f>IF(SUM(COUNTIF(Benchmark1[Benchmark '#1 Dates],Comp3[[#This Row],[Comparable '#3 Dates]]),COUNTIF(Benchmark2[Benchmark '#2 Dates],Comp3[[#This Row],[Comparable '#3 Dates]]))=2,"Pass","Fail")</f>
        <v>Pass</v>
      </c>
      <c r="I1100" s="1">
        <f>IFERROR(Comp3[[#This Row],[Comparable '#3 Return]]-INDEX(Benchmark1[Benchmark '#1 Return],MATCH(Comp3[[#This Row],[Comparable '#3 Dates]],Benchmark1[Benchmark '#1 Dates],0)),"-")</f>
        <v>-1.9230192473054422E-2</v>
      </c>
      <c r="L1100" s="72">
        <f>Comp3[[#This Row],[Comparable '#3 Price]]/$B$2*100</f>
        <v>66.845832266871426</v>
      </c>
    </row>
    <row r="1101" spans="1:12">
      <c r="A1101" s="96">
        <v>44879</v>
      </c>
      <c r="B1101" s="101">
        <v>77.67</v>
      </c>
      <c r="C1101" s="1">
        <f t="shared" si="34"/>
        <v>-8.7168863704737646E-3</v>
      </c>
      <c r="D1101" s="1">
        <f>IFERROR(Comp3[[#This Row],[Comparable '#3 Return]]+1,"-")</f>
        <v>0.99128311362952626</v>
      </c>
      <c r="E1101" s="6">
        <f>B1101-MAX($B$2:B1101)</f>
        <v>-110.36999999999999</v>
      </c>
      <c r="F1101" s="80">
        <f t="shared" si="35"/>
        <v>839</v>
      </c>
      <c r="G1101" s="6">
        <f>IFERROR(Comp3[[#This Row],[Comparable '#3 Drawdown]]/MAX($B$2:B1101),"-")</f>
        <v>-0.58694958519463947</v>
      </c>
      <c r="H1101" s="1" t="str">
        <f>IF(SUM(COUNTIF(Benchmark1[Benchmark '#1 Dates],Comp3[[#This Row],[Comparable '#3 Dates]]),COUNTIF(Benchmark2[Benchmark '#2 Dates],Comp3[[#This Row],[Comparable '#3 Dates]]))=2,"Pass","Fail")</f>
        <v>Pass</v>
      </c>
      <c r="I1101" s="1">
        <f>IFERROR(Comp3[[#This Row],[Comparable '#3 Return]]-INDEX(Benchmark1[Benchmark '#1 Return],MATCH(Comp3[[#This Row],[Comparable '#3 Dates]],Benchmark1[Benchmark '#1 Dates],0)),"-")</f>
        <v>2.5774533336768088E-4</v>
      </c>
      <c r="L1101" s="72">
        <f>Comp3[[#This Row],[Comparable '#3 Price]]/$B$2*100</f>
        <v>66.265676990017923</v>
      </c>
    </row>
    <row r="1102" spans="1:12">
      <c r="A1102" s="96">
        <v>44880</v>
      </c>
      <c r="B1102" s="101">
        <v>79.09</v>
      </c>
      <c r="C1102" s="1">
        <f t="shared" si="34"/>
        <v>1.811736209977001E-2</v>
      </c>
      <c r="D1102" s="1">
        <f>IFERROR(Comp3[[#This Row],[Comparable '#3 Return]]+1,"-")</f>
        <v>1.0181173620997701</v>
      </c>
      <c r="E1102" s="6">
        <f>B1102-MAX($B$2:B1102)</f>
        <v>-108.94999999999999</v>
      </c>
      <c r="F1102" s="80">
        <f t="shared" si="35"/>
        <v>840</v>
      </c>
      <c r="G1102" s="6">
        <f>IFERROR(Comp3[[#This Row],[Comparable '#3 Drawdown]]/MAX($B$2:B1102),"-")</f>
        <v>-0.57939800042544132</v>
      </c>
      <c r="H1102" s="1" t="str">
        <f>IF(SUM(COUNTIF(Benchmark1[Benchmark '#1 Dates],Comp3[[#This Row],[Comparable '#3 Dates]]),COUNTIF(Benchmark2[Benchmark '#2 Dates],Comp3[[#This Row],[Comparable '#3 Dates]]))=2,"Pass","Fail")</f>
        <v>Pass</v>
      </c>
      <c r="I1102" s="1">
        <f>IFERROR(Comp3[[#This Row],[Comparable '#3 Return]]-INDEX(Benchmark1[Benchmark '#1 Return],MATCH(Comp3[[#This Row],[Comparable '#3 Dates]],Benchmark1[Benchmark '#1 Dates],0)),"-")</f>
        <v>9.4419064099395857E-3</v>
      </c>
      <c r="L1102" s="72">
        <f>Comp3[[#This Row],[Comparable '#3 Price]]/$B$2*100</f>
        <v>67.477177715212022</v>
      </c>
    </row>
    <row r="1103" spans="1:12">
      <c r="A1103" s="96">
        <v>44881</v>
      </c>
      <c r="B1103" s="101">
        <v>79.47</v>
      </c>
      <c r="C1103" s="1">
        <f t="shared" si="34"/>
        <v>4.7931474207621528E-3</v>
      </c>
      <c r="D1103" s="1">
        <f>IFERROR(Comp3[[#This Row],[Comparable '#3 Return]]+1,"-")</f>
        <v>1.0047931474207621</v>
      </c>
      <c r="E1103" s="6">
        <f>B1103-MAX($B$2:B1103)</f>
        <v>-108.57</v>
      </c>
      <c r="F1103" s="80">
        <f t="shared" si="35"/>
        <v>841</v>
      </c>
      <c r="G1103" s="6">
        <f>IFERROR(Comp3[[#This Row],[Comparable '#3 Drawdown]]/MAX($B$2:B1103),"-")</f>
        <v>-0.57737715379706445</v>
      </c>
      <c r="H1103" s="1" t="str">
        <f>IF(SUM(COUNTIF(Benchmark1[Benchmark '#1 Dates],Comp3[[#This Row],[Comparable '#3 Dates]]),COUNTIF(Benchmark2[Benchmark '#2 Dates],Comp3[[#This Row],[Comparable '#3 Dates]]))=2,"Pass","Fail")</f>
        <v>Pass</v>
      </c>
      <c r="I1103" s="1">
        <f>IFERROR(Comp3[[#This Row],[Comparable '#3 Return]]-INDEX(Benchmark1[Benchmark '#1 Return],MATCH(Comp3[[#This Row],[Comparable '#3 Dates]],Benchmark1[Benchmark '#1 Dates],0)),"-")</f>
        <v>1.3079423601179179E-2</v>
      </c>
      <c r="L1103" s="72">
        <f>Comp3[[#This Row],[Comparable '#3 Price]]/$B$2*100</f>
        <v>67.801382134630146</v>
      </c>
    </row>
    <row r="1104" spans="1:12">
      <c r="A1104" s="96">
        <v>44882</v>
      </c>
      <c r="B1104" s="101">
        <v>79.650000000000006</v>
      </c>
      <c r="C1104" s="1">
        <f t="shared" si="34"/>
        <v>2.2624444039695433E-3</v>
      </c>
      <c r="D1104" s="1">
        <f>IFERROR(Comp3[[#This Row],[Comparable '#3 Return]]+1,"-")</f>
        <v>1.0022624444039696</v>
      </c>
      <c r="E1104" s="6">
        <f>B1104-MAX($B$2:B1104)</f>
        <v>-108.38999999999999</v>
      </c>
      <c r="F1104" s="80">
        <f t="shared" si="35"/>
        <v>842</v>
      </c>
      <c r="G1104" s="6">
        <f>IFERROR(Comp3[[#This Row],[Comparable '#3 Drawdown]]/MAX($B$2:B1104),"-")</f>
        <v>-0.57641991065730691</v>
      </c>
      <c r="H1104" s="1" t="str">
        <f>IF(SUM(COUNTIF(Benchmark1[Benchmark '#1 Dates],Comp3[[#This Row],[Comparable '#3 Dates]]),COUNTIF(Benchmark2[Benchmark '#2 Dates],Comp3[[#This Row],[Comparable '#3 Dates]]))=2,"Pass","Fail")</f>
        <v>Pass</v>
      </c>
      <c r="I1104" s="1">
        <f>IFERROR(Comp3[[#This Row],[Comparable '#3 Return]]-INDEX(Benchmark1[Benchmark '#1 Return],MATCH(Comp3[[#This Row],[Comparable '#3 Dates]],Benchmark1[Benchmark '#1 Dates],0)),"-")</f>
        <v>5.3579205380660322E-3</v>
      </c>
      <c r="L1104" s="72">
        <f>Comp3[[#This Row],[Comparable '#3 Price]]/$B$2*100</f>
        <v>67.954952649091382</v>
      </c>
    </row>
    <row r="1105" spans="1:12">
      <c r="A1105" s="96">
        <v>44883</v>
      </c>
      <c r="B1105" s="101">
        <v>79.819999999999993</v>
      </c>
      <c r="C1105" s="1">
        <f t="shared" si="34"/>
        <v>2.1320632645302332E-3</v>
      </c>
      <c r="D1105" s="1">
        <f>IFERROR(Comp3[[#This Row],[Comparable '#3 Return]]+1,"-")</f>
        <v>1.0021320632645303</v>
      </c>
      <c r="E1105" s="6">
        <f>B1105-MAX($B$2:B1105)</f>
        <v>-108.22</v>
      </c>
      <c r="F1105" s="80">
        <f t="shared" si="35"/>
        <v>843</v>
      </c>
      <c r="G1105" s="6">
        <f>IFERROR(Comp3[[#This Row],[Comparable '#3 Drawdown]]/MAX($B$2:B1105),"-")</f>
        <v>-0.5755158476919805</v>
      </c>
      <c r="H1105" s="1" t="str">
        <f>IF(SUM(COUNTIF(Benchmark1[Benchmark '#1 Dates],Comp3[[#This Row],[Comparable '#3 Dates]]),COUNTIF(Benchmark2[Benchmark '#2 Dates],Comp3[[#This Row],[Comparable '#3 Dates]]))=2,"Pass","Fail")</f>
        <v>Pass</v>
      </c>
      <c r="I1105" s="1">
        <f>IFERROR(Comp3[[#This Row],[Comparable '#3 Return]]-INDEX(Benchmark1[Benchmark '#1 Return],MATCH(Comp3[[#This Row],[Comparable '#3 Dates]],Benchmark1[Benchmark '#1 Dates],0)),"-")</f>
        <v>-2.6155593879785351E-3</v>
      </c>
      <c r="L1105" s="72">
        <f>Comp3[[#This Row],[Comparable '#3 Price]]/$B$2*100</f>
        <v>68.099991468304751</v>
      </c>
    </row>
    <row r="1106" spans="1:12">
      <c r="A1106" s="96">
        <v>44886</v>
      </c>
      <c r="B1106" s="101">
        <v>80.39</v>
      </c>
      <c r="C1106" s="1">
        <f t="shared" si="34"/>
        <v>7.1156907192817861E-3</v>
      </c>
      <c r="D1106" s="1">
        <f>IFERROR(Comp3[[#This Row],[Comparable '#3 Return]]+1,"-")</f>
        <v>1.0071156907192818</v>
      </c>
      <c r="E1106" s="6">
        <f>B1106-MAX($B$2:B1106)</f>
        <v>-107.64999999999999</v>
      </c>
      <c r="F1106" s="80">
        <f t="shared" si="35"/>
        <v>844</v>
      </c>
      <c r="G1106" s="6">
        <f>IFERROR(Comp3[[#This Row],[Comparable '#3 Drawdown]]/MAX($B$2:B1106),"-")</f>
        <v>-0.57248457774941497</v>
      </c>
      <c r="H1106" s="1" t="str">
        <f>IF(SUM(COUNTIF(Benchmark1[Benchmark '#1 Dates],Comp3[[#This Row],[Comparable '#3 Dates]]),COUNTIF(Benchmark2[Benchmark '#2 Dates],Comp3[[#This Row],[Comparable '#3 Dates]]))=2,"Pass","Fail")</f>
        <v>Pass</v>
      </c>
      <c r="I1106" s="1">
        <f>IFERROR(Comp3[[#This Row],[Comparable '#3 Return]]-INDEX(Benchmark1[Benchmark '#1 Return],MATCH(Comp3[[#This Row],[Comparable '#3 Dates]],Benchmark1[Benchmark '#1 Dates],0)),"-")</f>
        <v>1.1007442127716524E-2</v>
      </c>
      <c r="L1106" s="72">
        <f>Comp3[[#This Row],[Comparable '#3 Price]]/$B$2*100</f>
        <v>68.586298097431964</v>
      </c>
    </row>
    <row r="1107" spans="1:12">
      <c r="A1107" s="96">
        <v>44887</v>
      </c>
      <c r="B1107" s="101">
        <v>81.650000000000006</v>
      </c>
      <c r="C1107" s="1">
        <f t="shared" si="34"/>
        <v>1.5552029076604744E-2</v>
      </c>
      <c r="D1107" s="1">
        <f>IFERROR(Comp3[[#This Row],[Comparable '#3 Return]]+1,"-")</f>
        <v>1.0155520290766047</v>
      </c>
      <c r="E1107" s="6">
        <f>B1107-MAX($B$2:B1107)</f>
        <v>-106.38999999999999</v>
      </c>
      <c r="F1107" s="80">
        <f t="shared" si="35"/>
        <v>845</v>
      </c>
      <c r="G1107" s="6">
        <f>IFERROR(Comp3[[#This Row],[Comparable '#3 Drawdown]]/MAX($B$2:B1107),"-")</f>
        <v>-0.56578387577111244</v>
      </c>
      <c r="H1107" s="1" t="str">
        <f>IF(SUM(COUNTIF(Benchmark1[Benchmark '#1 Dates],Comp3[[#This Row],[Comparable '#3 Dates]]),COUNTIF(Benchmark2[Benchmark '#2 Dates],Comp3[[#This Row],[Comparable '#3 Dates]]))=2,"Pass","Fail")</f>
        <v>Pass</v>
      </c>
      <c r="I1107" s="1">
        <f>IFERROR(Comp3[[#This Row],[Comparable '#3 Return]]-INDEX(Benchmark1[Benchmark '#1 Return],MATCH(Comp3[[#This Row],[Comparable '#3 Dates]],Benchmark1[Benchmark '#1 Dates],0)),"-")</f>
        <v>2.0631325903612777E-3</v>
      </c>
      <c r="L1107" s="72">
        <f>Comp3[[#This Row],[Comparable '#3 Price]]/$B$2*100</f>
        <v>69.661291698660534</v>
      </c>
    </row>
    <row r="1108" spans="1:12">
      <c r="A1108" s="96">
        <v>44888</v>
      </c>
      <c r="B1108" s="101">
        <v>81.12</v>
      </c>
      <c r="C1108" s="1">
        <f t="shared" si="34"/>
        <v>-6.5122795736010522E-3</v>
      </c>
      <c r="D1108" s="1">
        <f>IFERROR(Comp3[[#This Row],[Comparable '#3 Return]]+1,"-")</f>
        <v>0.99348772042639899</v>
      </c>
      <c r="E1108" s="6">
        <f>B1108-MAX($B$2:B1108)</f>
        <v>-106.91999999999999</v>
      </c>
      <c r="F1108" s="80">
        <f t="shared" si="35"/>
        <v>846</v>
      </c>
      <c r="G1108" s="6">
        <f>IFERROR(Comp3[[#This Row],[Comparable '#3 Drawdown]]/MAX($B$2:B1108),"-")</f>
        <v>-0.56860242501595404</v>
      </c>
      <c r="H1108" s="1" t="str">
        <f>IF(SUM(COUNTIF(Benchmark1[Benchmark '#1 Dates],Comp3[[#This Row],[Comparable '#3 Dates]]),COUNTIF(Benchmark2[Benchmark '#2 Dates],Comp3[[#This Row],[Comparable '#3 Dates]]))=2,"Pass","Fail")</f>
        <v>Pass</v>
      </c>
      <c r="I1108" s="1">
        <f>IFERROR(Comp3[[#This Row],[Comparable '#3 Return]]-INDEX(Benchmark1[Benchmark '#1 Return],MATCH(Comp3[[#This Row],[Comparable '#3 Dates]],Benchmark1[Benchmark '#1 Dates],0)),"-")</f>
        <v>-1.2410495200290941E-2</v>
      </c>
      <c r="L1108" s="72">
        <f>Comp3[[#This Row],[Comparable '#3 Price]]/$B$2*100</f>
        <v>69.209111850524707</v>
      </c>
    </row>
    <row r="1109" spans="1:12">
      <c r="A1109" s="96">
        <v>44890</v>
      </c>
      <c r="B1109" s="101">
        <v>80.64</v>
      </c>
      <c r="C1109" s="1">
        <f t="shared" si="34"/>
        <v>-5.9347355198145777E-3</v>
      </c>
      <c r="D1109" s="1">
        <f>IFERROR(Comp3[[#This Row],[Comparable '#3 Return]]+1,"-")</f>
        <v>0.9940652644801854</v>
      </c>
      <c r="E1109" s="6">
        <f>B1109-MAX($B$2:B1109)</f>
        <v>-107.39999999999999</v>
      </c>
      <c r="F1109" s="80">
        <f t="shared" si="35"/>
        <v>847</v>
      </c>
      <c r="G1109" s="6">
        <f>IFERROR(Comp3[[#This Row],[Comparable '#3 Drawdown]]/MAX($B$2:B1109),"-")</f>
        <v>-0.57115507338864069</v>
      </c>
      <c r="H1109" s="1" t="str">
        <f>IF(SUM(COUNTIF(Benchmark1[Benchmark '#1 Dates],Comp3[[#This Row],[Comparable '#3 Dates]]),COUNTIF(Benchmark2[Benchmark '#2 Dates],Comp3[[#This Row],[Comparable '#3 Dates]]))=2,"Pass","Fail")</f>
        <v>Pass</v>
      </c>
      <c r="I1109" s="1">
        <f>IFERROR(Comp3[[#This Row],[Comparable '#3 Return]]-INDEX(Benchmark1[Benchmark '#1 Return],MATCH(Comp3[[#This Row],[Comparable '#3 Dates]],Benchmark1[Benchmark '#1 Dates],0)),"-")</f>
        <v>-5.6499644012383164E-3</v>
      </c>
      <c r="L1109" s="72">
        <f>Comp3[[#This Row],[Comparable '#3 Price]]/$B$2*100</f>
        <v>68.799590478628105</v>
      </c>
    </row>
    <row r="1110" spans="1:12">
      <c r="A1110" s="96">
        <v>44893</v>
      </c>
      <c r="B1110" s="101">
        <v>79.959999999999994</v>
      </c>
      <c r="C1110" s="1">
        <f t="shared" si="34"/>
        <v>-8.468294690859253E-3</v>
      </c>
      <c r="D1110" s="1">
        <f>IFERROR(Comp3[[#This Row],[Comparable '#3 Return]]+1,"-")</f>
        <v>0.9915317053091407</v>
      </c>
      <c r="E1110" s="6">
        <f>B1110-MAX($B$2:B1110)</f>
        <v>-108.08</v>
      </c>
      <c r="F1110" s="80">
        <f t="shared" si="35"/>
        <v>848</v>
      </c>
      <c r="G1110" s="6">
        <f>IFERROR(Comp3[[#This Row],[Comparable '#3 Drawdown]]/MAX($B$2:B1110),"-")</f>
        <v>-0.57477132524994679</v>
      </c>
      <c r="H1110" s="1" t="str">
        <f>IF(SUM(COUNTIF(Benchmark1[Benchmark '#1 Dates],Comp3[[#This Row],[Comparable '#3 Dates]]),COUNTIF(Benchmark2[Benchmark '#2 Dates],Comp3[[#This Row],[Comparable '#3 Dates]]))=2,"Pass","Fail")</f>
        <v>Pass</v>
      </c>
      <c r="I1110" s="1">
        <f>IFERROR(Comp3[[#This Row],[Comparable '#3 Return]]-INDEX(Benchmark1[Benchmark '#1 Return],MATCH(Comp3[[#This Row],[Comparable '#3 Dates]],Benchmark1[Benchmark '#1 Dates],0)),"-")</f>
        <v>7.0947725977014917E-3</v>
      </c>
      <c r="L1110" s="72">
        <f>Comp3[[#This Row],[Comparable '#3 Price]]/$B$2*100</f>
        <v>68.219435201774587</v>
      </c>
    </row>
    <row r="1111" spans="1:12">
      <c r="A1111" s="96">
        <v>44894</v>
      </c>
      <c r="B1111" s="101">
        <v>80.3</v>
      </c>
      <c r="C1111" s="1">
        <f t="shared" si="34"/>
        <v>4.2431113205166505E-3</v>
      </c>
      <c r="D1111" s="1">
        <f>IFERROR(Comp3[[#This Row],[Comparable '#3 Return]]+1,"-")</f>
        <v>1.0042431113205166</v>
      </c>
      <c r="E1111" s="6">
        <f>B1111-MAX($B$2:B1111)</f>
        <v>-107.74</v>
      </c>
      <c r="F1111" s="80">
        <f t="shared" si="35"/>
        <v>849</v>
      </c>
      <c r="G1111" s="6">
        <f>IFERROR(Comp3[[#This Row],[Comparable '#3 Drawdown]]/MAX($B$2:B1111),"-")</f>
        <v>-0.57296319931929374</v>
      </c>
      <c r="H1111" s="1" t="str">
        <f>IF(SUM(COUNTIF(Benchmark1[Benchmark '#1 Dates],Comp3[[#This Row],[Comparable '#3 Dates]]),COUNTIF(Benchmark2[Benchmark '#2 Dates],Comp3[[#This Row],[Comparable '#3 Dates]]))=2,"Pass","Fail")</f>
        <v>Pass</v>
      </c>
      <c r="I1111" s="1">
        <f>IFERROR(Comp3[[#This Row],[Comparable '#3 Return]]-INDEX(Benchmark1[Benchmark '#1 Return],MATCH(Comp3[[#This Row],[Comparable '#3 Dates]],Benchmark1[Benchmark '#1 Dates],0)),"-")</f>
        <v>5.8377354558343374E-3</v>
      </c>
      <c r="L1111" s="72">
        <f>Comp3[[#This Row],[Comparable '#3 Price]]/$B$2*100</f>
        <v>68.509512840201353</v>
      </c>
    </row>
    <row r="1112" spans="1:12">
      <c r="A1112" s="96">
        <v>44895</v>
      </c>
      <c r="B1112" s="101">
        <v>81.8</v>
      </c>
      <c r="C1112" s="1">
        <f t="shared" si="34"/>
        <v>1.8507622655985455E-2</v>
      </c>
      <c r="D1112" s="1">
        <f>IFERROR(Comp3[[#This Row],[Comparable '#3 Return]]+1,"-")</f>
        <v>1.0185076226559855</v>
      </c>
      <c r="E1112" s="6">
        <f>B1112-MAX($B$2:B1112)</f>
        <v>-106.24</v>
      </c>
      <c r="F1112" s="80">
        <f t="shared" si="35"/>
        <v>850</v>
      </c>
      <c r="G1112" s="6">
        <f>IFERROR(Comp3[[#This Row],[Comparable '#3 Drawdown]]/MAX($B$2:B1112),"-")</f>
        <v>-0.56498617315464794</v>
      </c>
      <c r="H1112" s="1" t="str">
        <f>IF(SUM(COUNTIF(Benchmark1[Benchmark '#1 Dates],Comp3[[#This Row],[Comparable '#3 Dates]]),COUNTIF(Benchmark2[Benchmark '#2 Dates],Comp3[[#This Row],[Comparable '#3 Dates]]))=2,"Pass","Fail")</f>
        <v>Pass</v>
      </c>
      <c r="I1112" s="1">
        <f>IFERROR(Comp3[[#This Row],[Comparable '#3 Return]]-INDEX(Benchmark1[Benchmark '#1 Return],MATCH(Comp3[[#This Row],[Comparable '#3 Dates]],Benchmark1[Benchmark '#1 Dates],0)),"-")</f>
        <v>-1.1971157617342992E-2</v>
      </c>
      <c r="L1112" s="72">
        <f>Comp3[[#This Row],[Comparable '#3 Price]]/$B$2*100</f>
        <v>69.78926712737821</v>
      </c>
    </row>
    <row r="1113" spans="1:12">
      <c r="A1113" s="96">
        <v>44896</v>
      </c>
      <c r="B1113" s="101">
        <v>80.53</v>
      </c>
      <c r="C1113" s="1">
        <f t="shared" si="34"/>
        <v>-1.5647457801247742E-2</v>
      </c>
      <c r="D1113" s="1">
        <f>IFERROR(Comp3[[#This Row],[Comparable '#3 Return]]+1,"-")</f>
        <v>0.98435254219875223</v>
      </c>
      <c r="E1113" s="6">
        <f>B1113-MAX($B$2:B1113)</f>
        <v>-107.50999999999999</v>
      </c>
      <c r="F1113" s="80">
        <f t="shared" si="35"/>
        <v>851</v>
      </c>
      <c r="G1113" s="6">
        <f>IFERROR(Comp3[[#This Row],[Comparable '#3 Drawdown]]/MAX($B$2:B1113),"-")</f>
        <v>-0.57174005530738137</v>
      </c>
      <c r="H1113" s="1" t="str">
        <f>IF(SUM(COUNTIF(Benchmark1[Benchmark '#1 Dates],Comp3[[#This Row],[Comparable '#3 Dates]]),COUNTIF(Benchmark2[Benchmark '#2 Dates],Comp3[[#This Row],[Comparable '#3 Dates]]))=2,"Pass","Fail")</f>
        <v>Pass</v>
      </c>
      <c r="I1113" s="1">
        <f>IFERROR(Comp3[[#This Row],[Comparable '#3 Return]]-INDEX(Benchmark1[Benchmark '#1 Return],MATCH(Comp3[[#This Row],[Comparable '#3 Dates]],Benchmark1[Benchmark '#1 Dates],0)),"-")</f>
        <v>-1.4779437309321797E-2</v>
      </c>
      <c r="L1113" s="72">
        <f>Comp3[[#This Row],[Comparable '#3 Price]]/$B$2*100</f>
        <v>68.7057418309018</v>
      </c>
    </row>
    <row r="1114" spans="1:12">
      <c r="A1114" s="96">
        <v>44897</v>
      </c>
      <c r="B1114" s="101">
        <v>81.14</v>
      </c>
      <c r="C1114" s="1">
        <f t="shared" si="34"/>
        <v>7.5462719708476421E-3</v>
      </c>
      <c r="D1114" s="1">
        <f>IFERROR(Comp3[[#This Row],[Comparable '#3 Return]]+1,"-")</f>
        <v>1.0075462719708477</v>
      </c>
      <c r="E1114" s="6">
        <f>B1114-MAX($B$2:B1114)</f>
        <v>-106.89999999999999</v>
      </c>
      <c r="F1114" s="80">
        <f t="shared" si="35"/>
        <v>852</v>
      </c>
      <c r="G1114" s="6">
        <f>IFERROR(Comp3[[#This Row],[Comparable '#3 Drawdown]]/MAX($B$2:B1114),"-")</f>
        <v>-0.56849606466709213</v>
      </c>
      <c r="H1114" s="1" t="str">
        <f>IF(SUM(COUNTIF(Benchmark1[Benchmark '#1 Dates],Comp3[[#This Row],[Comparable '#3 Dates]]),COUNTIF(Benchmark2[Benchmark '#2 Dates],Comp3[[#This Row],[Comparable '#3 Dates]]))=2,"Pass","Fail")</f>
        <v>Pass</v>
      </c>
      <c r="I1114" s="1">
        <f>IFERROR(Comp3[[#This Row],[Comparable '#3 Return]]-INDEX(Benchmark1[Benchmark '#1 Return],MATCH(Comp3[[#This Row],[Comparable '#3 Dates]],Benchmark1[Benchmark '#1 Dates],0)),"-")</f>
        <v>8.7407444234798501E-3</v>
      </c>
      <c r="L1114" s="72">
        <f>Comp3[[#This Row],[Comparable '#3 Price]]/$B$2*100</f>
        <v>69.2261752410204</v>
      </c>
    </row>
    <row r="1115" spans="1:12">
      <c r="A1115" s="96">
        <v>44900</v>
      </c>
      <c r="B1115" s="101">
        <v>79.680000000000007</v>
      </c>
      <c r="C1115" s="1">
        <f t="shared" si="34"/>
        <v>-1.8157444501958317E-2</v>
      </c>
      <c r="D1115" s="1">
        <f>IFERROR(Comp3[[#This Row],[Comparable '#3 Return]]+1,"-")</f>
        <v>0.98184255549804167</v>
      </c>
      <c r="E1115" s="6">
        <f>B1115-MAX($B$2:B1115)</f>
        <v>-108.35999999999999</v>
      </c>
      <c r="F1115" s="80">
        <f t="shared" si="35"/>
        <v>853</v>
      </c>
      <c r="G1115" s="6">
        <f>IFERROR(Comp3[[#This Row],[Comparable '#3 Drawdown]]/MAX($B$2:B1115),"-")</f>
        <v>-0.57626037013401399</v>
      </c>
      <c r="H1115" s="1" t="str">
        <f>IF(SUM(COUNTIF(Benchmark1[Benchmark '#1 Dates],Comp3[[#This Row],[Comparable '#3 Dates]]),COUNTIF(Benchmark2[Benchmark '#2 Dates],Comp3[[#This Row],[Comparable '#3 Dates]]))=2,"Pass","Fail")</f>
        <v>Pass</v>
      </c>
      <c r="I1115" s="1">
        <f>IFERROR(Comp3[[#This Row],[Comparable '#3 Return]]-INDEX(Benchmark1[Benchmark '#1 Return],MATCH(Comp3[[#This Row],[Comparable '#3 Dates]],Benchmark1[Benchmark '#1 Dates],0)),"-")</f>
        <v>-1.0117562047183906E-4</v>
      </c>
      <c r="L1115" s="72">
        <f>Comp3[[#This Row],[Comparable '#3 Price]]/$B$2*100</f>
        <v>67.980547734834914</v>
      </c>
    </row>
    <row r="1116" spans="1:12">
      <c r="A1116" s="96">
        <v>44901</v>
      </c>
      <c r="B1116" s="101">
        <v>79.41</v>
      </c>
      <c r="C1116" s="1">
        <f t="shared" si="34"/>
        <v>-3.3943083692232999E-3</v>
      </c>
      <c r="D1116" s="1">
        <f>IFERROR(Comp3[[#This Row],[Comparable '#3 Return]]+1,"-")</f>
        <v>0.99660569163077672</v>
      </c>
      <c r="E1116" s="6">
        <f>B1116-MAX($B$2:B1116)</f>
        <v>-108.63</v>
      </c>
      <c r="F1116" s="80">
        <f t="shared" si="35"/>
        <v>854</v>
      </c>
      <c r="G1116" s="6">
        <f>IFERROR(Comp3[[#This Row],[Comparable '#3 Drawdown]]/MAX($B$2:B1116),"-")</f>
        <v>-0.57769623484365029</v>
      </c>
      <c r="H1116" s="1" t="str">
        <f>IF(SUM(COUNTIF(Benchmark1[Benchmark '#1 Dates],Comp3[[#This Row],[Comparable '#3 Dates]]),COUNTIF(Benchmark2[Benchmark '#2 Dates],Comp3[[#This Row],[Comparable '#3 Dates]]))=2,"Pass","Fail")</f>
        <v>Pass</v>
      </c>
      <c r="I1116" s="1">
        <f>IFERROR(Comp3[[#This Row],[Comparable '#3 Return]]-INDEX(Benchmark1[Benchmark '#1 Return],MATCH(Comp3[[#This Row],[Comparable '#3 Dates]],Benchmark1[Benchmark '#1 Dates],0)),"-")</f>
        <v>1.1109560947968817E-2</v>
      </c>
      <c r="L1116" s="72">
        <f>Comp3[[#This Row],[Comparable '#3 Price]]/$B$2*100</f>
        <v>67.750191963143081</v>
      </c>
    </row>
    <row r="1117" spans="1:12">
      <c r="A1117" s="96">
        <v>44902</v>
      </c>
      <c r="B1117" s="101">
        <v>79.400000000000006</v>
      </c>
      <c r="C1117" s="1">
        <f t="shared" si="34"/>
        <v>-1.259366540294483E-4</v>
      </c>
      <c r="D1117" s="1">
        <f>IFERROR(Comp3[[#This Row],[Comparable '#3 Return]]+1,"-")</f>
        <v>0.99987406334597051</v>
      </c>
      <c r="E1117" s="6">
        <f>B1117-MAX($B$2:B1117)</f>
        <v>-108.63999999999999</v>
      </c>
      <c r="F1117" s="80">
        <f t="shared" si="35"/>
        <v>855</v>
      </c>
      <c r="G1117" s="6">
        <f>IFERROR(Comp3[[#This Row],[Comparable '#3 Drawdown]]/MAX($B$2:B1117),"-")</f>
        <v>-0.57774941501808119</v>
      </c>
      <c r="H1117" s="1" t="str">
        <f>IF(SUM(COUNTIF(Benchmark1[Benchmark '#1 Dates],Comp3[[#This Row],[Comparable '#3 Dates]]),COUNTIF(Benchmark2[Benchmark '#2 Dates],Comp3[[#This Row],[Comparable '#3 Dates]]))=2,"Pass","Fail")</f>
        <v>Pass</v>
      </c>
      <c r="I1117" s="1">
        <f>IFERROR(Comp3[[#This Row],[Comparable '#3 Return]]-INDEX(Benchmark1[Benchmark '#1 Return],MATCH(Comp3[[#This Row],[Comparable '#3 Dates]],Benchmark1[Benchmark '#1 Dates],0)),"-")</f>
        <v>1.7371566685047406E-3</v>
      </c>
      <c r="L1117" s="72">
        <f>Comp3[[#This Row],[Comparable '#3 Price]]/$B$2*100</f>
        <v>67.741660267895242</v>
      </c>
    </row>
    <row r="1118" spans="1:12">
      <c r="A1118" s="96">
        <v>44903</v>
      </c>
      <c r="B1118" s="101">
        <v>79.510000000000005</v>
      </c>
      <c r="C1118" s="1">
        <f t="shared" si="34"/>
        <v>1.3844316603019852E-3</v>
      </c>
      <c r="D1118" s="1">
        <f>IFERROR(Comp3[[#This Row],[Comparable '#3 Return]]+1,"-")</f>
        <v>1.001384431660302</v>
      </c>
      <c r="E1118" s="6">
        <f>B1118-MAX($B$2:B1118)</f>
        <v>-108.52999999999999</v>
      </c>
      <c r="F1118" s="80">
        <f t="shared" si="35"/>
        <v>856</v>
      </c>
      <c r="G1118" s="6">
        <f>IFERROR(Comp3[[#This Row],[Comparable '#3 Drawdown]]/MAX($B$2:B1118),"-")</f>
        <v>-0.57716443309934051</v>
      </c>
      <c r="H1118" s="1" t="str">
        <f>IF(SUM(COUNTIF(Benchmark1[Benchmark '#1 Dates],Comp3[[#This Row],[Comparable '#3 Dates]]),COUNTIF(Benchmark2[Benchmark '#2 Dates],Comp3[[#This Row],[Comparable '#3 Dates]]))=2,"Pass","Fail")</f>
        <v>Pass</v>
      </c>
      <c r="I1118" s="1">
        <f>IFERROR(Comp3[[#This Row],[Comparable '#3 Return]]-INDEX(Benchmark1[Benchmark '#1 Return],MATCH(Comp3[[#This Row],[Comparable '#3 Dates]],Benchmark1[Benchmark '#1 Dates],0)),"-")</f>
        <v>-6.1086187286811837E-3</v>
      </c>
      <c r="L1118" s="72">
        <f>Comp3[[#This Row],[Comparable '#3 Price]]/$B$2*100</f>
        <v>67.835508915621546</v>
      </c>
    </row>
    <row r="1119" spans="1:12">
      <c r="A1119" s="96">
        <v>44904</v>
      </c>
      <c r="B1119" s="101">
        <v>79.36</v>
      </c>
      <c r="C1119" s="1">
        <f t="shared" si="34"/>
        <v>-1.8883369367748656E-3</v>
      </c>
      <c r="D1119" s="1">
        <f>IFERROR(Comp3[[#This Row],[Comparable '#3 Return]]+1,"-")</f>
        <v>0.99811166306322519</v>
      </c>
      <c r="E1119" s="6">
        <f>B1119-MAX($B$2:B1119)</f>
        <v>-108.67999999999999</v>
      </c>
      <c r="F1119" s="80">
        <f t="shared" si="35"/>
        <v>857</v>
      </c>
      <c r="G1119" s="6">
        <f>IFERROR(Comp3[[#This Row],[Comparable '#3 Drawdown]]/MAX($B$2:B1119),"-")</f>
        <v>-0.57796213571580513</v>
      </c>
      <c r="H1119" s="1" t="str">
        <f>IF(SUM(COUNTIF(Benchmark1[Benchmark '#1 Dates],Comp3[[#This Row],[Comparable '#3 Dates]]),COUNTIF(Benchmark2[Benchmark '#2 Dates],Comp3[[#This Row],[Comparable '#3 Dates]]))=2,"Pass","Fail")</f>
        <v>Pass</v>
      </c>
      <c r="I1119" s="1">
        <f>IFERROR(Comp3[[#This Row],[Comparable '#3 Return]]-INDEX(Benchmark1[Benchmark '#1 Return],MATCH(Comp3[[#This Row],[Comparable '#3 Dates]],Benchmark1[Benchmark '#1 Dates],0)),"-")</f>
        <v>5.489679329294261E-3</v>
      </c>
      <c r="L1119" s="72">
        <f>Comp3[[#This Row],[Comparable '#3 Price]]/$B$2*100</f>
        <v>67.707533486903841</v>
      </c>
    </row>
    <row r="1120" spans="1:12">
      <c r="A1120" s="96">
        <v>44907</v>
      </c>
      <c r="B1120" s="101">
        <v>78.92</v>
      </c>
      <c r="C1120" s="1">
        <f t="shared" si="34"/>
        <v>-5.5597818222027093E-3</v>
      </c>
      <c r="D1120" s="1">
        <f>IFERROR(Comp3[[#This Row],[Comparable '#3 Return]]+1,"-")</f>
        <v>0.99444021817779726</v>
      </c>
      <c r="E1120" s="6">
        <f>B1120-MAX($B$2:B1120)</f>
        <v>-109.11999999999999</v>
      </c>
      <c r="F1120" s="80">
        <f t="shared" si="35"/>
        <v>858</v>
      </c>
      <c r="G1120" s="6">
        <f>IFERROR(Comp3[[#This Row],[Comparable '#3 Drawdown]]/MAX($B$2:B1120),"-")</f>
        <v>-0.58030206339076784</v>
      </c>
      <c r="H1120" s="1" t="str">
        <f>IF(SUM(COUNTIF(Benchmark1[Benchmark '#1 Dates],Comp3[[#This Row],[Comparable '#3 Dates]]),COUNTIF(Benchmark2[Benchmark '#2 Dates],Comp3[[#This Row],[Comparable '#3 Dates]]))=2,"Pass","Fail")</f>
        <v>Pass</v>
      </c>
      <c r="I1120" s="1">
        <f>IFERROR(Comp3[[#This Row],[Comparable '#3 Return]]-INDEX(Benchmark1[Benchmark '#1 Return],MATCH(Comp3[[#This Row],[Comparable '#3 Dates]],Benchmark1[Benchmark '#1 Dates],0)),"-")</f>
        <v>-1.9738308798646454E-2</v>
      </c>
      <c r="L1120" s="72">
        <f>Comp3[[#This Row],[Comparable '#3 Price]]/$B$2*100</f>
        <v>67.332138895998639</v>
      </c>
    </row>
    <row r="1121" spans="1:12">
      <c r="A1121" s="96">
        <v>44908</v>
      </c>
      <c r="B1121" s="101">
        <v>79.62</v>
      </c>
      <c r="C1121" s="1">
        <f t="shared" si="34"/>
        <v>8.8306364177564937E-3</v>
      </c>
      <c r="D1121" s="1">
        <f>IFERROR(Comp3[[#This Row],[Comparable '#3 Return]]+1,"-")</f>
        <v>1.0088306364177564</v>
      </c>
      <c r="E1121" s="6">
        <f>B1121-MAX($B$2:B1121)</f>
        <v>-108.41999999999999</v>
      </c>
      <c r="F1121" s="80">
        <f t="shared" si="35"/>
        <v>859</v>
      </c>
      <c r="G1121" s="6">
        <f>IFERROR(Comp3[[#This Row],[Comparable '#3 Drawdown]]/MAX($B$2:B1121),"-")</f>
        <v>-0.57657945118059983</v>
      </c>
      <c r="H1121" s="1" t="str">
        <f>IF(SUM(COUNTIF(Benchmark1[Benchmark '#1 Dates],Comp3[[#This Row],[Comparable '#3 Dates]]),COUNTIF(Benchmark2[Benchmark '#2 Dates],Comp3[[#This Row],[Comparable '#3 Dates]]))=2,"Pass","Fail")</f>
        <v>Pass</v>
      </c>
      <c r="I1121" s="1">
        <f>IFERROR(Comp3[[#This Row],[Comparable '#3 Return]]-INDEX(Benchmark1[Benchmark '#1 Return],MATCH(Comp3[[#This Row],[Comparable '#3 Dates]],Benchmark1[Benchmark '#1 Dates],0)),"-")</f>
        <v>1.5656560799249663E-3</v>
      </c>
      <c r="L1121" s="72">
        <f>Comp3[[#This Row],[Comparable '#3 Price]]/$B$2*100</f>
        <v>67.92935756334785</v>
      </c>
    </row>
    <row r="1122" spans="1:12">
      <c r="A1122" s="96">
        <v>44909</v>
      </c>
      <c r="B1122" s="101">
        <v>81.069999999999993</v>
      </c>
      <c r="C1122" s="1">
        <f t="shared" si="34"/>
        <v>1.8047661427444482E-2</v>
      </c>
      <c r="D1122" s="1">
        <f>IFERROR(Comp3[[#This Row],[Comparable '#3 Return]]+1,"-")</f>
        <v>1.0180476614274445</v>
      </c>
      <c r="E1122" s="6">
        <f>B1122-MAX($B$2:B1122)</f>
        <v>-106.97</v>
      </c>
      <c r="F1122" s="80">
        <f t="shared" si="35"/>
        <v>860</v>
      </c>
      <c r="G1122" s="6">
        <f>IFERROR(Comp3[[#This Row],[Comparable '#3 Drawdown]]/MAX($B$2:B1122),"-")</f>
        <v>-0.56886832588810898</v>
      </c>
      <c r="H1122" s="1" t="str">
        <f>IF(SUM(COUNTIF(Benchmark1[Benchmark '#1 Dates],Comp3[[#This Row],[Comparable '#3 Dates]]),COUNTIF(Benchmark2[Benchmark '#2 Dates],Comp3[[#This Row],[Comparable '#3 Dates]]))=2,"Pass","Fail")</f>
        <v>Pass</v>
      </c>
      <c r="I1122" s="1">
        <f>IFERROR(Comp3[[#This Row],[Comparable '#3 Return]]-INDEX(Benchmark1[Benchmark '#1 Return],MATCH(Comp3[[#This Row],[Comparable '#3 Dates]],Benchmark1[Benchmark '#1 Dates],0)),"-")</f>
        <v>2.4120225009341446E-2</v>
      </c>
      <c r="L1122" s="72">
        <f>Comp3[[#This Row],[Comparable '#3 Price]]/$B$2*100</f>
        <v>69.166453374285467</v>
      </c>
    </row>
    <row r="1123" spans="1:12">
      <c r="A1123" s="96">
        <v>44910</v>
      </c>
      <c r="B1123" s="101">
        <v>80.180000000000007</v>
      </c>
      <c r="C1123" s="1">
        <f t="shared" si="34"/>
        <v>-1.103887178525473E-2</v>
      </c>
      <c r="D1123" s="1">
        <f>IFERROR(Comp3[[#This Row],[Comparable '#3 Return]]+1,"-")</f>
        <v>0.98896112821474524</v>
      </c>
      <c r="E1123" s="6">
        <f>B1123-MAX($B$2:B1123)</f>
        <v>-107.85999999999999</v>
      </c>
      <c r="F1123" s="80">
        <f t="shared" si="35"/>
        <v>861</v>
      </c>
      <c r="G1123" s="6">
        <f>IFERROR(Comp3[[#This Row],[Comparable '#3 Drawdown]]/MAX($B$2:B1123),"-")</f>
        <v>-0.57360136141246543</v>
      </c>
      <c r="H1123" s="1" t="str">
        <f>IF(SUM(COUNTIF(Benchmark1[Benchmark '#1 Dates],Comp3[[#This Row],[Comparable '#3 Dates]]),COUNTIF(Benchmark2[Benchmark '#2 Dates],Comp3[[#This Row],[Comparable '#3 Dates]]))=2,"Pass","Fail")</f>
        <v>Pass</v>
      </c>
      <c r="I1123" s="1">
        <f>IFERROR(Comp3[[#This Row],[Comparable '#3 Return]]-INDEX(Benchmark1[Benchmark '#1 Return],MATCH(Comp3[[#This Row],[Comparable '#3 Dates]],Benchmark1[Benchmark '#1 Dates],0)),"-")</f>
        <v>1.4197410693229036E-2</v>
      </c>
      <c r="L1123" s="72">
        <f>Comp3[[#This Row],[Comparable '#3 Price]]/$B$2*100</f>
        <v>68.407132497227209</v>
      </c>
    </row>
    <row r="1124" spans="1:12">
      <c r="A1124" s="96">
        <v>44911</v>
      </c>
      <c r="B1124" s="101">
        <v>80.02</v>
      </c>
      <c r="C1124" s="1">
        <f t="shared" si="34"/>
        <v>-1.997503785272095E-3</v>
      </c>
      <c r="D1124" s="1">
        <f>IFERROR(Comp3[[#This Row],[Comparable '#3 Return]]+1,"-")</f>
        <v>0.99800249621472792</v>
      </c>
      <c r="E1124" s="6">
        <f>B1124-MAX($B$2:B1124)</f>
        <v>-108.02</v>
      </c>
      <c r="F1124" s="80">
        <f t="shared" si="35"/>
        <v>862</v>
      </c>
      <c r="G1124" s="6">
        <f>IFERROR(Comp3[[#This Row],[Comparable '#3 Drawdown]]/MAX($B$2:B1124),"-")</f>
        <v>-0.57445224420336094</v>
      </c>
      <c r="H1124" s="1" t="str">
        <f>IF(SUM(COUNTIF(Benchmark1[Benchmark '#1 Dates],Comp3[[#This Row],[Comparable '#3 Dates]]),COUNTIF(Benchmark2[Benchmark '#2 Dates],Comp3[[#This Row],[Comparable '#3 Dates]]))=2,"Pass","Fail")</f>
        <v>Pass</v>
      </c>
      <c r="I1124" s="1">
        <f>IFERROR(Comp3[[#This Row],[Comparable '#3 Return]]-INDEX(Benchmark1[Benchmark '#1 Return],MATCH(Comp3[[#This Row],[Comparable '#3 Dates]],Benchmark1[Benchmark '#1 Dates],0)),"-")</f>
        <v>9.2026907460031112E-3</v>
      </c>
      <c r="L1124" s="72">
        <f>Comp3[[#This Row],[Comparable '#3 Price]]/$B$2*100</f>
        <v>68.270625373261666</v>
      </c>
    </row>
    <row r="1125" spans="1:12">
      <c r="A1125" s="96">
        <v>44914</v>
      </c>
      <c r="B1125" s="101">
        <v>78.290000000000006</v>
      </c>
      <c r="C1125" s="1">
        <f t="shared" si="34"/>
        <v>-2.1856722509266027E-2</v>
      </c>
      <c r="D1125" s="1">
        <f>IFERROR(Comp3[[#This Row],[Comparable '#3 Return]]+1,"-")</f>
        <v>0.97814327749073393</v>
      </c>
      <c r="E1125" s="6">
        <f>B1125-MAX($B$2:B1125)</f>
        <v>-109.74999999999999</v>
      </c>
      <c r="F1125" s="80">
        <f t="shared" si="35"/>
        <v>863</v>
      </c>
      <c r="G1125" s="6">
        <f>IFERROR(Comp3[[#This Row],[Comparable '#3 Drawdown]]/MAX($B$2:B1125),"-")</f>
        <v>-0.5836524143799191</v>
      </c>
      <c r="H1125" s="1" t="str">
        <f>IF(SUM(COUNTIF(Benchmark1[Benchmark '#1 Dates],Comp3[[#This Row],[Comparable '#3 Dates]]),COUNTIF(Benchmark2[Benchmark '#2 Dates],Comp3[[#This Row],[Comparable '#3 Dates]]))=2,"Pass","Fail")</f>
        <v>Pass</v>
      </c>
      <c r="I1125" s="1">
        <f>IFERROR(Comp3[[#This Row],[Comparable '#3 Return]]-INDEX(Benchmark1[Benchmark '#1 Return],MATCH(Comp3[[#This Row],[Comparable '#3 Dates]],Benchmark1[Benchmark '#1 Dates],0)),"-")</f>
        <v>-1.2807029590322937E-2</v>
      </c>
      <c r="L1125" s="72">
        <f>Comp3[[#This Row],[Comparable '#3 Price]]/$B$2*100</f>
        <v>66.794642095384361</v>
      </c>
    </row>
    <row r="1126" spans="1:12">
      <c r="A1126" s="96">
        <v>44915</v>
      </c>
      <c r="B1126" s="101">
        <v>79.959999999999994</v>
      </c>
      <c r="C1126" s="1">
        <f t="shared" si="34"/>
        <v>2.1106628712376351E-2</v>
      </c>
      <c r="D1126" s="1">
        <f>IFERROR(Comp3[[#This Row],[Comparable '#3 Return]]+1,"-")</f>
        <v>1.0211066287123765</v>
      </c>
      <c r="E1126" s="6">
        <f>B1126-MAX($B$2:B1126)</f>
        <v>-108.08</v>
      </c>
      <c r="F1126" s="80">
        <f t="shared" si="35"/>
        <v>864</v>
      </c>
      <c r="G1126" s="6">
        <f>IFERROR(Comp3[[#This Row],[Comparable '#3 Drawdown]]/MAX($B$2:B1126),"-")</f>
        <v>-0.57477132524994679</v>
      </c>
      <c r="H1126" s="1" t="str">
        <f>IF(SUM(COUNTIF(Benchmark1[Benchmark '#1 Dates],Comp3[[#This Row],[Comparable '#3 Dates]]),COUNTIF(Benchmark2[Benchmark '#2 Dates],Comp3[[#This Row],[Comparable '#3 Dates]]))=2,"Pass","Fail")</f>
        <v>Pass</v>
      </c>
      <c r="I1126" s="1">
        <f>IFERROR(Comp3[[#This Row],[Comparable '#3 Return]]-INDEX(Benchmark1[Benchmark '#1 Return],MATCH(Comp3[[#This Row],[Comparable '#3 Dates]],Benchmark1[Benchmark '#1 Dates],0)),"-")</f>
        <v>2.0069567149090306E-2</v>
      </c>
      <c r="L1126" s="72">
        <f>Comp3[[#This Row],[Comparable '#3 Price]]/$B$2*100</f>
        <v>68.219435201774587</v>
      </c>
    </row>
    <row r="1127" spans="1:12">
      <c r="A1127" s="96">
        <v>44916</v>
      </c>
      <c r="B1127" s="101">
        <v>80.91</v>
      </c>
      <c r="C1127" s="1">
        <f t="shared" si="34"/>
        <v>1.1810916187548991E-2</v>
      </c>
      <c r="D1127" s="1">
        <f>IFERROR(Comp3[[#This Row],[Comparable '#3 Return]]+1,"-")</f>
        <v>1.011810916187549</v>
      </c>
      <c r="E1127" s="6">
        <f>B1127-MAX($B$2:B1127)</f>
        <v>-107.13</v>
      </c>
      <c r="F1127" s="80">
        <f t="shared" si="35"/>
        <v>865</v>
      </c>
      <c r="G1127" s="6">
        <f>IFERROR(Comp3[[#This Row],[Comparable '#3 Drawdown]]/MAX($B$2:B1127),"-")</f>
        <v>-0.5697192086790045</v>
      </c>
      <c r="H1127" s="1" t="str">
        <f>IF(SUM(COUNTIF(Benchmark1[Benchmark '#1 Dates],Comp3[[#This Row],[Comparable '#3 Dates]]),COUNTIF(Benchmark2[Benchmark '#2 Dates],Comp3[[#This Row],[Comparable '#3 Dates]]))=2,"Pass","Fail")</f>
        <v>Pass</v>
      </c>
      <c r="I1127" s="1">
        <f>IFERROR(Comp3[[#This Row],[Comparable '#3 Return]]-INDEX(Benchmark1[Benchmark '#1 Return],MATCH(Comp3[[#This Row],[Comparable '#3 Dates]],Benchmark1[Benchmark '#1 Dates],0)),"-")</f>
        <v>-2.94783921797666E-3</v>
      </c>
      <c r="L1127" s="72">
        <f>Comp3[[#This Row],[Comparable '#3 Price]]/$B$2*100</f>
        <v>69.029946250319938</v>
      </c>
    </row>
    <row r="1128" spans="1:12">
      <c r="A1128" s="96">
        <v>44917</v>
      </c>
      <c r="B1128" s="101">
        <v>81.349999999999994</v>
      </c>
      <c r="C1128" s="1">
        <f t="shared" si="34"/>
        <v>5.4234078452984847E-3</v>
      </c>
      <c r="D1128" s="1">
        <f>IFERROR(Comp3[[#This Row],[Comparable '#3 Return]]+1,"-")</f>
        <v>1.0054234078452984</v>
      </c>
      <c r="E1128" s="6">
        <f>B1128-MAX($B$2:B1128)</f>
        <v>-106.69</v>
      </c>
      <c r="F1128" s="80">
        <f t="shared" si="35"/>
        <v>866</v>
      </c>
      <c r="G1128" s="6">
        <f>IFERROR(Comp3[[#This Row],[Comparable '#3 Drawdown]]/MAX($B$2:B1128),"-")</f>
        <v>-0.56737928100404167</v>
      </c>
      <c r="H1128" s="1" t="str">
        <f>IF(SUM(COUNTIF(Benchmark1[Benchmark '#1 Dates],Comp3[[#This Row],[Comparable '#3 Dates]]),COUNTIF(Benchmark2[Benchmark '#2 Dates],Comp3[[#This Row],[Comparable '#3 Dates]]))=2,"Pass","Fail")</f>
        <v>Pass</v>
      </c>
      <c r="I1128" s="1">
        <f>IFERROR(Comp3[[#This Row],[Comparable '#3 Return]]-INDEX(Benchmark1[Benchmark '#1 Return],MATCH(Comp3[[#This Row],[Comparable '#3 Dates]],Benchmark1[Benchmark '#1 Dates],0)),"-")</f>
        <v>1.9981397960290099E-2</v>
      </c>
      <c r="L1128" s="72">
        <f>Comp3[[#This Row],[Comparable '#3 Price]]/$B$2*100</f>
        <v>69.405340841225154</v>
      </c>
    </row>
    <row r="1129" spans="1:12">
      <c r="A1129" s="96">
        <v>44918</v>
      </c>
      <c r="B1129" s="101">
        <v>81.45</v>
      </c>
      <c r="C1129" s="1">
        <f t="shared" si="34"/>
        <v>1.2285013830075462E-3</v>
      </c>
      <c r="D1129" s="1">
        <f>IFERROR(Comp3[[#This Row],[Comparable '#3 Return]]+1,"-")</f>
        <v>1.0012285013830076</v>
      </c>
      <c r="E1129" s="6">
        <f>B1129-MAX($B$2:B1129)</f>
        <v>-106.58999999999999</v>
      </c>
      <c r="F1129" s="80">
        <f t="shared" si="35"/>
        <v>867</v>
      </c>
      <c r="G1129" s="6">
        <f>IFERROR(Comp3[[#This Row],[Comparable '#3 Drawdown]]/MAX($B$2:B1129),"-")</f>
        <v>-0.56684747925973189</v>
      </c>
      <c r="H1129" s="1" t="str">
        <f>IF(SUM(COUNTIF(Benchmark1[Benchmark '#1 Dates],Comp3[[#This Row],[Comparable '#3 Dates]]),COUNTIF(Benchmark2[Benchmark '#2 Dates],Comp3[[#This Row],[Comparable '#3 Dates]]))=2,"Pass","Fail")</f>
        <v>Pass</v>
      </c>
      <c r="I1129" s="1">
        <f>IFERROR(Comp3[[#This Row],[Comparable '#3 Return]]-INDEX(Benchmark1[Benchmark '#1 Return],MATCH(Comp3[[#This Row],[Comparable '#3 Dates]],Benchmark1[Benchmark '#1 Dates],0)),"-")</f>
        <v>-4.6219795007618244E-3</v>
      </c>
      <c r="L1129" s="72">
        <f>Comp3[[#This Row],[Comparable '#3 Price]]/$B$2*100</f>
        <v>69.490657793703619</v>
      </c>
    </row>
    <row r="1130" spans="1:12">
      <c r="A1130" s="96">
        <v>44922</v>
      </c>
      <c r="B1130" s="101">
        <v>81.25</v>
      </c>
      <c r="C1130" s="1">
        <f t="shared" si="34"/>
        <v>-2.4585138382072634E-3</v>
      </c>
      <c r="D1130" s="1">
        <f>IFERROR(Comp3[[#This Row],[Comparable '#3 Return]]+1,"-")</f>
        <v>0.99754148616179272</v>
      </c>
      <c r="E1130" s="6">
        <f>B1130-MAX($B$2:B1130)</f>
        <v>-106.78999999999999</v>
      </c>
      <c r="F1130" s="80">
        <f t="shared" si="35"/>
        <v>868</v>
      </c>
      <c r="G1130" s="6">
        <f>IFERROR(Comp3[[#This Row],[Comparable '#3 Drawdown]]/MAX($B$2:B1130),"-")</f>
        <v>-0.56791108274835145</v>
      </c>
      <c r="H1130" s="1" t="str">
        <f>IF(SUM(COUNTIF(Benchmark1[Benchmark '#1 Dates],Comp3[[#This Row],[Comparable '#3 Dates]]),COUNTIF(Benchmark2[Benchmark '#2 Dates],Comp3[[#This Row],[Comparable '#3 Dates]]))=2,"Pass","Fail")</f>
        <v>Pass</v>
      </c>
      <c r="I1130" s="1">
        <f>IFERROR(Comp3[[#This Row],[Comparable '#3 Return]]-INDEX(Benchmark1[Benchmark '#1 Return],MATCH(Comp3[[#This Row],[Comparable '#3 Dates]],Benchmark1[Benchmark '#1 Dates],0)),"-")</f>
        <v>1.5982154573258062E-3</v>
      </c>
      <c r="L1130" s="72">
        <f>Comp3[[#This Row],[Comparable '#3 Price]]/$B$2*100</f>
        <v>69.32002388874669</v>
      </c>
    </row>
    <row r="1131" spans="1:12">
      <c r="A1131" s="96">
        <v>44923</v>
      </c>
      <c r="B1131" s="101">
        <v>80.150000000000006</v>
      </c>
      <c r="C1131" s="1">
        <f t="shared" si="34"/>
        <v>-1.3630942154284866E-2</v>
      </c>
      <c r="D1131" s="1">
        <f>IFERROR(Comp3[[#This Row],[Comparable '#3 Return]]+1,"-")</f>
        <v>0.98636905784571516</v>
      </c>
      <c r="E1131" s="6">
        <f>B1131-MAX($B$2:B1131)</f>
        <v>-107.88999999999999</v>
      </c>
      <c r="F1131" s="80">
        <f t="shared" si="35"/>
        <v>869</v>
      </c>
      <c r="G1131" s="6">
        <f>IFERROR(Comp3[[#This Row],[Comparable '#3 Drawdown]]/MAX($B$2:B1131),"-")</f>
        <v>-0.57376090193575835</v>
      </c>
      <c r="H1131" s="1" t="str">
        <f>IF(SUM(COUNTIF(Benchmark1[Benchmark '#1 Dates],Comp3[[#This Row],[Comparable '#3 Dates]]),COUNTIF(Benchmark2[Benchmark '#2 Dates],Comp3[[#This Row],[Comparable '#3 Dates]]))=2,"Pass","Fail")</f>
        <v>Pass</v>
      </c>
      <c r="I1131" s="1">
        <f>IFERROR(Comp3[[#This Row],[Comparable '#3 Return]]-INDEX(Benchmark1[Benchmark '#1 Return],MATCH(Comp3[[#This Row],[Comparable '#3 Dates]],Benchmark1[Benchmark '#1 Dates],0)),"-")</f>
        <v>-1.5381815315719267E-3</v>
      </c>
      <c r="L1131" s="72">
        <f>Comp3[[#This Row],[Comparable '#3 Price]]/$B$2*100</f>
        <v>68.381537411483677</v>
      </c>
    </row>
    <row r="1132" spans="1:12">
      <c r="A1132" s="96">
        <v>44924</v>
      </c>
      <c r="B1132" s="101">
        <v>80.91</v>
      </c>
      <c r="C1132" s="1">
        <f t="shared" si="34"/>
        <v>9.4375467641861239E-3</v>
      </c>
      <c r="D1132" s="1">
        <f>IFERROR(Comp3[[#This Row],[Comparable '#3 Return]]+1,"-")</f>
        <v>1.0094375467641861</v>
      </c>
      <c r="E1132" s="6">
        <f>B1132-MAX($B$2:B1132)</f>
        <v>-107.13</v>
      </c>
      <c r="F1132" s="80">
        <f t="shared" si="35"/>
        <v>870</v>
      </c>
      <c r="G1132" s="6">
        <f>IFERROR(Comp3[[#This Row],[Comparable '#3 Drawdown]]/MAX($B$2:B1132),"-")</f>
        <v>-0.5697192086790045</v>
      </c>
      <c r="H1132" s="1" t="str">
        <f>IF(SUM(COUNTIF(Benchmark1[Benchmark '#1 Dates],Comp3[[#This Row],[Comparable '#3 Dates]]),COUNTIF(Benchmark2[Benchmark '#2 Dates],Comp3[[#This Row],[Comparable '#3 Dates]]))=2,"Pass","Fail")</f>
        <v>Pass</v>
      </c>
      <c r="I1132" s="1">
        <f>IFERROR(Comp3[[#This Row],[Comparable '#3 Return]]-INDEX(Benchmark1[Benchmark '#1 Return],MATCH(Comp3[[#This Row],[Comparable '#3 Dates]],Benchmark1[Benchmark '#1 Dates],0)),"-")</f>
        <v>-7.8734048442248485E-3</v>
      </c>
      <c r="L1132" s="72">
        <f>Comp3[[#This Row],[Comparable '#3 Price]]/$B$2*100</f>
        <v>69.029946250319938</v>
      </c>
    </row>
    <row r="1133" spans="1:12">
      <c r="A1133" s="96">
        <v>44925</v>
      </c>
      <c r="B1133" s="101">
        <v>78.319999999999993</v>
      </c>
      <c r="C1133" s="1">
        <f t="shared" si="34"/>
        <v>-3.2534427597493434E-2</v>
      </c>
      <c r="D1133" s="1">
        <f>IFERROR(Comp3[[#This Row],[Comparable '#3 Return]]+1,"-")</f>
        <v>0.96746557240250652</v>
      </c>
      <c r="E1133" s="6">
        <f>B1133-MAX($B$2:B1133)</f>
        <v>-109.72</v>
      </c>
      <c r="F1133" s="80">
        <f t="shared" si="35"/>
        <v>871</v>
      </c>
      <c r="G1133" s="6">
        <f>IFERROR(Comp3[[#This Row],[Comparable '#3 Drawdown]]/MAX($B$2:B1133),"-")</f>
        <v>-0.58349287385662629</v>
      </c>
      <c r="H1133" s="1" t="str">
        <f>IF(SUM(COUNTIF(Benchmark1[Benchmark '#1 Dates],Comp3[[#This Row],[Comparable '#3 Dates]]),COUNTIF(Benchmark2[Benchmark '#2 Dates],Comp3[[#This Row],[Comparable '#3 Dates]]))=2,"Pass","Fail")</f>
        <v>Pass</v>
      </c>
      <c r="I1133" s="1">
        <f>IFERROR(Comp3[[#This Row],[Comparable '#3 Return]]-INDEX(Benchmark1[Benchmark '#1 Return],MATCH(Comp3[[#This Row],[Comparable '#3 Dates]],Benchmark1[Benchmark '#1 Dates],0)),"-")</f>
        <v>-2.9988731689716622E-2</v>
      </c>
      <c r="L1133" s="72">
        <f>Comp3[[#This Row],[Comparable '#3 Price]]/$B$2*100</f>
        <v>66.820237181127879</v>
      </c>
    </row>
    <row r="1134" spans="1:12">
      <c r="A1134" s="96">
        <v>44929</v>
      </c>
      <c r="B1134" s="101">
        <v>79.34</v>
      </c>
      <c r="C1134" s="1">
        <f t="shared" si="34"/>
        <v>1.2939416863929304E-2</v>
      </c>
      <c r="D1134" s="1">
        <f>IFERROR(Comp3[[#This Row],[Comparable '#3 Return]]+1,"-")</f>
        <v>1.0129394168639294</v>
      </c>
      <c r="E1134" s="6">
        <f>B1134-MAX($B$2:B1134)</f>
        <v>-108.69999999999999</v>
      </c>
      <c r="F1134" s="80">
        <f t="shared" si="35"/>
        <v>872</v>
      </c>
      <c r="G1134" s="6">
        <f>IFERROR(Comp3[[#This Row],[Comparable '#3 Drawdown]]/MAX($B$2:B1134),"-")</f>
        <v>-0.57806849606466704</v>
      </c>
      <c r="H1134" s="1" t="str">
        <f>IF(SUM(COUNTIF(Benchmark1[Benchmark '#1 Dates],Comp3[[#This Row],[Comparable '#3 Dates]]),COUNTIF(Benchmark2[Benchmark '#2 Dates],Comp3[[#This Row],[Comparable '#3 Dates]]))=2,"Pass","Fail")</f>
        <v>Pass</v>
      </c>
      <c r="I1134" s="1">
        <f>IFERROR(Comp3[[#This Row],[Comparable '#3 Return]]-INDEX(Benchmark1[Benchmark '#1 Return],MATCH(Comp3[[#This Row],[Comparable '#3 Dates]],Benchmark1[Benchmark '#1 Dates],0)),"-")</f>
        <v>1.694754808540222E-2</v>
      </c>
      <c r="L1134" s="72">
        <f>Comp3[[#This Row],[Comparable '#3 Price]]/$B$2*100</f>
        <v>67.690470096408163</v>
      </c>
    </row>
    <row r="1135" spans="1:12">
      <c r="A1135" s="96">
        <v>44930</v>
      </c>
      <c r="B1135" s="101">
        <v>79.819999999999993</v>
      </c>
      <c r="C1135" s="1">
        <f t="shared" si="34"/>
        <v>6.0316845344035386E-3</v>
      </c>
      <c r="D1135" s="1">
        <f>IFERROR(Comp3[[#This Row],[Comparable '#3 Return]]+1,"-")</f>
        <v>1.0060316845344035</v>
      </c>
      <c r="E1135" s="6">
        <f>B1135-MAX($B$2:B1135)</f>
        <v>-108.22</v>
      </c>
      <c r="F1135" s="80">
        <f t="shared" si="35"/>
        <v>873</v>
      </c>
      <c r="G1135" s="6">
        <f>IFERROR(Comp3[[#This Row],[Comparable '#3 Drawdown]]/MAX($B$2:B1135),"-")</f>
        <v>-0.5755158476919805</v>
      </c>
      <c r="H1135" s="1" t="str">
        <f>IF(SUM(COUNTIF(Benchmark1[Benchmark '#1 Dates],Comp3[[#This Row],[Comparable '#3 Dates]]),COUNTIF(Benchmark2[Benchmark '#2 Dates],Comp3[[#This Row],[Comparable '#3 Dates]]))=2,"Pass","Fail")</f>
        <v>Pass</v>
      </c>
      <c r="I1135" s="1">
        <f>IFERROR(Comp3[[#This Row],[Comparable '#3 Return]]-INDEX(Benchmark1[Benchmark '#1 Return],MATCH(Comp3[[#This Row],[Comparable '#3 Dates]],Benchmark1[Benchmark '#1 Dates],0)),"-")</f>
        <v>-1.4783255085619529E-3</v>
      </c>
      <c r="L1135" s="72">
        <f>Comp3[[#This Row],[Comparable '#3 Price]]/$B$2*100</f>
        <v>68.099991468304751</v>
      </c>
    </row>
    <row r="1136" spans="1:12">
      <c r="A1136" s="96">
        <v>44931</v>
      </c>
      <c r="B1136" s="101">
        <v>80.959999999999994</v>
      </c>
      <c r="C1136" s="1">
        <f t="shared" si="34"/>
        <v>1.4181105918567673E-2</v>
      </c>
      <c r="D1136" s="1">
        <f>IFERROR(Comp3[[#This Row],[Comparable '#3 Return]]+1,"-")</f>
        <v>1.0141811059185677</v>
      </c>
      <c r="E1136" s="6">
        <f>B1136-MAX($B$2:B1136)</f>
        <v>-107.08</v>
      </c>
      <c r="F1136" s="80">
        <f t="shared" si="35"/>
        <v>874</v>
      </c>
      <c r="G1136" s="6">
        <f>IFERROR(Comp3[[#This Row],[Comparable '#3 Drawdown]]/MAX($B$2:B1136),"-")</f>
        <v>-0.56945330780684966</v>
      </c>
      <c r="H1136" s="1" t="str">
        <f>IF(SUM(COUNTIF(Benchmark1[Benchmark '#1 Dates],Comp3[[#This Row],[Comparable '#3 Dates]]),COUNTIF(Benchmark2[Benchmark '#2 Dates],Comp3[[#This Row],[Comparable '#3 Dates]]))=2,"Pass","Fail")</f>
        <v>Pass</v>
      </c>
      <c r="I1136" s="1">
        <f>IFERROR(Comp3[[#This Row],[Comparable '#3 Return]]-INDEX(Benchmark1[Benchmark '#1 Return],MATCH(Comp3[[#This Row],[Comparable '#3 Dates]],Benchmark1[Benchmark '#1 Dates],0)),"-")</f>
        <v>2.5893105175806626E-2</v>
      </c>
      <c r="L1136" s="72">
        <f>Comp3[[#This Row],[Comparable '#3 Price]]/$B$2*100</f>
        <v>69.072604726559163</v>
      </c>
    </row>
    <row r="1137" spans="1:12">
      <c r="A1137" s="96">
        <v>44932</v>
      </c>
      <c r="B1137" s="101">
        <v>85.17</v>
      </c>
      <c r="C1137" s="1">
        <f t="shared" si="34"/>
        <v>5.0694053613834299E-2</v>
      </c>
      <c r="D1137" s="1">
        <f>IFERROR(Comp3[[#This Row],[Comparable '#3 Return]]+1,"-")</f>
        <v>1.0506940536138343</v>
      </c>
      <c r="E1137" s="6">
        <f>B1137-MAX($B$2:B1137)</f>
        <v>-102.86999999999999</v>
      </c>
      <c r="F1137" s="80">
        <f t="shared" si="35"/>
        <v>875</v>
      </c>
      <c r="G1137" s="6">
        <f>IFERROR(Comp3[[#This Row],[Comparable '#3 Drawdown]]/MAX($B$2:B1137),"-")</f>
        <v>-0.54706445437141027</v>
      </c>
      <c r="H1137" s="1" t="str">
        <f>IF(SUM(COUNTIF(Benchmark1[Benchmark '#1 Dates],Comp3[[#This Row],[Comparable '#3 Dates]]),COUNTIF(Benchmark2[Benchmark '#2 Dates],Comp3[[#This Row],[Comparable '#3 Dates]]))=2,"Pass","Fail")</f>
        <v>Pass</v>
      </c>
      <c r="I1137" s="1">
        <f>IFERROR(Comp3[[#This Row],[Comparable '#3 Return]]-INDEX(Benchmark1[Benchmark '#1 Return],MATCH(Comp3[[#This Row],[Comparable '#3 Dates]],Benchmark1[Benchmark '#1 Dates],0)),"-")</f>
        <v>2.8112113599225226E-2</v>
      </c>
      <c r="L1137" s="72">
        <f>Comp3[[#This Row],[Comparable '#3 Price]]/$B$2*100</f>
        <v>72.664448425902222</v>
      </c>
    </row>
    <row r="1138" spans="1:12">
      <c r="A1138" s="96">
        <v>44935</v>
      </c>
      <c r="B1138" s="101">
        <v>84.88</v>
      </c>
      <c r="C1138" s="1">
        <f t="shared" si="34"/>
        <v>-3.4107648472619257E-3</v>
      </c>
      <c r="D1138" s="1">
        <f>IFERROR(Comp3[[#This Row],[Comparable '#3 Return]]+1,"-")</f>
        <v>0.99658923515273812</v>
      </c>
      <c r="E1138" s="6">
        <f>B1138-MAX($B$2:B1138)</f>
        <v>-103.16</v>
      </c>
      <c r="F1138" s="80">
        <f t="shared" si="35"/>
        <v>876</v>
      </c>
      <c r="G1138" s="6">
        <f>IFERROR(Comp3[[#This Row],[Comparable '#3 Drawdown]]/MAX($B$2:B1138),"-")</f>
        <v>-0.54860667942990848</v>
      </c>
      <c r="H1138" s="1" t="str">
        <f>IF(SUM(COUNTIF(Benchmark1[Benchmark '#1 Dates],Comp3[[#This Row],[Comparable '#3 Dates]]),COUNTIF(Benchmark2[Benchmark '#2 Dates],Comp3[[#This Row],[Comparable '#3 Dates]]))=2,"Pass","Fail")</f>
        <v>Pass</v>
      </c>
      <c r="I1138" s="1">
        <f>IFERROR(Comp3[[#This Row],[Comparable '#3 Return]]-INDEX(Benchmark1[Benchmark '#1 Return],MATCH(Comp3[[#This Row],[Comparable '#3 Dates]],Benchmark1[Benchmark '#1 Dates],0)),"-")</f>
        <v>-2.644236123887457E-3</v>
      </c>
      <c r="L1138" s="72">
        <f>Comp3[[#This Row],[Comparable '#3 Price]]/$B$2*100</f>
        <v>72.41702926371471</v>
      </c>
    </row>
    <row r="1139" spans="1:12">
      <c r="A1139" s="96">
        <v>44936</v>
      </c>
      <c r="B1139" s="101">
        <v>86.7</v>
      </c>
      <c r="C1139" s="1">
        <f t="shared" si="34"/>
        <v>2.1215389480768568E-2</v>
      </c>
      <c r="D1139" s="1">
        <f>IFERROR(Comp3[[#This Row],[Comparable '#3 Return]]+1,"-")</f>
        <v>1.0212153894807685</v>
      </c>
      <c r="E1139" s="6">
        <f>B1139-MAX($B$2:B1139)</f>
        <v>-101.33999999999999</v>
      </c>
      <c r="F1139" s="80">
        <f t="shared" si="35"/>
        <v>877</v>
      </c>
      <c r="G1139" s="6">
        <f>IFERROR(Comp3[[#This Row],[Comparable '#3 Drawdown]]/MAX($B$2:B1139),"-")</f>
        <v>-0.53892788768347155</v>
      </c>
      <c r="H1139" s="1" t="str">
        <f>IF(SUM(COUNTIF(Benchmark1[Benchmark '#1 Dates],Comp3[[#This Row],[Comparable '#3 Dates]]),COUNTIF(Benchmark2[Benchmark '#2 Dates],Comp3[[#This Row],[Comparable '#3 Dates]]))=2,"Pass","Fail")</f>
        <v>Pass</v>
      </c>
      <c r="I1139" s="1">
        <f>IFERROR(Comp3[[#This Row],[Comparable '#3 Return]]-INDEX(Benchmark1[Benchmark '#1 Return],MATCH(Comp3[[#This Row],[Comparable '#3 Dates]],Benchmark1[Benchmark '#1 Dates],0)),"-")</f>
        <v>1.4260751917945038E-2</v>
      </c>
      <c r="L1139" s="72">
        <f>Comp3[[#This Row],[Comparable '#3 Price]]/$B$2*100</f>
        <v>73.96979779882264</v>
      </c>
    </row>
    <row r="1140" spans="1:12">
      <c r="A1140" s="96">
        <v>44937</v>
      </c>
      <c r="B1140" s="101">
        <v>86.81</v>
      </c>
      <c r="C1140" s="1">
        <f t="shared" si="34"/>
        <v>1.2679386172204236E-3</v>
      </c>
      <c r="D1140" s="1">
        <f>IFERROR(Comp3[[#This Row],[Comparable '#3 Return]]+1,"-")</f>
        <v>1.0012679386172205</v>
      </c>
      <c r="E1140" s="6">
        <f>B1140-MAX($B$2:B1140)</f>
        <v>-101.22999999999999</v>
      </c>
      <c r="F1140" s="80">
        <f t="shared" si="35"/>
        <v>878</v>
      </c>
      <c r="G1140" s="6">
        <f>IFERROR(Comp3[[#This Row],[Comparable '#3 Drawdown]]/MAX($B$2:B1140),"-")</f>
        <v>-0.53834290576473087</v>
      </c>
      <c r="H1140" s="1" t="str">
        <f>IF(SUM(COUNTIF(Benchmark1[Benchmark '#1 Dates],Comp3[[#This Row],[Comparable '#3 Dates]]),COUNTIF(Benchmark2[Benchmark '#2 Dates],Comp3[[#This Row],[Comparable '#3 Dates]]))=2,"Pass","Fail")</f>
        <v>Pass</v>
      </c>
      <c r="I1140" s="1">
        <f>IFERROR(Comp3[[#This Row],[Comparable '#3 Return]]-INDEX(Benchmark1[Benchmark '#1 Return],MATCH(Comp3[[#This Row],[Comparable '#3 Dates]],Benchmark1[Benchmark '#1 Dates],0)),"-")</f>
        <v>-1.1499759752184891E-2</v>
      </c>
      <c r="L1140" s="72">
        <f>Comp3[[#This Row],[Comparable '#3 Price]]/$B$2*100</f>
        <v>74.06364644654893</v>
      </c>
    </row>
    <row r="1141" spans="1:12">
      <c r="A1141" s="96">
        <v>44938</v>
      </c>
      <c r="B1141" s="101">
        <v>87.67</v>
      </c>
      <c r="C1141" s="1">
        <f t="shared" si="34"/>
        <v>9.8579431967775015E-3</v>
      </c>
      <c r="D1141" s="1">
        <f>IFERROR(Comp3[[#This Row],[Comparable '#3 Return]]+1,"-")</f>
        <v>1.0098579431967776</v>
      </c>
      <c r="E1141" s="6">
        <f>B1141-MAX($B$2:B1141)</f>
        <v>-100.36999999999999</v>
      </c>
      <c r="F1141" s="80">
        <f t="shared" si="35"/>
        <v>879</v>
      </c>
      <c r="G1141" s="6">
        <f>IFERROR(Comp3[[#This Row],[Comparable '#3 Drawdown]]/MAX($B$2:B1141),"-")</f>
        <v>-0.53376941076366724</v>
      </c>
      <c r="H1141" s="1" t="str">
        <f>IF(SUM(COUNTIF(Benchmark1[Benchmark '#1 Dates],Comp3[[#This Row],[Comparable '#3 Dates]]),COUNTIF(Benchmark2[Benchmark '#2 Dates],Comp3[[#This Row],[Comparable '#3 Dates]]))=2,"Pass","Fail")</f>
        <v>Pass</v>
      </c>
      <c r="I1141" s="1">
        <f>IFERROR(Comp3[[#This Row],[Comparable '#3 Return]]-INDEX(Benchmark1[Benchmark '#1 Return],MATCH(Comp3[[#This Row],[Comparable '#3 Dates]],Benchmark1[Benchmark '#1 Dates],0)),"-")</f>
        <v>6.4497163860348606E-3</v>
      </c>
      <c r="L1141" s="72">
        <f>Comp3[[#This Row],[Comparable '#3 Price]]/$B$2*100</f>
        <v>74.797372237863669</v>
      </c>
    </row>
    <row r="1142" spans="1:12">
      <c r="A1142" s="96">
        <v>44939</v>
      </c>
      <c r="B1142" s="101">
        <v>89.7</v>
      </c>
      <c r="C1142" s="1">
        <f t="shared" si="34"/>
        <v>2.2891003464256151E-2</v>
      </c>
      <c r="D1142" s="1">
        <f>IFERROR(Comp3[[#This Row],[Comparable '#3 Return]]+1,"-")</f>
        <v>1.0228910034642562</v>
      </c>
      <c r="E1142" s="6">
        <f>B1142-MAX($B$2:B1142)</f>
        <v>-98.339999999999989</v>
      </c>
      <c r="F1142" s="80">
        <f t="shared" si="35"/>
        <v>880</v>
      </c>
      <c r="G1142" s="6">
        <f>IFERROR(Comp3[[#This Row],[Comparable '#3 Drawdown]]/MAX($B$2:B1142),"-")</f>
        <v>-0.52297383535417996</v>
      </c>
      <c r="H1142" s="1" t="str">
        <f>IF(SUM(COUNTIF(Benchmark1[Benchmark '#1 Dates],Comp3[[#This Row],[Comparable '#3 Dates]]),COUNTIF(Benchmark2[Benchmark '#2 Dates],Comp3[[#This Row],[Comparable '#3 Dates]]))=2,"Pass","Fail")</f>
        <v>Pass</v>
      </c>
      <c r="I1142" s="1">
        <f>IFERROR(Comp3[[#This Row],[Comparable '#3 Return]]-INDEX(Benchmark1[Benchmark '#1 Return],MATCH(Comp3[[#This Row],[Comparable '#3 Dates]],Benchmark1[Benchmark '#1 Dates],0)),"-")</f>
        <v>1.8901073572294782E-2</v>
      </c>
      <c r="L1142" s="72">
        <f>Comp3[[#This Row],[Comparable '#3 Price]]/$B$2*100</f>
        <v>76.529306373176354</v>
      </c>
    </row>
    <row r="1143" spans="1:12">
      <c r="A1143" s="96">
        <v>44943</v>
      </c>
      <c r="B1143" s="101">
        <v>87.78</v>
      </c>
      <c r="C1143" s="1">
        <f t="shared" si="34"/>
        <v>-2.1637084804662522E-2</v>
      </c>
      <c r="D1143" s="1">
        <f>IFERROR(Comp3[[#This Row],[Comparable '#3 Return]]+1,"-")</f>
        <v>0.97836291519533747</v>
      </c>
      <c r="E1143" s="6">
        <f>B1143-MAX($B$2:B1143)</f>
        <v>-100.25999999999999</v>
      </c>
      <c r="F1143" s="80">
        <f t="shared" si="35"/>
        <v>881</v>
      </c>
      <c r="G1143" s="6">
        <f>IFERROR(Comp3[[#This Row],[Comparable '#3 Drawdown]]/MAX($B$2:B1143),"-")</f>
        <v>-0.53318442884492656</v>
      </c>
      <c r="H1143" s="1" t="str">
        <f>IF(SUM(COUNTIF(Benchmark1[Benchmark '#1 Dates],Comp3[[#This Row],[Comparable '#3 Dates]]),COUNTIF(Benchmark2[Benchmark '#2 Dates],Comp3[[#This Row],[Comparable '#3 Dates]]))=2,"Pass","Fail")</f>
        <v>Pass</v>
      </c>
      <c r="I1143" s="1">
        <f>IFERROR(Comp3[[#This Row],[Comparable '#3 Return]]-INDEX(Benchmark1[Benchmark '#1 Return],MATCH(Comp3[[#This Row],[Comparable '#3 Dates]],Benchmark1[Benchmark '#1 Dates],0)),"-")</f>
        <v>-1.9604383416276912E-2</v>
      </c>
      <c r="L1143" s="72">
        <f>Comp3[[#This Row],[Comparable '#3 Price]]/$B$2*100</f>
        <v>74.891220885589973</v>
      </c>
    </row>
    <row r="1144" spans="1:12">
      <c r="A1144" s="96">
        <v>44944</v>
      </c>
      <c r="B1144" s="101">
        <v>86.87</v>
      </c>
      <c r="C1144" s="1">
        <f t="shared" si="34"/>
        <v>-1.0420935988258757E-2</v>
      </c>
      <c r="D1144" s="1">
        <f>IFERROR(Comp3[[#This Row],[Comparable '#3 Return]]+1,"-")</f>
        <v>0.98957906401174123</v>
      </c>
      <c r="E1144" s="6">
        <f>B1144-MAX($B$2:B1144)</f>
        <v>-101.16999999999999</v>
      </c>
      <c r="F1144" s="80">
        <f t="shared" si="35"/>
        <v>882</v>
      </c>
      <c r="G1144" s="6">
        <f>IFERROR(Comp3[[#This Row],[Comparable '#3 Drawdown]]/MAX($B$2:B1144),"-")</f>
        <v>-0.53802382471814503</v>
      </c>
      <c r="H1144" s="1" t="str">
        <f>IF(SUM(COUNTIF(Benchmark1[Benchmark '#1 Dates],Comp3[[#This Row],[Comparable '#3 Dates]]),COUNTIF(Benchmark2[Benchmark '#2 Dates],Comp3[[#This Row],[Comparable '#3 Dates]]))=2,"Pass","Fail")</f>
        <v>Pass</v>
      </c>
      <c r="I1144" s="1">
        <f>IFERROR(Comp3[[#This Row],[Comparable '#3 Return]]-INDEX(Benchmark1[Benchmark '#1 Return],MATCH(Comp3[[#This Row],[Comparable '#3 Dates]],Benchmark1[Benchmark '#1 Dates],0)),"-")</f>
        <v>5.2635019087409734E-3</v>
      </c>
      <c r="L1144" s="72">
        <f>Comp3[[#This Row],[Comparable '#3 Price]]/$B$2*100</f>
        <v>74.114836618036009</v>
      </c>
    </row>
    <row r="1145" spans="1:12">
      <c r="A1145" s="96">
        <v>44945</v>
      </c>
      <c r="B1145" s="101">
        <v>86.7</v>
      </c>
      <c r="C1145" s="1">
        <f t="shared" si="34"/>
        <v>-1.958864485333034E-3</v>
      </c>
      <c r="D1145" s="1">
        <f>IFERROR(Comp3[[#This Row],[Comparable '#3 Return]]+1,"-")</f>
        <v>0.998041135514667</v>
      </c>
      <c r="E1145" s="6">
        <f>B1145-MAX($B$2:B1145)</f>
        <v>-101.33999999999999</v>
      </c>
      <c r="F1145" s="80">
        <f t="shared" si="35"/>
        <v>883</v>
      </c>
      <c r="G1145" s="6">
        <f>IFERROR(Comp3[[#This Row],[Comparable '#3 Drawdown]]/MAX($B$2:B1145),"-")</f>
        <v>-0.53892788768347155</v>
      </c>
      <c r="H1145" s="1" t="str">
        <f>IF(SUM(COUNTIF(Benchmark1[Benchmark '#1 Dates],Comp3[[#This Row],[Comparable '#3 Dates]]),COUNTIF(Benchmark2[Benchmark '#2 Dates],Comp3[[#This Row],[Comparable '#3 Dates]]))=2,"Pass","Fail")</f>
        <v>Pass</v>
      </c>
      <c r="I1145" s="1">
        <f>IFERROR(Comp3[[#This Row],[Comparable '#3 Return]]-INDEX(Benchmark1[Benchmark '#1 Return],MATCH(Comp3[[#This Row],[Comparable '#3 Dates]],Benchmark1[Benchmark '#1 Dates],0)),"-")</f>
        <v>5.7081809462168724E-3</v>
      </c>
      <c r="L1145" s="72">
        <f>Comp3[[#This Row],[Comparable '#3 Price]]/$B$2*100</f>
        <v>73.96979779882264</v>
      </c>
    </row>
    <row r="1146" spans="1:12">
      <c r="A1146" s="96">
        <v>44946</v>
      </c>
      <c r="B1146" s="101">
        <v>89.04</v>
      </c>
      <c r="C1146" s="1">
        <f t="shared" si="34"/>
        <v>2.6631823180793192E-2</v>
      </c>
      <c r="D1146" s="1">
        <f>IFERROR(Comp3[[#This Row],[Comparable '#3 Return]]+1,"-")</f>
        <v>1.0266318231807932</v>
      </c>
      <c r="E1146" s="6">
        <f>B1146-MAX($B$2:B1146)</f>
        <v>-98.999999999999986</v>
      </c>
      <c r="F1146" s="80">
        <f t="shared" si="35"/>
        <v>884</v>
      </c>
      <c r="G1146" s="6">
        <f>IFERROR(Comp3[[#This Row],[Comparable '#3 Drawdown]]/MAX($B$2:B1146),"-")</f>
        <v>-0.52648372686662404</v>
      </c>
      <c r="H1146" s="1" t="str">
        <f>IF(SUM(COUNTIF(Benchmark1[Benchmark '#1 Dates],Comp3[[#This Row],[Comparable '#3 Dates]]),COUNTIF(Benchmark2[Benchmark '#2 Dates],Comp3[[#This Row],[Comparable '#3 Dates]]))=2,"Pass","Fail")</f>
        <v>Pass</v>
      </c>
      <c r="I1146" s="1">
        <f>IFERROR(Comp3[[#This Row],[Comparable '#3 Return]]-INDEX(Benchmark1[Benchmark '#1 Return],MATCH(Comp3[[#This Row],[Comparable '#3 Dates]],Benchmark1[Benchmark '#1 Dates],0)),"-")</f>
        <v>7.8912593323984467E-3</v>
      </c>
      <c r="L1146" s="72">
        <f>Comp3[[#This Row],[Comparable '#3 Price]]/$B$2*100</f>
        <v>75.966214486818544</v>
      </c>
    </row>
    <row r="1147" spans="1:12">
      <c r="A1147" s="96">
        <v>44949</v>
      </c>
      <c r="B1147" s="101">
        <v>89.73</v>
      </c>
      <c r="C1147" s="1">
        <f t="shared" si="34"/>
        <v>7.7194543426769647E-3</v>
      </c>
      <c r="D1147" s="1">
        <f>IFERROR(Comp3[[#This Row],[Comparable '#3 Return]]+1,"-")</f>
        <v>1.0077194543426771</v>
      </c>
      <c r="E1147" s="6">
        <f>B1147-MAX($B$2:B1147)</f>
        <v>-98.309999999999988</v>
      </c>
      <c r="F1147" s="80">
        <f t="shared" si="35"/>
        <v>885</v>
      </c>
      <c r="G1147" s="6">
        <f>IFERROR(Comp3[[#This Row],[Comparable '#3 Drawdown]]/MAX($B$2:B1147),"-")</f>
        <v>-0.52281429483088704</v>
      </c>
      <c r="H1147" s="1" t="str">
        <f>IF(SUM(COUNTIF(Benchmark1[Benchmark '#1 Dates],Comp3[[#This Row],[Comparable '#3 Dates]]),COUNTIF(Benchmark2[Benchmark '#2 Dates],Comp3[[#This Row],[Comparable '#3 Dates]]))=2,"Pass","Fail")</f>
        <v>Pass</v>
      </c>
      <c r="I1147" s="1">
        <f>IFERROR(Comp3[[#This Row],[Comparable '#3 Return]]-INDEX(Benchmark1[Benchmark '#1 Return],MATCH(Comp3[[#This Row],[Comparable '#3 Dates]],Benchmark1[Benchmark '#1 Dates],0)),"-")</f>
        <v>-4.0927803127575905E-3</v>
      </c>
      <c r="L1147" s="72">
        <f>Comp3[[#This Row],[Comparable '#3 Price]]/$B$2*100</f>
        <v>76.5549014589199</v>
      </c>
    </row>
    <row r="1148" spans="1:12">
      <c r="A1148" s="96">
        <v>44950</v>
      </c>
      <c r="B1148" s="101">
        <v>91.35</v>
      </c>
      <c r="C1148" s="1">
        <f t="shared" si="34"/>
        <v>1.7893121514049377E-2</v>
      </c>
      <c r="D1148" s="1">
        <f>IFERROR(Comp3[[#This Row],[Comparable '#3 Return]]+1,"-")</f>
        <v>1.0178931215140494</v>
      </c>
      <c r="E1148" s="6">
        <f>B1148-MAX($B$2:B1148)</f>
        <v>-96.69</v>
      </c>
      <c r="F1148" s="80">
        <f t="shared" si="35"/>
        <v>886</v>
      </c>
      <c r="G1148" s="6">
        <f>IFERROR(Comp3[[#This Row],[Comparable '#3 Drawdown]]/MAX($B$2:B1148),"-")</f>
        <v>-0.51419910657306955</v>
      </c>
      <c r="H1148" s="1" t="str">
        <f>IF(SUM(COUNTIF(Benchmark1[Benchmark '#1 Dates],Comp3[[#This Row],[Comparable '#3 Dates]]),COUNTIF(Benchmark2[Benchmark '#2 Dates],Comp3[[#This Row],[Comparable '#3 Dates]]))=2,"Pass","Fail")</f>
        <v>Pass</v>
      </c>
      <c r="I1148" s="1">
        <f>IFERROR(Comp3[[#This Row],[Comparable '#3 Return]]-INDEX(Benchmark1[Benchmark '#1 Return],MATCH(Comp3[[#This Row],[Comparable '#3 Dates]],Benchmark1[Benchmark '#1 Dates],0)),"-")</f>
        <v>1.8605942704902789E-2</v>
      </c>
      <c r="L1148" s="72">
        <f>Comp3[[#This Row],[Comparable '#3 Price]]/$B$2*100</f>
        <v>77.937036089070901</v>
      </c>
    </row>
    <row r="1149" spans="1:12">
      <c r="A1149" s="96">
        <v>44951</v>
      </c>
      <c r="B1149" s="101">
        <v>92.94</v>
      </c>
      <c r="C1149" s="1">
        <f t="shared" si="34"/>
        <v>1.7255840832816588E-2</v>
      </c>
      <c r="D1149" s="1">
        <f>IFERROR(Comp3[[#This Row],[Comparable '#3 Return]]+1,"-")</f>
        <v>1.0172558408328165</v>
      </c>
      <c r="E1149" s="6">
        <f>B1149-MAX($B$2:B1149)</f>
        <v>-95.1</v>
      </c>
      <c r="F1149" s="80">
        <f t="shared" si="35"/>
        <v>887</v>
      </c>
      <c r="G1149" s="6">
        <f>IFERROR(Comp3[[#This Row],[Comparable '#3 Drawdown]]/MAX($B$2:B1149),"-")</f>
        <v>-0.50574345883854499</v>
      </c>
      <c r="H1149" s="1" t="str">
        <f>IF(SUM(COUNTIF(Benchmark1[Benchmark '#1 Dates],Comp3[[#This Row],[Comparable '#3 Dates]]),COUNTIF(Benchmark2[Benchmark '#2 Dates],Comp3[[#This Row],[Comparable '#3 Dates]]))=2,"Pass","Fail")</f>
        <v>Pass</v>
      </c>
      <c r="I1149" s="1">
        <f>IFERROR(Comp3[[#This Row],[Comparable '#3 Return]]-INDEX(Benchmark1[Benchmark '#1 Return],MATCH(Comp3[[#This Row],[Comparable '#3 Dates]],Benchmark1[Benchmark '#1 Dates],0)),"-")</f>
        <v>1.7437705010275549E-2</v>
      </c>
      <c r="L1149" s="72">
        <f>Comp3[[#This Row],[Comparable '#3 Price]]/$B$2*100</f>
        <v>79.293575633478369</v>
      </c>
    </row>
    <row r="1150" spans="1:12">
      <c r="A1150" s="96">
        <v>44952</v>
      </c>
      <c r="B1150" s="101">
        <v>92.93</v>
      </c>
      <c r="C1150" s="1">
        <f t="shared" si="34"/>
        <v>-1.0760208758416559E-4</v>
      </c>
      <c r="D1150" s="1">
        <f>IFERROR(Comp3[[#This Row],[Comparable '#3 Return]]+1,"-")</f>
        <v>0.9998923979124158</v>
      </c>
      <c r="E1150" s="6">
        <f>B1150-MAX($B$2:B1150)</f>
        <v>-95.109999999999985</v>
      </c>
      <c r="F1150" s="80">
        <f t="shared" si="35"/>
        <v>888</v>
      </c>
      <c r="G1150" s="6">
        <f>IFERROR(Comp3[[#This Row],[Comparable '#3 Drawdown]]/MAX($B$2:B1150),"-")</f>
        <v>-0.50579663901297589</v>
      </c>
      <c r="H1150" s="1" t="str">
        <f>IF(SUM(COUNTIF(Benchmark1[Benchmark '#1 Dates],Comp3[[#This Row],[Comparable '#3 Dates]]),COUNTIF(Benchmark2[Benchmark '#2 Dates],Comp3[[#This Row],[Comparable '#3 Dates]]))=2,"Pass","Fail")</f>
        <v>Pass</v>
      </c>
      <c r="I1150" s="1">
        <f>IFERROR(Comp3[[#This Row],[Comparable '#3 Return]]-INDEX(Benchmark1[Benchmark '#1 Return],MATCH(Comp3[[#This Row],[Comparable '#3 Dates]],Benchmark1[Benchmark '#1 Dates],0)),"-")</f>
        <v>-1.1054856294822753E-2</v>
      </c>
      <c r="L1150" s="72">
        <f>Comp3[[#This Row],[Comparable '#3 Price]]/$B$2*100</f>
        <v>79.285043938230544</v>
      </c>
    </row>
    <row r="1151" spans="1:12">
      <c r="A1151" s="96">
        <v>44953</v>
      </c>
      <c r="B1151" s="101">
        <v>92.81</v>
      </c>
      <c r="C1151" s="1">
        <f t="shared" si="34"/>
        <v>-1.292128961946553E-3</v>
      </c>
      <c r="D1151" s="1">
        <f>IFERROR(Comp3[[#This Row],[Comparable '#3 Return]]+1,"-")</f>
        <v>0.99870787103805347</v>
      </c>
      <c r="E1151" s="6">
        <f>B1151-MAX($B$2:B1151)</f>
        <v>-95.22999999999999</v>
      </c>
      <c r="F1151" s="80">
        <f t="shared" si="35"/>
        <v>889</v>
      </c>
      <c r="G1151" s="6">
        <f>IFERROR(Comp3[[#This Row],[Comparable '#3 Drawdown]]/MAX($B$2:B1151),"-")</f>
        <v>-0.50643480110614758</v>
      </c>
      <c r="H1151" s="1" t="str">
        <f>IF(SUM(COUNTIF(Benchmark1[Benchmark '#1 Dates],Comp3[[#This Row],[Comparable '#3 Dates]]),COUNTIF(Benchmark2[Benchmark '#2 Dates],Comp3[[#This Row],[Comparable '#3 Dates]]))=2,"Pass","Fail")</f>
        <v>Pass</v>
      </c>
      <c r="I1151" s="1">
        <f>IFERROR(Comp3[[#This Row],[Comparable '#3 Return]]-INDEX(Benchmark1[Benchmark '#1 Return],MATCH(Comp3[[#This Row],[Comparable '#3 Dates]],Benchmark1[Benchmark '#1 Dates],0)),"-")</f>
        <v>-3.7840646015445626E-3</v>
      </c>
      <c r="L1151" s="72">
        <f>Comp3[[#This Row],[Comparable '#3 Price]]/$B$2*100</f>
        <v>79.182663595256386</v>
      </c>
    </row>
    <row r="1152" spans="1:12">
      <c r="A1152" s="96">
        <v>44956</v>
      </c>
      <c r="B1152" s="101">
        <v>92.79</v>
      </c>
      <c r="C1152" s="1">
        <f t="shared" si="34"/>
        <v>-2.155172422135078E-4</v>
      </c>
      <c r="D1152" s="1">
        <f>IFERROR(Comp3[[#This Row],[Comparable '#3 Return]]+1,"-")</f>
        <v>0.99978448275778653</v>
      </c>
      <c r="E1152" s="6">
        <f>B1152-MAX($B$2:B1152)</f>
        <v>-95.249999999999986</v>
      </c>
      <c r="F1152" s="80">
        <f t="shared" si="35"/>
        <v>890</v>
      </c>
      <c r="G1152" s="6">
        <f>IFERROR(Comp3[[#This Row],[Comparable '#3 Drawdown]]/MAX($B$2:B1152),"-")</f>
        <v>-0.50654116145500949</v>
      </c>
      <c r="H1152" s="1" t="str">
        <f>IF(SUM(COUNTIF(Benchmark1[Benchmark '#1 Dates],Comp3[[#This Row],[Comparable '#3 Dates]]),COUNTIF(Benchmark2[Benchmark '#2 Dates],Comp3[[#This Row],[Comparable '#3 Dates]]))=2,"Pass","Fail")</f>
        <v>Pass</v>
      </c>
      <c r="I1152" s="1">
        <f>IFERROR(Comp3[[#This Row],[Comparable '#3 Return]]-INDEX(Benchmark1[Benchmark '#1 Return],MATCH(Comp3[[#This Row],[Comparable '#3 Dates]],Benchmark1[Benchmark '#1 Dates],0)),"-")</f>
        <v>1.2836983401061439E-2</v>
      </c>
      <c r="L1152" s="72">
        <f>Comp3[[#This Row],[Comparable '#3 Price]]/$B$2*100</f>
        <v>79.165600204760693</v>
      </c>
    </row>
    <row r="1153" spans="1:12">
      <c r="A1153" s="96">
        <v>44957</v>
      </c>
      <c r="B1153" s="101">
        <v>93.35</v>
      </c>
      <c r="C1153" s="1">
        <f t="shared" si="34"/>
        <v>6.0169946226435716E-3</v>
      </c>
      <c r="D1153" s="1">
        <f>IFERROR(Comp3[[#This Row],[Comparable '#3 Return]]+1,"-")</f>
        <v>1.0060169946226436</v>
      </c>
      <c r="E1153" s="6">
        <f>B1153-MAX($B$2:B1153)</f>
        <v>-94.69</v>
      </c>
      <c r="F1153" s="80">
        <f t="shared" si="35"/>
        <v>891</v>
      </c>
      <c r="G1153" s="6">
        <f>IFERROR(Comp3[[#This Row],[Comparable '#3 Drawdown]]/MAX($B$2:B1153),"-")</f>
        <v>-0.5035630716868752</v>
      </c>
      <c r="H1153" s="1" t="str">
        <f>IF(SUM(COUNTIF(Benchmark1[Benchmark '#1 Dates],Comp3[[#This Row],[Comparable '#3 Dates]]),COUNTIF(Benchmark2[Benchmark '#2 Dates],Comp3[[#This Row],[Comparable '#3 Dates]]))=2,"Pass","Fail")</f>
        <v>Pass</v>
      </c>
      <c r="I1153" s="1">
        <f>IFERROR(Comp3[[#This Row],[Comparable '#3 Return]]-INDEX(Benchmark1[Benchmark '#1 Return],MATCH(Comp3[[#This Row],[Comparable '#3 Dates]],Benchmark1[Benchmark '#1 Dates],0)),"-")</f>
        <v>-8.519588054670223E-3</v>
      </c>
      <c r="L1153" s="72">
        <f>Comp3[[#This Row],[Comparable '#3 Price]]/$B$2*100</f>
        <v>79.643375138640053</v>
      </c>
    </row>
    <row r="1154" spans="1:12">
      <c r="A1154" s="96">
        <v>44958</v>
      </c>
      <c r="B1154" s="101">
        <v>94.16</v>
      </c>
      <c r="C1154" s="1">
        <f t="shared" ref="C1154:C1217" si="36">IFERROR(IF(B1154="","-",LN(B1154/B1153)),"-")</f>
        <v>8.6395929642896756E-3</v>
      </c>
      <c r="D1154" s="1">
        <f>IFERROR(Comp3[[#This Row],[Comparable '#3 Return]]+1,"-")</f>
        <v>1.0086395929642897</v>
      </c>
      <c r="E1154" s="6">
        <f>B1154-MAX($B$2:B1154)</f>
        <v>-93.88</v>
      </c>
      <c r="F1154" s="80">
        <f t="shared" ref="F1154:F1217" si="37">IF(E1154=0,0,F1153+1)</f>
        <v>892</v>
      </c>
      <c r="G1154" s="6">
        <f>IFERROR(Comp3[[#This Row],[Comparable '#3 Drawdown]]/MAX($B$2:B1154),"-")</f>
        <v>-0.4992554775579664</v>
      </c>
      <c r="H1154" s="1" t="str">
        <f>IF(SUM(COUNTIF(Benchmark1[Benchmark '#1 Dates],Comp3[[#This Row],[Comparable '#3 Dates]]),COUNTIF(Benchmark2[Benchmark '#2 Dates],Comp3[[#This Row],[Comparable '#3 Dates]]))=2,"Pass","Fail")</f>
        <v>Pass</v>
      </c>
      <c r="I1154" s="1">
        <f>IFERROR(Comp3[[#This Row],[Comparable '#3 Return]]-INDEX(Benchmark1[Benchmark '#1 Return],MATCH(Comp3[[#This Row],[Comparable '#3 Dates]],Benchmark1[Benchmark '#1 Dates],0)),"-")</f>
        <v>-1.7576580443555059E-3</v>
      </c>
      <c r="L1154" s="72">
        <f>Comp3[[#This Row],[Comparable '#3 Price]]/$B$2*100</f>
        <v>80.334442453715553</v>
      </c>
    </row>
    <row r="1155" spans="1:12">
      <c r="A1155" s="96">
        <v>44959</v>
      </c>
      <c r="B1155" s="101">
        <v>96.07</v>
      </c>
      <c r="C1155" s="1">
        <f t="shared" si="36"/>
        <v>2.0081629469625731E-2</v>
      </c>
      <c r="D1155" s="1">
        <f>IFERROR(Comp3[[#This Row],[Comparable '#3 Return]]+1,"-")</f>
        <v>1.0200816294696258</v>
      </c>
      <c r="E1155" s="6">
        <f>B1155-MAX($B$2:B1155)</f>
        <v>-91.97</v>
      </c>
      <c r="F1155" s="80">
        <f t="shared" si="37"/>
        <v>893</v>
      </c>
      <c r="G1155" s="6">
        <f>IFERROR(Comp3[[#This Row],[Comparable '#3 Drawdown]]/MAX($B$2:B1155),"-")</f>
        <v>-0.48909806424165075</v>
      </c>
      <c r="H1155" s="1" t="str">
        <f>IF(SUM(COUNTIF(Benchmark1[Benchmark '#1 Dates],Comp3[[#This Row],[Comparable '#3 Dates]]),COUNTIF(Benchmark2[Benchmark '#2 Dates],Comp3[[#This Row],[Comparable '#3 Dates]]))=2,"Pass","Fail")</f>
        <v>Pass</v>
      </c>
      <c r="I1155" s="1">
        <f>IFERROR(Comp3[[#This Row],[Comparable '#3 Return]]-INDEX(Benchmark1[Benchmark '#1 Return],MATCH(Comp3[[#This Row],[Comparable '#3 Dates]],Benchmark1[Benchmark '#1 Dates],0)),"-")</f>
        <v>5.4903512782927804E-3</v>
      </c>
      <c r="L1155" s="72">
        <f>Comp3[[#This Row],[Comparable '#3 Price]]/$B$2*100</f>
        <v>81.963996246054094</v>
      </c>
    </row>
    <row r="1156" spans="1:12">
      <c r="A1156" s="96">
        <v>44960</v>
      </c>
      <c r="B1156" s="101">
        <v>97.8</v>
      </c>
      <c r="C1156" s="1">
        <f t="shared" si="36"/>
        <v>1.7847484619124589E-2</v>
      </c>
      <c r="D1156" s="1">
        <f>IFERROR(Comp3[[#This Row],[Comparable '#3 Return]]+1,"-")</f>
        <v>1.0178474846191246</v>
      </c>
      <c r="E1156" s="6">
        <f>B1156-MAX($B$2:B1156)</f>
        <v>-90.24</v>
      </c>
      <c r="F1156" s="80">
        <f t="shared" si="37"/>
        <v>894</v>
      </c>
      <c r="G1156" s="6">
        <f>IFERROR(Comp3[[#This Row],[Comparable '#3 Drawdown]]/MAX($B$2:B1156),"-")</f>
        <v>-0.47989789406509253</v>
      </c>
      <c r="H1156" s="1" t="str">
        <f>IF(SUM(COUNTIF(Benchmark1[Benchmark '#1 Dates],Comp3[[#This Row],[Comparable '#3 Dates]]),COUNTIF(Benchmark2[Benchmark '#2 Dates],Comp3[[#This Row],[Comparable '#3 Dates]]))=2,"Pass","Fail")</f>
        <v>Pass</v>
      </c>
      <c r="I1156" s="1">
        <f>IFERROR(Comp3[[#This Row],[Comparable '#3 Return]]-INDEX(Benchmark1[Benchmark '#1 Return],MATCH(Comp3[[#This Row],[Comparable '#3 Dates]],Benchmark1[Benchmark '#1 Dates],0)),"-")</f>
        <v>2.8254686931092086E-2</v>
      </c>
      <c r="L1156" s="72">
        <f>Comp3[[#This Row],[Comparable '#3 Price]]/$B$2*100</f>
        <v>83.439979523931413</v>
      </c>
    </row>
    <row r="1157" spans="1:12">
      <c r="A1157" s="96">
        <v>44963</v>
      </c>
      <c r="B1157" s="101">
        <v>93.82</v>
      </c>
      <c r="C1157" s="1">
        <f t="shared" si="36"/>
        <v>-4.1546524140459742E-2</v>
      </c>
      <c r="D1157" s="1">
        <f>IFERROR(Comp3[[#This Row],[Comparable '#3 Return]]+1,"-")</f>
        <v>0.95845347585954022</v>
      </c>
      <c r="E1157" s="6">
        <f>B1157-MAX($B$2:B1157)</f>
        <v>-94.22</v>
      </c>
      <c r="F1157" s="80">
        <f t="shared" si="37"/>
        <v>895</v>
      </c>
      <c r="G1157" s="6">
        <f>IFERROR(Comp3[[#This Row],[Comparable '#3 Drawdown]]/MAX($B$2:B1157),"-")</f>
        <v>-0.50106360348861945</v>
      </c>
      <c r="H1157" s="1" t="str">
        <f>IF(SUM(COUNTIF(Benchmark1[Benchmark '#1 Dates],Comp3[[#This Row],[Comparable '#3 Dates]]),COUNTIF(Benchmark2[Benchmark '#2 Dates],Comp3[[#This Row],[Comparable '#3 Dates]]))=2,"Pass","Fail")</f>
        <v>Pass</v>
      </c>
      <c r="I1157" s="1">
        <f>IFERROR(Comp3[[#This Row],[Comparable '#3 Return]]-INDEX(Benchmark1[Benchmark '#1 Return],MATCH(Comp3[[#This Row],[Comparable '#3 Dates]],Benchmark1[Benchmark '#1 Dates],0)),"-")</f>
        <v>-3.5386934913300867E-2</v>
      </c>
      <c r="L1157" s="72">
        <f>Comp3[[#This Row],[Comparable '#3 Price]]/$B$2*100</f>
        <v>80.044364815288787</v>
      </c>
    </row>
    <row r="1158" spans="1:12">
      <c r="A1158" s="96">
        <v>44964</v>
      </c>
      <c r="B1158" s="101">
        <v>93.26</v>
      </c>
      <c r="C1158" s="1">
        <f t="shared" si="36"/>
        <v>-5.9867615201369901E-3</v>
      </c>
      <c r="D1158" s="1">
        <f>IFERROR(Comp3[[#This Row],[Comparable '#3 Return]]+1,"-")</f>
        <v>0.994013238479863</v>
      </c>
      <c r="E1158" s="6">
        <f>B1158-MAX($B$2:B1158)</f>
        <v>-94.779999999999987</v>
      </c>
      <c r="F1158" s="80">
        <f t="shared" si="37"/>
        <v>896</v>
      </c>
      <c r="G1158" s="6">
        <f>IFERROR(Comp3[[#This Row],[Comparable '#3 Drawdown]]/MAX($B$2:B1158),"-")</f>
        <v>-0.50404169325675385</v>
      </c>
      <c r="H1158" s="1" t="str">
        <f>IF(SUM(COUNTIF(Benchmark1[Benchmark '#1 Dates],Comp3[[#This Row],[Comparable '#3 Dates]]),COUNTIF(Benchmark2[Benchmark '#2 Dates],Comp3[[#This Row],[Comparable '#3 Dates]]))=2,"Pass","Fail")</f>
        <v>Pass</v>
      </c>
      <c r="I1158" s="1">
        <f>IFERROR(Comp3[[#This Row],[Comparable '#3 Return]]-INDEX(Benchmark1[Benchmark '#1 Return],MATCH(Comp3[[#This Row],[Comparable '#3 Dates]],Benchmark1[Benchmark '#1 Dates],0)),"-")</f>
        <v>-1.8776822281204648E-2</v>
      </c>
      <c r="L1158" s="72">
        <f>Comp3[[#This Row],[Comparable '#3 Price]]/$B$2*100</f>
        <v>79.566589881409442</v>
      </c>
    </row>
    <row r="1159" spans="1:12">
      <c r="A1159" s="96">
        <v>44965</v>
      </c>
      <c r="B1159" s="101">
        <v>92.52</v>
      </c>
      <c r="C1159" s="1">
        <f t="shared" si="36"/>
        <v>-7.9664540169364223E-3</v>
      </c>
      <c r="D1159" s="1">
        <f>IFERROR(Comp3[[#This Row],[Comparable '#3 Return]]+1,"-")</f>
        <v>0.99203354598306359</v>
      </c>
      <c r="E1159" s="6">
        <f>B1159-MAX($B$2:B1159)</f>
        <v>-95.52</v>
      </c>
      <c r="F1159" s="80">
        <f t="shared" si="37"/>
        <v>897</v>
      </c>
      <c r="G1159" s="6">
        <f>IFERROR(Comp3[[#This Row],[Comparable '#3 Drawdown]]/MAX($B$2:B1159),"-")</f>
        <v>-0.5079770261646458</v>
      </c>
      <c r="H1159" s="1" t="str">
        <f>IF(SUM(COUNTIF(Benchmark1[Benchmark '#1 Dates],Comp3[[#This Row],[Comparable '#3 Dates]]),COUNTIF(Benchmark2[Benchmark '#2 Dates],Comp3[[#This Row],[Comparable '#3 Dates]]))=2,"Pass","Fail")</f>
        <v>Pass</v>
      </c>
      <c r="I1159" s="1">
        <f>IFERROR(Comp3[[#This Row],[Comparable '#3 Return]]-INDEX(Benchmark1[Benchmark '#1 Return],MATCH(Comp3[[#This Row],[Comparable '#3 Dates]],Benchmark1[Benchmark '#1 Dates],0)),"-")</f>
        <v>3.1748112046905662E-3</v>
      </c>
      <c r="L1159" s="72">
        <f>Comp3[[#This Row],[Comparable '#3 Price]]/$B$2*100</f>
        <v>78.935244433068846</v>
      </c>
    </row>
    <row r="1160" spans="1:12">
      <c r="A1160" s="96">
        <v>44966</v>
      </c>
      <c r="B1160" s="101">
        <v>93.19</v>
      </c>
      <c r="C1160" s="1">
        <f t="shared" si="36"/>
        <v>7.2155824343256621E-3</v>
      </c>
      <c r="D1160" s="1">
        <f>IFERROR(Comp3[[#This Row],[Comparable '#3 Return]]+1,"-")</f>
        <v>1.0072155824343256</v>
      </c>
      <c r="E1160" s="6">
        <f>B1160-MAX($B$2:B1160)</f>
        <v>-94.85</v>
      </c>
      <c r="F1160" s="80">
        <f t="shared" si="37"/>
        <v>898</v>
      </c>
      <c r="G1160" s="6">
        <f>IFERROR(Comp3[[#This Row],[Comparable '#3 Drawdown]]/MAX($B$2:B1160),"-")</f>
        <v>-0.50441395447777071</v>
      </c>
      <c r="H1160" s="1" t="str">
        <f>IF(SUM(COUNTIF(Benchmark1[Benchmark '#1 Dates],Comp3[[#This Row],[Comparable '#3 Dates]]),COUNTIF(Benchmark2[Benchmark '#2 Dates],Comp3[[#This Row],[Comparable '#3 Dates]]))=2,"Pass","Fail")</f>
        <v>Pass</v>
      </c>
      <c r="I1160" s="1">
        <f>IFERROR(Comp3[[#This Row],[Comparable '#3 Return]]-INDEX(Benchmark1[Benchmark '#1 Return],MATCH(Comp3[[#This Row],[Comparable '#3 Dates]],Benchmark1[Benchmark '#1 Dates],0)),"-")</f>
        <v>1.6084661560137631E-2</v>
      </c>
      <c r="L1160" s="72">
        <f>Comp3[[#This Row],[Comparable '#3 Price]]/$B$2*100</f>
        <v>79.506868014674509</v>
      </c>
    </row>
    <row r="1161" spans="1:12">
      <c r="A1161" s="96">
        <v>44967</v>
      </c>
      <c r="B1161" s="101">
        <v>93</v>
      </c>
      <c r="C1161" s="1">
        <f t="shared" si="36"/>
        <v>-2.0409266443081266E-3</v>
      </c>
      <c r="D1161" s="1">
        <f>IFERROR(Comp3[[#This Row],[Comparable '#3 Return]]+1,"-")</f>
        <v>0.99795907335569189</v>
      </c>
      <c r="E1161" s="6">
        <f>B1161-MAX($B$2:B1161)</f>
        <v>-95.039999999999992</v>
      </c>
      <c r="F1161" s="80">
        <f t="shared" si="37"/>
        <v>899</v>
      </c>
      <c r="G1161" s="6">
        <f>IFERROR(Comp3[[#This Row],[Comparable '#3 Drawdown]]/MAX($B$2:B1161),"-")</f>
        <v>-0.50542437779195915</v>
      </c>
      <c r="H1161" s="1" t="str">
        <f>IF(SUM(COUNTIF(Benchmark1[Benchmark '#1 Dates],Comp3[[#This Row],[Comparable '#3 Dates]]),COUNTIF(Benchmark2[Benchmark '#2 Dates],Comp3[[#This Row],[Comparable '#3 Dates]]))=2,"Pass","Fail")</f>
        <v>Pass</v>
      </c>
      <c r="I1161" s="1">
        <f>IFERROR(Comp3[[#This Row],[Comparable '#3 Return]]-INDEX(Benchmark1[Benchmark '#1 Return],MATCH(Comp3[[#This Row],[Comparable '#3 Dates]],Benchmark1[Benchmark '#1 Dates],0)),"-")</f>
        <v>-4.2331415303666622E-3</v>
      </c>
      <c r="L1161" s="72">
        <f>Comp3[[#This Row],[Comparable '#3 Price]]/$B$2*100</f>
        <v>79.344765804965462</v>
      </c>
    </row>
    <row r="1162" spans="1:12">
      <c r="A1162" s="96">
        <v>44970</v>
      </c>
      <c r="B1162" s="101">
        <v>94.4</v>
      </c>
      <c r="C1162" s="1">
        <f t="shared" si="36"/>
        <v>1.4941579998199141E-2</v>
      </c>
      <c r="D1162" s="1">
        <f>IFERROR(Comp3[[#This Row],[Comparable '#3 Return]]+1,"-")</f>
        <v>1.0149415799981991</v>
      </c>
      <c r="E1162" s="6">
        <f>B1162-MAX($B$2:B1162)</f>
        <v>-93.639999999999986</v>
      </c>
      <c r="F1162" s="80">
        <f t="shared" si="37"/>
        <v>900</v>
      </c>
      <c r="G1162" s="6">
        <f>IFERROR(Comp3[[#This Row],[Comparable '#3 Drawdown]]/MAX($B$2:B1162),"-")</f>
        <v>-0.49797915337162302</v>
      </c>
      <c r="H1162" s="1" t="str">
        <f>IF(SUM(COUNTIF(Benchmark1[Benchmark '#1 Dates],Comp3[[#This Row],[Comparable '#3 Dates]]),COUNTIF(Benchmark2[Benchmark '#2 Dates],Comp3[[#This Row],[Comparable '#3 Dates]]))=2,"Pass","Fail")</f>
        <v>Pass</v>
      </c>
      <c r="I1162" s="1">
        <f>IFERROR(Comp3[[#This Row],[Comparable '#3 Return]]-INDEX(Benchmark1[Benchmark '#1 Return],MATCH(Comp3[[#This Row],[Comparable '#3 Dates]],Benchmark1[Benchmark '#1 Dates],0)),"-")</f>
        <v>3.559222314199726E-3</v>
      </c>
      <c r="L1162" s="72">
        <f>Comp3[[#This Row],[Comparable '#3 Price]]/$B$2*100</f>
        <v>80.539203139663869</v>
      </c>
    </row>
    <row r="1163" spans="1:12">
      <c r="A1163" s="96">
        <v>44971</v>
      </c>
      <c r="B1163" s="101">
        <v>92.76</v>
      </c>
      <c r="C1163" s="1">
        <f t="shared" si="36"/>
        <v>-1.7525560764124076E-2</v>
      </c>
      <c r="D1163" s="1">
        <f>IFERROR(Comp3[[#This Row],[Comparable '#3 Return]]+1,"-")</f>
        <v>0.98247443923587596</v>
      </c>
      <c r="E1163" s="6">
        <f>B1163-MAX($B$2:B1163)</f>
        <v>-95.279999999999987</v>
      </c>
      <c r="F1163" s="80">
        <f t="shared" si="37"/>
        <v>901</v>
      </c>
      <c r="G1163" s="6">
        <f>IFERROR(Comp3[[#This Row],[Comparable '#3 Drawdown]]/MAX($B$2:B1163),"-")</f>
        <v>-0.50670070197830241</v>
      </c>
      <c r="H1163" s="1" t="str">
        <f>IF(SUM(COUNTIF(Benchmark1[Benchmark '#1 Dates],Comp3[[#This Row],[Comparable '#3 Dates]]),COUNTIF(Benchmark2[Benchmark '#2 Dates],Comp3[[#This Row],[Comparable '#3 Dates]]))=2,"Pass","Fail")</f>
        <v>Pass</v>
      </c>
      <c r="I1163" s="1">
        <f>IFERROR(Comp3[[#This Row],[Comparable '#3 Return]]-INDEX(Benchmark1[Benchmark '#1 Return],MATCH(Comp3[[#This Row],[Comparable '#3 Dates]],Benchmark1[Benchmark '#1 Dates],0)),"-")</f>
        <v>-1.7246583753201906E-2</v>
      </c>
      <c r="L1163" s="72">
        <f>Comp3[[#This Row],[Comparable '#3 Price]]/$B$2*100</f>
        <v>79.140005119017161</v>
      </c>
    </row>
    <row r="1164" spans="1:12">
      <c r="A1164" s="96">
        <v>44972</v>
      </c>
      <c r="B1164" s="101">
        <v>93.25</v>
      </c>
      <c r="C1164" s="1">
        <f t="shared" si="36"/>
        <v>5.2685461365939417E-3</v>
      </c>
      <c r="D1164" s="1">
        <f>IFERROR(Comp3[[#This Row],[Comparable '#3 Return]]+1,"-")</f>
        <v>1.005268546136594</v>
      </c>
      <c r="E1164" s="6">
        <f>B1164-MAX($B$2:B1164)</f>
        <v>-94.789999999999992</v>
      </c>
      <c r="F1164" s="80">
        <f t="shared" si="37"/>
        <v>902</v>
      </c>
      <c r="G1164" s="6">
        <f>IFERROR(Comp3[[#This Row],[Comparable '#3 Drawdown]]/MAX($B$2:B1164),"-")</f>
        <v>-0.50409487343118486</v>
      </c>
      <c r="H1164" s="1" t="str">
        <f>IF(SUM(COUNTIF(Benchmark1[Benchmark '#1 Dates],Comp3[[#This Row],[Comparable '#3 Dates]]),COUNTIF(Benchmark2[Benchmark '#2 Dates],Comp3[[#This Row],[Comparable '#3 Dates]]))=2,"Pass","Fail")</f>
        <v>Pass</v>
      </c>
      <c r="I1164" s="1">
        <f>IFERROR(Comp3[[#This Row],[Comparable '#3 Return]]-INDEX(Benchmark1[Benchmark '#1 Return],MATCH(Comp3[[#This Row],[Comparable '#3 Dates]],Benchmark1[Benchmark '#1 Dates],0)),"-")</f>
        <v>2.4992805605428695E-3</v>
      </c>
      <c r="L1164" s="72">
        <f>Comp3[[#This Row],[Comparable '#3 Price]]/$B$2*100</f>
        <v>79.558058186161588</v>
      </c>
    </row>
    <row r="1165" spans="1:12">
      <c r="A1165" s="96">
        <v>44973</v>
      </c>
      <c r="B1165" s="101">
        <v>93.46</v>
      </c>
      <c r="C1165" s="1">
        <f t="shared" si="36"/>
        <v>2.2494787483552086E-3</v>
      </c>
      <c r="D1165" s="1">
        <f>IFERROR(Comp3[[#This Row],[Comparable '#3 Return]]+1,"-")</f>
        <v>1.0022494787483551</v>
      </c>
      <c r="E1165" s="6">
        <f>B1165-MAX($B$2:B1165)</f>
        <v>-94.58</v>
      </c>
      <c r="F1165" s="80">
        <f t="shared" si="37"/>
        <v>903</v>
      </c>
      <c r="G1165" s="6">
        <f>IFERROR(Comp3[[#This Row],[Comparable '#3 Drawdown]]/MAX($B$2:B1165),"-")</f>
        <v>-0.50297808976813441</v>
      </c>
      <c r="H1165" s="1" t="str">
        <f>IF(SUM(COUNTIF(Benchmark1[Benchmark '#1 Dates],Comp3[[#This Row],[Comparable '#3 Dates]]),COUNTIF(Benchmark2[Benchmark '#2 Dates],Comp3[[#This Row],[Comparable '#3 Dates]]))=2,"Pass","Fail")</f>
        <v>Pass</v>
      </c>
      <c r="I1165" s="1">
        <f>IFERROR(Comp3[[#This Row],[Comparable '#3 Return]]-INDEX(Benchmark1[Benchmark '#1 Return],MATCH(Comp3[[#This Row],[Comparable '#3 Dates]],Benchmark1[Benchmark '#1 Dates],0)),"-")</f>
        <v>1.6135066816753488E-2</v>
      </c>
      <c r="L1165" s="72">
        <f>Comp3[[#This Row],[Comparable '#3 Price]]/$B$2*100</f>
        <v>79.737223786366357</v>
      </c>
    </row>
    <row r="1166" spans="1:12">
      <c r="A1166" s="96">
        <v>44974</v>
      </c>
      <c r="B1166" s="101">
        <v>94.17</v>
      </c>
      <c r="C1166" s="1">
        <f t="shared" si="36"/>
        <v>7.5681222496918358E-3</v>
      </c>
      <c r="D1166" s="1">
        <f>IFERROR(Comp3[[#This Row],[Comparable '#3 Return]]+1,"-")</f>
        <v>1.0075681222496919</v>
      </c>
      <c r="E1166" s="6">
        <f>B1166-MAX($B$2:B1166)</f>
        <v>-93.86999999999999</v>
      </c>
      <c r="F1166" s="80">
        <f t="shared" si="37"/>
        <v>904</v>
      </c>
      <c r="G1166" s="6">
        <f>IFERROR(Comp3[[#This Row],[Comparable '#3 Drawdown]]/MAX($B$2:B1166),"-")</f>
        <v>-0.49920229738353539</v>
      </c>
      <c r="H1166" s="1" t="str">
        <f>IF(SUM(COUNTIF(Benchmark1[Benchmark '#1 Dates],Comp3[[#This Row],[Comparable '#3 Dates]]),COUNTIF(Benchmark2[Benchmark '#2 Dates],Comp3[[#This Row],[Comparable '#3 Dates]]))=2,"Pass","Fail")</f>
        <v>Pass</v>
      </c>
      <c r="I1166" s="1">
        <f>IFERROR(Comp3[[#This Row],[Comparable '#3 Return]]-INDEX(Benchmark1[Benchmark '#1 Return],MATCH(Comp3[[#This Row],[Comparable '#3 Dates]],Benchmark1[Benchmark '#1 Dates],0)),"-")</f>
        <v>1.0338026679645739E-2</v>
      </c>
      <c r="L1166" s="72">
        <f>Comp3[[#This Row],[Comparable '#3 Price]]/$B$2*100</f>
        <v>80.342974148963407</v>
      </c>
    </row>
    <row r="1167" spans="1:12">
      <c r="A1167" s="96">
        <v>44978</v>
      </c>
      <c r="B1167" s="101">
        <v>94.12</v>
      </c>
      <c r="C1167" s="1">
        <f t="shared" si="36"/>
        <v>-5.3109566281015386E-4</v>
      </c>
      <c r="D1167" s="1">
        <f>IFERROR(Comp3[[#This Row],[Comparable '#3 Return]]+1,"-")</f>
        <v>0.99946890433718982</v>
      </c>
      <c r="E1167" s="6">
        <f>B1167-MAX($B$2:B1167)</f>
        <v>-93.919999999999987</v>
      </c>
      <c r="F1167" s="80">
        <f t="shared" si="37"/>
        <v>905</v>
      </c>
      <c r="G1167" s="6">
        <f>IFERROR(Comp3[[#This Row],[Comparable '#3 Drawdown]]/MAX($B$2:B1167),"-")</f>
        <v>-0.49946819825569022</v>
      </c>
      <c r="H1167" s="1" t="str">
        <f>IF(SUM(COUNTIF(Benchmark1[Benchmark '#1 Dates],Comp3[[#This Row],[Comparable '#3 Dates]]),COUNTIF(Benchmark2[Benchmark '#2 Dates],Comp3[[#This Row],[Comparable '#3 Dates]]))=2,"Pass","Fail")</f>
        <v>Pass</v>
      </c>
      <c r="I1167" s="1">
        <f>IFERROR(Comp3[[#This Row],[Comparable '#3 Return]]-INDEX(Benchmark1[Benchmark '#1 Return],MATCH(Comp3[[#This Row],[Comparable '#3 Dates]],Benchmark1[Benchmark '#1 Dates],0)),"-")</f>
        <v>1.9715633702363698E-2</v>
      </c>
      <c r="L1167" s="72">
        <f>Comp3[[#This Row],[Comparable '#3 Price]]/$B$2*100</f>
        <v>80.300315672724182</v>
      </c>
    </row>
    <row r="1168" spans="1:12">
      <c r="A1168" s="96">
        <v>44979</v>
      </c>
      <c r="B1168" s="101">
        <v>92</v>
      </c>
      <c r="C1168" s="1">
        <f t="shared" si="36"/>
        <v>-2.2781986810121443E-2</v>
      </c>
      <c r="D1168" s="1">
        <f>IFERROR(Comp3[[#This Row],[Comparable '#3 Return]]+1,"-")</f>
        <v>0.97721801318987855</v>
      </c>
      <c r="E1168" s="6">
        <f>B1168-MAX($B$2:B1168)</f>
        <v>-96.039999999999992</v>
      </c>
      <c r="F1168" s="80">
        <f t="shared" si="37"/>
        <v>906</v>
      </c>
      <c r="G1168" s="6">
        <f>IFERROR(Comp3[[#This Row],[Comparable '#3 Drawdown]]/MAX($B$2:B1168),"-")</f>
        <v>-0.51074239523505638</v>
      </c>
      <c r="H1168" s="1" t="str">
        <f>IF(SUM(COUNTIF(Benchmark1[Benchmark '#1 Dates],Comp3[[#This Row],[Comparable '#3 Dates]]),COUNTIF(Benchmark2[Benchmark '#2 Dates],Comp3[[#This Row],[Comparable '#3 Dates]]))=2,"Pass","Fail")</f>
        <v>Pass</v>
      </c>
      <c r="I1168" s="1">
        <f>IFERROR(Comp3[[#This Row],[Comparable '#3 Return]]-INDEX(Benchmark1[Benchmark '#1 Return],MATCH(Comp3[[#This Row],[Comparable '#3 Dates]],Benchmark1[Benchmark '#1 Dates],0)),"-")</f>
        <v>-2.1207415391387346E-2</v>
      </c>
      <c r="L1168" s="72">
        <f>Comp3[[#This Row],[Comparable '#3 Price]]/$B$2*100</f>
        <v>78.491596280180872</v>
      </c>
    </row>
    <row r="1169" spans="1:12">
      <c r="A1169" s="96">
        <v>44980</v>
      </c>
      <c r="B1169" s="101">
        <v>86.23</v>
      </c>
      <c r="C1169" s="1">
        <f t="shared" si="36"/>
        <v>-6.4770432084807247E-2</v>
      </c>
      <c r="D1169" s="1">
        <f>IFERROR(Comp3[[#This Row],[Comparable '#3 Return]]+1,"-")</f>
        <v>0.93522956791519274</v>
      </c>
      <c r="E1169" s="6">
        <f>B1169-MAX($B$2:B1169)</f>
        <v>-101.80999999999999</v>
      </c>
      <c r="F1169" s="80">
        <f t="shared" si="37"/>
        <v>907</v>
      </c>
      <c r="G1169" s="6">
        <f>IFERROR(Comp3[[#This Row],[Comparable '#3 Drawdown]]/MAX($B$2:B1169),"-")</f>
        <v>-0.5414273558817273</v>
      </c>
      <c r="H1169" s="1" t="str">
        <f>IF(SUM(COUNTIF(Benchmark1[Benchmark '#1 Dates],Comp3[[#This Row],[Comparable '#3 Dates]]),COUNTIF(Benchmark2[Benchmark '#2 Dates],Comp3[[#This Row],[Comparable '#3 Dates]]))=2,"Pass","Fail")</f>
        <v>Pass</v>
      </c>
      <c r="I1169" s="1">
        <f>IFERROR(Comp3[[#This Row],[Comparable '#3 Return]]-INDEX(Benchmark1[Benchmark '#1 Return],MATCH(Comp3[[#This Row],[Comparable '#3 Dates]],Benchmark1[Benchmark '#1 Dates],0)),"-")</f>
        <v>-7.0087084733895869E-2</v>
      </c>
      <c r="L1169" s="72">
        <f>Comp3[[#This Row],[Comparable '#3 Price]]/$B$2*100</f>
        <v>73.568808122173877</v>
      </c>
    </row>
    <row r="1170" spans="1:12">
      <c r="A1170" s="96">
        <v>44981</v>
      </c>
      <c r="B1170" s="101">
        <v>88.26</v>
      </c>
      <c r="C1170" s="1">
        <f t="shared" si="36"/>
        <v>2.3268858877168088E-2</v>
      </c>
      <c r="D1170" s="1">
        <f>IFERROR(Comp3[[#This Row],[Comparable '#3 Return]]+1,"-")</f>
        <v>1.0232688588771681</v>
      </c>
      <c r="E1170" s="6">
        <f>B1170-MAX($B$2:B1170)</f>
        <v>-99.779999999999987</v>
      </c>
      <c r="F1170" s="80">
        <f t="shared" si="37"/>
        <v>908</v>
      </c>
      <c r="G1170" s="6">
        <f>IFERROR(Comp3[[#This Row],[Comparable '#3 Drawdown]]/MAX($B$2:B1170),"-")</f>
        <v>-0.53063178047223991</v>
      </c>
      <c r="H1170" s="1" t="str">
        <f>IF(SUM(COUNTIF(Benchmark1[Benchmark '#1 Dates],Comp3[[#This Row],[Comparable '#3 Dates]]),COUNTIF(Benchmark2[Benchmark '#2 Dates],Comp3[[#This Row],[Comparable '#3 Dates]]))=2,"Pass","Fail")</f>
        <v>Pass</v>
      </c>
      <c r="I1170" s="1">
        <f>IFERROR(Comp3[[#This Row],[Comparable '#3 Return]]-INDEX(Benchmark1[Benchmark '#1 Return],MATCH(Comp3[[#This Row],[Comparable '#3 Dates]],Benchmark1[Benchmark '#1 Dates],0)),"-")</f>
        <v>3.3863919909618928E-2</v>
      </c>
      <c r="L1170" s="72">
        <f>Comp3[[#This Row],[Comparable '#3 Price]]/$B$2*100</f>
        <v>75.300742257486576</v>
      </c>
    </row>
    <row r="1171" spans="1:12">
      <c r="A1171" s="96">
        <v>44984</v>
      </c>
      <c r="B1171" s="101">
        <v>87.2</v>
      </c>
      <c r="C1171" s="1">
        <f t="shared" si="36"/>
        <v>-1.2082672926467222E-2</v>
      </c>
      <c r="D1171" s="1">
        <f>IFERROR(Comp3[[#This Row],[Comparable '#3 Return]]+1,"-")</f>
        <v>0.98791732707353275</v>
      </c>
      <c r="E1171" s="6">
        <f>B1171-MAX($B$2:B1171)</f>
        <v>-100.83999999999999</v>
      </c>
      <c r="F1171" s="80">
        <f t="shared" si="37"/>
        <v>909</v>
      </c>
      <c r="G1171" s="6">
        <f>IFERROR(Comp3[[#This Row],[Comparable '#3 Drawdown]]/MAX($B$2:B1171),"-")</f>
        <v>-0.53626887896192299</v>
      </c>
      <c r="H1171" s="1" t="str">
        <f>IF(SUM(COUNTIF(Benchmark1[Benchmark '#1 Dates],Comp3[[#This Row],[Comparable '#3 Dates]]),COUNTIF(Benchmark2[Benchmark '#2 Dates],Comp3[[#This Row],[Comparable '#3 Dates]]))=2,"Pass","Fail")</f>
        <v>Pass</v>
      </c>
      <c r="I1171" s="1">
        <f>IFERROR(Comp3[[#This Row],[Comparable '#3 Return]]-INDEX(Benchmark1[Benchmark '#1 Return],MATCH(Comp3[[#This Row],[Comparable '#3 Dates]],Benchmark1[Benchmark '#1 Dates],0)),"-")</f>
        <v>-1.5151860249755823E-2</v>
      </c>
      <c r="L1171" s="72">
        <f>Comp3[[#This Row],[Comparable '#3 Price]]/$B$2*100</f>
        <v>74.396382561214921</v>
      </c>
    </row>
    <row r="1172" spans="1:12">
      <c r="A1172" s="96">
        <v>44985</v>
      </c>
      <c r="B1172" s="101">
        <v>85.25</v>
      </c>
      <c r="C1172" s="1">
        <f t="shared" si="36"/>
        <v>-2.2616214751307765E-2</v>
      </c>
      <c r="D1172" s="1">
        <f>IFERROR(Comp3[[#This Row],[Comparable '#3 Return]]+1,"-")</f>
        <v>0.97738378524869218</v>
      </c>
      <c r="E1172" s="6">
        <f>B1172-MAX($B$2:B1172)</f>
        <v>-102.78999999999999</v>
      </c>
      <c r="F1172" s="80">
        <f t="shared" si="37"/>
        <v>910</v>
      </c>
      <c r="G1172" s="6">
        <f>IFERROR(Comp3[[#This Row],[Comparable '#3 Drawdown]]/MAX($B$2:B1172),"-")</f>
        <v>-0.54663901297596251</v>
      </c>
      <c r="H1172" s="1" t="str">
        <f>IF(SUM(COUNTIF(Benchmark1[Benchmark '#1 Dates],Comp3[[#This Row],[Comparable '#3 Dates]]),COUNTIF(Benchmark2[Benchmark '#2 Dates],Comp3[[#This Row],[Comparable '#3 Dates]]))=2,"Pass","Fail")</f>
        <v>Pass</v>
      </c>
      <c r="I1172" s="1">
        <f>IFERROR(Comp3[[#This Row],[Comparable '#3 Return]]-INDEX(Benchmark1[Benchmark '#1 Return],MATCH(Comp3[[#This Row],[Comparable '#3 Dates]],Benchmark1[Benchmark '#1 Dates],0)),"-")</f>
        <v>-1.9576413760631409E-2</v>
      </c>
      <c r="L1172" s="72">
        <f>Comp3[[#This Row],[Comparable '#3 Price]]/$B$2*100</f>
        <v>72.732701987884994</v>
      </c>
    </row>
    <row r="1173" spans="1:12">
      <c r="A1173" s="96">
        <v>44986</v>
      </c>
      <c r="B1173" s="101">
        <v>83.27</v>
      </c>
      <c r="C1173" s="1">
        <f t="shared" si="36"/>
        <v>-2.3499775915898302E-2</v>
      </c>
      <c r="D1173" s="1">
        <f>IFERROR(Comp3[[#This Row],[Comparable '#3 Return]]+1,"-")</f>
        <v>0.97650022408410164</v>
      </c>
      <c r="E1173" s="6">
        <f>B1173-MAX($B$2:B1173)</f>
        <v>-104.77</v>
      </c>
      <c r="F1173" s="80">
        <f t="shared" si="37"/>
        <v>911</v>
      </c>
      <c r="G1173" s="6">
        <f>IFERROR(Comp3[[#This Row],[Comparable '#3 Drawdown]]/MAX($B$2:B1173),"-")</f>
        <v>-0.55716868751329507</v>
      </c>
      <c r="H1173" s="1" t="str">
        <f>IF(SUM(COUNTIF(Benchmark1[Benchmark '#1 Dates],Comp3[[#This Row],[Comparable '#3 Dates]]),COUNTIF(Benchmark2[Benchmark '#2 Dates],Comp3[[#This Row],[Comparable '#3 Dates]]))=2,"Pass","Fail")</f>
        <v>Pass</v>
      </c>
      <c r="I1173" s="1">
        <f>IFERROR(Comp3[[#This Row],[Comparable '#3 Return]]-INDEX(Benchmark1[Benchmark '#1 Return],MATCH(Comp3[[#This Row],[Comparable '#3 Dates]],Benchmark1[Benchmark '#1 Dates],0)),"-")</f>
        <v>-1.8763538296356349E-2</v>
      </c>
      <c r="L1173" s="72">
        <f>Comp3[[#This Row],[Comparable '#3 Price]]/$B$2*100</f>
        <v>71.043426328811535</v>
      </c>
    </row>
    <row r="1174" spans="1:12">
      <c r="A1174" s="96">
        <v>44987</v>
      </c>
      <c r="B1174" s="101">
        <v>83.47</v>
      </c>
      <c r="C1174" s="1">
        <f t="shared" si="36"/>
        <v>2.3989456149173822E-3</v>
      </c>
      <c r="D1174" s="1">
        <f>IFERROR(Comp3[[#This Row],[Comparable '#3 Return]]+1,"-")</f>
        <v>1.0023989456149174</v>
      </c>
      <c r="E1174" s="6">
        <f>B1174-MAX($B$2:B1174)</f>
        <v>-104.57</v>
      </c>
      <c r="F1174" s="80">
        <f t="shared" si="37"/>
        <v>912</v>
      </c>
      <c r="G1174" s="6">
        <f>IFERROR(Comp3[[#This Row],[Comparable '#3 Drawdown]]/MAX($B$2:B1174),"-")</f>
        <v>-0.55610508402467562</v>
      </c>
      <c r="H1174" s="1" t="str">
        <f>IF(SUM(COUNTIF(Benchmark1[Benchmark '#1 Dates],Comp3[[#This Row],[Comparable '#3 Dates]]),COUNTIF(Benchmark2[Benchmark '#2 Dates],Comp3[[#This Row],[Comparable '#3 Dates]]))=2,"Pass","Fail")</f>
        <v>Pass</v>
      </c>
      <c r="I1174" s="1">
        <f>IFERROR(Comp3[[#This Row],[Comparable '#3 Return]]-INDEX(Benchmark1[Benchmark '#1 Return],MATCH(Comp3[[#This Row],[Comparable '#3 Dates]],Benchmark1[Benchmark '#1 Dates],0)),"-")</f>
        <v>-5.1540783640687433E-3</v>
      </c>
      <c r="L1174" s="72">
        <f>Comp3[[#This Row],[Comparable '#3 Price]]/$B$2*100</f>
        <v>71.21406023376845</v>
      </c>
    </row>
    <row r="1175" spans="1:12">
      <c r="A1175" s="96">
        <v>44988</v>
      </c>
      <c r="B1175" s="101">
        <v>83.99</v>
      </c>
      <c r="C1175" s="1">
        <f t="shared" si="36"/>
        <v>6.2104582748905195E-3</v>
      </c>
      <c r="D1175" s="1">
        <f>IFERROR(Comp3[[#This Row],[Comparable '#3 Return]]+1,"-")</f>
        <v>1.0062104582748905</v>
      </c>
      <c r="E1175" s="6">
        <f>B1175-MAX($B$2:B1175)</f>
        <v>-104.05</v>
      </c>
      <c r="F1175" s="80">
        <f t="shared" si="37"/>
        <v>913</v>
      </c>
      <c r="G1175" s="6">
        <f>IFERROR(Comp3[[#This Row],[Comparable '#3 Drawdown]]/MAX($B$2:B1175),"-")</f>
        <v>-0.55333971495426504</v>
      </c>
      <c r="H1175" s="1" t="str">
        <f>IF(SUM(COUNTIF(Benchmark1[Benchmark '#1 Dates],Comp3[[#This Row],[Comparable '#3 Dates]]),COUNTIF(Benchmark2[Benchmark '#2 Dates],Comp3[[#This Row],[Comparable '#3 Dates]]))=2,"Pass","Fail")</f>
        <v>Pass</v>
      </c>
      <c r="I1175" s="1">
        <f>IFERROR(Comp3[[#This Row],[Comparable '#3 Return]]-INDEX(Benchmark1[Benchmark '#1 Return],MATCH(Comp3[[#This Row],[Comparable '#3 Dates]],Benchmark1[Benchmark '#1 Dates],0)),"-")</f>
        <v>-9.8071874586535199E-3</v>
      </c>
      <c r="L1175" s="72">
        <f>Comp3[[#This Row],[Comparable '#3 Price]]/$B$2*100</f>
        <v>71.657708386656424</v>
      </c>
    </row>
    <row r="1176" spans="1:12">
      <c r="A1176" s="96">
        <v>44991</v>
      </c>
      <c r="B1176" s="101">
        <v>82.85</v>
      </c>
      <c r="C1176" s="1">
        <f t="shared" si="36"/>
        <v>-1.3666000264963825E-2</v>
      </c>
      <c r="D1176" s="1">
        <f>IFERROR(Comp3[[#This Row],[Comparable '#3 Return]]+1,"-")</f>
        <v>0.98633399973503622</v>
      </c>
      <c r="E1176" s="6">
        <f>B1176-MAX($B$2:B1176)</f>
        <v>-105.19</v>
      </c>
      <c r="F1176" s="80">
        <f t="shared" si="37"/>
        <v>914</v>
      </c>
      <c r="G1176" s="6">
        <f>IFERROR(Comp3[[#This Row],[Comparable '#3 Drawdown]]/MAX($B$2:B1176),"-")</f>
        <v>-0.55940225483939587</v>
      </c>
      <c r="H1176" s="1" t="str">
        <f>IF(SUM(COUNTIF(Benchmark1[Benchmark '#1 Dates],Comp3[[#This Row],[Comparable '#3 Dates]]),COUNTIF(Benchmark2[Benchmark '#2 Dates],Comp3[[#This Row],[Comparable '#3 Dates]]))=2,"Pass","Fail")</f>
        <v>Pass</v>
      </c>
      <c r="I1176" s="1">
        <f>IFERROR(Comp3[[#This Row],[Comparable '#3 Return]]-INDEX(Benchmark1[Benchmark '#1 Return],MATCH(Comp3[[#This Row],[Comparable '#3 Dates]],Benchmark1[Benchmark '#1 Dates],0)),"-")</f>
        <v>-1.4352965459873929E-2</v>
      </c>
      <c r="L1176" s="72">
        <f>Comp3[[#This Row],[Comparable '#3 Price]]/$B$2*100</f>
        <v>70.685095128402011</v>
      </c>
    </row>
    <row r="1177" spans="1:12">
      <c r="A1177" s="96">
        <v>44992</v>
      </c>
      <c r="B1177" s="101">
        <v>85.25</v>
      </c>
      <c r="C1177" s="1">
        <f t="shared" si="36"/>
        <v>2.8556372291054222E-2</v>
      </c>
      <c r="D1177" s="1">
        <f>IFERROR(Comp3[[#This Row],[Comparable '#3 Return]]+1,"-")</f>
        <v>1.0285563722910542</v>
      </c>
      <c r="E1177" s="6">
        <f>B1177-MAX($B$2:B1177)</f>
        <v>-102.78999999999999</v>
      </c>
      <c r="F1177" s="80">
        <f t="shared" si="37"/>
        <v>915</v>
      </c>
      <c r="G1177" s="6">
        <f>IFERROR(Comp3[[#This Row],[Comparable '#3 Drawdown]]/MAX($B$2:B1177),"-")</f>
        <v>-0.54663901297596251</v>
      </c>
      <c r="H1177" s="1" t="str">
        <f>IF(SUM(COUNTIF(Benchmark1[Benchmark '#1 Dates],Comp3[[#This Row],[Comparable '#3 Dates]]),COUNTIF(Benchmark2[Benchmark '#2 Dates],Comp3[[#This Row],[Comparable '#3 Dates]]))=2,"Pass","Fail")</f>
        <v>Pass</v>
      </c>
      <c r="I1177" s="1">
        <f>IFERROR(Comp3[[#This Row],[Comparable '#3 Return]]-INDEX(Benchmark1[Benchmark '#1 Return],MATCH(Comp3[[#This Row],[Comparable '#3 Dates]],Benchmark1[Benchmark '#1 Dates],0)),"-")</f>
        <v>4.4000776248361205E-2</v>
      </c>
      <c r="L1177" s="72">
        <f>Comp3[[#This Row],[Comparable '#3 Price]]/$B$2*100</f>
        <v>72.732701987884994</v>
      </c>
    </row>
    <row r="1178" spans="1:12">
      <c r="A1178" s="96">
        <v>44993</v>
      </c>
      <c r="B1178" s="101">
        <v>86.03</v>
      </c>
      <c r="C1178" s="1">
        <f t="shared" si="36"/>
        <v>9.1079564696307028E-3</v>
      </c>
      <c r="D1178" s="1">
        <f>IFERROR(Comp3[[#This Row],[Comparable '#3 Return]]+1,"-")</f>
        <v>1.0091079564696308</v>
      </c>
      <c r="E1178" s="6">
        <f>B1178-MAX($B$2:B1178)</f>
        <v>-102.00999999999999</v>
      </c>
      <c r="F1178" s="80">
        <f t="shared" si="37"/>
        <v>916</v>
      </c>
      <c r="G1178" s="6">
        <f>IFERROR(Comp3[[#This Row],[Comparable '#3 Drawdown]]/MAX($B$2:B1178),"-")</f>
        <v>-0.54249095937034675</v>
      </c>
      <c r="H1178" s="1" t="str">
        <f>IF(SUM(COUNTIF(Benchmark1[Benchmark '#1 Dates],Comp3[[#This Row],[Comparable '#3 Dates]]),COUNTIF(Benchmark2[Benchmark '#2 Dates],Comp3[[#This Row],[Comparable '#3 Dates]]))=2,"Pass","Fail")</f>
        <v>Pass</v>
      </c>
      <c r="I1178" s="1">
        <f>IFERROR(Comp3[[#This Row],[Comparable '#3 Return]]-INDEX(Benchmark1[Benchmark '#1 Return],MATCH(Comp3[[#This Row],[Comparable '#3 Dates]],Benchmark1[Benchmark '#1 Dates],0)),"-")</f>
        <v>7.694019481233676E-3</v>
      </c>
      <c r="L1178" s="72">
        <f>Comp3[[#This Row],[Comparable '#3 Price]]/$B$2*100</f>
        <v>73.398174217216962</v>
      </c>
    </row>
    <row r="1179" spans="1:12">
      <c r="A1179" s="96">
        <v>44994</v>
      </c>
      <c r="B1179" s="101">
        <v>85.68</v>
      </c>
      <c r="C1179" s="1">
        <f t="shared" si="36"/>
        <v>-4.0766464937633763E-3</v>
      </c>
      <c r="D1179" s="1">
        <f>IFERROR(Comp3[[#This Row],[Comparable '#3 Return]]+1,"-")</f>
        <v>0.99592335350623662</v>
      </c>
      <c r="E1179" s="6">
        <f>B1179-MAX($B$2:B1179)</f>
        <v>-102.35999999999999</v>
      </c>
      <c r="F1179" s="80">
        <f t="shared" si="37"/>
        <v>917</v>
      </c>
      <c r="G1179" s="6">
        <f>IFERROR(Comp3[[#This Row],[Comparable '#3 Drawdown]]/MAX($B$2:B1179),"-")</f>
        <v>-0.5443522654754307</v>
      </c>
      <c r="H1179" s="1" t="str">
        <f>IF(SUM(COUNTIF(Benchmark1[Benchmark '#1 Dates],Comp3[[#This Row],[Comparable '#3 Dates]]),COUNTIF(Benchmark2[Benchmark '#2 Dates],Comp3[[#This Row],[Comparable '#3 Dates]]))=2,"Pass","Fail")</f>
        <v>Pass</v>
      </c>
      <c r="I1179" s="1">
        <f>IFERROR(Comp3[[#This Row],[Comparable '#3 Return]]-INDEX(Benchmark1[Benchmark '#1 Return],MATCH(Comp3[[#This Row],[Comparable '#3 Dates]],Benchmark1[Benchmark '#1 Dates],0)),"-")</f>
        <v>1.4555676290625433E-2</v>
      </c>
      <c r="L1179" s="72">
        <f>Comp3[[#This Row],[Comparable '#3 Price]]/$B$2*100</f>
        <v>73.099564883542371</v>
      </c>
    </row>
    <row r="1180" spans="1:12">
      <c r="A1180" s="96">
        <v>44995</v>
      </c>
      <c r="B1180" s="101">
        <v>85.23</v>
      </c>
      <c r="C1180" s="1">
        <f t="shared" si="36"/>
        <v>-5.2659416052870511E-3</v>
      </c>
      <c r="D1180" s="1">
        <f>IFERROR(Comp3[[#This Row],[Comparable '#3 Return]]+1,"-")</f>
        <v>0.99473405839471296</v>
      </c>
      <c r="E1180" s="6">
        <f>B1180-MAX($B$2:B1180)</f>
        <v>-102.80999999999999</v>
      </c>
      <c r="F1180" s="80">
        <f t="shared" si="37"/>
        <v>918</v>
      </c>
      <c r="G1180" s="6">
        <f>IFERROR(Comp3[[#This Row],[Comparable '#3 Drawdown]]/MAX($B$2:B1180),"-")</f>
        <v>-0.54674537332482442</v>
      </c>
      <c r="H1180" s="1" t="str">
        <f>IF(SUM(COUNTIF(Benchmark1[Benchmark '#1 Dates],Comp3[[#This Row],[Comparable '#3 Dates]]),COUNTIF(Benchmark2[Benchmark '#2 Dates],Comp3[[#This Row],[Comparable '#3 Dates]]))=2,"Pass","Fail")</f>
        <v>Pass</v>
      </c>
      <c r="I1180" s="1">
        <f>IFERROR(Comp3[[#This Row],[Comparable '#3 Return]]-INDEX(Benchmark1[Benchmark '#1 Return],MATCH(Comp3[[#This Row],[Comparable '#3 Dates]],Benchmark1[Benchmark '#1 Dates],0)),"-")</f>
        <v>9.3184183447857765E-3</v>
      </c>
      <c r="L1180" s="72">
        <f>Comp3[[#This Row],[Comparable '#3 Price]]/$B$2*100</f>
        <v>72.715638597389315</v>
      </c>
    </row>
    <row r="1181" spans="1:12">
      <c r="A1181" s="96">
        <v>44998</v>
      </c>
      <c r="B1181" s="101">
        <v>83.58</v>
      </c>
      <c r="C1181" s="1">
        <f t="shared" si="36"/>
        <v>-1.954922751443703E-2</v>
      </c>
      <c r="D1181" s="1">
        <f>IFERROR(Comp3[[#This Row],[Comparable '#3 Return]]+1,"-")</f>
        <v>0.980450772485563</v>
      </c>
      <c r="E1181" s="6">
        <f>B1181-MAX($B$2:B1181)</f>
        <v>-104.46</v>
      </c>
      <c r="F1181" s="80">
        <f t="shared" si="37"/>
        <v>919</v>
      </c>
      <c r="G1181" s="6">
        <f>IFERROR(Comp3[[#This Row],[Comparable '#3 Drawdown]]/MAX($B$2:B1181),"-")</f>
        <v>-0.55552010210593494</v>
      </c>
      <c r="H1181" s="1" t="str">
        <f>IF(SUM(COUNTIF(Benchmark1[Benchmark '#1 Dates],Comp3[[#This Row],[Comparable '#3 Dates]]),COUNTIF(Benchmark2[Benchmark '#2 Dates],Comp3[[#This Row],[Comparable '#3 Dates]]))=2,"Pass","Fail")</f>
        <v>Pass</v>
      </c>
      <c r="I1181" s="1">
        <f>IFERROR(Comp3[[#This Row],[Comparable '#3 Return]]-INDEX(Benchmark1[Benchmark '#1 Return],MATCH(Comp3[[#This Row],[Comparable '#3 Dates]],Benchmark1[Benchmark '#1 Dates],0)),"-")</f>
        <v>-1.8038852085292222E-2</v>
      </c>
      <c r="L1181" s="72">
        <f>Comp3[[#This Row],[Comparable '#3 Price]]/$B$2*100</f>
        <v>71.307908881494754</v>
      </c>
    </row>
    <row r="1182" spans="1:12">
      <c r="A1182" s="96">
        <v>44999</v>
      </c>
      <c r="B1182" s="101">
        <v>84.86</v>
      </c>
      <c r="C1182" s="1">
        <f t="shared" si="36"/>
        <v>1.5198582754409393E-2</v>
      </c>
      <c r="D1182" s="1">
        <f>IFERROR(Comp3[[#This Row],[Comparable '#3 Return]]+1,"-")</f>
        <v>1.0151985827544094</v>
      </c>
      <c r="E1182" s="6">
        <f>B1182-MAX($B$2:B1182)</f>
        <v>-103.17999999999999</v>
      </c>
      <c r="F1182" s="80">
        <f t="shared" si="37"/>
        <v>920</v>
      </c>
      <c r="G1182" s="6">
        <f>IFERROR(Comp3[[#This Row],[Comparable '#3 Drawdown]]/MAX($B$2:B1182),"-")</f>
        <v>-0.54871303977877051</v>
      </c>
      <c r="H1182" s="1" t="str">
        <f>IF(SUM(COUNTIF(Benchmark1[Benchmark '#1 Dates],Comp3[[#This Row],[Comparable '#3 Dates]]),COUNTIF(Benchmark2[Benchmark '#2 Dates],Comp3[[#This Row],[Comparable '#3 Dates]]))=2,"Pass","Fail")</f>
        <v>Pass</v>
      </c>
      <c r="I1182" s="1">
        <f>IFERROR(Comp3[[#This Row],[Comparable '#3 Return]]-INDEX(Benchmark1[Benchmark '#1 Return],MATCH(Comp3[[#This Row],[Comparable '#3 Dates]],Benchmark1[Benchmark '#1 Dates],0)),"-")</f>
        <v>-1.1425396374118522E-3</v>
      </c>
      <c r="L1182" s="72">
        <f>Comp3[[#This Row],[Comparable '#3 Price]]/$B$2*100</f>
        <v>72.399965873219003</v>
      </c>
    </row>
    <row r="1183" spans="1:12">
      <c r="A1183" s="96">
        <v>45000</v>
      </c>
      <c r="B1183" s="101">
        <v>84.88</v>
      </c>
      <c r="C1183" s="1">
        <f t="shared" si="36"/>
        <v>2.3565453154881464E-4</v>
      </c>
      <c r="D1183" s="1">
        <f>IFERROR(Comp3[[#This Row],[Comparable '#3 Return]]+1,"-")</f>
        <v>1.0002356545315487</v>
      </c>
      <c r="E1183" s="6">
        <f>B1183-MAX($B$2:B1183)</f>
        <v>-103.16</v>
      </c>
      <c r="F1183" s="80">
        <f t="shared" si="37"/>
        <v>921</v>
      </c>
      <c r="G1183" s="6">
        <f>IFERROR(Comp3[[#This Row],[Comparable '#3 Drawdown]]/MAX($B$2:B1183),"-")</f>
        <v>-0.54860667942990848</v>
      </c>
      <c r="H1183" s="1" t="str">
        <f>IF(SUM(COUNTIF(Benchmark1[Benchmark '#1 Dates],Comp3[[#This Row],[Comparable '#3 Dates]]),COUNTIF(Benchmark2[Benchmark '#2 Dates],Comp3[[#This Row],[Comparable '#3 Dates]]))=2,"Pass","Fail")</f>
        <v>Pass</v>
      </c>
      <c r="I1183" s="1">
        <f>IFERROR(Comp3[[#This Row],[Comparable '#3 Return]]-INDEX(Benchmark1[Benchmark '#1 Return],MATCH(Comp3[[#This Row],[Comparable '#3 Dates]],Benchmark1[Benchmark '#1 Dates],0)),"-")</f>
        <v>7.2410504129664212E-3</v>
      </c>
      <c r="L1183" s="72">
        <f>Comp3[[#This Row],[Comparable '#3 Price]]/$B$2*100</f>
        <v>72.41702926371471</v>
      </c>
    </row>
    <row r="1184" spans="1:12">
      <c r="A1184" s="96">
        <v>45001</v>
      </c>
      <c r="B1184" s="101">
        <v>86.52</v>
      </c>
      <c r="C1184" s="1">
        <f t="shared" si="36"/>
        <v>1.9137106779130303E-2</v>
      </c>
      <c r="D1184" s="1">
        <f>IFERROR(Comp3[[#This Row],[Comparable '#3 Return]]+1,"-")</f>
        <v>1.0191371067791304</v>
      </c>
      <c r="E1184" s="6">
        <f>B1184-MAX($B$2:B1184)</f>
        <v>-101.52</v>
      </c>
      <c r="F1184" s="80">
        <f t="shared" si="37"/>
        <v>922</v>
      </c>
      <c r="G1184" s="6">
        <f>IFERROR(Comp3[[#This Row],[Comparable '#3 Drawdown]]/MAX($B$2:B1184),"-")</f>
        <v>-0.53988513082322909</v>
      </c>
      <c r="H1184" s="1" t="str">
        <f>IF(SUM(COUNTIF(Benchmark1[Benchmark '#1 Dates],Comp3[[#This Row],[Comparable '#3 Dates]]),COUNTIF(Benchmark2[Benchmark '#2 Dates],Comp3[[#This Row],[Comparable '#3 Dates]]))=2,"Pass","Fail")</f>
        <v>Pass</v>
      </c>
      <c r="I1184" s="1">
        <f>IFERROR(Comp3[[#This Row],[Comparable '#3 Return]]-INDEX(Benchmark1[Benchmark '#1 Return],MATCH(Comp3[[#This Row],[Comparable '#3 Dates]],Benchmark1[Benchmark '#1 Dates],0)),"-")</f>
        <v>1.726434312061282E-3</v>
      </c>
      <c r="L1184" s="72">
        <f>Comp3[[#This Row],[Comparable '#3 Price]]/$B$2*100</f>
        <v>73.816227284361403</v>
      </c>
    </row>
    <row r="1185" spans="1:12">
      <c r="A1185" s="96">
        <v>45002</v>
      </c>
      <c r="B1185" s="101">
        <v>84.68</v>
      </c>
      <c r="C1185" s="1">
        <f t="shared" si="36"/>
        <v>-2.149615481819345E-2</v>
      </c>
      <c r="D1185" s="1">
        <f>IFERROR(Comp3[[#This Row],[Comparable '#3 Return]]+1,"-")</f>
        <v>0.97850384518180655</v>
      </c>
      <c r="E1185" s="6">
        <f>B1185-MAX($B$2:B1185)</f>
        <v>-103.35999999999999</v>
      </c>
      <c r="F1185" s="80">
        <f t="shared" si="37"/>
        <v>923</v>
      </c>
      <c r="G1185" s="6">
        <f>IFERROR(Comp3[[#This Row],[Comparable '#3 Drawdown]]/MAX($B$2:B1185),"-")</f>
        <v>-0.54967028291852793</v>
      </c>
      <c r="H1185" s="1" t="str">
        <f>IF(SUM(COUNTIF(Benchmark1[Benchmark '#1 Dates],Comp3[[#This Row],[Comparable '#3 Dates]]),COUNTIF(Benchmark2[Benchmark '#2 Dates],Comp3[[#This Row],[Comparable '#3 Dates]]))=2,"Pass","Fail")</f>
        <v>Pass</v>
      </c>
      <c r="I1185" s="1">
        <f>IFERROR(Comp3[[#This Row],[Comparable '#3 Return]]-INDEX(Benchmark1[Benchmark '#1 Return],MATCH(Comp3[[#This Row],[Comparable '#3 Dates]],Benchmark1[Benchmark '#1 Dates],0)),"-")</f>
        <v>-1.0414577643288157E-2</v>
      </c>
      <c r="L1185" s="72">
        <f>Comp3[[#This Row],[Comparable '#3 Price]]/$B$2*100</f>
        <v>72.246395358757795</v>
      </c>
    </row>
    <row r="1186" spans="1:12">
      <c r="A1186" s="96">
        <v>45005</v>
      </c>
      <c r="B1186" s="101">
        <v>85.91</v>
      </c>
      <c r="C1186" s="1">
        <f t="shared" si="36"/>
        <v>1.4420790383300554E-2</v>
      </c>
      <c r="D1186" s="1">
        <f>IFERROR(Comp3[[#This Row],[Comparable '#3 Return]]+1,"-")</f>
        <v>1.0144207903833005</v>
      </c>
      <c r="E1186" s="6">
        <f>B1186-MAX($B$2:B1186)</f>
        <v>-102.13</v>
      </c>
      <c r="F1186" s="80">
        <f t="shared" si="37"/>
        <v>924</v>
      </c>
      <c r="G1186" s="6">
        <f>IFERROR(Comp3[[#This Row],[Comparable '#3 Drawdown]]/MAX($B$2:B1186),"-")</f>
        <v>-0.54312912146351844</v>
      </c>
      <c r="H1186" s="1" t="str">
        <f>IF(SUM(COUNTIF(Benchmark1[Benchmark '#1 Dates],Comp3[[#This Row],[Comparable '#3 Dates]]),COUNTIF(Benchmark2[Benchmark '#2 Dates],Comp3[[#This Row],[Comparable '#3 Dates]]))=2,"Pass","Fail")</f>
        <v>Pass</v>
      </c>
      <c r="I1186" s="1">
        <f>IFERROR(Comp3[[#This Row],[Comparable '#3 Return]]-INDEX(Benchmark1[Benchmark '#1 Return],MATCH(Comp3[[#This Row],[Comparable '#3 Dates]],Benchmark1[Benchmark '#1 Dates],0)),"-")</f>
        <v>5.5415394730863963E-3</v>
      </c>
      <c r="L1186" s="72">
        <f>Comp3[[#This Row],[Comparable '#3 Price]]/$B$2*100</f>
        <v>73.295793874242804</v>
      </c>
    </row>
    <row r="1187" spans="1:12">
      <c r="A1187" s="96">
        <v>45006</v>
      </c>
      <c r="B1187" s="101">
        <v>87.85</v>
      </c>
      <c r="C1187" s="1">
        <f t="shared" si="36"/>
        <v>2.2330577983140976E-2</v>
      </c>
      <c r="D1187" s="1">
        <f>IFERROR(Comp3[[#This Row],[Comparable '#3 Return]]+1,"-")</f>
        <v>1.0223305779831411</v>
      </c>
      <c r="E1187" s="6">
        <f>B1187-MAX($B$2:B1187)</f>
        <v>-100.19</v>
      </c>
      <c r="F1187" s="80">
        <f t="shared" si="37"/>
        <v>925</v>
      </c>
      <c r="G1187" s="6">
        <f>IFERROR(Comp3[[#This Row],[Comparable '#3 Drawdown]]/MAX($B$2:B1187),"-")</f>
        <v>-0.53281216762390982</v>
      </c>
      <c r="H1187" s="1" t="str">
        <f>IF(SUM(COUNTIF(Benchmark1[Benchmark '#1 Dates],Comp3[[#This Row],[Comparable '#3 Dates]]),COUNTIF(Benchmark2[Benchmark '#2 Dates],Comp3[[#This Row],[Comparable '#3 Dates]]))=2,"Pass","Fail")</f>
        <v>Pass</v>
      </c>
      <c r="I1187" s="1">
        <f>IFERROR(Comp3[[#This Row],[Comparable '#3 Return]]-INDEX(Benchmark1[Benchmark '#1 Return],MATCH(Comp3[[#This Row],[Comparable '#3 Dates]],Benchmark1[Benchmark '#1 Dates],0)),"-")</f>
        <v>9.4307978439483221E-3</v>
      </c>
      <c r="L1187" s="72">
        <f>Comp3[[#This Row],[Comparable '#3 Price]]/$B$2*100</f>
        <v>74.950942752324892</v>
      </c>
    </row>
    <row r="1188" spans="1:12">
      <c r="A1188" s="96">
        <v>45007</v>
      </c>
      <c r="B1188" s="101">
        <v>86.31</v>
      </c>
      <c r="C1188" s="1">
        <f t="shared" si="36"/>
        <v>-1.7685348401539878E-2</v>
      </c>
      <c r="D1188" s="1">
        <f>IFERROR(Comp3[[#This Row],[Comparable '#3 Return]]+1,"-")</f>
        <v>0.9823146515984601</v>
      </c>
      <c r="E1188" s="6">
        <f>B1188-MAX($B$2:B1188)</f>
        <v>-101.72999999999999</v>
      </c>
      <c r="F1188" s="80">
        <f t="shared" si="37"/>
        <v>926</v>
      </c>
      <c r="G1188" s="6">
        <f>IFERROR(Comp3[[#This Row],[Comparable '#3 Drawdown]]/MAX($B$2:B1188),"-")</f>
        <v>-0.54100191448627943</v>
      </c>
      <c r="H1188" s="1" t="str">
        <f>IF(SUM(COUNTIF(Benchmark1[Benchmark '#1 Dates],Comp3[[#This Row],[Comparable '#3 Dates]]),COUNTIF(Benchmark2[Benchmark '#2 Dates],Comp3[[#This Row],[Comparable '#3 Dates]]))=2,"Pass","Fail")</f>
        <v>Pass</v>
      </c>
      <c r="I1188" s="1">
        <f>IFERROR(Comp3[[#This Row],[Comparable '#3 Return]]-INDEX(Benchmark1[Benchmark '#1 Return],MATCH(Comp3[[#This Row],[Comparable '#3 Dates]],Benchmark1[Benchmark '#1 Dates],0)),"-")</f>
        <v>-1.0846244962091287E-3</v>
      </c>
      <c r="L1188" s="72">
        <f>Comp3[[#This Row],[Comparable '#3 Price]]/$B$2*100</f>
        <v>73.637061684156649</v>
      </c>
    </row>
    <row r="1189" spans="1:12">
      <c r="A1189" s="96">
        <v>45008</v>
      </c>
      <c r="B1189" s="101">
        <v>85.96</v>
      </c>
      <c r="C1189" s="1">
        <f t="shared" si="36"/>
        <v>-4.0633944572565951E-3</v>
      </c>
      <c r="D1189" s="1">
        <f>IFERROR(Comp3[[#This Row],[Comparable '#3 Return]]+1,"-")</f>
        <v>0.99593660554274344</v>
      </c>
      <c r="E1189" s="6">
        <f>B1189-MAX($B$2:B1189)</f>
        <v>-102.08</v>
      </c>
      <c r="F1189" s="80">
        <f t="shared" si="37"/>
        <v>927</v>
      </c>
      <c r="G1189" s="6">
        <f>IFERROR(Comp3[[#This Row],[Comparable '#3 Drawdown]]/MAX($B$2:B1189),"-")</f>
        <v>-0.5428632205913636</v>
      </c>
      <c r="H1189" s="1" t="str">
        <f>IF(SUM(COUNTIF(Benchmark1[Benchmark '#1 Dates],Comp3[[#This Row],[Comparable '#3 Dates]]),COUNTIF(Benchmark2[Benchmark '#2 Dates],Comp3[[#This Row],[Comparable '#3 Dates]]))=2,"Pass","Fail")</f>
        <v>Pass</v>
      </c>
      <c r="I1189" s="1">
        <f>IFERROR(Comp3[[#This Row],[Comparable '#3 Return]]-INDEX(Benchmark1[Benchmark '#1 Return],MATCH(Comp3[[#This Row],[Comparable '#3 Dates]],Benchmark1[Benchmark '#1 Dates],0)),"-")</f>
        <v>-7.0440693168677074E-3</v>
      </c>
      <c r="L1189" s="72">
        <f>Comp3[[#This Row],[Comparable '#3 Price]]/$B$2*100</f>
        <v>73.338452350482044</v>
      </c>
    </row>
    <row r="1190" spans="1:12">
      <c r="A1190" s="96">
        <v>45009</v>
      </c>
      <c r="B1190" s="101">
        <v>87.49</v>
      </c>
      <c r="C1190" s="1">
        <f t="shared" si="36"/>
        <v>1.764242934386355E-2</v>
      </c>
      <c r="D1190" s="1">
        <f>IFERROR(Comp3[[#This Row],[Comparable '#3 Return]]+1,"-")</f>
        <v>1.0176424293438635</v>
      </c>
      <c r="E1190" s="6">
        <f>B1190-MAX($B$2:B1190)</f>
        <v>-100.55</v>
      </c>
      <c r="F1190" s="80">
        <f t="shared" si="37"/>
        <v>928</v>
      </c>
      <c r="G1190" s="6">
        <f>IFERROR(Comp3[[#This Row],[Comparable '#3 Drawdown]]/MAX($B$2:B1190),"-")</f>
        <v>-0.53472665390342478</v>
      </c>
      <c r="H1190" s="1" t="str">
        <f>IF(SUM(COUNTIF(Benchmark1[Benchmark '#1 Dates],Comp3[[#This Row],[Comparable '#3 Dates]]),COUNTIF(Benchmark2[Benchmark '#2 Dates],Comp3[[#This Row],[Comparable '#3 Dates]]))=2,"Pass","Fail")</f>
        <v>Pass</v>
      </c>
      <c r="I1190" s="1">
        <f>IFERROR(Comp3[[#This Row],[Comparable '#3 Return]]-INDEX(Benchmark1[Benchmark '#1 Return],MATCH(Comp3[[#This Row],[Comparable '#3 Dates]],Benchmark1[Benchmark '#1 Dates],0)),"-")</f>
        <v>1.2020319446815305E-2</v>
      </c>
      <c r="L1190" s="72">
        <f>Comp3[[#This Row],[Comparable '#3 Price]]/$B$2*100</f>
        <v>74.643801723402433</v>
      </c>
    </row>
    <row r="1191" spans="1:12">
      <c r="A1191" s="96">
        <v>45012</v>
      </c>
      <c r="B1191" s="101">
        <v>88.57</v>
      </c>
      <c r="C1191" s="1">
        <f t="shared" si="36"/>
        <v>1.2268698703318414E-2</v>
      </c>
      <c r="D1191" s="1">
        <f>IFERROR(Comp3[[#This Row],[Comparable '#3 Return]]+1,"-")</f>
        <v>1.0122686987033185</v>
      </c>
      <c r="E1191" s="6">
        <f>B1191-MAX($B$2:B1191)</f>
        <v>-99.47</v>
      </c>
      <c r="F1191" s="80">
        <f t="shared" si="37"/>
        <v>929</v>
      </c>
      <c r="G1191" s="6">
        <f>IFERROR(Comp3[[#This Row],[Comparable '#3 Drawdown]]/MAX($B$2:B1191),"-")</f>
        <v>-0.52898319506487979</v>
      </c>
      <c r="H1191" s="1" t="str">
        <f>IF(SUM(COUNTIF(Benchmark1[Benchmark '#1 Dates],Comp3[[#This Row],[Comparable '#3 Dates]]),COUNTIF(Benchmark2[Benchmark '#2 Dates],Comp3[[#This Row],[Comparable '#3 Dates]]))=2,"Pass","Fail")</f>
        <v>Pass</v>
      </c>
      <c r="I1191" s="1">
        <f>IFERROR(Comp3[[#This Row],[Comparable '#3 Return]]-INDEX(Benchmark1[Benchmark '#1 Return],MATCH(Comp3[[#This Row],[Comparable '#3 Dates]],Benchmark1[Benchmark '#1 Dates],0)),"-")</f>
        <v>1.062266856569263E-2</v>
      </c>
      <c r="L1191" s="72">
        <f>Comp3[[#This Row],[Comparable '#3 Price]]/$B$2*100</f>
        <v>75.565224810169781</v>
      </c>
    </row>
    <row r="1192" spans="1:12">
      <c r="A1192" s="96">
        <v>45013</v>
      </c>
      <c r="B1192" s="101">
        <v>87.35</v>
      </c>
      <c r="C1192" s="1">
        <f t="shared" si="36"/>
        <v>-1.387016324142603E-2</v>
      </c>
      <c r="D1192" s="1">
        <f>IFERROR(Comp3[[#This Row],[Comparable '#3 Return]]+1,"-")</f>
        <v>0.98612983675857402</v>
      </c>
      <c r="E1192" s="6">
        <f>B1192-MAX($B$2:B1192)</f>
        <v>-100.69</v>
      </c>
      <c r="F1192" s="80">
        <f t="shared" si="37"/>
        <v>930</v>
      </c>
      <c r="G1192" s="6">
        <f>IFERROR(Comp3[[#This Row],[Comparable '#3 Drawdown]]/MAX($B$2:B1192),"-")</f>
        <v>-0.53547117634545838</v>
      </c>
      <c r="H1192" s="1" t="str">
        <f>IF(SUM(COUNTIF(Benchmark1[Benchmark '#1 Dates],Comp3[[#This Row],[Comparable '#3 Dates]]),COUNTIF(Benchmark2[Benchmark '#2 Dates],Comp3[[#This Row],[Comparable '#3 Dates]]))=2,"Pass","Fail")</f>
        <v>Pass</v>
      </c>
      <c r="I1192" s="1">
        <f>IFERROR(Comp3[[#This Row],[Comparable '#3 Return]]-INDEX(Benchmark1[Benchmark '#1 Return],MATCH(Comp3[[#This Row],[Comparable '#3 Dates]],Benchmark1[Benchmark '#1 Dates],0)),"-")</f>
        <v>-1.2295594146253265E-2</v>
      </c>
      <c r="L1192" s="72">
        <f>Comp3[[#This Row],[Comparable '#3 Price]]/$B$2*100</f>
        <v>74.524357989932597</v>
      </c>
    </row>
    <row r="1193" spans="1:12">
      <c r="A1193" s="96">
        <v>45014</v>
      </c>
      <c r="B1193" s="101">
        <v>86.55</v>
      </c>
      <c r="C1193" s="1">
        <f t="shared" si="36"/>
        <v>-9.2007549578472583E-3</v>
      </c>
      <c r="D1193" s="1">
        <f>IFERROR(Comp3[[#This Row],[Comparable '#3 Return]]+1,"-")</f>
        <v>0.99079924504215278</v>
      </c>
      <c r="E1193" s="6">
        <f>B1193-MAX($B$2:B1193)</f>
        <v>-101.49</v>
      </c>
      <c r="F1193" s="80">
        <f t="shared" si="37"/>
        <v>931</v>
      </c>
      <c r="G1193" s="6">
        <f>IFERROR(Comp3[[#This Row],[Comparable '#3 Drawdown]]/MAX($B$2:B1193),"-")</f>
        <v>-0.53972559029993616</v>
      </c>
      <c r="H1193" s="1" t="str">
        <f>IF(SUM(COUNTIF(Benchmark1[Benchmark '#1 Dates],Comp3[[#This Row],[Comparable '#3 Dates]]),COUNTIF(Benchmark2[Benchmark '#2 Dates],Comp3[[#This Row],[Comparable '#3 Dates]]))=2,"Pass","Fail")</f>
        <v>Pass</v>
      </c>
      <c r="I1193" s="1">
        <f>IFERROR(Comp3[[#This Row],[Comparable '#3 Return]]-INDEX(Benchmark1[Benchmark '#1 Return],MATCH(Comp3[[#This Row],[Comparable '#3 Dates]],Benchmark1[Benchmark '#1 Dates],0)),"-")</f>
        <v>-2.333802325407161E-2</v>
      </c>
      <c r="L1193" s="72">
        <f>Comp3[[#This Row],[Comparable '#3 Price]]/$B$2*100</f>
        <v>73.841822370104936</v>
      </c>
    </row>
    <row r="1194" spans="1:12">
      <c r="A1194" s="96">
        <v>45015</v>
      </c>
      <c r="B1194" s="101">
        <v>88.24</v>
      </c>
      <c r="C1194" s="1">
        <f t="shared" si="36"/>
        <v>1.9338093323028667E-2</v>
      </c>
      <c r="D1194" s="1">
        <f>IFERROR(Comp3[[#This Row],[Comparable '#3 Return]]+1,"-")</f>
        <v>1.0193380933230287</v>
      </c>
      <c r="E1194" s="6">
        <f>B1194-MAX($B$2:B1194)</f>
        <v>-99.8</v>
      </c>
      <c r="F1194" s="80">
        <f t="shared" si="37"/>
        <v>932</v>
      </c>
      <c r="G1194" s="6">
        <f>IFERROR(Comp3[[#This Row],[Comparable '#3 Drawdown]]/MAX($B$2:B1194),"-")</f>
        <v>-0.53073814082110193</v>
      </c>
      <c r="H1194" s="1" t="str">
        <f>IF(SUM(COUNTIF(Benchmark1[Benchmark '#1 Dates],Comp3[[#This Row],[Comparable '#3 Dates]]),COUNTIF(Benchmark2[Benchmark '#2 Dates],Comp3[[#This Row],[Comparable '#3 Dates]]))=2,"Pass","Fail")</f>
        <v>Pass</v>
      </c>
      <c r="I1194" s="1">
        <f>IFERROR(Comp3[[#This Row],[Comparable '#3 Return]]-INDEX(Benchmark1[Benchmark '#1 Return],MATCH(Comp3[[#This Row],[Comparable '#3 Dates]],Benchmark1[Benchmark '#1 Dates],0)),"-")</f>
        <v>1.3639777394295035E-2</v>
      </c>
      <c r="L1194" s="72">
        <f>Comp3[[#This Row],[Comparable '#3 Price]]/$B$2*100</f>
        <v>75.283678866990869</v>
      </c>
    </row>
    <row r="1195" spans="1:12">
      <c r="A1195" s="96">
        <v>45016</v>
      </c>
      <c r="B1195" s="101">
        <v>89.83</v>
      </c>
      <c r="C1195" s="1">
        <f t="shared" si="36"/>
        <v>1.7858620295868308E-2</v>
      </c>
      <c r="D1195" s="1">
        <f>IFERROR(Comp3[[#This Row],[Comparable '#3 Return]]+1,"-")</f>
        <v>1.0178586202958684</v>
      </c>
      <c r="E1195" s="6">
        <f>B1195-MAX($B$2:B1195)</f>
        <v>-98.21</v>
      </c>
      <c r="F1195" s="80">
        <f t="shared" si="37"/>
        <v>933</v>
      </c>
      <c r="G1195" s="6">
        <f>IFERROR(Comp3[[#This Row],[Comparable '#3 Drawdown]]/MAX($B$2:B1195),"-")</f>
        <v>-0.52228249308657726</v>
      </c>
      <c r="H1195" s="1" t="str">
        <f>IF(SUM(COUNTIF(Benchmark1[Benchmark '#1 Dates],Comp3[[#This Row],[Comparable '#3 Dates]]),COUNTIF(Benchmark2[Benchmark '#2 Dates],Comp3[[#This Row],[Comparable '#3 Dates]]))=2,"Pass","Fail")</f>
        <v>Pass</v>
      </c>
      <c r="I1195" s="1">
        <f>IFERROR(Comp3[[#This Row],[Comparable '#3 Return]]-INDEX(Benchmark1[Benchmark '#1 Return],MATCH(Comp3[[#This Row],[Comparable '#3 Dates]],Benchmark1[Benchmark '#1 Dates],0)),"-")</f>
        <v>3.5244697739559936E-3</v>
      </c>
      <c r="L1195" s="72">
        <f>Comp3[[#This Row],[Comparable '#3 Price]]/$B$2*100</f>
        <v>76.640218411398337</v>
      </c>
    </row>
    <row r="1196" spans="1:12">
      <c r="A1196" s="96">
        <v>45019</v>
      </c>
      <c r="B1196" s="101">
        <v>89.76</v>
      </c>
      <c r="C1196" s="1">
        <f t="shared" si="36"/>
        <v>-7.795534667290006E-4</v>
      </c>
      <c r="D1196" s="1">
        <f>IFERROR(Comp3[[#This Row],[Comparable '#3 Return]]+1,"-")</f>
        <v>0.99922044653327102</v>
      </c>
      <c r="E1196" s="6">
        <f>B1196-MAX($B$2:B1196)</f>
        <v>-98.279999999999987</v>
      </c>
      <c r="F1196" s="80">
        <f t="shared" si="37"/>
        <v>934</v>
      </c>
      <c r="G1196" s="6">
        <f>IFERROR(Comp3[[#This Row],[Comparable '#3 Drawdown]]/MAX($B$2:B1196),"-")</f>
        <v>-0.52265475430759412</v>
      </c>
      <c r="H1196" s="1" t="str">
        <f>IF(SUM(COUNTIF(Benchmark1[Benchmark '#1 Dates],Comp3[[#This Row],[Comparable '#3 Dates]]),COUNTIF(Benchmark2[Benchmark '#2 Dates],Comp3[[#This Row],[Comparable '#3 Dates]]))=2,"Pass","Fail")</f>
        <v>Pass</v>
      </c>
      <c r="I1196" s="1">
        <f>IFERROR(Comp3[[#This Row],[Comparable '#3 Return]]-INDEX(Benchmark1[Benchmark '#1 Return],MATCH(Comp3[[#This Row],[Comparable '#3 Dates]],Benchmark1[Benchmark '#1 Dates],0)),"-")</f>
        <v>-4.4700903074838443E-3</v>
      </c>
      <c r="L1196" s="72">
        <f>Comp3[[#This Row],[Comparable '#3 Price]]/$B$2*100</f>
        <v>76.580496544663433</v>
      </c>
    </row>
    <row r="1197" spans="1:12">
      <c r="A1197" s="96">
        <v>45020</v>
      </c>
      <c r="B1197" s="101">
        <v>89.16</v>
      </c>
      <c r="C1197" s="1">
        <f t="shared" si="36"/>
        <v>-6.706933256718217E-3</v>
      </c>
      <c r="D1197" s="1">
        <f>IFERROR(Comp3[[#This Row],[Comparable '#3 Return]]+1,"-")</f>
        <v>0.99329306674328177</v>
      </c>
      <c r="E1197" s="6">
        <f>B1197-MAX($B$2:B1197)</f>
        <v>-98.88</v>
      </c>
      <c r="F1197" s="80">
        <f t="shared" si="37"/>
        <v>935</v>
      </c>
      <c r="G1197" s="6">
        <f>IFERROR(Comp3[[#This Row],[Comparable '#3 Drawdown]]/MAX($B$2:B1197),"-")</f>
        <v>-0.52584556477345246</v>
      </c>
      <c r="H1197" s="1" t="str">
        <f>IF(SUM(COUNTIF(Benchmark1[Benchmark '#1 Dates],Comp3[[#This Row],[Comparable '#3 Dates]]),COUNTIF(Benchmark2[Benchmark '#2 Dates],Comp3[[#This Row],[Comparable '#3 Dates]]))=2,"Pass","Fail")</f>
        <v>Pass</v>
      </c>
      <c r="I1197" s="1">
        <f>IFERROR(Comp3[[#This Row],[Comparable '#3 Return]]-INDEX(Benchmark1[Benchmark '#1 Return],MATCH(Comp3[[#This Row],[Comparable '#3 Dates]],Benchmark1[Benchmark '#1 Dates],0)),"-")</f>
        <v>-8.9373075084710207E-4</v>
      </c>
      <c r="L1197" s="72">
        <f>Comp3[[#This Row],[Comparable '#3 Price]]/$B$2*100</f>
        <v>76.068594829792673</v>
      </c>
    </row>
    <row r="1198" spans="1:12">
      <c r="A1198" s="96">
        <v>45021</v>
      </c>
      <c r="B1198" s="101">
        <v>90.39</v>
      </c>
      <c r="C1198" s="1">
        <f t="shared" si="36"/>
        <v>1.3701133292651433E-2</v>
      </c>
      <c r="D1198" s="1">
        <f>IFERROR(Comp3[[#This Row],[Comparable '#3 Return]]+1,"-")</f>
        <v>1.0137011332926513</v>
      </c>
      <c r="E1198" s="6">
        <f>B1198-MAX($B$2:B1198)</f>
        <v>-97.649999999999991</v>
      </c>
      <c r="F1198" s="80">
        <f t="shared" si="37"/>
        <v>936</v>
      </c>
      <c r="G1198" s="6">
        <f>IFERROR(Comp3[[#This Row],[Comparable '#3 Drawdown]]/MAX($B$2:B1198),"-")</f>
        <v>-0.51930440331844285</v>
      </c>
      <c r="H1198" s="1" t="str">
        <f>IF(SUM(COUNTIF(Benchmark1[Benchmark '#1 Dates],Comp3[[#This Row],[Comparable '#3 Dates]]),COUNTIF(Benchmark2[Benchmark '#2 Dates],Comp3[[#This Row],[Comparable '#3 Dates]]))=2,"Pass","Fail")</f>
        <v>Pass</v>
      </c>
      <c r="I1198" s="1">
        <f>IFERROR(Comp3[[#This Row],[Comparable '#3 Return]]-INDEX(Benchmark1[Benchmark '#1 Return],MATCH(Comp3[[#This Row],[Comparable '#3 Dates]],Benchmark1[Benchmark '#1 Dates],0)),"-")</f>
        <v>1.6197470874405602E-2</v>
      </c>
      <c r="L1198" s="72">
        <f>Comp3[[#This Row],[Comparable '#3 Price]]/$B$2*100</f>
        <v>77.117993345277711</v>
      </c>
    </row>
    <row r="1199" spans="1:12">
      <c r="A1199" s="96">
        <v>45022</v>
      </c>
      <c r="B1199" s="101">
        <v>90.35</v>
      </c>
      <c r="C1199" s="1">
        <f t="shared" si="36"/>
        <v>-4.426247720821156E-4</v>
      </c>
      <c r="D1199" s="1">
        <f>IFERROR(Comp3[[#This Row],[Comparable '#3 Return]]+1,"-")</f>
        <v>0.99955737522791788</v>
      </c>
      <c r="E1199" s="6">
        <f>B1199-MAX($B$2:B1199)</f>
        <v>-97.69</v>
      </c>
      <c r="F1199" s="80">
        <f t="shared" si="37"/>
        <v>937</v>
      </c>
      <c r="G1199" s="6">
        <f>IFERROR(Comp3[[#This Row],[Comparable '#3 Drawdown]]/MAX($B$2:B1199),"-")</f>
        <v>-0.51951712401616679</v>
      </c>
      <c r="H1199" s="1" t="str">
        <f>IF(SUM(COUNTIF(Benchmark1[Benchmark '#1 Dates],Comp3[[#This Row],[Comparable '#3 Dates]]),COUNTIF(Benchmark2[Benchmark '#2 Dates],Comp3[[#This Row],[Comparable '#3 Dates]]))=2,"Pass","Fail")</f>
        <v>Pass</v>
      </c>
      <c r="I1199" s="1">
        <f>IFERROR(Comp3[[#This Row],[Comparable '#3 Return]]-INDEX(Benchmark1[Benchmark '#1 Return],MATCH(Comp3[[#This Row],[Comparable '#3 Dates]],Benchmark1[Benchmark '#1 Dates],0)),"-")</f>
        <v>-4.0162106337814701E-3</v>
      </c>
      <c r="L1199" s="72">
        <f>Comp3[[#This Row],[Comparable '#3 Price]]/$B$2*100</f>
        <v>77.083866564286325</v>
      </c>
    </row>
    <row r="1200" spans="1:12">
      <c r="A1200" s="96">
        <v>45026</v>
      </c>
      <c r="B1200" s="101">
        <v>92.09</v>
      </c>
      <c r="C1200" s="1">
        <f t="shared" si="36"/>
        <v>1.9075342695038161E-2</v>
      </c>
      <c r="D1200" s="1">
        <f>IFERROR(Comp3[[#This Row],[Comparable '#3 Return]]+1,"-")</f>
        <v>1.0190753426950381</v>
      </c>
      <c r="E1200" s="6">
        <f>B1200-MAX($B$2:B1200)</f>
        <v>-95.949999999999989</v>
      </c>
      <c r="F1200" s="80">
        <f t="shared" si="37"/>
        <v>938</v>
      </c>
      <c r="G1200" s="6">
        <f>IFERROR(Comp3[[#This Row],[Comparable '#3 Drawdown]]/MAX($B$2:B1200),"-")</f>
        <v>-0.51026377366517761</v>
      </c>
      <c r="H1200" s="1" t="str">
        <f>IF(SUM(COUNTIF(Benchmark1[Benchmark '#1 Dates],Comp3[[#This Row],[Comparable '#3 Dates]]),COUNTIF(Benchmark2[Benchmark '#2 Dates],Comp3[[#This Row],[Comparable '#3 Dates]]))=2,"Pass","Fail")</f>
        <v>Pass</v>
      </c>
      <c r="I1200" s="1">
        <f>IFERROR(Comp3[[#This Row],[Comparable '#3 Return]]-INDEX(Benchmark1[Benchmark '#1 Return],MATCH(Comp3[[#This Row],[Comparable '#3 Dates]],Benchmark1[Benchmark '#1 Dates],0)),"-")</f>
        <v>1.8078613042355487E-2</v>
      </c>
      <c r="L1200" s="72">
        <f>Comp3[[#This Row],[Comparable '#3 Price]]/$B$2*100</f>
        <v>78.568381537411497</v>
      </c>
    </row>
    <row r="1201" spans="1:12">
      <c r="A1201" s="96">
        <v>45027</v>
      </c>
      <c r="B1201" s="101">
        <v>93.63</v>
      </c>
      <c r="C1201" s="1">
        <f t="shared" si="36"/>
        <v>1.6584485217521948E-2</v>
      </c>
      <c r="D1201" s="1">
        <f>IFERROR(Comp3[[#This Row],[Comparable '#3 Return]]+1,"-")</f>
        <v>1.0165844852175219</v>
      </c>
      <c r="E1201" s="6">
        <f>B1201-MAX($B$2:B1201)</f>
        <v>-94.41</v>
      </c>
      <c r="F1201" s="80">
        <f t="shared" si="37"/>
        <v>939</v>
      </c>
      <c r="G1201" s="6">
        <f>IFERROR(Comp3[[#This Row],[Comparable '#3 Drawdown]]/MAX($B$2:B1201),"-")</f>
        <v>-0.50207402680280788</v>
      </c>
      <c r="H1201" s="1" t="str">
        <f>IF(SUM(COUNTIF(Benchmark1[Benchmark '#1 Dates],Comp3[[#This Row],[Comparable '#3 Dates]]),COUNTIF(Benchmark2[Benchmark '#2 Dates],Comp3[[#This Row],[Comparable '#3 Dates]]))=2,"Pass","Fail")</f>
        <v>Pass</v>
      </c>
      <c r="I1201" s="1">
        <f>IFERROR(Comp3[[#This Row],[Comparable '#3 Return]]-INDEX(Benchmark1[Benchmark '#1 Return],MATCH(Comp3[[#This Row],[Comparable '#3 Dates]],Benchmark1[Benchmark '#1 Dates],0)),"-")</f>
        <v>1.6626184657935306E-2</v>
      </c>
      <c r="L1201" s="72">
        <f>Comp3[[#This Row],[Comparable '#3 Price]]/$B$2*100</f>
        <v>79.882262605579726</v>
      </c>
    </row>
    <row r="1202" spans="1:12">
      <c r="A1202" s="96">
        <v>45028</v>
      </c>
      <c r="B1202" s="101">
        <v>94.17</v>
      </c>
      <c r="C1202" s="1">
        <f t="shared" si="36"/>
        <v>5.7508145711742406E-3</v>
      </c>
      <c r="D1202" s="1">
        <f>IFERROR(Comp3[[#This Row],[Comparable '#3 Return]]+1,"-")</f>
        <v>1.0057508145711742</v>
      </c>
      <c r="E1202" s="6">
        <f>B1202-MAX($B$2:B1202)</f>
        <v>-93.86999999999999</v>
      </c>
      <c r="F1202" s="80">
        <f t="shared" si="37"/>
        <v>940</v>
      </c>
      <c r="G1202" s="6">
        <f>IFERROR(Comp3[[#This Row],[Comparable '#3 Drawdown]]/MAX($B$2:B1202),"-")</f>
        <v>-0.49920229738353539</v>
      </c>
      <c r="H1202" s="1" t="str">
        <f>IF(SUM(COUNTIF(Benchmark1[Benchmark '#1 Dates],Comp3[[#This Row],[Comparable '#3 Dates]]),COUNTIF(Benchmark2[Benchmark '#2 Dates],Comp3[[#This Row],[Comparable '#3 Dates]]))=2,"Pass","Fail")</f>
        <v>Pass</v>
      </c>
      <c r="I1202" s="1">
        <f>IFERROR(Comp3[[#This Row],[Comparable '#3 Return]]-INDEX(Benchmark1[Benchmark '#1 Return],MATCH(Comp3[[#This Row],[Comparable '#3 Dates]],Benchmark1[Benchmark '#1 Dates],0)),"-")</f>
        <v>9.8935172218013873E-3</v>
      </c>
      <c r="L1202" s="72">
        <f>Comp3[[#This Row],[Comparable '#3 Price]]/$B$2*100</f>
        <v>80.342974148963407</v>
      </c>
    </row>
    <row r="1203" spans="1:12">
      <c r="A1203" s="96">
        <v>45029</v>
      </c>
      <c r="B1203" s="101">
        <v>94.51</v>
      </c>
      <c r="C1203" s="1">
        <f t="shared" si="36"/>
        <v>3.6039894849928039E-3</v>
      </c>
      <c r="D1203" s="1">
        <f>IFERROR(Comp3[[#This Row],[Comparable '#3 Return]]+1,"-")</f>
        <v>1.0036039894849929</v>
      </c>
      <c r="E1203" s="6">
        <f>B1203-MAX($B$2:B1203)</f>
        <v>-93.529999999999987</v>
      </c>
      <c r="F1203" s="80">
        <f t="shared" si="37"/>
        <v>941</v>
      </c>
      <c r="G1203" s="6">
        <f>IFERROR(Comp3[[#This Row],[Comparable '#3 Drawdown]]/MAX($B$2:B1203),"-")</f>
        <v>-0.49739417145288234</v>
      </c>
      <c r="H1203" s="1" t="str">
        <f>IF(SUM(COUNTIF(Benchmark1[Benchmark '#1 Dates],Comp3[[#This Row],[Comparable '#3 Dates]]),COUNTIF(Benchmark2[Benchmark '#2 Dates],Comp3[[#This Row],[Comparable '#3 Dates]]))=2,"Pass","Fail")</f>
        <v>Pass</v>
      </c>
      <c r="I1203" s="1">
        <f>IFERROR(Comp3[[#This Row],[Comparable '#3 Return]]-INDEX(Benchmark1[Benchmark '#1 Return],MATCH(Comp3[[#This Row],[Comparable '#3 Dates]],Benchmark1[Benchmark '#1 Dates],0)),"-")</f>
        <v>-9.5695057613938012E-3</v>
      </c>
      <c r="L1203" s="72">
        <f>Comp3[[#This Row],[Comparable '#3 Price]]/$B$2*100</f>
        <v>80.633051787390158</v>
      </c>
    </row>
    <row r="1204" spans="1:12">
      <c r="A1204" s="96">
        <v>45030</v>
      </c>
      <c r="B1204" s="101">
        <v>93.82</v>
      </c>
      <c r="C1204" s="1">
        <f t="shared" si="36"/>
        <v>-7.3275961066528407E-3</v>
      </c>
      <c r="D1204" s="1">
        <f>IFERROR(Comp3[[#This Row],[Comparable '#3 Return]]+1,"-")</f>
        <v>0.99267240389334721</v>
      </c>
      <c r="E1204" s="6">
        <f>B1204-MAX($B$2:B1204)</f>
        <v>-94.22</v>
      </c>
      <c r="F1204" s="80">
        <f t="shared" si="37"/>
        <v>942</v>
      </c>
      <c r="G1204" s="6">
        <f>IFERROR(Comp3[[#This Row],[Comparable '#3 Drawdown]]/MAX($B$2:B1204),"-")</f>
        <v>-0.50106360348861945</v>
      </c>
      <c r="H1204" s="1" t="str">
        <f>IF(SUM(COUNTIF(Benchmark1[Benchmark '#1 Dates],Comp3[[#This Row],[Comparable '#3 Dates]]),COUNTIF(Benchmark2[Benchmark '#2 Dates],Comp3[[#This Row],[Comparable '#3 Dates]]))=2,"Pass","Fail")</f>
        <v>Pass</v>
      </c>
      <c r="I1204" s="1">
        <f>IFERROR(Comp3[[#This Row],[Comparable '#3 Return]]-INDEX(Benchmark1[Benchmark '#1 Return],MATCH(Comp3[[#This Row],[Comparable '#3 Dates]],Benchmark1[Benchmark '#1 Dates],0)),"-")</f>
        <v>-5.2567357783954941E-3</v>
      </c>
      <c r="L1204" s="72">
        <f>Comp3[[#This Row],[Comparable '#3 Price]]/$B$2*100</f>
        <v>80.044364815288787</v>
      </c>
    </row>
    <row r="1205" spans="1:12">
      <c r="A1205" s="96">
        <v>45033</v>
      </c>
      <c r="B1205" s="101">
        <v>92.83</v>
      </c>
      <c r="C1205" s="1">
        <f t="shared" si="36"/>
        <v>-1.0608189488470724E-2</v>
      </c>
      <c r="D1205" s="1">
        <f>IFERROR(Comp3[[#This Row],[Comparable '#3 Return]]+1,"-")</f>
        <v>0.98939181051152925</v>
      </c>
      <c r="E1205" s="6">
        <f>B1205-MAX($B$2:B1205)</f>
        <v>-95.21</v>
      </c>
      <c r="F1205" s="80">
        <f t="shared" si="37"/>
        <v>943</v>
      </c>
      <c r="G1205" s="6">
        <f>IFERROR(Comp3[[#This Row],[Comparable '#3 Drawdown]]/MAX($B$2:B1205),"-")</f>
        <v>-0.50632844075728567</v>
      </c>
      <c r="H1205" s="1" t="str">
        <f>IF(SUM(COUNTIF(Benchmark1[Benchmark '#1 Dates],Comp3[[#This Row],[Comparable '#3 Dates]]),COUNTIF(Benchmark2[Benchmark '#2 Dates],Comp3[[#This Row],[Comparable '#3 Dates]]))=2,"Pass","Fail")</f>
        <v>Pass</v>
      </c>
      <c r="I1205" s="1">
        <f>IFERROR(Comp3[[#This Row],[Comparable '#3 Return]]-INDEX(Benchmark1[Benchmark '#1 Return],MATCH(Comp3[[#This Row],[Comparable '#3 Dates]],Benchmark1[Benchmark '#1 Dates],0)),"-")</f>
        <v>-1.3909850257553948E-2</v>
      </c>
      <c r="L1205" s="72">
        <f>Comp3[[#This Row],[Comparable '#3 Price]]/$B$2*100</f>
        <v>79.199726985752079</v>
      </c>
    </row>
    <row r="1206" spans="1:12">
      <c r="A1206" s="96">
        <v>45034</v>
      </c>
      <c r="B1206" s="101">
        <v>91.82</v>
      </c>
      <c r="C1206" s="1">
        <f t="shared" si="36"/>
        <v>-1.0939724590765216E-2</v>
      </c>
      <c r="D1206" s="1">
        <f>IFERROR(Comp3[[#This Row],[Comparable '#3 Return]]+1,"-")</f>
        <v>0.9890602754092348</v>
      </c>
      <c r="E1206" s="6">
        <f>B1206-MAX($B$2:B1206)</f>
        <v>-96.22</v>
      </c>
      <c r="F1206" s="80">
        <f t="shared" si="37"/>
        <v>944</v>
      </c>
      <c r="G1206" s="6">
        <f>IFERROR(Comp3[[#This Row],[Comparable '#3 Drawdown]]/MAX($B$2:B1206),"-")</f>
        <v>-0.51169963837481391</v>
      </c>
      <c r="H1206" s="1" t="str">
        <f>IF(SUM(COUNTIF(Benchmark1[Benchmark '#1 Dates],Comp3[[#This Row],[Comparable '#3 Dates]]),COUNTIF(Benchmark2[Benchmark '#2 Dates],Comp3[[#This Row],[Comparable '#3 Dates]]))=2,"Pass","Fail")</f>
        <v>Pass</v>
      </c>
      <c r="I1206" s="1">
        <f>IFERROR(Comp3[[#This Row],[Comparable '#3 Return]]-INDEX(Benchmark1[Benchmark '#1 Return],MATCH(Comp3[[#This Row],[Comparable '#3 Dates]],Benchmark1[Benchmark '#1 Dates],0)),"-")</f>
        <v>-1.1793958335278618E-2</v>
      </c>
      <c r="L1206" s="72">
        <f>Comp3[[#This Row],[Comparable '#3 Price]]/$B$2*100</f>
        <v>78.338025765719649</v>
      </c>
    </row>
    <row r="1207" spans="1:12">
      <c r="A1207" s="96">
        <v>45035</v>
      </c>
      <c r="B1207" s="101">
        <v>91.79</v>
      </c>
      <c r="C1207" s="1">
        <f t="shared" si="36"/>
        <v>-3.2677959007618472E-4</v>
      </c>
      <c r="D1207" s="1">
        <f>IFERROR(Comp3[[#This Row],[Comparable '#3 Return]]+1,"-")</f>
        <v>0.99967322040992379</v>
      </c>
      <c r="E1207" s="6">
        <f>B1207-MAX($B$2:B1207)</f>
        <v>-96.249999999999986</v>
      </c>
      <c r="F1207" s="80">
        <f t="shared" si="37"/>
        <v>945</v>
      </c>
      <c r="G1207" s="6">
        <f>IFERROR(Comp3[[#This Row],[Comparable '#3 Drawdown]]/MAX($B$2:B1207),"-")</f>
        <v>-0.51185917889810673</v>
      </c>
      <c r="H1207" s="1" t="str">
        <f>IF(SUM(COUNTIF(Benchmark1[Benchmark '#1 Dates],Comp3[[#This Row],[Comparable '#3 Dates]]),COUNTIF(Benchmark2[Benchmark '#2 Dates],Comp3[[#This Row],[Comparable '#3 Dates]]))=2,"Pass","Fail")</f>
        <v>Pass</v>
      </c>
      <c r="I1207" s="1">
        <f>IFERROR(Comp3[[#This Row],[Comparable '#3 Return]]-INDEX(Benchmark1[Benchmark '#1 Return],MATCH(Comp3[[#This Row],[Comparable '#3 Dates]],Benchmark1[Benchmark '#1 Dates],0)),"-")</f>
        <v>-2.4226903288692624E-4</v>
      </c>
      <c r="L1207" s="72">
        <f>Comp3[[#This Row],[Comparable '#3 Price]]/$B$2*100</f>
        <v>78.312430679976117</v>
      </c>
    </row>
    <row r="1208" spans="1:12">
      <c r="A1208" s="96">
        <v>45036</v>
      </c>
      <c r="B1208" s="101">
        <v>92.49</v>
      </c>
      <c r="C1208" s="1">
        <f t="shared" si="36"/>
        <v>7.5971713351690165E-3</v>
      </c>
      <c r="D1208" s="1">
        <f>IFERROR(Comp3[[#This Row],[Comparable '#3 Return]]+1,"-")</f>
        <v>1.007597171335169</v>
      </c>
      <c r="E1208" s="6">
        <f>B1208-MAX($B$2:B1208)</f>
        <v>-95.55</v>
      </c>
      <c r="F1208" s="80">
        <f t="shared" si="37"/>
        <v>946</v>
      </c>
      <c r="G1208" s="6">
        <f>IFERROR(Comp3[[#This Row],[Comparable '#3 Drawdown]]/MAX($B$2:B1208),"-")</f>
        <v>-0.50813656668793872</v>
      </c>
      <c r="H1208" s="1" t="str">
        <f>IF(SUM(COUNTIF(Benchmark1[Benchmark '#1 Dates],Comp3[[#This Row],[Comparable '#3 Dates]]),COUNTIF(Benchmark2[Benchmark '#2 Dates],Comp3[[#This Row],[Comparable '#3 Dates]]))=2,"Pass","Fail")</f>
        <v>Pass</v>
      </c>
      <c r="I1208" s="1">
        <f>IFERROR(Comp3[[#This Row],[Comparable '#3 Return]]-INDEX(Benchmark1[Benchmark '#1 Return],MATCH(Comp3[[#This Row],[Comparable '#3 Dates]],Benchmark1[Benchmark '#1 Dates],0)),"-")</f>
        <v>1.3566694547551644E-2</v>
      </c>
      <c r="L1208" s="72">
        <f>Comp3[[#This Row],[Comparable '#3 Price]]/$B$2*100</f>
        <v>78.909649347325313</v>
      </c>
    </row>
    <row r="1209" spans="1:12">
      <c r="A1209" s="96">
        <v>45037</v>
      </c>
      <c r="B1209" s="101">
        <v>92.92</v>
      </c>
      <c r="C1209" s="1">
        <f t="shared" si="36"/>
        <v>4.6383773360397194E-3</v>
      </c>
      <c r="D1209" s="1">
        <f>IFERROR(Comp3[[#This Row],[Comparable '#3 Return]]+1,"-")</f>
        <v>1.0046383773360397</v>
      </c>
      <c r="E1209" s="6">
        <f>B1209-MAX($B$2:B1209)</f>
        <v>-95.11999999999999</v>
      </c>
      <c r="F1209" s="80">
        <f t="shared" si="37"/>
        <v>947</v>
      </c>
      <c r="G1209" s="6">
        <f>IFERROR(Comp3[[#This Row],[Comparable '#3 Drawdown]]/MAX($B$2:B1209),"-")</f>
        <v>-0.5058498191874069</v>
      </c>
      <c r="H1209" s="1" t="str">
        <f>IF(SUM(COUNTIF(Benchmark1[Benchmark '#1 Dates],Comp3[[#This Row],[Comparable '#3 Dates]]),COUNTIF(Benchmark2[Benchmark '#2 Dates],Comp3[[#This Row],[Comparable '#3 Dates]]))=2,"Pass","Fail")</f>
        <v>Pass</v>
      </c>
      <c r="I1209" s="1">
        <f>IFERROR(Comp3[[#This Row],[Comparable '#3 Return]]-INDEX(Benchmark1[Benchmark '#1 Return],MATCH(Comp3[[#This Row],[Comparable '#3 Dates]],Benchmark1[Benchmark '#1 Dates],0)),"-")</f>
        <v>3.7358456239147148E-3</v>
      </c>
      <c r="L1209" s="72">
        <f>Comp3[[#This Row],[Comparable '#3 Price]]/$B$2*100</f>
        <v>79.27651224298269</v>
      </c>
    </row>
    <row r="1210" spans="1:12">
      <c r="A1210" s="96">
        <v>45040</v>
      </c>
      <c r="B1210" s="101">
        <v>92.85</v>
      </c>
      <c r="C1210" s="1">
        <f t="shared" si="36"/>
        <v>-7.5362010349368474E-4</v>
      </c>
      <c r="D1210" s="1">
        <f>IFERROR(Comp3[[#This Row],[Comparable '#3 Return]]+1,"-")</f>
        <v>0.99924637989650633</v>
      </c>
      <c r="E1210" s="6">
        <f>B1210-MAX($B$2:B1210)</f>
        <v>-95.19</v>
      </c>
      <c r="F1210" s="80">
        <f t="shared" si="37"/>
        <v>948</v>
      </c>
      <c r="G1210" s="6">
        <f>IFERROR(Comp3[[#This Row],[Comparable '#3 Drawdown]]/MAX($B$2:B1210),"-")</f>
        <v>-0.50622208040842376</v>
      </c>
      <c r="H1210" s="1" t="str">
        <f>IF(SUM(COUNTIF(Benchmark1[Benchmark '#1 Dates],Comp3[[#This Row],[Comparable '#3 Dates]]),COUNTIF(Benchmark2[Benchmark '#2 Dates],Comp3[[#This Row],[Comparable '#3 Dates]]))=2,"Pass","Fail")</f>
        <v>Pass</v>
      </c>
      <c r="I1210" s="1">
        <f>IFERROR(Comp3[[#This Row],[Comparable '#3 Return]]-INDEX(Benchmark1[Benchmark '#1 Return],MATCH(Comp3[[#This Row],[Comparable '#3 Dates]],Benchmark1[Benchmark '#1 Dates],0)),"-")</f>
        <v>-1.6056213567398462E-3</v>
      </c>
      <c r="L1210" s="72">
        <f>Comp3[[#This Row],[Comparable '#3 Price]]/$B$2*100</f>
        <v>79.216790376247758</v>
      </c>
    </row>
    <row r="1211" spans="1:12">
      <c r="A1211" s="96">
        <v>45041</v>
      </c>
      <c r="B1211" s="101">
        <v>91.76</v>
      </c>
      <c r="C1211" s="1">
        <f t="shared" si="36"/>
        <v>-1.1808814977599473E-2</v>
      </c>
      <c r="D1211" s="1">
        <f>IFERROR(Comp3[[#This Row],[Comparable '#3 Return]]+1,"-")</f>
        <v>0.98819118502240055</v>
      </c>
      <c r="E1211" s="6">
        <f>B1211-MAX($B$2:B1211)</f>
        <v>-96.279999999999987</v>
      </c>
      <c r="F1211" s="80">
        <f t="shared" si="37"/>
        <v>949</v>
      </c>
      <c r="G1211" s="6">
        <f>IFERROR(Comp3[[#This Row],[Comparable '#3 Drawdown]]/MAX($B$2:B1211),"-")</f>
        <v>-0.51201871942139965</v>
      </c>
      <c r="H1211" s="1" t="str">
        <f>IF(SUM(COUNTIF(Benchmark1[Benchmark '#1 Dates],Comp3[[#This Row],[Comparable '#3 Dates]]),COUNTIF(Benchmark2[Benchmark '#2 Dates],Comp3[[#This Row],[Comparable '#3 Dates]]))=2,"Pass","Fail")</f>
        <v>Pass</v>
      </c>
      <c r="I1211" s="1">
        <f>IFERROR(Comp3[[#This Row],[Comparable '#3 Return]]-INDEX(Benchmark1[Benchmark '#1 Return],MATCH(Comp3[[#This Row],[Comparable '#3 Dates]],Benchmark1[Benchmark '#1 Dates],0)),"-")</f>
        <v>4.1293346663697477E-3</v>
      </c>
      <c r="L1211" s="72">
        <f>Comp3[[#This Row],[Comparable '#3 Price]]/$B$2*100</f>
        <v>78.286835594232585</v>
      </c>
    </row>
    <row r="1212" spans="1:12">
      <c r="A1212" s="96">
        <v>45042</v>
      </c>
      <c r="B1212" s="101">
        <v>92.4</v>
      </c>
      <c r="C1212" s="1">
        <f t="shared" si="36"/>
        <v>6.9505058265233316E-3</v>
      </c>
      <c r="D1212" s="1">
        <f>IFERROR(Comp3[[#This Row],[Comparable '#3 Return]]+1,"-")</f>
        <v>1.0069505058265233</v>
      </c>
      <c r="E1212" s="6">
        <f>B1212-MAX($B$2:B1212)</f>
        <v>-95.639999999999986</v>
      </c>
      <c r="F1212" s="80">
        <f t="shared" si="37"/>
        <v>950</v>
      </c>
      <c r="G1212" s="6">
        <f>IFERROR(Comp3[[#This Row],[Comparable '#3 Drawdown]]/MAX($B$2:B1212),"-")</f>
        <v>-0.50861518825781749</v>
      </c>
      <c r="H1212" s="1" t="str">
        <f>IF(SUM(COUNTIF(Benchmark1[Benchmark '#1 Dates],Comp3[[#This Row],[Comparable '#3 Dates]]),COUNTIF(Benchmark2[Benchmark '#2 Dates],Comp3[[#This Row],[Comparable '#3 Dates]]))=2,"Pass","Fail")</f>
        <v>Pass</v>
      </c>
      <c r="I1212" s="1">
        <f>IFERROR(Comp3[[#This Row],[Comparable '#3 Return]]-INDEX(Benchmark1[Benchmark '#1 Return],MATCH(Comp3[[#This Row],[Comparable '#3 Dates]],Benchmark1[Benchmark '#1 Dates],0)),"-")</f>
        <v>1.0799766839976929E-2</v>
      </c>
      <c r="L1212" s="72">
        <f>Comp3[[#This Row],[Comparable '#3 Price]]/$B$2*100</f>
        <v>78.832864090094716</v>
      </c>
    </row>
    <row r="1213" spans="1:12">
      <c r="A1213" s="96">
        <v>45043</v>
      </c>
      <c r="B1213" s="101">
        <v>89.98</v>
      </c>
      <c r="C1213" s="1">
        <f t="shared" si="36"/>
        <v>-2.6539555234612263E-2</v>
      </c>
      <c r="D1213" s="1">
        <f>IFERROR(Comp3[[#This Row],[Comparable '#3 Return]]+1,"-")</f>
        <v>0.97346044476538773</v>
      </c>
      <c r="E1213" s="6">
        <f>B1213-MAX($B$2:B1213)</f>
        <v>-98.059999999999988</v>
      </c>
      <c r="F1213" s="80">
        <f t="shared" si="37"/>
        <v>951</v>
      </c>
      <c r="G1213" s="6">
        <f>IFERROR(Comp3[[#This Row],[Comparable '#3 Drawdown]]/MAX($B$2:B1213),"-")</f>
        <v>-0.52148479047011265</v>
      </c>
      <c r="H1213" s="1" t="str">
        <f>IF(SUM(COUNTIF(Benchmark1[Benchmark '#1 Dates],Comp3[[#This Row],[Comparable '#3 Dates]]),COUNTIF(Benchmark2[Benchmark '#2 Dates],Comp3[[#This Row],[Comparable '#3 Dates]]))=2,"Pass","Fail")</f>
        <v>Pass</v>
      </c>
      <c r="I1213" s="1">
        <f>IFERROR(Comp3[[#This Row],[Comparable '#3 Return]]-INDEX(Benchmark1[Benchmark '#1 Return],MATCH(Comp3[[#This Row],[Comparable '#3 Dates]],Benchmark1[Benchmark '#1 Dates],0)),"-")</f>
        <v>-4.5917808212499744E-2</v>
      </c>
      <c r="L1213" s="72">
        <f>Comp3[[#This Row],[Comparable '#3 Price]]/$B$2*100</f>
        <v>76.768193840116041</v>
      </c>
    </row>
    <row r="1214" spans="1:12">
      <c r="A1214" s="96">
        <v>45044</v>
      </c>
      <c r="B1214" s="101">
        <v>88</v>
      </c>
      <c r="C1214" s="1">
        <f t="shared" si="36"/>
        <v>-2.2250608934819806E-2</v>
      </c>
      <c r="D1214" s="1">
        <f>IFERROR(Comp3[[#This Row],[Comparable '#3 Return]]+1,"-")</f>
        <v>0.97774939106518022</v>
      </c>
      <c r="E1214" s="6">
        <f>B1214-MAX($B$2:B1214)</f>
        <v>-100.03999999999999</v>
      </c>
      <c r="F1214" s="80">
        <f t="shared" si="37"/>
        <v>952</v>
      </c>
      <c r="G1214" s="6">
        <f>IFERROR(Comp3[[#This Row],[Comparable '#3 Drawdown]]/MAX($B$2:B1214),"-")</f>
        <v>-0.5320144650074452</v>
      </c>
      <c r="H1214" s="1" t="str">
        <f>IF(SUM(COUNTIF(Benchmark1[Benchmark '#1 Dates],Comp3[[#This Row],[Comparable '#3 Dates]]),COUNTIF(Benchmark2[Benchmark '#2 Dates],Comp3[[#This Row],[Comparable '#3 Dates]]))=2,"Pass","Fail")</f>
        <v>Pass</v>
      </c>
      <c r="I1214" s="1">
        <f>IFERROR(Comp3[[#This Row],[Comparable '#3 Return]]-INDEX(Benchmark1[Benchmark '#1 Return],MATCH(Comp3[[#This Row],[Comparable '#3 Dates]],Benchmark1[Benchmark '#1 Dates],0)),"-")</f>
        <v>-3.0469765430693265E-2</v>
      </c>
      <c r="L1214" s="72">
        <f>Comp3[[#This Row],[Comparable '#3 Price]]/$B$2*100</f>
        <v>75.078918181042582</v>
      </c>
    </row>
    <row r="1215" spans="1:12">
      <c r="A1215" s="96">
        <v>45047</v>
      </c>
      <c r="B1215" s="101">
        <v>90.07</v>
      </c>
      <c r="C1215" s="1">
        <f t="shared" si="36"/>
        <v>2.3250331317444913E-2</v>
      </c>
      <c r="D1215" s="1">
        <f>IFERROR(Comp3[[#This Row],[Comparable '#3 Return]]+1,"-")</f>
        <v>1.0232503313174448</v>
      </c>
      <c r="E1215" s="6">
        <f>B1215-MAX($B$2:B1215)</f>
        <v>-97.97</v>
      </c>
      <c r="F1215" s="80">
        <f t="shared" si="37"/>
        <v>953</v>
      </c>
      <c r="G1215" s="6">
        <f>IFERROR(Comp3[[#This Row],[Comparable '#3 Drawdown]]/MAX($B$2:B1215),"-")</f>
        <v>-0.52100616890023399</v>
      </c>
      <c r="H1215" s="1" t="str">
        <f>IF(SUM(COUNTIF(Benchmark1[Benchmark '#1 Dates],Comp3[[#This Row],[Comparable '#3 Dates]]),COUNTIF(Benchmark2[Benchmark '#2 Dates],Comp3[[#This Row],[Comparable '#3 Dates]]))=2,"Pass","Fail")</f>
        <v>Pass</v>
      </c>
      <c r="I1215" s="1">
        <f>IFERROR(Comp3[[#This Row],[Comparable '#3 Return]]-INDEX(Benchmark1[Benchmark '#1 Return],MATCH(Comp3[[#This Row],[Comparable '#3 Dates]],Benchmark1[Benchmark '#1 Dates],0)),"-")</f>
        <v>2.3637628336529978E-2</v>
      </c>
      <c r="L1215" s="72">
        <f>Comp3[[#This Row],[Comparable '#3 Price]]/$B$2*100</f>
        <v>76.844979097346638</v>
      </c>
    </row>
    <row r="1216" spans="1:12">
      <c r="A1216" s="96">
        <v>45048</v>
      </c>
      <c r="B1216" s="101">
        <v>82.58</v>
      </c>
      <c r="C1216" s="1">
        <f t="shared" si="36"/>
        <v>-8.6819625337707207E-2</v>
      </c>
      <c r="D1216" s="1">
        <f>IFERROR(Comp3[[#This Row],[Comparable '#3 Return]]+1,"-")</f>
        <v>0.91318037466229285</v>
      </c>
      <c r="E1216" s="6">
        <f>B1216-MAX($B$2:B1216)</f>
        <v>-105.46</v>
      </c>
      <c r="F1216" s="80">
        <f t="shared" si="37"/>
        <v>954</v>
      </c>
      <c r="G1216" s="6">
        <f>IFERROR(Comp3[[#This Row],[Comparable '#3 Drawdown]]/MAX($B$2:B1216),"-")</f>
        <v>-0.56083811954903207</v>
      </c>
      <c r="H1216" s="1" t="str">
        <f>IF(SUM(COUNTIF(Benchmark1[Benchmark '#1 Dates],Comp3[[#This Row],[Comparable '#3 Dates]]),COUNTIF(Benchmark2[Benchmark '#2 Dates],Comp3[[#This Row],[Comparable '#3 Dates]]))=2,"Pass","Fail")</f>
        <v>Pass</v>
      </c>
      <c r="I1216" s="1">
        <f>IFERROR(Comp3[[#This Row],[Comparable '#3 Return]]-INDEX(Benchmark1[Benchmark '#1 Return],MATCH(Comp3[[#This Row],[Comparable '#3 Dates]],Benchmark1[Benchmark '#1 Dates],0)),"-")</f>
        <v>-7.5166583086491198E-2</v>
      </c>
      <c r="L1216" s="72">
        <f>Comp3[[#This Row],[Comparable '#3 Price]]/$B$2*100</f>
        <v>70.454739356710178</v>
      </c>
    </row>
    <row r="1217" spans="1:12">
      <c r="A1217" s="96">
        <v>45049</v>
      </c>
      <c r="B1217" s="101">
        <v>82.46</v>
      </c>
      <c r="C1217" s="1">
        <f t="shared" si="36"/>
        <v>-1.4541931791902509E-3</v>
      </c>
      <c r="D1217" s="1">
        <f>IFERROR(Comp3[[#This Row],[Comparable '#3 Return]]+1,"-")</f>
        <v>0.99854580682080973</v>
      </c>
      <c r="E1217" s="6">
        <f>B1217-MAX($B$2:B1217)</f>
        <v>-105.58</v>
      </c>
      <c r="F1217" s="80">
        <f t="shared" si="37"/>
        <v>955</v>
      </c>
      <c r="G1217" s="6">
        <f>IFERROR(Comp3[[#This Row],[Comparable '#3 Drawdown]]/MAX($B$2:B1217),"-")</f>
        <v>-0.56147628164220376</v>
      </c>
      <c r="H1217" s="1" t="str">
        <f>IF(SUM(COUNTIF(Benchmark1[Benchmark '#1 Dates],Comp3[[#This Row],[Comparable '#3 Dates]]),COUNTIF(Benchmark2[Benchmark '#2 Dates],Comp3[[#This Row],[Comparable '#3 Dates]]))=2,"Pass","Fail")</f>
        <v>Pass</v>
      </c>
      <c r="I1217" s="1">
        <f>IFERROR(Comp3[[#This Row],[Comparable '#3 Return]]-INDEX(Benchmark1[Benchmark '#1 Return],MATCH(Comp3[[#This Row],[Comparable '#3 Dates]],Benchmark1[Benchmark '#1 Dates],0)),"-")</f>
        <v>5.5682603287826871E-3</v>
      </c>
      <c r="L1217" s="72">
        <f>Comp3[[#This Row],[Comparable '#3 Price]]/$B$2*100</f>
        <v>70.352359013736034</v>
      </c>
    </row>
    <row r="1218" spans="1:12">
      <c r="A1218" s="96">
        <v>45050</v>
      </c>
      <c r="B1218" s="101">
        <v>81.88</v>
      </c>
      <c r="C1218" s="1">
        <f t="shared" ref="C1218:C1256" si="38">IFERROR(IF(B1218="","-",LN(B1218/B1217)),"-")</f>
        <v>-7.0585664856651596E-3</v>
      </c>
      <c r="D1218" s="1">
        <f>IFERROR(Comp3[[#This Row],[Comparable '#3 Return]]+1,"-")</f>
        <v>0.99294143351433484</v>
      </c>
      <c r="E1218" s="6">
        <f>B1218-MAX($B$2:B1218)</f>
        <v>-106.16</v>
      </c>
      <c r="F1218" s="80">
        <f t="shared" ref="F1218:F1256" si="39">IF(E1218=0,0,F1217+1)</f>
        <v>956</v>
      </c>
      <c r="G1218" s="6">
        <f>IFERROR(Comp3[[#This Row],[Comparable '#3 Drawdown]]/MAX($B$2:B1218),"-")</f>
        <v>-0.56456073175920019</v>
      </c>
      <c r="H1218" s="1" t="str">
        <f>IF(SUM(COUNTIF(Benchmark1[Benchmark '#1 Dates],Comp3[[#This Row],[Comparable '#3 Dates]]),COUNTIF(Benchmark2[Benchmark '#2 Dates],Comp3[[#This Row],[Comparable '#3 Dates]]))=2,"Pass","Fail")</f>
        <v>Pass</v>
      </c>
      <c r="I1218" s="1">
        <f>IFERROR(Comp3[[#This Row],[Comparable '#3 Return]]-INDEX(Benchmark1[Benchmark '#1 Return],MATCH(Comp3[[#This Row],[Comparable '#3 Dates]],Benchmark1[Benchmark '#1 Dates],0)),"-")</f>
        <v>1.8764947494746571E-4</v>
      </c>
      <c r="L1218" s="72">
        <f>Comp3[[#This Row],[Comparable '#3 Price]]/$B$2*100</f>
        <v>69.857520689360967</v>
      </c>
    </row>
    <row r="1219" spans="1:12">
      <c r="A1219" s="96">
        <v>45051</v>
      </c>
      <c r="B1219" s="101">
        <v>82.11</v>
      </c>
      <c r="C1219" s="1">
        <f t="shared" si="38"/>
        <v>2.8050509276086816E-3</v>
      </c>
      <c r="D1219" s="1">
        <f>IFERROR(Comp3[[#This Row],[Comparable '#3 Return]]+1,"-")</f>
        <v>1.0028050509276087</v>
      </c>
      <c r="E1219" s="6">
        <f>B1219-MAX($B$2:B1219)</f>
        <v>-105.92999999999999</v>
      </c>
      <c r="F1219" s="80">
        <f t="shared" si="39"/>
        <v>957</v>
      </c>
      <c r="G1219" s="6">
        <f>IFERROR(Comp3[[#This Row],[Comparable '#3 Drawdown]]/MAX($B$2:B1219),"-")</f>
        <v>-0.56333758774728782</v>
      </c>
      <c r="H1219" s="1" t="str">
        <f>IF(SUM(COUNTIF(Benchmark1[Benchmark '#1 Dates],Comp3[[#This Row],[Comparable '#3 Dates]]),COUNTIF(Benchmark2[Benchmark '#2 Dates],Comp3[[#This Row],[Comparable '#3 Dates]]))=2,"Pass","Fail")</f>
        <v>Pass</v>
      </c>
      <c r="I1219" s="1">
        <f>IFERROR(Comp3[[#This Row],[Comparable '#3 Return]]-INDEX(Benchmark1[Benchmark '#1 Return],MATCH(Comp3[[#This Row],[Comparable '#3 Dates]],Benchmark1[Benchmark '#1 Dates],0)),"-")</f>
        <v>-1.5502685353224407E-2</v>
      </c>
      <c r="L1219" s="72">
        <f>Comp3[[#This Row],[Comparable '#3 Price]]/$B$2*100</f>
        <v>70.053749680061429</v>
      </c>
    </row>
    <row r="1220" spans="1:12">
      <c r="A1220" s="96">
        <v>45054</v>
      </c>
      <c r="B1220" s="101">
        <v>83.11</v>
      </c>
      <c r="C1220" s="1">
        <f t="shared" si="38"/>
        <v>1.2105219844237547E-2</v>
      </c>
      <c r="D1220" s="1">
        <f>IFERROR(Comp3[[#This Row],[Comparable '#3 Return]]+1,"-")</f>
        <v>1.0121052198442375</v>
      </c>
      <c r="E1220" s="6">
        <f>B1220-MAX($B$2:B1220)</f>
        <v>-104.92999999999999</v>
      </c>
      <c r="F1220" s="80">
        <f t="shared" si="39"/>
        <v>958</v>
      </c>
      <c r="G1220" s="6">
        <f>IFERROR(Comp3[[#This Row],[Comparable '#3 Drawdown]]/MAX($B$2:B1220),"-")</f>
        <v>-0.55801957030419058</v>
      </c>
      <c r="H1220" s="1" t="str">
        <f>IF(SUM(COUNTIF(Benchmark1[Benchmark '#1 Dates],Comp3[[#This Row],[Comparable '#3 Dates]]),COUNTIF(Benchmark2[Benchmark '#2 Dates],Comp3[[#This Row],[Comparable '#3 Dates]]))=2,"Pass","Fail")</f>
        <v>Pass</v>
      </c>
      <c r="I1220" s="1">
        <f>IFERROR(Comp3[[#This Row],[Comparable '#3 Return]]-INDEX(Benchmark1[Benchmark '#1 Return],MATCH(Comp3[[#This Row],[Comparable '#3 Dates]],Benchmark1[Benchmark '#1 Dates],0)),"-")</f>
        <v>1.1653312705169904E-2</v>
      </c>
      <c r="L1220" s="72">
        <f>Comp3[[#This Row],[Comparable '#3 Price]]/$B$2*100</f>
        <v>70.906919204846005</v>
      </c>
    </row>
    <row r="1221" spans="1:12">
      <c r="A1221" s="96">
        <v>45055</v>
      </c>
      <c r="B1221" s="101">
        <v>81.31</v>
      </c>
      <c r="C1221" s="1">
        <f t="shared" si="38"/>
        <v>-2.1896021345188723E-2</v>
      </c>
      <c r="D1221" s="1">
        <f>IFERROR(Comp3[[#This Row],[Comparable '#3 Return]]+1,"-")</f>
        <v>0.97810397865481125</v>
      </c>
      <c r="E1221" s="6">
        <f>B1221-MAX($B$2:B1221)</f>
        <v>-106.72999999999999</v>
      </c>
      <c r="F1221" s="80">
        <f t="shared" si="39"/>
        <v>959</v>
      </c>
      <c r="G1221" s="6">
        <f>IFERROR(Comp3[[#This Row],[Comparable '#3 Drawdown]]/MAX($B$2:B1221),"-")</f>
        <v>-0.5675920017017656</v>
      </c>
      <c r="H1221" s="1" t="str">
        <f>IF(SUM(COUNTIF(Benchmark1[Benchmark '#1 Dates],Comp3[[#This Row],[Comparable '#3 Dates]]),COUNTIF(Benchmark2[Benchmark '#2 Dates],Comp3[[#This Row],[Comparable '#3 Dates]]))=2,"Pass","Fail")</f>
        <v>Pass</v>
      </c>
      <c r="I1221" s="1">
        <f>IFERROR(Comp3[[#This Row],[Comparable '#3 Return]]-INDEX(Benchmark1[Benchmark '#1 Return],MATCH(Comp3[[#This Row],[Comparable '#3 Dates]],Benchmark1[Benchmark '#1 Dates],0)),"-")</f>
        <v>-1.7306226727056454E-2</v>
      </c>
      <c r="L1221" s="72">
        <f>Comp3[[#This Row],[Comparable '#3 Price]]/$B$2*100</f>
        <v>69.371214060233783</v>
      </c>
    </row>
    <row r="1222" spans="1:12">
      <c r="A1222" s="96">
        <v>45056</v>
      </c>
      <c r="B1222" s="101">
        <v>78.94</v>
      </c>
      <c r="C1222" s="1">
        <f t="shared" si="38"/>
        <v>-2.9580939985045223E-2</v>
      </c>
      <c r="D1222" s="1">
        <f>IFERROR(Comp3[[#This Row],[Comparable '#3 Return]]+1,"-")</f>
        <v>0.97041906001495482</v>
      </c>
      <c r="E1222" s="6">
        <f>B1222-MAX($B$2:B1222)</f>
        <v>-109.1</v>
      </c>
      <c r="F1222" s="80">
        <f t="shared" si="39"/>
        <v>960</v>
      </c>
      <c r="G1222" s="6">
        <f>IFERROR(Comp3[[#This Row],[Comparable '#3 Drawdown]]/MAX($B$2:B1222),"-")</f>
        <v>-0.58019570304190593</v>
      </c>
      <c r="H1222" s="1" t="str">
        <f>IF(SUM(COUNTIF(Benchmark1[Benchmark '#1 Dates],Comp3[[#This Row],[Comparable '#3 Dates]]),COUNTIF(Benchmark2[Benchmark '#2 Dates],Comp3[[#This Row],[Comparable '#3 Dates]]))=2,"Pass","Fail")</f>
        <v>Pass</v>
      </c>
      <c r="I1222" s="1">
        <f>IFERROR(Comp3[[#This Row],[Comparable '#3 Return]]-INDEX(Benchmark1[Benchmark '#1 Return],MATCH(Comp3[[#This Row],[Comparable '#3 Dates]],Benchmark1[Benchmark '#1 Dates],0)),"-")</f>
        <v>-3.4054542434744067E-2</v>
      </c>
      <c r="L1222" s="72">
        <f>Comp3[[#This Row],[Comparable '#3 Price]]/$B$2*100</f>
        <v>67.349202286494318</v>
      </c>
    </row>
    <row r="1223" spans="1:12">
      <c r="A1223" s="96">
        <v>45057</v>
      </c>
      <c r="B1223" s="101">
        <v>80.12</v>
      </c>
      <c r="C1223" s="1">
        <f t="shared" si="38"/>
        <v>1.4837440562916466E-2</v>
      </c>
      <c r="D1223" s="1">
        <f>IFERROR(Comp3[[#This Row],[Comparable '#3 Return]]+1,"-")</f>
        <v>1.0148374405629164</v>
      </c>
      <c r="E1223" s="6">
        <f>B1223-MAX($B$2:B1223)</f>
        <v>-107.91999999999999</v>
      </c>
      <c r="F1223" s="80">
        <f t="shared" si="39"/>
        <v>961</v>
      </c>
      <c r="G1223" s="6">
        <f>IFERROR(Comp3[[#This Row],[Comparable '#3 Drawdown]]/MAX($B$2:B1223),"-")</f>
        <v>-0.57392044245905127</v>
      </c>
      <c r="H1223" s="1" t="str">
        <f>IF(SUM(COUNTIF(Benchmark1[Benchmark '#1 Dates],Comp3[[#This Row],[Comparable '#3 Dates]]),COUNTIF(Benchmark2[Benchmark '#2 Dates],Comp3[[#This Row],[Comparable '#3 Dates]]))=2,"Pass","Fail")</f>
        <v>Pass</v>
      </c>
      <c r="I1223" s="1">
        <f>IFERROR(Comp3[[#This Row],[Comparable '#3 Return]]-INDEX(Benchmark1[Benchmark '#1 Return],MATCH(Comp3[[#This Row],[Comparable '#3 Dates]],Benchmark1[Benchmark '#1 Dates],0)),"-")</f>
        <v>1.6535722753748011E-2</v>
      </c>
      <c r="L1223" s="72">
        <f>Comp3[[#This Row],[Comparable '#3 Price]]/$B$2*100</f>
        <v>68.355942325740131</v>
      </c>
    </row>
    <row r="1224" spans="1:12">
      <c r="A1224" s="96">
        <v>45058</v>
      </c>
      <c r="B1224" s="101">
        <v>80.319999999999993</v>
      </c>
      <c r="C1224" s="1">
        <f t="shared" si="38"/>
        <v>2.4931451458014954E-3</v>
      </c>
      <c r="D1224" s="1">
        <f>IFERROR(Comp3[[#This Row],[Comparable '#3 Return]]+1,"-")</f>
        <v>1.0024931451458015</v>
      </c>
      <c r="E1224" s="6">
        <f>B1224-MAX($B$2:B1224)</f>
        <v>-107.72</v>
      </c>
      <c r="F1224" s="80">
        <f t="shared" si="39"/>
        <v>962</v>
      </c>
      <c r="G1224" s="6">
        <f>IFERROR(Comp3[[#This Row],[Comparable '#3 Drawdown]]/MAX($B$2:B1224),"-")</f>
        <v>-0.57285683897043183</v>
      </c>
      <c r="H1224" s="1" t="str">
        <f>IF(SUM(COUNTIF(Benchmark1[Benchmark '#1 Dates],Comp3[[#This Row],[Comparable '#3 Dates]]),COUNTIF(Benchmark2[Benchmark '#2 Dates],Comp3[[#This Row],[Comparable '#3 Dates]]))=2,"Pass","Fail")</f>
        <v>Pass</v>
      </c>
      <c r="I1224" s="1">
        <f>IFERROR(Comp3[[#This Row],[Comparable '#3 Return]]-INDEX(Benchmark1[Benchmark '#1 Return],MATCH(Comp3[[#This Row],[Comparable '#3 Dates]],Benchmark1[Benchmark '#1 Dates],0)),"-")</f>
        <v>4.077756883425326E-3</v>
      </c>
      <c r="L1224" s="72">
        <f>Comp3[[#This Row],[Comparable '#3 Price]]/$B$2*100</f>
        <v>68.526576230697032</v>
      </c>
    </row>
    <row r="1225" spans="1:12">
      <c r="A1225" s="96">
        <v>45061</v>
      </c>
      <c r="B1225" s="101">
        <v>80.75</v>
      </c>
      <c r="C1225" s="1">
        <f t="shared" si="38"/>
        <v>5.3393061593468788E-3</v>
      </c>
      <c r="D1225" s="1">
        <f>IFERROR(Comp3[[#This Row],[Comparable '#3 Return]]+1,"-")</f>
        <v>1.005339306159347</v>
      </c>
      <c r="E1225" s="6">
        <f>B1225-MAX($B$2:B1225)</f>
        <v>-107.28999999999999</v>
      </c>
      <c r="F1225" s="80">
        <f t="shared" si="39"/>
        <v>963</v>
      </c>
      <c r="G1225" s="6">
        <f>IFERROR(Comp3[[#This Row],[Comparable '#3 Drawdown]]/MAX($B$2:B1225),"-")</f>
        <v>-0.57057009146990001</v>
      </c>
      <c r="H1225" s="1" t="str">
        <f>IF(SUM(COUNTIF(Benchmark1[Benchmark '#1 Dates],Comp3[[#This Row],[Comparable '#3 Dates]]),COUNTIF(Benchmark2[Benchmark '#2 Dates],Comp3[[#This Row],[Comparable '#3 Dates]]))=2,"Pass","Fail")</f>
        <v>Pass</v>
      </c>
      <c r="I1225" s="1">
        <f>IFERROR(Comp3[[#This Row],[Comparable '#3 Return]]-INDEX(Benchmark1[Benchmark '#1 Return],MATCH(Comp3[[#This Row],[Comparable '#3 Dates]],Benchmark1[Benchmark '#1 Dates],0)),"-")</f>
        <v>2.3846664197622745E-3</v>
      </c>
      <c r="L1225" s="72">
        <f>Comp3[[#This Row],[Comparable '#3 Price]]/$B$2*100</f>
        <v>68.893439126354409</v>
      </c>
    </row>
    <row r="1226" spans="1:12">
      <c r="A1226" s="96">
        <v>45062</v>
      </c>
      <c r="B1226" s="101">
        <v>79.69</v>
      </c>
      <c r="C1226" s="1">
        <f t="shared" si="38"/>
        <v>-1.3213854693109142E-2</v>
      </c>
      <c r="D1226" s="1">
        <f>IFERROR(Comp3[[#This Row],[Comparable '#3 Return]]+1,"-")</f>
        <v>0.98678614530689091</v>
      </c>
      <c r="E1226" s="6">
        <f>B1226-MAX($B$2:B1226)</f>
        <v>-108.35</v>
      </c>
      <c r="F1226" s="80">
        <f t="shared" si="39"/>
        <v>964</v>
      </c>
      <c r="G1226" s="6">
        <f>IFERROR(Comp3[[#This Row],[Comparable '#3 Drawdown]]/MAX($B$2:B1226),"-")</f>
        <v>-0.57620718995958309</v>
      </c>
      <c r="H1226" s="1" t="str">
        <f>IF(SUM(COUNTIF(Benchmark1[Benchmark '#1 Dates],Comp3[[#This Row],[Comparable '#3 Dates]]),COUNTIF(Benchmark2[Benchmark '#2 Dates],Comp3[[#This Row],[Comparable '#3 Dates]]))=2,"Pass","Fail")</f>
        <v>Pass</v>
      </c>
      <c r="I1226" s="1">
        <f>IFERROR(Comp3[[#This Row],[Comparable '#3 Return]]-INDEX(Benchmark1[Benchmark '#1 Return],MATCH(Comp3[[#This Row],[Comparable '#3 Dates]],Benchmark1[Benchmark '#1 Dates],0)),"-")</f>
        <v>-6.813971436333336E-3</v>
      </c>
      <c r="L1226" s="72">
        <f>Comp3[[#This Row],[Comparable '#3 Price]]/$B$2*100</f>
        <v>67.989079430082754</v>
      </c>
    </row>
    <row r="1227" spans="1:12">
      <c r="A1227" s="96">
        <v>45063</v>
      </c>
      <c r="B1227" s="101">
        <v>78.349999999999994</v>
      </c>
      <c r="C1227" s="1">
        <f t="shared" si="38"/>
        <v>-1.6958138607626939E-2</v>
      </c>
      <c r="D1227" s="1">
        <f>IFERROR(Comp3[[#This Row],[Comparable '#3 Return]]+1,"-")</f>
        <v>0.98304186139237304</v>
      </c>
      <c r="E1227" s="6">
        <f>B1227-MAX($B$2:B1227)</f>
        <v>-109.69</v>
      </c>
      <c r="F1227" s="80">
        <f t="shared" si="39"/>
        <v>965</v>
      </c>
      <c r="G1227" s="6">
        <f>IFERROR(Comp3[[#This Row],[Comparable '#3 Drawdown]]/MAX($B$2:B1227),"-")</f>
        <v>-0.58333333333333337</v>
      </c>
      <c r="H1227" s="1" t="str">
        <f>IF(SUM(COUNTIF(Benchmark1[Benchmark '#1 Dates],Comp3[[#This Row],[Comparable '#3 Dates]]),COUNTIF(Benchmark2[Benchmark '#2 Dates],Comp3[[#This Row],[Comparable '#3 Dates]]))=2,"Pass","Fail")</f>
        <v>Pass</v>
      </c>
      <c r="I1227" s="1">
        <f>IFERROR(Comp3[[#This Row],[Comparable '#3 Return]]-INDEX(Benchmark1[Benchmark '#1 Return],MATCH(Comp3[[#This Row],[Comparable '#3 Dates]],Benchmark1[Benchmark '#1 Dates],0)),"-")</f>
        <v>-2.8779712961857506E-2</v>
      </c>
      <c r="L1227" s="72">
        <f>Comp3[[#This Row],[Comparable '#3 Price]]/$B$2*100</f>
        <v>66.845832266871426</v>
      </c>
    </row>
    <row r="1228" spans="1:12">
      <c r="A1228" s="96">
        <v>45064</v>
      </c>
      <c r="B1228" s="101">
        <v>78.3</v>
      </c>
      <c r="C1228" s="1">
        <f t="shared" si="38"/>
        <v>-6.3836580527233081E-4</v>
      </c>
      <c r="D1228" s="1">
        <f>IFERROR(Comp3[[#This Row],[Comparable '#3 Return]]+1,"-")</f>
        <v>0.99936163419472768</v>
      </c>
      <c r="E1228" s="6">
        <f>B1228-MAX($B$2:B1228)</f>
        <v>-109.74</v>
      </c>
      <c r="F1228" s="80">
        <f t="shared" si="39"/>
        <v>966</v>
      </c>
      <c r="G1228" s="6">
        <f>IFERROR(Comp3[[#This Row],[Comparable '#3 Drawdown]]/MAX($B$2:B1228),"-")</f>
        <v>-0.5835992342054882</v>
      </c>
      <c r="H1228" s="1" t="str">
        <f>IF(SUM(COUNTIF(Benchmark1[Benchmark '#1 Dates],Comp3[[#This Row],[Comparable '#3 Dates]]),COUNTIF(Benchmark2[Benchmark '#2 Dates],Comp3[[#This Row],[Comparable '#3 Dates]]))=2,"Pass","Fail")</f>
        <v>Pass</v>
      </c>
      <c r="I1228" s="1">
        <f>IFERROR(Comp3[[#This Row],[Comparable '#3 Return]]-INDEX(Benchmark1[Benchmark '#1 Return],MATCH(Comp3[[#This Row],[Comparable '#3 Dates]],Benchmark1[Benchmark '#1 Dates],0)),"-")</f>
        <v>-1.0039180403368538E-2</v>
      </c>
      <c r="L1228" s="72">
        <f>Comp3[[#This Row],[Comparable '#3 Price]]/$B$2*100</f>
        <v>66.803173790632201</v>
      </c>
    </row>
    <row r="1229" spans="1:12">
      <c r="A1229" s="96">
        <v>45065</v>
      </c>
      <c r="B1229" s="101">
        <v>78.02</v>
      </c>
      <c r="C1229" s="1">
        <f t="shared" si="38"/>
        <v>-3.5823989182469439E-3</v>
      </c>
      <c r="D1229" s="1">
        <f>IFERROR(Comp3[[#This Row],[Comparable '#3 Return]]+1,"-")</f>
        <v>0.99641760108175303</v>
      </c>
      <c r="E1229" s="6">
        <f>B1229-MAX($B$2:B1229)</f>
        <v>-110.02</v>
      </c>
      <c r="F1229" s="80">
        <f t="shared" si="39"/>
        <v>967</v>
      </c>
      <c r="G1229" s="6">
        <f>IFERROR(Comp3[[#This Row],[Comparable '#3 Drawdown]]/MAX($B$2:B1229),"-")</f>
        <v>-0.58508827908955541</v>
      </c>
      <c r="H1229" s="1" t="str">
        <f>IF(SUM(COUNTIF(Benchmark1[Benchmark '#1 Dates],Comp3[[#This Row],[Comparable '#3 Dates]]),COUNTIF(Benchmark2[Benchmark '#2 Dates],Comp3[[#This Row],[Comparable '#3 Dates]]))=2,"Pass","Fail")</f>
        <v>Pass</v>
      </c>
      <c r="I1229" s="1">
        <f>IFERROR(Comp3[[#This Row],[Comparable '#3 Return]]-INDEX(Benchmark1[Benchmark '#1 Return],MATCH(Comp3[[#This Row],[Comparable '#3 Dates]],Benchmark1[Benchmark '#1 Dates],0)),"-")</f>
        <v>-2.1351665732423333E-3</v>
      </c>
      <c r="L1229" s="72">
        <f>Comp3[[#This Row],[Comparable '#3 Price]]/$B$2*100</f>
        <v>66.564286323692528</v>
      </c>
    </row>
    <row r="1230" spans="1:12">
      <c r="A1230" s="96">
        <v>45068</v>
      </c>
      <c r="B1230" s="101">
        <v>79.209999999999994</v>
      </c>
      <c r="C1230" s="1">
        <f t="shared" si="38"/>
        <v>1.5137349397677923E-2</v>
      </c>
      <c r="D1230" s="1">
        <f>IFERROR(Comp3[[#This Row],[Comparable '#3 Return]]+1,"-")</f>
        <v>1.0151373493976779</v>
      </c>
      <c r="E1230" s="6">
        <f>B1230-MAX($B$2:B1230)</f>
        <v>-108.83</v>
      </c>
      <c r="F1230" s="80">
        <f t="shared" si="39"/>
        <v>968</v>
      </c>
      <c r="G1230" s="6">
        <f>IFERROR(Comp3[[#This Row],[Comparable '#3 Drawdown]]/MAX($B$2:B1230),"-")</f>
        <v>-0.57875983833226974</v>
      </c>
      <c r="H1230" s="1" t="str">
        <f>IF(SUM(COUNTIF(Benchmark1[Benchmark '#1 Dates],Comp3[[#This Row],[Comparable '#3 Dates]]),COUNTIF(Benchmark2[Benchmark '#2 Dates],Comp3[[#This Row],[Comparable '#3 Dates]]))=2,"Pass","Fail")</f>
        <v>Pass</v>
      </c>
      <c r="I1230" s="1">
        <f>IFERROR(Comp3[[#This Row],[Comparable '#3 Return]]-INDEX(Benchmark1[Benchmark '#1 Return],MATCH(Comp3[[#This Row],[Comparable '#3 Dates]],Benchmark1[Benchmark '#1 Dates],0)),"-")</f>
        <v>1.4982084860514279E-2</v>
      </c>
      <c r="L1230" s="72">
        <f>Comp3[[#This Row],[Comparable '#3 Price]]/$B$2*100</f>
        <v>67.579558058186166</v>
      </c>
    </row>
    <row r="1231" spans="1:12">
      <c r="A1231" s="96">
        <v>45069</v>
      </c>
      <c r="B1231" s="101">
        <v>78.58</v>
      </c>
      <c r="C1231" s="1">
        <f t="shared" si="38"/>
        <v>-7.9853393458745644E-3</v>
      </c>
      <c r="D1231" s="1">
        <f>IFERROR(Comp3[[#This Row],[Comparable '#3 Return]]+1,"-")</f>
        <v>0.99201466065412547</v>
      </c>
      <c r="E1231" s="6">
        <f>B1231-MAX($B$2:B1231)</f>
        <v>-109.46</v>
      </c>
      <c r="F1231" s="80">
        <f t="shared" si="39"/>
        <v>969</v>
      </c>
      <c r="G1231" s="6">
        <f>IFERROR(Comp3[[#This Row],[Comparable '#3 Drawdown]]/MAX($B$2:B1231),"-")</f>
        <v>-0.582110189321421</v>
      </c>
      <c r="H1231" s="1" t="str">
        <f>IF(SUM(COUNTIF(Benchmark1[Benchmark '#1 Dates],Comp3[[#This Row],[Comparable '#3 Dates]]),COUNTIF(Benchmark2[Benchmark '#2 Dates],Comp3[[#This Row],[Comparable '#3 Dates]]))=2,"Pass","Fail")</f>
        <v>Pass</v>
      </c>
      <c r="I1231" s="1">
        <f>IFERROR(Comp3[[#This Row],[Comparable '#3 Return]]-INDEX(Benchmark1[Benchmark '#1 Return],MATCH(Comp3[[#This Row],[Comparable '#3 Dates]],Benchmark1[Benchmark '#1 Dates],0)),"-")</f>
        <v>3.3015056277662571E-3</v>
      </c>
      <c r="L1231" s="72">
        <f>Comp3[[#This Row],[Comparable '#3 Price]]/$B$2*100</f>
        <v>67.042061257571888</v>
      </c>
    </row>
    <row r="1232" spans="1:12">
      <c r="A1232" s="96">
        <v>45070</v>
      </c>
      <c r="B1232" s="101">
        <v>79.510000000000005</v>
      </c>
      <c r="C1232" s="1">
        <f t="shared" si="38"/>
        <v>1.1765585783078385E-2</v>
      </c>
      <c r="D1232" s="1">
        <f>IFERROR(Comp3[[#This Row],[Comparable '#3 Return]]+1,"-")</f>
        <v>1.0117655857830783</v>
      </c>
      <c r="E1232" s="6">
        <f>B1232-MAX($B$2:B1232)</f>
        <v>-108.52999999999999</v>
      </c>
      <c r="F1232" s="80">
        <f t="shared" si="39"/>
        <v>970</v>
      </c>
      <c r="G1232" s="6">
        <f>IFERROR(Comp3[[#This Row],[Comparable '#3 Drawdown]]/MAX($B$2:B1232),"-")</f>
        <v>-0.57716443309934051</v>
      </c>
      <c r="H1232" s="1" t="str">
        <f>IF(SUM(COUNTIF(Benchmark1[Benchmark '#1 Dates],Comp3[[#This Row],[Comparable '#3 Dates]]),COUNTIF(Benchmark2[Benchmark '#2 Dates],Comp3[[#This Row],[Comparable '#3 Dates]]))=2,"Pass","Fail")</f>
        <v>Pass</v>
      </c>
      <c r="I1232" s="1">
        <f>IFERROR(Comp3[[#This Row],[Comparable '#3 Return]]-INDEX(Benchmark1[Benchmark '#1 Return],MATCH(Comp3[[#This Row],[Comparable '#3 Dates]],Benchmark1[Benchmark '#1 Dates],0)),"-")</f>
        <v>1.9110323516814739E-2</v>
      </c>
      <c r="L1232" s="72">
        <f>Comp3[[#This Row],[Comparable '#3 Price]]/$B$2*100</f>
        <v>67.835508915621546</v>
      </c>
    </row>
    <row r="1233" spans="1:12">
      <c r="A1233" s="96">
        <v>45071</v>
      </c>
      <c r="B1233" s="101">
        <v>78.37</v>
      </c>
      <c r="C1233" s="1">
        <f t="shared" si="38"/>
        <v>-1.4441598848618913E-2</v>
      </c>
      <c r="D1233" s="1">
        <f>IFERROR(Comp3[[#This Row],[Comparable '#3 Return]]+1,"-")</f>
        <v>0.98555840115138105</v>
      </c>
      <c r="E1233" s="6">
        <f>B1233-MAX($B$2:B1233)</f>
        <v>-109.66999999999999</v>
      </c>
      <c r="F1233" s="80">
        <f t="shared" si="39"/>
        <v>971</v>
      </c>
      <c r="G1233" s="6">
        <f>IFERROR(Comp3[[#This Row],[Comparable '#3 Drawdown]]/MAX($B$2:B1233),"-")</f>
        <v>-0.58322697298447135</v>
      </c>
      <c r="H1233" s="1" t="str">
        <f>IF(SUM(COUNTIF(Benchmark1[Benchmark '#1 Dates],Comp3[[#This Row],[Comparable '#3 Dates]]),COUNTIF(Benchmark2[Benchmark '#2 Dates],Comp3[[#This Row],[Comparable '#3 Dates]]))=2,"Pass","Fail")</f>
        <v>Pass</v>
      </c>
      <c r="I1233" s="1">
        <f>IFERROR(Comp3[[#This Row],[Comparable '#3 Return]]-INDEX(Benchmark1[Benchmark '#1 Return],MATCH(Comp3[[#This Row],[Comparable '#3 Dates]],Benchmark1[Benchmark '#1 Dates],0)),"-")</f>
        <v>-2.3161481629708356E-2</v>
      </c>
      <c r="L1233" s="72">
        <f>Comp3[[#This Row],[Comparable '#3 Price]]/$B$2*100</f>
        <v>66.862895657367133</v>
      </c>
    </row>
    <row r="1234" spans="1:12">
      <c r="A1234" s="96">
        <v>45072</v>
      </c>
      <c r="B1234" s="101">
        <v>79.39</v>
      </c>
      <c r="C1234" s="1">
        <f t="shared" si="38"/>
        <v>1.2931214672248784E-2</v>
      </c>
      <c r="D1234" s="1">
        <f>IFERROR(Comp3[[#This Row],[Comparable '#3 Return]]+1,"-")</f>
        <v>1.0129312146722489</v>
      </c>
      <c r="E1234" s="6">
        <f>B1234-MAX($B$2:B1234)</f>
        <v>-108.64999999999999</v>
      </c>
      <c r="F1234" s="80">
        <f t="shared" si="39"/>
        <v>972</v>
      </c>
      <c r="G1234" s="6">
        <f>IFERROR(Comp3[[#This Row],[Comparable '#3 Drawdown]]/MAX($B$2:B1234),"-")</f>
        <v>-0.5778025951925122</v>
      </c>
      <c r="H1234" s="1" t="str">
        <f>IF(SUM(COUNTIF(Benchmark1[Benchmark '#1 Dates],Comp3[[#This Row],[Comparable '#3 Dates]]),COUNTIF(Benchmark2[Benchmark '#2 Dates],Comp3[[#This Row],[Comparable '#3 Dates]]))=2,"Pass","Fail")</f>
        <v>Pass</v>
      </c>
      <c r="I1234" s="1">
        <f>IFERROR(Comp3[[#This Row],[Comparable '#3 Return]]-INDEX(Benchmark1[Benchmark '#1 Return],MATCH(Comp3[[#This Row],[Comparable '#3 Dates]],Benchmark1[Benchmark '#1 Dates],0)),"-")</f>
        <v>-3.3999488528819663E-5</v>
      </c>
      <c r="L1234" s="72">
        <f>Comp3[[#This Row],[Comparable '#3 Price]]/$B$2*100</f>
        <v>67.733128572647388</v>
      </c>
    </row>
    <row r="1235" spans="1:12">
      <c r="A1235" s="96">
        <v>45076</v>
      </c>
      <c r="B1235" s="101">
        <v>78.19</v>
      </c>
      <c r="C1235" s="1">
        <f t="shared" si="38"/>
        <v>-1.5230653600599468E-2</v>
      </c>
      <c r="D1235" s="1">
        <f>IFERROR(Comp3[[#This Row],[Comparable '#3 Return]]+1,"-")</f>
        <v>0.9847693463994005</v>
      </c>
      <c r="E1235" s="6">
        <f>B1235-MAX($B$2:B1235)</f>
        <v>-109.85</v>
      </c>
      <c r="F1235" s="80">
        <f t="shared" si="39"/>
        <v>973</v>
      </c>
      <c r="G1235" s="6">
        <f>IFERROR(Comp3[[#This Row],[Comparable '#3 Drawdown]]/MAX($B$2:B1235),"-")</f>
        <v>-0.58418421612422888</v>
      </c>
      <c r="H1235" s="1" t="str">
        <f>IF(SUM(COUNTIF(Benchmark1[Benchmark '#1 Dates],Comp3[[#This Row],[Comparable '#3 Dates]]),COUNTIF(Benchmark2[Benchmark '#2 Dates],Comp3[[#This Row],[Comparable '#3 Dates]]))=2,"Pass","Fail")</f>
        <v>Pass</v>
      </c>
      <c r="I1235" s="1">
        <f>IFERROR(Comp3[[#This Row],[Comparable '#3 Return]]-INDEX(Benchmark1[Benchmark '#1 Return],MATCH(Comp3[[#This Row],[Comparable '#3 Dates]],Benchmark1[Benchmark '#1 Dates],0)),"-")</f>
        <v>-1.5246862545846954E-2</v>
      </c>
      <c r="L1235" s="72">
        <f>Comp3[[#This Row],[Comparable '#3 Price]]/$B$2*100</f>
        <v>66.709325142905897</v>
      </c>
    </row>
    <row r="1236" spans="1:12">
      <c r="A1236" s="96">
        <v>45077</v>
      </c>
      <c r="B1236" s="101">
        <v>78.91</v>
      </c>
      <c r="C1236" s="1">
        <f t="shared" si="38"/>
        <v>9.1662003965209907E-3</v>
      </c>
      <c r="D1236" s="1">
        <f>IFERROR(Comp3[[#This Row],[Comparable '#3 Return]]+1,"-")</f>
        <v>1.0091662003965209</v>
      </c>
      <c r="E1236" s="6">
        <f>B1236-MAX($B$2:B1236)</f>
        <v>-109.13</v>
      </c>
      <c r="F1236" s="80">
        <f t="shared" si="39"/>
        <v>974</v>
      </c>
      <c r="G1236" s="6">
        <f>IFERROR(Comp3[[#This Row],[Comparable '#3 Drawdown]]/MAX($B$2:B1236),"-")</f>
        <v>-0.58035524356519885</v>
      </c>
      <c r="H1236" s="1" t="str">
        <f>IF(SUM(COUNTIF(Benchmark1[Benchmark '#1 Dates],Comp3[[#This Row],[Comparable '#3 Dates]]),COUNTIF(Benchmark2[Benchmark '#2 Dates],Comp3[[#This Row],[Comparable '#3 Dates]]))=2,"Pass","Fail")</f>
        <v>Pass</v>
      </c>
      <c r="I1236" s="1">
        <f>IFERROR(Comp3[[#This Row],[Comparable '#3 Return]]-INDEX(Benchmark1[Benchmark '#1 Return],MATCH(Comp3[[#This Row],[Comparable '#3 Dates]],Benchmark1[Benchmark '#1 Dates],0)),"-")</f>
        <v>1.5294823425718316E-2</v>
      </c>
      <c r="L1236" s="72">
        <f>Comp3[[#This Row],[Comparable '#3 Price]]/$B$2*100</f>
        <v>67.323607200750786</v>
      </c>
    </row>
    <row r="1237" spans="1:12">
      <c r="A1237" s="96">
        <v>45078</v>
      </c>
      <c r="B1237" s="101">
        <v>78.09</v>
      </c>
      <c r="C1237" s="1">
        <f t="shared" si="38"/>
        <v>-1.0445954858359821E-2</v>
      </c>
      <c r="D1237" s="1">
        <f>IFERROR(Comp3[[#This Row],[Comparable '#3 Return]]+1,"-")</f>
        <v>0.98955404514164014</v>
      </c>
      <c r="E1237" s="6">
        <f>B1237-MAX($B$2:B1237)</f>
        <v>-109.94999999999999</v>
      </c>
      <c r="F1237" s="80">
        <f t="shared" si="39"/>
        <v>975</v>
      </c>
      <c r="G1237" s="6">
        <f>IFERROR(Comp3[[#This Row],[Comparable '#3 Drawdown]]/MAX($B$2:B1237),"-")</f>
        <v>-0.58471601786853855</v>
      </c>
      <c r="H1237" s="1" t="str">
        <f>IF(SUM(COUNTIF(Benchmark1[Benchmark '#1 Dates],Comp3[[#This Row],[Comparable '#3 Dates]]),COUNTIF(Benchmark2[Benchmark '#2 Dates],Comp3[[#This Row],[Comparable '#3 Dates]]))=2,"Pass","Fail")</f>
        <v>Pass</v>
      </c>
      <c r="I1237" s="1">
        <f>IFERROR(Comp3[[#This Row],[Comparable '#3 Return]]-INDEX(Benchmark1[Benchmark '#1 Return],MATCH(Comp3[[#This Row],[Comparable '#3 Dates]],Benchmark1[Benchmark '#1 Dates],0)),"-")</f>
        <v>-2.0253320882090829E-2</v>
      </c>
      <c r="L1237" s="72">
        <f>Comp3[[#This Row],[Comparable '#3 Price]]/$B$2*100</f>
        <v>66.624008190427446</v>
      </c>
    </row>
    <row r="1238" spans="1:12">
      <c r="A1238" s="96">
        <v>45079</v>
      </c>
      <c r="B1238" s="101">
        <v>78.430000000000007</v>
      </c>
      <c r="C1238" s="1">
        <f t="shared" si="38"/>
        <v>4.3444995499914438E-3</v>
      </c>
      <c r="D1238" s="1">
        <f>IFERROR(Comp3[[#This Row],[Comparable '#3 Return]]+1,"-")</f>
        <v>1.0043444995499915</v>
      </c>
      <c r="E1238" s="6">
        <f>B1238-MAX($B$2:B1238)</f>
        <v>-109.60999999999999</v>
      </c>
      <c r="F1238" s="80">
        <f t="shared" si="39"/>
        <v>976</v>
      </c>
      <c r="G1238" s="6">
        <f>IFERROR(Comp3[[#This Row],[Comparable '#3 Drawdown]]/MAX($B$2:B1238),"-")</f>
        <v>-0.5829078919378855</v>
      </c>
      <c r="H1238" s="1" t="str">
        <f>IF(SUM(COUNTIF(Benchmark1[Benchmark '#1 Dates],Comp3[[#This Row],[Comparable '#3 Dates]]),COUNTIF(Benchmark2[Benchmark '#2 Dates],Comp3[[#This Row],[Comparable '#3 Dates]]))=2,"Pass","Fail")</f>
        <v>Pass</v>
      </c>
      <c r="I1238" s="1">
        <f>IFERROR(Comp3[[#This Row],[Comparable '#3 Return]]-INDEX(Benchmark1[Benchmark '#1 Return],MATCH(Comp3[[#This Row],[Comparable '#3 Dates]],Benchmark1[Benchmark '#1 Dates],0)),"-")</f>
        <v>-1.0084205220473437E-2</v>
      </c>
      <c r="L1238" s="72">
        <f>Comp3[[#This Row],[Comparable '#3 Price]]/$B$2*100</f>
        <v>66.914085828854198</v>
      </c>
    </row>
    <row r="1239" spans="1:12">
      <c r="A1239" s="96">
        <v>45082</v>
      </c>
      <c r="B1239" s="101">
        <v>74.59</v>
      </c>
      <c r="C1239" s="1">
        <f t="shared" si="38"/>
        <v>-5.0200057257503268E-2</v>
      </c>
      <c r="D1239" s="1">
        <f>IFERROR(Comp3[[#This Row],[Comparable '#3 Return]]+1,"-")</f>
        <v>0.94979994274249668</v>
      </c>
      <c r="E1239" s="6">
        <f>B1239-MAX($B$2:B1239)</f>
        <v>-113.44999999999999</v>
      </c>
      <c r="F1239" s="80">
        <f t="shared" si="39"/>
        <v>977</v>
      </c>
      <c r="G1239" s="6">
        <f>IFERROR(Comp3[[#This Row],[Comparable '#3 Drawdown]]/MAX($B$2:B1239),"-")</f>
        <v>-0.60332907891937881</v>
      </c>
      <c r="H1239" s="1" t="str">
        <f>IF(SUM(COUNTIF(Benchmark1[Benchmark '#1 Dates],Comp3[[#This Row],[Comparable '#3 Dates]]),COUNTIF(Benchmark2[Benchmark '#2 Dates],Comp3[[#This Row],[Comparable '#3 Dates]]))=2,"Pass","Fail")</f>
        <v>Pass</v>
      </c>
      <c r="I1239" s="1">
        <f>IFERROR(Comp3[[#This Row],[Comparable '#3 Return]]-INDEX(Benchmark1[Benchmark '#1 Return],MATCH(Comp3[[#This Row],[Comparable '#3 Dates]],Benchmark1[Benchmark '#1 Dates],0)),"-")</f>
        <v>-4.8196497517773225E-2</v>
      </c>
      <c r="L1239" s="72">
        <f>Comp3[[#This Row],[Comparable '#3 Price]]/$B$2*100</f>
        <v>63.63791485368143</v>
      </c>
    </row>
    <row r="1240" spans="1:12">
      <c r="A1240" s="96">
        <v>45083</v>
      </c>
      <c r="B1240" s="101">
        <v>76.900000000000006</v>
      </c>
      <c r="C1240" s="1">
        <f t="shared" si="38"/>
        <v>3.0499426544526472E-2</v>
      </c>
      <c r="D1240" s="1">
        <f>IFERROR(Comp3[[#This Row],[Comparable '#3 Return]]+1,"-")</f>
        <v>1.0304994265445264</v>
      </c>
      <c r="E1240" s="6">
        <f>B1240-MAX($B$2:B1240)</f>
        <v>-111.13999999999999</v>
      </c>
      <c r="F1240" s="80">
        <f t="shared" si="39"/>
        <v>978</v>
      </c>
      <c r="G1240" s="6">
        <f>IFERROR(Comp3[[#This Row],[Comparable '#3 Drawdown]]/MAX($B$2:B1240),"-")</f>
        <v>-0.59104445862582422</v>
      </c>
      <c r="H1240" s="1" t="str">
        <f>IF(SUM(COUNTIF(Benchmark1[Benchmark '#1 Dates],Comp3[[#This Row],[Comparable '#3 Dates]]),COUNTIF(Benchmark2[Benchmark '#2 Dates],Comp3[[#This Row],[Comparable '#3 Dates]]))=2,"Pass","Fail")</f>
        <v>Pass</v>
      </c>
      <c r="I1240" s="1">
        <f>IFERROR(Comp3[[#This Row],[Comparable '#3 Return]]-INDEX(Benchmark1[Benchmark '#1 Return],MATCH(Comp3[[#This Row],[Comparable '#3 Dates]],Benchmark1[Benchmark '#1 Dates],0)),"-")</f>
        <v>2.8149666684222478E-2</v>
      </c>
      <c r="L1240" s="72">
        <f>Comp3[[#This Row],[Comparable '#3 Price]]/$B$2*100</f>
        <v>65.608736455933808</v>
      </c>
    </row>
    <row r="1241" spans="1:12">
      <c r="A1241" s="96">
        <v>45084</v>
      </c>
      <c r="B1241" s="101">
        <v>78.930000000000007</v>
      </c>
      <c r="C1241" s="1">
        <f t="shared" si="38"/>
        <v>2.6055507208712837E-2</v>
      </c>
      <c r="D1241" s="1">
        <f>IFERROR(Comp3[[#This Row],[Comparable '#3 Return]]+1,"-")</f>
        <v>1.0260555072087127</v>
      </c>
      <c r="E1241" s="6">
        <f>B1241-MAX($B$2:B1241)</f>
        <v>-109.10999999999999</v>
      </c>
      <c r="F1241" s="80">
        <f t="shared" si="39"/>
        <v>979</v>
      </c>
      <c r="G1241" s="6">
        <f>IFERROR(Comp3[[#This Row],[Comparable '#3 Drawdown]]/MAX($B$2:B1241),"-")</f>
        <v>-0.58024888321633694</v>
      </c>
      <c r="H1241" s="1" t="str">
        <f>IF(SUM(COUNTIF(Benchmark1[Benchmark '#1 Dates],Comp3[[#This Row],[Comparable '#3 Dates]]),COUNTIF(Benchmark2[Benchmark '#2 Dates],Comp3[[#This Row],[Comparable '#3 Dates]]))=2,"Pass","Fail")</f>
        <v>Pass</v>
      </c>
      <c r="I1241" s="1">
        <f>IFERROR(Comp3[[#This Row],[Comparable '#3 Return]]-INDEX(Benchmark1[Benchmark '#1 Return],MATCH(Comp3[[#This Row],[Comparable '#3 Dates]],Benchmark1[Benchmark '#1 Dates],0)),"-")</f>
        <v>2.9874766254888954E-2</v>
      </c>
      <c r="L1241" s="72">
        <f>Comp3[[#This Row],[Comparable '#3 Price]]/$B$2*100</f>
        <v>67.340670591246493</v>
      </c>
    </row>
    <row r="1242" spans="1:12">
      <c r="A1242" s="96">
        <v>45085</v>
      </c>
      <c r="B1242" s="101">
        <v>77.510000000000005</v>
      </c>
      <c r="C1242" s="1">
        <f t="shared" si="38"/>
        <v>-1.8154423426891074E-2</v>
      </c>
      <c r="D1242" s="1">
        <f>IFERROR(Comp3[[#This Row],[Comparable '#3 Return]]+1,"-")</f>
        <v>0.98184557657310889</v>
      </c>
      <c r="E1242" s="6">
        <f>B1242-MAX($B$2:B1242)</f>
        <v>-110.52999999999999</v>
      </c>
      <c r="F1242" s="80">
        <f t="shared" si="39"/>
        <v>980</v>
      </c>
      <c r="G1242" s="6">
        <f>IFERROR(Comp3[[#This Row],[Comparable '#3 Drawdown]]/MAX($B$2:B1242),"-")</f>
        <v>-0.58780046798553498</v>
      </c>
      <c r="H1242" s="1" t="str">
        <f>IF(SUM(COUNTIF(Benchmark1[Benchmark '#1 Dates],Comp3[[#This Row],[Comparable '#3 Dates]]),COUNTIF(Benchmark2[Benchmark '#2 Dates],Comp3[[#This Row],[Comparable '#3 Dates]]))=2,"Pass","Fail")</f>
        <v>Pass</v>
      </c>
      <c r="I1242" s="1">
        <f>IFERROR(Comp3[[#This Row],[Comparable '#3 Return]]-INDEX(Benchmark1[Benchmark '#1 Return],MATCH(Comp3[[#This Row],[Comparable '#3 Dates]],Benchmark1[Benchmark '#1 Dates],0)),"-")</f>
        <v>-2.432379935700324E-2</v>
      </c>
      <c r="L1242" s="72">
        <f>Comp3[[#This Row],[Comparable '#3 Price]]/$B$2*100</f>
        <v>66.129169866052393</v>
      </c>
    </row>
    <row r="1243" spans="1:12">
      <c r="A1243" s="96">
        <v>45086</v>
      </c>
      <c r="B1243" s="101">
        <v>76.11</v>
      </c>
      <c r="C1243" s="1">
        <f t="shared" si="38"/>
        <v>-1.8227298014119885E-2</v>
      </c>
      <c r="D1243" s="1">
        <f>IFERROR(Comp3[[#This Row],[Comparable '#3 Return]]+1,"-")</f>
        <v>0.98177270198588007</v>
      </c>
      <c r="E1243" s="6">
        <f>B1243-MAX($B$2:B1243)</f>
        <v>-111.92999999999999</v>
      </c>
      <c r="F1243" s="80">
        <f t="shared" si="39"/>
        <v>981</v>
      </c>
      <c r="G1243" s="6">
        <f>IFERROR(Comp3[[#This Row],[Comparable '#3 Drawdown]]/MAX($B$2:B1243),"-")</f>
        <v>-0.59524569240587111</v>
      </c>
      <c r="H1243" s="1" t="str">
        <f>IF(SUM(COUNTIF(Benchmark1[Benchmark '#1 Dates],Comp3[[#This Row],[Comparable '#3 Dates]]),COUNTIF(Benchmark2[Benchmark '#2 Dates],Comp3[[#This Row],[Comparable '#3 Dates]]))=2,"Pass","Fail")</f>
        <v>Pass</v>
      </c>
      <c r="I1243" s="1">
        <f>IFERROR(Comp3[[#This Row],[Comparable '#3 Return]]-INDEX(Benchmark1[Benchmark '#1 Return],MATCH(Comp3[[#This Row],[Comparable '#3 Dates]],Benchmark1[Benchmark '#1 Dates],0)),"-")</f>
        <v>-1.9374666550819038E-2</v>
      </c>
      <c r="L1243" s="72">
        <f>Comp3[[#This Row],[Comparable '#3 Price]]/$B$2*100</f>
        <v>64.934732531353973</v>
      </c>
    </row>
    <row r="1244" spans="1:12">
      <c r="A1244" s="96">
        <v>45089</v>
      </c>
      <c r="B1244" s="101">
        <v>75.599999999999994</v>
      </c>
      <c r="C1244" s="1">
        <f t="shared" si="38"/>
        <v>-6.7233790938129199E-3</v>
      </c>
      <c r="D1244" s="1">
        <f>IFERROR(Comp3[[#This Row],[Comparable '#3 Return]]+1,"-")</f>
        <v>0.99327662090618707</v>
      </c>
      <c r="E1244" s="6">
        <f>B1244-MAX($B$2:B1244)</f>
        <v>-112.44</v>
      </c>
      <c r="F1244" s="80">
        <f t="shared" si="39"/>
        <v>982</v>
      </c>
      <c r="G1244" s="6">
        <f>IFERROR(Comp3[[#This Row],[Comparable '#3 Drawdown]]/MAX($B$2:B1244),"-")</f>
        <v>-0.59795788130185068</v>
      </c>
      <c r="H1244" s="1" t="str">
        <f>IF(SUM(COUNTIF(Benchmark1[Benchmark '#1 Dates],Comp3[[#This Row],[Comparable '#3 Dates]]),COUNTIF(Benchmark2[Benchmark '#2 Dates],Comp3[[#This Row],[Comparable '#3 Dates]]))=2,"Pass","Fail")</f>
        <v>Pass</v>
      </c>
      <c r="I1244" s="1">
        <f>IFERROR(Comp3[[#This Row],[Comparable '#3 Return]]-INDEX(Benchmark1[Benchmark '#1 Return],MATCH(Comp3[[#This Row],[Comparable '#3 Dates]],Benchmark1[Benchmark '#1 Dates],0)),"-")</f>
        <v>-1.6002929267443421E-2</v>
      </c>
      <c r="L1244" s="72">
        <f>Comp3[[#This Row],[Comparable '#3 Price]]/$B$2*100</f>
        <v>64.499616073713852</v>
      </c>
    </row>
    <row r="1245" spans="1:12">
      <c r="A1245" s="96">
        <v>45090</v>
      </c>
      <c r="B1245" s="101">
        <v>75.8</v>
      </c>
      <c r="C1245" s="1">
        <f t="shared" si="38"/>
        <v>2.6420094628387975E-3</v>
      </c>
      <c r="D1245" s="1">
        <f>IFERROR(Comp3[[#This Row],[Comparable '#3 Return]]+1,"-")</f>
        <v>1.0026420094628388</v>
      </c>
      <c r="E1245" s="6">
        <f>B1245-MAX($B$2:B1245)</f>
        <v>-112.24</v>
      </c>
      <c r="F1245" s="80">
        <f t="shared" si="39"/>
        <v>983</v>
      </c>
      <c r="G1245" s="6">
        <f>IFERROR(Comp3[[#This Row],[Comparable '#3 Drawdown]]/MAX($B$2:B1245),"-")</f>
        <v>-0.59689427781323123</v>
      </c>
      <c r="H1245" s="1" t="str">
        <f>IF(SUM(COUNTIF(Benchmark1[Benchmark '#1 Dates],Comp3[[#This Row],[Comparable '#3 Dates]]),COUNTIF(Benchmark2[Benchmark '#2 Dates],Comp3[[#This Row],[Comparable '#3 Dates]]))=2,"Pass","Fail")</f>
        <v>Pass</v>
      </c>
      <c r="I1245" s="1">
        <f>IFERROR(Comp3[[#This Row],[Comparable '#3 Return]]-INDEX(Benchmark1[Benchmark '#1 Return],MATCH(Comp3[[#This Row],[Comparable '#3 Dates]],Benchmark1[Benchmark '#1 Dates],0)),"-")</f>
        <v>-4.2648055249546717E-3</v>
      </c>
      <c r="L1245" s="72">
        <f>Comp3[[#This Row],[Comparable '#3 Price]]/$B$2*100</f>
        <v>64.670249978670753</v>
      </c>
    </row>
    <row r="1246" spans="1:12">
      <c r="A1246" s="96">
        <v>45091</v>
      </c>
      <c r="B1246" s="101">
        <v>75.900000000000006</v>
      </c>
      <c r="C1246" s="1">
        <f t="shared" si="38"/>
        <v>1.318391753258454E-3</v>
      </c>
      <c r="D1246" s="1">
        <f>IFERROR(Comp3[[#This Row],[Comparable '#3 Return]]+1,"-")</f>
        <v>1.0013183917532584</v>
      </c>
      <c r="E1246" s="6">
        <f>B1246-MAX($B$2:B1246)</f>
        <v>-112.13999999999999</v>
      </c>
      <c r="F1246" s="80">
        <f t="shared" si="39"/>
        <v>984</v>
      </c>
      <c r="G1246" s="6">
        <f>IFERROR(Comp3[[#This Row],[Comparable '#3 Drawdown]]/MAX($B$2:B1246),"-")</f>
        <v>-0.59636247606892145</v>
      </c>
      <c r="H1246" s="1" t="str">
        <f>IF(SUM(COUNTIF(Benchmark1[Benchmark '#1 Dates],Comp3[[#This Row],[Comparable '#3 Dates]]),COUNTIF(Benchmark2[Benchmark '#2 Dates],Comp3[[#This Row],[Comparable '#3 Dates]]))=2,"Pass","Fail")</f>
        <v>Pass</v>
      </c>
      <c r="I1246" s="1">
        <f>IFERROR(Comp3[[#This Row],[Comparable '#3 Return]]-INDEX(Benchmark1[Benchmark '#1 Return],MATCH(Comp3[[#This Row],[Comparable '#3 Dates]],Benchmark1[Benchmark '#1 Dates],0)),"-")</f>
        <v>4.9861990504401028E-4</v>
      </c>
      <c r="L1246" s="72">
        <f>Comp3[[#This Row],[Comparable '#3 Price]]/$B$2*100</f>
        <v>64.755566931149218</v>
      </c>
    </row>
    <row r="1247" spans="1:12">
      <c r="A1247" s="96">
        <v>45092</v>
      </c>
      <c r="B1247" s="101">
        <v>74.88</v>
      </c>
      <c r="C1247" s="1">
        <f t="shared" si="38"/>
        <v>-1.3529852232247782E-2</v>
      </c>
      <c r="D1247" s="1">
        <f>IFERROR(Comp3[[#This Row],[Comparable '#3 Return]]+1,"-")</f>
        <v>0.98647014776775221</v>
      </c>
      <c r="E1247" s="6">
        <f>B1247-MAX($B$2:B1247)</f>
        <v>-113.16</v>
      </c>
      <c r="F1247" s="80">
        <f t="shared" si="39"/>
        <v>985</v>
      </c>
      <c r="G1247" s="6">
        <f>IFERROR(Comp3[[#This Row],[Comparable '#3 Drawdown]]/MAX($B$2:B1247),"-")</f>
        <v>-0.60178685386088071</v>
      </c>
      <c r="H1247" s="1" t="str">
        <f>IF(SUM(COUNTIF(Benchmark1[Benchmark '#1 Dates],Comp3[[#This Row],[Comparable '#3 Dates]]),COUNTIF(Benchmark2[Benchmark '#2 Dates],Comp3[[#This Row],[Comparable '#3 Dates]]))=2,"Pass","Fail")</f>
        <v>Pass</v>
      </c>
      <c r="I1247" s="1">
        <f>IFERROR(Comp3[[#This Row],[Comparable '#3 Return]]-INDEX(Benchmark1[Benchmark '#1 Return],MATCH(Comp3[[#This Row],[Comparable '#3 Dates]],Benchmark1[Benchmark '#1 Dates],0)),"-")</f>
        <v>-2.5635523385255141E-2</v>
      </c>
      <c r="L1247" s="72">
        <f>Comp3[[#This Row],[Comparable '#3 Price]]/$B$2*100</f>
        <v>63.885334015868956</v>
      </c>
    </row>
    <row r="1248" spans="1:12">
      <c r="A1248" s="96">
        <v>45093</v>
      </c>
      <c r="B1248" s="101">
        <v>74.97</v>
      </c>
      <c r="C1248" s="1">
        <f t="shared" si="38"/>
        <v>1.2012013456341492E-3</v>
      </c>
      <c r="D1248" s="1">
        <f>IFERROR(Comp3[[#This Row],[Comparable '#3 Return]]+1,"-")</f>
        <v>1.0012012013456342</v>
      </c>
      <c r="E1248" s="6">
        <f>B1248-MAX($B$2:B1248)</f>
        <v>-113.07</v>
      </c>
      <c r="F1248" s="80">
        <f t="shared" si="39"/>
        <v>986</v>
      </c>
      <c r="G1248" s="6">
        <f>IFERROR(Comp3[[#This Row],[Comparable '#3 Drawdown]]/MAX($B$2:B1248),"-")</f>
        <v>-0.60130823229100194</v>
      </c>
      <c r="H1248" s="1" t="str">
        <f>IF(SUM(COUNTIF(Benchmark1[Benchmark '#1 Dates],Comp3[[#This Row],[Comparable '#3 Dates]]),COUNTIF(Benchmark2[Benchmark '#2 Dates],Comp3[[#This Row],[Comparable '#3 Dates]]))=2,"Pass","Fail")</f>
        <v>Pass</v>
      </c>
      <c r="I1248" s="1">
        <f>IFERROR(Comp3[[#This Row],[Comparable '#3 Return]]-INDEX(Benchmark1[Benchmark '#1 Return],MATCH(Comp3[[#This Row],[Comparable '#3 Dates]],Benchmark1[Benchmark '#1 Dates],0)),"-")</f>
        <v>4.8795523456163564E-3</v>
      </c>
      <c r="L1248" s="72">
        <f>Comp3[[#This Row],[Comparable '#3 Price]]/$B$2*100</f>
        <v>63.962119273099574</v>
      </c>
    </row>
    <row r="1249" spans="1:12">
      <c r="A1249" s="96">
        <v>45097</v>
      </c>
      <c r="B1249" s="101">
        <v>73.680000000000007</v>
      </c>
      <c r="C1249" s="1">
        <f t="shared" si="38"/>
        <v>-1.7356641567919173E-2</v>
      </c>
      <c r="D1249" s="1">
        <f>IFERROR(Comp3[[#This Row],[Comparable '#3 Return]]+1,"-")</f>
        <v>0.98264335843208084</v>
      </c>
      <c r="E1249" s="6">
        <f>B1249-MAX($B$2:B1249)</f>
        <v>-114.35999999999999</v>
      </c>
      <c r="F1249" s="80">
        <f t="shared" si="39"/>
        <v>987</v>
      </c>
      <c r="G1249" s="6">
        <f>IFERROR(Comp3[[#This Row],[Comparable '#3 Drawdown]]/MAX($B$2:B1249),"-")</f>
        <v>-0.60816847479259728</v>
      </c>
      <c r="H1249" s="1" t="str">
        <f>IF(SUM(COUNTIF(Benchmark1[Benchmark '#1 Dates],Comp3[[#This Row],[Comparable '#3 Dates]]),COUNTIF(Benchmark2[Benchmark '#2 Dates],Comp3[[#This Row],[Comparable '#3 Dates]]))=2,"Pass","Fail")</f>
        <v>Pass</v>
      </c>
      <c r="I1249" s="1">
        <f>IFERROR(Comp3[[#This Row],[Comparable '#3 Return]]-INDEX(Benchmark1[Benchmark '#1 Return],MATCH(Comp3[[#This Row],[Comparable '#3 Dates]],Benchmark1[Benchmark '#1 Dates],0)),"-")</f>
        <v>-1.260921655436318E-2</v>
      </c>
      <c r="L1249" s="72">
        <f>Comp3[[#This Row],[Comparable '#3 Price]]/$B$2*100</f>
        <v>62.861530586127465</v>
      </c>
    </row>
    <row r="1250" spans="1:12">
      <c r="A1250" s="96">
        <v>45098</v>
      </c>
      <c r="B1250" s="101">
        <v>72.94</v>
      </c>
      <c r="C1250" s="1">
        <f t="shared" si="38"/>
        <v>-1.0094206566517357E-2</v>
      </c>
      <c r="D1250" s="1">
        <f>IFERROR(Comp3[[#This Row],[Comparable '#3 Return]]+1,"-")</f>
        <v>0.98990579343348262</v>
      </c>
      <c r="E1250" s="6">
        <f>B1250-MAX($B$2:B1250)</f>
        <v>-115.1</v>
      </c>
      <c r="F1250" s="80">
        <f t="shared" si="39"/>
        <v>988</v>
      </c>
      <c r="G1250" s="6">
        <f>IFERROR(Comp3[[#This Row],[Comparable '#3 Drawdown]]/MAX($B$2:B1250),"-")</f>
        <v>-0.61210380770048922</v>
      </c>
      <c r="H1250" s="1" t="str">
        <f>IF(SUM(COUNTIF(Benchmark1[Benchmark '#1 Dates],Comp3[[#This Row],[Comparable '#3 Dates]]),COUNTIF(Benchmark2[Benchmark '#2 Dates],Comp3[[#This Row],[Comparable '#3 Dates]]))=2,"Pass","Fail")</f>
        <v>Pass</v>
      </c>
      <c r="I1250" s="1">
        <f>IFERROR(Comp3[[#This Row],[Comparable '#3 Return]]-INDEX(Benchmark1[Benchmark '#1 Return],MATCH(Comp3[[#This Row],[Comparable '#3 Dates]],Benchmark1[Benchmark '#1 Dates],0)),"-")</f>
        <v>-4.835142168892418E-3</v>
      </c>
      <c r="L1250" s="72">
        <f>Comp3[[#This Row],[Comparable '#3 Price]]/$B$2*100</f>
        <v>62.230185137786876</v>
      </c>
    </row>
    <row r="1251" spans="1:12">
      <c r="A1251" s="96">
        <v>45099</v>
      </c>
      <c r="B1251" s="101">
        <v>71.5</v>
      </c>
      <c r="C1251" s="1">
        <f t="shared" si="38"/>
        <v>-1.9939735680572203E-2</v>
      </c>
      <c r="D1251" s="1">
        <f>IFERROR(Comp3[[#This Row],[Comparable '#3 Return]]+1,"-")</f>
        <v>0.98006026431942783</v>
      </c>
      <c r="E1251" s="6">
        <f>B1251-MAX($B$2:B1251)</f>
        <v>-116.53999999999999</v>
      </c>
      <c r="F1251" s="80">
        <f t="shared" si="39"/>
        <v>989</v>
      </c>
      <c r="G1251" s="6">
        <f>IFERROR(Comp3[[#This Row],[Comparable '#3 Drawdown]]/MAX($B$2:B1251),"-")</f>
        <v>-0.61976175281854928</v>
      </c>
      <c r="H1251" s="1" t="str">
        <f>IF(SUM(COUNTIF(Benchmark1[Benchmark '#1 Dates],Comp3[[#This Row],[Comparable '#3 Dates]]),COUNTIF(Benchmark2[Benchmark '#2 Dates],Comp3[[#This Row],[Comparable '#3 Dates]]))=2,"Pass","Fail")</f>
        <v>Pass</v>
      </c>
      <c r="I1251" s="1">
        <f>IFERROR(Comp3[[#This Row],[Comparable '#3 Return]]-INDEX(Benchmark1[Benchmark '#1 Return],MATCH(Comp3[[#This Row],[Comparable '#3 Dates]],Benchmark1[Benchmark '#1 Dates],0)),"-")</f>
        <v>-2.3643768481719212E-2</v>
      </c>
      <c r="L1251" s="72">
        <f>Comp3[[#This Row],[Comparable '#3 Price]]/$B$2*100</f>
        <v>61.001621022097098</v>
      </c>
    </row>
    <row r="1252" spans="1:12">
      <c r="A1252" s="96">
        <v>45100</v>
      </c>
      <c r="B1252" s="101">
        <v>70</v>
      </c>
      <c r="C1252" s="1">
        <f t="shared" si="38"/>
        <v>-2.1202207650602937E-2</v>
      </c>
      <c r="D1252" s="1">
        <f>IFERROR(Comp3[[#This Row],[Comparable '#3 Return]]+1,"-")</f>
        <v>0.97879779234939701</v>
      </c>
      <c r="E1252" s="6">
        <f>B1252-MAX($B$2:B1252)</f>
        <v>-118.03999999999999</v>
      </c>
      <c r="F1252" s="80">
        <f t="shared" si="39"/>
        <v>990</v>
      </c>
      <c r="G1252" s="6">
        <f>IFERROR(Comp3[[#This Row],[Comparable '#3 Drawdown]]/MAX($B$2:B1252),"-")</f>
        <v>-0.62773877898319508</v>
      </c>
      <c r="H1252" s="1" t="str">
        <f>IF(SUM(COUNTIF(Benchmark1[Benchmark '#1 Dates],Comp3[[#This Row],[Comparable '#3 Dates]]),COUNTIF(Benchmark2[Benchmark '#2 Dates],Comp3[[#This Row],[Comparable '#3 Dates]]))=2,"Pass","Fail")</f>
        <v>Pass</v>
      </c>
      <c r="I1252" s="1">
        <f>IFERROR(Comp3[[#This Row],[Comparable '#3 Return]]-INDEX(Benchmark1[Benchmark '#1 Return],MATCH(Comp3[[#This Row],[Comparable '#3 Dates]],Benchmark1[Benchmark '#1 Dates],0)),"-")</f>
        <v>-1.3513978323155641E-2</v>
      </c>
      <c r="L1252" s="72">
        <f>Comp3[[#This Row],[Comparable '#3 Price]]/$B$2*100</f>
        <v>59.721866734920241</v>
      </c>
    </row>
    <row r="1253" spans="1:12">
      <c r="A1253" s="96">
        <v>45103</v>
      </c>
      <c r="B1253" s="101">
        <v>70.25</v>
      </c>
      <c r="C1253" s="1">
        <f t="shared" si="38"/>
        <v>3.5650661644961446E-3</v>
      </c>
      <c r="D1253" s="1">
        <f>IFERROR(Comp3[[#This Row],[Comparable '#3 Return]]+1,"-")</f>
        <v>1.0035650661644961</v>
      </c>
      <c r="E1253" s="6">
        <f>B1253-MAX($B$2:B1253)</f>
        <v>-117.78999999999999</v>
      </c>
      <c r="F1253" s="80">
        <f t="shared" si="39"/>
        <v>991</v>
      </c>
      <c r="G1253" s="6">
        <f>IFERROR(Comp3[[#This Row],[Comparable '#3 Drawdown]]/MAX($B$2:B1253),"-")</f>
        <v>-0.6264092746224208</v>
      </c>
      <c r="H1253" s="1" t="str">
        <f>IF(SUM(COUNTIF(Benchmark1[Benchmark '#1 Dates],Comp3[[#This Row],[Comparable '#3 Dates]]),COUNTIF(Benchmark2[Benchmark '#2 Dates],Comp3[[#This Row],[Comparable '#3 Dates]]))=2,"Pass","Fail")</f>
        <v>Pass</v>
      </c>
      <c r="I1253" s="1">
        <f>IFERROR(Comp3[[#This Row],[Comparable '#3 Return]]-INDEX(Benchmark1[Benchmark '#1 Return],MATCH(Comp3[[#This Row],[Comparable '#3 Dates]],Benchmark1[Benchmark '#1 Dates],0)),"-")</f>
        <v>8.0617247523043327E-3</v>
      </c>
      <c r="L1253" s="72">
        <f>Comp3[[#This Row],[Comparable '#3 Price]]/$B$2*100</f>
        <v>59.935159116116374</v>
      </c>
    </row>
    <row r="1254" spans="1:12">
      <c r="A1254" s="96">
        <v>45104</v>
      </c>
      <c r="B1254" s="101">
        <v>69.83</v>
      </c>
      <c r="C1254" s="1">
        <f t="shared" si="38"/>
        <v>-5.9965913559112414E-3</v>
      </c>
      <c r="D1254" s="1">
        <f>IFERROR(Comp3[[#This Row],[Comparable '#3 Return]]+1,"-")</f>
        <v>0.99400340864408876</v>
      </c>
      <c r="E1254" s="6">
        <f>B1254-MAX($B$2:B1254)</f>
        <v>-118.21</v>
      </c>
      <c r="F1254" s="80">
        <f t="shared" si="39"/>
        <v>992</v>
      </c>
      <c r="G1254" s="6">
        <f>IFERROR(Comp3[[#This Row],[Comparable '#3 Drawdown]]/MAX($B$2:B1254),"-")</f>
        <v>-0.6286428419485216</v>
      </c>
      <c r="H1254" s="1" t="str">
        <f>IF(SUM(COUNTIF(Benchmark1[Benchmark '#1 Dates],Comp3[[#This Row],[Comparable '#3 Dates]]),COUNTIF(Benchmark2[Benchmark '#2 Dates],Comp3[[#This Row],[Comparable '#3 Dates]]))=2,"Pass","Fail")</f>
        <v>Pass</v>
      </c>
      <c r="I1254" s="1">
        <f>IFERROR(Comp3[[#This Row],[Comparable '#3 Return]]-INDEX(Benchmark1[Benchmark '#1 Return],MATCH(Comp3[[#This Row],[Comparable '#3 Dates]],Benchmark1[Benchmark '#1 Dates],0)),"-")</f>
        <v>-1.7385809171749093E-2</v>
      </c>
      <c r="L1254" s="72">
        <f>Comp3[[#This Row],[Comparable '#3 Price]]/$B$2*100</f>
        <v>59.576827915706851</v>
      </c>
    </row>
    <row r="1255" spans="1:12">
      <c r="A1255" s="96">
        <v>45105</v>
      </c>
      <c r="B1255" s="101">
        <v>67.599999999999994</v>
      </c>
      <c r="C1255" s="1">
        <f t="shared" si="38"/>
        <v>-3.2455733809025569E-2</v>
      </c>
      <c r="D1255" s="1">
        <f>IFERROR(Comp3[[#This Row],[Comparable '#3 Return]]+1,"-")</f>
        <v>0.96754426619097444</v>
      </c>
      <c r="E1255" s="6">
        <f>B1255-MAX($B$2:B1255)</f>
        <v>-120.44</v>
      </c>
      <c r="F1255" s="80">
        <f t="shared" si="39"/>
        <v>993</v>
      </c>
      <c r="G1255" s="6">
        <f>IFERROR(Comp3[[#This Row],[Comparable '#3 Drawdown]]/MAX($B$2:B1255),"-")</f>
        <v>-0.64050202084662844</v>
      </c>
      <c r="H1255" s="1" t="str">
        <f>IF(SUM(COUNTIF(Benchmark1[Benchmark '#1 Dates],Comp3[[#This Row],[Comparable '#3 Dates]]),COUNTIF(Benchmark2[Benchmark '#2 Dates],Comp3[[#This Row],[Comparable '#3 Dates]]))=2,"Pass","Fail")</f>
        <v>Pass</v>
      </c>
      <c r="I1255" s="1">
        <f>IFERROR(Comp3[[#This Row],[Comparable '#3 Return]]-INDEX(Benchmark1[Benchmark '#1 Return],MATCH(Comp3[[#This Row],[Comparable '#3 Dates]],Benchmark1[Benchmark '#1 Dates],0)),"-")</f>
        <v>-3.2103577171358769E-2</v>
      </c>
      <c r="L1255" s="72">
        <f>Comp3[[#This Row],[Comparable '#3 Price]]/$B$2*100</f>
        <v>57.674259875437251</v>
      </c>
    </row>
    <row r="1256" spans="1:12">
      <c r="A1256" s="96">
        <v>45106</v>
      </c>
      <c r="B1256" s="101">
        <v>67.67</v>
      </c>
      <c r="C1256" s="1">
        <f t="shared" si="38"/>
        <v>1.0349671952158683E-3</v>
      </c>
      <c r="D1256" s="1">
        <f>IFERROR(Comp3[[#This Row],[Comparable '#3 Return]]+1,"-")</f>
        <v>1.0010349671952159</v>
      </c>
      <c r="E1256" s="6">
        <f>B1256-MAX($B$2:B1258)</f>
        <v>-120.36999999999999</v>
      </c>
      <c r="F1256" s="80">
        <f t="shared" si="39"/>
        <v>994</v>
      </c>
      <c r="G1256" s="6">
        <f>IFERROR(Comp3[[#This Row],[Comparable '#3 Drawdown]]/MAX($B$2:B1258),"-")</f>
        <v>-0.64012975962561158</v>
      </c>
      <c r="H1256" s="1" t="str">
        <f>IF(SUM(COUNTIF(Benchmark1[Benchmark '#1 Dates],Comp3[[#This Row],[Comparable '#3 Dates]]),COUNTIF(Benchmark2[Benchmark '#2 Dates],Comp3[[#This Row],[Comparable '#3 Dates]]))=2,"Pass","Fail")</f>
        <v>Pass</v>
      </c>
      <c r="I1256" s="1">
        <f>IFERROR(Comp3[[#This Row],[Comparable '#3 Return]]-INDEX(Benchmark1[Benchmark '#1 Return],MATCH(Comp3[[#This Row],[Comparable '#3 Dates]],Benchmark1[Benchmark '#1 Dates],0)),"-")</f>
        <v>-3.4285126427589458E-3</v>
      </c>
      <c r="L1256" s="72">
        <f>Comp3[[#This Row],[Comparable '#3 Price]]/$B$2*100</f>
        <v>57.733981742172169</v>
      </c>
    </row>
    <row r="1257" spans="1:12">
      <c r="A1257" s="103">
        <v>45107</v>
      </c>
      <c r="B1257" s="104">
        <v>67.84</v>
      </c>
      <c r="C1257" s="1">
        <f t="shared" ref="C1257:C1258" si="40">IFERROR(IF(B1257="","-",LN(B1257/B1256)),"-")</f>
        <v>2.5090412395136173E-3</v>
      </c>
      <c r="D1257" s="1">
        <f>IFERROR(Comp3[[#This Row],[Comparable '#3 Return]]+1,"-")</f>
        <v>1.0025090412395137</v>
      </c>
      <c r="E1257" s="6">
        <f>B1257-MAX($B$2:B1257)</f>
        <v>-120.19999999999999</v>
      </c>
      <c r="F1257" s="80">
        <f t="shared" ref="F1257:F1258" si="41">IF(E1257=0,0,F1256+1)</f>
        <v>995</v>
      </c>
      <c r="G1257" s="6">
        <f>IFERROR(Comp3[[#This Row],[Comparable '#3 Drawdown]]/MAX($B$2:B1257),"-")</f>
        <v>-0.63922569666028506</v>
      </c>
      <c r="H1257" s="1" t="str">
        <f>IF(SUM(COUNTIF(Benchmark1[Benchmark '#1 Dates],Comp3[[#This Row],[Comparable '#3 Dates]]),COUNTIF(Benchmark2[Benchmark '#2 Dates],Comp3[[#This Row],[Comparable '#3 Dates]]))=2,"Pass","Fail")</f>
        <v>Pass</v>
      </c>
      <c r="I1257" s="1">
        <f>IFERROR(Comp3[[#This Row],[Comparable '#3 Return]]-INDEX(Benchmark1[Benchmark '#1 Return],MATCH(Comp3[[#This Row],[Comparable '#3 Dates]],Benchmark1[Benchmark '#1 Dates],0)),"-")</f>
        <v>-9.684839242809655E-3</v>
      </c>
    </row>
    <row r="1258" spans="1:12">
      <c r="A1258" s="103">
        <v>45110</v>
      </c>
      <c r="B1258" s="104">
        <v>67.7</v>
      </c>
      <c r="C1258" s="1">
        <f t="shared" si="40"/>
        <v>-2.0658115654183604E-3</v>
      </c>
      <c r="D1258" s="1">
        <f>IFERROR(Comp3[[#This Row],[Comparable '#3 Return]]+1,"-")</f>
        <v>0.99793418843458159</v>
      </c>
      <c r="E1258" s="6">
        <f>B1258-MAX($B$2:B1258)</f>
        <v>-120.33999999999999</v>
      </c>
      <c r="F1258" s="80">
        <f t="shared" si="41"/>
        <v>996</v>
      </c>
      <c r="G1258" s="6">
        <f>IFERROR(Comp3[[#This Row],[Comparable '#3 Drawdown]]/MAX($B$2:B1258),"-")</f>
        <v>-0.63997021910231866</v>
      </c>
      <c r="H1258" s="1" t="str">
        <f>IF(SUM(COUNTIF(Benchmark1[Benchmark '#1 Dates],Comp3[[#This Row],[Comparable '#3 Dates]]),COUNTIF(Benchmark2[Benchmark '#2 Dates],Comp3[[#This Row],[Comparable '#3 Dates]]))=2,"Pass","Fail")</f>
        <v>Pass</v>
      </c>
      <c r="I1258" s="1">
        <f>IFERROR(Comp3[[#This Row],[Comparable '#3 Return]]-INDEX(Benchmark1[Benchmark '#1 Return],MATCH(Comp3[[#This Row],[Comparable '#3 Dates]],Benchmark1[Benchmark '#1 Dates],0)),"-")</f>
        <v>-3.2363884519428822E-3</v>
      </c>
    </row>
  </sheetData>
  <phoneticPr fontId="8" type="noConversion"/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0275E9F07C0754A9FD46AE273A8A016" ma:contentTypeVersion="15" ma:contentTypeDescription="Create a new document." ma:contentTypeScope="" ma:versionID="90f112a0bac5b19762f822f633de9d4a">
  <xsd:schema xmlns:xsd="http://www.w3.org/2001/XMLSchema" xmlns:xs="http://www.w3.org/2001/XMLSchema" xmlns:p="http://schemas.microsoft.com/office/2006/metadata/properties" xmlns:ns2="b5d8b4f3-1021-48c9-af12-6fdff4f17daf" xmlns:ns3="1ef2a5bf-8751-4c78-940c-04198ac181df" targetNamespace="http://schemas.microsoft.com/office/2006/metadata/properties" ma:root="true" ma:fieldsID="1604dd521656e80bf59d817a2a960ef3" ns2:_="" ns3:_="">
    <xsd:import namespace="b5d8b4f3-1021-48c9-af12-6fdff4f17daf"/>
    <xsd:import namespace="1ef2a5bf-8751-4c78-940c-04198ac181d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5d8b4f3-1021-48c9-af12-6fdff4f17da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cbd2e69d-a885-47d9-a849-8bc90acf94c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ef2a5bf-8751-4c78-940c-04198ac181d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74d93cf1-e860-4b8b-8b7c-bd5d642f4c61}" ma:internalName="TaxCatchAll" ma:showField="CatchAllData" ma:web="1ef2a5bf-8751-4c78-940c-04198ac181d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1ef2a5bf-8751-4c78-940c-04198ac181df" xsi:nil="true"/>
    <lcf76f155ced4ddcb4097134ff3c332f xmlns="b5d8b4f3-1021-48c9-af12-6fdff4f17daf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06AE2D7-C988-4058-BD1E-D96A6E4A8FC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5d8b4f3-1021-48c9-af12-6fdff4f17daf"/>
    <ds:schemaRef ds:uri="1ef2a5bf-8751-4c78-940c-04198ac181d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F71FC34-C93D-4E0F-897D-EAD52B41D1F7}">
  <ds:schemaRefs>
    <ds:schemaRef ds:uri="http://schemas.openxmlformats.org/package/2006/metadata/core-properties"/>
    <ds:schemaRef ds:uri="http://schemas.microsoft.com/office/2006/documentManagement/types"/>
    <ds:schemaRef ds:uri="http://www.w3.org/XML/1998/namespace"/>
    <ds:schemaRef ds:uri="http://purl.org/dc/dcmitype/"/>
    <ds:schemaRef ds:uri="http://schemas.microsoft.com/office/2006/metadata/properties"/>
    <ds:schemaRef ds:uri="http://schemas.microsoft.com/office/infopath/2007/PartnerControls"/>
    <ds:schemaRef ds:uri="http://purl.org/dc/elements/1.1/"/>
    <ds:schemaRef ds:uri="http://purl.org/dc/terms/"/>
    <ds:schemaRef ds:uri="1ef2a5bf-8751-4c78-940c-04198ac181df"/>
    <ds:schemaRef ds:uri="b5d8b4f3-1021-48c9-af12-6fdff4f17daf"/>
  </ds:schemaRefs>
</ds:datastoreItem>
</file>

<file path=customXml/itemProps3.xml><?xml version="1.0" encoding="utf-8"?>
<ds:datastoreItem xmlns:ds="http://schemas.openxmlformats.org/officeDocument/2006/customXml" ds:itemID="{A7B1E21A-2407-4265-B283-C51855E708D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Control Panel</vt:lpstr>
      <vt:lpstr>Graphing Values</vt:lpstr>
      <vt:lpstr>Stock Chart</vt:lpstr>
      <vt:lpstr>Calculated Results</vt:lpstr>
      <vt:lpstr>Target</vt:lpstr>
      <vt:lpstr>Benchmark #1</vt:lpstr>
      <vt:lpstr>Benchmark #2</vt:lpstr>
      <vt:lpstr>Comparable #1</vt:lpstr>
      <vt:lpstr>Comparable #2</vt:lpstr>
      <vt:lpstr>Comparable #3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Thomas Keane</dc:creator>
  <cp:keywords/>
  <dc:description/>
  <cp:lastModifiedBy>Jose Chua</cp:lastModifiedBy>
  <cp:revision/>
  <dcterms:created xsi:type="dcterms:W3CDTF">2022-05-25T13:06:12Z</dcterms:created>
  <dcterms:modified xsi:type="dcterms:W3CDTF">2025-01-19T19:08:52Z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0x01010020275E9F07C0754A9FD46AE273A8A016</vt:lpwstr>
  </property>
  <property fmtid="{D5CDD505-2E9C-101B-9397-08002B2CF9AE}" pid="3" name="MediaServiceImageTags">
    <vt:lpwstr/>
  </property>
</Properties>
</file>